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Settings" sheetId="2" r:id="rId2"/>
    <sheet name="Dashboard" sheetId="3" r:id="rId3"/>
    <sheet name="Quote Calculator" sheetId="4" r:id="rId4"/>
    <sheet name="Clients" sheetId="5" r:id="rId5"/>
    <sheet name="Properties" sheetId="6" r:id="rId6"/>
    <sheet name="Leads" sheetId="7" r:id="rId7"/>
    <sheet name="Services" sheetId="8" r:id="rId8"/>
    <sheet name="Quotes" sheetId="9" r:id="rId9"/>
    <sheet name="Quote Lines" sheetId="10" r:id="rId10"/>
    <sheet name="Jobs" sheetId="11" r:id="rId11"/>
    <sheet name="Job Tasks" sheetId="12" r:id="rId12"/>
    <sheet name="Calendar" sheetId="13" r:id="rId13"/>
    <sheet name="Checklists" sheetId="14" r:id="rId14"/>
    <sheet name="Employees" sheetId="15" r:id="rId15"/>
    <sheet name="Staff Schedule" sheetId="16" r:id="rId16"/>
    <sheet name="Timesheets" sheetId="17" r:id="rId17"/>
    <sheet name="Job Costing" sheetId="18" r:id="rId18"/>
    <sheet name="Invoices" sheetId="19" r:id="rId19"/>
    <sheet name="Invoice Lines" sheetId="20" r:id="rId20"/>
    <sheet name="Payments" sheetId="21" r:id="rId21"/>
    <sheet name="Supplies" sheetId="22" r:id="rId22"/>
    <sheet name="Supply Usage" sheetId="23" r:id="rId23"/>
    <sheet name="Equipment" sheetId="24" r:id="rId24"/>
    <sheet name="Expenses" sheetId="25" r:id="rId25"/>
    <sheet name="Mileage" sheetId="26" r:id="rId26"/>
    <sheet name="Client Retention" sheetId="27" r:id="rId27"/>
    <sheet name="Complaints" sheetId="28" r:id="rId28"/>
    <sheet name="Incidents" sheetId="29" r:id="rId29"/>
    <sheet name="Safety" sheetId="30" r:id="rId30"/>
    <sheet name="Financial Plan" sheetId="31" r:id="rId31"/>
    <sheet name="Reports" sheetId="32" r:id="rId32"/>
    <sheet name="Print Quote" sheetId="33" r:id="rId33"/>
    <sheet name="Print Invoice" sheetId="34" r:id="rId34"/>
    <sheet name="Print Job Sheet" sheetId="35" r:id="rId35"/>
    <sheet name="Lists" sheetId="36" r:id="rId36"/>
    <sheet name="Help" sheetId="37" r:id="rId37"/>
  </sheets>
  <definedNames>
    <definedName name="_xlnm._FilterDatabase" localSheetId="13" hidden="1">'Checklists'!$A$4:$X$404</definedName>
    <definedName name="_xlnm._FilterDatabase" localSheetId="4" hidden="1">'Clients'!$A$4:$AS$204</definedName>
    <definedName name="_xlnm._FilterDatabase" localSheetId="27" hidden="1">'Complaints'!$A$4:$Y$84</definedName>
    <definedName name="_xlnm._FilterDatabase" localSheetId="14" hidden="1">'Employees'!$A$4:$AM$44</definedName>
    <definedName name="_xlnm._FilterDatabase" localSheetId="23" hidden="1">'Equipment'!$A$4:$Z$84</definedName>
    <definedName name="_xlnm._FilterDatabase" localSheetId="24" hidden="1">'Expenses'!$A$4:$U$404</definedName>
    <definedName name="_xlnm._FilterDatabase" localSheetId="28" hidden="1">'Incidents'!$A$4:$X$64</definedName>
    <definedName name="_xlnm._FilterDatabase" localSheetId="19" hidden="1">'Invoice Lines'!$A$4:$R$804</definedName>
    <definedName name="_xlnm._FilterDatabase" localSheetId="18" hidden="1">'Invoices'!$A$4:$AE$404</definedName>
    <definedName name="_xlnm._FilterDatabase" localSheetId="17" hidden="1">'Job Costing'!$A$4:$AB$604</definedName>
    <definedName name="_xlnm._FilterDatabase" localSheetId="11" hidden="1">'Job Tasks'!$A$4:$T$904</definedName>
    <definedName name="_xlnm._FilterDatabase" localSheetId="10" hidden="1">'Jobs'!$A$4:$AX$604</definedName>
    <definedName name="_xlnm._FilterDatabase" localSheetId="6" hidden="1">'Leads'!$A$4:$Z$154</definedName>
    <definedName name="_xlnm._FilterDatabase" localSheetId="25" hidden="1">'Mileage'!$A$4:$T$404</definedName>
    <definedName name="_xlnm._FilterDatabase" localSheetId="20" hidden="1">'Payments'!$A$4:$R$404</definedName>
    <definedName name="_xlnm._FilterDatabase" localSheetId="5" hidden="1">'Properties'!$A$4:$AH$254</definedName>
    <definedName name="_xlnm._FilterDatabase" localSheetId="9" hidden="1">'Quote Lines'!$A$4:$U$604</definedName>
    <definedName name="_xlnm._FilterDatabase" localSheetId="8" hidden="1">'Quotes'!$A$4:$AK$204</definedName>
    <definedName name="_xlnm._FilterDatabase" localSheetId="29" hidden="1">'Safety'!$A$4:$R$84</definedName>
    <definedName name="_xlnm._FilterDatabase" localSheetId="7" hidden="1">'Services'!$A$4:$AC$64</definedName>
    <definedName name="_xlnm._FilterDatabase" localSheetId="21" hidden="1">'Supplies'!$A$4:$Z$154</definedName>
    <definedName name="_xlnm._FilterDatabase" localSheetId="22" hidden="1">'Supply Usage'!$A$4:$M$304</definedName>
    <definedName name="_xlnm._FilterDatabase" localSheetId="16" hidden="1">'Timesheets'!$A$4:$Z$804</definedName>
    <definedName name="AccessList">Lists!$A$35:$A$53</definedName>
    <definedName name="AnnualRevenueTarget">Settings!$D$66</definedName>
    <definedName name="AreaUnit">Settings!$D$23</definedName>
    <definedName name="AreaUnitList">Lists!$E$282:$E$291</definedName>
    <definedName name="AttendanceList">Lists!$G$156:$G$173</definedName>
    <definedName name="BillingCycleList">Lists!$I$80:$I$95</definedName>
    <definedName name="BizAddress">Settings!$D$10</definedName>
    <definedName name="BizArea">Settings!$D$12</definedName>
    <definedName name="BizEmail">Settings!$D$8</definedName>
    <definedName name="BizInsurance">Settings!$D$15</definedName>
    <definedName name="BizName">Settings!$D$6</definedName>
    <definedName name="BizOwner">Settings!$D$7</definedName>
    <definedName name="BizPayDetails">Settings!$D$62</definedName>
    <definedName name="BizPhone">Settings!$D$9</definedName>
    <definedName name="BizRegNo">Settings!$D$14</definedName>
    <definedName name="BizTagline">Settings!$D$13</definedName>
    <definedName name="BizWebsite">Settings!$D$11</definedName>
    <definedName name="CalloutFee">Settings!$D$38</definedName>
    <definedName name="CalStart">Calendar!$B$5</definedName>
    <definedName name="CertWarningDays">Settings!$D$79</definedName>
    <definedName name="CleanersPerJob">Settings!$D$21</definedName>
    <definedName name="ClientIDs">OFFSET(Clients!$A$5,0,0,MAX(1,COUNTIF(Clients!$A$5:$A$204,"?*")),1)</definedName>
    <definedName name="ClientNames">OFFSET(Clients!$B$5,0,0,MAX(1,COUNTIF(Clients!$B$5:$B$204,"?*")),1)</definedName>
    <definedName name="ClientPrefix">Settings!$D$84</definedName>
    <definedName name="ClientStatusList">Lists!$G$9:$G$25</definedName>
    <definedName name="ClientTypeList">Lists!$E$9:$E$31</definedName>
    <definedName name="ComplaintPrefix">Settings!$D$96</definedName>
    <definedName name="ComplaintStatusList">Lists!$E$233:$E$248</definedName>
    <definedName name="ComplaintTypeList">Lists!$C$233:$C$254</definedName>
    <definedName name="ConditionFactors">Lists!$B$337:$B$345</definedName>
    <definedName name="ConditionList">Lists!$G$35:$G$47</definedName>
    <definedName name="ConditionNames">Lists!$A$337:$A$345</definedName>
    <definedName name="ContractStatusList">Lists!$E$80:$E$97</definedName>
    <definedName name="ContractTermList">Lists!$G$80:$G$94</definedName>
    <definedName name="CostPerHour">Settings!$D$49</definedName>
    <definedName name="DashKey">Dashboard!$H$5</definedName>
    <definedName name="DashMonth">Dashboard!$F$5</definedName>
    <definedName name="DeepCleanUplift">Settings!$D$39</definedName>
    <definedName name="DepositPercent">Settings!$D$42</definedName>
    <definedName name="DistanceUnit">Settings!$D$24</definedName>
    <definedName name="DistanceUnitList">Lists!$G$282:$G$291</definedName>
    <definedName name="DocStatusList">Lists!$E$257:$E$270</definedName>
    <definedName name="EmployeeIDs">OFFSET(Employees!$A$5,0,0,MAX(1,COUNTIF(Employees!$A$5:$A$44,"?*")),1)</definedName>
    <definedName name="EmployeeNames">OFFSET(Employees!$B$5,0,0,MAX(1,COUNTIF(Employees!$B$5:$B$44,"?*")),1)</definedName>
    <definedName name="EmployeePrefix">Settings!$D$92</definedName>
    <definedName name="EmployeeRoleList">Lists!$I$126:$I$145</definedName>
    <definedName name="EmployeeStatusList">Lists!$C$156:$C$171</definedName>
    <definedName name="EmployerOncost">Settings!$D$48</definedName>
    <definedName name="EmploymentTypeList">Lists!$A$156:$A$171</definedName>
    <definedName name="EquipmentNames">OFFSET(Equipment!$B$5,0,0,MAX(1,COUNTIF(Equipment!$B$5:$B$84,"?*")),1)</definedName>
    <definedName name="EquipmentPrefix">Settings!$D$94</definedName>
    <definedName name="EquipmentStatusList">Lists!$I$176:$I$191</definedName>
    <definedName name="EquipmentTypeList">Lists!$G$176:$G$196</definedName>
    <definedName name="ExpenseCategoryList">Lists!$E$199:$E$230</definedName>
    <definedName name="ExpenseMonths">OFFSET(Expenses!$C$5,0,0,MAX(1,COUNTIF(Expenses!$C$5:$C$404,"?*")),1)</definedName>
    <definedName name="ExpensePrefix">Settings!$D$95</definedName>
    <definedName name="ExpenseTypeList">Lists!$G$199:$G$211</definedName>
    <definedName name="FpAvgHours">'Financial Plan'!$D$9</definedName>
    <definedName name="FpAvgJob">'Financial Plan'!$D$8</definedName>
    <definedName name="FpBreakEvenHours">'Financial Plan'!$D$14</definedName>
    <definedName name="FpBreakEvenJobs">'Financial Plan'!$D$12</definedName>
    <definedName name="FpBreakEvenRevenue">'Financial Plan'!$D$13</definedName>
    <definedName name="FpBreakEvenVerdict">'Financial Plan'!$D$16</definedName>
    <definedName name="FpClientJobs">'Financial Plan'!$D$40</definedName>
    <definedName name="FpContribution">'Financial Plan'!$D$11</definedName>
    <definedName name="FpFixed">'Financial Plan'!$D$7</definedName>
    <definedName name="FpJobsNow">'Financial Plan'!$D$15</definedName>
    <definedName name="FpNewClients">'Financial Plan'!$D$38</definedName>
    <definedName name="FpNewStaff">'Financial Plan'!$D$39</definedName>
    <definedName name="FpRateRise">'Financial Plan'!$D$37</definedName>
    <definedName name="FpTaxPot">'Financial Plan'!$D$65</definedName>
    <definedName name="FpTaxSet">'Financial Plan'!$D$63</definedName>
    <definedName name="FpVarCost">'Financial Plan'!$D$10</definedName>
    <definedName name="FpYearProfit">'Financial Plan'!$D$64</definedName>
    <definedName name="FreqDays">Lists!$B$319:$B$330</definedName>
    <definedName name="FreqFactors">Lists!$D$319:$D$330</definedName>
    <definedName name="FreqNames">Lists!$A$319:$A$330</definedName>
    <definedName name="FreqPerYear">Lists!$C$319:$C$330</definedName>
    <definedName name="FrequencyList">Lists!$I$35:$I$49</definedName>
    <definedName name="GoalStatusList">Lists!$A$299:$A$312</definedName>
    <definedName name="HourlyRate">Settings!$D$32</definedName>
    <definedName name="InactiveClientDays">Settings!$D$76</definedName>
    <definedName name="IncidentTypeList">Lists!$A$257:$A$277</definedName>
    <definedName name="InvoiceIDs">OFFSET(Invoices!$A$5,0,0,MAX(1,COUNTIF(Invoices!$A$5:$A$404,"?*")),1)</definedName>
    <definedName name="InvoiceMonths">OFFSET(Invoices!$C$5,0,0,MAX(1,COUNTIF(Invoices!$C$5:$C$404,"?*")),1)</definedName>
    <definedName name="InvoicePrefix">Settings!$D$90</definedName>
    <definedName name="InvoiceStatusList">Lists!$A$100:$A$113</definedName>
    <definedName name="JobClients">OFFSET(Jobs!$G$5,0,0,MAX(1,COUNTIF(Jobs!$G$5:$G$604,"?*")),1)</definedName>
    <definedName name="JobDates">OFFSET(Jobs!$B$5,0,0,MAX(1,COUNTIF(Jobs!$B$5:$B$604,"?*")),1)</definedName>
    <definedName name="JobIDs">OFFSET(Jobs!$A$5,0,0,MAX(1,COUNTIF(Jobs!$A$5:$A$604,"?*")),1)</definedName>
    <definedName name="JobMonths">OFFSET(Jobs!$E$5,0,0,MAX(1,COUNTIF(Jobs!$E$5:$E$604,"?*")),1)</definedName>
    <definedName name="JobPrefix">Settings!$D$89</definedName>
    <definedName name="JobStatuses">OFFSET(Jobs!$P$5,0,0,MAX(1,COUNTIF(Jobs!$P$5:$P$604,"?*")),1)</definedName>
    <definedName name="JobStatusList">Lists!$E$56:$E$71</definedName>
    <definedName name="JobTypeList">Lists!$G$56:$G$70</definedName>
    <definedName name="KeyStatusList">Lists!$C$35:$C$48</definedName>
    <definedName name="LateFeePercent">Settings!$D$59</definedName>
    <definedName name="LeadIDs">OFFSET(Leads!$A$5,0,0,MAX(1,COUNTIF(Leads!$A$5:$A$154,"?*")),1)</definedName>
    <definedName name="LeadPrefix">Settings!$D$86</definedName>
    <definedName name="LeadSourceList">Lists!$E$100:$E$123</definedName>
    <definedName name="LeadStageList">Lists!$G$100:$G$117</definedName>
    <definedName name="LeaveTypeList">Lists!$I$156:$I$171</definedName>
    <definedName name="LostReasonList">Lists!$I$100:$I$117</definedName>
    <definedName name="LowStockDays">Settings!$D$77</definedName>
    <definedName name="MaintenanceDays">Settings!$D$78</definedName>
    <definedName name="MaintenanceList">Lists!$C$199:$C$215</definedName>
    <definedName name="MarginFloor">Settings!$D$53</definedName>
    <definedName name="MileagePurposeList">Lists!$I$199:$I$217</definedName>
    <definedName name="MileageRate">Settings!$D$51</definedName>
    <definedName name="MinimumCharge">Settings!$D$33</definedName>
    <definedName name="MonthEnd">Settings!$D$27</definedName>
    <definedName name="MonthList">Lists!$I$257:$I$276</definedName>
    <definedName name="MonthlyExpenseBudget">Settings!$D$67</definedName>
    <definedName name="MonthlyRevenueTarget">Settings!$D$65</definedName>
    <definedName name="MonthStart">Settings!$D$26</definedName>
    <definedName name="MoveCleanUplift">Settings!$D$40</definedName>
    <definedName name="OverdueGrace">Settings!$D$60</definedName>
    <definedName name="OvertimeRate">Settings!$D$47</definedName>
    <definedName name="OwnershipList">Lists!$A$199:$A$212</definedName>
    <definedName name="ParkingList">Lists!$E$35:$E$52</definedName>
    <definedName name="PaymentMethodList">Lists!$C$100:$C$118</definedName>
    <definedName name="PaymentPrefix">Settings!$D$91</definedName>
    <definedName name="PaymentTerms">Settings!$D$58</definedName>
    <definedName name="PayRate">Settings!$D$46</definedName>
    <definedName name="PetSurcharge">Settings!$D$41</definedName>
    <definedName name="PlanYear">Settings!$D$18</definedName>
    <definedName name="PriceRounding">Settings!$D$43</definedName>
    <definedName name="PricingModelList">Lists!$C$56:$C$71</definedName>
    <definedName name="_xlnm.Print_Area" localSheetId="13">'Checklists'!$A$1:$X$404</definedName>
    <definedName name="_xlnm.Print_Area" localSheetId="4">'Clients'!$A$1:$AS$204</definedName>
    <definedName name="_xlnm.Print_Area" localSheetId="27">'Complaints'!$A$1:$Y$84</definedName>
    <definedName name="_xlnm.Print_Area" localSheetId="14">'Employees'!$A$1:$AM$44</definedName>
    <definedName name="_xlnm.Print_Area" localSheetId="23">'Equipment'!$A$1:$Z$84</definedName>
    <definedName name="_xlnm.Print_Area" localSheetId="24">'Expenses'!$A$1:$U$404</definedName>
    <definedName name="_xlnm.Print_Area" localSheetId="28">'Incidents'!$A$1:$X$64</definedName>
    <definedName name="_xlnm.Print_Area" localSheetId="19">'Invoice Lines'!$A$1:$R$804</definedName>
    <definedName name="_xlnm.Print_Area" localSheetId="18">'Invoices'!$A$1:$AE$404</definedName>
    <definedName name="_xlnm.Print_Area" localSheetId="17">'Job Costing'!$A$1:$AB$604</definedName>
    <definedName name="_xlnm.Print_Area" localSheetId="11">'Job Tasks'!$A$1:$T$904</definedName>
    <definedName name="_xlnm.Print_Area" localSheetId="10">'Jobs'!$A$1:$AX$604</definedName>
    <definedName name="_xlnm.Print_Area" localSheetId="6">'Leads'!$A$1:$Z$154</definedName>
    <definedName name="_xlnm.Print_Area" localSheetId="25">'Mileage'!$A$1:$T$404</definedName>
    <definedName name="_xlnm.Print_Area" localSheetId="20">'Payments'!$A$1:$R$404</definedName>
    <definedName name="_xlnm.Print_Area" localSheetId="33">'Print Invoice'!$A$1:$H$43</definedName>
    <definedName name="_xlnm.Print_Area" localSheetId="34">'Print Job Sheet'!$A$1:$H$62</definedName>
    <definedName name="_xlnm.Print_Area" localSheetId="32">'Print Quote'!$A$1:$H$48</definedName>
    <definedName name="_xlnm.Print_Area" localSheetId="5">'Properties'!$A$1:$AH$254</definedName>
    <definedName name="_xlnm.Print_Area" localSheetId="9">'Quote Lines'!$A$1:$U$604</definedName>
    <definedName name="_xlnm.Print_Area" localSheetId="8">'Quotes'!$A$1:$AK$204</definedName>
    <definedName name="_xlnm.Print_Area" localSheetId="29">'Safety'!$A$1:$R$84</definedName>
    <definedName name="_xlnm.Print_Area" localSheetId="7">'Services'!$A$1:$AC$64</definedName>
    <definedName name="_xlnm.Print_Area" localSheetId="21">'Supplies'!$A$1:$Z$154</definedName>
    <definedName name="_xlnm.Print_Area" localSheetId="22">'Supply Usage'!$A$1:$M$304</definedName>
    <definedName name="_xlnm.Print_Area" localSheetId="16">'Timesheets'!$A$1:$Z$804</definedName>
    <definedName name="_xlnm.Print_Titles" localSheetId="13">'Checklists'!$1:$4</definedName>
    <definedName name="_xlnm.Print_Titles" localSheetId="4">'Clients'!$1:$4</definedName>
    <definedName name="_xlnm.Print_Titles" localSheetId="27">'Complaints'!$1:$4</definedName>
    <definedName name="_xlnm.Print_Titles" localSheetId="14">'Employees'!$1:$4</definedName>
    <definedName name="_xlnm.Print_Titles" localSheetId="23">'Equipment'!$1:$4</definedName>
    <definedName name="_xlnm.Print_Titles" localSheetId="24">'Expenses'!$1:$4</definedName>
    <definedName name="_xlnm.Print_Titles" localSheetId="28">'Incidents'!$1:$4</definedName>
    <definedName name="_xlnm.Print_Titles" localSheetId="19">'Invoice Lines'!$1:$4</definedName>
    <definedName name="_xlnm.Print_Titles" localSheetId="18">'Invoices'!$1:$4</definedName>
    <definedName name="_xlnm.Print_Titles" localSheetId="17">'Job Costing'!$1:$4</definedName>
    <definedName name="_xlnm.Print_Titles" localSheetId="11">'Job Tasks'!$1:$4</definedName>
    <definedName name="_xlnm.Print_Titles" localSheetId="10">'Jobs'!$1:$4</definedName>
    <definedName name="_xlnm.Print_Titles" localSheetId="6">'Leads'!$1:$4</definedName>
    <definedName name="_xlnm.Print_Titles" localSheetId="25">'Mileage'!$1:$4</definedName>
    <definedName name="_xlnm.Print_Titles" localSheetId="20">'Payments'!$1:$4</definedName>
    <definedName name="_xlnm.Print_Titles" localSheetId="5">'Properties'!$1:$4</definedName>
    <definedName name="_xlnm.Print_Titles" localSheetId="9">'Quote Lines'!$1:$4</definedName>
    <definedName name="_xlnm.Print_Titles" localSheetId="8">'Quotes'!$1:$4</definedName>
    <definedName name="_xlnm.Print_Titles" localSheetId="29">'Safety'!$1:$4</definedName>
    <definedName name="_xlnm.Print_Titles" localSheetId="7">'Services'!$1:$4</definedName>
    <definedName name="_xlnm.Print_Titles" localSheetId="21">'Supplies'!$1:$4</definedName>
    <definedName name="_xlnm.Print_Titles" localSheetId="22">'Supply Usage'!$1:$4</definedName>
    <definedName name="_xlnm.Print_Titles" localSheetId="16">'Timesheets'!$1:$4</definedName>
    <definedName name="PrintInvoice">'Print Invoice'!$B$5</definedName>
    <definedName name="PrintJob">'Print Job Sheet'!$B$5</definedName>
    <definedName name="PrintJobChecklist">'Print Job Sheet'!$A$6</definedName>
    <definedName name="PrintQuote">'Print Quote'!$B$5</definedName>
    <definedName name="PriorityList">Lists!$I$56:$I$68</definedName>
    <definedName name="ProductiveHours">Settings!$D$20</definedName>
    <definedName name="PropertyIDs">OFFSET(Properties!$A$5,0,0,MAX(1,COUNTIF(Properties!$A$5:$A$254,"?*")),1)</definedName>
    <definedName name="PropertyNames">OFFSET(Properties!$B$5,0,0,MAX(1,COUNTIF(Properties!$B$5:$B$254,"?*")),1)</definedName>
    <definedName name="PropertyPrefix">Settings!$D$85</definedName>
    <definedName name="PropertyTypeList">Lists!$I$9:$I$32</definedName>
    <definedName name="QcAfterFreq">'Quote Calculator'!$D$62</definedName>
    <definedName name="QcArea">'Quote Calculator'!$D$9</definedName>
    <definedName name="QcAreaHours">'Quote Calculator'!$D$34</definedName>
    <definedName name="QcBaseHours">'Quote Calculator'!$D$36</definedName>
    <definedName name="QcBaths">'Quote Calculator'!$D$11</definedName>
    <definedName name="QcBeds">'Quote Calculator'!$D$10</definedName>
    <definedName name="QcCallout">'Quote Calculator'!$D$17</definedName>
    <definedName name="QcCalloutFee">'Quote Calculator'!$D$64</definedName>
    <definedName name="QcChosen">'Quote Calculator'!$D$60</definedName>
    <definedName name="QcCleaners">'Quote Calculator'!$D$18</definedName>
    <definedName name="QcCondition">'Quote Calculator'!$D$13</definedName>
    <definedName name="QcConditionFactor">'Quote Calculator'!$D$37</definedName>
    <definedName name="QcCost">'Quote Calculator'!$D$57</definedName>
    <definedName name="QcDeposit">'Quote Calculator'!$D$71</definedName>
    <definedName name="QcDiscount">'Quote Calculator'!$D$21</definedName>
    <definedName name="QcDiscountValue">'Quote Calculator'!$D$66</definedName>
    <definedName name="QcDistance">'Quote Calculator'!$D$16</definedName>
    <definedName name="QcExtraHours">'Quote Calculator'!$F$30</definedName>
    <definedName name="QcExtras">'Quote Calculator'!$E$30</definedName>
    <definedName name="QcExtrasTotal">'Quote Calculator'!$D$65</definedName>
    <definedName name="QcFreqFactor">'Quote Calculator'!$D$61</definedName>
    <definedName name="QcFrequency">'Quote Calculator'!$D$14</definedName>
    <definedName name="QcHours">'Quote Calculator'!$D$38</definedName>
    <definedName name="QcHoursOverride">'Quote Calculator'!$D$19</definedName>
    <definedName name="QcLabour">'Quote Calculator'!$D$54</definedName>
    <definedName name="QcManual">'Quote Calculator'!$D$51</definedName>
    <definedName name="QcMargin">'Quote Calculator'!$D$75</definedName>
    <definedName name="QcMethod">'Quote Calculator'!$D$50</definedName>
    <definedName name="QcPerArea">'Quote Calculator'!$D$77</definedName>
    <definedName name="QcPerHour">'Quote Calculator'!$D$76</definedName>
    <definedName name="QcPetFee">'Quote Calculator'!$D$63</definedName>
    <definedName name="QcPets">'Quote Calculator'!$D$15</definedName>
    <definedName name="QcPrice">'Quote Calculator'!$D$68</definedName>
    <definedName name="QcPriceArea">'Quote Calculator'!$D$46</definedName>
    <definedName name="QcPriceHour">'Quote Calculator'!$D$45</definedName>
    <definedName name="QcPriceRoom">'Quote Calculator'!$D$47</definedName>
    <definedName name="QcPriceService">'Quote Calculator'!$D$48</definedName>
    <definedName name="QcPriceTarget">'Quote Calculator'!$D$49</definedName>
    <definedName name="QcProfit">'Quote Calculator'!$D$74</definedName>
    <definedName name="QcRate">'Quote Calculator'!$D$43</definedName>
    <definedName name="QcRateOverride">'Quote Calculator'!$D$20</definedName>
    <definedName name="QcRaw">'Quote Calculator'!$D$67</definedName>
    <definedName name="QcRoomHours">'Quote Calculator'!$D$33</definedName>
    <definedName name="QcRooms">'Quote Calculator'!$D$12</definedName>
    <definedName name="QcService">'Quote Calculator'!$D$7</definedName>
    <definedName name="QcServiceHours">'Quote Calculator'!$D$35</definedName>
    <definedName name="QcSupplies">'Quote Calculator'!$D$55</definedName>
    <definedName name="QcTax">'Quote Calculator'!$D$69</definedName>
    <definedName name="QcTotal">'Quote Calculator'!$D$70</definedName>
    <definedName name="QcTravel">'Quote Calculator'!$D$56</definedName>
    <definedName name="QcType">'Quote Calculator'!$D$8</definedName>
    <definedName name="QcUplift">'Quote Calculator'!$D$44</definedName>
    <definedName name="QcVerdict">'Quote Calculator'!$D$78</definedName>
    <definedName name="QcVisitHours">'Quote Calculator'!$D$39</definedName>
    <definedName name="QualityList">Lists!$E$126:$E$138</definedName>
    <definedName name="QuoteFollowupDays">Settings!$D$75</definedName>
    <definedName name="QuoteIDs">OFFSET(Quotes!$A$5,0,0,MAX(1,COUNTIF(Quotes!$A$5:$A$204,"?*")),1)</definedName>
    <definedName name="QuotePrefix">Settings!$D$88</definedName>
    <definedName name="QuoteStatusList">Lists!$C$80:$C$93</definedName>
    <definedName name="QuoteValidDays">Settings!$D$61</definedName>
    <definedName name="QuoteWinTarget">Settings!$D$70</definedName>
    <definedName name="RatePerArea">Settings!$D$34</definedName>
    <definedName name="RatePerBathroom">Settings!$D$36</definedName>
    <definedName name="RatePerBedroom">Settings!$D$35</definedName>
    <definedName name="RatePerRoom">Settings!$D$37</definedName>
    <definedName name="RatingList">Lists!$G$126:$G$138</definedName>
    <definedName name="ReminderDays">Settings!$D$74</definedName>
    <definedName name="RenewalWarningDays">Settings!$D$80</definedName>
    <definedName name="ResolutionList">Lists!$I$233:$I$250</definedName>
    <definedName name="RetentionList">Lists!$G$257:$G$271</definedName>
    <definedName name="RetentionTarget">Settings!$D$69</definedName>
    <definedName name="RotaStart">'Staff Schedule'!$B$5</definedName>
    <definedName name="RoundingList">Lists!$I$282:$I$293</definedName>
    <definedName name="SafetyDocList">Lists!$C$257:$C$279</definedName>
    <definedName name="SatisfactionTarget">Settings!$D$71</definedName>
    <definedName name="ServiceCategoryList">Lists!$A$56:$A$77</definedName>
    <definedName name="ServiceIDs">OFFSET(Services!$A$5,0,0,MAX(1,COUNTIF(Services!$A$5:$A$64,"?*")),1)</definedName>
    <definedName name="ServiceNames">OFFSET(Services!$B$5,0,0,MAX(1,COUNTIF(Services!$B$5:$B$64,"?*")),1)</definedName>
    <definedName name="ServicePrefix">Settings!$D$87</definedName>
    <definedName name="SeverityList">Lists!$G$233:$G$244</definedName>
    <definedName name="ShiftList">Lists!$E$156:$E$171</definedName>
    <definedName name="SuppliesPerHour">Settings!$D$50</definedName>
    <definedName name="SupplyCategoryList">Lists!$C$176:$C$195</definedName>
    <definedName name="SupplyNames">OFFSET(Supplies!$B$5,0,0,MAX(1,COUNTIF(Supplies!$B$5:$B$154,"?*")),1)</definedName>
    <definedName name="SupplyPrefix">Settings!$D$93</definedName>
    <definedName name="SupplyUnitList">Lists!$E$176:$E$196</definedName>
    <definedName name="TargetMargin">Settings!$D$52</definedName>
    <definedName name="TaskAreaList">Lists!$A$126:$A$153</definedName>
    <definedName name="TaskStatusList">Lists!$C$126:$C$140</definedName>
    <definedName name="TaxLabel">Settings!$D$57</definedName>
    <definedName name="TaxRate">Settings!$D$56</definedName>
    <definedName name="TimeSlotList">Lists!$A$80:$A$95</definedName>
    <definedName name="TodayDate">Settings!$D$25</definedName>
    <definedName name="TrainingList">Lists!$A$176:$A$196</definedName>
    <definedName name="TravelMinutes">Settings!$D$22</definedName>
    <definedName name="UtilisationTarget">Settings!$D$68</definedName>
    <definedName name="VehicleList">Lists!$A$233:$A$247</definedName>
    <definedName name="WeekdayList">Lists!$A$282:$A$296</definedName>
    <definedName name="WeekStart">Settings!$D$19</definedName>
    <definedName name="WeekStartDate">Settings!$D$28</definedName>
    <definedName name="WeekStartList">Lists!$C$282:$C$291</definedName>
    <definedName name="YesNoList">Lists!$A$9:$A$18</definedName>
    <definedName name="YesNoNAList">Lists!$C$9:$C$19</definedName>
  </definedNames>
  <calcPr calcId="124519"/>
</workbook>
</file>

<file path=xl/comments1.xml><?xml version="1.0" encoding="utf-8"?>
<comments xmlns="http://schemas.openxmlformats.org/spreadsheetml/2006/main">
  <authors>
    <author>Novality Store</author>
  </authors>
  <commentList>
    <comment ref="A4" authorId="0">
      <text>
        <r>
          <rPr>
            <sz val="8"/>
            <color indexed="81"/>
            <rFont val="Tahoma"/>
            <family val="2"/>
          </rPr>
          <t>The ID the properties, jobs, quotes and invoices all refer to. Generated for you - never type over it.</t>
        </r>
      </text>
    </comment>
    <comment ref="B4" authorId="0">
      <text>
        <r>
          <rPr>
            <sz val="8"/>
            <color indexed="81"/>
            <rFont val="Tahoma"/>
            <family val="2"/>
          </rPr>
          <t>A household name or a company name. One row per paying customer; their addresses go on the Properties tab.</t>
        </r>
      </text>
    </comment>
    <comment ref="C4" authorId="0">
      <text>
        <r>
          <rPr>
            <sz val="8"/>
            <color indexed="81"/>
            <rFont val="Tahoma"/>
            <family val="2"/>
          </rPr>
          <t>Residential and commercial work behave very differently - the reports split on this.</t>
        </r>
      </text>
    </comment>
    <comment ref="G4" authorId="0">
      <text>
        <r>
          <rPr>
            <sz val="8"/>
            <color indexed="81"/>
            <rFont val="Tahoma"/>
            <family val="2"/>
          </rPr>
          <t>Where the invoice goes. The place you clean goes on the Properties tab - often not the same address.</t>
        </r>
      </text>
    </comment>
    <comment ref="H4" authorId="0">
      <text>
        <r>
          <rPr>
            <sz val="8"/>
            <color indexed="81"/>
            <rFont val="Tahoma"/>
            <family val="2"/>
          </rPr>
          <t>Prospect until they book. Mark them Paused rather than deleting them - the history is worth keeping.</t>
        </r>
      </text>
    </comment>
    <comment ref="I4" authorId="0">
      <text>
        <r>
          <rPr>
            <sz val="8"/>
            <color indexed="81"/>
            <rFont val="Tahoma"/>
            <family val="2"/>
          </rPr>
          <t>Where they heard about you. Fill this in every time and the Reports tab tells you where to spend your marketing money.</t>
        </r>
      </text>
    </comment>
    <comment ref="K4" authorId="0">
      <text>
        <r>
          <rPr>
            <sz val="8"/>
            <color indexed="81"/>
            <rFont val="Tahoma"/>
            <family val="2"/>
          </rPr>
          <t>Drives the recurring booking dates and the value of the client over a year.</t>
        </r>
      </text>
    </comment>
    <comment ref="N4" authorId="0">
      <text>
        <r>
          <rPr>
            <sz val="8"/>
            <color indexed="81"/>
            <rFont val="Tahoma"/>
            <family val="2"/>
          </rPr>
          <t>The scheduler flags a job given to anybody else, so you can at least tell the client.</t>
        </r>
      </text>
    </comment>
    <comment ref="O4" authorId="0">
      <text>
        <r>
          <rPr>
            <sz val="8"/>
            <color indexed="81"/>
            <rFont val="Tahoma"/>
            <family val="2"/>
          </rPr>
          <t>Leave blank to use the standard rate from Settings. Fill it in for a client on a special price.</t>
        </r>
      </text>
    </comment>
    <comment ref="P4" authorId="0">
      <text>
        <r>
          <rPr>
            <sz val="8"/>
            <color indexed="81"/>
            <rFont val="Tahoma"/>
            <family val="2"/>
          </rPr>
          <t>Blank uses the default terms from the Settings tab.</t>
        </r>
      </text>
    </comment>
    <comment ref="S4" authorId="0">
      <text>
        <r>
          <rPr>
            <sz val="8"/>
            <color indexed="81"/>
            <rFont val="Tahoma"/>
            <family val="2"/>
          </rPr>
          <t>The renewal alert counts down to this date.</t>
        </r>
      </text>
    </comment>
    <comment ref="U4" authorId="0">
      <text>
        <r>
          <rPr>
            <sz val="8"/>
            <color indexed="81"/>
            <rFont val="Tahoma"/>
            <family val="2"/>
          </rPr>
          <t>Keep a record of consent before you add anyone to a mailing list.</t>
        </r>
      </text>
    </comment>
    <comment ref="V4" authorId="0">
      <text>
        <r>
          <rPr>
            <sz val="8"/>
            <color indexed="81"/>
            <rFont val="Tahoma"/>
            <family val="2"/>
          </rPr>
          <t>Allergies, pets, gate codes, the mug they do not want moved. The things that keep a client.</t>
        </r>
      </text>
    </comment>
    <comment ref="W4" authorId="0">
      <text>
        <r>
          <rPr>
            <sz val="8"/>
            <color indexed="81"/>
            <rFont val="Tahoma"/>
            <family val="2"/>
          </rPr>
          <t>Counted from the Properties tab.</t>
        </r>
      </text>
    </comment>
    <comment ref="AA4" authorId="0">
      <text>
        <r>
          <rPr>
            <sz val="8"/>
            <color indexed="81"/>
            <rFont val="Tahoma"/>
            <family val="2"/>
          </rPr>
          <t>The last visit that actually happened.</t>
        </r>
      </text>
    </comment>
    <comment ref="AC4" authorId="0">
      <text>
        <r>
          <rPr>
            <sz val="8"/>
            <color indexed="81"/>
            <rFont val="Tahoma"/>
            <family val="2"/>
          </rPr>
          <t>The next visit in the diary. Empty means nothing is booked - that is the list to work from.</t>
        </r>
      </text>
    </comment>
    <comment ref="AD4" authorId="0">
      <text>
        <r>
          <rPr>
            <sz val="8"/>
            <color indexed="81"/>
            <rFont val="Tahoma"/>
            <family val="2"/>
          </rPr>
          <t>Everything you have billed them, lifetime.</t>
        </r>
      </text>
    </comment>
    <comment ref="AH4" authorId="0">
      <text>
        <r>
          <rPr>
            <sz val="8"/>
            <color indexed="81"/>
            <rFont val="Tahoma"/>
            <family val="2"/>
          </rPr>
          <t>Revenue less wages, supplies and travel, from the Job Costing tab. The number that tells you whether a client is worth keeping.</t>
        </r>
      </text>
    </comment>
    <comment ref="AJ4" authorId="0">
      <text>
        <r>
          <rPr>
            <sz val="8"/>
            <color indexed="81"/>
            <rFont val="Tahoma"/>
            <family val="2"/>
          </rPr>
          <t>What this client is worth over twelve months at their usual frequency. Losing one of these is worth a phone call to keep.</t>
        </r>
      </text>
    </comment>
    <comment ref="AM4" authorId="0">
      <text>
        <r>
          <rPr>
            <sz val="8"/>
            <color indexed="81"/>
            <rFont val="Tahoma"/>
            <family val="2"/>
          </rPr>
          <t>1 = your biggest client by money billed.</t>
        </r>
      </text>
    </comment>
    <comment ref="AN4" authorId="0">
      <text>
        <r>
          <rPr>
            <sz val="8"/>
            <color indexed="81"/>
            <rFont val="Tahoma"/>
            <family val="2"/>
          </rPr>
          <t>1 = your most profitable client.</t>
        </r>
      </text>
    </comment>
    <comment ref="AO4" authorId="0">
      <text>
        <r>
          <rPr>
            <sz val="8"/>
            <color indexed="81"/>
            <rFont val="Tahoma"/>
            <family val="2"/>
          </rPr>
          <t>1 = the client worth most over a year.</t>
        </r>
      </text>
    </comment>
    <comment ref="AP4" authorId="0">
      <text>
        <r>
          <rPr>
            <sz val="8"/>
            <color indexed="81"/>
            <rFont val="Tahoma"/>
            <family val="2"/>
          </rPr>
          <t>Worked out from how long it has been and whether anything is in the diary. 'Slipping' means they are still a client but nothing is booked.</t>
        </r>
      </text>
    </comment>
    <comment ref="AQ4" authorId="0">
      <text>
        <r>
          <rPr>
            <sz val="8"/>
            <color indexed="81"/>
            <rFont val="Tahoma"/>
            <family val="2"/>
          </rPr>
          <t>Days since the last clean, but only for clients who are drifting. The Retention tab ranks on it.</t>
        </r>
      </text>
    </comment>
    <comment ref="AR4" authorId="0">
      <text>
        <r>
          <rPr>
            <sz val="8"/>
            <color indexed="81"/>
            <rFont val="Tahoma"/>
            <family val="2"/>
          </rPr>
          <t>1 = the client you should ring first.</t>
        </r>
      </text>
    </comment>
  </commentList>
</comments>
</file>

<file path=xl/comments2.xml><?xml version="1.0" encoding="utf-8"?>
<comments xmlns="http://schemas.openxmlformats.org/spreadsheetml/2006/main">
  <authors>
    <author>Novality Store</author>
  </authors>
  <commentList>
    <comment ref="A4" authorId="0">
      <text>
        <r>
          <rPr>
            <sz val="8"/>
            <color indexed="81"/>
            <rFont val="Tahoma"/>
            <family val="2"/>
          </rPr>
          <t>The ID the jobs, quotes and checklists refer to.</t>
        </r>
      </text>
    </comment>
    <comment ref="B4" authorId="0">
      <text>
        <r>
          <rPr>
            <sz val="8"/>
            <color indexed="81"/>
            <rFont val="Tahoma"/>
            <family val="2"/>
          </rPr>
          <t>A name you will recognise on a job sheet: 'Harper - family home', 'Willow Park - Block A'.</t>
        </r>
      </text>
    </comment>
    <comment ref="C4" authorId="0">
      <text>
        <r>
          <rPr>
            <sz val="8"/>
            <color indexed="81"/>
            <rFont val="Tahoma"/>
            <family val="2"/>
          </rPr>
          <t>Pick the client from the drop down. Everything else about them is pulled through.</t>
        </r>
      </text>
    </comment>
    <comment ref="D4" authorId="0">
      <text>
        <r>
          <rPr>
            <sz val="8"/>
            <color indexed="81"/>
            <rFont val="Tahoma"/>
            <family val="2"/>
          </rPr>
          <t>Automatic, from the Clients tab.</t>
        </r>
      </text>
    </comment>
    <comment ref="G4" authorId="0">
      <text>
        <r>
          <rPr>
            <sz val="8"/>
            <color indexed="81"/>
            <rFont val="Tahoma"/>
            <family val="2"/>
          </rPr>
          <t>Rough floor area. Used by the area based pricing method - pace it out once and write it down.</t>
        </r>
      </text>
    </comment>
    <comment ref="I4" authorId="0">
      <text>
        <r>
          <rPr>
            <sz val="8"/>
            <color indexed="81"/>
            <rFont val="Tahoma"/>
            <family val="2"/>
          </rPr>
          <t>Bathrooms and kitchens are where the time goes.</t>
        </r>
      </text>
    </comment>
    <comment ref="K4" authorId="0">
      <text>
        <r>
          <rPr>
            <sz val="8"/>
            <color indexed="81"/>
            <rFont val="Tahoma"/>
            <family val="2"/>
          </rPr>
          <t>Carpet, hardwood, tile, mixed - it changes what you take with you.</t>
        </r>
      </text>
    </comment>
    <comment ref="L4" authorId="0">
      <text>
        <r>
          <rPr>
            <sz val="8"/>
            <color indexed="81"/>
            <rFont val="Tahoma"/>
            <family val="2"/>
          </rPr>
          <t>The honest answer. It multiplies the estimated hours - the factors are on the Lists tab.</t>
        </r>
      </text>
    </comment>
    <comment ref="M4" authorId="0">
      <text>
        <r>
          <rPr>
            <sz val="8"/>
            <color indexed="81"/>
            <rFont val="Tahoma"/>
            <family val="2"/>
          </rPr>
          <t>Pet hair is real extra time, and the cleaner needs to know before they open the door.</t>
        </r>
      </text>
    </comment>
    <comment ref="O4" authorId="0">
      <text>
        <r>
          <rPr>
            <sz val="8"/>
            <color indexed="81"/>
            <rFont val="Tahoma"/>
            <family val="2"/>
          </rPr>
          <t>If you hold keys, keep this up to date. It is the first thing anyone asks when a key goes missing.</t>
        </r>
      </text>
    </comment>
    <comment ref="P4" authorId="0">
      <text>
        <r>
          <rPr>
            <sz val="8"/>
            <color indexed="81"/>
            <rFont val="Tahoma"/>
            <family val="2"/>
          </rPr>
          <t>Lockbox position, alarm panel, which door sticks. Treat codes as sensitive - see the note below the table.</t>
        </r>
      </text>
    </comment>
    <comment ref="Q4" authorId="0">
      <text>
        <r>
          <rPr>
            <sz val="8"/>
            <color indexed="81"/>
            <rFont val="Tahoma"/>
            <family val="2"/>
          </rPr>
          <t>Nothing wastes a morning like a permit you did not know about.</t>
        </r>
      </text>
    </comment>
    <comment ref="R4" authorId="0">
      <text>
        <r>
          <rPr>
            <sz val="8"/>
            <color indexed="81"/>
            <rFont val="Tahoma"/>
            <family val="2"/>
          </rPr>
          <t>One way, from your base. The travel cost on a quote doubles it for the round trip.</t>
        </r>
      </text>
    </comment>
    <comment ref="S4" authorId="0">
      <text>
        <r>
          <rPr>
            <sz val="8"/>
            <color indexed="81"/>
            <rFont val="Tahoma"/>
            <family val="2"/>
          </rPr>
          <t>Which checklist the cleaner should work through at this property. Set up on the Checklists tab.</t>
        </r>
      </text>
    </comment>
    <comment ref="T4" authorId="0">
      <text>
        <r>
          <rPr>
            <sz val="8"/>
            <color indexed="81"/>
            <rFont val="Tahoma"/>
            <family val="2"/>
          </rPr>
          <t>Yes if the client provides the products - it comes off the job cost.</t>
        </r>
      </text>
    </comment>
    <comment ref="W4" authorId="0">
      <text>
        <r>
          <rPr>
            <sz val="8"/>
            <color indexed="81"/>
            <rFont val="Tahoma"/>
            <family val="2"/>
          </rPr>
          <t>Rooms and bathrooms, or floor area - whichever suggests the bigger job.</t>
        </r>
      </text>
    </comment>
    <comment ref="X4" authorId="0">
      <text>
        <r>
          <rPr>
            <sz val="8"/>
            <color indexed="81"/>
            <rFont val="Tahoma"/>
            <family val="2"/>
          </rPr>
          <t>How long one cleaner would take. Split it between two cleaners and you have the time on site.</t>
        </r>
      </text>
    </comment>
    <comment ref="Y4" authorId="0">
      <text>
        <r>
          <rPr>
            <sz val="8"/>
            <color indexed="81"/>
            <rFont val="Tahoma"/>
            <family val="2"/>
          </rPr>
          <t>Estimated hours shared between the standard number of cleaners from the Settings tab.</t>
        </r>
      </text>
    </comment>
    <comment ref="Z4" authorId="0">
      <text>
        <r>
          <rPr>
            <sz val="8"/>
            <color indexed="81"/>
            <rFont val="Tahoma"/>
            <family val="2"/>
          </rPr>
          <t>Hours times the rate, with the pet surcharge and the minimum charge applied. A starting point for the quote, not a contract.</t>
        </r>
      </text>
    </comment>
    <comment ref="AE4" authorId="0">
      <text>
        <r>
          <rPr>
            <sz val="8"/>
            <color indexed="81"/>
            <rFont val="Tahoma"/>
            <family val="2"/>
          </rPr>
          <t>What the job really takes, averaged over every visit. Compare it with the estimate - that gap is your profit or your loss.</t>
        </r>
      </text>
    </comment>
    <comment ref="AF4" authorId="0">
      <text>
        <r>
          <rPr>
            <sz val="8"/>
            <color indexed="81"/>
            <rFont val="Tahoma"/>
            <family val="2"/>
          </rPr>
          <t>Positive means the job takes longer than you price for. Re-quote it or re-scope it.</t>
        </r>
      </text>
    </comment>
  </commentList>
</comments>
</file>

<file path=xl/comments3.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The day they got in touch. The clock starts here.</t>
        </r>
      </text>
    </comment>
    <comment ref="H4" authorId="0">
      <text>
        <r>
          <rPr>
            <sz val="8"/>
            <color indexed="81"/>
            <rFont val="Tahoma"/>
            <family val="2"/>
          </rPr>
          <t>Fill this in every single time. It is the only way to find out which advertising actually works.</t>
        </r>
      </text>
    </comment>
    <comment ref="K4" authorId="0">
      <text>
        <r>
          <rPr>
            <sz val="8"/>
            <color indexed="81"/>
            <rFont val="Tahoma"/>
            <family val="2"/>
          </rPr>
          <t>Move it along as you go. Won creates a client; Lost wants a reason in the next column.</t>
        </r>
      </text>
    </comment>
    <comment ref="L4" authorId="0">
      <text>
        <r>
          <rPr>
            <sz val="8"/>
            <color indexed="81"/>
            <rFont val="Tahoma"/>
            <family val="2"/>
          </rPr>
          <t>Rough annual value. Sort on it to decide who to chase first.</t>
        </r>
      </text>
    </comment>
    <comment ref="M4" authorId="0">
      <text>
        <r>
          <rPr>
            <sz val="8"/>
            <color indexed="81"/>
            <rFont val="Tahoma"/>
            <family val="2"/>
          </rPr>
          <t>Link the quote once you have raised it on the Quotes tab.</t>
        </r>
      </text>
    </comment>
    <comment ref="O4" authorId="0">
      <text>
        <r>
          <rPr>
            <sz val="8"/>
            <color indexed="81"/>
            <rFont val="Tahoma"/>
            <family val="2"/>
          </rPr>
          <t>Update it every time you speak to them. The chase list counts from this date.</t>
        </r>
      </text>
    </comment>
    <comment ref="P4" authorId="0">
      <text>
        <r>
          <rPr>
            <sz val="8"/>
            <color indexed="81"/>
            <rFont val="Tahoma"/>
            <family val="2"/>
          </rPr>
          <t>'Call Tuesday after 6', 'send revised price'. Specific beats vague.</t>
        </r>
      </text>
    </comment>
    <comment ref="R4" authorId="0">
      <text>
        <r>
          <rPr>
            <sz val="8"/>
            <color indexed="81"/>
            <rFont val="Tahoma"/>
            <family val="2"/>
          </rPr>
          <t>Once they book, add them to the Clients tab and put their ID here.</t>
        </r>
      </text>
    </comment>
    <comment ref="S4" authorId="0">
      <text>
        <r>
          <rPr>
            <sz val="8"/>
            <color indexed="81"/>
            <rFont val="Tahoma"/>
            <family val="2"/>
          </rPr>
          <t>Be honest with yourself here. Three 'price too high' in a row is information.</t>
        </r>
      </text>
    </comment>
    <comment ref="V4" authorId="0">
      <text>
        <r>
          <rPr>
            <sz val="8"/>
            <color indexed="81"/>
            <rFont val="Tahoma"/>
            <family val="2"/>
          </rPr>
          <t>Days since the enquiry, the visit, the quote going out or the last action - whichever is latest.</t>
        </r>
      </text>
    </comment>
  </commentList>
</comments>
</file>

<file path=xl/comments4.xml><?xml version="1.0" encoding="utf-8"?>
<comments xmlns="http://schemas.openxmlformats.org/spreadsheetml/2006/main">
  <authors>
    <author>Novality Store</author>
  </authors>
  <commentList>
    <comment ref="A4" authorId="0">
      <text>
        <r>
          <rPr>
            <sz val="8"/>
            <color indexed="81"/>
            <rFont val="Tahoma"/>
            <family val="2"/>
          </rPr>
          <t>Reference only - quotes and jobs pick the service by name.</t>
        </r>
      </text>
    </comment>
    <comment ref="B4" authorId="0">
      <text>
        <r>
          <rPr>
            <sz val="8"/>
            <color indexed="81"/>
            <rFont val="Tahoma"/>
            <family val="2"/>
          </rPr>
          <t>What the client sees on the quote. Keep the names short and obvious.</t>
        </r>
      </text>
    </comment>
    <comment ref="D4" authorId="0">
      <text>
        <r>
          <rPr>
            <sz val="8"/>
            <color indexed="81"/>
            <rFont val="Tahoma"/>
            <family val="2"/>
          </rPr>
          <t>How this service is priced. The quote calculator asks for a different number for each model.</t>
        </r>
      </text>
    </comment>
    <comment ref="E4" authorId="0">
      <text>
        <r>
          <rPr>
            <sz val="8"/>
            <color indexed="81"/>
            <rFont val="Tahoma"/>
            <family val="2"/>
          </rPr>
          <t>hour, visit, room, oven, sq ft - whatever the price below is per.</t>
        </r>
      </text>
    </comment>
    <comment ref="F4" authorId="0">
      <text>
        <r>
          <rPr>
            <sz val="8"/>
            <color indexed="81"/>
            <rFont val="Tahoma"/>
            <family val="2"/>
          </rPr>
          <t>Leave blank on an hourly service to use the standard rate from the Settings tab.</t>
        </r>
      </text>
    </comment>
    <comment ref="G4" authorId="0">
      <text>
        <r>
          <rPr>
            <sz val="8"/>
            <color indexed="81"/>
            <rFont val="Tahoma"/>
            <family val="2"/>
          </rPr>
          <t>Typical time for one cleaner. Used to cost the job and to block the diary out.</t>
        </r>
      </text>
    </comment>
    <comment ref="H4" authorId="0">
      <text>
        <r>
          <rPr>
            <sz val="8"/>
            <color indexed="81"/>
            <rFont val="Tahoma"/>
            <family val="2"/>
          </rPr>
          <t>Extra percentage for the harder jobs - deep cleans and end of tenancy work.</t>
        </r>
      </text>
    </comment>
    <comment ref="I4" authorId="0">
      <text>
        <r>
          <rPr>
            <sz val="8"/>
            <color indexed="81"/>
            <rFont val="Tahoma"/>
            <family val="2"/>
          </rPr>
          <t>What the products for this service cost you. Blank falls back to the per hour figure on Settings.</t>
        </r>
      </text>
    </comment>
    <comment ref="J4" authorId="0">
      <text>
        <r>
          <rPr>
            <sz val="8"/>
            <color indexed="81"/>
            <rFont val="Tahoma"/>
            <family val="2"/>
          </rPr>
          <t>Blank uses the business minimum from Settings.</t>
        </r>
      </text>
    </comment>
    <comment ref="K4" authorId="0">
      <text>
        <r>
          <rPr>
            <sz val="8"/>
            <color indexed="81"/>
            <rFont val="Tahoma"/>
            <family val="2"/>
          </rPr>
          <t>Shows up first on the quote calculator's list of ideas.</t>
        </r>
      </text>
    </comment>
    <comment ref="L4" authorId="0">
      <text>
        <r>
          <rPr>
            <sz val="8"/>
            <color indexed="81"/>
            <rFont val="Tahoma"/>
            <family val="2"/>
          </rPr>
          <t>Set to No to retire a service without losing its history.</t>
        </r>
      </text>
    </comment>
    <comment ref="M4" authorId="0">
      <text>
        <r>
          <rPr>
            <sz val="8"/>
            <color indexed="81"/>
            <rFont val="Tahoma"/>
            <family val="2"/>
          </rPr>
          <t>Training or kit the job needs. The scheduler cannot enforce it, but you can read it before you assign.</t>
        </r>
      </text>
    </comment>
    <comment ref="O4" authorId="0">
      <text>
        <r>
          <rPr>
            <sz val="8"/>
            <color indexed="81"/>
            <rFont val="Tahoma"/>
            <family val="2"/>
          </rPr>
          <t>Paste this straight onto a quote. Being specific about what is and is not included prevents most arguments.</t>
        </r>
      </text>
    </comment>
    <comment ref="P4" authorId="0">
      <text>
        <r>
          <rPr>
            <sz val="8"/>
            <color indexed="81"/>
            <rFont val="Tahoma"/>
            <family val="2"/>
          </rPr>
          <t>What a standard booking of this service comes to before any property specific adjustment.</t>
        </r>
      </text>
    </comment>
    <comment ref="Q4" authorId="0">
      <text>
        <r>
          <rPr>
            <sz val="8"/>
            <color indexed="81"/>
            <rFont val="Tahoma"/>
            <family val="2"/>
          </rPr>
          <t>Hours times the true cost of a cleaner hour (pay plus on-costs) from the Settings tab.</t>
        </r>
      </text>
    </comment>
    <comment ref="U4" authorId="0">
      <text>
        <r>
          <rPr>
            <sz val="8"/>
            <color indexed="81"/>
            <rFont val="Tahoma"/>
            <family val="2"/>
          </rPr>
          <t>The honest test of a price. Anything under the floor on the Settings tab is work you are doing for nothing.</t>
        </r>
      </text>
    </comment>
    <comment ref="V4" authorId="0">
      <text>
        <r>
          <rPr>
            <sz val="8"/>
            <color indexed="81"/>
            <rFont val="Tahoma"/>
            <family val="2"/>
          </rPr>
          <t>Profit per hour on site. Sort on this column and you know which work to chase and which to drop.</t>
        </r>
      </text>
    </comment>
    <comment ref="W4" authorId="0">
      <text>
        <r>
          <rPr>
            <sz val="8"/>
            <color indexed="81"/>
            <rFont val="Tahoma"/>
            <family val="2"/>
          </rPr>
          <t>What you would have to charge to hit the target margin from the Settings tab.</t>
        </r>
      </text>
    </comment>
    <comment ref="AA4" authorId="0">
      <text>
        <r>
          <rPr>
            <sz val="8"/>
            <color indexed="81"/>
            <rFont val="Tahoma"/>
            <family val="2"/>
          </rPr>
          <t>1 = your biggest earning service.</t>
        </r>
      </text>
    </comment>
    <comment ref="AB4" authorId="0">
      <text>
        <r>
          <rPr>
            <sz val="8"/>
            <color indexed="81"/>
            <rFont val="Tahoma"/>
            <family val="2"/>
          </rPr>
          <t>1 = the most profitable use of an hour.</t>
        </r>
      </text>
    </comment>
  </commentList>
</comments>
</file>

<file path=xl/comments5.xml><?xml version="1.0" encoding="utf-8"?>
<comments xmlns="http://schemas.openxmlformats.org/spreadsheetml/2006/main">
  <authors>
    <author>Novality Store</author>
  </authors>
  <commentList>
    <comment ref="A4" authorId="0">
      <text>
        <r>
          <rPr>
            <sz val="8"/>
            <color indexed="81"/>
            <rFont val="Tahoma"/>
            <family val="2"/>
          </rPr>
          <t>Quote number. Put it on the Quote Lines tab to add lines to this quote.</t>
        </r>
      </text>
    </comment>
    <comment ref="C4" authorId="0">
      <text>
        <r>
          <rPr>
            <sz val="8"/>
            <color indexed="81"/>
            <rFont val="Tahoma"/>
            <family val="2"/>
          </rPr>
          <t>Automatic. Every monthly report groups on this.</t>
        </r>
      </text>
    </comment>
    <comment ref="D4" authorId="0">
      <text>
        <r>
          <rPr>
            <sz val="8"/>
            <color indexed="81"/>
            <rFont val="Tahoma"/>
            <family val="2"/>
          </rPr>
          <t>An existing client. For a brand new enquiry, leave it blank and type the name in the next column.</t>
        </r>
      </text>
    </comment>
    <comment ref="E4" authorId="0">
      <text>
        <r>
          <rPr>
            <sz val="8"/>
            <color indexed="81"/>
            <rFont val="Tahoma"/>
            <family val="2"/>
          </rPr>
          <t>The client's name, or the prospect name if they are not on the books yet.</t>
        </r>
      </text>
    </comment>
    <comment ref="F4" authorId="0">
      <text>
        <r>
          <rPr>
            <sz val="8"/>
            <color indexed="81"/>
            <rFont val="Tahoma"/>
            <family val="2"/>
          </rPr>
          <t>For a quote to somebody who is not a client yet.</t>
        </r>
      </text>
    </comment>
    <comment ref="K4" authorId="0">
      <text>
        <r>
          <rPr>
            <sz val="8"/>
            <color indexed="81"/>
            <rFont val="Tahoma"/>
            <family val="2"/>
          </rPr>
          <t>Draft, Sent, Followed up, Accepted, Declined. The win rate counts Accepted against everything sent.</t>
        </r>
      </text>
    </comment>
    <comment ref="L4" authorId="0">
      <text>
        <r>
          <rPr>
            <sz val="8"/>
            <color indexed="81"/>
            <rFont val="Tahoma"/>
            <family val="2"/>
          </rPr>
          <t>The follow-up clock starts here, not on the quote date.</t>
        </r>
      </text>
    </comment>
    <comment ref="O4" authorId="0">
      <text>
        <r>
          <rPr>
            <sz val="8"/>
            <color indexed="81"/>
            <rFont val="Tahoma"/>
            <family val="2"/>
          </rPr>
          <t>A percentage off the lines. First clean discounts win a lot of recurring work.</t>
        </r>
      </text>
    </comment>
    <comment ref="P4" authorId="0">
      <text>
        <r>
          <rPr>
            <sz val="8"/>
            <color indexed="81"/>
            <rFont val="Tahoma"/>
            <family val="2"/>
          </rPr>
          <t>Blank uses the deposit percentage from Settings.</t>
        </r>
      </text>
    </comment>
    <comment ref="Q4" authorId="0">
      <text>
        <r>
          <rPr>
            <sz val="8"/>
            <color indexed="81"/>
            <rFont val="Tahoma"/>
            <family val="2"/>
          </rPr>
          <t>Blank adds the standard validity from Settings to the quote date.</t>
        </r>
      </text>
    </comment>
    <comment ref="R4" authorId="0">
      <text>
        <r>
          <rPr>
            <sz val="8"/>
            <color indexed="81"/>
            <rFont val="Tahoma"/>
            <family val="2"/>
          </rPr>
          <t>Once they say yes, book the job and put its ID here.</t>
        </r>
      </text>
    </comment>
    <comment ref="U4" authorId="0">
      <text>
        <r>
          <rPr>
            <sz val="8"/>
            <color indexed="81"/>
            <rFont val="Tahoma"/>
            <family val="2"/>
          </rPr>
          <t>What is included, what is not, cancellation terms. This is what prints on the quote.</t>
        </r>
      </text>
    </comment>
    <comment ref="X4" authorId="0">
      <text>
        <r>
          <rPr>
            <sz val="8"/>
            <color indexed="81"/>
            <rFont val="Tahoma"/>
            <family val="2"/>
          </rPr>
          <t>Added up from the Quote Lines tab.</t>
        </r>
      </text>
    </comment>
    <comment ref="AB4" authorId="0">
      <text>
        <r>
          <rPr>
            <sz val="8"/>
            <color indexed="81"/>
            <rFont val="Tahoma"/>
            <family val="2"/>
          </rPr>
          <t>What the client sees. Price the lines, not this cell.</t>
        </r>
      </text>
    </comment>
    <comment ref="AF4" authorId="0">
      <text>
        <r>
          <rPr>
            <sz val="8"/>
            <color indexed="81"/>
            <rFont val="Tahoma"/>
            <family val="2"/>
          </rPr>
          <t>Check this before you send it. A discount that drops the margin under the floor is work you cannot afford to win.</t>
        </r>
      </text>
    </comment>
  </commentList>
</comments>
</file>

<file path=xl/comments6.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Which quote this line belongs to. Pick it from the drop down.</t>
        </r>
      </text>
    </comment>
    <comment ref="C4" authorId="0">
      <text>
        <r>
          <rPr>
            <sz val="8"/>
            <color indexed="81"/>
            <rFont val="Tahoma"/>
            <family val="2"/>
          </rPr>
          <t>From the Services tab. The unit price and the hours come with it.</t>
        </r>
      </text>
    </comment>
    <comment ref="D4" authorId="0">
      <text>
        <r>
          <rPr>
            <sz val="8"/>
            <color indexed="81"/>
            <rFont val="Tahoma"/>
            <family val="2"/>
          </rPr>
          <t>Leave blank to use the standard wording from the Services tab.</t>
        </r>
      </text>
    </comment>
    <comment ref="E4" authorId="0">
      <text>
        <r>
          <rPr>
            <sz val="8"/>
            <color indexed="81"/>
            <rFont val="Tahoma"/>
            <family val="2"/>
          </rPr>
          <t>Hours, rooms, ovens, visits - whatever the service is priced per.</t>
        </r>
      </text>
    </comment>
    <comment ref="F4" authorId="0">
      <text>
        <r>
          <rPr>
            <sz val="8"/>
            <color indexed="81"/>
            <rFont val="Tahoma"/>
            <family val="2"/>
          </rPr>
          <t>Blank uses the catalogue price.</t>
        </r>
      </text>
    </comment>
    <comment ref="H4" authorId="0">
      <text>
        <r>
          <rPr>
            <sz val="8"/>
            <color indexed="81"/>
            <rFont val="Tahoma"/>
            <family val="2"/>
          </rPr>
          <t>Shown on the quote but not counted in the headline total until the client says yes. Optional lines still add to the subtotal here - take them off the quote if they decline.</t>
        </r>
      </text>
    </comment>
    <comment ref="M4" authorId="0">
      <text>
        <r>
          <rPr>
            <sz val="8"/>
            <color indexed="81"/>
            <rFont val="Tahoma"/>
            <family val="2"/>
          </rPr>
          <t>What the printed quote says for this line.</t>
        </r>
      </text>
    </comment>
    <comment ref="N4" authorId="0">
      <text>
        <r>
          <rPr>
            <sz val="8"/>
            <color indexed="81"/>
            <rFont val="Tahoma"/>
            <family val="2"/>
          </rPr>
          <t>Hours for the service, multiplied by the quantity unless it is already priced by the hour.</t>
        </r>
      </text>
    </comment>
    <comment ref="S4" authorId="0">
      <text>
        <r>
          <rPr>
            <sz val="8"/>
            <color indexed="81"/>
            <rFont val="Tahoma"/>
            <family val="2"/>
          </rPr>
          <t>1, 2, 3 within each quote. The printable form reads it.</t>
        </r>
      </text>
    </comment>
  </commentList>
</comments>
</file>

<file path=xl/comments7.xml><?xml version="1.0" encoding="utf-8"?>
<comments xmlns="http://schemas.openxmlformats.org/spreadsheetml/2006/main">
  <authors>
    <author>Novality Store</author>
  </authors>
  <commentList>
    <comment ref="A4" authorId="0">
      <text>
        <r>
          <rPr>
            <sz val="8"/>
            <color indexed="81"/>
            <rFont val="Tahoma"/>
            <family val="2"/>
          </rPr>
          <t>The job reference. Checklists, timesheets, invoices and the costing tab all key off it.</t>
        </r>
      </text>
    </comment>
    <comment ref="B4" authorId="0">
      <text>
        <r>
          <rPr>
            <sz val="8"/>
            <color indexed="81"/>
            <rFont val="Tahoma"/>
            <family val="2"/>
          </rPr>
          <t>The day of the visit. Everything in the calendar, the rota and the reminders reads this column.</t>
        </r>
      </text>
    </comment>
    <comment ref="D4" authorId="0">
      <text>
        <r>
          <rPr>
            <sz val="8"/>
            <color indexed="81"/>
            <rFont val="Tahoma"/>
            <family val="2"/>
          </rPr>
          <t>Week number of the year, using the week start day set on the Settings tab.</t>
        </r>
      </text>
    </comment>
    <comment ref="E4" authorId="0">
      <text>
        <r>
          <rPr>
            <sz val="8"/>
            <color indexed="81"/>
            <rFont val="Tahoma"/>
            <family val="2"/>
          </rPr>
          <t>Automatic. Every monthly report groups on this.</t>
        </r>
      </text>
    </comment>
    <comment ref="F4" authorId="0">
      <text>
        <r>
          <rPr>
            <sz val="8"/>
            <color indexed="81"/>
            <rFont val="Tahoma"/>
            <family val="2"/>
          </rPr>
          <t>Type 9:00 AM or 14:30 - either works.</t>
        </r>
      </text>
    </comment>
    <comment ref="G4" authorId="0">
      <text>
        <r>
          <rPr>
            <sz val="8"/>
            <color indexed="81"/>
            <rFont val="Tahoma"/>
            <family val="2"/>
          </rPr>
          <t>Pick from the drop down. The client's name, their rate and their terms all follow.</t>
        </r>
      </text>
    </comment>
    <comment ref="I4" authorId="0">
      <text>
        <r>
          <rPr>
            <sz val="8"/>
            <color indexed="81"/>
            <rFont val="Tahoma"/>
            <family val="2"/>
          </rPr>
          <t>Residential or commercial, pulled from the client. The Reports tab splits the money by it.</t>
        </r>
      </text>
    </comment>
    <comment ref="J4" authorId="0">
      <text>
        <r>
          <rPr>
            <sz val="8"/>
            <color indexed="81"/>
            <rFont val="Tahoma"/>
            <family val="2"/>
          </rPr>
          <t>Which address. Leave blank for a client with only one property and the price still works.</t>
        </r>
      </text>
    </comment>
    <comment ref="L4" authorId="0">
      <text>
        <r>
          <rPr>
            <sz val="8"/>
            <color indexed="81"/>
            <rFont val="Tahoma"/>
            <family val="2"/>
          </rPr>
          <t>Pulled through for the job sheet and the cleaner's list.</t>
        </r>
      </text>
    </comment>
    <comment ref="M4" authorId="0">
      <text>
        <r>
          <rPr>
            <sz val="8"/>
            <color indexed="81"/>
            <rFont val="Tahoma"/>
            <family val="2"/>
          </rPr>
          <t>From the Services tab. The price and the time come from there unless you override them.</t>
        </r>
      </text>
    </comment>
    <comment ref="O4" authorId="0">
      <text>
        <r>
          <rPr>
            <sz val="8"/>
            <color indexed="81"/>
            <rFont val="Tahoma"/>
            <family val="2"/>
          </rPr>
          <t>One-off, weekly, fortnightly. Drives the discount and the next visit date.</t>
        </r>
      </text>
    </comment>
    <comment ref="P4" authorId="0">
      <text>
        <r>
          <rPr>
            <sz val="8"/>
            <color indexed="81"/>
            <rFont val="Tahoma"/>
            <family val="2"/>
          </rPr>
          <t>Move it along as the day goes: Booked, Confirmed, In progress, Completed. Invoiced happens when you raise the invoice.</t>
        </r>
      </text>
    </comment>
    <comment ref="R4" authorId="0">
      <text>
        <r>
          <rPr>
            <sz val="8"/>
            <color indexed="81"/>
            <rFont val="Tahoma"/>
            <family val="2"/>
          </rPr>
          <t>The lead cleaner. A second name goes in the next column; anyone else goes on the timesheet.</t>
        </r>
      </text>
    </comment>
    <comment ref="T4" authorId="0">
      <text>
        <r>
          <rPr>
            <sz val="8"/>
            <color indexed="81"/>
            <rFont val="Tahoma"/>
            <family val="2"/>
          </rPr>
          <t>Blank uses the standard crew size from the Settings tab.</t>
        </r>
      </text>
    </comment>
    <comment ref="U4" authorId="0">
      <text>
        <r>
          <rPr>
            <sz val="8"/>
            <color indexed="81"/>
            <rFont val="Tahoma"/>
            <family val="2"/>
          </rPr>
          <t>Total cleaner-hours. Leave blank and the workbook uses the service or the property estimate.</t>
        </r>
      </text>
    </comment>
    <comment ref="V4" authorId="0">
      <text>
        <r>
          <rPr>
            <sz val="8"/>
            <color indexed="81"/>
            <rFont val="Tahoma"/>
            <family val="2"/>
          </rPr>
          <t>Leave blank to let the calculator price it. Type a number to fix the price for this visit only.</t>
        </r>
      </text>
    </comment>
    <comment ref="X4" authorId="0">
      <text>
        <r>
          <rPr>
            <sz val="8"/>
            <color indexed="81"/>
            <rFont val="Tahoma"/>
            <family val="2"/>
          </rPr>
          <t>Yes means the workbook should suggest the next visit date when this one is done.</t>
        </r>
      </text>
    </comment>
    <comment ref="Z4" authorId="0">
      <text>
        <r>
          <rPr>
            <sz val="8"/>
            <color indexed="81"/>
            <rFont val="Tahoma"/>
            <family val="2"/>
          </rPr>
          <t>Only needed if you are not filling in timesheets. Timesheet hours always win.</t>
        </r>
      </text>
    </comment>
    <comment ref="AA4" authorId="0">
      <text>
        <r>
          <rPr>
            <sz val="8"/>
            <color indexed="81"/>
            <rFont val="Tahoma"/>
            <family val="2"/>
          </rPr>
          <t>1 to 5, filled in after the visit. Feeds the client and employee averages.</t>
        </r>
      </text>
    </comment>
    <comment ref="AC4" authorId="0">
      <text>
        <r>
          <rPr>
            <sz val="8"/>
            <color indexed="81"/>
            <rFont val="Tahoma"/>
            <family val="2"/>
          </rPr>
          <t>What is different about this visit: the spare room is out of bounds, the dog is at the vet.</t>
        </r>
      </text>
    </comment>
    <comment ref="AD4" authorId="0">
      <text>
        <r>
          <rPr>
            <sz val="8"/>
            <color indexed="81"/>
            <rFont val="Tahoma"/>
            <family val="2"/>
          </rPr>
          <t>Total cleaner-hours the visit should take. Hourly services use the property estimate; fixed price services use the time on the Services tab.</t>
        </r>
      </text>
    </comment>
    <comment ref="AF4" authorId="0">
      <text>
        <r>
          <rPr>
            <sz val="8"/>
            <color indexed="81"/>
            <rFont val="Tahoma"/>
            <family val="2"/>
          </rPr>
          <t>How long the visit lasts: total hours shared between the crew. This is what blocks out the diary.</t>
        </r>
      </text>
    </comment>
    <comment ref="AG4" authorId="0">
      <text>
        <r>
          <rPr>
            <sz val="8"/>
            <color indexed="81"/>
            <rFont val="Tahoma"/>
            <family val="2"/>
          </rPr>
          <t>Start plus the time on site. Add the travel allowance from Settings before you book the next one.</t>
        </r>
      </text>
    </comment>
    <comment ref="AH4" authorId="0">
      <text>
        <r>
          <rPr>
            <sz val="8"/>
            <color indexed="81"/>
            <rFont val="Tahoma"/>
            <family val="2"/>
          </rPr>
          <t>The client's agreed rate if they have one, otherwise the standard rate.</t>
        </r>
      </text>
    </comment>
    <comment ref="AJ4" authorId="0">
      <text>
        <r>
          <rPr>
            <sz val="8"/>
            <color indexed="81"/>
            <rFont val="Tahoma"/>
            <family val="2"/>
          </rPr>
          <t>What the client pays. Worked out from the service, the hours, the client's rate and the frequency discount - unless you typed an override.</t>
        </r>
      </text>
    </comment>
    <comment ref="AK4" authorId="0">
      <text>
        <r>
          <rPr>
            <sz val="8"/>
            <color indexed="81"/>
            <rFont val="Tahoma"/>
            <family val="2"/>
          </rPr>
          <t>Timesheet hours for this job if there are any, otherwise what you typed in the override column.</t>
        </r>
      </text>
    </comment>
    <comment ref="AL4" authorId="0">
      <text>
        <r>
          <rPr>
            <sz val="8"/>
            <color indexed="81"/>
            <rFont val="Tahoma"/>
            <family val="2"/>
          </rPr>
          <t>Hours over the estimate. Consistently positive means the price is wrong, not the cleaner.</t>
        </r>
      </text>
    </comment>
    <comment ref="AO4" authorId="0">
      <text>
        <r>
          <rPr>
            <sz val="8"/>
            <color indexed="81"/>
            <rFont val="Tahoma"/>
            <family val="2"/>
          </rPr>
          <t>Filled in from the Job Tasks tab as the cleaner ticks things off.</t>
        </r>
      </text>
    </comment>
    <comment ref="AP4" authorId="0">
      <text>
        <r>
          <rPr>
            <sz val="8"/>
            <color indexed="81"/>
            <rFont val="Tahoma"/>
            <family val="2"/>
          </rPr>
          <t>Found automatically once the job appears on an invoice line.</t>
        </r>
      </text>
    </comment>
    <comment ref="AQ4" authorId="0">
      <text>
        <r>
          <rPr>
            <sz val="8"/>
            <color indexed="81"/>
            <rFont val="Tahoma"/>
            <family val="2"/>
          </rPr>
          <t>Date plus the gap for this frequency. Copy the row down and paste this date in to book the next one.</t>
        </r>
      </text>
    </comment>
    <comment ref="AR4" authorId="0">
      <text>
        <r>
          <rPr>
            <sz val="8"/>
            <color indexed="81"/>
            <rFont val="Tahoma"/>
            <family val="2"/>
          </rPr>
          <t>Two jobs at the same time for the same cleaner is a Clash. More than a full day's work is a Long day.</t>
        </r>
      </text>
    </comment>
    <comment ref="AS4" authorId="0">
      <text>
        <r>
          <rPr>
            <sz val="8"/>
            <color indexed="81"/>
            <rFont val="Tahoma"/>
            <family val="2"/>
          </rPr>
          <t>The date, but only for visits still to come. The calendar and the dashboard read it.</t>
        </r>
      </text>
    </comment>
    <comment ref="AT4" authorId="0">
      <text>
        <r>
          <rPr>
            <sz val="8"/>
            <color indexed="81"/>
            <rFont val="Tahoma"/>
            <family val="2"/>
          </rPr>
          <t>1 = the next job in the diary. No array formulas anywhere in this workbook.</t>
        </r>
      </text>
    </comment>
    <comment ref="AV4" authorId="0">
      <text>
        <r>
          <rPr>
            <sz val="8"/>
            <color indexed="81"/>
            <rFont val="Tahoma"/>
            <family val="2"/>
          </rPr>
          <t>1 = the soonest job with nobody on it.</t>
        </r>
      </text>
    </comment>
  </commentList>
</comments>
</file>

<file path=xl/comments8.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Which visit. Everything about the job is pulled through from the Jobs tab.</t>
        </r>
      </text>
    </comment>
    <comment ref="G4" authorId="0">
      <text>
        <r>
          <rPr>
            <sz val="8"/>
            <color indexed="81"/>
            <rFont val="Tahoma"/>
            <family val="2"/>
          </rPr>
          <t>Copy these from the Checklists tab for the service you are doing - filter, copy, paste.</t>
        </r>
      </text>
    </comment>
    <comment ref="H4" authorId="0">
      <text>
        <r>
          <rPr>
            <sz val="8"/>
            <color indexed="81"/>
            <rFont val="Tahoma"/>
            <family val="2"/>
          </rPr>
          <t>Done, Skipped, Issue found. The job's completion percentage counts the Done ones.</t>
        </r>
      </text>
    </comment>
    <comment ref="I4" authorId="0">
      <text>
        <r>
          <rPr>
            <sz val="8"/>
            <color indexed="81"/>
            <rFont val="Tahoma"/>
            <family val="2"/>
          </rPr>
          <t>Blank means the lead cleaner on the job.</t>
        </r>
      </text>
    </comment>
    <comment ref="K4" authorId="0">
      <text>
        <r>
          <rPr>
            <sz val="8"/>
            <color indexed="81"/>
            <rFont val="Tahoma"/>
            <family val="2"/>
          </rPr>
          <t>Filled in on a spot check, not on every task. Only the ones you look at.</t>
        </r>
      </text>
    </comment>
    <comment ref="L4" authorId="0">
      <text>
        <r>
          <rPr>
            <sz val="8"/>
            <color indexed="81"/>
            <rFont val="Tahoma"/>
            <family val="2"/>
          </rPr>
          <t>A dripping tap, a stain that will not shift, a light bulb gone. Tell the client before they find it.</t>
        </r>
      </text>
    </comment>
    <comment ref="N4" authorId="0">
      <text>
        <r>
          <rPr>
            <sz val="8"/>
            <color indexed="81"/>
            <rFont val="Tahoma"/>
            <family val="2"/>
          </rPr>
          <t>A spreadsheet cannot hold the photo itself tidily - paste a cloud link.</t>
        </r>
      </text>
    </comment>
  </commentList>
</comments>
</file>

<file path=xl/comments9.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Which service this task belongs to. The job sheet prints every task for the service you booked.</t>
        </r>
      </text>
    </comment>
    <comment ref="C4" authorId="0">
      <text>
        <r>
          <rPr>
            <sz val="8"/>
            <color indexed="81"/>
            <rFont val="Tahoma"/>
            <family val="2"/>
          </rPr>
          <t>Leave blank for a task that applies everywhere. Fill it in for the one client who wants the bins put out.</t>
        </r>
      </text>
    </comment>
    <comment ref="D4" authorId="0">
      <text>
        <r>
          <rPr>
            <sz val="8"/>
            <color indexed="81"/>
            <rFont val="Tahoma"/>
            <family val="2"/>
          </rPr>
          <t>Group the tasks by room so the cleaner works through the property in a sensible order.</t>
        </r>
      </text>
    </comment>
    <comment ref="E4" authorId="0">
      <text>
        <r>
          <rPr>
            <sz val="8"/>
            <color indexed="81"/>
            <rFont val="Tahoma"/>
            <family val="2"/>
          </rPr>
          <t>Sort on Area then Order to print the checklist in the order you want it done.</t>
        </r>
      </text>
    </comment>
    <comment ref="F4" authorId="0">
      <text>
        <r>
          <rPr>
            <sz val="8"/>
            <color indexed="81"/>
            <rFont val="Tahoma"/>
            <family val="2"/>
          </rPr>
          <t>One job, written as an instruction: 'Descale the shower head', not 'bathroom'.</t>
        </r>
      </text>
    </comment>
    <comment ref="G4" authorId="0">
      <text>
        <r>
          <rPr>
            <sz val="8"/>
            <color indexed="81"/>
            <rFont val="Tahoma"/>
            <family val="2"/>
          </rPr>
          <t>The standard. This is what settles an argument about whether something was done properly.</t>
        </r>
      </text>
    </comment>
    <comment ref="H4" authorId="0">
      <text>
        <r>
          <rPr>
            <sz val="8"/>
            <color indexed="81"/>
            <rFont val="Tahoma"/>
            <family val="2"/>
          </rPr>
          <t>Honest minutes for one cleaner. The total at the bottom of this tab is how long the service really takes.</t>
        </r>
      </text>
    </comment>
    <comment ref="I4" authorId="0">
      <text>
        <r>
          <rPr>
            <sz val="8"/>
            <color indexed="81"/>
            <rFont val="Tahoma"/>
            <family val="2"/>
          </rPr>
          <t>Every visit, or only weekly / monthly / quarterly. Deep tasks do not need doing every time.</t>
        </r>
      </text>
    </comment>
    <comment ref="J4" authorId="0">
      <text>
        <r>
          <rPr>
            <sz val="8"/>
            <color indexed="81"/>
            <rFont val="Tahoma"/>
            <family val="2"/>
          </rPr>
          <t>Required tasks are the ones that make the job 'complete'. Extras are nice to have.</t>
        </r>
      </text>
    </comment>
    <comment ref="K4" authorId="0">
      <text>
        <r>
          <rPr>
            <sz val="8"/>
            <color indexed="81"/>
            <rFont val="Tahoma"/>
            <family val="2"/>
          </rPr>
          <t>Useful for end of tenancy and changeover work - proof is cheaper than an argument.</t>
        </r>
      </text>
    </comment>
    <comment ref="P4" authorId="0">
      <text>
        <r>
          <rPr>
            <sz val="8"/>
            <color indexed="81"/>
            <rFont val="Tahoma"/>
            <family val="2"/>
          </rPr>
          <t>Every active task for this service, in hours. Compare it with the hours on the Services tab - if they disagree, one of them is wrong.</t>
        </r>
      </text>
    </comment>
    <comment ref="S4" authorId="0">
      <text>
        <r>
          <rPr>
            <sz val="8"/>
            <color indexed="81"/>
            <rFont val="Tahoma"/>
            <family val="2"/>
          </rPr>
          <t>A task skipped again and again is either not needed or not possible in the time you allow.</t>
        </r>
      </text>
    </comment>
    <comment ref="V4" authorId="0">
      <text>
        <r>
          <rPr>
            <sz val="8"/>
            <color indexed="81"/>
            <rFont val="Tahoma"/>
            <family val="2"/>
          </rPr>
          <t>1, 2, 3 within each checklist. The printable form reads it.</t>
        </r>
      </text>
    </comment>
  </commentList>
</comments>
</file>

<file path=xl/comments10.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The name that appears in every job and rota drop down. Keep it exactly the same everywhere.</t>
        </r>
      </text>
    </comment>
    <comment ref="D4" authorId="0">
      <text>
        <r>
          <rPr>
            <sz val="8"/>
            <color indexed="81"/>
            <rFont val="Tahoma"/>
            <family val="2"/>
          </rPr>
          <t>Subcontractors are costed differently - they invoice you rather than appearing on payroll.</t>
        </r>
      </text>
    </comment>
    <comment ref="H4" authorId="0">
      <text>
        <r>
          <rPr>
            <sz val="8"/>
            <color indexed="81"/>
            <rFont val="Tahoma"/>
            <family val="2"/>
          </rPr>
          <t>Worth having for anyone working alone in someone else's house.</t>
        </r>
      </text>
    </comment>
    <comment ref="J4" authorId="0">
      <text>
        <r>
          <rPr>
            <sz val="8"/>
            <color indexed="81"/>
            <rFont val="Tahoma"/>
            <family val="2"/>
          </rPr>
          <t>Blank uses the standard pay rate from Settings. The true cost adds your on-costs on top.</t>
        </r>
      </text>
    </comment>
    <comment ref="K4" authorId="0">
      <text>
        <r>
          <rPr>
            <sz val="8"/>
            <color indexed="81"/>
            <rFont val="Tahoma"/>
            <family val="2"/>
          </rPr>
          <t>Used to work out how full their week is.</t>
        </r>
      </text>
    </comment>
    <comment ref="L4" authorId="0">
      <text>
        <r>
          <rPr>
            <sz val="8"/>
            <color indexed="81"/>
            <rFont val="Tahoma"/>
            <family val="2"/>
          </rPr>
          <t>Deep cleans, carpet machine, out of hours, driving. Check it before you assign the job.</t>
        </r>
      </text>
    </comment>
    <comment ref="P4" authorId="0">
      <text>
        <r>
          <rPr>
            <sz val="8"/>
            <color indexed="81"/>
            <rFont val="Tahoma"/>
            <family val="2"/>
          </rPr>
          <t>Essential for schools, nurseries and vulnerable clients. The expiry goes on the Safety tab.</t>
        </r>
      </text>
    </comment>
    <comment ref="Q4" authorId="0">
      <text>
        <r>
          <rPr>
            <sz val="8"/>
            <color indexed="81"/>
            <rFont val="Tahoma"/>
            <family val="2"/>
          </rPr>
          <t>Subcontractors should have their own. Keep a copy.</t>
        </r>
      </text>
    </comment>
    <comment ref="U4" authorId="0">
      <text>
        <r>
          <rPr>
            <sz val="8"/>
            <color indexed="81"/>
            <rFont val="Tahoma"/>
            <family val="2"/>
          </rPr>
          <t>Pay plus your on-costs - tax, insurance, holiday pay. A subcontractor invoices you, so no on-costs.</t>
        </r>
      </text>
    </comment>
    <comment ref="Y4" authorId="0">
      <text>
        <r>
          <rPr>
            <sz val="8"/>
            <color indexed="81"/>
            <rFont val="Tahoma"/>
            <family val="2"/>
          </rPr>
          <t>Straight from the diary. Compare it with the contracted hours in the next column.</t>
        </r>
      </text>
    </comment>
    <comment ref="Z4" authorId="0">
      <text>
        <r>
          <rPr>
            <sz val="8"/>
            <color indexed="81"/>
            <rFont val="Tahoma"/>
            <family val="2"/>
          </rPr>
          <t>Over 100% means you have booked them for more than they are contracted to work.</t>
        </r>
      </text>
    </comment>
    <comment ref="AC4" authorId="0">
      <text>
        <r>
          <rPr>
            <sz val="8"/>
            <color indexed="81"/>
            <rFont val="Tahoma"/>
            <family val="2"/>
          </rPr>
          <t>The share of the hours you pay for that a client actually pays for. Travel, setup and waiting are the usual culprits.</t>
        </r>
      </text>
    </comment>
    <comment ref="AF4" authorId="0">
      <text>
        <r>
          <rPr>
            <sz val="8"/>
            <color indexed="81"/>
            <rFont val="Tahoma"/>
            <family val="2"/>
          </rPr>
          <t>Revenue from their jobs less their wages. Not a complete picture - overheads sit on top - but it is the right shape.</t>
        </r>
      </text>
    </comment>
    <comment ref="AJ4" authorId="0">
      <text>
        <r>
          <rPr>
            <sz val="8"/>
            <color indexed="81"/>
            <rFont val="Tahoma"/>
            <family val="2"/>
          </rPr>
          <t>1, 2, 3 down the filled rows. The rota reads it.</t>
        </r>
      </text>
    </comment>
    <comment ref="AK4" authorId="0">
      <text>
        <r>
          <rPr>
            <sz val="8"/>
            <color indexed="81"/>
            <rFont val="Tahoma"/>
            <family val="2"/>
          </rPr>
          <t>1 = brings in the most revenue.</t>
        </r>
      </text>
    </comment>
    <comment ref="AL4" authorId="0">
      <text>
        <r>
          <rPr>
            <sz val="8"/>
            <color indexed="81"/>
            <rFont val="Tahoma"/>
            <family val="2"/>
          </rPr>
          <t>1 = the fullest week. Used by the rota.</t>
        </r>
      </text>
    </comment>
  </commentList>
</comments>
</file>

<file path=xl/comments11.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D4" authorId="0">
      <text>
        <r>
          <rPr>
            <sz val="8"/>
            <color indexed="81"/>
            <rFont val="Tahoma"/>
            <family val="2"/>
          </rPr>
          <t>Week number of the year, using the week start day set on the Settings tab.</t>
        </r>
      </text>
    </comment>
    <comment ref="E4" authorId="0">
      <text>
        <r>
          <rPr>
            <sz val="8"/>
            <color indexed="81"/>
            <rFont val="Tahoma"/>
            <family val="2"/>
          </rPr>
          <t>Automatic. Every monthly report groups on this.</t>
        </r>
      </text>
    </comment>
    <comment ref="G4" authorId="0">
      <text>
        <r>
          <rPr>
            <sz val="8"/>
            <color indexed="81"/>
            <rFont val="Tahoma"/>
            <family val="2"/>
          </rPr>
          <t>Leave blank for time that is not against a job - training, admin, a supply run.</t>
        </r>
      </text>
    </comment>
    <comment ref="I4" authorId="0">
      <text>
        <r>
          <rPr>
            <sz val="8"/>
            <color indexed="81"/>
            <rFont val="Tahoma"/>
            <family val="2"/>
          </rPr>
          <t>Only needed for non-job time. Blank means cleaning.</t>
        </r>
      </text>
    </comment>
    <comment ref="M4" authorId="0">
      <text>
        <r>
          <rPr>
            <sz val="8"/>
            <color indexed="81"/>
            <rFont val="Tahoma"/>
            <family val="2"/>
          </rPr>
          <t>Only if you are not recording start and finish times. Otherwise leave it blank.</t>
        </r>
      </text>
    </comment>
    <comment ref="N4" authorId="0">
      <text>
        <r>
          <rPr>
            <sz val="8"/>
            <color indexed="81"/>
            <rFont val="Tahoma"/>
            <family val="2"/>
          </rPr>
          <t>Hours paid at the overtime multiplier from the Settings tab.</t>
        </r>
      </text>
    </comment>
    <comment ref="P4" authorId="0">
      <text>
        <r>
          <rPr>
            <sz val="8"/>
            <color indexed="81"/>
            <rFont val="Tahoma"/>
            <family val="2"/>
          </rPr>
          <t>Yes for time a client pays for. Travel, training and admin are No - and that gap is your utilisation.</t>
        </r>
      </text>
    </comment>
    <comment ref="T4" authorId="0">
      <text>
        <r>
          <rPr>
            <sz val="8"/>
            <color indexed="81"/>
            <rFont val="Tahoma"/>
            <family val="2"/>
          </rPr>
          <t>Finish less start, less the break.</t>
        </r>
      </text>
    </comment>
    <comment ref="U4" authorId="0">
      <text>
        <r>
          <rPr>
            <sz val="8"/>
            <color indexed="81"/>
            <rFont val="Tahoma"/>
            <family val="2"/>
          </rPr>
          <t>The hours everything else counts: pay, job cost, utilisation.</t>
        </r>
      </text>
    </comment>
    <comment ref="V4" authorId="0">
      <text>
        <r>
          <rPr>
            <sz val="8"/>
            <color indexed="81"/>
            <rFont val="Tahoma"/>
            <family val="2"/>
          </rPr>
          <t>That person's true cost from the Employees tab.</t>
        </r>
      </text>
    </comment>
    <comment ref="X4" authorId="0">
      <text>
        <r>
          <rPr>
            <sz val="8"/>
            <color indexed="81"/>
            <rFont val="Tahoma"/>
            <family val="2"/>
          </rPr>
          <t>Basic hours plus overtime at the multiplier, at that cleaner's true cost per hour.</t>
        </r>
      </text>
    </comment>
    <comment ref="Y4" authorId="0">
      <text>
        <r>
          <rPr>
            <sz val="8"/>
            <color indexed="81"/>
            <rFont val="Tahoma"/>
            <family val="2"/>
          </rPr>
          <t>What these hours are worth at the client's rate.</t>
        </r>
      </text>
    </comment>
  </commentList>
</comments>
</file>

<file path=xl/comments12.xml><?xml version="1.0" encoding="utf-8"?>
<comments xmlns="http://schemas.openxmlformats.org/spreadsheetml/2006/main">
  <authors>
    <author>Novality Store</author>
  </authors>
  <commentList>
    <comment ref="A4" authorId="0">
      <text>
        <r>
          <rPr>
            <sz val="8"/>
            <color indexed="81"/>
            <rFont val="Tahoma"/>
            <family val="2"/>
          </rPr>
          <t>Mirrors the Jobs tab row for row. Nothing to type.</t>
        </r>
      </text>
    </comment>
    <comment ref="C4" authorId="0">
      <text>
        <r>
          <rPr>
            <sz val="8"/>
            <color indexed="81"/>
            <rFont val="Tahoma"/>
            <family val="2"/>
          </rPr>
          <t>Automatic. Every monthly report groups on this.</t>
        </r>
      </text>
    </comment>
    <comment ref="J4" authorId="0">
      <text>
        <r>
          <rPr>
            <sz val="8"/>
            <color indexed="81"/>
            <rFont val="Tahoma"/>
            <family val="2"/>
          </rPr>
          <t>Only counted once the job is Completed or Invoiced - a booking is not money.</t>
        </r>
      </text>
    </comment>
    <comment ref="L4" authorId="0">
      <text>
        <r>
          <rPr>
            <sz val="8"/>
            <color indexed="81"/>
            <rFont val="Tahoma"/>
            <family val="2"/>
          </rPr>
          <t>From the timesheets if you keep them, otherwise the figure typed on the job.</t>
        </r>
      </text>
    </comment>
    <comment ref="O4" authorId="0">
      <text>
        <r>
          <rPr>
            <sz val="8"/>
            <color indexed="81"/>
            <rFont val="Tahoma"/>
            <family val="2"/>
          </rPr>
          <t>Real timesheet cost where you have one, otherwise the hours times the true cost of a cleaner hour.</t>
        </r>
      </text>
    </comment>
    <comment ref="Q4" authorId="0">
      <text>
        <r>
          <rPr>
            <sz val="8"/>
            <color indexed="81"/>
            <rFont val="Tahoma"/>
            <family val="2"/>
          </rPr>
          <t>What you actually used if you logged it on the Supply Usage tab, otherwise the per hour allowance from Settings.</t>
        </r>
      </text>
    </comment>
    <comment ref="S4" authorId="0">
      <text>
        <r>
          <rPr>
            <sz val="8"/>
            <color indexed="81"/>
            <rFont val="Tahoma"/>
            <family val="2"/>
          </rPr>
          <t>The only cell you ever type on this tab: parking, a skip, a replacement item, a subcontractor's invoice.</t>
        </r>
      </text>
    </comment>
    <comment ref="W4" authorId="0">
      <text>
        <r>
          <rPr>
            <sz val="8"/>
            <color indexed="81"/>
            <rFont val="Tahoma"/>
            <family val="2"/>
          </rPr>
          <t>The fairest comparison between a two hour office and a six hour deep clean.</t>
        </r>
      </text>
    </comment>
    <comment ref="Y4" authorId="0">
      <text>
        <r>
          <rPr>
            <sz val="8"/>
            <color indexed="81"/>
            <rFont val="Tahoma"/>
            <family val="2"/>
          </rPr>
          <t>1 = the most profitable job.</t>
        </r>
      </text>
    </comment>
    <comment ref="Z4" authorId="0">
      <text>
        <r>
          <rPr>
            <sz val="8"/>
            <color indexed="81"/>
            <rFont val="Tahoma"/>
            <family val="2"/>
          </rPr>
          <t>1 = the best use of an hour.</t>
        </r>
      </text>
    </comment>
    <comment ref="AB4" authorId="0">
      <text>
        <r>
          <rPr>
            <sz val="8"/>
            <color indexed="81"/>
            <rFont val="Tahoma"/>
            <family val="2"/>
          </rPr>
          <t>Why this one went the way it did. Worth writing down while you remember.</t>
        </r>
      </text>
    </comment>
  </commentList>
</comments>
</file>

<file path=xl/comments13.xml><?xml version="1.0" encoding="utf-8"?>
<comments xmlns="http://schemas.openxmlformats.org/spreadsheetml/2006/main">
  <authors>
    <author>Novality Store</author>
  </authors>
  <commentList>
    <comment ref="A4" authorId="0">
      <text>
        <r>
          <rPr>
            <sz val="8"/>
            <color indexed="81"/>
            <rFont val="Tahoma"/>
            <family val="2"/>
          </rPr>
          <t>The invoice number. Put it on the Invoice Lines tab to add lines, and on any payment you receive.</t>
        </r>
      </text>
    </comment>
    <comment ref="C4" authorId="0">
      <text>
        <r>
          <rPr>
            <sz val="8"/>
            <color indexed="81"/>
            <rFont val="Tahoma"/>
            <family val="2"/>
          </rPr>
          <t>Automatic. Every monthly report groups on this.</t>
        </r>
      </text>
    </comment>
    <comment ref="D4" authorId="0">
      <text>
        <r>
          <rPr>
            <sz val="8"/>
            <color indexed="81"/>
            <rFont val="Tahoma"/>
            <family val="2"/>
          </rPr>
          <t>Everything else about them - name, address, terms - comes from the Clients tab.</t>
        </r>
      </text>
    </comment>
    <comment ref="G4" authorId="0">
      <text>
        <r>
          <rPr>
            <sz val="8"/>
            <color indexed="81"/>
            <rFont val="Tahoma"/>
            <family val="2"/>
          </rPr>
          <t>'Visits in March', 'End of tenancy, 12B Lakeview'. What the client will recognise.</t>
        </r>
      </text>
    </comment>
    <comment ref="H4" authorId="0">
      <text>
        <r>
          <rPr>
            <sz val="8"/>
            <color indexed="81"/>
            <rFont val="Tahoma"/>
            <family val="2"/>
          </rPr>
          <t>Draft until you send it. Paid is worked out for you from the payments, but you can override it.</t>
        </r>
      </text>
    </comment>
    <comment ref="I4" authorId="0">
      <text>
        <r>
          <rPr>
            <sz val="8"/>
            <color indexed="81"/>
            <rFont val="Tahoma"/>
            <family val="2"/>
          </rPr>
          <t>The due date counts from the invoice date, but it is worth recording when it really went out.</t>
        </r>
      </text>
    </comment>
    <comment ref="J4" authorId="0">
      <text>
        <r>
          <rPr>
            <sz val="8"/>
            <color indexed="81"/>
            <rFont val="Tahoma"/>
            <family val="2"/>
          </rPr>
          <t>Blank uses the client's terms, or the business default from Settings.</t>
        </r>
      </text>
    </comment>
    <comment ref="M4" authorId="0">
      <text>
        <r>
          <rPr>
            <sz val="8"/>
            <color indexed="81"/>
            <rFont val="Tahoma"/>
            <family val="2"/>
          </rPr>
          <t>Commercial clients often will not pay without their own reference on the invoice.</t>
        </r>
      </text>
    </comment>
    <comment ref="V4" authorId="0">
      <text>
        <r>
          <rPr>
            <sz val="8"/>
            <color indexed="81"/>
            <rFont val="Tahoma"/>
            <family val="2"/>
          </rPr>
          <t>What the client owes. Edit the lines, not this cell.</t>
        </r>
      </text>
    </comment>
    <comment ref="W4" authorId="0">
      <text>
        <r>
          <rPr>
            <sz val="8"/>
            <color indexed="81"/>
            <rFont val="Tahoma"/>
            <family val="2"/>
          </rPr>
          <t>Added up from the Payments tab.</t>
        </r>
      </text>
    </comment>
    <comment ref="AB4" authorId="0">
      <text>
        <r>
          <rPr>
            <sz val="8"/>
            <color indexed="81"/>
            <rFont val="Tahoma"/>
            <family val="2"/>
          </rPr>
          <t>The ageing buckets the Reports tab counts.</t>
        </r>
      </text>
    </comment>
    <comment ref="AC4" authorId="0">
      <text>
        <r>
          <rPr>
            <sz val="8"/>
            <color indexed="81"/>
            <rFont val="Tahoma"/>
            <family val="2"/>
          </rPr>
          <t>Only charge it if your terms say you can.</t>
        </r>
      </text>
    </comment>
  </commentList>
</comments>
</file>

<file path=xl/comments14.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Which invoice this line belongs to.</t>
        </r>
      </text>
    </comment>
    <comment ref="C4" authorId="0">
      <text>
        <r>
          <rPr>
            <sz val="8"/>
            <color indexed="81"/>
            <rFont val="Tahoma"/>
            <family val="2"/>
          </rPr>
          <t>Link the visit you are billing. Leave blank for a line that is not a job - a late fee, materials, a deposit.</t>
        </r>
      </text>
    </comment>
    <comment ref="E4" authorId="0">
      <text>
        <r>
          <rPr>
            <sz val="8"/>
            <color indexed="81"/>
            <rFont val="Tahoma"/>
            <family val="2"/>
          </rPr>
          <t>Blank uses the service and the date from the job.</t>
        </r>
      </text>
    </comment>
    <comment ref="F4" authorId="0">
      <text>
        <r>
          <rPr>
            <sz val="8"/>
            <color indexed="81"/>
            <rFont val="Tahoma"/>
            <family val="2"/>
          </rPr>
          <t>Blank counts as one.</t>
        </r>
      </text>
    </comment>
    <comment ref="G4" authorId="0">
      <text>
        <r>
          <rPr>
            <sz val="8"/>
            <color indexed="81"/>
            <rFont val="Tahoma"/>
            <family val="2"/>
          </rPr>
          <t>Blank uses the price on the job.</t>
        </r>
      </text>
    </comment>
    <comment ref="H4" authorId="0">
      <text>
        <r>
          <rPr>
            <sz val="8"/>
            <color indexed="81"/>
            <rFont val="Tahoma"/>
            <family val="2"/>
          </rPr>
          <t>Only matters if you charge tax. The invoice total applies the rate from Settings to the whole net amount.</t>
        </r>
      </text>
    </comment>
    <comment ref="L4" authorId="0">
      <text>
        <r>
          <rPr>
            <sz val="8"/>
            <color indexed="81"/>
            <rFont val="Tahoma"/>
            <family val="2"/>
          </rPr>
          <t>What the printed invoice says for this line.</t>
        </r>
      </text>
    </comment>
    <comment ref="O4" authorId="0">
      <text>
        <r>
          <rPr>
            <sz val="8"/>
            <color indexed="81"/>
            <rFont val="Tahoma"/>
            <family val="2"/>
          </rPr>
          <t>Catches the same job appearing on two invoice lines - the most common billing mistake there is.</t>
        </r>
      </text>
    </comment>
    <comment ref="P4" authorId="0">
      <text>
        <r>
          <rPr>
            <sz val="8"/>
            <color indexed="81"/>
            <rFont val="Tahoma"/>
            <family val="2"/>
          </rPr>
          <t>1, 2, 3 within each invoice. The printable form reads it.</t>
        </r>
      </text>
    </comment>
  </commentList>
</comments>
</file>

<file path=xl/comments15.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The day the money landed, not the day you invoiced.</t>
        </r>
      </text>
    </comment>
    <comment ref="C4" authorId="0">
      <text>
        <r>
          <rPr>
            <sz val="8"/>
            <color indexed="81"/>
            <rFont val="Tahoma"/>
            <family val="2"/>
          </rPr>
          <t>Automatic. Every monthly report groups on this.</t>
        </r>
      </text>
    </comment>
    <comment ref="D4" authorId="0">
      <text>
        <r>
          <rPr>
            <sz val="8"/>
            <color indexed="81"/>
            <rFont val="Tahoma"/>
            <family val="2"/>
          </rPr>
          <t>Which invoice this pays. Part payments get their own row against the same invoice.</t>
        </r>
      </text>
    </comment>
    <comment ref="E4" authorId="0">
      <text>
        <r>
          <rPr>
            <sz val="8"/>
            <color indexed="81"/>
            <rFont val="Tahoma"/>
            <family val="2"/>
          </rPr>
          <t>Pulled from the invoice.</t>
        </r>
      </text>
    </comment>
    <comment ref="G4" authorId="0">
      <text>
        <r>
          <rPr>
            <sz val="8"/>
            <color indexed="81"/>
            <rFont val="Tahoma"/>
            <family val="2"/>
          </rPr>
          <t>What arrived in the bank. If a card processor took a fee, put the fee in the next column and this stays the gross amount.</t>
        </r>
      </text>
    </comment>
    <comment ref="H4" authorId="0">
      <text>
        <r>
          <rPr>
            <sz val="8"/>
            <color indexed="81"/>
            <rFont val="Tahoma"/>
            <family val="2"/>
          </rPr>
          <t>Card or platform fee. It is a real cost - the Expenses tab has a category for it too.</t>
        </r>
      </text>
    </comment>
    <comment ref="J4" authorId="0">
      <text>
        <r>
          <rPr>
            <sz val="8"/>
            <color indexed="81"/>
            <rFont val="Tahoma"/>
            <family val="2"/>
          </rPr>
          <t>Bank reference, cheque number, transaction ID. Worth having when a client says they paid.</t>
        </r>
      </text>
    </comment>
    <comment ref="L4" authorId="0">
      <text>
        <r>
          <rPr>
            <sz val="8"/>
            <color indexed="81"/>
            <rFont val="Tahoma"/>
            <family val="2"/>
          </rPr>
          <t>Cash in a jacket pocket is not banked. This column is how you find it again.</t>
        </r>
      </text>
    </comment>
    <comment ref="N4" authorId="0">
      <text>
        <r>
          <rPr>
            <sz val="8"/>
            <color indexed="81"/>
            <rFont val="Tahoma"/>
            <family val="2"/>
          </rPr>
          <t>After the processing fee.</t>
        </r>
      </text>
    </comment>
    <comment ref="Q4" authorId="0">
      <text>
        <r>
          <rPr>
            <sz val="8"/>
            <color indexed="81"/>
            <rFont val="Tahoma"/>
            <family val="2"/>
          </rPr>
          <t>What is still owed on that invoice once every payment against it is counted.</t>
        </r>
      </text>
    </comment>
  </commentList>
</comments>
</file>

<file path=xl/comments16.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What you call it on the shopping list. The Supply Usage tab picks from these names.</t>
        </r>
      </text>
    </comment>
    <comment ref="E4" authorId="0">
      <text>
        <r>
          <rPr>
            <sz val="8"/>
            <color indexed="81"/>
            <rFont val="Tahoma"/>
            <family val="2"/>
          </rPr>
          <t>The unit you use it in - a bottle, a litre, a roll. Buy in packs, use in units.</t>
        </r>
      </text>
    </comment>
    <comment ref="F4" authorId="0">
      <text>
        <r>
          <rPr>
            <sz val="8"/>
            <color indexed="81"/>
            <rFont val="Tahoma"/>
            <family val="2"/>
          </rPr>
          <t>Six bottles in a case, 24 rolls in a pack.</t>
        </r>
      </text>
    </comment>
    <comment ref="H4" authorId="0">
      <text>
        <r>
          <rPr>
            <sz val="8"/>
            <color indexed="81"/>
            <rFont val="Tahoma"/>
            <family val="2"/>
          </rPr>
          <t>How many units you had when you last counted. Count the cupboard once a month and type it here.</t>
        </r>
      </text>
    </comment>
    <comment ref="I4" authorId="0">
      <text>
        <r>
          <rPr>
            <sz val="8"/>
            <color indexed="81"/>
            <rFont val="Tahoma"/>
            <family val="2"/>
          </rPr>
          <t>Usage logged after this date is taken off the counted stock.</t>
        </r>
      </text>
    </comment>
    <comment ref="J4" authorId="0">
      <text>
        <r>
          <rPr>
            <sz val="8"/>
            <color indexed="81"/>
            <rFont val="Tahoma"/>
            <family val="2"/>
          </rPr>
          <t>The level that triggers a 'low stock' flag.</t>
        </r>
      </text>
    </comment>
    <comment ref="M4" authorId="0">
      <text>
        <r>
          <rPr>
            <sz val="8"/>
            <color indexed="81"/>
            <rFont val="Tahoma"/>
            <family val="2"/>
          </rPr>
          <t>Worth tracking - more and more clients ask.</t>
        </r>
      </text>
    </comment>
    <comment ref="N4" authorId="0">
      <text>
        <r>
          <rPr>
            <sz val="8"/>
            <color indexed="81"/>
            <rFont val="Tahoma"/>
            <family val="2"/>
          </rPr>
          <t>Any chemical your staff use should have its safety data sheet on file. The Safety tab tracks them.</t>
        </r>
      </text>
    </comment>
    <comment ref="P4" authorId="0">
      <text>
        <r>
          <rPr>
            <sz val="8"/>
            <color indexed="81"/>
            <rFont val="Tahoma"/>
            <family val="2"/>
          </rPr>
          <t>What one use of it costs. This is the figure the Supply Usage tab multiplies.</t>
        </r>
      </text>
    </comment>
    <comment ref="S4" authorId="0">
      <text>
        <r>
          <rPr>
            <sz val="8"/>
            <color indexed="81"/>
            <rFont val="Tahoma"/>
            <family val="2"/>
          </rPr>
          <t>Counted stock less everything logged since the count.</t>
        </r>
      </text>
    </comment>
    <comment ref="V4" authorId="0">
      <text>
        <r>
          <rPr>
            <sz val="8"/>
            <color indexed="81"/>
            <rFont val="Tahoma"/>
            <family val="2"/>
          </rPr>
          <t>At the rate of the last four weeks. Blank means you have not used any recently.</t>
        </r>
      </text>
    </comment>
    <comment ref="W4" authorId="0">
      <text>
        <r>
          <rPr>
            <sz val="8"/>
            <color indexed="81"/>
            <rFont val="Tahoma"/>
            <family val="2"/>
          </rPr>
          <t>What is sitting in the cupboard. Add the column up and most owners get a surprise.</t>
        </r>
      </text>
    </comment>
  </commentList>
</comments>
</file>

<file path=xl/comments17.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C4" authorId="0">
      <text>
        <r>
          <rPr>
            <sz val="8"/>
            <color indexed="81"/>
            <rFont val="Tahoma"/>
            <family val="2"/>
          </rPr>
          <t>Automatic. Every monthly report groups on this.</t>
        </r>
      </text>
    </comment>
    <comment ref="D4" authorId="0">
      <text>
        <r>
          <rPr>
            <sz val="8"/>
            <color indexed="81"/>
            <rFont val="Tahoma"/>
            <family val="2"/>
          </rPr>
          <t>From the Supplies tab. The cost comes with it.</t>
        </r>
      </text>
    </comment>
    <comment ref="E4" authorId="0">
      <text>
        <r>
          <rPr>
            <sz val="8"/>
            <color indexed="81"/>
            <rFont val="Tahoma"/>
            <family val="2"/>
          </rPr>
          <t>In the unit on the Supplies tab - bottles, rolls, litres.</t>
        </r>
      </text>
    </comment>
    <comment ref="F4" authorId="0">
      <text>
        <r>
          <rPr>
            <sz val="8"/>
            <color indexed="81"/>
            <rFont val="Tahoma"/>
            <family val="2"/>
          </rPr>
          <t>Link it to a job and the cost lands on that job's profit. Leave blank for stock used round the office.</t>
        </r>
      </text>
    </comment>
    <comment ref="H4" authorId="0">
      <text>
        <r>
          <rPr>
            <sz val="8"/>
            <color indexed="81"/>
            <rFont val="Tahoma"/>
            <family val="2"/>
          </rPr>
          <t>'Weekly visit', 'restocked the van', 'spillage'.</t>
        </r>
      </text>
    </comment>
    <comment ref="L4" authorId="0">
      <text>
        <r>
          <rPr>
            <sz val="8"/>
            <color indexed="81"/>
            <rFont val="Tahoma"/>
            <family val="2"/>
          </rPr>
          <t>Quantity times the cost per unit. This is what lands on the job costing.</t>
        </r>
      </text>
    </comment>
  </commentList>
</comments>
</file>

<file path=xl/comments18.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Something you would recognise on a van check: 'Numatic Henry #2', not 'vacuum'.</t>
        </r>
      </text>
    </comment>
    <comment ref="E4" authorId="0">
      <text>
        <r>
          <rPr>
            <sz val="8"/>
            <color indexed="81"/>
            <rFont val="Tahoma"/>
            <family val="2"/>
          </rPr>
          <t>Worth recording. Stolen equipment without a serial number is gone.</t>
        </r>
      </text>
    </comment>
    <comment ref="H4" authorId="0">
      <text>
        <r>
          <rPr>
            <sz val="8"/>
            <color indexed="81"/>
            <rFont val="Tahoma"/>
            <family val="2"/>
          </rPr>
          <t>Who has it. The commonest cause of a 'missing' machine is that somebody took it home.</t>
        </r>
      </text>
    </comment>
    <comment ref="L4" authorId="0">
      <text>
        <r>
          <rPr>
            <sz val="8"/>
            <color indexed="81"/>
            <rFont val="Tahoma"/>
            <family val="2"/>
          </rPr>
          <t>Used to work out what it costs you a year, and when to start saving for its replacement.</t>
        </r>
      </text>
    </comment>
    <comment ref="O4" authorId="0">
      <text>
        <r>
          <rPr>
            <sz val="8"/>
            <color indexed="81"/>
            <rFont val="Tahoma"/>
            <family val="2"/>
          </rPr>
          <t>Blank uses the standard interval from the Settings tab.</t>
        </r>
      </text>
    </comment>
    <comment ref="P4" authorId="0">
      <text>
        <r>
          <rPr>
            <sz val="8"/>
            <color indexed="81"/>
            <rFont val="Tahoma"/>
            <family val="2"/>
          </rPr>
          <t>Running total of what you have spent keeping it going. When it passes the replacement cost, stop.</t>
        </r>
      </text>
    </comment>
    <comment ref="Q4" authorId="0">
      <text>
        <r>
          <rPr>
            <sz val="8"/>
            <color indexed="81"/>
            <rFont val="Tahoma"/>
            <family val="2"/>
          </rPr>
          <t>Electrical safety testing, where your country requires it.</t>
        </r>
      </text>
    </comment>
    <comment ref="U4" authorId="0">
      <text>
        <r>
          <rPr>
            <sz val="8"/>
            <color indexed="81"/>
            <rFont val="Tahoma"/>
            <family val="2"/>
          </rPr>
          <t>Purchase spread over its life, plus what you have spent repairing it. The real cost of owning it.</t>
        </r>
      </text>
    </comment>
  </commentList>
</comments>
</file>

<file path=xl/comments19.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C4" authorId="0">
      <text>
        <r>
          <rPr>
            <sz val="8"/>
            <color indexed="81"/>
            <rFont val="Tahoma"/>
            <family val="2"/>
          </rPr>
          <t>Automatic. Every monthly report groups on this.</t>
        </r>
      </text>
    </comment>
    <comment ref="D4" authorId="0">
      <text>
        <r>
          <rPr>
            <sz val="8"/>
            <color indexed="81"/>
            <rFont val="Tahoma"/>
            <family val="2"/>
          </rPr>
          <t>Keep to the list. Consistent categories are what make the yearly comparison worth reading.</t>
        </r>
      </text>
    </comment>
    <comment ref="E4" authorId="0">
      <text>
        <r>
          <rPr>
            <sz val="8"/>
            <color indexed="81"/>
            <rFont val="Tahoma"/>
            <family val="2"/>
          </rPr>
          <t>Fixed costs happen whether you work or not. Variable costs follow the work. Knowing which is which is most of financial planning.</t>
        </r>
      </text>
    </comment>
    <comment ref="H4" authorId="0">
      <text>
        <r>
          <rPr>
            <sz val="8"/>
            <color indexed="81"/>
            <rFont val="Tahoma"/>
            <family val="2"/>
          </rPr>
          <t>Before tax, if you can reclaim it. Otherwise just put the amount you paid.</t>
        </r>
      </text>
    </comment>
    <comment ref="K4" authorId="0">
      <text>
        <r>
          <rPr>
            <sz val="8"/>
            <color indexed="81"/>
            <rFont val="Tahoma"/>
            <family val="2"/>
          </rPr>
          <t>Only for a cost that belongs to one job - a skip, a specialist product, a subcontractor.</t>
        </r>
      </text>
    </comment>
    <comment ref="M4" authorId="0">
      <text>
        <r>
          <rPr>
            <sz val="8"/>
            <color indexed="81"/>
            <rFont val="Tahoma"/>
            <family val="2"/>
          </rPr>
          <t>No receipt usually means no deduction. Photograph them in the van and put the link in the notes.</t>
        </r>
      </text>
    </comment>
    <comment ref="O4" authorId="0">
      <text>
        <r>
          <rPr>
            <sz val="8"/>
            <color indexed="81"/>
            <rFont val="Tahoma"/>
            <family val="2"/>
          </rPr>
          <t>Your accountant decides this, not the spreadsheet. The column is here so you can mark what you have asked about.</t>
        </r>
      </text>
    </comment>
  </commentList>
</comments>
</file>

<file path=xl/comments20.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C4" authorId="0">
      <text>
        <r>
          <rPr>
            <sz val="8"/>
            <color indexed="81"/>
            <rFont val="Tahoma"/>
            <family val="2"/>
          </rPr>
          <t>Automatic. Every monthly report groups on this.</t>
        </r>
      </text>
    </comment>
    <comment ref="I4" authorId="0">
      <text>
        <r>
          <rPr>
            <sz val="8"/>
            <color indexed="81"/>
            <rFont val="Tahoma"/>
            <family val="2"/>
          </rPr>
          <t>Link it to a job and the travel cost lands on that job's profit.</t>
        </r>
      </text>
    </comment>
    <comment ref="K4" authorId="0">
      <text>
        <r>
          <rPr>
            <sz val="8"/>
            <color indexed="81"/>
            <rFont val="Tahoma"/>
            <family val="2"/>
          </rPr>
          <t>Yes doubles the distance. Most job trips are returns.</t>
        </r>
      </text>
    </comment>
    <comment ref="L4" authorId="0">
      <text>
        <r>
          <rPr>
            <sz val="8"/>
            <color indexed="81"/>
            <rFont val="Tahoma"/>
            <family val="2"/>
          </rPr>
          <t>Blank uses the rate per mile from the Settings tab.</t>
        </r>
      </text>
    </comment>
    <comment ref="S4" authorId="0">
      <text>
        <r>
          <rPr>
            <sz val="8"/>
            <color indexed="81"/>
            <rFont val="Tahoma"/>
            <family val="2"/>
          </rPr>
          <t>Distance times the rate, plus parking. This is what you claim and what the job carries.</t>
        </r>
      </text>
    </comment>
  </commentList>
</comments>
</file>

<file path=xl/comments21.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C4" authorId="0">
      <text>
        <r>
          <rPr>
            <sz val="8"/>
            <color indexed="81"/>
            <rFont val="Tahoma"/>
            <family val="2"/>
          </rPr>
          <t>Automatic. Every monthly report groups on this.</t>
        </r>
      </text>
    </comment>
    <comment ref="F4" authorId="0">
      <text>
        <r>
          <rPr>
            <sz val="8"/>
            <color indexed="81"/>
            <rFont val="Tahoma"/>
            <family val="2"/>
          </rPr>
          <t>Which visit it relates to, if you know.</t>
        </r>
      </text>
    </comment>
    <comment ref="G4" authorId="0">
      <text>
        <r>
          <rPr>
            <sz val="8"/>
            <color indexed="81"/>
            <rFont val="Tahoma"/>
            <family val="2"/>
          </rPr>
          <t>Record it, but treat a single complaint as information rather than evidence.</t>
        </r>
      </text>
    </comment>
    <comment ref="J4" authorId="0">
      <text>
        <r>
          <rPr>
            <sz val="8"/>
            <color indexed="81"/>
            <rFont val="Tahoma"/>
            <family val="2"/>
          </rPr>
          <t>In their words where you can. It reads very differently from yours.</t>
        </r>
      </text>
    </comment>
    <comment ref="O4" authorId="0">
      <text>
        <r>
          <rPr>
            <sz val="8"/>
            <color indexed="81"/>
            <rFont val="Tahoma"/>
            <family val="2"/>
          </rPr>
          <t>If you went back, book it as a job with type 'Re-clean (free)' and link it here.</t>
        </r>
      </text>
    </comment>
    <comment ref="P4" authorId="0">
      <text>
        <r>
          <rPr>
            <sz val="8"/>
            <color indexed="81"/>
            <rFont val="Tahoma"/>
            <family val="2"/>
          </rPr>
          <t>Refund, free re-clean, replacement. Worth knowing - complaints are a real line in your costs.</t>
        </r>
      </text>
    </comment>
    <comment ref="T4" authorId="0">
      <text>
        <r>
          <rPr>
            <sz val="8"/>
            <color indexed="81"/>
            <rFont val="Tahoma"/>
            <family val="2"/>
          </rPr>
          <t>The most valuable column on the tab, and the one everybody leaves blank.</t>
        </r>
      </text>
    </comment>
    <comment ref="X4" authorId="0">
      <text>
        <r>
          <rPr>
            <sz val="8"/>
            <color indexed="81"/>
            <rFont val="Tahoma"/>
            <family val="2"/>
          </rPr>
          <t>The same client complaining about the same thing twice. Fix the cause, not the visit.</t>
        </r>
      </text>
    </comment>
  </commentList>
</comments>
</file>

<file path=xl/comments22.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I4" authorId="0">
      <text>
        <r>
          <rPr>
            <sz val="8"/>
            <color indexed="81"/>
            <rFont val="Tahoma"/>
            <family val="2"/>
          </rPr>
          <t>Write it the same day, in plain language, including what was being done at the time.</t>
        </r>
      </text>
    </comment>
    <comment ref="P4" authorId="0">
      <text>
        <r>
          <rPr>
            <sz val="8"/>
            <color indexed="81"/>
            <rFont val="Tahoma"/>
            <family val="2"/>
          </rPr>
          <t>Client, insurer, the authority your country requires. Write down who and when.</t>
        </r>
      </text>
    </comment>
  </commentList>
</comments>
</file>

<file path=xl/comments23.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Pick the type, or type your own. One row per document per person.</t>
        </r>
      </text>
    </comment>
    <comment ref="C4" authorId="0">
      <text>
        <r>
          <rPr>
            <sz val="8"/>
            <color indexed="81"/>
            <rFont val="Tahoma"/>
            <family val="2"/>
          </rPr>
          <t>A person, a property, a chemical, or the business as a whole.</t>
        </r>
      </text>
    </comment>
    <comment ref="D4" authorId="0">
      <text>
        <r>
          <rPr>
            <sz val="8"/>
            <color indexed="81"/>
            <rFont val="Tahoma"/>
            <family val="2"/>
          </rPr>
          <t>Leave blank for a business-wide document.</t>
        </r>
      </text>
    </comment>
    <comment ref="H4" authorId="0">
      <text>
        <r>
          <rPr>
            <sz val="8"/>
            <color indexed="81"/>
            <rFont val="Tahoma"/>
            <family val="2"/>
          </rPr>
          <t>The whole point of the tab. Leave blank for a document that does not expire.</t>
        </r>
      </text>
    </comment>
    <comment ref="J4" authorId="0">
      <text>
        <r>
          <rPr>
            <sz val="8"/>
            <color indexed="81"/>
            <rFont val="Tahoma"/>
            <family val="2"/>
          </rPr>
          <t>Folder, drive, filing cabinet. 'Somewhere in the van' is not an answer.</t>
        </r>
      </text>
    </comment>
    <comment ref="K4" authorId="0">
      <text>
        <r>
          <rPr>
            <sz val="8"/>
            <color indexed="81"/>
            <rFont val="Tahoma"/>
            <family val="2"/>
          </rPr>
          <t>A link to the scan beats a photocopy in a drawer.</t>
        </r>
      </text>
    </comment>
    <comment ref="L4" authorId="0">
      <text>
        <r>
          <rPr>
            <sz val="8"/>
            <color indexed="81"/>
            <rFont val="Tahoma"/>
            <family val="2"/>
          </rPr>
          <t>Some documents are legally required, some are asked for by clients, some are neither.</t>
        </r>
      </text>
    </comment>
    <comment ref="M4" authorId="0">
      <text>
        <r>
          <rPr>
            <sz val="8"/>
            <color indexed="81"/>
            <rFont val="Tahoma"/>
            <family val="2"/>
          </rPr>
          <t>Risk assessments and method statements should be looked at again every year, not just filed.</t>
        </r>
      </text>
    </comment>
  </commentList>
</comments>
</file>

<file path=xl/sharedStrings.xml><?xml version="1.0" encoding="utf-8"?>
<sst xmlns="http://schemas.openxmlformats.org/spreadsheetml/2006/main" count="9193" uniqueCount="2706">
  <si>
    <t>Cleaning Business CRM &amp; Pricing Calculator</t>
  </si>
  <si>
    <t>Novality Store  |  v1.0.0</t>
  </si>
  <si>
    <t>A complete back office for a cleaning business - clients, quotes, jobs, staff, invoices and profit.</t>
  </si>
  <si>
    <t>&gt; Start Here</t>
  </si>
  <si>
    <t>&gt; Dashboard</t>
  </si>
  <si>
    <t>&gt; Clients</t>
  </si>
  <si>
    <t>&gt; Jobs</t>
  </si>
  <si>
    <t>&gt; Calendar</t>
  </si>
  <si>
    <t>Welcome. This workbook replaces the diary, the quote pad, the invoice book and the shoebox of receipts. Everything is a formula you can read and change - no macros, no add-ins, no subscription.</t>
  </si>
  <si>
    <t>What is in the file</t>
  </si>
  <si>
    <t>Tab</t>
  </si>
  <si>
    <t>What it does</t>
  </si>
  <si>
    <t>Your job</t>
  </si>
  <si>
    <t>Business Settings</t>
  </si>
  <si>
    <t>Your name, rates, tax, targets and every reminder window</t>
  </si>
  <si>
    <t>Fill in once, revisit twice a year</t>
  </si>
  <si>
    <t>Dashboard</t>
  </si>
  <si>
    <t>Twelve live numbers, the jobs for the week and everything that needs doing</t>
  </si>
  <si>
    <t>Read it every morning</t>
  </si>
  <si>
    <t>Pricing &amp; Quote Calculator</t>
  </si>
  <si>
    <t>Prices a clean four different ways and shows the margin on each</t>
  </si>
  <si>
    <t>Use it before you quote</t>
  </si>
  <si>
    <t>Client CRM</t>
  </si>
  <si>
    <t>Every client, what they are worth and whether they are drifting away</t>
  </si>
  <si>
    <t>Add clients</t>
  </si>
  <si>
    <t>Property &amp; Site Database</t>
  </si>
  <si>
    <t>Addresses, access, keys, pets, parking and the hours each property needs</t>
  </si>
  <si>
    <t>Add properties</t>
  </si>
  <si>
    <t>Leads &amp; Sales Pipeline</t>
  </si>
  <si>
    <t>Enquiries from first call to won or lost</t>
  </si>
  <si>
    <t>Log every enquiry</t>
  </si>
  <si>
    <t>Service Catalog</t>
  </si>
  <si>
    <t>What you offer, what it costs you and what it earns an hour</t>
  </si>
  <si>
    <t>Set up once</t>
  </si>
  <si>
    <t>Quotes &amp; Estimates</t>
  </si>
  <si>
    <t>Quotes, their lines, follow-ups and acceptance</t>
  </si>
  <si>
    <t>Raise quotes</t>
  </si>
  <si>
    <t>Job Scheduler</t>
  </si>
  <si>
    <t>Every visit: who, where, when, how long, how much</t>
  </si>
  <si>
    <t>The heart of the workbook</t>
  </si>
  <si>
    <t>Calendar</t>
  </si>
  <si>
    <t>The month at a glance and the next thirty visits in order</t>
  </si>
  <si>
    <t>Read only</t>
  </si>
  <si>
    <t>Cleaning Checklists</t>
  </si>
  <si>
    <t>Room-by-room task templates, and the tasks ticked off on the day</t>
  </si>
  <si>
    <t>Build your own</t>
  </si>
  <si>
    <t>Employee Database</t>
  </si>
  <si>
    <t>Your team, their pay, skills, checks and performance</t>
  </si>
  <si>
    <t>Add staff</t>
  </si>
  <si>
    <t>Employee Schedule &amp; Attendance</t>
  </si>
  <si>
    <t>The week's rota, who is overloaded and who has room</t>
  </si>
  <si>
    <t>Read, then fix on Jobs</t>
  </si>
  <si>
    <t>Job Costing &amp; Profitability</t>
  </si>
  <si>
    <t>Wages, supplies and travel against the price, job by job</t>
  </si>
  <si>
    <t>Automatic</t>
  </si>
  <si>
    <t>Invoices &amp; Payments</t>
  </si>
  <si>
    <t>Invoices, lines, payments, ageing and chasing</t>
  </si>
  <si>
    <t>Raise and record</t>
  </si>
  <si>
    <t>Supplies &amp; Equipment</t>
  </si>
  <si>
    <t>Stock, usage, reorder points, machines and their servicing</t>
  </si>
  <si>
    <t>Count monthly</t>
  </si>
  <si>
    <t>Expenses &amp; Mileage</t>
  </si>
  <si>
    <t>Every cost, with tax and categories, plus business travel</t>
  </si>
  <si>
    <t>Log weekly</t>
  </si>
  <si>
    <t>Client Retention</t>
  </si>
  <si>
    <t>Who is slipping away and what they are worth</t>
  </si>
  <si>
    <t>Act on it</t>
  </si>
  <si>
    <t>Complaints &amp; Quality</t>
  </si>
  <si>
    <t>Complaints, what they cost and whether you kept the client</t>
  </si>
  <si>
    <t>Log honestly</t>
  </si>
  <si>
    <t>Safety &amp; Compliance</t>
  </si>
  <si>
    <t>Certificates, checks and assessments with expiry warnings</t>
  </si>
  <si>
    <t>Keep in date</t>
  </si>
  <si>
    <t>Financial Plan</t>
  </si>
  <si>
    <t>Break-even, targets and what if you grew</t>
  </si>
  <si>
    <t>Plan with it</t>
  </si>
  <si>
    <t>Reports &amp; Analytics</t>
  </si>
  <si>
    <t>Where the money comes from and where it goes</t>
  </si>
  <si>
    <t>Read monthly</t>
  </si>
  <si>
    <t>Printable Forms</t>
  </si>
  <si>
    <t>Quote, invoice and job sheet, ready for A4</t>
  </si>
  <si>
    <t>Print as needed</t>
  </si>
  <si>
    <t>Settings &amp; Dropdown Lists</t>
  </si>
  <si>
    <t>Every drop-down list in the workbook</t>
  </si>
  <si>
    <t>Edit to suit you</t>
  </si>
  <si>
    <t>Twenty minutes to set it up</t>
  </si>
  <si>
    <t>Step</t>
  </si>
  <si>
    <t>Where</t>
  </si>
  <si>
    <t>What to do</t>
  </si>
  <si>
    <t>1</t>
  </si>
  <si>
    <t>Your business name, address, phone and email. They print on every quote and invoice.</t>
  </si>
  <si>
    <t>2</t>
  </si>
  <si>
    <t>Your hourly rate, minimum charge and what a cleaner costs you an hour. Nothing else works until these are right.</t>
  </si>
  <si>
    <t>3</t>
  </si>
  <si>
    <t>Tax rate and payment terms. Set the tax rate to 0 if you are not registered.</t>
  </si>
  <si>
    <t>4</t>
  </si>
  <si>
    <t>Edit the services to match what you actually sell. Delete the ones you do not offer.</t>
  </si>
  <si>
    <t>5</t>
  </si>
  <si>
    <t>Adjust the task templates. These become the job sheets your cleaners carry.</t>
  </si>
  <si>
    <t>6</t>
  </si>
  <si>
    <t>Add your team - even if the team is just you. Put your own pay rate in; it is what makes the profit figures real.</t>
  </si>
  <si>
    <t>7</t>
  </si>
  <si>
    <t>Client CRM and Property &amp; Site Database</t>
  </si>
  <si>
    <t>Add your clients, then their properties. The property is where the hours and the access details live.</t>
  </si>
  <si>
    <t>8</t>
  </si>
  <si>
    <t>Put next week's visits in. The price, the finish time and the invoice link all work themselves out.</t>
  </si>
  <si>
    <t>9</t>
  </si>
  <si>
    <t>Open it every morning. If a number looks wrong, the tab it came from is named right beside it.</t>
  </si>
  <si>
    <t>The rhythm that keeps it accurate</t>
  </si>
  <si>
    <t>When</t>
  </si>
  <si>
    <t>What</t>
  </si>
  <si>
    <t>How long</t>
  </si>
  <si>
    <t>Every morning</t>
  </si>
  <si>
    <t>Open the Dashboard. Confirm tomorrow's visits. Assign anything with no cleaner.</t>
  </si>
  <si>
    <t>2 minutes</t>
  </si>
  <si>
    <t>After each job</t>
  </si>
  <si>
    <t>Mark it Completed and put the actual hours in.</t>
  </si>
  <si>
    <t>30 seconds</t>
  </si>
  <si>
    <t>Every Friday</t>
  </si>
  <si>
    <t>Approve timesheets, raise the week's invoices, log receipts.</t>
  </si>
  <si>
    <t>20 minutes</t>
  </si>
  <si>
    <t>Every Monday</t>
  </si>
  <si>
    <t>Chase unpaid invoices and unanswered quotes. This is the hour that pays for itself.</t>
  </si>
  <si>
    <t>30 minutes</t>
  </si>
  <si>
    <t>Monthly</t>
  </si>
  <si>
    <t>Count supplies, check equipment servicing, read the Reports tab.</t>
  </si>
  <si>
    <t>1 hour</t>
  </si>
  <si>
    <t>Quarterly</t>
  </si>
  <si>
    <t>Review prices against the Job Costing tab. Any client under your margin floor needs a conversation.</t>
  </si>
  <si>
    <t>What the workbook does by itself</t>
  </si>
  <si>
    <t>Prices a clean from the floor area, the room count, the service or your target margin - and shows all four.</t>
  </si>
  <si>
    <t>Works out finish times, crew size and hours per cleaner.</t>
  </si>
  <si>
    <t>Applies the frequency discount, the pet surcharge, the minimum charge and your rounding rule.</t>
  </si>
  <si>
    <t>Flags double bookings, long days and jobs with nobody on them.</t>
  </si>
  <si>
    <t>Totals quotes from their lines, dates the expiry and tells you when to chase.</t>
  </si>
  <si>
    <t>Builds invoices from the lines, ages them, adds the late fee and tracks the balance after every payment.</t>
  </si>
  <si>
    <t>Costs every job with real wages from the timesheets, real supply usage and the travel, then shows the margin.</t>
  </si>
  <si>
    <t>Tracks stock down to days of cover and tells you what to reorder.</t>
  </si>
  <si>
    <t>Warns you before certificates expire and before machines are due a service.</t>
  </si>
  <si>
    <t>Spots clients going quiet long before they tell you they are leaving.</t>
  </si>
  <si>
    <t>What it honestly cannot do</t>
  </si>
  <si>
    <t>Every one of these needs something outside a spreadsheet. Anyone who tells you otherwise is selling you something.</t>
  </si>
  <si>
    <t>Send reminders by itself. It flags what needs chasing - you or your phone still send the message.</t>
  </si>
  <si>
    <t>Sync with Google Calendar, Outlook or a phone diary. Export the Jobs tab to CSV if you need that.</t>
  </si>
  <si>
    <t>Take card payments or connect to your bank. Record the payment here once it lands.</t>
  </si>
  <si>
    <t>Collect a legally binding electronic signature. Print the quote, or use a proper e-signature service.</t>
  </si>
  <si>
    <t>Track your cleaners' location, or clock them in by GPS.</t>
  </si>
  <si>
    <t>File your tax return. It gets the numbers ready for someone who can.</t>
  </si>
  <si>
    <t>Replace advice from an accountant or an employment lawyer, and it does not know your local rules.</t>
  </si>
  <si>
    <t>A word about privacy</t>
  </si>
  <si>
    <t>This file will end up holding client addresses, alarm codes, where the keys are kept, staff pay and background checks. That is genuinely sensitive. Keep it somewhere access-controlled, do not email the whole workbook to anyone, give cleaners the printed job sheet rather than the file, and delete entry details when a client leaves. The sheet password protects formulas from accidents - it is not encryption.</t>
  </si>
  <si>
    <t>Housekeeping</t>
  </si>
  <si>
    <t>Question</t>
  </si>
  <si>
    <t>Answer</t>
  </si>
  <si>
    <t>Is there example data in it?</t>
  </si>
  <si>
    <t>Both versions are in your download: one filled with a worked example, one empty and ready for your own.</t>
  </si>
  <si>
    <t>How do I clear the example?</t>
  </si>
  <si>
    <t>Select the data rows on a tab and press Delete. The formula columns refill themselves - they are not deleted.</t>
  </si>
  <si>
    <t>Why are some cells locked?</t>
  </si>
  <si>
    <t>Every calculated cell is protected so a stray paste cannot break it. The password is 'premium'. Review, Unprotect Sheet if you want to change a formula.</t>
  </si>
  <si>
    <t>Which cells do I type in?</t>
  </si>
  <si>
    <t>The white ones. Grey cells calculate themselves.</t>
  </si>
  <si>
    <t>Does it work in Google Sheets?</t>
  </si>
  <si>
    <t>Yes. File, Import, Upload. Drop-downs and conditional colours come across; sheet protection behaves a little differently.</t>
  </si>
  <si>
    <t>Which Excel versions?</t>
  </si>
  <si>
    <t>Excel 2010 and newer, Excel for Mac, Excel online, LibreOffice Calc and Google Sheets. No macros, so nothing to enable.</t>
  </si>
  <si>
    <t>Can I add more rows?</t>
  </si>
  <si>
    <t>Yes - insert rows inside the existing block and copy the formulas down. Never insert above the header row.</t>
  </si>
  <si>
    <t>Can I add my logo?</t>
  </si>
  <si>
    <t>Insert, Picture on the printable forms. Everything else is typed on the Settings tab.</t>
  </si>
  <si>
    <t>Cleaning Business CRM &amp; Pricing Calculator - version 1.0.0, by Novality Store. Built with formulas only: no macros, no add-ins, nothing to install. The Help tab has the troubleshooting and a map of every feature.</t>
  </si>
  <si>
    <t>Fill in the white cells once. Shaded cells are locked formulas. Every price, every invoice and every alert in the workbook reads these values.</t>
  </si>
  <si>
    <t/>
  </si>
  <si>
    <t>1. Your business</t>
  </si>
  <si>
    <t>Business name</t>
  </si>
  <si>
    <t>Bright &amp; Tidy Cleaning Co.</t>
  </si>
  <si>
    <t>Shown on every quote, invoice and printable page.</t>
  </si>
  <si>
    <t>Owner / manager</t>
  </si>
  <si>
    <t>Dana Whitfield</t>
  </si>
  <si>
    <t>Email</t>
  </si>
  <si>
    <t>hello@brightandtidy.co</t>
  </si>
  <si>
    <t>Phone</t>
  </si>
  <si>
    <t>(503) 555 0142</t>
  </si>
  <si>
    <t>Address</t>
  </si>
  <si>
    <t>18 Juniper Way, Portland, OR 97214</t>
  </si>
  <si>
    <t>Website</t>
  </si>
  <si>
    <t>brightandtidy.co</t>
  </si>
  <si>
    <t>Area you cover</t>
  </si>
  <si>
    <t>Portland metro - 20 mile radius</t>
  </si>
  <si>
    <t>Used on quotes and to sanity check how far a job is.</t>
  </si>
  <si>
    <t>Tagline</t>
  </si>
  <si>
    <t>Reliable domestic and commercial cleaning since 2019</t>
  </si>
  <si>
    <t>Business / tax number</t>
  </si>
  <si>
    <t>BT-CLEAN-2019-0146</t>
  </si>
  <si>
    <t>Insurance policy</t>
  </si>
  <si>
    <t>Hartfield Commercial - policy HCX-884213</t>
  </si>
  <si>
    <t>Clients ask for this more often than you think - keep it here so it is easy to quote.</t>
  </si>
  <si>
    <t>2. Your working week</t>
  </si>
  <si>
    <t>Year</t>
  </si>
  <si>
    <t>The year the calendar, the planner and the reports open on.</t>
  </si>
  <si>
    <t>Week starts on</t>
  </si>
  <si>
    <t>Monday</t>
  </si>
  <si>
    <t>Used by the calendar grid, the staff rota and the week numbers.</t>
  </si>
  <si>
    <t>Billable hours in a working day</t>
  </si>
  <si>
    <t>Hours one cleaner can actually charge for after travel, setup and breaks. The capacity and utilisation figures use this.</t>
  </si>
  <si>
    <t>Cleaners on a standard job</t>
  </si>
  <si>
    <t>Two cleaners for three hours is six paid hours - the costing tab works that out for you.</t>
  </si>
  <si>
    <t>Travel allowance between jobs (minutes)</t>
  </si>
  <si>
    <t>Added to each job when the scheduler checks whether two bookings clash.</t>
  </si>
  <si>
    <t>Area measured in</t>
  </si>
  <si>
    <t>sq ft</t>
  </si>
  <si>
    <t>Square feet or square metres - the price per unit below should match.</t>
  </si>
  <si>
    <t>Distance measured in</t>
  </si>
  <si>
    <t>miles</t>
  </si>
  <si>
    <t>Today</t>
  </si>
  <si>
    <t>Every 'due', 'overdue' and 'coming up' flag in the workbook counts from this cell, so they all move on by themselves overnight.</t>
  </si>
  <si>
    <t>This month starts</t>
  </si>
  <si>
    <t>This month ends</t>
  </si>
  <si>
    <t>This week starts</t>
  </si>
  <si>
    <t>3. What you charge</t>
  </si>
  <si>
    <t>These are the numbers the quote calculator multiplies. Set them once from your own costs and local market - the figures shipped with the workbook are a realistic starting point, not advice on what to charge.</t>
  </si>
  <si>
    <t>Standard hourly rate</t>
  </si>
  <si>
    <t>What one cleaner's hour costs the client.</t>
  </si>
  <si>
    <t>Minimum charge for any job</t>
  </si>
  <si>
    <t>No quote leaves below this, however small the job. It covers getting there and back.</t>
  </si>
  <si>
    <t>Price per sq ft</t>
  </si>
  <si>
    <t>Used by the area based pricing method - common for offices and end of tenancy work.</t>
  </si>
  <si>
    <t>Price per bedroom</t>
  </si>
  <si>
    <t>Price per bathroom</t>
  </si>
  <si>
    <t>Bathrooms and kitchens take the longest - price them higher than a bedroom.</t>
  </si>
  <si>
    <t>Price per other room</t>
  </si>
  <si>
    <t>Call out / travel fee</t>
  </si>
  <si>
    <t>Deep clean uplift</t>
  </si>
  <si>
    <t>A deep clean takes far longer than a weekly visit. 45% means a $200 clean quotes at $290.</t>
  </si>
  <si>
    <t>Move in / move out uplift</t>
  </si>
  <si>
    <t>Pet surcharge</t>
  </si>
  <si>
    <t>Hair and paw prints are real extra minutes. Set it to 0 if you would rather absorb it.</t>
  </si>
  <si>
    <t>Deposit to take up front</t>
  </si>
  <si>
    <t>Shown on quotes and contracts for larger jobs.</t>
  </si>
  <si>
    <t>Price rounding</t>
  </si>
  <si>
    <t>Nearest 5</t>
  </si>
  <si>
    <t>Quotes look more professional rounded. 'Nearest 5' turns 187.40 into 185.</t>
  </si>
  <si>
    <t>4. What the work costs you</t>
  </si>
  <si>
    <t>Cleaner pay rate an hour</t>
  </si>
  <si>
    <t>Gross pay before your on-costs.</t>
  </si>
  <si>
    <t>Overtime multiplier</t>
  </si>
  <si>
    <t>1.5 = time and a half on overtime hours.</t>
  </si>
  <si>
    <t>Employer on-costs</t>
  </si>
  <si>
    <t>Payroll tax, insurance, holiday pay, sick pay - the part of an employee most owners forget to price in.</t>
  </si>
  <si>
    <t>True cost of one cleaner hour</t>
  </si>
  <si>
    <t>Pay plus on-costs. Every job costing and profit figure in the workbook uses this.</t>
  </si>
  <si>
    <t>Supplies used per hour</t>
  </si>
  <si>
    <t>Chemicals, cloths, bags - the consumables a cleaning hour burns through.</t>
  </si>
  <si>
    <t>Mileage rate per mile</t>
  </si>
  <si>
    <t>What you reimburse (or claim) for travel.</t>
  </si>
  <si>
    <t>Target gross margin</t>
  </si>
  <si>
    <t>What a healthy job should make after wages and supplies. The quote calculator shows you the price that hits it.</t>
  </si>
  <si>
    <t>Flag a job below this margin</t>
  </si>
  <si>
    <t>Anything thinner than this turns red on the costing tab and the dashboard.</t>
  </si>
  <si>
    <t>5. Invoicing and payment</t>
  </si>
  <si>
    <t>Sales tax / VAT rate</t>
  </si>
  <si>
    <t>Leave at 0 if you are not registered. Every invoice total adds this to the net amount.</t>
  </si>
  <si>
    <t>What you call the tax</t>
  </si>
  <si>
    <t>Sales tax</t>
  </si>
  <si>
    <t>VAT, GST, Sales tax - whatever the invoice should say.</t>
  </si>
  <si>
    <t>Payment terms (days)</t>
  </si>
  <si>
    <t>Due date = invoice date plus this. The overdue flags count from the due date.</t>
  </si>
  <si>
    <t>Late fee</t>
  </si>
  <si>
    <t>Only charge it if your contract says you can.</t>
  </si>
  <si>
    <t>Grace days before 'overdue'</t>
  </si>
  <si>
    <t>A quote stays valid for (days)</t>
  </si>
  <si>
    <t>Bank / payment details</t>
  </si>
  <si>
    <t>Bright &amp; Tidy Ltd - 00-00-00 12345678</t>
  </si>
  <si>
    <t>Printed at the bottom of every invoice.</t>
  </si>
  <si>
    <t>6. Targets the dashboard measures you against</t>
  </si>
  <si>
    <t>Revenue target a month</t>
  </si>
  <si>
    <t>Revenue target a year</t>
  </si>
  <si>
    <t>Expense budget a month</t>
  </si>
  <si>
    <t>Utilisation target</t>
  </si>
  <si>
    <t>Share of the hours you pay for that you actually bill. 75% is good for a small team.</t>
  </si>
  <si>
    <t>Client retention target</t>
  </si>
  <si>
    <t>Quote win rate target</t>
  </si>
  <si>
    <t>Winning every quote usually means you are too cheap. Half is a healthy place to be.</t>
  </si>
  <si>
    <t>Satisfaction target (out of 5)</t>
  </si>
  <si>
    <t>7. When the workbook should nudge you</t>
  </si>
  <si>
    <t>Remind me about a job this many days early</t>
  </si>
  <si>
    <t>Drives the 'coming up' list on the dashboard and the confirmation chase list.</t>
  </si>
  <si>
    <t>Chase an unanswered quote after (days)</t>
  </si>
  <si>
    <t>The single highest value number on this tab. Most lost quotes were never followed up.</t>
  </si>
  <si>
    <t>A client is 'going quiet' after (days)</t>
  </si>
  <si>
    <t>Used by the retention tab to spot clients drifting away before they are gone.</t>
  </si>
  <si>
    <t>Days of stock that counts as low</t>
  </si>
  <si>
    <t>Service equipment every (days)</t>
  </si>
  <si>
    <t>Warn before a certificate expires (days)</t>
  </si>
  <si>
    <t>Insurance, background checks, training - the Safety tab turns amber this far ahead.</t>
  </si>
  <si>
    <t>Warn before a contract renews (days)</t>
  </si>
  <si>
    <t>8. ID prefixes</t>
  </si>
  <si>
    <t>The letters in front of the automatic numbers. Change them before you start entering data, not after.</t>
  </si>
  <si>
    <t>Client IDs</t>
  </si>
  <si>
    <t>CL-</t>
  </si>
  <si>
    <t>Property IDs</t>
  </si>
  <si>
    <t>PR-</t>
  </si>
  <si>
    <t>Lead IDs</t>
  </si>
  <si>
    <t>LD-</t>
  </si>
  <si>
    <t>Service IDs</t>
  </si>
  <si>
    <t>SV-</t>
  </si>
  <si>
    <t>Quote IDs</t>
  </si>
  <si>
    <t>Q-</t>
  </si>
  <si>
    <t>Job IDs</t>
  </si>
  <si>
    <t>JOB-</t>
  </si>
  <si>
    <t>Invoice IDs</t>
  </si>
  <si>
    <t>INV-</t>
  </si>
  <si>
    <t>Payment IDs</t>
  </si>
  <si>
    <t>PAY-</t>
  </si>
  <si>
    <t>Employee IDs</t>
  </si>
  <si>
    <t>EMP-</t>
  </si>
  <si>
    <t>Supply IDs</t>
  </si>
  <si>
    <t>SUP-</t>
  </si>
  <si>
    <t>Equipment IDs</t>
  </si>
  <si>
    <t>EQ-</t>
  </si>
  <si>
    <t>Expense IDs</t>
  </si>
  <si>
    <t>EXP-</t>
  </si>
  <si>
    <t>Complaint IDs</t>
  </si>
  <si>
    <t>CMP-</t>
  </si>
  <si>
    <t>9. About this workbook</t>
  </si>
  <si>
    <t>Product</t>
  </si>
  <si>
    <t>Version</t>
  </si>
  <si>
    <t>1.0.0</t>
  </si>
  <si>
    <t>Created by</t>
  </si>
  <si>
    <t>Novality Store</t>
  </si>
  <si>
    <t>Sheet protection password</t>
  </si>
  <si>
    <t>premium</t>
  </si>
  <si>
    <t>Review &gt; Unprotect Sheet if you need to change a formula.</t>
  </si>
  <si>
    <t>Currency</t>
  </si>
  <si>
    <t>$ (USD)</t>
  </si>
  <si>
    <t>Changed a price here? Everything updates straight away - the quote calculator, every open quote, the job costing and the dashboard all read these cells rather than keeping their own copy. Invoices you have already sent keep the amount you typed on them.</t>
  </si>
  <si>
    <t>Business Dashboard</t>
  </si>
  <si>
    <t>Today, this week and the year so far - all worked out from the jobs, invoices and expenses you have already entered.</t>
  </si>
  <si>
    <t>&gt; Quotes</t>
  </si>
  <si>
    <t>Business</t>
  </si>
  <si>
    <t>Month</t>
  </si>
  <si>
    <t>Month key</t>
  </si>
  <si>
    <t>Revenue this month</t>
  </si>
  <si>
    <t>target $6,000</t>
  </si>
  <si>
    <t>Invoiced this month</t>
  </si>
  <si>
    <t>what you have billed</t>
  </si>
  <si>
    <t>Collected this month</t>
  </si>
  <si>
    <t>money actually in</t>
  </si>
  <si>
    <t>Owed to you right now</t>
  </si>
  <si>
    <t>every unpaid invoice</t>
  </si>
  <si>
    <t>Costs this month</t>
  </si>
  <si>
    <t>budget $4,000</t>
  </si>
  <si>
    <t>Profit this month</t>
  </si>
  <si>
    <t>revenue less expenses</t>
  </si>
  <si>
    <t>Margin this month</t>
  </si>
  <si>
    <t>after wages and overheads</t>
  </si>
  <si>
    <t>Average job value</t>
  </si>
  <si>
    <t>completed work this month</t>
  </si>
  <si>
    <t>Jobs this week</t>
  </si>
  <si>
    <t>booked in the next seven days</t>
  </si>
  <si>
    <t>Hours booked this week</t>
  </si>
  <si>
    <t>across the whole team</t>
  </si>
  <si>
    <t>Quotes waiting</t>
  </si>
  <si>
    <t>worth chasing today</t>
  </si>
  <si>
    <t>Active clients</t>
  </si>
  <si>
    <t>on the books right now</t>
  </si>
  <si>
    <t>Needs your attention</t>
  </si>
  <si>
    <t>How many</t>
  </si>
  <si>
    <t>What it means</t>
  </si>
  <si>
    <t>Where to fix it</t>
  </si>
  <si>
    <t>Jobs with no cleaner</t>
  </si>
  <si>
    <t>Jobs</t>
  </si>
  <si>
    <t>Visits to confirm</t>
  </si>
  <si>
    <t>Double bookings</t>
  </si>
  <si>
    <t>Jobs done but not invoiced</t>
  </si>
  <si>
    <t>Invoices</t>
  </si>
  <si>
    <t>Overdue invoices</t>
  </si>
  <si>
    <t>Quotes to chase</t>
  </si>
  <si>
    <t>Quotes</t>
  </si>
  <si>
    <t>Leads with no quote</t>
  </si>
  <si>
    <t>Leads</t>
  </si>
  <si>
    <t>Clients going quiet</t>
  </si>
  <si>
    <t>Supplies to reorder</t>
  </si>
  <si>
    <t>Supplies</t>
  </si>
  <si>
    <t>Equipment due a service</t>
  </si>
  <si>
    <t>Equipment</t>
  </si>
  <si>
    <t>Certificates expiring</t>
  </si>
  <si>
    <t>Safety</t>
  </si>
  <si>
    <t>Open complaints</t>
  </si>
  <si>
    <t>Complaints</t>
  </si>
  <si>
    <t>Loss-making jobs</t>
  </si>
  <si>
    <t>Job Costing</t>
  </si>
  <si>
    <t>Timesheets to approve</t>
  </si>
  <si>
    <t>Timesheets</t>
  </si>
  <si>
    <t>The next seven days</t>
  </si>
  <si>
    <t>Day</t>
  </si>
  <si>
    <t>Week</t>
  </si>
  <si>
    <t>Jobs booked</t>
  </si>
  <si>
    <t>Hours on site</t>
  </si>
  <si>
    <t>Value</t>
  </si>
  <si>
    <t>Cleaners needed</t>
  </si>
  <si>
    <t>Nothing in a column means a free day - the best day to fit in a quote visit, a deep clean or some time off.</t>
  </si>
  <si>
    <t>Your five biggest clients</t>
  </si>
  <si>
    <t>Client</t>
  </si>
  <si>
    <t>Type</t>
  </si>
  <si>
    <t>Jobs done</t>
  </si>
  <si>
    <t>Invoiced</t>
  </si>
  <si>
    <t>Profit</t>
  </si>
  <si>
    <t>Margin</t>
  </si>
  <si>
    <t>Worth a year</t>
  </si>
  <si>
    <t>Last clean</t>
  </si>
  <si>
    <t>Standing</t>
  </si>
  <si>
    <t>The year so far</t>
  </si>
  <si>
    <t>Revenue</t>
  </si>
  <si>
    <t>Collected</t>
  </si>
  <si>
    <t>Costs</t>
  </si>
  <si>
    <t>New clients</t>
  </si>
  <si>
    <t>Trend</t>
  </si>
  <si>
    <t>Revenue counts jobs marked Completed or Invoiced. Collected is money actually received. The little charts on the right are, top to bottom: revenue, costs, profit.</t>
  </si>
  <si>
    <t>Sales pipeline</t>
  </si>
  <si>
    <t>Stage</t>
  </si>
  <si>
    <t>Notes</t>
  </si>
  <si>
    <t>New enquiries</t>
  </si>
  <si>
    <t>Call them today - speed wins more cleaning work than price</t>
  </si>
  <si>
    <t>Quotes out</t>
  </si>
  <si>
    <t>Money sitting in somebody else's inbox</t>
  </si>
  <si>
    <t>Accepted, not booked</t>
  </si>
  <si>
    <t>They said yes. Put it in the diary before they forget</t>
  </si>
  <si>
    <t>Won this year</t>
  </si>
  <si>
    <t>Quotes accepted</t>
  </si>
  <si>
    <t>Lost this year</t>
  </si>
  <si>
    <t>Worth reading the reasons on the Leads tab</t>
  </si>
  <si>
    <t>Every figure on this page is calculated. If a number looks wrong, the fix is on the tab it came from - usually a job left at the wrong status, or an invoice with no lines.</t>
  </si>
  <si>
    <t>Fill in the white cells. The price, the cost, the margin and the yearly value all work themselves out.</t>
  </si>
  <si>
    <t>1. What are we cleaning?</t>
  </si>
  <si>
    <t>You can start from a property you already have on file, or just type the numbers in. Nothing here changes any of your saved data.</t>
  </si>
  <si>
    <t>Service</t>
  </si>
  <si>
    <t>Regular home clean</t>
  </si>
  <si>
    <t>From the Services tab. Its hours, price and uplift are used below.</t>
  </si>
  <si>
    <t>Client type</t>
  </si>
  <si>
    <t>Residential</t>
  </si>
  <si>
    <t>Floor area (sq ft)</t>
  </si>
  <si>
    <t>Leave at 0 if you do not know it - the room count will carry the estimate.</t>
  </si>
  <si>
    <t>Bedrooms</t>
  </si>
  <si>
    <t>Bathrooms</t>
  </si>
  <si>
    <t>Bathrooms and kitchens are where the time really goes.</t>
  </si>
  <si>
    <t>Other rooms</t>
  </si>
  <si>
    <t>Condition</t>
  </si>
  <si>
    <t>Normal</t>
  </si>
  <si>
    <t>Be honest. This multiplies the hours - the factors are on the Lists tab.</t>
  </si>
  <si>
    <t>How often</t>
  </si>
  <si>
    <t>Weekly</t>
  </si>
  <si>
    <t>Regular work takes less time per visit, so it is priced lower.</t>
  </si>
  <si>
    <t>Pets at the property?</t>
  </si>
  <si>
    <t>Yes</t>
  </si>
  <si>
    <t>Distance one way (miles)</t>
  </si>
  <si>
    <t>Add the call-out fee?</t>
  </si>
  <si>
    <t>No</t>
  </si>
  <si>
    <t>Adds the $15 call-out fee from Settings.</t>
  </si>
  <si>
    <t>Cleaners on the job</t>
  </si>
  <si>
    <t>Hours (override the estimate)</t>
  </si>
  <si>
    <t>Leave at 0 to let the calculator estimate. Type a number if you have walked the job.</t>
  </si>
  <si>
    <t>Hourly rate (override)</t>
  </si>
  <si>
    <t>0 uses the standard rate from Settings.</t>
  </si>
  <si>
    <t>Discount</t>
  </si>
  <si>
    <t>A first-clean discount is the cheapest way to win recurring work - but watch the margin below.</t>
  </si>
  <si>
    <t>2. Extras</t>
  </si>
  <si>
    <t>Add-ons priced straight from the Services tab. Ovens, interior windows, inside the fridge - the jobs that turn an average clean into a good one.</t>
  </si>
  <si>
    <t>Extra</t>
  </si>
  <si>
    <t>Qty</t>
  </si>
  <si>
    <t>Each</t>
  </si>
  <si>
    <t>Total</t>
  </si>
  <si>
    <t>Hours it adds</t>
  </si>
  <si>
    <t>Oven clean</t>
  </si>
  <si>
    <t>Extras total</t>
  </si>
  <si>
    <t>3. How long it should take</t>
  </si>
  <si>
    <t>Hours from the room count</t>
  </si>
  <si>
    <t>Bedrooms at 27 minutes, bathrooms at 36, everything else at 18. Change the weights here if your own figures differ.</t>
  </si>
  <si>
    <t>Hours from the floor area</t>
  </si>
  <si>
    <t>One cleaner covers about 650 sq ft (60 sq m) an hour on a standard clean.</t>
  </si>
  <si>
    <t>Hours the service allows</t>
  </si>
  <si>
    <t>Base hours used</t>
  </si>
  <si>
    <t>Your override if you gave one, the service time for a fixed-price job, otherwise the larger of the room and area estimates.</t>
  </si>
  <si>
    <t>Condition factor</t>
  </si>
  <si>
    <t>Hours for this job</t>
  </si>
  <si>
    <t>Total cleaner-hours, including the extras.</t>
  </si>
  <si>
    <t>Time on site</t>
  </si>
  <si>
    <t>How long the visit lasts with your crew on it. This is what you tell the client.</t>
  </si>
  <si>
    <t>4. Four ways to price it</t>
  </si>
  <si>
    <t>The same job, priced four different ways. They rarely agree - that is the point. Pick the method that suits the client and sanity-check it against the others.</t>
  </si>
  <si>
    <t>Rate used</t>
  </si>
  <si>
    <t>Service uplift</t>
  </si>
  <si>
    <t>Deep cleans and end of tenancy work carry an uplift - it is set on the Services tab.</t>
  </si>
  <si>
    <t>A. By the hour</t>
  </si>
  <si>
    <t>B. By floor area</t>
  </si>
  <si>
    <t>The usual way to price offices and end of tenancy work.</t>
  </si>
  <si>
    <t>C. By the room</t>
  </si>
  <si>
    <t>D. The catalogue price</t>
  </si>
  <si>
    <t>Price for your target margin</t>
  </si>
  <si>
    <t>What you would have to charge to hit the margin on your Settings tab.</t>
  </si>
  <si>
    <t>Price using</t>
  </si>
  <si>
    <t>A - by the hour</t>
  </si>
  <si>
    <t>Choose the method this quote uses.</t>
  </si>
  <si>
    <t>My own price</t>
  </si>
  <si>
    <t>Only used when the method above is F.</t>
  </si>
  <si>
    <t>5. What the job costs you</t>
  </si>
  <si>
    <t>Wages</t>
  </si>
  <si>
    <t>Hours times the true cost of a cleaner hour - pay plus your on-costs.</t>
  </si>
  <si>
    <t>Travel</t>
  </si>
  <si>
    <t>There and back, at the mileage rate on the Settings tab.</t>
  </si>
  <si>
    <t>Total cost to deliver</t>
  </si>
  <si>
    <t>6. The quote</t>
  </si>
  <si>
    <t>Chosen price</t>
  </si>
  <si>
    <t>Frequency factor</t>
  </si>
  <si>
    <t>Weekly work is priced below a one-off because it takes less time. The factors are on the Lists tab.</t>
  </si>
  <si>
    <t>After the frequency discount</t>
  </si>
  <si>
    <t>Call-out fee</t>
  </si>
  <si>
    <t>Extras</t>
  </si>
  <si>
    <t>Price before rounding</t>
  </si>
  <si>
    <t>The minimum charge of $90 applies to every job.</t>
  </si>
  <si>
    <t>Quote this price</t>
  </si>
  <si>
    <t>Rounded the way you asked on the Settings tab. This is the number you give the client.</t>
  </si>
  <si>
    <t>Total including tax</t>
  </si>
  <si>
    <t>Deposit to ask for</t>
  </si>
  <si>
    <t>7. Is it worth doing?</t>
  </si>
  <si>
    <t>Profit on the visit</t>
  </si>
  <si>
    <t>You earn an hour</t>
  </si>
  <si>
    <t>Profit per cleaner-hour. Compare it with your other work before you say yes.</t>
  </si>
  <si>
    <t>Price per sq unit</t>
  </si>
  <si>
    <t>Verdict</t>
  </si>
  <si>
    <t>8. The same client at every frequency</t>
  </si>
  <si>
    <t>What this job is worth over twelve months if they book weekly, fortnightly or monthly. It is the argument for offering the regular discount - and the reason a one-off deep clean is worth less than it looks.</t>
  </si>
  <si>
    <t>Frequency</t>
  </si>
  <si>
    <t>Factor</t>
  </si>
  <si>
    <t>Price a visit</t>
  </si>
  <si>
    <t>Visits a year</t>
  </si>
  <si>
    <t>Value a year</t>
  </si>
  <si>
    <t>Profit a year</t>
  </si>
  <si>
    <t>Happy with the number? Raise it on the Quotes tab, add the lines on Quote Lines, and the follow-up reminders start by themselves. Nothing you do on this page is saved - it is a calculator, not a record.</t>
  </si>
  <si>
    <t>Client Database</t>
  </si>
  <si>
    <t>Every customer, what they have spent, what they earn you and when you last saw them.</t>
  </si>
  <si>
    <t>&gt; Invoices</t>
  </si>
  <si>
    <t>&gt; Staff</t>
  </si>
  <si>
    <t>&gt; Help</t>
  </si>
  <si>
    <t>Add the client here first, then their address on the Properties tab, then book the work on the Jobs tab. Everything downstream keys off the client ID in column A.</t>
  </si>
  <si>
    <t>ID</t>
  </si>
  <si>
    <t>Main contact</t>
  </si>
  <si>
    <t>Billing address</t>
  </si>
  <si>
    <t>Status</t>
  </si>
  <si>
    <t>Came from</t>
  </si>
  <si>
    <t>Client since</t>
  </si>
  <si>
    <t>Usual frequency</t>
  </si>
  <si>
    <t>Preferred day</t>
  </si>
  <si>
    <t>Preferred time</t>
  </si>
  <si>
    <t>Preferred cleaner</t>
  </si>
  <si>
    <t>Agreed hourly rate</t>
  </si>
  <si>
    <t>Pays by</t>
  </si>
  <si>
    <t>Contract</t>
  </si>
  <si>
    <t>Contract ends</t>
  </si>
  <si>
    <t>VIP?</t>
  </si>
  <si>
    <t>Happy to be contacted?</t>
  </si>
  <si>
    <t>Properties</t>
  </si>
  <si>
    <t>Cancelled</t>
  </si>
  <si>
    <t>Days since</t>
  </si>
  <si>
    <t>Next booking</t>
  </si>
  <si>
    <t>Invoiced to date</t>
  </si>
  <si>
    <t>Paid to date</t>
  </si>
  <si>
    <t>Owing now</t>
  </si>
  <si>
    <t>Average job</t>
  </si>
  <si>
    <t>Profit to date</t>
  </si>
  <si>
    <t>Average rating</t>
  </si>
  <si>
    <t>Rank</t>
  </si>
  <si>
    <t>Risk score</t>
  </si>
  <si>
    <t>Risk order</t>
  </si>
  <si>
    <t>Action</t>
  </si>
  <si>
    <t>Harper Residence</t>
  </si>
  <si>
    <t>Megan Harper</t>
  </si>
  <si>
    <t>(503) 555 0188</t>
  </si>
  <si>
    <t>megan.harper@example.com</t>
  </si>
  <si>
    <t>42 Larch Street, Portland OR 97215</t>
  </si>
  <si>
    <t>Regular</t>
  </si>
  <si>
    <t>Google search</t>
  </si>
  <si>
    <t>Tuesday</t>
  </si>
  <si>
    <t>Morning (9-12)</t>
  </si>
  <si>
    <t>Marta Kovacs</t>
  </si>
  <si>
    <t>Rolling monthly</t>
  </si>
  <si>
    <t>Two cats. Hates the smell of bleach - use the eco spray.</t>
  </si>
  <si>
    <t>Okafor Family</t>
  </si>
  <si>
    <t>Tobi Okafor</t>
  </si>
  <si>
    <t>(503) 555 0231</t>
  </si>
  <si>
    <t>tobi.okafor@example.com</t>
  </si>
  <si>
    <t>9 Elmwood Court, Portland OR 97212</t>
  </si>
  <si>
    <t>Referral - client</t>
  </si>
  <si>
    <t>Fortnightly</t>
  </si>
  <si>
    <t>Thursday</t>
  </si>
  <si>
    <t>Afternoon (2-5)</t>
  </si>
  <si>
    <t>Jade Ellis</t>
  </si>
  <si>
    <t>Twins under three - toys everywhere, allow extra tidy time.</t>
  </si>
  <si>
    <t>Riverbend Dental</t>
  </si>
  <si>
    <t>Medical &amp; dental</t>
  </si>
  <si>
    <t>Dr. Alan Reyes</t>
  </si>
  <si>
    <t>(503) 555 0410</t>
  </si>
  <si>
    <t>practice@riverbenddental.example</t>
  </si>
  <si>
    <t>118 Riverbend Plaza, Suite 3, Portland OR 97209</t>
  </si>
  <si>
    <t>Active</t>
  </si>
  <si>
    <t>Directory listing</t>
  </si>
  <si>
    <t>Friday</t>
  </si>
  <si>
    <t>Late (5-8)</t>
  </si>
  <si>
    <t>Tomas Ruiz</t>
  </si>
  <si>
    <t>12 months</t>
  </si>
  <si>
    <t>Clinical waste stays with the practice. Sign in at reception.</t>
  </si>
  <si>
    <t>Cedar &amp; Co Accountants</t>
  </si>
  <si>
    <t>Commercial office</t>
  </si>
  <si>
    <t>Priya Shah</t>
  </si>
  <si>
    <t>(503) 555 0366</t>
  </si>
  <si>
    <t>priya@cedarandco.example</t>
  </si>
  <si>
    <t>77 Cedar Avenue, Floor 2, Portland OR 97204</t>
  </si>
  <si>
    <t>Twice a week</t>
  </si>
  <si>
    <t>Out of hours only. Alarm code is on the Properties tab.</t>
  </si>
  <si>
    <t>Lakeview Lettings</t>
  </si>
  <si>
    <t>Letting agent</t>
  </si>
  <si>
    <t>Sam Whitlock</t>
  </si>
  <si>
    <t>(503) 555 0177</t>
  </si>
  <si>
    <t>sam@lakeviewlettings.example</t>
  </si>
  <si>
    <t>3 Lakeview Road, Portland OR 97202</t>
  </si>
  <si>
    <t>One-off</t>
  </si>
  <si>
    <t>Flexible</t>
  </si>
  <si>
    <t>Priya Raman</t>
  </si>
  <si>
    <t>No contract</t>
  </si>
  <si>
    <t>End of tenancy work. Always wants photos and a receipt.</t>
  </si>
  <si>
    <t>The Maple Cafe</t>
  </si>
  <si>
    <t>Restaurant &amp; cafe</t>
  </si>
  <si>
    <t>Gio Bellini</t>
  </si>
  <si>
    <t>(503) 555 0145</t>
  </si>
  <si>
    <t>gio@maplecafe.example</t>
  </si>
  <si>
    <t>210 Maple Street, Portland OR 97214</t>
  </si>
  <si>
    <t>Word of mouth</t>
  </si>
  <si>
    <t>Sunday</t>
  </si>
  <si>
    <t>Early (7-9)</t>
  </si>
  <si>
    <t>Amara Diallo</t>
  </si>
  <si>
    <t>6 months</t>
  </si>
  <si>
    <t>Before opening. Kitchen deep clean quarterly, billed separately.</t>
  </si>
  <si>
    <t>Bright Start Nursery</t>
  </si>
  <si>
    <t>School &amp; nursery</t>
  </si>
  <si>
    <t>Carla Jensen</t>
  </si>
  <si>
    <t>(503) 555 0122</t>
  </si>
  <si>
    <t>carla@brightstart.example</t>
  </si>
  <si>
    <t>15 Juniper Lane, Portland OR 97213</t>
  </si>
  <si>
    <t>Background checks required for everyone on site. No harsh chemicals in the baby room.</t>
  </si>
  <si>
    <t>Nguyen Household</t>
  </si>
  <si>
    <t>Lien Nguyen</t>
  </si>
  <si>
    <t>(503) 555 0259</t>
  </si>
  <si>
    <t>lien.nguyen@example.com</t>
  </si>
  <si>
    <t>88 Alder Way, Portland OR 97211</t>
  </si>
  <si>
    <t>Facebook</t>
  </si>
  <si>
    <t>Wednesday</t>
  </si>
  <si>
    <t>Shoes off at the door. Key is in the lockbox.</t>
  </si>
  <si>
    <t>Summit Fitness Studio</t>
  </si>
  <si>
    <t>Gym &amp; studio</t>
  </si>
  <si>
    <t>Dev Patel</t>
  </si>
  <si>
    <t>(503) 555 0333</t>
  </si>
  <si>
    <t>dev@summitfitness.example</t>
  </si>
  <si>
    <t>501 Summit Drive, Portland OR 97201</t>
  </si>
  <si>
    <t>Instagram</t>
  </si>
  <si>
    <t>Luke Bennett</t>
  </si>
  <si>
    <t>Mirrors and mats matter more than floors here.</t>
  </si>
  <si>
    <t>Hartley Holiday Lets</t>
  </si>
  <si>
    <t>Holiday let / Airbnb</t>
  </si>
  <si>
    <t>Rosie Hartley</t>
  </si>
  <si>
    <t>(503) 555 0288</t>
  </si>
  <si>
    <t>rosie@hartleylets.example</t>
  </si>
  <si>
    <t>6 Quay Street, Portland OR 97209</t>
  </si>
  <si>
    <t>Nextdoor</t>
  </si>
  <si>
    <t>Saturday</t>
  </si>
  <si>
    <t>Midday (12-2)</t>
  </si>
  <si>
    <t>Changeover between 11 and 3. Linen is in the hall cupboard.</t>
  </si>
  <si>
    <t>Donovan Residence</t>
  </si>
  <si>
    <t>Paul Donovan</t>
  </si>
  <si>
    <t>(503) 555 0194</t>
  </si>
  <si>
    <t>paul.donovan@example.com</t>
  </si>
  <si>
    <t>27 Birch Close, Portland OR 97215</t>
  </si>
  <si>
    <t>Paused</t>
  </si>
  <si>
    <t>Van signage</t>
  </si>
  <si>
    <t>Paused for the summer, back in September - call in August.</t>
  </si>
  <si>
    <t>Willow Park Estates</t>
  </si>
  <si>
    <t>Property manager</t>
  </si>
  <si>
    <t>Grace Lin</t>
  </si>
  <si>
    <t>(503) 555 0401</t>
  </si>
  <si>
    <t>grace@willowpark.example</t>
  </si>
  <si>
    <t>Willow Park, Block A-D, Portland OR 97217</t>
  </si>
  <si>
    <t>Referral - staff</t>
  </si>
  <si>
    <t>Four communal stairwells and the bin stores. Invoice monthly.</t>
  </si>
  <si>
    <t>Byrne Residence</t>
  </si>
  <si>
    <t>Aoife Byrne</t>
  </si>
  <si>
    <t>(503) 555 0276</t>
  </si>
  <si>
    <t>aoife.byrne@example.com</t>
  </si>
  <si>
    <t>14 Rosewood Terrace, Portland OR 97206</t>
  </si>
  <si>
    <t>New</t>
  </si>
  <si>
    <t>Google Business Profile</t>
  </si>
  <si>
    <t>Trial period</t>
  </si>
  <si>
    <t>Came from a deep clean quote. Trialling a fortnightly visit.</t>
  </si>
  <si>
    <t>Stonebridge Law</t>
  </si>
  <si>
    <t>Marcus Webb</t>
  </si>
  <si>
    <t>(503) 555 0388</t>
  </si>
  <si>
    <t>m.webb@stonebridgelaw.example</t>
  </si>
  <si>
    <t>4 Stonebridge Court, Portland OR 97204</t>
  </si>
  <si>
    <t>Yelp</t>
  </si>
  <si>
    <t>Confidential paperwork - never move anything off a desk.</t>
  </si>
  <si>
    <t>Alvarez Family</t>
  </si>
  <si>
    <t>Ines Alvarez</t>
  </si>
  <si>
    <t>(503) 555 0215</t>
  </si>
  <si>
    <t>ines.alvarez@example.com</t>
  </si>
  <si>
    <t>63 Hawthorn Road, Portland OR 97203</t>
  </si>
  <si>
    <t>Inactive</t>
  </si>
  <si>
    <t>Flyer / leaflet</t>
  </si>
  <si>
    <t>Moved out of the area in the spring. Left a five star review.</t>
  </si>
  <si>
    <t>The places you clean, how long they take and what they should be worth.</t>
  </si>
  <si>
    <t>One row per address. Fill in the size, the condition and how you get in, and the workbook estimates the hours and suggests a price straight away.</t>
  </si>
  <si>
    <t>Property</t>
  </si>
  <si>
    <t>Client ID</t>
  </si>
  <si>
    <t>Property type</t>
  </si>
  <si>
    <t>Area (sq ft)</t>
  </si>
  <si>
    <t>Floor types</t>
  </si>
  <si>
    <t>Pets</t>
  </si>
  <si>
    <t>How we get in</t>
  </si>
  <si>
    <t>Key</t>
  </si>
  <si>
    <t>Entry instructions</t>
  </si>
  <si>
    <t>Parking</t>
  </si>
  <si>
    <t>Distance (miles)</t>
  </si>
  <si>
    <t>Checklist</t>
  </si>
  <si>
    <t>Client supplies?</t>
  </si>
  <si>
    <t>Active?</t>
  </si>
  <si>
    <t>Size hours</t>
  </si>
  <si>
    <t>Estimated hours</t>
  </si>
  <si>
    <t>Suggested price</t>
  </si>
  <si>
    <t>Labour cost</t>
  </si>
  <si>
    <t>Estimated margin</t>
  </si>
  <si>
    <t>Jobs here</t>
  </si>
  <si>
    <t>Last visit</t>
  </si>
  <si>
    <t>Average actual hours</t>
  </si>
  <si>
    <t>Estimate vs actual</t>
  </si>
  <si>
    <t>Revenue here</t>
  </si>
  <si>
    <t>Harper - family home</t>
  </si>
  <si>
    <t>CL-0001</t>
  </si>
  <si>
    <t>House</t>
  </si>
  <si>
    <t>Mixed</t>
  </si>
  <si>
    <t>Dog &amp; cat</t>
  </si>
  <si>
    <t>We hold a key</t>
  </si>
  <si>
    <t>Held by us</t>
  </si>
  <si>
    <t>Key 12 on the board. Alarm panel inside the front door, code on the client card.</t>
  </si>
  <si>
    <t>Driveway</t>
  </si>
  <si>
    <t>Cat flap in the utility door. Dog is friendly.</t>
  </si>
  <si>
    <t>Okafor - townhouse</t>
  </si>
  <si>
    <t>CL-0002</t>
  </si>
  <si>
    <t>Townhouse</t>
  </si>
  <si>
    <t>Carpet &amp; tile</t>
  </si>
  <si>
    <t>Needs attention</t>
  </si>
  <si>
    <t>None</t>
  </si>
  <si>
    <t>Client at home</t>
  </si>
  <si>
    <t>Not applicable</t>
  </si>
  <si>
    <t>Someone is always in. Ring, do not knock - the bell wakes the baby.</t>
  </si>
  <si>
    <t>Free street parking</t>
  </si>
  <si>
    <t>Playroom gets the worst of it.</t>
  </si>
  <si>
    <t>Riverbend Dental - practice</t>
  </si>
  <si>
    <t>CL-0003</t>
  </si>
  <si>
    <t>Clinic</t>
  </si>
  <si>
    <t>Vinyl</t>
  </si>
  <si>
    <t>Reception sign-in</t>
  </si>
  <si>
    <t>Sign in at reception, collect the visitor badge, sign out on the way through.</t>
  </si>
  <si>
    <t>Visitor bay</t>
  </si>
  <si>
    <t>Office clean - small</t>
  </si>
  <si>
    <t>Four surgeries, waiting room, two staff rooms. Clinical bins are not ours.</t>
  </si>
  <si>
    <t>Cedar &amp; Co - second floor</t>
  </si>
  <si>
    <t>CL-0004</t>
  </si>
  <si>
    <t>Office suite</t>
  </si>
  <si>
    <t>Carpet</t>
  </si>
  <si>
    <t>Very clean - upkeep only</t>
  </si>
  <si>
    <t>Keypad code</t>
  </si>
  <si>
    <t>Keypad code then the green button. Re-arm on the way out or the alarm company calls the owner.</t>
  </si>
  <si>
    <t>Car park</t>
  </si>
  <si>
    <t>Alarm: enter code within 30 seconds, panel by the lift.</t>
  </si>
  <si>
    <t>Lakeview - 12B Lakeview Road</t>
  </si>
  <si>
    <t>CL-0005</t>
  </si>
  <si>
    <t>Apartment</t>
  </si>
  <si>
    <t>12B Lakeview Road, Portland OR 97202</t>
  </si>
  <si>
    <t>Laminate</t>
  </si>
  <si>
    <t>Heavily soiled</t>
  </si>
  <si>
    <t>Agent meets us</t>
  </si>
  <si>
    <t>The agent unlocks and leaves. Call them when you are finished so they can lock up.</t>
  </si>
  <si>
    <t>Metered street</t>
  </si>
  <si>
    <t>End of tenancy clean</t>
  </si>
  <si>
    <t>End of tenancy. Oven and extractor are the big jobs.</t>
  </si>
  <si>
    <t>The Maple Cafe - front of house</t>
  </si>
  <si>
    <t>CL-0006</t>
  </si>
  <si>
    <t>Restaurant</t>
  </si>
  <si>
    <t>Tile</t>
  </si>
  <si>
    <t>Loading bay</t>
  </si>
  <si>
    <t>Restaurant &amp; kitchen clean</t>
  </si>
  <si>
    <t>Before 8am. Chairs down, floors mopped, glass polished.</t>
  </si>
  <si>
    <t>Bright Start Nursery - main building</t>
  </si>
  <si>
    <t>CL-0007</t>
  </si>
  <si>
    <t>School</t>
  </si>
  <si>
    <t>In the key safe</t>
  </si>
  <si>
    <t>Nursery &amp; school clean</t>
  </si>
  <si>
    <t>Toy sanitising on Fridays. Log it on the checklist.</t>
  </si>
  <si>
    <t>Nguyen - family home</t>
  </si>
  <si>
    <t>CL-0008</t>
  </si>
  <si>
    <t>Hardwood</t>
  </si>
  <si>
    <t>Cat</t>
  </si>
  <si>
    <t>Lockbox</t>
  </si>
  <si>
    <t>Lockbox on the gatepost. Put the key back before you leave, never in your pocket.</t>
  </si>
  <si>
    <t>Lockbox code changes every quarter - check before you go.</t>
  </si>
  <si>
    <t>Summit Fitness - studio</t>
  </si>
  <si>
    <t>CL-0009</t>
  </si>
  <si>
    <t>Gym</t>
  </si>
  <si>
    <t>Rubber</t>
  </si>
  <si>
    <t>Mats, mirrors, changing rooms. Before 7am.</t>
  </si>
  <si>
    <t>Hartley - Quay Street loft</t>
  </si>
  <si>
    <t>CL-0010</t>
  </si>
  <si>
    <t>Holiday let</t>
  </si>
  <si>
    <t>Permit needed</t>
  </si>
  <si>
    <t>Airbnb changeover</t>
  </si>
  <si>
    <t>Full changeover: linen, towels, welcome pack, photos.</t>
  </si>
  <si>
    <t>Hartley - Riverside studio</t>
  </si>
  <si>
    <t>19 Riverside Walk, Portland OR 97209</t>
  </si>
  <si>
    <t>Pay and display</t>
  </si>
  <si>
    <t>Small but fiddly. Same checklist as the loft.</t>
  </si>
  <si>
    <t>Donovan - bungalow</t>
  </si>
  <si>
    <t>CL-0011</t>
  </si>
  <si>
    <t>Bungalow</t>
  </si>
  <si>
    <t>Dog</t>
  </si>
  <si>
    <t>Paused until September.</t>
  </si>
  <si>
    <t>Willow Park - Block A</t>
  </si>
  <si>
    <t>CL-0012</t>
  </si>
  <si>
    <t>Communal area</t>
  </si>
  <si>
    <t>Willow Park Block A, Portland OR 97217</t>
  </si>
  <si>
    <t>Stone</t>
  </si>
  <si>
    <t>Concierge / front desk</t>
  </si>
  <si>
    <t>Concierge holds the key and will want the signature book.</t>
  </si>
  <si>
    <t>Communal area clean</t>
  </si>
  <si>
    <t>Stairwell, lift lobby, bin store.</t>
  </si>
  <si>
    <t>Willow Park - Block B</t>
  </si>
  <si>
    <t>Willow Park Block B, Portland OR 97217</t>
  </si>
  <si>
    <t>Same scope as Block A.</t>
  </si>
  <si>
    <t>Byrne - terrace</t>
  </si>
  <si>
    <t>CL-0013</t>
  </si>
  <si>
    <t>First deep clean done, now on a fortnightly trial.</t>
  </si>
  <si>
    <t>Stonebridge Law - ground floor</t>
  </si>
  <si>
    <t>CL-0014</t>
  </si>
  <si>
    <t>Smart lock</t>
  </si>
  <si>
    <t>One-time code sent the morning of the visit. It expires at midnight.</t>
  </si>
  <si>
    <t>Underground garage</t>
  </si>
  <si>
    <t>Desks are never to be cleared. Bins and floors only.</t>
  </si>
  <si>
    <t>Every enquiry, how long it has been waiting and who needs a phone call today.</t>
  </si>
  <si>
    <t>Log the enquiry the day it arrives, even the ones you are not sure about. Set a next action and a date, and the Action column becomes your call list.</t>
  </si>
  <si>
    <t>Enquiry date</t>
  </si>
  <si>
    <t>Name / company</t>
  </si>
  <si>
    <t>Address or area</t>
  </si>
  <si>
    <t>Interested in</t>
  </si>
  <si>
    <t>Frequency wanted</t>
  </si>
  <si>
    <t>Estimated value a year</t>
  </si>
  <si>
    <t>Quote sent</t>
  </si>
  <si>
    <t>Visit booked</t>
  </si>
  <si>
    <t>Last contacted</t>
  </si>
  <si>
    <t>Next action</t>
  </si>
  <si>
    <t>Next action due</t>
  </si>
  <si>
    <t>Became client</t>
  </si>
  <si>
    <t>If lost, why</t>
  </si>
  <si>
    <t>Days open</t>
  </si>
  <si>
    <t>Days since anything happened</t>
  </si>
  <si>
    <t>Quote total</t>
  </si>
  <si>
    <t>Quote status</t>
  </si>
  <si>
    <t>Won?</t>
  </si>
  <si>
    <t>Ellis Shaw</t>
  </si>
  <si>
    <t>(503) 555 0612</t>
  </si>
  <si>
    <t>ellis.shaw@example.com</t>
  </si>
  <si>
    <t>31 Fir Street, Portland OR 97215</t>
  </si>
  <si>
    <t>New enquiry</t>
  </si>
  <si>
    <t>Call back and book a quote visit</t>
  </si>
  <si>
    <t>Rang while we were on a job. Three bed, two bath, one dog.</t>
  </si>
  <si>
    <t>Priya Nair</t>
  </si>
  <si>
    <t>(503) 555 0633</t>
  </si>
  <si>
    <t>priya.nair@example.com</t>
  </si>
  <si>
    <t>8 Aspen Court, Portland OR 97212</t>
  </si>
  <si>
    <t>Contacted</t>
  </si>
  <si>
    <t>Send the quote</t>
  </si>
  <si>
    <t>Referred by the Okafors. Wants the same cleaner every week.</t>
  </si>
  <si>
    <t>Marsh &amp; Fletcher Dental</t>
  </si>
  <si>
    <t>(503) 555 0655</t>
  </si>
  <si>
    <t>office@marshfletcher.example</t>
  </si>
  <si>
    <t>202 Bridge Road, Portland OR 97209</t>
  </si>
  <si>
    <t>Site visit Thursday at 6pm</t>
  </si>
  <si>
    <t>Second practice in the area - could lead to both.</t>
  </si>
  <si>
    <t>Tom Ridley</t>
  </si>
  <si>
    <t>(503) 555 0677</t>
  </si>
  <si>
    <t>t.ridley@example.com</t>
  </si>
  <si>
    <t>77 Chestnut Avenue, Portland OR 97206</t>
  </si>
  <si>
    <t>Landlord</t>
  </si>
  <si>
    <t>Q-0004</t>
  </si>
  <si>
    <t>Chase the quote</t>
  </si>
  <si>
    <t>Tenant leaves on the 28th. Needs it done that week.</t>
  </si>
  <si>
    <t>Beacon Coworking</t>
  </si>
  <si>
    <t>(503) 555 0699</t>
  </si>
  <si>
    <t>hello@beaconcowork.example</t>
  </si>
  <si>
    <t>14 Beacon Street, Portland OR 97204</t>
  </si>
  <si>
    <t>Office clean - large</t>
  </si>
  <si>
    <t>Following up</t>
  </si>
  <si>
    <t>Q-0005</t>
  </si>
  <si>
    <t>Second follow-up call</t>
  </si>
  <si>
    <t>Biggest opportunity this quarter. Decision maker is Ana.</t>
  </si>
  <si>
    <t>Harriet Vance</t>
  </si>
  <si>
    <t>(503) 555 0701</t>
  </si>
  <si>
    <t>h.vance@example.com</t>
  </si>
  <si>
    <t>5 Willow Bank, Portland OR 97202</t>
  </si>
  <si>
    <t>First deep clean</t>
  </si>
  <si>
    <t>Won</t>
  </si>
  <si>
    <t>Q-0003</t>
  </si>
  <si>
    <t>Booked in</t>
  </si>
  <si>
    <t>Became the Byrne-style trial - booked a deep clean first.</t>
  </si>
  <si>
    <t>Sunnyside Apartments</t>
  </si>
  <si>
    <t>(503) 555 0722</t>
  </si>
  <si>
    <t>manager@sunnyside.example</t>
  </si>
  <si>
    <t>Sunnyside Block C, Portland OR 97217</t>
  </si>
  <si>
    <t>Lost</t>
  </si>
  <si>
    <t>Q-0006</t>
  </si>
  <si>
    <t>Price too high</t>
  </si>
  <si>
    <t>Went with a cheaper outfit. Worth a call in six months.</t>
  </si>
  <si>
    <t>Dalton Residence</t>
  </si>
  <si>
    <t>(503) 555 0744</t>
  </si>
  <si>
    <t>dalton.home@example.com</t>
  </si>
  <si>
    <t>19 Poplar Drive, Portland OR 97203</t>
  </si>
  <si>
    <t>Out of our area</t>
  </si>
  <si>
    <t>Forty minutes each way. Politely declined.</t>
  </si>
  <si>
    <t>Craig Mellor</t>
  </si>
  <si>
    <t>(503) 555 0766</t>
  </si>
  <si>
    <t>craig.mellor@example.com</t>
  </si>
  <si>
    <t>44 Hazel Road, Portland OR 97213</t>
  </si>
  <si>
    <t>Price it and text him back</t>
  </si>
  <si>
    <t>Saw the before and after photos on Instagram.</t>
  </si>
  <si>
    <t>Northgate Physio</t>
  </si>
  <si>
    <t>(503) 555 0788</t>
  </si>
  <si>
    <t>clinic@northgatephysio.example</t>
  </si>
  <si>
    <t>60 Northgate Way, Portland OR 97211</t>
  </si>
  <si>
    <t>Negotiating</t>
  </si>
  <si>
    <t>Q-0007</t>
  </si>
  <si>
    <t>They want 10% off for a 12 month contract</t>
  </si>
  <si>
    <t>Worth doing at 5% if they sign for a year.</t>
  </si>
  <si>
    <t>Cleaning Service Catalogue</t>
  </si>
  <si>
    <t>Your price list, with the margin on every service worked out for you.</t>
  </si>
  <si>
    <t>Set a price and the hours it takes, and the workbook tells you what the job costs you, what it makes and what you would need to charge to hit your target margin.</t>
  </si>
  <si>
    <t>Category</t>
  </si>
  <si>
    <t>Priced by</t>
  </si>
  <si>
    <t>Unit</t>
  </si>
  <si>
    <t>Price per unit</t>
  </si>
  <si>
    <t>Hours (one cleaner)</t>
  </si>
  <si>
    <t>Uplift</t>
  </si>
  <si>
    <t>Supplies cost</t>
  </si>
  <si>
    <t>Minimum charge</t>
  </si>
  <si>
    <t>Popular?</t>
  </si>
  <si>
    <t>Offered?</t>
  </si>
  <si>
    <t>Who can do it</t>
  </si>
  <si>
    <t>Equipment needed</t>
  </si>
  <si>
    <t>What it includes</t>
  </si>
  <si>
    <t>Standard price</t>
  </si>
  <si>
    <t>Supply cost</t>
  </si>
  <si>
    <t>Cost to deliver</t>
  </si>
  <si>
    <t>Earns an hour</t>
  </si>
  <si>
    <t>Price for target margin</t>
  </si>
  <si>
    <t>Times quoted</t>
  </si>
  <si>
    <t>Times booked</t>
  </si>
  <si>
    <t>Check</t>
  </si>
  <si>
    <t>Regular domestic clean</t>
  </si>
  <si>
    <t>Per hour</t>
  </si>
  <si>
    <t>hour</t>
  </si>
  <si>
    <t>Kitchen, bathrooms, floors, dusting and beds made. The weekly or fortnightly visit most homes book.</t>
  </si>
  <si>
    <t>Deep clean</t>
  </si>
  <si>
    <t>The one before the regular visits start: skirting boards, inside the oven, limescale, behind furniture.</t>
  </si>
  <si>
    <t>End of tenancy</t>
  </si>
  <si>
    <t>Per area</t>
  </si>
  <si>
    <t>Priced on floor area. Everything cleaned inside and out so the deposit comes back.</t>
  </si>
  <si>
    <t>Move in clean</t>
  </si>
  <si>
    <t>Move in / move out</t>
  </si>
  <si>
    <t>Before the furniture arrives. Cupboards, appliances, floors.</t>
  </si>
  <si>
    <t>Commercial &amp; office</t>
  </si>
  <si>
    <t>Flat price per visit</t>
  </si>
  <si>
    <t>visit</t>
  </si>
  <si>
    <t>Up to about 2,000 sq ft: desks, kitchen, washrooms, bins, floors.</t>
  </si>
  <si>
    <t>2,000 to 4,000 sq ft, same scope as the small office clean.</t>
  </si>
  <si>
    <t>Full reset between guests: linen, towels, bathroom, kitchen, welcome pack and photos.</t>
  </si>
  <si>
    <t>Stairwells, lobbies and bin stores for blocks and estates.</t>
  </si>
  <si>
    <t>Classroom floors, toilets, toy sanitising and touch points.</t>
  </si>
  <si>
    <t>Front of house, kitchen floors, surfaces and the bin area. Before opening or after close.</t>
  </si>
  <si>
    <t>Add-on / extra</t>
  </si>
  <si>
    <t>Per item</t>
  </si>
  <si>
    <t>oven</t>
  </si>
  <si>
    <t>Dip tank treatment for the racks, full degrease of the cavity, door glass split and cleaned.</t>
  </si>
  <si>
    <t>Interior window clean</t>
  </si>
  <si>
    <t>property</t>
  </si>
  <si>
    <t>Glass, frames and sills inside. Exterior is priced separately.</t>
  </si>
  <si>
    <t>Exterior window clean</t>
  </si>
  <si>
    <t>Window cleaning</t>
  </si>
  <si>
    <t>Pole fed, up to three storeys. Subcontracted to Chris.</t>
  </si>
  <si>
    <t>Carpet clean</t>
  </si>
  <si>
    <t>Carpet &amp; upholstery</t>
  </si>
  <si>
    <t>Per room</t>
  </si>
  <si>
    <t>room</t>
  </si>
  <si>
    <t>Hot water extraction. Allow four hours drying before furniture goes back.</t>
  </si>
  <si>
    <t>Upholstery clean</t>
  </si>
  <si>
    <t>item</t>
  </si>
  <si>
    <t>Sofas and armchairs, fabric only. Leather is a different treatment.</t>
  </si>
  <si>
    <t>Inside fridge</t>
  </si>
  <si>
    <t>Shelves out, washed, dried and put back.</t>
  </si>
  <si>
    <t>Inside kitchen cupboards</t>
  </si>
  <si>
    <t>kitchen</t>
  </si>
  <si>
    <t>Emptied, wiped inside and out, lined if you supply the liner.</t>
  </si>
  <si>
    <t>Spring clean</t>
  </si>
  <si>
    <t>The annual going-over: windows, blinds, cupboards, skirtings and the backs of things.</t>
  </si>
  <si>
    <t>Post-construction clean</t>
  </si>
  <si>
    <t>Post-construction</t>
  </si>
  <si>
    <t>Dust everywhere, paint specks, sticker removal. Price it after a site visit.</t>
  </si>
  <si>
    <t>Pressure wash patio</t>
  </si>
  <si>
    <t>Pressure washing</t>
  </si>
  <si>
    <t>Patios, paths and driveways. Weather dependent.</t>
  </si>
  <si>
    <t>Laundry &amp; ironing</t>
  </si>
  <si>
    <t>Charged by the hour at the property.</t>
  </si>
  <si>
    <t>Every quote you have sent, what it is worth, what it makes you and when to chase it.</t>
  </si>
  <si>
    <t>Raise the quote here, then list what is included on the Quote Lines tab using this quote's ID. The totals, the deposit and the margin all appear by themselves.</t>
  </si>
  <si>
    <t>Quote date</t>
  </si>
  <si>
    <t>Prospect name</t>
  </si>
  <si>
    <t>Property ID</t>
  </si>
  <si>
    <t>Main service</t>
  </si>
  <si>
    <t>Sent on</t>
  </si>
  <si>
    <t>Last followed up</t>
  </si>
  <si>
    <t>Accepted / declined on</t>
  </si>
  <si>
    <t>Deposit asked for</t>
  </si>
  <si>
    <t>Valid until</t>
  </si>
  <si>
    <t>Job booked</t>
  </si>
  <si>
    <t>If declined, why</t>
  </si>
  <si>
    <t>Terms shown</t>
  </si>
  <si>
    <t>Lines</t>
  </si>
  <si>
    <t>Hours quoted</t>
  </si>
  <si>
    <t>Subtotal</t>
  </si>
  <si>
    <t>Less discount</t>
  </si>
  <si>
    <t>Net</t>
  </si>
  <si>
    <t>Tax</t>
  </si>
  <si>
    <t>Deposit</t>
  </si>
  <si>
    <t>Valid to</t>
  </si>
  <si>
    <t>Days waiting</t>
  </si>
  <si>
    <t>Expired?</t>
  </si>
  <si>
    <t>PR-0015</t>
  </si>
  <si>
    <t>Accepted</t>
  </si>
  <si>
    <t>Trial fortnightly visit after the deep clean.</t>
  </si>
  <si>
    <t>PR-0009</t>
  </si>
  <si>
    <t>Studio wanted mirrors and mats done properly.</t>
  </si>
  <si>
    <t>Deep clean first, then talk about regular.</t>
  </si>
  <si>
    <t>Sent</t>
  </si>
  <si>
    <t>Two bed flat, tenant moving out on the 28th.</t>
  </si>
  <si>
    <t>Followed up</t>
  </si>
  <si>
    <t>Coworking space, 4,000 sq ft, two evenings a week.</t>
  </si>
  <si>
    <t>Declined</t>
  </si>
  <si>
    <t>Lost on price. They took a 55 a visit offer.</t>
  </si>
  <si>
    <t>They are pushing for 10%. Hold at 5% with a 12 month term.</t>
  </si>
  <si>
    <t>PR-0005</t>
  </si>
  <si>
    <t>Expired</t>
  </si>
  <si>
    <t>Agent never came back on this one - chase the branch.</t>
  </si>
  <si>
    <t>Quote Lines</t>
  </si>
  <si>
    <t>The detail behind every quote - one row per thing you are charging for.</t>
  </si>
  <si>
    <t>Quote ID</t>
  </si>
  <si>
    <t>Description on the quote</t>
  </si>
  <si>
    <t>Quantity</t>
  </si>
  <si>
    <t>Price each (override)</t>
  </si>
  <si>
    <t>Optional extra?</t>
  </si>
  <si>
    <t>Line notes</t>
  </si>
  <si>
    <t>Catalogue price</t>
  </si>
  <si>
    <t>Per</t>
  </si>
  <si>
    <t>Price each</t>
  </si>
  <si>
    <t>Wording used</t>
  </si>
  <si>
    <t>Hours</t>
  </si>
  <si>
    <t>Line value</t>
  </si>
  <si>
    <t>Line total</t>
  </si>
  <si>
    <t>Cost</t>
  </si>
  <si>
    <t>Line number</t>
  </si>
  <si>
    <t>Lookup key</t>
  </si>
  <si>
    <t>Q-0001</t>
  </si>
  <si>
    <t>Three bed terrace, fortnightly visit.</t>
  </si>
  <si>
    <t>Optional - they took it on the first visit only.</t>
  </si>
  <si>
    <t>Q-0002</t>
  </si>
  <si>
    <t>Two evening visits a week, mirrors and mats included.</t>
  </si>
  <si>
    <t>Whole house deep clean, two cleaners, one day.</t>
  </si>
  <si>
    <t>Full end of tenancy clean to inventory standard.</t>
  </si>
  <si>
    <t>Oven, racks and extractor - dip tank treatment.</t>
  </si>
  <si>
    <t>Three rooms of carpet, hot water extraction.</t>
  </si>
  <si>
    <t>Two evening visits a week across the whole floor.</t>
  </si>
  <si>
    <t>Monthly internal glass - optional extra.</t>
  </si>
  <si>
    <t>Four blocks, monthly visit each.</t>
  </si>
  <si>
    <t>Two visits a week, clinical waste excluded.</t>
  </si>
  <si>
    <t>Q-0008</t>
  </si>
  <si>
    <t>Two bed apartment, end of tenancy to inventory standard.</t>
  </si>
  <si>
    <t>Every visit you have booked, priced automatically and checked for clashes.</t>
  </si>
  <si>
    <t>Pick a client, a property and a service, give it a date and a cleaner, and the hours, the finish time and the price work themselves out. The Calendar tab shows the same rows as a diary.</t>
  </si>
  <si>
    <t>Date</t>
  </si>
  <si>
    <t>Start</t>
  </si>
  <si>
    <t>Job type</t>
  </si>
  <si>
    <t>Priority</t>
  </si>
  <si>
    <t>Cleaner</t>
  </si>
  <si>
    <t>Second cleaner</t>
  </si>
  <si>
    <t>Cleaners</t>
  </si>
  <si>
    <t>Planned hours (override)</t>
  </si>
  <si>
    <t>Price (override)</t>
  </si>
  <si>
    <t>Travel (miles, round trip)</t>
  </si>
  <si>
    <t>Recurring?</t>
  </si>
  <si>
    <t>Confirmed with client?</t>
  </si>
  <si>
    <t>Actual hours (if no timesheet)</t>
  </si>
  <si>
    <t>Client rating</t>
  </si>
  <si>
    <t>Feedback</t>
  </si>
  <si>
    <t>Job notes</t>
  </si>
  <si>
    <t>Hours (total)</t>
  </si>
  <si>
    <t>Crew used</t>
  </si>
  <si>
    <t>Finish</t>
  </si>
  <si>
    <t>Base price</t>
  </si>
  <si>
    <t>Price</t>
  </si>
  <si>
    <t>Actual hours</t>
  </si>
  <si>
    <t>Over / under</t>
  </si>
  <si>
    <t>Tasks done</t>
  </si>
  <si>
    <t>Checklist complete</t>
  </si>
  <si>
    <t>Invoice</t>
  </si>
  <si>
    <t>Next visit due</t>
  </si>
  <si>
    <t>Diary</t>
  </si>
  <si>
    <t>Upcoming date</t>
  </si>
  <si>
    <t>Diary order</t>
  </si>
  <si>
    <t>Needs a cleaner</t>
  </si>
  <si>
    <t>Assign order</t>
  </si>
  <si>
    <t>Days away</t>
  </si>
  <si>
    <t>Recurring visit</t>
  </si>
  <si>
    <t>PR-0004</t>
  </si>
  <si>
    <t>PR-0001</t>
  </si>
  <si>
    <t>PR-0008</t>
  </si>
  <si>
    <t>PR-0013</t>
  </si>
  <si>
    <t>PR-0014</t>
  </si>
  <si>
    <t>PR-0002</t>
  </si>
  <si>
    <t>PR-0007</t>
  </si>
  <si>
    <t>PR-0003</t>
  </si>
  <si>
    <t>PR-0016</t>
  </si>
  <si>
    <t>PR-0010</t>
  </si>
  <si>
    <t>PR-0011</t>
  </si>
  <si>
    <t>PR-0006</t>
  </si>
  <si>
    <t>Lovely job, booked a fortnightly after this.</t>
  </si>
  <si>
    <t>Converted straight to a fortnightly visit.</t>
  </si>
  <si>
    <t>No access</t>
  </si>
  <si>
    <t>Nobody home and the lockbox was empty. Charged nothing, rebooked.</t>
  </si>
  <si>
    <t>One-off clean</t>
  </si>
  <si>
    <t>High</t>
  </si>
  <si>
    <t>Added on at the end of the regular visit.</t>
  </si>
  <si>
    <t>Agent said it was the best handover all year.</t>
  </si>
  <si>
    <t>Oven was the worst we have seen. Photographed everything.</t>
  </si>
  <si>
    <t>Re-clean (free)</t>
  </si>
  <si>
    <t>Completed</t>
  </si>
  <si>
    <t>Sorted, thank you for coming back.</t>
  </si>
  <si>
    <t>Free re-clean after the complaint about the kitchen floor.</t>
  </si>
  <si>
    <t>Family away. Cancelled the night before, no charge.</t>
  </si>
  <si>
    <t>In progress</t>
  </si>
  <si>
    <t>Confirmed</t>
  </si>
  <si>
    <t>Quote visit</t>
  </si>
  <si>
    <t>Booked</t>
  </si>
  <si>
    <t>Site visit at Marsh &amp; Fletcher Dental - take the method statement.</t>
  </si>
  <si>
    <t>Four offices of carpet, quoted separately from the contract.</t>
  </si>
  <si>
    <t>Annual going-over. Blinds, windows and cupboards.</t>
  </si>
  <si>
    <t>Job Tasks &amp; Completion</t>
  </si>
  <si>
    <t>The checklist as it was really done - ticked off, timed and with the problems written down.</t>
  </si>
  <si>
    <t>Job ID</t>
  </si>
  <si>
    <t>Area</t>
  </si>
  <si>
    <t>Task</t>
  </si>
  <si>
    <t>Done by</t>
  </si>
  <si>
    <t>Minutes taken</t>
  </si>
  <si>
    <t>Quality</t>
  </si>
  <si>
    <t>Issue found</t>
  </si>
  <si>
    <t>Told the client?</t>
  </si>
  <si>
    <t>Photo link</t>
  </si>
  <si>
    <t>Required?</t>
  </si>
  <si>
    <t>Planned minutes</t>
  </si>
  <si>
    <t>Over / under (min)</t>
  </si>
  <si>
    <t>Complete?</t>
  </si>
  <si>
    <t>JOB-0075</t>
  </si>
  <si>
    <t>Kitchen</t>
  </si>
  <si>
    <t>Wipe down worktops and splashback</t>
  </si>
  <si>
    <t>Done</t>
  </si>
  <si>
    <t>Good</t>
  </si>
  <si>
    <t>Clean sink and taps, polish dry</t>
  </si>
  <si>
    <t>Front of cupboards and appliances</t>
  </si>
  <si>
    <t>Hob and extractor front</t>
  </si>
  <si>
    <t>Inside the microwave</t>
  </si>
  <si>
    <t>Bathroom</t>
  </si>
  <si>
    <t>Descale and polish the shower screen</t>
  </si>
  <si>
    <t>Clean and disinfect the toilet</t>
  </si>
  <si>
    <t>Basin, taps and mirror</t>
  </si>
  <si>
    <t>Floor washed, edges included</t>
  </si>
  <si>
    <t>Bedroom</t>
  </si>
  <si>
    <t>Change the bed linen if left out</t>
  </si>
  <si>
    <t>Dust surfaces and headboard</t>
  </si>
  <si>
    <t>Living room</t>
  </si>
  <si>
    <t>Dust and polish all surfaces</t>
  </si>
  <si>
    <t>Vacuum carpets and under the cushions</t>
  </si>
  <si>
    <t>Hallway &amp; stairs</t>
  </si>
  <si>
    <t>Vacuum stairs and hall, wipe bannister</t>
  </si>
  <si>
    <t>Whole property</t>
  </si>
  <si>
    <t>Empty bins and replace liners</t>
  </si>
  <si>
    <t>Final walk through and lock up</t>
  </si>
  <si>
    <t>JOB-0072</t>
  </si>
  <si>
    <t>Reception</t>
  </si>
  <si>
    <t>Reception desk and glass door</t>
  </si>
  <si>
    <t>Excellent</t>
  </si>
  <si>
    <t>Open plan office</t>
  </si>
  <si>
    <t>Empty every bin, replace liners</t>
  </si>
  <si>
    <t>Wipe desks around equipment</t>
  </si>
  <si>
    <t>Vacuum throughout</t>
  </si>
  <si>
    <t>Kitchenette</t>
  </si>
  <si>
    <t>Worktops, sink and the front of the fridge</t>
  </si>
  <si>
    <t>Toilets</t>
  </si>
  <si>
    <t>Clean and disinfect, restock consumables</t>
  </si>
  <si>
    <t>Meeting room</t>
  </si>
  <si>
    <t>Table, chairs and whiteboard</t>
  </si>
  <si>
    <t>Touch points - handles and switches</t>
  </si>
  <si>
    <t>Set the alarm and sign out</t>
  </si>
  <si>
    <t>Job Calendar</t>
  </si>
  <si>
    <t>Every booked visit, laid out as a month and as a list. It is the Jobs tab seen sideways - change a job there and it moves here.</t>
  </si>
  <si>
    <t>Month starting</t>
  </si>
  <si>
    <t>Showing</t>
  </si>
  <si>
    <t>Type any date in the white cell - the grid always starts on the week containing it and runs for six weeks.</t>
  </si>
  <si>
    <t>The month</t>
  </si>
  <si>
    <t>The next thirty visits</t>
  </si>
  <si>
    <t>The list is in date order, nearest first, and it only shows visits from today onwards. An empty row means you have run out of bookings - which is either a quiet week or a sales problem.</t>
  </si>
  <si>
    <t>A note on calendar sync: a spreadsheet cannot push these visits into Google Calendar, Outlook or a phone by itself. What it can do is print - set the print area to the agenda and the week goes on the van dashboard. If you need live sync, export the Jobs tab to CSV and import it into your calendar app.</t>
  </si>
  <si>
    <t>The standard for every service, room by room, with honest minutes against each task.</t>
  </si>
  <si>
    <t>Write the checklist once per service. Add a property ID only for the tasks that apply to one address. The Print Job Sheet tab turns it into something the cleaner can carry.</t>
  </si>
  <si>
    <t>Checklist for</t>
  </si>
  <si>
    <t>Only at this property</t>
  </si>
  <si>
    <t>Order</t>
  </si>
  <si>
    <t>How it should look</t>
  </si>
  <si>
    <t>Minutes</t>
  </si>
  <si>
    <t>Photo needed?</t>
  </si>
  <si>
    <t>Products / kit</t>
  </si>
  <si>
    <t>In use?</t>
  </si>
  <si>
    <t>Total for this checklist</t>
  </si>
  <si>
    <t>Service allows</t>
  </si>
  <si>
    <t>Times ticked off</t>
  </si>
  <si>
    <t>Times skipped</t>
  </si>
  <si>
    <t>Issues found</t>
  </si>
  <si>
    <t>Standard</t>
  </si>
  <si>
    <t>Clear, dry and streak free - nothing left on the surface</t>
  </si>
  <si>
    <t>Every visit</t>
  </si>
  <si>
    <t>No limescale round the base of the tap</t>
  </si>
  <si>
    <t>No finger marks, handles wiped</t>
  </si>
  <si>
    <t>Degreased, no burnt-on spots</t>
  </si>
  <si>
    <t>Wiped out, turntable washed</t>
  </si>
  <si>
    <t>Clear glass, no water spots</t>
  </si>
  <si>
    <t>Inside, outside, behind and the seat hinges</t>
  </si>
  <si>
    <t>Polished, no splash marks on the mirror</t>
  </si>
  <si>
    <t>Hair cleared from corners and behind the door</t>
  </si>
  <si>
    <t>Bed made properly, old linen in the basket</t>
  </si>
  <si>
    <t>Nothing moved out of place, everything put back</t>
  </si>
  <si>
    <t>Including skirtings, sills and the top of the frames</t>
  </si>
  <si>
    <t>Lines left in the carpet, cushions plumped</t>
  </si>
  <si>
    <t>Edges done, no dust on the spindles</t>
  </si>
  <si>
    <t>Bins wiped if sticky, rubbish taken to the outside bin</t>
  </si>
  <si>
    <t>Lights off, windows shut, door locked, key where it should be</t>
  </si>
  <si>
    <t>No finger marks on the glass at eye height</t>
  </si>
  <si>
    <t>Including the recycling under each desk</t>
  </si>
  <si>
    <t>Nothing moved, no papers disturbed</t>
  </si>
  <si>
    <t>Under the desks as well as the walkways</t>
  </si>
  <si>
    <t>Dry, no crumbs, no mugs left in the sink</t>
  </si>
  <si>
    <t>Paper, soap and towels topped up</t>
  </si>
  <si>
    <t>Board wiped properly, chairs pushed in</t>
  </si>
  <si>
    <t>Every handle, switch and lift button</t>
  </si>
  <si>
    <t>Alarm armed, badge returned, log signed</t>
  </si>
  <si>
    <t>Strip beds and start the laundry</t>
  </si>
  <si>
    <t>Linen counted - report anything stained or missing</t>
  </si>
  <si>
    <t>Make up beds, hotel finish</t>
  </si>
  <si>
    <t>Crisp, square corners, cushions set out</t>
  </si>
  <si>
    <t>Full clean and fresh towels</t>
  </si>
  <si>
    <t>Towels folded the way the host likes them</t>
  </si>
  <si>
    <t>Empty, clean and restock</t>
  </si>
  <si>
    <t>Fridge emptied of guest food, dishwasher run and emptied</t>
  </si>
  <si>
    <t>Welcome pack and consumables</t>
  </si>
  <si>
    <t>Coffee, tea, milk, paper and soap replaced</t>
  </si>
  <si>
    <t>Check for damage and lost property</t>
  </si>
  <si>
    <t>Photograph anything at all - before the next guest arrives</t>
  </si>
  <si>
    <t>Reset the room to the photos</t>
  </si>
  <si>
    <t>Furniture and cushions exactly as the listing shows</t>
  </si>
  <si>
    <t>Vacuum and mop through</t>
  </si>
  <si>
    <t>No sand, no crumbs, no hair</t>
  </si>
  <si>
    <t>Bins out, recycling sorted</t>
  </si>
  <si>
    <t>Collection day is Tuesday - put them out the night before</t>
  </si>
  <si>
    <t>Photos to the host</t>
  </si>
  <si>
    <t>Six photos: each room ready for the guest</t>
  </si>
  <si>
    <t>Oven, racks and extractor</t>
  </si>
  <si>
    <t>Degreased to bare metal - this is what the deposit turns on</t>
  </si>
  <si>
    <t>Inside every cupboard and drawer</t>
  </si>
  <si>
    <t>Emptied, washed, dried, left open to air</t>
  </si>
  <si>
    <t>Fridge and freezer, defrosted</t>
  </si>
  <si>
    <t>Switched off, propped open, shelves washed</t>
  </si>
  <si>
    <t>Behind and beside the appliances</t>
  </si>
  <si>
    <t>Pull them out if you safely can</t>
  </si>
  <si>
    <t>Descale everything</t>
  </si>
  <si>
    <t>Tiles, screen, taps, shower head soaked</t>
  </si>
  <si>
    <t>Interior windows, frames and sills</t>
  </si>
  <si>
    <t>Including the runners</t>
  </si>
  <si>
    <t>Skirtings, doors and frames</t>
  </si>
  <si>
    <t>Washed, not just dusted</t>
  </si>
  <si>
    <t>Light fittings and switches</t>
  </si>
  <si>
    <t>Shades dusted, switches wiped</t>
  </si>
  <si>
    <t>Carpets vacuumed and spot treated</t>
  </si>
  <si>
    <t>Note any stain that will not come out</t>
  </si>
  <si>
    <t>Hard floors washed</t>
  </si>
  <si>
    <t>Edges and corners by hand</t>
  </si>
  <si>
    <t>Cobwebs, vents and extractor covers</t>
  </si>
  <si>
    <t>Look up - inventory clerks do</t>
  </si>
  <si>
    <t>Photograph every room finished</t>
  </si>
  <si>
    <t>Date stamped. It settles deposit arguments</t>
  </si>
  <si>
    <t>Vacuum stairs and landings</t>
  </si>
  <si>
    <t>Including the edges and the corners</t>
  </si>
  <si>
    <t>Mop the entrance hall</t>
  </si>
  <si>
    <t>Wet floor sign out while it dries</t>
  </si>
  <si>
    <t>Glass in the entrance doors</t>
  </si>
  <si>
    <t>Both sides, no smears</t>
  </si>
  <si>
    <t>Bin store - sweep and deodorise</t>
  </si>
  <si>
    <t>Bins pushed back, lids closed</t>
  </si>
  <si>
    <t>Dust handrails, sills and notice boards</t>
  </si>
  <si>
    <t>Old notices taken down</t>
  </si>
  <si>
    <t>Report anything broken or dumped</t>
  </si>
  <si>
    <t>Photograph it and send it to the managing agent</t>
  </si>
  <si>
    <t>Sanitise all touch points</t>
  </si>
  <si>
    <t>Handles, switches, rails, table edges - approved product only</t>
  </si>
  <si>
    <t>Toy surfaces and play mats</t>
  </si>
  <si>
    <t>Child-safe sanitiser, left to air dry</t>
  </si>
  <si>
    <t>Child toilets and low basins</t>
  </si>
  <si>
    <t>Disinfected, steps wiped, paper restocked</t>
  </si>
  <si>
    <t>Food prep surfaces</t>
  </si>
  <si>
    <t>Food-safe sanitiser, separate cloths</t>
  </si>
  <si>
    <t>Floors vacuumed and mopped</t>
  </si>
  <si>
    <t>Under the tables, along the skirtings</t>
  </si>
  <si>
    <t>Bins emptied, nappy bin sealed</t>
  </si>
  <si>
    <t>Nappy waste goes in the designated bin only</t>
  </si>
  <si>
    <t>Sign the cleaning record</t>
  </si>
  <si>
    <t>The inspector will ask for it</t>
  </si>
  <si>
    <t>Sweep and mop front of house</t>
  </si>
  <si>
    <t>Chairs up, under the tables, back down</t>
  </si>
  <si>
    <t>Tables, booths and high chairs</t>
  </si>
  <si>
    <t>Sanitised, no sticky edges</t>
  </si>
  <si>
    <t>Kitchen floor degreased</t>
  </si>
  <si>
    <t>Including under the pass and behind the fryer</t>
  </si>
  <si>
    <t>Stainless steel surfaces polished</t>
  </si>
  <si>
    <t>With the grain, no smears</t>
  </si>
  <si>
    <t>Customer toilets, full clean and restock</t>
  </si>
  <si>
    <t>Checked twice - this is what reviews mention</t>
  </si>
  <si>
    <t>Bin area and bottle store</t>
  </si>
  <si>
    <t>Hosed, deodorised, bins returned</t>
  </si>
  <si>
    <t>Entrance glass and menu board</t>
  </si>
  <si>
    <t>First thing a customer sees</t>
  </si>
  <si>
    <t>Put the recycling box out on a Tuesday</t>
  </si>
  <si>
    <t>Box at the end of the drive, lid weighted down</t>
  </si>
  <si>
    <t>Only at the Harper house - they asked specially.</t>
  </si>
  <si>
    <t>Your team, what they cost, what they bring in and how full their week is.</t>
  </si>
  <si>
    <t>Add everyone who cleans for you, including yourself and any subcontractors. Their names fill the drop downs on the Jobs, rota and timesheet tabs.</t>
  </si>
  <si>
    <t>Name</t>
  </si>
  <si>
    <t>Role</t>
  </si>
  <si>
    <t>Employment</t>
  </si>
  <si>
    <t>Emergency contact</t>
  </si>
  <si>
    <t>Started</t>
  </si>
  <si>
    <t>Pay an hour</t>
  </si>
  <si>
    <t>Contracted hours a week</t>
  </si>
  <si>
    <t>Trained on</t>
  </si>
  <si>
    <t>Areas covered</t>
  </si>
  <si>
    <t>Vehicle</t>
  </si>
  <si>
    <t>Driver?</t>
  </si>
  <si>
    <t>Background check?</t>
  </si>
  <si>
    <t>Own insurance?</t>
  </si>
  <si>
    <t>Uniform issued</t>
  </si>
  <si>
    <t>Pay used</t>
  </si>
  <si>
    <t>True cost an hour</t>
  </si>
  <si>
    <t>Jobs assigned</t>
  </si>
  <si>
    <t>Jobs ahead</t>
  </si>
  <si>
    <t>Week full</t>
  </si>
  <si>
    <t>Hours paid (all time)</t>
  </si>
  <si>
    <t>Hours billed</t>
  </si>
  <si>
    <t>Utilisation</t>
  </si>
  <si>
    <t>Wages paid</t>
  </si>
  <si>
    <t>Revenue brought in</t>
  </si>
  <si>
    <t>Contribution</t>
  </si>
  <si>
    <t>Late or absent</t>
  </si>
  <si>
    <t>List order</t>
  </si>
  <si>
    <t>Owner</t>
  </si>
  <si>
    <t>dana@brightandtidy.co</t>
  </si>
  <si>
    <t>Quoting, deep cleans, everything else</t>
  </si>
  <si>
    <t>N/A</t>
  </si>
  <si>
    <t>Quotes, invoices and the jobs nobody else can fit in.</t>
  </si>
  <si>
    <t>Team leader</t>
  </si>
  <si>
    <t>Full time</t>
  </si>
  <si>
    <t>(503) 555 0511</t>
  </si>
  <si>
    <t>marta@brightandtidy.co</t>
  </si>
  <si>
    <t>Residential, deep clean, training</t>
  </si>
  <si>
    <t>Runs van 1 and trains every new starter.</t>
  </si>
  <si>
    <t>(503) 555 0522</t>
  </si>
  <si>
    <t>jade@brightandtidy.co</t>
  </si>
  <si>
    <t>Residential, changeovers</t>
  </si>
  <si>
    <t>Fast and reliable on homes.</t>
  </si>
  <si>
    <t>(503) 555 0533</t>
  </si>
  <si>
    <t>tomas@brightandtidy.co</t>
  </si>
  <si>
    <t>Commercial, out of hours</t>
  </si>
  <si>
    <t>Does the evening office round. Holds the alarm codes.</t>
  </si>
  <si>
    <t>Deep clean specialist</t>
  </si>
  <si>
    <t>(503) 555 0544</t>
  </si>
  <si>
    <t>priya@brightandtidy.co</t>
  </si>
  <si>
    <t>Deep clean, end of tenancy, carpets</t>
  </si>
  <si>
    <t>The one to send when the place is in a state.</t>
  </si>
  <si>
    <t>Part time</t>
  </si>
  <si>
    <t>(503) 555 0555</t>
  </si>
  <si>
    <t>luke@brightandtidy.co</t>
  </si>
  <si>
    <t>Commercial, communal areas</t>
  </si>
  <si>
    <t>Mornings only - studies in the afternoon.</t>
  </si>
  <si>
    <t>Probation</t>
  </si>
  <si>
    <t>(503) 555 0566</t>
  </si>
  <si>
    <t>amara@brightandtidy.co</t>
  </si>
  <si>
    <t>Residential, cafe, nursery</t>
  </si>
  <si>
    <t>Three months in and already asked for by name.</t>
  </si>
  <si>
    <t>Chris Boyd</t>
  </si>
  <si>
    <t>Window cleaner</t>
  </si>
  <si>
    <t>Subcontractor</t>
  </si>
  <si>
    <t>(503) 555 0577</t>
  </si>
  <si>
    <t>chris@clearviewwindows.example</t>
  </si>
  <si>
    <t>Exterior windows, pressure washing</t>
  </si>
  <si>
    <t>Invoices us per property. Has his own insurance - on file.</t>
  </si>
  <si>
    <t>Who is working when, how full their week is and who has capacity for one more job.</t>
  </si>
  <si>
    <t>Week starting</t>
  </si>
  <si>
    <t>Value of the week</t>
  </si>
  <si>
    <t>Hours booked, by cleaner</t>
  </si>
  <si>
    <t>Week hours</t>
  </si>
  <si>
    <t>Contracted</t>
  </si>
  <si>
    <t>How full</t>
  </si>
  <si>
    <t>Team total</t>
  </si>
  <si>
    <t>Hours on site, not hours paid - add travel between jobs.</t>
  </si>
  <si>
    <t>Can you take more work this week?</t>
  </si>
  <si>
    <t>Measure</t>
  </si>
  <si>
    <t>This week</t>
  </si>
  <si>
    <t>Cleaners available</t>
  </si>
  <si>
    <t>Hours you could sell</t>
  </si>
  <si>
    <t>Hours booked</t>
  </si>
  <si>
    <t>Spare capacity</t>
  </si>
  <si>
    <t>Jobs with nobody on them</t>
  </si>
  <si>
    <t>Jobs still waiting for a cleaner</t>
  </si>
  <si>
    <t>Attendance this week</t>
  </si>
  <si>
    <t>Hours paid</t>
  </si>
  <si>
    <t>Late</t>
  </si>
  <si>
    <t>Absent</t>
  </si>
  <si>
    <t>Approved?</t>
  </si>
  <si>
    <t>The rota reads the Jobs tab - it does not change it. To move a job, change the cleaner or the date on the Jobs tab and this page follows. Holidays and sickness come from the Timesheets tab.</t>
  </si>
  <si>
    <t>Timesheets &amp; Attendance</t>
  </si>
  <si>
    <t>Hours worked, what they cost you and how much of them a client actually paid for.</t>
  </si>
  <si>
    <t>One row per cleaner per job. Record the start and finish times and the hours, the cost and the job costing all follow.</t>
  </si>
  <si>
    <t>Activity</t>
  </si>
  <si>
    <t>Break (min)</t>
  </si>
  <si>
    <t>Hours (override)</t>
  </si>
  <si>
    <t>Of which overtime</t>
  </si>
  <si>
    <t>Attendance</t>
  </si>
  <si>
    <t>Billable?</t>
  </si>
  <si>
    <t>Paid?</t>
  </si>
  <si>
    <t>Clocked</t>
  </si>
  <si>
    <t>Cost an hour</t>
  </si>
  <si>
    <t>Basic hours</t>
  </si>
  <si>
    <t>Cost to you</t>
  </si>
  <si>
    <t>Billed value</t>
  </si>
  <si>
    <t>JOB-0001</t>
  </si>
  <si>
    <t>On time</t>
  </si>
  <si>
    <t>JOB-0002</t>
  </si>
  <si>
    <t>JOB-0003</t>
  </si>
  <si>
    <t>JOB-0004</t>
  </si>
  <si>
    <t>JOB-0005</t>
  </si>
  <si>
    <t>JOB-0006</t>
  </si>
  <si>
    <t>JOB-0007</t>
  </si>
  <si>
    <t>JOB-0008</t>
  </si>
  <si>
    <t>JOB-0009</t>
  </si>
  <si>
    <t>JOB-0010</t>
  </si>
  <si>
    <t>Traffic on the bridge.</t>
  </si>
  <si>
    <t>JOB-0011</t>
  </si>
  <si>
    <t>JOB-0012</t>
  </si>
  <si>
    <t>JOB-0013</t>
  </si>
  <si>
    <t>JOB-0014</t>
  </si>
  <si>
    <t>JOB-0015</t>
  </si>
  <si>
    <t>JOB-0016</t>
  </si>
  <si>
    <t>JOB-0017</t>
  </si>
  <si>
    <t>JOB-0018</t>
  </si>
  <si>
    <t>JOB-0019</t>
  </si>
  <si>
    <t>JOB-0020</t>
  </si>
  <si>
    <t>JOB-0021</t>
  </si>
  <si>
    <t>JOB-0022</t>
  </si>
  <si>
    <t>JOB-0023</t>
  </si>
  <si>
    <t>JOB-0024</t>
  </si>
  <si>
    <t>JOB-0025</t>
  </si>
  <si>
    <t>JOB-0026</t>
  </si>
  <si>
    <t>JOB-0027</t>
  </si>
  <si>
    <t>JOB-0028</t>
  </si>
  <si>
    <t>JOB-0029</t>
  </si>
  <si>
    <t>JOB-0030</t>
  </si>
  <si>
    <t>JOB-0031</t>
  </si>
  <si>
    <t>JOB-0032</t>
  </si>
  <si>
    <t>JOB-0033</t>
  </si>
  <si>
    <t>JOB-0034</t>
  </si>
  <si>
    <t>JOB-0035</t>
  </si>
  <si>
    <t>JOB-0036</t>
  </si>
  <si>
    <t>JOB-0037</t>
  </si>
  <si>
    <t>JOB-0038</t>
  </si>
  <si>
    <t>JOB-0039</t>
  </si>
  <si>
    <t>JOB-0040</t>
  </si>
  <si>
    <t>JOB-0041</t>
  </si>
  <si>
    <t>JOB-0042</t>
  </si>
  <si>
    <t>JOB-0043</t>
  </si>
  <si>
    <t>JOB-0044</t>
  </si>
  <si>
    <t>JOB-0045</t>
  </si>
  <si>
    <t>JOB-0046</t>
  </si>
  <si>
    <t>JOB-0047</t>
  </si>
  <si>
    <t>JOB-0048</t>
  </si>
  <si>
    <t>JOB-0049</t>
  </si>
  <si>
    <t>JOB-0050</t>
  </si>
  <si>
    <t>JOB-0051</t>
  </si>
  <si>
    <t>JOB-0052</t>
  </si>
  <si>
    <t>JOB-0053</t>
  </si>
  <si>
    <t>JOB-0055</t>
  </si>
  <si>
    <t>JOB-0056</t>
  </si>
  <si>
    <t>JOB-0057</t>
  </si>
  <si>
    <t>JOB-0058</t>
  </si>
  <si>
    <t>JOB-0059</t>
  </si>
  <si>
    <t>JOB-0060</t>
  </si>
  <si>
    <t>JOB-0061</t>
  </si>
  <si>
    <t>JOB-0062</t>
  </si>
  <si>
    <t>JOB-0063</t>
  </si>
  <si>
    <t>JOB-0064</t>
  </si>
  <si>
    <t>JOB-0065</t>
  </si>
  <si>
    <t>JOB-0066</t>
  </si>
  <si>
    <t>JOB-0067</t>
  </si>
  <si>
    <t>JOB-0068</t>
  </si>
  <si>
    <t>JOB-0069</t>
  </si>
  <si>
    <t>JOB-0070</t>
  </si>
  <si>
    <t>JOB-0071</t>
  </si>
  <si>
    <t>JOB-0073</t>
  </si>
  <si>
    <t>JOB-0074</t>
  </si>
  <si>
    <t>JOB-0077</t>
  </si>
  <si>
    <t>JOB-0078</t>
  </si>
  <si>
    <t>JOB-0079</t>
  </si>
  <si>
    <t>JOB-0080</t>
  </si>
  <si>
    <t>JOB-0081</t>
  </si>
  <si>
    <t>JOB-0082</t>
  </si>
  <si>
    <t>JOB-0083</t>
  </si>
  <si>
    <t>JOB-0084</t>
  </si>
  <si>
    <t>Two quote visits and the drive between them.</t>
  </si>
  <si>
    <t>Training</t>
  </si>
  <si>
    <t>COSHH refresher with Amara.</t>
  </si>
  <si>
    <t>Supply run</t>
  </si>
  <si>
    <t>Stock collection from CleanCo.</t>
  </si>
  <si>
    <t>Admin errand</t>
  </si>
  <si>
    <t>Invoicing and chasing two overdue accounts.</t>
  </si>
  <si>
    <t>Sick</t>
  </si>
  <si>
    <t>Covered by Marta at the nursery.</t>
  </si>
  <si>
    <t>Every job, every cost, every margin - worked out for you. Only two columns here accept typing.</t>
  </si>
  <si>
    <t>This tab mirrors the Jobs tab row for row. Add any extra cost in the 'Other cost' column and read the profit, the margin and the profit per hour.</t>
  </si>
  <si>
    <t>Hours worked</t>
  </si>
  <si>
    <t>Hours costed</t>
  </si>
  <si>
    <t>Wages from timesheets</t>
  </si>
  <si>
    <t>Supplies logged</t>
  </si>
  <si>
    <t>Other cost</t>
  </si>
  <si>
    <t>Total cost</t>
  </si>
  <si>
    <t>Profit an hour</t>
  </si>
  <si>
    <t>Hours over estimate</t>
  </si>
  <si>
    <t>What you have billed, what has come in and what is late.</t>
  </si>
  <si>
    <t>Raise the invoice here, list the jobs on the Invoice Lines tab, and record the money on the Payments tab. The due date, the balance and the chase list look after themselves.</t>
  </si>
  <si>
    <t>Invoice date</t>
  </si>
  <si>
    <t>Covers</t>
  </si>
  <si>
    <t>Terms (days)</t>
  </si>
  <si>
    <t>Pay by</t>
  </si>
  <si>
    <t>PO / reference</t>
  </si>
  <si>
    <t>Reminders sent</t>
  </si>
  <si>
    <t>Last reminder</t>
  </si>
  <si>
    <t>Received</t>
  </si>
  <si>
    <t>Still owed</t>
  </si>
  <si>
    <t>Terms used</t>
  </si>
  <si>
    <t>Due</t>
  </si>
  <si>
    <t>Days late</t>
  </si>
  <si>
    <t>Age bracket</t>
  </si>
  <si>
    <t>Late fee due</t>
  </si>
  <si>
    <t>Settled?</t>
  </si>
  <si>
    <t>September 2026</t>
  </si>
  <si>
    <t>Paid</t>
  </si>
  <si>
    <t>Card</t>
  </si>
  <si>
    <t>Overdue</t>
  </si>
  <si>
    <t>Bank transfer</t>
  </si>
  <si>
    <t>PO-4002</t>
  </si>
  <si>
    <t>Monthly account.</t>
  </si>
  <si>
    <t>PO-4003</t>
  </si>
  <si>
    <t>PO-4004</t>
  </si>
  <si>
    <t>PO-4005</t>
  </si>
  <si>
    <t>PO-4007</t>
  </si>
  <si>
    <t>Part paid</t>
  </si>
  <si>
    <t>PO-4008</t>
  </si>
  <si>
    <t>PO-4009</t>
  </si>
  <si>
    <t>PO-4011</t>
  </si>
  <si>
    <t>October 2026</t>
  </si>
  <si>
    <t>PO-4014</t>
  </si>
  <si>
    <t>PO-4015</t>
  </si>
  <si>
    <t>PO-4016</t>
  </si>
  <si>
    <t>PO-4017</t>
  </si>
  <si>
    <t>PO-4018</t>
  </si>
  <si>
    <t>PO-4020</t>
  </si>
  <si>
    <t>PO-4021</t>
  </si>
  <si>
    <t>PO-4022</t>
  </si>
  <si>
    <t>PO-4024</t>
  </si>
  <si>
    <t>Invoice Lines</t>
  </si>
  <si>
    <t>One row per job (or per extra) on each invoice.</t>
  </si>
  <si>
    <t>Invoice ID</t>
  </si>
  <si>
    <t>Job date</t>
  </si>
  <si>
    <t>Description</t>
  </si>
  <si>
    <t>Taxable?</t>
  </si>
  <si>
    <t>Job price</t>
  </si>
  <si>
    <t>Billed twice?</t>
  </si>
  <si>
    <t>INV-0001</t>
  </si>
  <si>
    <t>INV-0002</t>
  </si>
  <si>
    <t>INV-0003</t>
  </si>
  <si>
    <t>INV-0004</t>
  </si>
  <si>
    <t>INV-0005</t>
  </si>
  <si>
    <t>INV-0006</t>
  </si>
  <si>
    <t>INV-0007</t>
  </si>
  <si>
    <t>INV-0008</t>
  </si>
  <si>
    <t>INV-0009</t>
  </si>
  <si>
    <t>INV-0010</t>
  </si>
  <si>
    <t>INV-0011</t>
  </si>
  <si>
    <t>INV-0012</t>
  </si>
  <si>
    <t>INV-0013</t>
  </si>
  <si>
    <t>INV-0014</t>
  </si>
  <si>
    <t>INV-0015</t>
  </si>
  <si>
    <t>INV-0016</t>
  </si>
  <si>
    <t>INV-0017</t>
  </si>
  <si>
    <t>INV-0018</t>
  </si>
  <si>
    <t>INV-0019</t>
  </si>
  <si>
    <t>INV-0020</t>
  </si>
  <si>
    <t>INV-0021</t>
  </si>
  <si>
    <t>INV-0022</t>
  </si>
  <si>
    <t>INV-0023</t>
  </si>
  <si>
    <t>INV-0024</t>
  </si>
  <si>
    <t>INV-0025</t>
  </si>
  <si>
    <t>Payment Tracking</t>
  </si>
  <si>
    <t>Every payment received, matched to its invoice.</t>
  </si>
  <si>
    <t>Date received</t>
  </si>
  <si>
    <t>Amount</t>
  </si>
  <si>
    <t>Processing fee</t>
  </si>
  <si>
    <t>Method</t>
  </si>
  <si>
    <t>Reference</t>
  </si>
  <si>
    <t>Is this a deposit?</t>
  </si>
  <si>
    <t>Banked?</t>
  </si>
  <si>
    <t>Net received</t>
  </si>
  <si>
    <t>Invoice total</t>
  </si>
  <si>
    <t>Paid on invoice</t>
  </si>
  <si>
    <t>Invoice balance after</t>
  </si>
  <si>
    <t>SUMUP-3301</t>
  </si>
  <si>
    <t>SUMUP-3302</t>
  </si>
  <si>
    <t>BT-8804</t>
  </si>
  <si>
    <t>BT-8805</t>
  </si>
  <si>
    <t>SUMUP-3307</t>
  </si>
  <si>
    <t>BT-8808</t>
  </si>
  <si>
    <t>BT-8809</t>
  </si>
  <si>
    <t>Part payment - balance promised next week.</t>
  </si>
  <si>
    <t>BT-8810</t>
  </si>
  <si>
    <t>SUMUP-3311</t>
  </si>
  <si>
    <t>BT-8812</t>
  </si>
  <si>
    <t>SUMUP-3314</t>
  </si>
  <si>
    <t>SUMUP-3320</t>
  </si>
  <si>
    <t>BT-8822</t>
  </si>
  <si>
    <t>SUMUP-3324</t>
  </si>
  <si>
    <t>SUMUP-3290</t>
  </si>
  <si>
    <t>Deposit to hold the date for the end of tenancy clean.</t>
  </si>
  <si>
    <t>Cleaning Supplies &amp; Inventory</t>
  </si>
  <si>
    <t>What you hold, what you use and what it is really costing per job.</t>
  </si>
  <si>
    <t>Count the cupboard once and put the date against it. From then on, log what you use on the Supply Usage tab and the stock level follows by itself.</t>
  </si>
  <si>
    <t>Item</t>
  </si>
  <si>
    <t>Supplier</t>
  </si>
  <si>
    <t>Units in a pack</t>
  </si>
  <si>
    <t>Pack cost</t>
  </si>
  <si>
    <t>Counted stock</t>
  </si>
  <si>
    <t>Counted on</t>
  </si>
  <si>
    <t>Reorder at</t>
  </si>
  <si>
    <t>Order quantity</t>
  </si>
  <si>
    <t>Last ordered</t>
  </si>
  <si>
    <t>Eco / low tox?</t>
  </si>
  <si>
    <t>Hazard sheet?</t>
  </si>
  <si>
    <t>Cost a unit</t>
  </si>
  <si>
    <t>Used (all time)</t>
  </si>
  <si>
    <t>Used since the count</t>
  </si>
  <si>
    <t>On hand</t>
  </si>
  <si>
    <t>Used in 28 days</t>
  </si>
  <si>
    <t>Used a day</t>
  </si>
  <si>
    <t>Days of cover</t>
  </si>
  <si>
    <t>Stock value</t>
  </si>
  <si>
    <t>Spent on it</t>
  </si>
  <si>
    <t>Stock</t>
  </si>
  <si>
    <t>Multi-surface cleaner</t>
  </si>
  <si>
    <t>Chemicals &amp; detergents</t>
  </si>
  <si>
    <t>CleanCo Supplies</t>
  </si>
  <si>
    <t>5L drum</t>
  </si>
  <si>
    <t>Diluted 1:40 in the trigger bottles. Data sheet on file.</t>
  </si>
  <si>
    <t>Bathroom descaler</t>
  </si>
  <si>
    <t>Acidic - never mix with bleach. Gloves and goggles.</t>
  </si>
  <si>
    <t>Kitchen degreaser</t>
  </si>
  <si>
    <t>The cafe and the oven work eat this.</t>
  </si>
  <si>
    <t>Glass cleaner</t>
  </si>
  <si>
    <t>Bottle</t>
  </si>
  <si>
    <t>Buy the concentrate, it is a third of the price.</t>
  </si>
  <si>
    <t>Toilet cleaner</t>
  </si>
  <si>
    <t>Wholesale Direct</t>
  </si>
  <si>
    <t>Disinfectant - nursery safe</t>
  </si>
  <si>
    <t>Specialist products</t>
  </si>
  <si>
    <t>Hygiene Partners</t>
  </si>
  <si>
    <t>The only product allowed in the baby room.</t>
  </si>
  <si>
    <t>Microfibre cloths - colour coded</t>
  </si>
  <si>
    <t>Cloths &amp; sponges</t>
  </si>
  <si>
    <t>Pack</t>
  </si>
  <si>
    <t>Red bathroom, blue general, green kitchen, yellow glass.</t>
  </si>
  <si>
    <t>Scourer sponges</t>
  </si>
  <si>
    <t>Mop heads</t>
  </si>
  <si>
    <t>Mops &amp; buckets</t>
  </si>
  <si>
    <t>Washed at 60 after every commercial job.</t>
  </si>
  <si>
    <t>Bin bags - heavy duty</t>
  </si>
  <si>
    <t>Bin bags &amp; waste</t>
  </si>
  <si>
    <t>Roll</t>
  </si>
  <si>
    <t>Nitrile gloves</t>
  </si>
  <si>
    <t>Gloves &amp; PPE</t>
  </si>
  <si>
    <t>Box</t>
  </si>
  <si>
    <t>Powder free. Two sizes in the van.</t>
  </si>
  <si>
    <t>Toilet rolls - commercial</t>
  </si>
  <si>
    <t>Paper &amp; consumables</t>
  </si>
  <si>
    <t>Case</t>
  </si>
  <si>
    <t>Recharged to the office clients at cost plus 10%.</t>
  </si>
  <si>
    <t>Hand soap refill</t>
  </si>
  <si>
    <t>Refill</t>
  </si>
  <si>
    <t>Vacuum bags - Sebo</t>
  </si>
  <si>
    <t>Vacuum bags &amp; filters</t>
  </si>
  <si>
    <t>Vac Spares Online</t>
  </si>
  <si>
    <t>Only fits the two uprights, not the backpack.</t>
  </si>
  <si>
    <t>Laundry detergent</t>
  </si>
  <si>
    <t>Laundry</t>
  </si>
  <si>
    <t>For the changeover linen.</t>
  </si>
  <si>
    <t>Oven cleaning gel</t>
  </si>
  <si>
    <t>Oven Pro Supplies</t>
  </si>
  <si>
    <t>Caustic. Full PPE, windows open, never on a hot oven.</t>
  </si>
  <si>
    <t>Supply Usage</t>
  </si>
  <si>
    <t>What you used, on which job, and what it cost.</t>
  </si>
  <si>
    <t>Quantity used</t>
  </si>
  <si>
    <t>Used by</t>
  </si>
  <si>
    <t>Why</t>
  </si>
  <si>
    <t>Used on the job</t>
  </si>
  <si>
    <t>Whole bottle on that oven. Charged for in the price.</t>
  </si>
  <si>
    <t>Stock take</t>
  </si>
  <si>
    <t>Changeover linen for the week.</t>
  </si>
  <si>
    <t>Equipment &amp; Assets</t>
  </si>
  <si>
    <t>What you own, what it costs to keep and when it next needs looking at.</t>
  </si>
  <si>
    <t>Add every machine worth more than a week's takings, plus the vans. Record the service date each time and the next one works itself out.</t>
  </si>
  <si>
    <t>Make &amp; model</t>
  </si>
  <si>
    <t>Serial / registration</t>
  </si>
  <si>
    <t>Ownership</t>
  </si>
  <si>
    <t>Assigned to</t>
  </si>
  <si>
    <t>Kept at</t>
  </si>
  <si>
    <t>Bought on</t>
  </si>
  <si>
    <t>Expected life (years)</t>
  </si>
  <si>
    <t>Warranty to</t>
  </si>
  <si>
    <t>Last serviced</t>
  </si>
  <si>
    <t>Service every (days)</t>
  </si>
  <si>
    <t>Spent on repairs</t>
  </si>
  <si>
    <t>Safety tested on</t>
  </si>
  <si>
    <t>Insured?</t>
  </si>
  <si>
    <t>Age (years)</t>
  </si>
  <si>
    <t>Costs a year</t>
  </si>
  <si>
    <t>Interval used</t>
  </si>
  <si>
    <t>Next service due</t>
  </si>
  <si>
    <t>Days to service</t>
  </si>
  <si>
    <t>Replace by</t>
  </si>
  <si>
    <t>Sebo upright - van 1</t>
  </si>
  <si>
    <t>Upright vacuum</t>
  </si>
  <si>
    <t>Sebo Automatic X7</t>
  </si>
  <si>
    <t>SB-774210</t>
  </si>
  <si>
    <t>Owned outright</t>
  </si>
  <si>
    <t>In service</t>
  </si>
  <si>
    <t>Van 1</t>
  </si>
  <si>
    <t>Workhorse. Belt changed every spring.</t>
  </si>
  <si>
    <t>Sebo upright - van 2</t>
  </si>
  <si>
    <t>SB-774588</t>
  </si>
  <si>
    <t>Van 2</t>
  </si>
  <si>
    <t>Numatic backpack</t>
  </si>
  <si>
    <t>Backpack vacuum</t>
  </si>
  <si>
    <t>Numatic RSB150</t>
  </si>
  <si>
    <t>NM-220914</t>
  </si>
  <si>
    <t>In use</t>
  </si>
  <si>
    <t>For the stairwells - saves twenty minutes a block.</t>
  </si>
  <si>
    <t>Wet and dry vacuum</t>
  </si>
  <si>
    <t>Wet &amp; dry vacuum</t>
  </si>
  <si>
    <t>Karcher WD6</t>
  </si>
  <si>
    <t>KR-556102</t>
  </si>
  <si>
    <t>Spare</t>
  </si>
  <si>
    <t>Store cupboard</t>
  </si>
  <si>
    <t>Comes out for floods and post-construction work.</t>
  </si>
  <si>
    <t>Carpet extraction machine</t>
  </si>
  <si>
    <t>Carpet machine</t>
  </si>
  <si>
    <t>Prochem Steempro</t>
  </si>
  <si>
    <t>PC-100483</t>
  </si>
  <si>
    <t>Financed</t>
  </si>
  <si>
    <t>On finance until next March. Earns its keep twice over.</t>
  </si>
  <si>
    <t>Steam cleaner</t>
  </si>
  <si>
    <t>Karcher SC4</t>
  </si>
  <si>
    <t>KR-889321</t>
  </si>
  <si>
    <t>In repair</t>
  </si>
  <si>
    <t>Repair shop</t>
  </si>
  <si>
    <t>Boiler seal gone. Quoted 60 to fix, 245 to replace.</t>
  </si>
  <si>
    <t>Pressure washer</t>
  </si>
  <si>
    <t>Nilfisk C135</t>
  </si>
  <si>
    <t>NF-443027</t>
  </si>
  <si>
    <t>Patio and bin store work only.</t>
  </si>
  <si>
    <t>Window pole system</t>
  </si>
  <si>
    <t>Unger HiFlo</t>
  </si>
  <si>
    <t>UG-770145</t>
  </si>
  <si>
    <t>Pure water system, three storey reach.</t>
  </si>
  <si>
    <t>Step ladder - 5 tread</t>
  </si>
  <si>
    <t>Ladder &amp; steps</t>
  </si>
  <si>
    <t>Youngman 5</t>
  </si>
  <si>
    <t>YM-003311</t>
  </si>
  <si>
    <t>Inspected quarterly - log it here.</t>
  </si>
  <si>
    <t>Cleaning trolley</t>
  </si>
  <si>
    <t>Trolley &amp; caddy</t>
  </si>
  <si>
    <t>Numatic NX1</t>
  </si>
  <si>
    <t>NM-551209</t>
  </si>
  <si>
    <t>Cedar &amp; Co site</t>
  </si>
  <si>
    <t>Lives at the office site - saves carrying.</t>
  </si>
  <si>
    <t>Van 1 - Transit Connect</t>
  </si>
  <si>
    <t>Ford Transit Connect</t>
  </si>
  <si>
    <t>VIN-9921</t>
  </si>
  <si>
    <t>Serviced every six months, MOT in the autumn.</t>
  </si>
  <si>
    <t>Van 2 - Berlingo</t>
  </si>
  <si>
    <t>Citroen Berlingo</t>
  </si>
  <si>
    <t>VIN-7740</t>
  </si>
  <si>
    <t>Business Expenses</t>
  </si>
  <si>
    <t>Everything that goes out, grouped the way your accountant wants to see it.</t>
  </si>
  <si>
    <t>What it was</t>
  </si>
  <si>
    <t>Paid to</t>
  </si>
  <si>
    <t>Amount (net)</t>
  </si>
  <si>
    <t>Paid by</t>
  </si>
  <si>
    <t>Who spent it</t>
  </si>
  <si>
    <t>Receipt?</t>
  </si>
  <si>
    <t>Claimable?</t>
  </si>
  <si>
    <t>Total paid</t>
  </si>
  <si>
    <t>This category, this month</t>
  </si>
  <si>
    <t>Share of the month</t>
  </si>
  <si>
    <t>On behalf of</t>
  </si>
  <si>
    <t>Business insurance</t>
  </si>
  <si>
    <t>Fixed monthly</t>
  </si>
  <si>
    <t>Public and employer liability</t>
  </si>
  <si>
    <t>Hiscox</t>
  </si>
  <si>
    <t>Direct debit</t>
  </si>
  <si>
    <t>Vehicle insurance</t>
  </si>
  <si>
    <t>Van 1 and van 2 fleet policy</t>
  </si>
  <si>
    <t>Admiral Business</t>
  </si>
  <si>
    <t>Software &amp; apps</t>
  </si>
  <si>
    <t>Accounting software and cloud storage</t>
  </si>
  <si>
    <t>Ledgerly</t>
  </si>
  <si>
    <t>Phone &amp; internet</t>
  </si>
  <si>
    <t>Two business mobiles</t>
  </si>
  <si>
    <t>Telecom NW</t>
  </si>
  <si>
    <t>Marketing &amp; advertising</t>
  </si>
  <si>
    <t>Google Ads - local cleaning searches</t>
  </si>
  <si>
    <t>Google</t>
  </si>
  <si>
    <t>Office &amp; rent</t>
  </si>
  <si>
    <t>Storage unit for stock and machines</t>
  </si>
  <si>
    <t>SpaceStore</t>
  </si>
  <si>
    <t>Accounting &amp; legal</t>
  </si>
  <si>
    <t>Bookkeeping</t>
  </si>
  <si>
    <t>Vehicle fuel</t>
  </si>
  <si>
    <t>Variable</t>
  </si>
  <si>
    <t>Van 1 fuel</t>
  </si>
  <si>
    <t>Shell</t>
  </si>
  <si>
    <t>Van 2 fuel</t>
  </si>
  <si>
    <t>Cleaning supplies</t>
  </si>
  <si>
    <t>Monthly stock order</t>
  </si>
  <si>
    <t>Changeover linen service</t>
  </si>
  <si>
    <t>Quay Laundry</t>
  </si>
  <si>
    <t>Subcontractors</t>
  </si>
  <si>
    <t>Job related</t>
  </si>
  <si>
    <t>Window cleaning - Chris Boyd</t>
  </si>
  <si>
    <t>Clearview Windows</t>
  </si>
  <si>
    <t>Equipment repair</t>
  </si>
  <si>
    <t>Steam cleaner boiler seal</t>
  </si>
  <si>
    <t>Emergency degreaser run</t>
  </si>
  <si>
    <t>Cash</t>
  </si>
  <si>
    <t>Training &amp; certification</t>
  </si>
  <si>
    <t>COSHH refresher for two cleaners</t>
  </si>
  <si>
    <t>BICSc</t>
  </si>
  <si>
    <t>Uniforms</t>
  </si>
  <si>
    <t>Six polo shirts and two fleeces</t>
  </si>
  <si>
    <t>WorkWear Direct</t>
  </si>
  <si>
    <t>Equipment purchase</t>
  </si>
  <si>
    <t>Replacement mop system</t>
  </si>
  <si>
    <t>Van signage refresh</t>
  </si>
  <si>
    <t>SignShop PDX</t>
  </si>
  <si>
    <t>Vehicle maintenance</t>
  </si>
  <si>
    <t>Van 1 service and MOT</t>
  </si>
  <si>
    <t>Hilltop Garage</t>
  </si>
  <si>
    <t>Bank &amp; card fees</t>
  </si>
  <si>
    <t>Card processing fees</t>
  </si>
  <si>
    <t>SumUp</t>
  </si>
  <si>
    <t>Waste disposal</t>
  </si>
  <si>
    <t>Trade waste from the end of tenancy job</t>
  </si>
  <si>
    <t>City Waste</t>
  </si>
  <si>
    <t>Wages &amp; payroll</t>
  </si>
  <si>
    <t>Weekly payroll run</t>
  </si>
  <si>
    <t>Payroll</t>
  </si>
  <si>
    <t>40.5 cleaner hours from the Timesheets tab, plus employer on-costs.</t>
  </si>
  <si>
    <t>39.6 cleaner hours from the Timesheets tab, plus employer on-costs.</t>
  </si>
  <si>
    <t>31.9 cleaner hours from the Timesheets tab, plus employer on-costs.</t>
  </si>
  <si>
    <t>32.7 cleaner hours from the Timesheets tab, plus employer on-costs.</t>
  </si>
  <si>
    <t>25.4 cleaner hours from the Timesheets tab, plus employer on-costs.</t>
  </si>
  <si>
    <t>25.1 cleaner hours from the Timesheets tab, plus employer on-costs.</t>
  </si>
  <si>
    <t>Mileage &amp; Travel</t>
  </si>
  <si>
    <t>Every trip, what it cost and which job should carry it.</t>
  </si>
  <si>
    <t>Driver</t>
  </si>
  <si>
    <t>Purpose</t>
  </si>
  <si>
    <t>From</t>
  </si>
  <si>
    <t>To</t>
  </si>
  <si>
    <t>Return trip?</t>
  </si>
  <si>
    <t>Rate (override)</t>
  </si>
  <si>
    <t>Parking &amp; tolls</t>
  </si>
  <si>
    <t>Claimed?</t>
  </si>
  <si>
    <t>Total miles</t>
  </si>
  <si>
    <t>Rate</t>
  </si>
  <si>
    <t>Travel cost</t>
  </si>
  <si>
    <t>Travel to job</t>
  </si>
  <si>
    <t>Base</t>
  </si>
  <si>
    <t>Car</t>
  </si>
  <si>
    <t>Two quotes in one trip.</t>
  </si>
  <si>
    <t>Bank &amp; post</t>
  </si>
  <si>
    <t>Bank and post office</t>
  </si>
  <si>
    <t>BICSc training centre</t>
  </si>
  <si>
    <t>COSHH refresher.</t>
  </si>
  <si>
    <t>Client Retention &amp; Recurring Services</t>
  </si>
  <si>
    <t>How much of your work comes back every week, who is slipping away and what it is worth to keep them.</t>
  </si>
  <si>
    <t>Everything on this page reads the Clients and Jobs tabs. Nothing here needs filling in - but the phone calls it suggests are the most profitable half hour in your week.</t>
  </si>
  <si>
    <t>Active or Regular</t>
  </si>
  <si>
    <t>Recurring clients</t>
  </si>
  <si>
    <t>with a booking in the diary</t>
  </si>
  <si>
    <t>Recurring value a year</t>
  </si>
  <si>
    <t>at today's frequencies</t>
  </si>
  <si>
    <t>Average client value a year</t>
  </si>
  <si>
    <t>across everyone on the books</t>
  </si>
  <si>
    <t>Clients at risk</t>
  </si>
  <si>
    <t>nothing for 60+ days</t>
  </si>
  <si>
    <t>Slipping away</t>
  </si>
  <si>
    <t>no next visit booked</t>
  </si>
  <si>
    <t>Dormant or lost</t>
  </si>
  <si>
    <t>gone, for now</t>
  </si>
  <si>
    <t>Retention rate</t>
  </si>
  <si>
    <t>target 85%</t>
  </si>
  <si>
    <t>How much of the work comes back</t>
  </si>
  <si>
    <t>Clients</t>
  </si>
  <si>
    <t>Share of the year</t>
  </si>
  <si>
    <t>A business built on weekly and fortnightly work survives a quiet January. One built on one-off deep cleans starts every month from zero.</t>
  </si>
  <si>
    <t>Ring these clients this week</t>
  </si>
  <si>
    <t>Days</t>
  </si>
  <si>
    <t>Next booked</t>
  </si>
  <si>
    <t>What to say</t>
  </si>
  <si>
    <t>The clients worth keeping most</t>
  </si>
  <si>
    <t>Rating</t>
  </si>
  <si>
    <t>Contracts and renewals</t>
  </si>
  <si>
    <t>Clients on a contract</t>
  </si>
  <si>
    <t>Renewing soon</t>
  </si>
  <si>
    <t>Contracts already expired</t>
  </si>
  <si>
    <t>Clients with no next visit</t>
  </si>
  <si>
    <t>Won back this year</t>
  </si>
  <si>
    <t>Three numbers worth remembering: a cleaning client who stays two years is worth roughly double one who stays one; most clients who leave never complained first; and the single best predictor of leaving is an empty diary. That is exactly what the first table on this page lists.</t>
  </si>
  <si>
    <t>Complaints &amp; Quality Control</t>
  </si>
  <si>
    <t>What went wrong, how fast you fixed it and whether you kept the client.</t>
  </si>
  <si>
    <t>Log every complaint, even the small ones you sorted out on the phone. The pattern is the point, not the individual row.</t>
  </si>
  <si>
    <t>Date raised</t>
  </si>
  <si>
    <t>Cleaner on the job</t>
  </si>
  <si>
    <t>What about</t>
  </si>
  <si>
    <t>Severity</t>
  </si>
  <si>
    <t>What they said</t>
  </si>
  <si>
    <t>Being handled by</t>
  </si>
  <si>
    <t>What we did</t>
  </si>
  <si>
    <t>Resolution</t>
  </si>
  <si>
    <t>Re-clean job</t>
  </si>
  <si>
    <t>Cost to put right</t>
  </si>
  <si>
    <t>Resolved on</t>
  </si>
  <si>
    <t>Client kept?</t>
  </si>
  <si>
    <t>Rating afterwards</t>
  </si>
  <si>
    <t>How we stop it happening again</t>
  </si>
  <si>
    <t>Still open?</t>
  </si>
  <si>
    <t>Repeat issue?</t>
  </si>
  <si>
    <t>Missed area</t>
  </si>
  <si>
    <t>Medium</t>
  </si>
  <si>
    <t>Kitchen floor behind the fryer was missed two weeks running.</t>
  </si>
  <si>
    <t>Resolved</t>
  </si>
  <si>
    <t>Went back the same week and did it free.</t>
  </si>
  <si>
    <t>Free re-clean</t>
  </si>
  <si>
    <t>Added 'behind the fryer' to the cafe checklist as a required task.</t>
  </si>
  <si>
    <t>Quality below standard</t>
  </si>
  <si>
    <t>Low</t>
  </si>
  <si>
    <t>Host said the bathroom mirror was smeared on a changeover.</t>
  </si>
  <si>
    <t>Closed - no action</t>
  </si>
  <si>
    <t>Spoke to Jade, sent the photo. Guest never mentioned it.</t>
  </si>
  <si>
    <t>Apology</t>
  </si>
  <si>
    <t>Glass cloth now colour coded yellow so it is never the wrong one.</t>
  </si>
  <si>
    <t>Arrived late</t>
  </si>
  <si>
    <t>Agent rang - we arrived at 3pm instead of 2pm for Block A.</t>
  </si>
  <si>
    <t>Investigating</t>
  </si>
  <si>
    <t>Checking the rota - the two blocks are booked too close together.</t>
  </si>
  <si>
    <t>Move Block B to 4pm so there is travel time between them.</t>
  </si>
  <si>
    <t>Breakage</t>
  </si>
  <si>
    <t>Glass vase knocked off a windowsill while cleaning behind it.</t>
  </si>
  <si>
    <t>Replaced it the next day and apologised in person.</t>
  </si>
  <si>
    <t>Item replaced</t>
  </si>
  <si>
    <t>Ornaments are now moved to the table, not balanced on the sill.</t>
  </si>
  <si>
    <t>Incidents &amp; Near Misses</t>
  </si>
  <si>
    <t>Accidents, damage and the things that almost went badly wrong.</t>
  </si>
  <si>
    <t>Record it the same day, including near misses. The near misses are the free lessons.</t>
  </si>
  <si>
    <t>Time</t>
  </si>
  <si>
    <t>What happened</t>
  </si>
  <si>
    <t>Person involved</t>
  </si>
  <si>
    <t>What happened, in full</t>
  </si>
  <si>
    <t>Injury?</t>
  </si>
  <si>
    <t>First aid given?</t>
  </si>
  <si>
    <t>Medical help needed?</t>
  </si>
  <si>
    <t>Property damaged</t>
  </si>
  <si>
    <t>Insurance claim?</t>
  </si>
  <si>
    <t>Reported to</t>
  </si>
  <si>
    <t>Reported on</t>
  </si>
  <si>
    <t>Action taken</t>
  </si>
  <si>
    <t>How we prevent a repeat</t>
  </si>
  <si>
    <t>Closed on</t>
  </si>
  <si>
    <t>Slip, trip or fall</t>
  </si>
  <si>
    <t>Slipped on a wet kitchen floor that had just been mopped - no wet floor sign out.</t>
  </si>
  <si>
    <t>Bruised elbow</t>
  </si>
  <si>
    <t>First aid applied, finished the shift.</t>
  </si>
  <si>
    <t>Wet floor signs now in both vans and on every checklist.</t>
  </si>
  <si>
    <t>Closed</t>
  </si>
  <si>
    <t>Chemical splash</t>
  </si>
  <si>
    <t>Oven gel splashed onto the forearm while lifting a rack out of the dip tank.</t>
  </si>
  <si>
    <t>Minor chemical burn</t>
  </si>
  <si>
    <t>Rinsed for fifteen minutes, checked at the pharmacy.</t>
  </si>
  <si>
    <t>Long gauntlets now mandatory for all dip tank work - written into the method statement.</t>
  </si>
  <si>
    <t>Near miss</t>
  </si>
  <si>
    <t>Trailing vacuum cable across a doorway in the office - nobody tripped, but somebody could have.</t>
  </si>
  <si>
    <t>Reminded the team to work from the nearest socket.</t>
  </si>
  <si>
    <t>Cable routing added to the office checklist.</t>
  </si>
  <si>
    <t>Certificates, checks and assessments, with the expiry dates watched for you.</t>
  </si>
  <si>
    <t>Document</t>
  </si>
  <si>
    <t>Applies to</t>
  </si>
  <si>
    <t>Person</t>
  </si>
  <si>
    <t>Reference / number</t>
  </si>
  <si>
    <t>Issued by</t>
  </si>
  <si>
    <t>Issued on</t>
  </si>
  <si>
    <t>Expires</t>
  </si>
  <si>
    <t>Cost to renew</t>
  </si>
  <si>
    <t>Where it is kept</t>
  </si>
  <si>
    <t>Link</t>
  </si>
  <si>
    <t>Last reviewed</t>
  </si>
  <si>
    <t>Days to expiry</t>
  </si>
  <si>
    <t>Start renewing</t>
  </si>
  <si>
    <t>Public liability insurance</t>
  </si>
  <si>
    <t>The business</t>
  </si>
  <si>
    <t>PL-884213</t>
  </si>
  <si>
    <t>Insurance folder, office</t>
  </si>
  <si>
    <t>2,000,000 cover. Commercial clients ask for this first.</t>
  </si>
  <si>
    <t>Employer liability insurance</t>
  </si>
  <si>
    <t>EL-884214</t>
  </si>
  <si>
    <t>Legally required once you employ anyone.</t>
  </si>
  <si>
    <t>MV-220714</t>
  </si>
  <si>
    <t>Van document wallet</t>
  </si>
  <si>
    <t>MV-220715</t>
  </si>
  <si>
    <t>Background check</t>
  </si>
  <si>
    <t>Staff</t>
  </si>
  <si>
    <t>BC-55210</t>
  </si>
  <si>
    <t>CheckPoint</t>
  </si>
  <si>
    <t>Staff file</t>
  </si>
  <si>
    <t>Required for the nursery contract.</t>
  </si>
  <si>
    <t>BC-41088</t>
  </si>
  <si>
    <t>Due for renewal - the nursery audits this every year.</t>
  </si>
  <si>
    <t>BC-47720</t>
  </si>
  <si>
    <t>Training certificate</t>
  </si>
  <si>
    <t>TR-COSHH-220</t>
  </si>
  <si>
    <t>COSHH handling. Renew every three years.</t>
  </si>
  <si>
    <t>First aid certificate</t>
  </si>
  <si>
    <t>FA-77120</t>
  </si>
  <si>
    <t>Red Cross</t>
  </si>
  <si>
    <t>One trained first aider is enough for a team this size.</t>
  </si>
  <si>
    <t>COSHH data sheet</t>
  </si>
  <si>
    <t>SDS-OVEN-04</t>
  </si>
  <si>
    <t>Chemical folder, van 1</t>
  </si>
  <si>
    <t>Must travel with the product, not stay in the office.</t>
  </si>
  <si>
    <t>SDS-DESC-11</t>
  </si>
  <si>
    <t>Risk assessment</t>
  </si>
  <si>
    <t>Working at height</t>
  </si>
  <si>
    <t>RA-004</t>
  </si>
  <si>
    <t>Health and safety folder</t>
  </si>
  <si>
    <t>Covers steps and pole work. Reviewed annually - this one is nearly due.</t>
  </si>
  <si>
    <t>Lone working</t>
  </si>
  <si>
    <t>RA-007</t>
  </si>
  <si>
    <t>Check-in text at the end of every evening job.</t>
  </si>
  <si>
    <t>Method statement</t>
  </si>
  <si>
    <t>End of tenancy cleaning</t>
  </si>
  <si>
    <t>MS-002</t>
  </si>
  <si>
    <t>Letting agents ask for this with the quote.</t>
  </si>
  <si>
    <t>Electrical safety test</t>
  </si>
  <si>
    <t>PAT-2026-01</t>
  </si>
  <si>
    <t>SafeTest Ltd</t>
  </si>
  <si>
    <t>Equipment folder</t>
  </si>
  <si>
    <t>All twelve items tested. Stickers on each machine.</t>
  </si>
  <si>
    <t>Waste carrier licence</t>
  </si>
  <si>
    <t>WCL-99120</t>
  </si>
  <si>
    <t>Environment Agency</t>
  </si>
  <si>
    <t>Office folder</t>
  </si>
  <si>
    <t>Needed to take trade waste away from commercial jobs.</t>
  </si>
  <si>
    <t>Financial Planning &amp; Forecasting</t>
  </si>
  <si>
    <t>What you must earn to break even, how the year is tracking and what growing would actually be worth.</t>
  </si>
  <si>
    <t>1. Break-even: the number you must hit</t>
  </si>
  <si>
    <t>Fixed costs are the ones that arrive whether you clean anything or not - insurance, the van, software, your phone. Fill those in and the workbook tells you how many jobs a month keep the lights on.</t>
  </si>
  <si>
    <t>Fixed costs a month</t>
  </si>
  <si>
    <t>Insurance, vehicle, software, phone, accountant, rent, your own basic draw.</t>
  </si>
  <si>
    <t>Taken from the work you have finished or billed. If you have none yet it falls back to the minimum charge.</t>
  </si>
  <si>
    <t>Average hours a job</t>
  </si>
  <si>
    <t>Variable cost a job</t>
  </si>
  <si>
    <t>Wages and supplies for an average job. Travel sits in fixed costs unless you drive a lot.</t>
  </si>
  <si>
    <t>Contribution a job</t>
  </si>
  <si>
    <t>What each job leaves towards the fixed costs. If this is near zero, no amount of work will save the business.</t>
  </si>
  <si>
    <t>Jobs a month to break even</t>
  </si>
  <si>
    <t>Revenue a month to break even</t>
  </si>
  <si>
    <t>Hours a month to break even</t>
  </si>
  <si>
    <t>Jobs a month you are doing now</t>
  </si>
  <si>
    <t>The work you actually finished or billed in the last three months, as a monthly average.</t>
  </si>
  <si>
    <t>Where that leaves you</t>
  </si>
  <si>
    <t>2. The year against your targets</t>
  </si>
  <si>
    <t>Target</t>
  </si>
  <si>
    <t>Difference</t>
  </si>
  <si>
    <t>Running profit</t>
  </si>
  <si>
    <t>Hit target?</t>
  </si>
  <si>
    <t>3. What if the business grew?</t>
  </si>
  <si>
    <t>Change the three white cells and watch the table below. It is the quickest way to see whether you need more clients, better prices or another pair of hands.</t>
  </si>
  <si>
    <t>Put the hourly rate up by</t>
  </si>
  <si>
    <t>Extra regular clients a month</t>
  </si>
  <si>
    <t>Extra cleaners</t>
  </si>
  <si>
    <t>Jobs a new client books a month</t>
  </si>
  <si>
    <t>Scenario</t>
  </si>
  <si>
    <t>Revenue a month</t>
  </si>
  <si>
    <t>Costs a month</t>
  </si>
  <si>
    <t>Profit a month</t>
  </si>
  <si>
    <t>Change</t>
  </si>
  <si>
    <t>As you are now</t>
  </si>
  <si>
    <t>baseline</t>
  </si>
  <si>
    <t>With the rate rise</t>
  </si>
  <si>
    <t>With the extra clients</t>
  </si>
  <si>
    <t>With another cleaner</t>
  </si>
  <si>
    <t>All three together</t>
  </si>
  <si>
    <t>The cleaner scenario assumes 21 working days a month at your utilisation target - be careful, a new cleaner costs money from day one and earns it from week three.</t>
  </si>
  <si>
    <t>4. Cash position today</t>
  </si>
  <si>
    <t>Invoiced, not yet paid</t>
  </si>
  <si>
    <t>Overdue right now</t>
  </si>
  <si>
    <t>Work done, not invoiced</t>
  </si>
  <si>
    <t>Deposits taken</t>
  </si>
  <si>
    <t>Booked work, not yet done</t>
  </si>
  <si>
    <t>Quotes awaiting an answer</t>
  </si>
  <si>
    <t>Expenses this month</t>
  </si>
  <si>
    <t>Stock on the shelf</t>
  </si>
  <si>
    <t>5. Money you should not spend</t>
  </si>
  <si>
    <t>Set aside for tax</t>
  </si>
  <si>
    <t>A guess, not advice. Ask an accountant what your rate really is.</t>
  </si>
  <si>
    <t>Profit so far this year</t>
  </si>
  <si>
    <t>Put this much aside</t>
  </si>
  <si>
    <t>Move it to a separate account the day the money lands. It is the single habit that keeps small businesses out of trouble.</t>
  </si>
  <si>
    <t>This page is a planning tool, not an accounts package. It does not know about loans, drawings, depreciation or your local tax rules, and it is not financial advice. Use it to decide what to charge and when to hire - then show the real numbers to a real accountant.</t>
  </si>
  <si>
    <t>Reports &amp; Business Analytics</t>
  </si>
  <si>
    <t>Where the work comes from, what it earns and what it costs - all from the tabs you have already filled in.</t>
  </si>
  <si>
    <t>Every figure is live. Filter or sort the registers as much as you like - these tables add up the whole column either way.</t>
  </si>
  <si>
    <t>Which services earn their keep</t>
  </si>
  <si>
    <t>Conversion</t>
  </si>
  <si>
    <t>Residential or commercial?</t>
  </si>
  <si>
    <t>Share of revenue</t>
  </si>
  <si>
    <t>Retail</t>
  </si>
  <si>
    <t>Which advertising actually works</t>
  </si>
  <si>
    <t>Enquiries</t>
  </si>
  <si>
    <t>Win rate</t>
  </si>
  <si>
    <t>Clients now</t>
  </si>
  <si>
    <t>Revenue from them</t>
  </si>
  <si>
    <t>Referrals almost always win this table. If an advert has produced ten enquiries and no clients, it is not an advert, it is a subscription.</t>
  </si>
  <si>
    <t>Quoting and converting</t>
  </si>
  <si>
    <t>Quotes sent</t>
  </si>
  <si>
    <t>Quotes won</t>
  </si>
  <si>
    <t>Average quote</t>
  </si>
  <si>
    <t>Average won quote</t>
  </si>
  <si>
    <t>Value still out there</t>
  </si>
  <si>
    <t>Average days to answer</t>
  </si>
  <si>
    <t>Expired, never chased</t>
  </si>
  <si>
    <t>How the work goes</t>
  </si>
  <si>
    <t>Jobs completed</t>
  </si>
  <si>
    <t>Checklists finished</t>
  </si>
  <si>
    <t>Jobs that ran over</t>
  </si>
  <si>
    <t>Average profit a job</t>
  </si>
  <si>
    <t>Average profit an hour</t>
  </si>
  <si>
    <t>Team utilisation</t>
  </si>
  <si>
    <t>Complaints per hundred jobs</t>
  </si>
  <si>
    <t>Where the money goes</t>
  </si>
  <si>
    <t>This month</t>
  </si>
  <si>
    <t>This year</t>
  </si>
  <si>
    <t>Share</t>
  </si>
  <si>
    <t>Monthly average</t>
  </si>
  <si>
    <t>Travel &amp; parking</t>
  </si>
  <si>
    <t>Other</t>
  </si>
  <si>
    <t>Who owes you money</t>
  </si>
  <si>
    <t>Age</t>
  </si>
  <si>
    <t>Not due yet</t>
  </si>
  <si>
    <t>Keep an eye on it</t>
  </si>
  <si>
    <t>Due now</t>
  </si>
  <si>
    <t>Today is the day to send the gentle reminder</t>
  </si>
  <si>
    <t>1-30 days</t>
  </si>
  <si>
    <t>Phone, do not email. It works far better</t>
  </si>
  <si>
    <t>31-60 days</t>
  </si>
  <si>
    <t>Stop work for this client until they pay</t>
  </si>
  <si>
    <t>61-90 days</t>
  </si>
  <si>
    <t>Final demand, in writing, with your terms</t>
  </si>
  <si>
    <t>90+ days</t>
  </si>
  <si>
    <t>Decide: formal recovery, or write it off and learn from it</t>
  </si>
  <si>
    <t>Total owed</t>
  </si>
  <si>
    <t>Three tables on this page pay for the workbook on their own: the advertising table (stop paying for what does not work), the service table (do more of what earns most an hour) and the debtors table (chase at thirty days, not ninety).</t>
  </si>
  <si>
    <t>Printable Quote</t>
  </si>
  <si>
    <t>Quote to print</t>
  </si>
  <si>
    <t>Pick a quote. Everything below fills itself in. Print with File, Print - the page is already sized for A4.</t>
  </si>
  <si>
    <t>QUOTE</t>
  </si>
  <si>
    <t>Quote for</t>
  </si>
  <si>
    <t>Quote number</t>
  </si>
  <si>
    <t>What is included</t>
  </si>
  <si>
    <t>Optional?</t>
  </si>
  <si>
    <t>Prices hold until the valid-until date above.</t>
  </si>
  <si>
    <t>Deposit to confirm</t>
  </si>
  <si>
    <t>The balance is due on the terms below.</t>
  </si>
  <si>
    <t>Terms</t>
  </si>
  <si>
    <t>Acceptance</t>
  </si>
  <si>
    <t>I accept this quote and agree to the terms above.</t>
  </si>
  <si>
    <t>Signed</t>
  </si>
  <si>
    <t>Print name</t>
  </si>
  <si>
    <t>A signature on a printed page is not an electronic signature. If you need one that stands up legally, use a proper e-signature service - then record the date here.</t>
  </si>
  <si>
    <t>Printable Invoice</t>
  </si>
  <si>
    <t>Invoice to print</t>
  </si>
  <si>
    <t>Pick an invoice. Check the totals against the Invoices tab before you send it.</t>
  </si>
  <si>
    <t>INVOICE</t>
  </si>
  <si>
    <t>Invoice to</t>
  </si>
  <si>
    <t>Invoice number</t>
  </si>
  <si>
    <t>Due date</t>
  </si>
  <si>
    <t>Period</t>
  </si>
  <si>
    <t>Your reference</t>
  </si>
  <si>
    <t>Tax?</t>
  </si>
  <si>
    <t>Paid so far</t>
  </si>
  <si>
    <t>Amount due</t>
  </si>
  <si>
    <t>How to pay</t>
  </si>
  <si>
    <t>A spreadsheet cannot take card payments. Put a payment link in your payment details on the Settings tab and it prints here automatically.</t>
  </si>
  <si>
    <t>Printable Job Sheet</t>
  </si>
  <si>
    <t>Job to print</t>
  </si>
  <si>
    <t>Pick a job. Print it for the cleaner, or print several by changing the ID and printing again.</t>
  </si>
  <si>
    <t>JOB SHEET</t>
  </si>
  <si>
    <t>Job number</t>
  </si>
  <si>
    <t>Getting in</t>
  </si>
  <si>
    <t>Access</t>
  </si>
  <si>
    <t>Keys</t>
  </si>
  <si>
    <t>Entry notes</t>
  </si>
  <si>
    <t>The clean</t>
  </si>
  <si>
    <t>What good looks like</t>
  </si>
  <si>
    <t>Mins</t>
  </si>
  <si>
    <t>Issue?</t>
  </si>
  <si>
    <t>If the clean took much longer than this, say so below - it usually means the price is wrong, not the cleaner.</t>
  </si>
  <si>
    <t>Supplies and equipment</t>
  </si>
  <si>
    <t>Sign off</t>
  </si>
  <si>
    <t>Time in</t>
  </si>
  <si>
    <t>Time out</t>
  </si>
  <si>
    <t>Total hours</t>
  </si>
  <si>
    <t>Cleaner signature</t>
  </si>
  <si>
    <t>Client signature</t>
  </si>
  <si>
    <t>Anything broken, missing or not right? Write it here, photograph it, and tell the office the same day.</t>
  </si>
  <si>
    <t>Drop Down Lists &amp; Pricing Factors</t>
  </si>
  <si>
    <t>Every list the workbook offers you, and the two tables the quote calculator multiplies by. Edit an entry and the drop down that uses it changes everywhere.</t>
  </si>
  <si>
    <t>Add new entries directly under the last one in a column - the lists are sized with room to grow, and blanks are ignored. Do not delete a whole column: a drop down pointing at a missing list stops working.</t>
  </si>
  <si>
    <t>The drop downs</t>
  </si>
  <si>
    <t>YesNo</t>
  </si>
  <si>
    <t>YesNoNA</t>
  </si>
  <si>
    <t>ClientType</t>
  </si>
  <si>
    <t>Builder / contractor</t>
  </si>
  <si>
    <t>Church &amp; hall</t>
  </si>
  <si>
    <t>Warehouse</t>
  </si>
  <si>
    <t>ClientStatus</t>
  </si>
  <si>
    <t>Prospect</t>
  </si>
  <si>
    <t>Occasional</t>
  </si>
  <si>
    <t>Do not serve</t>
  </si>
  <si>
    <t>PropertyType</t>
  </si>
  <si>
    <t>Studio</t>
  </si>
  <si>
    <t>Shop</t>
  </si>
  <si>
    <t>Salon</t>
  </si>
  <si>
    <t>Key collected each visit</t>
  </si>
  <si>
    <t>Neighbour holds key</t>
  </si>
  <si>
    <t>Open access</t>
  </si>
  <si>
    <t>KeyStatus</t>
  </si>
  <si>
    <t>With the cleaner</t>
  </si>
  <si>
    <t>Returned to client</t>
  </si>
  <si>
    <t>Difficult</t>
  </si>
  <si>
    <t>Extreme / hoarding</t>
  </si>
  <si>
    <t>Every 3 weeks</t>
  </si>
  <si>
    <t>ServiceCategory</t>
  </si>
  <si>
    <t>Oven cleaning</t>
  </si>
  <si>
    <t>One-off special</t>
  </si>
  <si>
    <t>PricingModel</t>
  </si>
  <si>
    <t>Per bedroom &amp; bathroom</t>
  </si>
  <si>
    <t>Monthly contract</t>
  </si>
  <si>
    <t>Quote only</t>
  </si>
  <si>
    <t>JobStatus</t>
  </si>
  <si>
    <t>Enquiry</t>
  </si>
  <si>
    <t>JobType</t>
  </si>
  <si>
    <t>Emergency call out</t>
  </si>
  <si>
    <t>Contract work</t>
  </si>
  <si>
    <t>Urgent</t>
  </si>
  <si>
    <t>VIP client</t>
  </si>
  <si>
    <t>TimeSlot</t>
  </si>
  <si>
    <t>Evening</t>
  </si>
  <si>
    <t>Client to confirm</t>
  </si>
  <si>
    <t>QuoteStatus</t>
  </si>
  <si>
    <t>Draft</t>
  </si>
  <si>
    <t>ContractStatus</t>
  </si>
  <si>
    <t>Due for renewal</t>
  </si>
  <si>
    <t>Renewed</t>
  </si>
  <si>
    <t>Terminated</t>
  </si>
  <si>
    <t>ContractTerm</t>
  </si>
  <si>
    <t>3 months</t>
  </si>
  <si>
    <t>24 months</t>
  </si>
  <si>
    <t>No fixed term</t>
  </si>
  <si>
    <t>BillingCycle</t>
  </si>
  <si>
    <t>Pay per visit</t>
  </si>
  <si>
    <t>Monthly in arrears</t>
  </si>
  <si>
    <t>Monthly in advance</t>
  </si>
  <si>
    <t>On completion</t>
  </si>
  <si>
    <t>Deposit then balance</t>
  </si>
  <si>
    <t>InvoiceStatus</t>
  </si>
  <si>
    <t>Written off</t>
  </si>
  <si>
    <t>PaymentMethod</t>
  </si>
  <si>
    <t>Cheque</t>
  </si>
  <si>
    <t>Standing order</t>
  </si>
  <si>
    <t>PayPal</t>
  </si>
  <si>
    <t>Online payment link</t>
  </si>
  <si>
    <t>Mobile wallet</t>
  </si>
  <si>
    <t>Account credit</t>
  </si>
  <si>
    <t>LeadSource</t>
  </si>
  <si>
    <t>Repeat client</t>
  </si>
  <si>
    <t>Walk-up</t>
  </si>
  <si>
    <t>LeadStage</t>
  </si>
  <si>
    <t>On hold</t>
  </si>
  <si>
    <t>Not a fit</t>
  </si>
  <si>
    <t>LostReason</t>
  </si>
  <si>
    <t>Chose a competitor</t>
  </si>
  <si>
    <t>No response</t>
  </si>
  <si>
    <t>Wrong timing</t>
  </si>
  <si>
    <t>Doing it themselves</t>
  </si>
  <si>
    <t>Needed a specialist</t>
  </si>
  <si>
    <t>Duplicate enquiry</t>
  </si>
  <si>
    <t>TaskArea</t>
  </si>
  <si>
    <t>Second bathroom</t>
  </si>
  <si>
    <t>Dining room</t>
  </si>
  <si>
    <t>Home office</t>
  </si>
  <si>
    <t>Utility room</t>
  </si>
  <si>
    <t>Conservatory</t>
  </si>
  <si>
    <t>Windows</t>
  </si>
  <si>
    <t>Exterior</t>
  </si>
  <si>
    <t>Garage</t>
  </si>
  <si>
    <t>TaskStatus</t>
  </si>
  <si>
    <t>To do</t>
  </si>
  <si>
    <t>Skipped</t>
  </si>
  <si>
    <t>Not needed</t>
  </si>
  <si>
    <t>Needs rework</t>
  </si>
  <si>
    <t>Acceptable</t>
  </si>
  <si>
    <t>Failed</t>
  </si>
  <si>
    <t>5 - Delighted</t>
  </si>
  <si>
    <t>4 - Happy</t>
  </si>
  <si>
    <t>3 - Fine</t>
  </si>
  <si>
    <t>2 - Unhappy</t>
  </si>
  <si>
    <t>1 - Complaint</t>
  </si>
  <si>
    <t>EmployeeRole</t>
  </si>
  <si>
    <t>Manager</t>
  </si>
  <si>
    <t>Supervisor</t>
  </si>
  <si>
    <t>Carpet technician</t>
  </si>
  <si>
    <t>Trainee</t>
  </si>
  <si>
    <t>Office admin</t>
  </si>
  <si>
    <t>EmploymentType</t>
  </si>
  <si>
    <t>Casual</t>
  </si>
  <si>
    <t>Zero hours</t>
  </si>
  <si>
    <t>Agency</t>
  </si>
  <si>
    <t>Apprentice</t>
  </si>
  <si>
    <t>EmployeeStatus</t>
  </si>
  <si>
    <t>On leave</t>
  </si>
  <si>
    <t>Working notice</t>
  </si>
  <si>
    <t>Left</t>
  </si>
  <si>
    <t>Standby</t>
  </si>
  <si>
    <t>Shift</t>
  </si>
  <si>
    <t>Morning</t>
  </si>
  <si>
    <t>Afternoon</t>
  </si>
  <si>
    <t>Night</t>
  </si>
  <si>
    <t>All day</t>
  </si>
  <si>
    <t>Split shift</t>
  </si>
  <si>
    <t>On call</t>
  </si>
  <si>
    <t>Day off</t>
  </si>
  <si>
    <t>Left early</t>
  </si>
  <si>
    <t>Absent - told us</t>
  </si>
  <si>
    <t>Absent - no show</t>
  </si>
  <si>
    <t>Holiday</t>
  </si>
  <si>
    <t>Public holiday</t>
  </si>
  <si>
    <t>LeaveType</t>
  </si>
  <si>
    <t>Unpaid</t>
  </si>
  <si>
    <t>Parental</t>
  </si>
  <si>
    <t>Bereavement</t>
  </si>
  <si>
    <t>Jury service</t>
  </si>
  <si>
    <t>Induction</t>
  </si>
  <si>
    <t>COSHH &amp; chemicals</t>
  </si>
  <si>
    <t>Manual handling</t>
  </si>
  <si>
    <t>Infection control</t>
  </si>
  <si>
    <t>Customer service</t>
  </si>
  <si>
    <t>Deep clean technique</t>
  </si>
  <si>
    <t>Window technique</t>
  </si>
  <si>
    <t>First aid</t>
  </si>
  <si>
    <t>Safeguarding</t>
  </si>
  <si>
    <t>Driving &amp; vehicle</t>
  </si>
  <si>
    <t>Data privacy</t>
  </si>
  <si>
    <t>SupplyCategory</t>
  </si>
  <si>
    <t>Hardware &amp; spares</t>
  </si>
  <si>
    <t>Uniform</t>
  </si>
  <si>
    <t>Office</t>
  </si>
  <si>
    <t>SupplyUnit</t>
  </si>
  <si>
    <t>Litre</t>
  </si>
  <si>
    <t>Gallon</t>
  </si>
  <si>
    <t>Pair</t>
  </si>
  <si>
    <t>Kg</t>
  </si>
  <si>
    <t>Sachet</t>
  </si>
  <si>
    <t>EquipmentType</t>
  </si>
  <si>
    <t>Floor polisher</t>
  </si>
  <si>
    <t>Power tool</t>
  </si>
  <si>
    <t>EquipmentStatus</t>
  </si>
  <si>
    <t>Awaiting parts</t>
  </si>
  <si>
    <t>Out of service</t>
  </si>
  <si>
    <t>Retired</t>
  </si>
  <si>
    <t>Lost or stolen</t>
  </si>
  <si>
    <t>Leased</t>
  </si>
  <si>
    <t>Rented</t>
  </si>
  <si>
    <t>Staff owned</t>
  </si>
  <si>
    <t>Client supplied</t>
  </si>
  <si>
    <t>Maintenance</t>
  </si>
  <si>
    <t>Routine service</t>
  </si>
  <si>
    <t>Filter change</t>
  </si>
  <si>
    <t>Belt change</t>
  </si>
  <si>
    <t>Repair</t>
  </si>
  <si>
    <t>Safety test</t>
  </si>
  <si>
    <t>Calibration</t>
  </si>
  <si>
    <t>Inspection</t>
  </si>
  <si>
    <t>Replacement due</t>
  </si>
  <si>
    <t>ExpenseCategory</t>
  </si>
  <si>
    <t>Website &amp; hosting</t>
  </si>
  <si>
    <t>Licences &amp; memberships</t>
  </si>
  <si>
    <t>Bad debt</t>
  </si>
  <si>
    <t>ExpenseType</t>
  </si>
  <si>
    <t>Annual</t>
  </si>
  <si>
    <t>MileagePurpose</t>
  </si>
  <si>
    <t>Between jobs</t>
  </si>
  <si>
    <t>Staff pick-up</t>
  </si>
  <si>
    <t>Marketing drop</t>
  </si>
  <si>
    <t>Van 3</t>
  </si>
  <si>
    <t>Staff vehicle</t>
  </si>
  <si>
    <t>Hire van</t>
  </si>
  <si>
    <t>Bike</t>
  </si>
  <si>
    <t>ComplaintType</t>
  </si>
  <si>
    <t>Did not turn up</t>
  </si>
  <si>
    <t>Damage to property</t>
  </si>
  <si>
    <t>Item gone missing</t>
  </si>
  <si>
    <t>Staff conduct</t>
  </si>
  <si>
    <t>Billing error</t>
  </si>
  <si>
    <t>Access problem</t>
  </si>
  <si>
    <t>Pet issue</t>
  </si>
  <si>
    <t>Communication</t>
  </si>
  <si>
    <t>Wrong day</t>
  </si>
  <si>
    <t>ComplaintStatus</t>
  </si>
  <si>
    <t>Logged</t>
  </si>
  <si>
    <t>Awaiting client</t>
  </si>
  <si>
    <t>Re-clean booked</t>
  </si>
  <si>
    <t>Escalated</t>
  </si>
  <si>
    <t>Refunded</t>
  </si>
  <si>
    <t>Critical</t>
  </si>
  <si>
    <t>Partial refund</t>
  </si>
  <si>
    <t>Full refund</t>
  </si>
  <si>
    <t>Discount next visit</t>
  </si>
  <si>
    <t>Staff coaching</t>
  </si>
  <si>
    <t>Insurance claim</t>
  </si>
  <si>
    <t>Process changed</t>
  </si>
  <si>
    <t>No action needed</t>
  </si>
  <si>
    <t>IncidentType</t>
  </si>
  <si>
    <t>Cut or laceration</t>
  </si>
  <si>
    <t>Burn or scald</t>
  </si>
  <si>
    <t>Manual handling strain</t>
  </si>
  <si>
    <t>Property damage</t>
  </si>
  <si>
    <t>Equipment failure</t>
  </si>
  <si>
    <t>Vehicle incident</t>
  </si>
  <si>
    <t>Aggression or abuse</t>
  </si>
  <si>
    <t>Lone worker concern</t>
  </si>
  <si>
    <t>Illness at work</t>
  </si>
  <si>
    <t>SafetyDoc</t>
  </si>
  <si>
    <t>Driving licence</t>
  </si>
  <si>
    <t>Right to work</t>
  </si>
  <si>
    <t>Client contract</t>
  </si>
  <si>
    <t>Privacy notice</t>
  </si>
  <si>
    <t>Business licence</t>
  </si>
  <si>
    <t>DocStatus</t>
  </si>
  <si>
    <t>Valid</t>
  </si>
  <si>
    <t>Due soon</t>
  </si>
  <si>
    <t>Missing</t>
  </si>
  <si>
    <t>Pending renewal</t>
  </si>
  <si>
    <t>Not required</t>
  </si>
  <si>
    <t>Retention</t>
  </si>
  <si>
    <t>Loyal</t>
  </si>
  <si>
    <t>Steady</t>
  </si>
  <si>
    <t>Slipping</t>
  </si>
  <si>
    <t>At risk</t>
  </si>
  <si>
    <t>Dormant</t>
  </si>
  <si>
    <t>Won back</t>
  </si>
  <si>
    <t>January</t>
  </si>
  <si>
    <t>February</t>
  </si>
  <si>
    <t>March</t>
  </si>
  <si>
    <t>April</t>
  </si>
  <si>
    <t>May</t>
  </si>
  <si>
    <t>June</t>
  </si>
  <si>
    <t>July</t>
  </si>
  <si>
    <t>August</t>
  </si>
  <si>
    <t>September</t>
  </si>
  <si>
    <t>October</t>
  </si>
  <si>
    <t>November</t>
  </si>
  <si>
    <t>December</t>
  </si>
  <si>
    <t>Weekday</t>
  </si>
  <si>
    <t>WeekStart</t>
  </si>
  <si>
    <t>AreaUnit</t>
  </si>
  <si>
    <t>sq m</t>
  </si>
  <si>
    <t>DistanceUnit</t>
  </si>
  <si>
    <t>km</t>
  </si>
  <si>
    <t>Rounding</t>
  </si>
  <si>
    <t>Nearest 1</t>
  </si>
  <si>
    <t>Nearest 10</t>
  </si>
  <si>
    <t>Exact</t>
  </si>
  <si>
    <t>GoalStatus</t>
  </si>
  <si>
    <t>Not started</t>
  </si>
  <si>
    <t>On track</t>
  </si>
  <si>
    <t>Behind</t>
  </si>
  <si>
    <t>Achieved</t>
  </si>
  <si>
    <t>How often we clean, and what that does to the price</t>
  </si>
  <si>
    <t>Regular work is worth a discount - a weekly house never gets as dirty as a one-off, so it takes less time. The factor below is multiplied by the standard price on every quote and every recurring booking. 'Days between visits' is what the scheduler adds to today's date to work out the next clean.</t>
  </si>
  <si>
    <t>Days between visits</t>
  </si>
  <si>
    <t>Price factor</t>
  </si>
  <si>
    <t>How dirty is it, and what that does to the time</t>
  </si>
  <si>
    <t>The honest part of pricing a clean. The same three bedroom house can take three hours or six depending on what state it is in, so the calculator multiplies the estimated hours by the factor below. Walk the property, pick a line, and the quote follows.</t>
  </si>
  <si>
    <t>Time factor</t>
  </si>
  <si>
    <t>Kept on top of between visits - a quick, tidy run through.</t>
  </si>
  <si>
    <t>A normal lived-in home or a tidy office.</t>
  </si>
  <si>
    <t>Behind on the housework - expect extra scrubbing.</t>
  </si>
  <si>
    <t>Neglected for months: grease, limescale, heavy build-up.</t>
  </si>
  <si>
    <t>Specialist job. Price it after a site visit, never over the phone.</t>
  </si>
  <si>
    <t>A word on the factors: they are a starting point from real cleaning businesses, not a law. Track your actual hours on the Job Costing tab for a month, compare them with what you quoted, then nudge these numbers until the quotes match reality.</t>
  </si>
  <si>
    <t>Help &amp; Troubleshooting</t>
  </si>
  <si>
    <t>What the colours mean, what to do when a cell looks wrong, and where every feature lives.</t>
  </si>
  <si>
    <t>The colour code</t>
  </si>
  <si>
    <t>Looks like</t>
  </si>
  <si>
    <t>Means</t>
  </si>
  <si>
    <t>White cell with a blue edge</t>
  </si>
  <si>
    <t>Type here. These are the only cells you need to fill in.</t>
  </si>
  <si>
    <t>Pale grey cell</t>
  </si>
  <si>
    <t>A formula. It is locked so you cannot overwrite it by accident.</t>
  </si>
  <si>
    <t>Green text or fill</t>
  </si>
  <si>
    <t>Good - on target, paid, in date, profitable.</t>
  </si>
  <si>
    <t>Amber fill</t>
  </si>
  <si>
    <t>Needs attention soon - due, low, under target.</t>
  </si>
  <si>
    <t>Red fill</t>
  </si>
  <si>
    <t>Act today - overdue, out of stock, expired, losing money.</t>
  </si>
  <si>
    <t>Blue fill</t>
  </si>
  <si>
    <t>For information - booked, sent, in progress.</t>
  </si>
  <si>
    <t>A coloured bar inside a cell</t>
  </si>
  <si>
    <t>A data bar: the longer the bar, the bigger the number compared with the rest of the column.</t>
  </si>
  <si>
    <t>A tiny chart</t>
  </si>
  <si>
    <t>A sparkline - twelve months of that number in one cell.</t>
  </si>
  <si>
    <t>When something looks wrong</t>
  </si>
  <si>
    <t>What you see</t>
  </si>
  <si>
    <t>The fix</t>
  </si>
  <si>
    <t>#N/A in a name column</t>
  </si>
  <si>
    <t>The ID you typed is not on the tab it points at</t>
  </si>
  <si>
    <t>Pick the ID from the drop-down instead of typing it</t>
  </si>
  <si>
    <t>'Not found' instead of a client</t>
  </si>
  <si>
    <t>The client ID has been deleted or renumbered</t>
  </si>
  <si>
    <t>Re-pick the client on the row</t>
  </si>
  <si>
    <t>#VALUE! in a total</t>
  </si>
  <si>
    <t>Text has been typed into a number cell - '2 hours' instead of 2</t>
  </si>
  <si>
    <t>Clear the cell and type the number only</t>
  </si>
  <si>
    <t>#REF! anywhere</t>
  </si>
  <si>
    <t>A row or column the formula needed has been deleted</t>
  </si>
  <si>
    <t>Undo the deletion, or copy the formula down from the row above</t>
  </si>
  <si>
    <t>#DIV/0! in a margin or rate</t>
  </si>
  <si>
    <t>Dividing by a zero - usually a price or an hours figure that is still blank</t>
  </si>
  <si>
    <t>Fill in the missing number; most of these are already guarded</t>
  </si>
  <si>
    <t>A price of 0</t>
  </si>
  <si>
    <t>No rate, no service price and no override</t>
  </si>
  <si>
    <t>Check the Services tab and the hourly rate on Settings</t>
  </si>
  <si>
    <t>The next visit date is empty</t>
  </si>
  <si>
    <t>The client has no future job in the diary, or the frequency is One-off</t>
  </si>
  <si>
    <t>Book the next visit on the Job Scheduler</t>
  </si>
  <si>
    <t>Hours look far too low</t>
  </si>
  <si>
    <t>The property has no area and no room counts</t>
  </si>
  <si>
    <t>Fill in the property, or type an hours override on the job</t>
  </si>
  <si>
    <t>Profit is negative on every job</t>
  </si>
  <si>
    <t>The cost per hour on Settings is wrong - it should be pay plus on-costs, not what you charge</t>
  </si>
  <si>
    <t>Check Pay rate and Employer on-cost on the Settings tab</t>
  </si>
  <si>
    <t>A formula cell will not let me type</t>
  </si>
  <si>
    <t>The sheet is protected so formulas survive a stray paste</t>
  </si>
  <si>
    <t>Review, Unprotect Sheet, password 'premium'</t>
  </si>
  <si>
    <t>A drop-down has the wrong options</t>
  </si>
  <si>
    <t>The list behind it lives on the Settings &amp; Dropdown Lists tab</t>
  </si>
  <si>
    <t>Edit the list there and every drop-down updates</t>
  </si>
  <si>
    <t>Numbers have not changed after an edit</t>
  </si>
  <si>
    <t>Calculation has been switched to manual</t>
  </si>
  <si>
    <t>Formulas, Calculation Options, Automatic - or press F9</t>
  </si>
  <si>
    <t>New rows have no formulas</t>
  </si>
  <si>
    <t>Rows added below the block do not inherit anything</t>
  </si>
  <si>
    <t>Copy the last row of the block down into the new rows</t>
  </si>
  <si>
    <t>The dashboard shows nothing</t>
  </si>
  <si>
    <t>Jobs are still at Booked, not Completed</t>
  </si>
  <si>
    <t>Revenue counts Completed and Invoiced work only</t>
  </si>
  <si>
    <t>The words this workbook uses</t>
  </si>
  <si>
    <t>Term</t>
  </si>
  <si>
    <t>What it means here</t>
  </si>
  <si>
    <t>Cost per hour</t>
  </si>
  <si>
    <t>What one cleaner-hour really costs you: pay plus your on-costs. Not what you charge.</t>
  </si>
  <si>
    <t>Profit as a percentage of the price. 40% margin on a $100 clean means $40 left after wages, supplies and travel.</t>
  </si>
  <si>
    <t>Margin floor</t>
  </si>
  <si>
    <t>The lowest margin you will accept. Jobs under it are flagged red all over the workbook.</t>
  </si>
  <si>
    <t>Price less the costs that only happen because you did the job. What is left to pay the fixed bills.</t>
  </si>
  <si>
    <t>Break-even</t>
  </si>
  <si>
    <t>The number of jobs a month that covers your fixed costs. Below it you are paying to work.</t>
  </si>
  <si>
    <t>Billed hours as a share of paid hours. Travel, waiting and admin are the gap.</t>
  </si>
  <si>
    <t>The discount a regular client gets. Weekly work takes less time per visit because less dirt builds up.</t>
  </si>
  <si>
    <t>How much longer a dirty property takes. 1.0 is normal, 1.8 is a hoarder clean.</t>
  </si>
  <si>
    <t>How many days of stock you have at your recent rate of use.</t>
  </si>
  <si>
    <t>Ageing</t>
  </si>
  <si>
    <t>How long an invoice has been overdue, in buckets. Anything past 60 days rarely gets paid in full.</t>
  </si>
  <si>
    <t>Recurring revenue</t>
  </si>
  <si>
    <t>What your regular clients are worth over a year at today's frequencies. The number a buyer would pay for.</t>
  </si>
  <si>
    <t>Churn</t>
  </si>
  <si>
    <t>Clients who have stopped booking. Every cleaning business has some; the question is how fast you replace them.</t>
  </si>
  <si>
    <t>Where every feature lives</t>
  </si>
  <si>
    <t>If you want to...</t>
  </si>
  <si>
    <t>Go to</t>
  </si>
  <si>
    <t>Price a clean before you quote</t>
  </si>
  <si>
    <t>See what a job will really cost you</t>
  </si>
  <si>
    <t>Pricing &amp; Quote Calculator, section 5</t>
  </si>
  <si>
    <t>Compare weekly, fortnightly and monthly over a year</t>
  </si>
  <si>
    <t>Pricing &amp; Quote Calculator, section 8</t>
  </si>
  <si>
    <t>Keep alarm codes, key numbers and parking notes</t>
  </si>
  <si>
    <t>Know which clients are drifting away</t>
  </si>
  <si>
    <t>Find out which advertising actually works</t>
  </si>
  <si>
    <t>See who is free on Thursday</t>
  </si>
  <si>
    <t>Check nobody is double booked</t>
  </si>
  <si>
    <t>Job Scheduler, Check column</t>
  </si>
  <si>
    <t>Build a room-by-room task list</t>
  </si>
  <si>
    <t>Give the cleaner a sheet to take with them</t>
  </si>
  <si>
    <t>Print Job Sheet</t>
  </si>
  <si>
    <t>Work out what a job actually earned</t>
  </si>
  <si>
    <t>Chase an unpaid invoice</t>
  </si>
  <si>
    <t>Invoices, Action column</t>
  </si>
  <si>
    <t>Know what to reorder</t>
  </si>
  <si>
    <t>Supplies Inventory</t>
  </si>
  <si>
    <t>Remember to service the carpet machine</t>
  </si>
  <si>
    <t>Claim your mileage</t>
  </si>
  <si>
    <t>Keep insurance and background checks in date</t>
  </si>
  <si>
    <t>Work out how many jobs cover the bills</t>
  </si>
  <si>
    <t>Decide whether to hire</t>
  </si>
  <si>
    <t>Financial Plan, section 3</t>
  </si>
  <si>
    <t>Put your prices up</t>
  </si>
  <si>
    <t>Business Settings, then re-read Job Costing</t>
  </si>
  <si>
    <t>Change a drop-down list</t>
  </si>
  <si>
    <t>Questions people ask</t>
  </si>
  <si>
    <t>Can two people use it at once?</t>
  </si>
  <si>
    <t>Not safely in Excel on a shared drive. Upload it to Google Sheets or OneDrive if more than one person needs it open.</t>
  </si>
  <si>
    <t>Will it work on a phone?</t>
  </si>
  <si>
    <t>It opens, and the dashboard reads well enough. Typing is painful on anything this wide - use the printed job sheet.</t>
  </si>
  <si>
    <t>How many clients can it hold?</t>
  </si>
  <si>
    <t>The blank workbook is sized for a few hundred clients and several thousand jobs. Build it with more rows if you need them - the generator takes a row count.</t>
  </si>
  <si>
    <t>Can I change the colours?</t>
  </si>
  <si>
    <t>Yes. They are ordinary cell formats - select and restyle.</t>
  </si>
  <si>
    <t>Can I delete tabs I do not use?</t>
  </si>
  <si>
    <t>You can, but other tabs may reference them. Hiding is safer: right-click the tab, Hide.</t>
  </si>
  <si>
    <t>Does it handle more than one currency?</t>
  </si>
  <si>
    <t>One at a time. The symbol is on the Settings tab.</t>
  </si>
  <si>
    <t>Is the sheet password secure?</t>
  </si>
  <si>
    <t>No. Sheet protection stops accidents, not people. Protect the file itself if the data is sensitive - and it is.</t>
  </si>
  <si>
    <t>Can I use it for a window cleaning or gardening round?</t>
  </si>
  <si>
    <t>Yes, with almost no changes. Rename the services and the checklist areas and the rest follows.</t>
  </si>
  <si>
    <t>Cleaning Business CRM &amp; Pricing Calculator, version 1.0.0. Built by Novality Store with formulas only - no macros, no add-ins, nothing to install and nothing that phones home. Every calculation on every tab can be read, checked and changed by you.</t>
  </si>
</sst>
</file>

<file path=xl/styles.xml><?xml version="1.0" encoding="utf-8"?>
<styleSheet xmlns="http://schemas.openxmlformats.org/spreadsheetml/2006/main">
  <numFmts count="12">
    <numFmt numFmtId="164" formatCode="#,##0"/>
    <numFmt numFmtId="165" formatCode="#,##0.0"/>
    <numFmt numFmtId="166" formatCode="dd-mmm-yyyy"/>
    <numFmt numFmtId="167" formatCode="$#,##0.00;[Red]-$#,##0.00"/>
    <numFmt numFmtId="168" formatCode="0%"/>
    <numFmt numFmtId="167" formatCode="$#,##0.00;[Red]-$#,##0.00"/>
    <numFmt numFmtId="169" formatCode="$#,##0;[Red]-$#,##0"/>
    <numFmt numFmtId="169" formatCode="$#,##0;[Red]-$#,##0"/>
    <numFmt numFmtId="168" formatCode="0%"/>
    <numFmt numFmtId="167" formatCode="$#,##0.00;[Red]-$#,##0.00"/>
    <numFmt numFmtId="164" formatCode="#,##0"/>
    <numFmt numFmtId="165" formatCode="#,##0.0"/>
    <numFmt numFmtId="164" formatCode="#,##0"/>
    <numFmt numFmtId="170" formatCode="ddd d mmm"/>
    <numFmt numFmtId="164" formatCode="#,##0"/>
    <numFmt numFmtId="165" formatCode="#,##0.0"/>
    <numFmt numFmtId="165" formatCode="#,##0.0"/>
    <numFmt numFmtId="169" formatCode="$#,##0;[Red]-$#,##0"/>
    <numFmt numFmtId="169" formatCode="$#,##0;[Red]-$#,##0"/>
    <numFmt numFmtId="168" formatCode="0%"/>
    <numFmt numFmtId="171" formatCode="#,##0.00"/>
    <numFmt numFmtId="167" formatCode="$#,##0.00;[Red]-$#,##0.00"/>
    <numFmt numFmtId="172" formatCode="0.0"/>
    <numFmt numFmtId="166" formatCode="dd-mmm-yyyy"/>
    <numFmt numFmtId="173" formatCode="h:mm AM/PM"/>
    <numFmt numFmtId="173" formatCode="h:mm AM/PM"/>
    <numFmt numFmtId="174" formatCode="d mmm"/>
    <numFmt numFmtId="175" formatCode="ddd d"/>
    <numFmt numFmtId="175" formatCode="ddd d"/>
    <numFmt numFmtId="166" formatCode="dd-mmm-yyyy"/>
    <numFmt numFmtId="165" formatCode="#,##0.0"/>
    <numFmt numFmtId="167" formatCode="$#,##0.00;[Red]-$#,##0.00"/>
    <numFmt numFmtId="173" formatCode="h:mm AM/PM"/>
    <numFmt numFmtId="164" formatCode="#,##0"/>
  </numFmts>
  <fonts count="20">
    <font>
      <sz val="11"/>
      <color theme="1"/>
      <name val="Calibri"/>
      <family val="2"/>
      <scheme val="minor"/>
    </font>
    <font>
      <sz val="8"/>
      <color indexed="81"/>
      <name val="Tahoma"/>
      <family val="2"/>
    </font>
    <font>
      <b/>
      <sz val="18"/>
      <color rgb="FFFFFFFF"/>
      <name val="Calibri"/>
      <family val="2"/>
      <scheme val="minor"/>
    </font>
    <font>
      <b/>
      <sz val="10"/>
      <color rgb="FFFFFFFF"/>
      <name val="Calibri"/>
      <family val="2"/>
      <scheme val="minor"/>
    </font>
    <font>
      <i/>
      <sz val="10"/>
      <color rgb="FF5A6A6D"/>
      <name val="Calibri"/>
      <family val="2"/>
      <scheme val="minor"/>
    </font>
    <font>
      <b/>
      <u/>
      <sz val="9"/>
      <color rgb="FF27467F"/>
      <name val="Calibri"/>
      <family val="2"/>
      <scheme val="minor"/>
    </font>
    <font>
      <sz val="9"/>
      <color rgb="FF102A30"/>
      <name val="Calibri"/>
      <family val="2"/>
      <scheme val="minor"/>
    </font>
    <font>
      <b/>
      <sz val="11"/>
      <color rgb="FFFFFFFF"/>
      <name val="Calibri"/>
      <family val="2"/>
      <scheme val="minor"/>
    </font>
    <font>
      <b/>
      <sz val="9"/>
      <color rgb="FFFFFFFF"/>
      <name val="Calibri"/>
      <family val="2"/>
      <scheme val="minor"/>
    </font>
    <font>
      <b/>
      <sz val="10"/>
      <color rgb="FF102A30"/>
      <name val="Calibri"/>
      <family val="2"/>
      <scheme val="minor"/>
    </font>
    <font>
      <sz val="10"/>
      <color rgb="FF102A30"/>
      <name val="Calibri"/>
      <family val="2"/>
      <scheme val="minor"/>
    </font>
    <font>
      <i/>
      <sz val="9"/>
      <color rgb="FF5A6A6D"/>
      <name val="Calibri"/>
      <family val="2"/>
      <scheme val="minor"/>
    </font>
    <font>
      <sz val="9"/>
      <color rgb="FF5A6A6D"/>
      <name val="Calibri"/>
      <family val="2"/>
      <scheme val="minor"/>
    </font>
    <font>
      <sz val="10"/>
      <color theme="1"/>
      <name val="Calibri"/>
      <family val="2"/>
      <scheme val="minor"/>
    </font>
    <font>
      <b/>
      <sz val="16"/>
      <color rgb="FF102A30"/>
      <name val="Calibri"/>
      <family val="2"/>
      <scheme val="minor"/>
    </font>
    <font>
      <i/>
      <sz val="8"/>
      <color rgb="FF5A6A6D"/>
      <name val="Calibri"/>
      <family val="2"/>
      <scheme val="minor"/>
    </font>
    <font>
      <b/>
      <sz val="10"/>
      <color rgb="FF14616B"/>
      <name val="Calibri"/>
      <family val="2"/>
      <scheme val="minor"/>
    </font>
    <font>
      <b/>
      <sz val="10"/>
      <color theme="1"/>
      <name val="Calibri"/>
      <family val="2"/>
      <scheme val="minor"/>
    </font>
    <font>
      <u/>
      <sz val="10"/>
      <color rgb="FF27467F"/>
      <name val="Calibri"/>
      <family val="2"/>
      <scheme val="minor"/>
    </font>
    <font>
      <b/>
      <sz val="16"/>
      <color rgb="FF14616B"/>
      <name val="Calibri"/>
      <family val="2"/>
      <scheme val="minor"/>
    </font>
  </fonts>
  <fills count="8">
    <fill>
      <patternFill patternType="none"/>
    </fill>
    <fill>
      <patternFill patternType="gray125"/>
    </fill>
    <fill>
      <patternFill patternType="solid">
        <fgColor rgb="FF14616B"/>
        <bgColor indexed="64"/>
      </patternFill>
    </fill>
    <fill>
      <patternFill patternType="solid">
        <fgColor rgb="FFF5FAFB"/>
        <bgColor indexed="64"/>
      </patternFill>
    </fill>
    <fill>
      <patternFill patternType="solid">
        <fgColor rgb="FFFDF0D9"/>
        <bgColor indexed="64"/>
      </patternFill>
    </fill>
    <fill>
      <patternFill patternType="solid">
        <fgColor rgb="FF2F8F9D"/>
        <bgColor indexed="64"/>
      </patternFill>
    </fill>
    <fill>
      <patternFill patternType="solid">
        <fgColor rgb="FFFFFFFF"/>
        <bgColor indexed="64"/>
      </patternFill>
    </fill>
    <fill>
      <patternFill patternType="solid">
        <fgColor rgb="FFEDF4F5"/>
        <bgColor indexed="64"/>
      </patternFill>
    </fill>
  </fills>
  <borders count="8">
    <border>
      <left/>
      <right/>
      <top/>
      <bottom/>
      <diagonal/>
    </border>
    <border>
      <left style="thin">
        <color rgb="FFE8A33D"/>
      </left>
      <right style="thin">
        <color rgb="FFE8A33D"/>
      </right>
      <top style="thin">
        <color rgb="FFE8A33D"/>
      </top>
      <bottom style="thin">
        <color rgb="FFE8A33D"/>
      </bottom>
      <diagonal/>
    </border>
    <border>
      <left style="thin">
        <color rgb="FF14616B"/>
      </left>
      <right style="thin">
        <color rgb="FF14616B"/>
      </right>
      <top style="thin">
        <color rgb="FF14616B"/>
      </top>
      <bottom style="thin">
        <color rgb="FF14616B"/>
      </bottom>
      <diagonal/>
    </border>
    <border>
      <left style="thin">
        <color rgb="FFD5E3E5"/>
      </left>
      <right style="thin">
        <color rgb="FFD5E3E5"/>
      </right>
      <top style="thin">
        <color rgb="FFD5E3E5"/>
      </top>
      <bottom style="thin">
        <color rgb="FFD5E3E5"/>
      </bottom>
      <diagonal/>
    </border>
    <border>
      <left style="thin">
        <color rgb="FFCFE0E3"/>
      </left>
      <right style="thin">
        <color rgb="FFCFE0E3"/>
      </right>
      <top style="thin">
        <color rgb="FFCFE0E3"/>
      </top>
      <bottom style="thin">
        <color rgb="FFCFE0E3"/>
      </bottom>
      <diagonal/>
    </border>
    <border>
      <left style="thin">
        <color rgb="FFBFD6DA"/>
      </left>
      <right style="thin">
        <color rgb="FFBFD6DA"/>
      </right>
      <top style="thin">
        <color rgb="FFBFD6DA"/>
      </top>
      <bottom style="thin">
        <color rgb="FFBFD6DA"/>
      </bottom>
      <diagonal/>
    </border>
    <border>
      <left/>
      <right/>
      <top/>
      <bottom style="thin">
        <color rgb="FF102A30"/>
      </bottom>
      <diagonal/>
    </border>
    <border>
      <left style="thin">
        <color rgb="FF102A30"/>
      </left>
      <right style="thin">
        <color rgb="FF102A30"/>
      </right>
      <top style="thin">
        <color rgb="FF102A30"/>
      </top>
      <bottom style="thin">
        <color rgb="FF102A30"/>
      </bottom>
      <diagonal/>
    </border>
  </borders>
  <cellStyleXfs count="1">
    <xf numFmtId="0" fontId="0" fillId="0" borderId="0"/>
  </cellStyleXfs>
  <cellXfs count="72">
    <xf numFmtId="0" fontId="0" fillId="0" borderId="0" xfId="0"/>
    <xf numFmtId="0" fontId="1" fillId="0" borderId="0" xfId="0" applyFont="1"/>
    <xf numFmtId="0" fontId="2" fillId="2" borderId="0" xfId="0" applyFont="1" applyFill="1" applyAlignment="1">
      <alignment horizontal="left" vertical="center" indent="1"/>
    </xf>
    <xf numFmtId="0" fontId="3" fillId="2" borderId="0" xfId="0" applyFont="1" applyFill="1" applyAlignment="1">
      <alignment horizontal="right" vertical="center" indent="1"/>
    </xf>
    <xf numFmtId="0" fontId="4" fillId="3" borderId="0" xfId="0" applyFont="1" applyFill="1" applyAlignment="1">
      <alignment horizontal="left" vertical="center" indent="1"/>
    </xf>
    <xf numFmtId="0" fontId="5" fillId="3" borderId="0" xfId="0" applyFont="1" applyFill="1" applyAlignment="1">
      <alignment horizontal="left" vertical="center" indent="1"/>
    </xf>
    <xf numFmtId="0" fontId="6" fillId="4" borderId="1" xfId="0" applyFont="1" applyFill="1" applyBorder="1" applyAlignment="1">
      <alignment horizontal="left" vertical="top" indent="1" wrapText="1"/>
    </xf>
    <xf numFmtId="0" fontId="7" fillId="5" borderId="0" xfId="0" applyFont="1" applyFill="1" applyAlignment="1">
      <alignment horizontal="left" vertical="center" indent="1"/>
    </xf>
    <xf numFmtId="0" fontId="8" fillId="2" borderId="2" xfId="0" applyFont="1" applyFill="1" applyBorder="1" applyAlignment="1">
      <alignment horizontal="left" vertical="center" indent="1" wrapText="1"/>
    </xf>
    <xf numFmtId="0" fontId="8" fillId="2" borderId="2" xfId="0" applyFont="1" applyFill="1" applyBorder="1" applyAlignment="1">
      <alignment horizontal="center" vertical="center" wrapText="1"/>
    </xf>
    <xf numFmtId="0" fontId="9" fillId="0" borderId="0" xfId="0" applyFont="1" applyAlignment="1">
      <alignment horizontal="left" vertical="center" indent="1"/>
    </xf>
    <xf numFmtId="0" fontId="10" fillId="0" borderId="0" xfId="0" applyFont="1" applyAlignment="1">
      <alignment horizontal="left" vertical="center" indent="1"/>
    </xf>
    <xf numFmtId="0" fontId="11" fillId="0" borderId="0" xfId="0" applyFont="1" applyAlignment="1">
      <alignment horizontal="left" vertical="top" wrapText="1"/>
    </xf>
    <xf numFmtId="0" fontId="8" fillId="5" borderId="0" xfId="0" applyFont="1" applyFill="1" applyAlignment="1">
      <alignment horizontal="left" vertical="center" indent="1"/>
    </xf>
    <xf numFmtId="0" fontId="12" fillId="3" borderId="0" xfId="0" applyFont="1" applyFill="1" applyAlignment="1">
      <alignment horizontal="left" vertical="center"/>
    </xf>
    <xf numFmtId="0" fontId="13" fillId="6" borderId="3" xfId="0" applyFont="1" applyFill="1" applyBorder="1" applyAlignment="1" applyProtection="1">
      <alignment horizontal="left" vertical="center"/>
      <protection locked="0"/>
    </xf>
    <xf numFmtId="164" fontId="13" fillId="6" borderId="3" xfId="0" applyNumberFormat="1" applyFont="1" applyFill="1" applyBorder="1" applyAlignment="1" applyProtection="1">
      <alignment horizontal="right" vertical="center"/>
      <protection locked="0"/>
    </xf>
    <xf numFmtId="165" fontId="13" fillId="6" borderId="3" xfId="0" applyNumberFormat="1" applyFont="1" applyFill="1" applyBorder="1" applyAlignment="1" applyProtection="1">
      <alignment horizontal="right" vertical="center"/>
      <protection locked="0"/>
    </xf>
    <xf numFmtId="166" fontId="10" fillId="7" borderId="4" xfId="0" applyNumberFormat="1" applyFont="1" applyFill="1" applyBorder="1" applyAlignment="1">
      <alignment horizontal="center" vertical="center"/>
    </xf>
    <xf numFmtId="167" fontId="13" fillId="6" borderId="3" xfId="0" applyNumberFormat="1" applyFont="1" applyFill="1" applyBorder="1" applyAlignment="1" applyProtection="1">
      <alignment horizontal="right" vertical="center"/>
      <protection locked="0"/>
    </xf>
    <xf numFmtId="168" fontId="13" fillId="6" borderId="3" xfId="0" applyNumberFormat="1" applyFont="1" applyFill="1" applyBorder="1" applyAlignment="1" applyProtection="1">
      <alignment horizontal="center" vertical="center"/>
      <protection locked="0"/>
    </xf>
    <xf numFmtId="167" fontId="10" fillId="7" borderId="4" xfId="0" applyNumberFormat="1" applyFont="1" applyFill="1" applyBorder="1" applyAlignment="1">
      <alignment horizontal="right" vertical="center"/>
    </xf>
    <xf numFmtId="169" fontId="13" fillId="6" borderId="3" xfId="0" applyNumberFormat="1" applyFont="1" applyFill="1" applyBorder="1" applyAlignment="1" applyProtection="1">
      <alignment horizontal="right" vertical="center"/>
      <protection locked="0"/>
    </xf>
    <xf numFmtId="0" fontId="10" fillId="7" borderId="4" xfId="0" applyFont="1" applyFill="1" applyBorder="1" applyAlignment="1">
      <alignment horizontal="left" vertical="center"/>
    </xf>
    <xf numFmtId="0" fontId="10" fillId="0" borderId="0" xfId="0" applyFont="1" applyAlignment="1">
      <alignment horizontal="right" vertical="center"/>
    </xf>
    <xf numFmtId="169" fontId="14" fillId="6" borderId="5" xfId="0" applyNumberFormat="1" applyFont="1" applyFill="1" applyBorder="1" applyAlignment="1">
      <alignment horizontal="center" vertical="center"/>
    </xf>
    <xf numFmtId="0" fontId="15" fillId="6" borderId="5" xfId="0" applyFont="1" applyFill="1" applyBorder="1" applyAlignment="1">
      <alignment horizontal="center" vertical="center"/>
    </xf>
    <xf numFmtId="168" fontId="14" fillId="6" borderId="5" xfId="0" applyNumberFormat="1" applyFont="1" applyFill="1" applyBorder="1" applyAlignment="1">
      <alignment horizontal="center" vertical="center"/>
    </xf>
    <xf numFmtId="167" fontId="14" fillId="6" borderId="5" xfId="0" applyNumberFormat="1" applyFont="1" applyFill="1" applyBorder="1" applyAlignment="1">
      <alignment horizontal="center" vertical="center"/>
    </xf>
    <xf numFmtId="164" fontId="14" fillId="6" borderId="5" xfId="0" applyNumberFormat="1" applyFont="1" applyFill="1" applyBorder="1" applyAlignment="1">
      <alignment horizontal="center" vertical="center"/>
    </xf>
    <xf numFmtId="165" fontId="14" fillId="6" borderId="5" xfId="0" applyNumberFormat="1" applyFont="1" applyFill="1" applyBorder="1" applyAlignment="1">
      <alignment horizontal="center" vertical="center"/>
    </xf>
    <xf numFmtId="164" fontId="10" fillId="7" borderId="4" xfId="0" applyNumberFormat="1" applyFont="1" applyFill="1" applyBorder="1" applyAlignment="1">
      <alignment horizontal="right" vertical="center"/>
    </xf>
    <xf numFmtId="170" fontId="8" fillId="2" borderId="2" xfId="0" applyNumberFormat="1" applyFont="1" applyFill="1" applyBorder="1" applyAlignment="1">
      <alignment horizontal="center" vertical="center" wrapText="1"/>
    </xf>
    <xf numFmtId="164" fontId="3" fillId="2" borderId="0" xfId="0" applyNumberFormat="1" applyFont="1" applyFill="1" applyAlignment="1">
      <alignment horizontal="right" vertical="center"/>
    </xf>
    <xf numFmtId="165" fontId="10" fillId="7" borderId="4" xfId="0" applyNumberFormat="1" applyFont="1" applyFill="1" applyBorder="1" applyAlignment="1">
      <alignment horizontal="right" vertical="center"/>
    </xf>
    <xf numFmtId="165" fontId="3" fillId="2" borderId="0" xfId="0" applyNumberFormat="1" applyFont="1" applyFill="1" applyAlignment="1">
      <alignment horizontal="right" vertical="center"/>
    </xf>
    <xf numFmtId="169" fontId="10" fillId="7" borderId="4" xfId="0" applyNumberFormat="1" applyFont="1" applyFill="1" applyBorder="1" applyAlignment="1">
      <alignment horizontal="right" vertical="center"/>
    </xf>
    <xf numFmtId="169" fontId="3" fillId="2" borderId="0" xfId="0" applyNumberFormat="1" applyFont="1" applyFill="1" applyAlignment="1">
      <alignment horizontal="right" vertical="center"/>
    </xf>
    <xf numFmtId="168" fontId="10" fillId="7" borderId="4" xfId="0" applyNumberFormat="1" applyFont="1" applyFill="1" applyBorder="1" applyAlignment="1">
      <alignment horizontal="center" vertical="center"/>
    </xf>
    <xf numFmtId="0" fontId="9" fillId="7" borderId="4" xfId="0" applyFont="1" applyFill="1" applyBorder="1" applyAlignment="1">
      <alignment horizontal="center" vertical="center"/>
    </xf>
    <xf numFmtId="171" fontId="13" fillId="6" borderId="3" xfId="0" applyNumberFormat="1" applyFont="1" applyFill="1" applyBorder="1" applyAlignment="1" applyProtection="1">
      <alignment horizontal="right" vertical="center"/>
      <protection locked="0"/>
    </xf>
    <xf numFmtId="167" fontId="3" fillId="2" borderId="0" xfId="0" applyNumberFormat="1" applyFont="1" applyFill="1" applyAlignment="1">
      <alignment horizontal="right" vertical="center"/>
    </xf>
    <xf numFmtId="172" fontId="3" fillId="2" borderId="0" xfId="0" applyNumberFormat="1" applyFont="1" applyFill="1" applyAlignment="1">
      <alignment horizontal="right" vertical="center"/>
    </xf>
    <xf numFmtId="0" fontId="16" fillId="7" borderId="4" xfId="0" applyFont="1" applyFill="1" applyBorder="1" applyAlignment="1">
      <alignment horizontal="left" vertical="center"/>
    </xf>
    <xf numFmtId="0" fontId="13" fillId="6" borderId="3" xfId="0" applyFont="1" applyFill="1" applyBorder="1" applyAlignment="1" applyProtection="1">
      <alignment horizontal="left" vertical="top" wrapText="1"/>
      <protection locked="0"/>
    </xf>
    <xf numFmtId="0" fontId="17" fillId="6" borderId="3" xfId="0" applyFont="1" applyFill="1" applyBorder="1" applyAlignment="1" applyProtection="1">
      <alignment horizontal="center" vertical="center"/>
      <protection locked="0"/>
    </xf>
    <xf numFmtId="166" fontId="13" fillId="6" borderId="3" xfId="0" applyNumberFormat="1" applyFont="1" applyFill="1" applyBorder="1" applyAlignment="1" applyProtection="1">
      <alignment horizontal="center" vertical="center"/>
      <protection locked="0"/>
    </xf>
    <xf numFmtId="0" fontId="13" fillId="6" borderId="3" xfId="0" applyFont="1" applyFill="1" applyBorder="1" applyAlignment="1" applyProtection="1">
      <alignment horizontal="center" vertical="center"/>
      <protection locked="0"/>
    </xf>
    <xf numFmtId="0" fontId="11" fillId="3" borderId="0" xfId="0" applyFont="1" applyFill="1" applyAlignment="1">
      <alignment horizontal="left" vertical="top" wrapText="1"/>
    </xf>
    <xf numFmtId="0" fontId="16" fillId="6" borderId="3" xfId="0" applyFont="1" applyFill="1" applyBorder="1" applyAlignment="1" applyProtection="1">
      <alignment horizontal="left" vertical="center"/>
      <protection locked="0"/>
    </xf>
    <xf numFmtId="0" fontId="10" fillId="7" borderId="4" xfId="0" applyFont="1" applyFill="1" applyBorder="1" applyAlignment="1">
      <alignment horizontal="center" vertical="center"/>
    </xf>
    <xf numFmtId="0" fontId="10" fillId="7" borderId="4" xfId="0" applyFont="1" applyFill="1" applyBorder="1" applyAlignment="1">
      <alignment horizontal="left" vertical="top" wrapText="1"/>
    </xf>
    <xf numFmtId="173" fontId="13" fillId="6" borderId="3" xfId="0" applyNumberFormat="1" applyFont="1" applyFill="1" applyBorder="1" applyAlignment="1" applyProtection="1">
      <alignment horizontal="center" vertical="center"/>
      <protection locked="0"/>
    </xf>
    <xf numFmtId="173" fontId="10" fillId="7" borderId="4" xfId="0" applyNumberFormat="1" applyFont="1" applyFill="1" applyBorder="1" applyAlignment="1">
      <alignment horizontal="center" vertical="center"/>
    </xf>
    <xf numFmtId="0" fontId="18" fillId="6" borderId="3" xfId="0" applyFont="1" applyFill="1" applyBorder="1" applyAlignment="1" applyProtection="1">
      <alignment horizontal="left" vertical="center"/>
      <protection locked="0"/>
    </xf>
    <xf numFmtId="174" fontId="9" fillId="0" borderId="0" xfId="0" applyNumberFormat="1" applyFont="1" applyAlignment="1">
      <alignment horizontal="left" vertical="center" indent="1"/>
    </xf>
    <xf numFmtId="175" fontId="8" fillId="5" borderId="0" xfId="0" applyNumberFormat="1" applyFont="1" applyFill="1" applyAlignment="1">
      <alignment horizontal="left" vertical="center" indent="1"/>
    </xf>
    <xf numFmtId="175" fontId="8" fillId="2" borderId="2" xfId="0" applyNumberFormat="1" applyFont="1" applyFill="1" applyBorder="1" applyAlignment="1">
      <alignment horizontal="center" vertical="center" wrapText="1"/>
    </xf>
    <xf numFmtId="0" fontId="3" fillId="2" borderId="0" xfId="0" applyFont="1" applyFill="1" applyAlignment="1">
      <alignment horizontal="right" vertical="center"/>
    </xf>
    <xf numFmtId="0" fontId="19" fillId="0" borderId="0" xfId="0" applyFont="1" applyAlignment="1">
      <alignment horizontal="left" vertical="center"/>
    </xf>
    <xf numFmtId="0" fontId="4" fillId="0" borderId="0" xfId="0" applyFont="1" applyAlignment="1">
      <alignment horizontal="left" vertical="center"/>
    </xf>
    <xf numFmtId="0" fontId="16" fillId="0" borderId="0" xfId="0" applyFont="1" applyAlignment="1">
      <alignment horizontal="left" vertical="center"/>
    </xf>
    <xf numFmtId="0" fontId="13" fillId="0" borderId="0" xfId="0" applyFont="1" applyAlignment="1">
      <alignment horizontal="left" vertical="center"/>
    </xf>
    <xf numFmtId="166" fontId="13" fillId="0" borderId="0" xfId="0" applyNumberFormat="1" applyFont="1" applyAlignment="1">
      <alignment horizontal="center" vertical="center"/>
    </xf>
    <xf numFmtId="0" fontId="13" fillId="0" borderId="0" xfId="0" applyFont="1" applyAlignment="1">
      <alignment horizontal="left" vertical="top" wrapText="1"/>
    </xf>
    <xf numFmtId="165" fontId="13" fillId="0" borderId="0" xfId="0" applyNumberFormat="1" applyFont="1" applyAlignment="1">
      <alignment horizontal="right" vertical="center"/>
    </xf>
    <xf numFmtId="167" fontId="13" fillId="0" borderId="0" xfId="0" applyNumberFormat="1" applyFont="1" applyAlignment="1">
      <alignment horizontal="right" vertical="center"/>
    </xf>
    <xf numFmtId="0" fontId="3" fillId="2" borderId="0" xfId="0" applyFont="1" applyFill="1" applyAlignment="1">
      <alignment horizontal="left" vertical="center" indent="1"/>
    </xf>
    <xf numFmtId="0" fontId="13" fillId="0" borderId="6" xfId="0" applyFont="1" applyBorder="1" applyAlignment="1" applyProtection="1">
      <alignment horizontal="left" vertical="center"/>
      <protection locked="0"/>
    </xf>
    <xf numFmtId="173" fontId="13" fillId="0" borderId="0" xfId="0" applyNumberFormat="1" applyFont="1" applyAlignment="1">
      <alignment horizontal="center" vertical="center"/>
    </xf>
    <xf numFmtId="164" fontId="13" fillId="0" borderId="0" xfId="0" applyNumberFormat="1" applyFont="1" applyAlignment="1">
      <alignment horizontal="right" vertical="center"/>
    </xf>
    <xf numFmtId="0" fontId="13" fillId="0" borderId="7" xfId="0" applyFont="1" applyBorder="1" applyAlignment="1" applyProtection="1">
      <alignment horizontal="left" vertical="top" wrapText="1"/>
      <protection locked="0"/>
    </xf>
  </cellXfs>
  <cellStyles count="1">
    <cellStyle name="Normal" xfId="0" builtinId="0"/>
  </cellStyles>
  <dxfs count="6">
    <dxf>
      <font>
        <color rgb="FF8A5A00"/>
      </font>
      <fill>
        <patternFill>
          <bgColor rgb="FFFFF0CE"/>
        </patternFill>
      </fill>
    </dxf>
    <dxf>
      <font>
        <color rgb="FF11684A"/>
      </font>
      <fill>
        <patternFill>
          <bgColor rgb="FFD7F2E3"/>
        </patternFill>
      </fill>
    </dxf>
    <dxf>
      <font>
        <color rgb="FF9C1C2E"/>
      </font>
      <fill>
        <patternFill>
          <bgColor rgb="FFFBD9DD"/>
        </patternFill>
      </fill>
    </dxf>
    <dxf>
      <font>
        <color rgb="FF27467F"/>
      </font>
      <fill>
        <patternFill>
          <bgColor rgb="FFDDE9FA"/>
        </patternFill>
      </fill>
    </dxf>
    <dxf>
      <font>
        <i/>
        <color rgb="FF5A6A6D"/>
      </font>
    </dxf>
    <dxf>
      <font>
        <b/>
        <color rgb="FF9C1C2E"/>
      </font>
      <fill>
        <patternFill>
          <bgColor rgb="FFFBD9DD"/>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theme" Target="theme/theme1.xml"/><Relationship Id="rId39" Type="http://schemas.openxmlformats.org/officeDocument/2006/relationships/styles" Target="styles.xml"/><Relationship Id="rId4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9.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sheet1.xml><?xml version="1.0" encoding="utf-8"?>
<worksheet xmlns="http://schemas.openxmlformats.org/spreadsheetml/2006/main" xmlns:r="http://schemas.openxmlformats.org/officeDocument/2006/relationships">
  <sheetPr>
    <tabColor rgb="FF102A30"/>
    <pageSetUpPr fitToPage="1"/>
  </sheetPr>
  <dimension ref="A1:J91"/>
  <sheetViews>
    <sheetView showGridLines="0" tabSelected="1" workbookViewId="0">
      <pane ySplit="4" topLeftCell="A5" activePane="bottomLeft" state="frozen"/>
      <selection pane="bottomLeft"/>
    </sheetView>
  </sheetViews>
  <sheetFormatPr defaultRowHeight="15"/>
  <cols>
    <col min="1" max="1" width="4.7109375" customWidth="1"/>
    <col min="2" max="2" width="30.7109375" customWidth="1"/>
    <col min="3" max="3" width="18.7109375" customWidth="1"/>
    <col min="4" max="10" width="15.7109375" customWidth="1"/>
    <col min="2" max="2" width="30.7109375" customWidth="1"/>
    <col min="3" max="3" width="52.7109375" customWidth="1"/>
    <col min="4" max="4" width="26.7109375" customWidth="1"/>
    <col min="2" max="2" width="8.7109375" customWidth="1"/>
    <col min="3" max="3" width="30.7109375" customWidth="1"/>
    <col min="4" max="4" width="60.7109375" customWidth="1"/>
    <col min="2" max="2" width="20.7109375" customWidth="1"/>
    <col min="3" max="3" width="62.7109375" customWidth="1"/>
    <col min="4" max="4" width="18.7109375" customWidth="1"/>
    <col min="2" max="2" width="30.7109375" customWidth="1"/>
    <col min="3" max="3" width="68.7109375" customWidth="1"/>
  </cols>
  <sheetData>
    <row r="1" spans="1:10" ht="34" customHeight="1">
      <c r="A1" s="2" t="s">
        <v>0</v>
      </c>
      <c r="B1" s="2"/>
      <c r="C1" s="2"/>
      <c r="D1" s="2"/>
      <c r="E1" s="2"/>
      <c r="F1" s="2"/>
      <c r="G1" s="2"/>
      <c r="H1" s="3" t="s">
        <v>1</v>
      </c>
      <c r="I1" s="3"/>
      <c r="J1" s="3"/>
    </row>
    <row r="2" spans="1:10" ht="18" customHeight="1">
      <c r="A2" s="4" t="s">
        <v>2</v>
      </c>
      <c r="B2" s="4"/>
      <c r="C2" s="4"/>
      <c r="D2" s="4"/>
      <c r="E2" s="4"/>
      <c r="F2" s="4"/>
      <c r="G2" s="4"/>
      <c r="H2" s="4"/>
      <c r="I2" s="4"/>
      <c r="J2" s="4"/>
    </row>
    <row r="3" spans="1:10" ht="16" customHeight="1">
      <c r="A3" s="5" t="s">
        <v>3</v>
      </c>
      <c r="B3" s="5"/>
      <c r="C3" s="5" t="s">
        <v>4</v>
      </c>
      <c r="D3" s="5"/>
      <c r="E3" s="5" t="s">
        <v>5</v>
      </c>
      <c r="F3" s="5"/>
      <c r="G3" s="5" t="s">
        <v>6</v>
      </c>
      <c r="H3" s="5"/>
      <c r="I3" s="5" t="s">
        <v>7</v>
      </c>
      <c r="J3" s="5"/>
    </row>
    <row r="5" spans="1:10" ht="34" customHeight="1">
      <c r="A5" s="6" t="s">
        <v>8</v>
      </c>
      <c r="B5" s="6"/>
      <c r="C5" s="6"/>
      <c r="D5" s="6"/>
      <c r="E5" s="6"/>
      <c r="F5" s="6"/>
      <c r="G5" s="6"/>
      <c r="H5" s="6"/>
      <c r="I5" s="6"/>
      <c r="J5" s="6"/>
    </row>
    <row r="7" spans="1:10" ht="20" customHeight="1">
      <c r="A7" s="7" t="s">
        <v>9</v>
      </c>
      <c r="B7" s="7"/>
      <c r="C7" s="7"/>
      <c r="D7" s="7"/>
      <c r="E7" s="7"/>
      <c r="F7" s="7"/>
      <c r="G7" s="7"/>
      <c r="H7" s="7"/>
      <c r="I7" s="7"/>
      <c r="J7" s="7"/>
    </row>
    <row r="8" spans="1:10" ht="26" customHeight="1">
      <c r="B8" s="8" t="s">
        <v>10</v>
      </c>
      <c r="C8" s="9" t="s">
        <v>11</v>
      </c>
      <c r="D8" s="9" t="s">
        <v>12</v>
      </c>
    </row>
    <row r="9" spans="1:10">
      <c r="B9" s="10" t="s">
        <v>13</v>
      </c>
      <c r="C9" s="11" t="s">
        <v>14</v>
      </c>
      <c r="D9" s="11"/>
      <c r="E9" s="11"/>
      <c r="F9" s="11"/>
      <c r="G9" s="11"/>
      <c r="H9" s="12" t="s">
        <v>15</v>
      </c>
      <c r="I9" s="12"/>
      <c r="J9" s="12"/>
    </row>
    <row r="10" spans="1:10">
      <c r="B10" s="10" t="s">
        <v>16</v>
      </c>
      <c r="C10" s="11" t="s">
        <v>17</v>
      </c>
      <c r="D10" s="11"/>
      <c r="E10" s="11"/>
      <c r="F10" s="11"/>
      <c r="G10" s="11"/>
      <c r="H10" s="12" t="s">
        <v>18</v>
      </c>
      <c r="I10" s="12"/>
      <c r="J10" s="12"/>
    </row>
    <row r="11" spans="1:10">
      <c r="B11" s="10" t="s">
        <v>19</v>
      </c>
      <c r="C11" s="11" t="s">
        <v>20</v>
      </c>
      <c r="D11" s="11"/>
      <c r="E11" s="11"/>
      <c r="F11" s="11"/>
      <c r="G11" s="11"/>
      <c r="H11" s="12" t="s">
        <v>21</v>
      </c>
      <c r="I11" s="12"/>
      <c r="J11" s="12"/>
    </row>
    <row r="12" spans="1:10">
      <c r="B12" s="10" t="s">
        <v>22</v>
      </c>
      <c r="C12" s="11" t="s">
        <v>23</v>
      </c>
      <c r="D12" s="11"/>
      <c r="E12" s="11"/>
      <c r="F12" s="11"/>
      <c r="G12" s="11"/>
      <c r="H12" s="12" t="s">
        <v>24</v>
      </c>
      <c r="I12" s="12"/>
      <c r="J12" s="12"/>
    </row>
    <row r="13" spans="1:10">
      <c r="B13" s="10" t="s">
        <v>25</v>
      </c>
      <c r="C13" s="11" t="s">
        <v>26</v>
      </c>
      <c r="D13" s="11"/>
      <c r="E13" s="11"/>
      <c r="F13" s="11"/>
      <c r="G13" s="11"/>
      <c r="H13" s="12" t="s">
        <v>27</v>
      </c>
      <c r="I13" s="12"/>
      <c r="J13" s="12"/>
    </row>
    <row r="14" spans="1:10">
      <c r="B14" s="10" t="s">
        <v>28</v>
      </c>
      <c r="C14" s="11" t="s">
        <v>29</v>
      </c>
      <c r="D14" s="11"/>
      <c r="E14" s="11"/>
      <c r="F14" s="11"/>
      <c r="G14" s="11"/>
      <c r="H14" s="12" t="s">
        <v>30</v>
      </c>
      <c r="I14" s="12"/>
      <c r="J14" s="12"/>
    </row>
    <row r="15" spans="1:10">
      <c r="B15" s="10" t="s">
        <v>31</v>
      </c>
      <c r="C15" s="11" t="s">
        <v>32</v>
      </c>
      <c r="D15" s="11"/>
      <c r="E15" s="11"/>
      <c r="F15" s="11"/>
      <c r="G15" s="11"/>
      <c r="H15" s="12" t="s">
        <v>33</v>
      </c>
      <c r="I15" s="12"/>
      <c r="J15" s="12"/>
    </row>
    <row r="16" spans="1:10">
      <c r="B16" s="10" t="s">
        <v>34</v>
      </c>
      <c r="C16" s="11" t="s">
        <v>35</v>
      </c>
      <c r="D16" s="11"/>
      <c r="E16" s="11"/>
      <c r="F16" s="11"/>
      <c r="G16" s="11"/>
      <c r="H16" s="12" t="s">
        <v>36</v>
      </c>
      <c r="I16" s="12"/>
      <c r="J16" s="12"/>
    </row>
    <row r="17" spans="2:10">
      <c r="B17" s="10" t="s">
        <v>37</v>
      </c>
      <c r="C17" s="11" t="s">
        <v>38</v>
      </c>
      <c r="D17" s="11"/>
      <c r="E17" s="11"/>
      <c r="F17" s="11"/>
      <c r="G17" s="11"/>
      <c r="H17" s="12" t="s">
        <v>39</v>
      </c>
      <c r="I17" s="12"/>
      <c r="J17" s="12"/>
    </row>
    <row r="18" spans="2:10">
      <c r="B18" s="10" t="s">
        <v>40</v>
      </c>
      <c r="C18" s="11" t="s">
        <v>41</v>
      </c>
      <c r="D18" s="11"/>
      <c r="E18" s="11"/>
      <c r="F18" s="11"/>
      <c r="G18" s="11"/>
      <c r="H18" s="12" t="s">
        <v>42</v>
      </c>
      <c r="I18" s="12"/>
      <c r="J18" s="12"/>
    </row>
    <row r="19" spans="2:10">
      <c r="B19" s="10" t="s">
        <v>43</v>
      </c>
      <c r="C19" s="11" t="s">
        <v>44</v>
      </c>
      <c r="D19" s="11"/>
      <c r="E19" s="11"/>
      <c r="F19" s="11"/>
      <c r="G19" s="11"/>
      <c r="H19" s="12" t="s">
        <v>45</v>
      </c>
      <c r="I19" s="12"/>
      <c r="J19" s="12"/>
    </row>
    <row r="20" spans="2:10">
      <c r="B20" s="10" t="s">
        <v>46</v>
      </c>
      <c r="C20" s="11" t="s">
        <v>47</v>
      </c>
      <c r="D20" s="11"/>
      <c r="E20" s="11"/>
      <c r="F20" s="11"/>
      <c r="G20" s="11"/>
      <c r="H20" s="12" t="s">
        <v>48</v>
      </c>
      <c r="I20" s="12"/>
      <c r="J20" s="12"/>
    </row>
    <row r="21" spans="2:10">
      <c r="B21" s="10" t="s">
        <v>49</v>
      </c>
      <c r="C21" s="11" t="s">
        <v>50</v>
      </c>
      <c r="D21" s="11"/>
      <c r="E21" s="11"/>
      <c r="F21" s="11"/>
      <c r="G21" s="11"/>
      <c r="H21" s="12" t="s">
        <v>51</v>
      </c>
      <c r="I21" s="12"/>
      <c r="J21" s="12"/>
    </row>
    <row r="22" spans="2:10">
      <c r="B22" s="10" t="s">
        <v>52</v>
      </c>
      <c r="C22" s="11" t="s">
        <v>53</v>
      </c>
      <c r="D22" s="11"/>
      <c r="E22" s="11"/>
      <c r="F22" s="11"/>
      <c r="G22" s="11"/>
      <c r="H22" s="12" t="s">
        <v>54</v>
      </c>
      <c r="I22" s="12"/>
      <c r="J22" s="12"/>
    </row>
    <row r="23" spans="2:10">
      <c r="B23" s="10" t="s">
        <v>55</v>
      </c>
      <c r="C23" s="11" t="s">
        <v>56</v>
      </c>
      <c r="D23" s="11"/>
      <c r="E23" s="11"/>
      <c r="F23" s="11"/>
      <c r="G23" s="11"/>
      <c r="H23" s="12" t="s">
        <v>57</v>
      </c>
      <c r="I23" s="12"/>
      <c r="J23" s="12"/>
    </row>
    <row r="24" spans="2:10">
      <c r="B24" s="10" t="s">
        <v>58</v>
      </c>
      <c r="C24" s="11" t="s">
        <v>59</v>
      </c>
      <c r="D24" s="11"/>
      <c r="E24" s="11"/>
      <c r="F24" s="11"/>
      <c r="G24" s="11"/>
      <c r="H24" s="12" t="s">
        <v>60</v>
      </c>
      <c r="I24" s="12"/>
      <c r="J24" s="12"/>
    </row>
    <row r="25" spans="2:10">
      <c r="B25" s="10" t="s">
        <v>61</v>
      </c>
      <c r="C25" s="11" t="s">
        <v>62</v>
      </c>
      <c r="D25" s="11"/>
      <c r="E25" s="11"/>
      <c r="F25" s="11"/>
      <c r="G25" s="11"/>
      <c r="H25" s="12" t="s">
        <v>63</v>
      </c>
      <c r="I25" s="12"/>
      <c r="J25" s="12"/>
    </row>
    <row r="26" spans="2:10">
      <c r="B26" s="10" t="s">
        <v>64</v>
      </c>
      <c r="C26" s="11" t="s">
        <v>65</v>
      </c>
      <c r="D26" s="11"/>
      <c r="E26" s="11"/>
      <c r="F26" s="11"/>
      <c r="G26" s="11"/>
      <c r="H26" s="12" t="s">
        <v>66</v>
      </c>
      <c r="I26" s="12"/>
      <c r="J26" s="12"/>
    </row>
    <row r="27" spans="2:10">
      <c r="B27" s="10" t="s">
        <v>67</v>
      </c>
      <c r="C27" s="11" t="s">
        <v>68</v>
      </c>
      <c r="D27" s="11"/>
      <c r="E27" s="11"/>
      <c r="F27" s="11"/>
      <c r="G27" s="11"/>
      <c r="H27" s="12" t="s">
        <v>69</v>
      </c>
      <c r="I27" s="12"/>
      <c r="J27" s="12"/>
    </row>
    <row r="28" spans="2:10">
      <c r="B28" s="10" t="s">
        <v>70</v>
      </c>
      <c r="C28" s="11" t="s">
        <v>71</v>
      </c>
      <c r="D28" s="11"/>
      <c r="E28" s="11"/>
      <c r="F28" s="11"/>
      <c r="G28" s="11"/>
      <c r="H28" s="12" t="s">
        <v>72</v>
      </c>
      <c r="I28" s="12"/>
      <c r="J28" s="12"/>
    </row>
    <row r="29" spans="2:10">
      <c r="B29" s="10" t="s">
        <v>73</v>
      </c>
      <c r="C29" s="11" t="s">
        <v>74</v>
      </c>
      <c r="D29" s="11"/>
      <c r="E29" s="11"/>
      <c r="F29" s="11"/>
      <c r="G29" s="11"/>
      <c r="H29" s="12" t="s">
        <v>75</v>
      </c>
      <c r="I29" s="12"/>
      <c r="J29" s="12"/>
    </row>
    <row r="30" spans="2:10">
      <c r="B30" s="10" t="s">
        <v>76</v>
      </c>
      <c r="C30" s="11" t="s">
        <v>77</v>
      </c>
      <c r="D30" s="11"/>
      <c r="E30" s="11"/>
      <c r="F30" s="11"/>
      <c r="G30" s="11"/>
      <c r="H30" s="12" t="s">
        <v>78</v>
      </c>
      <c r="I30" s="12"/>
      <c r="J30" s="12"/>
    </row>
    <row r="31" spans="2:10">
      <c r="B31" s="10" t="s">
        <v>79</v>
      </c>
      <c r="C31" s="11" t="s">
        <v>80</v>
      </c>
      <c r="D31" s="11"/>
      <c r="E31" s="11"/>
      <c r="F31" s="11"/>
      <c r="G31" s="11"/>
      <c r="H31" s="12" t="s">
        <v>81</v>
      </c>
      <c r="I31" s="12"/>
      <c r="J31" s="12"/>
    </row>
    <row r="32" spans="2:10">
      <c r="B32" s="10" t="s">
        <v>82</v>
      </c>
      <c r="C32" s="11" t="s">
        <v>83</v>
      </c>
      <c r="D32" s="11"/>
      <c r="E32" s="11"/>
      <c r="F32" s="11"/>
      <c r="G32" s="11"/>
      <c r="H32" s="12" t="s">
        <v>84</v>
      </c>
      <c r="I32" s="12"/>
      <c r="J32" s="12"/>
    </row>
    <row r="34" spans="1:10" ht="20" customHeight="1">
      <c r="A34" s="7" t="s">
        <v>85</v>
      </c>
      <c r="B34" s="7"/>
      <c r="C34" s="7"/>
      <c r="D34" s="7"/>
      <c r="E34" s="7"/>
      <c r="F34" s="7"/>
      <c r="G34" s="7"/>
      <c r="H34" s="7"/>
      <c r="I34" s="7"/>
      <c r="J34" s="7"/>
    </row>
    <row r="35" spans="1:10" ht="26" customHeight="1">
      <c r="B35" s="8" t="s">
        <v>86</v>
      </c>
      <c r="C35" s="9" t="s">
        <v>87</v>
      </c>
      <c r="D35" s="9" t="s">
        <v>88</v>
      </c>
    </row>
    <row r="36" spans="1:10" ht="26" customHeight="1">
      <c r="B36" s="13" t="s">
        <v>89</v>
      </c>
      <c r="C36" s="10" t="s">
        <v>13</v>
      </c>
      <c r="D36" s="10"/>
      <c r="E36" s="11" t="s">
        <v>90</v>
      </c>
      <c r="F36" s="11"/>
      <c r="G36" s="11"/>
      <c r="H36" s="11"/>
      <c r="I36" s="11"/>
      <c r="J36" s="11"/>
    </row>
    <row r="37" spans="1:10" ht="26" customHeight="1">
      <c r="B37" s="13" t="s">
        <v>91</v>
      </c>
      <c r="C37" s="10" t="s">
        <v>13</v>
      </c>
      <c r="D37" s="10"/>
      <c r="E37" s="11" t="s">
        <v>92</v>
      </c>
      <c r="F37" s="11"/>
      <c r="G37" s="11"/>
      <c r="H37" s="11"/>
      <c r="I37" s="11"/>
      <c r="J37" s="11"/>
    </row>
    <row r="38" spans="1:10" ht="26" customHeight="1">
      <c r="B38" s="13" t="s">
        <v>93</v>
      </c>
      <c r="C38" s="10" t="s">
        <v>13</v>
      </c>
      <c r="D38" s="10"/>
      <c r="E38" s="11" t="s">
        <v>94</v>
      </c>
      <c r="F38" s="11"/>
      <c r="G38" s="11"/>
      <c r="H38" s="11"/>
      <c r="I38" s="11"/>
      <c r="J38" s="11"/>
    </row>
    <row r="39" spans="1:10" ht="26" customHeight="1">
      <c r="B39" s="13" t="s">
        <v>95</v>
      </c>
      <c r="C39" s="10" t="s">
        <v>31</v>
      </c>
      <c r="D39" s="10"/>
      <c r="E39" s="11" t="s">
        <v>96</v>
      </c>
      <c r="F39" s="11"/>
      <c r="G39" s="11"/>
      <c r="H39" s="11"/>
      <c r="I39" s="11"/>
      <c r="J39" s="11"/>
    </row>
    <row r="40" spans="1:10" ht="26" customHeight="1">
      <c r="B40" s="13" t="s">
        <v>97</v>
      </c>
      <c r="C40" s="10" t="s">
        <v>43</v>
      </c>
      <c r="D40" s="10"/>
      <c r="E40" s="11" t="s">
        <v>98</v>
      </c>
      <c r="F40" s="11"/>
      <c r="G40" s="11"/>
      <c r="H40" s="11"/>
      <c r="I40" s="11"/>
      <c r="J40" s="11"/>
    </row>
    <row r="41" spans="1:10" ht="26" customHeight="1">
      <c r="B41" s="13" t="s">
        <v>99</v>
      </c>
      <c r="C41" s="10" t="s">
        <v>46</v>
      </c>
      <c r="D41" s="10"/>
      <c r="E41" s="11" t="s">
        <v>100</v>
      </c>
      <c r="F41" s="11"/>
      <c r="G41" s="11"/>
      <c r="H41" s="11"/>
      <c r="I41" s="11"/>
      <c r="J41" s="11"/>
    </row>
    <row r="42" spans="1:10" ht="26" customHeight="1">
      <c r="B42" s="13" t="s">
        <v>101</v>
      </c>
      <c r="C42" s="10" t="s">
        <v>102</v>
      </c>
      <c r="D42" s="10"/>
      <c r="E42" s="11" t="s">
        <v>103</v>
      </c>
      <c r="F42" s="11"/>
      <c r="G42" s="11"/>
      <c r="H42" s="11"/>
      <c r="I42" s="11"/>
      <c r="J42" s="11"/>
    </row>
    <row r="43" spans="1:10" ht="26" customHeight="1">
      <c r="B43" s="13" t="s">
        <v>104</v>
      </c>
      <c r="C43" s="10" t="s">
        <v>37</v>
      </c>
      <c r="D43" s="10"/>
      <c r="E43" s="11" t="s">
        <v>105</v>
      </c>
      <c r="F43" s="11"/>
      <c r="G43" s="11"/>
      <c r="H43" s="11"/>
      <c r="I43" s="11"/>
      <c r="J43" s="11"/>
    </row>
    <row r="44" spans="1:10" ht="26" customHeight="1">
      <c r="B44" s="13" t="s">
        <v>106</v>
      </c>
      <c r="C44" s="10" t="s">
        <v>16</v>
      </c>
      <c r="D44" s="10"/>
      <c r="E44" s="11" t="s">
        <v>107</v>
      </c>
      <c r="F44" s="11"/>
      <c r="G44" s="11"/>
      <c r="H44" s="11"/>
      <c r="I44" s="11"/>
      <c r="J44" s="11"/>
    </row>
    <row r="46" spans="1:10" ht="20" customHeight="1">
      <c r="A46" s="7" t="s">
        <v>108</v>
      </c>
      <c r="B46" s="7"/>
      <c r="C46" s="7"/>
      <c r="D46" s="7"/>
      <c r="E46" s="7"/>
      <c r="F46" s="7"/>
      <c r="G46" s="7"/>
      <c r="H46" s="7"/>
      <c r="I46" s="7"/>
      <c r="J46" s="7"/>
    </row>
    <row r="47" spans="1:10" ht="26" customHeight="1">
      <c r="B47" s="8" t="s">
        <v>109</v>
      </c>
      <c r="C47" s="9" t="s">
        <v>110</v>
      </c>
      <c r="D47" s="9" t="s">
        <v>111</v>
      </c>
    </row>
    <row r="48" spans="1:10" ht="24" customHeight="1">
      <c r="B48" s="10" t="s">
        <v>112</v>
      </c>
      <c r="C48" s="11" t="s">
        <v>113</v>
      </c>
      <c r="D48" s="11"/>
      <c r="E48" s="11"/>
      <c r="F48" s="11"/>
      <c r="G48" s="11"/>
      <c r="H48" s="11"/>
      <c r="I48" s="12" t="s">
        <v>114</v>
      </c>
      <c r="J48" s="12"/>
    </row>
    <row r="49" spans="1:10" ht="24" customHeight="1">
      <c r="B49" s="10" t="s">
        <v>115</v>
      </c>
      <c r="C49" s="11" t="s">
        <v>116</v>
      </c>
      <c r="D49" s="11"/>
      <c r="E49" s="11"/>
      <c r="F49" s="11"/>
      <c r="G49" s="11"/>
      <c r="H49" s="11"/>
      <c r="I49" s="12" t="s">
        <v>117</v>
      </c>
      <c r="J49" s="12"/>
    </row>
    <row r="50" spans="1:10" ht="24" customHeight="1">
      <c r="B50" s="10" t="s">
        <v>118</v>
      </c>
      <c r="C50" s="11" t="s">
        <v>119</v>
      </c>
      <c r="D50" s="11"/>
      <c r="E50" s="11"/>
      <c r="F50" s="11"/>
      <c r="G50" s="11"/>
      <c r="H50" s="11"/>
      <c r="I50" s="12" t="s">
        <v>120</v>
      </c>
      <c r="J50" s="12"/>
    </row>
    <row r="51" spans="1:10" ht="24" customHeight="1">
      <c r="B51" s="10" t="s">
        <v>121</v>
      </c>
      <c r="C51" s="11" t="s">
        <v>122</v>
      </c>
      <c r="D51" s="11"/>
      <c r="E51" s="11"/>
      <c r="F51" s="11"/>
      <c r="G51" s="11"/>
      <c r="H51" s="11"/>
      <c r="I51" s="12" t="s">
        <v>123</v>
      </c>
      <c r="J51" s="12"/>
    </row>
    <row r="52" spans="1:10" ht="24" customHeight="1">
      <c r="B52" s="10" t="s">
        <v>124</v>
      </c>
      <c r="C52" s="11" t="s">
        <v>125</v>
      </c>
      <c r="D52" s="11"/>
      <c r="E52" s="11"/>
      <c r="F52" s="11"/>
      <c r="G52" s="11"/>
      <c r="H52" s="11"/>
      <c r="I52" s="12" t="s">
        <v>126</v>
      </c>
      <c r="J52" s="12"/>
    </row>
    <row r="53" spans="1:10" ht="24" customHeight="1">
      <c r="B53" s="10" t="s">
        <v>127</v>
      </c>
      <c r="C53" s="11" t="s">
        <v>128</v>
      </c>
      <c r="D53" s="11"/>
      <c r="E53" s="11"/>
      <c r="F53" s="11"/>
      <c r="G53" s="11"/>
      <c r="H53" s="11"/>
      <c r="I53" s="12" t="s">
        <v>126</v>
      </c>
      <c r="J53" s="12"/>
    </row>
    <row r="55" spans="1:10" ht="20" customHeight="1">
      <c r="A55" s="7" t="s">
        <v>129</v>
      </c>
      <c r="B55" s="7"/>
      <c r="C55" s="7"/>
      <c r="D55" s="7"/>
      <c r="E55" s="7"/>
      <c r="F55" s="7"/>
      <c r="G55" s="7"/>
      <c r="H55" s="7"/>
      <c r="I55" s="7"/>
      <c r="J55" s="7"/>
    </row>
    <row r="56" spans="1:10" ht="16" customHeight="1">
      <c r="B56" s="11" t="s">
        <v>130</v>
      </c>
      <c r="C56" s="11"/>
      <c r="D56" s="11"/>
      <c r="E56" s="11"/>
      <c r="F56" s="11"/>
      <c r="G56" s="11"/>
      <c r="H56" s="11"/>
      <c r="I56" s="11"/>
      <c r="J56" s="11"/>
    </row>
    <row r="57" spans="1:10" ht="16" customHeight="1">
      <c r="B57" s="11" t="s">
        <v>131</v>
      </c>
      <c r="C57" s="11"/>
      <c r="D57" s="11"/>
      <c r="E57" s="11"/>
      <c r="F57" s="11"/>
      <c r="G57" s="11"/>
      <c r="H57" s="11"/>
      <c r="I57" s="11"/>
      <c r="J57" s="11"/>
    </row>
    <row r="58" spans="1:10" ht="16" customHeight="1">
      <c r="B58" s="11" t="s">
        <v>132</v>
      </c>
      <c r="C58" s="11"/>
      <c r="D58" s="11"/>
      <c r="E58" s="11"/>
      <c r="F58" s="11"/>
      <c r="G58" s="11"/>
      <c r="H58" s="11"/>
      <c r="I58" s="11"/>
      <c r="J58" s="11"/>
    </row>
    <row r="59" spans="1:10" ht="16" customHeight="1">
      <c r="B59" s="11" t="s">
        <v>133</v>
      </c>
      <c r="C59" s="11"/>
      <c r="D59" s="11"/>
      <c r="E59" s="11"/>
      <c r="F59" s="11"/>
      <c r="G59" s="11"/>
      <c r="H59" s="11"/>
      <c r="I59" s="11"/>
      <c r="J59" s="11"/>
    </row>
    <row r="60" spans="1:10" ht="16" customHeight="1">
      <c r="B60" s="11" t="s">
        <v>134</v>
      </c>
      <c r="C60" s="11"/>
      <c r="D60" s="11"/>
      <c r="E60" s="11"/>
      <c r="F60" s="11"/>
      <c r="G60" s="11"/>
      <c r="H60" s="11"/>
      <c r="I60" s="11"/>
      <c r="J60" s="11"/>
    </row>
    <row r="61" spans="1:10" ht="16" customHeight="1">
      <c r="B61" s="11" t="s">
        <v>135</v>
      </c>
      <c r="C61" s="11"/>
      <c r="D61" s="11"/>
      <c r="E61" s="11"/>
      <c r="F61" s="11"/>
      <c r="G61" s="11"/>
      <c r="H61" s="11"/>
      <c r="I61" s="11"/>
      <c r="J61" s="11"/>
    </row>
    <row r="62" spans="1:10" ht="16" customHeight="1">
      <c r="B62" s="11" t="s">
        <v>136</v>
      </c>
      <c r="C62" s="11"/>
      <c r="D62" s="11"/>
      <c r="E62" s="11"/>
      <c r="F62" s="11"/>
      <c r="G62" s="11"/>
      <c r="H62" s="11"/>
      <c r="I62" s="11"/>
      <c r="J62" s="11"/>
    </row>
    <row r="63" spans="1:10" ht="16" customHeight="1">
      <c r="B63" s="11" t="s">
        <v>137</v>
      </c>
      <c r="C63" s="11"/>
      <c r="D63" s="11"/>
      <c r="E63" s="11"/>
      <c r="F63" s="11"/>
      <c r="G63" s="11"/>
      <c r="H63" s="11"/>
      <c r="I63" s="11"/>
      <c r="J63" s="11"/>
    </row>
    <row r="64" spans="1:10" ht="16" customHeight="1">
      <c r="B64" s="11" t="s">
        <v>138</v>
      </c>
      <c r="C64" s="11"/>
      <c r="D64" s="11"/>
      <c r="E64" s="11"/>
      <c r="F64" s="11"/>
      <c r="G64" s="11"/>
      <c r="H64" s="11"/>
      <c r="I64" s="11"/>
      <c r="J64" s="11"/>
    </row>
    <row r="65" spans="1:10" ht="16" customHeight="1">
      <c r="B65" s="11" t="s">
        <v>139</v>
      </c>
      <c r="C65" s="11"/>
      <c r="D65" s="11"/>
      <c r="E65" s="11"/>
      <c r="F65" s="11"/>
      <c r="G65" s="11"/>
      <c r="H65" s="11"/>
      <c r="I65" s="11"/>
      <c r="J65" s="11"/>
    </row>
    <row r="67" spans="1:10" ht="20" customHeight="1">
      <c r="A67" s="7" t="s">
        <v>140</v>
      </c>
      <c r="B67" s="7"/>
      <c r="C67" s="7"/>
      <c r="D67" s="7"/>
      <c r="E67" s="7"/>
      <c r="F67" s="7"/>
      <c r="G67" s="7"/>
      <c r="H67" s="7"/>
      <c r="I67" s="7"/>
      <c r="J67" s="7"/>
    </row>
    <row r="68" spans="1:10" ht="22" customHeight="1">
      <c r="B68" s="6" t="s">
        <v>141</v>
      </c>
      <c r="C68" s="6"/>
      <c r="D68" s="6"/>
      <c r="E68" s="6"/>
      <c r="F68" s="6"/>
      <c r="G68" s="6"/>
      <c r="H68" s="6"/>
      <c r="I68" s="6"/>
      <c r="J68" s="6"/>
    </row>
    <row r="69" spans="1:10" ht="16" customHeight="1">
      <c r="B69" s="11" t="s">
        <v>142</v>
      </c>
      <c r="C69" s="11"/>
      <c r="D69" s="11"/>
      <c r="E69" s="11"/>
      <c r="F69" s="11"/>
      <c r="G69" s="11"/>
      <c r="H69" s="11"/>
      <c r="I69" s="11"/>
      <c r="J69" s="11"/>
    </row>
    <row r="70" spans="1:10" ht="16" customHeight="1">
      <c r="B70" s="11" t="s">
        <v>143</v>
      </c>
      <c r="C70" s="11"/>
      <c r="D70" s="11"/>
      <c r="E70" s="11"/>
      <c r="F70" s="11"/>
      <c r="G70" s="11"/>
      <c r="H70" s="11"/>
      <c r="I70" s="11"/>
      <c r="J70" s="11"/>
    </row>
    <row r="71" spans="1:10" ht="16" customHeight="1">
      <c r="B71" s="11" t="s">
        <v>144</v>
      </c>
      <c r="C71" s="11"/>
      <c r="D71" s="11"/>
      <c r="E71" s="11"/>
      <c r="F71" s="11"/>
      <c r="G71" s="11"/>
      <c r="H71" s="11"/>
      <c r="I71" s="11"/>
      <c r="J71" s="11"/>
    </row>
    <row r="72" spans="1:10" ht="16" customHeight="1">
      <c r="B72" s="11" t="s">
        <v>145</v>
      </c>
      <c r="C72" s="11"/>
      <c r="D72" s="11"/>
      <c r="E72" s="11"/>
      <c r="F72" s="11"/>
      <c r="G72" s="11"/>
      <c r="H72" s="11"/>
      <c r="I72" s="11"/>
      <c r="J72" s="11"/>
    </row>
    <row r="73" spans="1:10" ht="16" customHeight="1">
      <c r="B73" s="11" t="s">
        <v>146</v>
      </c>
      <c r="C73" s="11"/>
      <c r="D73" s="11"/>
      <c r="E73" s="11"/>
      <c r="F73" s="11"/>
      <c r="G73" s="11"/>
      <c r="H73" s="11"/>
      <c r="I73" s="11"/>
      <c r="J73" s="11"/>
    </row>
    <row r="74" spans="1:10" ht="16" customHeight="1">
      <c r="B74" s="11" t="s">
        <v>147</v>
      </c>
      <c r="C74" s="11"/>
      <c r="D74" s="11"/>
      <c r="E74" s="11"/>
      <c r="F74" s="11"/>
      <c r="G74" s="11"/>
      <c r="H74" s="11"/>
      <c r="I74" s="11"/>
      <c r="J74" s="11"/>
    </row>
    <row r="75" spans="1:10" ht="16" customHeight="1">
      <c r="B75" s="11" t="s">
        <v>148</v>
      </c>
      <c r="C75" s="11"/>
      <c r="D75" s="11"/>
      <c r="E75" s="11"/>
      <c r="F75" s="11"/>
      <c r="G75" s="11"/>
      <c r="H75" s="11"/>
      <c r="I75" s="11"/>
      <c r="J75" s="11"/>
    </row>
    <row r="77" spans="1:10" ht="20" customHeight="1">
      <c r="A77" s="7" t="s">
        <v>149</v>
      </c>
      <c r="B77" s="7"/>
      <c r="C77" s="7"/>
      <c r="D77" s="7"/>
      <c r="E77" s="7"/>
      <c r="F77" s="7"/>
      <c r="G77" s="7"/>
      <c r="H77" s="7"/>
      <c r="I77" s="7"/>
      <c r="J77" s="7"/>
    </row>
    <row r="78" spans="1:10" ht="56" customHeight="1">
      <c r="B78" s="6" t="s">
        <v>150</v>
      </c>
      <c r="C78" s="6"/>
      <c r="D78" s="6"/>
      <c r="E78" s="6"/>
      <c r="F78" s="6"/>
      <c r="G78" s="6"/>
      <c r="H78" s="6"/>
      <c r="I78" s="6"/>
      <c r="J78" s="6"/>
    </row>
    <row r="80" spans="1:10" ht="20" customHeight="1">
      <c r="A80" s="7" t="s">
        <v>151</v>
      </c>
      <c r="B80" s="7"/>
      <c r="C80" s="7"/>
      <c r="D80" s="7"/>
      <c r="E80" s="7"/>
      <c r="F80" s="7"/>
      <c r="G80" s="7"/>
      <c r="H80" s="7"/>
      <c r="I80" s="7"/>
      <c r="J80" s="7"/>
    </row>
    <row r="81" spans="2:10" ht="26" customHeight="1">
      <c r="B81" s="8" t="s">
        <v>152</v>
      </c>
      <c r="C81" s="9" t="s">
        <v>153</v>
      </c>
    </row>
    <row r="82" spans="2:10" ht="26" customHeight="1">
      <c r="B82" s="10" t="s">
        <v>154</v>
      </c>
      <c r="C82" s="11" t="s">
        <v>155</v>
      </c>
      <c r="D82" s="11"/>
      <c r="E82" s="11"/>
      <c r="F82" s="11"/>
      <c r="G82" s="11"/>
      <c r="H82" s="11"/>
      <c r="I82" s="11"/>
      <c r="J82" s="11"/>
    </row>
    <row r="83" spans="2:10" ht="26" customHeight="1">
      <c r="B83" s="10" t="s">
        <v>156</v>
      </c>
      <c r="C83" s="11" t="s">
        <v>157</v>
      </c>
      <c r="D83" s="11"/>
      <c r="E83" s="11"/>
      <c r="F83" s="11"/>
      <c r="G83" s="11"/>
      <c r="H83" s="11"/>
      <c r="I83" s="11"/>
      <c r="J83" s="11"/>
    </row>
    <row r="84" spans="2:10" ht="26" customHeight="1">
      <c r="B84" s="10" t="s">
        <v>158</v>
      </c>
      <c r="C84" s="11" t="s">
        <v>159</v>
      </c>
      <c r="D84" s="11"/>
      <c r="E84" s="11"/>
      <c r="F84" s="11"/>
      <c r="G84" s="11"/>
      <c r="H84" s="11"/>
      <c r="I84" s="11"/>
      <c r="J84" s="11"/>
    </row>
    <row r="85" spans="2:10" ht="26" customHeight="1">
      <c r="B85" s="10" t="s">
        <v>160</v>
      </c>
      <c r="C85" s="11" t="s">
        <v>161</v>
      </c>
      <c r="D85" s="11"/>
      <c r="E85" s="11"/>
      <c r="F85" s="11"/>
      <c r="G85" s="11"/>
      <c r="H85" s="11"/>
      <c r="I85" s="11"/>
      <c r="J85" s="11"/>
    </row>
    <row r="86" spans="2:10" ht="26" customHeight="1">
      <c r="B86" s="10" t="s">
        <v>162</v>
      </c>
      <c r="C86" s="11" t="s">
        <v>163</v>
      </c>
      <c r="D86" s="11"/>
      <c r="E86" s="11"/>
      <c r="F86" s="11"/>
      <c r="G86" s="11"/>
      <c r="H86" s="11"/>
      <c r="I86" s="11"/>
      <c r="J86" s="11"/>
    </row>
    <row r="87" spans="2:10" ht="26" customHeight="1">
      <c r="B87" s="10" t="s">
        <v>164</v>
      </c>
      <c r="C87" s="11" t="s">
        <v>165</v>
      </c>
      <c r="D87" s="11"/>
      <c r="E87" s="11"/>
      <c r="F87" s="11"/>
      <c r="G87" s="11"/>
      <c r="H87" s="11"/>
      <c r="I87" s="11"/>
      <c r="J87" s="11"/>
    </row>
    <row r="88" spans="2:10" ht="26" customHeight="1">
      <c r="B88" s="10" t="s">
        <v>166</v>
      </c>
      <c r="C88" s="11" t="s">
        <v>167</v>
      </c>
      <c r="D88" s="11"/>
      <c r="E88" s="11"/>
      <c r="F88" s="11"/>
      <c r="G88" s="11"/>
      <c r="H88" s="11"/>
      <c r="I88" s="11"/>
      <c r="J88" s="11"/>
    </row>
    <row r="89" spans="2:10" ht="26" customHeight="1">
      <c r="B89" s="10" t="s">
        <v>168</v>
      </c>
      <c r="C89" s="11" t="s">
        <v>169</v>
      </c>
      <c r="D89" s="11"/>
      <c r="E89" s="11"/>
      <c r="F89" s="11"/>
      <c r="G89" s="11"/>
      <c r="H89" s="11"/>
      <c r="I89" s="11"/>
      <c r="J89" s="11"/>
    </row>
    <row r="91" spans="2:10" ht="34" customHeight="1">
      <c r="B91" s="6" t="s">
        <v>170</v>
      </c>
      <c r="C91" s="6"/>
      <c r="D91" s="6"/>
      <c r="E91" s="6"/>
      <c r="F91" s="6"/>
      <c r="G91" s="6"/>
      <c r="H91" s="6"/>
      <c r="I91" s="6"/>
      <c r="J91" s="6"/>
    </row>
  </sheetData>
  <sheetProtection password="EC7C" sheet="1" objects="1" scenarios="1" formatCells="0" formatColumns="0" formatRows="0" insertRows="0" insertHyperlinks="0" deleteRows="0" autoFilter="0"/>
  <mergeCells count="122">
    <mergeCell ref="A1:G1"/>
    <mergeCell ref="H1:J1"/>
    <mergeCell ref="A2:J2"/>
    <mergeCell ref="A3:B3"/>
    <mergeCell ref="C3:D3"/>
    <mergeCell ref="E3:F3"/>
    <mergeCell ref="G3:H3"/>
    <mergeCell ref="I3:J3"/>
    <mergeCell ref="A5:J5"/>
    <mergeCell ref="A7:J7"/>
    <mergeCell ref="C9:G9"/>
    <mergeCell ref="H9:J9"/>
    <mergeCell ref="C10:G10"/>
    <mergeCell ref="H10:J10"/>
    <mergeCell ref="C11:G11"/>
    <mergeCell ref="H11:J11"/>
    <mergeCell ref="C12:G12"/>
    <mergeCell ref="H12:J12"/>
    <mergeCell ref="C13:G13"/>
    <mergeCell ref="H13:J13"/>
    <mergeCell ref="C14:G14"/>
    <mergeCell ref="H14:J14"/>
    <mergeCell ref="C15:G15"/>
    <mergeCell ref="H15:J15"/>
    <mergeCell ref="C16:G16"/>
    <mergeCell ref="H16:J16"/>
    <mergeCell ref="C17:G17"/>
    <mergeCell ref="H17:J17"/>
    <mergeCell ref="C18:G18"/>
    <mergeCell ref="H18:J18"/>
    <mergeCell ref="C19:G19"/>
    <mergeCell ref="H19:J19"/>
    <mergeCell ref="C20:G20"/>
    <mergeCell ref="H20:J20"/>
    <mergeCell ref="C21:G21"/>
    <mergeCell ref="H21:J21"/>
    <mergeCell ref="C22:G22"/>
    <mergeCell ref="H22:J22"/>
    <mergeCell ref="C23:G23"/>
    <mergeCell ref="H23:J23"/>
    <mergeCell ref="C24:G24"/>
    <mergeCell ref="H24:J24"/>
    <mergeCell ref="C25:G25"/>
    <mergeCell ref="H25:J25"/>
    <mergeCell ref="C26:G26"/>
    <mergeCell ref="H26:J26"/>
    <mergeCell ref="C27:G27"/>
    <mergeCell ref="H27:J27"/>
    <mergeCell ref="C28:G28"/>
    <mergeCell ref="H28:J28"/>
    <mergeCell ref="C29:G29"/>
    <mergeCell ref="H29:J29"/>
    <mergeCell ref="C30:G30"/>
    <mergeCell ref="H30:J30"/>
    <mergeCell ref="C31:G31"/>
    <mergeCell ref="H31:J31"/>
    <mergeCell ref="C32:G32"/>
    <mergeCell ref="H32:J32"/>
    <mergeCell ref="A34:J34"/>
    <mergeCell ref="C36:D36"/>
    <mergeCell ref="E36:J36"/>
    <mergeCell ref="C37:D37"/>
    <mergeCell ref="E37:J37"/>
    <mergeCell ref="C38:D38"/>
    <mergeCell ref="E38:J38"/>
    <mergeCell ref="C39:D39"/>
    <mergeCell ref="E39:J39"/>
    <mergeCell ref="C40:D40"/>
    <mergeCell ref="E40:J40"/>
    <mergeCell ref="C41:D41"/>
    <mergeCell ref="E41:J41"/>
    <mergeCell ref="C42:D42"/>
    <mergeCell ref="E42:J42"/>
    <mergeCell ref="C43:D43"/>
    <mergeCell ref="E43:J43"/>
    <mergeCell ref="C44:D44"/>
    <mergeCell ref="E44:J44"/>
    <mergeCell ref="A46:J46"/>
    <mergeCell ref="C48:H48"/>
    <mergeCell ref="I48:J48"/>
    <mergeCell ref="C49:H49"/>
    <mergeCell ref="I49:J49"/>
    <mergeCell ref="C50:H50"/>
    <mergeCell ref="I50:J50"/>
    <mergeCell ref="C51:H51"/>
    <mergeCell ref="I51:J51"/>
    <mergeCell ref="C52:H52"/>
    <mergeCell ref="I52:J52"/>
    <mergeCell ref="C53:H53"/>
    <mergeCell ref="I53:J53"/>
    <mergeCell ref="A55:J55"/>
    <mergeCell ref="B56:J56"/>
    <mergeCell ref="B57:J57"/>
    <mergeCell ref="B58:J58"/>
    <mergeCell ref="B59:J59"/>
    <mergeCell ref="B60:J60"/>
    <mergeCell ref="B61:J61"/>
    <mergeCell ref="B62:J62"/>
    <mergeCell ref="B63:J63"/>
    <mergeCell ref="B64:J64"/>
    <mergeCell ref="B65:J65"/>
    <mergeCell ref="A67:J67"/>
    <mergeCell ref="B68:J68"/>
    <mergeCell ref="B69:J69"/>
    <mergeCell ref="B70:J70"/>
    <mergeCell ref="B71:J71"/>
    <mergeCell ref="B72:J72"/>
    <mergeCell ref="B73:J73"/>
    <mergeCell ref="B74:J74"/>
    <mergeCell ref="B75:J75"/>
    <mergeCell ref="A77:J77"/>
    <mergeCell ref="B78:J78"/>
    <mergeCell ref="A80:J80"/>
    <mergeCell ref="C82:J82"/>
    <mergeCell ref="C83:J83"/>
    <mergeCell ref="C84:J84"/>
    <mergeCell ref="C85:J85"/>
    <mergeCell ref="C86:J86"/>
    <mergeCell ref="C87:J87"/>
    <mergeCell ref="C88:J88"/>
    <mergeCell ref="C89:J89"/>
    <mergeCell ref="B91:J91"/>
  </mergeCell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s>
  <pageMargins left="0.4" right="0.4" top="0.6" bottom="0.5" header="0.3" footer="0.3"/>
  <pageSetup paperSize="9" fitToHeight="0" orientation="landscape"/>
  <headerFooter>
    <oddHeader>&amp;L&amp;"Calibri,Bold"&amp;12&amp;C&amp;"Calibri,Bold"&amp;11Start Here&amp;R&amp;"Calibri,Italic"&amp;9Cleaning Business CRM &amp; Pricing Calculator</oddHeader>
    <oddFooter>&amp;L&amp;"Calibri,Italic"&amp;8Novality Store - v1.0.0&amp;C&amp;"Calibri,Italic"&amp;8Page &amp;P of &amp;N&amp;R&amp;"Calibri,Italic"&amp;8&amp;D</oddFooter>
  </headerFooter>
</worksheet>
</file>

<file path=xl/worksheets/sheet2.xml><?xml version="1.0" encoding="utf-8"?>
<worksheet xmlns="http://schemas.openxmlformats.org/spreadsheetml/2006/main" xmlns:r="http://schemas.openxmlformats.org/officeDocument/2006/relationships">
  <sheetPr>
    <tabColor rgb="FFE8A33D"/>
    <pageSetUpPr fitToPage="1"/>
  </sheetPr>
  <dimension ref="A1:I105"/>
  <sheetViews>
    <sheetView showGridLines="0" workbookViewId="0">
      <pane ySplit="4" topLeftCell="A5" activePane="bottomLeft" state="frozen"/>
      <selection pane="bottomLeft"/>
    </sheetView>
  </sheetViews>
  <sheetFormatPr defaultRowHeight="15"/>
  <cols>
    <col min="1" max="1" width="3.2109375" customWidth="1"/>
    <col min="2" max="2" width="34.7109375" style="11" customWidth="1"/>
    <col min="3" max="3" width="14.7109375" style="11" customWidth="1"/>
    <col min="4" max="4" width="24.7109375" customWidth="1"/>
    <col min="5" max="5" width="18.7109375" customWidth="1"/>
    <col min="6" max="9" width="17.7109375" style="12" customWidth="1"/>
  </cols>
  <sheetData>
    <row r="1" spans="1:9" ht="34" customHeight="1">
      <c r="A1" s="2" t="s">
        <v>13</v>
      </c>
      <c r="B1" s="2"/>
      <c r="C1" s="2"/>
      <c r="D1" s="2"/>
      <c r="E1" s="2"/>
      <c r="F1" s="2"/>
      <c r="G1" s="3" t="s">
        <v>1</v>
      </c>
      <c r="H1" s="3"/>
      <c r="I1" s="3"/>
    </row>
    <row r="2" spans="1:9" ht="18" customHeight="1">
      <c r="A2" s="4" t="s">
        <v>171</v>
      </c>
      <c r="B2" s="4"/>
      <c r="C2" s="4"/>
      <c r="D2" s="4"/>
      <c r="E2" s="4"/>
      <c r="F2" s="4"/>
      <c r="G2" s="4"/>
      <c r="H2" s="4"/>
      <c r="I2" s="4"/>
    </row>
    <row r="3" spans="1:9" ht="16" customHeight="1">
      <c r="A3" s="5" t="s">
        <v>3</v>
      </c>
      <c r="B3" s="5"/>
      <c r="C3" s="5" t="s">
        <v>4</v>
      </c>
      <c r="D3" s="5"/>
      <c r="E3" s="5" t="s">
        <v>5</v>
      </c>
      <c r="F3" s="5"/>
      <c r="G3" s="5" t="s">
        <v>6</v>
      </c>
      <c r="H3" s="5"/>
      <c r="I3" s="14" t="s">
        <v>172</v>
      </c>
    </row>
    <row r="5" spans="1:9" ht="20" customHeight="1">
      <c r="A5" s="7" t="s">
        <v>173</v>
      </c>
      <c r="B5" s="7"/>
      <c r="C5" s="7"/>
      <c r="D5" s="7"/>
      <c r="E5" s="7"/>
      <c r="F5" s="7"/>
      <c r="G5" s="7"/>
      <c r="H5" s="7"/>
      <c r="I5" s="7"/>
    </row>
    <row r="6" spans="1:9">
      <c r="B6" s="10" t="s">
        <v>174</v>
      </c>
      <c r="C6" s="10"/>
      <c r="D6" s="15" t="s">
        <v>175</v>
      </c>
      <c r="E6" s="15"/>
      <c r="F6" s="12" t="s">
        <v>176</v>
      </c>
      <c r="G6" s="12"/>
      <c r="H6" s="12"/>
      <c r="I6" s="12"/>
    </row>
    <row r="7" spans="1:9">
      <c r="B7" s="10" t="s">
        <v>177</v>
      </c>
      <c r="C7" s="10"/>
      <c r="D7" s="15" t="s">
        <v>178</v>
      </c>
      <c r="E7" s="15"/>
    </row>
    <row r="8" spans="1:9">
      <c r="B8" s="10" t="s">
        <v>179</v>
      </c>
      <c r="C8" s="10"/>
      <c r="D8" s="15" t="s">
        <v>180</v>
      </c>
      <c r="E8" s="15"/>
    </row>
    <row r="9" spans="1:9">
      <c r="B9" s="10" t="s">
        <v>181</v>
      </c>
      <c r="C9" s="10"/>
      <c r="D9" s="15" t="s">
        <v>182</v>
      </c>
      <c r="E9" s="15"/>
    </row>
    <row r="10" spans="1:9">
      <c r="B10" s="10" t="s">
        <v>183</v>
      </c>
      <c r="C10" s="10"/>
      <c r="D10" s="15" t="s">
        <v>184</v>
      </c>
      <c r="E10" s="15"/>
    </row>
    <row r="11" spans="1:9">
      <c r="B11" s="10" t="s">
        <v>185</v>
      </c>
      <c r="C11" s="10"/>
      <c r="D11" s="15" t="s">
        <v>186</v>
      </c>
      <c r="E11" s="15"/>
    </row>
    <row r="12" spans="1:9">
      <c r="B12" s="10" t="s">
        <v>187</v>
      </c>
      <c r="C12" s="10"/>
      <c r="D12" s="15" t="s">
        <v>188</v>
      </c>
      <c r="E12" s="15"/>
      <c r="F12" s="12" t="s">
        <v>189</v>
      </c>
      <c r="G12" s="12"/>
      <c r="H12" s="12"/>
      <c r="I12" s="12"/>
    </row>
    <row r="13" spans="1:9">
      <c r="B13" s="10" t="s">
        <v>190</v>
      </c>
      <c r="C13" s="10"/>
      <c r="D13" s="15" t="s">
        <v>191</v>
      </c>
      <c r="E13" s="15"/>
    </row>
    <row r="14" spans="1:9">
      <c r="B14" s="10" t="s">
        <v>192</v>
      </c>
      <c r="C14" s="10"/>
      <c r="D14" s="15" t="s">
        <v>193</v>
      </c>
      <c r="E14" s="15"/>
    </row>
    <row r="15" spans="1:9">
      <c r="B15" s="10" t="s">
        <v>194</v>
      </c>
      <c r="C15" s="10"/>
      <c r="D15" s="15" t="s">
        <v>195</v>
      </c>
      <c r="E15" s="15"/>
      <c r="F15" s="12" t="s">
        <v>196</v>
      </c>
      <c r="G15" s="12"/>
      <c r="H15" s="12"/>
      <c r="I15" s="12"/>
    </row>
    <row r="17" spans="1:9" ht="20" customHeight="1">
      <c r="A17" s="7" t="s">
        <v>197</v>
      </c>
      <c r="B17" s="7"/>
      <c r="C17" s="7"/>
      <c r="D17" s="7"/>
      <c r="E17" s="7"/>
      <c r="F17" s="7"/>
      <c r="G17" s="7"/>
      <c r="H17" s="7"/>
      <c r="I17" s="7"/>
    </row>
    <row r="18" spans="1:9">
      <c r="B18" s="10" t="s">
        <v>198</v>
      </c>
      <c r="C18" s="10"/>
      <c r="D18" s="16">
        <v>2026</v>
      </c>
      <c r="E18" s="12" t="s">
        <v>199</v>
      </c>
      <c r="F18" s="12"/>
      <c r="G18" s="12"/>
      <c r="H18" s="12"/>
    </row>
    <row r="19" spans="1:9">
      <c r="B19" s="10" t="s">
        <v>200</v>
      </c>
      <c r="C19" s="10"/>
      <c r="D19" s="15" t="s">
        <v>201</v>
      </c>
      <c r="E19" s="12" t="s">
        <v>202</v>
      </c>
      <c r="F19" s="12"/>
      <c r="G19" s="12"/>
      <c r="H19" s="12"/>
    </row>
    <row r="20" spans="1:9">
      <c r="B20" s="10" t="s">
        <v>203</v>
      </c>
      <c r="C20" s="10"/>
      <c r="D20" s="17">
        <v>6</v>
      </c>
      <c r="E20" s="12" t="s">
        <v>204</v>
      </c>
      <c r="F20" s="12"/>
      <c r="G20" s="12"/>
      <c r="H20" s="12"/>
    </row>
    <row r="21" spans="1:9">
      <c r="B21" s="10" t="s">
        <v>205</v>
      </c>
      <c r="C21" s="10"/>
      <c r="D21" s="16">
        <v>2</v>
      </c>
      <c r="E21" s="12" t="s">
        <v>206</v>
      </c>
      <c r="F21" s="12"/>
      <c r="G21" s="12"/>
      <c r="H21" s="12"/>
    </row>
    <row r="22" spans="1:9">
      <c r="B22" s="10" t="s">
        <v>207</v>
      </c>
      <c r="C22" s="10"/>
      <c r="D22" s="16">
        <v>20</v>
      </c>
      <c r="E22" s="12" t="s">
        <v>208</v>
      </c>
      <c r="F22" s="12"/>
      <c r="G22" s="12"/>
      <c r="H22" s="12"/>
    </row>
    <row r="23" spans="1:9">
      <c r="B23" s="10" t="s">
        <v>209</v>
      </c>
      <c r="C23" s="10"/>
      <c r="D23" s="15" t="s">
        <v>210</v>
      </c>
      <c r="E23" s="12" t="s">
        <v>211</v>
      </c>
      <c r="F23" s="12"/>
      <c r="G23" s="12"/>
      <c r="H23" s="12"/>
    </row>
    <row r="24" spans="1:9">
      <c r="B24" s="10" t="s">
        <v>212</v>
      </c>
      <c r="C24" s="10"/>
      <c r="D24" s="15" t="s">
        <v>213</v>
      </c>
    </row>
    <row r="25" spans="1:9">
      <c r="B25" s="10" t="s">
        <v>214</v>
      </c>
      <c r="C25" s="10"/>
      <c r="D25" s="18">
        <f>TODAY()</f>
        <v>0</v>
      </c>
      <c r="E25" s="12" t="s">
        <v>215</v>
      </c>
      <c r="F25" s="12"/>
      <c r="G25" s="12"/>
      <c r="H25" s="12"/>
    </row>
    <row r="26" spans="1:9">
      <c r="B26" s="10" t="s">
        <v>216</v>
      </c>
      <c r="C26" s="10"/>
      <c r="D26" s="18">
        <f>DATE(YEAR(TodayDate),MONTH(TodayDate),1)</f>
        <v>0</v>
      </c>
    </row>
    <row r="27" spans="1:9">
      <c r="B27" s="10" t="s">
        <v>217</v>
      </c>
      <c r="C27" s="10"/>
      <c r="D27" s="18">
        <f>DATE(YEAR(TodayDate),MONTH(TodayDate)+1,1)-1</f>
        <v>0</v>
      </c>
    </row>
    <row r="28" spans="1:9">
      <c r="B28" s="10" t="s">
        <v>218</v>
      </c>
      <c r="C28" s="10"/>
      <c r="D28" s="18">
        <f>TodayDate-WEEKDAY(TodayDate,IF(WeekStart="Sunday",1,2))+1</f>
        <v>0</v>
      </c>
    </row>
    <row r="30" spans="1:9" ht="20" customHeight="1">
      <c r="A30" s="7" t="s">
        <v>219</v>
      </c>
      <c r="B30" s="7"/>
      <c r="C30" s="7"/>
      <c r="D30" s="7"/>
      <c r="E30" s="7"/>
      <c r="F30" s="7"/>
      <c r="G30" s="7"/>
      <c r="H30" s="7"/>
      <c r="I30" s="7"/>
    </row>
    <row r="31" spans="1:9" ht="30" customHeight="1">
      <c r="B31" s="6" t="s">
        <v>220</v>
      </c>
      <c r="C31" s="6"/>
      <c r="D31" s="6"/>
      <c r="E31" s="6"/>
      <c r="F31" s="6"/>
      <c r="G31" s="6"/>
      <c r="H31" s="6"/>
      <c r="I31" s="6"/>
    </row>
    <row r="32" spans="1:9">
      <c r="B32" s="10" t="s">
        <v>221</v>
      </c>
      <c r="C32" s="10"/>
      <c r="D32" s="19">
        <v>45</v>
      </c>
      <c r="E32" s="12" t="s">
        <v>222</v>
      </c>
      <c r="F32" s="12"/>
      <c r="G32" s="12"/>
      <c r="H32" s="12"/>
    </row>
    <row r="33" spans="1:9">
      <c r="B33" s="10" t="s">
        <v>223</v>
      </c>
      <c r="C33" s="10"/>
      <c r="D33" s="19">
        <v>90</v>
      </c>
      <c r="E33" s="12" t="s">
        <v>224</v>
      </c>
      <c r="F33" s="12"/>
      <c r="G33" s="12"/>
      <c r="H33" s="12"/>
    </row>
    <row r="34" spans="1:9">
      <c r="B34" s="10" t="s">
        <v>225</v>
      </c>
      <c r="C34" s="10"/>
      <c r="D34" s="19">
        <v>0.09</v>
      </c>
      <c r="E34" s="12" t="s">
        <v>226</v>
      </c>
      <c r="F34" s="12"/>
      <c r="G34" s="12"/>
      <c r="H34" s="12"/>
    </row>
    <row r="35" spans="1:9">
      <c r="B35" s="10" t="s">
        <v>227</v>
      </c>
      <c r="C35" s="10"/>
      <c r="D35" s="19">
        <v>25</v>
      </c>
    </row>
    <row r="36" spans="1:9">
      <c r="B36" s="10" t="s">
        <v>228</v>
      </c>
      <c r="C36" s="10"/>
      <c r="D36" s="19">
        <v>30</v>
      </c>
      <c r="E36" s="12" t="s">
        <v>229</v>
      </c>
      <c r="F36" s="12"/>
      <c r="G36" s="12"/>
      <c r="H36" s="12"/>
    </row>
    <row r="37" spans="1:9">
      <c r="B37" s="10" t="s">
        <v>230</v>
      </c>
      <c r="C37" s="10"/>
      <c r="D37" s="19">
        <v>18</v>
      </c>
    </row>
    <row r="38" spans="1:9">
      <c r="B38" s="10" t="s">
        <v>231</v>
      </c>
      <c r="C38" s="10"/>
      <c r="D38" s="19">
        <v>15</v>
      </c>
    </row>
    <row r="39" spans="1:9">
      <c r="B39" s="10" t="s">
        <v>232</v>
      </c>
      <c r="C39" s="10"/>
      <c r="D39" s="20">
        <v>0.45</v>
      </c>
      <c r="E39" s="12" t="s">
        <v>233</v>
      </c>
      <c r="F39" s="12"/>
      <c r="G39" s="12"/>
      <c r="H39" s="12"/>
    </row>
    <row r="40" spans="1:9">
      <c r="B40" s="10" t="s">
        <v>234</v>
      </c>
      <c r="C40" s="10"/>
      <c r="D40" s="20">
        <v>0.35</v>
      </c>
    </row>
    <row r="41" spans="1:9">
      <c r="B41" s="10" t="s">
        <v>235</v>
      </c>
      <c r="C41" s="10"/>
      <c r="D41" s="19">
        <v>20</v>
      </c>
      <c r="E41" s="12" t="s">
        <v>236</v>
      </c>
      <c r="F41" s="12"/>
      <c r="G41" s="12"/>
      <c r="H41" s="12"/>
    </row>
    <row r="42" spans="1:9">
      <c r="B42" s="10" t="s">
        <v>237</v>
      </c>
      <c r="C42" s="10"/>
      <c r="D42" s="20">
        <v>0.25</v>
      </c>
      <c r="E42" s="12" t="s">
        <v>238</v>
      </c>
      <c r="F42" s="12"/>
      <c r="G42" s="12"/>
      <c r="H42" s="12"/>
    </row>
    <row r="43" spans="1:9">
      <c r="B43" s="10" t="s">
        <v>239</v>
      </c>
      <c r="C43" s="10"/>
      <c r="D43" s="15" t="s">
        <v>240</v>
      </c>
      <c r="E43" s="12" t="s">
        <v>241</v>
      </c>
      <c r="F43" s="12"/>
      <c r="G43" s="12"/>
      <c r="H43" s="12"/>
    </row>
    <row r="45" spans="1:9" ht="20" customHeight="1">
      <c r="A45" s="7" t="s">
        <v>242</v>
      </c>
      <c r="B45" s="7"/>
      <c r="C45" s="7"/>
      <c r="D45" s="7"/>
      <c r="E45" s="7"/>
      <c r="F45" s="7"/>
      <c r="G45" s="7"/>
      <c r="H45" s="7"/>
      <c r="I45" s="7"/>
    </row>
    <row r="46" spans="1:9">
      <c r="B46" s="10" t="s">
        <v>243</v>
      </c>
      <c r="C46" s="10"/>
      <c r="D46" s="19">
        <v>18</v>
      </c>
      <c r="E46" s="12" t="s">
        <v>244</v>
      </c>
      <c r="F46" s="12"/>
      <c r="G46" s="12"/>
      <c r="H46" s="12"/>
    </row>
    <row r="47" spans="1:9">
      <c r="B47" s="10" t="s">
        <v>245</v>
      </c>
      <c r="C47" s="10"/>
      <c r="D47" s="17">
        <v>1.5</v>
      </c>
      <c r="E47" s="12" t="s">
        <v>246</v>
      </c>
      <c r="F47" s="12"/>
      <c r="G47" s="12"/>
      <c r="H47" s="12"/>
    </row>
    <row r="48" spans="1:9">
      <c r="B48" s="10" t="s">
        <v>247</v>
      </c>
      <c r="C48" s="10"/>
      <c r="D48" s="20">
        <v>0.18</v>
      </c>
      <c r="E48" s="12" t="s">
        <v>248</v>
      </c>
      <c r="F48" s="12"/>
      <c r="G48" s="12"/>
      <c r="H48" s="12"/>
    </row>
    <row r="49" spans="1:9">
      <c r="B49" s="10" t="s">
        <v>249</v>
      </c>
      <c r="C49" s="10"/>
      <c r="D49" s="21">
        <f>PayRate*(1+EmployerOncost)</f>
        <v>0</v>
      </c>
      <c r="E49" s="12" t="s">
        <v>250</v>
      </c>
      <c r="F49" s="12"/>
      <c r="G49" s="12"/>
      <c r="H49" s="12"/>
    </row>
    <row r="50" spans="1:9">
      <c r="B50" s="10" t="s">
        <v>251</v>
      </c>
      <c r="C50" s="10"/>
      <c r="D50" s="19">
        <v>2.5</v>
      </c>
      <c r="E50" s="12" t="s">
        <v>252</v>
      </c>
      <c r="F50" s="12"/>
      <c r="G50" s="12"/>
      <c r="H50" s="12"/>
    </row>
    <row r="51" spans="1:9">
      <c r="B51" s="10" t="s">
        <v>253</v>
      </c>
      <c r="C51" s="10"/>
      <c r="D51" s="19">
        <v>0.67</v>
      </c>
      <c r="E51" s="12" t="s">
        <v>254</v>
      </c>
      <c r="F51" s="12"/>
      <c r="G51" s="12"/>
      <c r="H51" s="12"/>
    </row>
    <row r="52" spans="1:9">
      <c r="B52" s="10" t="s">
        <v>255</v>
      </c>
      <c r="C52" s="10"/>
      <c r="D52" s="20">
        <v>0.45</v>
      </c>
      <c r="E52" s="12" t="s">
        <v>256</v>
      </c>
      <c r="F52" s="12"/>
      <c r="G52" s="12"/>
      <c r="H52" s="12"/>
    </row>
    <row r="53" spans="1:9">
      <c r="B53" s="10" t="s">
        <v>257</v>
      </c>
      <c r="C53" s="10"/>
      <c r="D53" s="20">
        <v>0.25</v>
      </c>
      <c r="E53" s="12" t="s">
        <v>258</v>
      </c>
      <c r="F53" s="12"/>
      <c r="G53" s="12"/>
      <c r="H53" s="12"/>
    </row>
    <row r="55" spans="1:9" ht="20" customHeight="1">
      <c r="A55" s="7" t="s">
        <v>259</v>
      </c>
      <c r="B55" s="7"/>
      <c r="C55" s="7"/>
      <c r="D55" s="7"/>
      <c r="E55" s="7"/>
      <c r="F55" s="7"/>
      <c r="G55" s="7"/>
      <c r="H55" s="7"/>
      <c r="I55" s="7"/>
    </row>
    <row r="56" spans="1:9">
      <c r="B56" s="10" t="s">
        <v>260</v>
      </c>
      <c r="C56" s="10"/>
      <c r="D56" s="20">
        <v>0</v>
      </c>
      <c r="E56" s="12" t="s">
        <v>261</v>
      </c>
      <c r="F56" s="12"/>
      <c r="G56" s="12"/>
      <c r="H56" s="12"/>
    </row>
    <row r="57" spans="1:9">
      <c r="B57" s="10" t="s">
        <v>262</v>
      </c>
      <c r="C57" s="10"/>
      <c r="D57" s="15" t="s">
        <v>263</v>
      </c>
      <c r="E57" s="12" t="s">
        <v>264</v>
      </c>
      <c r="F57" s="12"/>
      <c r="G57" s="12"/>
      <c r="H57" s="12"/>
    </row>
    <row r="58" spans="1:9">
      <c r="B58" s="10" t="s">
        <v>265</v>
      </c>
      <c r="C58" s="10"/>
      <c r="D58" s="16">
        <v>14</v>
      </c>
      <c r="E58" s="12" t="s">
        <v>266</v>
      </c>
      <c r="F58" s="12"/>
      <c r="G58" s="12"/>
      <c r="H58" s="12"/>
    </row>
    <row r="59" spans="1:9">
      <c r="B59" s="10" t="s">
        <v>267</v>
      </c>
      <c r="C59" s="10"/>
      <c r="D59" s="20">
        <v>0.05</v>
      </c>
      <c r="E59" s="12" t="s">
        <v>268</v>
      </c>
      <c r="F59" s="12"/>
      <c r="G59" s="12"/>
      <c r="H59" s="12"/>
    </row>
    <row r="60" spans="1:9">
      <c r="B60" s="10" t="s">
        <v>269</v>
      </c>
      <c r="C60" s="10"/>
      <c r="D60" s="16">
        <v>0</v>
      </c>
    </row>
    <row r="61" spans="1:9">
      <c r="B61" s="10" t="s">
        <v>270</v>
      </c>
      <c r="C61" s="10"/>
      <c r="D61" s="16">
        <v>30</v>
      </c>
    </row>
    <row r="62" spans="1:9">
      <c r="B62" s="10" t="s">
        <v>271</v>
      </c>
      <c r="C62" s="10"/>
      <c r="D62" s="15" t="s">
        <v>272</v>
      </c>
      <c r="E62" s="15"/>
      <c r="F62" s="12" t="s">
        <v>273</v>
      </c>
      <c r="G62" s="12"/>
      <c r="H62" s="12"/>
      <c r="I62" s="12"/>
    </row>
    <row r="64" spans="1:9" ht="20" customHeight="1">
      <c r="A64" s="7" t="s">
        <v>274</v>
      </c>
      <c r="B64" s="7"/>
      <c r="C64" s="7"/>
      <c r="D64" s="7"/>
      <c r="E64" s="7"/>
      <c r="F64" s="7"/>
      <c r="G64" s="7"/>
      <c r="H64" s="7"/>
      <c r="I64" s="7"/>
    </row>
    <row r="65" spans="1:9">
      <c r="B65" s="10" t="s">
        <v>275</v>
      </c>
      <c r="C65" s="10"/>
      <c r="D65" s="22">
        <v>6000</v>
      </c>
    </row>
    <row r="66" spans="1:9">
      <c r="B66" s="10" t="s">
        <v>276</v>
      </c>
      <c r="C66" s="10"/>
      <c r="D66" s="22">
        <v>72000</v>
      </c>
    </row>
    <row r="67" spans="1:9">
      <c r="B67" s="10" t="s">
        <v>277</v>
      </c>
      <c r="C67" s="10"/>
      <c r="D67" s="22">
        <v>4000</v>
      </c>
    </row>
    <row r="68" spans="1:9">
      <c r="B68" s="10" t="s">
        <v>278</v>
      </c>
      <c r="C68" s="10"/>
      <c r="D68" s="20">
        <v>0.75</v>
      </c>
      <c r="E68" s="12" t="s">
        <v>279</v>
      </c>
      <c r="F68" s="12"/>
      <c r="G68" s="12"/>
      <c r="H68" s="12"/>
    </row>
    <row r="69" spans="1:9">
      <c r="B69" s="10" t="s">
        <v>280</v>
      </c>
      <c r="C69" s="10"/>
      <c r="D69" s="20">
        <v>0.85</v>
      </c>
    </row>
    <row r="70" spans="1:9">
      <c r="B70" s="10" t="s">
        <v>281</v>
      </c>
      <c r="C70" s="10"/>
      <c r="D70" s="20">
        <v>0.5</v>
      </c>
      <c r="E70" s="12" t="s">
        <v>282</v>
      </c>
      <c r="F70" s="12"/>
      <c r="G70" s="12"/>
      <c r="H70" s="12"/>
    </row>
    <row r="71" spans="1:9">
      <c r="B71" s="10" t="s">
        <v>283</v>
      </c>
      <c r="C71" s="10"/>
      <c r="D71" s="17">
        <v>4.5</v>
      </c>
    </row>
    <row r="73" spans="1:9" ht="20" customHeight="1">
      <c r="A73" s="7" t="s">
        <v>284</v>
      </c>
      <c r="B73" s="7"/>
      <c r="C73" s="7"/>
      <c r="D73" s="7"/>
      <c r="E73" s="7"/>
      <c r="F73" s="7"/>
      <c r="G73" s="7"/>
      <c r="H73" s="7"/>
      <c r="I73" s="7"/>
    </row>
    <row r="74" spans="1:9">
      <c r="B74" s="10" t="s">
        <v>285</v>
      </c>
      <c r="C74" s="10"/>
      <c r="D74" s="16">
        <v>2</v>
      </c>
      <c r="E74" s="12" t="s">
        <v>286</v>
      </c>
      <c r="F74" s="12"/>
      <c r="G74" s="12"/>
      <c r="H74" s="12"/>
    </row>
    <row r="75" spans="1:9">
      <c r="B75" s="10" t="s">
        <v>287</v>
      </c>
      <c r="C75" s="10"/>
      <c r="D75" s="16">
        <v>3</v>
      </c>
      <c r="E75" s="12" t="s">
        <v>288</v>
      </c>
      <c r="F75" s="12"/>
      <c r="G75" s="12"/>
      <c r="H75" s="12"/>
    </row>
    <row r="76" spans="1:9">
      <c r="B76" s="10" t="s">
        <v>289</v>
      </c>
      <c r="C76" s="10"/>
      <c r="D76" s="16">
        <v>60</v>
      </c>
      <c r="E76" s="12" t="s">
        <v>290</v>
      </c>
      <c r="F76" s="12"/>
      <c r="G76" s="12"/>
      <c r="H76" s="12"/>
    </row>
    <row r="77" spans="1:9">
      <c r="B77" s="10" t="s">
        <v>291</v>
      </c>
      <c r="C77" s="10"/>
      <c r="D77" s="16">
        <v>14</v>
      </c>
    </row>
    <row r="78" spans="1:9">
      <c r="B78" s="10" t="s">
        <v>292</v>
      </c>
      <c r="C78" s="10"/>
      <c r="D78" s="16">
        <v>90</v>
      </c>
    </row>
    <row r="79" spans="1:9">
      <c r="B79" s="10" t="s">
        <v>293</v>
      </c>
      <c r="C79" s="10"/>
      <c r="D79" s="16">
        <v>45</v>
      </c>
      <c r="E79" s="12" t="s">
        <v>294</v>
      </c>
      <c r="F79" s="12"/>
      <c r="G79" s="12"/>
      <c r="H79" s="12"/>
    </row>
    <row r="80" spans="1:9">
      <c r="B80" s="10" t="s">
        <v>295</v>
      </c>
      <c r="C80" s="10"/>
      <c r="D80" s="16">
        <v>60</v>
      </c>
    </row>
    <row r="82" spans="1:9" ht="20" customHeight="1">
      <c r="A82" s="7" t="s">
        <v>296</v>
      </c>
      <c r="B82" s="7"/>
      <c r="C82" s="7"/>
      <c r="D82" s="7"/>
      <c r="E82" s="7"/>
      <c r="F82" s="7"/>
      <c r="G82" s="7"/>
      <c r="H82" s="7"/>
      <c r="I82" s="7"/>
    </row>
    <row r="83" spans="1:9" ht="24" customHeight="1">
      <c r="B83" s="6" t="s">
        <v>297</v>
      </c>
      <c r="C83" s="6"/>
      <c r="D83" s="6"/>
      <c r="E83" s="6"/>
      <c r="F83" s="6"/>
      <c r="G83" s="6"/>
      <c r="H83" s="6"/>
      <c r="I83" s="6"/>
    </row>
    <row r="84" spans="1:9">
      <c r="B84" s="10" t="s">
        <v>298</v>
      </c>
      <c r="C84" s="10"/>
      <c r="D84" s="15" t="s">
        <v>299</v>
      </c>
    </row>
    <row r="85" spans="1:9">
      <c r="B85" s="10" t="s">
        <v>300</v>
      </c>
      <c r="C85" s="10"/>
      <c r="D85" s="15" t="s">
        <v>301</v>
      </c>
    </row>
    <row r="86" spans="1:9">
      <c r="B86" s="10" t="s">
        <v>302</v>
      </c>
      <c r="C86" s="10"/>
      <c r="D86" s="15" t="s">
        <v>303</v>
      </c>
    </row>
    <row r="87" spans="1:9">
      <c r="B87" s="10" t="s">
        <v>304</v>
      </c>
      <c r="C87" s="10"/>
      <c r="D87" s="15" t="s">
        <v>305</v>
      </c>
    </row>
    <row r="88" spans="1:9">
      <c r="B88" s="10" t="s">
        <v>306</v>
      </c>
      <c r="C88" s="10"/>
      <c r="D88" s="15" t="s">
        <v>307</v>
      </c>
    </row>
    <row r="89" spans="1:9">
      <c r="B89" s="10" t="s">
        <v>308</v>
      </c>
      <c r="C89" s="10"/>
      <c r="D89" s="15" t="s">
        <v>309</v>
      </c>
    </row>
    <row r="90" spans="1:9">
      <c r="B90" s="10" t="s">
        <v>310</v>
      </c>
      <c r="C90" s="10"/>
      <c r="D90" s="15" t="s">
        <v>311</v>
      </c>
    </row>
    <row r="91" spans="1:9">
      <c r="B91" s="10" t="s">
        <v>312</v>
      </c>
      <c r="C91" s="10"/>
      <c r="D91" s="15" t="s">
        <v>313</v>
      </c>
    </row>
    <row r="92" spans="1:9">
      <c r="B92" s="10" t="s">
        <v>314</v>
      </c>
      <c r="C92" s="10"/>
      <c r="D92" s="15" t="s">
        <v>315</v>
      </c>
    </row>
    <row r="93" spans="1:9">
      <c r="B93" s="10" t="s">
        <v>316</v>
      </c>
      <c r="C93" s="10"/>
      <c r="D93" s="15" t="s">
        <v>317</v>
      </c>
    </row>
    <row r="94" spans="1:9">
      <c r="B94" s="10" t="s">
        <v>318</v>
      </c>
      <c r="C94" s="10"/>
      <c r="D94" s="15" t="s">
        <v>319</v>
      </c>
    </row>
    <row r="95" spans="1:9">
      <c r="B95" s="10" t="s">
        <v>320</v>
      </c>
      <c r="C95" s="10"/>
      <c r="D95" s="15" t="s">
        <v>321</v>
      </c>
    </row>
    <row r="96" spans="1:9">
      <c r="B96" s="10" t="s">
        <v>322</v>
      </c>
      <c r="C96" s="10"/>
      <c r="D96" s="15" t="s">
        <v>323</v>
      </c>
    </row>
    <row r="98" spans="1:9" ht="20" customHeight="1">
      <c r="A98" s="7" t="s">
        <v>324</v>
      </c>
      <c r="B98" s="7"/>
      <c r="C98" s="7"/>
      <c r="D98" s="7"/>
      <c r="E98" s="7"/>
      <c r="F98" s="7"/>
      <c r="G98" s="7"/>
      <c r="H98" s="7"/>
      <c r="I98" s="7"/>
    </row>
    <row r="99" spans="1:9">
      <c r="B99" s="10" t="s">
        <v>325</v>
      </c>
      <c r="C99" s="10"/>
      <c r="D99" s="23" t="s">
        <v>0</v>
      </c>
      <c r="E99" s="23"/>
      <c r="F99" s="23"/>
    </row>
    <row r="100" spans="1:9">
      <c r="B100" s="10" t="s">
        <v>326</v>
      </c>
      <c r="C100" s="10"/>
      <c r="D100" s="23" t="s">
        <v>327</v>
      </c>
    </row>
    <row r="101" spans="1:9">
      <c r="B101" s="10" t="s">
        <v>328</v>
      </c>
      <c r="C101" s="10"/>
      <c r="D101" s="23" t="s">
        <v>329</v>
      </c>
    </row>
    <row r="102" spans="1:9">
      <c r="B102" s="10" t="s">
        <v>330</v>
      </c>
      <c r="C102" s="10"/>
      <c r="D102" s="23" t="s">
        <v>331</v>
      </c>
      <c r="E102" s="12" t="s">
        <v>332</v>
      </c>
      <c r="F102" s="12"/>
      <c r="G102" s="12"/>
      <c r="H102" s="12"/>
    </row>
    <row r="103" spans="1:9">
      <c r="B103" s="10" t="s">
        <v>333</v>
      </c>
      <c r="C103" s="10"/>
      <c r="D103" s="23" t="s">
        <v>334</v>
      </c>
    </row>
    <row r="105" spans="1:9" ht="38" customHeight="1">
      <c r="B105" s="6" t="s">
        <v>335</v>
      </c>
      <c r="C105" s="6"/>
      <c r="D105" s="6"/>
      <c r="E105" s="6"/>
      <c r="F105" s="6"/>
      <c r="G105" s="6"/>
      <c r="H105" s="6"/>
      <c r="I105" s="6"/>
    </row>
  </sheetData>
  <sheetProtection password="EC7C" sheet="1" objects="1" scenarios="1" formatCells="0" formatColumns="0" formatRows="0" insertRows="0" insertHyperlinks="0" deleteRows="0" autoFilter="0"/>
  <mergeCells count="149">
    <mergeCell ref="A1:F1"/>
    <mergeCell ref="G1:I1"/>
    <mergeCell ref="A2:I2"/>
    <mergeCell ref="A3:B3"/>
    <mergeCell ref="C3:D3"/>
    <mergeCell ref="E3:F3"/>
    <mergeCell ref="G3:H3"/>
    <mergeCell ref="A5:I5"/>
    <mergeCell ref="B6:C6"/>
    <mergeCell ref="D6:E6"/>
    <mergeCell ref="F6:I6"/>
    <mergeCell ref="B7:C7"/>
    <mergeCell ref="D7:E7"/>
    <mergeCell ref="B8:C8"/>
    <mergeCell ref="D8:E8"/>
    <mergeCell ref="B9:C9"/>
    <mergeCell ref="D9:E9"/>
    <mergeCell ref="B10:C10"/>
    <mergeCell ref="D10:E10"/>
    <mergeCell ref="B11:C11"/>
    <mergeCell ref="D11:E11"/>
    <mergeCell ref="B12:C12"/>
    <mergeCell ref="D12:E12"/>
    <mergeCell ref="F12:I12"/>
    <mergeCell ref="B13:C13"/>
    <mergeCell ref="D13:E13"/>
    <mergeCell ref="B14:C14"/>
    <mergeCell ref="D14:E14"/>
    <mergeCell ref="B15:C15"/>
    <mergeCell ref="D15:E15"/>
    <mergeCell ref="F15:I15"/>
    <mergeCell ref="A17:I17"/>
    <mergeCell ref="B18:C18"/>
    <mergeCell ref="E18:H18"/>
    <mergeCell ref="B19:C19"/>
    <mergeCell ref="E19:H19"/>
    <mergeCell ref="B20:C20"/>
    <mergeCell ref="E20:H20"/>
    <mergeCell ref="B21:C21"/>
    <mergeCell ref="E21:H21"/>
    <mergeCell ref="B22:C22"/>
    <mergeCell ref="E22:H22"/>
    <mergeCell ref="B23:C23"/>
    <mergeCell ref="E23:H23"/>
    <mergeCell ref="B24:C24"/>
    <mergeCell ref="B25:C25"/>
    <mergeCell ref="E25:H25"/>
    <mergeCell ref="B26:C26"/>
    <mergeCell ref="B27:C27"/>
    <mergeCell ref="B28:C28"/>
    <mergeCell ref="A30:I30"/>
    <mergeCell ref="B31:I31"/>
    <mergeCell ref="B32:C32"/>
    <mergeCell ref="E32:H32"/>
    <mergeCell ref="B33:C33"/>
    <mergeCell ref="E33:H33"/>
    <mergeCell ref="B34:C34"/>
    <mergeCell ref="E34:H34"/>
    <mergeCell ref="B35:C35"/>
    <mergeCell ref="B36:C36"/>
    <mergeCell ref="E36:H36"/>
    <mergeCell ref="B37:C37"/>
    <mergeCell ref="B38:C38"/>
    <mergeCell ref="B39:C39"/>
    <mergeCell ref="E39:H39"/>
    <mergeCell ref="B40:C40"/>
    <mergeCell ref="B41:C41"/>
    <mergeCell ref="E41:H41"/>
    <mergeCell ref="B42:C42"/>
    <mergeCell ref="E42:H42"/>
    <mergeCell ref="B43:C43"/>
    <mergeCell ref="E43:H43"/>
    <mergeCell ref="A45:I45"/>
    <mergeCell ref="B46:C46"/>
    <mergeCell ref="E46:H46"/>
    <mergeCell ref="B47:C47"/>
    <mergeCell ref="E47:H47"/>
    <mergeCell ref="B48:C48"/>
    <mergeCell ref="E48:H48"/>
    <mergeCell ref="B49:C49"/>
    <mergeCell ref="E49:H49"/>
    <mergeCell ref="B50:C50"/>
    <mergeCell ref="E50:H50"/>
    <mergeCell ref="B51:C51"/>
    <mergeCell ref="E51:H51"/>
    <mergeCell ref="B52:C52"/>
    <mergeCell ref="E52:H52"/>
    <mergeCell ref="B53:C53"/>
    <mergeCell ref="E53:H53"/>
    <mergeCell ref="A55:I55"/>
    <mergeCell ref="B56:C56"/>
    <mergeCell ref="E56:H56"/>
    <mergeCell ref="B57:C57"/>
    <mergeCell ref="E57:H57"/>
    <mergeCell ref="B58:C58"/>
    <mergeCell ref="E58:H58"/>
    <mergeCell ref="B59:C59"/>
    <mergeCell ref="E59:H59"/>
    <mergeCell ref="B60:C60"/>
    <mergeCell ref="B61:C61"/>
    <mergeCell ref="B62:C62"/>
    <mergeCell ref="D62:E62"/>
    <mergeCell ref="F62:I62"/>
    <mergeCell ref="A64:I64"/>
    <mergeCell ref="B65:C65"/>
    <mergeCell ref="B66:C66"/>
    <mergeCell ref="B67:C67"/>
    <mergeCell ref="B68:C68"/>
    <mergeCell ref="E68:H68"/>
    <mergeCell ref="B69:C69"/>
    <mergeCell ref="B70:C70"/>
    <mergeCell ref="E70:H70"/>
    <mergeCell ref="B71:C71"/>
    <mergeCell ref="A73:I73"/>
    <mergeCell ref="B74:C74"/>
    <mergeCell ref="E74:H74"/>
    <mergeCell ref="B75:C75"/>
    <mergeCell ref="E75:H75"/>
    <mergeCell ref="B76:C76"/>
    <mergeCell ref="E76:H76"/>
    <mergeCell ref="B77:C77"/>
    <mergeCell ref="B78:C78"/>
    <mergeCell ref="B79:C79"/>
    <mergeCell ref="E79:H79"/>
    <mergeCell ref="B80:C80"/>
    <mergeCell ref="A82:I82"/>
    <mergeCell ref="B83:I83"/>
    <mergeCell ref="B84:C84"/>
    <mergeCell ref="B85:C85"/>
    <mergeCell ref="B86:C86"/>
    <mergeCell ref="B87:C87"/>
    <mergeCell ref="B88:C88"/>
    <mergeCell ref="B89:C89"/>
    <mergeCell ref="B90:C90"/>
    <mergeCell ref="B91:C91"/>
    <mergeCell ref="B92:C92"/>
    <mergeCell ref="B93:C93"/>
    <mergeCell ref="B94:C94"/>
    <mergeCell ref="B95:C95"/>
    <mergeCell ref="B96:C96"/>
    <mergeCell ref="A98:I98"/>
    <mergeCell ref="B99:C99"/>
    <mergeCell ref="D99:F99"/>
    <mergeCell ref="B100:C100"/>
    <mergeCell ref="B101:C101"/>
    <mergeCell ref="B102:C102"/>
    <mergeCell ref="E102:H102"/>
    <mergeCell ref="B103:C103"/>
    <mergeCell ref="B105:I105"/>
  </mergeCells>
  <dataValidations count="45">
    <dataValidation type="whole" allowBlank="1" showInputMessage="1" showErrorMessage="1" errorTitle="Check the value" error="Enter a number between 2000 and 2100." sqref="D18">
      <formula1>2000</formula1>
      <formula2>2100</formula2>
    </dataValidation>
    <dataValidation type="list" allowBlank="1" showInputMessage="1" showErrorMessage="1" sqref="D19">
      <formula1>WeekStartList</formula1>
    </dataValidation>
    <dataValidation type="decimal" allowBlank="1" showInputMessage="1" showErrorMessage="1" errorTitle="Check the value" error="Enter a number between 1 and 16." sqref="D20">
      <formula1>1</formula1>
      <formula2>16</formula2>
    </dataValidation>
    <dataValidation type="whole" allowBlank="1" showInputMessage="1" showErrorMessage="1" errorTitle="Check the value" error="Enter a number between 1 and 20." sqref="D21">
      <formula1>1</formula1>
      <formula2>20</formula2>
    </dataValidation>
    <dataValidation type="whole" allowBlank="1" showInputMessage="1" showErrorMessage="1" errorTitle="Check the value" error="Enter a number between 0 and 240." sqref="D22">
      <formula1>0</formula1>
      <formula2>240</formula2>
    </dataValidation>
    <dataValidation type="list" allowBlank="1" showInputMessage="1" showErrorMessage="1" sqref="D23">
      <formula1>AreaUnitList</formula1>
    </dataValidation>
    <dataValidation type="list" allowBlank="1" showInputMessage="1" showErrorMessage="1" sqref="D24">
      <formula1>DistanceUnitList</formula1>
    </dataValidation>
    <dataValidation type="decimal" allowBlank="1" showInputMessage="1" showErrorMessage="1" errorTitle="Check the value" error="Enter a number between 0 and 10000." sqref="D32">
      <formula1>0</formula1>
      <formula2>10000</formula2>
    </dataValidation>
    <dataValidation type="decimal" allowBlank="1" showInputMessage="1" showErrorMessage="1" errorTitle="Check the value" error="Enter a number between 0 and 10000." sqref="D33">
      <formula1>0</formula1>
      <formula2>10000</formula2>
    </dataValidation>
    <dataValidation type="decimal" allowBlank="1" showInputMessage="1" showErrorMessage="1" errorTitle="Check the value" error="Enter a number between 0 and 100." sqref="D34">
      <formula1>0</formula1>
      <formula2>100</formula2>
    </dataValidation>
    <dataValidation type="decimal" allowBlank="1" showInputMessage="1" showErrorMessage="1" errorTitle="Check the value" error="Enter a number between 0 and 10000." sqref="D35">
      <formula1>0</formula1>
      <formula2>10000</formula2>
    </dataValidation>
    <dataValidation type="decimal" allowBlank="1" showInputMessage="1" showErrorMessage="1" errorTitle="Check the value" error="Enter a number between 0 and 10000." sqref="D36">
      <formula1>0</formula1>
      <formula2>10000</formula2>
    </dataValidation>
    <dataValidation type="decimal" allowBlank="1" showInputMessage="1" showErrorMessage="1" errorTitle="Check the value" error="Enter a number between 0 and 10000." sqref="D37">
      <formula1>0</formula1>
      <formula2>10000</formula2>
    </dataValidation>
    <dataValidation type="decimal" allowBlank="1" showInputMessage="1" showErrorMessage="1" errorTitle="Check the value" error="Enter a number between 0 and 10000." sqref="D38">
      <formula1>0</formula1>
      <formula2>10000</formula2>
    </dataValidation>
    <dataValidation type="decimal" allowBlank="1" showInputMessage="1" showErrorMessage="1" errorTitle="Check the value" error="Enter a number between 0 and 5." sqref="D39">
      <formula1>0</formula1>
      <formula2>5</formula2>
    </dataValidation>
    <dataValidation type="decimal" allowBlank="1" showInputMessage="1" showErrorMessage="1" errorTitle="Check the value" error="Enter a number between 0 and 5." sqref="D40">
      <formula1>0</formula1>
      <formula2>5</formula2>
    </dataValidation>
    <dataValidation type="decimal" allowBlank="1" showInputMessage="1" showErrorMessage="1" errorTitle="Check the value" error="Enter a number between 0 and 10000." sqref="D41">
      <formula1>0</formula1>
      <formula2>10000</formula2>
    </dataValidation>
    <dataValidation type="decimal" allowBlank="1" showInputMessage="1" showErrorMessage="1" errorTitle="Check the value" error="Enter a number between 0 and 1." sqref="D42">
      <formula1>0</formula1>
      <formula2>1</formula2>
    </dataValidation>
    <dataValidation type="list" allowBlank="1" showInputMessage="1" showErrorMessage="1" sqref="D43">
      <formula1>RoundingList</formula1>
    </dataValidation>
    <dataValidation type="decimal" allowBlank="1" showInputMessage="1" showErrorMessage="1" errorTitle="Check the value" error="Enter a number between 0 and 10000." sqref="D46">
      <formula1>0</formula1>
      <formula2>10000</formula2>
    </dataValidation>
    <dataValidation type="decimal" allowBlank="1" showInputMessage="1" showErrorMessage="1" errorTitle="Check the value" error="Enter a number between 1 and 5." sqref="D47">
      <formula1>1</formula1>
      <formula2>5</formula2>
    </dataValidation>
    <dataValidation type="decimal" allowBlank="1" showInputMessage="1" showErrorMessage="1" errorTitle="Check the value" error="Enter a number between 0 and 2." sqref="D48">
      <formula1>0</formula1>
      <formula2>2</formula2>
    </dataValidation>
    <dataValidation type="decimal" allowBlank="1" showInputMessage="1" showErrorMessage="1" errorTitle="Check the value" error="Enter a number between 0 and 1000." sqref="D50">
      <formula1>0</formula1>
      <formula2>1000</formula2>
    </dataValidation>
    <dataValidation type="decimal" allowBlank="1" showInputMessage="1" showErrorMessage="1" errorTitle="Check the value" error="Enter a number between 0 and 100." sqref="D51">
      <formula1>0</formula1>
      <formula2>100</formula2>
    </dataValidation>
    <dataValidation type="decimal" allowBlank="1" showInputMessage="1" showErrorMessage="1" errorTitle="Check the value" error="Enter a number between 0 and 1." sqref="D52">
      <formula1>0</formula1>
      <formula2>1</formula2>
    </dataValidation>
    <dataValidation type="decimal" allowBlank="1" showInputMessage="1" showErrorMessage="1" errorTitle="Check the value" error="Enter a number between 0 and 1." sqref="D53">
      <formula1>0</formula1>
      <formula2>1</formula2>
    </dataValidation>
    <dataValidation type="decimal" allowBlank="1" showInputMessage="1" showErrorMessage="1" errorTitle="Check the value" error="Enter a number between 0 and 1." sqref="D56">
      <formula1>0</formula1>
      <formula2>1</formula2>
    </dataValidation>
    <dataValidation type="whole" allowBlank="1" showInputMessage="1" showErrorMessage="1" errorTitle="Check the value" error="Enter a number between 0 and 180." sqref="D58">
      <formula1>0</formula1>
      <formula2>180</formula2>
    </dataValidation>
    <dataValidation type="decimal" allowBlank="1" showInputMessage="1" showErrorMessage="1" errorTitle="Check the value" error="Enter a number between 0 and 1." sqref="D59">
      <formula1>0</formula1>
      <formula2>1</formula2>
    </dataValidation>
    <dataValidation type="whole" allowBlank="1" showInputMessage="1" showErrorMessage="1" errorTitle="Check the value" error="Enter a number between 0 and 60." sqref="D60">
      <formula1>0</formula1>
      <formula2>60</formula2>
    </dataValidation>
    <dataValidation type="whole" allowBlank="1" showInputMessage="1" showErrorMessage="1" errorTitle="Check the value" error="Enter a number between 1 and 365." sqref="D61">
      <formula1>1</formula1>
      <formula2>365</formula2>
    </dataValidation>
    <dataValidation type="decimal" allowBlank="1" showInputMessage="1" showErrorMessage="1" errorTitle="Check the value" error="Enter a number between 0 and 100000000." sqref="D65">
      <formula1>0</formula1>
      <formula2>100000000</formula2>
    </dataValidation>
    <dataValidation type="decimal" allowBlank="1" showInputMessage="1" showErrorMessage="1" errorTitle="Check the value" error="Enter a number between 0 and 1000000000." sqref="D66">
      <formula1>0</formula1>
      <formula2>1000000000</formula2>
    </dataValidation>
    <dataValidation type="decimal" allowBlank="1" showInputMessage="1" showErrorMessage="1" errorTitle="Check the value" error="Enter a number between 0 and 100000000." sqref="D67">
      <formula1>0</formula1>
      <formula2>100000000</formula2>
    </dataValidation>
    <dataValidation type="decimal" allowBlank="1" showInputMessage="1" showErrorMessage="1" errorTitle="Check the value" error="Enter a number between 0 and 1." sqref="D68">
      <formula1>0</formula1>
      <formula2>1</formula2>
    </dataValidation>
    <dataValidation type="decimal" allowBlank="1" showInputMessage="1" showErrorMessage="1" errorTitle="Check the value" error="Enter a number between 0 and 1." sqref="D69">
      <formula1>0</formula1>
      <formula2>1</formula2>
    </dataValidation>
    <dataValidation type="decimal" allowBlank="1" showInputMessage="1" showErrorMessage="1" errorTitle="Check the value" error="Enter a number between 0 and 1." sqref="D70">
      <formula1>0</formula1>
      <formula2>1</formula2>
    </dataValidation>
    <dataValidation type="decimal" allowBlank="1" showInputMessage="1" showErrorMessage="1" errorTitle="Check the value" error="Enter a number between 0 and 5." sqref="D71">
      <formula1>0</formula1>
      <formula2>5</formula2>
    </dataValidation>
    <dataValidation type="whole" allowBlank="1" showInputMessage="1" showErrorMessage="1" errorTitle="Check the value" error="Enter a number between 0 and 60." sqref="D74">
      <formula1>0</formula1>
      <formula2>60</formula2>
    </dataValidation>
    <dataValidation type="whole" allowBlank="1" showInputMessage="1" showErrorMessage="1" errorTitle="Check the value" error="Enter a number between 0 and 120." sqref="D75">
      <formula1>0</formula1>
      <formula2>120</formula2>
    </dataValidation>
    <dataValidation type="whole" allowBlank="1" showInputMessage="1" showErrorMessage="1" errorTitle="Check the value" error="Enter a number between 0 and 999." sqref="D76">
      <formula1>0</formula1>
      <formula2>999</formula2>
    </dataValidation>
    <dataValidation type="whole" allowBlank="1" showInputMessage="1" showErrorMessage="1" errorTitle="Check the value" error="Enter a number between 0 and 365." sqref="D77">
      <formula1>0</formula1>
      <formula2>365</formula2>
    </dataValidation>
    <dataValidation type="whole" allowBlank="1" showInputMessage="1" showErrorMessage="1" errorTitle="Check the value" error="Enter a number between 0 and 3650." sqref="D78">
      <formula1>0</formula1>
      <formula2>3650</formula2>
    </dataValidation>
    <dataValidation type="whole" allowBlank="1" showInputMessage="1" showErrorMessage="1" errorTitle="Check the value" error="Enter a number between 0 and 365." sqref="D79">
      <formula1>0</formula1>
      <formula2>365</formula2>
    </dataValidation>
    <dataValidation type="whole" allowBlank="1" showInputMessage="1" showErrorMessage="1" errorTitle="Check the value" error="Enter a number between 0 and 365." sqref="D80">
      <formula1>0</formula1>
      <formula2>365</formula2>
    </dataValidation>
  </dataValidations>
  <hyperlinks>
    <hyperlink ref="A3" location="'Start Here'!A1" display="&gt; Start Here"/>
    <hyperlink ref="C3" location="Dashboard!A1" display="&gt; Dashboard"/>
    <hyperlink ref="E3" location="Clients!A1" display="&gt; Clients"/>
    <hyperlink ref="G3" location="Jobs!A1" display="&gt; Jobs"/>
  </hyperlinks>
  <pageMargins left="0.4" right="0.4" top="0.6" bottom="0.5" header="0.3" footer="0.3"/>
  <pageSetup paperSize="9" fitToHeight="0" orientation="landscape"/>
  <headerFooter>
    <oddHeader>&amp;L&amp;"Calibri,Bold"&amp;12&amp;C&amp;"Calibri,Bold"&amp;11Settings&amp;R&amp;"Calibri,Italic"&amp;9Cleaning Business CRM &amp; Pricing Calculator</oddHeader>
    <oddFooter>&amp;L&amp;"Calibri,Italic"&amp;8Novality Store - v1.0.0&amp;C&amp;"Calibri,Italic"&amp;8Page &amp;P of &amp;N&amp;R&amp;"Calibri,Italic"&amp;8&amp;D</oddFooter>
  </headerFooter>
</worksheet>
</file>

<file path=xl/worksheets/sheet3.xml><?xml version="1.0" encoding="utf-8"?>
<worksheet xmlns="http://schemas.openxmlformats.org/spreadsheetml/2006/main" xmlns:r="http://schemas.openxmlformats.org/officeDocument/2006/relationships">
  <sheetPr>
    <tabColor rgb="FF14616B"/>
    <pageSetUpPr fitToPage="1"/>
  </sheetPr>
  <dimension ref="A1:L78"/>
  <sheetViews>
    <sheetView showGridLines="0" workbookViewId="0">
      <pane ySplit="4" topLeftCell="A5" activePane="bottomLeft" state="frozen"/>
      <selection pane="bottomLeft"/>
    </sheetView>
  </sheetViews>
  <sheetFormatPr defaultRowHeight="15"/>
  <cols>
    <col min="1" max="1" width="22.7109375" customWidth="1"/>
    <col min="2" max="2" width="13.7109375" customWidth="1"/>
    <col min="3" max="3" width="13.7109375" customWidth="1"/>
    <col min="4" max="4" width="13.7109375" customWidth="1"/>
    <col min="5" max="5" width="13.7109375" customWidth="1"/>
    <col min="6" max="6" width="13.7109375" customWidth="1"/>
    <col min="7" max="7" width="13.7109375" customWidth="1"/>
    <col min="8" max="8" width="13.7109375" customWidth="1"/>
    <col min="9" max="9" width="13.7109375" customWidth="1"/>
    <col min="10" max="10" width="13.7109375" customWidth="1"/>
    <col min="11" max="11" width="13.7109375" customWidth="1"/>
    <col min="12" max="12" width="13.7109375" customWidth="1"/>
    <col min="1" max="1" width="26.7109375" customWidth="1"/>
    <col min="2" max="2" width="11.7109375" customWidth="1"/>
    <col min="3" max="3" width="46.7109375" customWidth="1"/>
    <col min="4" max="4" width="20.7109375" customWidth="1"/>
    <col min="1" max="1" width="24.7109375" customWidth="1"/>
    <col min="2" max="2" width="14.7109375" customWidth="1"/>
    <col min="3" max="3" width="10.7109375" customWidth="1"/>
    <col min="4" max="4" width="13.7109375" customWidth="1"/>
    <col min="5" max="5" width="12.7109375" customWidth="1"/>
    <col min="6" max="6" width="10.7109375" customWidth="1"/>
    <col min="7" max="7" width="13.7109375" customWidth="1"/>
    <col min="8" max="8" width="12.7109375" customWidth="1"/>
    <col min="9" max="9" width="13.7109375" customWidth="1"/>
    <col min="1" max="1" width="10.7109375" customWidth="1"/>
    <col min="2" max="2" width="9.7109375" customWidth="1"/>
    <col min="3" max="3" width="13.7109375" customWidth="1"/>
    <col min="4" max="4" width="13.7109375" customWidth="1"/>
    <col min="5" max="5" width="13.7109375" customWidth="1"/>
    <col min="6" max="6" width="12.7109375" customWidth="1"/>
    <col min="7" max="7" width="12.7109375" customWidth="1"/>
    <col min="8" max="8" width="9.7109375" customWidth="1"/>
    <col min="9" max="9" width="11.7109375" customWidth="1"/>
    <col min="10" max="10" width="14.7109375" customWidth="1"/>
    <col min="1" max="1" width="20.7109375" customWidth="1"/>
    <col min="2" max="2" width="12.7109375" customWidth="1"/>
    <col min="3" max="3" width="14.7109375" customWidth="1"/>
    <col min="4" max="4" width="50.7109375" customWidth="1"/>
  </cols>
  <sheetData>
    <row r="1" spans="1:12" ht="34" customHeight="1">
      <c r="A1" s="2" t="s">
        <v>336</v>
      </c>
      <c r="B1" s="2"/>
      <c r="C1" s="2"/>
      <c r="D1" s="2"/>
      <c r="E1" s="2"/>
      <c r="F1" s="2"/>
      <c r="G1" s="2"/>
      <c r="H1" s="2"/>
      <c r="I1" s="2"/>
      <c r="J1" s="3" t="s">
        <v>1</v>
      </c>
      <c r="K1" s="3"/>
      <c r="L1" s="3"/>
    </row>
    <row r="2" spans="1:12" ht="18" customHeight="1">
      <c r="A2" s="4" t="s">
        <v>337</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338</v>
      </c>
      <c r="L3" s="5"/>
    </row>
    <row r="5" spans="1:12">
      <c r="A5" s="10" t="s">
        <v>339</v>
      </c>
      <c r="B5" s="23">
        <f>BizName</f>
        <v>0</v>
      </c>
      <c r="C5" s="23"/>
      <c r="D5" s="23"/>
      <c r="E5" s="24" t="s">
        <v>340</v>
      </c>
      <c r="F5" s="23">
        <f>TEXT(TodayDate,"mmmm yyyy")</f>
        <v>0</v>
      </c>
      <c r="G5" s="24" t="s">
        <v>341</v>
      </c>
      <c r="H5" s="23">
        <f>TEXT(TodayDate,"yyyy-mm")</f>
        <v>0</v>
      </c>
      <c r="I5" s="24" t="s">
        <v>214</v>
      </c>
      <c r="J5" s="24"/>
      <c r="K5" s="18">
        <f>TodayDate</f>
        <v>0</v>
      </c>
      <c r="L5" s="18"/>
    </row>
    <row r="7" spans="1:12">
      <c r="A7" s="13" t="s">
        <v>342</v>
      </c>
      <c r="B7" s="13"/>
      <c r="C7" s="13"/>
      <c r="D7" s="13" t="s">
        <v>344</v>
      </c>
      <c r="E7" s="13"/>
      <c r="F7" s="13"/>
      <c r="G7" s="13" t="s">
        <v>346</v>
      </c>
      <c r="H7" s="13"/>
      <c r="I7" s="13"/>
      <c r="J7" s="13" t="s">
        <v>348</v>
      </c>
      <c r="K7" s="13"/>
      <c r="L7" s="13"/>
    </row>
    <row r="8" spans="1:12" ht="26" customHeight="1">
      <c r="A8" s="25">
        <f>SUMIFS(Jobs!$AJ$5:$AJ$604,Jobs!$E$5:$E$604,DashKey,Jobs!$P$5:$P$604,"Completed")+SUMIFS(Jobs!$AJ$5:$AJ$604,Jobs!$E$5:$E$604,DashKey,Jobs!$P$5:$P$604,"Invoiced")</f>
        <v>0</v>
      </c>
      <c r="B8" s="25"/>
      <c r="C8" s="25"/>
      <c r="D8" s="25">
        <f>SUMIFS(Invoices!$V$5:$V$404,Invoices!$C$5:$C$404,DashKey)</f>
        <v>0</v>
      </c>
      <c r="E8" s="25"/>
      <c r="F8" s="25"/>
      <c r="G8" s="25">
        <f>SUMIFS(Payments!$G$5:$G$404,Payments!$C$5:$C$404,DashKey)</f>
        <v>0</v>
      </c>
      <c r="H8" s="25"/>
      <c r="I8" s="25"/>
      <c r="J8" s="25">
        <f>SUM(Invoices!$X$5:$X$404)</f>
        <v>0</v>
      </c>
      <c r="K8" s="25"/>
      <c r="L8" s="25"/>
    </row>
    <row r="9" spans="1:12">
      <c r="A9" s="26" t="s">
        <v>343</v>
      </c>
      <c r="B9" s="26"/>
      <c r="C9" s="26"/>
      <c r="D9" s="26" t="s">
        <v>345</v>
      </c>
      <c r="E9" s="26"/>
      <c r="F9" s="26"/>
      <c r="G9" s="26" t="s">
        <v>347</v>
      </c>
      <c r="H9" s="26"/>
      <c r="I9" s="26"/>
      <c r="J9" s="26" t="s">
        <v>349</v>
      </c>
      <c r="K9" s="26"/>
      <c r="L9" s="26"/>
    </row>
    <row r="11" spans="1:12">
      <c r="A11" s="13" t="s">
        <v>350</v>
      </c>
      <c r="B11" s="13"/>
      <c r="C11" s="13"/>
      <c r="D11" s="13" t="s">
        <v>352</v>
      </c>
      <c r="E11" s="13"/>
      <c r="F11" s="13"/>
      <c r="G11" s="13" t="s">
        <v>354</v>
      </c>
      <c r="H11" s="13"/>
      <c r="I11" s="13"/>
      <c r="J11" s="13" t="s">
        <v>356</v>
      </c>
      <c r="K11" s="13"/>
      <c r="L11" s="13"/>
    </row>
    <row r="12" spans="1:12" ht="26" customHeight="1">
      <c r="A12" s="25">
        <f>SUMIFS(Expenses!$Q$5:$Q$404,Expenses!$C$5:$C$404,DashKey)</f>
        <v>0</v>
      </c>
      <c r="B12" s="25"/>
      <c r="C12" s="25"/>
      <c r="D12" s="25">
        <f>SUMIFS(Jobs!$AJ$5:$AJ$604,Jobs!$E$5:$E$604,DashKey,Jobs!$P$5:$P$604,"Completed")+SUMIFS(Jobs!$AJ$5:$AJ$604,Jobs!$E$5:$E$604,DashKey,Jobs!$P$5:$P$604,"Invoiced")-SUMIFS(Expenses!$Q$5:$Q$404,Expenses!$C$5:$C$404,DashKey)</f>
        <v>0</v>
      </c>
      <c r="E12" s="25"/>
      <c r="F12" s="25"/>
      <c r="G12" s="27">
        <f>IFERROR((SUMIFS(Jobs!$AJ$5:$AJ$604,Jobs!$E$5:$E$604,DashKey,Jobs!$P$5:$P$604,"Completed")+SUMIFS(Jobs!$AJ$5:$AJ$604,Jobs!$E$5:$E$604,DashKey,Jobs!$P$5:$P$604,"Invoiced")-SUMIFS(Expenses!$Q$5:$Q$404,Expenses!$C$5:$C$404,DashKey))/(SUMIFS(Jobs!$AJ$5:$AJ$604,Jobs!$E$5:$E$604,DashKey,Jobs!$P$5:$P$604,"Completed")+SUMIFS(Jobs!$AJ$5:$AJ$604,Jobs!$E$5:$E$604,DashKey,Jobs!$P$5:$P$604,"Invoiced")),"")</f>
        <v>0</v>
      </c>
      <c r="H12" s="27"/>
      <c r="I12" s="27"/>
      <c r="J12" s="28">
        <f>IFERROR((SUMIFS(Jobs!$AJ$5:$AJ$604,Jobs!$E$5:$E$604,DashKey,Jobs!$P$5:$P$604,"Completed")+SUMIFS(Jobs!$AJ$5:$AJ$604,Jobs!$E$5:$E$604,DashKey,Jobs!$P$5:$P$604,"Invoiced"))/(COUNTIFS(Jobs!$E$5:$E$604,DashKey,Jobs!$P$5:$P$604,"Completed")+COUNTIFS(Jobs!$E$5:$E$604,DashKey,Jobs!$P$5:$P$604,"Invoiced")),"")</f>
        <v>0</v>
      </c>
      <c r="K12" s="28"/>
      <c r="L12" s="28"/>
    </row>
    <row r="13" spans="1:12">
      <c r="A13" s="26" t="s">
        <v>351</v>
      </c>
      <c r="B13" s="26"/>
      <c r="C13" s="26"/>
      <c r="D13" s="26" t="s">
        <v>353</v>
      </c>
      <c r="E13" s="26"/>
      <c r="F13" s="26"/>
      <c r="G13" s="26" t="s">
        <v>355</v>
      </c>
      <c r="H13" s="26"/>
      <c r="I13" s="26"/>
      <c r="J13" s="26" t="s">
        <v>357</v>
      </c>
      <c r="K13" s="26"/>
      <c r="L13" s="26"/>
    </row>
    <row r="15" spans="1:12">
      <c r="A15" s="13" t="s">
        <v>358</v>
      </c>
      <c r="B15" s="13"/>
      <c r="C15" s="13"/>
      <c r="D15" s="13" t="s">
        <v>360</v>
      </c>
      <c r="E15" s="13"/>
      <c r="F15" s="13"/>
      <c r="G15" s="13" t="s">
        <v>362</v>
      </c>
      <c r="H15" s="13"/>
      <c r="I15" s="13"/>
      <c r="J15" s="13" t="s">
        <v>364</v>
      </c>
      <c r="K15" s="13"/>
      <c r="L15" s="13"/>
    </row>
    <row r="16" spans="1:12" ht="26" customHeight="1">
      <c r="A16" s="29">
        <f>COUNTIFS(Jobs!$B$5:$B$604,"&gt;="&amp;WeekStartDate,Jobs!$B$5:$B$604,"&lt;="&amp;WeekStartDate+6,Jobs!$P$5:$P$604,"&lt;&gt;Cancelled")</f>
        <v>0</v>
      </c>
      <c r="B16" s="29"/>
      <c r="C16" s="29"/>
      <c r="D16" s="30">
        <f>SUMIFS(Jobs!$AF$5:$AF$604,Jobs!$B$5:$B$604,"&gt;="&amp;WeekStartDate,Jobs!$B$5:$B$604,"&lt;="&amp;WeekStartDate+6,Jobs!$P$5:$P$604,"&lt;&gt;Cancelled")</f>
        <v>0</v>
      </c>
      <c r="E16" s="30"/>
      <c r="F16" s="30"/>
      <c r="G16" s="29">
        <f>COUNTIFS(Quotes!$K$5:$K$204,"Sent")+COUNTIFS(Quotes!$K$5:$K$204,"Followed up")</f>
        <v>0</v>
      </c>
      <c r="H16" s="29"/>
      <c r="I16" s="29"/>
      <c r="J16" s="29">
        <f>COUNTIFS(Clients!$H$5:$H$204,"Active")+COUNTIFS(Clients!$H$5:$H$204,"Regular")</f>
        <v>0</v>
      </c>
      <c r="K16" s="29"/>
      <c r="L16" s="29"/>
    </row>
    <row r="17" spans="1:12">
      <c r="A17" s="26" t="s">
        <v>359</v>
      </c>
      <c r="B17" s="26"/>
      <c r="C17" s="26"/>
      <c r="D17" s="26" t="s">
        <v>361</v>
      </c>
      <c r="E17" s="26"/>
      <c r="F17" s="26"/>
      <c r="G17" s="26" t="s">
        <v>363</v>
      </c>
      <c r="H17" s="26"/>
      <c r="I17" s="26"/>
      <c r="J17" s="26" t="s">
        <v>365</v>
      </c>
      <c r="K17" s="26"/>
      <c r="L17" s="26"/>
    </row>
    <row r="19" spans="1:12" ht="20" customHeight="1">
      <c r="A19" s="7" t="s">
        <v>366</v>
      </c>
      <c r="B19" s="7"/>
      <c r="C19" s="7"/>
      <c r="D19" s="7"/>
      <c r="E19" s="7"/>
      <c r="F19" s="7"/>
      <c r="G19" s="7"/>
      <c r="H19" s="7"/>
      <c r="I19" s="7"/>
      <c r="J19" s="7"/>
      <c r="K19" s="7"/>
      <c r="L19" s="7"/>
    </row>
    <row r="20" spans="1:12" ht="26" customHeight="1">
      <c r="A20" s="8" t="s">
        <v>110</v>
      </c>
      <c r="B20" s="9" t="s">
        <v>367</v>
      </c>
      <c r="C20" s="9" t="s">
        <v>368</v>
      </c>
      <c r="D20" s="9" t="s">
        <v>369</v>
      </c>
    </row>
    <row r="21" spans="1:12">
      <c r="A21" s="10" t="s">
        <v>370</v>
      </c>
      <c r="B21" s="31">
        <f>COUNTIFS(Jobs!$R$5:$R$604,"",Jobs!$G$5:$G$604,"&lt;&gt;",Jobs!$B$5:$B$604,"&gt;="&amp;TodayDate)</f>
        <v>0</v>
      </c>
      <c r="C21" s="23">
        <f>"Booked work nobody is assigned to yet"</f>
        <v>0</v>
      </c>
      <c r="D21" s="23"/>
      <c r="E21" s="23"/>
      <c r="F21" s="23"/>
      <c r="G21" s="23"/>
      <c r="H21" s="23"/>
      <c r="I21" s="23"/>
      <c r="J21" s="23"/>
      <c r="K21" s="11" t="s">
        <v>371</v>
      </c>
      <c r="L21" s="11"/>
    </row>
    <row r="22" spans="1:12">
      <c r="A22" s="10" t="s">
        <v>372</v>
      </c>
      <c r="B22" s="31">
        <f>COUNTIF(Jobs!$AX$5:$AX$604,"Confirm*")</f>
        <v>0</v>
      </c>
      <c r="C22" s="23">
        <f>"Coming up within "&amp;ReminderDays&amp;" days and not confirmed with the client"</f>
        <v>0</v>
      </c>
      <c r="D22" s="23"/>
      <c r="E22" s="23"/>
      <c r="F22" s="23"/>
      <c r="G22" s="23"/>
      <c r="H22" s="23"/>
      <c r="I22" s="23"/>
      <c r="J22" s="23"/>
      <c r="K22" s="11" t="s">
        <v>371</v>
      </c>
      <c r="L22" s="11"/>
    </row>
    <row r="23" spans="1:12">
      <c r="A23" s="10" t="s">
        <v>373</v>
      </c>
      <c r="B23" s="31">
        <f>COUNTIF(Jobs!$AR$5:$AR$604,"Clash")</f>
        <v>0</v>
      </c>
      <c r="C23" s="23">
        <f>"The same cleaner booked twice at the same time"</f>
        <v>0</v>
      </c>
      <c r="D23" s="23"/>
      <c r="E23" s="23"/>
      <c r="F23" s="23"/>
      <c r="G23" s="23"/>
      <c r="H23" s="23"/>
      <c r="I23" s="23"/>
      <c r="J23" s="23"/>
      <c r="K23" s="11" t="s">
        <v>371</v>
      </c>
      <c r="L23" s="11"/>
    </row>
    <row r="24" spans="1:12">
      <c r="A24" s="10" t="s">
        <v>374</v>
      </c>
      <c r="B24" s="31">
        <f>COUNTIFS(Jobs!$P$5:$P$604,"Completed",Jobs!$AP$5:$AP$604,"")</f>
        <v>0</v>
      </c>
      <c r="C24" s="23">
        <f>"Work you have done and not yet billed - worth "&amp;TEXT(SUMIFS(Jobs!$AJ$5:$AJ$604,Jobs!$P$5:$P$604,"Completed",Jobs!$AP$5:$AP$604,""),"#,##0")</f>
        <v>0</v>
      </c>
      <c r="D24" s="23"/>
      <c r="E24" s="23"/>
      <c r="F24" s="23"/>
      <c r="G24" s="23"/>
      <c r="H24" s="23"/>
      <c r="I24" s="23"/>
      <c r="J24" s="23"/>
      <c r="K24" s="11" t="s">
        <v>375</v>
      </c>
      <c r="L24" s="11"/>
    </row>
    <row r="25" spans="1:12">
      <c r="A25" s="10" t="s">
        <v>376</v>
      </c>
      <c r="B25" s="31">
        <f>COUNTIF(Invoices!$AE$5:$AE$404,"Overdue*")</f>
        <v>0</v>
      </c>
      <c r="C25" s="23">
        <f>"Past their due date, totalling "&amp;TEXT(SUMIFS(Invoices!$X$5:$X$404,Invoices!$AB$5:$AB$404,"1-30 days")+SUMIFS(Invoices!$X$5:$X$404,Invoices!$AB$5:$AB$404,"31-60 days")+SUMIFS(Invoices!$X$5:$X$404,Invoices!$AB$5:$AB$404,"61-90 days")+SUMIFS(Invoices!$X$5:$X$404,Invoices!$AB$5:$AB$404,"90+ days"),"#,##0")</f>
        <v>0</v>
      </c>
      <c r="D25" s="23"/>
      <c r="E25" s="23"/>
      <c r="F25" s="23"/>
      <c r="G25" s="23"/>
      <c r="H25" s="23"/>
      <c r="I25" s="23"/>
      <c r="J25" s="23"/>
      <c r="K25" s="11" t="s">
        <v>375</v>
      </c>
      <c r="L25" s="11"/>
    </row>
    <row r="26" spans="1:12">
      <c r="A26" s="10" t="s">
        <v>377</v>
      </c>
      <c r="B26" s="31">
        <f>COUNTIF(Quotes!$AK$5:$AK$204,"Chase*")</f>
        <v>0</v>
      </c>
      <c r="C26" s="23">
        <f>"Sent more than "&amp;QuoteFollowupDays&amp;" days ago with no answer - this is the fastest money in the workbook"</f>
        <v>0</v>
      </c>
      <c r="D26" s="23"/>
      <c r="E26" s="23"/>
      <c r="F26" s="23"/>
      <c r="G26" s="23"/>
      <c r="H26" s="23"/>
      <c r="I26" s="23"/>
      <c r="J26" s="23"/>
      <c r="K26" s="11" t="s">
        <v>378</v>
      </c>
      <c r="L26" s="11"/>
    </row>
    <row r="27" spans="1:12">
      <c r="A27" s="10" t="s">
        <v>379</v>
      </c>
      <c r="B27" s="31">
        <f>COUNTIF(Leads!$Z$5:$Z$154,"Action - no quote*")</f>
        <v>0</v>
      </c>
      <c r="C27" s="23">
        <f>"Enquiries that have not been priced yet"</f>
        <v>0</v>
      </c>
      <c r="D27" s="23"/>
      <c r="E27" s="23"/>
      <c r="F27" s="23"/>
      <c r="G27" s="23"/>
      <c r="H27" s="23"/>
      <c r="I27" s="23"/>
      <c r="J27" s="23"/>
      <c r="K27" s="11" t="s">
        <v>380</v>
      </c>
      <c r="L27" s="11"/>
    </row>
    <row r="28" spans="1:12">
      <c r="A28" s="10" t="s">
        <v>381</v>
      </c>
      <c r="B28" s="31">
        <f>COUNTIF(Clients!$AP$5:$AP$204,"At risk")+COUNTIF(Clients!$AP$5:$AP$204,"Slipping")</f>
        <v>0</v>
      </c>
      <c r="C28" s="23">
        <f>"No visit booked, or nothing for "&amp;InactiveClientDays&amp;" days"</f>
        <v>0</v>
      </c>
      <c r="D28" s="23"/>
      <c r="E28" s="23"/>
      <c r="F28" s="23"/>
      <c r="G28" s="23"/>
      <c r="H28" s="23"/>
      <c r="I28" s="23"/>
      <c r="J28" s="23"/>
      <c r="K28" s="11" t="s">
        <v>64</v>
      </c>
      <c r="L28" s="11"/>
    </row>
    <row r="29" spans="1:12">
      <c r="A29" s="10" t="s">
        <v>382</v>
      </c>
      <c r="B29" s="31">
        <f>COUNTIF(Supplies!$Y$5:$Y$154,"Low stock")+COUNTIF(Supplies!$Y$5:$Y$154,"Out of stock")</f>
        <v>0</v>
      </c>
      <c r="C29" s="23">
        <f>"Below the reorder level or less than "&amp;LowStockDays&amp;" days of cover"</f>
        <v>0</v>
      </c>
      <c r="D29" s="23"/>
      <c r="E29" s="23"/>
      <c r="F29" s="23"/>
      <c r="G29" s="23"/>
      <c r="H29" s="23"/>
      <c r="I29" s="23"/>
      <c r="J29" s="23"/>
      <c r="K29" s="11" t="s">
        <v>383</v>
      </c>
      <c r="L29" s="11"/>
    </row>
    <row r="30" spans="1:12">
      <c r="A30" s="10" t="s">
        <v>384</v>
      </c>
      <c r="B30" s="31">
        <f>COUNTIF(Equipment!$Z$5:$Z$84,"Overdue*")+COUNTIF(Equipment!$Z$5:$Z$84,"Due*")</f>
        <v>0</v>
      </c>
      <c r="C30" s="23">
        <f>"A machine that dies mid-job costs you the day"</f>
        <v>0</v>
      </c>
      <c r="D30" s="23"/>
      <c r="E30" s="23"/>
      <c r="F30" s="23"/>
      <c r="G30" s="23"/>
      <c r="H30" s="23"/>
      <c r="I30" s="23"/>
      <c r="J30" s="23"/>
      <c r="K30" s="11" t="s">
        <v>385</v>
      </c>
      <c r="L30" s="11"/>
    </row>
    <row r="31" spans="1:12">
      <c r="A31" s="10" t="s">
        <v>386</v>
      </c>
      <c r="B31" s="31">
        <f>COUNTIF(Safety!$P$5:$P$84,"Due soon")+COUNTIF(Safety!$P$5:$P$84,"Expired")</f>
        <v>0</v>
      </c>
      <c r="C31" s="23">
        <f>"Insurance, checks and training within "&amp;CertWarningDays&amp;" days of running out"</f>
        <v>0</v>
      </c>
      <c r="D31" s="23"/>
      <c r="E31" s="23"/>
      <c r="F31" s="23"/>
      <c r="G31" s="23"/>
      <c r="H31" s="23"/>
      <c r="I31" s="23"/>
      <c r="J31" s="23"/>
      <c r="K31" s="11" t="s">
        <v>387</v>
      </c>
      <c r="L31" s="11"/>
    </row>
    <row r="32" spans="1:12">
      <c r="A32" s="10" t="s">
        <v>388</v>
      </c>
      <c r="B32" s="31">
        <f>COUNTIF(Complaints!$W$5:$W$84,"Yes")</f>
        <v>0</v>
      </c>
      <c r="C32" s="23">
        <f>"Every day one of these stays open costs you a client"</f>
        <v>0</v>
      </c>
      <c r="D32" s="23"/>
      <c r="E32" s="23"/>
      <c r="F32" s="23"/>
      <c r="G32" s="23"/>
      <c r="H32" s="23"/>
      <c r="I32" s="23"/>
      <c r="J32" s="23"/>
      <c r="K32" s="11" t="s">
        <v>389</v>
      </c>
      <c r="L32" s="11"/>
    </row>
    <row r="33" spans="1:12">
      <c r="A33" s="10" t="s">
        <v>390</v>
      </c>
      <c r="B33" s="31">
        <f>COUNTIF('Job Costing'!$AA$5:$AA$604,"Loss*")</f>
        <v>0</v>
      </c>
      <c r="C33" s="23">
        <f>"Jobs that cost more than they earned"</f>
        <v>0</v>
      </c>
      <c r="D33" s="23"/>
      <c r="E33" s="23"/>
      <c r="F33" s="23"/>
      <c r="G33" s="23"/>
      <c r="H33" s="23"/>
      <c r="I33" s="23"/>
      <c r="J33" s="23"/>
      <c r="K33" s="11" t="s">
        <v>391</v>
      </c>
      <c r="L33" s="11"/>
    </row>
    <row r="34" spans="1:12">
      <c r="A34" s="10" t="s">
        <v>392</v>
      </c>
      <c r="B34" s="31">
        <f>COUNTIF(Timesheets!$Z$5:$Z$804,"Due - needs approving")</f>
        <v>0</v>
      </c>
      <c r="C34" s="23">
        <f>"Hours entered but not signed off"</f>
        <v>0</v>
      </c>
      <c r="D34" s="23"/>
      <c r="E34" s="23"/>
      <c r="F34" s="23"/>
      <c r="G34" s="23"/>
      <c r="H34" s="23"/>
      <c r="I34" s="23"/>
      <c r="J34" s="23"/>
      <c r="K34" s="11" t="s">
        <v>393</v>
      </c>
      <c r="L34" s="11"/>
    </row>
    <row r="36" spans="1:12" ht="20" customHeight="1">
      <c r="A36" s="7" t="s">
        <v>394</v>
      </c>
      <c r="B36" s="7"/>
      <c r="C36" s="7"/>
      <c r="D36" s="7"/>
      <c r="E36" s="7"/>
      <c r="F36" s="7"/>
      <c r="G36" s="7"/>
      <c r="H36" s="7"/>
      <c r="I36" s="7"/>
      <c r="J36" s="7"/>
      <c r="K36" s="7"/>
      <c r="L36" s="7"/>
    </row>
    <row r="37" spans="1:12">
      <c r="A37" s="8" t="s">
        <v>395</v>
      </c>
      <c r="B37" s="32">
        <f>TodayDate+0</f>
        <v>0</v>
      </c>
      <c r="C37" s="32">
        <f>TodayDate+1</f>
        <v>0</v>
      </c>
      <c r="D37" s="32">
        <f>TodayDate+2</f>
        <v>0</v>
      </c>
      <c r="E37" s="32">
        <f>TodayDate+3</f>
        <v>0</v>
      </c>
      <c r="F37" s="32">
        <f>TodayDate+4</f>
        <v>0</v>
      </c>
      <c r="G37" s="32">
        <f>TodayDate+5</f>
        <v>0</v>
      </c>
      <c r="H37" s="32">
        <f>TodayDate+6</f>
        <v>0</v>
      </c>
      <c r="I37" s="9" t="s">
        <v>396</v>
      </c>
    </row>
    <row r="38" spans="1:12">
      <c r="A38" s="10" t="s">
        <v>397</v>
      </c>
      <c r="B38" s="31">
        <f>COUNTIFS(Jobs!$B$5:$B$604,B$37,Jobs!$P$5:$P$604,"&lt;&gt;Cancelled")</f>
        <v>0</v>
      </c>
      <c r="C38" s="31">
        <f>COUNTIFS(Jobs!$B$5:$B$604,C$37,Jobs!$P$5:$P$604,"&lt;&gt;Cancelled")</f>
        <v>0</v>
      </c>
      <c r="D38" s="31">
        <f>COUNTIFS(Jobs!$B$5:$B$604,D$37,Jobs!$P$5:$P$604,"&lt;&gt;Cancelled")</f>
        <v>0</v>
      </c>
      <c r="E38" s="31">
        <f>COUNTIFS(Jobs!$B$5:$B$604,E$37,Jobs!$P$5:$P$604,"&lt;&gt;Cancelled")</f>
        <v>0</v>
      </c>
      <c r="F38" s="31">
        <f>COUNTIFS(Jobs!$B$5:$B$604,F$37,Jobs!$P$5:$P$604,"&lt;&gt;Cancelled")</f>
        <v>0</v>
      </c>
      <c r="G38" s="31">
        <f>COUNTIFS(Jobs!$B$5:$B$604,G$37,Jobs!$P$5:$P$604,"&lt;&gt;Cancelled")</f>
        <v>0</v>
      </c>
      <c r="H38" s="31">
        <f>COUNTIFS(Jobs!$B$5:$B$604,H$37,Jobs!$P$5:$P$604,"&lt;&gt;Cancelled")</f>
        <v>0</v>
      </c>
      <c r="I38" s="33">
        <f>COUNTIFS(Jobs!$B$5:$B$604,"&gt;="&amp;TodayDate,Jobs!$B$5:$B$604,"&lt;="&amp;TodayDate+6,Jobs!$P$5:$P$604,"&lt;&gt;Cancelled")</f>
        <v>0</v>
      </c>
    </row>
    <row r="39" spans="1:12">
      <c r="A39" s="10" t="s">
        <v>398</v>
      </c>
      <c r="B39" s="34">
        <f>SUMIFS(Jobs!$AF$5:$AF$604,Jobs!$B$5:$B$604,B$37,Jobs!$P$5:$P$604,"&lt;&gt;Cancelled")</f>
        <v>0</v>
      </c>
      <c r="C39" s="34">
        <f>SUMIFS(Jobs!$AF$5:$AF$604,Jobs!$B$5:$B$604,C$37,Jobs!$P$5:$P$604,"&lt;&gt;Cancelled")</f>
        <v>0</v>
      </c>
      <c r="D39" s="34">
        <f>SUMIFS(Jobs!$AF$5:$AF$604,Jobs!$B$5:$B$604,D$37,Jobs!$P$5:$P$604,"&lt;&gt;Cancelled")</f>
        <v>0</v>
      </c>
      <c r="E39" s="34">
        <f>SUMIFS(Jobs!$AF$5:$AF$604,Jobs!$B$5:$B$604,E$37,Jobs!$P$5:$P$604,"&lt;&gt;Cancelled")</f>
        <v>0</v>
      </c>
      <c r="F39" s="34">
        <f>SUMIFS(Jobs!$AF$5:$AF$604,Jobs!$B$5:$B$604,F$37,Jobs!$P$5:$P$604,"&lt;&gt;Cancelled")</f>
        <v>0</v>
      </c>
      <c r="G39" s="34">
        <f>SUMIFS(Jobs!$AF$5:$AF$604,Jobs!$B$5:$B$604,G$37,Jobs!$P$5:$P$604,"&lt;&gt;Cancelled")</f>
        <v>0</v>
      </c>
      <c r="H39" s="34">
        <f>SUMIFS(Jobs!$AF$5:$AF$604,Jobs!$B$5:$B$604,H$37,Jobs!$P$5:$P$604,"&lt;&gt;Cancelled")</f>
        <v>0</v>
      </c>
      <c r="I39" s="35">
        <f>SUMIFS(Jobs!$AF$5:$AF$604,Jobs!$B$5:$B$604,"&gt;="&amp;TodayDate,Jobs!$B$5:$B$604,"&lt;="&amp;TodayDate+6,Jobs!$P$5:$P$604,"&lt;&gt;Cancelled")</f>
        <v>0</v>
      </c>
    </row>
    <row r="40" spans="1:12">
      <c r="A40" s="10" t="s">
        <v>399</v>
      </c>
      <c r="B40" s="36">
        <f>SUMIFS(Jobs!$AJ$5:$AJ$604,Jobs!$B$5:$B$604,B$37,Jobs!$P$5:$P$604,"&lt;&gt;Cancelled")</f>
        <v>0</v>
      </c>
      <c r="C40" s="36">
        <f>SUMIFS(Jobs!$AJ$5:$AJ$604,Jobs!$B$5:$B$604,C$37,Jobs!$P$5:$P$604,"&lt;&gt;Cancelled")</f>
        <v>0</v>
      </c>
      <c r="D40" s="36">
        <f>SUMIFS(Jobs!$AJ$5:$AJ$604,Jobs!$B$5:$B$604,D$37,Jobs!$P$5:$P$604,"&lt;&gt;Cancelled")</f>
        <v>0</v>
      </c>
      <c r="E40" s="36">
        <f>SUMIFS(Jobs!$AJ$5:$AJ$604,Jobs!$B$5:$B$604,E$37,Jobs!$P$5:$P$604,"&lt;&gt;Cancelled")</f>
        <v>0</v>
      </c>
      <c r="F40" s="36">
        <f>SUMIFS(Jobs!$AJ$5:$AJ$604,Jobs!$B$5:$B$604,F$37,Jobs!$P$5:$P$604,"&lt;&gt;Cancelled")</f>
        <v>0</v>
      </c>
      <c r="G40" s="36">
        <f>SUMIFS(Jobs!$AJ$5:$AJ$604,Jobs!$B$5:$B$604,G$37,Jobs!$P$5:$P$604,"&lt;&gt;Cancelled")</f>
        <v>0</v>
      </c>
      <c r="H40" s="36">
        <f>SUMIFS(Jobs!$AJ$5:$AJ$604,Jobs!$B$5:$B$604,H$37,Jobs!$P$5:$P$604,"&lt;&gt;Cancelled")</f>
        <v>0</v>
      </c>
      <c r="I40" s="37">
        <f>SUMIFS(Jobs!$AJ$5:$AJ$604,Jobs!$B$5:$B$604,"&gt;="&amp;TodayDate,Jobs!$B$5:$B$604,"&lt;="&amp;TodayDate+6,Jobs!$P$5:$P$604,"&lt;&gt;Cancelled")</f>
        <v>0</v>
      </c>
    </row>
    <row r="41" spans="1:12">
      <c r="A41" s="10" t="s">
        <v>400</v>
      </c>
      <c r="B41" s="31">
        <f>SUMIFS(Jobs!$AE$5:$AE$604,Jobs!$B$5:$B$604,B$37,Jobs!$P$5:$P$604,"&lt;&gt;Cancelled")</f>
        <v>0</v>
      </c>
      <c r="C41" s="31">
        <f>SUMIFS(Jobs!$AE$5:$AE$604,Jobs!$B$5:$B$604,C$37,Jobs!$P$5:$P$604,"&lt;&gt;Cancelled")</f>
        <v>0</v>
      </c>
      <c r="D41" s="31">
        <f>SUMIFS(Jobs!$AE$5:$AE$604,Jobs!$B$5:$B$604,D$37,Jobs!$P$5:$P$604,"&lt;&gt;Cancelled")</f>
        <v>0</v>
      </c>
      <c r="E41" s="31">
        <f>SUMIFS(Jobs!$AE$5:$AE$604,Jobs!$B$5:$B$604,E$37,Jobs!$P$5:$P$604,"&lt;&gt;Cancelled")</f>
        <v>0</v>
      </c>
      <c r="F41" s="31">
        <f>SUMIFS(Jobs!$AE$5:$AE$604,Jobs!$B$5:$B$604,F$37,Jobs!$P$5:$P$604,"&lt;&gt;Cancelled")</f>
        <v>0</v>
      </c>
      <c r="G41" s="31">
        <f>SUMIFS(Jobs!$AE$5:$AE$604,Jobs!$B$5:$B$604,G$37,Jobs!$P$5:$P$604,"&lt;&gt;Cancelled")</f>
        <v>0</v>
      </c>
      <c r="H41" s="31">
        <f>SUMIFS(Jobs!$AE$5:$AE$604,Jobs!$B$5:$B$604,H$37,Jobs!$P$5:$P$604,"&lt;&gt;Cancelled")</f>
        <v>0</v>
      </c>
      <c r="I41" s="33">
        <f>SUMIFS(Jobs!$AE$5:$AE$604,Jobs!$B$5:$B$604,"&gt;="&amp;TodayDate,Jobs!$B$5:$B$604,"&lt;="&amp;TodayDate+6,Jobs!$P$5:$P$604,"&lt;&gt;Cancelled")</f>
        <v>0</v>
      </c>
    </row>
    <row r="43" spans="1:12">
      <c r="A43" s="12" t="s">
        <v>401</v>
      </c>
      <c r="B43" s="12"/>
      <c r="C43" s="12"/>
      <c r="D43" s="12"/>
      <c r="E43" s="12"/>
      <c r="F43" s="12"/>
      <c r="G43" s="12"/>
      <c r="H43" s="12"/>
      <c r="I43" s="12"/>
      <c r="J43" s="12"/>
      <c r="K43" s="12"/>
      <c r="L43" s="12"/>
    </row>
    <row r="45" spans="1:12" ht="20" customHeight="1">
      <c r="A45" s="7" t="s">
        <v>402</v>
      </c>
      <c r="B45" s="7"/>
      <c r="C45" s="7"/>
      <c r="D45" s="7"/>
      <c r="E45" s="7"/>
      <c r="F45" s="7"/>
      <c r="G45" s="7"/>
      <c r="H45" s="7"/>
      <c r="I45" s="7"/>
      <c r="J45" s="7"/>
      <c r="K45" s="7"/>
      <c r="L45" s="7"/>
    </row>
    <row r="46" spans="1:12" ht="26" customHeight="1">
      <c r="A46" s="8" t="s">
        <v>403</v>
      </c>
      <c r="B46" s="9" t="s">
        <v>404</v>
      </c>
      <c r="C46" s="9" t="s">
        <v>405</v>
      </c>
      <c r="D46" s="9" t="s">
        <v>406</v>
      </c>
      <c r="E46" s="9" t="s">
        <v>407</v>
      </c>
      <c r="F46" s="9" t="s">
        <v>408</v>
      </c>
      <c r="G46" s="9" t="s">
        <v>409</v>
      </c>
      <c r="H46" s="9" t="s">
        <v>410</v>
      </c>
      <c r="I46" s="9" t="s">
        <v>411</v>
      </c>
    </row>
    <row r="47" spans="1:12">
      <c r="A47" s="23">
        <f>IFERROR(INDEX(Clients!$B$5:$B$204,MATCH(1,Clients!$AM$5:$AM$204,0)),"")</f>
        <v>0</v>
      </c>
      <c r="B47" s="23">
        <f>IFERROR(INDEX(Clients!$C$5:$C$204,MATCH(1,Clients!$AM$5:$AM$204,0)),"")</f>
        <v>0</v>
      </c>
      <c r="C47" s="31">
        <f>IFERROR(INDEX(Clients!$Y$5:$Y$204,MATCH(1,Clients!$AM$5:$AM$204,0)),"")</f>
        <v>0</v>
      </c>
      <c r="D47" s="21">
        <f>IFERROR(INDEX(Clients!$AD$5:$AD$204,MATCH(1,Clients!$AM$5:$AM$204,0)),"")</f>
        <v>0</v>
      </c>
      <c r="E47" s="21">
        <f>IFERROR(INDEX(Clients!$AH$5:$AH$204,MATCH(1,Clients!$AM$5:$AM$204,0)),"")</f>
        <v>0</v>
      </c>
      <c r="F47" s="38">
        <f>IFERROR(INDEX(Clients!$AI$5:$AI$204,MATCH(1,Clients!$AM$5:$AM$204,0)),"")</f>
        <v>0</v>
      </c>
      <c r="G47" s="21">
        <f>IFERROR(INDEX(Clients!$AJ$5:$AJ$204,MATCH(1,Clients!$AM$5:$AM$204,0)),"")</f>
        <v>0</v>
      </c>
      <c r="H47" s="18">
        <f>IFERROR(INDEX(Clients!$AA$5:$AA$204,MATCH(1,Clients!$AM$5:$AM$204,0)),"")</f>
        <v>0</v>
      </c>
      <c r="I47" s="39">
        <f>IFERROR(INDEX(Clients!$AP$5:$AP$204,MATCH(1,Clients!$AM$5:$AM$204,0)),"")</f>
        <v>0</v>
      </c>
    </row>
    <row r="48" spans="1:12">
      <c r="A48" s="23">
        <f>IFERROR(INDEX(Clients!$B$5:$B$204,MATCH(2,Clients!$AM$5:$AM$204,0)),"")</f>
        <v>0</v>
      </c>
      <c r="B48" s="23">
        <f>IFERROR(INDEX(Clients!$C$5:$C$204,MATCH(2,Clients!$AM$5:$AM$204,0)),"")</f>
        <v>0</v>
      </c>
      <c r="C48" s="31">
        <f>IFERROR(INDEX(Clients!$Y$5:$Y$204,MATCH(2,Clients!$AM$5:$AM$204,0)),"")</f>
        <v>0</v>
      </c>
      <c r="D48" s="21">
        <f>IFERROR(INDEX(Clients!$AD$5:$AD$204,MATCH(2,Clients!$AM$5:$AM$204,0)),"")</f>
        <v>0</v>
      </c>
      <c r="E48" s="21">
        <f>IFERROR(INDEX(Clients!$AH$5:$AH$204,MATCH(2,Clients!$AM$5:$AM$204,0)),"")</f>
        <v>0</v>
      </c>
      <c r="F48" s="38">
        <f>IFERROR(INDEX(Clients!$AI$5:$AI$204,MATCH(2,Clients!$AM$5:$AM$204,0)),"")</f>
        <v>0</v>
      </c>
      <c r="G48" s="21">
        <f>IFERROR(INDEX(Clients!$AJ$5:$AJ$204,MATCH(2,Clients!$AM$5:$AM$204,0)),"")</f>
        <v>0</v>
      </c>
      <c r="H48" s="18">
        <f>IFERROR(INDEX(Clients!$AA$5:$AA$204,MATCH(2,Clients!$AM$5:$AM$204,0)),"")</f>
        <v>0</v>
      </c>
      <c r="I48" s="39">
        <f>IFERROR(INDEX(Clients!$AP$5:$AP$204,MATCH(2,Clients!$AM$5:$AM$204,0)),"")</f>
        <v>0</v>
      </c>
    </row>
    <row r="49" spans="1:12">
      <c r="A49" s="23">
        <f>IFERROR(INDEX(Clients!$B$5:$B$204,MATCH(3,Clients!$AM$5:$AM$204,0)),"")</f>
        <v>0</v>
      </c>
      <c r="B49" s="23">
        <f>IFERROR(INDEX(Clients!$C$5:$C$204,MATCH(3,Clients!$AM$5:$AM$204,0)),"")</f>
        <v>0</v>
      </c>
      <c r="C49" s="31">
        <f>IFERROR(INDEX(Clients!$Y$5:$Y$204,MATCH(3,Clients!$AM$5:$AM$204,0)),"")</f>
        <v>0</v>
      </c>
      <c r="D49" s="21">
        <f>IFERROR(INDEX(Clients!$AD$5:$AD$204,MATCH(3,Clients!$AM$5:$AM$204,0)),"")</f>
        <v>0</v>
      </c>
      <c r="E49" s="21">
        <f>IFERROR(INDEX(Clients!$AH$5:$AH$204,MATCH(3,Clients!$AM$5:$AM$204,0)),"")</f>
        <v>0</v>
      </c>
      <c r="F49" s="38">
        <f>IFERROR(INDEX(Clients!$AI$5:$AI$204,MATCH(3,Clients!$AM$5:$AM$204,0)),"")</f>
        <v>0</v>
      </c>
      <c r="G49" s="21">
        <f>IFERROR(INDEX(Clients!$AJ$5:$AJ$204,MATCH(3,Clients!$AM$5:$AM$204,0)),"")</f>
        <v>0</v>
      </c>
      <c r="H49" s="18">
        <f>IFERROR(INDEX(Clients!$AA$5:$AA$204,MATCH(3,Clients!$AM$5:$AM$204,0)),"")</f>
        <v>0</v>
      </c>
      <c r="I49" s="39">
        <f>IFERROR(INDEX(Clients!$AP$5:$AP$204,MATCH(3,Clients!$AM$5:$AM$204,0)),"")</f>
        <v>0</v>
      </c>
    </row>
    <row r="50" spans="1:12">
      <c r="A50" s="23">
        <f>IFERROR(INDEX(Clients!$B$5:$B$204,MATCH(4,Clients!$AM$5:$AM$204,0)),"")</f>
        <v>0</v>
      </c>
      <c r="B50" s="23">
        <f>IFERROR(INDEX(Clients!$C$5:$C$204,MATCH(4,Clients!$AM$5:$AM$204,0)),"")</f>
        <v>0</v>
      </c>
      <c r="C50" s="31">
        <f>IFERROR(INDEX(Clients!$Y$5:$Y$204,MATCH(4,Clients!$AM$5:$AM$204,0)),"")</f>
        <v>0</v>
      </c>
      <c r="D50" s="21">
        <f>IFERROR(INDEX(Clients!$AD$5:$AD$204,MATCH(4,Clients!$AM$5:$AM$204,0)),"")</f>
        <v>0</v>
      </c>
      <c r="E50" s="21">
        <f>IFERROR(INDEX(Clients!$AH$5:$AH$204,MATCH(4,Clients!$AM$5:$AM$204,0)),"")</f>
        <v>0</v>
      </c>
      <c r="F50" s="38">
        <f>IFERROR(INDEX(Clients!$AI$5:$AI$204,MATCH(4,Clients!$AM$5:$AM$204,0)),"")</f>
        <v>0</v>
      </c>
      <c r="G50" s="21">
        <f>IFERROR(INDEX(Clients!$AJ$5:$AJ$204,MATCH(4,Clients!$AM$5:$AM$204,0)),"")</f>
        <v>0</v>
      </c>
      <c r="H50" s="18">
        <f>IFERROR(INDEX(Clients!$AA$5:$AA$204,MATCH(4,Clients!$AM$5:$AM$204,0)),"")</f>
        <v>0</v>
      </c>
      <c r="I50" s="39">
        <f>IFERROR(INDEX(Clients!$AP$5:$AP$204,MATCH(4,Clients!$AM$5:$AM$204,0)),"")</f>
        <v>0</v>
      </c>
    </row>
    <row r="51" spans="1:12">
      <c r="A51" s="23">
        <f>IFERROR(INDEX(Clients!$B$5:$B$204,MATCH(5,Clients!$AM$5:$AM$204,0)),"")</f>
        <v>0</v>
      </c>
      <c r="B51" s="23">
        <f>IFERROR(INDEX(Clients!$C$5:$C$204,MATCH(5,Clients!$AM$5:$AM$204,0)),"")</f>
        <v>0</v>
      </c>
      <c r="C51" s="31">
        <f>IFERROR(INDEX(Clients!$Y$5:$Y$204,MATCH(5,Clients!$AM$5:$AM$204,0)),"")</f>
        <v>0</v>
      </c>
      <c r="D51" s="21">
        <f>IFERROR(INDEX(Clients!$AD$5:$AD$204,MATCH(5,Clients!$AM$5:$AM$204,0)),"")</f>
        <v>0</v>
      </c>
      <c r="E51" s="21">
        <f>IFERROR(INDEX(Clients!$AH$5:$AH$204,MATCH(5,Clients!$AM$5:$AM$204,0)),"")</f>
        <v>0</v>
      </c>
      <c r="F51" s="38">
        <f>IFERROR(INDEX(Clients!$AI$5:$AI$204,MATCH(5,Clients!$AM$5:$AM$204,0)),"")</f>
        <v>0</v>
      </c>
      <c r="G51" s="21">
        <f>IFERROR(INDEX(Clients!$AJ$5:$AJ$204,MATCH(5,Clients!$AM$5:$AM$204,0)),"")</f>
        <v>0</v>
      </c>
      <c r="H51" s="18">
        <f>IFERROR(INDEX(Clients!$AA$5:$AA$204,MATCH(5,Clients!$AM$5:$AM$204,0)),"")</f>
        <v>0</v>
      </c>
      <c r="I51" s="39">
        <f>IFERROR(INDEX(Clients!$AP$5:$AP$204,MATCH(5,Clients!$AM$5:$AM$204,0)),"")</f>
        <v>0</v>
      </c>
    </row>
    <row r="53" spans="1:12" ht="20" customHeight="1">
      <c r="A53" s="7" t="s">
        <v>412</v>
      </c>
      <c r="B53" s="7"/>
      <c r="C53" s="7"/>
      <c r="D53" s="7"/>
      <c r="E53" s="7"/>
      <c r="F53" s="7"/>
      <c r="G53" s="7"/>
      <c r="H53" s="7"/>
      <c r="I53" s="7"/>
      <c r="J53" s="7"/>
      <c r="K53" s="7"/>
      <c r="L53" s="7"/>
    </row>
    <row r="54" spans="1:12" ht="26" customHeight="1">
      <c r="A54" s="8" t="s">
        <v>340</v>
      </c>
      <c r="B54" s="9" t="s">
        <v>371</v>
      </c>
      <c r="C54" s="9" t="s">
        <v>413</v>
      </c>
      <c r="D54" s="9" t="s">
        <v>406</v>
      </c>
      <c r="E54" s="9" t="s">
        <v>414</v>
      </c>
      <c r="F54" s="9" t="s">
        <v>415</v>
      </c>
      <c r="G54" s="9" t="s">
        <v>407</v>
      </c>
      <c r="H54" s="9" t="s">
        <v>408</v>
      </c>
      <c r="I54" s="9" t="s">
        <v>416</v>
      </c>
      <c r="J54" s="9" t="s">
        <v>417</v>
      </c>
    </row>
    <row r="55" spans="1:12">
      <c r="A55" s="23">
        <f>TEXT(DATE(PlanYear,1,1),"mmm")</f>
        <v>0</v>
      </c>
      <c r="B55" s="31">
        <f>COUNTIFS(Jobs!$E$5:$E$604,TEXT(DATE(PlanYear,1,1),"yyyy-mm"),Jobs!$P$5:$P$604,"&lt;&gt;Cancelled")</f>
        <v>0</v>
      </c>
      <c r="C55" s="36">
        <f>SUMIFS(Jobs!$AJ$5:$AJ$604,Jobs!$E$5:$E$604,TEXT(DATE(PlanYear,1,1),"yyyy-mm"),Jobs!$P$5:$P$604,"Completed")+SUMIFS(Jobs!$AJ$5:$AJ$604,Jobs!$E$5:$E$604,TEXT(DATE(PlanYear,1,1),"yyyy-mm"),Jobs!$P$5:$P$604,"Invoiced")</f>
        <v>0</v>
      </c>
      <c r="D55" s="36">
        <f>SUMIFS(Invoices!$V$5:$V$404,Invoices!$C$5:$C$404,TEXT(DATE(PlanYear,1,1),"yyyy-mm"))</f>
        <v>0</v>
      </c>
      <c r="E55" s="36">
        <f>SUMIFS(Payments!$G$5:$G$404,Payments!$C$5:$C$404,TEXT(DATE(PlanYear,1,1),"yyyy-mm"))</f>
        <v>0</v>
      </c>
      <c r="F55" s="36">
        <f>SUMIFS(Expenses!$Q$5:$Q$404,Expenses!$C$5:$C$404,TEXT(DATE(PlanYear,1,1),"yyyy-mm"))</f>
        <v>0</v>
      </c>
      <c r="G55" s="36">
        <f>SUMIFS(Jobs!$AJ$5:$AJ$604,Jobs!$E$5:$E$604,TEXT(DATE(PlanYear,1,1),"yyyy-mm"),Jobs!$P$5:$P$604,"Completed")+SUMIFS(Jobs!$AJ$5:$AJ$604,Jobs!$E$5:$E$604,TEXT(DATE(PlanYear,1,1),"yyyy-mm"),Jobs!$P$5:$P$604,"Invoiced")-SUMIFS(Expenses!$Q$5:$Q$404,Expenses!$C$5:$C$404,TEXT(DATE(PlanYear,1,1),"yyyy-mm"))</f>
        <v>0</v>
      </c>
      <c r="H55" s="38">
        <f>IFERROR((SUMIFS(Jobs!$AJ$5:$AJ$604,Jobs!$E$5:$E$604,TEXT(DATE(PlanYear,1,1),"yyyy-mm"),Jobs!$P$5:$P$604,"Completed")+SUMIFS(Jobs!$AJ$5:$AJ$604,Jobs!$E$5:$E$604,TEXT(DATE(PlanYear,1,1),"yyyy-mm"),Jobs!$P$5:$P$604,"Invoiced")-SUMIFS(Expenses!$Q$5:$Q$404,Expenses!$C$5:$C$404,TEXT(DATE(PlanYear,1,1),"yyyy-mm")))/(SUMIFS(Jobs!$AJ$5:$AJ$604,Jobs!$E$5:$E$604,TEXT(DATE(PlanYear,1,1),"yyyy-mm"),Jobs!$P$5:$P$604,"Completed")+SUMIFS(Jobs!$AJ$5:$AJ$604,Jobs!$E$5:$E$604,TEXT(DATE(PlanYear,1,1),"yyyy-mm"),Jobs!$P$5:$P$604,"Invoiced")),"")</f>
        <v>0</v>
      </c>
      <c r="I55" s="31">
        <f>COUNTIFS(Clients!$J$5:$J$204,"&gt;="&amp;DATE(PlanYear,1,1),Clients!$J$5:$J$204,"&lt;"&amp;DATE(PlanYear,2,1))</f>
        <v>0</v>
      </c>
    </row>
    <row r="56" spans="1:12">
      <c r="A56" s="23">
        <f>TEXT(DATE(PlanYear,2,1),"mmm")</f>
        <v>0</v>
      </c>
      <c r="B56" s="31">
        <f>COUNTIFS(Jobs!$E$5:$E$604,TEXT(DATE(PlanYear,2,1),"yyyy-mm"),Jobs!$P$5:$P$604,"&lt;&gt;Cancelled")</f>
        <v>0</v>
      </c>
      <c r="C56" s="36">
        <f>SUMIFS(Jobs!$AJ$5:$AJ$604,Jobs!$E$5:$E$604,TEXT(DATE(PlanYear,2,1),"yyyy-mm"),Jobs!$P$5:$P$604,"Completed")+SUMIFS(Jobs!$AJ$5:$AJ$604,Jobs!$E$5:$E$604,TEXT(DATE(PlanYear,2,1),"yyyy-mm"),Jobs!$P$5:$P$604,"Invoiced")</f>
        <v>0</v>
      </c>
      <c r="D56" s="36">
        <f>SUMIFS(Invoices!$V$5:$V$404,Invoices!$C$5:$C$404,TEXT(DATE(PlanYear,2,1),"yyyy-mm"))</f>
        <v>0</v>
      </c>
      <c r="E56" s="36">
        <f>SUMIFS(Payments!$G$5:$G$404,Payments!$C$5:$C$404,TEXT(DATE(PlanYear,2,1),"yyyy-mm"))</f>
        <v>0</v>
      </c>
      <c r="F56" s="36">
        <f>SUMIFS(Expenses!$Q$5:$Q$404,Expenses!$C$5:$C$404,TEXT(DATE(PlanYear,2,1),"yyyy-mm"))</f>
        <v>0</v>
      </c>
      <c r="G56" s="36">
        <f>SUMIFS(Jobs!$AJ$5:$AJ$604,Jobs!$E$5:$E$604,TEXT(DATE(PlanYear,2,1),"yyyy-mm"),Jobs!$P$5:$P$604,"Completed")+SUMIFS(Jobs!$AJ$5:$AJ$604,Jobs!$E$5:$E$604,TEXT(DATE(PlanYear,2,1),"yyyy-mm"),Jobs!$P$5:$P$604,"Invoiced")-SUMIFS(Expenses!$Q$5:$Q$404,Expenses!$C$5:$C$404,TEXT(DATE(PlanYear,2,1),"yyyy-mm"))</f>
        <v>0</v>
      </c>
      <c r="H56" s="38">
        <f>IFERROR((SUMIFS(Jobs!$AJ$5:$AJ$604,Jobs!$E$5:$E$604,TEXT(DATE(PlanYear,2,1),"yyyy-mm"),Jobs!$P$5:$P$604,"Completed")+SUMIFS(Jobs!$AJ$5:$AJ$604,Jobs!$E$5:$E$604,TEXT(DATE(PlanYear,2,1),"yyyy-mm"),Jobs!$P$5:$P$604,"Invoiced")-SUMIFS(Expenses!$Q$5:$Q$404,Expenses!$C$5:$C$404,TEXT(DATE(PlanYear,2,1),"yyyy-mm")))/(SUMIFS(Jobs!$AJ$5:$AJ$604,Jobs!$E$5:$E$604,TEXT(DATE(PlanYear,2,1),"yyyy-mm"),Jobs!$P$5:$P$604,"Completed")+SUMIFS(Jobs!$AJ$5:$AJ$604,Jobs!$E$5:$E$604,TEXT(DATE(PlanYear,2,1),"yyyy-mm"),Jobs!$P$5:$P$604,"Invoiced")),"")</f>
        <v>0</v>
      </c>
      <c r="I56" s="31">
        <f>COUNTIFS(Clients!$J$5:$J$204,"&gt;="&amp;DATE(PlanYear,2,1),Clients!$J$5:$J$204,"&lt;"&amp;DATE(PlanYear,3,1))</f>
        <v>0</v>
      </c>
    </row>
    <row r="57" spans="1:12">
      <c r="A57" s="23">
        <f>TEXT(DATE(PlanYear,3,1),"mmm")</f>
        <v>0</v>
      </c>
      <c r="B57" s="31">
        <f>COUNTIFS(Jobs!$E$5:$E$604,TEXT(DATE(PlanYear,3,1),"yyyy-mm"),Jobs!$P$5:$P$604,"&lt;&gt;Cancelled")</f>
        <v>0</v>
      </c>
      <c r="C57" s="36">
        <f>SUMIFS(Jobs!$AJ$5:$AJ$604,Jobs!$E$5:$E$604,TEXT(DATE(PlanYear,3,1),"yyyy-mm"),Jobs!$P$5:$P$604,"Completed")+SUMIFS(Jobs!$AJ$5:$AJ$604,Jobs!$E$5:$E$604,TEXT(DATE(PlanYear,3,1),"yyyy-mm"),Jobs!$P$5:$P$604,"Invoiced")</f>
        <v>0</v>
      </c>
      <c r="D57" s="36">
        <f>SUMIFS(Invoices!$V$5:$V$404,Invoices!$C$5:$C$404,TEXT(DATE(PlanYear,3,1),"yyyy-mm"))</f>
        <v>0</v>
      </c>
      <c r="E57" s="36">
        <f>SUMIFS(Payments!$G$5:$G$404,Payments!$C$5:$C$404,TEXT(DATE(PlanYear,3,1),"yyyy-mm"))</f>
        <v>0</v>
      </c>
      <c r="F57" s="36">
        <f>SUMIFS(Expenses!$Q$5:$Q$404,Expenses!$C$5:$C$404,TEXT(DATE(PlanYear,3,1),"yyyy-mm"))</f>
        <v>0</v>
      </c>
      <c r="G57" s="36">
        <f>SUMIFS(Jobs!$AJ$5:$AJ$604,Jobs!$E$5:$E$604,TEXT(DATE(PlanYear,3,1),"yyyy-mm"),Jobs!$P$5:$P$604,"Completed")+SUMIFS(Jobs!$AJ$5:$AJ$604,Jobs!$E$5:$E$604,TEXT(DATE(PlanYear,3,1),"yyyy-mm"),Jobs!$P$5:$P$604,"Invoiced")-SUMIFS(Expenses!$Q$5:$Q$404,Expenses!$C$5:$C$404,TEXT(DATE(PlanYear,3,1),"yyyy-mm"))</f>
        <v>0</v>
      </c>
      <c r="H57" s="38">
        <f>IFERROR((SUMIFS(Jobs!$AJ$5:$AJ$604,Jobs!$E$5:$E$604,TEXT(DATE(PlanYear,3,1),"yyyy-mm"),Jobs!$P$5:$P$604,"Completed")+SUMIFS(Jobs!$AJ$5:$AJ$604,Jobs!$E$5:$E$604,TEXT(DATE(PlanYear,3,1),"yyyy-mm"),Jobs!$P$5:$P$604,"Invoiced")-SUMIFS(Expenses!$Q$5:$Q$404,Expenses!$C$5:$C$404,TEXT(DATE(PlanYear,3,1),"yyyy-mm")))/(SUMIFS(Jobs!$AJ$5:$AJ$604,Jobs!$E$5:$E$604,TEXT(DATE(PlanYear,3,1),"yyyy-mm"),Jobs!$P$5:$P$604,"Completed")+SUMIFS(Jobs!$AJ$5:$AJ$604,Jobs!$E$5:$E$604,TEXT(DATE(PlanYear,3,1),"yyyy-mm"),Jobs!$P$5:$P$604,"Invoiced")),"")</f>
        <v>0</v>
      </c>
      <c r="I57" s="31">
        <f>COUNTIFS(Clients!$J$5:$J$204,"&gt;="&amp;DATE(PlanYear,3,1),Clients!$J$5:$J$204,"&lt;"&amp;DATE(PlanYear,4,1))</f>
        <v>0</v>
      </c>
    </row>
    <row r="58" spans="1:12">
      <c r="A58" s="23">
        <f>TEXT(DATE(PlanYear,4,1),"mmm")</f>
        <v>0</v>
      </c>
      <c r="B58" s="31">
        <f>COUNTIFS(Jobs!$E$5:$E$604,TEXT(DATE(PlanYear,4,1),"yyyy-mm"),Jobs!$P$5:$P$604,"&lt;&gt;Cancelled")</f>
        <v>0</v>
      </c>
      <c r="C58" s="36">
        <f>SUMIFS(Jobs!$AJ$5:$AJ$604,Jobs!$E$5:$E$604,TEXT(DATE(PlanYear,4,1),"yyyy-mm"),Jobs!$P$5:$P$604,"Completed")+SUMIFS(Jobs!$AJ$5:$AJ$604,Jobs!$E$5:$E$604,TEXT(DATE(PlanYear,4,1),"yyyy-mm"),Jobs!$P$5:$P$604,"Invoiced")</f>
        <v>0</v>
      </c>
      <c r="D58" s="36">
        <f>SUMIFS(Invoices!$V$5:$V$404,Invoices!$C$5:$C$404,TEXT(DATE(PlanYear,4,1),"yyyy-mm"))</f>
        <v>0</v>
      </c>
      <c r="E58" s="36">
        <f>SUMIFS(Payments!$G$5:$G$404,Payments!$C$5:$C$404,TEXT(DATE(PlanYear,4,1),"yyyy-mm"))</f>
        <v>0</v>
      </c>
      <c r="F58" s="36">
        <f>SUMIFS(Expenses!$Q$5:$Q$404,Expenses!$C$5:$C$404,TEXT(DATE(PlanYear,4,1),"yyyy-mm"))</f>
        <v>0</v>
      </c>
      <c r="G58" s="36">
        <f>SUMIFS(Jobs!$AJ$5:$AJ$604,Jobs!$E$5:$E$604,TEXT(DATE(PlanYear,4,1),"yyyy-mm"),Jobs!$P$5:$P$604,"Completed")+SUMIFS(Jobs!$AJ$5:$AJ$604,Jobs!$E$5:$E$604,TEXT(DATE(PlanYear,4,1),"yyyy-mm"),Jobs!$P$5:$P$604,"Invoiced")-SUMIFS(Expenses!$Q$5:$Q$404,Expenses!$C$5:$C$404,TEXT(DATE(PlanYear,4,1),"yyyy-mm"))</f>
        <v>0</v>
      </c>
      <c r="H58" s="38">
        <f>IFERROR((SUMIFS(Jobs!$AJ$5:$AJ$604,Jobs!$E$5:$E$604,TEXT(DATE(PlanYear,4,1),"yyyy-mm"),Jobs!$P$5:$P$604,"Completed")+SUMIFS(Jobs!$AJ$5:$AJ$604,Jobs!$E$5:$E$604,TEXT(DATE(PlanYear,4,1),"yyyy-mm"),Jobs!$P$5:$P$604,"Invoiced")-SUMIFS(Expenses!$Q$5:$Q$404,Expenses!$C$5:$C$404,TEXT(DATE(PlanYear,4,1),"yyyy-mm")))/(SUMIFS(Jobs!$AJ$5:$AJ$604,Jobs!$E$5:$E$604,TEXT(DATE(PlanYear,4,1),"yyyy-mm"),Jobs!$P$5:$P$604,"Completed")+SUMIFS(Jobs!$AJ$5:$AJ$604,Jobs!$E$5:$E$604,TEXT(DATE(PlanYear,4,1),"yyyy-mm"),Jobs!$P$5:$P$604,"Invoiced")),"")</f>
        <v>0</v>
      </c>
      <c r="I58" s="31">
        <f>COUNTIFS(Clients!$J$5:$J$204,"&gt;="&amp;DATE(PlanYear,4,1),Clients!$J$5:$J$204,"&lt;"&amp;DATE(PlanYear,5,1))</f>
        <v>0</v>
      </c>
    </row>
    <row r="59" spans="1:12">
      <c r="A59" s="23">
        <f>TEXT(DATE(PlanYear,5,1),"mmm")</f>
        <v>0</v>
      </c>
      <c r="B59" s="31">
        <f>COUNTIFS(Jobs!$E$5:$E$604,TEXT(DATE(PlanYear,5,1),"yyyy-mm"),Jobs!$P$5:$P$604,"&lt;&gt;Cancelled")</f>
        <v>0</v>
      </c>
      <c r="C59" s="36">
        <f>SUMIFS(Jobs!$AJ$5:$AJ$604,Jobs!$E$5:$E$604,TEXT(DATE(PlanYear,5,1),"yyyy-mm"),Jobs!$P$5:$P$604,"Completed")+SUMIFS(Jobs!$AJ$5:$AJ$604,Jobs!$E$5:$E$604,TEXT(DATE(PlanYear,5,1),"yyyy-mm"),Jobs!$P$5:$P$604,"Invoiced")</f>
        <v>0</v>
      </c>
      <c r="D59" s="36">
        <f>SUMIFS(Invoices!$V$5:$V$404,Invoices!$C$5:$C$404,TEXT(DATE(PlanYear,5,1),"yyyy-mm"))</f>
        <v>0</v>
      </c>
      <c r="E59" s="36">
        <f>SUMIFS(Payments!$G$5:$G$404,Payments!$C$5:$C$404,TEXT(DATE(PlanYear,5,1),"yyyy-mm"))</f>
        <v>0</v>
      </c>
      <c r="F59" s="36">
        <f>SUMIFS(Expenses!$Q$5:$Q$404,Expenses!$C$5:$C$404,TEXT(DATE(PlanYear,5,1),"yyyy-mm"))</f>
        <v>0</v>
      </c>
      <c r="G59" s="36">
        <f>SUMIFS(Jobs!$AJ$5:$AJ$604,Jobs!$E$5:$E$604,TEXT(DATE(PlanYear,5,1),"yyyy-mm"),Jobs!$P$5:$P$604,"Completed")+SUMIFS(Jobs!$AJ$5:$AJ$604,Jobs!$E$5:$E$604,TEXT(DATE(PlanYear,5,1),"yyyy-mm"),Jobs!$P$5:$P$604,"Invoiced")-SUMIFS(Expenses!$Q$5:$Q$404,Expenses!$C$5:$C$404,TEXT(DATE(PlanYear,5,1),"yyyy-mm"))</f>
        <v>0</v>
      </c>
      <c r="H59" s="38">
        <f>IFERROR((SUMIFS(Jobs!$AJ$5:$AJ$604,Jobs!$E$5:$E$604,TEXT(DATE(PlanYear,5,1),"yyyy-mm"),Jobs!$P$5:$P$604,"Completed")+SUMIFS(Jobs!$AJ$5:$AJ$604,Jobs!$E$5:$E$604,TEXT(DATE(PlanYear,5,1),"yyyy-mm"),Jobs!$P$5:$P$604,"Invoiced")-SUMIFS(Expenses!$Q$5:$Q$404,Expenses!$C$5:$C$404,TEXT(DATE(PlanYear,5,1),"yyyy-mm")))/(SUMIFS(Jobs!$AJ$5:$AJ$604,Jobs!$E$5:$E$604,TEXT(DATE(PlanYear,5,1),"yyyy-mm"),Jobs!$P$5:$P$604,"Completed")+SUMIFS(Jobs!$AJ$5:$AJ$604,Jobs!$E$5:$E$604,TEXT(DATE(PlanYear,5,1),"yyyy-mm"),Jobs!$P$5:$P$604,"Invoiced")),"")</f>
        <v>0</v>
      </c>
      <c r="I59" s="31">
        <f>COUNTIFS(Clients!$J$5:$J$204,"&gt;="&amp;DATE(PlanYear,5,1),Clients!$J$5:$J$204,"&lt;"&amp;DATE(PlanYear,6,1))</f>
        <v>0</v>
      </c>
    </row>
    <row r="60" spans="1:12">
      <c r="A60" s="23">
        <f>TEXT(DATE(PlanYear,6,1),"mmm")</f>
        <v>0</v>
      </c>
      <c r="B60" s="31">
        <f>COUNTIFS(Jobs!$E$5:$E$604,TEXT(DATE(PlanYear,6,1),"yyyy-mm"),Jobs!$P$5:$P$604,"&lt;&gt;Cancelled")</f>
        <v>0</v>
      </c>
      <c r="C60" s="36">
        <f>SUMIFS(Jobs!$AJ$5:$AJ$604,Jobs!$E$5:$E$604,TEXT(DATE(PlanYear,6,1),"yyyy-mm"),Jobs!$P$5:$P$604,"Completed")+SUMIFS(Jobs!$AJ$5:$AJ$604,Jobs!$E$5:$E$604,TEXT(DATE(PlanYear,6,1),"yyyy-mm"),Jobs!$P$5:$P$604,"Invoiced")</f>
        <v>0</v>
      </c>
      <c r="D60" s="36">
        <f>SUMIFS(Invoices!$V$5:$V$404,Invoices!$C$5:$C$404,TEXT(DATE(PlanYear,6,1),"yyyy-mm"))</f>
        <v>0</v>
      </c>
      <c r="E60" s="36">
        <f>SUMIFS(Payments!$G$5:$G$404,Payments!$C$5:$C$404,TEXT(DATE(PlanYear,6,1),"yyyy-mm"))</f>
        <v>0</v>
      </c>
      <c r="F60" s="36">
        <f>SUMIFS(Expenses!$Q$5:$Q$404,Expenses!$C$5:$C$404,TEXT(DATE(PlanYear,6,1),"yyyy-mm"))</f>
        <v>0</v>
      </c>
      <c r="G60" s="36">
        <f>SUMIFS(Jobs!$AJ$5:$AJ$604,Jobs!$E$5:$E$604,TEXT(DATE(PlanYear,6,1),"yyyy-mm"),Jobs!$P$5:$P$604,"Completed")+SUMIFS(Jobs!$AJ$5:$AJ$604,Jobs!$E$5:$E$604,TEXT(DATE(PlanYear,6,1),"yyyy-mm"),Jobs!$P$5:$P$604,"Invoiced")-SUMIFS(Expenses!$Q$5:$Q$404,Expenses!$C$5:$C$404,TEXT(DATE(PlanYear,6,1),"yyyy-mm"))</f>
        <v>0</v>
      </c>
      <c r="H60" s="38">
        <f>IFERROR((SUMIFS(Jobs!$AJ$5:$AJ$604,Jobs!$E$5:$E$604,TEXT(DATE(PlanYear,6,1),"yyyy-mm"),Jobs!$P$5:$P$604,"Completed")+SUMIFS(Jobs!$AJ$5:$AJ$604,Jobs!$E$5:$E$604,TEXT(DATE(PlanYear,6,1),"yyyy-mm"),Jobs!$P$5:$P$604,"Invoiced")-SUMIFS(Expenses!$Q$5:$Q$404,Expenses!$C$5:$C$404,TEXT(DATE(PlanYear,6,1),"yyyy-mm")))/(SUMIFS(Jobs!$AJ$5:$AJ$604,Jobs!$E$5:$E$604,TEXT(DATE(PlanYear,6,1),"yyyy-mm"),Jobs!$P$5:$P$604,"Completed")+SUMIFS(Jobs!$AJ$5:$AJ$604,Jobs!$E$5:$E$604,TEXT(DATE(PlanYear,6,1),"yyyy-mm"),Jobs!$P$5:$P$604,"Invoiced")),"")</f>
        <v>0</v>
      </c>
      <c r="I60" s="31">
        <f>COUNTIFS(Clients!$J$5:$J$204,"&gt;="&amp;DATE(PlanYear,6,1),Clients!$J$5:$J$204,"&lt;"&amp;DATE(PlanYear,7,1))</f>
        <v>0</v>
      </c>
    </row>
    <row r="61" spans="1:12">
      <c r="A61" s="23">
        <f>TEXT(DATE(PlanYear,7,1),"mmm")</f>
        <v>0</v>
      </c>
      <c r="B61" s="31">
        <f>COUNTIFS(Jobs!$E$5:$E$604,TEXT(DATE(PlanYear,7,1),"yyyy-mm"),Jobs!$P$5:$P$604,"&lt;&gt;Cancelled")</f>
        <v>0</v>
      </c>
      <c r="C61" s="36">
        <f>SUMIFS(Jobs!$AJ$5:$AJ$604,Jobs!$E$5:$E$604,TEXT(DATE(PlanYear,7,1),"yyyy-mm"),Jobs!$P$5:$P$604,"Completed")+SUMIFS(Jobs!$AJ$5:$AJ$604,Jobs!$E$5:$E$604,TEXT(DATE(PlanYear,7,1),"yyyy-mm"),Jobs!$P$5:$P$604,"Invoiced")</f>
        <v>0</v>
      </c>
      <c r="D61" s="36">
        <f>SUMIFS(Invoices!$V$5:$V$404,Invoices!$C$5:$C$404,TEXT(DATE(PlanYear,7,1),"yyyy-mm"))</f>
        <v>0</v>
      </c>
      <c r="E61" s="36">
        <f>SUMIFS(Payments!$G$5:$G$404,Payments!$C$5:$C$404,TEXT(DATE(PlanYear,7,1),"yyyy-mm"))</f>
        <v>0</v>
      </c>
      <c r="F61" s="36">
        <f>SUMIFS(Expenses!$Q$5:$Q$404,Expenses!$C$5:$C$404,TEXT(DATE(PlanYear,7,1),"yyyy-mm"))</f>
        <v>0</v>
      </c>
      <c r="G61" s="36">
        <f>SUMIFS(Jobs!$AJ$5:$AJ$604,Jobs!$E$5:$E$604,TEXT(DATE(PlanYear,7,1),"yyyy-mm"),Jobs!$P$5:$P$604,"Completed")+SUMIFS(Jobs!$AJ$5:$AJ$604,Jobs!$E$5:$E$604,TEXT(DATE(PlanYear,7,1),"yyyy-mm"),Jobs!$P$5:$P$604,"Invoiced")-SUMIFS(Expenses!$Q$5:$Q$404,Expenses!$C$5:$C$404,TEXT(DATE(PlanYear,7,1),"yyyy-mm"))</f>
        <v>0</v>
      </c>
      <c r="H61" s="38">
        <f>IFERROR((SUMIFS(Jobs!$AJ$5:$AJ$604,Jobs!$E$5:$E$604,TEXT(DATE(PlanYear,7,1),"yyyy-mm"),Jobs!$P$5:$P$604,"Completed")+SUMIFS(Jobs!$AJ$5:$AJ$604,Jobs!$E$5:$E$604,TEXT(DATE(PlanYear,7,1),"yyyy-mm"),Jobs!$P$5:$P$604,"Invoiced")-SUMIFS(Expenses!$Q$5:$Q$404,Expenses!$C$5:$C$404,TEXT(DATE(PlanYear,7,1),"yyyy-mm")))/(SUMIFS(Jobs!$AJ$5:$AJ$604,Jobs!$E$5:$E$604,TEXT(DATE(PlanYear,7,1),"yyyy-mm"),Jobs!$P$5:$P$604,"Completed")+SUMIFS(Jobs!$AJ$5:$AJ$604,Jobs!$E$5:$E$604,TEXT(DATE(PlanYear,7,1),"yyyy-mm"),Jobs!$P$5:$P$604,"Invoiced")),"")</f>
        <v>0</v>
      </c>
      <c r="I61" s="31">
        <f>COUNTIFS(Clients!$J$5:$J$204,"&gt;="&amp;DATE(PlanYear,7,1),Clients!$J$5:$J$204,"&lt;"&amp;DATE(PlanYear,8,1))</f>
        <v>0</v>
      </c>
    </row>
    <row r="62" spans="1:12">
      <c r="A62" s="23">
        <f>TEXT(DATE(PlanYear,8,1),"mmm")</f>
        <v>0</v>
      </c>
      <c r="B62" s="31">
        <f>COUNTIFS(Jobs!$E$5:$E$604,TEXT(DATE(PlanYear,8,1),"yyyy-mm"),Jobs!$P$5:$P$604,"&lt;&gt;Cancelled")</f>
        <v>0</v>
      </c>
      <c r="C62" s="36">
        <f>SUMIFS(Jobs!$AJ$5:$AJ$604,Jobs!$E$5:$E$604,TEXT(DATE(PlanYear,8,1),"yyyy-mm"),Jobs!$P$5:$P$604,"Completed")+SUMIFS(Jobs!$AJ$5:$AJ$604,Jobs!$E$5:$E$604,TEXT(DATE(PlanYear,8,1),"yyyy-mm"),Jobs!$P$5:$P$604,"Invoiced")</f>
        <v>0</v>
      </c>
      <c r="D62" s="36">
        <f>SUMIFS(Invoices!$V$5:$V$404,Invoices!$C$5:$C$404,TEXT(DATE(PlanYear,8,1),"yyyy-mm"))</f>
        <v>0</v>
      </c>
      <c r="E62" s="36">
        <f>SUMIFS(Payments!$G$5:$G$404,Payments!$C$5:$C$404,TEXT(DATE(PlanYear,8,1),"yyyy-mm"))</f>
        <v>0</v>
      </c>
      <c r="F62" s="36">
        <f>SUMIFS(Expenses!$Q$5:$Q$404,Expenses!$C$5:$C$404,TEXT(DATE(PlanYear,8,1),"yyyy-mm"))</f>
        <v>0</v>
      </c>
      <c r="G62" s="36">
        <f>SUMIFS(Jobs!$AJ$5:$AJ$604,Jobs!$E$5:$E$604,TEXT(DATE(PlanYear,8,1),"yyyy-mm"),Jobs!$P$5:$P$604,"Completed")+SUMIFS(Jobs!$AJ$5:$AJ$604,Jobs!$E$5:$E$604,TEXT(DATE(PlanYear,8,1),"yyyy-mm"),Jobs!$P$5:$P$604,"Invoiced")-SUMIFS(Expenses!$Q$5:$Q$404,Expenses!$C$5:$C$404,TEXT(DATE(PlanYear,8,1),"yyyy-mm"))</f>
        <v>0</v>
      </c>
      <c r="H62" s="38">
        <f>IFERROR((SUMIFS(Jobs!$AJ$5:$AJ$604,Jobs!$E$5:$E$604,TEXT(DATE(PlanYear,8,1),"yyyy-mm"),Jobs!$P$5:$P$604,"Completed")+SUMIFS(Jobs!$AJ$5:$AJ$604,Jobs!$E$5:$E$604,TEXT(DATE(PlanYear,8,1),"yyyy-mm"),Jobs!$P$5:$P$604,"Invoiced")-SUMIFS(Expenses!$Q$5:$Q$404,Expenses!$C$5:$C$404,TEXT(DATE(PlanYear,8,1),"yyyy-mm")))/(SUMIFS(Jobs!$AJ$5:$AJ$604,Jobs!$E$5:$E$604,TEXT(DATE(PlanYear,8,1),"yyyy-mm"),Jobs!$P$5:$P$604,"Completed")+SUMIFS(Jobs!$AJ$5:$AJ$604,Jobs!$E$5:$E$604,TEXT(DATE(PlanYear,8,1),"yyyy-mm"),Jobs!$P$5:$P$604,"Invoiced")),"")</f>
        <v>0</v>
      </c>
      <c r="I62" s="31">
        <f>COUNTIFS(Clients!$J$5:$J$204,"&gt;="&amp;DATE(PlanYear,8,1),Clients!$J$5:$J$204,"&lt;"&amp;DATE(PlanYear,9,1))</f>
        <v>0</v>
      </c>
    </row>
    <row r="63" spans="1:12">
      <c r="A63" s="23">
        <f>TEXT(DATE(PlanYear,9,1),"mmm")</f>
        <v>0</v>
      </c>
      <c r="B63" s="31">
        <f>COUNTIFS(Jobs!$E$5:$E$604,TEXT(DATE(PlanYear,9,1),"yyyy-mm"),Jobs!$P$5:$P$604,"&lt;&gt;Cancelled")</f>
        <v>0</v>
      </c>
      <c r="C63" s="36">
        <f>SUMIFS(Jobs!$AJ$5:$AJ$604,Jobs!$E$5:$E$604,TEXT(DATE(PlanYear,9,1),"yyyy-mm"),Jobs!$P$5:$P$604,"Completed")+SUMIFS(Jobs!$AJ$5:$AJ$604,Jobs!$E$5:$E$604,TEXT(DATE(PlanYear,9,1),"yyyy-mm"),Jobs!$P$5:$P$604,"Invoiced")</f>
        <v>0</v>
      </c>
      <c r="D63" s="36">
        <f>SUMIFS(Invoices!$V$5:$V$404,Invoices!$C$5:$C$404,TEXT(DATE(PlanYear,9,1),"yyyy-mm"))</f>
        <v>0</v>
      </c>
      <c r="E63" s="36">
        <f>SUMIFS(Payments!$G$5:$G$404,Payments!$C$5:$C$404,TEXT(DATE(PlanYear,9,1),"yyyy-mm"))</f>
        <v>0</v>
      </c>
      <c r="F63" s="36">
        <f>SUMIFS(Expenses!$Q$5:$Q$404,Expenses!$C$5:$C$404,TEXT(DATE(PlanYear,9,1),"yyyy-mm"))</f>
        <v>0</v>
      </c>
      <c r="G63" s="36">
        <f>SUMIFS(Jobs!$AJ$5:$AJ$604,Jobs!$E$5:$E$604,TEXT(DATE(PlanYear,9,1),"yyyy-mm"),Jobs!$P$5:$P$604,"Completed")+SUMIFS(Jobs!$AJ$5:$AJ$604,Jobs!$E$5:$E$604,TEXT(DATE(PlanYear,9,1),"yyyy-mm"),Jobs!$P$5:$P$604,"Invoiced")-SUMIFS(Expenses!$Q$5:$Q$404,Expenses!$C$5:$C$404,TEXT(DATE(PlanYear,9,1),"yyyy-mm"))</f>
        <v>0</v>
      </c>
      <c r="H63" s="38">
        <f>IFERROR((SUMIFS(Jobs!$AJ$5:$AJ$604,Jobs!$E$5:$E$604,TEXT(DATE(PlanYear,9,1),"yyyy-mm"),Jobs!$P$5:$P$604,"Completed")+SUMIFS(Jobs!$AJ$5:$AJ$604,Jobs!$E$5:$E$604,TEXT(DATE(PlanYear,9,1),"yyyy-mm"),Jobs!$P$5:$P$604,"Invoiced")-SUMIFS(Expenses!$Q$5:$Q$404,Expenses!$C$5:$C$404,TEXT(DATE(PlanYear,9,1),"yyyy-mm")))/(SUMIFS(Jobs!$AJ$5:$AJ$604,Jobs!$E$5:$E$604,TEXT(DATE(PlanYear,9,1),"yyyy-mm"),Jobs!$P$5:$P$604,"Completed")+SUMIFS(Jobs!$AJ$5:$AJ$604,Jobs!$E$5:$E$604,TEXT(DATE(PlanYear,9,1),"yyyy-mm"),Jobs!$P$5:$P$604,"Invoiced")),"")</f>
        <v>0</v>
      </c>
      <c r="I63" s="31">
        <f>COUNTIFS(Clients!$J$5:$J$204,"&gt;="&amp;DATE(PlanYear,9,1),Clients!$J$5:$J$204,"&lt;"&amp;DATE(PlanYear,10,1))</f>
        <v>0</v>
      </c>
    </row>
    <row r="64" spans="1:12">
      <c r="A64" s="23">
        <f>TEXT(DATE(PlanYear,10,1),"mmm")</f>
        <v>0</v>
      </c>
      <c r="B64" s="31">
        <f>COUNTIFS(Jobs!$E$5:$E$604,TEXT(DATE(PlanYear,10,1),"yyyy-mm"),Jobs!$P$5:$P$604,"&lt;&gt;Cancelled")</f>
        <v>0</v>
      </c>
      <c r="C64" s="36">
        <f>SUMIFS(Jobs!$AJ$5:$AJ$604,Jobs!$E$5:$E$604,TEXT(DATE(PlanYear,10,1),"yyyy-mm"),Jobs!$P$5:$P$604,"Completed")+SUMIFS(Jobs!$AJ$5:$AJ$604,Jobs!$E$5:$E$604,TEXT(DATE(PlanYear,10,1),"yyyy-mm"),Jobs!$P$5:$P$604,"Invoiced")</f>
        <v>0</v>
      </c>
      <c r="D64" s="36">
        <f>SUMIFS(Invoices!$V$5:$V$404,Invoices!$C$5:$C$404,TEXT(DATE(PlanYear,10,1),"yyyy-mm"))</f>
        <v>0</v>
      </c>
      <c r="E64" s="36">
        <f>SUMIFS(Payments!$G$5:$G$404,Payments!$C$5:$C$404,TEXT(DATE(PlanYear,10,1),"yyyy-mm"))</f>
        <v>0</v>
      </c>
      <c r="F64" s="36">
        <f>SUMIFS(Expenses!$Q$5:$Q$404,Expenses!$C$5:$C$404,TEXT(DATE(PlanYear,10,1),"yyyy-mm"))</f>
        <v>0</v>
      </c>
      <c r="G64" s="36">
        <f>SUMIFS(Jobs!$AJ$5:$AJ$604,Jobs!$E$5:$E$604,TEXT(DATE(PlanYear,10,1),"yyyy-mm"),Jobs!$P$5:$P$604,"Completed")+SUMIFS(Jobs!$AJ$5:$AJ$604,Jobs!$E$5:$E$604,TEXT(DATE(PlanYear,10,1),"yyyy-mm"),Jobs!$P$5:$P$604,"Invoiced")-SUMIFS(Expenses!$Q$5:$Q$404,Expenses!$C$5:$C$404,TEXT(DATE(PlanYear,10,1),"yyyy-mm"))</f>
        <v>0</v>
      </c>
      <c r="H64" s="38">
        <f>IFERROR((SUMIFS(Jobs!$AJ$5:$AJ$604,Jobs!$E$5:$E$604,TEXT(DATE(PlanYear,10,1),"yyyy-mm"),Jobs!$P$5:$P$604,"Completed")+SUMIFS(Jobs!$AJ$5:$AJ$604,Jobs!$E$5:$E$604,TEXT(DATE(PlanYear,10,1),"yyyy-mm"),Jobs!$P$5:$P$604,"Invoiced")-SUMIFS(Expenses!$Q$5:$Q$404,Expenses!$C$5:$C$404,TEXT(DATE(PlanYear,10,1),"yyyy-mm")))/(SUMIFS(Jobs!$AJ$5:$AJ$604,Jobs!$E$5:$E$604,TEXT(DATE(PlanYear,10,1),"yyyy-mm"),Jobs!$P$5:$P$604,"Completed")+SUMIFS(Jobs!$AJ$5:$AJ$604,Jobs!$E$5:$E$604,TEXT(DATE(PlanYear,10,1),"yyyy-mm"),Jobs!$P$5:$P$604,"Invoiced")),"")</f>
        <v>0</v>
      </c>
      <c r="I64" s="31">
        <f>COUNTIFS(Clients!$J$5:$J$204,"&gt;="&amp;DATE(PlanYear,10,1),Clients!$J$5:$J$204,"&lt;"&amp;DATE(PlanYear,11,1))</f>
        <v>0</v>
      </c>
    </row>
    <row r="65" spans="1:12">
      <c r="A65" s="23">
        <f>TEXT(DATE(PlanYear,11,1),"mmm")</f>
        <v>0</v>
      </c>
      <c r="B65" s="31">
        <f>COUNTIFS(Jobs!$E$5:$E$604,TEXT(DATE(PlanYear,11,1),"yyyy-mm"),Jobs!$P$5:$P$604,"&lt;&gt;Cancelled")</f>
        <v>0</v>
      </c>
      <c r="C65" s="36">
        <f>SUMIFS(Jobs!$AJ$5:$AJ$604,Jobs!$E$5:$E$604,TEXT(DATE(PlanYear,11,1),"yyyy-mm"),Jobs!$P$5:$P$604,"Completed")+SUMIFS(Jobs!$AJ$5:$AJ$604,Jobs!$E$5:$E$604,TEXT(DATE(PlanYear,11,1),"yyyy-mm"),Jobs!$P$5:$P$604,"Invoiced")</f>
        <v>0</v>
      </c>
      <c r="D65" s="36">
        <f>SUMIFS(Invoices!$V$5:$V$404,Invoices!$C$5:$C$404,TEXT(DATE(PlanYear,11,1),"yyyy-mm"))</f>
        <v>0</v>
      </c>
      <c r="E65" s="36">
        <f>SUMIFS(Payments!$G$5:$G$404,Payments!$C$5:$C$404,TEXT(DATE(PlanYear,11,1),"yyyy-mm"))</f>
        <v>0</v>
      </c>
      <c r="F65" s="36">
        <f>SUMIFS(Expenses!$Q$5:$Q$404,Expenses!$C$5:$C$404,TEXT(DATE(PlanYear,11,1),"yyyy-mm"))</f>
        <v>0</v>
      </c>
      <c r="G65" s="36">
        <f>SUMIFS(Jobs!$AJ$5:$AJ$604,Jobs!$E$5:$E$604,TEXT(DATE(PlanYear,11,1),"yyyy-mm"),Jobs!$P$5:$P$604,"Completed")+SUMIFS(Jobs!$AJ$5:$AJ$604,Jobs!$E$5:$E$604,TEXT(DATE(PlanYear,11,1),"yyyy-mm"),Jobs!$P$5:$P$604,"Invoiced")-SUMIFS(Expenses!$Q$5:$Q$404,Expenses!$C$5:$C$404,TEXT(DATE(PlanYear,11,1),"yyyy-mm"))</f>
        <v>0</v>
      </c>
      <c r="H65" s="38">
        <f>IFERROR((SUMIFS(Jobs!$AJ$5:$AJ$604,Jobs!$E$5:$E$604,TEXT(DATE(PlanYear,11,1),"yyyy-mm"),Jobs!$P$5:$P$604,"Completed")+SUMIFS(Jobs!$AJ$5:$AJ$604,Jobs!$E$5:$E$604,TEXT(DATE(PlanYear,11,1),"yyyy-mm"),Jobs!$P$5:$P$604,"Invoiced")-SUMIFS(Expenses!$Q$5:$Q$404,Expenses!$C$5:$C$404,TEXT(DATE(PlanYear,11,1),"yyyy-mm")))/(SUMIFS(Jobs!$AJ$5:$AJ$604,Jobs!$E$5:$E$604,TEXT(DATE(PlanYear,11,1),"yyyy-mm"),Jobs!$P$5:$P$604,"Completed")+SUMIFS(Jobs!$AJ$5:$AJ$604,Jobs!$E$5:$E$604,TEXT(DATE(PlanYear,11,1),"yyyy-mm"),Jobs!$P$5:$P$604,"Invoiced")),"")</f>
        <v>0</v>
      </c>
      <c r="I65" s="31">
        <f>COUNTIFS(Clients!$J$5:$J$204,"&gt;="&amp;DATE(PlanYear,11,1),Clients!$J$5:$J$204,"&lt;"&amp;DATE(PlanYear,12,1))</f>
        <v>0</v>
      </c>
    </row>
    <row r="66" spans="1:12">
      <c r="A66" s="23">
        <f>TEXT(DATE(PlanYear,12,1),"mmm")</f>
        <v>0</v>
      </c>
      <c r="B66" s="31">
        <f>COUNTIFS(Jobs!$E$5:$E$604,TEXT(DATE(PlanYear,12,1),"yyyy-mm"),Jobs!$P$5:$P$604,"&lt;&gt;Cancelled")</f>
        <v>0</v>
      </c>
      <c r="C66" s="36">
        <f>SUMIFS(Jobs!$AJ$5:$AJ$604,Jobs!$E$5:$E$604,TEXT(DATE(PlanYear,12,1),"yyyy-mm"),Jobs!$P$5:$P$604,"Completed")+SUMIFS(Jobs!$AJ$5:$AJ$604,Jobs!$E$5:$E$604,TEXT(DATE(PlanYear,12,1),"yyyy-mm"),Jobs!$P$5:$P$604,"Invoiced")</f>
        <v>0</v>
      </c>
      <c r="D66" s="36">
        <f>SUMIFS(Invoices!$V$5:$V$404,Invoices!$C$5:$C$404,TEXT(DATE(PlanYear,12,1),"yyyy-mm"))</f>
        <v>0</v>
      </c>
      <c r="E66" s="36">
        <f>SUMIFS(Payments!$G$5:$G$404,Payments!$C$5:$C$404,TEXT(DATE(PlanYear,12,1),"yyyy-mm"))</f>
        <v>0</v>
      </c>
      <c r="F66" s="36">
        <f>SUMIFS(Expenses!$Q$5:$Q$404,Expenses!$C$5:$C$404,TEXT(DATE(PlanYear,12,1),"yyyy-mm"))</f>
        <v>0</v>
      </c>
      <c r="G66" s="36">
        <f>SUMIFS(Jobs!$AJ$5:$AJ$604,Jobs!$E$5:$E$604,TEXT(DATE(PlanYear,12,1),"yyyy-mm"),Jobs!$P$5:$P$604,"Completed")+SUMIFS(Jobs!$AJ$5:$AJ$604,Jobs!$E$5:$E$604,TEXT(DATE(PlanYear,12,1),"yyyy-mm"),Jobs!$P$5:$P$604,"Invoiced")-SUMIFS(Expenses!$Q$5:$Q$404,Expenses!$C$5:$C$404,TEXT(DATE(PlanYear,12,1),"yyyy-mm"))</f>
        <v>0</v>
      </c>
      <c r="H66" s="38">
        <f>IFERROR((SUMIFS(Jobs!$AJ$5:$AJ$604,Jobs!$E$5:$E$604,TEXT(DATE(PlanYear,12,1),"yyyy-mm"),Jobs!$P$5:$P$604,"Completed")+SUMIFS(Jobs!$AJ$5:$AJ$604,Jobs!$E$5:$E$604,TEXT(DATE(PlanYear,12,1),"yyyy-mm"),Jobs!$P$5:$P$604,"Invoiced")-SUMIFS(Expenses!$Q$5:$Q$404,Expenses!$C$5:$C$404,TEXT(DATE(PlanYear,12,1),"yyyy-mm")))/(SUMIFS(Jobs!$AJ$5:$AJ$604,Jobs!$E$5:$E$604,TEXT(DATE(PlanYear,12,1),"yyyy-mm"),Jobs!$P$5:$P$604,"Completed")+SUMIFS(Jobs!$AJ$5:$AJ$604,Jobs!$E$5:$E$604,TEXT(DATE(PlanYear,12,1),"yyyy-mm"),Jobs!$P$5:$P$604,"Invoiced")),"")</f>
        <v>0</v>
      </c>
      <c r="I66" s="31">
        <f>COUNTIFS(Clients!$J$5:$J$204,"&gt;="&amp;DATE(PlanYear,12,1),Clients!$J$5:$J$204,"&lt;"&amp;DATE(PlanYear,13,1))</f>
        <v>0</v>
      </c>
    </row>
    <row r="68" spans="1:12">
      <c r="A68" s="12" t="s">
        <v>418</v>
      </c>
      <c r="B68" s="12"/>
      <c r="C68" s="12"/>
      <c r="D68" s="12"/>
      <c r="E68" s="12"/>
      <c r="F68" s="12"/>
      <c r="G68" s="12"/>
      <c r="H68" s="12"/>
      <c r="I68" s="12"/>
      <c r="J68" s="12"/>
      <c r="K68" s="12"/>
      <c r="L68" s="12"/>
    </row>
    <row r="70" spans="1:12" ht="20" customHeight="1">
      <c r="A70" s="7" t="s">
        <v>419</v>
      </c>
      <c r="B70" s="7"/>
      <c r="C70" s="7"/>
      <c r="D70" s="7"/>
      <c r="E70" s="7"/>
      <c r="F70" s="7"/>
      <c r="G70" s="7"/>
      <c r="H70" s="7"/>
      <c r="I70" s="7"/>
      <c r="J70" s="7"/>
      <c r="K70" s="7"/>
      <c r="L70" s="7"/>
    </row>
    <row r="71" spans="1:12" ht="26" customHeight="1">
      <c r="A71" s="8" t="s">
        <v>420</v>
      </c>
      <c r="B71" s="9" t="s">
        <v>367</v>
      </c>
      <c r="C71" s="9" t="s">
        <v>399</v>
      </c>
      <c r="D71" s="9" t="s">
        <v>421</v>
      </c>
    </row>
    <row r="72" spans="1:12">
      <c r="A72" s="10" t="s">
        <v>422</v>
      </c>
      <c r="B72" s="31">
        <f>COUNTIF(Leads!$K$5:$K$154,"New enquiry")</f>
        <v>0</v>
      </c>
      <c r="C72" s="36">
        <f>SUMIFS(Leads!$L$5:$L$154,Leads!$K$5:$K$154,"New enquiry")</f>
        <v>0</v>
      </c>
      <c r="D72" s="12" t="s">
        <v>423</v>
      </c>
      <c r="E72" s="12"/>
      <c r="F72" s="12"/>
      <c r="G72" s="12"/>
      <c r="H72" s="12"/>
      <c r="I72" s="12"/>
      <c r="J72" s="12"/>
      <c r="K72" s="12"/>
      <c r="L72" s="12"/>
    </row>
    <row r="73" spans="1:12">
      <c r="A73" s="10" t="s">
        <v>424</v>
      </c>
      <c r="B73" s="31">
        <f>COUNTIF(Quotes!$K$5:$K$204,"Sent")+COUNTIF(Quotes!$K$5:$K$204,"Followed up")</f>
        <v>0</v>
      </c>
      <c r="C73" s="36">
        <f>SUMIFS(Quotes!$AB$5:$AB$204,Quotes!$K$5:$K$204,"Sent")+SUMIFS(Quotes!$AB$5:$AB$204,Quotes!$K$5:$K$204,"Followed up")</f>
        <v>0</v>
      </c>
      <c r="D73" s="12" t="s">
        <v>425</v>
      </c>
      <c r="E73" s="12"/>
      <c r="F73" s="12"/>
      <c r="G73" s="12"/>
      <c r="H73" s="12"/>
      <c r="I73" s="12"/>
      <c r="J73" s="12"/>
      <c r="K73" s="12"/>
      <c r="L73" s="12"/>
    </row>
    <row r="74" spans="1:12">
      <c r="A74" s="10" t="s">
        <v>426</v>
      </c>
      <c r="B74" s="31">
        <f>COUNTIFS(Quotes!$K$5:$K$204,"Accepted",Quotes!$R$5:$R$204,"")</f>
        <v>0</v>
      </c>
      <c r="C74" s="36">
        <f>SUMIFS(Quotes!$AB$5:$AB$204,Quotes!$K$5:$K$204,"Accepted",Quotes!$R$5:$R$204,"")</f>
        <v>0</v>
      </c>
      <c r="D74" s="12" t="s">
        <v>427</v>
      </c>
      <c r="E74" s="12"/>
      <c r="F74" s="12"/>
      <c r="G74" s="12"/>
      <c r="H74" s="12"/>
      <c r="I74" s="12"/>
      <c r="J74" s="12"/>
      <c r="K74" s="12"/>
      <c r="L74" s="12"/>
    </row>
    <row r="75" spans="1:12">
      <c r="A75" s="10" t="s">
        <v>428</v>
      </c>
      <c r="B75" s="31">
        <f>COUNTIF(Quotes!$AJ$5:$AJ$204,"Yes")</f>
        <v>0</v>
      </c>
      <c r="C75" s="36">
        <f>SUMIFS(Quotes!$AB$5:$AB$204,Quotes!$AJ$5:$AJ$204,"Yes")</f>
        <v>0</v>
      </c>
      <c r="D75" s="12" t="s">
        <v>429</v>
      </c>
      <c r="E75" s="12"/>
      <c r="F75" s="12"/>
      <c r="G75" s="12"/>
      <c r="H75" s="12"/>
      <c r="I75" s="12"/>
      <c r="J75" s="12"/>
      <c r="K75" s="12"/>
      <c r="L75" s="12"/>
    </row>
    <row r="76" spans="1:12">
      <c r="A76" s="10" t="s">
        <v>430</v>
      </c>
      <c r="B76" s="31">
        <f>COUNTIF(Quotes!$AJ$5:$AJ$204,"No")</f>
        <v>0</v>
      </c>
      <c r="C76" s="36">
        <f>SUMIFS(Quotes!$AB$5:$AB$204,Quotes!$AJ$5:$AJ$204,"No")</f>
        <v>0</v>
      </c>
      <c r="D76" s="12" t="s">
        <v>431</v>
      </c>
      <c r="E76" s="12"/>
      <c r="F76" s="12"/>
      <c r="G76" s="12"/>
      <c r="H76" s="12"/>
      <c r="I76" s="12"/>
      <c r="J76" s="12"/>
      <c r="K76" s="12"/>
      <c r="L76" s="12"/>
    </row>
    <row r="78" spans="1:12" ht="30" customHeight="1">
      <c r="A78" s="6" t="s">
        <v>432</v>
      </c>
      <c r="B78" s="6"/>
      <c r="C78" s="6"/>
      <c r="D78" s="6"/>
      <c r="E78" s="6"/>
      <c r="F78" s="6"/>
      <c r="G78" s="6"/>
      <c r="H78" s="6"/>
      <c r="I78" s="6"/>
      <c r="J78" s="6"/>
      <c r="K78" s="6"/>
      <c r="L78" s="6"/>
    </row>
  </sheetData>
  <sheetProtection password="EC7C" sheet="1" objects="1" scenarios="1" formatCells="0" formatColumns="0" formatRows="0" insertRows="0" insertHyperlinks="0" deleteRows="0" autoFilter="0"/>
  <mergeCells count="89">
    <mergeCell ref="A1:I1"/>
    <mergeCell ref="J1:L1"/>
    <mergeCell ref="A2:L2"/>
    <mergeCell ref="A3:B3"/>
    <mergeCell ref="C3:D3"/>
    <mergeCell ref="E3:F3"/>
    <mergeCell ref="G3:H3"/>
    <mergeCell ref="I3:J3"/>
    <mergeCell ref="K3:L3"/>
    <mergeCell ref="B5:D5"/>
    <mergeCell ref="I5:J5"/>
    <mergeCell ref="K5:L5"/>
    <mergeCell ref="A7:C7"/>
    <mergeCell ref="A8:C8"/>
    <mergeCell ref="A9:C9"/>
    <mergeCell ref="D7:F7"/>
    <mergeCell ref="D8:F8"/>
    <mergeCell ref="D9:F9"/>
    <mergeCell ref="G7:I7"/>
    <mergeCell ref="G8:I8"/>
    <mergeCell ref="G9:I9"/>
    <mergeCell ref="J7:L7"/>
    <mergeCell ref="J8:L8"/>
    <mergeCell ref="J9:L9"/>
    <mergeCell ref="A11:C11"/>
    <mergeCell ref="A12:C12"/>
    <mergeCell ref="A13:C13"/>
    <mergeCell ref="D11:F11"/>
    <mergeCell ref="D12:F12"/>
    <mergeCell ref="D13:F13"/>
    <mergeCell ref="G11:I11"/>
    <mergeCell ref="G12:I12"/>
    <mergeCell ref="G13:I13"/>
    <mergeCell ref="J11:L11"/>
    <mergeCell ref="J12:L12"/>
    <mergeCell ref="J13:L13"/>
    <mergeCell ref="A15:C15"/>
    <mergeCell ref="A16:C16"/>
    <mergeCell ref="A17:C17"/>
    <mergeCell ref="D15:F15"/>
    <mergeCell ref="D16:F16"/>
    <mergeCell ref="D17:F17"/>
    <mergeCell ref="G15:I15"/>
    <mergeCell ref="G16:I16"/>
    <mergeCell ref="G17:I17"/>
    <mergeCell ref="J15:L15"/>
    <mergeCell ref="J16:L16"/>
    <mergeCell ref="J17:L17"/>
    <mergeCell ref="A19:L19"/>
    <mergeCell ref="C21:J21"/>
    <mergeCell ref="K21:L21"/>
    <mergeCell ref="C22:J22"/>
    <mergeCell ref="K22:L22"/>
    <mergeCell ref="C23:J23"/>
    <mergeCell ref="K23:L23"/>
    <mergeCell ref="C24:J24"/>
    <mergeCell ref="K24:L24"/>
    <mergeCell ref="C25:J25"/>
    <mergeCell ref="K25:L25"/>
    <mergeCell ref="C26:J26"/>
    <mergeCell ref="K26:L26"/>
    <mergeCell ref="C27:J27"/>
    <mergeCell ref="K27:L27"/>
    <mergeCell ref="C28:J28"/>
    <mergeCell ref="K28:L28"/>
    <mergeCell ref="C29:J29"/>
    <mergeCell ref="K29:L29"/>
    <mergeCell ref="C30:J30"/>
    <mergeCell ref="K30:L30"/>
    <mergeCell ref="C31:J31"/>
    <mergeCell ref="K31:L31"/>
    <mergeCell ref="C32:J32"/>
    <mergeCell ref="K32:L32"/>
    <mergeCell ref="C33:J33"/>
    <mergeCell ref="K33:L33"/>
    <mergeCell ref="C34:J34"/>
    <mergeCell ref="K34:L34"/>
    <mergeCell ref="A36:L36"/>
    <mergeCell ref="A43:L43"/>
    <mergeCell ref="A45:L45"/>
    <mergeCell ref="A53:L53"/>
    <mergeCell ref="A68:L68"/>
    <mergeCell ref="A70:L70"/>
    <mergeCell ref="D72:L72"/>
    <mergeCell ref="D73:L73"/>
    <mergeCell ref="D74:L74"/>
    <mergeCell ref="D75:L75"/>
    <mergeCell ref="D76:L76"/>
    <mergeCell ref="A78:L78"/>
  </mergeCells>
  <conditionalFormatting sqref="B21:B34">
    <cfRule type="cellIs" dxfId="0" priority="1" operator="greaterThan">
      <formula>0</formula>
    </cfRule>
    <cfRule type="cellIs" dxfId="1" priority="2" operator="equal">
      <formula>0</formula>
    </cfRule>
  </conditionalFormatting>
  <conditionalFormatting sqref="B38:H38">
    <cfRule type="dataBar" priority="3">
      <dataBar>
        <cfvo type="min" val="0"/>
        <cfvo type="max" val="0"/>
        <color rgb="FF2F8F9D"/>
      </dataBar>
    </cfRule>
  </conditionalFormatting>
  <conditionalFormatting sqref="C55:C66">
    <cfRule type="dataBar" priority="6">
      <dataBar>
        <cfvo type="min" val="0"/>
        <cfvo type="max" val="0"/>
        <color rgb="FF2F8F9D"/>
      </dataBar>
    </cfRule>
  </conditionalFormatting>
  <conditionalFormatting sqref="D47:D51">
    <cfRule type="dataBar" priority="4">
      <dataBar>
        <cfvo type="min" val="0"/>
        <cfvo type="max" val="0"/>
        <color rgb="FFE8A33D"/>
      </dataBar>
    </cfRule>
  </conditionalFormatting>
  <conditionalFormatting sqref="E47:E51">
    <cfRule type="cellIs" dxfId="2" priority="5" operator="lessThan">
      <formula>0</formula>
    </cfRule>
  </conditionalFormatting>
  <conditionalFormatting sqref="G55:G66">
    <cfRule type="cellIs" dxfId="2" priority="7" operator="lessThan">
      <formula>0</formula>
    </cfRule>
  </conditionalFormatting>
  <conditionalFormatting sqref="H55:H66">
    <cfRule type="cellIs" dxfId="1" priority="8" operator="greaterThanOrEqual">
      <formula>TargetMargin</formula>
    </cfRule>
  </conditionalFormatting>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s>
  <pageMargins left="0.4" right="0.4" top="0.6" bottom="0.5" header="0.3" footer="0.3"/>
  <pageSetup paperSize="9" fitToHeight="0" orientation="landscape"/>
  <headerFooter>
    <oddHeader>&amp;L&amp;"Calibri,Bold"&amp;12&amp;C&amp;"Calibri,Bold"&amp;11Dashboard&amp;R&amp;"Calibri,Italic"&amp;9Cleaning Business CRM &amp; Pricing Calculator</oddHeader>
    <oddFooter>&amp;L&amp;"Calibri,Italic"&amp;8Novality Store - v1.0.0&amp;C&amp;"Calibri,Italic"&amp;8Page &amp;P of &amp;N&amp;R&amp;"Calibri,Italic"&amp;8&amp;D</oddFooter>
  </headerFooter>
  <extLst>
    <ext xmlns:x14="http://schemas.microsoft.com/office/spreadsheetml/2009/9/main" uri="{05C60535-1F16-4fd2-B633-F4F36F0B64E0}">
      <x14:sparklineGroups xmlns:xm="http://schemas.microsoft.com/office/excel/2006/main">
        <x14:sparklineGroup type="column" displayEmptyCellsAs="gap">
          <x14:colorSeries rgb="FF4E8A63"/>
          <x14:colorNegative theme="5"/>
          <x14:colorAxis rgb="FF000000"/>
          <x14:colorMarkers theme="4" tint="-0.499984740745262"/>
          <x14:colorFirst theme="4" tint="0.39997558519241921"/>
          <x14:colorLast theme="4" tint="0.39997558519241921"/>
          <x14:colorHigh theme="4"/>
          <x14:colorLow theme="4"/>
          <x14:sparklines>
            <x14:sparkline>
              <xm:f>Dashboard!G55:G66</xm:f>
              <xm:sqref>J57</xm:sqref>
            </x14:sparkline>
          </x14:sparklines>
        </x14:sparklineGroup>
        <x14:sparklineGroup type="column" displayEmptyCellsAs="gap">
          <x14:colorSeries rgb="FFC86B6B"/>
          <x14:colorNegative theme="5"/>
          <x14:colorAxis rgb="FF000000"/>
          <x14:colorMarkers theme="4" tint="-0.499984740745262"/>
          <x14:colorFirst theme="4" tint="0.39997558519241921"/>
          <x14:colorLast theme="4" tint="0.39997558519241921"/>
          <x14:colorHigh theme="4"/>
          <x14:colorLow theme="4"/>
          <x14:sparklines>
            <x14:sparkline>
              <xm:f>Dashboard!F55:F66</xm:f>
              <xm:sqref>J56</xm:sqref>
            </x14:sparkline>
          </x14:sparklines>
        </x14:sparklineGroup>
        <x14:sparklineGroup type="column" displayEmptyCellsAs="gap">
          <x14:colorSeries rgb="FF14616B"/>
          <x14:colorNegative theme="5"/>
          <x14:colorAxis rgb="FF000000"/>
          <x14:colorMarkers theme="4" tint="-0.499984740745262"/>
          <x14:colorFirst theme="4" tint="0.39997558519241921"/>
          <x14:colorLast theme="4" tint="0.39997558519241921"/>
          <x14:colorHigh theme="4"/>
          <x14:colorLow theme="4"/>
          <x14:sparklines>
            <x14:sparkline>
              <xm:f>Dashboard!C55:C66</xm:f>
              <xm:sqref>J55</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sheetPr>
    <tabColor rgb="FFE8A33D"/>
    <pageSetUpPr fitToPage="1"/>
  </sheetPr>
  <dimension ref="A1:L91"/>
  <sheetViews>
    <sheetView showGridLines="0" workbookViewId="0">
      <pane ySplit="4" topLeftCell="A5" activePane="bottomLeft" state="frozen"/>
      <selection pane="bottomLeft"/>
    </sheetView>
  </sheetViews>
  <sheetFormatPr defaultRowHeight="15"/>
  <cols>
    <col min="1" max="1" width="3.2109375" customWidth="1"/>
    <col min="2" max="2" width="34.7109375" style="11" customWidth="1"/>
    <col min="3" max="3" width="10.7109375" style="11" customWidth="1"/>
    <col min="4" max="4" width="16.7109375" customWidth="1"/>
    <col min="5" max="5" width="14.7109375" customWidth="1"/>
    <col min="6" max="12" width="15.7109375" style="12" customWidth="1"/>
    <col min="2" max="2" width="22.7109375" customWidth="1"/>
    <col min="3" max="3" width="9.7109375" customWidth="1"/>
    <col min="4" max="4" width="14.7109375" customWidth="1"/>
    <col min="5" max="5" width="12.7109375" customWidth="1"/>
    <col min="6" max="6" width="14.7109375" customWidth="1"/>
    <col min="7" max="7" width="14.7109375" customWidth="1"/>
    <col min="8" max="8" width="10.7109375" customWidth="1"/>
  </cols>
  <sheetData>
    <row r="1" spans="1:12" ht="34" customHeight="1">
      <c r="A1" s="2" t="s">
        <v>19</v>
      </c>
      <c r="B1" s="2"/>
      <c r="C1" s="2"/>
      <c r="D1" s="2"/>
      <c r="E1" s="2"/>
      <c r="F1" s="2"/>
      <c r="G1" s="2"/>
      <c r="H1" s="2"/>
      <c r="I1" s="2"/>
      <c r="J1" s="3" t="s">
        <v>1</v>
      </c>
      <c r="K1" s="3"/>
      <c r="L1" s="3"/>
    </row>
    <row r="2" spans="1:12" ht="18" customHeight="1">
      <c r="A2" s="4" t="s">
        <v>433</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338</v>
      </c>
      <c r="L3" s="5"/>
    </row>
    <row r="5" spans="1:12" ht="20" customHeight="1">
      <c r="A5" s="7" t="s">
        <v>434</v>
      </c>
      <c r="B5" s="7"/>
      <c r="C5" s="7"/>
      <c r="D5" s="7"/>
      <c r="E5" s="7"/>
      <c r="F5" s="7"/>
      <c r="G5" s="7"/>
      <c r="H5" s="7"/>
      <c r="I5" s="7"/>
      <c r="J5" s="7"/>
      <c r="K5" s="7"/>
      <c r="L5" s="7"/>
    </row>
    <row r="6" spans="1:12" ht="24" customHeight="1">
      <c r="B6" s="6" t="s">
        <v>435</v>
      </c>
      <c r="C6" s="6"/>
      <c r="D6" s="6"/>
      <c r="E6" s="6"/>
      <c r="F6" s="6"/>
      <c r="G6" s="6"/>
      <c r="H6" s="6"/>
      <c r="I6" s="6"/>
      <c r="J6" s="6"/>
      <c r="K6" s="6"/>
      <c r="L6" s="6"/>
    </row>
    <row r="7" spans="1:12">
      <c r="B7" s="10" t="s">
        <v>436</v>
      </c>
      <c r="C7" s="10"/>
      <c r="D7" s="15" t="s">
        <v>437</v>
      </c>
      <c r="E7" s="15"/>
      <c r="F7" s="12" t="s">
        <v>438</v>
      </c>
      <c r="G7" s="12"/>
      <c r="H7" s="12"/>
      <c r="I7" s="12"/>
    </row>
    <row r="8" spans="1:12">
      <c r="B8" s="10" t="s">
        <v>439</v>
      </c>
      <c r="C8" s="10"/>
      <c r="D8" s="15" t="s">
        <v>440</v>
      </c>
      <c r="E8" s="15"/>
    </row>
    <row r="9" spans="1:12">
      <c r="B9" s="10" t="s">
        <v>441</v>
      </c>
      <c r="C9" s="10"/>
      <c r="D9" s="40">
        <v>1450</v>
      </c>
      <c r="E9" s="12" t="s">
        <v>442</v>
      </c>
      <c r="F9" s="12"/>
      <c r="G9" s="12"/>
      <c r="H9" s="12"/>
    </row>
    <row r="10" spans="1:12">
      <c r="B10" s="10" t="s">
        <v>443</v>
      </c>
      <c r="C10" s="10"/>
      <c r="D10" s="16">
        <v>3</v>
      </c>
    </row>
    <row r="11" spans="1:12">
      <c r="B11" s="10" t="s">
        <v>444</v>
      </c>
      <c r="C11" s="10"/>
      <c r="D11" s="16">
        <v>2</v>
      </c>
      <c r="E11" s="12" t="s">
        <v>445</v>
      </c>
      <c r="F11" s="12"/>
      <c r="G11" s="12"/>
      <c r="H11" s="12"/>
    </row>
    <row r="12" spans="1:12">
      <c r="B12" s="10" t="s">
        <v>446</v>
      </c>
      <c r="C12" s="10"/>
      <c r="D12" s="16">
        <v>4</v>
      </c>
    </row>
    <row r="13" spans="1:12">
      <c r="B13" s="10" t="s">
        <v>447</v>
      </c>
      <c r="C13" s="10"/>
      <c r="D13" s="15" t="s">
        <v>448</v>
      </c>
      <c r="E13" s="15"/>
      <c r="F13" s="12" t="s">
        <v>449</v>
      </c>
      <c r="G13" s="12"/>
      <c r="H13" s="12"/>
      <c r="I13" s="12"/>
    </row>
    <row r="14" spans="1:12">
      <c r="B14" s="10" t="s">
        <v>450</v>
      </c>
      <c r="C14" s="10"/>
      <c r="D14" s="15" t="s">
        <v>451</v>
      </c>
      <c r="E14" s="15"/>
      <c r="F14" s="12" t="s">
        <v>452</v>
      </c>
      <c r="G14" s="12"/>
      <c r="H14" s="12"/>
      <c r="I14" s="12"/>
    </row>
    <row r="15" spans="1:12">
      <c r="B15" s="10" t="s">
        <v>453</v>
      </c>
      <c r="C15" s="10"/>
      <c r="D15" s="15" t="s">
        <v>454</v>
      </c>
    </row>
    <row r="16" spans="1:12">
      <c r="B16" s="10" t="s">
        <v>455</v>
      </c>
      <c r="C16" s="10"/>
      <c r="D16" s="17">
        <v>6</v>
      </c>
    </row>
    <row r="17" spans="1:12">
      <c r="B17" s="10" t="s">
        <v>456</v>
      </c>
      <c r="C17" s="10"/>
      <c r="D17" s="15" t="s">
        <v>457</v>
      </c>
      <c r="E17" s="12" t="s">
        <v>458</v>
      </c>
      <c r="F17" s="12"/>
      <c r="G17" s="12"/>
      <c r="H17" s="12"/>
    </row>
    <row r="18" spans="1:12">
      <c r="B18" s="10" t="s">
        <v>459</v>
      </c>
      <c r="C18" s="10"/>
      <c r="D18" s="16">
        <v>2</v>
      </c>
    </row>
    <row r="19" spans="1:12">
      <c r="B19" s="10" t="s">
        <v>460</v>
      </c>
      <c r="C19" s="10"/>
      <c r="D19" s="17">
        <v>0</v>
      </c>
      <c r="E19" s="12" t="s">
        <v>461</v>
      </c>
      <c r="F19" s="12"/>
      <c r="G19" s="12"/>
      <c r="H19" s="12"/>
    </row>
    <row r="20" spans="1:12">
      <c r="B20" s="10" t="s">
        <v>462</v>
      </c>
      <c r="C20" s="10"/>
      <c r="D20" s="19">
        <v>0</v>
      </c>
      <c r="E20" s="12" t="s">
        <v>463</v>
      </c>
      <c r="F20" s="12"/>
      <c r="G20" s="12"/>
      <c r="H20" s="12"/>
    </row>
    <row r="21" spans="1:12">
      <c r="B21" s="10" t="s">
        <v>464</v>
      </c>
      <c r="C21" s="10"/>
      <c r="D21" s="20">
        <v>0</v>
      </c>
      <c r="E21" s="12" t="s">
        <v>465</v>
      </c>
      <c r="F21" s="12"/>
      <c r="G21" s="12"/>
      <c r="H21" s="12"/>
    </row>
    <row r="23" spans="1:12" ht="20" customHeight="1">
      <c r="A23" s="7" t="s">
        <v>466</v>
      </c>
      <c r="B23" s="7"/>
      <c r="C23" s="7"/>
      <c r="D23" s="7"/>
      <c r="E23" s="7"/>
      <c r="F23" s="7"/>
      <c r="G23" s="7"/>
      <c r="H23" s="7"/>
      <c r="I23" s="7"/>
      <c r="J23" s="7"/>
      <c r="K23" s="7"/>
      <c r="L23" s="7"/>
    </row>
    <row r="24" spans="1:12" ht="24" customHeight="1">
      <c r="B24" s="6" t="s">
        <v>467</v>
      </c>
      <c r="C24" s="6"/>
      <c r="D24" s="6"/>
      <c r="E24" s="6"/>
      <c r="F24" s="6"/>
      <c r="G24" s="6"/>
      <c r="H24" s="6"/>
      <c r="I24" s="6"/>
      <c r="J24" s="6"/>
      <c r="K24" s="6"/>
      <c r="L24" s="6"/>
    </row>
    <row r="25" spans="1:12">
      <c r="B25" s="8" t="s">
        <v>468</v>
      </c>
      <c r="C25" s="9" t="s">
        <v>469</v>
      </c>
      <c r="D25" s="9" t="s">
        <v>470</v>
      </c>
      <c r="E25" s="9" t="s">
        <v>471</v>
      </c>
      <c r="F25" s="9" t="s">
        <v>472</v>
      </c>
      <c r="G25" s="9"/>
      <c r="H25" s="9"/>
      <c r="I25" s="9"/>
      <c r="J25" s="9"/>
      <c r="K25" s="9"/>
      <c r="L25" s="9"/>
    </row>
    <row r="26" spans="1:12">
      <c r="B26" s="15" t="s">
        <v>473</v>
      </c>
      <c r="C26" s="16">
        <v>1</v>
      </c>
      <c r="D26" s="21">
        <f>IF(B26="","",IFERROR(INDEX(Services!$P$5:$P$64,MATCH(B26,Services!$B$5:$B$64,0)),0))</f>
        <v>0</v>
      </c>
      <c r="E26" s="21">
        <f>IF(B26="","",IF(C26="",0,C26)*D26)</f>
        <v>0</v>
      </c>
      <c r="F26" s="34">
        <f>IF(B26="","",IFERROR(INDEX(Services!$G$5:$G$64,MATCH(B26,Services!$B$5:$B$64,0)),0)*IF(C26="",0,C26))</f>
        <v>0</v>
      </c>
      <c r="G26" s="12"/>
      <c r="H26" s="12"/>
      <c r="I26" s="12"/>
      <c r="J26" s="12"/>
      <c r="K26" s="12"/>
      <c r="L26" s="12"/>
    </row>
    <row r="27" spans="1:12">
      <c r="B27" s="15"/>
      <c r="C27" s="16"/>
      <c r="D27" s="21">
        <f>IF(B27="","",IFERROR(INDEX(Services!$P$5:$P$64,MATCH(B27,Services!$B$5:$B$64,0)),0))</f>
        <v>0</v>
      </c>
      <c r="E27" s="21">
        <f>IF(B27="","",IF(C27="",0,C27)*D27)</f>
        <v>0</v>
      </c>
      <c r="F27" s="34">
        <f>IF(B27="","",IFERROR(INDEX(Services!$G$5:$G$64,MATCH(B27,Services!$B$5:$B$64,0)),0)*IF(C27="",0,C27))</f>
        <v>0</v>
      </c>
      <c r="G27" s="12"/>
      <c r="H27" s="12"/>
      <c r="I27" s="12"/>
      <c r="J27" s="12"/>
      <c r="K27" s="12"/>
      <c r="L27" s="12"/>
    </row>
    <row r="28" spans="1:12">
      <c r="B28" s="15"/>
      <c r="C28" s="16"/>
      <c r="D28" s="21">
        <f>IF(B28="","",IFERROR(INDEX(Services!$P$5:$P$64,MATCH(B28,Services!$B$5:$B$64,0)),0))</f>
        <v>0</v>
      </c>
      <c r="E28" s="21">
        <f>IF(B28="","",IF(C28="",0,C28)*D28)</f>
        <v>0</v>
      </c>
      <c r="F28" s="34">
        <f>IF(B28="","",IFERROR(INDEX(Services!$G$5:$G$64,MATCH(B28,Services!$B$5:$B$64,0)),0)*IF(C28="",0,C28))</f>
        <v>0</v>
      </c>
      <c r="G28" s="12"/>
      <c r="H28" s="12"/>
      <c r="I28" s="12"/>
      <c r="J28" s="12"/>
      <c r="K28" s="12"/>
      <c r="L28" s="12"/>
    </row>
    <row r="29" spans="1:12">
      <c r="B29" s="15"/>
      <c r="C29" s="16"/>
      <c r="D29" s="21">
        <f>IF(B29="","",IFERROR(INDEX(Services!$P$5:$P$64,MATCH(B29,Services!$B$5:$B$64,0)),0))</f>
        <v>0</v>
      </c>
      <c r="E29" s="21">
        <f>IF(B29="","",IF(C29="",0,C29)*D29)</f>
        <v>0</v>
      </c>
      <c r="F29" s="34">
        <f>IF(B29="","",IFERROR(INDEX(Services!$G$5:$G$64,MATCH(B29,Services!$B$5:$B$64,0)),0)*IF(C29="",0,C29))</f>
        <v>0</v>
      </c>
      <c r="G29" s="12"/>
      <c r="H29" s="12"/>
      <c r="I29" s="12"/>
      <c r="J29" s="12"/>
      <c r="K29" s="12"/>
      <c r="L29" s="12"/>
    </row>
    <row r="30" spans="1:12">
      <c r="B30" s="10" t="s">
        <v>474</v>
      </c>
      <c r="E30" s="41">
        <f>SUM($E$26:$E$29)</f>
        <v>0</v>
      </c>
      <c r="F30" s="42">
        <f>SUM($F$26:$F$29)</f>
        <v>0</v>
      </c>
    </row>
    <row r="32" spans="1:12" ht="20" customHeight="1">
      <c r="A32" s="7" t="s">
        <v>475</v>
      </c>
      <c r="B32" s="7"/>
      <c r="C32" s="7"/>
      <c r="D32" s="7"/>
      <c r="E32" s="7"/>
      <c r="F32" s="7"/>
      <c r="G32" s="7"/>
      <c r="H32" s="7"/>
      <c r="I32" s="7"/>
      <c r="J32" s="7"/>
      <c r="K32" s="7"/>
      <c r="L32" s="7"/>
    </row>
    <row r="33" spans="1:12">
      <c r="B33" s="10" t="s">
        <v>476</v>
      </c>
      <c r="C33" s="10"/>
      <c r="D33" s="34">
        <f>QcBeds*0.45+QcBaths*0.6+QcRooms*0.3</f>
        <v>0</v>
      </c>
      <c r="E33" s="12" t="s">
        <v>477</v>
      </c>
      <c r="F33" s="12"/>
      <c r="G33" s="12"/>
      <c r="H33" s="12"/>
    </row>
    <row r="34" spans="1:12">
      <c r="B34" s="10" t="s">
        <v>478</v>
      </c>
      <c r="C34" s="10"/>
      <c r="D34" s="34">
        <f>IF(QcArea=0,0,QcArea/IF(AreaUnit="sq m",60,650))</f>
        <v>0</v>
      </c>
      <c r="E34" s="12" t="s">
        <v>479</v>
      </c>
      <c r="F34" s="12"/>
      <c r="G34" s="12"/>
      <c r="H34" s="12"/>
    </row>
    <row r="35" spans="1:12">
      <c r="B35" s="10" t="s">
        <v>480</v>
      </c>
      <c r="C35" s="10"/>
      <c r="D35" s="34">
        <f>IFERROR(INDEX(Services!$G$5:$G$64,MATCH(QcService,Services!$B$5:$B$64,0)),0)</f>
        <v>0</v>
      </c>
    </row>
    <row r="36" spans="1:12">
      <c r="B36" s="10" t="s">
        <v>481</v>
      </c>
      <c r="C36" s="10"/>
      <c r="D36" s="34">
        <f>IF(QcHoursOverride&gt;0,QcHoursOverride,IF(AND(IFERROR(INDEX(Services!$D$5:$D$64,MATCH(QcService,Services!$B$5:$B$64,0)),"")&lt;&gt;"Per hour",QcServiceHours&gt;0),QcServiceHours,MAX(QcRoomHours,QcAreaHours)))</f>
        <v>0</v>
      </c>
      <c r="E36" s="12" t="s">
        <v>482</v>
      </c>
      <c r="F36" s="12"/>
      <c r="G36" s="12"/>
      <c r="H36" s="12"/>
    </row>
    <row r="37" spans="1:12">
      <c r="B37" s="10" t="s">
        <v>483</v>
      </c>
      <c r="C37" s="10"/>
      <c r="D37" s="34">
        <f>IFERROR(INDEX(ConditionFactors,MATCH(QcCondition,ConditionNames,0)),1)</f>
        <v>0</v>
      </c>
    </row>
    <row r="38" spans="1:12">
      <c r="B38" s="10" t="s">
        <v>484</v>
      </c>
      <c r="C38" s="10"/>
      <c r="D38" s="34">
        <f>ROUND(QcBaseHours*QcConditionFactor+QcExtraHours,2)</f>
        <v>0</v>
      </c>
      <c r="E38" s="12" t="s">
        <v>485</v>
      </c>
      <c r="F38" s="12"/>
      <c r="G38" s="12"/>
      <c r="H38" s="12"/>
    </row>
    <row r="39" spans="1:12">
      <c r="B39" s="10" t="s">
        <v>486</v>
      </c>
      <c r="C39" s="10"/>
      <c r="D39" s="34">
        <f>ROUND(QcHours/MAX(1,QcCleaners),2)</f>
        <v>0</v>
      </c>
      <c r="E39" s="12" t="s">
        <v>487</v>
      </c>
      <c r="F39" s="12"/>
      <c r="G39" s="12"/>
      <c r="H39" s="12"/>
    </row>
    <row r="41" spans="1:12" ht="20" customHeight="1">
      <c r="A41" s="7" t="s">
        <v>488</v>
      </c>
      <c r="B41" s="7"/>
      <c r="C41" s="7"/>
      <c r="D41" s="7"/>
      <c r="E41" s="7"/>
      <c r="F41" s="7"/>
      <c r="G41" s="7"/>
      <c r="H41" s="7"/>
      <c r="I41" s="7"/>
      <c r="J41" s="7"/>
      <c r="K41" s="7"/>
      <c r="L41" s="7"/>
    </row>
    <row r="42" spans="1:12" ht="26" customHeight="1">
      <c r="B42" s="6" t="s">
        <v>489</v>
      </c>
      <c r="C42" s="6"/>
      <c r="D42" s="6"/>
      <c r="E42" s="6"/>
      <c r="F42" s="6"/>
      <c r="G42" s="6"/>
      <c r="H42" s="6"/>
      <c r="I42" s="6"/>
      <c r="J42" s="6"/>
      <c r="K42" s="6"/>
      <c r="L42" s="6"/>
    </row>
    <row r="43" spans="1:12">
      <c r="B43" s="10" t="s">
        <v>490</v>
      </c>
      <c r="C43" s="10"/>
      <c r="D43" s="21">
        <f>IF(QcRateOverride&gt;0,QcRateOverride,HourlyRate)</f>
        <v>0</v>
      </c>
    </row>
    <row r="44" spans="1:12">
      <c r="B44" s="10" t="s">
        <v>491</v>
      </c>
      <c r="C44" s="10"/>
      <c r="D44" s="38">
        <f>IFERROR(INDEX(Services!$H$5:$H$64,MATCH(QcService,Services!$B$5:$B$64,0)),0)</f>
        <v>0</v>
      </c>
      <c r="E44" s="12" t="s">
        <v>492</v>
      </c>
      <c r="F44" s="12"/>
      <c r="G44" s="12"/>
      <c r="H44" s="12"/>
    </row>
    <row r="45" spans="1:12">
      <c r="B45" s="10" t="s">
        <v>493</v>
      </c>
      <c r="C45" s="10"/>
      <c r="D45" s="21">
        <f>ROUND(QcHours*QcRate*(1+QcUplift),2)</f>
        <v>0</v>
      </c>
    </row>
    <row r="46" spans="1:12">
      <c r="B46" s="10" t="s">
        <v>494</v>
      </c>
      <c r="C46" s="10"/>
      <c r="D46" s="21">
        <f>ROUND(QcArea*RatePerArea*(1+QcUplift),2)</f>
        <v>0</v>
      </c>
      <c r="E46" s="12" t="s">
        <v>495</v>
      </c>
      <c r="F46" s="12"/>
      <c r="G46" s="12"/>
      <c r="H46" s="12"/>
    </row>
    <row r="47" spans="1:12">
      <c r="B47" s="10" t="s">
        <v>496</v>
      </c>
      <c r="C47" s="10"/>
      <c r="D47" s="21">
        <f>ROUND((QcBeds*RatePerBedroom+QcBaths*RatePerBathroom+QcRooms*RatePerRoom)*(1+QcUplift),2)</f>
        <v>0</v>
      </c>
    </row>
    <row r="48" spans="1:12">
      <c r="B48" s="10" t="s">
        <v>497</v>
      </c>
      <c r="C48" s="10"/>
      <c r="D48" s="21">
        <f>IFERROR(INDEX(Services!$P$5:$P$64,MATCH(QcService,Services!$B$5:$B$64,0)),0)</f>
        <v>0</v>
      </c>
    </row>
    <row r="49" spans="1:12">
      <c r="B49" s="10" t="s">
        <v>498</v>
      </c>
      <c r="C49" s="10"/>
      <c r="D49" s="21">
        <f>IF(TargetMargin&gt;=1,0,ROUND(QcCost/(1-TargetMargin),2))</f>
        <v>0</v>
      </c>
      <c r="E49" s="12" t="s">
        <v>499</v>
      </c>
      <c r="F49" s="12"/>
      <c r="G49" s="12"/>
      <c r="H49" s="12"/>
    </row>
    <row r="50" spans="1:12">
      <c r="B50" s="10" t="s">
        <v>500</v>
      </c>
      <c r="C50" s="10"/>
      <c r="D50" s="15" t="s">
        <v>501</v>
      </c>
      <c r="E50" s="15"/>
      <c r="F50" s="12" t="s">
        <v>502</v>
      </c>
      <c r="G50" s="12"/>
      <c r="H50" s="12"/>
      <c r="I50" s="12"/>
    </row>
    <row r="51" spans="1:12">
      <c r="B51" s="10" t="s">
        <v>503</v>
      </c>
      <c r="C51" s="10"/>
      <c r="D51" s="19">
        <v>0</v>
      </c>
      <c r="E51" s="12" t="s">
        <v>504</v>
      </c>
      <c r="F51" s="12"/>
      <c r="G51" s="12"/>
      <c r="H51" s="12"/>
    </row>
    <row r="53" spans="1:12" ht="20" customHeight="1">
      <c r="A53" s="7" t="s">
        <v>505</v>
      </c>
      <c r="B53" s="7"/>
      <c r="C53" s="7"/>
      <c r="D53" s="7"/>
      <c r="E53" s="7"/>
      <c r="F53" s="7"/>
      <c r="G53" s="7"/>
      <c r="H53" s="7"/>
      <c r="I53" s="7"/>
      <c r="J53" s="7"/>
      <c r="K53" s="7"/>
      <c r="L53" s="7"/>
    </row>
    <row r="54" spans="1:12">
      <c r="B54" s="10" t="s">
        <v>506</v>
      </c>
      <c r="C54" s="10"/>
      <c r="D54" s="21">
        <f>ROUND(QcHours*CostPerHour,2)</f>
        <v>0</v>
      </c>
      <c r="E54" s="12" t="s">
        <v>507</v>
      </c>
      <c r="F54" s="12"/>
      <c r="G54" s="12"/>
      <c r="H54" s="12"/>
    </row>
    <row r="55" spans="1:12">
      <c r="B55" s="10" t="s">
        <v>383</v>
      </c>
      <c r="C55" s="10"/>
      <c r="D55" s="21">
        <f>ROUND(QcHours*SuppliesPerHour,2)</f>
        <v>0</v>
      </c>
    </row>
    <row r="56" spans="1:12">
      <c r="B56" s="10" t="s">
        <v>508</v>
      </c>
      <c r="C56" s="10"/>
      <c r="D56" s="21">
        <f>ROUND(QcDistance*2*MileageRate,2)</f>
        <v>0</v>
      </c>
      <c r="E56" s="12" t="s">
        <v>509</v>
      </c>
      <c r="F56" s="12"/>
      <c r="G56" s="12"/>
      <c r="H56" s="12"/>
    </row>
    <row r="57" spans="1:12">
      <c r="B57" s="10" t="s">
        <v>510</v>
      </c>
      <c r="C57" s="10"/>
      <c r="D57" s="21">
        <f>QcLabour+QcSupplies+QcTravel</f>
        <v>0</v>
      </c>
    </row>
    <row r="59" spans="1:12" ht="20" customHeight="1">
      <c r="A59" s="7" t="s">
        <v>511</v>
      </c>
      <c r="B59" s="7"/>
      <c r="C59" s="7"/>
      <c r="D59" s="7"/>
      <c r="E59" s="7"/>
      <c r="F59" s="7"/>
      <c r="G59" s="7"/>
      <c r="H59" s="7"/>
      <c r="I59" s="7"/>
      <c r="J59" s="7"/>
      <c r="K59" s="7"/>
      <c r="L59" s="7"/>
    </row>
    <row r="60" spans="1:12">
      <c r="B60" s="10" t="s">
        <v>512</v>
      </c>
      <c r="C60" s="10"/>
      <c r="D60" s="21">
        <f>IF(LEFT(QcMethod,1)="A",QcPriceHour,IF(LEFT(QcMethod,1)="B",QcPriceArea,IF(LEFT(QcMethod,1)="C",QcPriceRoom,IF(LEFT(QcMethod,1)="D",QcPriceService,IF(LEFT(QcMethod,1)="E",QcPriceTarget,QcManual)))))</f>
        <v>0</v>
      </c>
    </row>
    <row r="61" spans="1:12">
      <c r="B61" s="10" t="s">
        <v>513</v>
      </c>
      <c r="C61" s="10"/>
      <c r="D61" s="34">
        <f>IFERROR(INDEX(FreqFactors,MATCH(QcFrequency,FreqNames,0)),1)</f>
        <v>0</v>
      </c>
      <c r="E61" s="12" t="s">
        <v>514</v>
      </c>
      <c r="F61" s="12"/>
      <c r="G61" s="12"/>
      <c r="H61" s="12"/>
    </row>
    <row r="62" spans="1:12">
      <c r="B62" s="10" t="s">
        <v>515</v>
      </c>
      <c r="C62" s="10"/>
      <c r="D62" s="21">
        <f>ROUND(QcChosen*QcFreqFactor,2)</f>
        <v>0</v>
      </c>
    </row>
    <row r="63" spans="1:12">
      <c r="B63" s="10" t="s">
        <v>235</v>
      </c>
      <c r="C63" s="10"/>
      <c r="D63" s="21">
        <f>IF(QcPets="Yes",PetSurcharge,0)</f>
        <v>0</v>
      </c>
    </row>
    <row r="64" spans="1:12">
      <c r="B64" s="10" t="s">
        <v>516</v>
      </c>
      <c r="C64" s="10"/>
      <c r="D64" s="21">
        <f>IF(QcCallout="Yes",CalloutFee,0)</f>
        <v>0</v>
      </c>
    </row>
    <row r="65" spans="1:12">
      <c r="B65" s="10" t="s">
        <v>517</v>
      </c>
      <c r="C65" s="10"/>
      <c r="D65" s="21">
        <f>QcExtras</f>
        <v>0</v>
      </c>
    </row>
    <row r="66" spans="1:12">
      <c r="B66" s="10" t="s">
        <v>464</v>
      </c>
      <c r="C66" s="10"/>
      <c r="D66" s="21">
        <f>ROUND((QcAfterFreq+QcPetFee+QcCalloutFee+QcExtras)*QcDiscount,2)</f>
        <v>0</v>
      </c>
    </row>
    <row r="67" spans="1:12">
      <c r="B67" s="10" t="s">
        <v>518</v>
      </c>
      <c r="C67" s="10"/>
      <c r="D67" s="21">
        <f>MAX(MinimumCharge,QcAfterFreq+QcPetFee+QcCalloutFee+QcExtras-QcDiscountValue)</f>
        <v>0</v>
      </c>
      <c r="E67" s="12" t="s">
        <v>519</v>
      </c>
      <c r="F67" s="12"/>
      <c r="G67" s="12"/>
      <c r="H67" s="12"/>
    </row>
    <row r="68" spans="1:12">
      <c r="B68" s="10" t="s">
        <v>520</v>
      </c>
      <c r="C68" s="10"/>
      <c r="D68" s="21">
        <f>IF(PriceRounding="Nearest 10",ROUND((QcRaw)/10,0)*10,IF(PriceRounding="Nearest 5",ROUND((QcRaw)/5,0)*5,IF(PriceRounding="Nearest 1",ROUND(QcRaw,0),ROUND(QcRaw,2))))</f>
        <v>0</v>
      </c>
      <c r="E68" s="12" t="s">
        <v>521</v>
      </c>
      <c r="F68" s="12"/>
      <c r="G68" s="12"/>
      <c r="H68" s="12"/>
    </row>
    <row r="69" spans="1:12">
      <c r="B69" s="10" t="s">
        <v>263</v>
      </c>
      <c r="C69" s="10"/>
      <c r="D69" s="21">
        <f>ROUND(QcPrice*TaxRate,2)</f>
        <v>0</v>
      </c>
    </row>
    <row r="70" spans="1:12">
      <c r="B70" s="10" t="s">
        <v>522</v>
      </c>
      <c r="C70" s="10"/>
      <c r="D70" s="21">
        <f>QcPrice+QcTax</f>
        <v>0</v>
      </c>
    </row>
    <row r="71" spans="1:12">
      <c r="B71" s="10" t="s">
        <v>523</v>
      </c>
      <c r="C71" s="10"/>
      <c r="D71" s="21">
        <f>ROUND(QcTotal*DepositPercent,2)</f>
        <v>0</v>
      </c>
    </row>
    <row r="73" spans="1:12" ht="20" customHeight="1">
      <c r="A73" s="7" t="s">
        <v>524</v>
      </c>
      <c r="B73" s="7"/>
      <c r="C73" s="7"/>
      <c r="D73" s="7"/>
      <c r="E73" s="7"/>
      <c r="F73" s="7"/>
      <c r="G73" s="7"/>
      <c r="H73" s="7"/>
      <c r="I73" s="7"/>
      <c r="J73" s="7"/>
      <c r="K73" s="7"/>
      <c r="L73" s="7"/>
    </row>
    <row r="74" spans="1:12">
      <c r="B74" s="10" t="s">
        <v>525</v>
      </c>
      <c r="C74" s="10"/>
      <c r="D74" s="21">
        <f>QcPrice-QcCost</f>
        <v>0</v>
      </c>
    </row>
    <row r="75" spans="1:12">
      <c r="B75" s="10" t="s">
        <v>408</v>
      </c>
      <c r="C75" s="10"/>
      <c r="D75" s="38">
        <f>IF(QcPrice=0,"",QcProfit/QcPrice)</f>
        <v>0</v>
      </c>
    </row>
    <row r="76" spans="1:12">
      <c r="B76" s="10" t="s">
        <v>526</v>
      </c>
      <c r="C76" s="10"/>
      <c r="D76" s="21">
        <f>IF(QcHours=0,"",QcProfit/QcHours)</f>
        <v>0</v>
      </c>
      <c r="E76" s="12" t="s">
        <v>527</v>
      </c>
      <c r="F76" s="12"/>
      <c r="G76" s="12"/>
      <c r="H76" s="12"/>
    </row>
    <row r="77" spans="1:12">
      <c r="B77" s="10" t="s">
        <v>528</v>
      </c>
      <c r="C77" s="10"/>
      <c r="D77" s="21">
        <f>IF(QcArea=0,"",QcPrice/QcArea)</f>
        <v>0</v>
      </c>
    </row>
    <row r="78" spans="1:12">
      <c r="B78" s="10" t="s">
        <v>529</v>
      </c>
      <c r="C78" s="10"/>
      <c r="D78" s="23">
        <f>IF(QcPrice=0,"Fill in the job above",IF(QcProfit&lt;0,"No - this job loses money",IF(QcMargin&lt;MarginFloor,"Careful - the margin is under your floor",IF(QcMargin&lt;TargetMargin,"Acceptable - but under your target margin","Good - this one is worth having"))))</f>
        <v>0</v>
      </c>
      <c r="E78" s="23"/>
      <c r="F78" s="23"/>
      <c r="G78" s="23"/>
    </row>
    <row r="80" spans="1:12" ht="20" customHeight="1">
      <c r="A80" s="7" t="s">
        <v>530</v>
      </c>
      <c r="B80" s="7"/>
      <c r="C80" s="7"/>
      <c r="D80" s="7"/>
      <c r="E80" s="7"/>
      <c r="F80" s="7"/>
      <c r="G80" s="7"/>
      <c r="H80" s="7"/>
      <c r="I80" s="7"/>
      <c r="J80" s="7"/>
      <c r="K80" s="7"/>
      <c r="L80" s="7"/>
    </row>
    <row r="81" spans="2:12" ht="30" customHeight="1">
      <c r="B81" s="6" t="s">
        <v>531</v>
      </c>
      <c r="C81" s="6"/>
      <c r="D81" s="6"/>
      <c r="E81" s="6"/>
      <c r="F81" s="6"/>
      <c r="G81" s="6"/>
      <c r="H81" s="6"/>
      <c r="I81" s="6"/>
      <c r="J81" s="6"/>
      <c r="K81" s="6"/>
      <c r="L81" s="6"/>
    </row>
    <row r="82" spans="2:12" ht="26" customHeight="1">
      <c r="B82" s="8" t="s">
        <v>532</v>
      </c>
      <c r="C82" s="9" t="s">
        <v>533</v>
      </c>
      <c r="D82" s="9" t="s">
        <v>534</v>
      </c>
      <c r="E82" s="9" t="s">
        <v>535</v>
      </c>
      <c r="F82" s="9" t="s">
        <v>536</v>
      </c>
      <c r="G82" s="9" t="s">
        <v>537</v>
      </c>
      <c r="H82" s="9" t="s">
        <v>408</v>
      </c>
    </row>
    <row r="83" spans="2:12">
      <c r="B83" s="23">
        <f>IFERROR(INDEX(FreqNames,1),"")</f>
        <v>0</v>
      </c>
      <c r="C83" s="34">
        <f>IFERROR(INDEX(FreqFactors,1),"")</f>
        <v>0</v>
      </c>
      <c r="D83" s="21">
        <f>IF(IFERROR(INDEX(FreqNames,1),"")="","",IF(PriceRounding="Nearest 10",ROUND((MAX(MinimumCharge,(QcChosen*IFERROR(INDEX(FreqFactors,1),"")+QcPetFee+QcCalloutFee+QcExtras)*(1-QcDiscount)))/10,0)*10,IF(PriceRounding="Nearest 5",ROUND((MAX(MinimumCharge,(QcChosen*IFERROR(INDEX(FreqFactors,1),"")+QcPetFee+QcCalloutFee+QcExtras)*(1-QcDiscount)))/5,0)*5,IF(PriceRounding="Nearest 1",ROUND(MAX(MinimumCharge,(QcChosen*IFERROR(INDEX(FreqFactors,1),"")+QcPetFee+QcCalloutFee+QcExtras)*(1-QcDiscount)),0),ROUND(MAX(MinimumCharge,(QcChosen*IFERROR(INDEX(FreqFactors,1),"")+QcPetFee+QcCalloutFee+QcExtras)*(1-QcDiscount)),2)))))</f>
        <v>0</v>
      </c>
      <c r="E83" s="31">
        <f>IFERROR(INDEX(FreqPerYear,1),"")</f>
        <v>0</v>
      </c>
      <c r="F83" s="36">
        <f>IF(D83="","",D83*E83)</f>
        <v>0</v>
      </c>
      <c r="G83" s="36">
        <f>IF(D83="","",(D83-QcCost)*E83)</f>
        <v>0</v>
      </c>
      <c r="H83" s="38">
        <f>IF(OR(D83="",D83=0),"",(D83-QcCost)/D83)</f>
        <v>0</v>
      </c>
    </row>
    <row r="84" spans="2:12">
      <c r="B84" s="23">
        <f>IFERROR(INDEX(FreqNames,2),"")</f>
        <v>0</v>
      </c>
      <c r="C84" s="34">
        <f>IFERROR(INDEX(FreqFactors,2),"")</f>
        <v>0</v>
      </c>
      <c r="D84" s="21">
        <f>IF(IFERROR(INDEX(FreqNames,2),"")="","",IF(PriceRounding="Nearest 10",ROUND((MAX(MinimumCharge,(QcChosen*IFERROR(INDEX(FreqFactors,2),"")+QcPetFee+QcCalloutFee+QcExtras)*(1-QcDiscount)))/10,0)*10,IF(PriceRounding="Nearest 5",ROUND((MAX(MinimumCharge,(QcChosen*IFERROR(INDEX(FreqFactors,2),"")+QcPetFee+QcCalloutFee+QcExtras)*(1-QcDiscount)))/5,0)*5,IF(PriceRounding="Nearest 1",ROUND(MAX(MinimumCharge,(QcChosen*IFERROR(INDEX(FreqFactors,2),"")+QcPetFee+QcCalloutFee+QcExtras)*(1-QcDiscount)),0),ROUND(MAX(MinimumCharge,(QcChosen*IFERROR(INDEX(FreqFactors,2),"")+QcPetFee+QcCalloutFee+QcExtras)*(1-QcDiscount)),2)))))</f>
        <v>0</v>
      </c>
      <c r="E84" s="31">
        <f>IFERROR(INDEX(FreqPerYear,2),"")</f>
        <v>0</v>
      </c>
      <c r="F84" s="36">
        <f>IF(D84="","",D84*E84)</f>
        <v>0</v>
      </c>
      <c r="G84" s="36">
        <f>IF(D84="","",(D84-QcCost)*E84)</f>
        <v>0</v>
      </c>
      <c r="H84" s="38">
        <f>IF(OR(D84="",D84=0),"",(D84-QcCost)/D84)</f>
        <v>0</v>
      </c>
    </row>
    <row r="85" spans="2:12">
      <c r="B85" s="23">
        <f>IFERROR(INDEX(FreqNames,3),"")</f>
        <v>0</v>
      </c>
      <c r="C85" s="34">
        <f>IFERROR(INDEX(FreqFactors,3),"")</f>
        <v>0</v>
      </c>
      <c r="D85" s="21">
        <f>IF(IFERROR(INDEX(FreqNames,3),"")="","",IF(PriceRounding="Nearest 10",ROUND((MAX(MinimumCharge,(QcChosen*IFERROR(INDEX(FreqFactors,3),"")+QcPetFee+QcCalloutFee+QcExtras)*(1-QcDiscount)))/10,0)*10,IF(PriceRounding="Nearest 5",ROUND((MAX(MinimumCharge,(QcChosen*IFERROR(INDEX(FreqFactors,3),"")+QcPetFee+QcCalloutFee+QcExtras)*(1-QcDiscount)))/5,0)*5,IF(PriceRounding="Nearest 1",ROUND(MAX(MinimumCharge,(QcChosen*IFERROR(INDEX(FreqFactors,3),"")+QcPetFee+QcCalloutFee+QcExtras)*(1-QcDiscount)),0),ROUND(MAX(MinimumCharge,(QcChosen*IFERROR(INDEX(FreqFactors,3),"")+QcPetFee+QcCalloutFee+QcExtras)*(1-QcDiscount)),2)))))</f>
        <v>0</v>
      </c>
      <c r="E85" s="31">
        <f>IFERROR(INDEX(FreqPerYear,3),"")</f>
        <v>0</v>
      </c>
      <c r="F85" s="36">
        <f>IF(D85="","",D85*E85)</f>
        <v>0</v>
      </c>
      <c r="G85" s="36">
        <f>IF(D85="","",(D85-QcCost)*E85)</f>
        <v>0</v>
      </c>
      <c r="H85" s="38">
        <f>IF(OR(D85="",D85=0),"",(D85-QcCost)/D85)</f>
        <v>0</v>
      </c>
    </row>
    <row r="86" spans="2:12">
      <c r="B86" s="23">
        <f>IFERROR(INDEX(FreqNames,4),"")</f>
        <v>0</v>
      </c>
      <c r="C86" s="34">
        <f>IFERROR(INDEX(FreqFactors,4),"")</f>
        <v>0</v>
      </c>
      <c r="D86" s="21">
        <f>IF(IFERROR(INDEX(FreqNames,4),"")="","",IF(PriceRounding="Nearest 10",ROUND((MAX(MinimumCharge,(QcChosen*IFERROR(INDEX(FreqFactors,4),"")+QcPetFee+QcCalloutFee+QcExtras)*(1-QcDiscount)))/10,0)*10,IF(PriceRounding="Nearest 5",ROUND((MAX(MinimumCharge,(QcChosen*IFERROR(INDEX(FreqFactors,4),"")+QcPetFee+QcCalloutFee+QcExtras)*(1-QcDiscount)))/5,0)*5,IF(PriceRounding="Nearest 1",ROUND(MAX(MinimumCharge,(QcChosen*IFERROR(INDEX(FreqFactors,4),"")+QcPetFee+QcCalloutFee+QcExtras)*(1-QcDiscount)),0),ROUND(MAX(MinimumCharge,(QcChosen*IFERROR(INDEX(FreqFactors,4),"")+QcPetFee+QcCalloutFee+QcExtras)*(1-QcDiscount)),2)))))</f>
        <v>0</v>
      </c>
      <c r="E86" s="31">
        <f>IFERROR(INDEX(FreqPerYear,4),"")</f>
        <v>0</v>
      </c>
      <c r="F86" s="36">
        <f>IF(D86="","",D86*E86)</f>
        <v>0</v>
      </c>
      <c r="G86" s="36">
        <f>IF(D86="","",(D86-QcCost)*E86)</f>
        <v>0</v>
      </c>
      <c r="H86" s="38">
        <f>IF(OR(D86="",D86=0),"",(D86-QcCost)/D86)</f>
        <v>0</v>
      </c>
    </row>
    <row r="87" spans="2:12">
      <c r="B87" s="23">
        <f>IFERROR(INDEX(FreqNames,5),"")</f>
        <v>0</v>
      </c>
      <c r="C87" s="34">
        <f>IFERROR(INDEX(FreqFactors,5),"")</f>
        <v>0</v>
      </c>
      <c r="D87" s="21">
        <f>IF(IFERROR(INDEX(FreqNames,5),"")="","",IF(PriceRounding="Nearest 10",ROUND((MAX(MinimumCharge,(QcChosen*IFERROR(INDEX(FreqFactors,5),"")+QcPetFee+QcCalloutFee+QcExtras)*(1-QcDiscount)))/10,0)*10,IF(PriceRounding="Nearest 5",ROUND((MAX(MinimumCharge,(QcChosen*IFERROR(INDEX(FreqFactors,5),"")+QcPetFee+QcCalloutFee+QcExtras)*(1-QcDiscount)))/5,0)*5,IF(PriceRounding="Nearest 1",ROUND(MAX(MinimumCharge,(QcChosen*IFERROR(INDEX(FreqFactors,5),"")+QcPetFee+QcCalloutFee+QcExtras)*(1-QcDiscount)),0),ROUND(MAX(MinimumCharge,(QcChosen*IFERROR(INDEX(FreqFactors,5),"")+QcPetFee+QcCalloutFee+QcExtras)*(1-QcDiscount)),2)))))</f>
        <v>0</v>
      </c>
      <c r="E87" s="31">
        <f>IFERROR(INDEX(FreqPerYear,5),"")</f>
        <v>0</v>
      </c>
      <c r="F87" s="36">
        <f>IF(D87="","",D87*E87)</f>
        <v>0</v>
      </c>
      <c r="G87" s="36">
        <f>IF(D87="","",(D87-QcCost)*E87)</f>
        <v>0</v>
      </c>
      <c r="H87" s="38">
        <f>IF(OR(D87="",D87=0),"",(D87-QcCost)/D87)</f>
        <v>0</v>
      </c>
    </row>
    <row r="88" spans="2:12">
      <c r="B88" s="23">
        <f>IFERROR(INDEX(FreqNames,6),"")</f>
        <v>0</v>
      </c>
      <c r="C88" s="34">
        <f>IFERROR(INDEX(FreqFactors,6),"")</f>
        <v>0</v>
      </c>
      <c r="D88" s="21">
        <f>IF(IFERROR(INDEX(FreqNames,6),"")="","",IF(PriceRounding="Nearest 10",ROUND((MAX(MinimumCharge,(QcChosen*IFERROR(INDEX(FreqFactors,6),"")+QcPetFee+QcCalloutFee+QcExtras)*(1-QcDiscount)))/10,0)*10,IF(PriceRounding="Nearest 5",ROUND((MAX(MinimumCharge,(QcChosen*IFERROR(INDEX(FreqFactors,6),"")+QcPetFee+QcCalloutFee+QcExtras)*(1-QcDiscount)))/5,0)*5,IF(PriceRounding="Nearest 1",ROUND(MAX(MinimumCharge,(QcChosen*IFERROR(INDEX(FreqFactors,6),"")+QcPetFee+QcCalloutFee+QcExtras)*(1-QcDiscount)),0),ROUND(MAX(MinimumCharge,(QcChosen*IFERROR(INDEX(FreqFactors,6),"")+QcPetFee+QcCalloutFee+QcExtras)*(1-QcDiscount)),2)))))</f>
        <v>0</v>
      </c>
      <c r="E88" s="31">
        <f>IFERROR(INDEX(FreqPerYear,6),"")</f>
        <v>0</v>
      </c>
      <c r="F88" s="36">
        <f>IF(D88="","",D88*E88)</f>
        <v>0</v>
      </c>
      <c r="G88" s="36">
        <f>IF(D88="","",(D88-QcCost)*E88)</f>
        <v>0</v>
      </c>
      <c r="H88" s="38">
        <f>IF(OR(D88="",D88=0),"",(D88-QcCost)/D88)</f>
        <v>0</v>
      </c>
    </row>
    <row r="89" spans="2:12">
      <c r="B89" s="23">
        <f>IFERROR(INDEX(FreqNames,7),"")</f>
        <v>0</v>
      </c>
      <c r="C89" s="34">
        <f>IFERROR(INDEX(FreqFactors,7),"")</f>
        <v>0</v>
      </c>
      <c r="D89" s="21">
        <f>IF(IFERROR(INDEX(FreqNames,7),"")="","",IF(PriceRounding="Nearest 10",ROUND((MAX(MinimumCharge,(QcChosen*IFERROR(INDEX(FreqFactors,7),"")+QcPetFee+QcCalloutFee+QcExtras)*(1-QcDiscount)))/10,0)*10,IF(PriceRounding="Nearest 5",ROUND((MAX(MinimumCharge,(QcChosen*IFERROR(INDEX(FreqFactors,7),"")+QcPetFee+QcCalloutFee+QcExtras)*(1-QcDiscount)))/5,0)*5,IF(PriceRounding="Nearest 1",ROUND(MAX(MinimumCharge,(QcChosen*IFERROR(INDEX(FreqFactors,7),"")+QcPetFee+QcCalloutFee+QcExtras)*(1-QcDiscount)),0),ROUND(MAX(MinimumCharge,(QcChosen*IFERROR(INDEX(FreqFactors,7),"")+QcPetFee+QcCalloutFee+QcExtras)*(1-QcDiscount)),2)))))</f>
        <v>0</v>
      </c>
      <c r="E89" s="31">
        <f>IFERROR(INDEX(FreqPerYear,7),"")</f>
        <v>0</v>
      </c>
      <c r="F89" s="36">
        <f>IF(D89="","",D89*E89)</f>
        <v>0</v>
      </c>
      <c r="G89" s="36">
        <f>IF(D89="","",(D89-QcCost)*E89)</f>
        <v>0</v>
      </c>
      <c r="H89" s="38">
        <f>IF(OR(D89="",D89=0),"",(D89-QcCost)/D89)</f>
        <v>0</v>
      </c>
    </row>
    <row r="91" spans="2:12" ht="30" customHeight="1">
      <c r="B91" s="6" t="s">
        <v>538</v>
      </c>
      <c r="C91" s="6"/>
      <c r="D91" s="6"/>
      <c r="E91" s="6"/>
      <c r="F91" s="6"/>
      <c r="G91" s="6"/>
      <c r="H91" s="6"/>
      <c r="I91" s="6"/>
      <c r="J91" s="6"/>
      <c r="K91" s="6"/>
      <c r="L91" s="6"/>
    </row>
  </sheetData>
  <sheetProtection password="EC7C" sheet="1" objects="1" scenarios="1" formatCells="0" formatColumns="0" formatRows="0" insertRows="0" insertHyperlinks="0" deleteRows="0" autoFilter="0"/>
  <mergeCells count="110">
    <mergeCell ref="A1:I1"/>
    <mergeCell ref="J1:L1"/>
    <mergeCell ref="A2:L2"/>
    <mergeCell ref="A3:B3"/>
    <mergeCell ref="C3:D3"/>
    <mergeCell ref="E3:F3"/>
    <mergeCell ref="G3:H3"/>
    <mergeCell ref="I3:J3"/>
    <mergeCell ref="K3:L3"/>
    <mergeCell ref="A5:L5"/>
    <mergeCell ref="B6:L6"/>
    <mergeCell ref="B7:C7"/>
    <mergeCell ref="D7:E7"/>
    <mergeCell ref="F7:I7"/>
    <mergeCell ref="B8:C8"/>
    <mergeCell ref="D8:E8"/>
    <mergeCell ref="B9:C9"/>
    <mergeCell ref="E9:H9"/>
    <mergeCell ref="B10:C10"/>
    <mergeCell ref="B11:C11"/>
    <mergeCell ref="E11:H11"/>
    <mergeCell ref="B12:C12"/>
    <mergeCell ref="B13:C13"/>
    <mergeCell ref="D13:E13"/>
    <mergeCell ref="F13:I13"/>
    <mergeCell ref="B14:C14"/>
    <mergeCell ref="D14:E14"/>
    <mergeCell ref="F14:I14"/>
    <mergeCell ref="B15:C15"/>
    <mergeCell ref="B16:C16"/>
    <mergeCell ref="B17:C17"/>
    <mergeCell ref="E17:H17"/>
    <mergeCell ref="B18:C18"/>
    <mergeCell ref="B19:C19"/>
    <mergeCell ref="E19:H19"/>
    <mergeCell ref="B20:C20"/>
    <mergeCell ref="E20:H20"/>
    <mergeCell ref="B21:C21"/>
    <mergeCell ref="E21:H21"/>
    <mergeCell ref="A23:L23"/>
    <mergeCell ref="B24:L24"/>
    <mergeCell ref="F25:L25"/>
    <mergeCell ref="G26:L26"/>
    <mergeCell ref="G27:L27"/>
    <mergeCell ref="G28:L28"/>
    <mergeCell ref="G29:L29"/>
    <mergeCell ref="A32:L32"/>
    <mergeCell ref="B33:C33"/>
    <mergeCell ref="E33:H33"/>
    <mergeCell ref="B34:C34"/>
    <mergeCell ref="E34:H34"/>
    <mergeCell ref="B35:C35"/>
    <mergeCell ref="B36:C36"/>
    <mergeCell ref="E36:H36"/>
    <mergeCell ref="B37:C37"/>
    <mergeCell ref="B38:C38"/>
    <mergeCell ref="E38:H38"/>
    <mergeCell ref="B39:C39"/>
    <mergeCell ref="E39:H39"/>
    <mergeCell ref="A41:L41"/>
    <mergeCell ref="B42:L42"/>
    <mergeCell ref="B43:C43"/>
    <mergeCell ref="B44:C44"/>
    <mergeCell ref="E44:H44"/>
    <mergeCell ref="B45:C45"/>
    <mergeCell ref="B46:C46"/>
    <mergeCell ref="E46:H46"/>
    <mergeCell ref="B47:C47"/>
    <mergeCell ref="B48:C48"/>
    <mergeCell ref="B49:C49"/>
    <mergeCell ref="E49:H49"/>
    <mergeCell ref="B50:C50"/>
    <mergeCell ref="D50:E50"/>
    <mergeCell ref="F50:I50"/>
    <mergeCell ref="B51:C51"/>
    <mergeCell ref="E51:H51"/>
    <mergeCell ref="A53:L53"/>
    <mergeCell ref="B54:C54"/>
    <mergeCell ref="E54:H54"/>
    <mergeCell ref="B55:C55"/>
    <mergeCell ref="B56:C56"/>
    <mergeCell ref="E56:H56"/>
    <mergeCell ref="B57:C57"/>
    <mergeCell ref="A59:L59"/>
    <mergeCell ref="B60:C60"/>
    <mergeCell ref="B61:C61"/>
    <mergeCell ref="E61:H61"/>
    <mergeCell ref="B62:C62"/>
    <mergeCell ref="B63:C63"/>
    <mergeCell ref="B64:C64"/>
    <mergeCell ref="B65:C65"/>
    <mergeCell ref="B66:C66"/>
    <mergeCell ref="B67:C67"/>
    <mergeCell ref="E67:H67"/>
    <mergeCell ref="B68:C68"/>
    <mergeCell ref="E68:H68"/>
    <mergeCell ref="B69:C69"/>
    <mergeCell ref="B70:C70"/>
    <mergeCell ref="B71:C71"/>
    <mergeCell ref="A73:L73"/>
    <mergeCell ref="B74:C74"/>
    <mergeCell ref="B75:C75"/>
    <mergeCell ref="B76:C76"/>
    <mergeCell ref="E76:H76"/>
    <mergeCell ref="B77:C77"/>
    <mergeCell ref="B78:C78"/>
    <mergeCell ref="D78:G78"/>
    <mergeCell ref="A80:L80"/>
    <mergeCell ref="B81:L81"/>
    <mergeCell ref="B91:L91"/>
  </mergeCells>
  <conditionalFormatting sqref="D78:G78">
    <cfRule type="containsText" dxfId="1" priority="1" operator="containsText" text="Good">
      <formula>NOT(ISERROR(SEARCH("Good",D78)))</formula>
    </cfRule>
    <cfRule type="containsText" dxfId="0" priority="2" operator="containsText" text="Careful">
      <formula>NOT(ISERROR(SEARCH("Careful",D78)))</formula>
    </cfRule>
    <cfRule type="containsText" dxfId="2" priority="3" operator="containsText" text="No -">
      <formula>NOT(ISERROR(SEARCH("No -",D78)))</formula>
    </cfRule>
  </conditionalFormatting>
  <conditionalFormatting sqref="F83:F89">
    <cfRule type="dataBar" priority="4">
      <dataBar>
        <cfvo type="min" val="0"/>
        <cfvo type="max" val="0"/>
        <color rgb="FFE8A33D"/>
      </dataBar>
    </cfRule>
  </conditionalFormatting>
  <conditionalFormatting sqref="H83:H89">
    <cfRule type="cellIs" dxfId="2" priority="5" operator="lessThan">
      <formula>MarginFloor</formula>
    </cfRule>
    <cfRule type="cellIs" dxfId="1" priority="6" operator="greaterThanOrEqual">
      <formula>TargetMargin</formula>
    </cfRule>
  </conditionalFormatting>
  <dataValidations count="25">
    <dataValidation type="list" allowBlank="1" showInputMessage="1" showErrorMessage="1" sqref="D7">
      <formula1>ServiceNames</formula1>
    </dataValidation>
    <dataValidation type="list" allowBlank="1" showInputMessage="1" showErrorMessage="1" sqref="D8">
      <formula1>ClientTypeList</formula1>
    </dataValidation>
    <dataValidation type="decimal" allowBlank="1" showInputMessage="1" showErrorMessage="1" errorTitle="Check the value" error="Enter a number between 0 and 1000000." sqref="D9">
      <formula1>0</formula1>
      <formula2>1000000</formula2>
    </dataValidation>
    <dataValidation type="whole" allowBlank="1" showInputMessage="1" showErrorMessage="1" errorTitle="Check the value" error="Enter a number between 0 and 50." sqref="D10">
      <formula1>0</formula1>
      <formula2>50</formula2>
    </dataValidation>
    <dataValidation type="whole" allowBlank="1" showInputMessage="1" showErrorMessage="1" errorTitle="Check the value" error="Enter a number between 0 and 50." sqref="D11">
      <formula1>0</formula1>
      <formula2>50</formula2>
    </dataValidation>
    <dataValidation type="whole" allowBlank="1" showInputMessage="1" showErrorMessage="1" errorTitle="Check the value" error="Enter a number between 0 and 200." sqref="D12">
      <formula1>0</formula1>
      <formula2>200</formula2>
    </dataValidation>
    <dataValidation type="list" allowBlank="1" showInputMessage="1" showErrorMessage="1" sqref="D13">
      <formula1>ConditionList</formula1>
    </dataValidation>
    <dataValidation type="list" allowBlank="1" showInputMessage="1" showErrorMessage="1" sqref="D14">
      <formula1>FrequencyList</formula1>
    </dataValidation>
    <dataValidation type="list" allowBlank="1" showInputMessage="1" showErrorMessage="1" sqref="D15">
      <formula1>YesNoList</formula1>
    </dataValidation>
    <dataValidation type="decimal" allowBlank="1" showInputMessage="1" showErrorMessage="1" errorTitle="Check the value" error="Enter a number between 0 and 1000." sqref="D16">
      <formula1>0</formula1>
      <formula2>1000</formula2>
    </dataValidation>
    <dataValidation type="list" allowBlank="1" showInputMessage="1" showErrorMessage="1" sqref="D17">
      <formula1>YesNoList</formula1>
    </dataValidation>
    <dataValidation type="whole" allowBlank="1" showInputMessage="1" showErrorMessage="1" errorTitle="Check the value" error="Enter a number between 1 and 20." sqref="D18">
      <formula1>1</formula1>
      <formula2>20</formula2>
    </dataValidation>
    <dataValidation type="decimal" allowBlank="1" showInputMessage="1" showErrorMessage="1" errorTitle="Check the value" error="Enter a number between 0 and 200." sqref="D19">
      <formula1>0</formula1>
      <formula2>200</formula2>
    </dataValidation>
    <dataValidation type="decimal" allowBlank="1" showInputMessage="1" showErrorMessage="1" errorTitle="Check the value" error="Enter a number between 0 and 10000." sqref="D20">
      <formula1>0</formula1>
      <formula2>10000</formula2>
    </dataValidation>
    <dataValidation type="decimal" allowBlank="1" showInputMessage="1" showErrorMessage="1" errorTitle="Check the value" error="Enter a number between 0 and 1." sqref="D21">
      <formula1>0</formula1>
      <formula2>1</formula2>
    </dataValidation>
    <dataValidation type="list" allowBlank="1" showInputMessage="1" showErrorMessage="1" sqref="B26">
      <formula1>ServiceNames</formula1>
    </dataValidation>
    <dataValidation type="decimal" allowBlank="1" showInputMessage="1" showErrorMessage="1" errorTitle="Check the value" error="Enter a number between 0 and 1000." sqref="C26">
      <formula1>0</formula1>
      <formula2>1000</formula2>
    </dataValidation>
    <dataValidation type="list" allowBlank="1" showInputMessage="1" showErrorMessage="1" sqref="B27">
      <formula1>ServiceNames</formula1>
    </dataValidation>
    <dataValidation type="decimal" allowBlank="1" showInputMessage="1" showErrorMessage="1" errorTitle="Check the value" error="Enter a number between 0 and 1000." sqref="C27">
      <formula1>0</formula1>
      <formula2>1000</formula2>
    </dataValidation>
    <dataValidation type="list" allowBlank="1" showInputMessage="1" showErrorMessage="1" sqref="B28">
      <formula1>ServiceNames</formula1>
    </dataValidation>
    <dataValidation type="decimal" allowBlank="1" showInputMessage="1" showErrorMessage="1" errorTitle="Check the value" error="Enter a number between 0 and 1000." sqref="C28">
      <formula1>0</formula1>
      <formula2>1000</formula2>
    </dataValidation>
    <dataValidation type="list" allowBlank="1" showInputMessage="1" showErrorMessage="1" sqref="B29">
      <formula1>ServiceNames</formula1>
    </dataValidation>
    <dataValidation type="decimal" allowBlank="1" showInputMessage="1" showErrorMessage="1" errorTitle="Check the value" error="Enter a number between 0 and 1000." sqref="C29">
      <formula1>0</formula1>
      <formula2>1000</formula2>
    </dataValidation>
    <dataValidation type="list" allowBlank="1" showInputMessage="1" showErrorMessage="1" sqref="D50">
      <formula1>"A - by the hour,B - by floor area,C - by the room,D - catalogue price,E - target margin,F - my own price"</formula1>
    </dataValidation>
    <dataValidation type="decimal" allowBlank="1" showInputMessage="1" showErrorMessage="1" errorTitle="Check the value" error="Enter a number between 0 and 1000000." sqref="D51">
      <formula1>0</formula1>
      <formula2>1000000</formula2>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s>
  <pageMargins left="0.4" right="0.4" top="0.6" bottom="0.5" header="0.3" footer="0.3"/>
  <pageSetup paperSize="9" fitToHeight="0" orientation="landscape"/>
  <headerFooter>
    <oddHeader>&amp;L&amp;"Calibri,Bold"&amp;12&amp;C&amp;"Calibri,Bold"&amp;11Quote Calculator&amp;R&amp;"Calibri,Italic"&amp;9Cleaning Business CRM &amp; Pricing Calculator</oddHeader>
    <oddFooter>&amp;L&amp;"Calibri,Italic"&amp;8Novality Store - v1.0.0&amp;C&amp;"Calibri,Italic"&amp;8Page &amp;P of &amp;N&amp;R&amp;"Calibri,Italic"&amp;8&amp;D</oddFooter>
  </headerFooter>
</worksheet>
</file>

<file path=xl/worksheets/sheet5.xml><?xml version="1.0" encoding="utf-8"?>
<worksheet xmlns="http://schemas.openxmlformats.org/spreadsheetml/2006/main" xmlns:r="http://schemas.openxmlformats.org/officeDocument/2006/relationships">
  <sheetPr>
    <tabColor rgb="FF14616B"/>
    <pageSetUpPr fitToPage="1"/>
  </sheetPr>
  <dimension ref="A1:AS2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26.7109375" style="15" customWidth="1"/>
    <col min="3" max="3" width="16.7109375" style="15" customWidth="1"/>
    <col min="4" max="4" width="18.7109375" style="15" customWidth="1"/>
    <col min="5" max="5" width="15.7109375" style="15" customWidth="1"/>
    <col min="6" max="6" width="26.7109375" style="15" customWidth="1"/>
    <col min="7" max="7" width="34.7109375" style="44" customWidth="1"/>
    <col min="8" max="8" width="13.7109375" style="45" customWidth="1"/>
    <col min="9" max="9" width="16.7109375" style="15" customWidth="1"/>
    <col min="10" max="10" width="12.7109375" style="46" customWidth="1"/>
    <col min="11" max="11" width="14.7109375" style="15" customWidth="1"/>
    <col min="12" max="12" width="12.7109375" style="15" customWidth="1"/>
    <col min="13" max="13" width="14.7109375" style="15" customWidth="1"/>
    <col min="14" max="14" width="16.7109375" style="15" customWidth="1"/>
    <col min="15" max="15" width="13.7109375" style="19" customWidth="1"/>
    <col min="16" max="16" width="12.7109375" style="16" customWidth="1"/>
    <col min="17" max="17" width="14.7109375" style="15" customWidth="1"/>
    <col min="18" max="18" width="14.7109375" style="45" customWidth="1"/>
    <col min="19" max="19" width="12.7109375" style="46" customWidth="1"/>
    <col min="20" max="20" width="7.7109375" style="47" customWidth="1"/>
    <col min="21" max="21" width="11.7109375" style="47" customWidth="1"/>
    <col min="22" max="22" width="40.7109375" style="44" customWidth="1"/>
    <col min="23" max="23" width="10.7109375" style="31" customWidth="1"/>
    <col min="24" max="24" width="11.7109375" style="31" customWidth="1"/>
    <col min="25" max="25" width="10.7109375" style="31" customWidth="1"/>
    <col min="26" max="26" width="10.7109375" style="31" customWidth="1"/>
    <col min="27" max="27" width="12.7109375" style="18" customWidth="1"/>
    <col min="28" max="28" width="10.7109375" style="31" customWidth="1"/>
    <col min="29" max="29" width="12.7109375" style="18" customWidth="1"/>
    <col min="30" max="30" width="14.7109375" style="21" customWidth="1"/>
    <col min="31" max="31" width="13.7109375" style="21" customWidth="1"/>
    <col min="32" max="32" width="12.7109375" style="21" customWidth="1"/>
    <col min="33" max="33" width="12.7109375" style="21" customWidth="1"/>
    <col min="34" max="34" width="13.7109375" style="21" customWidth="1"/>
    <col min="35" max="35" width="9.7109375" style="38" customWidth="1"/>
    <col min="36" max="36" width="13.7109375" style="21" customWidth="1"/>
    <col min="37" max="37" width="11.7109375" style="34" customWidth="1"/>
    <col min="38" max="38" width="10.7109375" style="31" customWidth="1"/>
    <col min="39" max="39" width="9.7109375" style="31" hidden="1" customWidth="1"/>
    <col min="40" max="40" width="9.7109375" style="31" hidden="1" customWidth="1"/>
    <col min="41" max="41" width="9.7109375" style="31" hidden="1" customWidth="1"/>
    <col min="42" max="42" width="12.7109375" style="39" customWidth="1"/>
    <col min="43" max="43" width="9.7109375" style="34" hidden="1" customWidth="1"/>
    <col min="44" max="44" width="9.7109375" style="31" hidden="1" customWidth="1"/>
    <col min="45" max="45" width="30.7109375" style="39" customWidth="1"/>
  </cols>
  <sheetData>
    <row r="1" spans="1:45" ht="34" customHeight="1">
      <c r="A1" s="2" t="s">
        <v>539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3" t="s">
        <v>1</v>
      </c>
      <c r="AR1" s="3"/>
      <c r="AS1" s="3"/>
    </row>
    <row r="2" spans="1:45" ht="18" customHeight="1">
      <c r="A2" s="4" t="s">
        <v>540</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544</v>
      </c>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row>
    <row r="4" spans="1:45" ht="30" customHeight="1">
      <c r="A4" s="8" t="s">
        <v>545</v>
      </c>
      <c r="B4" s="8" t="s">
        <v>403</v>
      </c>
      <c r="C4" s="9" t="s">
        <v>404</v>
      </c>
      <c r="D4" s="9" t="s">
        <v>546</v>
      </c>
      <c r="E4" s="9" t="s">
        <v>181</v>
      </c>
      <c r="F4" s="9" t="s">
        <v>179</v>
      </c>
      <c r="G4" s="9" t="s">
        <v>547</v>
      </c>
      <c r="H4" s="9" t="s">
        <v>548</v>
      </c>
      <c r="I4" s="9" t="s">
        <v>549</v>
      </c>
      <c r="J4" s="9" t="s">
        <v>550</v>
      </c>
      <c r="K4" s="9" t="s">
        <v>551</v>
      </c>
      <c r="L4" s="9" t="s">
        <v>552</v>
      </c>
      <c r="M4" s="9" t="s">
        <v>553</v>
      </c>
      <c r="N4" s="9" t="s">
        <v>554</v>
      </c>
      <c r="O4" s="9" t="s">
        <v>555</v>
      </c>
      <c r="P4" s="9" t="s">
        <v>265</v>
      </c>
      <c r="Q4" s="9" t="s">
        <v>556</v>
      </c>
      <c r="R4" s="9" t="s">
        <v>557</v>
      </c>
      <c r="S4" s="9" t="s">
        <v>558</v>
      </c>
      <c r="T4" s="9" t="s">
        <v>559</v>
      </c>
      <c r="U4" s="9" t="s">
        <v>560</v>
      </c>
      <c r="V4" s="9" t="s">
        <v>421</v>
      </c>
      <c r="W4" s="9" t="s">
        <v>561</v>
      </c>
      <c r="X4" s="9" t="s">
        <v>397</v>
      </c>
      <c r="Y4" s="9" t="s">
        <v>405</v>
      </c>
      <c r="Z4" s="9" t="s">
        <v>562</v>
      </c>
      <c r="AA4" s="9" t="s">
        <v>410</v>
      </c>
      <c r="AB4" s="9" t="s">
        <v>563</v>
      </c>
      <c r="AC4" s="9" t="s">
        <v>564</v>
      </c>
      <c r="AD4" s="9" t="s">
        <v>565</v>
      </c>
      <c r="AE4" s="9" t="s">
        <v>566</v>
      </c>
      <c r="AF4" s="9" t="s">
        <v>567</v>
      </c>
      <c r="AG4" s="9" t="s">
        <v>568</v>
      </c>
      <c r="AH4" s="9" t="s">
        <v>569</v>
      </c>
      <c r="AI4" s="9" t="s">
        <v>408</v>
      </c>
      <c r="AJ4" s="9" t="s">
        <v>536</v>
      </c>
      <c r="AK4" s="9" t="s">
        <v>570</v>
      </c>
      <c r="AL4" s="9" t="s">
        <v>389</v>
      </c>
      <c r="AM4" s="9" t="s">
        <v>571</v>
      </c>
      <c r="AN4" s="9" t="s">
        <v>571</v>
      </c>
      <c r="AO4" s="9" t="s">
        <v>571</v>
      </c>
      <c r="AP4" s="9" t="s">
        <v>411</v>
      </c>
      <c r="AQ4" s="9" t="s">
        <v>572</v>
      </c>
      <c r="AR4" s="9" t="s">
        <v>573</v>
      </c>
      <c r="AS4" s="9" t="s">
        <v>574</v>
      </c>
    </row>
    <row r="5" spans="1:45">
      <c r="A5" s="43">
        <f>IF(B5="","",ClientPrefix&amp;TEXT(ROW()-4,"0000"))</f>
        <v>0</v>
      </c>
      <c r="B5" s="15" t="s">
        <v>575</v>
      </c>
      <c r="C5" s="15" t="s">
        <v>440</v>
      </c>
      <c r="D5" s="15" t="s">
        <v>576</v>
      </c>
      <c r="E5" s="15" t="s">
        <v>577</v>
      </c>
      <c r="F5" s="15" t="s">
        <v>578</v>
      </c>
      <c r="G5" s="44" t="s">
        <v>579</v>
      </c>
      <c r="H5" s="45" t="s">
        <v>580</v>
      </c>
      <c r="I5" s="15" t="s">
        <v>581</v>
      </c>
      <c r="J5" s="46">
        <v>45553</v>
      </c>
      <c r="K5" s="15" t="s">
        <v>451</v>
      </c>
      <c r="L5" s="15" t="s">
        <v>582</v>
      </c>
      <c r="M5" s="15" t="s">
        <v>583</v>
      </c>
      <c r="N5" s="15" t="s">
        <v>584</v>
      </c>
      <c r="O5" s="19">
        <v>45</v>
      </c>
      <c r="P5" s="16">
        <v>7</v>
      </c>
      <c r="R5" s="45" t="s">
        <v>585</v>
      </c>
      <c r="T5" s="47" t="s">
        <v>457</v>
      </c>
      <c r="U5" s="47" t="s">
        <v>454</v>
      </c>
      <c r="V5" s="44" t="s">
        <v>586</v>
      </c>
      <c r="W5" s="31">
        <f>IF(A5="","",COUNTIFS(Properties!$C$5:$C$254,A5))</f>
        <v>0</v>
      </c>
      <c r="X5" s="31">
        <f>IF(A5="","",COUNTIFS(Jobs!$G$5:$G$604,A5))</f>
        <v>0</v>
      </c>
      <c r="Y5" s="31">
        <f>IF(A5="","",COUNTIFS(Jobs!$G$5:$G$604,A5,Jobs!$P$5:$P$604,"Completed")+COUNTIFS(Jobs!$G$5:$G$604,A5,Jobs!$P$5:$P$604,"Invoiced"))</f>
        <v>0</v>
      </c>
      <c r="Z5" s="31">
        <f>IF(A5="","",COUNTIFS(Jobs!$G$5:$G$604,A5,Jobs!$P$5:$P$604,"Cancelled")+COUNTIFS(Jobs!$G$5:$G$604,A5,Jobs!$P$5:$P$604,"No access"))</f>
        <v>0</v>
      </c>
      <c r="AA5" s="18">
        <f>IF(A5="","",IF(SUMPRODUCT(MAX((Jobs!$G$5:$G$604=A5)*((Jobs!$P$5:$P$604="Completed")+(Jobs!$P$5:$P$604="Invoiced"))*Jobs!$B$5:$B$604))=0,"",SUMPRODUCT(MAX((Jobs!$G$5:$G$604=A5)*((Jobs!$P$5:$P$604="Completed")+(Jobs!$P$5:$P$604="Invoiced"))*Jobs!$B$5:$B$604))))</f>
        <v>0</v>
      </c>
      <c r="AB5" s="31">
        <f>IF(AA5="","",TodayDate-AA5)</f>
        <v>0</v>
      </c>
      <c r="AC5" s="18">
        <f>IF(A5="","",IF(SUMPRODUCT(MIN((Jobs!$G$5:$G$604=A5)*(Jobs!$B$5:$B$604&gt;=TodayDate)*(Jobs!$P$5:$P$604&lt;&gt;"Cancelled")*Jobs!$B$5:$B$604+(1-(Jobs!$G$5:$G$604=A5)*(Jobs!$B$5:$B$604&gt;=TodayDate)*(Jobs!$P$5:$P$604&lt;&gt;"Cancelled"))*2958465))=2958465,"",SUMPRODUCT(MIN((Jobs!$G$5:$G$604=A5)*(Jobs!$B$5:$B$604&gt;=TodayDate)*(Jobs!$P$5:$P$604&lt;&gt;"Cancelled")*Jobs!$B$5:$B$604+(1-(Jobs!$G$5:$G$604=A5)*(Jobs!$B$5:$B$604&gt;=TodayDate)*(Jobs!$P$5:$P$604&lt;&gt;"Cancelled"))*2958465))))</f>
        <v>0</v>
      </c>
      <c r="AD5" s="21">
        <f>IF(A5="","",SUMIFS(Invoices!$V$5:$V$404,Invoices!$D$5:$D$404,A5))</f>
        <v>0</v>
      </c>
      <c r="AE5" s="21">
        <f>IF(A5="","",SUMIFS(Invoices!$W$5:$W$404,Invoices!$D$5:$D$404,A5))</f>
        <v>0</v>
      </c>
      <c r="AF5" s="21">
        <f>IF(A5="","",AD5-AE5)</f>
        <v>0</v>
      </c>
      <c r="AG5" s="21">
        <f>IF(OR(A5="",Y5=0),"",AD5/Y5)</f>
        <v>0</v>
      </c>
      <c r="AH5" s="21">
        <f>IF(A5="","",SUMIFS('Job Costing'!$U$5:$U$604,'Job Costing'!$D$5:$D$604,A5))</f>
        <v>0</v>
      </c>
      <c r="AI5" s="38">
        <f>IF(OR(A5="",AD5=0),"",AH5/AD5)</f>
        <v>0</v>
      </c>
      <c r="AJ5" s="21">
        <f>IF(OR(A5="",K5="",AG5=""),"",AG5*IFERROR(INDEX(FreqPerYear,MATCH(K5,FreqNames,0)),1))</f>
        <v>0</v>
      </c>
      <c r="AK5" s="34">
        <f>IF(A5="","",IFERROR(AVERAGEIFS(Jobs!$AA$5:$AA$604,Jobs!$G$5:$G$604,A5,Jobs!$AA$5:$AA$604,"&gt;0"),""))</f>
        <v>0</v>
      </c>
      <c r="AL5" s="31">
        <f>IF(A5="","",COUNTIFS(Complaints!$D$5:$D$84,A5))</f>
        <v>0</v>
      </c>
      <c r="AM5" s="31">
        <f>IF(B5="","",COUNTIFS($AD$5:$AD$204,"&gt;"&amp;AD5)+COUNTIFS($AD$5:AD5,AD5))</f>
        <v>0</v>
      </c>
      <c r="AN5" s="31">
        <f>IF(B5="","",COUNTIFS($AH$5:$AH$204,"&gt;"&amp;AH5)+COUNTIFS($AH$5:AH5,AH5))</f>
        <v>0</v>
      </c>
      <c r="AO5" s="31">
        <f>IF(B5="","",COUNTIFS($AJ$5:$AJ$204,"&gt;"&amp;AJ5)+COUNTIFS($AJ$5:AJ5,AJ5))</f>
        <v>0</v>
      </c>
      <c r="AP5" s="39">
        <f>IF(B5="","",IF(H5="Lost","Lost",IF(H5="Inactive","Dormant",IF(AA5="","Dormant",IF(AB5&gt;InactiveClientDays*2,"Dormant",IF(AB5&gt;InactiveClientDays,"At risk",IF(AC5="","Slipping",IF(Y5&gt;=10,"Loyal","Steady"))))))))</f>
        <v>0</v>
      </c>
      <c r="AQ5" s="34">
        <f>IF(OR(B5="",AP5="Lost",AP5="Dormant"),"",IF(OR(AP5="At risk",AP5="Slipping"),IF(AB5="",999,AB5),""))</f>
        <v>0</v>
      </c>
      <c r="AR5" s="31">
        <f>IF(AQ5="","",COUNTIFS($AQ$5:$AQ$204,"&gt;"&amp;AQ5)+COUNTIFS($AQ$5:AQ5,AQ5))</f>
        <v>0</v>
      </c>
      <c r="AS5" s="39">
        <f>IF(B5="","",IF(AF5&gt;0.5,"Chase - "&amp;TEXT(AF5,"0")&amp;" owing",IF(AND(H5&lt;&gt;"Lost",H5&lt;&gt;"Inactive",H5&lt;&gt;"Paused",AC5="",K5&lt;&gt;"One-off"),"Book - nothing in the diary",IF(AND(S5&lt;&gt;"",S5-TodayDate&lt;=RenewalWarningDays,S5&gt;=TodayDate),"Due - contract renews soon",IF(AP5="At risk","Call - going quiet",IF(AL5&gt;=2,"Check - complaints logged",IF(AND(AI5&lt;&gt;"",AI5&lt;MarginFloor,Y5&gt;0),"Check - thin margin","OK")))))))</f>
        <v>0</v>
      </c>
    </row>
    <row r="6" spans="1:45">
      <c r="A6" s="43">
        <f>IF(B6="","",ClientPrefix&amp;TEXT(ROW()-4,"0000"))</f>
        <v>0</v>
      </c>
      <c r="B6" s="15" t="s">
        <v>587</v>
      </c>
      <c r="C6" s="15" t="s">
        <v>440</v>
      </c>
      <c r="D6" s="15" t="s">
        <v>588</v>
      </c>
      <c r="E6" s="15" t="s">
        <v>589</v>
      </c>
      <c r="F6" s="15" t="s">
        <v>590</v>
      </c>
      <c r="G6" s="44" t="s">
        <v>591</v>
      </c>
      <c r="H6" s="45" t="s">
        <v>580</v>
      </c>
      <c r="I6" s="15" t="s">
        <v>592</v>
      </c>
      <c r="J6" s="46">
        <v>45773</v>
      </c>
      <c r="K6" s="15" t="s">
        <v>593</v>
      </c>
      <c r="L6" s="15" t="s">
        <v>594</v>
      </c>
      <c r="M6" s="15" t="s">
        <v>595</v>
      </c>
      <c r="N6" s="15" t="s">
        <v>596</v>
      </c>
      <c r="O6" s="19">
        <v>45</v>
      </c>
      <c r="P6" s="16">
        <v>7</v>
      </c>
      <c r="R6" s="45" t="s">
        <v>585</v>
      </c>
      <c r="T6" s="47" t="s">
        <v>457</v>
      </c>
      <c r="U6" s="47" t="s">
        <v>454</v>
      </c>
      <c r="V6" s="44" t="s">
        <v>597</v>
      </c>
      <c r="W6" s="31">
        <f>IF(A6="","",COUNTIFS(Properties!$C$5:$C$254,A6))</f>
        <v>0</v>
      </c>
      <c r="X6" s="31">
        <f>IF(A6="","",COUNTIFS(Jobs!$G$5:$G$604,A6))</f>
        <v>0</v>
      </c>
      <c r="Y6" s="31">
        <f>IF(A6="","",COUNTIFS(Jobs!$G$5:$G$604,A6,Jobs!$P$5:$P$604,"Completed")+COUNTIFS(Jobs!$G$5:$G$604,A6,Jobs!$P$5:$P$604,"Invoiced"))</f>
        <v>0</v>
      </c>
      <c r="Z6" s="31">
        <f>IF(A6="","",COUNTIFS(Jobs!$G$5:$G$604,A6,Jobs!$P$5:$P$604,"Cancelled")+COUNTIFS(Jobs!$G$5:$G$604,A6,Jobs!$P$5:$P$604,"No access"))</f>
        <v>0</v>
      </c>
      <c r="AA6" s="18">
        <f>IF(A6="","",IF(SUMPRODUCT(MAX((Jobs!$G$5:$G$604=A6)*((Jobs!$P$5:$P$604="Completed")+(Jobs!$P$5:$P$604="Invoiced"))*Jobs!$B$5:$B$604))=0,"",SUMPRODUCT(MAX((Jobs!$G$5:$G$604=A6)*((Jobs!$P$5:$P$604="Completed")+(Jobs!$P$5:$P$604="Invoiced"))*Jobs!$B$5:$B$604))))</f>
        <v>0</v>
      </c>
      <c r="AB6" s="31">
        <f>IF(AA6="","",TodayDate-AA6)</f>
        <v>0</v>
      </c>
      <c r="AC6" s="18">
        <f>IF(A6="","",IF(SUMPRODUCT(MIN((Jobs!$G$5:$G$604=A6)*(Jobs!$B$5:$B$604&gt;=TodayDate)*(Jobs!$P$5:$P$604&lt;&gt;"Cancelled")*Jobs!$B$5:$B$604+(1-(Jobs!$G$5:$G$604=A6)*(Jobs!$B$5:$B$604&gt;=TodayDate)*(Jobs!$P$5:$P$604&lt;&gt;"Cancelled"))*2958465))=2958465,"",SUMPRODUCT(MIN((Jobs!$G$5:$G$604=A6)*(Jobs!$B$5:$B$604&gt;=TodayDate)*(Jobs!$P$5:$P$604&lt;&gt;"Cancelled")*Jobs!$B$5:$B$604+(1-(Jobs!$G$5:$G$604=A6)*(Jobs!$B$5:$B$604&gt;=TodayDate)*(Jobs!$P$5:$P$604&lt;&gt;"Cancelled"))*2958465))))</f>
        <v>0</v>
      </c>
      <c r="AD6" s="21">
        <f>IF(A6="","",SUMIFS(Invoices!$V$5:$V$404,Invoices!$D$5:$D$404,A6))</f>
        <v>0</v>
      </c>
      <c r="AE6" s="21">
        <f>IF(A6="","",SUMIFS(Invoices!$W$5:$W$404,Invoices!$D$5:$D$404,A6))</f>
        <v>0</v>
      </c>
      <c r="AF6" s="21">
        <f>IF(A6="","",AD6-AE6)</f>
        <v>0</v>
      </c>
      <c r="AG6" s="21">
        <f>IF(OR(A6="",Y6=0),"",AD6/Y6)</f>
        <v>0</v>
      </c>
      <c r="AH6" s="21">
        <f>IF(A6="","",SUMIFS('Job Costing'!$U$5:$U$604,'Job Costing'!$D$5:$D$604,A6))</f>
        <v>0</v>
      </c>
      <c r="AI6" s="38">
        <f>IF(OR(A6="",AD6=0),"",AH6/AD6)</f>
        <v>0</v>
      </c>
      <c r="AJ6" s="21">
        <f>IF(OR(A6="",K6="",AG6=""),"",AG6*IFERROR(INDEX(FreqPerYear,MATCH(K6,FreqNames,0)),1))</f>
        <v>0</v>
      </c>
      <c r="AK6" s="34">
        <f>IF(A6="","",IFERROR(AVERAGEIFS(Jobs!$AA$5:$AA$604,Jobs!$G$5:$G$604,A6,Jobs!$AA$5:$AA$604,"&gt;0"),""))</f>
        <v>0</v>
      </c>
      <c r="AL6" s="31">
        <f>IF(A6="","",COUNTIFS(Complaints!$D$5:$D$84,A6))</f>
        <v>0</v>
      </c>
      <c r="AM6" s="31">
        <f>IF(B6="","",COUNTIFS($AD$5:$AD$204,"&gt;"&amp;AD6)+COUNTIFS($AD$5:AD6,AD6))</f>
        <v>0</v>
      </c>
      <c r="AN6" s="31">
        <f>IF(B6="","",COUNTIFS($AH$5:$AH$204,"&gt;"&amp;AH6)+COUNTIFS($AH$5:AH6,AH6))</f>
        <v>0</v>
      </c>
      <c r="AO6" s="31">
        <f>IF(B6="","",COUNTIFS($AJ$5:$AJ$204,"&gt;"&amp;AJ6)+COUNTIFS($AJ$5:AJ6,AJ6))</f>
        <v>0</v>
      </c>
      <c r="AP6" s="39">
        <f>IF(B6="","",IF(H6="Lost","Lost",IF(H6="Inactive","Dormant",IF(AA6="","Dormant",IF(AB6&gt;InactiveClientDays*2,"Dormant",IF(AB6&gt;InactiveClientDays,"At risk",IF(AC6="","Slipping",IF(Y6&gt;=10,"Loyal","Steady"))))))))</f>
        <v>0</v>
      </c>
      <c r="AQ6" s="34">
        <f>IF(OR(B6="",AP6="Lost",AP6="Dormant"),"",IF(OR(AP6="At risk",AP6="Slipping"),IF(AB6="",999,AB6),""))</f>
        <v>0</v>
      </c>
      <c r="AR6" s="31">
        <f>IF(AQ6="","",COUNTIFS($AQ$5:$AQ$204,"&gt;"&amp;AQ6)+COUNTIFS($AQ$5:AQ6,AQ6))</f>
        <v>0</v>
      </c>
      <c r="AS6" s="39">
        <f>IF(B6="","",IF(AF6&gt;0.5,"Chase - "&amp;TEXT(AF6,"0")&amp;" owing",IF(AND(H6&lt;&gt;"Lost",H6&lt;&gt;"Inactive",H6&lt;&gt;"Paused",AC6="",K6&lt;&gt;"One-off"),"Book - nothing in the diary",IF(AND(S6&lt;&gt;"",S6-TodayDate&lt;=RenewalWarningDays,S6&gt;=TodayDate),"Due - contract renews soon",IF(AP6="At risk","Call - going quiet",IF(AL6&gt;=2,"Check - complaints logged",IF(AND(AI6&lt;&gt;"",AI6&lt;MarginFloor,Y6&gt;0),"Check - thin margin","OK")))))))</f>
        <v>0</v>
      </c>
    </row>
    <row r="7" spans="1:45">
      <c r="A7" s="43">
        <f>IF(B7="","",ClientPrefix&amp;TEXT(ROW()-4,"0000"))</f>
        <v>0</v>
      </c>
      <c r="B7" s="15" t="s">
        <v>598</v>
      </c>
      <c r="C7" s="15" t="s">
        <v>599</v>
      </c>
      <c r="D7" s="15" t="s">
        <v>600</v>
      </c>
      <c r="E7" s="15" t="s">
        <v>601</v>
      </c>
      <c r="F7" s="15" t="s">
        <v>602</v>
      </c>
      <c r="G7" s="44" t="s">
        <v>603</v>
      </c>
      <c r="H7" s="45" t="s">
        <v>604</v>
      </c>
      <c r="I7" s="15" t="s">
        <v>605</v>
      </c>
      <c r="J7" s="46">
        <v>45883</v>
      </c>
      <c r="K7" s="15" t="s">
        <v>451</v>
      </c>
      <c r="L7" s="15" t="s">
        <v>606</v>
      </c>
      <c r="M7" s="15" t="s">
        <v>607</v>
      </c>
      <c r="N7" s="15" t="s">
        <v>608</v>
      </c>
      <c r="O7" s="19">
        <v>52</v>
      </c>
      <c r="P7" s="16">
        <v>14</v>
      </c>
      <c r="R7" s="45" t="s">
        <v>609</v>
      </c>
      <c r="T7" s="47" t="s">
        <v>454</v>
      </c>
      <c r="U7" s="47" t="s">
        <v>454</v>
      </c>
      <c r="V7" s="44" t="s">
        <v>610</v>
      </c>
      <c r="W7" s="31">
        <f>IF(A7="","",COUNTIFS(Properties!$C$5:$C$254,A7))</f>
        <v>0</v>
      </c>
      <c r="X7" s="31">
        <f>IF(A7="","",COUNTIFS(Jobs!$G$5:$G$604,A7))</f>
        <v>0</v>
      </c>
      <c r="Y7" s="31">
        <f>IF(A7="","",COUNTIFS(Jobs!$G$5:$G$604,A7,Jobs!$P$5:$P$604,"Completed")+COUNTIFS(Jobs!$G$5:$G$604,A7,Jobs!$P$5:$P$604,"Invoiced"))</f>
        <v>0</v>
      </c>
      <c r="Z7" s="31">
        <f>IF(A7="","",COUNTIFS(Jobs!$G$5:$G$604,A7,Jobs!$P$5:$P$604,"Cancelled")+COUNTIFS(Jobs!$G$5:$G$604,A7,Jobs!$P$5:$P$604,"No access"))</f>
        <v>0</v>
      </c>
      <c r="AA7" s="18">
        <f>IF(A7="","",IF(SUMPRODUCT(MAX((Jobs!$G$5:$G$604=A7)*((Jobs!$P$5:$P$604="Completed")+(Jobs!$P$5:$P$604="Invoiced"))*Jobs!$B$5:$B$604))=0,"",SUMPRODUCT(MAX((Jobs!$G$5:$G$604=A7)*((Jobs!$P$5:$P$604="Completed")+(Jobs!$P$5:$P$604="Invoiced"))*Jobs!$B$5:$B$604))))</f>
        <v>0</v>
      </c>
      <c r="AB7" s="31">
        <f>IF(AA7="","",TodayDate-AA7)</f>
        <v>0</v>
      </c>
      <c r="AC7" s="18">
        <f>IF(A7="","",IF(SUMPRODUCT(MIN((Jobs!$G$5:$G$604=A7)*(Jobs!$B$5:$B$604&gt;=TodayDate)*(Jobs!$P$5:$P$604&lt;&gt;"Cancelled")*Jobs!$B$5:$B$604+(1-(Jobs!$G$5:$G$604=A7)*(Jobs!$B$5:$B$604&gt;=TodayDate)*(Jobs!$P$5:$P$604&lt;&gt;"Cancelled"))*2958465))=2958465,"",SUMPRODUCT(MIN((Jobs!$G$5:$G$604=A7)*(Jobs!$B$5:$B$604&gt;=TodayDate)*(Jobs!$P$5:$P$604&lt;&gt;"Cancelled")*Jobs!$B$5:$B$604+(1-(Jobs!$G$5:$G$604=A7)*(Jobs!$B$5:$B$604&gt;=TodayDate)*(Jobs!$P$5:$P$604&lt;&gt;"Cancelled"))*2958465))))</f>
        <v>0</v>
      </c>
      <c r="AD7" s="21">
        <f>IF(A7="","",SUMIFS(Invoices!$V$5:$V$404,Invoices!$D$5:$D$404,A7))</f>
        <v>0</v>
      </c>
      <c r="AE7" s="21">
        <f>IF(A7="","",SUMIFS(Invoices!$W$5:$W$404,Invoices!$D$5:$D$404,A7))</f>
        <v>0</v>
      </c>
      <c r="AF7" s="21">
        <f>IF(A7="","",AD7-AE7)</f>
        <v>0</v>
      </c>
      <c r="AG7" s="21">
        <f>IF(OR(A7="",Y7=0),"",AD7/Y7)</f>
        <v>0</v>
      </c>
      <c r="AH7" s="21">
        <f>IF(A7="","",SUMIFS('Job Costing'!$U$5:$U$604,'Job Costing'!$D$5:$D$604,A7))</f>
        <v>0</v>
      </c>
      <c r="AI7" s="38">
        <f>IF(OR(A7="",AD7=0),"",AH7/AD7)</f>
        <v>0</v>
      </c>
      <c r="AJ7" s="21">
        <f>IF(OR(A7="",K7="",AG7=""),"",AG7*IFERROR(INDEX(FreqPerYear,MATCH(K7,FreqNames,0)),1))</f>
        <v>0</v>
      </c>
      <c r="AK7" s="34">
        <f>IF(A7="","",IFERROR(AVERAGEIFS(Jobs!$AA$5:$AA$604,Jobs!$G$5:$G$604,A7,Jobs!$AA$5:$AA$604,"&gt;0"),""))</f>
        <v>0</v>
      </c>
      <c r="AL7" s="31">
        <f>IF(A7="","",COUNTIFS(Complaints!$D$5:$D$84,A7))</f>
        <v>0</v>
      </c>
      <c r="AM7" s="31">
        <f>IF(B7="","",COUNTIFS($AD$5:$AD$204,"&gt;"&amp;AD7)+COUNTIFS($AD$5:AD7,AD7))</f>
        <v>0</v>
      </c>
      <c r="AN7" s="31">
        <f>IF(B7="","",COUNTIFS($AH$5:$AH$204,"&gt;"&amp;AH7)+COUNTIFS($AH$5:AH7,AH7))</f>
        <v>0</v>
      </c>
      <c r="AO7" s="31">
        <f>IF(B7="","",COUNTIFS($AJ$5:$AJ$204,"&gt;"&amp;AJ7)+COUNTIFS($AJ$5:AJ7,AJ7))</f>
        <v>0</v>
      </c>
      <c r="AP7" s="39">
        <f>IF(B7="","",IF(H7="Lost","Lost",IF(H7="Inactive","Dormant",IF(AA7="","Dormant",IF(AB7&gt;InactiveClientDays*2,"Dormant",IF(AB7&gt;InactiveClientDays,"At risk",IF(AC7="","Slipping",IF(Y7&gt;=10,"Loyal","Steady"))))))))</f>
        <v>0</v>
      </c>
      <c r="AQ7" s="34">
        <f>IF(OR(B7="",AP7="Lost",AP7="Dormant"),"",IF(OR(AP7="At risk",AP7="Slipping"),IF(AB7="",999,AB7),""))</f>
        <v>0</v>
      </c>
      <c r="AR7" s="31">
        <f>IF(AQ7="","",COUNTIFS($AQ$5:$AQ$204,"&gt;"&amp;AQ7)+COUNTIFS($AQ$5:AQ7,AQ7))</f>
        <v>0</v>
      </c>
      <c r="AS7" s="39">
        <f>IF(B7="","",IF(AF7&gt;0.5,"Chase - "&amp;TEXT(AF7,"0")&amp;" owing",IF(AND(H7&lt;&gt;"Lost",H7&lt;&gt;"Inactive",H7&lt;&gt;"Paused",AC7="",K7&lt;&gt;"One-off"),"Book - nothing in the diary",IF(AND(S7&lt;&gt;"",S7-TodayDate&lt;=RenewalWarningDays,S7&gt;=TodayDate),"Due - contract renews soon",IF(AP7="At risk","Call - going quiet",IF(AL7&gt;=2,"Check - complaints logged",IF(AND(AI7&lt;&gt;"",AI7&lt;MarginFloor,Y7&gt;0),"Check - thin margin","OK")))))))</f>
        <v>0</v>
      </c>
    </row>
    <row r="8" spans="1:45">
      <c r="A8" s="43">
        <f>IF(B8="","",ClientPrefix&amp;TEXT(ROW()-4,"0000"))</f>
        <v>0</v>
      </c>
      <c r="B8" s="15" t="s">
        <v>611</v>
      </c>
      <c r="C8" s="15" t="s">
        <v>612</v>
      </c>
      <c r="D8" s="15" t="s">
        <v>613</v>
      </c>
      <c r="E8" s="15" t="s">
        <v>614</v>
      </c>
      <c r="F8" s="15" t="s">
        <v>615</v>
      </c>
      <c r="G8" s="44" t="s">
        <v>616</v>
      </c>
      <c r="H8" s="45" t="s">
        <v>580</v>
      </c>
      <c r="I8" s="15" t="s">
        <v>592</v>
      </c>
      <c r="J8" s="46">
        <v>45693</v>
      </c>
      <c r="K8" s="15" t="s">
        <v>617</v>
      </c>
      <c r="L8" s="15" t="s">
        <v>201</v>
      </c>
      <c r="M8" s="15" t="s">
        <v>607</v>
      </c>
      <c r="N8" s="15" t="s">
        <v>608</v>
      </c>
      <c r="O8" s="19">
        <v>50</v>
      </c>
      <c r="P8" s="16">
        <v>14</v>
      </c>
      <c r="R8" s="45" t="s">
        <v>609</v>
      </c>
      <c r="T8" s="47" t="s">
        <v>454</v>
      </c>
      <c r="U8" s="47" t="s">
        <v>454</v>
      </c>
      <c r="V8" s="44" t="s">
        <v>618</v>
      </c>
      <c r="W8" s="31">
        <f>IF(A8="","",COUNTIFS(Properties!$C$5:$C$254,A8))</f>
        <v>0</v>
      </c>
      <c r="X8" s="31">
        <f>IF(A8="","",COUNTIFS(Jobs!$G$5:$G$604,A8))</f>
        <v>0</v>
      </c>
      <c r="Y8" s="31">
        <f>IF(A8="","",COUNTIFS(Jobs!$G$5:$G$604,A8,Jobs!$P$5:$P$604,"Completed")+COUNTIFS(Jobs!$G$5:$G$604,A8,Jobs!$P$5:$P$604,"Invoiced"))</f>
        <v>0</v>
      </c>
      <c r="Z8" s="31">
        <f>IF(A8="","",COUNTIFS(Jobs!$G$5:$G$604,A8,Jobs!$P$5:$P$604,"Cancelled")+COUNTIFS(Jobs!$G$5:$G$604,A8,Jobs!$P$5:$P$604,"No access"))</f>
        <v>0</v>
      </c>
      <c r="AA8" s="18">
        <f>IF(A8="","",IF(SUMPRODUCT(MAX((Jobs!$G$5:$G$604=A8)*((Jobs!$P$5:$P$604="Completed")+(Jobs!$P$5:$P$604="Invoiced"))*Jobs!$B$5:$B$604))=0,"",SUMPRODUCT(MAX((Jobs!$G$5:$G$604=A8)*((Jobs!$P$5:$P$604="Completed")+(Jobs!$P$5:$P$604="Invoiced"))*Jobs!$B$5:$B$604))))</f>
        <v>0</v>
      </c>
      <c r="AB8" s="31">
        <f>IF(AA8="","",TodayDate-AA8)</f>
        <v>0</v>
      </c>
      <c r="AC8" s="18">
        <f>IF(A8="","",IF(SUMPRODUCT(MIN((Jobs!$G$5:$G$604=A8)*(Jobs!$B$5:$B$604&gt;=TodayDate)*(Jobs!$P$5:$P$604&lt;&gt;"Cancelled")*Jobs!$B$5:$B$604+(1-(Jobs!$G$5:$G$604=A8)*(Jobs!$B$5:$B$604&gt;=TodayDate)*(Jobs!$P$5:$P$604&lt;&gt;"Cancelled"))*2958465))=2958465,"",SUMPRODUCT(MIN((Jobs!$G$5:$G$604=A8)*(Jobs!$B$5:$B$604&gt;=TodayDate)*(Jobs!$P$5:$P$604&lt;&gt;"Cancelled")*Jobs!$B$5:$B$604+(1-(Jobs!$G$5:$G$604=A8)*(Jobs!$B$5:$B$604&gt;=TodayDate)*(Jobs!$P$5:$P$604&lt;&gt;"Cancelled"))*2958465))))</f>
        <v>0</v>
      </c>
      <c r="AD8" s="21">
        <f>IF(A8="","",SUMIFS(Invoices!$V$5:$V$404,Invoices!$D$5:$D$404,A8))</f>
        <v>0</v>
      </c>
      <c r="AE8" s="21">
        <f>IF(A8="","",SUMIFS(Invoices!$W$5:$W$404,Invoices!$D$5:$D$404,A8))</f>
        <v>0</v>
      </c>
      <c r="AF8" s="21">
        <f>IF(A8="","",AD8-AE8)</f>
        <v>0</v>
      </c>
      <c r="AG8" s="21">
        <f>IF(OR(A8="",Y8=0),"",AD8/Y8)</f>
        <v>0</v>
      </c>
      <c r="AH8" s="21">
        <f>IF(A8="","",SUMIFS('Job Costing'!$U$5:$U$604,'Job Costing'!$D$5:$D$604,A8))</f>
        <v>0</v>
      </c>
      <c r="AI8" s="38">
        <f>IF(OR(A8="",AD8=0),"",AH8/AD8)</f>
        <v>0</v>
      </c>
      <c r="AJ8" s="21">
        <f>IF(OR(A8="",K8="",AG8=""),"",AG8*IFERROR(INDEX(FreqPerYear,MATCH(K8,FreqNames,0)),1))</f>
        <v>0</v>
      </c>
      <c r="AK8" s="34">
        <f>IF(A8="","",IFERROR(AVERAGEIFS(Jobs!$AA$5:$AA$604,Jobs!$G$5:$G$604,A8,Jobs!$AA$5:$AA$604,"&gt;0"),""))</f>
        <v>0</v>
      </c>
      <c r="AL8" s="31">
        <f>IF(A8="","",COUNTIFS(Complaints!$D$5:$D$84,A8))</f>
        <v>0</v>
      </c>
      <c r="AM8" s="31">
        <f>IF(B8="","",COUNTIFS($AD$5:$AD$204,"&gt;"&amp;AD8)+COUNTIFS($AD$5:AD8,AD8))</f>
        <v>0</v>
      </c>
      <c r="AN8" s="31">
        <f>IF(B8="","",COUNTIFS($AH$5:$AH$204,"&gt;"&amp;AH8)+COUNTIFS($AH$5:AH8,AH8))</f>
        <v>0</v>
      </c>
      <c r="AO8" s="31">
        <f>IF(B8="","",COUNTIFS($AJ$5:$AJ$204,"&gt;"&amp;AJ8)+COUNTIFS($AJ$5:AJ8,AJ8))</f>
        <v>0</v>
      </c>
      <c r="AP8" s="39">
        <f>IF(B8="","",IF(H8="Lost","Lost",IF(H8="Inactive","Dormant",IF(AA8="","Dormant",IF(AB8&gt;InactiveClientDays*2,"Dormant",IF(AB8&gt;InactiveClientDays,"At risk",IF(AC8="","Slipping",IF(Y8&gt;=10,"Loyal","Steady"))))))))</f>
        <v>0</v>
      </c>
      <c r="AQ8" s="34">
        <f>IF(OR(B8="",AP8="Lost",AP8="Dormant"),"",IF(OR(AP8="At risk",AP8="Slipping"),IF(AB8="",999,AB8),""))</f>
        <v>0</v>
      </c>
      <c r="AR8" s="31">
        <f>IF(AQ8="","",COUNTIFS($AQ$5:$AQ$204,"&gt;"&amp;AQ8)+COUNTIFS($AQ$5:AQ8,AQ8))</f>
        <v>0</v>
      </c>
      <c r="AS8" s="39">
        <f>IF(B8="","",IF(AF8&gt;0.5,"Chase - "&amp;TEXT(AF8,"0")&amp;" owing",IF(AND(H8&lt;&gt;"Lost",H8&lt;&gt;"Inactive",H8&lt;&gt;"Paused",AC8="",K8&lt;&gt;"One-off"),"Book - nothing in the diary",IF(AND(S8&lt;&gt;"",S8-TodayDate&lt;=RenewalWarningDays,S8&gt;=TodayDate),"Due - contract renews soon",IF(AP8="At risk","Call - going quiet",IF(AL8&gt;=2,"Check - complaints logged",IF(AND(AI8&lt;&gt;"",AI8&lt;MarginFloor,Y8&gt;0),"Check - thin margin","OK")))))))</f>
        <v>0</v>
      </c>
    </row>
    <row r="9" spans="1:45">
      <c r="A9" s="43">
        <f>IF(B9="","",ClientPrefix&amp;TEXT(ROW()-4,"0000"))</f>
        <v>0</v>
      </c>
      <c r="B9" s="15" t="s">
        <v>619</v>
      </c>
      <c r="C9" s="15" t="s">
        <v>620</v>
      </c>
      <c r="D9" s="15" t="s">
        <v>621</v>
      </c>
      <c r="E9" s="15" t="s">
        <v>622</v>
      </c>
      <c r="F9" s="15" t="s">
        <v>623</v>
      </c>
      <c r="G9" s="44" t="s">
        <v>624</v>
      </c>
      <c r="H9" s="45" t="s">
        <v>604</v>
      </c>
      <c r="I9" s="15" t="s">
        <v>620</v>
      </c>
      <c r="J9" s="46">
        <v>46283</v>
      </c>
      <c r="K9" s="15" t="s">
        <v>625</v>
      </c>
      <c r="L9" s="15" t="s">
        <v>626</v>
      </c>
      <c r="M9" s="15" t="s">
        <v>626</v>
      </c>
      <c r="N9" s="15" t="s">
        <v>627</v>
      </c>
      <c r="O9" s="19">
        <v>48</v>
      </c>
      <c r="P9" s="16">
        <v>21</v>
      </c>
      <c r="R9" s="45" t="s">
        <v>628</v>
      </c>
      <c r="T9" s="47" t="s">
        <v>457</v>
      </c>
      <c r="U9" s="47" t="s">
        <v>454</v>
      </c>
      <c r="V9" s="44" t="s">
        <v>629</v>
      </c>
      <c r="W9" s="31">
        <f>IF(A9="","",COUNTIFS(Properties!$C$5:$C$254,A9))</f>
        <v>0</v>
      </c>
      <c r="X9" s="31">
        <f>IF(A9="","",COUNTIFS(Jobs!$G$5:$G$604,A9))</f>
        <v>0</v>
      </c>
      <c r="Y9" s="31">
        <f>IF(A9="","",COUNTIFS(Jobs!$G$5:$G$604,A9,Jobs!$P$5:$P$604,"Completed")+COUNTIFS(Jobs!$G$5:$G$604,A9,Jobs!$P$5:$P$604,"Invoiced"))</f>
        <v>0</v>
      </c>
      <c r="Z9" s="31">
        <f>IF(A9="","",COUNTIFS(Jobs!$G$5:$G$604,A9,Jobs!$P$5:$P$604,"Cancelled")+COUNTIFS(Jobs!$G$5:$G$604,A9,Jobs!$P$5:$P$604,"No access"))</f>
        <v>0</v>
      </c>
      <c r="AA9" s="18">
        <f>IF(A9="","",IF(SUMPRODUCT(MAX((Jobs!$G$5:$G$604=A9)*((Jobs!$P$5:$P$604="Completed")+(Jobs!$P$5:$P$604="Invoiced"))*Jobs!$B$5:$B$604))=0,"",SUMPRODUCT(MAX((Jobs!$G$5:$G$604=A9)*((Jobs!$P$5:$P$604="Completed")+(Jobs!$P$5:$P$604="Invoiced"))*Jobs!$B$5:$B$604))))</f>
        <v>0</v>
      </c>
      <c r="AB9" s="31">
        <f>IF(AA9="","",TodayDate-AA9)</f>
        <v>0</v>
      </c>
      <c r="AC9" s="18">
        <f>IF(A9="","",IF(SUMPRODUCT(MIN((Jobs!$G$5:$G$604=A9)*(Jobs!$B$5:$B$604&gt;=TodayDate)*(Jobs!$P$5:$P$604&lt;&gt;"Cancelled")*Jobs!$B$5:$B$604+(1-(Jobs!$G$5:$G$604=A9)*(Jobs!$B$5:$B$604&gt;=TodayDate)*(Jobs!$P$5:$P$604&lt;&gt;"Cancelled"))*2958465))=2958465,"",SUMPRODUCT(MIN((Jobs!$G$5:$G$604=A9)*(Jobs!$B$5:$B$604&gt;=TodayDate)*(Jobs!$P$5:$P$604&lt;&gt;"Cancelled")*Jobs!$B$5:$B$604+(1-(Jobs!$G$5:$G$604=A9)*(Jobs!$B$5:$B$604&gt;=TodayDate)*(Jobs!$P$5:$P$604&lt;&gt;"Cancelled"))*2958465))))</f>
        <v>0</v>
      </c>
      <c r="AD9" s="21">
        <f>IF(A9="","",SUMIFS(Invoices!$V$5:$V$404,Invoices!$D$5:$D$404,A9))</f>
        <v>0</v>
      </c>
      <c r="AE9" s="21">
        <f>IF(A9="","",SUMIFS(Invoices!$W$5:$W$404,Invoices!$D$5:$D$404,A9))</f>
        <v>0</v>
      </c>
      <c r="AF9" s="21">
        <f>IF(A9="","",AD9-AE9)</f>
        <v>0</v>
      </c>
      <c r="AG9" s="21">
        <f>IF(OR(A9="",Y9=0),"",AD9/Y9)</f>
        <v>0</v>
      </c>
      <c r="AH9" s="21">
        <f>IF(A9="","",SUMIFS('Job Costing'!$U$5:$U$604,'Job Costing'!$D$5:$D$604,A9))</f>
        <v>0</v>
      </c>
      <c r="AI9" s="38">
        <f>IF(OR(A9="",AD9=0),"",AH9/AD9)</f>
        <v>0</v>
      </c>
      <c r="AJ9" s="21">
        <f>IF(OR(A9="",K9="",AG9=""),"",AG9*IFERROR(INDEX(FreqPerYear,MATCH(K9,FreqNames,0)),1))</f>
        <v>0</v>
      </c>
      <c r="AK9" s="34">
        <f>IF(A9="","",IFERROR(AVERAGEIFS(Jobs!$AA$5:$AA$604,Jobs!$G$5:$G$604,A9,Jobs!$AA$5:$AA$604,"&gt;0"),""))</f>
        <v>0</v>
      </c>
      <c r="AL9" s="31">
        <f>IF(A9="","",COUNTIFS(Complaints!$D$5:$D$84,A9))</f>
        <v>0</v>
      </c>
      <c r="AM9" s="31">
        <f>IF(B9="","",COUNTIFS($AD$5:$AD$204,"&gt;"&amp;AD9)+COUNTIFS($AD$5:AD9,AD9))</f>
        <v>0</v>
      </c>
      <c r="AN9" s="31">
        <f>IF(B9="","",COUNTIFS($AH$5:$AH$204,"&gt;"&amp;AH9)+COUNTIFS($AH$5:AH9,AH9))</f>
        <v>0</v>
      </c>
      <c r="AO9" s="31">
        <f>IF(B9="","",COUNTIFS($AJ$5:$AJ$204,"&gt;"&amp;AJ9)+COUNTIFS($AJ$5:AJ9,AJ9))</f>
        <v>0</v>
      </c>
      <c r="AP9" s="39">
        <f>IF(B9="","",IF(H9="Lost","Lost",IF(H9="Inactive","Dormant",IF(AA9="","Dormant",IF(AB9&gt;InactiveClientDays*2,"Dormant",IF(AB9&gt;InactiveClientDays,"At risk",IF(AC9="","Slipping",IF(Y9&gt;=10,"Loyal","Steady"))))))))</f>
        <v>0</v>
      </c>
      <c r="AQ9" s="34">
        <f>IF(OR(B9="",AP9="Lost",AP9="Dormant"),"",IF(OR(AP9="At risk",AP9="Slipping"),IF(AB9="",999,AB9),""))</f>
        <v>0</v>
      </c>
      <c r="AR9" s="31">
        <f>IF(AQ9="","",COUNTIFS($AQ$5:$AQ$204,"&gt;"&amp;AQ9)+COUNTIFS($AQ$5:AQ9,AQ9))</f>
        <v>0</v>
      </c>
      <c r="AS9" s="39">
        <f>IF(B9="","",IF(AF9&gt;0.5,"Chase - "&amp;TEXT(AF9,"0")&amp;" owing",IF(AND(H9&lt;&gt;"Lost",H9&lt;&gt;"Inactive",H9&lt;&gt;"Paused",AC9="",K9&lt;&gt;"One-off"),"Book - nothing in the diary",IF(AND(S9&lt;&gt;"",S9-TodayDate&lt;=RenewalWarningDays,S9&gt;=TodayDate),"Due - contract renews soon",IF(AP9="At risk","Call - going quiet",IF(AL9&gt;=2,"Check - complaints logged",IF(AND(AI9&lt;&gt;"",AI9&lt;MarginFloor,Y9&gt;0),"Check - thin margin","OK")))))))</f>
        <v>0</v>
      </c>
    </row>
    <row r="10" spans="1:45">
      <c r="A10" s="43">
        <f>IF(B10="","",ClientPrefix&amp;TEXT(ROW()-4,"0000"))</f>
        <v>0</v>
      </c>
      <c r="B10" s="15" t="s">
        <v>630</v>
      </c>
      <c r="C10" s="15" t="s">
        <v>631</v>
      </c>
      <c r="D10" s="15" t="s">
        <v>632</v>
      </c>
      <c r="E10" s="15" t="s">
        <v>633</v>
      </c>
      <c r="F10" s="15" t="s">
        <v>634</v>
      </c>
      <c r="G10" s="44" t="s">
        <v>635</v>
      </c>
      <c r="H10" s="45" t="s">
        <v>604</v>
      </c>
      <c r="I10" s="15" t="s">
        <v>636</v>
      </c>
      <c r="J10" s="46">
        <v>46013</v>
      </c>
      <c r="K10" s="15" t="s">
        <v>451</v>
      </c>
      <c r="L10" s="15" t="s">
        <v>637</v>
      </c>
      <c r="M10" s="15" t="s">
        <v>638</v>
      </c>
      <c r="N10" s="15" t="s">
        <v>639</v>
      </c>
      <c r="O10" s="19">
        <v>55</v>
      </c>
      <c r="P10" s="16">
        <v>7</v>
      </c>
      <c r="R10" s="45" t="s">
        <v>640</v>
      </c>
      <c r="T10" s="47" t="s">
        <v>457</v>
      </c>
      <c r="U10" s="47" t="s">
        <v>454</v>
      </c>
      <c r="V10" s="44" t="s">
        <v>641</v>
      </c>
      <c r="W10" s="31">
        <f>IF(A10="","",COUNTIFS(Properties!$C$5:$C$254,A10))</f>
        <v>0</v>
      </c>
      <c r="X10" s="31">
        <f>IF(A10="","",COUNTIFS(Jobs!$G$5:$G$604,A10))</f>
        <v>0</v>
      </c>
      <c r="Y10" s="31">
        <f>IF(A10="","",COUNTIFS(Jobs!$G$5:$G$604,A10,Jobs!$P$5:$P$604,"Completed")+COUNTIFS(Jobs!$G$5:$G$604,A10,Jobs!$P$5:$P$604,"Invoiced"))</f>
        <v>0</v>
      </c>
      <c r="Z10" s="31">
        <f>IF(A10="","",COUNTIFS(Jobs!$G$5:$G$604,A10,Jobs!$P$5:$P$604,"Cancelled")+COUNTIFS(Jobs!$G$5:$G$604,A10,Jobs!$P$5:$P$604,"No access"))</f>
        <v>0</v>
      </c>
      <c r="AA10" s="18">
        <f>IF(A10="","",IF(SUMPRODUCT(MAX((Jobs!$G$5:$G$604=A10)*((Jobs!$P$5:$P$604="Completed")+(Jobs!$P$5:$P$604="Invoiced"))*Jobs!$B$5:$B$604))=0,"",SUMPRODUCT(MAX((Jobs!$G$5:$G$604=A10)*((Jobs!$P$5:$P$604="Completed")+(Jobs!$P$5:$P$604="Invoiced"))*Jobs!$B$5:$B$604))))</f>
        <v>0</v>
      </c>
      <c r="AB10" s="31">
        <f>IF(AA10="","",TodayDate-AA10)</f>
        <v>0</v>
      </c>
      <c r="AC10" s="18">
        <f>IF(A10="","",IF(SUMPRODUCT(MIN((Jobs!$G$5:$G$604=A10)*(Jobs!$B$5:$B$604&gt;=TodayDate)*(Jobs!$P$5:$P$604&lt;&gt;"Cancelled")*Jobs!$B$5:$B$604+(1-(Jobs!$G$5:$G$604=A10)*(Jobs!$B$5:$B$604&gt;=TodayDate)*(Jobs!$P$5:$P$604&lt;&gt;"Cancelled"))*2958465))=2958465,"",SUMPRODUCT(MIN((Jobs!$G$5:$G$604=A10)*(Jobs!$B$5:$B$604&gt;=TodayDate)*(Jobs!$P$5:$P$604&lt;&gt;"Cancelled")*Jobs!$B$5:$B$604+(1-(Jobs!$G$5:$G$604=A10)*(Jobs!$B$5:$B$604&gt;=TodayDate)*(Jobs!$P$5:$P$604&lt;&gt;"Cancelled"))*2958465))))</f>
        <v>0</v>
      </c>
      <c r="AD10" s="21">
        <f>IF(A10="","",SUMIFS(Invoices!$V$5:$V$404,Invoices!$D$5:$D$404,A10))</f>
        <v>0</v>
      </c>
      <c r="AE10" s="21">
        <f>IF(A10="","",SUMIFS(Invoices!$W$5:$W$404,Invoices!$D$5:$D$404,A10))</f>
        <v>0</v>
      </c>
      <c r="AF10" s="21">
        <f>IF(A10="","",AD10-AE10)</f>
        <v>0</v>
      </c>
      <c r="AG10" s="21">
        <f>IF(OR(A10="",Y10=0),"",AD10/Y10)</f>
        <v>0</v>
      </c>
      <c r="AH10" s="21">
        <f>IF(A10="","",SUMIFS('Job Costing'!$U$5:$U$604,'Job Costing'!$D$5:$D$604,A10))</f>
        <v>0</v>
      </c>
      <c r="AI10" s="38">
        <f>IF(OR(A10="",AD10=0),"",AH10/AD10)</f>
        <v>0</v>
      </c>
      <c r="AJ10" s="21">
        <f>IF(OR(A10="",K10="",AG10=""),"",AG10*IFERROR(INDEX(FreqPerYear,MATCH(K10,FreqNames,0)),1))</f>
        <v>0</v>
      </c>
      <c r="AK10" s="34">
        <f>IF(A10="","",IFERROR(AVERAGEIFS(Jobs!$AA$5:$AA$604,Jobs!$G$5:$G$604,A10,Jobs!$AA$5:$AA$604,"&gt;0"),""))</f>
        <v>0</v>
      </c>
      <c r="AL10" s="31">
        <f>IF(A10="","",COUNTIFS(Complaints!$D$5:$D$84,A10))</f>
        <v>0</v>
      </c>
      <c r="AM10" s="31">
        <f>IF(B10="","",COUNTIFS($AD$5:$AD$204,"&gt;"&amp;AD10)+COUNTIFS($AD$5:AD10,AD10))</f>
        <v>0</v>
      </c>
      <c r="AN10" s="31">
        <f>IF(B10="","",COUNTIFS($AH$5:$AH$204,"&gt;"&amp;AH10)+COUNTIFS($AH$5:AH10,AH10))</f>
        <v>0</v>
      </c>
      <c r="AO10" s="31">
        <f>IF(B10="","",COUNTIFS($AJ$5:$AJ$204,"&gt;"&amp;AJ10)+COUNTIFS($AJ$5:AJ10,AJ10))</f>
        <v>0</v>
      </c>
      <c r="AP10" s="39">
        <f>IF(B10="","",IF(H10="Lost","Lost",IF(H10="Inactive","Dormant",IF(AA10="","Dormant",IF(AB10&gt;InactiveClientDays*2,"Dormant",IF(AB10&gt;InactiveClientDays,"At risk",IF(AC10="","Slipping",IF(Y10&gt;=10,"Loyal","Steady"))))))))</f>
        <v>0</v>
      </c>
      <c r="AQ10" s="34">
        <f>IF(OR(B10="",AP10="Lost",AP10="Dormant"),"",IF(OR(AP10="At risk",AP10="Slipping"),IF(AB10="",999,AB10),""))</f>
        <v>0</v>
      </c>
      <c r="AR10" s="31">
        <f>IF(AQ10="","",COUNTIFS($AQ$5:$AQ$204,"&gt;"&amp;AQ10)+COUNTIFS($AQ$5:AQ10,AQ10))</f>
        <v>0</v>
      </c>
      <c r="AS10" s="39">
        <f>IF(B10="","",IF(AF10&gt;0.5,"Chase - "&amp;TEXT(AF10,"0")&amp;" owing",IF(AND(H10&lt;&gt;"Lost",H10&lt;&gt;"Inactive",H10&lt;&gt;"Paused",AC10="",K10&lt;&gt;"One-off"),"Book - nothing in the diary",IF(AND(S10&lt;&gt;"",S10-TodayDate&lt;=RenewalWarningDays,S10&gt;=TodayDate),"Due - contract renews soon",IF(AP10="At risk","Call - going quiet",IF(AL10&gt;=2,"Check - complaints logged",IF(AND(AI10&lt;&gt;"",AI10&lt;MarginFloor,Y10&gt;0),"Check - thin margin","OK")))))))</f>
        <v>0</v>
      </c>
    </row>
    <row r="11" spans="1:45">
      <c r="A11" s="43">
        <f>IF(B11="","",ClientPrefix&amp;TEXT(ROW()-4,"0000"))</f>
        <v>0</v>
      </c>
      <c r="B11" s="15" t="s">
        <v>642</v>
      </c>
      <c r="C11" s="15" t="s">
        <v>643</v>
      </c>
      <c r="D11" s="15" t="s">
        <v>644</v>
      </c>
      <c r="E11" s="15" t="s">
        <v>645</v>
      </c>
      <c r="F11" s="15" t="s">
        <v>646</v>
      </c>
      <c r="G11" s="44" t="s">
        <v>647</v>
      </c>
      <c r="H11" s="45" t="s">
        <v>580</v>
      </c>
      <c r="I11" s="15" t="s">
        <v>581</v>
      </c>
      <c r="J11" s="46">
        <v>45903</v>
      </c>
      <c r="K11" s="15" t="s">
        <v>451</v>
      </c>
      <c r="L11" s="15" t="s">
        <v>606</v>
      </c>
      <c r="M11" s="15" t="s">
        <v>607</v>
      </c>
      <c r="N11" s="15" t="s">
        <v>639</v>
      </c>
      <c r="O11" s="19">
        <v>50</v>
      </c>
      <c r="P11" s="16">
        <v>14</v>
      </c>
      <c r="R11" s="45" t="s">
        <v>609</v>
      </c>
      <c r="T11" s="47" t="s">
        <v>454</v>
      </c>
      <c r="U11" s="47" t="s">
        <v>454</v>
      </c>
      <c r="V11" s="44" t="s">
        <v>648</v>
      </c>
      <c r="W11" s="31">
        <f>IF(A11="","",COUNTIFS(Properties!$C$5:$C$254,A11))</f>
        <v>0</v>
      </c>
      <c r="X11" s="31">
        <f>IF(A11="","",COUNTIFS(Jobs!$G$5:$G$604,A11))</f>
        <v>0</v>
      </c>
      <c r="Y11" s="31">
        <f>IF(A11="","",COUNTIFS(Jobs!$G$5:$G$604,A11,Jobs!$P$5:$P$604,"Completed")+COUNTIFS(Jobs!$G$5:$G$604,A11,Jobs!$P$5:$P$604,"Invoiced"))</f>
        <v>0</v>
      </c>
      <c r="Z11" s="31">
        <f>IF(A11="","",COUNTIFS(Jobs!$G$5:$G$604,A11,Jobs!$P$5:$P$604,"Cancelled")+COUNTIFS(Jobs!$G$5:$G$604,A11,Jobs!$P$5:$P$604,"No access"))</f>
        <v>0</v>
      </c>
      <c r="AA11" s="18">
        <f>IF(A11="","",IF(SUMPRODUCT(MAX((Jobs!$G$5:$G$604=A11)*((Jobs!$P$5:$P$604="Completed")+(Jobs!$P$5:$P$604="Invoiced"))*Jobs!$B$5:$B$604))=0,"",SUMPRODUCT(MAX((Jobs!$G$5:$G$604=A11)*((Jobs!$P$5:$P$604="Completed")+(Jobs!$P$5:$P$604="Invoiced"))*Jobs!$B$5:$B$604))))</f>
        <v>0</v>
      </c>
      <c r="AB11" s="31">
        <f>IF(AA11="","",TodayDate-AA11)</f>
        <v>0</v>
      </c>
      <c r="AC11" s="18">
        <f>IF(A11="","",IF(SUMPRODUCT(MIN((Jobs!$G$5:$G$604=A11)*(Jobs!$B$5:$B$604&gt;=TodayDate)*(Jobs!$P$5:$P$604&lt;&gt;"Cancelled")*Jobs!$B$5:$B$604+(1-(Jobs!$G$5:$G$604=A11)*(Jobs!$B$5:$B$604&gt;=TodayDate)*(Jobs!$P$5:$P$604&lt;&gt;"Cancelled"))*2958465))=2958465,"",SUMPRODUCT(MIN((Jobs!$G$5:$G$604=A11)*(Jobs!$B$5:$B$604&gt;=TodayDate)*(Jobs!$P$5:$P$604&lt;&gt;"Cancelled")*Jobs!$B$5:$B$604+(1-(Jobs!$G$5:$G$604=A11)*(Jobs!$B$5:$B$604&gt;=TodayDate)*(Jobs!$P$5:$P$604&lt;&gt;"Cancelled"))*2958465))))</f>
        <v>0</v>
      </c>
      <c r="AD11" s="21">
        <f>IF(A11="","",SUMIFS(Invoices!$V$5:$V$404,Invoices!$D$5:$D$404,A11))</f>
        <v>0</v>
      </c>
      <c r="AE11" s="21">
        <f>IF(A11="","",SUMIFS(Invoices!$W$5:$W$404,Invoices!$D$5:$D$404,A11))</f>
        <v>0</v>
      </c>
      <c r="AF11" s="21">
        <f>IF(A11="","",AD11-AE11)</f>
        <v>0</v>
      </c>
      <c r="AG11" s="21">
        <f>IF(OR(A11="",Y11=0),"",AD11/Y11)</f>
        <v>0</v>
      </c>
      <c r="AH11" s="21">
        <f>IF(A11="","",SUMIFS('Job Costing'!$U$5:$U$604,'Job Costing'!$D$5:$D$604,A11))</f>
        <v>0</v>
      </c>
      <c r="AI11" s="38">
        <f>IF(OR(A11="",AD11=0),"",AH11/AD11)</f>
        <v>0</v>
      </c>
      <c r="AJ11" s="21">
        <f>IF(OR(A11="",K11="",AG11=""),"",AG11*IFERROR(INDEX(FreqPerYear,MATCH(K11,FreqNames,0)),1))</f>
        <v>0</v>
      </c>
      <c r="AK11" s="34">
        <f>IF(A11="","",IFERROR(AVERAGEIFS(Jobs!$AA$5:$AA$604,Jobs!$G$5:$G$604,A11,Jobs!$AA$5:$AA$604,"&gt;0"),""))</f>
        <v>0</v>
      </c>
      <c r="AL11" s="31">
        <f>IF(A11="","",COUNTIFS(Complaints!$D$5:$D$84,A11))</f>
        <v>0</v>
      </c>
      <c r="AM11" s="31">
        <f>IF(B11="","",COUNTIFS($AD$5:$AD$204,"&gt;"&amp;AD11)+COUNTIFS($AD$5:AD11,AD11))</f>
        <v>0</v>
      </c>
      <c r="AN11" s="31">
        <f>IF(B11="","",COUNTIFS($AH$5:$AH$204,"&gt;"&amp;AH11)+COUNTIFS($AH$5:AH11,AH11))</f>
        <v>0</v>
      </c>
      <c r="AO11" s="31">
        <f>IF(B11="","",COUNTIFS($AJ$5:$AJ$204,"&gt;"&amp;AJ11)+COUNTIFS($AJ$5:AJ11,AJ11))</f>
        <v>0</v>
      </c>
      <c r="AP11" s="39">
        <f>IF(B11="","",IF(H11="Lost","Lost",IF(H11="Inactive","Dormant",IF(AA11="","Dormant",IF(AB11&gt;InactiveClientDays*2,"Dormant",IF(AB11&gt;InactiveClientDays,"At risk",IF(AC11="","Slipping",IF(Y11&gt;=10,"Loyal","Steady"))))))))</f>
        <v>0</v>
      </c>
      <c r="AQ11" s="34">
        <f>IF(OR(B11="",AP11="Lost",AP11="Dormant"),"",IF(OR(AP11="At risk",AP11="Slipping"),IF(AB11="",999,AB11),""))</f>
        <v>0</v>
      </c>
      <c r="AR11" s="31">
        <f>IF(AQ11="","",COUNTIFS($AQ$5:$AQ$204,"&gt;"&amp;AQ11)+COUNTIFS($AQ$5:AQ11,AQ11))</f>
        <v>0</v>
      </c>
      <c r="AS11" s="39">
        <f>IF(B11="","",IF(AF11&gt;0.5,"Chase - "&amp;TEXT(AF11,"0")&amp;" owing",IF(AND(H11&lt;&gt;"Lost",H11&lt;&gt;"Inactive",H11&lt;&gt;"Paused",AC11="",K11&lt;&gt;"One-off"),"Book - nothing in the diary",IF(AND(S11&lt;&gt;"",S11-TodayDate&lt;=RenewalWarningDays,S11&gt;=TodayDate),"Due - contract renews soon",IF(AP11="At risk","Call - going quiet",IF(AL11&gt;=2,"Check - complaints logged",IF(AND(AI11&lt;&gt;"",AI11&lt;MarginFloor,Y11&gt;0),"Check - thin margin","OK")))))))</f>
        <v>0</v>
      </c>
    </row>
    <row r="12" spans="1:45">
      <c r="A12" s="43">
        <f>IF(B12="","",ClientPrefix&amp;TEXT(ROW()-4,"0000"))</f>
        <v>0</v>
      </c>
      <c r="B12" s="15" t="s">
        <v>649</v>
      </c>
      <c r="C12" s="15" t="s">
        <v>440</v>
      </c>
      <c r="D12" s="15" t="s">
        <v>650</v>
      </c>
      <c r="E12" s="15" t="s">
        <v>651</v>
      </c>
      <c r="F12" s="15" t="s">
        <v>652</v>
      </c>
      <c r="G12" s="44" t="s">
        <v>653</v>
      </c>
      <c r="H12" s="45" t="s">
        <v>604</v>
      </c>
      <c r="I12" s="15" t="s">
        <v>654</v>
      </c>
      <c r="J12" s="46">
        <v>46103</v>
      </c>
      <c r="K12" s="15" t="s">
        <v>124</v>
      </c>
      <c r="L12" s="15" t="s">
        <v>655</v>
      </c>
      <c r="M12" s="15" t="s">
        <v>583</v>
      </c>
      <c r="N12" s="15" t="s">
        <v>596</v>
      </c>
      <c r="O12" s="19">
        <v>45</v>
      </c>
      <c r="P12" s="16">
        <v>7</v>
      </c>
      <c r="R12" s="45" t="s">
        <v>585</v>
      </c>
      <c r="T12" s="47" t="s">
        <v>457</v>
      </c>
      <c r="U12" s="47" t="s">
        <v>454</v>
      </c>
      <c r="V12" s="44" t="s">
        <v>656</v>
      </c>
      <c r="W12" s="31">
        <f>IF(A12="","",COUNTIFS(Properties!$C$5:$C$254,A12))</f>
        <v>0</v>
      </c>
      <c r="X12" s="31">
        <f>IF(A12="","",COUNTIFS(Jobs!$G$5:$G$604,A12))</f>
        <v>0</v>
      </c>
      <c r="Y12" s="31">
        <f>IF(A12="","",COUNTIFS(Jobs!$G$5:$G$604,A12,Jobs!$P$5:$P$604,"Completed")+COUNTIFS(Jobs!$G$5:$G$604,A12,Jobs!$P$5:$P$604,"Invoiced"))</f>
        <v>0</v>
      </c>
      <c r="Z12" s="31">
        <f>IF(A12="","",COUNTIFS(Jobs!$G$5:$G$604,A12,Jobs!$P$5:$P$604,"Cancelled")+COUNTIFS(Jobs!$G$5:$G$604,A12,Jobs!$P$5:$P$604,"No access"))</f>
        <v>0</v>
      </c>
      <c r="AA12" s="18">
        <f>IF(A12="","",IF(SUMPRODUCT(MAX((Jobs!$G$5:$G$604=A12)*((Jobs!$P$5:$P$604="Completed")+(Jobs!$P$5:$P$604="Invoiced"))*Jobs!$B$5:$B$604))=0,"",SUMPRODUCT(MAX((Jobs!$G$5:$G$604=A12)*((Jobs!$P$5:$P$604="Completed")+(Jobs!$P$5:$P$604="Invoiced"))*Jobs!$B$5:$B$604))))</f>
        <v>0</v>
      </c>
      <c r="AB12" s="31">
        <f>IF(AA12="","",TodayDate-AA12)</f>
        <v>0</v>
      </c>
      <c r="AC12" s="18">
        <f>IF(A12="","",IF(SUMPRODUCT(MIN((Jobs!$G$5:$G$604=A12)*(Jobs!$B$5:$B$604&gt;=TodayDate)*(Jobs!$P$5:$P$604&lt;&gt;"Cancelled")*Jobs!$B$5:$B$604+(1-(Jobs!$G$5:$G$604=A12)*(Jobs!$B$5:$B$604&gt;=TodayDate)*(Jobs!$P$5:$P$604&lt;&gt;"Cancelled"))*2958465))=2958465,"",SUMPRODUCT(MIN((Jobs!$G$5:$G$604=A12)*(Jobs!$B$5:$B$604&gt;=TodayDate)*(Jobs!$P$5:$P$604&lt;&gt;"Cancelled")*Jobs!$B$5:$B$604+(1-(Jobs!$G$5:$G$604=A12)*(Jobs!$B$5:$B$604&gt;=TodayDate)*(Jobs!$P$5:$P$604&lt;&gt;"Cancelled"))*2958465))))</f>
        <v>0</v>
      </c>
      <c r="AD12" s="21">
        <f>IF(A12="","",SUMIFS(Invoices!$V$5:$V$404,Invoices!$D$5:$D$404,A12))</f>
        <v>0</v>
      </c>
      <c r="AE12" s="21">
        <f>IF(A12="","",SUMIFS(Invoices!$W$5:$W$404,Invoices!$D$5:$D$404,A12))</f>
        <v>0</v>
      </c>
      <c r="AF12" s="21">
        <f>IF(A12="","",AD12-AE12)</f>
        <v>0</v>
      </c>
      <c r="AG12" s="21">
        <f>IF(OR(A12="",Y12=0),"",AD12/Y12)</f>
        <v>0</v>
      </c>
      <c r="AH12" s="21">
        <f>IF(A12="","",SUMIFS('Job Costing'!$U$5:$U$604,'Job Costing'!$D$5:$D$604,A12))</f>
        <v>0</v>
      </c>
      <c r="AI12" s="38">
        <f>IF(OR(A12="",AD12=0),"",AH12/AD12)</f>
        <v>0</v>
      </c>
      <c r="AJ12" s="21">
        <f>IF(OR(A12="",K12="",AG12=""),"",AG12*IFERROR(INDEX(FreqPerYear,MATCH(K12,FreqNames,0)),1))</f>
        <v>0</v>
      </c>
      <c r="AK12" s="34">
        <f>IF(A12="","",IFERROR(AVERAGEIFS(Jobs!$AA$5:$AA$604,Jobs!$G$5:$G$604,A12,Jobs!$AA$5:$AA$604,"&gt;0"),""))</f>
        <v>0</v>
      </c>
      <c r="AL12" s="31">
        <f>IF(A12="","",COUNTIFS(Complaints!$D$5:$D$84,A12))</f>
        <v>0</v>
      </c>
      <c r="AM12" s="31">
        <f>IF(B12="","",COUNTIFS($AD$5:$AD$204,"&gt;"&amp;AD12)+COUNTIFS($AD$5:AD12,AD12))</f>
        <v>0</v>
      </c>
      <c r="AN12" s="31">
        <f>IF(B12="","",COUNTIFS($AH$5:$AH$204,"&gt;"&amp;AH12)+COUNTIFS($AH$5:AH12,AH12))</f>
        <v>0</v>
      </c>
      <c r="AO12" s="31">
        <f>IF(B12="","",COUNTIFS($AJ$5:$AJ$204,"&gt;"&amp;AJ12)+COUNTIFS($AJ$5:AJ12,AJ12))</f>
        <v>0</v>
      </c>
      <c r="AP12" s="39">
        <f>IF(B12="","",IF(H12="Lost","Lost",IF(H12="Inactive","Dormant",IF(AA12="","Dormant",IF(AB12&gt;InactiveClientDays*2,"Dormant",IF(AB12&gt;InactiveClientDays,"At risk",IF(AC12="","Slipping",IF(Y12&gt;=10,"Loyal","Steady"))))))))</f>
        <v>0</v>
      </c>
      <c r="AQ12" s="34">
        <f>IF(OR(B12="",AP12="Lost",AP12="Dormant"),"",IF(OR(AP12="At risk",AP12="Slipping"),IF(AB12="",999,AB12),""))</f>
        <v>0</v>
      </c>
      <c r="AR12" s="31">
        <f>IF(AQ12="","",COUNTIFS($AQ$5:$AQ$204,"&gt;"&amp;AQ12)+COUNTIFS($AQ$5:AQ12,AQ12))</f>
        <v>0</v>
      </c>
      <c r="AS12" s="39">
        <f>IF(B12="","",IF(AF12&gt;0.5,"Chase - "&amp;TEXT(AF12,"0")&amp;" owing",IF(AND(H12&lt;&gt;"Lost",H12&lt;&gt;"Inactive",H12&lt;&gt;"Paused",AC12="",K12&lt;&gt;"One-off"),"Book - nothing in the diary",IF(AND(S12&lt;&gt;"",S12-TodayDate&lt;=RenewalWarningDays,S12&gt;=TodayDate),"Due - contract renews soon",IF(AP12="At risk","Call - going quiet",IF(AL12&gt;=2,"Check - complaints logged",IF(AND(AI12&lt;&gt;"",AI12&lt;MarginFloor,Y12&gt;0),"Check - thin margin","OK")))))))</f>
        <v>0</v>
      </c>
    </row>
    <row r="13" spans="1:45">
      <c r="A13" s="43">
        <f>IF(B13="","",ClientPrefix&amp;TEXT(ROW()-4,"0000"))</f>
        <v>0</v>
      </c>
      <c r="B13" s="15" t="s">
        <v>657</v>
      </c>
      <c r="C13" s="15" t="s">
        <v>658</v>
      </c>
      <c r="D13" s="15" t="s">
        <v>659</v>
      </c>
      <c r="E13" s="15" t="s">
        <v>660</v>
      </c>
      <c r="F13" s="15" t="s">
        <v>661</v>
      </c>
      <c r="G13" s="44" t="s">
        <v>662</v>
      </c>
      <c r="H13" s="45" t="s">
        <v>604</v>
      </c>
      <c r="I13" s="15" t="s">
        <v>663</v>
      </c>
      <c r="J13" s="46">
        <v>46133</v>
      </c>
      <c r="K13" s="15" t="s">
        <v>617</v>
      </c>
      <c r="L13" s="15" t="s">
        <v>201</v>
      </c>
      <c r="M13" s="15" t="s">
        <v>638</v>
      </c>
      <c r="N13" s="15" t="s">
        <v>664</v>
      </c>
      <c r="O13" s="19">
        <v>52</v>
      </c>
      <c r="P13" s="16">
        <v>14</v>
      </c>
      <c r="R13" s="45" t="s">
        <v>640</v>
      </c>
      <c r="T13" s="47" t="s">
        <v>457</v>
      </c>
      <c r="U13" s="47" t="s">
        <v>454</v>
      </c>
      <c r="V13" s="44" t="s">
        <v>665</v>
      </c>
      <c r="W13" s="31">
        <f>IF(A13="","",COUNTIFS(Properties!$C$5:$C$254,A13))</f>
        <v>0</v>
      </c>
      <c r="X13" s="31">
        <f>IF(A13="","",COUNTIFS(Jobs!$G$5:$G$604,A13))</f>
        <v>0</v>
      </c>
      <c r="Y13" s="31">
        <f>IF(A13="","",COUNTIFS(Jobs!$G$5:$G$604,A13,Jobs!$P$5:$P$604,"Completed")+COUNTIFS(Jobs!$G$5:$G$604,A13,Jobs!$P$5:$P$604,"Invoiced"))</f>
        <v>0</v>
      </c>
      <c r="Z13" s="31">
        <f>IF(A13="","",COUNTIFS(Jobs!$G$5:$G$604,A13,Jobs!$P$5:$P$604,"Cancelled")+COUNTIFS(Jobs!$G$5:$G$604,A13,Jobs!$P$5:$P$604,"No access"))</f>
        <v>0</v>
      </c>
      <c r="AA13" s="18">
        <f>IF(A13="","",IF(SUMPRODUCT(MAX((Jobs!$G$5:$G$604=A13)*((Jobs!$P$5:$P$604="Completed")+(Jobs!$P$5:$P$604="Invoiced"))*Jobs!$B$5:$B$604))=0,"",SUMPRODUCT(MAX((Jobs!$G$5:$G$604=A13)*((Jobs!$P$5:$P$604="Completed")+(Jobs!$P$5:$P$604="Invoiced"))*Jobs!$B$5:$B$604))))</f>
        <v>0</v>
      </c>
      <c r="AB13" s="31">
        <f>IF(AA13="","",TodayDate-AA13)</f>
        <v>0</v>
      </c>
      <c r="AC13" s="18">
        <f>IF(A13="","",IF(SUMPRODUCT(MIN((Jobs!$G$5:$G$604=A13)*(Jobs!$B$5:$B$604&gt;=TodayDate)*(Jobs!$P$5:$P$604&lt;&gt;"Cancelled")*Jobs!$B$5:$B$604+(1-(Jobs!$G$5:$G$604=A13)*(Jobs!$B$5:$B$604&gt;=TodayDate)*(Jobs!$P$5:$P$604&lt;&gt;"Cancelled"))*2958465))=2958465,"",SUMPRODUCT(MIN((Jobs!$G$5:$G$604=A13)*(Jobs!$B$5:$B$604&gt;=TodayDate)*(Jobs!$P$5:$P$604&lt;&gt;"Cancelled")*Jobs!$B$5:$B$604+(1-(Jobs!$G$5:$G$604=A13)*(Jobs!$B$5:$B$604&gt;=TodayDate)*(Jobs!$P$5:$P$604&lt;&gt;"Cancelled"))*2958465))))</f>
        <v>0</v>
      </c>
      <c r="AD13" s="21">
        <f>IF(A13="","",SUMIFS(Invoices!$V$5:$V$404,Invoices!$D$5:$D$404,A13))</f>
        <v>0</v>
      </c>
      <c r="AE13" s="21">
        <f>IF(A13="","",SUMIFS(Invoices!$W$5:$W$404,Invoices!$D$5:$D$404,A13))</f>
        <v>0</v>
      </c>
      <c r="AF13" s="21">
        <f>IF(A13="","",AD13-AE13)</f>
        <v>0</v>
      </c>
      <c r="AG13" s="21">
        <f>IF(OR(A13="",Y13=0),"",AD13/Y13)</f>
        <v>0</v>
      </c>
      <c r="AH13" s="21">
        <f>IF(A13="","",SUMIFS('Job Costing'!$U$5:$U$604,'Job Costing'!$D$5:$D$604,A13))</f>
        <v>0</v>
      </c>
      <c r="AI13" s="38">
        <f>IF(OR(A13="",AD13=0),"",AH13/AD13)</f>
        <v>0</v>
      </c>
      <c r="AJ13" s="21">
        <f>IF(OR(A13="",K13="",AG13=""),"",AG13*IFERROR(INDEX(FreqPerYear,MATCH(K13,FreqNames,0)),1))</f>
        <v>0</v>
      </c>
      <c r="AK13" s="34">
        <f>IF(A13="","",IFERROR(AVERAGEIFS(Jobs!$AA$5:$AA$604,Jobs!$G$5:$G$604,A13,Jobs!$AA$5:$AA$604,"&gt;0"),""))</f>
        <v>0</v>
      </c>
      <c r="AL13" s="31">
        <f>IF(A13="","",COUNTIFS(Complaints!$D$5:$D$84,A13))</f>
        <v>0</v>
      </c>
      <c r="AM13" s="31">
        <f>IF(B13="","",COUNTIFS($AD$5:$AD$204,"&gt;"&amp;AD13)+COUNTIFS($AD$5:AD13,AD13))</f>
        <v>0</v>
      </c>
      <c r="AN13" s="31">
        <f>IF(B13="","",COUNTIFS($AH$5:$AH$204,"&gt;"&amp;AH13)+COUNTIFS($AH$5:AH13,AH13))</f>
        <v>0</v>
      </c>
      <c r="AO13" s="31">
        <f>IF(B13="","",COUNTIFS($AJ$5:$AJ$204,"&gt;"&amp;AJ13)+COUNTIFS($AJ$5:AJ13,AJ13))</f>
        <v>0</v>
      </c>
      <c r="AP13" s="39">
        <f>IF(B13="","",IF(H13="Lost","Lost",IF(H13="Inactive","Dormant",IF(AA13="","Dormant",IF(AB13&gt;InactiveClientDays*2,"Dormant",IF(AB13&gt;InactiveClientDays,"At risk",IF(AC13="","Slipping",IF(Y13&gt;=10,"Loyal","Steady"))))))))</f>
        <v>0</v>
      </c>
      <c r="AQ13" s="34">
        <f>IF(OR(B13="",AP13="Lost",AP13="Dormant"),"",IF(OR(AP13="At risk",AP13="Slipping"),IF(AB13="",999,AB13),""))</f>
        <v>0</v>
      </c>
      <c r="AR13" s="31">
        <f>IF(AQ13="","",COUNTIFS($AQ$5:$AQ$204,"&gt;"&amp;AQ13)+COUNTIFS($AQ$5:AQ13,AQ13))</f>
        <v>0</v>
      </c>
      <c r="AS13" s="39">
        <f>IF(B13="","",IF(AF13&gt;0.5,"Chase - "&amp;TEXT(AF13,"0")&amp;" owing",IF(AND(H13&lt;&gt;"Lost",H13&lt;&gt;"Inactive",H13&lt;&gt;"Paused",AC13="",K13&lt;&gt;"One-off"),"Book - nothing in the diary",IF(AND(S13&lt;&gt;"",S13-TodayDate&lt;=RenewalWarningDays,S13&gt;=TodayDate),"Due - contract renews soon",IF(AP13="At risk","Call - going quiet",IF(AL13&gt;=2,"Check - complaints logged",IF(AND(AI13&lt;&gt;"",AI13&lt;MarginFloor,Y13&gt;0),"Check - thin margin","OK")))))))</f>
        <v>0</v>
      </c>
    </row>
    <row r="14" spans="1:45">
      <c r="A14" s="43">
        <f>IF(B14="","",ClientPrefix&amp;TEXT(ROW()-4,"0000"))</f>
        <v>0</v>
      </c>
      <c r="B14" s="15" t="s">
        <v>666</v>
      </c>
      <c r="C14" s="15" t="s">
        <v>667</v>
      </c>
      <c r="D14" s="15" t="s">
        <v>668</v>
      </c>
      <c r="E14" s="15" t="s">
        <v>669</v>
      </c>
      <c r="F14" s="15" t="s">
        <v>670</v>
      </c>
      <c r="G14" s="44" t="s">
        <v>671</v>
      </c>
      <c r="H14" s="45" t="s">
        <v>580</v>
      </c>
      <c r="I14" s="15" t="s">
        <v>672</v>
      </c>
      <c r="J14" s="46">
        <v>45983</v>
      </c>
      <c r="K14" s="15" t="s">
        <v>451</v>
      </c>
      <c r="L14" s="15" t="s">
        <v>673</v>
      </c>
      <c r="M14" s="15" t="s">
        <v>674</v>
      </c>
      <c r="N14" s="15" t="s">
        <v>596</v>
      </c>
      <c r="O14" s="19">
        <v>50</v>
      </c>
      <c r="P14" s="16">
        <v>7</v>
      </c>
      <c r="R14" s="45" t="s">
        <v>585</v>
      </c>
      <c r="T14" s="47" t="s">
        <v>454</v>
      </c>
      <c r="U14" s="47" t="s">
        <v>454</v>
      </c>
      <c r="V14" s="44" t="s">
        <v>675</v>
      </c>
      <c r="W14" s="31">
        <f>IF(A14="","",COUNTIFS(Properties!$C$5:$C$254,A14))</f>
        <v>0</v>
      </c>
      <c r="X14" s="31">
        <f>IF(A14="","",COUNTIFS(Jobs!$G$5:$G$604,A14))</f>
        <v>0</v>
      </c>
      <c r="Y14" s="31">
        <f>IF(A14="","",COUNTIFS(Jobs!$G$5:$G$604,A14,Jobs!$P$5:$P$604,"Completed")+COUNTIFS(Jobs!$G$5:$G$604,A14,Jobs!$P$5:$P$604,"Invoiced"))</f>
        <v>0</v>
      </c>
      <c r="Z14" s="31">
        <f>IF(A14="","",COUNTIFS(Jobs!$G$5:$G$604,A14,Jobs!$P$5:$P$604,"Cancelled")+COUNTIFS(Jobs!$G$5:$G$604,A14,Jobs!$P$5:$P$604,"No access"))</f>
        <v>0</v>
      </c>
      <c r="AA14" s="18">
        <f>IF(A14="","",IF(SUMPRODUCT(MAX((Jobs!$G$5:$G$604=A14)*((Jobs!$P$5:$P$604="Completed")+(Jobs!$P$5:$P$604="Invoiced"))*Jobs!$B$5:$B$604))=0,"",SUMPRODUCT(MAX((Jobs!$G$5:$G$604=A14)*((Jobs!$P$5:$P$604="Completed")+(Jobs!$P$5:$P$604="Invoiced"))*Jobs!$B$5:$B$604))))</f>
        <v>0</v>
      </c>
      <c r="AB14" s="31">
        <f>IF(AA14="","",TodayDate-AA14)</f>
        <v>0</v>
      </c>
      <c r="AC14" s="18">
        <f>IF(A14="","",IF(SUMPRODUCT(MIN((Jobs!$G$5:$G$604=A14)*(Jobs!$B$5:$B$604&gt;=TodayDate)*(Jobs!$P$5:$P$604&lt;&gt;"Cancelled")*Jobs!$B$5:$B$604+(1-(Jobs!$G$5:$G$604=A14)*(Jobs!$B$5:$B$604&gt;=TodayDate)*(Jobs!$P$5:$P$604&lt;&gt;"Cancelled"))*2958465))=2958465,"",SUMPRODUCT(MIN((Jobs!$G$5:$G$604=A14)*(Jobs!$B$5:$B$604&gt;=TodayDate)*(Jobs!$P$5:$P$604&lt;&gt;"Cancelled")*Jobs!$B$5:$B$604+(1-(Jobs!$G$5:$G$604=A14)*(Jobs!$B$5:$B$604&gt;=TodayDate)*(Jobs!$P$5:$P$604&lt;&gt;"Cancelled"))*2958465))))</f>
        <v>0</v>
      </c>
      <c r="AD14" s="21">
        <f>IF(A14="","",SUMIFS(Invoices!$V$5:$V$404,Invoices!$D$5:$D$404,A14))</f>
        <v>0</v>
      </c>
      <c r="AE14" s="21">
        <f>IF(A14="","",SUMIFS(Invoices!$W$5:$W$404,Invoices!$D$5:$D$404,A14))</f>
        <v>0</v>
      </c>
      <c r="AF14" s="21">
        <f>IF(A14="","",AD14-AE14)</f>
        <v>0</v>
      </c>
      <c r="AG14" s="21">
        <f>IF(OR(A14="",Y14=0),"",AD14/Y14)</f>
        <v>0</v>
      </c>
      <c r="AH14" s="21">
        <f>IF(A14="","",SUMIFS('Job Costing'!$U$5:$U$604,'Job Costing'!$D$5:$D$604,A14))</f>
        <v>0</v>
      </c>
      <c r="AI14" s="38">
        <f>IF(OR(A14="",AD14=0),"",AH14/AD14)</f>
        <v>0</v>
      </c>
      <c r="AJ14" s="21">
        <f>IF(OR(A14="",K14="",AG14=""),"",AG14*IFERROR(INDEX(FreqPerYear,MATCH(K14,FreqNames,0)),1))</f>
        <v>0</v>
      </c>
      <c r="AK14" s="34">
        <f>IF(A14="","",IFERROR(AVERAGEIFS(Jobs!$AA$5:$AA$604,Jobs!$G$5:$G$604,A14,Jobs!$AA$5:$AA$604,"&gt;0"),""))</f>
        <v>0</v>
      </c>
      <c r="AL14" s="31">
        <f>IF(A14="","",COUNTIFS(Complaints!$D$5:$D$84,A14))</f>
        <v>0</v>
      </c>
      <c r="AM14" s="31">
        <f>IF(B14="","",COUNTIFS($AD$5:$AD$204,"&gt;"&amp;AD14)+COUNTIFS($AD$5:AD14,AD14))</f>
        <v>0</v>
      </c>
      <c r="AN14" s="31">
        <f>IF(B14="","",COUNTIFS($AH$5:$AH$204,"&gt;"&amp;AH14)+COUNTIFS($AH$5:AH14,AH14))</f>
        <v>0</v>
      </c>
      <c r="AO14" s="31">
        <f>IF(B14="","",COUNTIFS($AJ$5:$AJ$204,"&gt;"&amp;AJ14)+COUNTIFS($AJ$5:AJ14,AJ14))</f>
        <v>0</v>
      </c>
      <c r="AP14" s="39">
        <f>IF(B14="","",IF(H14="Lost","Lost",IF(H14="Inactive","Dormant",IF(AA14="","Dormant",IF(AB14&gt;InactiveClientDays*2,"Dormant",IF(AB14&gt;InactiveClientDays,"At risk",IF(AC14="","Slipping",IF(Y14&gt;=10,"Loyal","Steady"))))))))</f>
        <v>0</v>
      </c>
      <c r="AQ14" s="34">
        <f>IF(OR(B14="",AP14="Lost",AP14="Dormant"),"",IF(OR(AP14="At risk",AP14="Slipping"),IF(AB14="",999,AB14),""))</f>
        <v>0</v>
      </c>
      <c r="AR14" s="31">
        <f>IF(AQ14="","",COUNTIFS($AQ$5:$AQ$204,"&gt;"&amp;AQ14)+COUNTIFS($AQ$5:AQ14,AQ14))</f>
        <v>0</v>
      </c>
      <c r="AS14" s="39">
        <f>IF(B14="","",IF(AF14&gt;0.5,"Chase - "&amp;TEXT(AF14,"0")&amp;" owing",IF(AND(H14&lt;&gt;"Lost",H14&lt;&gt;"Inactive",H14&lt;&gt;"Paused",AC14="",K14&lt;&gt;"One-off"),"Book - nothing in the diary",IF(AND(S14&lt;&gt;"",S14-TodayDate&lt;=RenewalWarningDays,S14&gt;=TodayDate),"Due - contract renews soon",IF(AP14="At risk","Call - going quiet",IF(AL14&gt;=2,"Check - complaints logged",IF(AND(AI14&lt;&gt;"",AI14&lt;MarginFloor,Y14&gt;0),"Check - thin margin","OK")))))))</f>
        <v>0</v>
      </c>
    </row>
    <row r="15" spans="1:45">
      <c r="A15" s="43">
        <f>IF(B15="","",ClientPrefix&amp;TEXT(ROW()-4,"0000"))</f>
        <v>0</v>
      </c>
      <c r="B15" s="15" t="s">
        <v>676</v>
      </c>
      <c r="C15" s="15" t="s">
        <v>440</v>
      </c>
      <c r="D15" s="15" t="s">
        <v>677</v>
      </c>
      <c r="E15" s="15" t="s">
        <v>678</v>
      </c>
      <c r="F15" s="15" t="s">
        <v>679</v>
      </c>
      <c r="G15" s="44" t="s">
        <v>680</v>
      </c>
      <c r="H15" s="45" t="s">
        <v>681</v>
      </c>
      <c r="I15" s="15" t="s">
        <v>682</v>
      </c>
      <c r="J15" s="46">
        <v>45833</v>
      </c>
      <c r="K15" s="15" t="s">
        <v>593</v>
      </c>
      <c r="L15" s="15" t="s">
        <v>594</v>
      </c>
      <c r="M15" s="15" t="s">
        <v>583</v>
      </c>
      <c r="N15" s="15" t="s">
        <v>584</v>
      </c>
      <c r="O15" s="19">
        <v>45</v>
      </c>
      <c r="P15" s="16">
        <v>7</v>
      </c>
      <c r="R15" s="45" t="s">
        <v>585</v>
      </c>
      <c r="T15" s="47" t="s">
        <v>457</v>
      </c>
      <c r="U15" s="47" t="s">
        <v>454</v>
      </c>
      <c r="V15" s="44" t="s">
        <v>683</v>
      </c>
      <c r="W15" s="31">
        <f>IF(A15="","",COUNTIFS(Properties!$C$5:$C$254,A15))</f>
        <v>0</v>
      </c>
      <c r="X15" s="31">
        <f>IF(A15="","",COUNTIFS(Jobs!$G$5:$G$604,A15))</f>
        <v>0</v>
      </c>
      <c r="Y15" s="31">
        <f>IF(A15="","",COUNTIFS(Jobs!$G$5:$G$604,A15,Jobs!$P$5:$P$604,"Completed")+COUNTIFS(Jobs!$G$5:$G$604,A15,Jobs!$P$5:$P$604,"Invoiced"))</f>
        <v>0</v>
      </c>
      <c r="Z15" s="31">
        <f>IF(A15="","",COUNTIFS(Jobs!$G$5:$G$604,A15,Jobs!$P$5:$P$604,"Cancelled")+COUNTIFS(Jobs!$G$5:$G$604,A15,Jobs!$P$5:$P$604,"No access"))</f>
        <v>0</v>
      </c>
      <c r="AA15" s="18">
        <f>IF(A15="","",IF(SUMPRODUCT(MAX((Jobs!$G$5:$G$604=A15)*((Jobs!$P$5:$P$604="Completed")+(Jobs!$P$5:$P$604="Invoiced"))*Jobs!$B$5:$B$604))=0,"",SUMPRODUCT(MAX((Jobs!$G$5:$G$604=A15)*((Jobs!$P$5:$P$604="Completed")+(Jobs!$P$5:$P$604="Invoiced"))*Jobs!$B$5:$B$604))))</f>
        <v>0</v>
      </c>
      <c r="AB15" s="31">
        <f>IF(AA15="","",TodayDate-AA15)</f>
        <v>0</v>
      </c>
      <c r="AC15" s="18">
        <f>IF(A15="","",IF(SUMPRODUCT(MIN((Jobs!$G$5:$G$604=A15)*(Jobs!$B$5:$B$604&gt;=TodayDate)*(Jobs!$P$5:$P$604&lt;&gt;"Cancelled")*Jobs!$B$5:$B$604+(1-(Jobs!$G$5:$G$604=A15)*(Jobs!$B$5:$B$604&gt;=TodayDate)*(Jobs!$P$5:$P$604&lt;&gt;"Cancelled"))*2958465))=2958465,"",SUMPRODUCT(MIN((Jobs!$G$5:$G$604=A15)*(Jobs!$B$5:$B$604&gt;=TodayDate)*(Jobs!$P$5:$P$604&lt;&gt;"Cancelled")*Jobs!$B$5:$B$604+(1-(Jobs!$G$5:$G$604=A15)*(Jobs!$B$5:$B$604&gt;=TodayDate)*(Jobs!$P$5:$P$604&lt;&gt;"Cancelled"))*2958465))))</f>
        <v>0</v>
      </c>
      <c r="AD15" s="21">
        <f>IF(A15="","",SUMIFS(Invoices!$V$5:$V$404,Invoices!$D$5:$D$404,A15))</f>
        <v>0</v>
      </c>
      <c r="AE15" s="21">
        <f>IF(A15="","",SUMIFS(Invoices!$W$5:$W$404,Invoices!$D$5:$D$404,A15))</f>
        <v>0</v>
      </c>
      <c r="AF15" s="21">
        <f>IF(A15="","",AD15-AE15)</f>
        <v>0</v>
      </c>
      <c r="AG15" s="21">
        <f>IF(OR(A15="",Y15=0),"",AD15/Y15)</f>
        <v>0</v>
      </c>
      <c r="AH15" s="21">
        <f>IF(A15="","",SUMIFS('Job Costing'!$U$5:$U$604,'Job Costing'!$D$5:$D$604,A15))</f>
        <v>0</v>
      </c>
      <c r="AI15" s="38">
        <f>IF(OR(A15="",AD15=0),"",AH15/AD15)</f>
        <v>0</v>
      </c>
      <c r="AJ15" s="21">
        <f>IF(OR(A15="",K15="",AG15=""),"",AG15*IFERROR(INDEX(FreqPerYear,MATCH(K15,FreqNames,0)),1))</f>
        <v>0</v>
      </c>
      <c r="AK15" s="34">
        <f>IF(A15="","",IFERROR(AVERAGEIFS(Jobs!$AA$5:$AA$604,Jobs!$G$5:$G$604,A15,Jobs!$AA$5:$AA$604,"&gt;0"),""))</f>
        <v>0</v>
      </c>
      <c r="AL15" s="31">
        <f>IF(A15="","",COUNTIFS(Complaints!$D$5:$D$84,A15))</f>
        <v>0</v>
      </c>
      <c r="AM15" s="31">
        <f>IF(B15="","",COUNTIFS($AD$5:$AD$204,"&gt;"&amp;AD15)+COUNTIFS($AD$5:AD15,AD15))</f>
        <v>0</v>
      </c>
      <c r="AN15" s="31">
        <f>IF(B15="","",COUNTIFS($AH$5:$AH$204,"&gt;"&amp;AH15)+COUNTIFS($AH$5:AH15,AH15))</f>
        <v>0</v>
      </c>
      <c r="AO15" s="31">
        <f>IF(B15="","",COUNTIFS($AJ$5:$AJ$204,"&gt;"&amp;AJ15)+COUNTIFS($AJ$5:AJ15,AJ15))</f>
        <v>0</v>
      </c>
      <c r="AP15" s="39">
        <f>IF(B15="","",IF(H15="Lost","Lost",IF(H15="Inactive","Dormant",IF(AA15="","Dormant",IF(AB15&gt;InactiveClientDays*2,"Dormant",IF(AB15&gt;InactiveClientDays,"At risk",IF(AC15="","Slipping",IF(Y15&gt;=10,"Loyal","Steady"))))))))</f>
        <v>0</v>
      </c>
      <c r="AQ15" s="34">
        <f>IF(OR(B15="",AP15="Lost",AP15="Dormant"),"",IF(OR(AP15="At risk",AP15="Slipping"),IF(AB15="",999,AB15),""))</f>
        <v>0</v>
      </c>
      <c r="AR15" s="31">
        <f>IF(AQ15="","",COUNTIFS($AQ$5:$AQ$204,"&gt;"&amp;AQ15)+COUNTIFS($AQ$5:AQ15,AQ15))</f>
        <v>0</v>
      </c>
      <c r="AS15" s="39">
        <f>IF(B15="","",IF(AF15&gt;0.5,"Chase - "&amp;TEXT(AF15,"0")&amp;" owing",IF(AND(H15&lt;&gt;"Lost",H15&lt;&gt;"Inactive",H15&lt;&gt;"Paused",AC15="",K15&lt;&gt;"One-off"),"Book - nothing in the diary",IF(AND(S15&lt;&gt;"",S15-TodayDate&lt;=RenewalWarningDays,S15&gt;=TodayDate),"Due - contract renews soon",IF(AP15="At risk","Call - going quiet",IF(AL15&gt;=2,"Check - complaints logged",IF(AND(AI15&lt;&gt;"",AI15&lt;MarginFloor,Y15&gt;0),"Check - thin margin","OK")))))))</f>
        <v>0</v>
      </c>
    </row>
    <row r="16" spans="1:45">
      <c r="A16" s="43">
        <f>IF(B16="","",ClientPrefix&amp;TEXT(ROW()-4,"0000"))</f>
        <v>0</v>
      </c>
      <c r="B16" s="15" t="s">
        <v>684</v>
      </c>
      <c r="C16" s="15" t="s">
        <v>685</v>
      </c>
      <c r="D16" s="15" t="s">
        <v>686</v>
      </c>
      <c r="E16" s="15" t="s">
        <v>687</v>
      </c>
      <c r="F16" s="15" t="s">
        <v>688</v>
      </c>
      <c r="G16" s="44" t="s">
        <v>689</v>
      </c>
      <c r="H16" s="45" t="s">
        <v>604</v>
      </c>
      <c r="I16" s="15" t="s">
        <v>690</v>
      </c>
      <c r="J16" s="46">
        <v>46163</v>
      </c>
      <c r="K16" s="15" t="s">
        <v>124</v>
      </c>
      <c r="L16" s="15" t="s">
        <v>655</v>
      </c>
      <c r="M16" s="15" t="s">
        <v>595</v>
      </c>
      <c r="N16" s="15" t="s">
        <v>664</v>
      </c>
      <c r="O16" s="19">
        <v>48</v>
      </c>
      <c r="P16" s="16">
        <v>30</v>
      </c>
      <c r="R16" s="45" t="s">
        <v>609</v>
      </c>
      <c r="T16" s="47" t="s">
        <v>457</v>
      </c>
      <c r="U16" s="47" t="s">
        <v>454</v>
      </c>
      <c r="V16" s="44" t="s">
        <v>691</v>
      </c>
      <c r="W16" s="31">
        <f>IF(A16="","",COUNTIFS(Properties!$C$5:$C$254,A16))</f>
        <v>0</v>
      </c>
      <c r="X16" s="31">
        <f>IF(A16="","",COUNTIFS(Jobs!$G$5:$G$604,A16))</f>
        <v>0</v>
      </c>
      <c r="Y16" s="31">
        <f>IF(A16="","",COUNTIFS(Jobs!$G$5:$G$604,A16,Jobs!$P$5:$P$604,"Completed")+COUNTIFS(Jobs!$G$5:$G$604,A16,Jobs!$P$5:$P$604,"Invoiced"))</f>
        <v>0</v>
      </c>
      <c r="Z16" s="31">
        <f>IF(A16="","",COUNTIFS(Jobs!$G$5:$G$604,A16,Jobs!$P$5:$P$604,"Cancelled")+COUNTIFS(Jobs!$G$5:$G$604,A16,Jobs!$P$5:$P$604,"No access"))</f>
        <v>0</v>
      </c>
      <c r="AA16" s="18">
        <f>IF(A16="","",IF(SUMPRODUCT(MAX((Jobs!$G$5:$G$604=A16)*((Jobs!$P$5:$P$604="Completed")+(Jobs!$P$5:$P$604="Invoiced"))*Jobs!$B$5:$B$604))=0,"",SUMPRODUCT(MAX((Jobs!$G$5:$G$604=A16)*((Jobs!$P$5:$P$604="Completed")+(Jobs!$P$5:$P$604="Invoiced"))*Jobs!$B$5:$B$604))))</f>
        <v>0</v>
      </c>
      <c r="AB16" s="31">
        <f>IF(AA16="","",TodayDate-AA16)</f>
        <v>0</v>
      </c>
      <c r="AC16" s="18">
        <f>IF(A16="","",IF(SUMPRODUCT(MIN((Jobs!$G$5:$G$604=A16)*(Jobs!$B$5:$B$604&gt;=TodayDate)*(Jobs!$P$5:$P$604&lt;&gt;"Cancelled")*Jobs!$B$5:$B$604+(1-(Jobs!$G$5:$G$604=A16)*(Jobs!$B$5:$B$604&gt;=TodayDate)*(Jobs!$P$5:$P$604&lt;&gt;"Cancelled"))*2958465))=2958465,"",SUMPRODUCT(MIN((Jobs!$G$5:$G$604=A16)*(Jobs!$B$5:$B$604&gt;=TodayDate)*(Jobs!$P$5:$P$604&lt;&gt;"Cancelled")*Jobs!$B$5:$B$604+(1-(Jobs!$G$5:$G$604=A16)*(Jobs!$B$5:$B$604&gt;=TodayDate)*(Jobs!$P$5:$P$604&lt;&gt;"Cancelled"))*2958465))))</f>
        <v>0</v>
      </c>
      <c r="AD16" s="21">
        <f>IF(A16="","",SUMIFS(Invoices!$V$5:$V$404,Invoices!$D$5:$D$404,A16))</f>
        <v>0</v>
      </c>
      <c r="AE16" s="21">
        <f>IF(A16="","",SUMIFS(Invoices!$W$5:$W$404,Invoices!$D$5:$D$404,A16))</f>
        <v>0</v>
      </c>
      <c r="AF16" s="21">
        <f>IF(A16="","",AD16-AE16)</f>
        <v>0</v>
      </c>
      <c r="AG16" s="21">
        <f>IF(OR(A16="",Y16=0),"",AD16/Y16)</f>
        <v>0</v>
      </c>
      <c r="AH16" s="21">
        <f>IF(A16="","",SUMIFS('Job Costing'!$U$5:$U$604,'Job Costing'!$D$5:$D$604,A16))</f>
        <v>0</v>
      </c>
      <c r="AI16" s="38">
        <f>IF(OR(A16="",AD16=0),"",AH16/AD16)</f>
        <v>0</v>
      </c>
      <c r="AJ16" s="21">
        <f>IF(OR(A16="",K16="",AG16=""),"",AG16*IFERROR(INDEX(FreqPerYear,MATCH(K16,FreqNames,0)),1))</f>
        <v>0</v>
      </c>
      <c r="AK16" s="34">
        <f>IF(A16="","",IFERROR(AVERAGEIFS(Jobs!$AA$5:$AA$604,Jobs!$G$5:$G$604,A16,Jobs!$AA$5:$AA$604,"&gt;0"),""))</f>
        <v>0</v>
      </c>
      <c r="AL16" s="31">
        <f>IF(A16="","",COUNTIFS(Complaints!$D$5:$D$84,A16))</f>
        <v>0</v>
      </c>
      <c r="AM16" s="31">
        <f>IF(B16="","",COUNTIFS($AD$5:$AD$204,"&gt;"&amp;AD16)+COUNTIFS($AD$5:AD16,AD16))</f>
        <v>0</v>
      </c>
      <c r="AN16" s="31">
        <f>IF(B16="","",COUNTIFS($AH$5:$AH$204,"&gt;"&amp;AH16)+COUNTIFS($AH$5:AH16,AH16))</f>
        <v>0</v>
      </c>
      <c r="AO16" s="31">
        <f>IF(B16="","",COUNTIFS($AJ$5:$AJ$204,"&gt;"&amp;AJ16)+COUNTIFS($AJ$5:AJ16,AJ16))</f>
        <v>0</v>
      </c>
      <c r="AP16" s="39">
        <f>IF(B16="","",IF(H16="Lost","Lost",IF(H16="Inactive","Dormant",IF(AA16="","Dormant",IF(AB16&gt;InactiveClientDays*2,"Dormant",IF(AB16&gt;InactiveClientDays,"At risk",IF(AC16="","Slipping",IF(Y16&gt;=10,"Loyal","Steady"))))))))</f>
        <v>0</v>
      </c>
      <c r="AQ16" s="34">
        <f>IF(OR(B16="",AP16="Lost",AP16="Dormant"),"",IF(OR(AP16="At risk",AP16="Slipping"),IF(AB16="",999,AB16),""))</f>
        <v>0</v>
      </c>
      <c r="AR16" s="31">
        <f>IF(AQ16="","",COUNTIFS($AQ$5:$AQ$204,"&gt;"&amp;AQ16)+COUNTIFS($AQ$5:AQ16,AQ16))</f>
        <v>0</v>
      </c>
      <c r="AS16" s="39">
        <f>IF(B16="","",IF(AF16&gt;0.5,"Chase - "&amp;TEXT(AF16,"0")&amp;" owing",IF(AND(H16&lt;&gt;"Lost",H16&lt;&gt;"Inactive",H16&lt;&gt;"Paused",AC16="",K16&lt;&gt;"One-off"),"Book - nothing in the diary",IF(AND(S16&lt;&gt;"",S16-TodayDate&lt;=RenewalWarningDays,S16&gt;=TodayDate),"Due - contract renews soon",IF(AP16="At risk","Call - going quiet",IF(AL16&gt;=2,"Check - complaints logged",IF(AND(AI16&lt;&gt;"",AI16&lt;MarginFloor,Y16&gt;0),"Check - thin margin","OK")))))))</f>
        <v>0</v>
      </c>
    </row>
    <row r="17" spans="1:45">
      <c r="A17" s="43">
        <f>IF(B17="","",ClientPrefix&amp;TEXT(ROW()-4,"0000"))</f>
        <v>0</v>
      </c>
      <c r="B17" s="15" t="s">
        <v>692</v>
      </c>
      <c r="C17" s="15" t="s">
        <v>440</v>
      </c>
      <c r="D17" s="15" t="s">
        <v>693</v>
      </c>
      <c r="E17" s="15" t="s">
        <v>694</v>
      </c>
      <c r="F17" s="15" t="s">
        <v>695</v>
      </c>
      <c r="G17" s="44" t="s">
        <v>696</v>
      </c>
      <c r="H17" s="45" t="s">
        <v>697</v>
      </c>
      <c r="I17" s="15" t="s">
        <v>698</v>
      </c>
      <c r="J17" s="46">
        <v>46293</v>
      </c>
      <c r="K17" s="15" t="s">
        <v>593</v>
      </c>
      <c r="L17" s="15" t="s">
        <v>582</v>
      </c>
      <c r="M17" s="15" t="s">
        <v>595</v>
      </c>
      <c r="N17" s="15" t="s">
        <v>584</v>
      </c>
      <c r="O17" s="19">
        <v>45</v>
      </c>
      <c r="P17" s="16">
        <v>7</v>
      </c>
      <c r="R17" s="45" t="s">
        <v>699</v>
      </c>
      <c r="T17" s="47" t="s">
        <v>457</v>
      </c>
      <c r="U17" s="47" t="s">
        <v>454</v>
      </c>
      <c r="V17" s="44" t="s">
        <v>700</v>
      </c>
      <c r="W17" s="31">
        <f>IF(A17="","",COUNTIFS(Properties!$C$5:$C$254,A17))</f>
        <v>0</v>
      </c>
      <c r="X17" s="31">
        <f>IF(A17="","",COUNTIFS(Jobs!$G$5:$G$604,A17))</f>
        <v>0</v>
      </c>
      <c r="Y17" s="31">
        <f>IF(A17="","",COUNTIFS(Jobs!$G$5:$G$604,A17,Jobs!$P$5:$P$604,"Completed")+COUNTIFS(Jobs!$G$5:$G$604,A17,Jobs!$P$5:$P$604,"Invoiced"))</f>
        <v>0</v>
      </c>
      <c r="Z17" s="31">
        <f>IF(A17="","",COUNTIFS(Jobs!$G$5:$G$604,A17,Jobs!$P$5:$P$604,"Cancelled")+COUNTIFS(Jobs!$G$5:$G$604,A17,Jobs!$P$5:$P$604,"No access"))</f>
        <v>0</v>
      </c>
      <c r="AA17" s="18">
        <f>IF(A17="","",IF(SUMPRODUCT(MAX((Jobs!$G$5:$G$604=A17)*((Jobs!$P$5:$P$604="Completed")+(Jobs!$P$5:$P$604="Invoiced"))*Jobs!$B$5:$B$604))=0,"",SUMPRODUCT(MAX((Jobs!$G$5:$G$604=A17)*((Jobs!$P$5:$P$604="Completed")+(Jobs!$P$5:$P$604="Invoiced"))*Jobs!$B$5:$B$604))))</f>
        <v>0</v>
      </c>
      <c r="AB17" s="31">
        <f>IF(AA17="","",TodayDate-AA17)</f>
        <v>0</v>
      </c>
      <c r="AC17" s="18">
        <f>IF(A17="","",IF(SUMPRODUCT(MIN((Jobs!$G$5:$G$604=A17)*(Jobs!$B$5:$B$604&gt;=TodayDate)*(Jobs!$P$5:$P$604&lt;&gt;"Cancelled")*Jobs!$B$5:$B$604+(1-(Jobs!$G$5:$G$604=A17)*(Jobs!$B$5:$B$604&gt;=TodayDate)*(Jobs!$P$5:$P$604&lt;&gt;"Cancelled"))*2958465))=2958465,"",SUMPRODUCT(MIN((Jobs!$G$5:$G$604=A17)*(Jobs!$B$5:$B$604&gt;=TodayDate)*(Jobs!$P$5:$P$604&lt;&gt;"Cancelled")*Jobs!$B$5:$B$604+(1-(Jobs!$G$5:$G$604=A17)*(Jobs!$B$5:$B$604&gt;=TodayDate)*(Jobs!$P$5:$P$604&lt;&gt;"Cancelled"))*2958465))))</f>
        <v>0</v>
      </c>
      <c r="AD17" s="21">
        <f>IF(A17="","",SUMIFS(Invoices!$V$5:$V$404,Invoices!$D$5:$D$404,A17))</f>
        <v>0</v>
      </c>
      <c r="AE17" s="21">
        <f>IF(A17="","",SUMIFS(Invoices!$W$5:$W$404,Invoices!$D$5:$D$404,A17))</f>
        <v>0</v>
      </c>
      <c r="AF17" s="21">
        <f>IF(A17="","",AD17-AE17)</f>
        <v>0</v>
      </c>
      <c r="AG17" s="21">
        <f>IF(OR(A17="",Y17=0),"",AD17/Y17)</f>
        <v>0</v>
      </c>
      <c r="AH17" s="21">
        <f>IF(A17="","",SUMIFS('Job Costing'!$U$5:$U$604,'Job Costing'!$D$5:$D$604,A17))</f>
        <v>0</v>
      </c>
      <c r="AI17" s="38">
        <f>IF(OR(A17="",AD17=0),"",AH17/AD17)</f>
        <v>0</v>
      </c>
      <c r="AJ17" s="21">
        <f>IF(OR(A17="",K17="",AG17=""),"",AG17*IFERROR(INDEX(FreqPerYear,MATCH(K17,FreqNames,0)),1))</f>
        <v>0</v>
      </c>
      <c r="AK17" s="34">
        <f>IF(A17="","",IFERROR(AVERAGEIFS(Jobs!$AA$5:$AA$604,Jobs!$G$5:$G$604,A17,Jobs!$AA$5:$AA$604,"&gt;0"),""))</f>
        <v>0</v>
      </c>
      <c r="AL17" s="31">
        <f>IF(A17="","",COUNTIFS(Complaints!$D$5:$D$84,A17))</f>
        <v>0</v>
      </c>
      <c r="AM17" s="31">
        <f>IF(B17="","",COUNTIFS($AD$5:$AD$204,"&gt;"&amp;AD17)+COUNTIFS($AD$5:AD17,AD17))</f>
        <v>0</v>
      </c>
      <c r="AN17" s="31">
        <f>IF(B17="","",COUNTIFS($AH$5:$AH$204,"&gt;"&amp;AH17)+COUNTIFS($AH$5:AH17,AH17))</f>
        <v>0</v>
      </c>
      <c r="AO17" s="31">
        <f>IF(B17="","",COUNTIFS($AJ$5:$AJ$204,"&gt;"&amp;AJ17)+COUNTIFS($AJ$5:AJ17,AJ17))</f>
        <v>0</v>
      </c>
      <c r="AP17" s="39">
        <f>IF(B17="","",IF(H17="Lost","Lost",IF(H17="Inactive","Dormant",IF(AA17="","Dormant",IF(AB17&gt;InactiveClientDays*2,"Dormant",IF(AB17&gt;InactiveClientDays,"At risk",IF(AC17="","Slipping",IF(Y17&gt;=10,"Loyal","Steady"))))))))</f>
        <v>0</v>
      </c>
      <c r="AQ17" s="34">
        <f>IF(OR(B17="",AP17="Lost",AP17="Dormant"),"",IF(OR(AP17="At risk",AP17="Slipping"),IF(AB17="",999,AB17),""))</f>
        <v>0</v>
      </c>
      <c r="AR17" s="31">
        <f>IF(AQ17="","",COUNTIFS($AQ$5:$AQ$204,"&gt;"&amp;AQ17)+COUNTIFS($AQ$5:AQ17,AQ17))</f>
        <v>0</v>
      </c>
      <c r="AS17" s="39">
        <f>IF(B17="","",IF(AF17&gt;0.5,"Chase - "&amp;TEXT(AF17,"0")&amp;" owing",IF(AND(H17&lt;&gt;"Lost",H17&lt;&gt;"Inactive",H17&lt;&gt;"Paused",AC17="",K17&lt;&gt;"One-off"),"Book - nothing in the diary",IF(AND(S17&lt;&gt;"",S17-TodayDate&lt;=RenewalWarningDays,S17&gt;=TodayDate),"Due - contract renews soon",IF(AP17="At risk","Call - going quiet",IF(AL17&gt;=2,"Check - complaints logged",IF(AND(AI17&lt;&gt;"",AI17&lt;MarginFloor,Y17&gt;0),"Check - thin margin","OK")))))))</f>
        <v>0</v>
      </c>
    </row>
    <row r="18" spans="1:45">
      <c r="A18" s="43">
        <f>IF(B18="","",ClientPrefix&amp;TEXT(ROW()-4,"0000"))</f>
        <v>0</v>
      </c>
      <c r="B18" s="15" t="s">
        <v>701</v>
      </c>
      <c r="C18" s="15" t="s">
        <v>612</v>
      </c>
      <c r="D18" s="15" t="s">
        <v>702</v>
      </c>
      <c r="E18" s="15" t="s">
        <v>703</v>
      </c>
      <c r="F18" s="15" t="s">
        <v>704</v>
      </c>
      <c r="G18" s="44" t="s">
        <v>705</v>
      </c>
      <c r="H18" s="45" t="s">
        <v>604</v>
      </c>
      <c r="I18" s="15" t="s">
        <v>706</v>
      </c>
      <c r="J18" s="46">
        <v>46218</v>
      </c>
      <c r="K18" s="15" t="s">
        <v>451</v>
      </c>
      <c r="L18" s="15" t="s">
        <v>606</v>
      </c>
      <c r="M18" s="15" t="s">
        <v>607</v>
      </c>
      <c r="N18" s="15" t="s">
        <v>608</v>
      </c>
      <c r="O18" s="19">
        <v>52</v>
      </c>
      <c r="P18" s="16">
        <v>14</v>
      </c>
      <c r="R18" s="45" t="s">
        <v>585</v>
      </c>
      <c r="T18" s="47" t="s">
        <v>457</v>
      </c>
      <c r="U18" s="47" t="s">
        <v>454</v>
      </c>
      <c r="V18" s="44" t="s">
        <v>707</v>
      </c>
      <c r="W18" s="31">
        <f>IF(A18="","",COUNTIFS(Properties!$C$5:$C$254,A18))</f>
        <v>0</v>
      </c>
      <c r="X18" s="31">
        <f>IF(A18="","",COUNTIFS(Jobs!$G$5:$G$604,A18))</f>
        <v>0</v>
      </c>
      <c r="Y18" s="31">
        <f>IF(A18="","",COUNTIFS(Jobs!$G$5:$G$604,A18,Jobs!$P$5:$P$604,"Completed")+COUNTIFS(Jobs!$G$5:$G$604,A18,Jobs!$P$5:$P$604,"Invoiced"))</f>
        <v>0</v>
      </c>
      <c r="Z18" s="31">
        <f>IF(A18="","",COUNTIFS(Jobs!$G$5:$G$604,A18,Jobs!$P$5:$P$604,"Cancelled")+COUNTIFS(Jobs!$G$5:$G$604,A18,Jobs!$P$5:$P$604,"No access"))</f>
        <v>0</v>
      </c>
      <c r="AA18" s="18">
        <f>IF(A18="","",IF(SUMPRODUCT(MAX((Jobs!$G$5:$G$604=A18)*((Jobs!$P$5:$P$604="Completed")+(Jobs!$P$5:$P$604="Invoiced"))*Jobs!$B$5:$B$604))=0,"",SUMPRODUCT(MAX((Jobs!$G$5:$G$604=A18)*((Jobs!$P$5:$P$604="Completed")+(Jobs!$P$5:$P$604="Invoiced"))*Jobs!$B$5:$B$604))))</f>
        <v>0</v>
      </c>
      <c r="AB18" s="31">
        <f>IF(AA18="","",TodayDate-AA18)</f>
        <v>0</v>
      </c>
      <c r="AC18" s="18">
        <f>IF(A18="","",IF(SUMPRODUCT(MIN((Jobs!$G$5:$G$604=A18)*(Jobs!$B$5:$B$604&gt;=TodayDate)*(Jobs!$P$5:$P$604&lt;&gt;"Cancelled")*Jobs!$B$5:$B$604+(1-(Jobs!$G$5:$G$604=A18)*(Jobs!$B$5:$B$604&gt;=TodayDate)*(Jobs!$P$5:$P$604&lt;&gt;"Cancelled"))*2958465))=2958465,"",SUMPRODUCT(MIN((Jobs!$G$5:$G$604=A18)*(Jobs!$B$5:$B$604&gt;=TodayDate)*(Jobs!$P$5:$P$604&lt;&gt;"Cancelled")*Jobs!$B$5:$B$604+(1-(Jobs!$G$5:$G$604=A18)*(Jobs!$B$5:$B$604&gt;=TodayDate)*(Jobs!$P$5:$P$604&lt;&gt;"Cancelled"))*2958465))))</f>
        <v>0</v>
      </c>
      <c r="AD18" s="21">
        <f>IF(A18="","",SUMIFS(Invoices!$V$5:$V$404,Invoices!$D$5:$D$404,A18))</f>
        <v>0</v>
      </c>
      <c r="AE18" s="21">
        <f>IF(A18="","",SUMIFS(Invoices!$W$5:$W$404,Invoices!$D$5:$D$404,A18))</f>
        <v>0</v>
      </c>
      <c r="AF18" s="21">
        <f>IF(A18="","",AD18-AE18)</f>
        <v>0</v>
      </c>
      <c r="AG18" s="21">
        <f>IF(OR(A18="",Y18=0),"",AD18/Y18)</f>
        <v>0</v>
      </c>
      <c r="AH18" s="21">
        <f>IF(A18="","",SUMIFS('Job Costing'!$U$5:$U$604,'Job Costing'!$D$5:$D$604,A18))</f>
        <v>0</v>
      </c>
      <c r="AI18" s="38">
        <f>IF(OR(A18="",AD18=0),"",AH18/AD18)</f>
        <v>0</v>
      </c>
      <c r="AJ18" s="21">
        <f>IF(OR(A18="",K18="",AG18=""),"",AG18*IFERROR(INDEX(FreqPerYear,MATCH(K18,FreqNames,0)),1))</f>
        <v>0</v>
      </c>
      <c r="AK18" s="34">
        <f>IF(A18="","",IFERROR(AVERAGEIFS(Jobs!$AA$5:$AA$604,Jobs!$G$5:$G$604,A18,Jobs!$AA$5:$AA$604,"&gt;0"),""))</f>
        <v>0</v>
      </c>
      <c r="AL18" s="31">
        <f>IF(A18="","",COUNTIFS(Complaints!$D$5:$D$84,A18))</f>
        <v>0</v>
      </c>
      <c r="AM18" s="31">
        <f>IF(B18="","",COUNTIFS($AD$5:$AD$204,"&gt;"&amp;AD18)+COUNTIFS($AD$5:AD18,AD18))</f>
        <v>0</v>
      </c>
      <c r="AN18" s="31">
        <f>IF(B18="","",COUNTIFS($AH$5:$AH$204,"&gt;"&amp;AH18)+COUNTIFS($AH$5:AH18,AH18))</f>
        <v>0</v>
      </c>
      <c r="AO18" s="31">
        <f>IF(B18="","",COUNTIFS($AJ$5:$AJ$204,"&gt;"&amp;AJ18)+COUNTIFS($AJ$5:AJ18,AJ18))</f>
        <v>0</v>
      </c>
      <c r="AP18" s="39">
        <f>IF(B18="","",IF(H18="Lost","Lost",IF(H18="Inactive","Dormant",IF(AA18="","Dormant",IF(AB18&gt;InactiveClientDays*2,"Dormant",IF(AB18&gt;InactiveClientDays,"At risk",IF(AC18="","Slipping",IF(Y18&gt;=10,"Loyal","Steady"))))))))</f>
        <v>0</v>
      </c>
      <c r="AQ18" s="34">
        <f>IF(OR(B18="",AP18="Lost",AP18="Dormant"),"",IF(OR(AP18="At risk",AP18="Slipping"),IF(AB18="",999,AB18),""))</f>
        <v>0</v>
      </c>
      <c r="AR18" s="31">
        <f>IF(AQ18="","",COUNTIFS($AQ$5:$AQ$204,"&gt;"&amp;AQ18)+COUNTIFS($AQ$5:AQ18,AQ18))</f>
        <v>0</v>
      </c>
      <c r="AS18" s="39">
        <f>IF(B18="","",IF(AF18&gt;0.5,"Chase - "&amp;TEXT(AF18,"0")&amp;" owing",IF(AND(H18&lt;&gt;"Lost",H18&lt;&gt;"Inactive",H18&lt;&gt;"Paused",AC18="",K18&lt;&gt;"One-off"),"Book - nothing in the diary",IF(AND(S18&lt;&gt;"",S18-TodayDate&lt;=RenewalWarningDays,S18&gt;=TodayDate),"Due - contract renews soon",IF(AP18="At risk","Call - going quiet",IF(AL18&gt;=2,"Check - complaints logged",IF(AND(AI18&lt;&gt;"",AI18&lt;MarginFloor,Y18&gt;0),"Check - thin margin","OK")))))))</f>
        <v>0</v>
      </c>
    </row>
    <row r="19" spans="1:45">
      <c r="A19" s="43">
        <f>IF(B19="","",ClientPrefix&amp;TEXT(ROW()-4,"0000"))</f>
        <v>0</v>
      </c>
      <c r="B19" s="15" t="s">
        <v>708</v>
      </c>
      <c r="C19" s="15" t="s">
        <v>440</v>
      </c>
      <c r="D19" s="15" t="s">
        <v>709</v>
      </c>
      <c r="E19" s="15" t="s">
        <v>710</v>
      </c>
      <c r="F19" s="15" t="s">
        <v>711</v>
      </c>
      <c r="G19" s="44" t="s">
        <v>712</v>
      </c>
      <c r="H19" s="45" t="s">
        <v>713</v>
      </c>
      <c r="I19" s="15" t="s">
        <v>714</v>
      </c>
      <c r="J19" s="46">
        <v>45613</v>
      </c>
      <c r="K19" s="15" t="s">
        <v>625</v>
      </c>
      <c r="L19" s="15" t="s">
        <v>626</v>
      </c>
      <c r="M19" s="15" t="s">
        <v>626</v>
      </c>
      <c r="N19" s="15" t="s">
        <v>596</v>
      </c>
      <c r="O19" s="19">
        <v>45</v>
      </c>
      <c r="P19" s="16">
        <v>7</v>
      </c>
      <c r="R19" s="45" t="s">
        <v>628</v>
      </c>
      <c r="T19" s="47" t="s">
        <v>457</v>
      </c>
      <c r="U19" s="47" t="s">
        <v>454</v>
      </c>
      <c r="V19" s="44" t="s">
        <v>715</v>
      </c>
      <c r="W19" s="31">
        <f>IF(A19="","",COUNTIFS(Properties!$C$5:$C$254,A19))</f>
        <v>0</v>
      </c>
      <c r="X19" s="31">
        <f>IF(A19="","",COUNTIFS(Jobs!$G$5:$G$604,A19))</f>
        <v>0</v>
      </c>
      <c r="Y19" s="31">
        <f>IF(A19="","",COUNTIFS(Jobs!$G$5:$G$604,A19,Jobs!$P$5:$P$604,"Completed")+COUNTIFS(Jobs!$G$5:$G$604,A19,Jobs!$P$5:$P$604,"Invoiced"))</f>
        <v>0</v>
      </c>
      <c r="Z19" s="31">
        <f>IF(A19="","",COUNTIFS(Jobs!$G$5:$G$604,A19,Jobs!$P$5:$P$604,"Cancelled")+COUNTIFS(Jobs!$G$5:$G$604,A19,Jobs!$P$5:$P$604,"No access"))</f>
        <v>0</v>
      </c>
      <c r="AA19" s="18">
        <f>IF(A19="","",IF(SUMPRODUCT(MAX((Jobs!$G$5:$G$604=A19)*((Jobs!$P$5:$P$604="Completed")+(Jobs!$P$5:$P$604="Invoiced"))*Jobs!$B$5:$B$604))=0,"",SUMPRODUCT(MAX((Jobs!$G$5:$G$604=A19)*((Jobs!$P$5:$P$604="Completed")+(Jobs!$P$5:$P$604="Invoiced"))*Jobs!$B$5:$B$604))))</f>
        <v>0</v>
      </c>
      <c r="AB19" s="31">
        <f>IF(AA19="","",TodayDate-AA19)</f>
        <v>0</v>
      </c>
      <c r="AC19" s="18">
        <f>IF(A19="","",IF(SUMPRODUCT(MIN((Jobs!$G$5:$G$604=A19)*(Jobs!$B$5:$B$604&gt;=TodayDate)*(Jobs!$P$5:$P$604&lt;&gt;"Cancelled")*Jobs!$B$5:$B$604+(1-(Jobs!$G$5:$G$604=A19)*(Jobs!$B$5:$B$604&gt;=TodayDate)*(Jobs!$P$5:$P$604&lt;&gt;"Cancelled"))*2958465))=2958465,"",SUMPRODUCT(MIN((Jobs!$G$5:$G$604=A19)*(Jobs!$B$5:$B$604&gt;=TodayDate)*(Jobs!$P$5:$P$604&lt;&gt;"Cancelled")*Jobs!$B$5:$B$604+(1-(Jobs!$G$5:$G$604=A19)*(Jobs!$B$5:$B$604&gt;=TodayDate)*(Jobs!$P$5:$P$604&lt;&gt;"Cancelled"))*2958465))))</f>
        <v>0</v>
      </c>
      <c r="AD19" s="21">
        <f>IF(A19="","",SUMIFS(Invoices!$V$5:$V$404,Invoices!$D$5:$D$404,A19))</f>
        <v>0</v>
      </c>
      <c r="AE19" s="21">
        <f>IF(A19="","",SUMIFS(Invoices!$W$5:$W$404,Invoices!$D$5:$D$404,A19))</f>
        <v>0</v>
      </c>
      <c r="AF19" s="21">
        <f>IF(A19="","",AD19-AE19)</f>
        <v>0</v>
      </c>
      <c r="AG19" s="21">
        <f>IF(OR(A19="",Y19=0),"",AD19/Y19)</f>
        <v>0</v>
      </c>
      <c r="AH19" s="21">
        <f>IF(A19="","",SUMIFS('Job Costing'!$U$5:$U$604,'Job Costing'!$D$5:$D$604,A19))</f>
        <v>0</v>
      </c>
      <c r="AI19" s="38">
        <f>IF(OR(A19="",AD19=0),"",AH19/AD19)</f>
        <v>0</v>
      </c>
      <c r="AJ19" s="21">
        <f>IF(OR(A19="",K19="",AG19=""),"",AG19*IFERROR(INDEX(FreqPerYear,MATCH(K19,FreqNames,0)),1))</f>
        <v>0</v>
      </c>
      <c r="AK19" s="34">
        <f>IF(A19="","",IFERROR(AVERAGEIFS(Jobs!$AA$5:$AA$604,Jobs!$G$5:$G$604,A19,Jobs!$AA$5:$AA$604,"&gt;0"),""))</f>
        <v>0</v>
      </c>
      <c r="AL19" s="31">
        <f>IF(A19="","",COUNTIFS(Complaints!$D$5:$D$84,A19))</f>
        <v>0</v>
      </c>
      <c r="AM19" s="31">
        <f>IF(B19="","",COUNTIFS($AD$5:$AD$204,"&gt;"&amp;AD19)+COUNTIFS($AD$5:AD19,AD19))</f>
        <v>0</v>
      </c>
      <c r="AN19" s="31">
        <f>IF(B19="","",COUNTIFS($AH$5:$AH$204,"&gt;"&amp;AH19)+COUNTIFS($AH$5:AH19,AH19))</f>
        <v>0</v>
      </c>
      <c r="AO19" s="31">
        <f>IF(B19="","",COUNTIFS($AJ$5:$AJ$204,"&gt;"&amp;AJ19)+COUNTIFS($AJ$5:AJ19,AJ19))</f>
        <v>0</v>
      </c>
      <c r="AP19" s="39">
        <f>IF(B19="","",IF(H19="Lost","Lost",IF(H19="Inactive","Dormant",IF(AA19="","Dormant",IF(AB19&gt;InactiveClientDays*2,"Dormant",IF(AB19&gt;InactiveClientDays,"At risk",IF(AC19="","Slipping",IF(Y19&gt;=10,"Loyal","Steady"))))))))</f>
        <v>0</v>
      </c>
      <c r="AQ19" s="34">
        <f>IF(OR(B19="",AP19="Lost",AP19="Dormant"),"",IF(OR(AP19="At risk",AP19="Slipping"),IF(AB19="",999,AB19),""))</f>
        <v>0</v>
      </c>
      <c r="AR19" s="31">
        <f>IF(AQ19="","",COUNTIFS($AQ$5:$AQ$204,"&gt;"&amp;AQ19)+COUNTIFS($AQ$5:AQ19,AQ19))</f>
        <v>0</v>
      </c>
      <c r="AS19" s="39">
        <f>IF(B19="","",IF(AF19&gt;0.5,"Chase - "&amp;TEXT(AF19,"0")&amp;" owing",IF(AND(H19&lt;&gt;"Lost",H19&lt;&gt;"Inactive",H19&lt;&gt;"Paused",AC19="",K19&lt;&gt;"One-off"),"Book - nothing in the diary",IF(AND(S19&lt;&gt;"",S19-TodayDate&lt;=RenewalWarningDays,S19&gt;=TodayDate),"Due - contract renews soon",IF(AP19="At risk","Call - going quiet",IF(AL19&gt;=2,"Check - complaints logged",IF(AND(AI19&lt;&gt;"",AI19&lt;MarginFloor,Y19&gt;0),"Check - thin margin","OK")))))))</f>
        <v>0</v>
      </c>
    </row>
    <row r="20" spans="1:45">
      <c r="A20" s="43">
        <f>IF(B20="","",ClientPrefix&amp;TEXT(ROW()-4,"0000"))</f>
        <v>0</v>
      </c>
      <c r="W20" s="31">
        <f>IF(A20="","",COUNTIFS(Properties!$C$5:$C$254,A20))</f>
        <v>0</v>
      </c>
      <c r="X20" s="31">
        <f>IF(A20="","",COUNTIFS(Jobs!$G$5:$G$604,A20))</f>
        <v>0</v>
      </c>
      <c r="Y20" s="31">
        <f>IF(A20="","",COUNTIFS(Jobs!$G$5:$G$604,A20,Jobs!$P$5:$P$604,"Completed")+COUNTIFS(Jobs!$G$5:$G$604,A20,Jobs!$P$5:$P$604,"Invoiced"))</f>
        <v>0</v>
      </c>
      <c r="Z20" s="31">
        <f>IF(A20="","",COUNTIFS(Jobs!$G$5:$G$604,A20,Jobs!$P$5:$P$604,"Cancelled")+COUNTIFS(Jobs!$G$5:$G$604,A20,Jobs!$P$5:$P$604,"No access"))</f>
        <v>0</v>
      </c>
      <c r="AA20" s="18">
        <f>IF(A20="","",IF(SUMPRODUCT(MAX((Jobs!$G$5:$G$604=A20)*((Jobs!$P$5:$P$604="Completed")+(Jobs!$P$5:$P$604="Invoiced"))*Jobs!$B$5:$B$604))=0,"",SUMPRODUCT(MAX((Jobs!$G$5:$G$604=A20)*((Jobs!$P$5:$P$604="Completed")+(Jobs!$P$5:$P$604="Invoiced"))*Jobs!$B$5:$B$604))))</f>
        <v>0</v>
      </c>
      <c r="AB20" s="31">
        <f>IF(AA20="","",TodayDate-AA20)</f>
        <v>0</v>
      </c>
      <c r="AC20" s="18">
        <f>IF(A20="","",IF(SUMPRODUCT(MIN((Jobs!$G$5:$G$604=A20)*(Jobs!$B$5:$B$604&gt;=TodayDate)*(Jobs!$P$5:$P$604&lt;&gt;"Cancelled")*Jobs!$B$5:$B$604+(1-(Jobs!$G$5:$G$604=A20)*(Jobs!$B$5:$B$604&gt;=TodayDate)*(Jobs!$P$5:$P$604&lt;&gt;"Cancelled"))*2958465))=2958465,"",SUMPRODUCT(MIN((Jobs!$G$5:$G$604=A20)*(Jobs!$B$5:$B$604&gt;=TodayDate)*(Jobs!$P$5:$P$604&lt;&gt;"Cancelled")*Jobs!$B$5:$B$604+(1-(Jobs!$G$5:$G$604=A20)*(Jobs!$B$5:$B$604&gt;=TodayDate)*(Jobs!$P$5:$P$604&lt;&gt;"Cancelled"))*2958465))))</f>
        <v>0</v>
      </c>
      <c r="AD20" s="21">
        <f>IF(A20="","",SUMIFS(Invoices!$V$5:$V$404,Invoices!$D$5:$D$404,A20))</f>
        <v>0</v>
      </c>
      <c r="AE20" s="21">
        <f>IF(A20="","",SUMIFS(Invoices!$W$5:$W$404,Invoices!$D$5:$D$404,A20))</f>
        <v>0</v>
      </c>
      <c r="AF20" s="21">
        <f>IF(A20="","",AD20-AE20)</f>
        <v>0</v>
      </c>
      <c r="AG20" s="21">
        <f>IF(OR(A20="",Y20=0),"",AD20/Y20)</f>
        <v>0</v>
      </c>
      <c r="AH20" s="21">
        <f>IF(A20="","",SUMIFS('Job Costing'!$U$5:$U$604,'Job Costing'!$D$5:$D$604,A20))</f>
        <v>0</v>
      </c>
      <c r="AI20" s="38">
        <f>IF(OR(A20="",AD20=0),"",AH20/AD20)</f>
        <v>0</v>
      </c>
      <c r="AJ20" s="21">
        <f>IF(OR(A20="",K20="",AG20=""),"",AG20*IFERROR(INDEX(FreqPerYear,MATCH(K20,FreqNames,0)),1))</f>
        <v>0</v>
      </c>
      <c r="AK20" s="34">
        <f>IF(A20="","",IFERROR(AVERAGEIFS(Jobs!$AA$5:$AA$604,Jobs!$G$5:$G$604,A20,Jobs!$AA$5:$AA$604,"&gt;0"),""))</f>
        <v>0</v>
      </c>
      <c r="AL20" s="31">
        <f>IF(A20="","",COUNTIFS(Complaints!$D$5:$D$84,A20))</f>
        <v>0</v>
      </c>
      <c r="AM20" s="31">
        <f>IF(B20="","",COUNTIFS($AD$5:$AD$204,"&gt;"&amp;AD20)+COUNTIFS($AD$5:AD20,AD20))</f>
        <v>0</v>
      </c>
      <c r="AN20" s="31">
        <f>IF(B20="","",COUNTIFS($AH$5:$AH$204,"&gt;"&amp;AH20)+COUNTIFS($AH$5:AH20,AH20))</f>
        <v>0</v>
      </c>
      <c r="AO20" s="31">
        <f>IF(B20="","",COUNTIFS($AJ$5:$AJ$204,"&gt;"&amp;AJ20)+COUNTIFS($AJ$5:AJ20,AJ20))</f>
        <v>0</v>
      </c>
      <c r="AP20" s="39">
        <f>IF(B20="","",IF(H20="Lost","Lost",IF(H20="Inactive","Dormant",IF(AA20="","Dormant",IF(AB20&gt;InactiveClientDays*2,"Dormant",IF(AB20&gt;InactiveClientDays,"At risk",IF(AC20="","Slipping",IF(Y20&gt;=10,"Loyal","Steady"))))))))</f>
        <v>0</v>
      </c>
      <c r="AQ20" s="34">
        <f>IF(OR(B20="",AP20="Lost",AP20="Dormant"),"",IF(OR(AP20="At risk",AP20="Slipping"),IF(AB20="",999,AB20),""))</f>
        <v>0</v>
      </c>
      <c r="AR20" s="31">
        <f>IF(AQ20="","",COUNTIFS($AQ$5:$AQ$204,"&gt;"&amp;AQ20)+COUNTIFS($AQ$5:AQ20,AQ20))</f>
        <v>0</v>
      </c>
      <c r="AS20" s="39">
        <f>IF(B20="","",IF(AF20&gt;0.5,"Chase - "&amp;TEXT(AF20,"0")&amp;" owing",IF(AND(H20&lt;&gt;"Lost",H20&lt;&gt;"Inactive",H20&lt;&gt;"Paused",AC20="",K20&lt;&gt;"One-off"),"Book - nothing in the diary",IF(AND(S20&lt;&gt;"",S20-TodayDate&lt;=RenewalWarningDays,S20&gt;=TodayDate),"Due - contract renews soon",IF(AP20="At risk","Call - going quiet",IF(AL20&gt;=2,"Check - complaints logged",IF(AND(AI20&lt;&gt;"",AI20&lt;MarginFloor,Y20&gt;0),"Check - thin margin","OK")))))))</f>
        <v>0</v>
      </c>
    </row>
    <row r="21" spans="1:45">
      <c r="A21" s="43">
        <f>IF(B21="","",ClientPrefix&amp;TEXT(ROW()-4,"0000"))</f>
        <v>0</v>
      </c>
      <c r="W21" s="31">
        <f>IF(A21="","",COUNTIFS(Properties!$C$5:$C$254,A21))</f>
        <v>0</v>
      </c>
      <c r="X21" s="31">
        <f>IF(A21="","",COUNTIFS(Jobs!$G$5:$G$604,A21))</f>
        <v>0</v>
      </c>
      <c r="Y21" s="31">
        <f>IF(A21="","",COUNTIFS(Jobs!$G$5:$G$604,A21,Jobs!$P$5:$P$604,"Completed")+COUNTIFS(Jobs!$G$5:$G$604,A21,Jobs!$P$5:$P$604,"Invoiced"))</f>
        <v>0</v>
      </c>
      <c r="Z21" s="31">
        <f>IF(A21="","",COUNTIFS(Jobs!$G$5:$G$604,A21,Jobs!$P$5:$P$604,"Cancelled")+COUNTIFS(Jobs!$G$5:$G$604,A21,Jobs!$P$5:$P$604,"No access"))</f>
        <v>0</v>
      </c>
      <c r="AA21" s="18">
        <f>IF(A21="","",IF(SUMPRODUCT(MAX((Jobs!$G$5:$G$604=A21)*((Jobs!$P$5:$P$604="Completed")+(Jobs!$P$5:$P$604="Invoiced"))*Jobs!$B$5:$B$604))=0,"",SUMPRODUCT(MAX((Jobs!$G$5:$G$604=A21)*((Jobs!$P$5:$P$604="Completed")+(Jobs!$P$5:$P$604="Invoiced"))*Jobs!$B$5:$B$604))))</f>
        <v>0</v>
      </c>
      <c r="AB21" s="31">
        <f>IF(AA21="","",TodayDate-AA21)</f>
        <v>0</v>
      </c>
      <c r="AC21" s="18">
        <f>IF(A21="","",IF(SUMPRODUCT(MIN((Jobs!$G$5:$G$604=A21)*(Jobs!$B$5:$B$604&gt;=TodayDate)*(Jobs!$P$5:$P$604&lt;&gt;"Cancelled")*Jobs!$B$5:$B$604+(1-(Jobs!$G$5:$G$604=A21)*(Jobs!$B$5:$B$604&gt;=TodayDate)*(Jobs!$P$5:$P$604&lt;&gt;"Cancelled"))*2958465))=2958465,"",SUMPRODUCT(MIN((Jobs!$G$5:$G$604=A21)*(Jobs!$B$5:$B$604&gt;=TodayDate)*(Jobs!$P$5:$P$604&lt;&gt;"Cancelled")*Jobs!$B$5:$B$604+(1-(Jobs!$G$5:$G$604=A21)*(Jobs!$B$5:$B$604&gt;=TodayDate)*(Jobs!$P$5:$P$604&lt;&gt;"Cancelled"))*2958465))))</f>
        <v>0</v>
      </c>
      <c r="AD21" s="21">
        <f>IF(A21="","",SUMIFS(Invoices!$V$5:$V$404,Invoices!$D$5:$D$404,A21))</f>
        <v>0</v>
      </c>
      <c r="AE21" s="21">
        <f>IF(A21="","",SUMIFS(Invoices!$W$5:$W$404,Invoices!$D$5:$D$404,A21))</f>
        <v>0</v>
      </c>
      <c r="AF21" s="21">
        <f>IF(A21="","",AD21-AE21)</f>
        <v>0</v>
      </c>
      <c r="AG21" s="21">
        <f>IF(OR(A21="",Y21=0),"",AD21/Y21)</f>
        <v>0</v>
      </c>
      <c r="AH21" s="21">
        <f>IF(A21="","",SUMIFS('Job Costing'!$U$5:$U$604,'Job Costing'!$D$5:$D$604,A21))</f>
        <v>0</v>
      </c>
      <c r="AI21" s="38">
        <f>IF(OR(A21="",AD21=0),"",AH21/AD21)</f>
        <v>0</v>
      </c>
      <c r="AJ21" s="21">
        <f>IF(OR(A21="",K21="",AG21=""),"",AG21*IFERROR(INDEX(FreqPerYear,MATCH(K21,FreqNames,0)),1))</f>
        <v>0</v>
      </c>
      <c r="AK21" s="34">
        <f>IF(A21="","",IFERROR(AVERAGEIFS(Jobs!$AA$5:$AA$604,Jobs!$G$5:$G$604,A21,Jobs!$AA$5:$AA$604,"&gt;0"),""))</f>
        <v>0</v>
      </c>
      <c r="AL21" s="31">
        <f>IF(A21="","",COUNTIFS(Complaints!$D$5:$D$84,A21))</f>
        <v>0</v>
      </c>
      <c r="AM21" s="31">
        <f>IF(B21="","",COUNTIFS($AD$5:$AD$204,"&gt;"&amp;AD21)+COUNTIFS($AD$5:AD21,AD21))</f>
        <v>0</v>
      </c>
      <c r="AN21" s="31">
        <f>IF(B21="","",COUNTIFS($AH$5:$AH$204,"&gt;"&amp;AH21)+COUNTIFS($AH$5:AH21,AH21))</f>
        <v>0</v>
      </c>
      <c r="AO21" s="31">
        <f>IF(B21="","",COUNTIFS($AJ$5:$AJ$204,"&gt;"&amp;AJ21)+COUNTIFS($AJ$5:AJ21,AJ21))</f>
        <v>0</v>
      </c>
      <c r="AP21" s="39">
        <f>IF(B21="","",IF(H21="Lost","Lost",IF(H21="Inactive","Dormant",IF(AA21="","Dormant",IF(AB21&gt;InactiveClientDays*2,"Dormant",IF(AB21&gt;InactiveClientDays,"At risk",IF(AC21="","Slipping",IF(Y21&gt;=10,"Loyal","Steady"))))))))</f>
        <v>0</v>
      </c>
      <c r="AQ21" s="34">
        <f>IF(OR(B21="",AP21="Lost",AP21="Dormant"),"",IF(OR(AP21="At risk",AP21="Slipping"),IF(AB21="",999,AB21),""))</f>
        <v>0</v>
      </c>
      <c r="AR21" s="31">
        <f>IF(AQ21="","",COUNTIFS($AQ$5:$AQ$204,"&gt;"&amp;AQ21)+COUNTIFS($AQ$5:AQ21,AQ21))</f>
        <v>0</v>
      </c>
      <c r="AS21" s="39">
        <f>IF(B21="","",IF(AF21&gt;0.5,"Chase - "&amp;TEXT(AF21,"0")&amp;" owing",IF(AND(H21&lt;&gt;"Lost",H21&lt;&gt;"Inactive",H21&lt;&gt;"Paused",AC21="",K21&lt;&gt;"One-off"),"Book - nothing in the diary",IF(AND(S21&lt;&gt;"",S21-TodayDate&lt;=RenewalWarningDays,S21&gt;=TodayDate),"Due - contract renews soon",IF(AP21="At risk","Call - going quiet",IF(AL21&gt;=2,"Check - complaints logged",IF(AND(AI21&lt;&gt;"",AI21&lt;MarginFloor,Y21&gt;0),"Check - thin margin","OK")))))))</f>
        <v>0</v>
      </c>
    </row>
    <row r="22" spans="1:45">
      <c r="A22" s="43">
        <f>IF(B22="","",ClientPrefix&amp;TEXT(ROW()-4,"0000"))</f>
        <v>0</v>
      </c>
      <c r="W22" s="31">
        <f>IF(A22="","",COUNTIFS(Properties!$C$5:$C$254,A22))</f>
        <v>0</v>
      </c>
      <c r="X22" s="31">
        <f>IF(A22="","",COUNTIFS(Jobs!$G$5:$G$604,A22))</f>
        <v>0</v>
      </c>
      <c r="Y22" s="31">
        <f>IF(A22="","",COUNTIFS(Jobs!$G$5:$G$604,A22,Jobs!$P$5:$P$604,"Completed")+COUNTIFS(Jobs!$G$5:$G$604,A22,Jobs!$P$5:$P$604,"Invoiced"))</f>
        <v>0</v>
      </c>
      <c r="Z22" s="31">
        <f>IF(A22="","",COUNTIFS(Jobs!$G$5:$G$604,A22,Jobs!$P$5:$P$604,"Cancelled")+COUNTIFS(Jobs!$G$5:$G$604,A22,Jobs!$P$5:$P$604,"No access"))</f>
        <v>0</v>
      </c>
      <c r="AA22" s="18">
        <f>IF(A22="","",IF(SUMPRODUCT(MAX((Jobs!$G$5:$G$604=A22)*((Jobs!$P$5:$P$604="Completed")+(Jobs!$P$5:$P$604="Invoiced"))*Jobs!$B$5:$B$604))=0,"",SUMPRODUCT(MAX((Jobs!$G$5:$G$604=A22)*((Jobs!$P$5:$P$604="Completed")+(Jobs!$P$5:$P$604="Invoiced"))*Jobs!$B$5:$B$604))))</f>
        <v>0</v>
      </c>
      <c r="AB22" s="31">
        <f>IF(AA22="","",TodayDate-AA22)</f>
        <v>0</v>
      </c>
      <c r="AC22" s="18">
        <f>IF(A22="","",IF(SUMPRODUCT(MIN((Jobs!$G$5:$G$604=A22)*(Jobs!$B$5:$B$604&gt;=TodayDate)*(Jobs!$P$5:$P$604&lt;&gt;"Cancelled")*Jobs!$B$5:$B$604+(1-(Jobs!$G$5:$G$604=A22)*(Jobs!$B$5:$B$604&gt;=TodayDate)*(Jobs!$P$5:$P$604&lt;&gt;"Cancelled"))*2958465))=2958465,"",SUMPRODUCT(MIN((Jobs!$G$5:$G$604=A22)*(Jobs!$B$5:$B$604&gt;=TodayDate)*(Jobs!$P$5:$P$604&lt;&gt;"Cancelled")*Jobs!$B$5:$B$604+(1-(Jobs!$G$5:$G$604=A22)*(Jobs!$B$5:$B$604&gt;=TodayDate)*(Jobs!$P$5:$P$604&lt;&gt;"Cancelled"))*2958465))))</f>
        <v>0</v>
      </c>
      <c r="AD22" s="21">
        <f>IF(A22="","",SUMIFS(Invoices!$V$5:$V$404,Invoices!$D$5:$D$404,A22))</f>
        <v>0</v>
      </c>
      <c r="AE22" s="21">
        <f>IF(A22="","",SUMIFS(Invoices!$W$5:$W$404,Invoices!$D$5:$D$404,A22))</f>
        <v>0</v>
      </c>
      <c r="AF22" s="21">
        <f>IF(A22="","",AD22-AE22)</f>
        <v>0</v>
      </c>
      <c r="AG22" s="21">
        <f>IF(OR(A22="",Y22=0),"",AD22/Y22)</f>
        <v>0</v>
      </c>
      <c r="AH22" s="21">
        <f>IF(A22="","",SUMIFS('Job Costing'!$U$5:$U$604,'Job Costing'!$D$5:$D$604,A22))</f>
        <v>0</v>
      </c>
      <c r="AI22" s="38">
        <f>IF(OR(A22="",AD22=0),"",AH22/AD22)</f>
        <v>0</v>
      </c>
      <c r="AJ22" s="21">
        <f>IF(OR(A22="",K22="",AG22=""),"",AG22*IFERROR(INDEX(FreqPerYear,MATCH(K22,FreqNames,0)),1))</f>
        <v>0</v>
      </c>
      <c r="AK22" s="34">
        <f>IF(A22="","",IFERROR(AVERAGEIFS(Jobs!$AA$5:$AA$604,Jobs!$G$5:$G$604,A22,Jobs!$AA$5:$AA$604,"&gt;0"),""))</f>
        <v>0</v>
      </c>
      <c r="AL22" s="31">
        <f>IF(A22="","",COUNTIFS(Complaints!$D$5:$D$84,A22))</f>
        <v>0</v>
      </c>
      <c r="AM22" s="31">
        <f>IF(B22="","",COUNTIFS($AD$5:$AD$204,"&gt;"&amp;AD22)+COUNTIFS($AD$5:AD22,AD22))</f>
        <v>0</v>
      </c>
      <c r="AN22" s="31">
        <f>IF(B22="","",COUNTIFS($AH$5:$AH$204,"&gt;"&amp;AH22)+COUNTIFS($AH$5:AH22,AH22))</f>
        <v>0</v>
      </c>
      <c r="AO22" s="31">
        <f>IF(B22="","",COUNTIFS($AJ$5:$AJ$204,"&gt;"&amp;AJ22)+COUNTIFS($AJ$5:AJ22,AJ22))</f>
        <v>0</v>
      </c>
      <c r="AP22" s="39">
        <f>IF(B22="","",IF(H22="Lost","Lost",IF(H22="Inactive","Dormant",IF(AA22="","Dormant",IF(AB22&gt;InactiveClientDays*2,"Dormant",IF(AB22&gt;InactiveClientDays,"At risk",IF(AC22="","Slipping",IF(Y22&gt;=10,"Loyal","Steady"))))))))</f>
        <v>0</v>
      </c>
      <c r="AQ22" s="34">
        <f>IF(OR(B22="",AP22="Lost",AP22="Dormant"),"",IF(OR(AP22="At risk",AP22="Slipping"),IF(AB22="",999,AB22),""))</f>
        <v>0</v>
      </c>
      <c r="AR22" s="31">
        <f>IF(AQ22="","",COUNTIFS($AQ$5:$AQ$204,"&gt;"&amp;AQ22)+COUNTIFS($AQ$5:AQ22,AQ22))</f>
        <v>0</v>
      </c>
      <c r="AS22" s="39">
        <f>IF(B22="","",IF(AF22&gt;0.5,"Chase - "&amp;TEXT(AF22,"0")&amp;" owing",IF(AND(H22&lt;&gt;"Lost",H22&lt;&gt;"Inactive",H22&lt;&gt;"Paused",AC22="",K22&lt;&gt;"One-off"),"Book - nothing in the diary",IF(AND(S22&lt;&gt;"",S22-TodayDate&lt;=RenewalWarningDays,S22&gt;=TodayDate),"Due - contract renews soon",IF(AP22="At risk","Call - going quiet",IF(AL22&gt;=2,"Check - complaints logged",IF(AND(AI22&lt;&gt;"",AI22&lt;MarginFloor,Y22&gt;0),"Check - thin margin","OK")))))))</f>
        <v>0</v>
      </c>
    </row>
    <row r="23" spans="1:45">
      <c r="A23" s="43">
        <f>IF(B23="","",ClientPrefix&amp;TEXT(ROW()-4,"0000"))</f>
        <v>0</v>
      </c>
      <c r="W23" s="31">
        <f>IF(A23="","",COUNTIFS(Properties!$C$5:$C$254,A23))</f>
        <v>0</v>
      </c>
      <c r="X23" s="31">
        <f>IF(A23="","",COUNTIFS(Jobs!$G$5:$G$604,A23))</f>
        <v>0</v>
      </c>
      <c r="Y23" s="31">
        <f>IF(A23="","",COUNTIFS(Jobs!$G$5:$G$604,A23,Jobs!$P$5:$P$604,"Completed")+COUNTIFS(Jobs!$G$5:$G$604,A23,Jobs!$P$5:$P$604,"Invoiced"))</f>
        <v>0</v>
      </c>
      <c r="Z23" s="31">
        <f>IF(A23="","",COUNTIFS(Jobs!$G$5:$G$604,A23,Jobs!$P$5:$P$604,"Cancelled")+COUNTIFS(Jobs!$G$5:$G$604,A23,Jobs!$P$5:$P$604,"No access"))</f>
        <v>0</v>
      </c>
      <c r="AA23" s="18">
        <f>IF(A23="","",IF(SUMPRODUCT(MAX((Jobs!$G$5:$G$604=A23)*((Jobs!$P$5:$P$604="Completed")+(Jobs!$P$5:$P$604="Invoiced"))*Jobs!$B$5:$B$604))=0,"",SUMPRODUCT(MAX((Jobs!$G$5:$G$604=A23)*((Jobs!$P$5:$P$604="Completed")+(Jobs!$P$5:$P$604="Invoiced"))*Jobs!$B$5:$B$604))))</f>
        <v>0</v>
      </c>
      <c r="AB23" s="31">
        <f>IF(AA23="","",TodayDate-AA23)</f>
        <v>0</v>
      </c>
      <c r="AC23" s="18">
        <f>IF(A23="","",IF(SUMPRODUCT(MIN((Jobs!$G$5:$G$604=A23)*(Jobs!$B$5:$B$604&gt;=TodayDate)*(Jobs!$P$5:$P$604&lt;&gt;"Cancelled")*Jobs!$B$5:$B$604+(1-(Jobs!$G$5:$G$604=A23)*(Jobs!$B$5:$B$604&gt;=TodayDate)*(Jobs!$P$5:$P$604&lt;&gt;"Cancelled"))*2958465))=2958465,"",SUMPRODUCT(MIN((Jobs!$G$5:$G$604=A23)*(Jobs!$B$5:$B$604&gt;=TodayDate)*(Jobs!$P$5:$P$604&lt;&gt;"Cancelled")*Jobs!$B$5:$B$604+(1-(Jobs!$G$5:$G$604=A23)*(Jobs!$B$5:$B$604&gt;=TodayDate)*(Jobs!$P$5:$P$604&lt;&gt;"Cancelled"))*2958465))))</f>
        <v>0</v>
      </c>
      <c r="AD23" s="21">
        <f>IF(A23="","",SUMIFS(Invoices!$V$5:$V$404,Invoices!$D$5:$D$404,A23))</f>
        <v>0</v>
      </c>
      <c r="AE23" s="21">
        <f>IF(A23="","",SUMIFS(Invoices!$W$5:$W$404,Invoices!$D$5:$D$404,A23))</f>
        <v>0</v>
      </c>
      <c r="AF23" s="21">
        <f>IF(A23="","",AD23-AE23)</f>
        <v>0</v>
      </c>
      <c r="AG23" s="21">
        <f>IF(OR(A23="",Y23=0),"",AD23/Y23)</f>
        <v>0</v>
      </c>
      <c r="AH23" s="21">
        <f>IF(A23="","",SUMIFS('Job Costing'!$U$5:$U$604,'Job Costing'!$D$5:$D$604,A23))</f>
        <v>0</v>
      </c>
      <c r="AI23" s="38">
        <f>IF(OR(A23="",AD23=0),"",AH23/AD23)</f>
        <v>0</v>
      </c>
      <c r="AJ23" s="21">
        <f>IF(OR(A23="",K23="",AG23=""),"",AG23*IFERROR(INDEX(FreqPerYear,MATCH(K23,FreqNames,0)),1))</f>
        <v>0</v>
      </c>
      <c r="AK23" s="34">
        <f>IF(A23="","",IFERROR(AVERAGEIFS(Jobs!$AA$5:$AA$604,Jobs!$G$5:$G$604,A23,Jobs!$AA$5:$AA$604,"&gt;0"),""))</f>
        <v>0</v>
      </c>
      <c r="AL23" s="31">
        <f>IF(A23="","",COUNTIFS(Complaints!$D$5:$D$84,A23))</f>
        <v>0</v>
      </c>
      <c r="AM23" s="31">
        <f>IF(B23="","",COUNTIFS($AD$5:$AD$204,"&gt;"&amp;AD23)+COUNTIFS($AD$5:AD23,AD23))</f>
        <v>0</v>
      </c>
      <c r="AN23" s="31">
        <f>IF(B23="","",COUNTIFS($AH$5:$AH$204,"&gt;"&amp;AH23)+COUNTIFS($AH$5:AH23,AH23))</f>
        <v>0</v>
      </c>
      <c r="AO23" s="31">
        <f>IF(B23="","",COUNTIFS($AJ$5:$AJ$204,"&gt;"&amp;AJ23)+COUNTIFS($AJ$5:AJ23,AJ23))</f>
        <v>0</v>
      </c>
      <c r="AP23" s="39">
        <f>IF(B23="","",IF(H23="Lost","Lost",IF(H23="Inactive","Dormant",IF(AA23="","Dormant",IF(AB23&gt;InactiveClientDays*2,"Dormant",IF(AB23&gt;InactiveClientDays,"At risk",IF(AC23="","Slipping",IF(Y23&gt;=10,"Loyal","Steady"))))))))</f>
        <v>0</v>
      </c>
      <c r="AQ23" s="34">
        <f>IF(OR(B23="",AP23="Lost",AP23="Dormant"),"",IF(OR(AP23="At risk",AP23="Slipping"),IF(AB23="",999,AB23),""))</f>
        <v>0</v>
      </c>
      <c r="AR23" s="31">
        <f>IF(AQ23="","",COUNTIFS($AQ$5:$AQ$204,"&gt;"&amp;AQ23)+COUNTIFS($AQ$5:AQ23,AQ23))</f>
        <v>0</v>
      </c>
      <c r="AS23" s="39">
        <f>IF(B23="","",IF(AF23&gt;0.5,"Chase - "&amp;TEXT(AF23,"0")&amp;" owing",IF(AND(H23&lt;&gt;"Lost",H23&lt;&gt;"Inactive",H23&lt;&gt;"Paused",AC23="",K23&lt;&gt;"One-off"),"Book - nothing in the diary",IF(AND(S23&lt;&gt;"",S23-TodayDate&lt;=RenewalWarningDays,S23&gt;=TodayDate),"Due - contract renews soon",IF(AP23="At risk","Call - going quiet",IF(AL23&gt;=2,"Check - complaints logged",IF(AND(AI23&lt;&gt;"",AI23&lt;MarginFloor,Y23&gt;0),"Check - thin margin","OK")))))))</f>
        <v>0</v>
      </c>
    </row>
    <row r="24" spans="1:45">
      <c r="A24" s="43">
        <f>IF(B24="","",ClientPrefix&amp;TEXT(ROW()-4,"0000"))</f>
        <v>0</v>
      </c>
      <c r="W24" s="31">
        <f>IF(A24="","",COUNTIFS(Properties!$C$5:$C$254,A24))</f>
        <v>0</v>
      </c>
      <c r="X24" s="31">
        <f>IF(A24="","",COUNTIFS(Jobs!$G$5:$G$604,A24))</f>
        <v>0</v>
      </c>
      <c r="Y24" s="31">
        <f>IF(A24="","",COUNTIFS(Jobs!$G$5:$G$604,A24,Jobs!$P$5:$P$604,"Completed")+COUNTIFS(Jobs!$G$5:$G$604,A24,Jobs!$P$5:$P$604,"Invoiced"))</f>
        <v>0</v>
      </c>
      <c r="Z24" s="31">
        <f>IF(A24="","",COUNTIFS(Jobs!$G$5:$G$604,A24,Jobs!$P$5:$P$604,"Cancelled")+COUNTIFS(Jobs!$G$5:$G$604,A24,Jobs!$P$5:$P$604,"No access"))</f>
        <v>0</v>
      </c>
      <c r="AA24" s="18">
        <f>IF(A24="","",IF(SUMPRODUCT(MAX((Jobs!$G$5:$G$604=A24)*((Jobs!$P$5:$P$604="Completed")+(Jobs!$P$5:$P$604="Invoiced"))*Jobs!$B$5:$B$604))=0,"",SUMPRODUCT(MAX((Jobs!$G$5:$G$604=A24)*((Jobs!$P$5:$P$604="Completed")+(Jobs!$P$5:$P$604="Invoiced"))*Jobs!$B$5:$B$604))))</f>
        <v>0</v>
      </c>
      <c r="AB24" s="31">
        <f>IF(AA24="","",TodayDate-AA24)</f>
        <v>0</v>
      </c>
      <c r="AC24" s="18">
        <f>IF(A24="","",IF(SUMPRODUCT(MIN((Jobs!$G$5:$G$604=A24)*(Jobs!$B$5:$B$604&gt;=TodayDate)*(Jobs!$P$5:$P$604&lt;&gt;"Cancelled")*Jobs!$B$5:$B$604+(1-(Jobs!$G$5:$G$604=A24)*(Jobs!$B$5:$B$604&gt;=TodayDate)*(Jobs!$P$5:$P$604&lt;&gt;"Cancelled"))*2958465))=2958465,"",SUMPRODUCT(MIN((Jobs!$G$5:$G$604=A24)*(Jobs!$B$5:$B$604&gt;=TodayDate)*(Jobs!$P$5:$P$604&lt;&gt;"Cancelled")*Jobs!$B$5:$B$604+(1-(Jobs!$G$5:$G$604=A24)*(Jobs!$B$5:$B$604&gt;=TodayDate)*(Jobs!$P$5:$P$604&lt;&gt;"Cancelled"))*2958465))))</f>
        <v>0</v>
      </c>
      <c r="AD24" s="21">
        <f>IF(A24="","",SUMIFS(Invoices!$V$5:$V$404,Invoices!$D$5:$D$404,A24))</f>
        <v>0</v>
      </c>
      <c r="AE24" s="21">
        <f>IF(A24="","",SUMIFS(Invoices!$W$5:$W$404,Invoices!$D$5:$D$404,A24))</f>
        <v>0</v>
      </c>
      <c r="AF24" s="21">
        <f>IF(A24="","",AD24-AE24)</f>
        <v>0</v>
      </c>
      <c r="AG24" s="21">
        <f>IF(OR(A24="",Y24=0),"",AD24/Y24)</f>
        <v>0</v>
      </c>
      <c r="AH24" s="21">
        <f>IF(A24="","",SUMIFS('Job Costing'!$U$5:$U$604,'Job Costing'!$D$5:$D$604,A24))</f>
        <v>0</v>
      </c>
      <c r="AI24" s="38">
        <f>IF(OR(A24="",AD24=0),"",AH24/AD24)</f>
        <v>0</v>
      </c>
      <c r="AJ24" s="21">
        <f>IF(OR(A24="",K24="",AG24=""),"",AG24*IFERROR(INDEX(FreqPerYear,MATCH(K24,FreqNames,0)),1))</f>
        <v>0</v>
      </c>
      <c r="AK24" s="34">
        <f>IF(A24="","",IFERROR(AVERAGEIFS(Jobs!$AA$5:$AA$604,Jobs!$G$5:$G$604,A24,Jobs!$AA$5:$AA$604,"&gt;0"),""))</f>
        <v>0</v>
      </c>
      <c r="AL24" s="31">
        <f>IF(A24="","",COUNTIFS(Complaints!$D$5:$D$84,A24))</f>
        <v>0</v>
      </c>
      <c r="AM24" s="31">
        <f>IF(B24="","",COUNTIFS($AD$5:$AD$204,"&gt;"&amp;AD24)+COUNTIFS($AD$5:AD24,AD24))</f>
        <v>0</v>
      </c>
      <c r="AN24" s="31">
        <f>IF(B24="","",COUNTIFS($AH$5:$AH$204,"&gt;"&amp;AH24)+COUNTIFS($AH$5:AH24,AH24))</f>
        <v>0</v>
      </c>
      <c r="AO24" s="31">
        <f>IF(B24="","",COUNTIFS($AJ$5:$AJ$204,"&gt;"&amp;AJ24)+COUNTIFS($AJ$5:AJ24,AJ24))</f>
        <v>0</v>
      </c>
      <c r="AP24" s="39">
        <f>IF(B24="","",IF(H24="Lost","Lost",IF(H24="Inactive","Dormant",IF(AA24="","Dormant",IF(AB24&gt;InactiveClientDays*2,"Dormant",IF(AB24&gt;InactiveClientDays,"At risk",IF(AC24="","Slipping",IF(Y24&gt;=10,"Loyal","Steady"))))))))</f>
        <v>0</v>
      </c>
      <c r="AQ24" s="34">
        <f>IF(OR(B24="",AP24="Lost",AP24="Dormant"),"",IF(OR(AP24="At risk",AP24="Slipping"),IF(AB24="",999,AB24),""))</f>
        <v>0</v>
      </c>
      <c r="AR24" s="31">
        <f>IF(AQ24="","",COUNTIFS($AQ$5:$AQ$204,"&gt;"&amp;AQ24)+COUNTIFS($AQ$5:AQ24,AQ24))</f>
        <v>0</v>
      </c>
      <c r="AS24" s="39">
        <f>IF(B24="","",IF(AF24&gt;0.5,"Chase - "&amp;TEXT(AF24,"0")&amp;" owing",IF(AND(H24&lt;&gt;"Lost",H24&lt;&gt;"Inactive",H24&lt;&gt;"Paused",AC24="",K24&lt;&gt;"One-off"),"Book - nothing in the diary",IF(AND(S24&lt;&gt;"",S24-TodayDate&lt;=RenewalWarningDays,S24&gt;=TodayDate),"Due - contract renews soon",IF(AP24="At risk","Call - going quiet",IF(AL24&gt;=2,"Check - complaints logged",IF(AND(AI24&lt;&gt;"",AI24&lt;MarginFloor,Y24&gt;0),"Check - thin margin","OK")))))))</f>
        <v>0</v>
      </c>
    </row>
    <row r="25" spans="1:45">
      <c r="A25" s="43">
        <f>IF(B25="","",ClientPrefix&amp;TEXT(ROW()-4,"0000"))</f>
        <v>0</v>
      </c>
      <c r="W25" s="31">
        <f>IF(A25="","",COUNTIFS(Properties!$C$5:$C$254,A25))</f>
        <v>0</v>
      </c>
      <c r="X25" s="31">
        <f>IF(A25="","",COUNTIFS(Jobs!$G$5:$G$604,A25))</f>
        <v>0</v>
      </c>
      <c r="Y25" s="31">
        <f>IF(A25="","",COUNTIFS(Jobs!$G$5:$G$604,A25,Jobs!$P$5:$P$604,"Completed")+COUNTIFS(Jobs!$G$5:$G$604,A25,Jobs!$P$5:$P$604,"Invoiced"))</f>
        <v>0</v>
      </c>
      <c r="Z25" s="31">
        <f>IF(A25="","",COUNTIFS(Jobs!$G$5:$G$604,A25,Jobs!$P$5:$P$604,"Cancelled")+COUNTIFS(Jobs!$G$5:$G$604,A25,Jobs!$P$5:$P$604,"No access"))</f>
        <v>0</v>
      </c>
      <c r="AA25" s="18">
        <f>IF(A25="","",IF(SUMPRODUCT(MAX((Jobs!$G$5:$G$604=A25)*((Jobs!$P$5:$P$604="Completed")+(Jobs!$P$5:$P$604="Invoiced"))*Jobs!$B$5:$B$604))=0,"",SUMPRODUCT(MAX((Jobs!$G$5:$G$604=A25)*((Jobs!$P$5:$P$604="Completed")+(Jobs!$P$5:$P$604="Invoiced"))*Jobs!$B$5:$B$604))))</f>
        <v>0</v>
      </c>
      <c r="AB25" s="31">
        <f>IF(AA25="","",TodayDate-AA25)</f>
        <v>0</v>
      </c>
      <c r="AC25" s="18">
        <f>IF(A25="","",IF(SUMPRODUCT(MIN((Jobs!$G$5:$G$604=A25)*(Jobs!$B$5:$B$604&gt;=TodayDate)*(Jobs!$P$5:$P$604&lt;&gt;"Cancelled")*Jobs!$B$5:$B$604+(1-(Jobs!$G$5:$G$604=A25)*(Jobs!$B$5:$B$604&gt;=TodayDate)*(Jobs!$P$5:$P$604&lt;&gt;"Cancelled"))*2958465))=2958465,"",SUMPRODUCT(MIN((Jobs!$G$5:$G$604=A25)*(Jobs!$B$5:$B$604&gt;=TodayDate)*(Jobs!$P$5:$P$604&lt;&gt;"Cancelled")*Jobs!$B$5:$B$604+(1-(Jobs!$G$5:$G$604=A25)*(Jobs!$B$5:$B$604&gt;=TodayDate)*(Jobs!$P$5:$P$604&lt;&gt;"Cancelled"))*2958465))))</f>
        <v>0</v>
      </c>
      <c r="AD25" s="21">
        <f>IF(A25="","",SUMIFS(Invoices!$V$5:$V$404,Invoices!$D$5:$D$404,A25))</f>
        <v>0</v>
      </c>
      <c r="AE25" s="21">
        <f>IF(A25="","",SUMIFS(Invoices!$W$5:$W$404,Invoices!$D$5:$D$404,A25))</f>
        <v>0</v>
      </c>
      <c r="AF25" s="21">
        <f>IF(A25="","",AD25-AE25)</f>
        <v>0</v>
      </c>
      <c r="AG25" s="21">
        <f>IF(OR(A25="",Y25=0),"",AD25/Y25)</f>
        <v>0</v>
      </c>
      <c r="AH25" s="21">
        <f>IF(A25="","",SUMIFS('Job Costing'!$U$5:$U$604,'Job Costing'!$D$5:$D$604,A25))</f>
        <v>0</v>
      </c>
      <c r="AI25" s="38">
        <f>IF(OR(A25="",AD25=0),"",AH25/AD25)</f>
        <v>0</v>
      </c>
      <c r="AJ25" s="21">
        <f>IF(OR(A25="",K25="",AG25=""),"",AG25*IFERROR(INDEX(FreqPerYear,MATCH(K25,FreqNames,0)),1))</f>
        <v>0</v>
      </c>
      <c r="AK25" s="34">
        <f>IF(A25="","",IFERROR(AVERAGEIFS(Jobs!$AA$5:$AA$604,Jobs!$G$5:$G$604,A25,Jobs!$AA$5:$AA$604,"&gt;0"),""))</f>
        <v>0</v>
      </c>
      <c r="AL25" s="31">
        <f>IF(A25="","",COUNTIFS(Complaints!$D$5:$D$84,A25))</f>
        <v>0</v>
      </c>
      <c r="AM25" s="31">
        <f>IF(B25="","",COUNTIFS($AD$5:$AD$204,"&gt;"&amp;AD25)+COUNTIFS($AD$5:AD25,AD25))</f>
        <v>0</v>
      </c>
      <c r="AN25" s="31">
        <f>IF(B25="","",COUNTIFS($AH$5:$AH$204,"&gt;"&amp;AH25)+COUNTIFS($AH$5:AH25,AH25))</f>
        <v>0</v>
      </c>
      <c r="AO25" s="31">
        <f>IF(B25="","",COUNTIFS($AJ$5:$AJ$204,"&gt;"&amp;AJ25)+COUNTIFS($AJ$5:AJ25,AJ25))</f>
        <v>0</v>
      </c>
      <c r="AP25" s="39">
        <f>IF(B25="","",IF(H25="Lost","Lost",IF(H25="Inactive","Dormant",IF(AA25="","Dormant",IF(AB25&gt;InactiveClientDays*2,"Dormant",IF(AB25&gt;InactiveClientDays,"At risk",IF(AC25="","Slipping",IF(Y25&gt;=10,"Loyal","Steady"))))))))</f>
        <v>0</v>
      </c>
      <c r="AQ25" s="34">
        <f>IF(OR(B25="",AP25="Lost",AP25="Dormant"),"",IF(OR(AP25="At risk",AP25="Slipping"),IF(AB25="",999,AB25),""))</f>
        <v>0</v>
      </c>
      <c r="AR25" s="31">
        <f>IF(AQ25="","",COUNTIFS($AQ$5:$AQ$204,"&gt;"&amp;AQ25)+COUNTIFS($AQ$5:AQ25,AQ25))</f>
        <v>0</v>
      </c>
      <c r="AS25" s="39">
        <f>IF(B25="","",IF(AF25&gt;0.5,"Chase - "&amp;TEXT(AF25,"0")&amp;" owing",IF(AND(H25&lt;&gt;"Lost",H25&lt;&gt;"Inactive",H25&lt;&gt;"Paused",AC25="",K25&lt;&gt;"One-off"),"Book - nothing in the diary",IF(AND(S25&lt;&gt;"",S25-TodayDate&lt;=RenewalWarningDays,S25&gt;=TodayDate),"Due - contract renews soon",IF(AP25="At risk","Call - going quiet",IF(AL25&gt;=2,"Check - complaints logged",IF(AND(AI25&lt;&gt;"",AI25&lt;MarginFloor,Y25&gt;0),"Check - thin margin","OK")))))))</f>
        <v>0</v>
      </c>
    </row>
    <row r="26" spans="1:45">
      <c r="A26" s="43">
        <f>IF(B26="","",ClientPrefix&amp;TEXT(ROW()-4,"0000"))</f>
        <v>0</v>
      </c>
      <c r="W26" s="31">
        <f>IF(A26="","",COUNTIFS(Properties!$C$5:$C$254,A26))</f>
        <v>0</v>
      </c>
      <c r="X26" s="31">
        <f>IF(A26="","",COUNTIFS(Jobs!$G$5:$G$604,A26))</f>
        <v>0</v>
      </c>
      <c r="Y26" s="31">
        <f>IF(A26="","",COUNTIFS(Jobs!$G$5:$G$604,A26,Jobs!$P$5:$P$604,"Completed")+COUNTIFS(Jobs!$G$5:$G$604,A26,Jobs!$P$5:$P$604,"Invoiced"))</f>
        <v>0</v>
      </c>
      <c r="Z26" s="31">
        <f>IF(A26="","",COUNTIFS(Jobs!$G$5:$G$604,A26,Jobs!$P$5:$P$604,"Cancelled")+COUNTIFS(Jobs!$G$5:$G$604,A26,Jobs!$P$5:$P$604,"No access"))</f>
        <v>0</v>
      </c>
      <c r="AA26" s="18">
        <f>IF(A26="","",IF(SUMPRODUCT(MAX((Jobs!$G$5:$G$604=A26)*((Jobs!$P$5:$P$604="Completed")+(Jobs!$P$5:$P$604="Invoiced"))*Jobs!$B$5:$B$604))=0,"",SUMPRODUCT(MAX((Jobs!$G$5:$G$604=A26)*((Jobs!$P$5:$P$604="Completed")+(Jobs!$P$5:$P$604="Invoiced"))*Jobs!$B$5:$B$604))))</f>
        <v>0</v>
      </c>
      <c r="AB26" s="31">
        <f>IF(AA26="","",TodayDate-AA26)</f>
        <v>0</v>
      </c>
      <c r="AC26" s="18">
        <f>IF(A26="","",IF(SUMPRODUCT(MIN((Jobs!$G$5:$G$604=A26)*(Jobs!$B$5:$B$604&gt;=TodayDate)*(Jobs!$P$5:$P$604&lt;&gt;"Cancelled")*Jobs!$B$5:$B$604+(1-(Jobs!$G$5:$G$604=A26)*(Jobs!$B$5:$B$604&gt;=TodayDate)*(Jobs!$P$5:$P$604&lt;&gt;"Cancelled"))*2958465))=2958465,"",SUMPRODUCT(MIN((Jobs!$G$5:$G$604=A26)*(Jobs!$B$5:$B$604&gt;=TodayDate)*(Jobs!$P$5:$P$604&lt;&gt;"Cancelled")*Jobs!$B$5:$B$604+(1-(Jobs!$G$5:$G$604=A26)*(Jobs!$B$5:$B$604&gt;=TodayDate)*(Jobs!$P$5:$P$604&lt;&gt;"Cancelled"))*2958465))))</f>
        <v>0</v>
      </c>
      <c r="AD26" s="21">
        <f>IF(A26="","",SUMIFS(Invoices!$V$5:$V$404,Invoices!$D$5:$D$404,A26))</f>
        <v>0</v>
      </c>
      <c r="AE26" s="21">
        <f>IF(A26="","",SUMIFS(Invoices!$W$5:$W$404,Invoices!$D$5:$D$404,A26))</f>
        <v>0</v>
      </c>
      <c r="AF26" s="21">
        <f>IF(A26="","",AD26-AE26)</f>
        <v>0</v>
      </c>
      <c r="AG26" s="21">
        <f>IF(OR(A26="",Y26=0),"",AD26/Y26)</f>
        <v>0</v>
      </c>
      <c r="AH26" s="21">
        <f>IF(A26="","",SUMIFS('Job Costing'!$U$5:$U$604,'Job Costing'!$D$5:$D$604,A26))</f>
        <v>0</v>
      </c>
      <c r="AI26" s="38">
        <f>IF(OR(A26="",AD26=0),"",AH26/AD26)</f>
        <v>0</v>
      </c>
      <c r="AJ26" s="21">
        <f>IF(OR(A26="",K26="",AG26=""),"",AG26*IFERROR(INDEX(FreqPerYear,MATCH(K26,FreqNames,0)),1))</f>
        <v>0</v>
      </c>
      <c r="AK26" s="34">
        <f>IF(A26="","",IFERROR(AVERAGEIFS(Jobs!$AA$5:$AA$604,Jobs!$G$5:$G$604,A26,Jobs!$AA$5:$AA$604,"&gt;0"),""))</f>
        <v>0</v>
      </c>
      <c r="AL26" s="31">
        <f>IF(A26="","",COUNTIFS(Complaints!$D$5:$D$84,A26))</f>
        <v>0</v>
      </c>
      <c r="AM26" s="31">
        <f>IF(B26="","",COUNTIFS($AD$5:$AD$204,"&gt;"&amp;AD26)+COUNTIFS($AD$5:AD26,AD26))</f>
        <v>0</v>
      </c>
      <c r="AN26" s="31">
        <f>IF(B26="","",COUNTIFS($AH$5:$AH$204,"&gt;"&amp;AH26)+COUNTIFS($AH$5:AH26,AH26))</f>
        <v>0</v>
      </c>
      <c r="AO26" s="31">
        <f>IF(B26="","",COUNTIFS($AJ$5:$AJ$204,"&gt;"&amp;AJ26)+COUNTIFS($AJ$5:AJ26,AJ26))</f>
        <v>0</v>
      </c>
      <c r="AP26" s="39">
        <f>IF(B26="","",IF(H26="Lost","Lost",IF(H26="Inactive","Dormant",IF(AA26="","Dormant",IF(AB26&gt;InactiveClientDays*2,"Dormant",IF(AB26&gt;InactiveClientDays,"At risk",IF(AC26="","Slipping",IF(Y26&gt;=10,"Loyal","Steady"))))))))</f>
        <v>0</v>
      </c>
      <c r="AQ26" s="34">
        <f>IF(OR(B26="",AP26="Lost",AP26="Dormant"),"",IF(OR(AP26="At risk",AP26="Slipping"),IF(AB26="",999,AB26),""))</f>
        <v>0</v>
      </c>
      <c r="AR26" s="31">
        <f>IF(AQ26="","",COUNTIFS($AQ$5:$AQ$204,"&gt;"&amp;AQ26)+COUNTIFS($AQ$5:AQ26,AQ26))</f>
        <v>0</v>
      </c>
      <c r="AS26" s="39">
        <f>IF(B26="","",IF(AF26&gt;0.5,"Chase - "&amp;TEXT(AF26,"0")&amp;" owing",IF(AND(H26&lt;&gt;"Lost",H26&lt;&gt;"Inactive",H26&lt;&gt;"Paused",AC26="",K26&lt;&gt;"One-off"),"Book - nothing in the diary",IF(AND(S26&lt;&gt;"",S26-TodayDate&lt;=RenewalWarningDays,S26&gt;=TodayDate),"Due - contract renews soon",IF(AP26="At risk","Call - going quiet",IF(AL26&gt;=2,"Check - complaints logged",IF(AND(AI26&lt;&gt;"",AI26&lt;MarginFloor,Y26&gt;0),"Check - thin margin","OK")))))))</f>
        <v>0</v>
      </c>
    </row>
    <row r="27" spans="1:45">
      <c r="A27" s="43">
        <f>IF(B27="","",ClientPrefix&amp;TEXT(ROW()-4,"0000"))</f>
        <v>0</v>
      </c>
      <c r="W27" s="31">
        <f>IF(A27="","",COUNTIFS(Properties!$C$5:$C$254,A27))</f>
        <v>0</v>
      </c>
      <c r="X27" s="31">
        <f>IF(A27="","",COUNTIFS(Jobs!$G$5:$G$604,A27))</f>
        <v>0</v>
      </c>
      <c r="Y27" s="31">
        <f>IF(A27="","",COUNTIFS(Jobs!$G$5:$G$604,A27,Jobs!$P$5:$P$604,"Completed")+COUNTIFS(Jobs!$G$5:$G$604,A27,Jobs!$P$5:$P$604,"Invoiced"))</f>
        <v>0</v>
      </c>
      <c r="Z27" s="31">
        <f>IF(A27="","",COUNTIFS(Jobs!$G$5:$G$604,A27,Jobs!$P$5:$P$604,"Cancelled")+COUNTIFS(Jobs!$G$5:$G$604,A27,Jobs!$P$5:$P$604,"No access"))</f>
        <v>0</v>
      </c>
      <c r="AA27" s="18">
        <f>IF(A27="","",IF(SUMPRODUCT(MAX((Jobs!$G$5:$G$604=A27)*((Jobs!$P$5:$P$604="Completed")+(Jobs!$P$5:$P$604="Invoiced"))*Jobs!$B$5:$B$604))=0,"",SUMPRODUCT(MAX((Jobs!$G$5:$G$604=A27)*((Jobs!$P$5:$P$604="Completed")+(Jobs!$P$5:$P$604="Invoiced"))*Jobs!$B$5:$B$604))))</f>
        <v>0</v>
      </c>
      <c r="AB27" s="31">
        <f>IF(AA27="","",TodayDate-AA27)</f>
        <v>0</v>
      </c>
      <c r="AC27" s="18">
        <f>IF(A27="","",IF(SUMPRODUCT(MIN((Jobs!$G$5:$G$604=A27)*(Jobs!$B$5:$B$604&gt;=TodayDate)*(Jobs!$P$5:$P$604&lt;&gt;"Cancelled")*Jobs!$B$5:$B$604+(1-(Jobs!$G$5:$G$604=A27)*(Jobs!$B$5:$B$604&gt;=TodayDate)*(Jobs!$P$5:$P$604&lt;&gt;"Cancelled"))*2958465))=2958465,"",SUMPRODUCT(MIN((Jobs!$G$5:$G$604=A27)*(Jobs!$B$5:$B$604&gt;=TodayDate)*(Jobs!$P$5:$P$604&lt;&gt;"Cancelled")*Jobs!$B$5:$B$604+(1-(Jobs!$G$5:$G$604=A27)*(Jobs!$B$5:$B$604&gt;=TodayDate)*(Jobs!$P$5:$P$604&lt;&gt;"Cancelled"))*2958465))))</f>
        <v>0</v>
      </c>
      <c r="AD27" s="21">
        <f>IF(A27="","",SUMIFS(Invoices!$V$5:$V$404,Invoices!$D$5:$D$404,A27))</f>
        <v>0</v>
      </c>
      <c r="AE27" s="21">
        <f>IF(A27="","",SUMIFS(Invoices!$W$5:$W$404,Invoices!$D$5:$D$404,A27))</f>
        <v>0</v>
      </c>
      <c r="AF27" s="21">
        <f>IF(A27="","",AD27-AE27)</f>
        <v>0</v>
      </c>
      <c r="AG27" s="21">
        <f>IF(OR(A27="",Y27=0),"",AD27/Y27)</f>
        <v>0</v>
      </c>
      <c r="AH27" s="21">
        <f>IF(A27="","",SUMIFS('Job Costing'!$U$5:$U$604,'Job Costing'!$D$5:$D$604,A27))</f>
        <v>0</v>
      </c>
      <c r="AI27" s="38">
        <f>IF(OR(A27="",AD27=0),"",AH27/AD27)</f>
        <v>0</v>
      </c>
      <c r="AJ27" s="21">
        <f>IF(OR(A27="",K27="",AG27=""),"",AG27*IFERROR(INDEX(FreqPerYear,MATCH(K27,FreqNames,0)),1))</f>
        <v>0</v>
      </c>
      <c r="AK27" s="34">
        <f>IF(A27="","",IFERROR(AVERAGEIFS(Jobs!$AA$5:$AA$604,Jobs!$G$5:$G$604,A27,Jobs!$AA$5:$AA$604,"&gt;0"),""))</f>
        <v>0</v>
      </c>
      <c r="AL27" s="31">
        <f>IF(A27="","",COUNTIFS(Complaints!$D$5:$D$84,A27))</f>
        <v>0</v>
      </c>
      <c r="AM27" s="31">
        <f>IF(B27="","",COUNTIFS($AD$5:$AD$204,"&gt;"&amp;AD27)+COUNTIFS($AD$5:AD27,AD27))</f>
        <v>0</v>
      </c>
      <c r="AN27" s="31">
        <f>IF(B27="","",COUNTIFS($AH$5:$AH$204,"&gt;"&amp;AH27)+COUNTIFS($AH$5:AH27,AH27))</f>
        <v>0</v>
      </c>
      <c r="AO27" s="31">
        <f>IF(B27="","",COUNTIFS($AJ$5:$AJ$204,"&gt;"&amp;AJ27)+COUNTIFS($AJ$5:AJ27,AJ27))</f>
        <v>0</v>
      </c>
      <c r="AP27" s="39">
        <f>IF(B27="","",IF(H27="Lost","Lost",IF(H27="Inactive","Dormant",IF(AA27="","Dormant",IF(AB27&gt;InactiveClientDays*2,"Dormant",IF(AB27&gt;InactiveClientDays,"At risk",IF(AC27="","Slipping",IF(Y27&gt;=10,"Loyal","Steady"))))))))</f>
        <v>0</v>
      </c>
      <c r="AQ27" s="34">
        <f>IF(OR(B27="",AP27="Lost",AP27="Dormant"),"",IF(OR(AP27="At risk",AP27="Slipping"),IF(AB27="",999,AB27),""))</f>
        <v>0</v>
      </c>
      <c r="AR27" s="31">
        <f>IF(AQ27="","",COUNTIFS($AQ$5:$AQ$204,"&gt;"&amp;AQ27)+COUNTIFS($AQ$5:AQ27,AQ27))</f>
        <v>0</v>
      </c>
      <c r="AS27" s="39">
        <f>IF(B27="","",IF(AF27&gt;0.5,"Chase - "&amp;TEXT(AF27,"0")&amp;" owing",IF(AND(H27&lt;&gt;"Lost",H27&lt;&gt;"Inactive",H27&lt;&gt;"Paused",AC27="",K27&lt;&gt;"One-off"),"Book - nothing in the diary",IF(AND(S27&lt;&gt;"",S27-TodayDate&lt;=RenewalWarningDays,S27&gt;=TodayDate),"Due - contract renews soon",IF(AP27="At risk","Call - going quiet",IF(AL27&gt;=2,"Check - complaints logged",IF(AND(AI27&lt;&gt;"",AI27&lt;MarginFloor,Y27&gt;0),"Check - thin margin","OK")))))))</f>
        <v>0</v>
      </c>
    </row>
    <row r="28" spans="1:45">
      <c r="A28" s="43">
        <f>IF(B28="","",ClientPrefix&amp;TEXT(ROW()-4,"0000"))</f>
        <v>0</v>
      </c>
      <c r="W28" s="31">
        <f>IF(A28="","",COUNTIFS(Properties!$C$5:$C$254,A28))</f>
        <v>0</v>
      </c>
      <c r="X28" s="31">
        <f>IF(A28="","",COUNTIFS(Jobs!$G$5:$G$604,A28))</f>
        <v>0</v>
      </c>
      <c r="Y28" s="31">
        <f>IF(A28="","",COUNTIFS(Jobs!$G$5:$G$604,A28,Jobs!$P$5:$P$604,"Completed")+COUNTIFS(Jobs!$G$5:$G$604,A28,Jobs!$P$5:$P$604,"Invoiced"))</f>
        <v>0</v>
      </c>
      <c r="Z28" s="31">
        <f>IF(A28="","",COUNTIFS(Jobs!$G$5:$G$604,A28,Jobs!$P$5:$P$604,"Cancelled")+COUNTIFS(Jobs!$G$5:$G$604,A28,Jobs!$P$5:$P$604,"No access"))</f>
        <v>0</v>
      </c>
      <c r="AA28" s="18">
        <f>IF(A28="","",IF(SUMPRODUCT(MAX((Jobs!$G$5:$G$604=A28)*((Jobs!$P$5:$P$604="Completed")+(Jobs!$P$5:$P$604="Invoiced"))*Jobs!$B$5:$B$604))=0,"",SUMPRODUCT(MAX((Jobs!$G$5:$G$604=A28)*((Jobs!$P$5:$P$604="Completed")+(Jobs!$P$5:$P$604="Invoiced"))*Jobs!$B$5:$B$604))))</f>
        <v>0</v>
      </c>
      <c r="AB28" s="31">
        <f>IF(AA28="","",TodayDate-AA28)</f>
        <v>0</v>
      </c>
      <c r="AC28" s="18">
        <f>IF(A28="","",IF(SUMPRODUCT(MIN((Jobs!$G$5:$G$604=A28)*(Jobs!$B$5:$B$604&gt;=TodayDate)*(Jobs!$P$5:$P$604&lt;&gt;"Cancelled")*Jobs!$B$5:$B$604+(1-(Jobs!$G$5:$G$604=A28)*(Jobs!$B$5:$B$604&gt;=TodayDate)*(Jobs!$P$5:$P$604&lt;&gt;"Cancelled"))*2958465))=2958465,"",SUMPRODUCT(MIN((Jobs!$G$5:$G$604=A28)*(Jobs!$B$5:$B$604&gt;=TodayDate)*(Jobs!$P$5:$P$604&lt;&gt;"Cancelled")*Jobs!$B$5:$B$604+(1-(Jobs!$G$5:$G$604=A28)*(Jobs!$B$5:$B$604&gt;=TodayDate)*(Jobs!$P$5:$P$604&lt;&gt;"Cancelled"))*2958465))))</f>
        <v>0</v>
      </c>
      <c r="AD28" s="21">
        <f>IF(A28="","",SUMIFS(Invoices!$V$5:$V$404,Invoices!$D$5:$D$404,A28))</f>
        <v>0</v>
      </c>
      <c r="AE28" s="21">
        <f>IF(A28="","",SUMIFS(Invoices!$W$5:$W$404,Invoices!$D$5:$D$404,A28))</f>
        <v>0</v>
      </c>
      <c r="AF28" s="21">
        <f>IF(A28="","",AD28-AE28)</f>
        <v>0</v>
      </c>
      <c r="AG28" s="21">
        <f>IF(OR(A28="",Y28=0),"",AD28/Y28)</f>
        <v>0</v>
      </c>
      <c r="AH28" s="21">
        <f>IF(A28="","",SUMIFS('Job Costing'!$U$5:$U$604,'Job Costing'!$D$5:$D$604,A28))</f>
        <v>0</v>
      </c>
      <c r="AI28" s="38">
        <f>IF(OR(A28="",AD28=0),"",AH28/AD28)</f>
        <v>0</v>
      </c>
      <c r="AJ28" s="21">
        <f>IF(OR(A28="",K28="",AG28=""),"",AG28*IFERROR(INDEX(FreqPerYear,MATCH(K28,FreqNames,0)),1))</f>
        <v>0</v>
      </c>
      <c r="AK28" s="34">
        <f>IF(A28="","",IFERROR(AVERAGEIFS(Jobs!$AA$5:$AA$604,Jobs!$G$5:$G$604,A28,Jobs!$AA$5:$AA$604,"&gt;0"),""))</f>
        <v>0</v>
      </c>
      <c r="AL28" s="31">
        <f>IF(A28="","",COUNTIFS(Complaints!$D$5:$D$84,A28))</f>
        <v>0</v>
      </c>
      <c r="AM28" s="31">
        <f>IF(B28="","",COUNTIFS($AD$5:$AD$204,"&gt;"&amp;AD28)+COUNTIFS($AD$5:AD28,AD28))</f>
        <v>0</v>
      </c>
      <c r="AN28" s="31">
        <f>IF(B28="","",COUNTIFS($AH$5:$AH$204,"&gt;"&amp;AH28)+COUNTIFS($AH$5:AH28,AH28))</f>
        <v>0</v>
      </c>
      <c r="AO28" s="31">
        <f>IF(B28="","",COUNTIFS($AJ$5:$AJ$204,"&gt;"&amp;AJ28)+COUNTIFS($AJ$5:AJ28,AJ28))</f>
        <v>0</v>
      </c>
      <c r="AP28" s="39">
        <f>IF(B28="","",IF(H28="Lost","Lost",IF(H28="Inactive","Dormant",IF(AA28="","Dormant",IF(AB28&gt;InactiveClientDays*2,"Dormant",IF(AB28&gt;InactiveClientDays,"At risk",IF(AC28="","Slipping",IF(Y28&gt;=10,"Loyal","Steady"))))))))</f>
        <v>0</v>
      </c>
      <c r="AQ28" s="34">
        <f>IF(OR(B28="",AP28="Lost",AP28="Dormant"),"",IF(OR(AP28="At risk",AP28="Slipping"),IF(AB28="",999,AB28),""))</f>
        <v>0</v>
      </c>
      <c r="AR28" s="31">
        <f>IF(AQ28="","",COUNTIFS($AQ$5:$AQ$204,"&gt;"&amp;AQ28)+COUNTIFS($AQ$5:AQ28,AQ28))</f>
        <v>0</v>
      </c>
      <c r="AS28" s="39">
        <f>IF(B28="","",IF(AF28&gt;0.5,"Chase - "&amp;TEXT(AF28,"0")&amp;" owing",IF(AND(H28&lt;&gt;"Lost",H28&lt;&gt;"Inactive",H28&lt;&gt;"Paused",AC28="",K28&lt;&gt;"One-off"),"Book - nothing in the diary",IF(AND(S28&lt;&gt;"",S28-TodayDate&lt;=RenewalWarningDays,S28&gt;=TodayDate),"Due - contract renews soon",IF(AP28="At risk","Call - going quiet",IF(AL28&gt;=2,"Check - complaints logged",IF(AND(AI28&lt;&gt;"",AI28&lt;MarginFloor,Y28&gt;0),"Check - thin margin","OK")))))))</f>
        <v>0</v>
      </c>
    </row>
    <row r="29" spans="1:45">
      <c r="A29" s="43">
        <f>IF(B29="","",ClientPrefix&amp;TEXT(ROW()-4,"0000"))</f>
        <v>0</v>
      </c>
      <c r="W29" s="31">
        <f>IF(A29="","",COUNTIFS(Properties!$C$5:$C$254,A29))</f>
        <v>0</v>
      </c>
      <c r="X29" s="31">
        <f>IF(A29="","",COUNTIFS(Jobs!$G$5:$G$604,A29))</f>
        <v>0</v>
      </c>
      <c r="Y29" s="31">
        <f>IF(A29="","",COUNTIFS(Jobs!$G$5:$G$604,A29,Jobs!$P$5:$P$604,"Completed")+COUNTIFS(Jobs!$G$5:$G$604,A29,Jobs!$P$5:$P$604,"Invoiced"))</f>
        <v>0</v>
      </c>
      <c r="Z29" s="31">
        <f>IF(A29="","",COUNTIFS(Jobs!$G$5:$G$604,A29,Jobs!$P$5:$P$604,"Cancelled")+COUNTIFS(Jobs!$G$5:$G$604,A29,Jobs!$P$5:$P$604,"No access"))</f>
        <v>0</v>
      </c>
      <c r="AA29" s="18">
        <f>IF(A29="","",IF(SUMPRODUCT(MAX((Jobs!$G$5:$G$604=A29)*((Jobs!$P$5:$P$604="Completed")+(Jobs!$P$5:$P$604="Invoiced"))*Jobs!$B$5:$B$604))=0,"",SUMPRODUCT(MAX((Jobs!$G$5:$G$604=A29)*((Jobs!$P$5:$P$604="Completed")+(Jobs!$P$5:$P$604="Invoiced"))*Jobs!$B$5:$B$604))))</f>
        <v>0</v>
      </c>
      <c r="AB29" s="31">
        <f>IF(AA29="","",TodayDate-AA29)</f>
        <v>0</v>
      </c>
      <c r="AC29" s="18">
        <f>IF(A29="","",IF(SUMPRODUCT(MIN((Jobs!$G$5:$G$604=A29)*(Jobs!$B$5:$B$604&gt;=TodayDate)*(Jobs!$P$5:$P$604&lt;&gt;"Cancelled")*Jobs!$B$5:$B$604+(1-(Jobs!$G$5:$G$604=A29)*(Jobs!$B$5:$B$604&gt;=TodayDate)*(Jobs!$P$5:$P$604&lt;&gt;"Cancelled"))*2958465))=2958465,"",SUMPRODUCT(MIN((Jobs!$G$5:$G$604=A29)*(Jobs!$B$5:$B$604&gt;=TodayDate)*(Jobs!$P$5:$P$604&lt;&gt;"Cancelled")*Jobs!$B$5:$B$604+(1-(Jobs!$G$5:$G$604=A29)*(Jobs!$B$5:$B$604&gt;=TodayDate)*(Jobs!$P$5:$P$604&lt;&gt;"Cancelled"))*2958465))))</f>
        <v>0</v>
      </c>
      <c r="AD29" s="21">
        <f>IF(A29="","",SUMIFS(Invoices!$V$5:$V$404,Invoices!$D$5:$D$404,A29))</f>
        <v>0</v>
      </c>
      <c r="AE29" s="21">
        <f>IF(A29="","",SUMIFS(Invoices!$W$5:$W$404,Invoices!$D$5:$D$404,A29))</f>
        <v>0</v>
      </c>
      <c r="AF29" s="21">
        <f>IF(A29="","",AD29-AE29)</f>
        <v>0</v>
      </c>
      <c r="AG29" s="21">
        <f>IF(OR(A29="",Y29=0),"",AD29/Y29)</f>
        <v>0</v>
      </c>
      <c r="AH29" s="21">
        <f>IF(A29="","",SUMIFS('Job Costing'!$U$5:$U$604,'Job Costing'!$D$5:$D$604,A29))</f>
        <v>0</v>
      </c>
      <c r="AI29" s="38">
        <f>IF(OR(A29="",AD29=0),"",AH29/AD29)</f>
        <v>0</v>
      </c>
      <c r="AJ29" s="21">
        <f>IF(OR(A29="",K29="",AG29=""),"",AG29*IFERROR(INDEX(FreqPerYear,MATCH(K29,FreqNames,0)),1))</f>
        <v>0</v>
      </c>
      <c r="AK29" s="34">
        <f>IF(A29="","",IFERROR(AVERAGEIFS(Jobs!$AA$5:$AA$604,Jobs!$G$5:$G$604,A29,Jobs!$AA$5:$AA$604,"&gt;0"),""))</f>
        <v>0</v>
      </c>
      <c r="AL29" s="31">
        <f>IF(A29="","",COUNTIFS(Complaints!$D$5:$D$84,A29))</f>
        <v>0</v>
      </c>
      <c r="AM29" s="31">
        <f>IF(B29="","",COUNTIFS($AD$5:$AD$204,"&gt;"&amp;AD29)+COUNTIFS($AD$5:AD29,AD29))</f>
        <v>0</v>
      </c>
      <c r="AN29" s="31">
        <f>IF(B29="","",COUNTIFS($AH$5:$AH$204,"&gt;"&amp;AH29)+COUNTIFS($AH$5:AH29,AH29))</f>
        <v>0</v>
      </c>
      <c r="AO29" s="31">
        <f>IF(B29="","",COUNTIFS($AJ$5:$AJ$204,"&gt;"&amp;AJ29)+COUNTIFS($AJ$5:AJ29,AJ29))</f>
        <v>0</v>
      </c>
      <c r="AP29" s="39">
        <f>IF(B29="","",IF(H29="Lost","Lost",IF(H29="Inactive","Dormant",IF(AA29="","Dormant",IF(AB29&gt;InactiveClientDays*2,"Dormant",IF(AB29&gt;InactiveClientDays,"At risk",IF(AC29="","Slipping",IF(Y29&gt;=10,"Loyal","Steady"))))))))</f>
        <v>0</v>
      </c>
      <c r="AQ29" s="34">
        <f>IF(OR(B29="",AP29="Lost",AP29="Dormant"),"",IF(OR(AP29="At risk",AP29="Slipping"),IF(AB29="",999,AB29),""))</f>
        <v>0</v>
      </c>
      <c r="AR29" s="31">
        <f>IF(AQ29="","",COUNTIFS($AQ$5:$AQ$204,"&gt;"&amp;AQ29)+COUNTIFS($AQ$5:AQ29,AQ29))</f>
        <v>0</v>
      </c>
      <c r="AS29" s="39">
        <f>IF(B29="","",IF(AF29&gt;0.5,"Chase - "&amp;TEXT(AF29,"0")&amp;" owing",IF(AND(H29&lt;&gt;"Lost",H29&lt;&gt;"Inactive",H29&lt;&gt;"Paused",AC29="",K29&lt;&gt;"One-off"),"Book - nothing in the diary",IF(AND(S29&lt;&gt;"",S29-TodayDate&lt;=RenewalWarningDays,S29&gt;=TodayDate),"Due - contract renews soon",IF(AP29="At risk","Call - going quiet",IF(AL29&gt;=2,"Check - complaints logged",IF(AND(AI29&lt;&gt;"",AI29&lt;MarginFloor,Y29&gt;0),"Check - thin margin","OK")))))))</f>
        <v>0</v>
      </c>
    </row>
    <row r="30" spans="1:45">
      <c r="A30" s="43">
        <f>IF(B30="","",ClientPrefix&amp;TEXT(ROW()-4,"0000"))</f>
        <v>0</v>
      </c>
      <c r="W30" s="31">
        <f>IF(A30="","",COUNTIFS(Properties!$C$5:$C$254,A30))</f>
        <v>0</v>
      </c>
      <c r="X30" s="31">
        <f>IF(A30="","",COUNTIFS(Jobs!$G$5:$G$604,A30))</f>
        <v>0</v>
      </c>
      <c r="Y30" s="31">
        <f>IF(A30="","",COUNTIFS(Jobs!$G$5:$G$604,A30,Jobs!$P$5:$P$604,"Completed")+COUNTIFS(Jobs!$G$5:$G$604,A30,Jobs!$P$5:$P$604,"Invoiced"))</f>
        <v>0</v>
      </c>
      <c r="Z30" s="31">
        <f>IF(A30="","",COUNTIFS(Jobs!$G$5:$G$604,A30,Jobs!$P$5:$P$604,"Cancelled")+COUNTIFS(Jobs!$G$5:$G$604,A30,Jobs!$P$5:$P$604,"No access"))</f>
        <v>0</v>
      </c>
      <c r="AA30" s="18">
        <f>IF(A30="","",IF(SUMPRODUCT(MAX((Jobs!$G$5:$G$604=A30)*((Jobs!$P$5:$P$604="Completed")+(Jobs!$P$5:$P$604="Invoiced"))*Jobs!$B$5:$B$604))=0,"",SUMPRODUCT(MAX((Jobs!$G$5:$G$604=A30)*((Jobs!$P$5:$P$604="Completed")+(Jobs!$P$5:$P$604="Invoiced"))*Jobs!$B$5:$B$604))))</f>
        <v>0</v>
      </c>
      <c r="AB30" s="31">
        <f>IF(AA30="","",TodayDate-AA30)</f>
        <v>0</v>
      </c>
      <c r="AC30" s="18">
        <f>IF(A30="","",IF(SUMPRODUCT(MIN((Jobs!$G$5:$G$604=A30)*(Jobs!$B$5:$B$604&gt;=TodayDate)*(Jobs!$P$5:$P$604&lt;&gt;"Cancelled")*Jobs!$B$5:$B$604+(1-(Jobs!$G$5:$G$604=A30)*(Jobs!$B$5:$B$604&gt;=TodayDate)*(Jobs!$P$5:$P$604&lt;&gt;"Cancelled"))*2958465))=2958465,"",SUMPRODUCT(MIN((Jobs!$G$5:$G$604=A30)*(Jobs!$B$5:$B$604&gt;=TodayDate)*(Jobs!$P$5:$P$604&lt;&gt;"Cancelled")*Jobs!$B$5:$B$604+(1-(Jobs!$G$5:$G$604=A30)*(Jobs!$B$5:$B$604&gt;=TodayDate)*(Jobs!$P$5:$P$604&lt;&gt;"Cancelled"))*2958465))))</f>
        <v>0</v>
      </c>
      <c r="AD30" s="21">
        <f>IF(A30="","",SUMIFS(Invoices!$V$5:$V$404,Invoices!$D$5:$D$404,A30))</f>
        <v>0</v>
      </c>
      <c r="AE30" s="21">
        <f>IF(A30="","",SUMIFS(Invoices!$W$5:$W$404,Invoices!$D$5:$D$404,A30))</f>
        <v>0</v>
      </c>
      <c r="AF30" s="21">
        <f>IF(A30="","",AD30-AE30)</f>
        <v>0</v>
      </c>
      <c r="AG30" s="21">
        <f>IF(OR(A30="",Y30=0),"",AD30/Y30)</f>
        <v>0</v>
      </c>
      <c r="AH30" s="21">
        <f>IF(A30="","",SUMIFS('Job Costing'!$U$5:$U$604,'Job Costing'!$D$5:$D$604,A30))</f>
        <v>0</v>
      </c>
      <c r="AI30" s="38">
        <f>IF(OR(A30="",AD30=0),"",AH30/AD30)</f>
        <v>0</v>
      </c>
      <c r="AJ30" s="21">
        <f>IF(OR(A30="",K30="",AG30=""),"",AG30*IFERROR(INDEX(FreqPerYear,MATCH(K30,FreqNames,0)),1))</f>
        <v>0</v>
      </c>
      <c r="AK30" s="34">
        <f>IF(A30="","",IFERROR(AVERAGEIFS(Jobs!$AA$5:$AA$604,Jobs!$G$5:$G$604,A30,Jobs!$AA$5:$AA$604,"&gt;0"),""))</f>
        <v>0</v>
      </c>
      <c r="AL30" s="31">
        <f>IF(A30="","",COUNTIFS(Complaints!$D$5:$D$84,A30))</f>
        <v>0</v>
      </c>
      <c r="AM30" s="31">
        <f>IF(B30="","",COUNTIFS($AD$5:$AD$204,"&gt;"&amp;AD30)+COUNTIFS($AD$5:AD30,AD30))</f>
        <v>0</v>
      </c>
      <c r="AN30" s="31">
        <f>IF(B30="","",COUNTIFS($AH$5:$AH$204,"&gt;"&amp;AH30)+COUNTIFS($AH$5:AH30,AH30))</f>
        <v>0</v>
      </c>
      <c r="AO30" s="31">
        <f>IF(B30="","",COUNTIFS($AJ$5:$AJ$204,"&gt;"&amp;AJ30)+COUNTIFS($AJ$5:AJ30,AJ30))</f>
        <v>0</v>
      </c>
      <c r="AP30" s="39">
        <f>IF(B30="","",IF(H30="Lost","Lost",IF(H30="Inactive","Dormant",IF(AA30="","Dormant",IF(AB30&gt;InactiveClientDays*2,"Dormant",IF(AB30&gt;InactiveClientDays,"At risk",IF(AC30="","Slipping",IF(Y30&gt;=10,"Loyal","Steady"))))))))</f>
        <v>0</v>
      </c>
      <c r="AQ30" s="34">
        <f>IF(OR(B30="",AP30="Lost",AP30="Dormant"),"",IF(OR(AP30="At risk",AP30="Slipping"),IF(AB30="",999,AB30),""))</f>
        <v>0</v>
      </c>
      <c r="AR30" s="31">
        <f>IF(AQ30="","",COUNTIFS($AQ$5:$AQ$204,"&gt;"&amp;AQ30)+COUNTIFS($AQ$5:AQ30,AQ30))</f>
        <v>0</v>
      </c>
      <c r="AS30" s="39">
        <f>IF(B30="","",IF(AF30&gt;0.5,"Chase - "&amp;TEXT(AF30,"0")&amp;" owing",IF(AND(H30&lt;&gt;"Lost",H30&lt;&gt;"Inactive",H30&lt;&gt;"Paused",AC30="",K30&lt;&gt;"One-off"),"Book - nothing in the diary",IF(AND(S30&lt;&gt;"",S30-TodayDate&lt;=RenewalWarningDays,S30&gt;=TodayDate),"Due - contract renews soon",IF(AP30="At risk","Call - going quiet",IF(AL30&gt;=2,"Check - complaints logged",IF(AND(AI30&lt;&gt;"",AI30&lt;MarginFloor,Y30&gt;0),"Check - thin margin","OK")))))))</f>
        <v>0</v>
      </c>
    </row>
    <row r="31" spans="1:45">
      <c r="A31" s="43">
        <f>IF(B31="","",ClientPrefix&amp;TEXT(ROW()-4,"0000"))</f>
        <v>0</v>
      </c>
      <c r="W31" s="31">
        <f>IF(A31="","",COUNTIFS(Properties!$C$5:$C$254,A31))</f>
        <v>0</v>
      </c>
      <c r="X31" s="31">
        <f>IF(A31="","",COUNTIFS(Jobs!$G$5:$G$604,A31))</f>
        <v>0</v>
      </c>
      <c r="Y31" s="31">
        <f>IF(A31="","",COUNTIFS(Jobs!$G$5:$G$604,A31,Jobs!$P$5:$P$604,"Completed")+COUNTIFS(Jobs!$G$5:$G$604,A31,Jobs!$P$5:$P$604,"Invoiced"))</f>
        <v>0</v>
      </c>
      <c r="Z31" s="31">
        <f>IF(A31="","",COUNTIFS(Jobs!$G$5:$G$604,A31,Jobs!$P$5:$P$604,"Cancelled")+COUNTIFS(Jobs!$G$5:$G$604,A31,Jobs!$P$5:$P$604,"No access"))</f>
        <v>0</v>
      </c>
      <c r="AA31" s="18">
        <f>IF(A31="","",IF(SUMPRODUCT(MAX((Jobs!$G$5:$G$604=A31)*((Jobs!$P$5:$P$604="Completed")+(Jobs!$P$5:$P$604="Invoiced"))*Jobs!$B$5:$B$604))=0,"",SUMPRODUCT(MAX((Jobs!$G$5:$G$604=A31)*((Jobs!$P$5:$P$604="Completed")+(Jobs!$P$5:$P$604="Invoiced"))*Jobs!$B$5:$B$604))))</f>
        <v>0</v>
      </c>
      <c r="AB31" s="31">
        <f>IF(AA31="","",TodayDate-AA31)</f>
        <v>0</v>
      </c>
      <c r="AC31" s="18">
        <f>IF(A31="","",IF(SUMPRODUCT(MIN((Jobs!$G$5:$G$604=A31)*(Jobs!$B$5:$B$604&gt;=TodayDate)*(Jobs!$P$5:$P$604&lt;&gt;"Cancelled")*Jobs!$B$5:$B$604+(1-(Jobs!$G$5:$G$604=A31)*(Jobs!$B$5:$B$604&gt;=TodayDate)*(Jobs!$P$5:$P$604&lt;&gt;"Cancelled"))*2958465))=2958465,"",SUMPRODUCT(MIN((Jobs!$G$5:$G$604=A31)*(Jobs!$B$5:$B$604&gt;=TodayDate)*(Jobs!$P$5:$P$604&lt;&gt;"Cancelled")*Jobs!$B$5:$B$604+(1-(Jobs!$G$5:$G$604=A31)*(Jobs!$B$5:$B$604&gt;=TodayDate)*(Jobs!$P$5:$P$604&lt;&gt;"Cancelled"))*2958465))))</f>
        <v>0</v>
      </c>
      <c r="AD31" s="21">
        <f>IF(A31="","",SUMIFS(Invoices!$V$5:$V$404,Invoices!$D$5:$D$404,A31))</f>
        <v>0</v>
      </c>
      <c r="AE31" s="21">
        <f>IF(A31="","",SUMIFS(Invoices!$W$5:$W$404,Invoices!$D$5:$D$404,A31))</f>
        <v>0</v>
      </c>
      <c r="AF31" s="21">
        <f>IF(A31="","",AD31-AE31)</f>
        <v>0</v>
      </c>
      <c r="AG31" s="21">
        <f>IF(OR(A31="",Y31=0),"",AD31/Y31)</f>
        <v>0</v>
      </c>
      <c r="AH31" s="21">
        <f>IF(A31="","",SUMIFS('Job Costing'!$U$5:$U$604,'Job Costing'!$D$5:$D$604,A31))</f>
        <v>0</v>
      </c>
      <c r="AI31" s="38">
        <f>IF(OR(A31="",AD31=0),"",AH31/AD31)</f>
        <v>0</v>
      </c>
      <c r="AJ31" s="21">
        <f>IF(OR(A31="",K31="",AG31=""),"",AG31*IFERROR(INDEX(FreqPerYear,MATCH(K31,FreqNames,0)),1))</f>
        <v>0</v>
      </c>
      <c r="AK31" s="34">
        <f>IF(A31="","",IFERROR(AVERAGEIFS(Jobs!$AA$5:$AA$604,Jobs!$G$5:$G$604,A31,Jobs!$AA$5:$AA$604,"&gt;0"),""))</f>
        <v>0</v>
      </c>
      <c r="AL31" s="31">
        <f>IF(A31="","",COUNTIFS(Complaints!$D$5:$D$84,A31))</f>
        <v>0</v>
      </c>
      <c r="AM31" s="31">
        <f>IF(B31="","",COUNTIFS($AD$5:$AD$204,"&gt;"&amp;AD31)+COUNTIFS($AD$5:AD31,AD31))</f>
        <v>0</v>
      </c>
      <c r="AN31" s="31">
        <f>IF(B31="","",COUNTIFS($AH$5:$AH$204,"&gt;"&amp;AH31)+COUNTIFS($AH$5:AH31,AH31))</f>
        <v>0</v>
      </c>
      <c r="AO31" s="31">
        <f>IF(B31="","",COUNTIFS($AJ$5:$AJ$204,"&gt;"&amp;AJ31)+COUNTIFS($AJ$5:AJ31,AJ31))</f>
        <v>0</v>
      </c>
      <c r="AP31" s="39">
        <f>IF(B31="","",IF(H31="Lost","Lost",IF(H31="Inactive","Dormant",IF(AA31="","Dormant",IF(AB31&gt;InactiveClientDays*2,"Dormant",IF(AB31&gt;InactiveClientDays,"At risk",IF(AC31="","Slipping",IF(Y31&gt;=10,"Loyal","Steady"))))))))</f>
        <v>0</v>
      </c>
      <c r="AQ31" s="34">
        <f>IF(OR(B31="",AP31="Lost",AP31="Dormant"),"",IF(OR(AP31="At risk",AP31="Slipping"),IF(AB31="",999,AB31),""))</f>
        <v>0</v>
      </c>
      <c r="AR31" s="31">
        <f>IF(AQ31="","",COUNTIFS($AQ$5:$AQ$204,"&gt;"&amp;AQ31)+COUNTIFS($AQ$5:AQ31,AQ31))</f>
        <v>0</v>
      </c>
      <c r="AS31" s="39">
        <f>IF(B31="","",IF(AF31&gt;0.5,"Chase - "&amp;TEXT(AF31,"0")&amp;" owing",IF(AND(H31&lt;&gt;"Lost",H31&lt;&gt;"Inactive",H31&lt;&gt;"Paused",AC31="",K31&lt;&gt;"One-off"),"Book - nothing in the diary",IF(AND(S31&lt;&gt;"",S31-TodayDate&lt;=RenewalWarningDays,S31&gt;=TodayDate),"Due - contract renews soon",IF(AP31="At risk","Call - going quiet",IF(AL31&gt;=2,"Check - complaints logged",IF(AND(AI31&lt;&gt;"",AI31&lt;MarginFloor,Y31&gt;0),"Check - thin margin","OK")))))))</f>
        <v>0</v>
      </c>
    </row>
    <row r="32" spans="1:45">
      <c r="A32" s="43">
        <f>IF(B32="","",ClientPrefix&amp;TEXT(ROW()-4,"0000"))</f>
        <v>0</v>
      </c>
      <c r="W32" s="31">
        <f>IF(A32="","",COUNTIFS(Properties!$C$5:$C$254,A32))</f>
        <v>0</v>
      </c>
      <c r="X32" s="31">
        <f>IF(A32="","",COUNTIFS(Jobs!$G$5:$G$604,A32))</f>
        <v>0</v>
      </c>
      <c r="Y32" s="31">
        <f>IF(A32="","",COUNTIFS(Jobs!$G$5:$G$604,A32,Jobs!$P$5:$P$604,"Completed")+COUNTIFS(Jobs!$G$5:$G$604,A32,Jobs!$P$5:$P$604,"Invoiced"))</f>
        <v>0</v>
      </c>
      <c r="Z32" s="31">
        <f>IF(A32="","",COUNTIFS(Jobs!$G$5:$G$604,A32,Jobs!$P$5:$P$604,"Cancelled")+COUNTIFS(Jobs!$G$5:$G$604,A32,Jobs!$P$5:$P$604,"No access"))</f>
        <v>0</v>
      </c>
      <c r="AA32" s="18">
        <f>IF(A32="","",IF(SUMPRODUCT(MAX((Jobs!$G$5:$G$604=A32)*((Jobs!$P$5:$P$604="Completed")+(Jobs!$P$5:$P$604="Invoiced"))*Jobs!$B$5:$B$604))=0,"",SUMPRODUCT(MAX((Jobs!$G$5:$G$604=A32)*((Jobs!$P$5:$P$604="Completed")+(Jobs!$P$5:$P$604="Invoiced"))*Jobs!$B$5:$B$604))))</f>
        <v>0</v>
      </c>
      <c r="AB32" s="31">
        <f>IF(AA32="","",TodayDate-AA32)</f>
        <v>0</v>
      </c>
      <c r="AC32" s="18">
        <f>IF(A32="","",IF(SUMPRODUCT(MIN((Jobs!$G$5:$G$604=A32)*(Jobs!$B$5:$B$604&gt;=TodayDate)*(Jobs!$P$5:$P$604&lt;&gt;"Cancelled")*Jobs!$B$5:$B$604+(1-(Jobs!$G$5:$G$604=A32)*(Jobs!$B$5:$B$604&gt;=TodayDate)*(Jobs!$P$5:$P$604&lt;&gt;"Cancelled"))*2958465))=2958465,"",SUMPRODUCT(MIN((Jobs!$G$5:$G$604=A32)*(Jobs!$B$5:$B$604&gt;=TodayDate)*(Jobs!$P$5:$P$604&lt;&gt;"Cancelled")*Jobs!$B$5:$B$604+(1-(Jobs!$G$5:$G$604=A32)*(Jobs!$B$5:$B$604&gt;=TodayDate)*(Jobs!$P$5:$P$604&lt;&gt;"Cancelled"))*2958465))))</f>
        <v>0</v>
      </c>
      <c r="AD32" s="21">
        <f>IF(A32="","",SUMIFS(Invoices!$V$5:$V$404,Invoices!$D$5:$D$404,A32))</f>
        <v>0</v>
      </c>
      <c r="AE32" s="21">
        <f>IF(A32="","",SUMIFS(Invoices!$W$5:$W$404,Invoices!$D$5:$D$404,A32))</f>
        <v>0</v>
      </c>
      <c r="AF32" s="21">
        <f>IF(A32="","",AD32-AE32)</f>
        <v>0</v>
      </c>
      <c r="AG32" s="21">
        <f>IF(OR(A32="",Y32=0),"",AD32/Y32)</f>
        <v>0</v>
      </c>
      <c r="AH32" s="21">
        <f>IF(A32="","",SUMIFS('Job Costing'!$U$5:$U$604,'Job Costing'!$D$5:$D$604,A32))</f>
        <v>0</v>
      </c>
      <c r="AI32" s="38">
        <f>IF(OR(A32="",AD32=0),"",AH32/AD32)</f>
        <v>0</v>
      </c>
      <c r="AJ32" s="21">
        <f>IF(OR(A32="",K32="",AG32=""),"",AG32*IFERROR(INDEX(FreqPerYear,MATCH(K32,FreqNames,0)),1))</f>
        <v>0</v>
      </c>
      <c r="AK32" s="34">
        <f>IF(A32="","",IFERROR(AVERAGEIFS(Jobs!$AA$5:$AA$604,Jobs!$G$5:$G$604,A32,Jobs!$AA$5:$AA$604,"&gt;0"),""))</f>
        <v>0</v>
      </c>
      <c r="AL32" s="31">
        <f>IF(A32="","",COUNTIFS(Complaints!$D$5:$D$84,A32))</f>
        <v>0</v>
      </c>
      <c r="AM32" s="31">
        <f>IF(B32="","",COUNTIFS($AD$5:$AD$204,"&gt;"&amp;AD32)+COUNTIFS($AD$5:AD32,AD32))</f>
        <v>0</v>
      </c>
      <c r="AN32" s="31">
        <f>IF(B32="","",COUNTIFS($AH$5:$AH$204,"&gt;"&amp;AH32)+COUNTIFS($AH$5:AH32,AH32))</f>
        <v>0</v>
      </c>
      <c r="AO32" s="31">
        <f>IF(B32="","",COUNTIFS($AJ$5:$AJ$204,"&gt;"&amp;AJ32)+COUNTIFS($AJ$5:AJ32,AJ32))</f>
        <v>0</v>
      </c>
      <c r="AP32" s="39">
        <f>IF(B32="","",IF(H32="Lost","Lost",IF(H32="Inactive","Dormant",IF(AA32="","Dormant",IF(AB32&gt;InactiveClientDays*2,"Dormant",IF(AB32&gt;InactiveClientDays,"At risk",IF(AC32="","Slipping",IF(Y32&gt;=10,"Loyal","Steady"))))))))</f>
        <v>0</v>
      </c>
      <c r="AQ32" s="34">
        <f>IF(OR(B32="",AP32="Lost",AP32="Dormant"),"",IF(OR(AP32="At risk",AP32="Slipping"),IF(AB32="",999,AB32),""))</f>
        <v>0</v>
      </c>
      <c r="AR32" s="31">
        <f>IF(AQ32="","",COUNTIFS($AQ$5:$AQ$204,"&gt;"&amp;AQ32)+COUNTIFS($AQ$5:AQ32,AQ32))</f>
        <v>0</v>
      </c>
      <c r="AS32" s="39">
        <f>IF(B32="","",IF(AF32&gt;0.5,"Chase - "&amp;TEXT(AF32,"0")&amp;" owing",IF(AND(H32&lt;&gt;"Lost",H32&lt;&gt;"Inactive",H32&lt;&gt;"Paused",AC32="",K32&lt;&gt;"One-off"),"Book - nothing in the diary",IF(AND(S32&lt;&gt;"",S32-TodayDate&lt;=RenewalWarningDays,S32&gt;=TodayDate),"Due - contract renews soon",IF(AP32="At risk","Call - going quiet",IF(AL32&gt;=2,"Check - complaints logged",IF(AND(AI32&lt;&gt;"",AI32&lt;MarginFloor,Y32&gt;0),"Check - thin margin","OK")))))))</f>
        <v>0</v>
      </c>
    </row>
    <row r="33" spans="1:45">
      <c r="A33" s="43">
        <f>IF(B33="","",ClientPrefix&amp;TEXT(ROW()-4,"0000"))</f>
        <v>0</v>
      </c>
      <c r="W33" s="31">
        <f>IF(A33="","",COUNTIFS(Properties!$C$5:$C$254,A33))</f>
        <v>0</v>
      </c>
      <c r="X33" s="31">
        <f>IF(A33="","",COUNTIFS(Jobs!$G$5:$G$604,A33))</f>
        <v>0</v>
      </c>
      <c r="Y33" s="31">
        <f>IF(A33="","",COUNTIFS(Jobs!$G$5:$G$604,A33,Jobs!$P$5:$P$604,"Completed")+COUNTIFS(Jobs!$G$5:$G$604,A33,Jobs!$P$5:$P$604,"Invoiced"))</f>
        <v>0</v>
      </c>
      <c r="Z33" s="31">
        <f>IF(A33="","",COUNTIFS(Jobs!$G$5:$G$604,A33,Jobs!$P$5:$P$604,"Cancelled")+COUNTIFS(Jobs!$G$5:$G$604,A33,Jobs!$P$5:$P$604,"No access"))</f>
        <v>0</v>
      </c>
      <c r="AA33" s="18">
        <f>IF(A33="","",IF(SUMPRODUCT(MAX((Jobs!$G$5:$G$604=A33)*((Jobs!$P$5:$P$604="Completed")+(Jobs!$P$5:$P$604="Invoiced"))*Jobs!$B$5:$B$604))=0,"",SUMPRODUCT(MAX((Jobs!$G$5:$G$604=A33)*((Jobs!$P$5:$P$604="Completed")+(Jobs!$P$5:$P$604="Invoiced"))*Jobs!$B$5:$B$604))))</f>
        <v>0</v>
      </c>
      <c r="AB33" s="31">
        <f>IF(AA33="","",TodayDate-AA33)</f>
        <v>0</v>
      </c>
      <c r="AC33" s="18">
        <f>IF(A33="","",IF(SUMPRODUCT(MIN((Jobs!$G$5:$G$604=A33)*(Jobs!$B$5:$B$604&gt;=TodayDate)*(Jobs!$P$5:$P$604&lt;&gt;"Cancelled")*Jobs!$B$5:$B$604+(1-(Jobs!$G$5:$G$604=A33)*(Jobs!$B$5:$B$604&gt;=TodayDate)*(Jobs!$P$5:$P$604&lt;&gt;"Cancelled"))*2958465))=2958465,"",SUMPRODUCT(MIN((Jobs!$G$5:$G$604=A33)*(Jobs!$B$5:$B$604&gt;=TodayDate)*(Jobs!$P$5:$P$604&lt;&gt;"Cancelled")*Jobs!$B$5:$B$604+(1-(Jobs!$G$5:$G$604=A33)*(Jobs!$B$5:$B$604&gt;=TodayDate)*(Jobs!$P$5:$P$604&lt;&gt;"Cancelled"))*2958465))))</f>
        <v>0</v>
      </c>
      <c r="AD33" s="21">
        <f>IF(A33="","",SUMIFS(Invoices!$V$5:$V$404,Invoices!$D$5:$D$404,A33))</f>
        <v>0</v>
      </c>
      <c r="AE33" s="21">
        <f>IF(A33="","",SUMIFS(Invoices!$W$5:$W$404,Invoices!$D$5:$D$404,A33))</f>
        <v>0</v>
      </c>
      <c r="AF33" s="21">
        <f>IF(A33="","",AD33-AE33)</f>
        <v>0</v>
      </c>
      <c r="AG33" s="21">
        <f>IF(OR(A33="",Y33=0),"",AD33/Y33)</f>
        <v>0</v>
      </c>
      <c r="AH33" s="21">
        <f>IF(A33="","",SUMIFS('Job Costing'!$U$5:$U$604,'Job Costing'!$D$5:$D$604,A33))</f>
        <v>0</v>
      </c>
      <c r="AI33" s="38">
        <f>IF(OR(A33="",AD33=0),"",AH33/AD33)</f>
        <v>0</v>
      </c>
      <c r="AJ33" s="21">
        <f>IF(OR(A33="",K33="",AG33=""),"",AG33*IFERROR(INDEX(FreqPerYear,MATCH(K33,FreqNames,0)),1))</f>
        <v>0</v>
      </c>
      <c r="AK33" s="34">
        <f>IF(A33="","",IFERROR(AVERAGEIFS(Jobs!$AA$5:$AA$604,Jobs!$G$5:$G$604,A33,Jobs!$AA$5:$AA$604,"&gt;0"),""))</f>
        <v>0</v>
      </c>
      <c r="AL33" s="31">
        <f>IF(A33="","",COUNTIFS(Complaints!$D$5:$D$84,A33))</f>
        <v>0</v>
      </c>
      <c r="AM33" s="31">
        <f>IF(B33="","",COUNTIFS($AD$5:$AD$204,"&gt;"&amp;AD33)+COUNTIFS($AD$5:AD33,AD33))</f>
        <v>0</v>
      </c>
      <c r="AN33" s="31">
        <f>IF(B33="","",COUNTIFS($AH$5:$AH$204,"&gt;"&amp;AH33)+COUNTIFS($AH$5:AH33,AH33))</f>
        <v>0</v>
      </c>
      <c r="AO33" s="31">
        <f>IF(B33="","",COUNTIFS($AJ$5:$AJ$204,"&gt;"&amp;AJ33)+COUNTIFS($AJ$5:AJ33,AJ33))</f>
        <v>0</v>
      </c>
      <c r="AP33" s="39">
        <f>IF(B33="","",IF(H33="Lost","Lost",IF(H33="Inactive","Dormant",IF(AA33="","Dormant",IF(AB33&gt;InactiveClientDays*2,"Dormant",IF(AB33&gt;InactiveClientDays,"At risk",IF(AC33="","Slipping",IF(Y33&gt;=10,"Loyal","Steady"))))))))</f>
        <v>0</v>
      </c>
      <c r="AQ33" s="34">
        <f>IF(OR(B33="",AP33="Lost",AP33="Dormant"),"",IF(OR(AP33="At risk",AP33="Slipping"),IF(AB33="",999,AB33),""))</f>
        <v>0</v>
      </c>
      <c r="AR33" s="31">
        <f>IF(AQ33="","",COUNTIFS($AQ$5:$AQ$204,"&gt;"&amp;AQ33)+COUNTIFS($AQ$5:AQ33,AQ33))</f>
        <v>0</v>
      </c>
      <c r="AS33" s="39">
        <f>IF(B33="","",IF(AF33&gt;0.5,"Chase - "&amp;TEXT(AF33,"0")&amp;" owing",IF(AND(H33&lt;&gt;"Lost",H33&lt;&gt;"Inactive",H33&lt;&gt;"Paused",AC33="",K33&lt;&gt;"One-off"),"Book - nothing in the diary",IF(AND(S33&lt;&gt;"",S33-TodayDate&lt;=RenewalWarningDays,S33&gt;=TodayDate),"Due - contract renews soon",IF(AP33="At risk","Call - going quiet",IF(AL33&gt;=2,"Check - complaints logged",IF(AND(AI33&lt;&gt;"",AI33&lt;MarginFloor,Y33&gt;0),"Check - thin margin","OK")))))))</f>
        <v>0</v>
      </c>
    </row>
    <row r="34" spans="1:45">
      <c r="A34" s="43">
        <f>IF(B34="","",ClientPrefix&amp;TEXT(ROW()-4,"0000"))</f>
        <v>0</v>
      </c>
      <c r="W34" s="31">
        <f>IF(A34="","",COUNTIFS(Properties!$C$5:$C$254,A34))</f>
        <v>0</v>
      </c>
      <c r="X34" s="31">
        <f>IF(A34="","",COUNTIFS(Jobs!$G$5:$G$604,A34))</f>
        <v>0</v>
      </c>
      <c r="Y34" s="31">
        <f>IF(A34="","",COUNTIFS(Jobs!$G$5:$G$604,A34,Jobs!$P$5:$P$604,"Completed")+COUNTIFS(Jobs!$G$5:$G$604,A34,Jobs!$P$5:$P$604,"Invoiced"))</f>
        <v>0</v>
      </c>
      <c r="Z34" s="31">
        <f>IF(A34="","",COUNTIFS(Jobs!$G$5:$G$604,A34,Jobs!$P$5:$P$604,"Cancelled")+COUNTIFS(Jobs!$G$5:$G$604,A34,Jobs!$P$5:$P$604,"No access"))</f>
        <v>0</v>
      </c>
      <c r="AA34" s="18">
        <f>IF(A34="","",IF(SUMPRODUCT(MAX((Jobs!$G$5:$G$604=A34)*((Jobs!$P$5:$P$604="Completed")+(Jobs!$P$5:$P$604="Invoiced"))*Jobs!$B$5:$B$604))=0,"",SUMPRODUCT(MAX((Jobs!$G$5:$G$604=A34)*((Jobs!$P$5:$P$604="Completed")+(Jobs!$P$5:$P$604="Invoiced"))*Jobs!$B$5:$B$604))))</f>
        <v>0</v>
      </c>
      <c r="AB34" s="31">
        <f>IF(AA34="","",TodayDate-AA34)</f>
        <v>0</v>
      </c>
      <c r="AC34" s="18">
        <f>IF(A34="","",IF(SUMPRODUCT(MIN((Jobs!$G$5:$G$604=A34)*(Jobs!$B$5:$B$604&gt;=TodayDate)*(Jobs!$P$5:$P$604&lt;&gt;"Cancelled")*Jobs!$B$5:$B$604+(1-(Jobs!$G$5:$G$604=A34)*(Jobs!$B$5:$B$604&gt;=TodayDate)*(Jobs!$P$5:$P$604&lt;&gt;"Cancelled"))*2958465))=2958465,"",SUMPRODUCT(MIN((Jobs!$G$5:$G$604=A34)*(Jobs!$B$5:$B$604&gt;=TodayDate)*(Jobs!$P$5:$P$604&lt;&gt;"Cancelled")*Jobs!$B$5:$B$604+(1-(Jobs!$G$5:$G$604=A34)*(Jobs!$B$5:$B$604&gt;=TodayDate)*(Jobs!$P$5:$P$604&lt;&gt;"Cancelled"))*2958465))))</f>
        <v>0</v>
      </c>
      <c r="AD34" s="21">
        <f>IF(A34="","",SUMIFS(Invoices!$V$5:$V$404,Invoices!$D$5:$D$404,A34))</f>
        <v>0</v>
      </c>
      <c r="AE34" s="21">
        <f>IF(A34="","",SUMIFS(Invoices!$W$5:$W$404,Invoices!$D$5:$D$404,A34))</f>
        <v>0</v>
      </c>
      <c r="AF34" s="21">
        <f>IF(A34="","",AD34-AE34)</f>
        <v>0</v>
      </c>
      <c r="AG34" s="21">
        <f>IF(OR(A34="",Y34=0),"",AD34/Y34)</f>
        <v>0</v>
      </c>
      <c r="AH34" s="21">
        <f>IF(A34="","",SUMIFS('Job Costing'!$U$5:$U$604,'Job Costing'!$D$5:$D$604,A34))</f>
        <v>0</v>
      </c>
      <c r="AI34" s="38">
        <f>IF(OR(A34="",AD34=0),"",AH34/AD34)</f>
        <v>0</v>
      </c>
      <c r="AJ34" s="21">
        <f>IF(OR(A34="",K34="",AG34=""),"",AG34*IFERROR(INDEX(FreqPerYear,MATCH(K34,FreqNames,0)),1))</f>
        <v>0</v>
      </c>
      <c r="AK34" s="34">
        <f>IF(A34="","",IFERROR(AVERAGEIFS(Jobs!$AA$5:$AA$604,Jobs!$G$5:$G$604,A34,Jobs!$AA$5:$AA$604,"&gt;0"),""))</f>
        <v>0</v>
      </c>
      <c r="AL34" s="31">
        <f>IF(A34="","",COUNTIFS(Complaints!$D$5:$D$84,A34))</f>
        <v>0</v>
      </c>
      <c r="AM34" s="31">
        <f>IF(B34="","",COUNTIFS($AD$5:$AD$204,"&gt;"&amp;AD34)+COUNTIFS($AD$5:AD34,AD34))</f>
        <v>0</v>
      </c>
      <c r="AN34" s="31">
        <f>IF(B34="","",COUNTIFS($AH$5:$AH$204,"&gt;"&amp;AH34)+COUNTIFS($AH$5:AH34,AH34))</f>
        <v>0</v>
      </c>
      <c r="AO34" s="31">
        <f>IF(B34="","",COUNTIFS($AJ$5:$AJ$204,"&gt;"&amp;AJ34)+COUNTIFS($AJ$5:AJ34,AJ34))</f>
        <v>0</v>
      </c>
      <c r="AP34" s="39">
        <f>IF(B34="","",IF(H34="Lost","Lost",IF(H34="Inactive","Dormant",IF(AA34="","Dormant",IF(AB34&gt;InactiveClientDays*2,"Dormant",IF(AB34&gt;InactiveClientDays,"At risk",IF(AC34="","Slipping",IF(Y34&gt;=10,"Loyal","Steady"))))))))</f>
        <v>0</v>
      </c>
      <c r="AQ34" s="34">
        <f>IF(OR(B34="",AP34="Lost",AP34="Dormant"),"",IF(OR(AP34="At risk",AP34="Slipping"),IF(AB34="",999,AB34),""))</f>
        <v>0</v>
      </c>
      <c r="AR34" s="31">
        <f>IF(AQ34="","",COUNTIFS($AQ$5:$AQ$204,"&gt;"&amp;AQ34)+COUNTIFS($AQ$5:AQ34,AQ34))</f>
        <v>0</v>
      </c>
      <c r="AS34" s="39">
        <f>IF(B34="","",IF(AF34&gt;0.5,"Chase - "&amp;TEXT(AF34,"0")&amp;" owing",IF(AND(H34&lt;&gt;"Lost",H34&lt;&gt;"Inactive",H34&lt;&gt;"Paused",AC34="",K34&lt;&gt;"One-off"),"Book - nothing in the diary",IF(AND(S34&lt;&gt;"",S34-TodayDate&lt;=RenewalWarningDays,S34&gt;=TodayDate),"Due - contract renews soon",IF(AP34="At risk","Call - going quiet",IF(AL34&gt;=2,"Check - complaints logged",IF(AND(AI34&lt;&gt;"",AI34&lt;MarginFloor,Y34&gt;0),"Check - thin margin","OK")))))))</f>
        <v>0</v>
      </c>
    </row>
    <row r="35" spans="1:45">
      <c r="A35" s="43">
        <f>IF(B35="","",ClientPrefix&amp;TEXT(ROW()-4,"0000"))</f>
        <v>0</v>
      </c>
      <c r="W35" s="31">
        <f>IF(A35="","",COUNTIFS(Properties!$C$5:$C$254,A35))</f>
        <v>0</v>
      </c>
      <c r="X35" s="31">
        <f>IF(A35="","",COUNTIFS(Jobs!$G$5:$G$604,A35))</f>
        <v>0</v>
      </c>
      <c r="Y35" s="31">
        <f>IF(A35="","",COUNTIFS(Jobs!$G$5:$G$604,A35,Jobs!$P$5:$P$604,"Completed")+COUNTIFS(Jobs!$G$5:$G$604,A35,Jobs!$P$5:$P$604,"Invoiced"))</f>
        <v>0</v>
      </c>
      <c r="Z35" s="31">
        <f>IF(A35="","",COUNTIFS(Jobs!$G$5:$G$604,A35,Jobs!$P$5:$P$604,"Cancelled")+COUNTIFS(Jobs!$G$5:$G$604,A35,Jobs!$P$5:$P$604,"No access"))</f>
        <v>0</v>
      </c>
      <c r="AA35" s="18">
        <f>IF(A35="","",IF(SUMPRODUCT(MAX((Jobs!$G$5:$G$604=A35)*((Jobs!$P$5:$P$604="Completed")+(Jobs!$P$5:$P$604="Invoiced"))*Jobs!$B$5:$B$604))=0,"",SUMPRODUCT(MAX((Jobs!$G$5:$G$604=A35)*((Jobs!$P$5:$P$604="Completed")+(Jobs!$P$5:$P$604="Invoiced"))*Jobs!$B$5:$B$604))))</f>
        <v>0</v>
      </c>
      <c r="AB35" s="31">
        <f>IF(AA35="","",TodayDate-AA35)</f>
        <v>0</v>
      </c>
      <c r="AC35" s="18">
        <f>IF(A35="","",IF(SUMPRODUCT(MIN((Jobs!$G$5:$G$604=A35)*(Jobs!$B$5:$B$604&gt;=TodayDate)*(Jobs!$P$5:$P$604&lt;&gt;"Cancelled")*Jobs!$B$5:$B$604+(1-(Jobs!$G$5:$G$604=A35)*(Jobs!$B$5:$B$604&gt;=TodayDate)*(Jobs!$P$5:$P$604&lt;&gt;"Cancelled"))*2958465))=2958465,"",SUMPRODUCT(MIN((Jobs!$G$5:$G$604=A35)*(Jobs!$B$5:$B$604&gt;=TodayDate)*(Jobs!$P$5:$P$604&lt;&gt;"Cancelled")*Jobs!$B$5:$B$604+(1-(Jobs!$G$5:$G$604=A35)*(Jobs!$B$5:$B$604&gt;=TodayDate)*(Jobs!$P$5:$P$604&lt;&gt;"Cancelled"))*2958465))))</f>
        <v>0</v>
      </c>
      <c r="AD35" s="21">
        <f>IF(A35="","",SUMIFS(Invoices!$V$5:$V$404,Invoices!$D$5:$D$404,A35))</f>
        <v>0</v>
      </c>
      <c r="AE35" s="21">
        <f>IF(A35="","",SUMIFS(Invoices!$W$5:$W$404,Invoices!$D$5:$D$404,A35))</f>
        <v>0</v>
      </c>
      <c r="AF35" s="21">
        <f>IF(A35="","",AD35-AE35)</f>
        <v>0</v>
      </c>
      <c r="AG35" s="21">
        <f>IF(OR(A35="",Y35=0),"",AD35/Y35)</f>
        <v>0</v>
      </c>
      <c r="AH35" s="21">
        <f>IF(A35="","",SUMIFS('Job Costing'!$U$5:$U$604,'Job Costing'!$D$5:$D$604,A35))</f>
        <v>0</v>
      </c>
      <c r="AI35" s="38">
        <f>IF(OR(A35="",AD35=0),"",AH35/AD35)</f>
        <v>0</v>
      </c>
      <c r="AJ35" s="21">
        <f>IF(OR(A35="",K35="",AG35=""),"",AG35*IFERROR(INDEX(FreqPerYear,MATCH(K35,FreqNames,0)),1))</f>
        <v>0</v>
      </c>
      <c r="AK35" s="34">
        <f>IF(A35="","",IFERROR(AVERAGEIFS(Jobs!$AA$5:$AA$604,Jobs!$G$5:$G$604,A35,Jobs!$AA$5:$AA$604,"&gt;0"),""))</f>
        <v>0</v>
      </c>
      <c r="AL35" s="31">
        <f>IF(A35="","",COUNTIFS(Complaints!$D$5:$D$84,A35))</f>
        <v>0</v>
      </c>
      <c r="AM35" s="31">
        <f>IF(B35="","",COUNTIFS($AD$5:$AD$204,"&gt;"&amp;AD35)+COUNTIFS($AD$5:AD35,AD35))</f>
        <v>0</v>
      </c>
      <c r="AN35" s="31">
        <f>IF(B35="","",COUNTIFS($AH$5:$AH$204,"&gt;"&amp;AH35)+COUNTIFS($AH$5:AH35,AH35))</f>
        <v>0</v>
      </c>
      <c r="AO35" s="31">
        <f>IF(B35="","",COUNTIFS($AJ$5:$AJ$204,"&gt;"&amp;AJ35)+COUNTIFS($AJ$5:AJ35,AJ35))</f>
        <v>0</v>
      </c>
      <c r="AP35" s="39">
        <f>IF(B35="","",IF(H35="Lost","Lost",IF(H35="Inactive","Dormant",IF(AA35="","Dormant",IF(AB35&gt;InactiveClientDays*2,"Dormant",IF(AB35&gt;InactiveClientDays,"At risk",IF(AC35="","Slipping",IF(Y35&gt;=10,"Loyal","Steady"))))))))</f>
        <v>0</v>
      </c>
      <c r="AQ35" s="34">
        <f>IF(OR(B35="",AP35="Lost",AP35="Dormant"),"",IF(OR(AP35="At risk",AP35="Slipping"),IF(AB35="",999,AB35),""))</f>
        <v>0</v>
      </c>
      <c r="AR35" s="31">
        <f>IF(AQ35="","",COUNTIFS($AQ$5:$AQ$204,"&gt;"&amp;AQ35)+COUNTIFS($AQ$5:AQ35,AQ35))</f>
        <v>0</v>
      </c>
      <c r="AS35" s="39">
        <f>IF(B35="","",IF(AF35&gt;0.5,"Chase - "&amp;TEXT(AF35,"0")&amp;" owing",IF(AND(H35&lt;&gt;"Lost",H35&lt;&gt;"Inactive",H35&lt;&gt;"Paused",AC35="",K35&lt;&gt;"One-off"),"Book - nothing in the diary",IF(AND(S35&lt;&gt;"",S35-TodayDate&lt;=RenewalWarningDays,S35&gt;=TodayDate),"Due - contract renews soon",IF(AP35="At risk","Call - going quiet",IF(AL35&gt;=2,"Check - complaints logged",IF(AND(AI35&lt;&gt;"",AI35&lt;MarginFloor,Y35&gt;0),"Check - thin margin","OK")))))))</f>
        <v>0</v>
      </c>
    </row>
    <row r="36" spans="1:45">
      <c r="A36" s="43">
        <f>IF(B36="","",ClientPrefix&amp;TEXT(ROW()-4,"0000"))</f>
        <v>0</v>
      </c>
      <c r="W36" s="31">
        <f>IF(A36="","",COUNTIFS(Properties!$C$5:$C$254,A36))</f>
        <v>0</v>
      </c>
      <c r="X36" s="31">
        <f>IF(A36="","",COUNTIFS(Jobs!$G$5:$G$604,A36))</f>
        <v>0</v>
      </c>
      <c r="Y36" s="31">
        <f>IF(A36="","",COUNTIFS(Jobs!$G$5:$G$604,A36,Jobs!$P$5:$P$604,"Completed")+COUNTIFS(Jobs!$G$5:$G$604,A36,Jobs!$P$5:$P$604,"Invoiced"))</f>
        <v>0</v>
      </c>
      <c r="Z36" s="31">
        <f>IF(A36="","",COUNTIFS(Jobs!$G$5:$G$604,A36,Jobs!$P$5:$P$604,"Cancelled")+COUNTIFS(Jobs!$G$5:$G$604,A36,Jobs!$P$5:$P$604,"No access"))</f>
        <v>0</v>
      </c>
      <c r="AA36" s="18">
        <f>IF(A36="","",IF(SUMPRODUCT(MAX((Jobs!$G$5:$G$604=A36)*((Jobs!$P$5:$P$604="Completed")+(Jobs!$P$5:$P$604="Invoiced"))*Jobs!$B$5:$B$604))=0,"",SUMPRODUCT(MAX((Jobs!$G$5:$G$604=A36)*((Jobs!$P$5:$P$604="Completed")+(Jobs!$P$5:$P$604="Invoiced"))*Jobs!$B$5:$B$604))))</f>
        <v>0</v>
      </c>
      <c r="AB36" s="31">
        <f>IF(AA36="","",TodayDate-AA36)</f>
        <v>0</v>
      </c>
      <c r="AC36" s="18">
        <f>IF(A36="","",IF(SUMPRODUCT(MIN((Jobs!$G$5:$G$604=A36)*(Jobs!$B$5:$B$604&gt;=TodayDate)*(Jobs!$P$5:$P$604&lt;&gt;"Cancelled")*Jobs!$B$5:$B$604+(1-(Jobs!$G$5:$G$604=A36)*(Jobs!$B$5:$B$604&gt;=TodayDate)*(Jobs!$P$5:$P$604&lt;&gt;"Cancelled"))*2958465))=2958465,"",SUMPRODUCT(MIN((Jobs!$G$5:$G$604=A36)*(Jobs!$B$5:$B$604&gt;=TodayDate)*(Jobs!$P$5:$P$604&lt;&gt;"Cancelled")*Jobs!$B$5:$B$604+(1-(Jobs!$G$5:$G$604=A36)*(Jobs!$B$5:$B$604&gt;=TodayDate)*(Jobs!$P$5:$P$604&lt;&gt;"Cancelled"))*2958465))))</f>
        <v>0</v>
      </c>
      <c r="AD36" s="21">
        <f>IF(A36="","",SUMIFS(Invoices!$V$5:$V$404,Invoices!$D$5:$D$404,A36))</f>
        <v>0</v>
      </c>
      <c r="AE36" s="21">
        <f>IF(A36="","",SUMIFS(Invoices!$W$5:$W$404,Invoices!$D$5:$D$404,A36))</f>
        <v>0</v>
      </c>
      <c r="AF36" s="21">
        <f>IF(A36="","",AD36-AE36)</f>
        <v>0</v>
      </c>
      <c r="AG36" s="21">
        <f>IF(OR(A36="",Y36=0),"",AD36/Y36)</f>
        <v>0</v>
      </c>
      <c r="AH36" s="21">
        <f>IF(A36="","",SUMIFS('Job Costing'!$U$5:$U$604,'Job Costing'!$D$5:$D$604,A36))</f>
        <v>0</v>
      </c>
      <c r="AI36" s="38">
        <f>IF(OR(A36="",AD36=0),"",AH36/AD36)</f>
        <v>0</v>
      </c>
      <c r="AJ36" s="21">
        <f>IF(OR(A36="",K36="",AG36=""),"",AG36*IFERROR(INDEX(FreqPerYear,MATCH(K36,FreqNames,0)),1))</f>
        <v>0</v>
      </c>
      <c r="AK36" s="34">
        <f>IF(A36="","",IFERROR(AVERAGEIFS(Jobs!$AA$5:$AA$604,Jobs!$G$5:$G$604,A36,Jobs!$AA$5:$AA$604,"&gt;0"),""))</f>
        <v>0</v>
      </c>
      <c r="AL36" s="31">
        <f>IF(A36="","",COUNTIFS(Complaints!$D$5:$D$84,A36))</f>
        <v>0</v>
      </c>
      <c r="AM36" s="31">
        <f>IF(B36="","",COUNTIFS($AD$5:$AD$204,"&gt;"&amp;AD36)+COUNTIFS($AD$5:AD36,AD36))</f>
        <v>0</v>
      </c>
      <c r="AN36" s="31">
        <f>IF(B36="","",COUNTIFS($AH$5:$AH$204,"&gt;"&amp;AH36)+COUNTIFS($AH$5:AH36,AH36))</f>
        <v>0</v>
      </c>
      <c r="AO36" s="31">
        <f>IF(B36="","",COUNTIFS($AJ$5:$AJ$204,"&gt;"&amp;AJ36)+COUNTIFS($AJ$5:AJ36,AJ36))</f>
        <v>0</v>
      </c>
      <c r="AP36" s="39">
        <f>IF(B36="","",IF(H36="Lost","Lost",IF(H36="Inactive","Dormant",IF(AA36="","Dormant",IF(AB36&gt;InactiveClientDays*2,"Dormant",IF(AB36&gt;InactiveClientDays,"At risk",IF(AC36="","Slipping",IF(Y36&gt;=10,"Loyal","Steady"))))))))</f>
        <v>0</v>
      </c>
      <c r="AQ36" s="34">
        <f>IF(OR(B36="",AP36="Lost",AP36="Dormant"),"",IF(OR(AP36="At risk",AP36="Slipping"),IF(AB36="",999,AB36),""))</f>
        <v>0</v>
      </c>
      <c r="AR36" s="31">
        <f>IF(AQ36="","",COUNTIFS($AQ$5:$AQ$204,"&gt;"&amp;AQ36)+COUNTIFS($AQ$5:AQ36,AQ36))</f>
        <v>0</v>
      </c>
      <c r="AS36" s="39">
        <f>IF(B36="","",IF(AF36&gt;0.5,"Chase - "&amp;TEXT(AF36,"0")&amp;" owing",IF(AND(H36&lt;&gt;"Lost",H36&lt;&gt;"Inactive",H36&lt;&gt;"Paused",AC36="",K36&lt;&gt;"One-off"),"Book - nothing in the diary",IF(AND(S36&lt;&gt;"",S36-TodayDate&lt;=RenewalWarningDays,S36&gt;=TodayDate),"Due - contract renews soon",IF(AP36="At risk","Call - going quiet",IF(AL36&gt;=2,"Check - complaints logged",IF(AND(AI36&lt;&gt;"",AI36&lt;MarginFloor,Y36&gt;0),"Check - thin margin","OK")))))))</f>
        <v>0</v>
      </c>
    </row>
    <row r="37" spans="1:45">
      <c r="A37" s="43">
        <f>IF(B37="","",ClientPrefix&amp;TEXT(ROW()-4,"0000"))</f>
        <v>0</v>
      </c>
      <c r="W37" s="31">
        <f>IF(A37="","",COUNTIFS(Properties!$C$5:$C$254,A37))</f>
        <v>0</v>
      </c>
      <c r="X37" s="31">
        <f>IF(A37="","",COUNTIFS(Jobs!$G$5:$G$604,A37))</f>
        <v>0</v>
      </c>
      <c r="Y37" s="31">
        <f>IF(A37="","",COUNTIFS(Jobs!$G$5:$G$604,A37,Jobs!$P$5:$P$604,"Completed")+COUNTIFS(Jobs!$G$5:$G$604,A37,Jobs!$P$5:$P$604,"Invoiced"))</f>
        <v>0</v>
      </c>
      <c r="Z37" s="31">
        <f>IF(A37="","",COUNTIFS(Jobs!$G$5:$G$604,A37,Jobs!$P$5:$P$604,"Cancelled")+COUNTIFS(Jobs!$G$5:$G$604,A37,Jobs!$P$5:$P$604,"No access"))</f>
        <v>0</v>
      </c>
      <c r="AA37" s="18">
        <f>IF(A37="","",IF(SUMPRODUCT(MAX((Jobs!$G$5:$G$604=A37)*((Jobs!$P$5:$P$604="Completed")+(Jobs!$P$5:$P$604="Invoiced"))*Jobs!$B$5:$B$604))=0,"",SUMPRODUCT(MAX((Jobs!$G$5:$G$604=A37)*((Jobs!$P$5:$P$604="Completed")+(Jobs!$P$5:$P$604="Invoiced"))*Jobs!$B$5:$B$604))))</f>
        <v>0</v>
      </c>
      <c r="AB37" s="31">
        <f>IF(AA37="","",TodayDate-AA37)</f>
        <v>0</v>
      </c>
      <c r="AC37" s="18">
        <f>IF(A37="","",IF(SUMPRODUCT(MIN((Jobs!$G$5:$G$604=A37)*(Jobs!$B$5:$B$604&gt;=TodayDate)*(Jobs!$P$5:$P$604&lt;&gt;"Cancelled")*Jobs!$B$5:$B$604+(1-(Jobs!$G$5:$G$604=A37)*(Jobs!$B$5:$B$604&gt;=TodayDate)*(Jobs!$P$5:$P$604&lt;&gt;"Cancelled"))*2958465))=2958465,"",SUMPRODUCT(MIN((Jobs!$G$5:$G$604=A37)*(Jobs!$B$5:$B$604&gt;=TodayDate)*(Jobs!$P$5:$P$604&lt;&gt;"Cancelled")*Jobs!$B$5:$B$604+(1-(Jobs!$G$5:$G$604=A37)*(Jobs!$B$5:$B$604&gt;=TodayDate)*(Jobs!$P$5:$P$604&lt;&gt;"Cancelled"))*2958465))))</f>
        <v>0</v>
      </c>
      <c r="AD37" s="21">
        <f>IF(A37="","",SUMIFS(Invoices!$V$5:$V$404,Invoices!$D$5:$D$404,A37))</f>
        <v>0</v>
      </c>
      <c r="AE37" s="21">
        <f>IF(A37="","",SUMIFS(Invoices!$W$5:$W$404,Invoices!$D$5:$D$404,A37))</f>
        <v>0</v>
      </c>
      <c r="AF37" s="21">
        <f>IF(A37="","",AD37-AE37)</f>
        <v>0</v>
      </c>
      <c r="AG37" s="21">
        <f>IF(OR(A37="",Y37=0),"",AD37/Y37)</f>
        <v>0</v>
      </c>
      <c r="AH37" s="21">
        <f>IF(A37="","",SUMIFS('Job Costing'!$U$5:$U$604,'Job Costing'!$D$5:$D$604,A37))</f>
        <v>0</v>
      </c>
      <c r="AI37" s="38">
        <f>IF(OR(A37="",AD37=0),"",AH37/AD37)</f>
        <v>0</v>
      </c>
      <c r="AJ37" s="21">
        <f>IF(OR(A37="",K37="",AG37=""),"",AG37*IFERROR(INDEX(FreqPerYear,MATCH(K37,FreqNames,0)),1))</f>
        <v>0</v>
      </c>
      <c r="AK37" s="34">
        <f>IF(A37="","",IFERROR(AVERAGEIFS(Jobs!$AA$5:$AA$604,Jobs!$G$5:$G$604,A37,Jobs!$AA$5:$AA$604,"&gt;0"),""))</f>
        <v>0</v>
      </c>
      <c r="AL37" s="31">
        <f>IF(A37="","",COUNTIFS(Complaints!$D$5:$D$84,A37))</f>
        <v>0</v>
      </c>
      <c r="AM37" s="31">
        <f>IF(B37="","",COUNTIFS($AD$5:$AD$204,"&gt;"&amp;AD37)+COUNTIFS($AD$5:AD37,AD37))</f>
        <v>0</v>
      </c>
      <c r="AN37" s="31">
        <f>IF(B37="","",COUNTIFS($AH$5:$AH$204,"&gt;"&amp;AH37)+COUNTIFS($AH$5:AH37,AH37))</f>
        <v>0</v>
      </c>
      <c r="AO37" s="31">
        <f>IF(B37="","",COUNTIFS($AJ$5:$AJ$204,"&gt;"&amp;AJ37)+COUNTIFS($AJ$5:AJ37,AJ37))</f>
        <v>0</v>
      </c>
      <c r="AP37" s="39">
        <f>IF(B37="","",IF(H37="Lost","Lost",IF(H37="Inactive","Dormant",IF(AA37="","Dormant",IF(AB37&gt;InactiveClientDays*2,"Dormant",IF(AB37&gt;InactiveClientDays,"At risk",IF(AC37="","Slipping",IF(Y37&gt;=10,"Loyal","Steady"))))))))</f>
        <v>0</v>
      </c>
      <c r="AQ37" s="34">
        <f>IF(OR(B37="",AP37="Lost",AP37="Dormant"),"",IF(OR(AP37="At risk",AP37="Slipping"),IF(AB37="",999,AB37),""))</f>
        <v>0</v>
      </c>
      <c r="AR37" s="31">
        <f>IF(AQ37="","",COUNTIFS($AQ$5:$AQ$204,"&gt;"&amp;AQ37)+COUNTIFS($AQ$5:AQ37,AQ37))</f>
        <v>0</v>
      </c>
      <c r="AS37" s="39">
        <f>IF(B37="","",IF(AF37&gt;0.5,"Chase - "&amp;TEXT(AF37,"0")&amp;" owing",IF(AND(H37&lt;&gt;"Lost",H37&lt;&gt;"Inactive",H37&lt;&gt;"Paused",AC37="",K37&lt;&gt;"One-off"),"Book - nothing in the diary",IF(AND(S37&lt;&gt;"",S37-TodayDate&lt;=RenewalWarningDays,S37&gt;=TodayDate),"Due - contract renews soon",IF(AP37="At risk","Call - going quiet",IF(AL37&gt;=2,"Check - complaints logged",IF(AND(AI37&lt;&gt;"",AI37&lt;MarginFloor,Y37&gt;0),"Check - thin margin","OK")))))))</f>
        <v>0</v>
      </c>
    </row>
    <row r="38" spans="1:45">
      <c r="A38" s="43">
        <f>IF(B38="","",ClientPrefix&amp;TEXT(ROW()-4,"0000"))</f>
        <v>0</v>
      </c>
      <c r="W38" s="31">
        <f>IF(A38="","",COUNTIFS(Properties!$C$5:$C$254,A38))</f>
        <v>0</v>
      </c>
      <c r="X38" s="31">
        <f>IF(A38="","",COUNTIFS(Jobs!$G$5:$G$604,A38))</f>
        <v>0</v>
      </c>
      <c r="Y38" s="31">
        <f>IF(A38="","",COUNTIFS(Jobs!$G$5:$G$604,A38,Jobs!$P$5:$P$604,"Completed")+COUNTIFS(Jobs!$G$5:$G$604,A38,Jobs!$P$5:$P$604,"Invoiced"))</f>
        <v>0</v>
      </c>
      <c r="Z38" s="31">
        <f>IF(A38="","",COUNTIFS(Jobs!$G$5:$G$604,A38,Jobs!$P$5:$P$604,"Cancelled")+COUNTIFS(Jobs!$G$5:$G$604,A38,Jobs!$P$5:$P$604,"No access"))</f>
        <v>0</v>
      </c>
      <c r="AA38" s="18">
        <f>IF(A38="","",IF(SUMPRODUCT(MAX((Jobs!$G$5:$G$604=A38)*((Jobs!$P$5:$P$604="Completed")+(Jobs!$P$5:$P$604="Invoiced"))*Jobs!$B$5:$B$604))=0,"",SUMPRODUCT(MAX((Jobs!$G$5:$G$604=A38)*((Jobs!$P$5:$P$604="Completed")+(Jobs!$P$5:$P$604="Invoiced"))*Jobs!$B$5:$B$604))))</f>
        <v>0</v>
      </c>
      <c r="AB38" s="31">
        <f>IF(AA38="","",TodayDate-AA38)</f>
        <v>0</v>
      </c>
      <c r="AC38" s="18">
        <f>IF(A38="","",IF(SUMPRODUCT(MIN((Jobs!$G$5:$G$604=A38)*(Jobs!$B$5:$B$604&gt;=TodayDate)*(Jobs!$P$5:$P$604&lt;&gt;"Cancelled")*Jobs!$B$5:$B$604+(1-(Jobs!$G$5:$G$604=A38)*(Jobs!$B$5:$B$604&gt;=TodayDate)*(Jobs!$P$5:$P$604&lt;&gt;"Cancelled"))*2958465))=2958465,"",SUMPRODUCT(MIN((Jobs!$G$5:$G$604=A38)*(Jobs!$B$5:$B$604&gt;=TodayDate)*(Jobs!$P$5:$P$604&lt;&gt;"Cancelled")*Jobs!$B$5:$B$604+(1-(Jobs!$G$5:$G$604=A38)*(Jobs!$B$5:$B$604&gt;=TodayDate)*(Jobs!$P$5:$P$604&lt;&gt;"Cancelled"))*2958465))))</f>
        <v>0</v>
      </c>
      <c r="AD38" s="21">
        <f>IF(A38="","",SUMIFS(Invoices!$V$5:$V$404,Invoices!$D$5:$D$404,A38))</f>
        <v>0</v>
      </c>
      <c r="AE38" s="21">
        <f>IF(A38="","",SUMIFS(Invoices!$W$5:$W$404,Invoices!$D$5:$D$404,A38))</f>
        <v>0</v>
      </c>
      <c r="AF38" s="21">
        <f>IF(A38="","",AD38-AE38)</f>
        <v>0</v>
      </c>
      <c r="AG38" s="21">
        <f>IF(OR(A38="",Y38=0),"",AD38/Y38)</f>
        <v>0</v>
      </c>
      <c r="AH38" s="21">
        <f>IF(A38="","",SUMIFS('Job Costing'!$U$5:$U$604,'Job Costing'!$D$5:$D$604,A38))</f>
        <v>0</v>
      </c>
      <c r="AI38" s="38">
        <f>IF(OR(A38="",AD38=0),"",AH38/AD38)</f>
        <v>0</v>
      </c>
      <c r="AJ38" s="21">
        <f>IF(OR(A38="",K38="",AG38=""),"",AG38*IFERROR(INDEX(FreqPerYear,MATCH(K38,FreqNames,0)),1))</f>
        <v>0</v>
      </c>
      <c r="AK38" s="34">
        <f>IF(A38="","",IFERROR(AVERAGEIFS(Jobs!$AA$5:$AA$604,Jobs!$G$5:$G$604,A38,Jobs!$AA$5:$AA$604,"&gt;0"),""))</f>
        <v>0</v>
      </c>
      <c r="AL38" s="31">
        <f>IF(A38="","",COUNTIFS(Complaints!$D$5:$D$84,A38))</f>
        <v>0</v>
      </c>
      <c r="AM38" s="31">
        <f>IF(B38="","",COUNTIFS($AD$5:$AD$204,"&gt;"&amp;AD38)+COUNTIFS($AD$5:AD38,AD38))</f>
        <v>0</v>
      </c>
      <c r="AN38" s="31">
        <f>IF(B38="","",COUNTIFS($AH$5:$AH$204,"&gt;"&amp;AH38)+COUNTIFS($AH$5:AH38,AH38))</f>
        <v>0</v>
      </c>
      <c r="AO38" s="31">
        <f>IF(B38="","",COUNTIFS($AJ$5:$AJ$204,"&gt;"&amp;AJ38)+COUNTIFS($AJ$5:AJ38,AJ38))</f>
        <v>0</v>
      </c>
      <c r="AP38" s="39">
        <f>IF(B38="","",IF(H38="Lost","Lost",IF(H38="Inactive","Dormant",IF(AA38="","Dormant",IF(AB38&gt;InactiveClientDays*2,"Dormant",IF(AB38&gt;InactiveClientDays,"At risk",IF(AC38="","Slipping",IF(Y38&gt;=10,"Loyal","Steady"))))))))</f>
        <v>0</v>
      </c>
      <c r="AQ38" s="34">
        <f>IF(OR(B38="",AP38="Lost",AP38="Dormant"),"",IF(OR(AP38="At risk",AP38="Slipping"),IF(AB38="",999,AB38),""))</f>
        <v>0</v>
      </c>
      <c r="AR38" s="31">
        <f>IF(AQ38="","",COUNTIFS($AQ$5:$AQ$204,"&gt;"&amp;AQ38)+COUNTIFS($AQ$5:AQ38,AQ38))</f>
        <v>0</v>
      </c>
      <c r="AS38" s="39">
        <f>IF(B38="","",IF(AF38&gt;0.5,"Chase - "&amp;TEXT(AF38,"0")&amp;" owing",IF(AND(H38&lt;&gt;"Lost",H38&lt;&gt;"Inactive",H38&lt;&gt;"Paused",AC38="",K38&lt;&gt;"One-off"),"Book - nothing in the diary",IF(AND(S38&lt;&gt;"",S38-TodayDate&lt;=RenewalWarningDays,S38&gt;=TodayDate),"Due - contract renews soon",IF(AP38="At risk","Call - going quiet",IF(AL38&gt;=2,"Check - complaints logged",IF(AND(AI38&lt;&gt;"",AI38&lt;MarginFloor,Y38&gt;0),"Check - thin margin","OK")))))))</f>
        <v>0</v>
      </c>
    </row>
    <row r="39" spans="1:45">
      <c r="A39" s="43">
        <f>IF(B39="","",ClientPrefix&amp;TEXT(ROW()-4,"0000"))</f>
        <v>0</v>
      </c>
      <c r="W39" s="31">
        <f>IF(A39="","",COUNTIFS(Properties!$C$5:$C$254,A39))</f>
        <v>0</v>
      </c>
      <c r="X39" s="31">
        <f>IF(A39="","",COUNTIFS(Jobs!$G$5:$G$604,A39))</f>
        <v>0</v>
      </c>
      <c r="Y39" s="31">
        <f>IF(A39="","",COUNTIFS(Jobs!$G$5:$G$604,A39,Jobs!$P$5:$P$604,"Completed")+COUNTIFS(Jobs!$G$5:$G$604,A39,Jobs!$P$5:$P$604,"Invoiced"))</f>
        <v>0</v>
      </c>
      <c r="Z39" s="31">
        <f>IF(A39="","",COUNTIFS(Jobs!$G$5:$G$604,A39,Jobs!$P$5:$P$604,"Cancelled")+COUNTIFS(Jobs!$G$5:$G$604,A39,Jobs!$P$5:$P$604,"No access"))</f>
        <v>0</v>
      </c>
      <c r="AA39" s="18">
        <f>IF(A39="","",IF(SUMPRODUCT(MAX((Jobs!$G$5:$G$604=A39)*((Jobs!$P$5:$P$604="Completed")+(Jobs!$P$5:$P$604="Invoiced"))*Jobs!$B$5:$B$604))=0,"",SUMPRODUCT(MAX((Jobs!$G$5:$G$604=A39)*((Jobs!$P$5:$P$604="Completed")+(Jobs!$P$5:$P$604="Invoiced"))*Jobs!$B$5:$B$604))))</f>
        <v>0</v>
      </c>
      <c r="AB39" s="31">
        <f>IF(AA39="","",TodayDate-AA39)</f>
        <v>0</v>
      </c>
      <c r="AC39" s="18">
        <f>IF(A39="","",IF(SUMPRODUCT(MIN((Jobs!$G$5:$G$604=A39)*(Jobs!$B$5:$B$604&gt;=TodayDate)*(Jobs!$P$5:$P$604&lt;&gt;"Cancelled")*Jobs!$B$5:$B$604+(1-(Jobs!$G$5:$G$604=A39)*(Jobs!$B$5:$B$604&gt;=TodayDate)*(Jobs!$P$5:$P$604&lt;&gt;"Cancelled"))*2958465))=2958465,"",SUMPRODUCT(MIN((Jobs!$G$5:$G$604=A39)*(Jobs!$B$5:$B$604&gt;=TodayDate)*(Jobs!$P$5:$P$604&lt;&gt;"Cancelled")*Jobs!$B$5:$B$604+(1-(Jobs!$G$5:$G$604=A39)*(Jobs!$B$5:$B$604&gt;=TodayDate)*(Jobs!$P$5:$P$604&lt;&gt;"Cancelled"))*2958465))))</f>
        <v>0</v>
      </c>
      <c r="AD39" s="21">
        <f>IF(A39="","",SUMIFS(Invoices!$V$5:$V$404,Invoices!$D$5:$D$404,A39))</f>
        <v>0</v>
      </c>
      <c r="AE39" s="21">
        <f>IF(A39="","",SUMIFS(Invoices!$W$5:$W$404,Invoices!$D$5:$D$404,A39))</f>
        <v>0</v>
      </c>
      <c r="AF39" s="21">
        <f>IF(A39="","",AD39-AE39)</f>
        <v>0</v>
      </c>
      <c r="AG39" s="21">
        <f>IF(OR(A39="",Y39=0),"",AD39/Y39)</f>
        <v>0</v>
      </c>
      <c r="AH39" s="21">
        <f>IF(A39="","",SUMIFS('Job Costing'!$U$5:$U$604,'Job Costing'!$D$5:$D$604,A39))</f>
        <v>0</v>
      </c>
      <c r="AI39" s="38">
        <f>IF(OR(A39="",AD39=0),"",AH39/AD39)</f>
        <v>0</v>
      </c>
      <c r="AJ39" s="21">
        <f>IF(OR(A39="",K39="",AG39=""),"",AG39*IFERROR(INDEX(FreqPerYear,MATCH(K39,FreqNames,0)),1))</f>
        <v>0</v>
      </c>
      <c r="AK39" s="34">
        <f>IF(A39="","",IFERROR(AVERAGEIFS(Jobs!$AA$5:$AA$604,Jobs!$G$5:$G$604,A39,Jobs!$AA$5:$AA$604,"&gt;0"),""))</f>
        <v>0</v>
      </c>
      <c r="AL39" s="31">
        <f>IF(A39="","",COUNTIFS(Complaints!$D$5:$D$84,A39))</f>
        <v>0</v>
      </c>
      <c r="AM39" s="31">
        <f>IF(B39="","",COUNTIFS($AD$5:$AD$204,"&gt;"&amp;AD39)+COUNTIFS($AD$5:AD39,AD39))</f>
        <v>0</v>
      </c>
      <c r="AN39" s="31">
        <f>IF(B39="","",COUNTIFS($AH$5:$AH$204,"&gt;"&amp;AH39)+COUNTIFS($AH$5:AH39,AH39))</f>
        <v>0</v>
      </c>
      <c r="AO39" s="31">
        <f>IF(B39="","",COUNTIFS($AJ$5:$AJ$204,"&gt;"&amp;AJ39)+COUNTIFS($AJ$5:AJ39,AJ39))</f>
        <v>0</v>
      </c>
      <c r="AP39" s="39">
        <f>IF(B39="","",IF(H39="Lost","Lost",IF(H39="Inactive","Dormant",IF(AA39="","Dormant",IF(AB39&gt;InactiveClientDays*2,"Dormant",IF(AB39&gt;InactiveClientDays,"At risk",IF(AC39="","Slipping",IF(Y39&gt;=10,"Loyal","Steady"))))))))</f>
        <v>0</v>
      </c>
      <c r="AQ39" s="34">
        <f>IF(OR(B39="",AP39="Lost",AP39="Dormant"),"",IF(OR(AP39="At risk",AP39="Slipping"),IF(AB39="",999,AB39),""))</f>
        <v>0</v>
      </c>
      <c r="AR39" s="31">
        <f>IF(AQ39="","",COUNTIFS($AQ$5:$AQ$204,"&gt;"&amp;AQ39)+COUNTIFS($AQ$5:AQ39,AQ39))</f>
        <v>0</v>
      </c>
      <c r="AS39" s="39">
        <f>IF(B39="","",IF(AF39&gt;0.5,"Chase - "&amp;TEXT(AF39,"0")&amp;" owing",IF(AND(H39&lt;&gt;"Lost",H39&lt;&gt;"Inactive",H39&lt;&gt;"Paused",AC39="",K39&lt;&gt;"One-off"),"Book - nothing in the diary",IF(AND(S39&lt;&gt;"",S39-TodayDate&lt;=RenewalWarningDays,S39&gt;=TodayDate),"Due - contract renews soon",IF(AP39="At risk","Call - going quiet",IF(AL39&gt;=2,"Check - complaints logged",IF(AND(AI39&lt;&gt;"",AI39&lt;MarginFloor,Y39&gt;0),"Check - thin margin","OK")))))))</f>
        <v>0</v>
      </c>
    </row>
    <row r="40" spans="1:45">
      <c r="A40" s="43">
        <f>IF(B40="","",ClientPrefix&amp;TEXT(ROW()-4,"0000"))</f>
        <v>0</v>
      </c>
      <c r="W40" s="31">
        <f>IF(A40="","",COUNTIFS(Properties!$C$5:$C$254,A40))</f>
        <v>0</v>
      </c>
      <c r="X40" s="31">
        <f>IF(A40="","",COUNTIFS(Jobs!$G$5:$G$604,A40))</f>
        <v>0</v>
      </c>
      <c r="Y40" s="31">
        <f>IF(A40="","",COUNTIFS(Jobs!$G$5:$G$604,A40,Jobs!$P$5:$P$604,"Completed")+COUNTIFS(Jobs!$G$5:$G$604,A40,Jobs!$P$5:$P$604,"Invoiced"))</f>
        <v>0</v>
      </c>
      <c r="Z40" s="31">
        <f>IF(A40="","",COUNTIFS(Jobs!$G$5:$G$604,A40,Jobs!$P$5:$P$604,"Cancelled")+COUNTIFS(Jobs!$G$5:$G$604,A40,Jobs!$P$5:$P$604,"No access"))</f>
        <v>0</v>
      </c>
      <c r="AA40" s="18">
        <f>IF(A40="","",IF(SUMPRODUCT(MAX((Jobs!$G$5:$G$604=A40)*((Jobs!$P$5:$P$604="Completed")+(Jobs!$P$5:$P$604="Invoiced"))*Jobs!$B$5:$B$604))=0,"",SUMPRODUCT(MAX((Jobs!$G$5:$G$604=A40)*((Jobs!$P$5:$P$604="Completed")+(Jobs!$P$5:$P$604="Invoiced"))*Jobs!$B$5:$B$604))))</f>
        <v>0</v>
      </c>
      <c r="AB40" s="31">
        <f>IF(AA40="","",TodayDate-AA40)</f>
        <v>0</v>
      </c>
      <c r="AC40" s="18">
        <f>IF(A40="","",IF(SUMPRODUCT(MIN((Jobs!$G$5:$G$604=A40)*(Jobs!$B$5:$B$604&gt;=TodayDate)*(Jobs!$P$5:$P$604&lt;&gt;"Cancelled")*Jobs!$B$5:$B$604+(1-(Jobs!$G$5:$G$604=A40)*(Jobs!$B$5:$B$604&gt;=TodayDate)*(Jobs!$P$5:$P$604&lt;&gt;"Cancelled"))*2958465))=2958465,"",SUMPRODUCT(MIN((Jobs!$G$5:$G$604=A40)*(Jobs!$B$5:$B$604&gt;=TodayDate)*(Jobs!$P$5:$P$604&lt;&gt;"Cancelled")*Jobs!$B$5:$B$604+(1-(Jobs!$G$5:$G$604=A40)*(Jobs!$B$5:$B$604&gt;=TodayDate)*(Jobs!$P$5:$P$604&lt;&gt;"Cancelled"))*2958465))))</f>
        <v>0</v>
      </c>
      <c r="AD40" s="21">
        <f>IF(A40="","",SUMIFS(Invoices!$V$5:$V$404,Invoices!$D$5:$D$404,A40))</f>
        <v>0</v>
      </c>
      <c r="AE40" s="21">
        <f>IF(A40="","",SUMIFS(Invoices!$W$5:$W$404,Invoices!$D$5:$D$404,A40))</f>
        <v>0</v>
      </c>
      <c r="AF40" s="21">
        <f>IF(A40="","",AD40-AE40)</f>
        <v>0</v>
      </c>
      <c r="AG40" s="21">
        <f>IF(OR(A40="",Y40=0),"",AD40/Y40)</f>
        <v>0</v>
      </c>
      <c r="AH40" s="21">
        <f>IF(A40="","",SUMIFS('Job Costing'!$U$5:$U$604,'Job Costing'!$D$5:$D$604,A40))</f>
        <v>0</v>
      </c>
      <c r="AI40" s="38">
        <f>IF(OR(A40="",AD40=0),"",AH40/AD40)</f>
        <v>0</v>
      </c>
      <c r="AJ40" s="21">
        <f>IF(OR(A40="",K40="",AG40=""),"",AG40*IFERROR(INDEX(FreqPerYear,MATCH(K40,FreqNames,0)),1))</f>
        <v>0</v>
      </c>
      <c r="AK40" s="34">
        <f>IF(A40="","",IFERROR(AVERAGEIFS(Jobs!$AA$5:$AA$604,Jobs!$G$5:$G$604,A40,Jobs!$AA$5:$AA$604,"&gt;0"),""))</f>
        <v>0</v>
      </c>
      <c r="AL40" s="31">
        <f>IF(A40="","",COUNTIFS(Complaints!$D$5:$D$84,A40))</f>
        <v>0</v>
      </c>
      <c r="AM40" s="31">
        <f>IF(B40="","",COUNTIFS($AD$5:$AD$204,"&gt;"&amp;AD40)+COUNTIFS($AD$5:AD40,AD40))</f>
        <v>0</v>
      </c>
      <c r="AN40" s="31">
        <f>IF(B40="","",COUNTIFS($AH$5:$AH$204,"&gt;"&amp;AH40)+COUNTIFS($AH$5:AH40,AH40))</f>
        <v>0</v>
      </c>
      <c r="AO40" s="31">
        <f>IF(B40="","",COUNTIFS($AJ$5:$AJ$204,"&gt;"&amp;AJ40)+COUNTIFS($AJ$5:AJ40,AJ40))</f>
        <v>0</v>
      </c>
      <c r="AP40" s="39">
        <f>IF(B40="","",IF(H40="Lost","Lost",IF(H40="Inactive","Dormant",IF(AA40="","Dormant",IF(AB40&gt;InactiveClientDays*2,"Dormant",IF(AB40&gt;InactiveClientDays,"At risk",IF(AC40="","Slipping",IF(Y40&gt;=10,"Loyal","Steady"))))))))</f>
        <v>0</v>
      </c>
      <c r="AQ40" s="34">
        <f>IF(OR(B40="",AP40="Lost",AP40="Dormant"),"",IF(OR(AP40="At risk",AP40="Slipping"),IF(AB40="",999,AB40),""))</f>
        <v>0</v>
      </c>
      <c r="AR40" s="31">
        <f>IF(AQ40="","",COUNTIFS($AQ$5:$AQ$204,"&gt;"&amp;AQ40)+COUNTIFS($AQ$5:AQ40,AQ40))</f>
        <v>0</v>
      </c>
      <c r="AS40" s="39">
        <f>IF(B40="","",IF(AF40&gt;0.5,"Chase - "&amp;TEXT(AF40,"0")&amp;" owing",IF(AND(H40&lt;&gt;"Lost",H40&lt;&gt;"Inactive",H40&lt;&gt;"Paused",AC40="",K40&lt;&gt;"One-off"),"Book - nothing in the diary",IF(AND(S40&lt;&gt;"",S40-TodayDate&lt;=RenewalWarningDays,S40&gt;=TodayDate),"Due - contract renews soon",IF(AP40="At risk","Call - going quiet",IF(AL40&gt;=2,"Check - complaints logged",IF(AND(AI40&lt;&gt;"",AI40&lt;MarginFloor,Y40&gt;0),"Check - thin margin","OK")))))))</f>
        <v>0</v>
      </c>
    </row>
    <row r="41" spans="1:45">
      <c r="A41" s="43">
        <f>IF(B41="","",ClientPrefix&amp;TEXT(ROW()-4,"0000"))</f>
        <v>0</v>
      </c>
      <c r="W41" s="31">
        <f>IF(A41="","",COUNTIFS(Properties!$C$5:$C$254,A41))</f>
        <v>0</v>
      </c>
      <c r="X41" s="31">
        <f>IF(A41="","",COUNTIFS(Jobs!$G$5:$G$604,A41))</f>
        <v>0</v>
      </c>
      <c r="Y41" s="31">
        <f>IF(A41="","",COUNTIFS(Jobs!$G$5:$G$604,A41,Jobs!$P$5:$P$604,"Completed")+COUNTIFS(Jobs!$G$5:$G$604,A41,Jobs!$P$5:$P$604,"Invoiced"))</f>
        <v>0</v>
      </c>
      <c r="Z41" s="31">
        <f>IF(A41="","",COUNTIFS(Jobs!$G$5:$G$604,A41,Jobs!$P$5:$P$604,"Cancelled")+COUNTIFS(Jobs!$G$5:$G$604,A41,Jobs!$P$5:$P$604,"No access"))</f>
        <v>0</v>
      </c>
      <c r="AA41" s="18">
        <f>IF(A41="","",IF(SUMPRODUCT(MAX((Jobs!$G$5:$G$604=A41)*((Jobs!$P$5:$P$604="Completed")+(Jobs!$P$5:$P$604="Invoiced"))*Jobs!$B$5:$B$604))=0,"",SUMPRODUCT(MAX((Jobs!$G$5:$G$604=A41)*((Jobs!$P$5:$P$604="Completed")+(Jobs!$P$5:$P$604="Invoiced"))*Jobs!$B$5:$B$604))))</f>
        <v>0</v>
      </c>
      <c r="AB41" s="31">
        <f>IF(AA41="","",TodayDate-AA41)</f>
        <v>0</v>
      </c>
      <c r="AC41" s="18">
        <f>IF(A41="","",IF(SUMPRODUCT(MIN((Jobs!$G$5:$G$604=A41)*(Jobs!$B$5:$B$604&gt;=TodayDate)*(Jobs!$P$5:$P$604&lt;&gt;"Cancelled")*Jobs!$B$5:$B$604+(1-(Jobs!$G$5:$G$604=A41)*(Jobs!$B$5:$B$604&gt;=TodayDate)*(Jobs!$P$5:$P$604&lt;&gt;"Cancelled"))*2958465))=2958465,"",SUMPRODUCT(MIN((Jobs!$G$5:$G$604=A41)*(Jobs!$B$5:$B$604&gt;=TodayDate)*(Jobs!$P$5:$P$604&lt;&gt;"Cancelled")*Jobs!$B$5:$B$604+(1-(Jobs!$G$5:$G$604=A41)*(Jobs!$B$5:$B$604&gt;=TodayDate)*(Jobs!$P$5:$P$604&lt;&gt;"Cancelled"))*2958465))))</f>
        <v>0</v>
      </c>
      <c r="AD41" s="21">
        <f>IF(A41="","",SUMIFS(Invoices!$V$5:$V$404,Invoices!$D$5:$D$404,A41))</f>
        <v>0</v>
      </c>
      <c r="AE41" s="21">
        <f>IF(A41="","",SUMIFS(Invoices!$W$5:$W$404,Invoices!$D$5:$D$404,A41))</f>
        <v>0</v>
      </c>
      <c r="AF41" s="21">
        <f>IF(A41="","",AD41-AE41)</f>
        <v>0</v>
      </c>
      <c r="AG41" s="21">
        <f>IF(OR(A41="",Y41=0),"",AD41/Y41)</f>
        <v>0</v>
      </c>
      <c r="AH41" s="21">
        <f>IF(A41="","",SUMIFS('Job Costing'!$U$5:$U$604,'Job Costing'!$D$5:$D$604,A41))</f>
        <v>0</v>
      </c>
      <c r="AI41" s="38">
        <f>IF(OR(A41="",AD41=0),"",AH41/AD41)</f>
        <v>0</v>
      </c>
      <c r="AJ41" s="21">
        <f>IF(OR(A41="",K41="",AG41=""),"",AG41*IFERROR(INDEX(FreqPerYear,MATCH(K41,FreqNames,0)),1))</f>
        <v>0</v>
      </c>
      <c r="AK41" s="34">
        <f>IF(A41="","",IFERROR(AVERAGEIFS(Jobs!$AA$5:$AA$604,Jobs!$G$5:$G$604,A41,Jobs!$AA$5:$AA$604,"&gt;0"),""))</f>
        <v>0</v>
      </c>
      <c r="AL41" s="31">
        <f>IF(A41="","",COUNTIFS(Complaints!$D$5:$D$84,A41))</f>
        <v>0</v>
      </c>
      <c r="AM41" s="31">
        <f>IF(B41="","",COUNTIFS($AD$5:$AD$204,"&gt;"&amp;AD41)+COUNTIFS($AD$5:AD41,AD41))</f>
        <v>0</v>
      </c>
      <c r="AN41" s="31">
        <f>IF(B41="","",COUNTIFS($AH$5:$AH$204,"&gt;"&amp;AH41)+COUNTIFS($AH$5:AH41,AH41))</f>
        <v>0</v>
      </c>
      <c r="AO41" s="31">
        <f>IF(B41="","",COUNTIFS($AJ$5:$AJ$204,"&gt;"&amp;AJ41)+COUNTIFS($AJ$5:AJ41,AJ41))</f>
        <v>0</v>
      </c>
      <c r="AP41" s="39">
        <f>IF(B41="","",IF(H41="Lost","Lost",IF(H41="Inactive","Dormant",IF(AA41="","Dormant",IF(AB41&gt;InactiveClientDays*2,"Dormant",IF(AB41&gt;InactiveClientDays,"At risk",IF(AC41="","Slipping",IF(Y41&gt;=10,"Loyal","Steady"))))))))</f>
        <v>0</v>
      </c>
      <c r="AQ41" s="34">
        <f>IF(OR(B41="",AP41="Lost",AP41="Dormant"),"",IF(OR(AP41="At risk",AP41="Slipping"),IF(AB41="",999,AB41),""))</f>
        <v>0</v>
      </c>
      <c r="AR41" s="31">
        <f>IF(AQ41="","",COUNTIFS($AQ$5:$AQ$204,"&gt;"&amp;AQ41)+COUNTIFS($AQ$5:AQ41,AQ41))</f>
        <v>0</v>
      </c>
      <c r="AS41" s="39">
        <f>IF(B41="","",IF(AF41&gt;0.5,"Chase - "&amp;TEXT(AF41,"0")&amp;" owing",IF(AND(H41&lt;&gt;"Lost",H41&lt;&gt;"Inactive",H41&lt;&gt;"Paused",AC41="",K41&lt;&gt;"One-off"),"Book - nothing in the diary",IF(AND(S41&lt;&gt;"",S41-TodayDate&lt;=RenewalWarningDays,S41&gt;=TodayDate),"Due - contract renews soon",IF(AP41="At risk","Call - going quiet",IF(AL41&gt;=2,"Check - complaints logged",IF(AND(AI41&lt;&gt;"",AI41&lt;MarginFloor,Y41&gt;0),"Check - thin margin","OK")))))))</f>
        <v>0</v>
      </c>
    </row>
    <row r="42" spans="1:45">
      <c r="A42" s="43">
        <f>IF(B42="","",ClientPrefix&amp;TEXT(ROW()-4,"0000"))</f>
        <v>0</v>
      </c>
      <c r="W42" s="31">
        <f>IF(A42="","",COUNTIFS(Properties!$C$5:$C$254,A42))</f>
        <v>0</v>
      </c>
      <c r="X42" s="31">
        <f>IF(A42="","",COUNTIFS(Jobs!$G$5:$G$604,A42))</f>
        <v>0</v>
      </c>
      <c r="Y42" s="31">
        <f>IF(A42="","",COUNTIFS(Jobs!$G$5:$G$604,A42,Jobs!$P$5:$P$604,"Completed")+COUNTIFS(Jobs!$G$5:$G$604,A42,Jobs!$P$5:$P$604,"Invoiced"))</f>
        <v>0</v>
      </c>
      <c r="Z42" s="31">
        <f>IF(A42="","",COUNTIFS(Jobs!$G$5:$G$604,A42,Jobs!$P$5:$P$604,"Cancelled")+COUNTIFS(Jobs!$G$5:$G$604,A42,Jobs!$P$5:$P$604,"No access"))</f>
        <v>0</v>
      </c>
      <c r="AA42" s="18">
        <f>IF(A42="","",IF(SUMPRODUCT(MAX((Jobs!$G$5:$G$604=A42)*((Jobs!$P$5:$P$604="Completed")+(Jobs!$P$5:$P$604="Invoiced"))*Jobs!$B$5:$B$604))=0,"",SUMPRODUCT(MAX((Jobs!$G$5:$G$604=A42)*((Jobs!$P$5:$P$604="Completed")+(Jobs!$P$5:$P$604="Invoiced"))*Jobs!$B$5:$B$604))))</f>
        <v>0</v>
      </c>
      <c r="AB42" s="31">
        <f>IF(AA42="","",TodayDate-AA42)</f>
        <v>0</v>
      </c>
      <c r="AC42" s="18">
        <f>IF(A42="","",IF(SUMPRODUCT(MIN((Jobs!$G$5:$G$604=A42)*(Jobs!$B$5:$B$604&gt;=TodayDate)*(Jobs!$P$5:$P$604&lt;&gt;"Cancelled")*Jobs!$B$5:$B$604+(1-(Jobs!$G$5:$G$604=A42)*(Jobs!$B$5:$B$604&gt;=TodayDate)*(Jobs!$P$5:$P$604&lt;&gt;"Cancelled"))*2958465))=2958465,"",SUMPRODUCT(MIN((Jobs!$G$5:$G$604=A42)*(Jobs!$B$5:$B$604&gt;=TodayDate)*(Jobs!$P$5:$P$604&lt;&gt;"Cancelled")*Jobs!$B$5:$B$604+(1-(Jobs!$G$5:$G$604=A42)*(Jobs!$B$5:$B$604&gt;=TodayDate)*(Jobs!$P$5:$P$604&lt;&gt;"Cancelled"))*2958465))))</f>
        <v>0</v>
      </c>
      <c r="AD42" s="21">
        <f>IF(A42="","",SUMIFS(Invoices!$V$5:$V$404,Invoices!$D$5:$D$404,A42))</f>
        <v>0</v>
      </c>
      <c r="AE42" s="21">
        <f>IF(A42="","",SUMIFS(Invoices!$W$5:$W$404,Invoices!$D$5:$D$404,A42))</f>
        <v>0</v>
      </c>
      <c r="AF42" s="21">
        <f>IF(A42="","",AD42-AE42)</f>
        <v>0</v>
      </c>
      <c r="AG42" s="21">
        <f>IF(OR(A42="",Y42=0),"",AD42/Y42)</f>
        <v>0</v>
      </c>
      <c r="AH42" s="21">
        <f>IF(A42="","",SUMIFS('Job Costing'!$U$5:$U$604,'Job Costing'!$D$5:$D$604,A42))</f>
        <v>0</v>
      </c>
      <c r="AI42" s="38">
        <f>IF(OR(A42="",AD42=0),"",AH42/AD42)</f>
        <v>0</v>
      </c>
      <c r="AJ42" s="21">
        <f>IF(OR(A42="",K42="",AG42=""),"",AG42*IFERROR(INDEX(FreqPerYear,MATCH(K42,FreqNames,0)),1))</f>
        <v>0</v>
      </c>
      <c r="AK42" s="34">
        <f>IF(A42="","",IFERROR(AVERAGEIFS(Jobs!$AA$5:$AA$604,Jobs!$G$5:$G$604,A42,Jobs!$AA$5:$AA$604,"&gt;0"),""))</f>
        <v>0</v>
      </c>
      <c r="AL42" s="31">
        <f>IF(A42="","",COUNTIFS(Complaints!$D$5:$D$84,A42))</f>
        <v>0</v>
      </c>
      <c r="AM42" s="31">
        <f>IF(B42="","",COUNTIFS($AD$5:$AD$204,"&gt;"&amp;AD42)+COUNTIFS($AD$5:AD42,AD42))</f>
        <v>0</v>
      </c>
      <c r="AN42" s="31">
        <f>IF(B42="","",COUNTIFS($AH$5:$AH$204,"&gt;"&amp;AH42)+COUNTIFS($AH$5:AH42,AH42))</f>
        <v>0</v>
      </c>
      <c r="AO42" s="31">
        <f>IF(B42="","",COUNTIFS($AJ$5:$AJ$204,"&gt;"&amp;AJ42)+COUNTIFS($AJ$5:AJ42,AJ42))</f>
        <v>0</v>
      </c>
      <c r="AP42" s="39">
        <f>IF(B42="","",IF(H42="Lost","Lost",IF(H42="Inactive","Dormant",IF(AA42="","Dormant",IF(AB42&gt;InactiveClientDays*2,"Dormant",IF(AB42&gt;InactiveClientDays,"At risk",IF(AC42="","Slipping",IF(Y42&gt;=10,"Loyal","Steady"))))))))</f>
        <v>0</v>
      </c>
      <c r="AQ42" s="34">
        <f>IF(OR(B42="",AP42="Lost",AP42="Dormant"),"",IF(OR(AP42="At risk",AP42="Slipping"),IF(AB42="",999,AB42),""))</f>
        <v>0</v>
      </c>
      <c r="AR42" s="31">
        <f>IF(AQ42="","",COUNTIFS($AQ$5:$AQ$204,"&gt;"&amp;AQ42)+COUNTIFS($AQ$5:AQ42,AQ42))</f>
        <v>0</v>
      </c>
      <c r="AS42" s="39">
        <f>IF(B42="","",IF(AF42&gt;0.5,"Chase - "&amp;TEXT(AF42,"0")&amp;" owing",IF(AND(H42&lt;&gt;"Lost",H42&lt;&gt;"Inactive",H42&lt;&gt;"Paused",AC42="",K42&lt;&gt;"One-off"),"Book - nothing in the diary",IF(AND(S42&lt;&gt;"",S42-TodayDate&lt;=RenewalWarningDays,S42&gt;=TodayDate),"Due - contract renews soon",IF(AP42="At risk","Call - going quiet",IF(AL42&gt;=2,"Check - complaints logged",IF(AND(AI42&lt;&gt;"",AI42&lt;MarginFloor,Y42&gt;0),"Check - thin margin","OK")))))))</f>
        <v>0</v>
      </c>
    </row>
    <row r="43" spans="1:45">
      <c r="A43" s="43">
        <f>IF(B43="","",ClientPrefix&amp;TEXT(ROW()-4,"0000"))</f>
        <v>0</v>
      </c>
      <c r="W43" s="31">
        <f>IF(A43="","",COUNTIFS(Properties!$C$5:$C$254,A43))</f>
        <v>0</v>
      </c>
      <c r="X43" s="31">
        <f>IF(A43="","",COUNTIFS(Jobs!$G$5:$G$604,A43))</f>
        <v>0</v>
      </c>
      <c r="Y43" s="31">
        <f>IF(A43="","",COUNTIFS(Jobs!$G$5:$G$604,A43,Jobs!$P$5:$P$604,"Completed")+COUNTIFS(Jobs!$G$5:$G$604,A43,Jobs!$P$5:$P$604,"Invoiced"))</f>
        <v>0</v>
      </c>
      <c r="Z43" s="31">
        <f>IF(A43="","",COUNTIFS(Jobs!$G$5:$G$604,A43,Jobs!$P$5:$P$604,"Cancelled")+COUNTIFS(Jobs!$G$5:$G$604,A43,Jobs!$P$5:$P$604,"No access"))</f>
        <v>0</v>
      </c>
      <c r="AA43" s="18">
        <f>IF(A43="","",IF(SUMPRODUCT(MAX((Jobs!$G$5:$G$604=A43)*((Jobs!$P$5:$P$604="Completed")+(Jobs!$P$5:$P$604="Invoiced"))*Jobs!$B$5:$B$604))=0,"",SUMPRODUCT(MAX((Jobs!$G$5:$G$604=A43)*((Jobs!$P$5:$P$604="Completed")+(Jobs!$P$5:$P$604="Invoiced"))*Jobs!$B$5:$B$604))))</f>
        <v>0</v>
      </c>
      <c r="AB43" s="31">
        <f>IF(AA43="","",TodayDate-AA43)</f>
        <v>0</v>
      </c>
      <c r="AC43" s="18">
        <f>IF(A43="","",IF(SUMPRODUCT(MIN((Jobs!$G$5:$G$604=A43)*(Jobs!$B$5:$B$604&gt;=TodayDate)*(Jobs!$P$5:$P$604&lt;&gt;"Cancelled")*Jobs!$B$5:$B$604+(1-(Jobs!$G$5:$G$604=A43)*(Jobs!$B$5:$B$604&gt;=TodayDate)*(Jobs!$P$5:$P$604&lt;&gt;"Cancelled"))*2958465))=2958465,"",SUMPRODUCT(MIN((Jobs!$G$5:$G$604=A43)*(Jobs!$B$5:$B$604&gt;=TodayDate)*(Jobs!$P$5:$P$604&lt;&gt;"Cancelled")*Jobs!$B$5:$B$604+(1-(Jobs!$G$5:$G$604=A43)*(Jobs!$B$5:$B$604&gt;=TodayDate)*(Jobs!$P$5:$P$604&lt;&gt;"Cancelled"))*2958465))))</f>
        <v>0</v>
      </c>
      <c r="AD43" s="21">
        <f>IF(A43="","",SUMIFS(Invoices!$V$5:$V$404,Invoices!$D$5:$D$404,A43))</f>
        <v>0</v>
      </c>
      <c r="AE43" s="21">
        <f>IF(A43="","",SUMIFS(Invoices!$W$5:$W$404,Invoices!$D$5:$D$404,A43))</f>
        <v>0</v>
      </c>
      <c r="AF43" s="21">
        <f>IF(A43="","",AD43-AE43)</f>
        <v>0</v>
      </c>
      <c r="AG43" s="21">
        <f>IF(OR(A43="",Y43=0),"",AD43/Y43)</f>
        <v>0</v>
      </c>
      <c r="AH43" s="21">
        <f>IF(A43="","",SUMIFS('Job Costing'!$U$5:$U$604,'Job Costing'!$D$5:$D$604,A43))</f>
        <v>0</v>
      </c>
      <c r="AI43" s="38">
        <f>IF(OR(A43="",AD43=0),"",AH43/AD43)</f>
        <v>0</v>
      </c>
      <c r="AJ43" s="21">
        <f>IF(OR(A43="",K43="",AG43=""),"",AG43*IFERROR(INDEX(FreqPerYear,MATCH(K43,FreqNames,0)),1))</f>
        <v>0</v>
      </c>
      <c r="AK43" s="34">
        <f>IF(A43="","",IFERROR(AVERAGEIFS(Jobs!$AA$5:$AA$604,Jobs!$G$5:$G$604,A43,Jobs!$AA$5:$AA$604,"&gt;0"),""))</f>
        <v>0</v>
      </c>
      <c r="AL43" s="31">
        <f>IF(A43="","",COUNTIFS(Complaints!$D$5:$D$84,A43))</f>
        <v>0</v>
      </c>
      <c r="AM43" s="31">
        <f>IF(B43="","",COUNTIFS($AD$5:$AD$204,"&gt;"&amp;AD43)+COUNTIFS($AD$5:AD43,AD43))</f>
        <v>0</v>
      </c>
      <c r="AN43" s="31">
        <f>IF(B43="","",COUNTIFS($AH$5:$AH$204,"&gt;"&amp;AH43)+COUNTIFS($AH$5:AH43,AH43))</f>
        <v>0</v>
      </c>
      <c r="AO43" s="31">
        <f>IF(B43="","",COUNTIFS($AJ$5:$AJ$204,"&gt;"&amp;AJ43)+COUNTIFS($AJ$5:AJ43,AJ43))</f>
        <v>0</v>
      </c>
      <c r="AP43" s="39">
        <f>IF(B43="","",IF(H43="Lost","Lost",IF(H43="Inactive","Dormant",IF(AA43="","Dormant",IF(AB43&gt;InactiveClientDays*2,"Dormant",IF(AB43&gt;InactiveClientDays,"At risk",IF(AC43="","Slipping",IF(Y43&gt;=10,"Loyal","Steady"))))))))</f>
        <v>0</v>
      </c>
      <c r="AQ43" s="34">
        <f>IF(OR(B43="",AP43="Lost",AP43="Dormant"),"",IF(OR(AP43="At risk",AP43="Slipping"),IF(AB43="",999,AB43),""))</f>
        <v>0</v>
      </c>
      <c r="AR43" s="31">
        <f>IF(AQ43="","",COUNTIFS($AQ$5:$AQ$204,"&gt;"&amp;AQ43)+COUNTIFS($AQ$5:AQ43,AQ43))</f>
        <v>0</v>
      </c>
      <c r="AS43" s="39">
        <f>IF(B43="","",IF(AF43&gt;0.5,"Chase - "&amp;TEXT(AF43,"0")&amp;" owing",IF(AND(H43&lt;&gt;"Lost",H43&lt;&gt;"Inactive",H43&lt;&gt;"Paused",AC43="",K43&lt;&gt;"One-off"),"Book - nothing in the diary",IF(AND(S43&lt;&gt;"",S43-TodayDate&lt;=RenewalWarningDays,S43&gt;=TodayDate),"Due - contract renews soon",IF(AP43="At risk","Call - going quiet",IF(AL43&gt;=2,"Check - complaints logged",IF(AND(AI43&lt;&gt;"",AI43&lt;MarginFloor,Y43&gt;0),"Check - thin margin","OK")))))))</f>
        <v>0</v>
      </c>
    </row>
    <row r="44" spans="1:45">
      <c r="A44" s="43">
        <f>IF(B44="","",ClientPrefix&amp;TEXT(ROW()-4,"0000"))</f>
        <v>0</v>
      </c>
      <c r="W44" s="31">
        <f>IF(A44="","",COUNTIFS(Properties!$C$5:$C$254,A44))</f>
        <v>0</v>
      </c>
      <c r="X44" s="31">
        <f>IF(A44="","",COUNTIFS(Jobs!$G$5:$G$604,A44))</f>
        <v>0</v>
      </c>
      <c r="Y44" s="31">
        <f>IF(A44="","",COUNTIFS(Jobs!$G$5:$G$604,A44,Jobs!$P$5:$P$604,"Completed")+COUNTIFS(Jobs!$G$5:$G$604,A44,Jobs!$P$5:$P$604,"Invoiced"))</f>
        <v>0</v>
      </c>
      <c r="Z44" s="31">
        <f>IF(A44="","",COUNTIFS(Jobs!$G$5:$G$604,A44,Jobs!$P$5:$P$604,"Cancelled")+COUNTIFS(Jobs!$G$5:$G$604,A44,Jobs!$P$5:$P$604,"No access"))</f>
        <v>0</v>
      </c>
      <c r="AA44" s="18">
        <f>IF(A44="","",IF(SUMPRODUCT(MAX((Jobs!$G$5:$G$604=A44)*((Jobs!$P$5:$P$604="Completed")+(Jobs!$P$5:$P$604="Invoiced"))*Jobs!$B$5:$B$604))=0,"",SUMPRODUCT(MAX((Jobs!$G$5:$G$604=A44)*((Jobs!$P$5:$P$604="Completed")+(Jobs!$P$5:$P$604="Invoiced"))*Jobs!$B$5:$B$604))))</f>
        <v>0</v>
      </c>
      <c r="AB44" s="31">
        <f>IF(AA44="","",TodayDate-AA44)</f>
        <v>0</v>
      </c>
      <c r="AC44" s="18">
        <f>IF(A44="","",IF(SUMPRODUCT(MIN((Jobs!$G$5:$G$604=A44)*(Jobs!$B$5:$B$604&gt;=TodayDate)*(Jobs!$P$5:$P$604&lt;&gt;"Cancelled")*Jobs!$B$5:$B$604+(1-(Jobs!$G$5:$G$604=A44)*(Jobs!$B$5:$B$604&gt;=TodayDate)*(Jobs!$P$5:$P$604&lt;&gt;"Cancelled"))*2958465))=2958465,"",SUMPRODUCT(MIN((Jobs!$G$5:$G$604=A44)*(Jobs!$B$5:$B$604&gt;=TodayDate)*(Jobs!$P$5:$P$604&lt;&gt;"Cancelled")*Jobs!$B$5:$B$604+(1-(Jobs!$G$5:$G$604=A44)*(Jobs!$B$5:$B$604&gt;=TodayDate)*(Jobs!$P$5:$P$604&lt;&gt;"Cancelled"))*2958465))))</f>
        <v>0</v>
      </c>
      <c r="AD44" s="21">
        <f>IF(A44="","",SUMIFS(Invoices!$V$5:$V$404,Invoices!$D$5:$D$404,A44))</f>
        <v>0</v>
      </c>
      <c r="AE44" s="21">
        <f>IF(A44="","",SUMIFS(Invoices!$W$5:$W$404,Invoices!$D$5:$D$404,A44))</f>
        <v>0</v>
      </c>
      <c r="AF44" s="21">
        <f>IF(A44="","",AD44-AE44)</f>
        <v>0</v>
      </c>
      <c r="AG44" s="21">
        <f>IF(OR(A44="",Y44=0),"",AD44/Y44)</f>
        <v>0</v>
      </c>
      <c r="AH44" s="21">
        <f>IF(A44="","",SUMIFS('Job Costing'!$U$5:$U$604,'Job Costing'!$D$5:$D$604,A44))</f>
        <v>0</v>
      </c>
      <c r="AI44" s="38">
        <f>IF(OR(A44="",AD44=0),"",AH44/AD44)</f>
        <v>0</v>
      </c>
      <c r="AJ44" s="21">
        <f>IF(OR(A44="",K44="",AG44=""),"",AG44*IFERROR(INDEX(FreqPerYear,MATCH(K44,FreqNames,0)),1))</f>
        <v>0</v>
      </c>
      <c r="AK44" s="34">
        <f>IF(A44="","",IFERROR(AVERAGEIFS(Jobs!$AA$5:$AA$604,Jobs!$G$5:$G$604,A44,Jobs!$AA$5:$AA$604,"&gt;0"),""))</f>
        <v>0</v>
      </c>
      <c r="AL44" s="31">
        <f>IF(A44="","",COUNTIFS(Complaints!$D$5:$D$84,A44))</f>
        <v>0</v>
      </c>
      <c r="AM44" s="31">
        <f>IF(B44="","",COUNTIFS($AD$5:$AD$204,"&gt;"&amp;AD44)+COUNTIFS($AD$5:AD44,AD44))</f>
        <v>0</v>
      </c>
      <c r="AN44" s="31">
        <f>IF(B44="","",COUNTIFS($AH$5:$AH$204,"&gt;"&amp;AH44)+COUNTIFS($AH$5:AH44,AH44))</f>
        <v>0</v>
      </c>
      <c r="AO44" s="31">
        <f>IF(B44="","",COUNTIFS($AJ$5:$AJ$204,"&gt;"&amp;AJ44)+COUNTIFS($AJ$5:AJ44,AJ44))</f>
        <v>0</v>
      </c>
      <c r="AP44" s="39">
        <f>IF(B44="","",IF(H44="Lost","Lost",IF(H44="Inactive","Dormant",IF(AA44="","Dormant",IF(AB44&gt;InactiveClientDays*2,"Dormant",IF(AB44&gt;InactiveClientDays,"At risk",IF(AC44="","Slipping",IF(Y44&gt;=10,"Loyal","Steady"))))))))</f>
        <v>0</v>
      </c>
      <c r="AQ44" s="34">
        <f>IF(OR(B44="",AP44="Lost",AP44="Dormant"),"",IF(OR(AP44="At risk",AP44="Slipping"),IF(AB44="",999,AB44),""))</f>
        <v>0</v>
      </c>
      <c r="AR44" s="31">
        <f>IF(AQ44="","",COUNTIFS($AQ$5:$AQ$204,"&gt;"&amp;AQ44)+COUNTIFS($AQ$5:AQ44,AQ44))</f>
        <v>0</v>
      </c>
      <c r="AS44" s="39">
        <f>IF(B44="","",IF(AF44&gt;0.5,"Chase - "&amp;TEXT(AF44,"0")&amp;" owing",IF(AND(H44&lt;&gt;"Lost",H44&lt;&gt;"Inactive",H44&lt;&gt;"Paused",AC44="",K44&lt;&gt;"One-off"),"Book - nothing in the diary",IF(AND(S44&lt;&gt;"",S44-TodayDate&lt;=RenewalWarningDays,S44&gt;=TodayDate),"Due - contract renews soon",IF(AP44="At risk","Call - going quiet",IF(AL44&gt;=2,"Check - complaints logged",IF(AND(AI44&lt;&gt;"",AI44&lt;MarginFloor,Y44&gt;0),"Check - thin margin","OK")))))))</f>
        <v>0</v>
      </c>
    </row>
    <row r="45" spans="1:45">
      <c r="A45" s="43">
        <f>IF(B45="","",ClientPrefix&amp;TEXT(ROW()-4,"0000"))</f>
        <v>0</v>
      </c>
      <c r="W45" s="31">
        <f>IF(A45="","",COUNTIFS(Properties!$C$5:$C$254,A45))</f>
        <v>0</v>
      </c>
      <c r="X45" s="31">
        <f>IF(A45="","",COUNTIFS(Jobs!$G$5:$G$604,A45))</f>
        <v>0</v>
      </c>
      <c r="Y45" s="31">
        <f>IF(A45="","",COUNTIFS(Jobs!$G$5:$G$604,A45,Jobs!$P$5:$P$604,"Completed")+COUNTIFS(Jobs!$G$5:$G$604,A45,Jobs!$P$5:$P$604,"Invoiced"))</f>
        <v>0</v>
      </c>
      <c r="Z45" s="31">
        <f>IF(A45="","",COUNTIFS(Jobs!$G$5:$G$604,A45,Jobs!$P$5:$P$604,"Cancelled")+COUNTIFS(Jobs!$G$5:$G$604,A45,Jobs!$P$5:$P$604,"No access"))</f>
        <v>0</v>
      </c>
      <c r="AA45" s="18">
        <f>IF(A45="","",IF(SUMPRODUCT(MAX((Jobs!$G$5:$G$604=A45)*((Jobs!$P$5:$P$604="Completed")+(Jobs!$P$5:$P$604="Invoiced"))*Jobs!$B$5:$B$604))=0,"",SUMPRODUCT(MAX((Jobs!$G$5:$G$604=A45)*((Jobs!$P$5:$P$604="Completed")+(Jobs!$P$5:$P$604="Invoiced"))*Jobs!$B$5:$B$604))))</f>
        <v>0</v>
      </c>
      <c r="AB45" s="31">
        <f>IF(AA45="","",TodayDate-AA45)</f>
        <v>0</v>
      </c>
      <c r="AC45" s="18">
        <f>IF(A45="","",IF(SUMPRODUCT(MIN((Jobs!$G$5:$G$604=A45)*(Jobs!$B$5:$B$604&gt;=TodayDate)*(Jobs!$P$5:$P$604&lt;&gt;"Cancelled")*Jobs!$B$5:$B$604+(1-(Jobs!$G$5:$G$604=A45)*(Jobs!$B$5:$B$604&gt;=TodayDate)*(Jobs!$P$5:$P$604&lt;&gt;"Cancelled"))*2958465))=2958465,"",SUMPRODUCT(MIN((Jobs!$G$5:$G$604=A45)*(Jobs!$B$5:$B$604&gt;=TodayDate)*(Jobs!$P$5:$P$604&lt;&gt;"Cancelled")*Jobs!$B$5:$B$604+(1-(Jobs!$G$5:$G$604=A45)*(Jobs!$B$5:$B$604&gt;=TodayDate)*(Jobs!$P$5:$P$604&lt;&gt;"Cancelled"))*2958465))))</f>
        <v>0</v>
      </c>
      <c r="AD45" s="21">
        <f>IF(A45="","",SUMIFS(Invoices!$V$5:$V$404,Invoices!$D$5:$D$404,A45))</f>
        <v>0</v>
      </c>
      <c r="AE45" s="21">
        <f>IF(A45="","",SUMIFS(Invoices!$W$5:$W$404,Invoices!$D$5:$D$404,A45))</f>
        <v>0</v>
      </c>
      <c r="AF45" s="21">
        <f>IF(A45="","",AD45-AE45)</f>
        <v>0</v>
      </c>
      <c r="AG45" s="21">
        <f>IF(OR(A45="",Y45=0),"",AD45/Y45)</f>
        <v>0</v>
      </c>
      <c r="AH45" s="21">
        <f>IF(A45="","",SUMIFS('Job Costing'!$U$5:$U$604,'Job Costing'!$D$5:$D$604,A45))</f>
        <v>0</v>
      </c>
      <c r="AI45" s="38">
        <f>IF(OR(A45="",AD45=0),"",AH45/AD45)</f>
        <v>0</v>
      </c>
      <c r="AJ45" s="21">
        <f>IF(OR(A45="",K45="",AG45=""),"",AG45*IFERROR(INDEX(FreqPerYear,MATCH(K45,FreqNames,0)),1))</f>
        <v>0</v>
      </c>
      <c r="AK45" s="34">
        <f>IF(A45="","",IFERROR(AVERAGEIFS(Jobs!$AA$5:$AA$604,Jobs!$G$5:$G$604,A45,Jobs!$AA$5:$AA$604,"&gt;0"),""))</f>
        <v>0</v>
      </c>
      <c r="AL45" s="31">
        <f>IF(A45="","",COUNTIFS(Complaints!$D$5:$D$84,A45))</f>
        <v>0</v>
      </c>
      <c r="AM45" s="31">
        <f>IF(B45="","",COUNTIFS($AD$5:$AD$204,"&gt;"&amp;AD45)+COUNTIFS($AD$5:AD45,AD45))</f>
        <v>0</v>
      </c>
      <c r="AN45" s="31">
        <f>IF(B45="","",COUNTIFS($AH$5:$AH$204,"&gt;"&amp;AH45)+COUNTIFS($AH$5:AH45,AH45))</f>
        <v>0</v>
      </c>
      <c r="AO45" s="31">
        <f>IF(B45="","",COUNTIFS($AJ$5:$AJ$204,"&gt;"&amp;AJ45)+COUNTIFS($AJ$5:AJ45,AJ45))</f>
        <v>0</v>
      </c>
      <c r="AP45" s="39">
        <f>IF(B45="","",IF(H45="Lost","Lost",IF(H45="Inactive","Dormant",IF(AA45="","Dormant",IF(AB45&gt;InactiveClientDays*2,"Dormant",IF(AB45&gt;InactiveClientDays,"At risk",IF(AC45="","Slipping",IF(Y45&gt;=10,"Loyal","Steady"))))))))</f>
        <v>0</v>
      </c>
      <c r="AQ45" s="34">
        <f>IF(OR(B45="",AP45="Lost",AP45="Dormant"),"",IF(OR(AP45="At risk",AP45="Slipping"),IF(AB45="",999,AB45),""))</f>
        <v>0</v>
      </c>
      <c r="AR45" s="31">
        <f>IF(AQ45="","",COUNTIFS($AQ$5:$AQ$204,"&gt;"&amp;AQ45)+COUNTIFS($AQ$5:AQ45,AQ45))</f>
        <v>0</v>
      </c>
      <c r="AS45" s="39">
        <f>IF(B45="","",IF(AF45&gt;0.5,"Chase - "&amp;TEXT(AF45,"0")&amp;" owing",IF(AND(H45&lt;&gt;"Lost",H45&lt;&gt;"Inactive",H45&lt;&gt;"Paused",AC45="",K45&lt;&gt;"One-off"),"Book - nothing in the diary",IF(AND(S45&lt;&gt;"",S45-TodayDate&lt;=RenewalWarningDays,S45&gt;=TodayDate),"Due - contract renews soon",IF(AP45="At risk","Call - going quiet",IF(AL45&gt;=2,"Check - complaints logged",IF(AND(AI45&lt;&gt;"",AI45&lt;MarginFloor,Y45&gt;0),"Check - thin margin","OK")))))))</f>
        <v>0</v>
      </c>
    </row>
    <row r="46" spans="1:45">
      <c r="A46" s="43">
        <f>IF(B46="","",ClientPrefix&amp;TEXT(ROW()-4,"0000"))</f>
        <v>0</v>
      </c>
      <c r="W46" s="31">
        <f>IF(A46="","",COUNTIFS(Properties!$C$5:$C$254,A46))</f>
        <v>0</v>
      </c>
      <c r="X46" s="31">
        <f>IF(A46="","",COUNTIFS(Jobs!$G$5:$G$604,A46))</f>
        <v>0</v>
      </c>
      <c r="Y46" s="31">
        <f>IF(A46="","",COUNTIFS(Jobs!$G$5:$G$604,A46,Jobs!$P$5:$P$604,"Completed")+COUNTIFS(Jobs!$G$5:$G$604,A46,Jobs!$P$5:$P$604,"Invoiced"))</f>
        <v>0</v>
      </c>
      <c r="Z46" s="31">
        <f>IF(A46="","",COUNTIFS(Jobs!$G$5:$G$604,A46,Jobs!$P$5:$P$604,"Cancelled")+COUNTIFS(Jobs!$G$5:$G$604,A46,Jobs!$P$5:$P$604,"No access"))</f>
        <v>0</v>
      </c>
      <c r="AA46" s="18">
        <f>IF(A46="","",IF(SUMPRODUCT(MAX((Jobs!$G$5:$G$604=A46)*((Jobs!$P$5:$P$604="Completed")+(Jobs!$P$5:$P$604="Invoiced"))*Jobs!$B$5:$B$604))=0,"",SUMPRODUCT(MAX((Jobs!$G$5:$G$604=A46)*((Jobs!$P$5:$P$604="Completed")+(Jobs!$P$5:$P$604="Invoiced"))*Jobs!$B$5:$B$604))))</f>
        <v>0</v>
      </c>
      <c r="AB46" s="31">
        <f>IF(AA46="","",TodayDate-AA46)</f>
        <v>0</v>
      </c>
      <c r="AC46" s="18">
        <f>IF(A46="","",IF(SUMPRODUCT(MIN((Jobs!$G$5:$G$604=A46)*(Jobs!$B$5:$B$604&gt;=TodayDate)*(Jobs!$P$5:$P$604&lt;&gt;"Cancelled")*Jobs!$B$5:$B$604+(1-(Jobs!$G$5:$G$604=A46)*(Jobs!$B$5:$B$604&gt;=TodayDate)*(Jobs!$P$5:$P$604&lt;&gt;"Cancelled"))*2958465))=2958465,"",SUMPRODUCT(MIN((Jobs!$G$5:$G$604=A46)*(Jobs!$B$5:$B$604&gt;=TodayDate)*(Jobs!$P$5:$P$604&lt;&gt;"Cancelled")*Jobs!$B$5:$B$604+(1-(Jobs!$G$5:$G$604=A46)*(Jobs!$B$5:$B$604&gt;=TodayDate)*(Jobs!$P$5:$P$604&lt;&gt;"Cancelled"))*2958465))))</f>
        <v>0</v>
      </c>
      <c r="AD46" s="21">
        <f>IF(A46="","",SUMIFS(Invoices!$V$5:$V$404,Invoices!$D$5:$D$404,A46))</f>
        <v>0</v>
      </c>
      <c r="AE46" s="21">
        <f>IF(A46="","",SUMIFS(Invoices!$W$5:$W$404,Invoices!$D$5:$D$404,A46))</f>
        <v>0</v>
      </c>
      <c r="AF46" s="21">
        <f>IF(A46="","",AD46-AE46)</f>
        <v>0</v>
      </c>
      <c r="AG46" s="21">
        <f>IF(OR(A46="",Y46=0),"",AD46/Y46)</f>
        <v>0</v>
      </c>
      <c r="AH46" s="21">
        <f>IF(A46="","",SUMIFS('Job Costing'!$U$5:$U$604,'Job Costing'!$D$5:$D$604,A46))</f>
        <v>0</v>
      </c>
      <c r="AI46" s="38">
        <f>IF(OR(A46="",AD46=0),"",AH46/AD46)</f>
        <v>0</v>
      </c>
      <c r="AJ46" s="21">
        <f>IF(OR(A46="",K46="",AG46=""),"",AG46*IFERROR(INDEX(FreqPerYear,MATCH(K46,FreqNames,0)),1))</f>
        <v>0</v>
      </c>
      <c r="AK46" s="34">
        <f>IF(A46="","",IFERROR(AVERAGEIFS(Jobs!$AA$5:$AA$604,Jobs!$G$5:$G$604,A46,Jobs!$AA$5:$AA$604,"&gt;0"),""))</f>
        <v>0</v>
      </c>
      <c r="AL46" s="31">
        <f>IF(A46="","",COUNTIFS(Complaints!$D$5:$D$84,A46))</f>
        <v>0</v>
      </c>
      <c r="AM46" s="31">
        <f>IF(B46="","",COUNTIFS($AD$5:$AD$204,"&gt;"&amp;AD46)+COUNTIFS($AD$5:AD46,AD46))</f>
        <v>0</v>
      </c>
      <c r="AN46" s="31">
        <f>IF(B46="","",COUNTIFS($AH$5:$AH$204,"&gt;"&amp;AH46)+COUNTIFS($AH$5:AH46,AH46))</f>
        <v>0</v>
      </c>
      <c r="AO46" s="31">
        <f>IF(B46="","",COUNTIFS($AJ$5:$AJ$204,"&gt;"&amp;AJ46)+COUNTIFS($AJ$5:AJ46,AJ46))</f>
        <v>0</v>
      </c>
      <c r="AP46" s="39">
        <f>IF(B46="","",IF(H46="Lost","Lost",IF(H46="Inactive","Dormant",IF(AA46="","Dormant",IF(AB46&gt;InactiveClientDays*2,"Dormant",IF(AB46&gt;InactiveClientDays,"At risk",IF(AC46="","Slipping",IF(Y46&gt;=10,"Loyal","Steady"))))))))</f>
        <v>0</v>
      </c>
      <c r="AQ46" s="34">
        <f>IF(OR(B46="",AP46="Lost",AP46="Dormant"),"",IF(OR(AP46="At risk",AP46="Slipping"),IF(AB46="",999,AB46),""))</f>
        <v>0</v>
      </c>
      <c r="AR46" s="31">
        <f>IF(AQ46="","",COUNTIFS($AQ$5:$AQ$204,"&gt;"&amp;AQ46)+COUNTIFS($AQ$5:AQ46,AQ46))</f>
        <v>0</v>
      </c>
      <c r="AS46" s="39">
        <f>IF(B46="","",IF(AF46&gt;0.5,"Chase - "&amp;TEXT(AF46,"0")&amp;" owing",IF(AND(H46&lt;&gt;"Lost",H46&lt;&gt;"Inactive",H46&lt;&gt;"Paused",AC46="",K46&lt;&gt;"One-off"),"Book - nothing in the diary",IF(AND(S46&lt;&gt;"",S46-TodayDate&lt;=RenewalWarningDays,S46&gt;=TodayDate),"Due - contract renews soon",IF(AP46="At risk","Call - going quiet",IF(AL46&gt;=2,"Check - complaints logged",IF(AND(AI46&lt;&gt;"",AI46&lt;MarginFloor,Y46&gt;0),"Check - thin margin","OK")))))))</f>
        <v>0</v>
      </c>
    </row>
    <row r="47" spans="1:45">
      <c r="A47" s="43">
        <f>IF(B47="","",ClientPrefix&amp;TEXT(ROW()-4,"0000"))</f>
        <v>0</v>
      </c>
      <c r="W47" s="31">
        <f>IF(A47="","",COUNTIFS(Properties!$C$5:$C$254,A47))</f>
        <v>0</v>
      </c>
      <c r="X47" s="31">
        <f>IF(A47="","",COUNTIFS(Jobs!$G$5:$G$604,A47))</f>
        <v>0</v>
      </c>
      <c r="Y47" s="31">
        <f>IF(A47="","",COUNTIFS(Jobs!$G$5:$G$604,A47,Jobs!$P$5:$P$604,"Completed")+COUNTIFS(Jobs!$G$5:$G$604,A47,Jobs!$P$5:$P$604,"Invoiced"))</f>
        <v>0</v>
      </c>
      <c r="Z47" s="31">
        <f>IF(A47="","",COUNTIFS(Jobs!$G$5:$G$604,A47,Jobs!$P$5:$P$604,"Cancelled")+COUNTIFS(Jobs!$G$5:$G$604,A47,Jobs!$P$5:$P$604,"No access"))</f>
        <v>0</v>
      </c>
      <c r="AA47" s="18">
        <f>IF(A47="","",IF(SUMPRODUCT(MAX((Jobs!$G$5:$G$604=A47)*((Jobs!$P$5:$P$604="Completed")+(Jobs!$P$5:$P$604="Invoiced"))*Jobs!$B$5:$B$604))=0,"",SUMPRODUCT(MAX((Jobs!$G$5:$G$604=A47)*((Jobs!$P$5:$P$604="Completed")+(Jobs!$P$5:$P$604="Invoiced"))*Jobs!$B$5:$B$604))))</f>
        <v>0</v>
      </c>
      <c r="AB47" s="31">
        <f>IF(AA47="","",TodayDate-AA47)</f>
        <v>0</v>
      </c>
      <c r="AC47" s="18">
        <f>IF(A47="","",IF(SUMPRODUCT(MIN((Jobs!$G$5:$G$604=A47)*(Jobs!$B$5:$B$604&gt;=TodayDate)*(Jobs!$P$5:$P$604&lt;&gt;"Cancelled")*Jobs!$B$5:$B$604+(1-(Jobs!$G$5:$G$604=A47)*(Jobs!$B$5:$B$604&gt;=TodayDate)*(Jobs!$P$5:$P$604&lt;&gt;"Cancelled"))*2958465))=2958465,"",SUMPRODUCT(MIN((Jobs!$G$5:$G$604=A47)*(Jobs!$B$5:$B$604&gt;=TodayDate)*(Jobs!$P$5:$P$604&lt;&gt;"Cancelled")*Jobs!$B$5:$B$604+(1-(Jobs!$G$5:$G$604=A47)*(Jobs!$B$5:$B$604&gt;=TodayDate)*(Jobs!$P$5:$P$604&lt;&gt;"Cancelled"))*2958465))))</f>
        <v>0</v>
      </c>
      <c r="AD47" s="21">
        <f>IF(A47="","",SUMIFS(Invoices!$V$5:$V$404,Invoices!$D$5:$D$404,A47))</f>
        <v>0</v>
      </c>
      <c r="AE47" s="21">
        <f>IF(A47="","",SUMIFS(Invoices!$W$5:$W$404,Invoices!$D$5:$D$404,A47))</f>
        <v>0</v>
      </c>
      <c r="AF47" s="21">
        <f>IF(A47="","",AD47-AE47)</f>
        <v>0</v>
      </c>
      <c r="AG47" s="21">
        <f>IF(OR(A47="",Y47=0),"",AD47/Y47)</f>
        <v>0</v>
      </c>
      <c r="AH47" s="21">
        <f>IF(A47="","",SUMIFS('Job Costing'!$U$5:$U$604,'Job Costing'!$D$5:$D$604,A47))</f>
        <v>0</v>
      </c>
      <c r="AI47" s="38">
        <f>IF(OR(A47="",AD47=0),"",AH47/AD47)</f>
        <v>0</v>
      </c>
      <c r="AJ47" s="21">
        <f>IF(OR(A47="",K47="",AG47=""),"",AG47*IFERROR(INDEX(FreqPerYear,MATCH(K47,FreqNames,0)),1))</f>
        <v>0</v>
      </c>
      <c r="AK47" s="34">
        <f>IF(A47="","",IFERROR(AVERAGEIFS(Jobs!$AA$5:$AA$604,Jobs!$G$5:$G$604,A47,Jobs!$AA$5:$AA$604,"&gt;0"),""))</f>
        <v>0</v>
      </c>
      <c r="AL47" s="31">
        <f>IF(A47="","",COUNTIFS(Complaints!$D$5:$D$84,A47))</f>
        <v>0</v>
      </c>
      <c r="AM47" s="31">
        <f>IF(B47="","",COUNTIFS($AD$5:$AD$204,"&gt;"&amp;AD47)+COUNTIFS($AD$5:AD47,AD47))</f>
        <v>0</v>
      </c>
      <c r="AN47" s="31">
        <f>IF(B47="","",COUNTIFS($AH$5:$AH$204,"&gt;"&amp;AH47)+COUNTIFS($AH$5:AH47,AH47))</f>
        <v>0</v>
      </c>
      <c r="AO47" s="31">
        <f>IF(B47="","",COUNTIFS($AJ$5:$AJ$204,"&gt;"&amp;AJ47)+COUNTIFS($AJ$5:AJ47,AJ47))</f>
        <v>0</v>
      </c>
      <c r="AP47" s="39">
        <f>IF(B47="","",IF(H47="Lost","Lost",IF(H47="Inactive","Dormant",IF(AA47="","Dormant",IF(AB47&gt;InactiveClientDays*2,"Dormant",IF(AB47&gt;InactiveClientDays,"At risk",IF(AC47="","Slipping",IF(Y47&gt;=10,"Loyal","Steady"))))))))</f>
        <v>0</v>
      </c>
      <c r="AQ47" s="34">
        <f>IF(OR(B47="",AP47="Lost",AP47="Dormant"),"",IF(OR(AP47="At risk",AP47="Slipping"),IF(AB47="",999,AB47),""))</f>
        <v>0</v>
      </c>
      <c r="AR47" s="31">
        <f>IF(AQ47="","",COUNTIFS($AQ$5:$AQ$204,"&gt;"&amp;AQ47)+COUNTIFS($AQ$5:AQ47,AQ47))</f>
        <v>0</v>
      </c>
      <c r="AS47" s="39">
        <f>IF(B47="","",IF(AF47&gt;0.5,"Chase - "&amp;TEXT(AF47,"0")&amp;" owing",IF(AND(H47&lt;&gt;"Lost",H47&lt;&gt;"Inactive",H47&lt;&gt;"Paused",AC47="",K47&lt;&gt;"One-off"),"Book - nothing in the diary",IF(AND(S47&lt;&gt;"",S47-TodayDate&lt;=RenewalWarningDays,S47&gt;=TodayDate),"Due - contract renews soon",IF(AP47="At risk","Call - going quiet",IF(AL47&gt;=2,"Check - complaints logged",IF(AND(AI47&lt;&gt;"",AI47&lt;MarginFloor,Y47&gt;0),"Check - thin margin","OK")))))))</f>
        <v>0</v>
      </c>
    </row>
    <row r="48" spans="1:45">
      <c r="A48" s="43">
        <f>IF(B48="","",ClientPrefix&amp;TEXT(ROW()-4,"0000"))</f>
        <v>0</v>
      </c>
      <c r="W48" s="31">
        <f>IF(A48="","",COUNTIFS(Properties!$C$5:$C$254,A48))</f>
        <v>0</v>
      </c>
      <c r="X48" s="31">
        <f>IF(A48="","",COUNTIFS(Jobs!$G$5:$G$604,A48))</f>
        <v>0</v>
      </c>
      <c r="Y48" s="31">
        <f>IF(A48="","",COUNTIFS(Jobs!$G$5:$G$604,A48,Jobs!$P$5:$P$604,"Completed")+COUNTIFS(Jobs!$G$5:$G$604,A48,Jobs!$P$5:$P$604,"Invoiced"))</f>
        <v>0</v>
      </c>
      <c r="Z48" s="31">
        <f>IF(A48="","",COUNTIFS(Jobs!$G$5:$G$604,A48,Jobs!$P$5:$P$604,"Cancelled")+COUNTIFS(Jobs!$G$5:$G$604,A48,Jobs!$P$5:$P$604,"No access"))</f>
        <v>0</v>
      </c>
      <c r="AA48" s="18">
        <f>IF(A48="","",IF(SUMPRODUCT(MAX((Jobs!$G$5:$G$604=A48)*((Jobs!$P$5:$P$604="Completed")+(Jobs!$P$5:$P$604="Invoiced"))*Jobs!$B$5:$B$604))=0,"",SUMPRODUCT(MAX((Jobs!$G$5:$G$604=A48)*((Jobs!$P$5:$P$604="Completed")+(Jobs!$P$5:$P$604="Invoiced"))*Jobs!$B$5:$B$604))))</f>
        <v>0</v>
      </c>
      <c r="AB48" s="31">
        <f>IF(AA48="","",TodayDate-AA48)</f>
        <v>0</v>
      </c>
      <c r="AC48" s="18">
        <f>IF(A48="","",IF(SUMPRODUCT(MIN((Jobs!$G$5:$G$604=A48)*(Jobs!$B$5:$B$604&gt;=TodayDate)*(Jobs!$P$5:$P$604&lt;&gt;"Cancelled")*Jobs!$B$5:$B$604+(1-(Jobs!$G$5:$G$604=A48)*(Jobs!$B$5:$B$604&gt;=TodayDate)*(Jobs!$P$5:$P$604&lt;&gt;"Cancelled"))*2958465))=2958465,"",SUMPRODUCT(MIN((Jobs!$G$5:$G$604=A48)*(Jobs!$B$5:$B$604&gt;=TodayDate)*(Jobs!$P$5:$P$604&lt;&gt;"Cancelled")*Jobs!$B$5:$B$604+(1-(Jobs!$G$5:$G$604=A48)*(Jobs!$B$5:$B$604&gt;=TodayDate)*(Jobs!$P$5:$P$604&lt;&gt;"Cancelled"))*2958465))))</f>
        <v>0</v>
      </c>
      <c r="AD48" s="21">
        <f>IF(A48="","",SUMIFS(Invoices!$V$5:$V$404,Invoices!$D$5:$D$404,A48))</f>
        <v>0</v>
      </c>
      <c r="AE48" s="21">
        <f>IF(A48="","",SUMIFS(Invoices!$W$5:$W$404,Invoices!$D$5:$D$404,A48))</f>
        <v>0</v>
      </c>
      <c r="AF48" s="21">
        <f>IF(A48="","",AD48-AE48)</f>
        <v>0</v>
      </c>
      <c r="AG48" s="21">
        <f>IF(OR(A48="",Y48=0),"",AD48/Y48)</f>
        <v>0</v>
      </c>
      <c r="AH48" s="21">
        <f>IF(A48="","",SUMIFS('Job Costing'!$U$5:$U$604,'Job Costing'!$D$5:$D$604,A48))</f>
        <v>0</v>
      </c>
      <c r="AI48" s="38">
        <f>IF(OR(A48="",AD48=0),"",AH48/AD48)</f>
        <v>0</v>
      </c>
      <c r="AJ48" s="21">
        <f>IF(OR(A48="",K48="",AG48=""),"",AG48*IFERROR(INDEX(FreqPerYear,MATCH(K48,FreqNames,0)),1))</f>
        <v>0</v>
      </c>
      <c r="AK48" s="34">
        <f>IF(A48="","",IFERROR(AVERAGEIFS(Jobs!$AA$5:$AA$604,Jobs!$G$5:$G$604,A48,Jobs!$AA$5:$AA$604,"&gt;0"),""))</f>
        <v>0</v>
      </c>
      <c r="AL48" s="31">
        <f>IF(A48="","",COUNTIFS(Complaints!$D$5:$D$84,A48))</f>
        <v>0</v>
      </c>
      <c r="AM48" s="31">
        <f>IF(B48="","",COUNTIFS($AD$5:$AD$204,"&gt;"&amp;AD48)+COUNTIFS($AD$5:AD48,AD48))</f>
        <v>0</v>
      </c>
      <c r="AN48" s="31">
        <f>IF(B48="","",COUNTIFS($AH$5:$AH$204,"&gt;"&amp;AH48)+COUNTIFS($AH$5:AH48,AH48))</f>
        <v>0</v>
      </c>
      <c r="AO48" s="31">
        <f>IF(B48="","",COUNTIFS($AJ$5:$AJ$204,"&gt;"&amp;AJ48)+COUNTIFS($AJ$5:AJ48,AJ48))</f>
        <v>0</v>
      </c>
      <c r="AP48" s="39">
        <f>IF(B48="","",IF(H48="Lost","Lost",IF(H48="Inactive","Dormant",IF(AA48="","Dormant",IF(AB48&gt;InactiveClientDays*2,"Dormant",IF(AB48&gt;InactiveClientDays,"At risk",IF(AC48="","Slipping",IF(Y48&gt;=10,"Loyal","Steady"))))))))</f>
        <v>0</v>
      </c>
      <c r="AQ48" s="34">
        <f>IF(OR(B48="",AP48="Lost",AP48="Dormant"),"",IF(OR(AP48="At risk",AP48="Slipping"),IF(AB48="",999,AB48),""))</f>
        <v>0</v>
      </c>
      <c r="AR48" s="31">
        <f>IF(AQ48="","",COUNTIFS($AQ$5:$AQ$204,"&gt;"&amp;AQ48)+COUNTIFS($AQ$5:AQ48,AQ48))</f>
        <v>0</v>
      </c>
      <c r="AS48" s="39">
        <f>IF(B48="","",IF(AF48&gt;0.5,"Chase - "&amp;TEXT(AF48,"0")&amp;" owing",IF(AND(H48&lt;&gt;"Lost",H48&lt;&gt;"Inactive",H48&lt;&gt;"Paused",AC48="",K48&lt;&gt;"One-off"),"Book - nothing in the diary",IF(AND(S48&lt;&gt;"",S48-TodayDate&lt;=RenewalWarningDays,S48&gt;=TodayDate),"Due - contract renews soon",IF(AP48="At risk","Call - going quiet",IF(AL48&gt;=2,"Check - complaints logged",IF(AND(AI48&lt;&gt;"",AI48&lt;MarginFloor,Y48&gt;0),"Check - thin margin","OK")))))))</f>
        <v>0</v>
      </c>
    </row>
    <row r="49" spans="1:45">
      <c r="A49" s="43">
        <f>IF(B49="","",ClientPrefix&amp;TEXT(ROW()-4,"0000"))</f>
        <v>0</v>
      </c>
      <c r="W49" s="31">
        <f>IF(A49="","",COUNTIFS(Properties!$C$5:$C$254,A49))</f>
        <v>0</v>
      </c>
      <c r="X49" s="31">
        <f>IF(A49="","",COUNTIFS(Jobs!$G$5:$G$604,A49))</f>
        <v>0</v>
      </c>
      <c r="Y49" s="31">
        <f>IF(A49="","",COUNTIFS(Jobs!$G$5:$G$604,A49,Jobs!$P$5:$P$604,"Completed")+COUNTIFS(Jobs!$G$5:$G$604,A49,Jobs!$P$5:$P$604,"Invoiced"))</f>
        <v>0</v>
      </c>
      <c r="Z49" s="31">
        <f>IF(A49="","",COUNTIFS(Jobs!$G$5:$G$604,A49,Jobs!$P$5:$P$604,"Cancelled")+COUNTIFS(Jobs!$G$5:$G$604,A49,Jobs!$P$5:$P$604,"No access"))</f>
        <v>0</v>
      </c>
      <c r="AA49" s="18">
        <f>IF(A49="","",IF(SUMPRODUCT(MAX((Jobs!$G$5:$G$604=A49)*((Jobs!$P$5:$P$604="Completed")+(Jobs!$P$5:$P$604="Invoiced"))*Jobs!$B$5:$B$604))=0,"",SUMPRODUCT(MAX((Jobs!$G$5:$G$604=A49)*((Jobs!$P$5:$P$604="Completed")+(Jobs!$P$5:$P$604="Invoiced"))*Jobs!$B$5:$B$604))))</f>
        <v>0</v>
      </c>
      <c r="AB49" s="31">
        <f>IF(AA49="","",TodayDate-AA49)</f>
        <v>0</v>
      </c>
      <c r="AC49" s="18">
        <f>IF(A49="","",IF(SUMPRODUCT(MIN((Jobs!$G$5:$G$604=A49)*(Jobs!$B$5:$B$604&gt;=TodayDate)*(Jobs!$P$5:$P$604&lt;&gt;"Cancelled")*Jobs!$B$5:$B$604+(1-(Jobs!$G$5:$G$604=A49)*(Jobs!$B$5:$B$604&gt;=TodayDate)*(Jobs!$P$5:$P$604&lt;&gt;"Cancelled"))*2958465))=2958465,"",SUMPRODUCT(MIN((Jobs!$G$5:$G$604=A49)*(Jobs!$B$5:$B$604&gt;=TodayDate)*(Jobs!$P$5:$P$604&lt;&gt;"Cancelled")*Jobs!$B$5:$B$604+(1-(Jobs!$G$5:$G$604=A49)*(Jobs!$B$5:$B$604&gt;=TodayDate)*(Jobs!$P$5:$P$604&lt;&gt;"Cancelled"))*2958465))))</f>
        <v>0</v>
      </c>
      <c r="AD49" s="21">
        <f>IF(A49="","",SUMIFS(Invoices!$V$5:$V$404,Invoices!$D$5:$D$404,A49))</f>
        <v>0</v>
      </c>
      <c r="AE49" s="21">
        <f>IF(A49="","",SUMIFS(Invoices!$W$5:$W$404,Invoices!$D$5:$D$404,A49))</f>
        <v>0</v>
      </c>
      <c r="AF49" s="21">
        <f>IF(A49="","",AD49-AE49)</f>
        <v>0</v>
      </c>
      <c r="AG49" s="21">
        <f>IF(OR(A49="",Y49=0),"",AD49/Y49)</f>
        <v>0</v>
      </c>
      <c r="AH49" s="21">
        <f>IF(A49="","",SUMIFS('Job Costing'!$U$5:$U$604,'Job Costing'!$D$5:$D$604,A49))</f>
        <v>0</v>
      </c>
      <c r="AI49" s="38">
        <f>IF(OR(A49="",AD49=0),"",AH49/AD49)</f>
        <v>0</v>
      </c>
      <c r="AJ49" s="21">
        <f>IF(OR(A49="",K49="",AG49=""),"",AG49*IFERROR(INDEX(FreqPerYear,MATCH(K49,FreqNames,0)),1))</f>
        <v>0</v>
      </c>
      <c r="AK49" s="34">
        <f>IF(A49="","",IFERROR(AVERAGEIFS(Jobs!$AA$5:$AA$604,Jobs!$G$5:$G$604,A49,Jobs!$AA$5:$AA$604,"&gt;0"),""))</f>
        <v>0</v>
      </c>
      <c r="AL49" s="31">
        <f>IF(A49="","",COUNTIFS(Complaints!$D$5:$D$84,A49))</f>
        <v>0</v>
      </c>
      <c r="AM49" s="31">
        <f>IF(B49="","",COUNTIFS($AD$5:$AD$204,"&gt;"&amp;AD49)+COUNTIFS($AD$5:AD49,AD49))</f>
        <v>0</v>
      </c>
      <c r="AN49" s="31">
        <f>IF(B49="","",COUNTIFS($AH$5:$AH$204,"&gt;"&amp;AH49)+COUNTIFS($AH$5:AH49,AH49))</f>
        <v>0</v>
      </c>
      <c r="AO49" s="31">
        <f>IF(B49="","",COUNTIFS($AJ$5:$AJ$204,"&gt;"&amp;AJ49)+COUNTIFS($AJ$5:AJ49,AJ49))</f>
        <v>0</v>
      </c>
      <c r="AP49" s="39">
        <f>IF(B49="","",IF(H49="Lost","Lost",IF(H49="Inactive","Dormant",IF(AA49="","Dormant",IF(AB49&gt;InactiveClientDays*2,"Dormant",IF(AB49&gt;InactiveClientDays,"At risk",IF(AC49="","Slipping",IF(Y49&gt;=10,"Loyal","Steady"))))))))</f>
        <v>0</v>
      </c>
      <c r="AQ49" s="34">
        <f>IF(OR(B49="",AP49="Lost",AP49="Dormant"),"",IF(OR(AP49="At risk",AP49="Slipping"),IF(AB49="",999,AB49),""))</f>
        <v>0</v>
      </c>
      <c r="AR49" s="31">
        <f>IF(AQ49="","",COUNTIFS($AQ$5:$AQ$204,"&gt;"&amp;AQ49)+COUNTIFS($AQ$5:AQ49,AQ49))</f>
        <v>0</v>
      </c>
      <c r="AS49" s="39">
        <f>IF(B49="","",IF(AF49&gt;0.5,"Chase - "&amp;TEXT(AF49,"0")&amp;" owing",IF(AND(H49&lt;&gt;"Lost",H49&lt;&gt;"Inactive",H49&lt;&gt;"Paused",AC49="",K49&lt;&gt;"One-off"),"Book - nothing in the diary",IF(AND(S49&lt;&gt;"",S49-TodayDate&lt;=RenewalWarningDays,S49&gt;=TodayDate),"Due - contract renews soon",IF(AP49="At risk","Call - going quiet",IF(AL49&gt;=2,"Check - complaints logged",IF(AND(AI49&lt;&gt;"",AI49&lt;MarginFloor,Y49&gt;0),"Check - thin margin","OK")))))))</f>
        <v>0</v>
      </c>
    </row>
    <row r="50" spans="1:45">
      <c r="A50" s="43">
        <f>IF(B50="","",ClientPrefix&amp;TEXT(ROW()-4,"0000"))</f>
        <v>0</v>
      </c>
      <c r="W50" s="31">
        <f>IF(A50="","",COUNTIFS(Properties!$C$5:$C$254,A50))</f>
        <v>0</v>
      </c>
      <c r="X50" s="31">
        <f>IF(A50="","",COUNTIFS(Jobs!$G$5:$G$604,A50))</f>
        <v>0</v>
      </c>
      <c r="Y50" s="31">
        <f>IF(A50="","",COUNTIFS(Jobs!$G$5:$G$604,A50,Jobs!$P$5:$P$604,"Completed")+COUNTIFS(Jobs!$G$5:$G$604,A50,Jobs!$P$5:$P$604,"Invoiced"))</f>
        <v>0</v>
      </c>
      <c r="Z50" s="31">
        <f>IF(A50="","",COUNTIFS(Jobs!$G$5:$G$604,A50,Jobs!$P$5:$P$604,"Cancelled")+COUNTIFS(Jobs!$G$5:$G$604,A50,Jobs!$P$5:$P$604,"No access"))</f>
        <v>0</v>
      </c>
      <c r="AA50" s="18">
        <f>IF(A50="","",IF(SUMPRODUCT(MAX((Jobs!$G$5:$G$604=A50)*((Jobs!$P$5:$P$604="Completed")+(Jobs!$P$5:$P$604="Invoiced"))*Jobs!$B$5:$B$604))=0,"",SUMPRODUCT(MAX((Jobs!$G$5:$G$604=A50)*((Jobs!$P$5:$P$604="Completed")+(Jobs!$P$5:$P$604="Invoiced"))*Jobs!$B$5:$B$604))))</f>
        <v>0</v>
      </c>
      <c r="AB50" s="31">
        <f>IF(AA50="","",TodayDate-AA50)</f>
        <v>0</v>
      </c>
      <c r="AC50" s="18">
        <f>IF(A50="","",IF(SUMPRODUCT(MIN((Jobs!$G$5:$G$604=A50)*(Jobs!$B$5:$B$604&gt;=TodayDate)*(Jobs!$P$5:$P$604&lt;&gt;"Cancelled")*Jobs!$B$5:$B$604+(1-(Jobs!$G$5:$G$604=A50)*(Jobs!$B$5:$B$604&gt;=TodayDate)*(Jobs!$P$5:$P$604&lt;&gt;"Cancelled"))*2958465))=2958465,"",SUMPRODUCT(MIN((Jobs!$G$5:$G$604=A50)*(Jobs!$B$5:$B$604&gt;=TodayDate)*(Jobs!$P$5:$P$604&lt;&gt;"Cancelled")*Jobs!$B$5:$B$604+(1-(Jobs!$G$5:$G$604=A50)*(Jobs!$B$5:$B$604&gt;=TodayDate)*(Jobs!$P$5:$P$604&lt;&gt;"Cancelled"))*2958465))))</f>
        <v>0</v>
      </c>
      <c r="AD50" s="21">
        <f>IF(A50="","",SUMIFS(Invoices!$V$5:$V$404,Invoices!$D$5:$D$404,A50))</f>
        <v>0</v>
      </c>
      <c r="AE50" s="21">
        <f>IF(A50="","",SUMIFS(Invoices!$W$5:$W$404,Invoices!$D$5:$D$404,A50))</f>
        <v>0</v>
      </c>
      <c r="AF50" s="21">
        <f>IF(A50="","",AD50-AE50)</f>
        <v>0</v>
      </c>
      <c r="AG50" s="21">
        <f>IF(OR(A50="",Y50=0),"",AD50/Y50)</f>
        <v>0</v>
      </c>
      <c r="AH50" s="21">
        <f>IF(A50="","",SUMIFS('Job Costing'!$U$5:$U$604,'Job Costing'!$D$5:$D$604,A50))</f>
        <v>0</v>
      </c>
      <c r="AI50" s="38">
        <f>IF(OR(A50="",AD50=0),"",AH50/AD50)</f>
        <v>0</v>
      </c>
      <c r="AJ50" s="21">
        <f>IF(OR(A50="",K50="",AG50=""),"",AG50*IFERROR(INDEX(FreqPerYear,MATCH(K50,FreqNames,0)),1))</f>
        <v>0</v>
      </c>
      <c r="AK50" s="34">
        <f>IF(A50="","",IFERROR(AVERAGEIFS(Jobs!$AA$5:$AA$604,Jobs!$G$5:$G$604,A50,Jobs!$AA$5:$AA$604,"&gt;0"),""))</f>
        <v>0</v>
      </c>
      <c r="AL50" s="31">
        <f>IF(A50="","",COUNTIFS(Complaints!$D$5:$D$84,A50))</f>
        <v>0</v>
      </c>
      <c r="AM50" s="31">
        <f>IF(B50="","",COUNTIFS($AD$5:$AD$204,"&gt;"&amp;AD50)+COUNTIFS($AD$5:AD50,AD50))</f>
        <v>0</v>
      </c>
      <c r="AN50" s="31">
        <f>IF(B50="","",COUNTIFS($AH$5:$AH$204,"&gt;"&amp;AH50)+COUNTIFS($AH$5:AH50,AH50))</f>
        <v>0</v>
      </c>
      <c r="AO50" s="31">
        <f>IF(B50="","",COUNTIFS($AJ$5:$AJ$204,"&gt;"&amp;AJ50)+COUNTIFS($AJ$5:AJ50,AJ50))</f>
        <v>0</v>
      </c>
      <c r="AP50" s="39">
        <f>IF(B50="","",IF(H50="Lost","Lost",IF(H50="Inactive","Dormant",IF(AA50="","Dormant",IF(AB50&gt;InactiveClientDays*2,"Dormant",IF(AB50&gt;InactiveClientDays,"At risk",IF(AC50="","Slipping",IF(Y50&gt;=10,"Loyal","Steady"))))))))</f>
        <v>0</v>
      </c>
      <c r="AQ50" s="34">
        <f>IF(OR(B50="",AP50="Lost",AP50="Dormant"),"",IF(OR(AP50="At risk",AP50="Slipping"),IF(AB50="",999,AB50),""))</f>
        <v>0</v>
      </c>
      <c r="AR50" s="31">
        <f>IF(AQ50="","",COUNTIFS($AQ$5:$AQ$204,"&gt;"&amp;AQ50)+COUNTIFS($AQ$5:AQ50,AQ50))</f>
        <v>0</v>
      </c>
      <c r="AS50" s="39">
        <f>IF(B50="","",IF(AF50&gt;0.5,"Chase - "&amp;TEXT(AF50,"0")&amp;" owing",IF(AND(H50&lt;&gt;"Lost",H50&lt;&gt;"Inactive",H50&lt;&gt;"Paused",AC50="",K50&lt;&gt;"One-off"),"Book - nothing in the diary",IF(AND(S50&lt;&gt;"",S50-TodayDate&lt;=RenewalWarningDays,S50&gt;=TodayDate),"Due - contract renews soon",IF(AP50="At risk","Call - going quiet",IF(AL50&gt;=2,"Check - complaints logged",IF(AND(AI50&lt;&gt;"",AI50&lt;MarginFloor,Y50&gt;0),"Check - thin margin","OK")))))))</f>
        <v>0</v>
      </c>
    </row>
    <row r="51" spans="1:45">
      <c r="A51" s="43">
        <f>IF(B51="","",ClientPrefix&amp;TEXT(ROW()-4,"0000"))</f>
        <v>0</v>
      </c>
      <c r="W51" s="31">
        <f>IF(A51="","",COUNTIFS(Properties!$C$5:$C$254,A51))</f>
        <v>0</v>
      </c>
      <c r="X51" s="31">
        <f>IF(A51="","",COUNTIFS(Jobs!$G$5:$G$604,A51))</f>
        <v>0</v>
      </c>
      <c r="Y51" s="31">
        <f>IF(A51="","",COUNTIFS(Jobs!$G$5:$G$604,A51,Jobs!$P$5:$P$604,"Completed")+COUNTIFS(Jobs!$G$5:$G$604,A51,Jobs!$P$5:$P$604,"Invoiced"))</f>
        <v>0</v>
      </c>
      <c r="Z51" s="31">
        <f>IF(A51="","",COUNTIFS(Jobs!$G$5:$G$604,A51,Jobs!$P$5:$P$604,"Cancelled")+COUNTIFS(Jobs!$G$5:$G$604,A51,Jobs!$P$5:$P$604,"No access"))</f>
        <v>0</v>
      </c>
      <c r="AA51" s="18">
        <f>IF(A51="","",IF(SUMPRODUCT(MAX((Jobs!$G$5:$G$604=A51)*((Jobs!$P$5:$P$604="Completed")+(Jobs!$P$5:$P$604="Invoiced"))*Jobs!$B$5:$B$604))=0,"",SUMPRODUCT(MAX((Jobs!$G$5:$G$604=A51)*((Jobs!$P$5:$P$604="Completed")+(Jobs!$P$5:$P$604="Invoiced"))*Jobs!$B$5:$B$604))))</f>
        <v>0</v>
      </c>
      <c r="AB51" s="31">
        <f>IF(AA51="","",TodayDate-AA51)</f>
        <v>0</v>
      </c>
      <c r="AC51" s="18">
        <f>IF(A51="","",IF(SUMPRODUCT(MIN((Jobs!$G$5:$G$604=A51)*(Jobs!$B$5:$B$604&gt;=TodayDate)*(Jobs!$P$5:$P$604&lt;&gt;"Cancelled")*Jobs!$B$5:$B$604+(1-(Jobs!$G$5:$G$604=A51)*(Jobs!$B$5:$B$604&gt;=TodayDate)*(Jobs!$P$5:$P$604&lt;&gt;"Cancelled"))*2958465))=2958465,"",SUMPRODUCT(MIN((Jobs!$G$5:$G$604=A51)*(Jobs!$B$5:$B$604&gt;=TodayDate)*(Jobs!$P$5:$P$604&lt;&gt;"Cancelled")*Jobs!$B$5:$B$604+(1-(Jobs!$G$5:$G$604=A51)*(Jobs!$B$5:$B$604&gt;=TodayDate)*(Jobs!$P$5:$P$604&lt;&gt;"Cancelled"))*2958465))))</f>
        <v>0</v>
      </c>
      <c r="AD51" s="21">
        <f>IF(A51="","",SUMIFS(Invoices!$V$5:$V$404,Invoices!$D$5:$D$404,A51))</f>
        <v>0</v>
      </c>
      <c r="AE51" s="21">
        <f>IF(A51="","",SUMIFS(Invoices!$W$5:$W$404,Invoices!$D$5:$D$404,A51))</f>
        <v>0</v>
      </c>
      <c r="AF51" s="21">
        <f>IF(A51="","",AD51-AE51)</f>
        <v>0</v>
      </c>
      <c r="AG51" s="21">
        <f>IF(OR(A51="",Y51=0),"",AD51/Y51)</f>
        <v>0</v>
      </c>
      <c r="AH51" s="21">
        <f>IF(A51="","",SUMIFS('Job Costing'!$U$5:$U$604,'Job Costing'!$D$5:$D$604,A51))</f>
        <v>0</v>
      </c>
      <c r="AI51" s="38">
        <f>IF(OR(A51="",AD51=0),"",AH51/AD51)</f>
        <v>0</v>
      </c>
      <c r="AJ51" s="21">
        <f>IF(OR(A51="",K51="",AG51=""),"",AG51*IFERROR(INDEX(FreqPerYear,MATCH(K51,FreqNames,0)),1))</f>
        <v>0</v>
      </c>
      <c r="AK51" s="34">
        <f>IF(A51="","",IFERROR(AVERAGEIFS(Jobs!$AA$5:$AA$604,Jobs!$G$5:$G$604,A51,Jobs!$AA$5:$AA$604,"&gt;0"),""))</f>
        <v>0</v>
      </c>
      <c r="AL51" s="31">
        <f>IF(A51="","",COUNTIFS(Complaints!$D$5:$D$84,A51))</f>
        <v>0</v>
      </c>
      <c r="AM51" s="31">
        <f>IF(B51="","",COUNTIFS($AD$5:$AD$204,"&gt;"&amp;AD51)+COUNTIFS($AD$5:AD51,AD51))</f>
        <v>0</v>
      </c>
      <c r="AN51" s="31">
        <f>IF(B51="","",COUNTIFS($AH$5:$AH$204,"&gt;"&amp;AH51)+COUNTIFS($AH$5:AH51,AH51))</f>
        <v>0</v>
      </c>
      <c r="AO51" s="31">
        <f>IF(B51="","",COUNTIFS($AJ$5:$AJ$204,"&gt;"&amp;AJ51)+COUNTIFS($AJ$5:AJ51,AJ51))</f>
        <v>0</v>
      </c>
      <c r="AP51" s="39">
        <f>IF(B51="","",IF(H51="Lost","Lost",IF(H51="Inactive","Dormant",IF(AA51="","Dormant",IF(AB51&gt;InactiveClientDays*2,"Dormant",IF(AB51&gt;InactiveClientDays,"At risk",IF(AC51="","Slipping",IF(Y51&gt;=10,"Loyal","Steady"))))))))</f>
        <v>0</v>
      </c>
      <c r="AQ51" s="34">
        <f>IF(OR(B51="",AP51="Lost",AP51="Dormant"),"",IF(OR(AP51="At risk",AP51="Slipping"),IF(AB51="",999,AB51),""))</f>
        <v>0</v>
      </c>
      <c r="AR51" s="31">
        <f>IF(AQ51="","",COUNTIFS($AQ$5:$AQ$204,"&gt;"&amp;AQ51)+COUNTIFS($AQ$5:AQ51,AQ51))</f>
        <v>0</v>
      </c>
      <c r="AS51" s="39">
        <f>IF(B51="","",IF(AF51&gt;0.5,"Chase - "&amp;TEXT(AF51,"0")&amp;" owing",IF(AND(H51&lt;&gt;"Lost",H51&lt;&gt;"Inactive",H51&lt;&gt;"Paused",AC51="",K51&lt;&gt;"One-off"),"Book - nothing in the diary",IF(AND(S51&lt;&gt;"",S51-TodayDate&lt;=RenewalWarningDays,S51&gt;=TodayDate),"Due - contract renews soon",IF(AP51="At risk","Call - going quiet",IF(AL51&gt;=2,"Check - complaints logged",IF(AND(AI51&lt;&gt;"",AI51&lt;MarginFloor,Y51&gt;0),"Check - thin margin","OK")))))))</f>
        <v>0</v>
      </c>
    </row>
    <row r="52" spans="1:45">
      <c r="A52" s="43">
        <f>IF(B52="","",ClientPrefix&amp;TEXT(ROW()-4,"0000"))</f>
        <v>0</v>
      </c>
      <c r="W52" s="31">
        <f>IF(A52="","",COUNTIFS(Properties!$C$5:$C$254,A52))</f>
        <v>0</v>
      </c>
      <c r="X52" s="31">
        <f>IF(A52="","",COUNTIFS(Jobs!$G$5:$G$604,A52))</f>
        <v>0</v>
      </c>
      <c r="Y52" s="31">
        <f>IF(A52="","",COUNTIFS(Jobs!$G$5:$G$604,A52,Jobs!$P$5:$P$604,"Completed")+COUNTIFS(Jobs!$G$5:$G$604,A52,Jobs!$P$5:$P$604,"Invoiced"))</f>
        <v>0</v>
      </c>
      <c r="Z52" s="31">
        <f>IF(A52="","",COUNTIFS(Jobs!$G$5:$G$604,A52,Jobs!$P$5:$P$604,"Cancelled")+COUNTIFS(Jobs!$G$5:$G$604,A52,Jobs!$P$5:$P$604,"No access"))</f>
        <v>0</v>
      </c>
      <c r="AA52" s="18">
        <f>IF(A52="","",IF(SUMPRODUCT(MAX((Jobs!$G$5:$G$604=A52)*((Jobs!$P$5:$P$604="Completed")+(Jobs!$P$5:$P$604="Invoiced"))*Jobs!$B$5:$B$604))=0,"",SUMPRODUCT(MAX((Jobs!$G$5:$G$604=A52)*((Jobs!$P$5:$P$604="Completed")+(Jobs!$P$5:$P$604="Invoiced"))*Jobs!$B$5:$B$604))))</f>
        <v>0</v>
      </c>
      <c r="AB52" s="31">
        <f>IF(AA52="","",TodayDate-AA52)</f>
        <v>0</v>
      </c>
      <c r="AC52" s="18">
        <f>IF(A52="","",IF(SUMPRODUCT(MIN((Jobs!$G$5:$G$604=A52)*(Jobs!$B$5:$B$604&gt;=TodayDate)*(Jobs!$P$5:$P$604&lt;&gt;"Cancelled")*Jobs!$B$5:$B$604+(1-(Jobs!$G$5:$G$604=A52)*(Jobs!$B$5:$B$604&gt;=TodayDate)*(Jobs!$P$5:$P$604&lt;&gt;"Cancelled"))*2958465))=2958465,"",SUMPRODUCT(MIN((Jobs!$G$5:$G$604=A52)*(Jobs!$B$5:$B$604&gt;=TodayDate)*(Jobs!$P$5:$P$604&lt;&gt;"Cancelled")*Jobs!$B$5:$B$604+(1-(Jobs!$G$5:$G$604=A52)*(Jobs!$B$5:$B$604&gt;=TodayDate)*(Jobs!$P$5:$P$604&lt;&gt;"Cancelled"))*2958465))))</f>
        <v>0</v>
      </c>
      <c r="AD52" s="21">
        <f>IF(A52="","",SUMIFS(Invoices!$V$5:$V$404,Invoices!$D$5:$D$404,A52))</f>
        <v>0</v>
      </c>
      <c r="AE52" s="21">
        <f>IF(A52="","",SUMIFS(Invoices!$W$5:$W$404,Invoices!$D$5:$D$404,A52))</f>
        <v>0</v>
      </c>
      <c r="AF52" s="21">
        <f>IF(A52="","",AD52-AE52)</f>
        <v>0</v>
      </c>
      <c r="AG52" s="21">
        <f>IF(OR(A52="",Y52=0),"",AD52/Y52)</f>
        <v>0</v>
      </c>
      <c r="AH52" s="21">
        <f>IF(A52="","",SUMIFS('Job Costing'!$U$5:$U$604,'Job Costing'!$D$5:$D$604,A52))</f>
        <v>0</v>
      </c>
      <c r="AI52" s="38">
        <f>IF(OR(A52="",AD52=0),"",AH52/AD52)</f>
        <v>0</v>
      </c>
      <c r="AJ52" s="21">
        <f>IF(OR(A52="",K52="",AG52=""),"",AG52*IFERROR(INDEX(FreqPerYear,MATCH(K52,FreqNames,0)),1))</f>
        <v>0</v>
      </c>
      <c r="AK52" s="34">
        <f>IF(A52="","",IFERROR(AVERAGEIFS(Jobs!$AA$5:$AA$604,Jobs!$G$5:$G$604,A52,Jobs!$AA$5:$AA$604,"&gt;0"),""))</f>
        <v>0</v>
      </c>
      <c r="AL52" s="31">
        <f>IF(A52="","",COUNTIFS(Complaints!$D$5:$D$84,A52))</f>
        <v>0</v>
      </c>
      <c r="AM52" s="31">
        <f>IF(B52="","",COUNTIFS($AD$5:$AD$204,"&gt;"&amp;AD52)+COUNTIFS($AD$5:AD52,AD52))</f>
        <v>0</v>
      </c>
      <c r="AN52" s="31">
        <f>IF(B52="","",COUNTIFS($AH$5:$AH$204,"&gt;"&amp;AH52)+COUNTIFS($AH$5:AH52,AH52))</f>
        <v>0</v>
      </c>
      <c r="AO52" s="31">
        <f>IF(B52="","",COUNTIFS($AJ$5:$AJ$204,"&gt;"&amp;AJ52)+COUNTIFS($AJ$5:AJ52,AJ52))</f>
        <v>0</v>
      </c>
      <c r="AP52" s="39">
        <f>IF(B52="","",IF(H52="Lost","Lost",IF(H52="Inactive","Dormant",IF(AA52="","Dormant",IF(AB52&gt;InactiveClientDays*2,"Dormant",IF(AB52&gt;InactiveClientDays,"At risk",IF(AC52="","Slipping",IF(Y52&gt;=10,"Loyal","Steady"))))))))</f>
        <v>0</v>
      </c>
      <c r="AQ52" s="34">
        <f>IF(OR(B52="",AP52="Lost",AP52="Dormant"),"",IF(OR(AP52="At risk",AP52="Slipping"),IF(AB52="",999,AB52),""))</f>
        <v>0</v>
      </c>
      <c r="AR52" s="31">
        <f>IF(AQ52="","",COUNTIFS($AQ$5:$AQ$204,"&gt;"&amp;AQ52)+COUNTIFS($AQ$5:AQ52,AQ52))</f>
        <v>0</v>
      </c>
      <c r="AS52" s="39">
        <f>IF(B52="","",IF(AF52&gt;0.5,"Chase - "&amp;TEXT(AF52,"0")&amp;" owing",IF(AND(H52&lt;&gt;"Lost",H52&lt;&gt;"Inactive",H52&lt;&gt;"Paused",AC52="",K52&lt;&gt;"One-off"),"Book - nothing in the diary",IF(AND(S52&lt;&gt;"",S52-TodayDate&lt;=RenewalWarningDays,S52&gt;=TodayDate),"Due - contract renews soon",IF(AP52="At risk","Call - going quiet",IF(AL52&gt;=2,"Check - complaints logged",IF(AND(AI52&lt;&gt;"",AI52&lt;MarginFloor,Y52&gt;0),"Check - thin margin","OK")))))))</f>
        <v>0</v>
      </c>
    </row>
    <row r="53" spans="1:45">
      <c r="A53" s="43">
        <f>IF(B53="","",ClientPrefix&amp;TEXT(ROW()-4,"0000"))</f>
        <v>0</v>
      </c>
      <c r="W53" s="31">
        <f>IF(A53="","",COUNTIFS(Properties!$C$5:$C$254,A53))</f>
        <v>0</v>
      </c>
      <c r="X53" s="31">
        <f>IF(A53="","",COUNTIFS(Jobs!$G$5:$G$604,A53))</f>
        <v>0</v>
      </c>
      <c r="Y53" s="31">
        <f>IF(A53="","",COUNTIFS(Jobs!$G$5:$G$604,A53,Jobs!$P$5:$P$604,"Completed")+COUNTIFS(Jobs!$G$5:$G$604,A53,Jobs!$P$5:$P$604,"Invoiced"))</f>
        <v>0</v>
      </c>
      <c r="Z53" s="31">
        <f>IF(A53="","",COUNTIFS(Jobs!$G$5:$G$604,A53,Jobs!$P$5:$P$604,"Cancelled")+COUNTIFS(Jobs!$G$5:$G$604,A53,Jobs!$P$5:$P$604,"No access"))</f>
        <v>0</v>
      </c>
      <c r="AA53" s="18">
        <f>IF(A53="","",IF(SUMPRODUCT(MAX((Jobs!$G$5:$G$604=A53)*((Jobs!$P$5:$P$604="Completed")+(Jobs!$P$5:$P$604="Invoiced"))*Jobs!$B$5:$B$604))=0,"",SUMPRODUCT(MAX((Jobs!$G$5:$G$604=A53)*((Jobs!$P$5:$P$604="Completed")+(Jobs!$P$5:$P$604="Invoiced"))*Jobs!$B$5:$B$604))))</f>
        <v>0</v>
      </c>
      <c r="AB53" s="31">
        <f>IF(AA53="","",TodayDate-AA53)</f>
        <v>0</v>
      </c>
      <c r="AC53" s="18">
        <f>IF(A53="","",IF(SUMPRODUCT(MIN((Jobs!$G$5:$G$604=A53)*(Jobs!$B$5:$B$604&gt;=TodayDate)*(Jobs!$P$5:$P$604&lt;&gt;"Cancelled")*Jobs!$B$5:$B$604+(1-(Jobs!$G$5:$G$604=A53)*(Jobs!$B$5:$B$604&gt;=TodayDate)*(Jobs!$P$5:$P$604&lt;&gt;"Cancelled"))*2958465))=2958465,"",SUMPRODUCT(MIN((Jobs!$G$5:$G$604=A53)*(Jobs!$B$5:$B$604&gt;=TodayDate)*(Jobs!$P$5:$P$604&lt;&gt;"Cancelled")*Jobs!$B$5:$B$604+(1-(Jobs!$G$5:$G$604=A53)*(Jobs!$B$5:$B$604&gt;=TodayDate)*(Jobs!$P$5:$P$604&lt;&gt;"Cancelled"))*2958465))))</f>
        <v>0</v>
      </c>
      <c r="AD53" s="21">
        <f>IF(A53="","",SUMIFS(Invoices!$V$5:$V$404,Invoices!$D$5:$D$404,A53))</f>
        <v>0</v>
      </c>
      <c r="AE53" s="21">
        <f>IF(A53="","",SUMIFS(Invoices!$W$5:$W$404,Invoices!$D$5:$D$404,A53))</f>
        <v>0</v>
      </c>
      <c r="AF53" s="21">
        <f>IF(A53="","",AD53-AE53)</f>
        <v>0</v>
      </c>
      <c r="AG53" s="21">
        <f>IF(OR(A53="",Y53=0),"",AD53/Y53)</f>
        <v>0</v>
      </c>
      <c r="AH53" s="21">
        <f>IF(A53="","",SUMIFS('Job Costing'!$U$5:$U$604,'Job Costing'!$D$5:$D$604,A53))</f>
        <v>0</v>
      </c>
      <c r="AI53" s="38">
        <f>IF(OR(A53="",AD53=0),"",AH53/AD53)</f>
        <v>0</v>
      </c>
      <c r="AJ53" s="21">
        <f>IF(OR(A53="",K53="",AG53=""),"",AG53*IFERROR(INDEX(FreqPerYear,MATCH(K53,FreqNames,0)),1))</f>
        <v>0</v>
      </c>
      <c r="AK53" s="34">
        <f>IF(A53="","",IFERROR(AVERAGEIFS(Jobs!$AA$5:$AA$604,Jobs!$G$5:$G$604,A53,Jobs!$AA$5:$AA$604,"&gt;0"),""))</f>
        <v>0</v>
      </c>
      <c r="AL53" s="31">
        <f>IF(A53="","",COUNTIFS(Complaints!$D$5:$D$84,A53))</f>
        <v>0</v>
      </c>
      <c r="AM53" s="31">
        <f>IF(B53="","",COUNTIFS($AD$5:$AD$204,"&gt;"&amp;AD53)+COUNTIFS($AD$5:AD53,AD53))</f>
        <v>0</v>
      </c>
      <c r="AN53" s="31">
        <f>IF(B53="","",COUNTIFS($AH$5:$AH$204,"&gt;"&amp;AH53)+COUNTIFS($AH$5:AH53,AH53))</f>
        <v>0</v>
      </c>
      <c r="AO53" s="31">
        <f>IF(B53="","",COUNTIFS($AJ$5:$AJ$204,"&gt;"&amp;AJ53)+COUNTIFS($AJ$5:AJ53,AJ53))</f>
        <v>0</v>
      </c>
      <c r="AP53" s="39">
        <f>IF(B53="","",IF(H53="Lost","Lost",IF(H53="Inactive","Dormant",IF(AA53="","Dormant",IF(AB53&gt;InactiveClientDays*2,"Dormant",IF(AB53&gt;InactiveClientDays,"At risk",IF(AC53="","Slipping",IF(Y53&gt;=10,"Loyal","Steady"))))))))</f>
        <v>0</v>
      </c>
      <c r="AQ53" s="34">
        <f>IF(OR(B53="",AP53="Lost",AP53="Dormant"),"",IF(OR(AP53="At risk",AP53="Slipping"),IF(AB53="",999,AB53),""))</f>
        <v>0</v>
      </c>
      <c r="AR53" s="31">
        <f>IF(AQ53="","",COUNTIFS($AQ$5:$AQ$204,"&gt;"&amp;AQ53)+COUNTIFS($AQ$5:AQ53,AQ53))</f>
        <v>0</v>
      </c>
      <c r="AS53" s="39">
        <f>IF(B53="","",IF(AF53&gt;0.5,"Chase - "&amp;TEXT(AF53,"0")&amp;" owing",IF(AND(H53&lt;&gt;"Lost",H53&lt;&gt;"Inactive",H53&lt;&gt;"Paused",AC53="",K53&lt;&gt;"One-off"),"Book - nothing in the diary",IF(AND(S53&lt;&gt;"",S53-TodayDate&lt;=RenewalWarningDays,S53&gt;=TodayDate),"Due - contract renews soon",IF(AP53="At risk","Call - going quiet",IF(AL53&gt;=2,"Check - complaints logged",IF(AND(AI53&lt;&gt;"",AI53&lt;MarginFloor,Y53&gt;0),"Check - thin margin","OK")))))))</f>
        <v>0</v>
      </c>
    </row>
    <row r="54" spans="1:45">
      <c r="A54" s="43">
        <f>IF(B54="","",ClientPrefix&amp;TEXT(ROW()-4,"0000"))</f>
        <v>0</v>
      </c>
      <c r="W54" s="31">
        <f>IF(A54="","",COUNTIFS(Properties!$C$5:$C$254,A54))</f>
        <v>0</v>
      </c>
      <c r="X54" s="31">
        <f>IF(A54="","",COUNTIFS(Jobs!$G$5:$G$604,A54))</f>
        <v>0</v>
      </c>
      <c r="Y54" s="31">
        <f>IF(A54="","",COUNTIFS(Jobs!$G$5:$G$604,A54,Jobs!$P$5:$P$604,"Completed")+COUNTIFS(Jobs!$G$5:$G$604,A54,Jobs!$P$5:$P$604,"Invoiced"))</f>
        <v>0</v>
      </c>
      <c r="Z54" s="31">
        <f>IF(A54="","",COUNTIFS(Jobs!$G$5:$G$604,A54,Jobs!$P$5:$P$604,"Cancelled")+COUNTIFS(Jobs!$G$5:$G$604,A54,Jobs!$P$5:$P$604,"No access"))</f>
        <v>0</v>
      </c>
      <c r="AA54" s="18">
        <f>IF(A54="","",IF(SUMPRODUCT(MAX((Jobs!$G$5:$G$604=A54)*((Jobs!$P$5:$P$604="Completed")+(Jobs!$P$5:$P$604="Invoiced"))*Jobs!$B$5:$B$604))=0,"",SUMPRODUCT(MAX((Jobs!$G$5:$G$604=A54)*((Jobs!$P$5:$P$604="Completed")+(Jobs!$P$5:$P$604="Invoiced"))*Jobs!$B$5:$B$604))))</f>
        <v>0</v>
      </c>
      <c r="AB54" s="31">
        <f>IF(AA54="","",TodayDate-AA54)</f>
        <v>0</v>
      </c>
      <c r="AC54" s="18">
        <f>IF(A54="","",IF(SUMPRODUCT(MIN((Jobs!$G$5:$G$604=A54)*(Jobs!$B$5:$B$604&gt;=TodayDate)*(Jobs!$P$5:$P$604&lt;&gt;"Cancelled")*Jobs!$B$5:$B$604+(1-(Jobs!$G$5:$G$604=A54)*(Jobs!$B$5:$B$604&gt;=TodayDate)*(Jobs!$P$5:$P$604&lt;&gt;"Cancelled"))*2958465))=2958465,"",SUMPRODUCT(MIN((Jobs!$G$5:$G$604=A54)*(Jobs!$B$5:$B$604&gt;=TodayDate)*(Jobs!$P$5:$P$604&lt;&gt;"Cancelled")*Jobs!$B$5:$B$604+(1-(Jobs!$G$5:$G$604=A54)*(Jobs!$B$5:$B$604&gt;=TodayDate)*(Jobs!$P$5:$P$604&lt;&gt;"Cancelled"))*2958465))))</f>
        <v>0</v>
      </c>
      <c r="AD54" s="21">
        <f>IF(A54="","",SUMIFS(Invoices!$V$5:$V$404,Invoices!$D$5:$D$404,A54))</f>
        <v>0</v>
      </c>
      <c r="AE54" s="21">
        <f>IF(A54="","",SUMIFS(Invoices!$W$5:$W$404,Invoices!$D$5:$D$404,A54))</f>
        <v>0</v>
      </c>
      <c r="AF54" s="21">
        <f>IF(A54="","",AD54-AE54)</f>
        <v>0</v>
      </c>
      <c r="AG54" s="21">
        <f>IF(OR(A54="",Y54=0),"",AD54/Y54)</f>
        <v>0</v>
      </c>
      <c r="AH54" s="21">
        <f>IF(A54="","",SUMIFS('Job Costing'!$U$5:$U$604,'Job Costing'!$D$5:$D$604,A54))</f>
        <v>0</v>
      </c>
      <c r="AI54" s="38">
        <f>IF(OR(A54="",AD54=0),"",AH54/AD54)</f>
        <v>0</v>
      </c>
      <c r="AJ54" s="21">
        <f>IF(OR(A54="",K54="",AG54=""),"",AG54*IFERROR(INDEX(FreqPerYear,MATCH(K54,FreqNames,0)),1))</f>
        <v>0</v>
      </c>
      <c r="AK54" s="34">
        <f>IF(A54="","",IFERROR(AVERAGEIFS(Jobs!$AA$5:$AA$604,Jobs!$G$5:$G$604,A54,Jobs!$AA$5:$AA$604,"&gt;0"),""))</f>
        <v>0</v>
      </c>
      <c r="AL54" s="31">
        <f>IF(A54="","",COUNTIFS(Complaints!$D$5:$D$84,A54))</f>
        <v>0</v>
      </c>
      <c r="AM54" s="31">
        <f>IF(B54="","",COUNTIFS($AD$5:$AD$204,"&gt;"&amp;AD54)+COUNTIFS($AD$5:AD54,AD54))</f>
        <v>0</v>
      </c>
      <c r="AN54" s="31">
        <f>IF(B54="","",COUNTIFS($AH$5:$AH$204,"&gt;"&amp;AH54)+COUNTIFS($AH$5:AH54,AH54))</f>
        <v>0</v>
      </c>
      <c r="AO54" s="31">
        <f>IF(B54="","",COUNTIFS($AJ$5:$AJ$204,"&gt;"&amp;AJ54)+COUNTIFS($AJ$5:AJ54,AJ54))</f>
        <v>0</v>
      </c>
      <c r="AP54" s="39">
        <f>IF(B54="","",IF(H54="Lost","Lost",IF(H54="Inactive","Dormant",IF(AA54="","Dormant",IF(AB54&gt;InactiveClientDays*2,"Dormant",IF(AB54&gt;InactiveClientDays,"At risk",IF(AC54="","Slipping",IF(Y54&gt;=10,"Loyal","Steady"))))))))</f>
        <v>0</v>
      </c>
      <c r="AQ54" s="34">
        <f>IF(OR(B54="",AP54="Lost",AP54="Dormant"),"",IF(OR(AP54="At risk",AP54="Slipping"),IF(AB54="",999,AB54),""))</f>
        <v>0</v>
      </c>
      <c r="AR54" s="31">
        <f>IF(AQ54="","",COUNTIFS($AQ$5:$AQ$204,"&gt;"&amp;AQ54)+COUNTIFS($AQ$5:AQ54,AQ54))</f>
        <v>0</v>
      </c>
      <c r="AS54" s="39">
        <f>IF(B54="","",IF(AF54&gt;0.5,"Chase - "&amp;TEXT(AF54,"0")&amp;" owing",IF(AND(H54&lt;&gt;"Lost",H54&lt;&gt;"Inactive",H54&lt;&gt;"Paused",AC54="",K54&lt;&gt;"One-off"),"Book - nothing in the diary",IF(AND(S54&lt;&gt;"",S54-TodayDate&lt;=RenewalWarningDays,S54&gt;=TodayDate),"Due - contract renews soon",IF(AP54="At risk","Call - going quiet",IF(AL54&gt;=2,"Check - complaints logged",IF(AND(AI54&lt;&gt;"",AI54&lt;MarginFloor,Y54&gt;0),"Check - thin margin","OK")))))))</f>
        <v>0</v>
      </c>
    </row>
    <row r="55" spans="1:45">
      <c r="A55" s="43">
        <f>IF(B55="","",ClientPrefix&amp;TEXT(ROW()-4,"0000"))</f>
        <v>0</v>
      </c>
      <c r="W55" s="31">
        <f>IF(A55="","",COUNTIFS(Properties!$C$5:$C$254,A55))</f>
        <v>0</v>
      </c>
      <c r="X55" s="31">
        <f>IF(A55="","",COUNTIFS(Jobs!$G$5:$G$604,A55))</f>
        <v>0</v>
      </c>
      <c r="Y55" s="31">
        <f>IF(A55="","",COUNTIFS(Jobs!$G$5:$G$604,A55,Jobs!$P$5:$P$604,"Completed")+COUNTIFS(Jobs!$G$5:$G$604,A55,Jobs!$P$5:$P$604,"Invoiced"))</f>
        <v>0</v>
      </c>
      <c r="Z55" s="31">
        <f>IF(A55="","",COUNTIFS(Jobs!$G$5:$G$604,A55,Jobs!$P$5:$P$604,"Cancelled")+COUNTIFS(Jobs!$G$5:$G$604,A55,Jobs!$P$5:$P$604,"No access"))</f>
        <v>0</v>
      </c>
      <c r="AA55" s="18">
        <f>IF(A55="","",IF(SUMPRODUCT(MAX((Jobs!$G$5:$G$604=A55)*((Jobs!$P$5:$P$604="Completed")+(Jobs!$P$5:$P$604="Invoiced"))*Jobs!$B$5:$B$604))=0,"",SUMPRODUCT(MAX((Jobs!$G$5:$G$604=A55)*((Jobs!$P$5:$P$604="Completed")+(Jobs!$P$5:$P$604="Invoiced"))*Jobs!$B$5:$B$604))))</f>
        <v>0</v>
      </c>
      <c r="AB55" s="31">
        <f>IF(AA55="","",TodayDate-AA55)</f>
        <v>0</v>
      </c>
      <c r="AC55" s="18">
        <f>IF(A55="","",IF(SUMPRODUCT(MIN((Jobs!$G$5:$G$604=A55)*(Jobs!$B$5:$B$604&gt;=TodayDate)*(Jobs!$P$5:$P$604&lt;&gt;"Cancelled")*Jobs!$B$5:$B$604+(1-(Jobs!$G$5:$G$604=A55)*(Jobs!$B$5:$B$604&gt;=TodayDate)*(Jobs!$P$5:$P$604&lt;&gt;"Cancelled"))*2958465))=2958465,"",SUMPRODUCT(MIN((Jobs!$G$5:$G$604=A55)*(Jobs!$B$5:$B$604&gt;=TodayDate)*(Jobs!$P$5:$P$604&lt;&gt;"Cancelled")*Jobs!$B$5:$B$604+(1-(Jobs!$G$5:$G$604=A55)*(Jobs!$B$5:$B$604&gt;=TodayDate)*(Jobs!$P$5:$P$604&lt;&gt;"Cancelled"))*2958465))))</f>
        <v>0</v>
      </c>
      <c r="AD55" s="21">
        <f>IF(A55="","",SUMIFS(Invoices!$V$5:$V$404,Invoices!$D$5:$D$404,A55))</f>
        <v>0</v>
      </c>
      <c r="AE55" s="21">
        <f>IF(A55="","",SUMIFS(Invoices!$W$5:$W$404,Invoices!$D$5:$D$404,A55))</f>
        <v>0</v>
      </c>
      <c r="AF55" s="21">
        <f>IF(A55="","",AD55-AE55)</f>
        <v>0</v>
      </c>
      <c r="AG55" s="21">
        <f>IF(OR(A55="",Y55=0),"",AD55/Y55)</f>
        <v>0</v>
      </c>
      <c r="AH55" s="21">
        <f>IF(A55="","",SUMIFS('Job Costing'!$U$5:$U$604,'Job Costing'!$D$5:$D$604,A55))</f>
        <v>0</v>
      </c>
      <c r="AI55" s="38">
        <f>IF(OR(A55="",AD55=0),"",AH55/AD55)</f>
        <v>0</v>
      </c>
      <c r="AJ55" s="21">
        <f>IF(OR(A55="",K55="",AG55=""),"",AG55*IFERROR(INDEX(FreqPerYear,MATCH(K55,FreqNames,0)),1))</f>
        <v>0</v>
      </c>
      <c r="AK55" s="34">
        <f>IF(A55="","",IFERROR(AVERAGEIFS(Jobs!$AA$5:$AA$604,Jobs!$G$5:$G$604,A55,Jobs!$AA$5:$AA$604,"&gt;0"),""))</f>
        <v>0</v>
      </c>
      <c r="AL55" s="31">
        <f>IF(A55="","",COUNTIFS(Complaints!$D$5:$D$84,A55))</f>
        <v>0</v>
      </c>
      <c r="AM55" s="31">
        <f>IF(B55="","",COUNTIFS($AD$5:$AD$204,"&gt;"&amp;AD55)+COUNTIFS($AD$5:AD55,AD55))</f>
        <v>0</v>
      </c>
      <c r="AN55" s="31">
        <f>IF(B55="","",COUNTIFS($AH$5:$AH$204,"&gt;"&amp;AH55)+COUNTIFS($AH$5:AH55,AH55))</f>
        <v>0</v>
      </c>
      <c r="AO55" s="31">
        <f>IF(B55="","",COUNTIFS($AJ$5:$AJ$204,"&gt;"&amp;AJ55)+COUNTIFS($AJ$5:AJ55,AJ55))</f>
        <v>0</v>
      </c>
      <c r="AP55" s="39">
        <f>IF(B55="","",IF(H55="Lost","Lost",IF(H55="Inactive","Dormant",IF(AA55="","Dormant",IF(AB55&gt;InactiveClientDays*2,"Dormant",IF(AB55&gt;InactiveClientDays,"At risk",IF(AC55="","Slipping",IF(Y55&gt;=10,"Loyal","Steady"))))))))</f>
        <v>0</v>
      </c>
      <c r="AQ55" s="34">
        <f>IF(OR(B55="",AP55="Lost",AP55="Dormant"),"",IF(OR(AP55="At risk",AP55="Slipping"),IF(AB55="",999,AB55),""))</f>
        <v>0</v>
      </c>
      <c r="AR55" s="31">
        <f>IF(AQ55="","",COUNTIFS($AQ$5:$AQ$204,"&gt;"&amp;AQ55)+COUNTIFS($AQ$5:AQ55,AQ55))</f>
        <v>0</v>
      </c>
      <c r="AS55" s="39">
        <f>IF(B55="","",IF(AF55&gt;0.5,"Chase - "&amp;TEXT(AF55,"0")&amp;" owing",IF(AND(H55&lt;&gt;"Lost",H55&lt;&gt;"Inactive",H55&lt;&gt;"Paused",AC55="",K55&lt;&gt;"One-off"),"Book - nothing in the diary",IF(AND(S55&lt;&gt;"",S55-TodayDate&lt;=RenewalWarningDays,S55&gt;=TodayDate),"Due - contract renews soon",IF(AP55="At risk","Call - going quiet",IF(AL55&gt;=2,"Check - complaints logged",IF(AND(AI55&lt;&gt;"",AI55&lt;MarginFloor,Y55&gt;0),"Check - thin margin","OK")))))))</f>
        <v>0</v>
      </c>
    </row>
    <row r="56" spans="1:45">
      <c r="A56" s="43">
        <f>IF(B56="","",ClientPrefix&amp;TEXT(ROW()-4,"0000"))</f>
        <v>0</v>
      </c>
      <c r="W56" s="31">
        <f>IF(A56="","",COUNTIFS(Properties!$C$5:$C$254,A56))</f>
        <v>0</v>
      </c>
      <c r="X56" s="31">
        <f>IF(A56="","",COUNTIFS(Jobs!$G$5:$G$604,A56))</f>
        <v>0</v>
      </c>
      <c r="Y56" s="31">
        <f>IF(A56="","",COUNTIFS(Jobs!$G$5:$G$604,A56,Jobs!$P$5:$P$604,"Completed")+COUNTIFS(Jobs!$G$5:$G$604,A56,Jobs!$P$5:$P$604,"Invoiced"))</f>
        <v>0</v>
      </c>
      <c r="Z56" s="31">
        <f>IF(A56="","",COUNTIFS(Jobs!$G$5:$G$604,A56,Jobs!$P$5:$P$604,"Cancelled")+COUNTIFS(Jobs!$G$5:$G$604,A56,Jobs!$P$5:$P$604,"No access"))</f>
        <v>0</v>
      </c>
      <c r="AA56" s="18">
        <f>IF(A56="","",IF(SUMPRODUCT(MAX((Jobs!$G$5:$G$604=A56)*((Jobs!$P$5:$P$604="Completed")+(Jobs!$P$5:$P$604="Invoiced"))*Jobs!$B$5:$B$604))=0,"",SUMPRODUCT(MAX((Jobs!$G$5:$G$604=A56)*((Jobs!$P$5:$P$604="Completed")+(Jobs!$P$5:$P$604="Invoiced"))*Jobs!$B$5:$B$604))))</f>
        <v>0</v>
      </c>
      <c r="AB56" s="31">
        <f>IF(AA56="","",TodayDate-AA56)</f>
        <v>0</v>
      </c>
      <c r="AC56" s="18">
        <f>IF(A56="","",IF(SUMPRODUCT(MIN((Jobs!$G$5:$G$604=A56)*(Jobs!$B$5:$B$604&gt;=TodayDate)*(Jobs!$P$5:$P$604&lt;&gt;"Cancelled")*Jobs!$B$5:$B$604+(1-(Jobs!$G$5:$G$604=A56)*(Jobs!$B$5:$B$604&gt;=TodayDate)*(Jobs!$P$5:$P$604&lt;&gt;"Cancelled"))*2958465))=2958465,"",SUMPRODUCT(MIN((Jobs!$G$5:$G$604=A56)*(Jobs!$B$5:$B$604&gt;=TodayDate)*(Jobs!$P$5:$P$604&lt;&gt;"Cancelled")*Jobs!$B$5:$B$604+(1-(Jobs!$G$5:$G$604=A56)*(Jobs!$B$5:$B$604&gt;=TodayDate)*(Jobs!$P$5:$P$604&lt;&gt;"Cancelled"))*2958465))))</f>
        <v>0</v>
      </c>
      <c r="AD56" s="21">
        <f>IF(A56="","",SUMIFS(Invoices!$V$5:$V$404,Invoices!$D$5:$D$404,A56))</f>
        <v>0</v>
      </c>
      <c r="AE56" s="21">
        <f>IF(A56="","",SUMIFS(Invoices!$W$5:$W$404,Invoices!$D$5:$D$404,A56))</f>
        <v>0</v>
      </c>
      <c r="AF56" s="21">
        <f>IF(A56="","",AD56-AE56)</f>
        <v>0</v>
      </c>
      <c r="AG56" s="21">
        <f>IF(OR(A56="",Y56=0),"",AD56/Y56)</f>
        <v>0</v>
      </c>
      <c r="AH56" s="21">
        <f>IF(A56="","",SUMIFS('Job Costing'!$U$5:$U$604,'Job Costing'!$D$5:$D$604,A56))</f>
        <v>0</v>
      </c>
      <c r="AI56" s="38">
        <f>IF(OR(A56="",AD56=0),"",AH56/AD56)</f>
        <v>0</v>
      </c>
      <c r="AJ56" s="21">
        <f>IF(OR(A56="",K56="",AG56=""),"",AG56*IFERROR(INDEX(FreqPerYear,MATCH(K56,FreqNames,0)),1))</f>
        <v>0</v>
      </c>
      <c r="AK56" s="34">
        <f>IF(A56="","",IFERROR(AVERAGEIFS(Jobs!$AA$5:$AA$604,Jobs!$G$5:$G$604,A56,Jobs!$AA$5:$AA$604,"&gt;0"),""))</f>
        <v>0</v>
      </c>
      <c r="AL56" s="31">
        <f>IF(A56="","",COUNTIFS(Complaints!$D$5:$D$84,A56))</f>
        <v>0</v>
      </c>
      <c r="AM56" s="31">
        <f>IF(B56="","",COUNTIFS($AD$5:$AD$204,"&gt;"&amp;AD56)+COUNTIFS($AD$5:AD56,AD56))</f>
        <v>0</v>
      </c>
      <c r="AN56" s="31">
        <f>IF(B56="","",COUNTIFS($AH$5:$AH$204,"&gt;"&amp;AH56)+COUNTIFS($AH$5:AH56,AH56))</f>
        <v>0</v>
      </c>
      <c r="AO56" s="31">
        <f>IF(B56="","",COUNTIFS($AJ$5:$AJ$204,"&gt;"&amp;AJ56)+COUNTIFS($AJ$5:AJ56,AJ56))</f>
        <v>0</v>
      </c>
      <c r="AP56" s="39">
        <f>IF(B56="","",IF(H56="Lost","Lost",IF(H56="Inactive","Dormant",IF(AA56="","Dormant",IF(AB56&gt;InactiveClientDays*2,"Dormant",IF(AB56&gt;InactiveClientDays,"At risk",IF(AC56="","Slipping",IF(Y56&gt;=10,"Loyal","Steady"))))))))</f>
        <v>0</v>
      </c>
      <c r="AQ56" s="34">
        <f>IF(OR(B56="",AP56="Lost",AP56="Dormant"),"",IF(OR(AP56="At risk",AP56="Slipping"),IF(AB56="",999,AB56),""))</f>
        <v>0</v>
      </c>
      <c r="AR56" s="31">
        <f>IF(AQ56="","",COUNTIFS($AQ$5:$AQ$204,"&gt;"&amp;AQ56)+COUNTIFS($AQ$5:AQ56,AQ56))</f>
        <v>0</v>
      </c>
      <c r="AS56" s="39">
        <f>IF(B56="","",IF(AF56&gt;0.5,"Chase - "&amp;TEXT(AF56,"0")&amp;" owing",IF(AND(H56&lt;&gt;"Lost",H56&lt;&gt;"Inactive",H56&lt;&gt;"Paused",AC56="",K56&lt;&gt;"One-off"),"Book - nothing in the diary",IF(AND(S56&lt;&gt;"",S56-TodayDate&lt;=RenewalWarningDays,S56&gt;=TodayDate),"Due - contract renews soon",IF(AP56="At risk","Call - going quiet",IF(AL56&gt;=2,"Check - complaints logged",IF(AND(AI56&lt;&gt;"",AI56&lt;MarginFloor,Y56&gt;0),"Check - thin margin","OK")))))))</f>
        <v>0</v>
      </c>
    </row>
    <row r="57" spans="1:45">
      <c r="A57" s="43">
        <f>IF(B57="","",ClientPrefix&amp;TEXT(ROW()-4,"0000"))</f>
        <v>0</v>
      </c>
      <c r="W57" s="31">
        <f>IF(A57="","",COUNTIFS(Properties!$C$5:$C$254,A57))</f>
        <v>0</v>
      </c>
      <c r="X57" s="31">
        <f>IF(A57="","",COUNTIFS(Jobs!$G$5:$G$604,A57))</f>
        <v>0</v>
      </c>
      <c r="Y57" s="31">
        <f>IF(A57="","",COUNTIFS(Jobs!$G$5:$G$604,A57,Jobs!$P$5:$P$604,"Completed")+COUNTIFS(Jobs!$G$5:$G$604,A57,Jobs!$P$5:$P$604,"Invoiced"))</f>
        <v>0</v>
      </c>
      <c r="Z57" s="31">
        <f>IF(A57="","",COUNTIFS(Jobs!$G$5:$G$604,A57,Jobs!$P$5:$P$604,"Cancelled")+COUNTIFS(Jobs!$G$5:$G$604,A57,Jobs!$P$5:$P$604,"No access"))</f>
        <v>0</v>
      </c>
      <c r="AA57" s="18">
        <f>IF(A57="","",IF(SUMPRODUCT(MAX((Jobs!$G$5:$G$604=A57)*((Jobs!$P$5:$P$604="Completed")+(Jobs!$P$5:$P$604="Invoiced"))*Jobs!$B$5:$B$604))=0,"",SUMPRODUCT(MAX((Jobs!$G$5:$G$604=A57)*((Jobs!$P$5:$P$604="Completed")+(Jobs!$P$5:$P$604="Invoiced"))*Jobs!$B$5:$B$604))))</f>
        <v>0</v>
      </c>
      <c r="AB57" s="31">
        <f>IF(AA57="","",TodayDate-AA57)</f>
        <v>0</v>
      </c>
      <c r="AC57" s="18">
        <f>IF(A57="","",IF(SUMPRODUCT(MIN((Jobs!$G$5:$G$604=A57)*(Jobs!$B$5:$B$604&gt;=TodayDate)*(Jobs!$P$5:$P$604&lt;&gt;"Cancelled")*Jobs!$B$5:$B$604+(1-(Jobs!$G$5:$G$604=A57)*(Jobs!$B$5:$B$604&gt;=TodayDate)*(Jobs!$P$5:$P$604&lt;&gt;"Cancelled"))*2958465))=2958465,"",SUMPRODUCT(MIN((Jobs!$G$5:$G$604=A57)*(Jobs!$B$5:$B$604&gt;=TodayDate)*(Jobs!$P$5:$P$604&lt;&gt;"Cancelled")*Jobs!$B$5:$B$604+(1-(Jobs!$G$5:$G$604=A57)*(Jobs!$B$5:$B$604&gt;=TodayDate)*(Jobs!$P$5:$P$604&lt;&gt;"Cancelled"))*2958465))))</f>
        <v>0</v>
      </c>
      <c r="AD57" s="21">
        <f>IF(A57="","",SUMIFS(Invoices!$V$5:$V$404,Invoices!$D$5:$D$404,A57))</f>
        <v>0</v>
      </c>
      <c r="AE57" s="21">
        <f>IF(A57="","",SUMIFS(Invoices!$W$5:$W$404,Invoices!$D$5:$D$404,A57))</f>
        <v>0</v>
      </c>
      <c r="AF57" s="21">
        <f>IF(A57="","",AD57-AE57)</f>
        <v>0</v>
      </c>
      <c r="AG57" s="21">
        <f>IF(OR(A57="",Y57=0),"",AD57/Y57)</f>
        <v>0</v>
      </c>
      <c r="AH57" s="21">
        <f>IF(A57="","",SUMIFS('Job Costing'!$U$5:$U$604,'Job Costing'!$D$5:$D$604,A57))</f>
        <v>0</v>
      </c>
      <c r="AI57" s="38">
        <f>IF(OR(A57="",AD57=0),"",AH57/AD57)</f>
        <v>0</v>
      </c>
      <c r="AJ57" s="21">
        <f>IF(OR(A57="",K57="",AG57=""),"",AG57*IFERROR(INDEX(FreqPerYear,MATCH(K57,FreqNames,0)),1))</f>
        <v>0</v>
      </c>
      <c r="AK57" s="34">
        <f>IF(A57="","",IFERROR(AVERAGEIFS(Jobs!$AA$5:$AA$604,Jobs!$G$5:$G$604,A57,Jobs!$AA$5:$AA$604,"&gt;0"),""))</f>
        <v>0</v>
      </c>
      <c r="AL57" s="31">
        <f>IF(A57="","",COUNTIFS(Complaints!$D$5:$D$84,A57))</f>
        <v>0</v>
      </c>
      <c r="AM57" s="31">
        <f>IF(B57="","",COUNTIFS($AD$5:$AD$204,"&gt;"&amp;AD57)+COUNTIFS($AD$5:AD57,AD57))</f>
        <v>0</v>
      </c>
      <c r="AN57" s="31">
        <f>IF(B57="","",COUNTIFS($AH$5:$AH$204,"&gt;"&amp;AH57)+COUNTIFS($AH$5:AH57,AH57))</f>
        <v>0</v>
      </c>
      <c r="AO57" s="31">
        <f>IF(B57="","",COUNTIFS($AJ$5:$AJ$204,"&gt;"&amp;AJ57)+COUNTIFS($AJ$5:AJ57,AJ57))</f>
        <v>0</v>
      </c>
      <c r="AP57" s="39">
        <f>IF(B57="","",IF(H57="Lost","Lost",IF(H57="Inactive","Dormant",IF(AA57="","Dormant",IF(AB57&gt;InactiveClientDays*2,"Dormant",IF(AB57&gt;InactiveClientDays,"At risk",IF(AC57="","Slipping",IF(Y57&gt;=10,"Loyal","Steady"))))))))</f>
        <v>0</v>
      </c>
      <c r="AQ57" s="34">
        <f>IF(OR(B57="",AP57="Lost",AP57="Dormant"),"",IF(OR(AP57="At risk",AP57="Slipping"),IF(AB57="",999,AB57),""))</f>
        <v>0</v>
      </c>
      <c r="AR57" s="31">
        <f>IF(AQ57="","",COUNTIFS($AQ$5:$AQ$204,"&gt;"&amp;AQ57)+COUNTIFS($AQ$5:AQ57,AQ57))</f>
        <v>0</v>
      </c>
      <c r="AS57" s="39">
        <f>IF(B57="","",IF(AF57&gt;0.5,"Chase - "&amp;TEXT(AF57,"0")&amp;" owing",IF(AND(H57&lt;&gt;"Lost",H57&lt;&gt;"Inactive",H57&lt;&gt;"Paused",AC57="",K57&lt;&gt;"One-off"),"Book - nothing in the diary",IF(AND(S57&lt;&gt;"",S57-TodayDate&lt;=RenewalWarningDays,S57&gt;=TodayDate),"Due - contract renews soon",IF(AP57="At risk","Call - going quiet",IF(AL57&gt;=2,"Check - complaints logged",IF(AND(AI57&lt;&gt;"",AI57&lt;MarginFloor,Y57&gt;0),"Check - thin margin","OK")))))))</f>
        <v>0</v>
      </c>
    </row>
    <row r="58" spans="1:45">
      <c r="A58" s="43">
        <f>IF(B58="","",ClientPrefix&amp;TEXT(ROW()-4,"0000"))</f>
        <v>0</v>
      </c>
      <c r="W58" s="31">
        <f>IF(A58="","",COUNTIFS(Properties!$C$5:$C$254,A58))</f>
        <v>0</v>
      </c>
      <c r="X58" s="31">
        <f>IF(A58="","",COUNTIFS(Jobs!$G$5:$G$604,A58))</f>
        <v>0</v>
      </c>
      <c r="Y58" s="31">
        <f>IF(A58="","",COUNTIFS(Jobs!$G$5:$G$604,A58,Jobs!$P$5:$P$604,"Completed")+COUNTIFS(Jobs!$G$5:$G$604,A58,Jobs!$P$5:$P$604,"Invoiced"))</f>
        <v>0</v>
      </c>
      <c r="Z58" s="31">
        <f>IF(A58="","",COUNTIFS(Jobs!$G$5:$G$604,A58,Jobs!$P$5:$P$604,"Cancelled")+COUNTIFS(Jobs!$G$5:$G$604,A58,Jobs!$P$5:$P$604,"No access"))</f>
        <v>0</v>
      </c>
      <c r="AA58" s="18">
        <f>IF(A58="","",IF(SUMPRODUCT(MAX((Jobs!$G$5:$G$604=A58)*((Jobs!$P$5:$P$604="Completed")+(Jobs!$P$5:$P$604="Invoiced"))*Jobs!$B$5:$B$604))=0,"",SUMPRODUCT(MAX((Jobs!$G$5:$G$604=A58)*((Jobs!$P$5:$P$604="Completed")+(Jobs!$P$5:$P$604="Invoiced"))*Jobs!$B$5:$B$604))))</f>
        <v>0</v>
      </c>
      <c r="AB58" s="31">
        <f>IF(AA58="","",TodayDate-AA58)</f>
        <v>0</v>
      </c>
      <c r="AC58" s="18">
        <f>IF(A58="","",IF(SUMPRODUCT(MIN((Jobs!$G$5:$G$604=A58)*(Jobs!$B$5:$B$604&gt;=TodayDate)*(Jobs!$P$5:$P$604&lt;&gt;"Cancelled")*Jobs!$B$5:$B$604+(1-(Jobs!$G$5:$G$604=A58)*(Jobs!$B$5:$B$604&gt;=TodayDate)*(Jobs!$P$5:$P$604&lt;&gt;"Cancelled"))*2958465))=2958465,"",SUMPRODUCT(MIN((Jobs!$G$5:$G$604=A58)*(Jobs!$B$5:$B$604&gt;=TodayDate)*(Jobs!$P$5:$P$604&lt;&gt;"Cancelled")*Jobs!$B$5:$B$604+(1-(Jobs!$G$5:$G$604=A58)*(Jobs!$B$5:$B$604&gt;=TodayDate)*(Jobs!$P$5:$P$604&lt;&gt;"Cancelled"))*2958465))))</f>
        <v>0</v>
      </c>
      <c r="AD58" s="21">
        <f>IF(A58="","",SUMIFS(Invoices!$V$5:$V$404,Invoices!$D$5:$D$404,A58))</f>
        <v>0</v>
      </c>
      <c r="AE58" s="21">
        <f>IF(A58="","",SUMIFS(Invoices!$W$5:$W$404,Invoices!$D$5:$D$404,A58))</f>
        <v>0</v>
      </c>
      <c r="AF58" s="21">
        <f>IF(A58="","",AD58-AE58)</f>
        <v>0</v>
      </c>
      <c r="AG58" s="21">
        <f>IF(OR(A58="",Y58=0),"",AD58/Y58)</f>
        <v>0</v>
      </c>
      <c r="AH58" s="21">
        <f>IF(A58="","",SUMIFS('Job Costing'!$U$5:$U$604,'Job Costing'!$D$5:$D$604,A58))</f>
        <v>0</v>
      </c>
      <c r="AI58" s="38">
        <f>IF(OR(A58="",AD58=0),"",AH58/AD58)</f>
        <v>0</v>
      </c>
      <c r="AJ58" s="21">
        <f>IF(OR(A58="",K58="",AG58=""),"",AG58*IFERROR(INDEX(FreqPerYear,MATCH(K58,FreqNames,0)),1))</f>
        <v>0</v>
      </c>
      <c r="AK58" s="34">
        <f>IF(A58="","",IFERROR(AVERAGEIFS(Jobs!$AA$5:$AA$604,Jobs!$G$5:$G$604,A58,Jobs!$AA$5:$AA$604,"&gt;0"),""))</f>
        <v>0</v>
      </c>
      <c r="AL58" s="31">
        <f>IF(A58="","",COUNTIFS(Complaints!$D$5:$D$84,A58))</f>
        <v>0</v>
      </c>
      <c r="AM58" s="31">
        <f>IF(B58="","",COUNTIFS($AD$5:$AD$204,"&gt;"&amp;AD58)+COUNTIFS($AD$5:AD58,AD58))</f>
        <v>0</v>
      </c>
      <c r="AN58" s="31">
        <f>IF(B58="","",COUNTIFS($AH$5:$AH$204,"&gt;"&amp;AH58)+COUNTIFS($AH$5:AH58,AH58))</f>
        <v>0</v>
      </c>
      <c r="AO58" s="31">
        <f>IF(B58="","",COUNTIFS($AJ$5:$AJ$204,"&gt;"&amp;AJ58)+COUNTIFS($AJ$5:AJ58,AJ58))</f>
        <v>0</v>
      </c>
      <c r="AP58" s="39">
        <f>IF(B58="","",IF(H58="Lost","Lost",IF(H58="Inactive","Dormant",IF(AA58="","Dormant",IF(AB58&gt;InactiveClientDays*2,"Dormant",IF(AB58&gt;InactiveClientDays,"At risk",IF(AC58="","Slipping",IF(Y58&gt;=10,"Loyal","Steady"))))))))</f>
        <v>0</v>
      </c>
      <c r="AQ58" s="34">
        <f>IF(OR(B58="",AP58="Lost",AP58="Dormant"),"",IF(OR(AP58="At risk",AP58="Slipping"),IF(AB58="",999,AB58),""))</f>
        <v>0</v>
      </c>
      <c r="AR58" s="31">
        <f>IF(AQ58="","",COUNTIFS($AQ$5:$AQ$204,"&gt;"&amp;AQ58)+COUNTIFS($AQ$5:AQ58,AQ58))</f>
        <v>0</v>
      </c>
      <c r="AS58" s="39">
        <f>IF(B58="","",IF(AF58&gt;0.5,"Chase - "&amp;TEXT(AF58,"0")&amp;" owing",IF(AND(H58&lt;&gt;"Lost",H58&lt;&gt;"Inactive",H58&lt;&gt;"Paused",AC58="",K58&lt;&gt;"One-off"),"Book - nothing in the diary",IF(AND(S58&lt;&gt;"",S58-TodayDate&lt;=RenewalWarningDays,S58&gt;=TodayDate),"Due - contract renews soon",IF(AP58="At risk","Call - going quiet",IF(AL58&gt;=2,"Check - complaints logged",IF(AND(AI58&lt;&gt;"",AI58&lt;MarginFloor,Y58&gt;0),"Check - thin margin","OK")))))))</f>
        <v>0</v>
      </c>
    </row>
    <row r="59" spans="1:45">
      <c r="A59" s="43">
        <f>IF(B59="","",ClientPrefix&amp;TEXT(ROW()-4,"0000"))</f>
        <v>0</v>
      </c>
      <c r="W59" s="31">
        <f>IF(A59="","",COUNTIFS(Properties!$C$5:$C$254,A59))</f>
        <v>0</v>
      </c>
      <c r="X59" s="31">
        <f>IF(A59="","",COUNTIFS(Jobs!$G$5:$G$604,A59))</f>
        <v>0</v>
      </c>
      <c r="Y59" s="31">
        <f>IF(A59="","",COUNTIFS(Jobs!$G$5:$G$604,A59,Jobs!$P$5:$P$604,"Completed")+COUNTIFS(Jobs!$G$5:$G$604,A59,Jobs!$P$5:$P$604,"Invoiced"))</f>
        <v>0</v>
      </c>
      <c r="Z59" s="31">
        <f>IF(A59="","",COUNTIFS(Jobs!$G$5:$G$604,A59,Jobs!$P$5:$P$604,"Cancelled")+COUNTIFS(Jobs!$G$5:$G$604,A59,Jobs!$P$5:$P$604,"No access"))</f>
        <v>0</v>
      </c>
      <c r="AA59" s="18">
        <f>IF(A59="","",IF(SUMPRODUCT(MAX((Jobs!$G$5:$G$604=A59)*((Jobs!$P$5:$P$604="Completed")+(Jobs!$P$5:$P$604="Invoiced"))*Jobs!$B$5:$B$604))=0,"",SUMPRODUCT(MAX((Jobs!$G$5:$G$604=A59)*((Jobs!$P$5:$P$604="Completed")+(Jobs!$P$5:$P$604="Invoiced"))*Jobs!$B$5:$B$604))))</f>
        <v>0</v>
      </c>
      <c r="AB59" s="31">
        <f>IF(AA59="","",TodayDate-AA59)</f>
        <v>0</v>
      </c>
      <c r="AC59" s="18">
        <f>IF(A59="","",IF(SUMPRODUCT(MIN((Jobs!$G$5:$G$604=A59)*(Jobs!$B$5:$B$604&gt;=TodayDate)*(Jobs!$P$5:$P$604&lt;&gt;"Cancelled")*Jobs!$B$5:$B$604+(1-(Jobs!$G$5:$G$604=A59)*(Jobs!$B$5:$B$604&gt;=TodayDate)*(Jobs!$P$5:$P$604&lt;&gt;"Cancelled"))*2958465))=2958465,"",SUMPRODUCT(MIN((Jobs!$G$5:$G$604=A59)*(Jobs!$B$5:$B$604&gt;=TodayDate)*(Jobs!$P$5:$P$604&lt;&gt;"Cancelled")*Jobs!$B$5:$B$604+(1-(Jobs!$G$5:$G$604=A59)*(Jobs!$B$5:$B$604&gt;=TodayDate)*(Jobs!$P$5:$P$604&lt;&gt;"Cancelled"))*2958465))))</f>
        <v>0</v>
      </c>
      <c r="AD59" s="21">
        <f>IF(A59="","",SUMIFS(Invoices!$V$5:$V$404,Invoices!$D$5:$D$404,A59))</f>
        <v>0</v>
      </c>
      <c r="AE59" s="21">
        <f>IF(A59="","",SUMIFS(Invoices!$W$5:$W$404,Invoices!$D$5:$D$404,A59))</f>
        <v>0</v>
      </c>
      <c r="AF59" s="21">
        <f>IF(A59="","",AD59-AE59)</f>
        <v>0</v>
      </c>
      <c r="AG59" s="21">
        <f>IF(OR(A59="",Y59=0),"",AD59/Y59)</f>
        <v>0</v>
      </c>
      <c r="AH59" s="21">
        <f>IF(A59="","",SUMIFS('Job Costing'!$U$5:$U$604,'Job Costing'!$D$5:$D$604,A59))</f>
        <v>0</v>
      </c>
      <c r="AI59" s="38">
        <f>IF(OR(A59="",AD59=0),"",AH59/AD59)</f>
        <v>0</v>
      </c>
      <c r="AJ59" s="21">
        <f>IF(OR(A59="",K59="",AG59=""),"",AG59*IFERROR(INDEX(FreqPerYear,MATCH(K59,FreqNames,0)),1))</f>
        <v>0</v>
      </c>
      <c r="AK59" s="34">
        <f>IF(A59="","",IFERROR(AVERAGEIFS(Jobs!$AA$5:$AA$604,Jobs!$G$5:$G$604,A59,Jobs!$AA$5:$AA$604,"&gt;0"),""))</f>
        <v>0</v>
      </c>
      <c r="AL59" s="31">
        <f>IF(A59="","",COUNTIFS(Complaints!$D$5:$D$84,A59))</f>
        <v>0</v>
      </c>
      <c r="AM59" s="31">
        <f>IF(B59="","",COUNTIFS($AD$5:$AD$204,"&gt;"&amp;AD59)+COUNTIFS($AD$5:AD59,AD59))</f>
        <v>0</v>
      </c>
      <c r="AN59" s="31">
        <f>IF(B59="","",COUNTIFS($AH$5:$AH$204,"&gt;"&amp;AH59)+COUNTIFS($AH$5:AH59,AH59))</f>
        <v>0</v>
      </c>
      <c r="AO59" s="31">
        <f>IF(B59="","",COUNTIFS($AJ$5:$AJ$204,"&gt;"&amp;AJ59)+COUNTIFS($AJ$5:AJ59,AJ59))</f>
        <v>0</v>
      </c>
      <c r="AP59" s="39">
        <f>IF(B59="","",IF(H59="Lost","Lost",IF(H59="Inactive","Dormant",IF(AA59="","Dormant",IF(AB59&gt;InactiveClientDays*2,"Dormant",IF(AB59&gt;InactiveClientDays,"At risk",IF(AC59="","Slipping",IF(Y59&gt;=10,"Loyal","Steady"))))))))</f>
        <v>0</v>
      </c>
      <c r="AQ59" s="34">
        <f>IF(OR(B59="",AP59="Lost",AP59="Dormant"),"",IF(OR(AP59="At risk",AP59="Slipping"),IF(AB59="",999,AB59),""))</f>
        <v>0</v>
      </c>
      <c r="AR59" s="31">
        <f>IF(AQ59="","",COUNTIFS($AQ$5:$AQ$204,"&gt;"&amp;AQ59)+COUNTIFS($AQ$5:AQ59,AQ59))</f>
        <v>0</v>
      </c>
      <c r="AS59" s="39">
        <f>IF(B59="","",IF(AF59&gt;0.5,"Chase - "&amp;TEXT(AF59,"0")&amp;" owing",IF(AND(H59&lt;&gt;"Lost",H59&lt;&gt;"Inactive",H59&lt;&gt;"Paused",AC59="",K59&lt;&gt;"One-off"),"Book - nothing in the diary",IF(AND(S59&lt;&gt;"",S59-TodayDate&lt;=RenewalWarningDays,S59&gt;=TodayDate),"Due - contract renews soon",IF(AP59="At risk","Call - going quiet",IF(AL59&gt;=2,"Check - complaints logged",IF(AND(AI59&lt;&gt;"",AI59&lt;MarginFloor,Y59&gt;0),"Check - thin margin","OK")))))))</f>
        <v>0</v>
      </c>
    </row>
    <row r="60" spans="1:45">
      <c r="A60" s="43">
        <f>IF(B60="","",ClientPrefix&amp;TEXT(ROW()-4,"0000"))</f>
        <v>0</v>
      </c>
      <c r="W60" s="31">
        <f>IF(A60="","",COUNTIFS(Properties!$C$5:$C$254,A60))</f>
        <v>0</v>
      </c>
      <c r="X60" s="31">
        <f>IF(A60="","",COUNTIFS(Jobs!$G$5:$G$604,A60))</f>
        <v>0</v>
      </c>
      <c r="Y60" s="31">
        <f>IF(A60="","",COUNTIFS(Jobs!$G$5:$G$604,A60,Jobs!$P$5:$P$604,"Completed")+COUNTIFS(Jobs!$G$5:$G$604,A60,Jobs!$P$5:$P$604,"Invoiced"))</f>
        <v>0</v>
      </c>
      <c r="Z60" s="31">
        <f>IF(A60="","",COUNTIFS(Jobs!$G$5:$G$604,A60,Jobs!$P$5:$P$604,"Cancelled")+COUNTIFS(Jobs!$G$5:$G$604,A60,Jobs!$P$5:$P$604,"No access"))</f>
        <v>0</v>
      </c>
      <c r="AA60" s="18">
        <f>IF(A60="","",IF(SUMPRODUCT(MAX((Jobs!$G$5:$G$604=A60)*((Jobs!$P$5:$P$604="Completed")+(Jobs!$P$5:$P$604="Invoiced"))*Jobs!$B$5:$B$604))=0,"",SUMPRODUCT(MAX((Jobs!$G$5:$G$604=A60)*((Jobs!$P$5:$P$604="Completed")+(Jobs!$P$5:$P$604="Invoiced"))*Jobs!$B$5:$B$604))))</f>
        <v>0</v>
      </c>
      <c r="AB60" s="31">
        <f>IF(AA60="","",TodayDate-AA60)</f>
        <v>0</v>
      </c>
      <c r="AC60" s="18">
        <f>IF(A60="","",IF(SUMPRODUCT(MIN((Jobs!$G$5:$G$604=A60)*(Jobs!$B$5:$B$604&gt;=TodayDate)*(Jobs!$P$5:$P$604&lt;&gt;"Cancelled")*Jobs!$B$5:$B$604+(1-(Jobs!$G$5:$G$604=A60)*(Jobs!$B$5:$B$604&gt;=TodayDate)*(Jobs!$P$5:$P$604&lt;&gt;"Cancelled"))*2958465))=2958465,"",SUMPRODUCT(MIN((Jobs!$G$5:$G$604=A60)*(Jobs!$B$5:$B$604&gt;=TodayDate)*(Jobs!$P$5:$P$604&lt;&gt;"Cancelled")*Jobs!$B$5:$B$604+(1-(Jobs!$G$5:$G$604=A60)*(Jobs!$B$5:$B$604&gt;=TodayDate)*(Jobs!$P$5:$P$604&lt;&gt;"Cancelled"))*2958465))))</f>
        <v>0</v>
      </c>
      <c r="AD60" s="21">
        <f>IF(A60="","",SUMIFS(Invoices!$V$5:$V$404,Invoices!$D$5:$D$404,A60))</f>
        <v>0</v>
      </c>
      <c r="AE60" s="21">
        <f>IF(A60="","",SUMIFS(Invoices!$W$5:$W$404,Invoices!$D$5:$D$404,A60))</f>
        <v>0</v>
      </c>
      <c r="AF60" s="21">
        <f>IF(A60="","",AD60-AE60)</f>
        <v>0</v>
      </c>
      <c r="AG60" s="21">
        <f>IF(OR(A60="",Y60=0),"",AD60/Y60)</f>
        <v>0</v>
      </c>
      <c r="AH60" s="21">
        <f>IF(A60="","",SUMIFS('Job Costing'!$U$5:$U$604,'Job Costing'!$D$5:$D$604,A60))</f>
        <v>0</v>
      </c>
      <c r="AI60" s="38">
        <f>IF(OR(A60="",AD60=0),"",AH60/AD60)</f>
        <v>0</v>
      </c>
      <c r="AJ60" s="21">
        <f>IF(OR(A60="",K60="",AG60=""),"",AG60*IFERROR(INDEX(FreqPerYear,MATCH(K60,FreqNames,0)),1))</f>
        <v>0</v>
      </c>
      <c r="AK60" s="34">
        <f>IF(A60="","",IFERROR(AVERAGEIFS(Jobs!$AA$5:$AA$604,Jobs!$G$5:$G$604,A60,Jobs!$AA$5:$AA$604,"&gt;0"),""))</f>
        <v>0</v>
      </c>
      <c r="AL60" s="31">
        <f>IF(A60="","",COUNTIFS(Complaints!$D$5:$D$84,A60))</f>
        <v>0</v>
      </c>
      <c r="AM60" s="31">
        <f>IF(B60="","",COUNTIFS($AD$5:$AD$204,"&gt;"&amp;AD60)+COUNTIFS($AD$5:AD60,AD60))</f>
        <v>0</v>
      </c>
      <c r="AN60" s="31">
        <f>IF(B60="","",COUNTIFS($AH$5:$AH$204,"&gt;"&amp;AH60)+COUNTIFS($AH$5:AH60,AH60))</f>
        <v>0</v>
      </c>
      <c r="AO60" s="31">
        <f>IF(B60="","",COUNTIFS($AJ$5:$AJ$204,"&gt;"&amp;AJ60)+COUNTIFS($AJ$5:AJ60,AJ60))</f>
        <v>0</v>
      </c>
      <c r="AP60" s="39">
        <f>IF(B60="","",IF(H60="Lost","Lost",IF(H60="Inactive","Dormant",IF(AA60="","Dormant",IF(AB60&gt;InactiveClientDays*2,"Dormant",IF(AB60&gt;InactiveClientDays,"At risk",IF(AC60="","Slipping",IF(Y60&gt;=10,"Loyal","Steady"))))))))</f>
        <v>0</v>
      </c>
      <c r="AQ60" s="34">
        <f>IF(OR(B60="",AP60="Lost",AP60="Dormant"),"",IF(OR(AP60="At risk",AP60="Slipping"),IF(AB60="",999,AB60),""))</f>
        <v>0</v>
      </c>
      <c r="AR60" s="31">
        <f>IF(AQ60="","",COUNTIFS($AQ$5:$AQ$204,"&gt;"&amp;AQ60)+COUNTIFS($AQ$5:AQ60,AQ60))</f>
        <v>0</v>
      </c>
      <c r="AS60" s="39">
        <f>IF(B60="","",IF(AF60&gt;0.5,"Chase - "&amp;TEXT(AF60,"0")&amp;" owing",IF(AND(H60&lt;&gt;"Lost",H60&lt;&gt;"Inactive",H60&lt;&gt;"Paused",AC60="",K60&lt;&gt;"One-off"),"Book - nothing in the diary",IF(AND(S60&lt;&gt;"",S60-TodayDate&lt;=RenewalWarningDays,S60&gt;=TodayDate),"Due - contract renews soon",IF(AP60="At risk","Call - going quiet",IF(AL60&gt;=2,"Check - complaints logged",IF(AND(AI60&lt;&gt;"",AI60&lt;MarginFloor,Y60&gt;0),"Check - thin margin","OK")))))))</f>
        <v>0</v>
      </c>
    </row>
    <row r="61" spans="1:45">
      <c r="A61" s="43">
        <f>IF(B61="","",ClientPrefix&amp;TEXT(ROW()-4,"0000"))</f>
        <v>0</v>
      </c>
      <c r="W61" s="31">
        <f>IF(A61="","",COUNTIFS(Properties!$C$5:$C$254,A61))</f>
        <v>0</v>
      </c>
      <c r="X61" s="31">
        <f>IF(A61="","",COUNTIFS(Jobs!$G$5:$G$604,A61))</f>
        <v>0</v>
      </c>
      <c r="Y61" s="31">
        <f>IF(A61="","",COUNTIFS(Jobs!$G$5:$G$604,A61,Jobs!$P$5:$P$604,"Completed")+COUNTIFS(Jobs!$G$5:$G$604,A61,Jobs!$P$5:$P$604,"Invoiced"))</f>
        <v>0</v>
      </c>
      <c r="Z61" s="31">
        <f>IF(A61="","",COUNTIFS(Jobs!$G$5:$G$604,A61,Jobs!$P$5:$P$604,"Cancelled")+COUNTIFS(Jobs!$G$5:$G$604,A61,Jobs!$P$5:$P$604,"No access"))</f>
        <v>0</v>
      </c>
      <c r="AA61" s="18">
        <f>IF(A61="","",IF(SUMPRODUCT(MAX((Jobs!$G$5:$G$604=A61)*((Jobs!$P$5:$P$604="Completed")+(Jobs!$P$5:$P$604="Invoiced"))*Jobs!$B$5:$B$604))=0,"",SUMPRODUCT(MAX((Jobs!$G$5:$G$604=A61)*((Jobs!$P$5:$P$604="Completed")+(Jobs!$P$5:$P$604="Invoiced"))*Jobs!$B$5:$B$604))))</f>
        <v>0</v>
      </c>
      <c r="AB61" s="31">
        <f>IF(AA61="","",TodayDate-AA61)</f>
        <v>0</v>
      </c>
      <c r="AC61" s="18">
        <f>IF(A61="","",IF(SUMPRODUCT(MIN((Jobs!$G$5:$G$604=A61)*(Jobs!$B$5:$B$604&gt;=TodayDate)*(Jobs!$P$5:$P$604&lt;&gt;"Cancelled")*Jobs!$B$5:$B$604+(1-(Jobs!$G$5:$G$604=A61)*(Jobs!$B$5:$B$604&gt;=TodayDate)*(Jobs!$P$5:$P$604&lt;&gt;"Cancelled"))*2958465))=2958465,"",SUMPRODUCT(MIN((Jobs!$G$5:$G$604=A61)*(Jobs!$B$5:$B$604&gt;=TodayDate)*(Jobs!$P$5:$P$604&lt;&gt;"Cancelled")*Jobs!$B$5:$B$604+(1-(Jobs!$G$5:$G$604=A61)*(Jobs!$B$5:$B$604&gt;=TodayDate)*(Jobs!$P$5:$P$604&lt;&gt;"Cancelled"))*2958465))))</f>
        <v>0</v>
      </c>
      <c r="AD61" s="21">
        <f>IF(A61="","",SUMIFS(Invoices!$V$5:$V$404,Invoices!$D$5:$D$404,A61))</f>
        <v>0</v>
      </c>
      <c r="AE61" s="21">
        <f>IF(A61="","",SUMIFS(Invoices!$W$5:$W$404,Invoices!$D$5:$D$404,A61))</f>
        <v>0</v>
      </c>
      <c r="AF61" s="21">
        <f>IF(A61="","",AD61-AE61)</f>
        <v>0</v>
      </c>
      <c r="AG61" s="21">
        <f>IF(OR(A61="",Y61=0),"",AD61/Y61)</f>
        <v>0</v>
      </c>
      <c r="AH61" s="21">
        <f>IF(A61="","",SUMIFS('Job Costing'!$U$5:$U$604,'Job Costing'!$D$5:$D$604,A61))</f>
        <v>0</v>
      </c>
      <c r="AI61" s="38">
        <f>IF(OR(A61="",AD61=0),"",AH61/AD61)</f>
        <v>0</v>
      </c>
      <c r="AJ61" s="21">
        <f>IF(OR(A61="",K61="",AG61=""),"",AG61*IFERROR(INDEX(FreqPerYear,MATCH(K61,FreqNames,0)),1))</f>
        <v>0</v>
      </c>
      <c r="AK61" s="34">
        <f>IF(A61="","",IFERROR(AVERAGEIFS(Jobs!$AA$5:$AA$604,Jobs!$G$5:$G$604,A61,Jobs!$AA$5:$AA$604,"&gt;0"),""))</f>
        <v>0</v>
      </c>
      <c r="AL61" s="31">
        <f>IF(A61="","",COUNTIFS(Complaints!$D$5:$D$84,A61))</f>
        <v>0</v>
      </c>
      <c r="AM61" s="31">
        <f>IF(B61="","",COUNTIFS($AD$5:$AD$204,"&gt;"&amp;AD61)+COUNTIFS($AD$5:AD61,AD61))</f>
        <v>0</v>
      </c>
      <c r="AN61" s="31">
        <f>IF(B61="","",COUNTIFS($AH$5:$AH$204,"&gt;"&amp;AH61)+COUNTIFS($AH$5:AH61,AH61))</f>
        <v>0</v>
      </c>
      <c r="AO61" s="31">
        <f>IF(B61="","",COUNTIFS($AJ$5:$AJ$204,"&gt;"&amp;AJ61)+COUNTIFS($AJ$5:AJ61,AJ61))</f>
        <v>0</v>
      </c>
      <c r="AP61" s="39">
        <f>IF(B61="","",IF(H61="Lost","Lost",IF(H61="Inactive","Dormant",IF(AA61="","Dormant",IF(AB61&gt;InactiveClientDays*2,"Dormant",IF(AB61&gt;InactiveClientDays,"At risk",IF(AC61="","Slipping",IF(Y61&gt;=10,"Loyal","Steady"))))))))</f>
        <v>0</v>
      </c>
      <c r="AQ61" s="34">
        <f>IF(OR(B61="",AP61="Lost",AP61="Dormant"),"",IF(OR(AP61="At risk",AP61="Slipping"),IF(AB61="",999,AB61),""))</f>
        <v>0</v>
      </c>
      <c r="AR61" s="31">
        <f>IF(AQ61="","",COUNTIFS($AQ$5:$AQ$204,"&gt;"&amp;AQ61)+COUNTIFS($AQ$5:AQ61,AQ61))</f>
        <v>0</v>
      </c>
      <c r="AS61" s="39">
        <f>IF(B61="","",IF(AF61&gt;0.5,"Chase - "&amp;TEXT(AF61,"0")&amp;" owing",IF(AND(H61&lt;&gt;"Lost",H61&lt;&gt;"Inactive",H61&lt;&gt;"Paused",AC61="",K61&lt;&gt;"One-off"),"Book - nothing in the diary",IF(AND(S61&lt;&gt;"",S61-TodayDate&lt;=RenewalWarningDays,S61&gt;=TodayDate),"Due - contract renews soon",IF(AP61="At risk","Call - going quiet",IF(AL61&gt;=2,"Check - complaints logged",IF(AND(AI61&lt;&gt;"",AI61&lt;MarginFloor,Y61&gt;0),"Check - thin margin","OK")))))))</f>
        <v>0</v>
      </c>
    </row>
    <row r="62" spans="1:45">
      <c r="A62" s="43">
        <f>IF(B62="","",ClientPrefix&amp;TEXT(ROW()-4,"0000"))</f>
        <v>0</v>
      </c>
      <c r="W62" s="31">
        <f>IF(A62="","",COUNTIFS(Properties!$C$5:$C$254,A62))</f>
        <v>0</v>
      </c>
      <c r="X62" s="31">
        <f>IF(A62="","",COUNTIFS(Jobs!$G$5:$G$604,A62))</f>
        <v>0</v>
      </c>
      <c r="Y62" s="31">
        <f>IF(A62="","",COUNTIFS(Jobs!$G$5:$G$604,A62,Jobs!$P$5:$P$604,"Completed")+COUNTIFS(Jobs!$G$5:$G$604,A62,Jobs!$P$5:$P$604,"Invoiced"))</f>
        <v>0</v>
      </c>
      <c r="Z62" s="31">
        <f>IF(A62="","",COUNTIFS(Jobs!$G$5:$G$604,A62,Jobs!$P$5:$P$604,"Cancelled")+COUNTIFS(Jobs!$G$5:$G$604,A62,Jobs!$P$5:$P$604,"No access"))</f>
        <v>0</v>
      </c>
      <c r="AA62" s="18">
        <f>IF(A62="","",IF(SUMPRODUCT(MAX((Jobs!$G$5:$G$604=A62)*((Jobs!$P$5:$P$604="Completed")+(Jobs!$P$5:$P$604="Invoiced"))*Jobs!$B$5:$B$604))=0,"",SUMPRODUCT(MAX((Jobs!$G$5:$G$604=A62)*((Jobs!$P$5:$P$604="Completed")+(Jobs!$P$5:$P$604="Invoiced"))*Jobs!$B$5:$B$604))))</f>
        <v>0</v>
      </c>
      <c r="AB62" s="31">
        <f>IF(AA62="","",TodayDate-AA62)</f>
        <v>0</v>
      </c>
      <c r="AC62" s="18">
        <f>IF(A62="","",IF(SUMPRODUCT(MIN((Jobs!$G$5:$G$604=A62)*(Jobs!$B$5:$B$604&gt;=TodayDate)*(Jobs!$P$5:$P$604&lt;&gt;"Cancelled")*Jobs!$B$5:$B$604+(1-(Jobs!$G$5:$G$604=A62)*(Jobs!$B$5:$B$604&gt;=TodayDate)*(Jobs!$P$5:$P$604&lt;&gt;"Cancelled"))*2958465))=2958465,"",SUMPRODUCT(MIN((Jobs!$G$5:$G$604=A62)*(Jobs!$B$5:$B$604&gt;=TodayDate)*(Jobs!$P$5:$P$604&lt;&gt;"Cancelled")*Jobs!$B$5:$B$604+(1-(Jobs!$G$5:$G$604=A62)*(Jobs!$B$5:$B$604&gt;=TodayDate)*(Jobs!$P$5:$P$604&lt;&gt;"Cancelled"))*2958465))))</f>
        <v>0</v>
      </c>
      <c r="AD62" s="21">
        <f>IF(A62="","",SUMIFS(Invoices!$V$5:$V$404,Invoices!$D$5:$D$404,A62))</f>
        <v>0</v>
      </c>
      <c r="AE62" s="21">
        <f>IF(A62="","",SUMIFS(Invoices!$W$5:$W$404,Invoices!$D$5:$D$404,A62))</f>
        <v>0</v>
      </c>
      <c r="AF62" s="21">
        <f>IF(A62="","",AD62-AE62)</f>
        <v>0</v>
      </c>
      <c r="AG62" s="21">
        <f>IF(OR(A62="",Y62=0),"",AD62/Y62)</f>
        <v>0</v>
      </c>
      <c r="AH62" s="21">
        <f>IF(A62="","",SUMIFS('Job Costing'!$U$5:$U$604,'Job Costing'!$D$5:$D$604,A62))</f>
        <v>0</v>
      </c>
      <c r="AI62" s="38">
        <f>IF(OR(A62="",AD62=0),"",AH62/AD62)</f>
        <v>0</v>
      </c>
      <c r="AJ62" s="21">
        <f>IF(OR(A62="",K62="",AG62=""),"",AG62*IFERROR(INDEX(FreqPerYear,MATCH(K62,FreqNames,0)),1))</f>
        <v>0</v>
      </c>
      <c r="AK62" s="34">
        <f>IF(A62="","",IFERROR(AVERAGEIFS(Jobs!$AA$5:$AA$604,Jobs!$G$5:$G$604,A62,Jobs!$AA$5:$AA$604,"&gt;0"),""))</f>
        <v>0</v>
      </c>
      <c r="AL62" s="31">
        <f>IF(A62="","",COUNTIFS(Complaints!$D$5:$D$84,A62))</f>
        <v>0</v>
      </c>
      <c r="AM62" s="31">
        <f>IF(B62="","",COUNTIFS($AD$5:$AD$204,"&gt;"&amp;AD62)+COUNTIFS($AD$5:AD62,AD62))</f>
        <v>0</v>
      </c>
      <c r="AN62" s="31">
        <f>IF(B62="","",COUNTIFS($AH$5:$AH$204,"&gt;"&amp;AH62)+COUNTIFS($AH$5:AH62,AH62))</f>
        <v>0</v>
      </c>
      <c r="AO62" s="31">
        <f>IF(B62="","",COUNTIFS($AJ$5:$AJ$204,"&gt;"&amp;AJ62)+COUNTIFS($AJ$5:AJ62,AJ62))</f>
        <v>0</v>
      </c>
      <c r="AP62" s="39">
        <f>IF(B62="","",IF(H62="Lost","Lost",IF(H62="Inactive","Dormant",IF(AA62="","Dormant",IF(AB62&gt;InactiveClientDays*2,"Dormant",IF(AB62&gt;InactiveClientDays,"At risk",IF(AC62="","Slipping",IF(Y62&gt;=10,"Loyal","Steady"))))))))</f>
        <v>0</v>
      </c>
      <c r="AQ62" s="34">
        <f>IF(OR(B62="",AP62="Lost",AP62="Dormant"),"",IF(OR(AP62="At risk",AP62="Slipping"),IF(AB62="",999,AB62),""))</f>
        <v>0</v>
      </c>
      <c r="AR62" s="31">
        <f>IF(AQ62="","",COUNTIFS($AQ$5:$AQ$204,"&gt;"&amp;AQ62)+COUNTIFS($AQ$5:AQ62,AQ62))</f>
        <v>0</v>
      </c>
      <c r="AS62" s="39">
        <f>IF(B62="","",IF(AF62&gt;0.5,"Chase - "&amp;TEXT(AF62,"0")&amp;" owing",IF(AND(H62&lt;&gt;"Lost",H62&lt;&gt;"Inactive",H62&lt;&gt;"Paused",AC62="",K62&lt;&gt;"One-off"),"Book - nothing in the diary",IF(AND(S62&lt;&gt;"",S62-TodayDate&lt;=RenewalWarningDays,S62&gt;=TodayDate),"Due - contract renews soon",IF(AP62="At risk","Call - going quiet",IF(AL62&gt;=2,"Check - complaints logged",IF(AND(AI62&lt;&gt;"",AI62&lt;MarginFloor,Y62&gt;0),"Check - thin margin","OK")))))))</f>
        <v>0</v>
      </c>
    </row>
    <row r="63" spans="1:45">
      <c r="A63" s="43">
        <f>IF(B63="","",ClientPrefix&amp;TEXT(ROW()-4,"0000"))</f>
        <v>0</v>
      </c>
      <c r="W63" s="31">
        <f>IF(A63="","",COUNTIFS(Properties!$C$5:$C$254,A63))</f>
        <v>0</v>
      </c>
      <c r="X63" s="31">
        <f>IF(A63="","",COUNTIFS(Jobs!$G$5:$G$604,A63))</f>
        <v>0</v>
      </c>
      <c r="Y63" s="31">
        <f>IF(A63="","",COUNTIFS(Jobs!$G$5:$G$604,A63,Jobs!$P$5:$P$604,"Completed")+COUNTIFS(Jobs!$G$5:$G$604,A63,Jobs!$P$5:$P$604,"Invoiced"))</f>
        <v>0</v>
      </c>
      <c r="Z63" s="31">
        <f>IF(A63="","",COUNTIFS(Jobs!$G$5:$G$604,A63,Jobs!$P$5:$P$604,"Cancelled")+COUNTIFS(Jobs!$G$5:$G$604,A63,Jobs!$P$5:$P$604,"No access"))</f>
        <v>0</v>
      </c>
      <c r="AA63" s="18">
        <f>IF(A63="","",IF(SUMPRODUCT(MAX((Jobs!$G$5:$G$604=A63)*((Jobs!$P$5:$P$604="Completed")+(Jobs!$P$5:$P$604="Invoiced"))*Jobs!$B$5:$B$604))=0,"",SUMPRODUCT(MAX((Jobs!$G$5:$G$604=A63)*((Jobs!$P$5:$P$604="Completed")+(Jobs!$P$5:$P$604="Invoiced"))*Jobs!$B$5:$B$604))))</f>
        <v>0</v>
      </c>
      <c r="AB63" s="31">
        <f>IF(AA63="","",TodayDate-AA63)</f>
        <v>0</v>
      </c>
      <c r="AC63" s="18">
        <f>IF(A63="","",IF(SUMPRODUCT(MIN((Jobs!$G$5:$G$604=A63)*(Jobs!$B$5:$B$604&gt;=TodayDate)*(Jobs!$P$5:$P$604&lt;&gt;"Cancelled")*Jobs!$B$5:$B$604+(1-(Jobs!$G$5:$G$604=A63)*(Jobs!$B$5:$B$604&gt;=TodayDate)*(Jobs!$P$5:$P$604&lt;&gt;"Cancelled"))*2958465))=2958465,"",SUMPRODUCT(MIN((Jobs!$G$5:$G$604=A63)*(Jobs!$B$5:$B$604&gt;=TodayDate)*(Jobs!$P$5:$P$604&lt;&gt;"Cancelled")*Jobs!$B$5:$B$604+(1-(Jobs!$G$5:$G$604=A63)*(Jobs!$B$5:$B$604&gt;=TodayDate)*(Jobs!$P$5:$P$604&lt;&gt;"Cancelled"))*2958465))))</f>
        <v>0</v>
      </c>
      <c r="AD63" s="21">
        <f>IF(A63="","",SUMIFS(Invoices!$V$5:$V$404,Invoices!$D$5:$D$404,A63))</f>
        <v>0</v>
      </c>
      <c r="AE63" s="21">
        <f>IF(A63="","",SUMIFS(Invoices!$W$5:$W$404,Invoices!$D$5:$D$404,A63))</f>
        <v>0</v>
      </c>
      <c r="AF63" s="21">
        <f>IF(A63="","",AD63-AE63)</f>
        <v>0</v>
      </c>
      <c r="AG63" s="21">
        <f>IF(OR(A63="",Y63=0),"",AD63/Y63)</f>
        <v>0</v>
      </c>
      <c r="AH63" s="21">
        <f>IF(A63="","",SUMIFS('Job Costing'!$U$5:$U$604,'Job Costing'!$D$5:$D$604,A63))</f>
        <v>0</v>
      </c>
      <c r="AI63" s="38">
        <f>IF(OR(A63="",AD63=0),"",AH63/AD63)</f>
        <v>0</v>
      </c>
      <c r="AJ63" s="21">
        <f>IF(OR(A63="",K63="",AG63=""),"",AG63*IFERROR(INDEX(FreqPerYear,MATCH(K63,FreqNames,0)),1))</f>
        <v>0</v>
      </c>
      <c r="AK63" s="34">
        <f>IF(A63="","",IFERROR(AVERAGEIFS(Jobs!$AA$5:$AA$604,Jobs!$G$5:$G$604,A63,Jobs!$AA$5:$AA$604,"&gt;0"),""))</f>
        <v>0</v>
      </c>
      <c r="AL63" s="31">
        <f>IF(A63="","",COUNTIFS(Complaints!$D$5:$D$84,A63))</f>
        <v>0</v>
      </c>
      <c r="AM63" s="31">
        <f>IF(B63="","",COUNTIFS($AD$5:$AD$204,"&gt;"&amp;AD63)+COUNTIFS($AD$5:AD63,AD63))</f>
        <v>0</v>
      </c>
      <c r="AN63" s="31">
        <f>IF(B63="","",COUNTIFS($AH$5:$AH$204,"&gt;"&amp;AH63)+COUNTIFS($AH$5:AH63,AH63))</f>
        <v>0</v>
      </c>
      <c r="AO63" s="31">
        <f>IF(B63="","",COUNTIFS($AJ$5:$AJ$204,"&gt;"&amp;AJ63)+COUNTIFS($AJ$5:AJ63,AJ63))</f>
        <v>0</v>
      </c>
      <c r="AP63" s="39">
        <f>IF(B63="","",IF(H63="Lost","Lost",IF(H63="Inactive","Dormant",IF(AA63="","Dormant",IF(AB63&gt;InactiveClientDays*2,"Dormant",IF(AB63&gt;InactiveClientDays,"At risk",IF(AC63="","Slipping",IF(Y63&gt;=10,"Loyal","Steady"))))))))</f>
        <v>0</v>
      </c>
      <c r="AQ63" s="34">
        <f>IF(OR(B63="",AP63="Lost",AP63="Dormant"),"",IF(OR(AP63="At risk",AP63="Slipping"),IF(AB63="",999,AB63),""))</f>
        <v>0</v>
      </c>
      <c r="AR63" s="31">
        <f>IF(AQ63="","",COUNTIFS($AQ$5:$AQ$204,"&gt;"&amp;AQ63)+COUNTIFS($AQ$5:AQ63,AQ63))</f>
        <v>0</v>
      </c>
      <c r="AS63" s="39">
        <f>IF(B63="","",IF(AF63&gt;0.5,"Chase - "&amp;TEXT(AF63,"0")&amp;" owing",IF(AND(H63&lt;&gt;"Lost",H63&lt;&gt;"Inactive",H63&lt;&gt;"Paused",AC63="",K63&lt;&gt;"One-off"),"Book - nothing in the diary",IF(AND(S63&lt;&gt;"",S63-TodayDate&lt;=RenewalWarningDays,S63&gt;=TodayDate),"Due - contract renews soon",IF(AP63="At risk","Call - going quiet",IF(AL63&gt;=2,"Check - complaints logged",IF(AND(AI63&lt;&gt;"",AI63&lt;MarginFloor,Y63&gt;0),"Check - thin margin","OK")))))))</f>
        <v>0</v>
      </c>
    </row>
    <row r="64" spans="1:45">
      <c r="A64" s="43">
        <f>IF(B64="","",ClientPrefix&amp;TEXT(ROW()-4,"0000"))</f>
        <v>0</v>
      </c>
      <c r="W64" s="31">
        <f>IF(A64="","",COUNTIFS(Properties!$C$5:$C$254,A64))</f>
        <v>0</v>
      </c>
      <c r="X64" s="31">
        <f>IF(A64="","",COUNTIFS(Jobs!$G$5:$G$604,A64))</f>
        <v>0</v>
      </c>
      <c r="Y64" s="31">
        <f>IF(A64="","",COUNTIFS(Jobs!$G$5:$G$604,A64,Jobs!$P$5:$P$604,"Completed")+COUNTIFS(Jobs!$G$5:$G$604,A64,Jobs!$P$5:$P$604,"Invoiced"))</f>
        <v>0</v>
      </c>
      <c r="Z64" s="31">
        <f>IF(A64="","",COUNTIFS(Jobs!$G$5:$G$604,A64,Jobs!$P$5:$P$604,"Cancelled")+COUNTIFS(Jobs!$G$5:$G$604,A64,Jobs!$P$5:$P$604,"No access"))</f>
        <v>0</v>
      </c>
      <c r="AA64" s="18">
        <f>IF(A64="","",IF(SUMPRODUCT(MAX((Jobs!$G$5:$G$604=A64)*((Jobs!$P$5:$P$604="Completed")+(Jobs!$P$5:$P$604="Invoiced"))*Jobs!$B$5:$B$604))=0,"",SUMPRODUCT(MAX((Jobs!$G$5:$G$604=A64)*((Jobs!$P$5:$P$604="Completed")+(Jobs!$P$5:$P$604="Invoiced"))*Jobs!$B$5:$B$604))))</f>
        <v>0</v>
      </c>
      <c r="AB64" s="31">
        <f>IF(AA64="","",TodayDate-AA64)</f>
        <v>0</v>
      </c>
      <c r="AC64" s="18">
        <f>IF(A64="","",IF(SUMPRODUCT(MIN((Jobs!$G$5:$G$604=A64)*(Jobs!$B$5:$B$604&gt;=TodayDate)*(Jobs!$P$5:$P$604&lt;&gt;"Cancelled")*Jobs!$B$5:$B$604+(1-(Jobs!$G$5:$G$604=A64)*(Jobs!$B$5:$B$604&gt;=TodayDate)*(Jobs!$P$5:$P$604&lt;&gt;"Cancelled"))*2958465))=2958465,"",SUMPRODUCT(MIN((Jobs!$G$5:$G$604=A64)*(Jobs!$B$5:$B$604&gt;=TodayDate)*(Jobs!$P$5:$P$604&lt;&gt;"Cancelled")*Jobs!$B$5:$B$604+(1-(Jobs!$G$5:$G$604=A64)*(Jobs!$B$5:$B$604&gt;=TodayDate)*(Jobs!$P$5:$P$604&lt;&gt;"Cancelled"))*2958465))))</f>
        <v>0</v>
      </c>
      <c r="AD64" s="21">
        <f>IF(A64="","",SUMIFS(Invoices!$V$5:$V$404,Invoices!$D$5:$D$404,A64))</f>
        <v>0</v>
      </c>
      <c r="AE64" s="21">
        <f>IF(A64="","",SUMIFS(Invoices!$W$5:$W$404,Invoices!$D$5:$D$404,A64))</f>
        <v>0</v>
      </c>
      <c r="AF64" s="21">
        <f>IF(A64="","",AD64-AE64)</f>
        <v>0</v>
      </c>
      <c r="AG64" s="21">
        <f>IF(OR(A64="",Y64=0),"",AD64/Y64)</f>
        <v>0</v>
      </c>
      <c r="AH64" s="21">
        <f>IF(A64="","",SUMIFS('Job Costing'!$U$5:$U$604,'Job Costing'!$D$5:$D$604,A64))</f>
        <v>0</v>
      </c>
      <c r="AI64" s="38">
        <f>IF(OR(A64="",AD64=0),"",AH64/AD64)</f>
        <v>0</v>
      </c>
      <c r="AJ64" s="21">
        <f>IF(OR(A64="",K64="",AG64=""),"",AG64*IFERROR(INDEX(FreqPerYear,MATCH(K64,FreqNames,0)),1))</f>
        <v>0</v>
      </c>
      <c r="AK64" s="34">
        <f>IF(A64="","",IFERROR(AVERAGEIFS(Jobs!$AA$5:$AA$604,Jobs!$G$5:$G$604,A64,Jobs!$AA$5:$AA$604,"&gt;0"),""))</f>
        <v>0</v>
      </c>
      <c r="AL64" s="31">
        <f>IF(A64="","",COUNTIFS(Complaints!$D$5:$D$84,A64))</f>
        <v>0</v>
      </c>
      <c r="AM64" s="31">
        <f>IF(B64="","",COUNTIFS($AD$5:$AD$204,"&gt;"&amp;AD64)+COUNTIFS($AD$5:AD64,AD64))</f>
        <v>0</v>
      </c>
      <c r="AN64" s="31">
        <f>IF(B64="","",COUNTIFS($AH$5:$AH$204,"&gt;"&amp;AH64)+COUNTIFS($AH$5:AH64,AH64))</f>
        <v>0</v>
      </c>
      <c r="AO64" s="31">
        <f>IF(B64="","",COUNTIFS($AJ$5:$AJ$204,"&gt;"&amp;AJ64)+COUNTIFS($AJ$5:AJ64,AJ64))</f>
        <v>0</v>
      </c>
      <c r="AP64" s="39">
        <f>IF(B64="","",IF(H64="Lost","Lost",IF(H64="Inactive","Dormant",IF(AA64="","Dormant",IF(AB64&gt;InactiveClientDays*2,"Dormant",IF(AB64&gt;InactiveClientDays,"At risk",IF(AC64="","Slipping",IF(Y64&gt;=10,"Loyal","Steady"))))))))</f>
        <v>0</v>
      </c>
      <c r="AQ64" s="34">
        <f>IF(OR(B64="",AP64="Lost",AP64="Dormant"),"",IF(OR(AP64="At risk",AP64="Slipping"),IF(AB64="",999,AB64),""))</f>
        <v>0</v>
      </c>
      <c r="AR64" s="31">
        <f>IF(AQ64="","",COUNTIFS($AQ$5:$AQ$204,"&gt;"&amp;AQ64)+COUNTIFS($AQ$5:AQ64,AQ64))</f>
        <v>0</v>
      </c>
      <c r="AS64" s="39">
        <f>IF(B64="","",IF(AF64&gt;0.5,"Chase - "&amp;TEXT(AF64,"0")&amp;" owing",IF(AND(H64&lt;&gt;"Lost",H64&lt;&gt;"Inactive",H64&lt;&gt;"Paused",AC64="",K64&lt;&gt;"One-off"),"Book - nothing in the diary",IF(AND(S64&lt;&gt;"",S64-TodayDate&lt;=RenewalWarningDays,S64&gt;=TodayDate),"Due - contract renews soon",IF(AP64="At risk","Call - going quiet",IF(AL64&gt;=2,"Check - complaints logged",IF(AND(AI64&lt;&gt;"",AI64&lt;MarginFloor,Y64&gt;0),"Check - thin margin","OK")))))))</f>
        <v>0</v>
      </c>
    </row>
    <row r="65" spans="1:45">
      <c r="A65" s="43">
        <f>IF(B65="","",ClientPrefix&amp;TEXT(ROW()-4,"0000"))</f>
        <v>0</v>
      </c>
      <c r="W65" s="31">
        <f>IF(A65="","",COUNTIFS(Properties!$C$5:$C$254,A65))</f>
        <v>0</v>
      </c>
      <c r="X65" s="31">
        <f>IF(A65="","",COUNTIFS(Jobs!$G$5:$G$604,A65))</f>
        <v>0</v>
      </c>
      <c r="Y65" s="31">
        <f>IF(A65="","",COUNTIFS(Jobs!$G$5:$G$604,A65,Jobs!$P$5:$P$604,"Completed")+COUNTIFS(Jobs!$G$5:$G$604,A65,Jobs!$P$5:$P$604,"Invoiced"))</f>
        <v>0</v>
      </c>
      <c r="Z65" s="31">
        <f>IF(A65="","",COUNTIFS(Jobs!$G$5:$G$604,A65,Jobs!$P$5:$P$604,"Cancelled")+COUNTIFS(Jobs!$G$5:$G$604,A65,Jobs!$P$5:$P$604,"No access"))</f>
        <v>0</v>
      </c>
      <c r="AA65" s="18">
        <f>IF(A65="","",IF(SUMPRODUCT(MAX((Jobs!$G$5:$G$604=A65)*((Jobs!$P$5:$P$604="Completed")+(Jobs!$P$5:$P$604="Invoiced"))*Jobs!$B$5:$B$604))=0,"",SUMPRODUCT(MAX((Jobs!$G$5:$G$604=A65)*((Jobs!$P$5:$P$604="Completed")+(Jobs!$P$5:$P$604="Invoiced"))*Jobs!$B$5:$B$604))))</f>
        <v>0</v>
      </c>
      <c r="AB65" s="31">
        <f>IF(AA65="","",TodayDate-AA65)</f>
        <v>0</v>
      </c>
      <c r="AC65" s="18">
        <f>IF(A65="","",IF(SUMPRODUCT(MIN((Jobs!$G$5:$G$604=A65)*(Jobs!$B$5:$B$604&gt;=TodayDate)*(Jobs!$P$5:$P$604&lt;&gt;"Cancelled")*Jobs!$B$5:$B$604+(1-(Jobs!$G$5:$G$604=A65)*(Jobs!$B$5:$B$604&gt;=TodayDate)*(Jobs!$P$5:$P$604&lt;&gt;"Cancelled"))*2958465))=2958465,"",SUMPRODUCT(MIN((Jobs!$G$5:$G$604=A65)*(Jobs!$B$5:$B$604&gt;=TodayDate)*(Jobs!$P$5:$P$604&lt;&gt;"Cancelled")*Jobs!$B$5:$B$604+(1-(Jobs!$G$5:$G$604=A65)*(Jobs!$B$5:$B$604&gt;=TodayDate)*(Jobs!$P$5:$P$604&lt;&gt;"Cancelled"))*2958465))))</f>
        <v>0</v>
      </c>
      <c r="AD65" s="21">
        <f>IF(A65="","",SUMIFS(Invoices!$V$5:$V$404,Invoices!$D$5:$D$404,A65))</f>
        <v>0</v>
      </c>
      <c r="AE65" s="21">
        <f>IF(A65="","",SUMIFS(Invoices!$W$5:$W$404,Invoices!$D$5:$D$404,A65))</f>
        <v>0</v>
      </c>
      <c r="AF65" s="21">
        <f>IF(A65="","",AD65-AE65)</f>
        <v>0</v>
      </c>
      <c r="AG65" s="21">
        <f>IF(OR(A65="",Y65=0),"",AD65/Y65)</f>
        <v>0</v>
      </c>
      <c r="AH65" s="21">
        <f>IF(A65="","",SUMIFS('Job Costing'!$U$5:$U$604,'Job Costing'!$D$5:$D$604,A65))</f>
        <v>0</v>
      </c>
      <c r="AI65" s="38">
        <f>IF(OR(A65="",AD65=0),"",AH65/AD65)</f>
        <v>0</v>
      </c>
      <c r="AJ65" s="21">
        <f>IF(OR(A65="",K65="",AG65=""),"",AG65*IFERROR(INDEX(FreqPerYear,MATCH(K65,FreqNames,0)),1))</f>
        <v>0</v>
      </c>
      <c r="AK65" s="34">
        <f>IF(A65="","",IFERROR(AVERAGEIFS(Jobs!$AA$5:$AA$604,Jobs!$G$5:$G$604,A65,Jobs!$AA$5:$AA$604,"&gt;0"),""))</f>
        <v>0</v>
      </c>
      <c r="AL65" s="31">
        <f>IF(A65="","",COUNTIFS(Complaints!$D$5:$D$84,A65))</f>
        <v>0</v>
      </c>
      <c r="AM65" s="31">
        <f>IF(B65="","",COUNTIFS($AD$5:$AD$204,"&gt;"&amp;AD65)+COUNTIFS($AD$5:AD65,AD65))</f>
        <v>0</v>
      </c>
      <c r="AN65" s="31">
        <f>IF(B65="","",COUNTIFS($AH$5:$AH$204,"&gt;"&amp;AH65)+COUNTIFS($AH$5:AH65,AH65))</f>
        <v>0</v>
      </c>
      <c r="AO65" s="31">
        <f>IF(B65="","",COUNTIFS($AJ$5:$AJ$204,"&gt;"&amp;AJ65)+COUNTIFS($AJ$5:AJ65,AJ65))</f>
        <v>0</v>
      </c>
      <c r="AP65" s="39">
        <f>IF(B65="","",IF(H65="Lost","Lost",IF(H65="Inactive","Dormant",IF(AA65="","Dormant",IF(AB65&gt;InactiveClientDays*2,"Dormant",IF(AB65&gt;InactiveClientDays,"At risk",IF(AC65="","Slipping",IF(Y65&gt;=10,"Loyal","Steady"))))))))</f>
        <v>0</v>
      </c>
      <c r="AQ65" s="34">
        <f>IF(OR(B65="",AP65="Lost",AP65="Dormant"),"",IF(OR(AP65="At risk",AP65="Slipping"),IF(AB65="",999,AB65),""))</f>
        <v>0</v>
      </c>
      <c r="AR65" s="31">
        <f>IF(AQ65="","",COUNTIFS($AQ$5:$AQ$204,"&gt;"&amp;AQ65)+COUNTIFS($AQ$5:AQ65,AQ65))</f>
        <v>0</v>
      </c>
      <c r="AS65" s="39">
        <f>IF(B65="","",IF(AF65&gt;0.5,"Chase - "&amp;TEXT(AF65,"0")&amp;" owing",IF(AND(H65&lt;&gt;"Lost",H65&lt;&gt;"Inactive",H65&lt;&gt;"Paused",AC65="",K65&lt;&gt;"One-off"),"Book - nothing in the diary",IF(AND(S65&lt;&gt;"",S65-TodayDate&lt;=RenewalWarningDays,S65&gt;=TodayDate),"Due - contract renews soon",IF(AP65="At risk","Call - going quiet",IF(AL65&gt;=2,"Check - complaints logged",IF(AND(AI65&lt;&gt;"",AI65&lt;MarginFloor,Y65&gt;0),"Check - thin margin","OK")))))))</f>
        <v>0</v>
      </c>
    </row>
    <row r="66" spans="1:45">
      <c r="A66" s="43">
        <f>IF(B66="","",ClientPrefix&amp;TEXT(ROW()-4,"0000"))</f>
        <v>0</v>
      </c>
      <c r="W66" s="31">
        <f>IF(A66="","",COUNTIFS(Properties!$C$5:$C$254,A66))</f>
        <v>0</v>
      </c>
      <c r="X66" s="31">
        <f>IF(A66="","",COUNTIFS(Jobs!$G$5:$G$604,A66))</f>
        <v>0</v>
      </c>
      <c r="Y66" s="31">
        <f>IF(A66="","",COUNTIFS(Jobs!$G$5:$G$604,A66,Jobs!$P$5:$P$604,"Completed")+COUNTIFS(Jobs!$G$5:$G$604,A66,Jobs!$P$5:$P$604,"Invoiced"))</f>
        <v>0</v>
      </c>
      <c r="Z66" s="31">
        <f>IF(A66="","",COUNTIFS(Jobs!$G$5:$G$604,A66,Jobs!$P$5:$P$604,"Cancelled")+COUNTIFS(Jobs!$G$5:$G$604,A66,Jobs!$P$5:$P$604,"No access"))</f>
        <v>0</v>
      </c>
      <c r="AA66" s="18">
        <f>IF(A66="","",IF(SUMPRODUCT(MAX((Jobs!$G$5:$G$604=A66)*((Jobs!$P$5:$P$604="Completed")+(Jobs!$P$5:$P$604="Invoiced"))*Jobs!$B$5:$B$604))=0,"",SUMPRODUCT(MAX((Jobs!$G$5:$G$604=A66)*((Jobs!$P$5:$P$604="Completed")+(Jobs!$P$5:$P$604="Invoiced"))*Jobs!$B$5:$B$604))))</f>
        <v>0</v>
      </c>
      <c r="AB66" s="31">
        <f>IF(AA66="","",TodayDate-AA66)</f>
        <v>0</v>
      </c>
      <c r="AC66" s="18">
        <f>IF(A66="","",IF(SUMPRODUCT(MIN((Jobs!$G$5:$G$604=A66)*(Jobs!$B$5:$B$604&gt;=TodayDate)*(Jobs!$P$5:$P$604&lt;&gt;"Cancelled")*Jobs!$B$5:$B$604+(1-(Jobs!$G$5:$G$604=A66)*(Jobs!$B$5:$B$604&gt;=TodayDate)*(Jobs!$P$5:$P$604&lt;&gt;"Cancelled"))*2958465))=2958465,"",SUMPRODUCT(MIN((Jobs!$G$5:$G$604=A66)*(Jobs!$B$5:$B$604&gt;=TodayDate)*(Jobs!$P$5:$P$604&lt;&gt;"Cancelled")*Jobs!$B$5:$B$604+(1-(Jobs!$G$5:$G$604=A66)*(Jobs!$B$5:$B$604&gt;=TodayDate)*(Jobs!$P$5:$P$604&lt;&gt;"Cancelled"))*2958465))))</f>
        <v>0</v>
      </c>
      <c r="AD66" s="21">
        <f>IF(A66="","",SUMIFS(Invoices!$V$5:$V$404,Invoices!$D$5:$D$404,A66))</f>
        <v>0</v>
      </c>
      <c r="AE66" s="21">
        <f>IF(A66="","",SUMIFS(Invoices!$W$5:$W$404,Invoices!$D$5:$D$404,A66))</f>
        <v>0</v>
      </c>
      <c r="AF66" s="21">
        <f>IF(A66="","",AD66-AE66)</f>
        <v>0</v>
      </c>
      <c r="AG66" s="21">
        <f>IF(OR(A66="",Y66=0),"",AD66/Y66)</f>
        <v>0</v>
      </c>
      <c r="AH66" s="21">
        <f>IF(A66="","",SUMIFS('Job Costing'!$U$5:$U$604,'Job Costing'!$D$5:$D$604,A66))</f>
        <v>0</v>
      </c>
      <c r="AI66" s="38">
        <f>IF(OR(A66="",AD66=0),"",AH66/AD66)</f>
        <v>0</v>
      </c>
      <c r="AJ66" s="21">
        <f>IF(OR(A66="",K66="",AG66=""),"",AG66*IFERROR(INDEX(FreqPerYear,MATCH(K66,FreqNames,0)),1))</f>
        <v>0</v>
      </c>
      <c r="AK66" s="34">
        <f>IF(A66="","",IFERROR(AVERAGEIFS(Jobs!$AA$5:$AA$604,Jobs!$G$5:$G$604,A66,Jobs!$AA$5:$AA$604,"&gt;0"),""))</f>
        <v>0</v>
      </c>
      <c r="AL66" s="31">
        <f>IF(A66="","",COUNTIFS(Complaints!$D$5:$D$84,A66))</f>
        <v>0</v>
      </c>
      <c r="AM66" s="31">
        <f>IF(B66="","",COUNTIFS($AD$5:$AD$204,"&gt;"&amp;AD66)+COUNTIFS($AD$5:AD66,AD66))</f>
        <v>0</v>
      </c>
      <c r="AN66" s="31">
        <f>IF(B66="","",COUNTIFS($AH$5:$AH$204,"&gt;"&amp;AH66)+COUNTIFS($AH$5:AH66,AH66))</f>
        <v>0</v>
      </c>
      <c r="AO66" s="31">
        <f>IF(B66="","",COUNTIFS($AJ$5:$AJ$204,"&gt;"&amp;AJ66)+COUNTIFS($AJ$5:AJ66,AJ66))</f>
        <v>0</v>
      </c>
      <c r="AP66" s="39">
        <f>IF(B66="","",IF(H66="Lost","Lost",IF(H66="Inactive","Dormant",IF(AA66="","Dormant",IF(AB66&gt;InactiveClientDays*2,"Dormant",IF(AB66&gt;InactiveClientDays,"At risk",IF(AC66="","Slipping",IF(Y66&gt;=10,"Loyal","Steady"))))))))</f>
        <v>0</v>
      </c>
      <c r="AQ66" s="34">
        <f>IF(OR(B66="",AP66="Lost",AP66="Dormant"),"",IF(OR(AP66="At risk",AP66="Slipping"),IF(AB66="",999,AB66),""))</f>
        <v>0</v>
      </c>
      <c r="AR66" s="31">
        <f>IF(AQ66="","",COUNTIFS($AQ$5:$AQ$204,"&gt;"&amp;AQ66)+COUNTIFS($AQ$5:AQ66,AQ66))</f>
        <v>0</v>
      </c>
      <c r="AS66" s="39">
        <f>IF(B66="","",IF(AF66&gt;0.5,"Chase - "&amp;TEXT(AF66,"0")&amp;" owing",IF(AND(H66&lt;&gt;"Lost",H66&lt;&gt;"Inactive",H66&lt;&gt;"Paused",AC66="",K66&lt;&gt;"One-off"),"Book - nothing in the diary",IF(AND(S66&lt;&gt;"",S66-TodayDate&lt;=RenewalWarningDays,S66&gt;=TodayDate),"Due - contract renews soon",IF(AP66="At risk","Call - going quiet",IF(AL66&gt;=2,"Check - complaints logged",IF(AND(AI66&lt;&gt;"",AI66&lt;MarginFloor,Y66&gt;0),"Check - thin margin","OK")))))))</f>
        <v>0</v>
      </c>
    </row>
    <row r="67" spans="1:45">
      <c r="A67" s="43">
        <f>IF(B67="","",ClientPrefix&amp;TEXT(ROW()-4,"0000"))</f>
        <v>0</v>
      </c>
      <c r="W67" s="31">
        <f>IF(A67="","",COUNTIFS(Properties!$C$5:$C$254,A67))</f>
        <v>0</v>
      </c>
      <c r="X67" s="31">
        <f>IF(A67="","",COUNTIFS(Jobs!$G$5:$G$604,A67))</f>
        <v>0</v>
      </c>
      <c r="Y67" s="31">
        <f>IF(A67="","",COUNTIFS(Jobs!$G$5:$G$604,A67,Jobs!$P$5:$P$604,"Completed")+COUNTIFS(Jobs!$G$5:$G$604,A67,Jobs!$P$5:$P$604,"Invoiced"))</f>
        <v>0</v>
      </c>
      <c r="Z67" s="31">
        <f>IF(A67="","",COUNTIFS(Jobs!$G$5:$G$604,A67,Jobs!$P$5:$P$604,"Cancelled")+COUNTIFS(Jobs!$G$5:$G$604,A67,Jobs!$P$5:$P$604,"No access"))</f>
        <v>0</v>
      </c>
      <c r="AA67" s="18">
        <f>IF(A67="","",IF(SUMPRODUCT(MAX((Jobs!$G$5:$G$604=A67)*((Jobs!$P$5:$P$604="Completed")+(Jobs!$P$5:$P$604="Invoiced"))*Jobs!$B$5:$B$604))=0,"",SUMPRODUCT(MAX((Jobs!$G$5:$G$604=A67)*((Jobs!$P$5:$P$604="Completed")+(Jobs!$P$5:$P$604="Invoiced"))*Jobs!$B$5:$B$604))))</f>
        <v>0</v>
      </c>
      <c r="AB67" s="31">
        <f>IF(AA67="","",TodayDate-AA67)</f>
        <v>0</v>
      </c>
      <c r="AC67" s="18">
        <f>IF(A67="","",IF(SUMPRODUCT(MIN((Jobs!$G$5:$G$604=A67)*(Jobs!$B$5:$B$604&gt;=TodayDate)*(Jobs!$P$5:$P$604&lt;&gt;"Cancelled")*Jobs!$B$5:$B$604+(1-(Jobs!$G$5:$G$604=A67)*(Jobs!$B$5:$B$604&gt;=TodayDate)*(Jobs!$P$5:$P$604&lt;&gt;"Cancelled"))*2958465))=2958465,"",SUMPRODUCT(MIN((Jobs!$G$5:$G$604=A67)*(Jobs!$B$5:$B$604&gt;=TodayDate)*(Jobs!$P$5:$P$604&lt;&gt;"Cancelled")*Jobs!$B$5:$B$604+(1-(Jobs!$G$5:$G$604=A67)*(Jobs!$B$5:$B$604&gt;=TodayDate)*(Jobs!$P$5:$P$604&lt;&gt;"Cancelled"))*2958465))))</f>
        <v>0</v>
      </c>
      <c r="AD67" s="21">
        <f>IF(A67="","",SUMIFS(Invoices!$V$5:$V$404,Invoices!$D$5:$D$404,A67))</f>
        <v>0</v>
      </c>
      <c r="AE67" s="21">
        <f>IF(A67="","",SUMIFS(Invoices!$W$5:$W$404,Invoices!$D$5:$D$404,A67))</f>
        <v>0</v>
      </c>
      <c r="AF67" s="21">
        <f>IF(A67="","",AD67-AE67)</f>
        <v>0</v>
      </c>
      <c r="AG67" s="21">
        <f>IF(OR(A67="",Y67=0),"",AD67/Y67)</f>
        <v>0</v>
      </c>
      <c r="AH67" s="21">
        <f>IF(A67="","",SUMIFS('Job Costing'!$U$5:$U$604,'Job Costing'!$D$5:$D$604,A67))</f>
        <v>0</v>
      </c>
      <c r="AI67" s="38">
        <f>IF(OR(A67="",AD67=0),"",AH67/AD67)</f>
        <v>0</v>
      </c>
      <c r="AJ67" s="21">
        <f>IF(OR(A67="",K67="",AG67=""),"",AG67*IFERROR(INDEX(FreqPerYear,MATCH(K67,FreqNames,0)),1))</f>
        <v>0</v>
      </c>
      <c r="AK67" s="34">
        <f>IF(A67="","",IFERROR(AVERAGEIFS(Jobs!$AA$5:$AA$604,Jobs!$G$5:$G$604,A67,Jobs!$AA$5:$AA$604,"&gt;0"),""))</f>
        <v>0</v>
      </c>
      <c r="AL67" s="31">
        <f>IF(A67="","",COUNTIFS(Complaints!$D$5:$D$84,A67))</f>
        <v>0</v>
      </c>
      <c r="AM67" s="31">
        <f>IF(B67="","",COUNTIFS($AD$5:$AD$204,"&gt;"&amp;AD67)+COUNTIFS($AD$5:AD67,AD67))</f>
        <v>0</v>
      </c>
      <c r="AN67" s="31">
        <f>IF(B67="","",COUNTIFS($AH$5:$AH$204,"&gt;"&amp;AH67)+COUNTIFS($AH$5:AH67,AH67))</f>
        <v>0</v>
      </c>
      <c r="AO67" s="31">
        <f>IF(B67="","",COUNTIFS($AJ$5:$AJ$204,"&gt;"&amp;AJ67)+COUNTIFS($AJ$5:AJ67,AJ67))</f>
        <v>0</v>
      </c>
      <c r="AP67" s="39">
        <f>IF(B67="","",IF(H67="Lost","Lost",IF(H67="Inactive","Dormant",IF(AA67="","Dormant",IF(AB67&gt;InactiveClientDays*2,"Dormant",IF(AB67&gt;InactiveClientDays,"At risk",IF(AC67="","Slipping",IF(Y67&gt;=10,"Loyal","Steady"))))))))</f>
        <v>0</v>
      </c>
      <c r="AQ67" s="34">
        <f>IF(OR(B67="",AP67="Lost",AP67="Dormant"),"",IF(OR(AP67="At risk",AP67="Slipping"),IF(AB67="",999,AB67),""))</f>
        <v>0</v>
      </c>
      <c r="AR67" s="31">
        <f>IF(AQ67="","",COUNTIFS($AQ$5:$AQ$204,"&gt;"&amp;AQ67)+COUNTIFS($AQ$5:AQ67,AQ67))</f>
        <v>0</v>
      </c>
      <c r="AS67" s="39">
        <f>IF(B67="","",IF(AF67&gt;0.5,"Chase - "&amp;TEXT(AF67,"0")&amp;" owing",IF(AND(H67&lt;&gt;"Lost",H67&lt;&gt;"Inactive",H67&lt;&gt;"Paused",AC67="",K67&lt;&gt;"One-off"),"Book - nothing in the diary",IF(AND(S67&lt;&gt;"",S67-TodayDate&lt;=RenewalWarningDays,S67&gt;=TodayDate),"Due - contract renews soon",IF(AP67="At risk","Call - going quiet",IF(AL67&gt;=2,"Check - complaints logged",IF(AND(AI67&lt;&gt;"",AI67&lt;MarginFloor,Y67&gt;0),"Check - thin margin","OK")))))))</f>
        <v>0</v>
      </c>
    </row>
    <row r="68" spans="1:45">
      <c r="A68" s="43">
        <f>IF(B68="","",ClientPrefix&amp;TEXT(ROW()-4,"0000"))</f>
        <v>0</v>
      </c>
      <c r="W68" s="31">
        <f>IF(A68="","",COUNTIFS(Properties!$C$5:$C$254,A68))</f>
        <v>0</v>
      </c>
      <c r="X68" s="31">
        <f>IF(A68="","",COUNTIFS(Jobs!$G$5:$G$604,A68))</f>
        <v>0</v>
      </c>
      <c r="Y68" s="31">
        <f>IF(A68="","",COUNTIFS(Jobs!$G$5:$G$604,A68,Jobs!$P$5:$P$604,"Completed")+COUNTIFS(Jobs!$G$5:$G$604,A68,Jobs!$P$5:$P$604,"Invoiced"))</f>
        <v>0</v>
      </c>
      <c r="Z68" s="31">
        <f>IF(A68="","",COUNTIFS(Jobs!$G$5:$G$604,A68,Jobs!$P$5:$P$604,"Cancelled")+COUNTIFS(Jobs!$G$5:$G$604,A68,Jobs!$P$5:$P$604,"No access"))</f>
        <v>0</v>
      </c>
      <c r="AA68" s="18">
        <f>IF(A68="","",IF(SUMPRODUCT(MAX((Jobs!$G$5:$G$604=A68)*((Jobs!$P$5:$P$604="Completed")+(Jobs!$P$5:$P$604="Invoiced"))*Jobs!$B$5:$B$604))=0,"",SUMPRODUCT(MAX((Jobs!$G$5:$G$604=A68)*((Jobs!$P$5:$P$604="Completed")+(Jobs!$P$5:$P$604="Invoiced"))*Jobs!$B$5:$B$604))))</f>
        <v>0</v>
      </c>
      <c r="AB68" s="31">
        <f>IF(AA68="","",TodayDate-AA68)</f>
        <v>0</v>
      </c>
      <c r="AC68" s="18">
        <f>IF(A68="","",IF(SUMPRODUCT(MIN((Jobs!$G$5:$G$604=A68)*(Jobs!$B$5:$B$604&gt;=TodayDate)*(Jobs!$P$5:$P$604&lt;&gt;"Cancelled")*Jobs!$B$5:$B$604+(1-(Jobs!$G$5:$G$604=A68)*(Jobs!$B$5:$B$604&gt;=TodayDate)*(Jobs!$P$5:$P$604&lt;&gt;"Cancelled"))*2958465))=2958465,"",SUMPRODUCT(MIN((Jobs!$G$5:$G$604=A68)*(Jobs!$B$5:$B$604&gt;=TodayDate)*(Jobs!$P$5:$P$604&lt;&gt;"Cancelled")*Jobs!$B$5:$B$604+(1-(Jobs!$G$5:$G$604=A68)*(Jobs!$B$5:$B$604&gt;=TodayDate)*(Jobs!$P$5:$P$604&lt;&gt;"Cancelled"))*2958465))))</f>
        <v>0</v>
      </c>
      <c r="AD68" s="21">
        <f>IF(A68="","",SUMIFS(Invoices!$V$5:$V$404,Invoices!$D$5:$D$404,A68))</f>
        <v>0</v>
      </c>
      <c r="AE68" s="21">
        <f>IF(A68="","",SUMIFS(Invoices!$W$5:$W$404,Invoices!$D$5:$D$404,A68))</f>
        <v>0</v>
      </c>
      <c r="AF68" s="21">
        <f>IF(A68="","",AD68-AE68)</f>
        <v>0</v>
      </c>
      <c r="AG68" s="21">
        <f>IF(OR(A68="",Y68=0),"",AD68/Y68)</f>
        <v>0</v>
      </c>
      <c r="AH68" s="21">
        <f>IF(A68="","",SUMIFS('Job Costing'!$U$5:$U$604,'Job Costing'!$D$5:$D$604,A68))</f>
        <v>0</v>
      </c>
      <c r="AI68" s="38">
        <f>IF(OR(A68="",AD68=0),"",AH68/AD68)</f>
        <v>0</v>
      </c>
      <c r="AJ68" s="21">
        <f>IF(OR(A68="",K68="",AG68=""),"",AG68*IFERROR(INDEX(FreqPerYear,MATCH(K68,FreqNames,0)),1))</f>
        <v>0</v>
      </c>
      <c r="AK68" s="34">
        <f>IF(A68="","",IFERROR(AVERAGEIFS(Jobs!$AA$5:$AA$604,Jobs!$G$5:$G$604,A68,Jobs!$AA$5:$AA$604,"&gt;0"),""))</f>
        <v>0</v>
      </c>
      <c r="AL68" s="31">
        <f>IF(A68="","",COUNTIFS(Complaints!$D$5:$D$84,A68))</f>
        <v>0</v>
      </c>
      <c r="AM68" s="31">
        <f>IF(B68="","",COUNTIFS($AD$5:$AD$204,"&gt;"&amp;AD68)+COUNTIFS($AD$5:AD68,AD68))</f>
        <v>0</v>
      </c>
      <c r="AN68" s="31">
        <f>IF(B68="","",COUNTIFS($AH$5:$AH$204,"&gt;"&amp;AH68)+COUNTIFS($AH$5:AH68,AH68))</f>
        <v>0</v>
      </c>
      <c r="AO68" s="31">
        <f>IF(B68="","",COUNTIFS($AJ$5:$AJ$204,"&gt;"&amp;AJ68)+COUNTIFS($AJ$5:AJ68,AJ68))</f>
        <v>0</v>
      </c>
      <c r="AP68" s="39">
        <f>IF(B68="","",IF(H68="Lost","Lost",IF(H68="Inactive","Dormant",IF(AA68="","Dormant",IF(AB68&gt;InactiveClientDays*2,"Dormant",IF(AB68&gt;InactiveClientDays,"At risk",IF(AC68="","Slipping",IF(Y68&gt;=10,"Loyal","Steady"))))))))</f>
        <v>0</v>
      </c>
      <c r="AQ68" s="34">
        <f>IF(OR(B68="",AP68="Lost",AP68="Dormant"),"",IF(OR(AP68="At risk",AP68="Slipping"),IF(AB68="",999,AB68),""))</f>
        <v>0</v>
      </c>
      <c r="AR68" s="31">
        <f>IF(AQ68="","",COUNTIFS($AQ$5:$AQ$204,"&gt;"&amp;AQ68)+COUNTIFS($AQ$5:AQ68,AQ68))</f>
        <v>0</v>
      </c>
      <c r="AS68" s="39">
        <f>IF(B68="","",IF(AF68&gt;0.5,"Chase - "&amp;TEXT(AF68,"0")&amp;" owing",IF(AND(H68&lt;&gt;"Lost",H68&lt;&gt;"Inactive",H68&lt;&gt;"Paused",AC68="",K68&lt;&gt;"One-off"),"Book - nothing in the diary",IF(AND(S68&lt;&gt;"",S68-TodayDate&lt;=RenewalWarningDays,S68&gt;=TodayDate),"Due - contract renews soon",IF(AP68="At risk","Call - going quiet",IF(AL68&gt;=2,"Check - complaints logged",IF(AND(AI68&lt;&gt;"",AI68&lt;MarginFloor,Y68&gt;0),"Check - thin margin","OK")))))))</f>
        <v>0</v>
      </c>
    </row>
    <row r="69" spans="1:45">
      <c r="A69" s="43">
        <f>IF(B69="","",ClientPrefix&amp;TEXT(ROW()-4,"0000"))</f>
        <v>0</v>
      </c>
      <c r="W69" s="31">
        <f>IF(A69="","",COUNTIFS(Properties!$C$5:$C$254,A69))</f>
        <v>0</v>
      </c>
      <c r="X69" s="31">
        <f>IF(A69="","",COUNTIFS(Jobs!$G$5:$G$604,A69))</f>
        <v>0</v>
      </c>
      <c r="Y69" s="31">
        <f>IF(A69="","",COUNTIFS(Jobs!$G$5:$G$604,A69,Jobs!$P$5:$P$604,"Completed")+COUNTIFS(Jobs!$G$5:$G$604,A69,Jobs!$P$5:$P$604,"Invoiced"))</f>
        <v>0</v>
      </c>
      <c r="Z69" s="31">
        <f>IF(A69="","",COUNTIFS(Jobs!$G$5:$G$604,A69,Jobs!$P$5:$P$604,"Cancelled")+COUNTIFS(Jobs!$G$5:$G$604,A69,Jobs!$P$5:$P$604,"No access"))</f>
        <v>0</v>
      </c>
      <c r="AA69" s="18">
        <f>IF(A69="","",IF(SUMPRODUCT(MAX((Jobs!$G$5:$G$604=A69)*((Jobs!$P$5:$P$604="Completed")+(Jobs!$P$5:$P$604="Invoiced"))*Jobs!$B$5:$B$604))=0,"",SUMPRODUCT(MAX((Jobs!$G$5:$G$604=A69)*((Jobs!$P$5:$P$604="Completed")+(Jobs!$P$5:$P$604="Invoiced"))*Jobs!$B$5:$B$604))))</f>
        <v>0</v>
      </c>
      <c r="AB69" s="31">
        <f>IF(AA69="","",TodayDate-AA69)</f>
        <v>0</v>
      </c>
      <c r="AC69" s="18">
        <f>IF(A69="","",IF(SUMPRODUCT(MIN((Jobs!$G$5:$G$604=A69)*(Jobs!$B$5:$B$604&gt;=TodayDate)*(Jobs!$P$5:$P$604&lt;&gt;"Cancelled")*Jobs!$B$5:$B$604+(1-(Jobs!$G$5:$G$604=A69)*(Jobs!$B$5:$B$604&gt;=TodayDate)*(Jobs!$P$5:$P$604&lt;&gt;"Cancelled"))*2958465))=2958465,"",SUMPRODUCT(MIN((Jobs!$G$5:$G$604=A69)*(Jobs!$B$5:$B$604&gt;=TodayDate)*(Jobs!$P$5:$P$604&lt;&gt;"Cancelled")*Jobs!$B$5:$B$604+(1-(Jobs!$G$5:$G$604=A69)*(Jobs!$B$5:$B$604&gt;=TodayDate)*(Jobs!$P$5:$P$604&lt;&gt;"Cancelled"))*2958465))))</f>
        <v>0</v>
      </c>
      <c r="AD69" s="21">
        <f>IF(A69="","",SUMIFS(Invoices!$V$5:$V$404,Invoices!$D$5:$D$404,A69))</f>
        <v>0</v>
      </c>
      <c r="AE69" s="21">
        <f>IF(A69="","",SUMIFS(Invoices!$W$5:$W$404,Invoices!$D$5:$D$404,A69))</f>
        <v>0</v>
      </c>
      <c r="AF69" s="21">
        <f>IF(A69="","",AD69-AE69)</f>
        <v>0</v>
      </c>
      <c r="AG69" s="21">
        <f>IF(OR(A69="",Y69=0),"",AD69/Y69)</f>
        <v>0</v>
      </c>
      <c r="AH69" s="21">
        <f>IF(A69="","",SUMIFS('Job Costing'!$U$5:$U$604,'Job Costing'!$D$5:$D$604,A69))</f>
        <v>0</v>
      </c>
      <c r="AI69" s="38">
        <f>IF(OR(A69="",AD69=0),"",AH69/AD69)</f>
        <v>0</v>
      </c>
      <c r="AJ69" s="21">
        <f>IF(OR(A69="",K69="",AG69=""),"",AG69*IFERROR(INDEX(FreqPerYear,MATCH(K69,FreqNames,0)),1))</f>
        <v>0</v>
      </c>
      <c r="AK69" s="34">
        <f>IF(A69="","",IFERROR(AVERAGEIFS(Jobs!$AA$5:$AA$604,Jobs!$G$5:$G$604,A69,Jobs!$AA$5:$AA$604,"&gt;0"),""))</f>
        <v>0</v>
      </c>
      <c r="AL69" s="31">
        <f>IF(A69="","",COUNTIFS(Complaints!$D$5:$D$84,A69))</f>
        <v>0</v>
      </c>
      <c r="AM69" s="31">
        <f>IF(B69="","",COUNTIFS($AD$5:$AD$204,"&gt;"&amp;AD69)+COUNTIFS($AD$5:AD69,AD69))</f>
        <v>0</v>
      </c>
      <c r="AN69" s="31">
        <f>IF(B69="","",COUNTIFS($AH$5:$AH$204,"&gt;"&amp;AH69)+COUNTIFS($AH$5:AH69,AH69))</f>
        <v>0</v>
      </c>
      <c r="AO69" s="31">
        <f>IF(B69="","",COUNTIFS($AJ$5:$AJ$204,"&gt;"&amp;AJ69)+COUNTIFS($AJ$5:AJ69,AJ69))</f>
        <v>0</v>
      </c>
      <c r="AP69" s="39">
        <f>IF(B69="","",IF(H69="Lost","Lost",IF(H69="Inactive","Dormant",IF(AA69="","Dormant",IF(AB69&gt;InactiveClientDays*2,"Dormant",IF(AB69&gt;InactiveClientDays,"At risk",IF(AC69="","Slipping",IF(Y69&gt;=10,"Loyal","Steady"))))))))</f>
        <v>0</v>
      </c>
      <c r="AQ69" s="34">
        <f>IF(OR(B69="",AP69="Lost",AP69="Dormant"),"",IF(OR(AP69="At risk",AP69="Slipping"),IF(AB69="",999,AB69),""))</f>
        <v>0</v>
      </c>
      <c r="AR69" s="31">
        <f>IF(AQ69="","",COUNTIFS($AQ$5:$AQ$204,"&gt;"&amp;AQ69)+COUNTIFS($AQ$5:AQ69,AQ69))</f>
        <v>0</v>
      </c>
      <c r="AS69" s="39">
        <f>IF(B69="","",IF(AF69&gt;0.5,"Chase - "&amp;TEXT(AF69,"0")&amp;" owing",IF(AND(H69&lt;&gt;"Lost",H69&lt;&gt;"Inactive",H69&lt;&gt;"Paused",AC69="",K69&lt;&gt;"One-off"),"Book - nothing in the diary",IF(AND(S69&lt;&gt;"",S69-TodayDate&lt;=RenewalWarningDays,S69&gt;=TodayDate),"Due - contract renews soon",IF(AP69="At risk","Call - going quiet",IF(AL69&gt;=2,"Check - complaints logged",IF(AND(AI69&lt;&gt;"",AI69&lt;MarginFloor,Y69&gt;0),"Check - thin margin","OK")))))))</f>
        <v>0</v>
      </c>
    </row>
    <row r="70" spans="1:45">
      <c r="A70" s="43">
        <f>IF(B70="","",ClientPrefix&amp;TEXT(ROW()-4,"0000"))</f>
        <v>0</v>
      </c>
      <c r="W70" s="31">
        <f>IF(A70="","",COUNTIFS(Properties!$C$5:$C$254,A70))</f>
        <v>0</v>
      </c>
      <c r="X70" s="31">
        <f>IF(A70="","",COUNTIFS(Jobs!$G$5:$G$604,A70))</f>
        <v>0</v>
      </c>
      <c r="Y70" s="31">
        <f>IF(A70="","",COUNTIFS(Jobs!$G$5:$G$604,A70,Jobs!$P$5:$P$604,"Completed")+COUNTIFS(Jobs!$G$5:$G$604,A70,Jobs!$P$5:$P$604,"Invoiced"))</f>
        <v>0</v>
      </c>
      <c r="Z70" s="31">
        <f>IF(A70="","",COUNTIFS(Jobs!$G$5:$G$604,A70,Jobs!$P$5:$P$604,"Cancelled")+COUNTIFS(Jobs!$G$5:$G$604,A70,Jobs!$P$5:$P$604,"No access"))</f>
        <v>0</v>
      </c>
      <c r="AA70" s="18">
        <f>IF(A70="","",IF(SUMPRODUCT(MAX((Jobs!$G$5:$G$604=A70)*((Jobs!$P$5:$P$604="Completed")+(Jobs!$P$5:$P$604="Invoiced"))*Jobs!$B$5:$B$604))=0,"",SUMPRODUCT(MAX((Jobs!$G$5:$G$604=A70)*((Jobs!$P$5:$P$604="Completed")+(Jobs!$P$5:$P$604="Invoiced"))*Jobs!$B$5:$B$604))))</f>
        <v>0</v>
      </c>
      <c r="AB70" s="31">
        <f>IF(AA70="","",TodayDate-AA70)</f>
        <v>0</v>
      </c>
      <c r="AC70" s="18">
        <f>IF(A70="","",IF(SUMPRODUCT(MIN((Jobs!$G$5:$G$604=A70)*(Jobs!$B$5:$B$604&gt;=TodayDate)*(Jobs!$P$5:$P$604&lt;&gt;"Cancelled")*Jobs!$B$5:$B$604+(1-(Jobs!$G$5:$G$604=A70)*(Jobs!$B$5:$B$604&gt;=TodayDate)*(Jobs!$P$5:$P$604&lt;&gt;"Cancelled"))*2958465))=2958465,"",SUMPRODUCT(MIN((Jobs!$G$5:$G$604=A70)*(Jobs!$B$5:$B$604&gt;=TodayDate)*(Jobs!$P$5:$P$604&lt;&gt;"Cancelled")*Jobs!$B$5:$B$604+(1-(Jobs!$G$5:$G$604=A70)*(Jobs!$B$5:$B$604&gt;=TodayDate)*(Jobs!$P$5:$P$604&lt;&gt;"Cancelled"))*2958465))))</f>
        <v>0</v>
      </c>
      <c r="AD70" s="21">
        <f>IF(A70="","",SUMIFS(Invoices!$V$5:$V$404,Invoices!$D$5:$D$404,A70))</f>
        <v>0</v>
      </c>
      <c r="AE70" s="21">
        <f>IF(A70="","",SUMIFS(Invoices!$W$5:$W$404,Invoices!$D$5:$D$404,A70))</f>
        <v>0</v>
      </c>
      <c r="AF70" s="21">
        <f>IF(A70="","",AD70-AE70)</f>
        <v>0</v>
      </c>
      <c r="AG70" s="21">
        <f>IF(OR(A70="",Y70=0),"",AD70/Y70)</f>
        <v>0</v>
      </c>
      <c r="AH70" s="21">
        <f>IF(A70="","",SUMIFS('Job Costing'!$U$5:$U$604,'Job Costing'!$D$5:$D$604,A70))</f>
        <v>0</v>
      </c>
      <c r="AI70" s="38">
        <f>IF(OR(A70="",AD70=0),"",AH70/AD70)</f>
        <v>0</v>
      </c>
      <c r="AJ70" s="21">
        <f>IF(OR(A70="",K70="",AG70=""),"",AG70*IFERROR(INDEX(FreqPerYear,MATCH(K70,FreqNames,0)),1))</f>
        <v>0</v>
      </c>
      <c r="AK70" s="34">
        <f>IF(A70="","",IFERROR(AVERAGEIFS(Jobs!$AA$5:$AA$604,Jobs!$G$5:$G$604,A70,Jobs!$AA$5:$AA$604,"&gt;0"),""))</f>
        <v>0</v>
      </c>
      <c r="AL70" s="31">
        <f>IF(A70="","",COUNTIFS(Complaints!$D$5:$D$84,A70))</f>
        <v>0</v>
      </c>
      <c r="AM70" s="31">
        <f>IF(B70="","",COUNTIFS($AD$5:$AD$204,"&gt;"&amp;AD70)+COUNTIFS($AD$5:AD70,AD70))</f>
        <v>0</v>
      </c>
      <c r="AN70" s="31">
        <f>IF(B70="","",COUNTIFS($AH$5:$AH$204,"&gt;"&amp;AH70)+COUNTIFS($AH$5:AH70,AH70))</f>
        <v>0</v>
      </c>
      <c r="AO70" s="31">
        <f>IF(B70="","",COUNTIFS($AJ$5:$AJ$204,"&gt;"&amp;AJ70)+COUNTIFS($AJ$5:AJ70,AJ70))</f>
        <v>0</v>
      </c>
      <c r="AP70" s="39">
        <f>IF(B70="","",IF(H70="Lost","Lost",IF(H70="Inactive","Dormant",IF(AA70="","Dormant",IF(AB70&gt;InactiveClientDays*2,"Dormant",IF(AB70&gt;InactiveClientDays,"At risk",IF(AC70="","Slipping",IF(Y70&gt;=10,"Loyal","Steady"))))))))</f>
        <v>0</v>
      </c>
      <c r="AQ70" s="34">
        <f>IF(OR(B70="",AP70="Lost",AP70="Dormant"),"",IF(OR(AP70="At risk",AP70="Slipping"),IF(AB70="",999,AB70),""))</f>
        <v>0</v>
      </c>
      <c r="AR70" s="31">
        <f>IF(AQ70="","",COUNTIFS($AQ$5:$AQ$204,"&gt;"&amp;AQ70)+COUNTIFS($AQ$5:AQ70,AQ70))</f>
        <v>0</v>
      </c>
      <c r="AS70" s="39">
        <f>IF(B70="","",IF(AF70&gt;0.5,"Chase - "&amp;TEXT(AF70,"0")&amp;" owing",IF(AND(H70&lt;&gt;"Lost",H70&lt;&gt;"Inactive",H70&lt;&gt;"Paused",AC70="",K70&lt;&gt;"One-off"),"Book - nothing in the diary",IF(AND(S70&lt;&gt;"",S70-TodayDate&lt;=RenewalWarningDays,S70&gt;=TodayDate),"Due - contract renews soon",IF(AP70="At risk","Call - going quiet",IF(AL70&gt;=2,"Check - complaints logged",IF(AND(AI70&lt;&gt;"",AI70&lt;MarginFloor,Y70&gt;0),"Check - thin margin","OK")))))))</f>
        <v>0</v>
      </c>
    </row>
    <row r="71" spans="1:45">
      <c r="A71" s="43">
        <f>IF(B71="","",ClientPrefix&amp;TEXT(ROW()-4,"0000"))</f>
        <v>0</v>
      </c>
      <c r="W71" s="31">
        <f>IF(A71="","",COUNTIFS(Properties!$C$5:$C$254,A71))</f>
        <v>0</v>
      </c>
      <c r="X71" s="31">
        <f>IF(A71="","",COUNTIFS(Jobs!$G$5:$G$604,A71))</f>
        <v>0</v>
      </c>
      <c r="Y71" s="31">
        <f>IF(A71="","",COUNTIFS(Jobs!$G$5:$G$604,A71,Jobs!$P$5:$P$604,"Completed")+COUNTIFS(Jobs!$G$5:$G$604,A71,Jobs!$P$5:$P$604,"Invoiced"))</f>
        <v>0</v>
      </c>
      <c r="Z71" s="31">
        <f>IF(A71="","",COUNTIFS(Jobs!$G$5:$G$604,A71,Jobs!$P$5:$P$604,"Cancelled")+COUNTIFS(Jobs!$G$5:$G$604,A71,Jobs!$P$5:$P$604,"No access"))</f>
        <v>0</v>
      </c>
      <c r="AA71" s="18">
        <f>IF(A71="","",IF(SUMPRODUCT(MAX((Jobs!$G$5:$G$604=A71)*((Jobs!$P$5:$P$604="Completed")+(Jobs!$P$5:$P$604="Invoiced"))*Jobs!$B$5:$B$604))=0,"",SUMPRODUCT(MAX((Jobs!$G$5:$G$604=A71)*((Jobs!$P$5:$P$604="Completed")+(Jobs!$P$5:$P$604="Invoiced"))*Jobs!$B$5:$B$604))))</f>
        <v>0</v>
      </c>
      <c r="AB71" s="31">
        <f>IF(AA71="","",TodayDate-AA71)</f>
        <v>0</v>
      </c>
      <c r="AC71" s="18">
        <f>IF(A71="","",IF(SUMPRODUCT(MIN((Jobs!$G$5:$G$604=A71)*(Jobs!$B$5:$B$604&gt;=TodayDate)*(Jobs!$P$5:$P$604&lt;&gt;"Cancelled")*Jobs!$B$5:$B$604+(1-(Jobs!$G$5:$G$604=A71)*(Jobs!$B$5:$B$604&gt;=TodayDate)*(Jobs!$P$5:$P$604&lt;&gt;"Cancelled"))*2958465))=2958465,"",SUMPRODUCT(MIN((Jobs!$G$5:$G$604=A71)*(Jobs!$B$5:$B$604&gt;=TodayDate)*(Jobs!$P$5:$P$604&lt;&gt;"Cancelled")*Jobs!$B$5:$B$604+(1-(Jobs!$G$5:$G$604=A71)*(Jobs!$B$5:$B$604&gt;=TodayDate)*(Jobs!$P$5:$P$604&lt;&gt;"Cancelled"))*2958465))))</f>
        <v>0</v>
      </c>
      <c r="AD71" s="21">
        <f>IF(A71="","",SUMIFS(Invoices!$V$5:$V$404,Invoices!$D$5:$D$404,A71))</f>
        <v>0</v>
      </c>
      <c r="AE71" s="21">
        <f>IF(A71="","",SUMIFS(Invoices!$W$5:$W$404,Invoices!$D$5:$D$404,A71))</f>
        <v>0</v>
      </c>
      <c r="AF71" s="21">
        <f>IF(A71="","",AD71-AE71)</f>
        <v>0</v>
      </c>
      <c r="AG71" s="21">
        <f>IF(OR(A71="",Y71=0),"",AD71/Y71)</f>
        <v>0</v>
      </c>
      <c r="AH71" s="21">
        <f>IF(A71="","",SUMIFS('Job Costing'!$U$5:$U$604,'Job Costing'!$D$5:$D$604,A71))</f>
        <v>0</v>
      </c>
      <c r="AI71" s="38">
        <f>IF(OR(A71="",AD71=0),"",AH71/AD71)</f>
        <v>0</v>
      </c>
      <c r="AJ71" s="21">
        <f>IF(OR(A71="",K71="",AG71=""),"",AG71*IFERROR(INDEX(FreqPerYear,MATCH(K71,FreqNames,0)),1))</f>
        <v>0</v>
      </c>
      <c r="AK71" s="34">
        <f>IF(A71="","",IFERROR(AVERAGEIFS(Jobs!$AA$5:$AA$604,Jobs!$G$5:$G$604,A71,Jobs!$AA$5:$AA$604,"&gt;0"),""))</f>
        <v>0</v>
      </c>
      <c r="AL71" s="31">
        <f>IF(A71="","",COUNTIFS(Complaints!$D$5:$D$84,A71))</f>
        <v>0</v>
      </c>
      <c r="AM71" s="31">
        <f>IF(B71="","",COUNTIFS($AD$5:$AD$204,"&gt;"&amp;AD71)+COUNTIFS($AD$5:AD71,AD71))</f>
        <v>0</v>
      </c>
      <c r="AN71" s="31">
        <f>IF(B71="","",COUNTIFS($AH$5:$AH$204,"&gt;"&amp;AH71)+COUNTIFS($AH$5:AH71,AH71))</f>
        <v>0</v>
      </c>
      <c r="AO71" s="31">
        <f>IF(B71="","",COUNTIFS($AJ$5:$AJ$204,"&gt;"&amp;AJ71)+COUNTIFS($AJ$5:AJ71,AJ71))</f>
        <v>0</v>
      </c>
      <c r="AP71" s="39">
        <f>IF(B71="","",IF(H71="Lost","Lost",IF(H71="Inactive","Dormant",IF(AA71="","Dormant",IF(AB71&gt;InactiveClientDays*2,"Dormant",IF(AB71&gt;InactiveClientDays,"At risk",IF(AC71="","Slipping",IF(Y71&gt;=10,"Loyal","Steady"))))))))</f>
        <v>0</v>
      </c>
      <c r="AQ71" s="34">
        <f>IF(OR(B71="",AP71="Lost",AP71="Dormant"),"",IF(OR(AP71="At risk",AP71="Slipping"),IF(AB71="",999,AB71),""))</f>
        <v>0</v>
      </c>
      <c r="AR71" s="31">
        <f>IF(AQ71="","",COUNTIFS($AQ$5:$AQ$204,"&gt;"&amp;AQ71)+COUNTIFS($AQ$5:AQ71,AQ71))</f>
        <v>0</v>
      </c>
      <c r="AS71" s="39">
        <f>IF(B71="","",IF(AF71&gt;0.5,"Chase - "&amp;TEXT(AF71,"0")&amp;" owing",IF(AND(H71&lt;&gt;"Lost",H71&lt;&gt;"Inactive",H71&lt;&gt;"Paused",AC71="",K71&lt;&gt;"One-off"),"Book - nothing in the diary",IF(AND(S71&lt;&gt;"",S71-TodayDate&lt;=RenewalWarningDays,S71&gt;=TodayDate),"Due - contract renews soon",IF(AP71="At risk","Call - going quiet",IF(AL71&gt;=2,"Check - complaints logged",IF(AND(AI71&lt;&gt;"",AI71&lt;MarginFloor,Y71&gt;0),"Check - thin margin","OK")))))))</f>
        <v>0</v>
      </c>
    </row>
    <row r="72" spans="1:45">
      <c r="A72" s="43">
        <f>IF(B72="","",ClientPrefix&amp;TEXT(ROW()-4,"0000"))</f>
        <v>0</v>
      </c>
      <c r="W72" s="31">
        <f>IF(A72="","",COUNTIFS(Properties!$C$5:$C$254,A72))</f>
        <v>0</v>
      </c>
      <c r="X72" s="31">
        <f>IF(A72="","",COUNTIFS(Jobs!$G$5:$G$604,A72))</f>
        <v>0</v>
      </c>
      <c r="Y72" s="31">
        <f>IF(A72="","",COUNTIFS(Jobs!$G$5:$G$604,A72,Jobs!$P$5:$P$604,"Completed")+COUNTIFS(Jobs!$G$5:$G$604,A72,Jobs!$P$5:$P$604,"Invoiced"))</f>
        <v>0</v>
      </c>
      <c r="Z72" s="31">
        <f>IF(A72="","",COUNTIFS(Jobs!$G$5:$G$604,A72,Jobs!$P$5:$P$604,"Cancelled")+COUNTIFS(Jobs!$G$5:$G$604,A72,Jobs!$P$5:$P$604,"No access"))</f>
        <v>0</v>
      </c>
      <c r="AA72" s="18">
        <f>IF(A72="","",IF(SUMPRODUCT(MAX((Jobs!$G$5:$G$604=A72)*((Jobs!$P$5:$P$604="Completed")+(Jobs!$P$5:$P$604="Invoiced"))*Jobs!$B$5:$B$604))=0,"",SUMPRODUCT(MAX((Jobs!$G$5:$G$604=A72)*((Jobs!$P$5:$P$604="Completed")+(Jobs!$P$5:$P$604="Invoiced"))*Jobs!$B$5:$B$604))))</f>
        <v>0</v>
      </c>
      <c r="AB72" s="31">
        <f>IF(AA72="","",TodayDate-AA72)</f>
        <v>0</v>
      </c>
      <c r="AC72" s="18">
        <f>IF(A72="","",IF(SUMPRODUCT(MIN((Jobs!$G$5:$G$604=A72)*(Jobs!$B$5:$B$604&gt;=TodayDate)*(Jobs!$P$5:$P$604&lt;&gt;"Cancelled")*Jobs!$B$5:$B$604+(1-(Jobs!$G$5:$G$604=A72)*(Jobs!$B$5:$B$604&gt;=TodayDate)*(Jobs!$P$5:$P$604&lt;&gt;"Cancelled"))*2958465))=2958465,"",SUMPRODUCT(MIN((Jobs!$G$5:$G$604=A72)*(Jobs!$B$5:$B$604&gt;=TodayDate)*(Jobs!$P$5:$P$604&lt;&gt;"Cancelled")*Jobs!$B$5:$B$604+(1-(Jobs!$G$5:$G$604=A72)*(Jobs!$B$5:$B$604&gt;=TodayDate)*(Jobs!$P$5:$P$604&lt;&gt;"Cancelled"))*2958465))))</f>
        <v>0</v>
      </c>
      <c r="AD72" s="21">
        <f>IF(A72="","",SUMIFS(Invoices!$V$5:$V$404,Invoices!$D$5:$D$404,A72))</f>
        <v>0</v>
      </c>
      <c r="AE72" s="21">
        <f>IF(A72="","",SUMIFS(Invoices!$W$5:$W$404,Invoices!$D$5:$D$404,A72))</f>
        <v>0</v>
      </c>
      <c r="AF72" s="21">
        <f>IF(A72="","",AD72-AE72)</f>
        <v>0</v>
      </c>
      <c r="AG72" s="21">
        <f>IF(OR(A72="",Y72=0),"",AD72/Y72)</f>
        <v>0</v>
      </c>
      <c r="AH72" s="21">
        <f>IF(A72="","",SUMIFS('Job Costing'!$U$5:$U$604,'Job Costing'!$D$5:$D$604,A72))</f>
        <v>0</v>
      </c>
      <c r="AI72" s="38">
        <f>IF(OR(A72="",AD72=0),"",AH72/AD72)</f>
        <v>0</v>
      </c>
      <c r="AJ72" s="21">
        <f>IF(OR(A72="",K72="",AG72=""),"",AG72*IFERROR(INDEX(FreqPerYear,MATCH(K72,FreqNames,0)),1))</f>
        <v>0</v>
      </c>
      <c r="AK72" s="34">
        <f>IF(A72="","",IFERROR(AVERAGEIFS(Jobs!$AA$5:$AA$604,Jobs!$G$5:$G$604,A72,Jobs!$AA$5:$AA$604,"&gt;0"),""))</f>
        <v>0</v>
      </c>
      <c r="AL72" s="31">
        <f>IF(A72="","",COUNTIFS(Complaints!$D$5:$D$84,A72))</f>
        <v>0</v>
      </c>
      <c r="AM72" s="31">
        <f>IF(B72="","",COUNTIFS($AD$5:$AD$204,"&gt;"&amp;AD72)+COUNTIFS($AD$5:AD72,AD72))</f>
        <v>0</v>
      </c>
      <c r="AN72" s="31">
        <f>IF(B72="","",COUNTIFS($AH$5:$AH$204,"&gt;"&amp;AH72)+COUNTIFS($AH$5:AH72,AH72))</f>
        <v>0</v>
      </c>
      <c r="AO72" s="31">
        <f>IF(B72="","",COUNTIFS($AJ$5:$AJ$204,"&gt;"&amp;AJ72)+COUNTIFS($AJ$5:AJ72,AJ72))</f>
        <v>0</v>
      </c>
      <c r="AP72" s="39">
        <f>IF(B72="","",IF(H72="Lost","Lost",IF(H72="Inactive","Dormant",IF(AA72="","Dormant",IF(AB72&gt;InactiveClientDays*2,"Dormant",IF(AB72&gt;InactiveClientDays,"At risk",IF(AC72="","Slipping",IF(Y72&gt;=10,"Loyal","Steady"))))))))</f>
        <v>0</v>
      </c>
      <c r="AQ72" s="34">
        <f>IF(OR(B72="",AP72="Lost",AP72="Dormant"),"",IF(OR(AP72="At risk",AP72="Slipping"),IF(AB72="",999,AB72),""))</f>
        <v>0</v>
      </c>
      <c r="AR72" s="31">
        <f>IF(AQ72="","",COUNTIFS($AQ$5:$AQ$204,"&gt;"&amp;AQ72)+COUNTIFS($AQ$5:AQ72,AQ72))</f>
        <v>0</v>
      </c>
      <c r="AS72" s="39">
        <f>IF(B72="","",IF(AF72&gt;0.5,"Chase - "&amp;TEXT(AF72,"0")&amp;" owing",IF(AND(H72&lt;&gt;"Lost",H72&lt;&gt;"Inactive",H72&lt;&gt;"Paused",AC72="",K72&lt;&gt;"One-off"),"Book - nothing in the diary",IF(AND(S72&lt;&gt;"",S72-TodayDate&lt;=RenewalWarningDays,S72&gt;=TodayDate),"Due - contract renews soon",IF(AP72="At risk","Call - going quiet",IF(AL72&gt;=2,"Check - complaints logged",IF(AND(AI72&lt;&gt;"",AI72&lt;MarginFloor,Y72&gt;0),"Check - thin margin","OK")))))))</f>
        <v>0</v>
      </c>
    </row>
    <row r="73" spans="1:45">
      <c r="A73" s="43">
        <f>IF(B73="","",ClientPrefix&amp;TEXT(ROW()-4,"0000"))</f>
        <v>0</v>
      </c>
      <c r="W73" s="31">
        <f>IF(A73="","",COUNTIFS(Properties!$C$5:$C$254,A73))</f>
        <v>0</v>
      </c>
      <c r="X73" s="31">
        <f>IF(A73="","",COUNTIFS(Jobs!$G$5:$G$604,A73))</f>
        <v>0</v>
      </c>
      <c r="Y73" s="31">
        <f>IF(A73="","",COUNTIFS(Jobs!$G$5:$G$604,A73,Jobs!$P$5:$P$604,"Completed")+COUNTIFS(Jobs!$G$5:$G$604,A73,Jobs!$P$5:$P$604,"Invoiced"))</f>
        <v>0</v>
      </c>
      <c r="Z73" s="31">
        <f>IF(A73="","",COUNTIFS(Jobs!$G$5:$G$604,A73,Jobs!$P$5:$P$604,"Cancelled")+COUNTIFS(Jobs!$G$5:$G$604,A73,Jobs!$P$5:$P$604,"No access"))</f>
        <v>0</v>
      </c>
      <c r="AA73" s="18">
        <f>IF(A73="","",IF(SUMPRODUCT(MAX((Jobs!$G$5:$G$604=A73)*((Jobs!$P$5:$P$604="Completed")+(Jobs!$P$5:$P$604="Invoiced"))*Jobs!$B$5:$B$604))=0,"",SUMPRODUCT(MAX((Jobs!$G$5:$G$604=A73)*((Jobs!$P$5:$P$604="Completed")+(Jobs!$P$5:$P$604="Invoiced"))*Jobs!$B$5:$B$604))))</f>
        <v>0</v>
      </c>
      <c r="AB73" s="31">
        <f>IF(AA73="","",TodayDate-AA73)</f>
        <v>0</v>
      </c>
      <c r="AC73" s="18">
        <f>IF(A73="","",IF(SUMPRODUCT(MIN((Jobs!$G$5:$G$604=A73)*(Jobs!$B$5:$B$604&gt;=TodayDate)*(Jobs!$P$5:$P$604&lt;&gt;"Cancelled")*Jobs!$B$5:$B$604+(1-(Jobs!$G$5:$G$604=A73)*(Jobs!$B$5:$B$604&gt;=TodayDate)*(Jobs!$P$5:$P$604&lt;&gt;"Cancelled"))*2958465))=2958465,"",SUMPRODUCT(MIN((Jobs!$G$5:$G$604=A73)*(Jobs!$B$5:$B$604&gt;=TodayDate)*(Jobs!$P$5:$P$604&lt;&gt;"Cancelled")*Jobs!$B$5:$B$604+(1-(Jobs!$G$5:$G$604=A73)*(Jobs!$B$5:$B$604&gt;=TodayDate)*(Jobs!$P$5:$P$604&lt;&gt;"Cancelled"))*2958465))))</f>
        <v>0</v>
      </c>
      <c r="AD73" s="21">
        <f>IF(A73="","",SUMIFS(Invoices!$V$5:$V$404,Invoices!$D$5:$D$404,A73))</f>
        <v>0</v>
      </c>
      <c r="AE73" s="21">
        <f>IF(A73="","",SUMIFS(Invoices!$W$5:$W$404,Invoices!$D$5:$D$404,A73))</f>
        <v>0</v>
      </c>
      <c r="AF73" s="21">
        <f>IF(A73="","",AD73-AE73)</f>
        <v>0</v>
      </c>
      <c r="AG73" s="21">
        <f>IF(OR(A73="",Y73=0),"",AD73/Y73)</f>
        <v>0</v>
      </c>
      <c r="AH73" s="21">
        <f>IF(A73="","",SUMIFS('Job Costing'!$U$5:$U$604,'Job Costing'!$D$5:$D$604,A73))</f>
        <v>0</v>
      </c>
      <c r="AI73" s="38">
        <f>IF(OR(A73="",AD73=0),"",AH73/AD73)</f>
        <v>0</v>
      </c>
      <c r="AJ73" s="21">
        <f>IF(OR(A73="",K73="",AG73=""),"",AG73*IFERROR(INDEX(FreqPerYear,MATCH(K73,FreqNames,0)),1))</f>
        <v>0</v>
      </c>
      <c r="AK73" s="34">
        <f>IF(A73="","",IFERROR(AVERAGEIFS(Jobs!$AA$5:$AA$604,Jobs!$G$5:$G$604,A73,Jobs!$AA$5:$AA$604,"&gt;0"),""))</f>
        <v>0</v>
      </c>
      <c r="AL73" s="31">
        <f>IF(A73="","",COUNTIFS(Complaints!$D$5:$D$84,A73))</f>
        <v>0</v>
      </c>
      <c r="AM73" s="31">
        <f>IF(B73="","",COUNTIFS($AD$5:$AD$204,"&gt;"&amp;AD73)+COUNTIFS($AD$5:AD73,AD73))</f>
        <v>0</v>
      </c>
      <c r="AN73" s="31">
        <f>IF(B73="","",COUNTIFS($AH$5:$AH$204,"&gt;"&amp;AH73)+COUNTIFS($AH$5:AH73,AH73))</f>
        <v>0</v>
      </c>
      <c r="AO73" s="31">
        <f>IF(B73="","",COUNTIFS($AJ$5:$AJ$204,"&gt;"&amp;AJ73)+COUNTIFS($AJ$5:AJ73,AJ73))</f>
        <v>0</v>
      </c>
      <c r="AP73" s="39">
        <f>IF(B73="","",IF(H73="Lost","Lost",IF(H73="Inactive","Dormant",IF(AA73="","Dormant",IF(AB73&gt;InactiveClientDays*2,"Dormant",IF(AB73&gt;InactiveClientDays,"At risk",IF(AC73="","Slipping",IF(Y73&gt;=10,"Loyal","Steady"))))))))</f>
        <v>0</v>
      </c>
      <c r="AQ73" s="34">
        <f>IF(OR(B73="",AP73="Lost",AP73="Dormant"),"",IF(OR(AP73="At risk",AP73="Slipping"),IF(AB73="",999,AB73),""))</f>
        <v>0</v>
      </c>
      <c r="AR73" s="31">
        <f>IF(AQ73="","",COUNTIFS($AQ$5:$AQ$204,"&gt;"&amp;AQ73)+COUNTIFS($AQ$5:AQ73,AQ73))</f>
        <v>0</v>
      </c>
      <c r="AS73" s="39">
        <f>IF(B73="","",IF(AF73&gt;0.5,"Chase - "&amp;TEXT(AF73,"0")&amp;" owing",IF(AND(H73&lt;&gt;"Lost",H73&lt;&gt;"Inactive",H73&lt;&gt;"Paused",AC73="",K73&lt;&gt;"One-off"),"Book - nothing in the diary",IF(AND(S73&lt;&gt;"",S73-TodayDate&lt;=RenewalWarningDays,S73&gt;=TodayDate),"Due - contract renews soon",IF(AP73="At risk","Call - going quiet",IF(AL73&gt;=2,"Check - complaints logged",IF(AND(AI73&lt;&gt;"",AI73&lt;MarginFloor,Y73&gt;0),"Check - thin margin","OK")))))))</f>
        <v>0</v>
      </c>
    </row>
    <row r="74" spans="1:45">
      <c r="A74" s="43">
        <f>IF(B74="","",ClientPrefix&amp;TEXT(ROW()-4,"0000"))</f>
        <v>0</v>
      </c>
      <c r="W74" s="31">
        <f>IF(A74="","",COUNTIFS(Properties!$C$5:$C$254,A74))</f>
        <v>0</v>
      </c>
      <c r="X74" s="31">
        <f>IF(A74="","",COUNTIFS(Jobs!$G$5:$G$604,A74))</f>
        <v>0</v>
      </c>
      <c r="Y74" s="31">
        <f>IF(A74="","",COUNTIFS(Jobs!$G$5:$G$604,A74,Jobs!$P$5:$P$604,"Completed")+COUNTIFS(Jobs!$G$5:$G$604,A74,Jobs!$P$5:$P$604,"Invoiced"))</f>
        <v>0</v>
      </c>
      <c r="Z74" s="31">
        <f>IF(A74="","",COUNTIFS(Jobs!$G$5:$G$604,A74,Jobs!$P$5:$P$604,"Cancelled")+COUNTIFS(Jobs!$G$5:$G$604,A74,Jobs!$P$5:$P$604,"No access"))</f>
        <v>0</v>
      </c>
      <c r="AA74" s="18">
        <f>IF(A74="","",IF(SUMPRODUCT(MAX((Jobs!$G$5:$G$604=A74)*((Jobs!$P$5:$P$604="Completed")+(Jobs!$P$5:$P$604="Invoiced"))*Jobs!$B$5:$B$604))=0,"",SUMPRODUCT(MAX((Jobs!$G$5:$G$604=A74)*((Jobs!$P$5:$P$604="Completed")+(Jobs!$P$5:$P$604="Invoiced"))*Jobs!$B$5:$B$604))))</f>
        <v>0</v>
      </c>
      <c r="AB74" s="31">
        <f>IF(AA74="","",TodayDate-AA74)</f>
        <v>0</v>
      </c>
      <c r="AC74" s="18">
        <f>IF(A74="","",IF(SUMPRODUCT(MIN((Jobs!$G$5:$G$604=A74)*(Jobs!$B$5:$B$604&gt;=TodayDate)*(Jobs!$P$5:$P$604&lt;&gt;"Cancelled")*Jobs!$B$5:$B$604+(1-(Jobs!$G$5:$G$604=A74)*(Jobs!$B$5:$B$604&gt;=TodayDate)*(Jobs!$P$5:$P$604&lt;&gt;"Cancelled"))*2958465))=2958465,"",SUMPRODUCT(MIN((Jobs!$G$5:$G$604=A74)*(Jobs!$B$5:$B$604&gt;=TodayDate)*(Jobs!$P$5:$P$604&lt;&gt;"Cancelled")*Jobs!$B$5:$B$604+(1-(Jobs!$G$5:$G$604=A74)*(Jobs!$B$5:$B$604&gt;=TodayDate)*(Jobs!$P$5:$P$604&lt;&gt;"Cancelled"))*2958465))))</f>
        <v>0</v>
      </c>
      <c r="AD74" s="21">
        <f>IF(A74="","",SUMIFS(Invoices!$V$5:$V$404,Invoices!$D$5:$D$404,A74))</f>
        <v>0</v>
      </c>
      <c r="AE74" s="21">
        <f>IF(A74="","",SUMIFS(Invoices!$W$5:$W$404,Invoices!$D$5:$D$404,A74))</f>
        <v>0</v>
      </c>
      <c r="AF74" s="21">
        <f>IF(A74="","",AD74-AE74)</f>
        <v>0</v>
      </c>
      <c r="AG74" s="21">
        <f>IF(OR(A74="",Y74=0),"",AD74/Y74)</f>
        <v>0</v>
      </c>
      <c r="AH74" s="21">
        <f>IF(A74="","",SUMIFS('Job Costing'!$U$5:$U$604,'Job Costing'!$D$5:$D$604,A74))</f>
        <v>0</v>
      </c>
      <c r="AI74" s="38">
        <f>IF(OR(A74="",AD74=0),"",AH74/AD74)</f>
        <v>0</v>
      </c>
      <c r="AJ74" s="21">
        <f>IF(OR(A74="",K74="",AG74=""),"",AG74*IFERROR(INDEX(FreqPerYear,MATCH(K74,FreqNames,0)),1))</f>
        <v>0</v>
      </c>
      <c r="AK74" s="34">
        <f>IF(A74="","",IFERROR(AVERAGEIFS(Jobs!$AA$5:$AA$604,Jobs!$G$5:$G$604,A74,Jobs!$AA$5:$AA$604,"&gt;0"),""))</f>
        <v>0</v>
      </c>
      <c r="AL74" s="31">
        <f>IF(A74="","",COUNTIFS(Complaints!$D$5:$D$84,A74))</f>
        <v>0</v>
      </c>
      <c r="AM74" s="31">
        <f>IF(B74="","",COUNTIFS($AD$5:$AD$204,"&gt;"&amp;AD74)+COUNTIFS($AD$5:AD74,AD74))</f>
        <v>0</v>
      </c>
      <c r="AN74" s="31">
        <f>IF(B74="","",COUNTIFS($AH$5:$AH$204,"&gt;"&amp;AH74)+COUNTIFS($AH$5:AH74,AH74))</f>
        <v>0</v>
      </c>
      <c r="AO74" s="31">
        <f>IF(B74="","",COUNTIFS($AJ$5:$AJ$204,"&gt;"&amp;AJ74)+COUNTIFS($AJ$5:AJ74,AJ74))</f>
        <v>0</v>
      </c>
      <c r="AP74" s="39">
        <f>IF(B74="","",IF(H74="Lost","Lost",IF(H74="Inactive","Dormant",IF(AA74="","Dormant",IF(AB74&gt;InactiveClientDays*2,"Dormant",IF(AB74&gt;InactiveClientDays,"At risk",IF(AC74="","Slipping",IF(Y74&gt;=10,"Loyal","Steady"))))))))</f>
        <v>0</v>
      </c>
      <c r="AQ74" s="34">
        <f>IF(OR(B74="",AP74="Lost",AP74="Dormant"),"",IF(OR(AP74="At risk",AP74="Slipping"),IF(AB74="",999,AB74),""))</f>
        <v>0</v>
      </c>
      <c r="AR74" s="31">
        <f>IF(AQ74="","",COUNTIFS($AQ$5:$AQ$204,"&gt;"&amp;AQ74)+COUNTIFS($AQ$5:AQ74,AQ74))</f>
        <v>0</v>
      </c>
      <c r="AS74" s="39">
        <f>IF(B74="","",IF(AF74&gt;0.5,"Chase - "&amp;TEXT(AF74,"0")&amp;" owing",IF(AND(H74&lt;&gt;"Lost",H74&lt;&gt;"Inactive",H74&lt;&gt;"Paused",AC74="",K74&lt;&gt;"One-off"),"Book - nothing in the diary",IF(AND(S74&lt;&gt;"",S74-TodayDate&lt;=RenewalWarningDays,S74&gt;=TodayDate),"Due - contract renews soon",IF(AP74="At risk","Call - going quiet",IF(AL74&gt;=2,"Check - complaints logged",IF(AND(AI74&lt;&gt;"",AI74&lt;MarginFloor,Y74&gt;0),"Check - thin margin","OK")))))))</f>
        <v>0</v>
      </c>
    </row>
    <row r="75" spans="1:45">
      <c r="A75" s="43">
        <f>IF(B75="","",ClientPrefix&amp;TEXT(ROW()-4,"0000"))</f>
        <v>0</v>
      </c>
      <c r="W75" s="31">
        <f>IF(A75="","",COUNTIFS(Properties!$C$5:$C$254,A75))</f>
        <v>0</v>
      </c>
      <c r="X75" s="31">
        <f>IF(A75="","",COUNTIFS(Jobs!$G$5:$G$604,A75))</f>
        <v>0</v>
      </c>
      <c r="Y75" s="31">
        <f>IF(A75="","",COUNTIFS(Jobs!$G$5:$G$604,A75,Jobs!$P$5:$P$604,"Completed")+COUNTIFS(Jobs!$G$5:$G$604,A75,Jobs!$P$5:$P$604,"Invoiced"))</f>
        <v>0</v>
      </c>
      <c r="Z75" s="31">
        <f>IF(A75="","",COUNTIFS(Jobs!$G$5:$G$604,A75,Jobs!$P$5:$P$604,"Cancelled")+COUNTIFS(Jobs!$G$5:$G$604,A75,Jobs!$P$5:$P$604,"No access"))</f>
        <v>0</v>
      </c>
      <c r="AA75" s="18">
        <f>IF(A75="","",IF(SUMPRODUCT(MAX((Jobs!$G$5:$G$604=A75)*((Jobs!$P$5:$P$604="Completed")+(Jobs!$P$5:$P$604="Invoiced"))*Jobs!$B$5:$B$604))=0,"",SUMPRODUCT(MAX((Jobs!$G$5:$G$604=A75)*((Jobs!$P$5:$P$604="Completed")+(Jobs!$P$5:$P$604="Invoiced"))*Jobs!$B$5:$B$604))))</f>
        <v>0</v>
      </c>
      <c r="AB75" s="31">
        <f>IF(AA75="","",TodayDate-AA75)</f>
        <v>0</v>
      </c>
      <c r="AC75" s="18">
        <f>IF(A75="","",IF(SUMPRODUCT(MIN((Jobs!$G$5:$G$604=A75)*(Jobs!$B$5:$B$604&gt;=TodayDate)*(Jobs!$P$5:$P$604&lt;&gt;"Cancelled")*Jobs!$B$5:$B$604+(1-(Jobs!$G$5:$G$604=A75)*(Jobs!$B$5:$B$604&gt;=TodayDate)*(Jobs!$P$5:$P$604&lt;&gt;"Cancelled"))*2958465))=2958465,"",SUMPRODUCT(MIN((Jobs!$G$5:$G$604=A75)*(Jobs!$B$5:$B$604&gt;=TodayDate)*(Jobs!$P$5:$P$604&lt;&gt;"Cancelled")*Jobs!$B$5:$B$604+(1-(Jobs!$G$5:$G$604=A75)*(Jobs!$B$5:$B$604&gt;=TodayDate)*(Jobs!$P$5:$P$604&lt;&gt;"Cancelled"))*2958465))))</f>
        <v>0</v>
      </c>
      <c r="AD75" s="21">
        <f>IF(A75="","",SUMIFS(Invoices!$V$5:$V$404,Invoices!$D$5:$D$404,A75))</f>
        <v>0</v>
      </c>
      <c r="AE75" s="21">
        <f>IF(A75="","",SUMIFS(Invoices!$W$5:$W$404,Invoices!$D$5:$D$404,A75))</f>
        <v>0</v>
      </c>
      <c r="AF75" s="21">
        <f>IF(A75="","",AD75-AE75)</f>
        <v>0</v>
      </c>
      <c r="AG75" s="21">
        <f>IF(OR(A75="",Y75=0),"",AD75/Y75)</f>
        <v>0</v>
      </c>
      <c r="AH75" s="21">
        <f>IF(A75="","",SUMIFS('Job Costing'!$U$5:$U$604,'Job Costing'!$D$5:$D$604,A75))</f>
        <v>0</v>
      </c>
      <c r="AI75" s="38">
        <f>IF(OR(A75="",AD75=0),"",AH75/AD75)</f>
        <v>0</v>
      </c>
      <c r="AJ75" s="21">
        <f>IF(OR(A75="",K75="",AG75=""),"",AG75*IFERROR(INDEX(FreqPerYear,MATCH(K75,FreqNames,0)),1))</f>
        <v>0</v>
      </c>
      <c r="AK75" s="34">
        <f>IF(A75="","",IFERROR(AVERAGEIFS(Jobs!$AA$5:$AA$604,Jobs!$G$5:$G$604,A75,Jobs!$AA$5:$AA$604,"&gt;0"),""))</f>
        <v>0</v>
      </c>
      <c r="AL75" s="31">
        <f>IF(A75="","",COUNTIFS(Complaints!$D$5:$D$84,A75))</f>
        <v>0</v>
      </c>
      <c r="AM75" s="31">
        <f>IF(B75="","",COUNTIFS($AD$5:$AD$204,"&gt;"&amp;AD75)+COUNTIFS($AD$5:AD75,AD75))</f>
        <v>0</v>
      </c>
      <c r="AN75" s="31">
        <f>IF(B75="","",COUNTIFS($AH$5:$AH$204,"&gt;"&amp;AH75)+COUNTIFS($AH$5:AH75,AH75))</f>
        <v>0</v>
      </c>
      <c r="AO75" s="31">
        <f>IF(B75="","",COUNTIFS($AJ$5:$AJ$204,"&gt;"&amp;AJ75)+COUNTIFS($AJ$5:AJ75,AJ75))</f>
        <v>0</v>
      </c>
      <c r="AP75" s="39">
        <f>IF(B75="","",IF(H75="Lost","Lost",IF(H75="Inactive","Dormant",IF(AA75="","Dormant",IF(AB75&gt;InactiveClientDays*2,"Dormant",IF(AB75&gt;InactiveClientDays,"At risk",IF(AC75="","Slipping",IF(Y75&gt;=10,"Loyal","Steady"))))))))</f>
        <v>0</v>
      </c>
      <c r="AQ75" s="34">
        <f>IF(OR(B75="",AP75="Lost",AP75="Dormant"),"",IF(OR(AP75="At risk",AP75="Slipping"),IF(AB75="",999,AB75),""))</f>
        <v>0</v>
      </c>
      <c r="AR75" s="31">
        <f>IF(AQ75="","",COUNTIFS($AQ$5:$AQ$204,"&gt;"&amp;AQ75)+COUNTIFS($AQ$5:AQ75,AQ75))</f>
        <v>0</v>
      </c>
      <c r="AS75" s="39">
        <f>IF(B75="","",IF(AF75&gt;0.5,"Chase - "&amp;TEXT(AF75,"0")&amp;" owing",IF(AND(H75&lt;&gt;"Lost",H75&lt;&gt;"Inactive",H75&lt;&gt;"Paused",AC75="",K75&lt;&gt;"One-off"),"Book - nothing in the diary",IF(AND(S75&lt;&gt;"",S75-TodayDate&lt;=RenewalWarningDays,S75&gt;=TodayDate),"Due - contract renews soon",IF(AP75="At risk","Call - going quiet",IF(AL75&gt;=2,"Check - complaints logged",IF(AND(AI75&lt;&gt;"",AI75&lt;MarginFloor,Y75&gt;0),"Check - thin margin","OK")))))))</f>
        <v>0</v>
      </c>
    </row>
    <row r="76" spans="1:45">
      <c r="A76" s="43">
        <f>IF(B76="","",ClientPrefix&amp;TEXT(ROW()-4,"0000"))</f>
        <v>0</v>
      </c>
      <c r="W76" s="31">
        <f>IF(A76="","",COUNTIFS(Properties!$C$5:$C$254,A76))</f>
        <v>0</v>
      </c>
      <c r="X76" s="31">
        <f>IF(A76="","",COUNTIFS(Jobs!$G$5:$G$604,A76))</f>
        <v>0</v>
      </c>
      <c r="Y76" s="31">
        <f>IF(A76="","",COUNTIFS(Jobs!$G$5:$G$604,A76,Jobs!$P$5:$P$604,"Completed")+COUNTIFS(Jobs!$G$5:$G$604,A76,Jobs!$P$5:$P$604,"Invoiced"))</f>
        <v>0</v>
      </c>
      <c r="Z76" s="31">
        <f>IF(A76="","",COUNTIFS(Jobs!$G$5:$G$604,A76,Jobs!$P$5:$P$604,"Cancelled")+COUNTIFS(Jobs!$G$5:$G$604,A76,Jobs!$P$5:$P$604,"No access"))</f>
        <v>0</v>
      </c>
      <c r="AA76" s="18">
        <f>IF(A76="","",IF(SUMPRODUCT(MAX((Jobs!$G$5:$G$604=A76)*((Jobs!$P$5:$P$604="Completed")+(Jobs!$P$5:$P$604="Invoiced"))*Jobs!$B$5:$B$604))=0,"",SUMPRODUCT(MAX((Jobs!$G$5:$G$604=A76)*((Jobs!$P$5:$P$604="Completed")+(Jobs!$P$5:$P$604="Invoiced"))*Jobs!$B$5:$B$604))))</f>
        <v>0</v>
      </c>
      <c r="AB76" s="31">
        <f>IF(AA76="","",TodayDate-AA76)</f>
        <v>0</v>
      </c>
      <c r="AC76" s="18">
        <f>IF(A76="","",IF(SUMPRODUCT(MIN((Jobs!$G$5:$G$604=A76)*(Jobs!$B$5:$B$604&gt;=TodayDate)*(Jobs!$P$5:$P$604&lt;&gt;"Cancelled")*Jobs!$B$5:$B$604+(1-(Jobs!$G$5:$G$604=A76)*(Jobs!$B$5:$B$604&gt;=TodayDate)*(Jobs!$P$5:$P$604&lt;&gt;"Cancelled"))*2958465))=2958465,"",SUMPRODUCT(MIN((Jobs!$G$5:$G$604=A76)*(Jobs!$B$5:$B$604&gt;=TodayDate)*(Jobs!$P$5:$P$604&lt;&gt;"Cancelled")*Jobs!$B$5:$B$604+(1-(Jobs!$G$5:$G$604=A76)*(Jobs!$B$5:$B$604&gt;=TodayDate)*(Jobs!$P$5:$P$604&lt;&gt;"Cancelled"))*2958465))))</f>
        <v>0</v>
      </c>
      <c r="AD76" s="21">
        <f>IF(A76="","",SUMIFS(Invoices!$V$5:$V$404,Invoices!$D$5:$D$404,A76))</f>
        <v>0</v>
      </c>
      <c r="AE76" s="21">
        <f>IF(A76="","",SUMIFS(Invoices!$W$5:$W$404,Invoices!$D$5:$D$404,A76))</f>
        <v>0</v>
      </c>
      <c r="AF76" s="21">
        <f>IF(A76="","",AD76-AE76)</f>
        <v>0</v>
      </c>
      <c r="AG76" s="21">
        <f>IF(OR(A76="",Y76=0),"",AD76/Y76)</f>
        <v>0</v>
      </c>
      <c r="AH76" s="21">
        <f>IF(A76="","",SUMIFS('Job Costing'!$U$5:$U$604,'Job Costing'!$D$5:$D$604,A76))</f>
        <v>0</v>
      </c>
      <c r="AI76" s="38">
        <f>IF(OR(A76="",AD76=0),"",AH76/AD76)</f>
        <v>0</v>
      </c>
      <c r="AJ76" s="21">
        <f>IF(OR(A76="",K76="",AG76=""),"",AG76*IFERROR(INDEX(FreqPerYear,MATCH(K76,FreqNames,0)),1))</f>
        <v>0</v>
      </c>
      <c r="AK76" s="34">
        <f>IF(A76="","",IFERROR(AVERAGEIFS(Jobs!$AA$5:$AA$604,Jobs!$G$5:$G$604,A76,Jobs!$AA$5:$AA$604,"&gt;0"),""))</f>
        <v>0</v>
      </c>
      <c r="AL76" s="31">
        <f>IF(A76="","",COUNTIFS(Complaints!$D$5:$D$84,A76))</f>
        <v>0</v>
      </c>
      <c r="AM76" s="31">
        <f>IF(B76="","",COUNTIFS($AD$5:$AD$204,"&gt;"&amp;AD76)+COUNTIFS($AD$5:AD76,AD76))</f>
        <v>0</v>
      </c>
      <c r="AN76" s="31">
        <f>IF(B76="","",COUNTIFS($AH$5:$AH$204,"&gt;"&amp;AH76)+COUNTIFS($AH$5:AH76,AH76))</f>
        <v>0</v>
      </c>
      <c r="AO76" s="31">
        <f>IF(B76="","",COUNTIFS($AJ$5:$AJ$204,"&gt;"&amp;AJ76)+COUNTIFS($AJ$5:AJ76,AJ76))</f>
        <v>0</v>
      </c>
      <c r="AP76" s="39">
        <f>IF(B76="","",IF(H76="Lost","Lost",IF(H76="Inactive","Dormant",IF(AA76="","Dormant",IF(AB76&gt;InactiveClientDays*2,"Dormant",IF(AB76&gt;InactiveClientDays,"At risk",IF(AC76="","Slipping",IF(Y76&gt;=10,"Loyal","Steady"))))))))</f>
        <v>0</v>
      </c>
      <c r="AQ76" s="34">
        <f>IF(OR(B76="",AP76="Lost",AP76="Dormant"),"",IF(OR(AP76="At risk",AP76="Slipping"),IF(AB76="",999,AB76),""))</f>
        <v>0</v>
      </c>
      <c r="AR76" s="31">
        <f>IF(AQ76="","",COUNTIFS($AQ$5:$AQ$204,"&gt;"&amp;AQ76)+COUNTIFS($AQ$5:AQ76,AQ76))</f>
        <v>0</v>
      </c>
      <c r="AS76" s="39">
        <f>IF(B76="","",IF(AF76&gt;0.5,"Chase - "&amp;TEXT(AF76,"0")&amp;" owing",IF(AND(H76&lt;&gt;"Lost",H76&lt;&gt;"Inactive",H76&lt;&gt;"Paused",AC76="",K76&lt;&gt;"One-off"),"Book - nothing in the diary",IF(AND(S76&lt;&gt;"",S76-TodayDate&lt;=RenewalWarningDays,S76&gt;=TodayDate),"Due - contract renews soon",IF(AP76="At risk","Call - going quiet",IF(AL76&gt;=2,"Check - complaints logged",IF(AND(AI76&lt;&gt;"",AI76&lt;MarginFloor,Y76&gt;0),"Check - thin margin","OK")))))))</f>
        <v>0</v>
      </c>
    </row>
    <row r="77" spans="1:45">
      <c r="A77" s="43">
        <f>IF(B77="","",ClientPrefix&amp;TEXT(ROW()-4,"0000"))</f>
        <v>0</v>
      </c>
      <c r="W77" s="31">
        <f>IF(A77="","",COUNTIFS(Properties!$C$5:$C$254,A77))</f>
        <v>0</v>
      </c>
      <c r="X77" s="31">
        <f>IF(A77="","",COUNTIFS(Jobs!$G$5:$G$604,A77))</f>
        <v>0</v>
      </c>
      <c r="Y77" s="31">
        <f>IF(A77="","",COUNTIFS(Jobs!$G$5:$G$604,A77,Jobs!$P$5:$P$604,"Completed")+COUNTIFS(Jobs!$G$5:$G$604,A77,Jobs!$P$5:$P$604,"Invoiced"))</f>
        <v>0</v>
      </c>
      <c r="Z77" s="31">
        <f>IF(A77="","",COUNTIFS(Jobs!$G$5:$G$604,A77,Jobs!$P$5:$P$604,"Cancelled")+COUNTIFS(Jobs!$G$5:$G$604,A77,Jobs!$P$5:$P$604,"No access"))</f>
        <v>0</v>
      </c>
      <c r="AA77" s="18">
        <f>IF(A77="","",IF(SUMPRODUCT(MAX((Jobs!$G$5:$G$604=A77)*((Jobs!$P$5:$P$604="Completed")+(Jobs!$P$5:$P$604="Invoiced"))*Jobs!$B$5:$B$604))=0,"",SUMPRODUCT(MAX((Jobs!$G$5:$G$604=A77)*((Jobs!$P$5:$P$604="Completed")+(Jobs!$P$5:$P$604="Invoiced"))*Jobs!$B$5:$B$604))))</f>
        <v>0</v>
      </c>
      <c r="AB77" s="31">
        <f>IF(AA77="","",TodayDate-AA77)</f>
        <v>0</v>
      </c>
      <c r="AC77" s="18">
        <f>IF(A77="","",IF(SUMPRODUCT(MIN((Jobs!$G$5:$G$604=A77)*(Jobs!$B$5:$B$604&gt;=TodayDate)*(Jobs!$P$5:$P$604&lt;&gt;"Cancelled")*Jobs!$B$5:$B$604+(1-(Jobs!$G$5:$G$604=A77)*(Jobs!$B$5:$B$604&gt;=TodayDate)*(Jobs!$P$5:$P$604&lt;&gt;"Cancelled"))*2958465))=2958465,"",SUMPRODUCT(MIN((Jobs!$G$5:$G$604=A77)*(Jobs!$B$5:$B$604&gt;=TodayDate)*(Jobs!$P$5:$P$604&lt;&gt;"Cancelled")*Jobs!$B$5:$B$604+(1-(Jobs!$G$5:$G$604=A77)*(Jobs!$B$5:$B$604&gt;=TodayDate)*(Jobs!$P$5:$P$604&lt;&gt;"Cancelled"))*2958465))))</f>
        <v>0</v>
      </c>
      <c r="AD77" s="21">
        <f>IF(A77="","",SUMIFS(Invoices!$V$5:$V$404,Invoices!$D$5:$D$404,A77))</f>
        <v>0</v>
      </c>
      <c r="AE77" s="21">
        <f>IF(A77="","",SUMIFS(Invoices!$W$5:$W$404,Invoices!$D$5:$D$404,A77))</f>
        <v>0</v>
      </c>
      <c r="AF77" s="21">
        <f>IF(A77="","",AD77-AE77)</f>
        <v>0</v>
      </c>
      <c r="AG77" s="21">
        <f>IF(OR(A77="",Y77=0),"",AD77/Y77)</f>
        <v>0</v>
      </c>
      <c r="AH77" s="21">
        <f>IF(A77="","",SUMIFS('Job Costing'!$U$5:$U$604,'Job Costing'!$D$5:$D$604,A77))</f>
        <v>0</v>
      </c>
      <c r="AI77" s="38">
        <f>IF(OR(A77="",AD77=0),"",AH77/AD77)</f>
        <v>0</v>
      </c>
      <c r="AJ77" s="21">
        <f>IF(OR(A77="",K77="",AG77=""),"",AG77*IFERROR(INDEX(FreqPerYear,MATCH(K77,FreqNames,0)),1))</f>
        <v>0</v>
      </c>
      <c r="AK77" s="34">
        <f>IF(A77="","",IFERROR(AVERAGEIFS(Jobs!$AA$5:$AA$604,Jobs!$G$5:$G$604,A77,Jobs!$AA$5:$AA$604,"&gt;0"),""))</f>
        <v>0</v>
      </c>
      <c r="AL77" s="31">
        <f>IF(A77="","",COUNTIFS(Complaints!$D$5:$D$84,A77))</f>
        <v>0</v>
      </c>
      <c r="AM77" s="31">
        <f>IF(B77="","",COUNTIFS($AD$5:$AD$204,"&gt;"&amp;AD77)+COUNTIFS($AD$5:AD77,AD77))</f>
        <v>0</v>
      </c>
      <c r="AN77" s="31">
        <f>IF(B77="","",COUNTIFS($AH$5:$AH$204,"&gt;"&amp;AH77)+COUNTIFS($AH$5:AH77,AH77))</f>
        <v>0</v>
      </c>
      <c r="AO77" s="31">
        <f>IF(B77="","",COUNTIFS($AJ$5:$AJ$204,"&gt;"&amp;AJ77)+COUNTIFS($AJ$5:AJ77,AJ77))</f>
        <v>0</v>
      </c>
      <c r="AP77" s="39">
        <f>IF(B77="","",IF(H77="Lost","Lost",IF(H77="Inactive","Dormant",IF(AA77="","Dormant",IF(AB77&gt;InactiveClientDays*2,"Dormant",IF(AB77&gt;InactiveClientDays,"At risk",IF(AC77="","Slipping",IF(Y77&gt;=10,"Loyal","Steady"))))))))</f>
        <v>0</v>
      </c>
      <c r="AQ77" s="34">
        <f>IF(OR(B77="",AP77="Lost",AP77="Dormant"),"",IF(OR(AP77="At risk",AP77="Slipping"),IF(AB77="",999,AB77),""))</f>
        <v>0</v>
      </c>
      <c r="AR77" s="31">
        <f>IF(AQ77="","",COUNTIFS($AQ$5:$AQ$204,"&gt;"&amp;AQ77)+COUNTIFS($AQ$5:AQ77,AQ77))</f>
        <v>0</v>
      </c>
      <c r="AS77" s="39">
        <f>IF(B77="","",IF(AF77&gt;0.5,"Chase - "&amp;TEXT(AF77,"0")&amp;" owing",IF(AND(H77&lt;&gt;"Lost",H77&lt;&gt;"Inactive",H77&lt;&gt;"Paused",AC77="",K77&lt;&gt;"One-off"),"Book - nothing in the diary",IF(AND(S77&lt;&gt;"",S77-TodayDate&lt;=RenewalWarningDays,S77&gt;=TodayDate),"Due - contract renews soon",IF(AP77="At risk","Call - going quiet",IF(AL77&gt;=2,"Check - complaints logged",IF(AND(AI77&lt;&gt;"",AI77&lt;MarginFloor,Y77&gt;0),"Check - thin margin","OK")))))))</f>
        <v>0</v>
      </c>
    </row>
    <row r="78" spans="1:45">
      <c r="A78" s="43">
        <f>IF(B78="","",ClientPrefix&amp;TEXT(ROW()-4,"0000"))</f>
        <v>0</v>
      </c>
      <c r="W78" s="31">
        <f>IF(A78="","",COUNTIFS(Properties!$C$5:$C$254,A78))</f>
        <v>0</v>
      </c>
      <c r="X78" s="31">
        <f>IF(A78="","",COUNTIFS(Jobs!$G$5:$G$604,A78))</f>
        <v>0</v>
      </c>
      <c r="Y78" s="31">
        <f>IF(A78="","",COUNTIFS(Jobs!$G$5:$G$604,A78,Jobs!$P$5:$P$604,"Completed")+COUNTIFS(Jobs!$G$5:$G$604,A78,Jobs!$P$5:$P$604,"Invoiced"))</f>
        <v>0</v>
      </c>
      <c r="Z78" s="31">
        <f>IF(A78="","",COUNTIFS(Jobs!$G$5:$G$604,A78,Jobs!$P$5:$P$604,"Cancelled")+COUNTIFS(Jobs!$G$5:$G$604,A78,Jobs!$P$5:$P$604,"No access"))</f>
        <v>0</v>
      </c>
      <c r="AA78" s="18">
        <f>IF(A78="","",IF(SUMPRODUCT(MAX((Jobs!$G$5:$G$604=A78)*((Jobs!$P$5:$P$604="Completed")+(Jobs!$P$5:$P$604="Invoiced"))*Jobs!$B$5:$B$604))=0,"",SUMPRODUCT(MAX((Jobs!$G$5:$G$604=A78)*((Jobs!$P$5:$P$604="Completed")+(Jobs!$P$5:$P$604="Invoiced"))*Jobs!$B$5:$B$604))))</f>
        <v>0</v>
      </c>
      <c r="AB78" s="31">
        <f>IF(AA78="","",TodayDate-AA78)</f>
        <v>0</v>
      </c>
      <c r="AC78" s="18">
        <f>IF(A78="","",IF(SUMPRODUCT(MIN((Jobs!$G$5:$G$604=A78)*(Jobs!$B$5:$B$604&gt;=TodayDate)*(Jobs!$P$5:$P$604&lt;&gt;"Cancelled")*Jobs!$B$5:$B$604+(1-(Jobs!$G$5:$G$604=A78)*(Jobs!$B$5:$B$604&gt;=TodayDate)*(Jobs!$P$5:$P$604&lt;&gt;"Cancelled"))*2958465))=2958465,"",SUMPRODUCT(MIN((Jobs!$G$5:$G$604=A78)*(Jobs!$B$5:$B$604&gt;=TodayDate)*(Jobs!$P$5:$P$604&lt;&gt;"Cancelled")*Jobs!$B$5:$B$604+(1-(Jobs!$G$5:$G$604=A78)*(Jobs!$B$5:$B$604&gt;=TodayDate)*(Jobs!$P$5:$P$604&lt;&gt;"Cancelled"))*2958465))))</f>
        <v>0</v>
      </c>
      <c r="AD78" s="21">
        <f>IF(A78="","",SUMIFS(Invoices!$V$5:$V$404,Invoices!$D$5:$D$404,A78))</f>
        <v>0</v>
      </c>
      <c r="AE78" s="21">
        <f>IF(A78="","",SUMIFS(Invoices!$W$5:$W$404,Invoices!$D$5:$D$404,A78))</f>
        <v>0</v>
      </c>
      <c r="AF78" s="21">
        <f>IF(A78="","",AD78-AE78)</f>
        <v>0</v>
      </c>
      <c r="AG78" s="21">
        <f>IF(OR(A78="",Y78=0),"",AD78/Y78)</f>
        <v>0</v>
      </c>
      <c r="AH78" s="21">
        <f>IF(A78="","",SUMIFS('Job Costing'!$U$5:$U$604,'Job Costing'!$D$5:$D$604,A78))</f>
        <v>0</v>
      </c>
      <c r="AI78" s="38">
        <f>IF(OR(A78="",AD78=0),"",AH78/AD78)</f>
        <v>0</v>
      </c>
      <c r="AJ78" s="21">
        <f>IF(OR(A78="",K78="",AG78=""),"",AG78*IFERROR(INDEX(FreqPerYear,MATCH(K78,FreqNames,0)),1))</f>
        <v>0</v>
      </c>
      <c r="AK78" s="34">
        <f>IF(A78="","",IFERROR(AVERAGEIFS(Jobs!$AA$5:$AA$604,Jobs!$G$5:$G$604,A78,Jobs!$AA$5:$AA$604,"&gt;0"),""))</f>
        <v>0</v>
      </c>
      <c r="AL78" s="31">
        <f>IF(A78="","",COUNTIFS(Complaints!$D$5:$D$84,A78))</f>
        <v>0</v>
      </c>
      <c r="AM78" s="31">
        <f>IF(B78="","",COUNTIFS($AD$5:$AD$204,"&gt;"&amp;AD78)+COUNTIFS($AD$5:AD78,AD78))</f>
        <v>0</v>
      </c>
      <c r="AN78" s="31">
        <f>IF(B78="","",COUNTIFS($AH$5:$AH$204,"&gt;"&amp;AH78)+COUNTIFS($AH$5:AH78,AH78))</f>
        <v>0</v>
      </c>
      <c r="AO78" s="31">
        <f>IF(B78="","",COUNTIFS($AJ$5:$AJ$204,"&gt;"&amp;AJ78)+COUNTIFS($AJ$5:AJ78,AJ78))</f>
        <v>0</v>
      </c>
      <c r="AP78" s="39">
        <f>IF(B78="","",IF(H78="Lost","Lost",IF(H78="Inactive","Dormant",IF(AA78="","Dormant",IF(AB78&gt;InactiveClientDays*2,"Dormant",IF(AB78&gt;InactiveClientDays,"At risk",IF(AC78="","Slipping",IF(Y78&gt;=10,"Loyal","Steady"))))))))</f>
        <v>0</v>
      </c>
      <c r="AQ78" s="34">
        <f>IF(OR(B78="",AP78="Lost",AP78="Dormant"),"",IF(OR(AP78="At risk",AP78="Slipping"),IF(AB78="",999,AB78),""))</f>
        <v>0</v>
      </c>
      <c r="AR78" s="31">
        <f>IF(AQ78="","",COUNTIFS($AQ$5:$AQ$204,"&gt;"&amp;AQ78)+COUNTIFS($AQ$5:AQ78,AQ78))</f>
        <v>0</v>
      </c>
      <c r="AS78" s="39">
        <f>IF(B78="","",IF(AF78&gt;0.5,"Chase - "&amp;TEXT(AF78,"0")&amp;" owing",IF(AND(H78&lt;&gt;"Lost",H78&lt;&gt;"Inactive",H78&lt;&gt;"Paused",AC78="",K78&lt;&gt;"One-off"),"Book - nothing in the diary",IF(AND(S78&lt;&gt;"",S78-TodayDate&lt;=RenewalWarningDays,S78&gt;=TodayDate),"Due - contract renews soon",IF(AP78="At risk","Call - going quiet",IF(AL78&gt;=2,"Check - complaints logged",IF(AND(AI78&lt;&gt;"",AI78&lt;MarginFloor,Y78&gt;0),"Check - thin margin","OK")))))))</f>
        <v>0</v>
      </c>
    </row>
    <row r="79" spans="1:45">
      <c r="A79" s="43">
        <f>IF(B79="","",ClientPrefix&amp;TEXT(ROW()-4,"0000"))</f>
        <v>0</v>
      </c>
      <c r="W79" s="31">
        <f>IF(A79="","",COUNTIFS(Properties!$C$5:$C$254,A79))</f>
        <v>0</v>
      </c>
      <c r="X79" s="31">
        <f>IF(A79="","",COUNTIFS(Jobs!$G$5:$G$604,A79))</f>
        <v>0</v>
      </c>
      <c r="Y79" s="31">
        <f>IF(A79="","",COUNTIFS(Jobs!$G$5:$G$604,A79,Jobs!$P$5:$P$604,"Completed")+COUNTIFS(Jobs!$G$5:$G$604,A79,Jobs!$P$5:$P$604,"Invoiced"))</f>
        <v>0</v>
      </c>
      <c r="Z79" s="31">
        <f>IF(A79="","",COUNTIFS(Jobs!$G$5:$G$604,A79,Jobs!$P$5:$P$604,"Cancelled")+COUNTIFS(Jobs!$G$5:$G$604,A79,Jobs!$P$5:$P$604,"No access"))</f>
        <v>0</v>
      </c>
      <c r="AA79" s="18">
        <f>IF(A79="","",IF(SUMPRODUCT(MAX((Jobs!$G$5:$G$604=A79)*((Jobs!$P$5:$P$604="Completed")+(Jobs!$P$5:$P$604="Invoiced"))*Jobs!$B$5:$B$604))=0,"",SUMPRODUCT(MAX((Jobs!$G$5:$G$604=A79)*((Jobs!$P$5:$P$604="Completed")+(Jobs!$P$5:$P$604="Invoiced"))*Jobs!$B$5:$B$604))))</f>
        <v>0</v>
      </c>
      <c r="AB79" s="31">
        <f>IF(AA79="","",TodayDate-AA79)</f>
        <v>0</v>
      </c>
      <c r="AC79" s="18">
        <f>IF(A79="","",IF(SUMPRODUCT(MIN((Jobs!$G$5:$G$604=A79)*(Jobs!$B$5:$B$604&gt;=TodayDate)*(Jobs!$P$5:$P$604&lt;&gt;"Cancelled")*Jobs!$B$5:$B$604+(1-(Jobs!$G$5:$G$604=A79)*(Jobs!$B$5:$B$604&gt;=TodayDate)*(Jobs!$P$5:$P$604&lt;&gt;"Cancelled"))*2958465))=2958465,"",SUMPRODUCT(MIN((Jobs!$G$5:$G$604=A79)*(Jobs!$B$5:$B$604&gt;=TodayDate)*(Jobs!$P$5:$P$604&lt;&gt;"Cancelled")*Jobs!$B$5:$B$604+(1-(Jobs!$G$5:$G$604=A79)*(Jobs!$B$5:$B$604&gt;=TodayDate)*(Jobs!$P$5:$P$604&lt;&gt;"Cancelled"))*2958465))))</f>
        <v>0</v>
      </c>
      <c r="AD79" s="21">
        <f>IF(A79="","",SUMIFS(Invoices!$V$5:$V$404,Invoices!$D$5:$D$404,A79))</f>
        <v>0</v>
      </c>
      <c r="AE79" s="21">
        <f>IF(A79="","",SUMIFS(Invoices!$W$5:$W$404,Invoices!$D$5:$D$404,A79))</f>
        <v>0</v>
      </c>
      <c r="AF79" s="21">
        <f>IF(A79="","",AD79-AE79)</f>
        <v>0</v>
      </c>
      <c r="AG79" s="21">
        <f>IF(OR(A79="",Y79=0),"",AD79/Y79)</f>
        <v>0</v>
      </c>
      <c r="AH79" s="21">
        <f>IF(A79="","",SUMIFS('Job Costing'!$U$5:$U$604,'Job Costing'!$D$5:$D$604,A79))</f>
        <v>0</v>
      </c>
      <c r="AI79" s="38">
        <f>IF(OR(A79="",AD79=0),"",AH79/AD79)</f>
        <v>0</v>
      </c>
      <c r="AJ79" s="21">
        <f>IF(OR(A79="",K79="",AG79=""),"",AG79*IFERROR(INDEX(FreqPerYear,MATCH(K79,FreqNames,0)),1))</f>
        <v>0</v>
      </c>
      <c r="AK79" s="34">
        <f>IF(A79="","",IFERROR(AVERAGEIFS(Jobs!$AA$5:$AA$604,Jobs!$G$5:$G$604,A79,Jobs!$AA$5:$AA$604,"&gt;0"),""))</f>
        <v>0</v>
      </c>
      <c r="AL79" s="31">
        <f>IF(A79="","",COUNTIFS(Complaints!$D$5:$D$84,A79))</f>
        <v>0</v>
      </c>
      <c r="AM79" s="31">
        <f>IF(B79="","",COUNTIFS($AD$5:$AD$204,"&gt;"&amp;AD79)+COUNTIFS($AD$5:AD79,AD79))</f>
        <v>0</v>
      </c>
      <c r="AN79" s="31">
        <f>IF(B79="","",COUNTIFS($AH$5:$AH$204,"&gt;"&amp;AH79)+COUNTIFS($AH$5:AH79,AH79))</f>
        <v>0</v>
      </c>
      <c r="AO79" s="31">
        <f>IF(B79="","",COUNTIFS($AJ$5:$AJ$204,"&gt;"&amp;AJ79)+COUNTIFS($AJ$5:AJ79,AJ79))</f>
        <v>0</v>
      </c>
      <c r="AP79" s="39">
        <f>IF(B79="","",IF(H79="Lost","Lost",IF(H79="Inactive","Dormant",IF(AA79="","Dormant",IF(AB79&gt;InactiveClientDays*2,"Dormant",IF(AB79&gt;InactiveClientDays,"At risk",IF(AC79="","Slipping",IF(Y79&gt;=10,"Loyal","Steady"))))))))</f>
        <v>0</v>
      </c>
      <c r="AQ79" s="34">
        <f>IF(OR(B79="",AP79="Lost",AP79="Dormant"),"",IF(OR(AP79="At risk",AP79="Slipping"),IF(AB79="",999,AB79),""))</f>
        <v>0</v>
      </c>
      <c r="AR79" s="31">
        <f>IF(AQ79="","",COUNTIFS($AQ$5:$AQ$204,"&gt;"&amp;AQ79)+COUNTIFS($AQ$5:AQ79,AQ79))</f>
        <v>0</v>
      </c>
      <c r="AS79" s="39">
        <f>IF(B79="","",IF(AF79&gt;0.5,"Chase - "&amp;TEXT(AF79,"0")&amp;" owing",IF(AND(H79&lt;&gt;"Lost",H79&lt;&gt;"Inactive",H79&lt;&gt;"Paused",AC79="",K79&lt;&gt;"One-off"),"Book - nothing in the diary",IF(AND(S79&lt;&gt;"",S79-TodayDate&lt;=RenewalWarningDays,S79&gt;=TodayDate),"Due - contract renews soon",IF(AP79="At risk","Call - going quiet",IF(AL79&gt;=2,"Check - complaints logged",IF(AND(AI79&lt;&gt;"",AI79&lt;MarginFloor,Y79&gt;0),"Check - thin margin","OK")))))))</f>
        <v>0</v>
      </c>
    </row>
    <row r="80" spans="1:45">
      <c r="A80" s="43">
        <f>IF(B80="","",ClientPrefix&amp;TEXT(ROW()-4,"0000"))</f>
        <v>0</v>
      </c>
      <c r="W80" s="31">
        <f>IF(A80="","",COUNTIFS(Properties!$C$5:$C$254,A80))</f>
        <v>0</v>
      </c>
      <c r="X80" s="31">
        <f>IF(A80="","",COUNTIFS(Jobs!$G$5:$G$604,A80))</f>
        <v>0</v>
      </c>
      <c r="Y80" s="31">
        <f>IF(A80="","",COUNTIFS(Jobs!$G$5:$G$604,A80,Jobs!$P$5:$P$604,"Completed")+COUNTIFS(Jobs!$G$5:$G$604,A80,Jobs!$P$5:$P$604,"Invoiced"))</f>
        <v>0</v>
      </c>
      <c r="Z80" s="31">
        <f>IF(A80="","",COUNTIFS(Jobs!$G$5:$G$604,A80,Jobs!$P$5:$P$604,"Cancelled")+COUNTIFS(Jobs!$G$5:$G$604,A80,Jobs!$P$5:$P$604,"No access"))</f>
        <v>0</v>
      </c>
      <c r="AA80" s="18">
        <f>IF(A80="","",IF(SUMPRODUCT(MAX((Jobs!$G$5:$G$604=A80)*((Jobs!$P$5:$P$604="Completed")+(Jobs!$P$5:$P$604="Invoiced"))*Jobs!$B$5:$B$604))=0,"",SUMPRODUCT(MAX((Jobs!$G$5:$G$604=A80)*((Jobs!$P$5:$P$604="Completed")+(Jobs!$P$5:$P$604="Invoiced"))*Jobs!$B$5:$B$604))))</f>
        <v>0</v>
      </c>
      <c r="AB80" s="31">
        <f>IF(AA80="","",TodayDate-AA80)</f>
        <v>0</v>
      </c>
      <c r="AC80" s="18">
        <f>IF(A80="","",IF(SUMPRODUCT(MIN((Jobs!$G$5:$G$604=A80)*(Jobs!$B$5:$B$604&gt;=TodayDate)*(Jobs!$P$5:$P$604&lt;&gt;"Cancelled")*Jobs!$B$5:$B$604+(1-(Jobs!$G$5:$G$604=A80)*(Jobs!$B$5:$B$604&gt;=TodayDate)*(Jobs!$P$5:$P$604&lt;&gt;"Cancelled"))*2958465))=2958465,"",SUMPRODUCT(MIN((Jobs!$G$5:$G$604=A80)*(Jobs!$B$5:$B$604&gt;=TodayDate)*(Jobs!$P$5:$P$604&lt;&gt;"Cancelled")*Jobs!$B$5:$B$604+(1-(Jobs!$G$5:$G$604=A80)*(Jobs!$B$5:$B$604&gt;=TodayDate)*(Jobs!$P$5:$P$604&lt;&gt;"Cancelled"))*2958465))))</f>
        <v>0</v>
      </c>
      <c r="AD80" s="21">
        <f>IF(A80="","",SUMIFS(Invoices!$V$5:$V$404,Invoices!$D$5:$D$404,A80))</f>
        <v>0</v>
      </c>
      <c r="AE80" s="21">
        <f>IF(A80="","",SUMIFS(Invoices!$W$5:$W$404,Invoices!$D$5:$D$404,A80))</f>
        <v>0</v>
      </c>
      <c r="AF80" s="21">
        <f>IF(A80="","",AD80-AE80)</f>
        <v>0</v>
      </c>
      <c r="AG80" s="21">
        <f>IF(OR(A80="",Y80=0),"",AD80/Y80)</f>
        <v>0</v>
      </c>
      <c r="AH80" s="21">
        <f>IF(A80="","",SUMIFS('Job Costing'!$U$5:$U$604,'Job Costing'!$D$5:$D$604,A80))</f>
        <v>0</v>
      </c>
      <c r="AI80" s="38">
        <f>IF(OR(A80="",AD80=0),"",AH80/AD80)</f>
        <v>0</v>
      </c>
      <c r="AJ80" s="21">
        <f>IF(OR(A80="",K80="",AG80=""),"",AG80*IFERROR(INDEX(FreqPerYear,MATCH(K80,FreqNames,0)),1))</f>
        <v>0</v>
      </c>
      <c r="AK80" s="34">
        <f>IF(A80="","",IFERROR(AVERAGEIFS(Jobs!$AA$5:$AA$604,Jobs!$G$5:$G$604,A80,Jobs!$AA$5:$AA$604,"&gt;0"),""))</f>
        <v>0</v>
      </c>
      <c r="AL80" s="31">
        <f>IF(A80="","",COUNTIFS(Complaints!$D$5:$D$84,A80))</f>
        <v>0</v>
      </c>
      <c r="AM80" s="31">
        <f>IF(B80="","",COUNTIFS($AD$5:$AD$204,"&gt;"&amp;AD80)+COUNTIFS($AD$5:AD80,AD80))</f>
        <v>0</v>
      </c>
      <c r="AN80" s="31">
        <f>IF(B80="","",COUNTIFS($AH$5:$AH$204,"&gt;"&amp;AH80)+COUNTIFS($AH$5:AH80,AH80))</f>
        <v>0</v>
      </c>
      <c r="AO80" s="31">
        <f>IF(B80="","",COUNTIFS($AJ$5:$AJ$204,"&gt;"&amp;AJ80)+COUNTIFS($AJ$5:AJ80,AJ80))</f>
        <v>0</v>
      </c>
      <c r="AP80" s="39">
        <f>IF(B80="","",IF(H80="Lost","Lost",IF(H80="Inactive","Dormant",IF(AA80="","Dormant",IF(AB80&gt;InactiveClientDays*2,"Dormant",IF(AB80&gt;InactiveClientDays,"At risk",IF(AC80="","Slipping",IF(Y80&gt;=10,"Loyal","Steady"))))))))</f>
        <v>0</v>
      </c>
      <c r="AQ80" s="34">
        <f>IF(OR(B80="",AP80="Lost",AP80="Dormant"),"",IF(OR(AP80="At risk",AP80="Slipping"),IF(AB80="",999,AB80),""))</f>
        <v>0</v>
      </c>
      <c r="AR80" s="31">
        <f>IF(AQ80="","",COUNTIFS($AQ$5:$AQ$204,"&gt;"&amp;AQ80)+COUNTIFS($AQ$5:AQ80,AQ80))</f>
        <v>0</v>
      </c>
      <c r="AS80" s="39">
        <f>IF(B80="","",IF(AF80&gt;0.5,"Chase - "&amp;TEXT(AF80,"0")&amp;" owing",IF(AND(H80&lt;&gt;"Lost",H80&lt;&gt;"Inactive",H80&lt;&gt;"Paused",AC80="",K80&lt;&gt;"One-off"),"Book - nothing in the diary",IF(AND(S80&lt;&gt;"",S80-TodayDate&lt;=RenewalWarningDays,S80&gt;=TodayDate),"Due - contract renews soon",IF(AP80="At risk","Call - going quiet",IF(AL80&gt;=2,"Check - complaints logged",IF(AND(AI80&lt;&gt;"",AI80&lt;MarginFloor,Y80&gt;0),"Check - thin margin","OK")))))))</f>
        <v>0</v>
      </c>
    </row>
    <row r="81" spans="1:45">
      <c r="A81" s="43">
        <f>IF(B81="","",ClientPrefix&amp;TEXT(ROW()-4,"0000"))</f>
        <v>0</v>
      </c>
      <c r="W81" s="31">
        <f>IF(A81="","",COUNTIFS(Properties!$C$5:$C$254,A81))</f>
        <v>0</v>
      </c>
      <c r="X81" s="31">
        <f>IF(A81="","",COUNTIFS(Jobs!$G$5:$G$604,A81))</f>
        <v>0</v>
      </c>
      <c r="Y81" s="31">
        <f>IF(A81="","",COUNTIFS(Jobs!$G$5:$G$604,A81,Jobs!$P$5:$P$604,"Completed")+COUNTIFS(Jobs!$G$5:$G$604,A81,Jobs!$P$5:$P$604,"Invoiced"))</f>
        <v>0</v>
      </c>
      <c r="Z81" s="31">
        <f>IF(A81="","",COUNTIFS(Jobs!$G$5:$G$604,A81,Jobs!$P$5:$P$604,"Cancelled")+COUNTIFS(Jobs!$G$5:$G$604,A81,Jobs!$P$5:$P$604,"No access"))</f>
        <v>0</v>
      </c>
      <c r="AA81" s="18">
        <f>IF(A81="","",IF(SUMPRODUCT(MAX((Jobs!$G$5:$G$604=A81)*((Jobs!$P$5:$P$604="Completed")+(Jobs!$P$5:$P$604="Invoiced"))*Jobs!$B$5:$B$604))=0,"",SUMPRODUCT(MAX((Jobs!$G$5:$G$604=A81)*((Jobs!$P$5:$P$604="Completed")+(Jobs!$P$5:$P$604="Invoiced"))*Jobs!$B$5:$B$604))))</f>
        <v>0</v>
      </c>
      <c r="AB81" s="31">
        <f>IF(AA81="","",TodayDate-AA81)</f>
        <v>0</v>
      </c>
      <c r="AC81" s="18">
        <f>IF(A81="","",IF(SUMPRODUCT(MIN((Jobs!$G$5:$G$604=A81)*(Jobs!$B$5:$B$604&gt;=TodayDate)*(Jobs!$P$5:$P$604&lt;&gt;"Cancelled")*Jobs!$B$5:$B$604+(1-(Jobs!$G$5:$G$604=A81)*(Jobs!$B$5:$B$604&gt;=TodayDate)*(Jobs!$P$5:$P$604&lt;&gt;"Cancelled"))*2958465))=2958465,"",SUMPRODUCT(MIN((Jobs!$G$5:$G$604=A81)*(Jobs!$B$5:$B$604&gt;=TodayDate)*(Jobs!$P$5:$P$604&lt;&gt;"Cancelled")*Jobs!$B$5:$B$604+(1-(Jobs!$G$5:$G$604=A81)*(Jobs!$B$5:$B$604&gt;=TodayDate)*(Jobs!$P$5:$P$604&lt;&gt;"Cancelled"))*2958465))))</f>
        <v>0</v>
      </c>
      <c r="AD81" s="21">
        <f>IF(A81="","",SUMIFS(Invoices!$V$5:$V$404,Invoices!$D$5:$D$404,A81))</f>
        <v>0</v>
      </c>
      <c r="AE81" s="21">
        <f>IF(A81="","",SUMIFS(Invoices!$W$5:$W$404,Invoices!$D$5:$D$404,A81))</f>
        <v>0</v>
      </c>
      <c r="AF81" s="21">
        <f>IF(A81="","",AD81-AE81)</f>
        <v>0</v>
      </c>
      <c r="AG81" s="21">
        <f>IF(OR(A81="",Y81=0),"",AD81/Y81)</f>
        <v>0</v>
      </c>
      <c r="AH81" s="21">
        <f>IF(A81="","",SUMIFS('Job Costing'!$U$5:$U$604,'Job Costing'!$D$5:$D$604,A81))</f>
        <v>0</v>
      </c>
      <c r="AI81" s="38">
        <f>IF(OR(A81="",AD81=0),"",AH81/AD81)</f>
        <v>0</v>
      </c>
      <c r="AJ81" s="21">
        <f>IF(OR(A81="",K81="",AG81=""),"",AG81*IFERROR(INDEX(FreqPerYear,MATCH(K81,FreqNames,0)),1))</f>
        <v>0</v>
      </c>
      <c r="AK81" s="34">
        <f>IF(A81="","",IFERROR(AVERAGEIFS(Jobs!$AA$5:$AA$604,Jobs!$G$5:$G$604,A81,Jobs!$AA$5:$AA$604,"&gt;0"),""))</f>
        <v>0</v>
      </c>
      <c r="AL81" s="31">
        <f>IF(A81="","",COUNTIFS(Complaints!$D$5:$D$84,A81))</f>
        <v>0</v>
      </c>
      <c r="AM81" s="31">
        <f>IF(B81="","",COUNTIFS($AD$5:$AD$204,"&gt;"&amp;AD81)+COUNTIFS($AD$5:AD81,AD81))</f>
        <v>0</v>
      </c>
      <c r="AN81" s="31">
        <f>IF(B81="","",COUNTIFS($AH$5:$AH$204,"&gt;"&amp;AH81)+COUNTIFS($AH$5:AH81,AH81))</f>
        <v>0</v>
      </c>
      <c r="AO81" s="31">
        <f>IF(B81="","",COUNTIFS($AJ$5:$AJ$204,"&gt;"&amp;AJ81)+COUNTIFS($AJ$5:AJ81,AJ81))</f>
        <v>0</v>
      </c>
      <c r="AP81" s="39">
        <f>IF(B81="","",IF(H81="Lost","Lost",IF(H81="Inactive","Dormant",IF(AA81="","Dormant",IF(AB81&gt;InactiveClientDays*2,"Dormant",IF(AB81&gt;InactiveClientDays,"At risk",IF(AC81="","Slipping",IF(Y81&gt;=10,"Loyal","Steady"))))))))</f>
        <v>0</v>
      </c>
      <c r="AQ81" s="34">
        <f>IF(OR(B81="",AP81="Lost",AP81="Dormant"),"",IF(OR(AP81="At risk",AP81="Slipping"),IF(AB81="",999,AB81),""))</f>
        <v>0</v>
      </c>
      <c r="AR81" s="31">
        <f>IF(AQ81="","",COUNTIFS($AQ$5:$AQ$204,"&gt;"&amp;AQ81)+COUNTIFS($AQ$5:AQ81,AQ81))</f>
        <v>0</v>
      </c>
      <c r="AS81" s="39">
        <f>IF(B81="","",IF(AF81&gt;0.5,"Chase - "&amp;TEXT(AF81,"0")&amp;" owing",IF(AND(H81&lt;&gt;"Lost",H81&lt;&gt;"Inactive",H81&lt;&gt;"Paused",AC81="",K81&lt;&gt;"One-off"),"Book - nothing in the diary",IF(AND(S81&lt;&gt;"",S81-TodayDate&lt;=RenewalWarningDays,S81&gt;=TodayDate),"Due - contract renews soon",IF(AP81="At risk","Call - going quiet",IF(AL81&gt;=2,"Check - complaints logged",IF(AND(AI81&lt;&gt;"",AI81&lt;MarginFloor,Y81&gt;0),"Check - thin margin","OK")))))))</f>
        <v>0</v>
      </c>
    </row>
    <row r="82" spans="1:45">
      <c r="A82" s="43">
        <f>IF(B82="","",ClientPrefix&amp;TEXT(ROW()-4,"0000"))</f>
        <v>0</v>
      </c>
      <c r="W82" s="31">
        <f>IF(A82="","",COUNTIFS(Properties!$C$5:$C$254,A82))</f>
        <v>0</v>
      </c>
      <c r="X82" s="31">
        <f>IF(A82="","",COUNTIFS(Jobs!$G$5:$G$604,A82))</f>
        <v>0</v>
      </c>
      <c r="Y82" s="31">
        <f>IF(A82="","",COUNTIFS(Jobs!$G$5:$G$604,A82,Jobs!$P$5:$P$604,"Completed")+COUNTIFS(Jobs!$G$5:$G$604,A82,Jobs!$P$5:$P$604,"Invoiced"))</f>
        <v>0</v>
      </c>
      <c r="Z82" s="31">
        <f>IF(A82="","",COUNTIFS(Jobs!$G$5:$G$604,A82,Jobs!$P$5:$P$604,"Cancelled")+COUNTIFS(Jobs!$G$5:$G$604,A82,Jobs!$P$5:$P$604,"No access"))</f>
        <v>0</v>
      </c>
      <c r="AA82" s="18">
        <f>IF(A82="","",IF(SUMPRODUCT(MAX((Jobs!$G$5:$G$604=A82)*((Jobs!$P$5:$P$604="Completed")+(Jobs!$P$5:$P$604="Invoiced"))*Jobs!$B$5:$B$604))=0,"",SUMPRODUCT(MAX((Jobs!$G$5:$G$604=A82)*((Jobs!$P$5:$P$604="Completed")+(Jobs!$P$5:$P$604="Invoiced"))*Jobs!$B$5:$B$604))))</f>
        <v>0</v>
      </c>
      <c r="AB82" s="31">
        <f>IF(AA82="","",TodayDate-AA82)</f>
        <v>0</v>
      </c>
      <c r="AC82" s="18">
        <f>IF(A82="","",IF(SUMPRODUCT(MIN((Jobs!$G$5:$G$604=A82)*(Jobs!$B$5:$B$604&gt;=TodayDate)*(Jobs!$P$5:$P$604&lt;&gt;"Cancelled")*Jobs!$B$5:$B$604+(1-(Jobs!$G$5:$G$604=A82)*(Jobs!$B$5:$B$604&gt;=TodayDate)*(Jobs!$P$5:$P$604&lt;&gt;"Cancelled"))*2958465))=2958465,"",SUMPRODUCT(MIN((Jobs!$G$5:$G$604=A82)*(Jobs!$B$5:$B$604&gt;=TodayDate)*(Jobs!$P$5:$P$604&lt;&gt;"Cancelled")*Jobs!$B$5:$B$604+(1-(Jobs!$G$5:$G$604=A82)*(Jobs!$B$5:$B$604&gt;=TodayDate)*(Jobs!$P$5:$P$604&lt;&gt;"Cancelled"))*2958465))))</f>
        <v>0</v>
      </c>
      <c r="AD82" s="21">
        <f>IF(A82="","",SUMIFS(Invoices!$V$5:$V$404,Invoices!$D$5:$D$404,A82))</f>
        <v>0</v>
      </c>
      <c r="AE82" s="21">
        <f>IF(A82="","",SUMIFS(Invoices!$W$5:$W$404,Invoices!$D$5:$D$404,A82))</f>
        <v>0</v>
      </c>
      <c r="AF82" s="21">
        <f>IF(A82="","",AD82-AE82)</f>
        <v>0</v>
      </c>
      <c r="AG82" s="21">
        <f>IF(OR(A82="",Y82=0),"",AD82/Y82)</f>
        <v>0</v>
      </c>
      <c r="AH82" s="21">
        <f>IF(A82="","",SUMIFS('Job Costing'!$U$5:$U$604,'Job Costing'!$D$5:$D$604,A82))</f>
        <v>0</v>
      </c>
      <c r="AI82" s="38">
        <f>IF(OR(A82="",AD82=0),"",AH82/AD82)</f>
        <v>0</v>
      </c>
      <c r="AJ82" s="21">
        <f>IF(OR(A82="",K82="",AG82=""),"",AG82*IFERROR(INDEX(FreqPerYear,MATCH(K82,FreqNames,0)),1))</f>
        <v>0</v>
      </c>
      <c r="AK82" s="34">
        <f>IF(A82="","",IFERROR(AVERAGEIFS(Jobs!$AA$5:$AA$604,Jobs!$G$5:$G$604,A82,Jobs!$AA$5:$AA$604,"&gt;0"),""))</f>
        <v>0</v>
      </c>
      <c r="AL82" s="31">
        <f>IF(A82="","",COUNTIFS(Complaints!$D$5:$D$84,A82))</f>
        <v>0</v>
      </c>
      <c r="AM82" s="31">
        <f>IF(B82="","",COUNTIFS($AD$5:$AD$204,"&gt;"&amp;AD82)+COUNTIFS($AD$5:AD82,AD82))</f>
        <v>0</v>
      </c>
      <c r="AN82" s="31">
        <f>IF(B82="","",COUNTIFS($AH$5:$AH$204,"&gt;"&amp;AH82)+COUNTIFS($AH$5:AH82,AH82))</f>
        <v>0</v>
      </c>
      <c r="AO82" s="31">
        <f>IF(B82="","",COUNTIFS($AJ$5:$AJ$204,"&gt;"&amp;AJ82)+COUNTIFS($AJ$5:AJ82,AJ82))</f>
        <v>0</v>
      </c>
      <c r="AP82" s="39">
        <f>IF(B82="","",IF(H82="Lost","Lost",IF(H82="Inactive","Dormant",IF(AA82="","Dormant",IF(AB82&gt;InactiveClientDays*2,"Dormant",IF(AB82&gt;InactiveClientDays,"At risk",IF(AC82="","Slipping",IF(Y82&gt;=10,"Loyal","Steady"))))))))</f>
        <v>0</v>
      </c>
      <c r="AQ82" s="34">
        <f>IF(OR(B82="",AP82="Lost",AP82="Dormant"),"",IF(OR(AP82="At risk",AP82="Slipping"),IF(AB82="",999,AB82),""))</f>
        <v>0</v>
      </c>
      <c r="AR82" s="31">
        <f>IF(AQ82="","",COUNTIFS($AQ$5:$AQ$204,"&gt;"&amp;AQ82)+COUNTIFS($AQ$5:AQ82,AQ82))</f>
        <v>0</v>
      </c>
      <c r="AS82" s="39">
        <f>IF(B82="","",IF(AF82&gt;0.5,"Chase - "&amp;TEXT(AF82,"0")&amp;" owing",IF(AND(H82&lt;&gt;"Lost",H82&lt;&gt;"Inactive",H82&lt;&gt;"Paused",AC82="",K82&lt;&gt;"One-off"),"Book - nothing in the diary",IF(AND(S82&lt;&gt;"",S82-TodayDate&lt;=RenewalWarningDays,S82&gt;=TodayDate),"Due - contract renews soon",IF(AP82="At risk","Call - going quiet",IF(AL82&gt;=2,"Check - complaints logged",IF(AND(AI82&lt;&gt;"",AI82&lt;MarginFloor,Y82&gt;0),"Check - thin margin","OK")))))))</f>
        <v>0</v>
      </c>
    </row>
    <row r="83" spans="1:45">
      <c r="A83" s="43">
        <f>IF(B83="","",ClientPrefix&amp;TEXT(ROW()-4,"0000"))</f>
        <v>0</v>
      </c>
      <c r="W83" s="31">
        <f>IF(A83="","",COUNTIFS(Properties!$C$5:$C$254,A83))</f>
        <v>0</v>
      </c>
      <c r="X83" s="31">
        <f>IF(A83="","",COUNTIFS(Jobs!$G$5:$G$604,A83))</f>
        <v>0</v>
      </c>
      <c r="Y83" s="31">
        <f>IF(A83="","",COUNTIFS(Jobs!$G$5:$G$604,A83,Jobs!$P$5:$P$604,"Completed")+COUNTIFS(Jobs!$G$5:$G$604,A83,Jobs!$P$5:$P$604,"Invoiced"))</f>
        <v>0</v>
      </c>
      <c r="Z83" s="31">
        <f>IF(A83="","",COUNTIFS(Jobs!$G$5:$G$604,A83,Jobs!$P$5:$P$604,"Cancelled")+COUNTIFS(Jobs!$G$5:$G$604,A83,Jobs!$P$5:$P$604,"No access"))</f>
        <v>0</v>
      </c>
      <c r="AA83" s="18">
        <f>IF(A83="","",IF(SUMPRODUCT(MAX((Jobs!$G$5:$G$604=A83)*((Jobs!$P$5:$P$604="Completed")+(Jobs!$P$5:$P$604="Invoiced"))*Jobs!$B$5:$B$604))=0,"",SUMPRODUCT(MAX((Jobs!$G$5:$G$604=A83)*((Jobs!$P$5:$P$604="Completed")+(Jobs!$P$5:$P$604="Invoiced"))*Jobs!$B$5:$B$604))))</f>
        <v>0</v>
      </c>
      <c r="AB83" s="31">
        <f>IF(AA83="","",TodayDate-AA83)</f>
        <v>0</v>
      </c>
      <c r="AC83" s="18">
        <f>IF(A83="","",IF(SUMPRODUCT(MIN((Jobs!$G$5:$G$604=A83)*(Jobs!$B$5:$B$604&gt;=TodayDate)*(Jobs!$P$5:$P$604&lt;&gt;"Cancelled")*Jobs!$B$5:$B$604+(1-(Jobs!$G$5:$G$604=A83)*(Jobs!$B$5:$B$604&gt;=TodayDate)*(Jobs!$P$5:$P$604&lt;&gt;"Cancelled"))*2958465))=2958465,"",SUMPRODUCT(MIN((Jobs!$G$5:$G$604=A83)*(Jobs!$B$5:$B$604&gt;=TodayDate)*(Jobs!$P$5:$P$604&lt;&gt;"Cancelled")*Jobs!$B$5:$B$604+(1-(Jobs!$G$5:$G$604=A83)*(Jobs!$B$5:$B$604&gt;=TodayDate)*(Jobs!$P$5:$P$604&lt;&gt;"Cancelled"))*2958465))))</f>
        <v>0</v>
      </c>
      <c r="AD83" s="21">
        <f>IF(A83="","",SUMIFS(Invoices!$V$5:$V$404,Invoices!$D$5:$D$404,A83))</f>
        <v>0</v>
      </c>
      <c r="AE83" s="21">
        <f>IF(A83="","",SUMIFS(Invoices!$W$5:$W$404,Invoices!$D$5:$D$404,A83))</f>
        <v>0</v>
      </c>
      <c r="AF83" s="21">
        <f>IF(A83="","",AD83-AE83)</f>
        <v>0</v>
      </c>
      <c r="AG83" s="21">
        <f>IF(OR(A83="",Y83=0),"",AD83/Y83)</f>
        <v>0</v>
      </c>
      <c r="AH83" s="21">
        <f>IF(A83="","",SUMIFS('Job Costing'!$U$5:$U$604,'Job Costing'!$D$5:$D$604,A83))</f>
        <v>0</v>
      </c>
      <c r="AI83" s="38">
        <f>IF(OR(A83="",AD83=0),"",AH83/AD83)</f>
        <v>0</v>
      </c>
      <c r="AJ83" s="21">
        <f>IF(OR(A83="",K83="",AG83=""),"",AG83*IFERROR(INDEX(FreqPerYear,MATCH(K83,FreqNames,0)),1))</f>
        <v>0</v>
      </c>
      <c r="AK83" s="34">
        <f>IF(A83="","",IFERROR(AVERAGEIFS(Jobs!$AA$5:$AA$604,Jobs!$G$5:$G$604,A83,Jobs!$AA$5:$AA$604,"&gt;0"),""))</f>
        <v>0</v>
      </c>
      <c r="AL83" s="31">
        <f>IF(A83="","",COUNTIFS(Complaints!$D$5:$D$84,A83))</f>
        <v>0</v>
      </c>
      <c r="AM83" s="31">
        <f>IF(B83="","",COUNTIFS($AD$5:$AD$204,"&gt;"&amp;AD83)+COUNTIFS($AD$5:AD83,AD83))</f>
        <v>0</v>
      </c>
      <c r="AN83" s="31">
        <f>IF(B83="","",COUNTIFS($AH$5:$AH$204,"&gt;"&amp;AH83)+COUNTIFS($AH$5:AH83,AH83))</f>
        <v>0</v>
      </c>
      <c r="AO83" s="31">
        <f>IF(B83="","",COUNTIFS($AJ$5:$AJ$204,"&gt;"&amp;AJ83)+COUNTIFS($AJ$5:AJ83,AJ83))</f>
        <v>0</v>
      </c>
      <c r="AP83" s="39">
        <f>IF(B83="","",IF(H83="Lost","Lost",IF(H83="Inactive","Dormant",IF(AA83="","Dormant",IF(AB83&gt;InactiveClientDays*2,"Dormant",IF(AB83&gt;InactiveClientDays,"At risk",IF(AC83="","Slipping",IF(Y83&gt;=10,"Loyal","Steady"))))))))</f>
        <v>0</v>
      </c>
      <c r="AQ83" s="34">
        <f>IF(OR(B83="",AP83="Lost",AP83="Dormant"),"",IF(OR(AP83="At risk",AP83="Slipping"),IF(AB83="",999,AB83),""))</f>
        <v>0</v>
      </c>
      <c r="AR83" s="31">
        <f>IF(AQ83="","",COUNTIFS($AQ$5:$AQ$204,"&gt;"&amp;AQ83)+COUNTIFS($AQ$5:AQ83,AQ83))</f>
        <v>0</v>
      </c>
      <c r="AS83" s="39">
        <f>IF(B83="","",IF(AF83&gt;0.5,"Chase - "&amp;TEXT(AF83,"0")&amp;" owing",IF(AND(H83&lt;&gt;"Lost",H83&lt;&gt;"Inactive",H83&lt;&gt;"Paused",AC83="",K83&lt;&gt;"One-off"),"Book - nothing in the diary",IF(AND(S83&lt;&gt;"",S83-TodayDate&lt;=RenewalWarningDays,S83&gt;=TodayDate),"Due - contract renews soon",IF(AP83="At risk","Call - going quiet",IF(AL83&gt;=2,"Check - complaints logged",IF(AND(AI83&lt;&gt;"",AI83&lt;MarginFloor,Y83&gt;0),"Check - thin margin","OK")))))))</f>
        <v>0</v>
      </c>
    </row>
    <row r="84" spans="1:45">
      <c r="A84" s="43">
        <f>IF(B84="","",ClientPrefix&amp;TEXT(ROW()-4,"0000"))</f>
        <v>0</v>
      </c>
      <c r="W84" s="31">
        <f>IF(A84="","",COUNTIFS(Properties!$C$5:$C$254,A84))</f>
        <v>0</v>
      </c>
      <c r="X84" s="31">
        <f>IF(A84="","",COUNTIFS(Jobs!$G$5:$G$604,A84))</f>
        <v>0</v>
      </c>
      <c r="Y84" s="31">
        <f>IF(A84="","",COUNTIFS(Jobs!$G$5:$G$604,A84,Jobs!$P$5:$P$604,"Completed")+COUNTIFS(Jobs!$G$5:$G$604,A84,Jobs!$P$5:$P$604,"Invoiced"))</f>
        <v>0</v>
      </c>
      <c r="Z84" s="31">
        <f>IF(A84="","",COUNTIFS(Jobs!$G$5:$G$604,A84,Jobs!$P$5:$P$604,"Cancelled")+COUNTIFS(Jobs!$G$5:$G$604,A84,Jobs!$P$5:$P$604,"No access"))</f>
        <v>0</v>
      </c>
      <c r="AA84" s="18">
        <f>IF(A84="","",IF(SUMPRODUCT(MAX((Jobs!$G$5:$G$604=A84)*((Jobs!$P$5:$P$604="Completed")+(Jobs!$P$5:$P$604="Invoiced"))*Jobs!$B$5:$B$604))=0,"",SUMPRODUCT(MAX((Jobs!$G$5:$G$604=A84)*((Jobs!$P$5:$P$604="Completed")+(Jobs!$P$5:$P$604="Invoiced"))*Jobs!$B$5:$B$604))))</f>
        <v>0</v>
      </c>
      <c r="AB84" s="31">
        <f>IF(AA84="","",TodayDate-AA84)</f>
        <v>0</v>
      </c>
      <c r="AC84" s="18">
        <f>IF(A84="","",IF(SUMPRODUCT(MIN((Jobs!$G$5:$G$604=A84)*(Jobs!$B$5:$B$604&gt;=TodayDate)*(Jobs!$P$5:$P$604&lt;&gt;"Cancelled")*Jobs!$B$5:$B$604+(1-(Jobs!$G$5:$G$604=A84)*(Jobs!$B$5:$B$604&gt;=TodayDate)*(Jobs!$P$5:$P$604&lt;&gt;"Cancelled"))*2958465))=2958465,"",SUMPRODUCT(MIN((Jobs!$G$5:$G$604=A84)*(Jobs!$B$5:$B$604&gt;=TodayDate)*(Jobs!$P$5:$P$604&lt;&gt;"Cancelled")*Jobs!$B$5:$B$604+(1-(Jobs!$G$5:$G$604=A84)*(Jobs!$B$5:$B$604&gt;=TodayDate)*(Jobs!$P$5:$P$604&lt;&gt;"Cancelled"))*2958465))))</f>
        <v>0</v>
      </c>
      <c r="AD84" s="21">
        <f>IF(A84="","",SUMIFS(Invoices!$V$5:$V$404,Invoices!$D$5:$D$404,A84))</f>
        <v>0</v>
      </c>
      <c r="AE84" s="21">
        <f>IF(A84="","",SUMIFS(Invoices!$W$5:$W$404,Invoices!$D$5:$D$404,A84))</f>
        <v>0</v>
      </c>
      <c r="AF84" s="21">
        <f>IF(A84="","",AD84-AE84)</f>
        <v>0</v>
      </c>
      <c r="AG84" s="21">
        <f>IF(OR(A84="",Y84=0),"",AD84/Y84)</f>
        <v>0</v>
      </c>
      <c r="AH84" s="21">
        <f>IF(A84="","",SUMIFS('Job Costing'!$U$5:$U$604,'Job Costing'!$D$5:$D$604,A84))</f>
        <v>0</v>
      </c>
      <c r="AI84" s="38">
        <f>IF(OR(A84="",AD84=0),"",AH84/AD84)</f>
        <v>0</v>
      </c>
      <c r="AJ84" s="21">
        <f>IF(OR(A84="",K84="",AG84=""),"",AG84*IFERROR(INDEX(FreqPerYear,MATCH(K84,FreqNames,0)),1))</f>
        <v>0</v>
      </c>
      <c r="AK84" s="34">
        <f>IF(A84="","",IFERROR(AVERAGEIFS(Jobs!$AA$5:$AA$604,Jobs!$G$5:$G$604,A84,Jobs!$AA$5:$AA$604,"&gt;0"),""))</f>
        <v>0</v>
      </c>
      <c r="AL84" s="31">
        <f>IF(A84="","",COUNTIFS(Complaints!$D$5:$D$84,A84))</f>
        <v>0</v>
      </c>
      <c r="AM84" s="31">
        <f>IF(B84="","",COUNTIFS($AD$5:$AD$204,"&gt;"&amp;AD84)+COUNTIFS($AD$5:AD84,AD84))</f>
        <v>0</v>
      </c>
      <c r="AN84" s="31">
        <f>IF(B84="","",COUNTIFS($AH$5:$AH$204,"&gt;"&amp;AH84)+COUNTIFS($AH$5:AH84,AH84))</f>
        <v>0</v>
      </c>
      <c r="AO84" s="31">
        <f>IF(B84="","",COUNTIFS($AJ$5:$AJ$204,"&gt;"&amp;AJ84)+COUNTIFS($AJ$5:AJ84,AJ84))</f>
        <v>0</v>
      </c>
      <c r="AP84" s="39">
        <f>IF(B84="","",IF(H84="Lost","Lost",IF(H84="Inactive","Dormant",IF(AA84="","Dormant",IF(AB84&gt;InactiveClientDays*2,"Dormant",IF(AB84&gt;InactiveClientDays,"At risk",IF(AC84="","Slipping",IF(Y84&gt;=10,"Loyal","Steady"))))))))</f>
        <v>0</v>
      </c>
      <c r="AQ84" s="34">
        <f>IF(OR(B84="",AP84="Lost",AP84="Dormant"),"",IF(OR(AP84="At risk",AP84="Slipping"),IF(AB84="",999,AB84),""))</f>
        <v>0</v>
      </c>
      <c r="AR84" s="31">
        <f>IF(AQ84="","",COUNTIFS($AQ$5:$AQ$204,"&gt;"&amp;AQ84)+COUNTIFS($AQ$5:AQ84,AQ84))</f>
        <v>0</v>
      </c>
      <c r="AS84" s="39">
        <f>IF(B84="","",IF(AF84&gt;0.5,"Chase - "&amp;TEXT(AF84,"0")&amp;" owing",IF(AND(H84&lt;&gt;"Lost",H84&lt;&gt;"Inactive",H84&lt;&gt;"Paused",AC84="",K84&lt;&gt;"One-off"),"Book - nothing in the diary",IF(AND(S84&lt;&gt;"",S84-TodayDate&lt;=RenewalWarningDays,S84&gt;=TodayDate),"Due - contract renews soon",IF(AP84="At risk","Call - going quiet",IF(AL84&gt;=2,"Check - complaints logged",IF(AND(AI84&lt;&gt;"",AI84&lt;MarginFloor,Y84&gt;0),"Check - thin margin","OK")))))))</f>
        <v>0</v>
      </c>
    </row>
    <row r="85" spans="1:45">
      <c r="A85" s="43">
        <f>IF(B85="","",ClientPrefix&amp;TEXT(ROW()-4,"0000"))</f>
        <v>0</v>
      </c>
      <c r="W85" s="31">
        <f>IF(A85="","",COUNTIFS(Properties!$C$5:$C$254,A85))</f>
        <v>0</v>
      </c>
      <c r="X85" s="31">
        <f>IF(A85="","",COUNTIFS(Jobs!$G$5:$G$604,A85))</f>
        <v>0</v>
      </c>
      <c r="Y85" s="31">
        <f>IF(A85="","",COUNTIFS(Jobs!$G$5:$G$604,A85,Jobs!$P$5:$P$604,"Completed")+COUNTIFS(Jobs!$G$5:$G$604,A85,Jobs!$P$5:$P$604,"Invoiced"))</f>
        <v>0</v>
      </c>
      <c r="Z85" s="31">
        <f>IF(A85="","",COUNTIFS(Jobs!$G$5:$G$604,A85,Jobs!$P$5:$P$604,"Cancelled")+COUNTIFS(Jobs!$G$5:$G$604,A85,Jobs!$P$5:$P$604,"No access"))</f>
        <v>0</v>
      </c>
      <c r="AA85" s="18">
        <f>IF(A85="","",IF(SUMPRODUCT(MAX((Jobs!$G$5:$G$604=A85)*((Jobs!$P$5:$P$604="Completed")+(Jobs!$P$5:$P$604="Invoiced"))*Jobs!$B$5:$B$604))=0,"",SUMPRODUCT(MAX((Jobs!$G$5:$G$604=A85)*((Jobs!$P$5:$P$604="Completed")+(Jobs!$P$5:$P$604="Invoiced"))*Jobs!$B$5:$B$604))))</f>
        <v>0</v>
      </c>
      <c r="AB85" s="31">
        <f>IF(AA85="","",TodayDate-AA85)</f>
        <v>0</v>
      </c>
      <c r="AC85" s="18">
        <f>IF(A85="","",IF(SUMPRODUCT(MIN((Jobs!$G$5:$G$604=A85)*(Jobs!$B$5:$B$604&gt;=TodayDate)*(Jobs!$P$5:$P$604&lt;&gt;"Cancelled")*Jobs!$B$5:$B$604+(1-(Jobs!$G$5:$G$604=A85)*(Jobs!$B$5:$B$604&gt;=TodayDate)*(Jobs!$P$5:$P$604&lt;&gt;"Cancelled"))*2958465))=2958465,"",SUMPRODUCT(MIN((Jobs!$G$5:$G$604=A85)*(Jobs!$B$5:$B$604&gt;=TodayDate)*(Jobs!$P$5:$P$604&lt;&gt;"Cancelled")*Jobs!$B$5:$B$604+(1-(Jobs!$G$5:$G$604=A85)*(Jobs!$B$5:$B$604&gt;=TodayDate)*(Jobs!$P$5:$P$604&lt;&gt;"Cancelled"))*2958465))))</f>
        <v>0</v>
      </c>
      <c r="AD85" s="21">
        <f>IF(A85="","",SUMIFS(Invoices!$V$5:$V$404,Invoices!$D$5:$D$404,A85))</f>
        <v>0</v>
      </c>
      <c r="AE85" s="21">
        <f>IF(A85="","",SUMIFS(Invoices!$W$5:$W$404,Invoices!$D$5:$D$404,A85))</f>
        <v>0</v>
      </c>
      <c r="AF85" s="21">
        <f>IF(A85="","",AD85-AE85)</f>
        <v>0</v>
      </c>
      <c r="AG85" s="21">
        <f>IF(OR(A85="",Y85=0),"",AD85/Y85)</f>
        <v>0</v>
      </c>
      <c r="AH85" s="21">
        <f>IF(A85="","",SUMIFS('Job Costing'!$U$5:$U$604,'Job Costing'!$D$5:$D$604,A85))</f>
        <v>0</v>
      </c>
      <c r="AI85" s="38">
        <f>IF(OR(A85="",AD85=0),"",AH85/AD85)</f>
        <v>0</v>
      </c>
      <c r="AJ85" s="21">
        <f>IF(OR(A85="",K85="",AG85=""),"",AG85*IFERROR(INDEX(FreqPerYear,MATCH(K85,FreqNames,0)),1))</f>
        <v>0</v>
      </c>
      <c r="AK85" s="34">
        <f>IF(A85="","",IFERROR(AVERAGEIFS(Jobs!$AA$5:$AA$604,Jobs!$G$5:$G$604,A85,Jobs!$AA$5:$AA$604,"&gt;0"),""))</f>
        <v>0</v>
      </c>
      <c r="AL85" s="31">
        <f>IF(A85="","",COUNTIFS(Complaints!$D$5:$D$84,A85))</f>
        <v>0</v>
      </c>
      <c r="AM85" s="31">
        <f>IF(B85="","",COUNTIFS($AD$5:$AD$204,"&gt;"&amp;AD85)+COUNTIFS($AD$5:AD85,AD85))</f>
        <v>0</v>
      </c>
      <c r="AN85" s="31">
        <f>IF(B85="","",COUNTIFS($AH$5:$AH$204,"&gt;"&amp;AH85)+COUNTIFS($AH$5:AH85,AH85))</f>
        <v>0</v>
      </c>
      <c r="AO85" s="31">
        <f>IF(B85="","",COUNTIFS($AJ$5:$AJ$204,"&gt;"&amp;AJ85)+COUNTIFS($AJ$5:AJ85,AJ85))</f>
        <v>0</v>
      </c>
      <c r="AP85" s="39">
        <f>IF(B85="","",IF(H85="Lost","Lost",IF(H85="Inactive","Dormant",IF(AA85="","Dormant",IF(AB85&gt;InactiveClientDays*2,"Dormant",IF(AB85&gt;InactiveClientDays,"At risk",IF(AC85="","Slipping",IF(Y85&gt;=10,"Loyal","Steady"))))))))</f>
        <v>0</v>
      </c>
      <c r="AQ85" s="34">
        <f>IF(OR(B85="",AP85="Lost",AP85="Dormant"),"",IF(OR(AP85="At risk",AP85="Slipping"),IF(AB85="",999,AB85),""))</f>
        <v>0</v>
      </c>
      <c r="AR85" s="31">
        <f>IF(AQ85="","",COUNTIFS($AQ$5:$AQ$204,"&gt;"&amp;AQ85)+COUNTIFS($AQ$5:AQ85,AQ85))</f>
        <v>0</v>
      </c>
      <c r="AS85" s="39">
        <f>IF(B85="","",IF(AF85&gt;0.5,"Chase - "&amp;TEXT(AF85,"0")&amp;" owing",IF(AND(H85&lt;&gt;"Lost",H85&lt;&gt;"Inactive",H85&lt;&gt;"Paused",AC85="",K85&lt;&gt;"One-off"),"Book - nothing in the diary",IF(AND(S85&lt;&gt;"",S85-TodayDate&lt;=RenewalWarningDays,S85&gt;=TodayDate),"Due - contract renews soon",IF(AP85="At risk","Call - going quiet",IF(AL85&gt;=2,"Check - complaints logged",IF(AND(AI85&lt;&gt;"",AI85&lt;MarginFloor,Y85&gt;0),"Check - thin margin","OK")))))))</f>
        <v>0</v>
      </c>
    </row>
    <row r="86" spans="1:45">
      <c r="A86" s="43">
        <f>IF(B86="","",ClientPrefix&amp;TEXT(ROW()-4,"0000"))</f>
        <v>0</v>
      </c>
      <c r="W86" s="31">
        <f>IF(A86="","",COUNTIFS(Properties!$C$5:$C$254,A86))</f>
        <v>0</v>
      </c>
      <c r="X86" s="31">
        <f>IF(A86="","",COUNTIFS(Jobs!$G$5:$G$604,A86))</f>
        <v>0</v>
      </c>
      <c r="Y86" s="31">
        <f>IF(A86="","",COUNTIFS(Jobs!$G$5:$G$604,A86,Jobs!$P$5:$P$604,"Completed")+COUNTIFS(Jobs!$G$5:$G$604,A86,Jobs!$P$5:$P$604,"Invoiced"))</f>
        <v>0</v>
      </c>
      <c r="Z86" s="31">
        <f>IF(A86="","",COUNTIFS(Jobs!$G$5:$G$604,A86,Jobs!$P$5:$P$604,"Cancelled")+COUNTIFS(Jobs!$G$5:$G$604,A86,Jobs!$P$5:$P$604,"No access"))</f>
        <v>0</v>
      </c>
      <c r="AA86" s="18">
        <f>IF(A86="","",IF(SUMPRODUCT(MAX((Jobs!$G$5:$G$604=A86)*((Jobs!$P$5:$P$604="Completed")+(Jobs!$P$5:$P$604="Invoiced"))*Jobs!$B$5:$B$604))=0,"",SUMPRODUCT(MAX((Jobs!$G$5:$G$604=A86)*((Jobs!$P$5:$P$604="Completed")+(Jobs!$P$5:$P$604="Invoiced"))*Jobs!$B$5:$B$604))))</f>
        <v>0</v>
      </c>
      <c r="AB86" s="31">
        <f>IF(AA86="","",TodayDate-AA86)</f>
        <v>0</v>
      </c>
      <c r="AC86" s="18">
        <f>IF(A86="","",IF(SUMPRODUCT(MIN((Jobs!$G$5:$G$604=A86)*(Jobs!$B$5:$B$604&gt;=TodayDate)*(Jobs!$P$5:$P$604&lt;&gt;"Cancelled")*Jobs!$B$5:$B$604+(1-(Jobs!$G$5:$G$604=A86)*(Jobs!$B$5:$B$604&gt;=TodayDate)*(Jobs!$P$5:$P$604&lt;&gt;"Cancelled"))*2958465))=2958465,"",SUMPRODUCT(MIN((Jobs!$G$5:$G$604=A86)*(Jobs!$B$5:$B$604&gt;=TodayDate)*(Jobs!$P$5:$P$604&lt;&gt;"Cancelled")*Jobs!$B$5:$B$604+(1-(Jobs!$G$5:$G$604=A86)*(Jobs!$B$5:$B$604&gt;=TodayDate)*(Jobs!$P$5:$P$604&lt;&gt;"Cancelled"))*2958465))))</f>
        <v>0</v>
      </c>
      <c r="AD86" s="21">
        <f>IF(A86="","",SUMIFS(Invoices!$V$5:$V$404,Invoices!$D$5:$D$404,A86))</f>
        <v>0</v>
      </c>
      <c r="AE86" s="21">
        <f>IF(A86="","",SUMIFS(Invoices!$W$5:$W$404,Invoices!$D$5:$D$404,A86))</f>
        <v>0</v>
      </c>
      <c r="AF86" s="21">
        <f>IF(A86="","",AD86-AE86)</f>
        <v>0</v>
      </c>
      <c r="AG86" s="21">
        <f>IF(OR(A86="",Y86=0),"",AD86/Y86)</f>
        <v>0</v>
      </c>
      <c r="AH86" s="21">
        <f>IF(A86="","",SUMIFS('Job Costing'!$U$5:$U$604,'Job Costing'!$D$5:$D$604,A86))</f>
        <v>0</v>
      </c>
      <c r="AI86" s="38">
        <f>IF(OR(A86="",AD86=0),"",AH86/AD86)</f>
        <v>0</v>
      </c>
      <c r="AJ86" s="21">
        <f>IF(OR(A86="",K86="",AG86=""),"",AG86*IFERROR(INDEX(FreqPerYear,MATCH(K86,FreqNames,0)),1))</f>
        <v>0</v>
      </c>
      <c r="AK86" s="34">
        <f>IF(A86="","",IFERROR(AVERAGEIFS(Jobs!$AA$5:$AA$604,Jobs!$G$5:$G$604,A86,Jobs!$AA$5:$AA$604,"&gt;0"),""))</f>
        <v>0</v>
      </c>
      <c r="AL86" s="31">
        <f>IF(A86="","",COUNTIFS(Complaints!$D$5:$D$84,A86))</f>
        <v>0</v>
      </c>
      <c r="AM86" s="31">
        <f>IF(B86="","",COUNTIFS($AD$5:$AD$204,"&gt;"&amp;AD86)+COUNTIFS($AD$5:AD86,AD86))</f>
        <v>0</v>
      </c>
      <c r="AN86" s="31">
        <f>IF(B86="","",COUNTIFS($AH$5:$AH$204,"&gt;"&amp;AH86)+COUNTIFS($AH$5:AH86,AH86))</f>
        <v>0</v>
      </c>
      <c r="AO86" s="31">
        <f>IF(B86="","",COUNTIFS($AJ$5:$AJ$204,"&gt;"&amp;AJ86)+COUNTIFS($AJ$5:AJ86,AJ86))</f>
        <v>0</v>
      </c>
      <c r="AP86" s="39">
        <f>IF(B86="","",IF(H86="Lost","Lost",IF(H86="Inactive","Dormant",IF(AA86="","Dormant",IF(AB86&gt;InactiveClientDays*2,"Dormant",IF(AB86&gt;InactiveClientDays,"At risk",IF(AC86="","Slipping",IF(Y86&gt;=10,"Loyal","Steady"))))))))</f>
        <v>0</v>
      </c>
      <c r="AQ86" s="34">
        <f>IF(OR(B86="",AP86="Lost",AP86="Dormant"),"",IF(OR(AP86="At risk",AP86="Slipping"),IF(AB86="",999,AB86),""))</f>
        <v>0</v>
      </c>
      <c r="AR86" s="31">
        <f>IF(AQ86="","",COUNTIFS($AQ$5:$AQ$204,"&gt;"&amp;AQ86)+COUNTIFS($AQ$5:AQ86,AQ86))</f>
        <v>0</v>
      </c>
      <c r="AS86" s="39">
        <f>IF(B86="","",IF(AF86&gt;0.5,"Chase - "&amp;TEXT(AF86,"0")&amp;" owing",IF(AND(H86&lt;&gt;"Lost",H86&lt;&gt;"Inactive",H86&lt;&gt;"Paused",AC86="",K86&lt;&gt;"One-off"),"Book - nothing in the diary",IF(AND(S86&lt;&gt;"",S86-TodayDate&lt;=RenewalWarningDays,S86&gt;=TodayDate),"Due - contract renews soon",IF(AP86="At risk","Call - going quiet",IF(AL86&gt;=2,"Check - complaints logged",IF(AND(AI86&lt;&gt;"",AI86&lt;MarginFloor,Y86&gt;0),"Check - thin margin","OK")))))))</f>
        <v>0</v>
      </c>
    </row>
    <row r="87" spans="1:45">
      <c r="A87" s="43">
        <f>IF(B87="","",ClientPrefix&amp;TEXT(ROW()-4,"0000"))</f>
        <v>0</v>
      </c>
      <c r="W87" s="31">
        <f>IF(A87="","",COUNTIFS(Properties!$C$5:$C$254,A87))</f>
        <v>0</v>
      </c>
      <c r="X87" s="31">
        <f>IF(A87="","",COUNTIFS(Jobs!$G$5:$G$604,A87))</f>
        <v>0</v>
      </c>
      <c r="Y87" s="31">
        <f>IF(A87="","",COUNTIFS(Jobs!$G$5:$G$604,A87,Jobs!$P$5:$P$604,"Completed")+COUNTIFS(Jobs!$G$5:$G$604,A87,Jobs!$P$5:$P$604,"Invoiced"))</f>
        <v>0</v>
      </c>
      <c r="Z87" s="31">
        <f>IF(A87="","",COUNTIFS(Jobs!$G$5:$G$604,A87,Jobs!$P$5:$P$604,"Cancelled")+COUNTIFS(Jobs!$G$5:$G$604,A87,Jobs!$P$5:$P$604,"No access"))</f>
        <v>0</v>
      </c>
      <c r="AA87" s="18">
        <f>IF(A87="","",IF(SUMPRODUCT(MAX((Jobs!$G$5:$G$604=A87)*((Jobs!$P$5:$P$604="Completed")+(Jobs!$P$5:$P$604="Invoiced"))*Jobs!$B$5:$B$604))=0,"",SUMPRODUCT(MAX((Jobs!$G$5:$G$604=A87)*((Jobs!$P$5:$P$604="Completed")+(Jobs!$P$5:$P$604="Invoiced"))*Jobs!$B$5:$B$604))))</f>
        <v>0</v>
      </c>
      <c r="AB87" s="31">
        <f>IF(AA87="","",TodayDate-AA87)</f>
        <v>0</v>
      </c>
      <c r="AC87" s="18">
        <f>IF(A87="","",IF(SUMPRODUCT(MIN((Jobs!$G$5:$G$604=A87)*(Jobs!$B$5:$B$604&gt;=TodayDate)*(Jobs!$P$5:$P$604&lt;&gt;"Cancelled")*Jobs!$B$5:$B$604+(1-(Jobs!$G$5:$G$604=A87)*(Jobs!$B$5:$B$604&gt;=TodayDate)*(Jobs!$P$5:$P$604&lt;&gt;"Cancelled"))*2958465))=2958465,"",SUMPRODUCT(MIN((Jobs!$G$5:$G$604=A87)*(Jobs!$B$5:$B$604&gt;=TodayDate)*(Jobs!$P$5:$P$604&lt;&gt;"Cancelled")*Jobs!$B$5:$B$604+(1-(Jobs!$G$5:$G$604=A87)*(Jobs!$B$5:$B$604&gt;=TodayDate)*(Jobs!$P$5:$P$604&lt;&gt;"Cancelled"))*2958465))))</f>
        <v>0</v>
      </c>
      <c r="AD87" s="21">
        <f>IF(A87="","",SUMIFS(Invoices!$V$5:$V$404,Invoices!$D$5:$D$404,A87))</f>
        <v>0</v>
      </c>
      <c r="AE87" s="21">
        <f>IF(A87="","",SUMIFS(Invoices!$W$5:$W$404,Invoices!$D$5:$D$404,A87))</f>
        <v>0</v>
      </c>
      <c r="AF87" s="21">
        <f>IF(A87="","",AD87-AE87)</f>
        <v>0</v>
      </c>
      <c r="AG87" s="21">
        <f>IF(OR(A87="",Y87=0),"",AD87/Y87)</f>
        <v>0</v>
      </c>
      <c r="AH87" s="21">
        <f>IF(A87="","",SUMIFS('Job Costing'!$U$5:$U$604,'Job Costing'!$D$5:$D$604,A87))</f>
        <v>0</v>
      </c>
      <c r="AI87" s="38">
        <f>IF(OR(A87="",AD87=0),"",AH87/AD87)</f>
        <v>0</v>
      </c>
      <c r="AJ87" s="21">
        <f>IF(OR(A87="",K87="",AG87=""),"",AG87*IFERROR(INDEX(FreqPerYear,MATCH(K87,FreqNames,0)),1))</f>
        <v>0</v>
      </c>
      <c r="AK87" s="34">
        <f>IF(A87="","",IFERROR(AVERAGEIFS(Jobs!$AA$5:$AA$604,Jobs!$G$5:$G$604,A87,Jobs!$AA$5:$AA$604,"&gt;0"),""))</f>
        <v>0</v>
      </c>
      <c r="AL87" s="31">
        <f>IF(A87="","",COUNTIFS(Complaints!$D$5:$D$84,A87))</f>
        <v>0</v>
      </c>
      <c r="AM87" s="31">
        <f>IF(B87="","",COUNTIFS($AD$5:$AD$204,"&gt;"&amp;AD87)+COUNTIFS($AD$5:AD87,AD87))</f>
        <v>0</v>
      </c>
      <c r="AN87" s="31">
        <f>IF(B87="","",COUNTIFS($AH$5:$AH$204,"&gt;"&amp;AH87)+COUNTIFS($AH$5:AH87,AH87))</f>
        <v>0</v>
      </c>
      <c r="AO87" s="31">
        <f>IF(B87="","",COUNTIFS($AJ$5:$AJ$204,"&gt;"&amp;AJ87)+COUNTIFS($AJ$5:AJ87,AJ87))</f>
        <v>0</v>
      </c>
      <c r="AP87" s="39">
        <f>IF(B87="","",IF(H87="Lost","Lost",IF(H87="Inactive","Dormant",IF(AA87="","Dormant",IF(AB87&gt;InactiveClientDays*2,"Dormant",IF(AB87&gt;InactiveClientDays,"At risk",IF(AC87="","Slipping",IF(Y87&gt;=10,"Loyal","Steady"))))))))</f>
        <v>0</v>
      </c>
      <c r="AQ87" s="34">
        <f>IF(OR(B87="",AP87="Lost",AP87="Dormant"),"",IF(OR(AP87="At risk",AP87="Slipping"),IF(AB87="",999,AB87),""))</f>
        <v>0</v>
      </c>
      <c r="AR87" s="31">
        <f>IF(AQ87="","",COUNTIFS($AQ$5:$AQ$204,"&gt;"&amp;AQ87)+COUNTIFS($AQ$5:AQ87,AQ87))</f>
        <v>0</v>
      </c>
      <c r="AS87" s="39">
        <f>IF(B87="","",IF(AF87&gt;0.5,"Chase - "&amp;TEXT(AF87,"0")&amp;" owing",IF(AND(H87&lt;&gt;"Lost",H87&lt;&gt;"Inactive",H87&lt;&gt;"Paused",AC87="",K87&lt;&gt;"One-off"),"Book - nothing in the diary",IF(AND(S87&lt;&gt;"",S87-TodayDate&lt;=RenewalWarningDays,S87&gt;=TodayDate),"Due - contract renews soon",IF(AP87="At risk","Call - going quiet",IF(AL87&gt;=2,"Check - complaints logged",IF(AND(AI87&lt;&gt;"",AI87&lt;MarginFloor,Y87&gt;0),"Check - thin margin","OK")))))))</f>
        <v>0</v>
      </c>
    </row>
    <row r="88" spans="1:45">
      <c r="A88" s="43">
        <f>IF(B88="","",ClientPrefix&amp;TEXT(ROW()-4,"0000"))</f>
        <v>0</v>
      </c>
      <c r="W88" s="31">
        <f>IF(A88="","",COUNTIFS(Properties!$C$5:$C$254,A88))</f>
        <v>0</v>
      </c>
      <c r="X88" s="31">
        <f>IF(A88="","",COUNTIFS(Jobs!$G$5:$G$604,A88))</f>
        <v>0</v>
      </c>
      <c r="Y88" s="31">
        <f>IF(A88="","",COUNTIFS(Jobs!$G$5:$G$604,A88,Jobs!$P$5:$P$604,"Completed")+COUNTIFS(Jobs!$G$5:$G$604,A88,Jobs!$P$5:$P$604,"Invoiced"))</f>
        <v>0</v>
      </c>
      <c r="Z88" s="31">
        <f>IF(A88="","",COUNTIFS(Jobs!$G$5:$G$604,A88,Jobs!$P$5:$P$604,"Cancelled")+COUNTIFS(Jobs!$G$5:$G$604,A88,Jobs!$P$5:$P$604,"No access"))</f>
        <v>0</v>
      </c>
      <c r="AA88" s="18">
        <f>IF(A88="","",IF(SUMPRODUCT(MAX((Jobs!$G$5:$G$604=A88)*((Jobs!$P$5:$P$604="Completed")+(Jobs!$P$5:$P$604="Invoiced"))*Jobs!$B$5:$B$604))=0,"",SUMPRODUCT(MAX((Jobs!$G$5:$G$604=A88)*((Jobs!$P$5:$P$604="Completed")+(Jobs!$P$5:$P$604="Invoiced"))*Jobs!$B$5:$B$604))))</f>
        <v>0</v>
      </c>
      <c r="AB88" s="31">
        <f>IF(AA88="","",TodayDate-AA88)</f>
        <v>0</v>
      </c>
      <c r="AC88" s="18">
        <f>IF(A88="","",IF(SUMPRODUCT(MIN((Jobs!$G$5:$G$604=A88)*(Jobs!$B$5:$B$604&gt;=TodayDate)*(Jobs!$P$5:$P$604&lt;&gt;"Cancelled")*Jobs!$B$5:$B$604+(1-(Jobs!$G$5:$G$604=A88)*(Jobs!$B$5:$B$604&gt;=TodayDate)*(Jobs!$P$5:$P$604&lt;&gt;"Cancelled"))*2958465))=2958465,"",SUMPRODUCT(MIN((Jobs!$G$5:$G$604=A88)*(Jobs!$B$5:$B$604&gt;=TodayDate)*(Jobs!$P$5:$P$604&lt;&gt;"Cancelled")*Jobs!$B$5:$B$604+(1-(Jobs!$G$5:$G$604=A88)*(Jobs!$B$5:$B$604&gt;=TodayDate)*(Jobs!$P$5:$P$604&lt;&gt;"Cancelled"))*2958465))))</f>
        <v>0</v>
      </c>
      <c r="AD88" s="21">
        <f>IF(A88="","",SUMIFS(Invoices!$V$5:$V$404,Invoices!$D$5:$D$404,A88))</f>
        <v>0</v>
      </c>
      <c r="AE88" s="21">
        <f>IF(A88="","",SUMIFS(Invoices!$W$5:$W$404,Invoices!$D$5:$D$404,A88))</f>
        <v>0</v>
      </c>
      <c r="AF88" s="21">
        <f>IF(A88="","",AD88-AE88)</f>
        <v>0</v>
      </c>
      <c r="AG88" s="21">
        <f>IF(OR(A88="",Y88=0),"",AD88/Y88)</f>
        <v>0</v>
      </c>
      <c r="AH88" s="21">
        <f>IF(A88="","",SUMIFS('Job Costing'!$U$5:$U$604,'Job Costing'!$D$5:$D$604,A88))</f>
        <v>0</v>
      </c>
      <c r="AI88" s="38">
        <f>IF(OR(A88="",AD88=0),"",AH88/AD88)</f>
        <v>0</v>
      </c>
      <c r="AJ88" s="21">
        <f>IF(OR(A88="",K88="",AG88=""),"",AG88*IFERROR(INDEX(FreqPerYear,MATCH(K88,FreqNames,0)),1))</f>
        <v>0</v>
      </c>
      <c r="AK88" s="34">
        <f>IF(A88="","",IFERROR(AVERAGEIFS(Jobs!$AA$5:$AA$604,Jobs!$G$5:$G$604,A88,Jobs!$AA$5:$AA$604,"&gt;0"),""))</f>
        <v>0</v>
      </c>
      <c r="AL88" s="31">
        <f>IF(A88="","",COUNTIFS(Complaints!$D$5:$D$84,A88))</f>
        <v>0</v>
      </c>
      <c r="AM88" s="31">
        <f>IF(B88="","",COUNTIFS($AD$5:$AD$204,"&gt;"&amp;AD88)+COUNTIFS($AD$5:AD88,AD88))</f>
        <v>0</v>
      </c>
      <c r="AN88" s="31">
        <f>IF(B88="","",COUNTIFS($AH$5:$AH$204,"&gt;"&amp;AH88)+COUNTIFS($AH$5:AH88,AH88))</f>
        <v>0</v>
      </c>
      <c r="AO88" s="31">
        <f>IF(B88="","",COUNTIFS($AJ$5:$AJ$204,"&gt;"&amp;AJ88)+COUNTIFS($AJ$5:AJ88,AJ88))</f>
        <v>0</v>
      </c>
      <c r="AP88" s="39">
        <f>IF(B88="","",IF(H88="Lost","Lost",IF(H88="Inactive","Dormant",IF(AA88="","Dormant",IF(AB88&gt;InactiveClientDays*2,"Dormant",IF(AB88&gt;InactiveClientDays,"At risk",IF(AC88="","Slipping",IF(Y88&gt;=10,"Loyal","Steady"))))))))</f>
        <v>0</v>
      </c>
      <c r="AQ88" s="34">
        <f>IF(OR(B88="",AP88="Lost",AP88="Dormant"),"",IF(OR(AP88="At risk",AP88="Slipping"),IF(AB88="",999,AB88),""))</f>
        <v>0</v>
      </c>
      <c r="AR88" s="31">
        <f>IF(AQ88="","",COUNTIFS($AQ$5:$AQ$204,"&gt;"&amp;AQ88)+COUNTIFS($AQ$5:AQ88,AQ88))</f>
        <v>0</v>
      </c>
      <c r="AS88" s="39">
        <f>IF(B88="","",IF(AF88&gt;0.5,"Chase - "&amp;TEXT(AF88,"0")&amp;" owing",IF(AND(H88&lt;&gt;"Lost",H88&lt;&gt;"Inactive",H88&lt;&gt;"Paused",AC88="",K88&lt;&gt;"One-off"),"Book - nothing in the diary",IF(AND(S88&lt;&gt;"",S88-TodayDate&lt;=RenewalWarningDays,S88&gt;=TodayDate),"Due - contract renews soon",IF(AP88="At risk","Call - going quiet",IF(AL88&gt;=2,"Check - complaints logged",IF(AND(AI88&lt;&gt;"",AI88&lt;MarginFloor,Y88&gt;0),"Check - thin margin","OK")))))))</f>
        <v>0</v>
      </c>
    </row>
    <row r="89" spans="1:45">
      <c r="A89" s="43">
        <f>IF(B89="","",ClientPrefix&amp;TEXT(ROW()-4,"0000"))</f>
        <v>0</v>
      </c>
      <c r="W89" s="31">
        <f>IF(A89="","",COUNTIFS(Properties!$C$5:$C$254,A89))</f>
        <v>0</v>
      </c>
      <c r="X89" s="31">
        <f>IF(A89="","",COUNTIFS(Jobs!$G$5:$G$604,A89))</f>
        <v>0</v>
      </c>
      <c r="Y89" s="31">
        <f>IF(A89="","",COUNTIFS(Jobs!$G$5:$G$604,A89,Jobs!$P$5:$P$604,"Completed")+COUNTIFS(Jobs!$G$5:$G$604,A89,Jobs!$P$5:$P$604,"Invoiced"))</f>
        <v>0</v>
      </c>
      <c r="Z89" s="31">
        <f>IF(A89="","",COUNTIFS(Jobs!$G$5:$G$604,A89,Jobs!$P$5:$P$604,"Cancelled")+COUNTIFS(Jobs!$G$5:$G$604,A89,Jobs!$P$5:$P$604,"No access"))</f>
        <v>0</v>
      </c>
      <c r="AA89" s="18">
        <f>IF(A89="","",IF(SUMPRODUCT(MAX((Jobs!$G$5:$G$604=A89)*((Jobs!$P$5:$P$604="Completed")+(Jobs!$P$5:$P$604="Invoiced"))*Jobs!$B$5:$B$604))=0,"",SUMPRODUCT(MAX((Jobs!$G$5:$G$604=A89)*((Jobs!$P$5:$P$604="Completed")+(Jobs!$P$5:$P$604="Invoiced"))*Jobs!$B$5:$B$604))))</f>
        <v>0</v>
      </c>
      <c r="AB89" s="31">
        <f>IF(AA89="","",TodayDate-AA89)</f>
        <v>0</v>
      </c>
      <c r="AC89" s="18">
        <f>IF(A89="","",IF(SUMPRODUCT(MIN((Jobs!$G$5:$G$604=A89)*(Jobs!$B$5:$B$604&gt;=TodayDate)*(Jobs!$P$5:$P$604&lt;&gt;"Cancelled")*Jobs!$B$5:$B$604+(1-(Jobs!$G$5:$G$604=A89)*(Jobs!$B$5:$B$604&gt;=TodayDate)*(Jobs!$P$5:$P$604&lt;&gt;"Cancelled"))*2958465))=2958465,"",SUMPRODUCT(MIN((Jobs!$G$5:$G$604=A89)*(Jobs!$B$5:$B$604&gt;=TodayDate)*(Jobs!$P$5:$P$604&lt;&gt;"Cancelled")*Jobs!$B$5:$B$604+(1-(Jobs!$G$5:$G$604=A89)*(Jobs!$B$5:$B$604&gt;=TodayDate)*(Jobs!$P$5:$P$604&lt;&gt;"Cancelled"))*2958465))))</f>
        <v>0</v>
      </c>
      <c r="AD89" s="21">
        <f>IF(A89="","",SUMIFS(Invoices!$V$5:$V$404,Invoices!$D$5:$D$404,A89))</f>
        <v>0</v>
      </c>
      <c r="AE89" s="21">
        <f>IF(A89="","",SUMIFS(Invoices!$W$5:$W$404,Invoices!$D$5:$D$404,A89))</f>
        <v>0</v>
      </c>
      <c r="AF89" s="21">
        <f>IF(A89="","",AD89-AE89)</f>
        <v>0</v>
      </c>
      <c r="AG89" s="21">
        <f>IF(OR(A89="",Y89=0),"",AD89/Y89)</f>
        <v>0</v>
      </c>
      <c r="AH89" s="21">
        <f>IF(A89="","",SUMIFS('Job Costing'!$U$5:$U$604,'Job Costing'!$D$5:$D$604,A89))</f>
        <v>0</v>
      </c>
      <c r="AI89" s="38">
        <f>IF(OR(A89="",AD89=0),"",AH89/AD89)</f>
        <v>0</v>
      </c>
      <c r="AJ89" s="21">
        <f>IF(OR(A89="",K89="",AG89=""),"",AG89*IFERROR(INDEX(FreqPerYear,MATCH(K89,FreqNames,0)),1))</f>
        <v>0</v>
      </c>
      <c r="AK89" s="34">
        <f>IF(A89="","",IFERROR(AVERAGEIFS(Jobs!$AA$5:$AA$604,Jobs!$G$5:$G$604,A89,Jobs!$AA$5:$AA$604,"&gt;0"),""))</f>
        <v>0</v>
      </c>
      <c r="AL89" s="31">
        <f>IF(A89="","",COUNTIFS(Complaints!$D$5:$D$84,A89))</f>
        <v>0</v>
      </c>
      <c r="AM89" s="31">
        <f>IF(B89="","",COUNTIFS($AD$5:$AD$204,"&gt;"&amp;AD89)+COUNTIFS($AD$5:AD89,AD89))</f>
        <v>0</v>
      </c>
      <c r="AN89" s="31">
        <f>IF(B89="","",COUNTIFS($AH$5:$AH$204,"&gt;"&amp;AH89)+COUNTIFS($AH$5:AH89,AH89))</f>
        <v>0</v>
      </c>
      <c r="AO89" s="31">
        <f>IF(B89="","",COUNTIFS($AJ$5:$AJ$204,"&gt;"&amp;AJ89)+COUNTIFS($AJ$5:AJ89,AJ89))</f>
        <v>0</v>
      </c>
      <c r="AP89" s="39">
        <f>IF(B89="","",IF(H89="Lost","Lost",IF(H89="Inactive","Dormant",IF(AA89="","Dormant",IF(AB89&gt;InactiveClientDays*2,"Dormant",IF(AB89&gt;InactiveClientDays,"At risk",IF(AC89="","Slipping",IF(Y89&gt;=10,"Loyal","Steady"))))))))</f>
        <v>0</v>
      </c>
      <c r="AQ89" s="34">
        <f>IF(OR(B89="",AP89="Lost",AP89="Dormant"),"",IF(OR(AP89="At risk",AP89="Slipping"),IF(AB89="",999,AB89),""))</f>
        <v>0</v>
      </c>
      <c r="AR89" s="31">
        <f>IF(AQ89="","",COUNTIFS($AQ$5:$AQ$204,"&gt;"&amp;AQ89)+COUNTIFS($AQ$5:AQ89,AQ89))</f>
        <v>0</v>
      </c>
      <c r="AS89" s="39">
        <f>IF(B89="","",IF(AF89&gt;0.5,"Chase - "&amp;TEXT(AF89,"0")&amp;" owing",IF(AND(H89&lt;&gt;"Lost",H89&lt;&gt;"Inactive",H89&lt;&gt;"Paused",AC89="",K89&lt;&gt;"One-off"),"Book - nothing in the diary",IF(AND(S89&lt;&gt;"",S89-TodayDate&lt;=RenewalWarningDays,S89&gt;=TodayDate),"Due - contract renews soon",IF(AP89="At risk","Call - going quiet",IF(AL89&gt;=2,"Check - complaints logged",IF(AND(AI89&lt;&gt;"",AI89&lt;MarginFloor,Y89&gt;0),"Check - thin margin","OK")))))))</f>
        <v>0</v>
      </c>
    </row>
    <row r="90" spans="1:45">
      <c r="A90" s="43">
        <f>IF(B90="","",ClientPrefix&amp;TEXT(ROW()-4,"0000"))</f>
        <v>0</v>
      </c>
      <c r="W90" s="31">
        <f>IF(A90="","",COUNTIFS(Properties!$C$5:$C$254,A90))</f>
        <v>0</v>
      </c>
      <c r="X90" s="31">
        <f>IF(A90="","",COUNTIFS(Jobs!$G$5:$G$604,A90))</f>
        <v>0</v>
      </c>
      <c r="Y90" s="31">
        <f>IF(A90="","",COUNTIFS(Jobs!$G$5:$G$604,A90,Jobs!$P$5:$P$604,"Completed")+COUNTIFS(Jobs!$G$5:$G$604,A90,Jobs!$P$5:$P$604,"Invoiced"))</f>
        <v>0</v>
      </c>
      <c r="Z90" s="31">
        <f>IF(A90="","",COUNTIFS(Jobs!$G$5:$G$604,A90,Jobs!$P$5:$P$604,"Cancelled")+COUNTIFS(Jobs!$G$5:$G$604,A90,Jobs!$P$5:$P$604,"No access"))</f>
        <v>0</v>
      </c>
      <c r="AA90" s="18">
        <f>IF(A90="","",IF(SUMPRODUCT(MAX((Jobs!$G$5:$G$604=A90)*((Jobs!$P$5:$P$604="Completed")+(Jobs!$P$5:$P$604="Invoiced"))*Jobs!$B$5:$B$604))=0,"",SUMPRODUCT(MAX((Jobs!$G$5:$G$604=A90)*((Jobs!$P$5:$P$604="Completed")+(Jobs!$P$5:$P$604="Invoiced"))*Jobs!$B$5:$B$604))))</f>
        <v>0</v>
      </c>
      <c r="AB90" s="31">
        <f>IF(AA90="","",TodayDate-AA90)</f>
        <v>0</v>
      </c>
      <c r="AC90" s="18">
        <f>IF(A90="","",IF(SUMPRODUCT(MIN((Jobs!$G$5:$G$604=A90)*(Jobs!$B$5:$B$604&gt;=TodayDate)*(Jobs!$P$5:$P$604&lt;&gt;"Cancelled")*Jobs!$B$5:$B$604+(1-(Jobs!$G$5:$G$604=A90)*(Jobs!$B$5:$B$604&gt;=TodayDate)*(Jobs!$P$5:$P$604&lt;&gt;"Cancelled"))*2958465))=2958465,"",SUMPRODUCT(MIN((Jobs!$G$5:$G$604=A90)*(Jobs!$B$5:$B$604&gt;=TodayDate)*(Jobs!$P$5:$P$604&lt;&gt;"Cancelled")*Jobs!$B$5:$B$604+(1-(Jobs!$G$5:$G$604=A90)*(Jobs!$B$5:$B$604&gt;=TodayDate)*(Jobs!$P$5:$P$604&lt;&gt;"Cancelled"))*2958465))))</f>
        <v>0</v>
      </c>
      <c r="AD90" s="21">
        <f>IF(A90="","",SUMIFS(Invoices!$V$5:$V$404,Invoices!$D$5:$D$404,A90))</f>
        <v>0</v>
      </c>
      <c r="AE90" s="21">
        <f>IF(A90="","",SUMIFS(Invoices!$W$5:$W$404,Invoices!$D$5:$D$404,A90))</f>
        <v>0</v>
      </c>
      <c r="AF90" s="21">
        <f>IF(A90="","",AD90-AE90)</f>
        <v>0</v>
      </c>
      <c r="AG90" s="21">
        <f>IF(OR(A90="",Y90=0),"",AD90/Y90)</f>
        <v>0</v>
      </c>
      <c r="AH90" s="21">
        <f>IF(A90="","",SUMIFS('Job Costing'!$U$5:$U$604,'Job Costing'!$D$5:$D$604,A90))</f>
        <v>0</v>
      </c>
      <c r="AI90" s="38">
        <f>IF(OR(A90="",AD90=0),"",AH90/AD90)</f>
        <v>0</v>
      </c>
      <c r="AJ90" s="21">
        <f>IF(OR(A90="",K90="",AG90=""),"",AG90*IFERROR(INDEX(FreqPerYear,MATCH(K90,FreqNames,0)),1))</f>
        <v>0</v>
      </c>
      <c r="AK90" s="34">
        <f>IF(A90="","",IFERROR(AVERAGEIFS(Jobs!$AA$5:$AA$604,Jobs!$G$5:$G$604,A90,Jobs!$AA$5:$AA$604,"&gt;0"),""))</f>
        <v>0</v>
      </c>
      <c r="AL90" s="31">
        <f>IF(A90="","",COUNTIFS(Complaints!$D$5:$D$84,A90))</f>
        <v>0</v>
      </c>
      <c r="AM90" s="31">
        <f>IF(B90="","",COUNTIFS($AD$5:$AD$204,"&gt;"&amp;AD90)+COUNTIFS($AD$5:AD90,AD90))</f>
        <v>0</v>
      </c>
      <c r="AN90" s="31">
        <f>IF(B90="","",COUNTIFS($AH$5:$AH$204,"&gt;"&amp;AH90)+COUNTIFS($AH$5:AH90,AH90))</f>
        <v>0</v>
      </c>
      <c r="AO90" s="31">
        <f>IF(B90="","",COUNTIFS($AJ$5:$AJ$204,"&gt;"&amp;AJ90)+COUNTIFS($AJ$5:AJ90,AJ90))</f>
        <v>0</v>
      </c>
      <c r="AP90" s="39">
        <f>IF(B90="","",IF(H90="Lost","Lost",IF(H90="Inactive","Dormant",IF(AA90="","Dormant",IF(AB90&gt;InactiveClientDays*2,"Dormant",IF(AB90&gt;InactiveClientDays,"At risk",IF(AC90="","Slipping",IF(Y90&gt;=10,"Loyal","Steady"))))))))</f>
        <v>0</v>
      </c>
      <c r="AQ90" s="34">
        <f>IF(OR(B90="",AP90="Lost",AP90="Dormant"),"",IF(OR(AP90="At risk",AP90="Slipping"),IF(AB90="",999,AB90),""))</f>
        <v>0</v>
      </c>
      <c r="AR90" s="31">
        <f>IF(AQ90="","",COUNTIFS($AQ$5:$AQ$204,"&gt;"&amp;AQ90)+COUNTIFS($AQ$5:AQ90,AQ90))</f>
        <v>0</v>
      </c>
      <c r="AS90" s="39">
        <f>IF(B90="","",IF(AF90&gt;0.5,"Chase - "&amp;TEXT(AF90,"0")&amp;" owing",IF(AND(H90&lt;&gt;"Lost",H90&lt;&gt;"Inactive",H90&lt;&gt;"Paused",AC90="",K90&lt;&gt;"One-off"),"Book - nothing in the diary",IF(AND(S90&lt;&gt;"",S90-TodayDate&lt;=RenewalWarningDays,S90&gt;=TodayDate),"Due - contract renews soon",IF(AP90="At risk","Call - going quiet",IF(AL90&gt;=2,"Check - complaints logged",IF(AND(AI90&lt;&gt;"",AI90&lt;MarginFloor,Y90&gt;0),"Check - thin margin","OK")))))))</f>
        <v>0</v>
      </c>
    </row>
    <row r="91" spans="1:45">
      <c r="A91" s="43">
        <f>IF(B91="","",ClientPrefix&amp;TEXT(ROW()-4,"0000"))</f>
        <v>0</v>
      </c>
      <c r="W91" s="31">
        <f>IF(A91="","",COUNTIFS(Properties!$C$5:$C$254,A91))</f>
        <v>0</v>
      </c>
      <c r="X91" s="31">
        <f>IF(A91="","",COUNTIFS(Jobs!$G$5:$G$604,A91))</f>
        <v>0</v>
      </c>
      <c r="Y91" s="31">
        <f>IF(A91="","",COUNTIFS(Jobs!$G$5:$G$604,A91,Jobs!$P$5:$P$604,"Completed")+COUNTIFS(Jobs!$G$5:$G$604,A91,Jobs!$P$5:$P$604,"Invoiced"))</f>
        <v>0</v>
      </c>
      <c r="Z91" s="31">
        <f>IF(A91="","",COUNTIFS(Jobs!$G$5:$G$604,A91,Jobs!$P$5:$P$604,"Cancelled")+COUNTIFS(Jobs!$G$5:$G$604,A91,Jobs!$P$5:$P$604,"No access"))</f>
        <v>0</v>
      </c>
      <c r="AA91" s="18">
        <f>IF(A91="","",IF(SUMPRODUCT(MAX((Jobs!$G$5:$G$604=A91)*((Jobs!$P$5:$P$604="Completed")+(Jobs!$P$5:$P$604="Invoiced"))*Jobs!$B$5:$B$604))=0,"",SUMPRODUCT(MAX((Jobs!$G$5:$G$604=A91)*((Jobs!$P$5:$P$604="Completed")+(Jobs!$P$5:$P$604="Invoiced"))*Jobs!$B$5:$B$604))))</f>
        <v>0</v>
      </c>
      <c r="AB91" s="31">
        <f>IF(AA91="","",TodayDate-AA91)</f>
        <v>0</v>
      </c>
      <c r="AC91" s="18">
        <f>IF(A91="","",IF(SUMPRODUCT(MIN((Jobs!$G$5:$G$604=A91)*(Jobs!$B$5:$B$604&gt;=TodayDate)*(Jobs!$P$5:$P$604&lt;&gt;"Cancelled")*Jobs!$B$5:$B$604+(1-(Jobs!$G$5:$G$604=A91)*(Jobs!$B$5:$B$604&gt;=TodayDate)*(Jobs!$P$5:$P$604&lt;&gt;"Cancelled"))*2958465))=2958465,"",SUMPRODUCT(MIN((Jobs!$G$5:$G$604=A91)*(Jobs!$B$5:$B$604&gt;=TodayDate)*(Jobs!$P$5:$P$604&lt;&gt;"Cancelled")*Jobs!$B$5:$B$604+(1-(Jobs!$G$5:$G$604=A91)*(Jobs!$B$5:$B$604&gt;=TodayDate)*(Jobs!$P$5:$P$604&lt;&gt;"Cancelled"))*2958465))))</f>
        <v>0</v>
      </c>
      <c r="AD91" s="21">
        <f>IF(A91="","",SUMIFS(Invoices!$V$5:$V$404,Invoices!$D$5:$D$404,A91))</f>
        <v>0</v>
      </c>
      <c r="AE91" s="21">
        <f>IF(A91="","",SUMIFS(Invoices!$W$5:$W$404,Invoices!$D$5:$D$404,A91))</f>
        <v>0</v>
      </c>
      <c r="AF91" s="21">
        <f>IF(A91="","",AD91-AE91)</f>
        <v>0</v>
      </c>
      <c r="AG91" s="21">
        <f>IF(OR(A91="",Y91=0),"",AD91/Y91)</f>
        <v>0</v>
      </c>
      <c r="AH91" s="21">
        <f>IF(A91="","",SUMIFS('Job Costing'!$U$5:$U$604,'Job Costing'!$D$5:$D$604,A91))</f>
        <v>0</v>
      </c>
      <c r="AI91" s="38">
        <f>IF(OR(A91="",AD91=0),"",AH91/AD91)</f>
        <v>0</v>
      </c>
      <c r="AJ91" s="21">
        <f>IF(OR(A91="",K91="",AG91=""),"",AG91*IFERROR(INDEX(FreqPerYear,MATCH(K91,FreqNames,0)),1))</f>
        <v>0</v>
      </c>
      <c r="AK91" s="34">
        <f>IF(A91="","",IFERROR(AVERAGEIFS(Jobs!$AA$5:$AA$604,Jobs!$G$5:$G$604,A91,Jobs!$AA$5:$AA$604,"&gt;0"),""))</f>
        <v>0</v>
      </c>
      <c r="AL91" s="31">
        <f>IF(A91="","",COUNTIFS(Complaints!$D$5:$D$84,A91))</f>
        <v>0</v>
      </c>
      <c r="AM91" s="31">
        <f>IF(B91="","",COUNTIFS($AD$5:$AD$204,"&gt;"&amp;AD91)+COUNTIFS($AD$5:AD91,AD91))</f>
        <v>0</v>
      </c>
      <c r="AN91" s="31">
        <f>IF(B91="","",COUNTIFS($AH$5:$AH$204,"&gt;"&amp;AH91)+COUNTIFS($AH$5:AH91,AH91))</f>
        <v>0</v>
      </c>
      <c r="AO91" s="31">
        <f>IF(B91="","",COUNTIFS($AJ$5:$AJ$204,"&gt;"&amp;AJ91)+COUNTIFS($AJ$5:AJ91,AJ91))</f>
        <v>0</v>
      </c>
      <c r="AP91" s="39">
        <f>IF(B91="","",IF(H91="Lost","Lost",IF(H91="Inactive","Dormant",IF(AA91="","Dormant",IF(AB91&gt;InactiveClientDays*2,"Dormant",IF(AB91&gt;InactiveClientDays,"At risk",IF(AC91="","Slipping",IF(Y91&gt;=10,"Loyal","Steady"))))))))</f>
        <v>0</v>
      </c>
      <c r="AQ91" s="34">
        <f>IF(OR(B91="",AP91="Lost",AP91="Dormant"),"",IF(OR(AP91="At risk",AP91="Slipping"),IF(AB91="",999,AB91),""))</f>
        <v>0</v>
      </c>
      <c r="AR91" s="31">
        <f>IF(AQ91="","",COUNTIFS($AQ$5:$AQ$204,"&gt;"&amp;AQ91)+COUNTIFS($AQ$5:AQ91,AQ91))</f>
        <v>0</v>
      </c>
      <c r="AS91" s="39">
        <f>IF(B91="","",IF(AF91&gt;0.5,"Chase - "&amp;TEXT(AF91,"0")&amp;" owing",IF(AND(H91&lt;&gt;"Lost",H91&lt;&gt;"Inactive",H91&lt;&gt;"Paused",AC91="",K91&lt;&gt;"One-off"),"Book - nothing in the diary",IF(AND(S91&lt;&gt;"",S91-TodayDate&lt;=RenewalWarningDays,S91&gt;=TodayDate),"Due - contract renews soon",IF(AP91="At risk","Call - going quiet",IF(AL91&gt;=2,"Check - complaints logged",IF(AND(AI91&lt;&gt;"",AI91&lt;MarginFloor,Y91&gt;0),"Check - thin margin","OK")))))))</f>
        <v>0</v>
      </c>
    </row>
    <row r="92" spans="1:45">
      <c r="A92" s="43">
        <f>IF(B92="","",ClientPrefix&amp;TEXT(ROW()-4,"0000"))</f>
        <v>0</v>
      </c>
      <c r="W92" s="31">
        <f>IF(A92="","",COUNTIFS(Properties!$C$5:$C$254,A92))</f>
        <v>0</v>
      </c>
      <c r="X92" s="31">
        <f>IF(A92="","",COUNTIFS(Jobs!$G$5:$G$604,A92))</f>
        <v>0</v>
      </c>
      <c r="Y92" s="31">
        <f>IF(A92="","",COUNTIFS(Jobs!$G$5:$G$604,A92,Jobs!$P$5:$P$604,"Completed")+COUNTIFS(Jobs!$G$5:$G$604,A92,Jobs!$P$5:$P$604,"Invoiced"))</f>
        <v>0</v>
      </c>
      <c r="Z92" s="31">
        <f>IF(A92="","",COUNTIFS(Jobs!$G$5:$G$604,A92,Jobs!$P$5:$P$604,"Cancelled")+COUNTIFS(Jobs!$G$5:$G$604,A92,Jobs!$P$5:$P$604,"No access"))</f>
        <v>0</v>
      </c>
      <c r="AA92" s="18">
        <f>IF(A92="","",IF(SUMPRODUCT(MAX((Jobs!$G$5:$G$604=A92)*((Jobs!$P$5:$P$604="Completed")+(Jobs!$P$5:$P$604="Invoiced"))*Jobs!$B$5:$B$604))=0,"",SUMPRODUCT(MAX((Jobs!$G$5:$G$604=A92)*((Jobs!$P$5:$P$604="Completed")+(Jobs!$P$5:$P$604="Invoiced"))*Jobs!$B$5:$B$604))))</f>
        <v>0</v>
      </c>
      <c r="AB92" s="31">
        <f>IF(AA92="","",TodayDate-AA92)</f>
        <v>0</v>
      </c>
      <c r="AC92" s="18">
        <f>IF(A92="","",IF(SUMPRODUCT(MIN((Jobs!$G$5:$G$604=A92)*(Jobs!$B$5:$B$604&gt;=TodayDate)*(Jobs!$P$5:$P$604&lt;&gt;"Cancelled")*Jobs!$B$5:$B$604+(1-(Jobs!$G$5:$G$604=A92)*(Jobs!$B$5:$B$604&gt;=TodayDate)*(Jobs!$P$5:$P$604&lt;&gt;"Cancelled"))*2958465))=2958465,"",SUMPRODUCT(MIN((Jobs!$G$5:$G$604=A92)*(Jobs!$B$5:$B$604&gt;=TodayDate)*(Jobs!$P$5:$P$604&lt;&gt;"Cancelled")*Jobs!$B$5:$B$604+(1-(Jobs!$G$5:$G$604=A92)*(Jobs!$B$5:$B$604&gt;=TodayDate)*(Jobs!$P$5:$P$604&lt;&gt;"Cancelled"))*2958465))))</f>
        <v>0</v>
      </c>
      <c r="AD92" s="21">
        <f>IF(A92="","",SUMIFS(Invoices!$V$5:$V$404,Invoices!$D$5:$D$404,A92))</f>
        <v>0</v>
      </c>
      <c r="AE92" s="21">
        <f>IF(A92="","",SUMIFS(Invoices!$W$5:$W$404,Invoices!$D$5:$D$404,A92))</f>
        <v>0</v>
      </c>
      <c r="AF92" s="21">
        <f>IF(A92="","",AD92-AE92)</f>
        <v>0</v>
      </c>
      <c r="AG92" s="21">
        <f>IF(OR(A92="",Y92=0),"",AD92/Y92)</f>
        <v>0</v>
      </c>
      <c r="AH92" s="21">
        <f>IF(A92="","",SUMIFS('Job Costing'!$U$5:$U$604,'Job Costing'!$D$5:$D$604,A92))</f>
        <v>0</v>
      </c>
      <c r="AI92" s="38">
        <f>IF(OR(A92="",AD92=0),"",AH92/AD92)</f>
        <v>0</v>
      </c>
      <c r="AJ92" s="21">
        <f>IF(OR(A92="",K92="",AG92=""),"",AG92*IFERROR(INDEX(FreqPerYear,MATCH(K92,FreqNames,0)),1))</f>
        <v>0</v>
      </c>
      <c r="AK92" s="34">
        <f>IF(A92="","",IFERROR(AVERAGEIFS(Jobs!$AA$5:$AA$604,Jobs!$G$5:$G$604,A92,Jobs!$AA$5:$AA$604,"&gt;0"),""))</f>
        <v>0</v>
      </c>
      <c r="AL92" s="31">
        <f>IF(A92="","",COUNTIFS(Complaints!$D$5:$D$84,A92))</f>
        <v>0</v>
      </c>
      <c r="AM92" s="31">
        <f>IF(B92="","",COUNTIFS($AD$5:$AD$204,"&gt;"&amp;AD92)+COUNTIFS($AD$5:AD92,AD92))</f>
        <v>0</v>
      </c>
      <c r="AN92" s="31">
        <f>IF(B92="","",COUNTIFS($AH$5:$AH$204,"&gt;"&amp;AH92)+COUNTIFS($AH$5:AH92,AH92))</f>
        <v>0</v>
      </c>
      <c r="AO92" s="31">
        <f>IF(B92="","",COUNTIFS($AJ$5:$AJ$204,"&gt;"&amp;AJ92)+COUNTIFS($AJ$5:AJ92,AJ92))</f>
        <v>0</v>
      </c>
      <c r="AP92" s="39">
        <f>IF(B92="","",IF(H92="Lost","Lost",IF(H92="Inactive","Dormant",IF(AA92="","Dormant",IF(AB92&gt;InactiveClientDays*2,"Dormant",IF(AB92&gt;InactiveClientDays,"At risk",IF(AC92="","Slipping",IF(Y92&gt;=10,"Loyal","Steady"))))))))</f>
        <v>0</v>
      </c>
      <c r="AQ92" s="34">
        <f>IF(OR(B92="",AP92="Lost",AP92="Dormant"),"",IF(OR(AP92="At risk",AP92="Slipping"),IF(AB92="",999,AB92),""))</f>
        <v>0</v>
      </c>
      <c r="AR92" s="31">
        <f>IF(AQ92="","",COUNTIFS($AQ$5:$AQ$204,"&gt;"&amp;AQ92)+COUNTIFS($AQ$5:AQ92,AQ92))</f>
        <v>0</v>
      </c>
      <c r="AS92" s="39">
        <f>IF(B92="","",IF(AF92&gt;0.5,"Chase - "&amp;TEXT(AF92,"0")&amp;" owing",IF(AND(H92&lt;&gt;"Lost",H92&lt;&gt;"Inactive",H92&lt;&gt;"Paused",AC92="",K92&lt;&gt;"One-off"),"Book - nothing in the diary",IF(AND(S92&lt;&gt;"",S92-TodayDate&lt;=RenewalWarningDays,S92&gt;=TodayDate),"Due - contract renews soon",IF(AP92="At risk","Call - going quiet",IF(AL92&gt;=2,"Check - complaints logged",IF(AND(AI92&lt;&gt;"",AI92&lt;MarginFloor,Y92&gt;0),"Check - thin margin","OK")))))))</f>
        <v>0</v>
      </c>
    </row>
    <row r="93" spans="1:45">
      <c r="A93" s="43">
        <f>IF(B93="","",ClientPrefix&amp;TEXT(ROW()-4,"0000"))</f>
        <v>0</v>
      </c>
      <c r="W93" s="31">
        <f>IF(A93="","",COUNTIFS(Properties!$C$5:$C$254,A93))</f>
        <v>0</v>
      </c>
      <c r="X93" s="31">
        <f>IF(A93="","",COUNTIFS(Jobs!$G$5:$G$604,A93))</f>
        <v>0</v>
      </c>
      <c r="Y93" s="31">
        <f>IF(A93="","",COUNTIFS(Jobs!$G$5:$G$604,A93,Jobs!$P$5:$P$604,"Completed")+COUNTIFS(Jobs!$G$5:$G$604,A93,Jobs!$P$5:$P$604,"Invoiced"))</f>
        <v>0</v>
      </c>
      <c r="Z93" s="31">
        <f>IF(A93="","",COUNTIFS(Jobs!$G$5:$G$604,A93,Jobs!$P$5:$P$604,"Cancelled")+COUNTIFS(Jobs!$G$5:$G$604,A93,Jobs!$P$5:$P$604,"No access"))</f>
        <v>0</v>
      </c>
      <c r="AA93" s="18">
        <f>IF(A93="","",IF(SUMPRODUCT(MAX((Jobs!$G$5:$G$604=A93)*((Jobs!$P$5:$P$604="Completed")+(Jobs!$P$5:$P$604="Invoiced"))*Jobs!$B$5:$B$604))=0,"",SUMPRODUCT(MAX((Jobs!$G$5:$G$604=A93)*((Jobs!$P$5:$P$604="Completed")+(Jobs!$P$5:$P$604="Invoiced"))*Jobs!$B$5:$B$604))))</f>
        <v>0</v>
      </c>
      <c r="AB93" s="31">
        <f>IF(AA93="","",TodayDate-AA93)</f>
        <v>0</v>
      </c>
      <c r="AC93" s="18">
        <f>IF(A93="","",IF(SUMPRODUCT(MIN((Jobs!$G$5:$G$604=A93)*(Jobs!$B$5:$B$604&gt;=TodayDate)*(Jobs!$P$5:$P$604&lt;&gt;"Cancelled")*Jobs!$B$5:$B$604+(1-(Jobs!$G$5:$G$604=A93)*(Jobs!$B$5:$B$604&gt;=TodayDate)*(Jobs!$P$5:$P$604&lt;&gt;"Cancelled"))*2958465))=2958465,"",SUMPRODUCT(MIN((Jobs!$G$5:$G$604=A93)*(Jobs!$B$5:$B$604&gt;=TodayDate)*(Jobs!$P$5:$P$604&lt;&gt;"Cancelled")*Jobs!$B$5:$B$604+(1-(Jobs!$G$5:$G$604=A93)*(Jobs!$B$5:$B$604&gt;=TodayDate)*(Jobs!$P$5:$P$604&lt;&gt;"Cancelled"))*2958465))))</f>
        <v>0</v>
      </c>
      <c r="AD93" s="21">
        <f>IF(A93="","",SUMIFS(Invoices!$V$5:$V$404,Invoices!$D$5:$D$404,A93))</f>
        <v>0</v>
      </c>
      <c r="AE93" s="21">
        <f>IF(A93="","",SUMIFS(Invoices!$W$5:$W$404,Invoices!$D$5:$D$404,A93))</f>
        <v>0</v>
      </c>
      <c r="AF93" s="21">
        <f>IF(A93="","",AD93-AE93)</f>
        <v>0</v>
      </c>
      <c r="AG93" s="21">
        <f>IF(OR(A93="",Y93=0),"",AD93/Y93)</f>
        <v>0</v>
      </c>
      <c r="AH93" s="21">
        <f>IF(A93="","",SUMIFS('Job Costing'!$U$5:$U$604,'Job Costing'!$D$5:$D$604,A93))</f>
        <v>0</v>
      </c>
      <c r="AI93" s="38">
        <f>IF(OR(A93="",AD93=0),"",AH93/AD93)</f>
        <v>0</v>
      </c>
      <c r="AJ93" s="21">
        <f>IF(OR(A93="",K93="",AG93=""),"",AG93*IFERROR(INDEX(FreqPerYear,MATCH(K93,FreqNames,0)),1))</f>
        <v>0</v>
      </c>
      <c r="AK93" s="34">
        <f>IF(A93="","",IFERROR(AVERAGEIFS(Jobs!$AA$5:$AA$604,Jobs!$G$5:$G$604,A93,Jobs!$AA$5:$AA$604,"&gt;0"),""))</f>
        <v>0</v>
      </c>
      <c r="AL93" s="31">
        <f>IF(A93="","",COUNTIFS(Complaints!$D$5:$D$84,A93))</f>
        <v>0</v>
      </c>
      <c r="AM93" s="31">
        <f>IF(B93="","",COUNTIFS($AD$5:$AD$204,"&gt;"&amp;AD93)+COUNTIFS($AD$5:AD93,AD93))</f>
        <v>0</v>
      </c>
      <c r="AN93" s="31">
        <f>IF(B93="","",COUNTIFS($AH$5:$AH$204,"&gt;"&amp;AH93)+COUNTIFS($AH$5:AH93,AH93))</f>
        <v>0</v>
      </c>
      <c r="AO93" s="31">
        <f>IF(B93="","",COUNTIFS($AJ$5:$AJ$204,"&gt;"&amp;AJ93)+COUNTIFS($AJ$5:AJ93,AJ93))</f>
        <v>0</v>
      </c>
      <c r="AP93" s="39">
        <f>IF(B93="","",IF(H93="Lost","Lost",IF(H93="Inactive","Dormant",IF(AA93="","Dormant",IF(AB93&gt;InactiveClientDays*2,"Dormant",IF(AB93&gt;InactiveClientDays,"At risk",IF(AC93="","Slipping",IF(Y93&gt;=10,"Loyal","Steady"))))))))</f>
        <v>0</v>
      </c>
      <c r="AQ93" s="34">
        <f>IF(OR(B93="",AP93="Lost",AP93="Dormant"),"",IF(OR(AP93="At risk",AP93="Slipping"),IF(AB93="",999,AB93),""))</f>
        <v>0</v>
      </c>
      <c r="AR93" s="31">
        <f>IF(AQ93="","",COUNTIFS($AQ$5:$AQ$204,"&gt;"&amp;AQ93)+COUNTIFS($AQ$5:AQ93,AQ93))</f>
        <v>0</v>
      </c>
      <c r="AS93" s="39">
        <f>IF(B93="","",IF(AF93&gt;0.5,"Chase - "&amp;TEXT(AF93,"0")&amp;" owing",IF(AND(H93&lt;&gt;"Lost",H93&lt;&gt;"Inactive",H93&lt;&gt;"Paused",AC93="",K93&lt;&gt;"One-off"),"Book - nothing in the diary",IF(AND(S93&lt;&gt;"",S93-TodayDate&lt;=RenewalWarningDays,S93&gt;=TodayDate),"Due - contract renews soon",IF(AP93="At risk","Call - going quiet",IF(AL93&gt;=2,"Check - complaints logged",IF(AND(AI93&lt;&gt;"",AI93&lt;MarginFloor,Y93&gt;0),"Check - thin margin","OK")))))))</f>
        <v>0</v>
      </c>
    </row>
    <row r="94" spans="1:45">
      <c r="A94" s="43">
        <f>IF(B94="","",ClientPrefix&amp;TEXT(ROW()-4,"0000"))</f>
        <v>0</v>
      </c>
      <c r="W94" s="31">
        <f>IF(A94="","",COUNTIFS(Properties!$C$5:$C$254,A94))</f>
        <v>0</v>
      </c>
      <c r="X94" s="31">
        <f>IF(A94="","",COUNTIFS(Jobs!$G$5:$G$604,A94))</f>
        <v>0</v>
      </c>
      <c r="Y94" s="31">
        <f>IF(A94="","",COUNTIFS(Jobs!$G$5:$G$604,A94,Jobs!$P$5:$P$604,"Completed")+COUNTIFS(Jobs!$G$5:$G$604,A94,Jobs!$P$5:$P$604,"Invoiced"))</f>
        <v>0</v>
      </c>
      <c r="Z94" s="31">
        <f>IF(A94="","",COUNTIFS(Jobs!$G$5:$G$604,A94,Jobs!$P$5:$P$604,"Cancelled")+COUNTIFS(Jobs!$G$5:$G$604,A94,Jobs!$P$5:$P$604,"No access"))</f>
        <v>0</v>
      </c>
      <c r="AA94" s="18">
        <f>IF(A94="","",IF(SUMPRODUCT(MAX((Jobs!$G$5:$G$604=A94)*((Jobs!$P$5:$P$604="Completed")+(Jobs!$P$5:$P$604="Invoiced"))*Jobs!$B$5:$B$604))=0,"",SUMPRODUCT(MAX((Jobs!$G$5:$G$604=A94)*((Jobs!$P$5:$P$604="Completed")+(Jobs!$P$5:$P$604="Invoiced"))*Jobs!$B$5:$B$604))))</f>
        <v>0</v>
      </c>
      <c r="AB94" s="31">
        <f>IF(AA94="","",TodayDate-AA94)</f>
        <v>0</v>
      </c>
      <c r="AC94" s="18">
        <f>IF(A94="","",IF(SUMPRODUCT(MIN((Jobs!$G$5:$G$604=A94)*(Jobs!$B$5:$B$604&gt;=TodayDate)*(Jobs!$P$5:$P$604&lt;&gt;"Cancelled")*Jobs!$B$5:$B$604+(1-(Jobs!$G$5:$G$604=A94)*(Jobs!$B$5:$B$604&gt;=TodayDate)*(Jobs!$P$5:$P$604&lt;&gt;"Cancelled"))*2958465))=2958465,"",SUMPRODUCT(MIN((Jobs!$G$5:$G$604=A94)*(Jobs!$B$5:$B$604&gt;=TodayDate)*(Jobs!$P$5:$P$604&lt;&gt;"Cancelled")*Jobs!$B$5:$B$604+(1-(Jobs!$G$5:$G$604=A94)*(Jobs!$B$5:$B$604&gt;=TodayDate)*(Jobs!$P$5:$P$604&lt;&gt;"Cancelled"))*2958465))))</f>
        <v>0</v>
      </c>
      <c r="AD94" s="21">
        <f>IF(A94="","",SUMIFS(Invoices!$V$5:$V$404,Invoices!$D$5:$D$404,A94))</f>
        <v>0</v>
      </c>
      <c r="AE94" s="21">
        <f>IF(A94="","",SUMIFS(Invoices!$W$5:$W$404,Invoices!$D$5:$D$404,A94))</f>
        <v>0</v>
      </c>
      <c r="AF94" s="21">
        <f>IF(A94="","",AD94-AE94)</f>
        <v>0</v>
      </c>
      <c r="AG94" s="21">
        <f>IF(OR(A94="",Y94=0),"",AD94/Y94)</f>
        <v>0</v>
      </c>
      <c r="AH94" s="21">
        <f>IF(A94="","",SUMIFS('Job Costing'!$U$5:$U$604,'Job Costing'!$D$5:$D$604,A94))</f>
        <v>0</v>
      </c>
      <c r="AI94" s="38">
        <f>IF(OR(A94="",AD94=0),"",AH94/AD94)</f>
        <v>0</v>
      </c>
      <c r="AJ94" s="21">
        <f>IF(OR(A94="",K94="",AG94=""),"",AG94*IFERROR(INDEX(FreqPerYear,MATCH(K94,FreqNames,0)),1))</f>
        <v>0</v>
      </c>
      <c r="AK94" s="34">
        <f>IF(A94="","",IFERROR(AVERAGEIFS(Jobs!$AA$5:$AA$604,Jobs!$G$5:$G$604,A94,Jobs!$AA$5:$AA$604,"&gt;0"),""))</f>
        <v>0</v>
      </c>
      <c r="AL94" s="31">
        <f>IF(A94="","",COUNTIFS(Complaints!$D$5:$D$84,A94))</f>
        <v>0</v>
      </c>
      <c r="AM94" s="31">
        <f>IF(B94="","",COUNTIFS($AD$5:$AD$204,"&gt;"&amp;AD94)+COUNTIFS($AD$5:AD94,AD94))</f>
        <v>0</v>
      </c>
      <c r="AN94" s="31">
        <f>IF(B94="","",COUNTIFS($AH$5:$AH$204,"&gt;"&amp;AH94)+COUNTIFS($AH$5:AH94,AH94))</f>
        <v>0</v>
      </c>
      <c r="AO94" s="31">
        <f>IF(B94="","",COUNTIFS($AJ$5:$AJ$204,"&gt;"&amp;AJ94)+COUNTIFS($AJ$5:AJ94,AJ94))</f>
        <v>0</v>
      </c>
      <c r="AP94" s="39">
        <f>IF(B94="","",IF(H94="Lost","Lost",IF(H94="Inactive","Dormant",IF(AA94="","Dormant",IF(AB94&gt;InactiveClientDays*2,"Dormant",IF(AB94&gt;InactiveClientDays,"At risk",IF(AC94="","Slipping",IF(Y94&gt;=10,"Loyal","Steady"))))))))</f>
        <v>0</v>
      </c>
      <c r="AQ94" s="34">
        <f>IF(OR(B94="",AP94="Lost",AP94="Dormant"),"",IF(OR(AP94="At risk",AP94="Slipping"),IF(AB94="",999,AB94),""))</f>
        <v>0</v>
      </c>
      <c r="AR94" s="31">
        <f>IF(AQ94="","",COUNTIFS($AQ$5:$AQ$204,"&gt;"&amp;AQ94)+COUNTIFS($AQ$5:AQ94,AQ94))</f>
        <v>0</v>
      </c>
      <c r="AS94" s="39">
        <f>IF(B94="","",IF(AF94&gt;0.5,"Chase - "&amp;TEXT(AF94,"0")&amp;" owing",IF(AND(H94&lt;&gt;"Lost",H94&lt;&gt;"Inactive",H94&lt;&gt;"Paused",AC94="",K94&lt;&gt;"One-off"),"Book - nothing in the diary",IF(AND(S94&lt;&gt;"",S94-TodayDate&lt;=RenewalWarningDays,S94&gt;=TodayDate),"Due - contract renews soon",IF(AP94="At risk","Call - going quiet",IF(AL94&gt;=2,"Check - complaints logged",IF(AND(AI94&lt;&gt;"",AI94&lt;MarginFloor,Y94&gt;0),"Check - thin margin","OK")))))))</f>
        <v>0</v>
      </c>
    </row>
    <row r="95" spans="1:45">
      <c r="A95" s="43">
        <f>IF(B95="","",ClientPrefix&amp;TEXT(ROW()-4,"0000"))</f>
        <v>0</v>
      </c>
      <c r="W95" s="31">
        <f>IF(A95="","",COUNTIFS(Properties!$C$5:$C$254,A95))</f>
        <v>0</v>
      </c>
      <c r="X95" s="31">
        <f>IF(A95="","",COUNTIFS(Jobs!$G$5:$G$604,A95))</f>
        <v>0</v>
      </c>
      <c r="Y95" s="31">
        <f>IF(A95="","",COUNTIFS(Jobs!$G$5:$G$604,A95,Jobs!$P$5:$P$604,"Completed")+COUNTIFS(Jobs!$G$5:$G$604,A95,Jobs!$P$5:$P$604,"Invoiced"))</f>
        <v>0</v>
      </c>
      <c r="Z95" s="31">
        <f>IF(A95="","",COUNTIFS(Jobs!$G$5:$G$604,A95,Jobs!$P$5:$P$604,"Cancelled")+COUNTIFS(Jobs!$G$5:$G$604,A95,Jobs!$P$5:$P$604,"No access"))</f>
        <v>0</v>
      </c>
      <c r="AA95" s="18">
        <f>IF(A95="","",IF(SUMPRODUCT(MAX((Jobs!$G$5:$G$604=A95)*((Jobs!$P$5:$P$604="Completed")+(Jobs!$P$5:$P$604="Invoiced"))*Jobs!$B$5:$B$604))=0,"",SUMPRODUCT(MAX((Jobs!$G$5:$G$604=A95)*((Jobs!$P$5:$P$604="Completed")+(Jobs!$P$5:$P$604="Invoiced"))*Jobs!$B$5:$B$604))))</f>
        <v>0</v>
      </c>
      <c r="AB95" s="31">
        <f>IF(AA95="","",TodayDate-AA95)</f>
        <v>0</v>
      </c>
      <c r="AC95" s="18">
        <f>IF(A95="","",IF(SUMPRODUCT(MIN((Jobs!$G$5:$G$604=A95)*(Jobs!$B$5:$B$604&gt;=TodayDate)*(Jobs!$P$5:$P$604&lt;&gt;"Cancelled")*Jobs!$B$5:$B$604+(1-(Jobs!$G$5:$G$604=A95)*(Jobs!$B$5:$B$604&gt;=TodayDate)*(Jobs!$P$5:$P$604&lt;&gt;"Cancelled"))*2958465))=2958465,"",SUMPRODUCT(MIN((Jobs!$G$5:$G$604=A95)*(Jobs!$B$5:$B$604&gt;=TodayDate)*(Jobs!$P$5:$P$604&lt;&gt;"Cancelled")*Jobs!$B$5:$B$604+(1-(Jobs!$G$5:$G$604=A95)*(Jobs!$B$5:$B$604&gt;=TodayDate)*(Jobs!$P$5:$P$604&lt;&gt;"Cancelled"))*2958465))))</f>
        <v>0</v>
      </c>
      <c r="AD95" s="21">
        <f>IF(A95="","",SUMIFS(Invoices!$V$5:$V$404,Invoices!$D$5:$D$404,A95))</f>
        <v>0</v>
      </c>
      <c r="AE95" s="21">
        <f>IF(A95="","",SUMIFS(Invoices!$W$5:$W$404,Invoices!$D$5:$D$404,A95))</f>
        <v>0</v>
      </c>
      <c r="AF95" s="21">
        <f>IF(A95="","",AD95-AE95)</f>
        <v>0</v>
      </c>
      <c r="AG95" s="21">
        <f>IF(OR(A95="",Y95=0),"",AD95/Y95)</f>
        <v>0</v>
      </c>
      <c r="AH95" s="21">
        <f>IF(A95="","",SUMIFS('Job Costing'!$U$5:$U$604,'Job Costing'!$D$5:$D$604,A95))</f>
        <v>0</v>
      </c>
      <c r="AI95" s="38">
        <f>IF(OR(A95="",AD95=0),"",AH95/AD95)</f>
        <v>0</v>
      </c>
      <c r="AJ95" s="21">
        <f>IF(OR(A95="",K95="",AG95=""),"",AG95*IFERROR(INDEX(FreqPerYear,MATCH(K95,FreqNames,0)),1))</f>
        <v>0</v>
      </c>
      <c r="AK95" s="34">
        <f>IF(A95="","",IFERROR(AVERAGEIFS(Jobs!$AA$5:$AA$604,Jobs!$G$5:$G$604,A95,Jobs!$AA$5:$AA$604,"&gt;0"),""))</f>
        <v>0</v>
      </c>
      <c r="AL95" s="31">
        <f>IF(A95="","",COUNTIFS(Complaints!$D$5:$D$84,A95))</f>
        <v>0</v>
      </c>
      <c r="AM95" s="31">
        <f>IF(B95="","",COUNTIFS($AD$5:$AD$204,"&gt;"&amp;AD95)+COUNTIFS($AD$5:AD95,AD95))</f>
        <v>0</v>
      </c>
      <c r="AN95" s="31">
        <f>IF(B95="","",COUNTIFS($AH$5:$AH$204,"&gt;"&amp;AH95)+COUNTIFS($AH$5:AH95,AH95))</f>
        <v>0</v>
      </c>
      <c r="AO95" s="31">
        <f>IF(B95="","",COUNTIFS($AJ$5:$AJ$204,"&gt;"&amp;AJ95)+COUNTIFS($AJ$5:AJ95,AJ95))</f>
        <v>0</v>
      </c>
      <c r="AP95" s="39">
        <f>IF(B95="","",IF(H95="Lost","Lost",IF(H95="Inactive","Dormant",IF(AA95="","Dormant",IF(AB95&gt;InactiveClientDays*2,"Dormant",IF(AB95&gt;InactiveClientDays,"At risk",IF(AC95="","Slipping",IF(Y95&gt;=10,"Loyal","Steady"))))))))</f>
        <v>0</v>
      </c>
      <c r="AQ95" s="34">
        <f>IF(OR(B95="",AP95="Lost",AP95="Dormant"),"",IF(OR(AP95="At risk",AP95="Slipping"),IF(AB95="",999,AB95),""))</f>
        <v>0</v>
      </c>
      <c r="AR95" s="31">
        <f>IF(AQ95="","",COUNTIFS($AQ$5:$AQ$204,"&gt;"&amp;AQ95)+COUNTIFS($AQ$5:AQ95,AQ95))</f>
        <v>0</v>
      </c>
      <c r="AS95" s="39">
        <f>IF(B95="","",IF(AF95&gt;0.5,"Chase - "&amp;TEXT(AF95,"0")&amp;" owing",IF(AND(H95&lt;&gt;"Lost",H95&lt;&gt;"Inactive",H95&lt;&gt;"Paused",AC95="",K95&lt;&gt;"One-off"),"Book - nothing in the diary",IF(AND(S95&lt;&gt;"",S95-TodayDate&lt;=RenewalWarningDays,S95&gt;=TodayDate),"Due - contract renews soon",IF(AP95="At risk","Call - going quiet",IF(AL95&gt;=2,"Check - complaints logged",IF(AND(AI95&lt;&gt;"",AI95&lt;MarginFloor,Y95&gt;0),"Check - thin margin","OK")))))))</f>
        <v>0</v>
      </c>
    </row>
    <row r="96" spans="1:45">
      <c r="A96" s="43">
        <f>IF(B96="","",ClientPrefix&amp;TEXT(ROW()-4,"0000"))</f>
        <v>0</v>
      </c>
      <c r="W96" s="31">
        <f>IF(A96="","",COUNTIFS(Properties!$C$5:$C$254,A96))</f>
        <v>0</v>
      </c>
      <c r="X96" s="31">
        <f>IF(A96="","",COUNTIFS(Jobs!$G$5:$G$604,A96))</f>
        <v>0</v>
      </c>
      <c r="Y96" s="31">
        <f>IF(A96="","",COUNTIFS(Jobs!$G$5:$G$604,A96,Jobs!$P$5:$P$604,"Completed")+COUNTIFS(Jobs!$G$5:$G$604,A96,Jobs!$P$5:$P$604,"Invoiced"))</f>
        <v>0</v>
      </c>
      <c r="Z96" s="31">
        <f>IF(A96="","",COUNTIFS(Jobs!$G$5:$G$604,A96,Jobs!$P$5:$P$604,"Cancelled")+COUNTIFS(Jobs!$G$5:$G$604,A96,Jobs!$P$5:$P$604,"No access"))</f>
        <v>0</v>
      </c>
      <c r="AA96" s="18">
        <f>IF(A96="","",IF(SUMPRODUCT(MAX((Jobs!$G$5:$G$604=A96)*((Jobs!$P$5:$P$604="Completed")+(Jobs!$P$5:$P$604="Invoiced"))*Jobs!$B$5:$B$604))=0,"",SUMPRODUCT(MAX((Jobs!$G$5:$G$604=A96)*((Jobs!$P$5:$P$604="Completed")+(Jobs!$P$5:$P$604="Invoiced"))*Jobs!$B$5:$B$604))))</f>
        <v>0</v>
      </c>
      <c r="AB96" s="31">
        <f>IF(AA96="","",TodayDate-AA96)</f>
        <v>0</v>
      </c>
      <c r="AC96" s="18">
        <f>IF(A96="","",IF(SUMPRODUCT(MIN((Jobs!$G$5:$G$604=A96)*(Jobs!$B$5:$B$604&gt;=TodayDate)*(Jobs!$P$5:$P$604&lt;&gt;"Cancelled")*Jobs!$B$5:$B$604+(1-(Jobs!$G$5:$G$604=A96)*(Jobs!$B$5:$B$604&gt;=TodayDate)*(Jobs!$P$5:$P$604&lt;&gt;"Cancelled"))*2958465))=2958465,"",SUMPRODUCT(MIN((Jobs!$G$5:$G$604=A96)*(Jobs!$B$5:$B$604&gt;=TodayDate)*(Jobs!$P$5:$P$604&lt;&gt;"Cancelled")*Jobs!$B$5:$B$604+(1-(Jobs!$G$5:$G$604=A96)*(Jobs!$B$5:$B$604&gt;=TodayDate)*(Jobs!$P$5:$P$604&lt;&gt;"Cancelled"))*2958465))))</f>
        <v>0</v>
      </c>
      <c r="AD96" s="21">
        <f>IF(A96="","",SUMIFS(Invoices!$V$5:$V$404,Invoices!$D$5:$D$404,A96))</f>
        <v>0</v>
      </c>
      <c r="AE96" s="21">
        <f>IF(A96="","",SUMIFS(Invoices!$W$5:$W$404,Invoices!$D$5:$D$404,A96))</f>
        <v>0</v>
      </c>
      <c r="AF96" s="21">
        <f>IF(A96="","",AD96-AE96)</f>
        <v>0</v>
      </c>
      <c r="AG96" s="21">
        <f>IF(OR(A96="",Y96=0),"",AD96/Y96)</f>
        <v>0</v>
      </c>
      <c r="AH96" s="21">
        <f>IF(A96="","",SUMIFS('Job Costing'!$U$5:$U$604,'Job Costing'!$D$5:$D$604,A96))</f>
        <v>0</v>
      </c>
      <c r="AI96" s="38">
        <f>IF(OR(A96="",AD96=0),"",AH96/AD96)</f>
        <v>0</v>
      </c>
      <c r="AJ96" s="21">
        <f>IF(OR(A96="",K96="",AG96=""),"",AG96*IFERROR(INDEX(FreqPerYear,MATCH(K96,FreqNames,0)),1))</f>
        <v>0</v>
      </c>
      <c r="AK96" s="34">
        <f>IF(A96="","",IFERROR(AVERAGEIFS(Jobs!$AA$5:$AA$604,Jobs!$G$5:$G$604,A96,Jobs!$AA$5:$AA$604,"&gt;0"),""))</f>
        <v>0</v>
      </c>
      <c r="AL96" s="31">
        <f>IF(A96="","",COUNTIFS(Complaints!$D$5:$D$84,A96))</f>
        <v>0</v>
      </c>
      <c r="AM96" s="31">
        <f>IF(B96="","",COUNTIFS($AD$5:$AD$204,"&gt;"&amp;AD96)+COUNTIFS($AD$5:AD96,AD96))</f>
        <v>0</v>
      </c>
      <c r="AN96" s="31">
        <f>IF(B96="","",COUNTIFS($AH$5:$AH$204,"&gt;"&amp;AH96)+COUNTIFS($AH$5:AH96,AH96))</f>
        <v>0</v>
      </c>
      <c r="AO96" s="31">
        <f>IF(B96="","",COUNTIFS($AJ$5:$AJ$204,"&gt;"&amp;AJ96)+COUNTIFS($AJ$5:AJ96,AJ96))</f>
        <v>0</v>
      </c>
      <c r="AP96" s="39">
        <f>IF(B96="","",IF(H96="Lost","Lost",IF(H96="Inactive","Dormant",IF(AA96="","Dormant",IF(AB96&gt;InactiveClientDays*2,"Dormant",IF(AB96&gt;InactiveClientDays,"At risk",IF(AC96="","Slipping",IF(Y96&gt;=10,"Loyal","Steady"))))))))</f>
        <v>0</v>
      </c>
      <c r="AQ96" s="34">
        <f>IF(OR(B96="",AP96="Lost",AP96="Dormant"),"",IF(OR(AP96="At risk",AP96="Slipping"),IF(AB96="",999,AB96),""))</f>
        <v>0</v>
      </c>
      <c r="AR96" s="31">
        <f>IF(AQ96="","",COUNTIFS($AQ$5:$AQ$204,"&gt;"&amp;AQ96)+COUNTIFS($AQ$5:AQ96,AQ96))</f>
        <v>0</v>
      </c>
      <c r="AS96" s="39">
        <f>IF(B96="","",IF(AF96&gt;0.5,"Chase - "&amp;TEXT(AF96,"0")&amp;" owing",IF(AND(H96&lt;&gt;"Lost",H96&lt;&gt;"Inactive",H96&lt;&gt;"Paused",AC96="",K96&lt;&gt;"One-off"),"Book - nothing in the diary",IF(AND(S96&lt;&gt;"",S96-TodayDate&lt;=RenewalWarningDays,S96&gt;=TodayDate),"Due - contract renews soon",IF(AP96="At risk","Call - going quiet",IF(AL96&gt;=2,"Check - complaints logged",IF(AND(AI96&lt;&gt;"",AI96&lt;MarginFloor,Y96&gt;0),"Check - thin margin","OK")))))))</f>
        <v>0</v>
      </c>
    </row>
    <row r="97" spans="1:45">
      <c r="A97" s="43">
        <f>IF(B97="","",ClientPrefix&amp;TEXT(ROW()-4,"0000"))</f>
        <v>0</v>
      </c>
      <c r="W97" s="31">
        <f>IF(A97="","",COUNTIFS(Properties!$C$5:$C$254,A97))</f>
        <v>0</v>
      </c>
      <c r="X97" s="31">
        <f>IF(A97="","",COUNTIFS(Jobs!$G$5:$G$604,A97))</f>
        <v>0</v>
      </c>
      <c r="Y97" s="31">
        <f>IF(A97="","",COUNTIFS(Jobs!$G$5:$G$604,A97,Jobs!$P$5:$P$604,"Completed")+COUNTIFS(Jobs!$G$5:$G$604,A97,Jobs!$P$5:$P$604,"Invoiced"))</f>
        <v>0</v>
      </c>
      <c r="Z97" s="31">
        <f>IF(A97="","",COUNTIFS(Jobs!$G$5:$G$604,A97,Jobs!$P$5:$P$604,"Cancelled")+COUNTIFS(Jobs!$G$5:$G$604,A97,Jobs!$P$5:$P$604,"No access"))</f>
        <v>0</v>
      </c>
      <c r="AA97" s="18">
        <f>IF(A97="","",IF(SUMPRODUCT(MAX((Jobs!$G$5:$G$604=A97)*((Jobs!$P$5:$P$604="Completed")+(Jobs!$P$5:$P$604="Invoiced"))*Jobs!$B$5:$B$604))=0,"",SUMPRODUCT(MAX((Jobs!$G$5:$G$604=A97)*((Jobs!$P$5:$P$604="Completed")+(Jobs!$P$5:$P$604="Invoiced"))*Jobs!$B$5:$B$604))))</f>
        <v>0</v>
      </c>
      <c r="AB97" s="31">
        <f>IF(AA97="","",TodayDate-AA97)</f>
        <v>0</v>
      </c>
      <c r="AC97" s="18">
        <f>IF(A97="","",IF(SUMPRODUCT(MIN((Jobs!$G$5:$G$604=A97)*(Jobs!$B$5:$B$604&gt;=TodayDate)*(Jobs!$P$5:$P$604&lt;&gt;"Cancelled")*Jobs!$B$5:$B$604+(1-(Jobs!$G$5:$G$604=A97)*(Jobs!$B$5:$B$604&gt;=TodayDate)*(Jobs!$P$5:$P$604&lt;&gt;"Cancelled"))*2958465))=2958465,"",SUMPRODUCT(MIN((Jobs!$G$5:$G$604=A97)*(Jobs!$B$5:$B$604&gt;=TodayDate)*(Jobs!$P$5:$P$604&lt;&gt;"Cancelled")*Jobs!$B$5:$B$604+(1-(Jobs!$G$5:$G$604=A97)*(Jobs!$B$5:$B$604&gt;=TodayDate)*(Jobs!$P$5:$P$604&lt;&gt;"Cancelled"))*2958465))))</f>
        <v>0</v>
      </c>
      <c r="AD97" s="21">
        <f>IF(A97="","",SUMIFS(Invoices!$V$5:$V$404,Invoices!$D$5:$D$404,A97))</f>
        <v>0</v>
      </c>
      <c r="AE97" s="21">
        <f>IF(A97="","",SUMIFS(Invoices!$W$5:$W$404,Invoices!$D$5:$D$404,A97))</f>
        <v>0</v>
      </c>
      <c r="AF97" s="21">
        <f>IF(A97="","",AD97-AE97)</f>
        <v>0</v>
      </c>
      <c r="AG97" s="21">
        <f>IF(OR(A97="",Y97=0),"",AD97/Y97)</f>
        <v>0</v>
      </c>
      <c r="AH97" s="21">
        <f>IF(A97="","",SUMIFS('Job Costing'!$U$5:$U$604,'Job Costing'!$D$5:$D$604,A97))</f>
        <v>0</v>
      </c>
      <c r="AI97" s="38">
        <f>IF(OR(A97="",AD97=0),"",AH97/AD97)</f>
        <v>0</v>
      </c>
      <c r="AJ97" s="21">
        <f>IF(OR(A97="",K97="",AG97=""),"",AG97*IFERROR(INDEX(FreqPerYear,MATCH(K97,FreqNames,0)),1))</f>
        <v>0</v>
      </c>
      <c r="AK97" s="34">
        <f>IF(A97="","",IFERROR(AVERAGEIFS(Jobs!$AA$5:$AA$604,Jobs!$G$5:$G$604,A97,Jobs!$AA$5:$AA$604,"&gt;0"),""))</f>
        <v>0</v>
      </c>
      <c r="AL97" s="31">
        <f>IF(A97="","",COUNTIFS(Complaints!$D$5:$D$84,A97))</f>
        <v>0</v>
      </c>
      <c r="AM97" s="31">
        <f>IF(B97="","",COUNTIFS($AD$5:$AD$204,"&gt;"&amp;AD97)+COUNTIFS($AD$5:AD97,AD97))</f>
        <v>0</v>
      </c>
      <c r="AN97" s="31">
        <f>IF(B97="","",COUNTIFS($AH$5:$AH$204,"&gt;"&amp;AH97)+COUNTIFS($AH$5:AH97,AH97))</f>
        <v>0</v>
      </c>
      <c r="AO97" s="31">
        <f>IF(B97="","",COUNTIFS($AJ$5:$AJ$204,"&gt;"&amp;AJ97)+COUNTIFS($AJ$5:AJ97,AJ97))</f>
        <v>0</v>
      </c>
      <c r="AP97" s="39">
        <f>IF(B97="","",IF(H97="Lost","Lost",IF(H97="Inactive","Dormant",IF(AA97="","Dormant",IF(AB97&gt;InactiveClientDays*2,"Dormant",IF(AB97&gt;InactiveClientDays,"At risk",IF(AC97="","Slipping",IF(Y97&gt;=10,"Loyal","Steady"))))))))</f>
        <v>0</v>
      </c>
      <c r="AQ97" s="34">
        <f>IF(OR(B97="",AP97="Lost",AP97="Dormant"),"",IF(OR(AP97="At risk",AP97="Slipping"),IF(AB97="",999,AB97),""))</f>
        <v>0</v>
      </c>
      <c r="AR97" s="31">
        <f>IF(AQ97="","",COUNTIFS($AQ$5:$AQ$204,"&gt;"&amp;AQ97)+COUNTIFS($AQ$5:AQ97,AQ97))</f>
        <v>0</v>
      </c>
      <c r="AS97" s="39">
        <f>IF(B97="","",IF(AF97&gt;0.5,"Chase - "&amp;TEXT(AF97,"0")&amp;" owing",IF(AND(H97&lt;&gt;"Lost",H97&lt;&gt;"Inactive",H97&lt;&gt;"Paused",AC97="",K97&lt;&gt;"One-off"),"Book - nothing in the diary",IF(AND(S97&lt;&gt;"",S97-TodayDate&lt;=RenewalWarningDays,S97&gt;=TodayDate),"Due - contract renews soon",IF(AP97="At risk","Call - going quiet",IF(AL97&gt;=2,"Check - complaints logged",IF(AND(AI97&lt;&gt;"",AI97&lt;MarginFloor,Y97&gt;0),"Check - thin margin","OK")))))))</f>
        <v>0</v>
      </c>
    </row>
    <row r="98" spans="1:45">
      <c r="A98" s="43">
        <f>IF(B98="","",ClientPrefix&amp;TEXT(ROW()-4,"0000"))</f>
        <v>0</v>
      </c>
      <c r="W98" s="31">
        <f>IF(A98="","",COUNTIFS(Properties!$C$5:$C$254,A98))</f>
        <v>0</v>
      </c>
      <c r="X98" s="31">
        <f>IF(A98="","",COUNTIFS(Jobs!$G$5:$G$604,A98))</f>
        <v>0</v>
      </c>
      <c r="Y98" s="31">
        <f>IF(A98="","",COUNTIFS(Jobs!$G$5:$G$604,A98,Jobs!$P$5:$P$604,"Completed")+COUNTIFS(Jobs!$G$5:$G$604,A98,Jobs!$P$5:$P$604,"Invoiced"))</f>
        <v>0</v>
      </c>
      <c r="Z98" s="31">
        <f>IF(A98="","",COUNTIFS(Jobs!$G$5:$G$604,A98,Jobs!$P$5:$P$604,"Cancelled")+COUNTIFS(Jobs!$G$5:$G$604,A98,Jobs!$P$5:$P$604,"No access"))</f>
        <v>0</v>
      </c>
      <c r="AA98" s="18">
        <f>IF(A98="","",IF(SUMPRODUCT(MAX((Jobs!$G$5:$G$604=A98)*((Jobs!$P$5:$P$604="Completed")+(Jobs!$P$5:$P$604="Invoiced"))*Jobs!$B$5:$B$604))=0,"",SUMPRODUCT(MAX((Jobs!$G$5:$G$604=A98)*((Jobs!$P$5:$P$604="Completed")+(Jobs!$P$5:$P$604="Invoiced"))*Jobs!$B$5:$B$604))))</f>
        <v>0</v>
      </c>
      <c r="AB98" s="31">
        <f>IF(AA98="","",TodayDate-AA98)</f>
        <v>0</v>
      </c>
      <c r="AC98" s="18">
        <f>IF(A98="","",IF(SUMPRODUCT(MIN((Jobs!$G$5:$G$604=A98)*(Jobs!$B$5:$B$604&gt;=TodayDate)*(Jobs!$P$5:$P$604&lt;&gt;"Cancelled")*Jobs!$B$5:$B$604+(1-(Jobs!$G$5:$G$604=A98)*(Jobs!$B$5:$B$604&gt;=TodayDate)*(Jobs!$P$5:$P$604&lt;&gt;"Cancelled"))*2958465))=2958465,"",SUMPRODUCT(MIN((Jobs!$G$5:$G$604=A98)*(Jobs!$B$5:$B$604&gt;=TodayDate)*(Jobs!$P$5:$P$604&lt;&gt;"Cancelled")*Jobs!$B$5:$B$604+(1-(Jobs!$G$5:$G$604=A98)*(Jobs!$B$5:$B$604&gt;=TodayDate)*(Jobs!$P$5:$P$604&lt;&gt;"Cancelled"))*2958465))))</f>
        <v>0</v>
      </c>
      <c r="AD98" s="21">
        <f>IF(A98="","",SUMIFS(Invoices!$V$5:$V$404,Invoices!$D$5:$D$404,A98))</f>
        <v>0</v>
      </c>
      <c r="AE98" s="21">
        <f>IF(A98="","",SUMIFS(Invoices!$W$5:$W$404,Invoices!$D$5:$D$404,A98))</f>
        <v>0</v>
      </c>
      <c r="AF98" s="21">
        <f>IF(A98="","",AD98-AE98)</f>
        <v>0</v>
      </c>
      <c r="AG98" s="21">
        <f>IF(OR(A98="",Y98=0),"",AD98/Y98)</f>
        <v>0</v>
      </c>
      <c r="AH98" s="21">
        <f>IF(A98="","",SUMIFS('Job Costing'!$U$5:$U$604,'Job Costing'!$D$5:$D$604,A98))</f>
        <v>0</v>
      </c>
      <c r="AI98" s="38">
        <f>IF(OR(A98="",AD98=0),"",AH98/AD98)</f>
        <v>0</v>
      </c>
      <c r="AJ98" s="21">
        <f>IF(OR(A98="",K98="",AG98=""),"",AG98*IFERROR(INDEX(FreqPerYear,MATCH(K98,FreqNames,0)),1))</f>
        <v>0</v>
      </c>
      <c r="AK98" s="34">
        <f>IF(A98="","",IFERROR(AVERAGEIFS(Jobs!$AA$5:$AA$604,Jobs!$G$5:$G$604,A98,Jobs!$AA$5:$AA$604,"&gt;0"),""))</f>
        <v>0</v>
      </c>
      <c r="AL98" s="31">
        <f>IF(A98="","",COUNTIFS(Complaints!$D$5:$D$84,A98))</f>
        <v>0</v>
      </c>
      <c r="AM98" s="31">
        <f>IF(B98="","",COUNTIFS($AD$5:$AD$204,"&gt;"&amp;AD98)+COUNTIFS($AD$5:AD98,AD98))</f>
        <v>0</v>
      </c>
      <c r="AN98" s="31">
        <f>IF(B98="","",COUNTIFS($AH$5:$AH$204,"&gt;"&amp;AH98)+COUNTIFS($AH$5:AH98,AH98))</f>
        <v>0</v>
      </c>
      <c r="AO98" s="31">
        <f>IF(B98="","",COUNTIFS($AJ$5:$AJ$204,"&gt;"&amp;AJ98)+COUNTIFS($AJ$5:AJ98,AJ98))</f>
        <v>0</v>
      </c>
      <c r="AP98" s="39">
        <f>IF(B98="","",IF(H98="Lost","Lost",IF(H98="Inactive","Dormant",IF(AA98="","Dormant",IF(AB98&gt;InactiveClientDays*2,"Dormant",IF(AB98&gt;InactiveClientDays,"At risk",IF(AC98="","Slipping",IF(Y98&gt;=10,"Loyal","Steady"))))))))</f>
        <v>0</v>
      </c>
      <c r="AQ98" s="34">
        <f>IF(OR(B98="",AP98="Lost",AP98="Dormant"),"",IF(OR(AP98="At risk",AP98="Slipping"),IF(AB98="",999,AB98),""))</f>
        <v>0</v>
      </c>
      <c r="AR98" s="31">
        <f>IF(AQ98="","",COUNTIFS($AQ$5:$AQ$204,"&gt;"&amp;AQ98)+COUNTIFS($AQ$5:AQ98,AQ98))</f>
        <v>0</v>
      </c>
      <c r="AS98" s="39">
        <f>IF(B98="","",IF(AF98&gt;0.5,"Chase - "&amp;TEXT(AF98,"0")&amp;" owing",IF(AND(H98&lt;&gt;"Lost",H98&lt;&gt;"Inactive",H98&lt;&gt;"Paused",AC98="",K98&lt;&gt;"One-off"),"Book - nothing in the diary",IF(AND(S98&lt;&gt;"",S98-TodayDate&lt;=RenewalWarningDays,S98&gt;=TodayDate),"Due - contract renews soon",IF(AP98="At risk","Call - going quiet",IF(AL98&gt;=2,"Check - complaints logged",IF(AND(AI98&lt;&gt;"",AI98&lt;MarginFloor,Y98&gt;0),"Check - thin margin","OK")))))))</f>
        <v>0</v>
      </c>
    </row>
    <row r="99" spans="1:45">
      <c r="A99" s="43">
        <f>IF(B99="","",ClientPrefix&amp;TEXT(ROW()-4,"0000"))</f>
        <v>0</v>
      </c>
      <c r="W99" s="31">
        <f>IF(A99="","",COUNTIFS(Properties!$C$5:$C$254,A99))</f>
        <v>0</v>
      </c>
      <c r="X99" s="31">
        <f>IF(A99="","",COUNTIFS(Jobs!$G$5:$G$604,A99))</f>
        <v>0</v>
      </c>
      <c r="Y99" s="31">
        <f>IF(A99="","",COUNTIFS(Jobs!$G$5:$G$604,A99,Jobs!$P$5:$P$604,"Completed")+COUNTIFS(Jobs!$G$5:$G$604,A99,Jobs!$P$5:$P$604,"Invoiced"))</f>
        <v>0</v>
      </c>
      <c r="Z99" s="31">
        <f>IF(A99="","",COUNTIFS(Jobs!$G$5:$G$604,A99,Jobs!$P$5:$P$604,"Cancelled")+COUNTIFS(Jobs!$G$5:$G$604,A99,Jobs!$P$5:$P$604,"No access"))</f>
        <v>0</v>
      </c>
      <c r="AA99" s="18">
        <f>IF(A99="","",IF(SUMPRODUCT(MAX((Jobs!$G$5:$G$604=A99)*((Jobs!$P$5:$P$604="Completed")+(Jobs!$P$5:$P$604="Invoiced"))*Jobs!$B$5:$B$604))=0,"",SUMPRODUCT(MAX((Jobs!$G$5:$G$604=A99)*((Jobs!$P$5:$P$604="Completed")+(Jobs!$P$5:$P$604="Invoiced"))*Jobs!$B$5:$B$604))))</f>
        <v>0</v>
      </c>
      <c r="AB99" s="31">
        <f>IF(AA99="","",TodayDate-AA99)</f>
        <v>0</v>
      </c>
      <c r="AC99" s="18">
        <f>IF(A99="","",IF(SUMPRODUCT(MIN((Jobs!$G$5:$G$604=A99)*(Jobs!$B$5:$B$604&gt;=TodayDate)*(Jobs!$P$5:$P$604&lt;&gt;"Cancelled")*Jobs!$B$5:$B$604+(1-(Jobs!$G$5:$G$604=A99)*(Jobs!$B$5:$B$604&gt;=TodayDate)*(Jobs!$P$5:$P$604&lt;&gt;"Cancelled"))*2958465))=2958465,"",SUMPRODUCT(MIN((Jobs!$G$5:$G$604=A99)*(Jobs!$B$5:$B$604&gt;=TodayDate)*(Jobs!$P$5:$P$604&lt;&gt;"Cancelled")*Jobs!$B$5:$B$604+(1-(Jobs!$G$5:$G$604=A99)*(Jobs!$B$5:$B$604&gt;=TodayDate)*(Jobs!$P$5:$P$604&lt;&gt;"Cancelled"))*2958465))))</f>
        <v>0</v>
      </c>
      <c r="AD99" s="21">
        <f>IF(A99="","",SUMIFS(Invoices!$V$5:$V$404,Invoices!$D$5:$D$404,A99))</f>
        <v>0</v>
      </c>
      <c r="AE99" s="21">
        <f>IF(A99="","",SUMIFS(Invoices!$W$5:$W$404,Invoices!$D$5:$D$404,A99))</f>
        <v>0</v>
      </c>
      <c r="AF99" s="21">
        <f>IF(A99="","",AD99-AE99)</f>
        <v>0</v>
      </c>
      <c r="AG99" s="21">
        <f>IF(OR(A99="",Y99=0),"",AD99/Y99)</f>
        <v>0</v>
      </c>
      <c r="AH99" s="21">
        <f>IF(A99="","",SUMIFS('Job Costing'!$U$5:$U$604,'Job Costing'!$D$5:$D$604,A99))</f>
        <v>0</v>
      </c>
      <c r="AI99" s="38">
        <f>IF(OR(A99="",AD99=0),"",AH99/AD99)</f>
        <v>0</v>
      </c>
      <c r="AJ99" s="21">
        <f>IF(OR(A99="",K99="",AG99=""),"",AG99*IFERROR(INDEX(FreqPerYear,MATCH(K99,FreqNames,0)),1))</f>
        <v>0</v>
      </c>
      <c r="AK99" s="34">
        <f>IF(A99="","",IFERROR(AVERAGEIFS(Jobs!$AA$5:$AA$604,Jobs!$G$5:$G$604,A99,Jobs!$AA$5:$AA$604,"&gt;0"),""))</f>
        <v>0</v>
      </c>
      <c r="AL99" s="31">
        <f>IF(A99="","",COUNTIFS(Complaints!$D$5:$D$84,A99))</f>
        <v>0</v>
      </c>
      <c r="AM99" s="31">
        <f>IF(B99="","",COUNTIFS($AD$5:$AD$204,"&gt;"&amp;AD99)+COUNTIFS($AD$5:AD99,AD99))</f>
        <v>0</v>
      </c>
      <c r="AN99" s="31">
        <f>IF(B99="","",COUNTIFS($AH$5:$AH$204,"&gt;"&amp;AH99)+COUNTIFS($AH$5:AH99,AH99))</f>
        <v>0</v>
      </c>
      <c r="AO99" s="31">
        <f>IF(B99="","",COUNTIFS($AJ$5:$AJ$204,"&gt;"&amp;AJ99)+COUNTIFS($AJ$5:AJ99,AJ99))</f>
        <v>0</v>
      </c>
      <c r="AP99" s="39">
        <f>IF(B99="","",IF(H99="Lost","Lost",IF(H99="Inactive","Dormant",IF(AA99="","Dormant",IF(AB99&gt;InactiveClientDays*2,"Dormant",IF(AB99&gt;InactiveClientDays,"At risk",IF(AC99="","Slipping",IF(Y99&gt;=10,"Loyal","Steady"))))))))</f>
        <v>0</v>
      </c>
      <c r="AQ99" s="34">
        <f>IF(OR(B99="",AP99="Lost",AP99="Dormant"),"",IF(OR(AP99="At risk",AP99="Slipping"),IF(AB99="",999,AB99),""))</f>
        <v>0</v>
      </c>
      <c r="AR99" s="31">
        <f>IF(AQ99="","",COUNTIFS($AQ$5:$AQ$204,"&gt;"&amp;AQ99)+COUNTIFS($AQ$5:AQ99,AQ99))</f>
        <v>0</v>
      </c>
      <c r="AS99" s="39">
        <f>IF(B99="","",IF(AF99&gt;0.5,"Chase - "&amp;TEXT(AF99,"0")&amp;" owing",IF(AND(H99&lt;&gt;"Lost",H99&lt;&gt;"Inactive",H99&lt;&gt;"Paused",AC99="",K99&lt;&gt;"One-off"),"Book - nothing in the diary",IF(AND(S99&lt;&gt;"",S99-TodayDate&lt;=RenewalWarningDays,S99&gt;=TodayDate),"Due - contract renews soon",IF(AP99="At risk","Call - going quiet",IF(AL99&gt;=2,"Check - complaints logged",IF(AND(AI99&lt;&gt;"",AI99&lt;MarginFloor,Y99&gt;0),"Check - thin margin","OK")))))))</f>
        <v>0</v>
      </c>
    </row>
    <row r="100" spans="1:45">
      <c r="A100" s="43">
        <f>IF(B100="","",ClientPrefix&amp;TEXT(ROW()-4,"0000"))</f>
        <v>0</v>
      </c>
      <c r="W100" s="31">
        <f>IF(A100="","",COUNTIFS(Properties!$C$5:$C$254,A100))</f>
        <v>0</v>
      </c>
      <c r="X100" s="31">
        <f>IF(A100="","",COUNTIFS(Jobs!$G$5:$G$604,A100))</f>
        <v>0</v>
      </c>
      <c r="Y100" s="31">
        <f>IF(A100="","",COUNTIFS(Jobs!$G$5:$G$604,A100,Jobs!$P$5:$P$604,"Completed")+COUNTIFS(Jobs!$G$5:$G$604,A100,Jobs!$P$5:$P$604,"Invoiced"))</f>
        <v>0</v>
      </c>
      <c r="Z100" s="31">
        <f>IF(A100="","",COUNTIFS(Jobs!$G$5:$G$604,A100,Jobs!$P$5:$P$604,"Cancelled")+COUNTIFS(Jobs!$G$5:$G$604,A100,Jobs!$P$5:$P$604,"No access"))</f>
        <v>0</v>
      </c>
      <c r="AA100" s="18">
        <f>IF(A100="","",IF(SUMPRODUCT(MAX((Jobs!$G$5:$G$604=A100)*((Jobs!$P$5:$P$604="Completed")+(Jobs!$P$5:$P$604="Invoiced"))*Jobs!$B$5:$B$604))=0,"",SUMPRODUCT(MAX((Jobs!$G$5:$G$604=A100)*((Jobs!$P$5:$P$604="Completed")+(Jobs!$P$5:$P$604="Invoiced"))*Jobs!$B$5:$B$604))))</f>
        <v>0</v>
      </c>
      <c r="AB100" s="31">
        <f>IF(AA100="","",TodayDate-AA100)</f>
        <v>0</v>
      </c>
      <c r="AC100" s="18">
        <f>IF(A100="","",IF(SUMPRODUCT(MIN((Jobs!$G$5:$G$604=A100)*(Jobs!$B$5:$B$604&gt;=TodayDate)*(Jobs!$P$5:$P$604&lt;&gt;"Cancelled")*Jobs!$B$5:$B$604+(1-(Jobs!$G$5:$G$604=A100)*(Jobs!$B$5:$B$604&gt;=TodayDate)*(Jobs!$P$5:$P$604&lt;&gt;"Cancelled"))*2958465))=2958465,"",SUMPRODUCT(MIN((Jobs!$G$5:$G$604=A100)*(Jobs!$B$5:$B$604&gt;=TodayDate)*(Jobs!$P$5:$P$604&lt;&gt;"Cancelled")*Jobs!$B$5:$B$604+(1-(Jobs!$G$5:$G$604=A100)*(Jobs!$B$5:$B$604&gt;=TodayDate)*(Jobs!$P$5:$P$604&lt;&gt;"Cancelled"))*2958465))))</f>
        <v>0</v>
      </c>
      <c r="AD100" s="21">
        <f>IF(A100="","",SUMIFS(Invoices!$V$5:$V$404,Invoices!$D$5:$D$404,A100))</f>
        <v>0</v>
      </c>
      <c r="AE100" s="21">
        <f>IF(A100="","",SUMIFS(Invoices!$W$5:$W$404,Invoices!$D$5:$D$404,A100))</f>
        <v>0</v>
      </c>
      <c r="AF100" s="21">
        <f>IF(A100="","",AD100-AE100)</f>
        <v>0</v>
      </c>
      <c r="AG100" s="21">
        <f>IF(OR(A100="",Y100=0),"",AD100/Y100)</f>
        <v>0</v>
      </c>
      <c r="AH100" s="21">
        <f>IF(A100="","",SUMIFS('Job Costing'!$U$5:$U$604,'Job Costing'!$D$5:$D$604,A100))</f>
        <v>0</v>
      </c>
      <c r="AI100" s="38">
        <f>IF(OR(A100="",AD100=0),"",AH100/AD100)</f>
        <v>0</v>
      </c>
      <c r="AJ100" s="21">
        <f>IF(OR(A100="",K100="",AG100=""),"",AG100*IFERROR(INDEX(FreqPerYear,MATCH(K100,FreqNames,0)),1))</f>
        <v>0</v>
      </c>
      <c r="AK100" s="34">
        <f>IF(A100="","",IFERROR(AVERAGEIFS(Jobs!$AA$5:$AA$604,Jobs!$G$5:$G$604,A100,Jobs!$AA$5:$AA$604,"&gt;0"),""))</f>
        <v>0</v>
      </c>
      <c r="AL100" s="31">
        <f>IF(A100="","",COUNTIFS(Complaints!$D$5:$D$84,A100))</f>
        <v>0</v>
      </c>
      <c r="AM100" s="31">
        <f>IF(B100="","",COUNTIFS($AD$5:$AD$204,"&gt;"&amp;AD100)+COUNTIFS($AD$5:AD100,AD100))</f>
        <v>0</v>
      </c>
      <c r="AN100" s="31">
        <f>IF(B100="","",COUNTIFS($AH$5:$AH$204,"&gt;"&amp;AH100)+COUNTIFS($AH$5:AH100,AH100))</f>
        <v>0</v>
      </c>
      <c r="AO100" s="31">
        <f>IF(B100="","",COUNTIFS($AJ$5:$AJ$204,"&gt;"&amp;AJ100)+COUNTIFS($AJ$5:AJ100,AJ100))</f>
        <v>0</v>
      </c>
      <c r="AP100" s="39">
        <f>IF(B100="","",IF(H100="Lost","Lost",IF(H100="Inactive","Dormant",IF(AA100="","Dormant",IF(AB100&gt;InactiveClientDays*2,"Dormant",IF(AB100&gt;InactiveClientDays,"At risk",IF(AC100="","Slipping",IF(Y100&gt;=10,"Loyal","Steady"))))))))</f>
        <v>0</v>
      </c>
      <c r="AQ100" s="34">
        <f>IF(OR(B100="",AP100="Lost",AP100="Dormant"),"",IF(OR(AP100="At risk",AP100="Slipping"),IF(AB100="",999,AB100),""))</f>
        <v>0</v>
      </c>
      <c r="AR100" s="31">
        <f>IF(AQ100="","",COUNTIFS($AQ$5:$AQ$204,"&gt;"&amp;AQ100)+COUNTIFS($AQ$5:AQ100,AQ100))</f>
        <v>0</v>
      </c>
      <c r="AS100" s="39">
        <f>IF(B100="","",IF(AF100&gt;0.5,"Chase - "&amp;TEXT(AF100,"0")&amp;" owing",IF(AND(H100&lt;&gt;"Lost",H100&lt;&gt;"Inactive",H100&lt;&gt;"Paused",AC100="",K100&lt;&gt;"One-off"),"Book - nothing in the diary",IF(AND(S100&lt;&gt;"",S100-TodayDate&lt;=RenewalWarningDays,S100&gt;=TodayDate),"Due - contract renews soon",IF(AP100="At risk","Call - going quiet",IF(AL100&gt;=2,"Check - complaints logged",IF(AND(AI100&lt;&gt;"",AI100&lt;MarginFloor,Y100&gt;0),"Check - thin margin","OK")))))))</f>
        <v>0</v>
      </c>
    </row>
    <row r="101" spans="1:45">
      <c r="A101" s="43">
        <f>IF(B101="","",ClientPrefix&amp;TEXT(ROW()-4,"0000"))</f>
        <v>0</v>
      </c>
      <c r="W101" s="31">
        <f>IF(A101="","",COUNTIFS(Properties!$C$5:$C$254,A101))</f>
        <v>0</v>
      </c>
      <c r="X101" s="31">
        <f>IF(A101="","",COUNTIFS(Jobs!$G$5:$G$604,A101))</f>
        <v>0</v>
      </c>
      <c r="Y101" s="31">
        <f>IF(A101="","",COUNTIFS(Jobs!$G$5:$G$604,A101,Jobs!$P$5:$P$604,"Completed")+COUNTIFS(Jobs!$G$5:$G$604,A101,Jobs!$P$5:$P$604,"Invoiced"))</f>
        <v>0</v>
      </c>
      <c r="Z101" s="31">
        <f>IF(A101="","",COUNTIFS(Jobs!$G$5:$G$604,A101,Jobs!$P$5:$P$604,"Cancelled")+COUNTIFS(Jobs!$G$5:$G$604,A101,Jobs!$P$5:$P$604,"No access"))</f>
        <v>0</v>
      </c>
      <c r="AA101" s="18">
        <f>IF(A101="","",IF(SUMPRODUCT(MAX((Jobs!$G$5:$G$604=A101)*((Jobs!$P$5:$P$604="Completed")+(Jobs!$P$5:$P$604="Invoiced"))*Jobs!$B$5:$B$604))=0,"",SUMPRODUCT(MAX((Jobs!$G$5:$G$604=A101)*((Jobs!$P$5:$P$604="Completed")+(Jobs!$P$5:$P$604="Invoiced"))*Jobs!$B$5:$B$604))))</f>
        <v>0</v>
      </c>
      <c r="AB101" s="31">
        <f>IF(AA101="","",TodayDate-AA101)</f>
        <v>0</v>
      </c>
      <c r="AC101" s="18">
        <f>IF(A101="","",IF(SUMPRODUCT(MIN((Jobs!$G$5:$G$604=A101)*(Jobs!$B$5:$B$604&gt;=TodayDate)*(Jobs!$P$5:$P$604&lt;&gt;"Cancelled")*Jobs!$B$5:$B$604+(1-(Jobs!$G$5:$G$604=A101)*(Jobs!$B$5:$B$604&gt;=TodayDate)*(Jobs!$P$5:$P$604&lt;&gt;"Cancelled"))*2958465))=2958465,"",SUMPRODUCT(MIN((Jobs!$G$5:$G$604=A101)*(Jobs!$B$5:$B$604&gt;=TodayDate)*(Jobs!$P$5:$P$604&lt;&gt;"Cancelled")*Jobs!$B$5:$B$604+(1-(Jobs!$G$5:$G$604=A101)*(Jobs!$B$5:$B$604&gt;=TodayDate)*(Jobs!$P$5:$P$604&lt;&gt;"Cancelled"))*2958465))))</f>
        <v>0</v>
      </c>
      <c r="AD101" s="21">
        <f>IF(A101="","",SUMIFS(Invoices!$V$5:$V$404,Invoices!$D$5:$D$404,A101))</f>
        <v>0</v>
      </c>
      <c r="AE101" s="21">
        <f>IF(A101="","",SUMIFS(Invoices!$W$5:$W$404,Invoices!$D$5:$D$404,A101))</f>
        <v>0</v>
      </c>
      <c r="AF101" s="21">
        <f>IF(A101="","",AD101-AE101)</f>
        <v>0</v>
      </c>
      <c r="AG101" s="21">
        <f>IF(OR(A101="",Y101=0),"",AD101/Y101)</f>
        <v>0</v>
      </c>
      <c r="AH101" s="21">
        <f>IF(A101="","",SUMIFS('Job Costing'!$U$5:$U$604,'Job Costing'!$D$5:$D$604,A101))</f>
        <v>0</v>
      </c>
      <c r="AI101" s="38">
        <f>IF(OR(A101="",AD101=0),"",AH101/AD101)</f>
        <v>0</v>
      </c>
      <c r="AJ101" s="21">
        <f>IF(OR(A101="",K101="",AG101=""),"",AG101*IFERROR(INDEX(FreqPerYear,MATCH(K101,FreqNames,0)),1))</f>
        <v>0</v>
      </c>
      <c r="AK101" s="34">
        <f>IF(A101="","",IFERROR(AVERAGEIFS(Jobs!$AA$5:$AA$604,Jobs!$G$5:$G$604,A101,Jobs!$AA$5:$AA$604,"&gt;0"),""))</f>
        <v>0</v>
      </c>
      <c r="AL101" s="31">
        <f>IF(A101="","",COUNTIFS(Complaints!$D$5:$D$84,A101))</f>
        <v>0</v>
      </c>
      <c r="AM101" s="31">
        <f>IF(B101="","",COUNTIFS($AD$5:$AD$204,"&gt;"&amp;AD101)+COUNTIFS($AD$5:AD101,AD101))</f>
        <v>0</v>
      </c>
      <c r="AN101" s="31">
        <f>IF(B101="","",COUNTIFS($AH$5:$AH$204,"&gt;"&amp;AH101)+COUNTIFS($AH$5:AH101,AH101))</f>
        <v>0</v>
      </c>
      <c r="AO101" s="31">
        <f>IF(B101="","",COUNTIFS($AJ$5:$AJ$204,"&gt;"&amp;AJ101)+COUNTIFS($AJ$5:AJ101,AJ101))</f>
        <v>0</v>
      </c>
      <c r="AP101" s="39">
        <f>IF(B101="","",IF(H101="Lost","Lost",IF(H101="Inactive","Dormant",IF(AA101="","Dormant",IF(AB101&gt;InactiveClientDays*2,"Dormant",IF(AB101&gt;InactiveClientDays,"At risk",IF(AC101="","Slipping",IF(Y101&gt;=10,"Loyal","Steady"))))))))</f>
        <v>0</v>
      </c>
      <c r="AQ101" s="34">
        <f>IF(OR(B101="",AP101="Lost",AP101="Dormant"),"",IF(OR(AP101="At risk",AP101="Slipping"),IF(AB101="",999,AB101),""))</f>
        <v>0</v>
      </c>
      <c r="AR101" s="31">
        <f>IF(AQ101="","",COUNTIFS($AQ$5:$AQ$204,"&gt;"&amp;AQ101)+COUNTIFS($AQ$5:AQ101,AQ101))</f>
        <v>0</v>
      </c>
      <c r="AS101" s="39">
        <f>IF(B101="","",IF(AF101&gt;0.5,"Chase - "&amp;TEXT(AF101,"0")&amp;" owing",IF(AND(H101&lt;&gt;"Lost",H101&lt;&gt;"Inactive",H101&lt;&gt;"Paused",AC101="",K101&lt;&gt;"One-off"),"Book - nothing in the diary",IF(AND(S101&lt;&gt;"",S101-TodayDate&lt;=RenewalWarningDays,S101&gt;=TodayDate),"Due - contract renews soon",IF(AP101="At risk","Call - going quiet",IF(AL101&gt;=2,"Check - complaints logged",IF(AND(AI101&lt;&gt;"",AI101&lt;MarginFloor,Y101&gt;0),"Check - thin margin","OK")))))))</f>
        <v>0</v>
      </c>
    </row>
    <row r="102" spans="1:45">
      <c r="A102" s="43">
        <f>IF(B102="","",ClientPrefix&amp;TEXT(ROW()-4,"0000"))</f>
        <v>0</v>
      </c>
      <c r="W102" s="31">
        <f>IF(A102="","",COUNTIFS(Properties!$C$5:$C$254,A102))</f>
        <v>0</v>
      </c>
      <c r="X102" s="31">
        <f>IF(A102="","",COUNTIFS(Jobs!$G$5:$G$604,A102))</f>
        <v>0</v>
      </c>
      <c r="Y102" s="31">
        <f>IF(A102="","",COUNTIFS(Jobs!$G$5:$G$604,A102,Jobs!$P$5:$P$604,"Completed")+COUNTIFS(Jobs!$G$5:$G$604,A102,Jobs!$P$5:$P$604,"Invoiced"))</f>
        <v>0</v>
      </c>
      <c r="Z102" s="31">
        <f>IF(A102="","",COUNTIFS(Jobs!$G$5:$G$604,A102,Jobs!$P$5:$P$604,"Cancelled")+COUNTIFS(Jobs!$G$5:$G$604,A102,Jobs!$P$5:$P$604,"No access"))</f>
        <v>0</v>
      </c>
      <c r="AA102" s="18">
        <f>IF(A102="","",IF(SUMPRODUCT(MAX((Jobs!$G$5:$G$604=A102)*((Jobs!$P$5:$P$604="Completed")+(Jobs!$P$5:$P$604="Invoiced"))*Jobs!$B$5:$B$604))=0,"",SUMPRODUCT(MAX((Jobs!$G$5:$G$604=A102)*((Jobs!$P$5:$P$604="Completed")+(Jobs!$P$5:$P$604="Invoiced"))*Jobs!$B$5:$B$604))))</f>
        <v>0</v>
      </c>
      <c r="AB102" s="31">
        <f>IF(AA102="","",TodayDate-AA102)</f>
        <v>0</v>
      </c>
      <c r="AC102" s="18">
        <f>IF(A102="","",IF(SUMPRODUCT(MIN((Jobs!$G$5:$G$604=A102)*(Jobs!$B$5:$B$604&gt;=TodayDate)*(Jobs!$P$5:$P$604&lt;&gt;"Cancelled")*Jobs!$B$5:$B$604+(1-(Jobs!$G$5:$G$604=A102)*(Jobs!$B$5:$B$604&gt;=TodayDate)*(Jobs!$P$5:$P$604&lt;&gt;"Cancelled"))*2958465))=2958465,"",SUMPRODUCT(MIN((Jobs!$G$5:$G$604=A102)*(Jobs!$B$5:$B$604&gt;=TodayDate)*(Jobs!$P$5:$P$604&lt;&gt;"Cancelled")*Jobs!$B$5:$B$604+(1-(Jobs!$G$5:$G$604=A102)*(Jobs!$B$5:$B$604&gt;=TodayDate)*(Jobs!$P$5:$P$604&lt;&gt;"Cancelled"))*2958465))))</f>
        <v>0</v>
      </c>
      <c r="AD102" s="21">
        <f>IF(A102="","",SUMIFS(Invoices!$V$5:$V$404,Invoices!$D$5:$D$404,A102))</f>
        <v>0</v>
      </c>
      <c r="AE102" s="21">
        <f>IF(A102="","",SUMIFS(Invoices!$W$5:$W$404,Invoices!$D$5:$D$404,A102))</f>
        <v>0</v>
      </c>
      <c r="AF102" s="21">
        <f>IF(A102="","",AD102-AE102)</f>
        <v>0</v>
      </c>
      <c r="AG102" s="21">
        <f>IF(OR(A102="",Y102=0),"",AD102/Y102)</f>
        <v>0</v>
      </c>
      <c r="AH102" s="21">
        <f>IF(A102="","",SUMIFS('Job Costing'!$U$5:$U$604,'Job Costing'!$D$5:$D$604,A102))</f>
        <v>0</v>
      </c>
      <c r="AI102" s="38">
        <f>IF(OR(A102="",AD102=0),"",AH102/AD102)</f>
        <v>0</v>
      </c>
      <c r="AJ102" s="21">
        <f>IF(OR(A102="",K102="",AG102=""),"",AG102*IFERROR(INDEX(FreqPerYear,MATCH(K102,FreqNames,0)),1))</f>
        <v>0</v>
      </c>
      <c r="AK102" s="34">
        <f>IF(A102="","",IFERROR(AVERAGEIFS(Jobs!$AA$5:$AA$604,Jobs!$G$5:$G$604,A102,Jobs!$AA$5:$AA$604,"&gt;0"),""))</f>
        <v>0</v>
      </c>
      <c r="AL102" s="31">
        <f>IF(A102="","",COUNTIFS(Complaints!$D$5:$D$84,A102))</f>
        <v>0</v>
      </c>
      <c r="AM102" s="31">
        <f>IF(B102="","",COUNTIFS($AD$5:$AD$204,"&gt;"&amp;AD102)+COUNTIFS($AD$5:AD102,AD102))</f>
        <v>0</v>
      </c>
      <c r="AN102" s="31">
        <f>IF(B102="","",COUNTIFS($AH$5:$AH$204,"&gt;"&amp;AH102)+COUNTIFS($AH$5:AH102,AH102))</f>
        <v>0</v>
      </c>
      <c r="AO102" s="31">
        <f>IF(B102="","",COUNTIFS($AJ$5:$AJ$204,"&gt;"&amp;AJ102)+COUNTIFS($AJ$5:AJ102,AJ102))</f>
        <v>0</v>
      </c>
      <c r="AP102" s="39">
        <f>IF(B102="","",IF(H102="Lost","Lost",IF(H102="Inactive","Dormant",IF(AA102="","Dormant",IF(AB102&gt;InactiveClientDays*2,"Dormant",IF(AB102&gt;InactiveClientDays,"At risk",IF(AC102="","Slipping",IF(Y102&gt;=10,"Loyal","Steady"))))))))</f>
        <v>0</v>
      </c>
      <c r="AQ102" s="34">
        <f>IF(OR(B102="",AP102="Lost",AP102="Dormant"),"",IF(OR(AP102="At risk",AP102="Slipping"),IF(AB102="",999,AB102),""))</f>
        <v>0</v>
      </c>
      <c r="AR102" s="31">
        <f>IF(AQ102="","",COUNTIFS($AQ$5:$AQ$204,"&gt;"&amp;AQ102)+COUNTIFS($AQ$5:AQ102,AQ102))</f>
        <v>0</v>
      </c>
      <c r="AS102" s="39">
        <f>IF(B102="","",IF(AF102&gt;0.5,"Chase - "&amp;TEXT(AF102,"0")&amp;" owing",IF(AND(H102&lt;&gt;"Lost",H102&lt;&gt;"Inactive",H102&lt;&gt;"Paused",AC102="",K102&lt;&gt;"One-off"),"Book - nothing in the diary",IF(AND(S102&lt;&gt;"",S102-TodayDate&lt;=RenewalWarningDays,S102&gt;=TodayDate),"Due - contract renews soon",IF(AP102="At risk","Call - going quiet",IF(AL102&gt;=2,"Check - complaints logged",IF(AND(AI102&lt;&gt;"",AI102&lt;MarginFloor,Y102&gt;0),"Check - thin margin","OK")))))))</f>
        <v>0</v>
      </c>
    </row>
    <row r="103" spans="1:45">
      <c r="A103" s="43">
        <f>IF(B103="","",ClientPrefix&amp;TEXT(ROW()-4,"0000"))</f>
        <v>0</v>
      </c>
      <c r="W103" s="31">
        <f>IF(A103="","",COUNTIFS(Properties!$C$5:$C$254,A103))</f>
        <v>0</v>
      </c>
      <c r="X103" s="31">
        <f>IF(A103="","",COUNTIFS(Jobs!$G$5:$G$604,A103))</f>
        <v>0</v>
      </c>
      <c r="Y103" s="31">
        <f>IF(A103="","",COUNTIFS(Jobs!$G$5:$G$604,A103,Jobs!$P$5:$P$604,"Completed")+COUNTIFS(Jobs!$G$5:$G$604,A103,Jobs!$P$5:$P$604,"Invoiced"))</f>
        <v>0</v>
      </c>
      <c r="Z103" s="31">
        <f>IF(A103="","",COUNTIFS(Jobs!$G$5:$G$604,A103,Jobs!$P$5:$P$604,"Cancelled")+COUNTIFS(Jobs!$G$5:$G$604,A103,Jobs!$P$5:$P$604,"No access"))</f>
        <v>0</v>
      </c>
      <c r="AA103" s="18">
        <f>IF(A103="","",IF(SUMPRODUCT(MAX((Jobs!$G$5:$G$604=A103)*((Jobs!$P$5:$P$604="Completed")+(Jobs!$P$5:$P$604="Invoiced"))*Jobs!$B$5:$B$604))=0,"",SUMPRODUCT(MAX((Jobs!$G$5:$G$604=A103)*((Jobs!$P$5:$P$604="Completed")+(Jobs!$P$5:$P$604="Invoiced"))*Jobs!$B$5:$B$604))))</f>
        <v>0</v>
      </c>
      <c r="AB103" s="31">
        <f>IF(AA103="","",TodayDate-AA103)</f>
        <v>0</v>
      </c>
      <c r="AC103" s="18">
        <f>IF(A103="","",IF(SUMPRODUCT(MIN((Jobs!$G$5:$G$604=A103)*(Jobs!$B$5:$B$604&gt;=TodayDate)*(Jobs!$P$5:$P$604&lt;&gt;"Cancelled")*Jobs!$B$5:$B$604+(1-(Jobs!$G$5:$G$604=A103)*(Jobs!$B$5:$B$604&gt;=TodayDate)*(Jobs!$P$5:$P$604&lt;&gt;"Cancelled"))*2958465))=2958465,"",SUMPRODUCT(MIN((Jobs!$G$5:$G$604=A103)*(Jobs!$B$5:$B$604&gt;=TodayDate)*(Jobs!$P$5:$P$604&lt;&gt;"Cancelled")*Jobs!$B$5:$B$604+(1-(Jobs!$G$5:$G$604=A103)*(Jobs!$B$5:$B$604&gt;=TodayDate)*(Jobs!$P$5:$P$604&lt;&gt;"Cancelled"))*2958465))))</f>
        <v>0</v>
      </c>
      <c r="AD103" s="21">
        <f>IF(A103="","",SUMIFS(Invoices!$V$5:$V$404,Invoices!$D$5:$D$404,A103))</f>
        <v>0</v>
      </c>
      <c r="AE103" s="21">
        <f>IF(A103="","",SUMIFS(Invoices!$W$5:$W$404,Invoices!$D$5:$D$404,A103))</f>
        <v>0</v>
      </c>
      <c r="AF103" s="21">
        <f>IF(A103="","",AD103-AE103)</f>
        <v>0</v>
      </c>
      <c r="AG103" s="21">
        <f>IF(OR(A103="",Y103=0),"",AD103/Y103)</f>
        <v>0</v>
      </c>
      <c r="AH103" s="21">
        <f>IF(A103="","",SUMIFS('Job Costing'!$U$5:$U$604,'Job Costing'!$D$5:$D$604,A103))</f>
        <v>0</v>
      </c>
      <c r="AI103" s="38">
        <f>IF(OR(A103="",AD103=0),"",AH103/AD103)</f>
        <v>0</v>
      </c>
      <c r="AJ103" s="21">
        <f>IF(OR(A103="",K103="",AG103=""),"",AG103*IFERROR(INDEX(FreqPerYear,MATCH(K103,FreqNames,0)),1))</f>
        <v>0</v>
      </c>
      <c r="AK103" s="34">
        <f>IF(A103="","",IFERROR(AVERAGEIFS(Jobs!$AA$5:$AA$604,Jobs!$G$5:$G$604,A103,Jobs!$AA$5:$AA$604,"&gt;0"),""))</f>
        <v>0</v>
      </c>
      <c r="AL103" s="31">
        <f>IF(A103="","",COUNTIFS(Complaints!$D$5:$D$84,A103))</f>
        <v>0</v>
      </c>
      <c r="AM103" s="31">
        <f>IF(B103="","",COUNTIFS($AD$5:$AD$204,"&gt;"&amp;AD103)+COUNTIFS($AD$5:AD103,AD103))</f>
        <v>0</v>
      </c>
      <c r="AN103" s="31">
        <f>IF(B103="","",COUNTIFS($AH$5:$AH$204,"&gt;"&amp;AH103)+COUNTIFS($AH$5:AH103,AH103))</f>
        <v>0</v>
      </c>
      <c r="AO103" s="31">
        <f>IF(B103="","",COUNTIFS($AJ$5:$AJ$204,"&gt;"&amp;AJ103)+COUNTIFS($AJ$5:AJ103,AJ103))</f>
        <v>0</v>
      </c>
      <c r="AP103" s="39">
        <f>IF(B103="","",IF(H103="Lost","Lost",IF(H103="Inactive","Dormant",IF(AA103="","Dormant",IF(AB103&gt;InactiveClientDays*2,"Dormant",IF(AB103&gt;InactiveClientDays,"At risk",IF(AC103="","Slipping",IF(Y103&gt;=10,"Loyal","Steady"))))))))</f>
        <v>0</v>
      </c>
      <c r="AQ103" s="34">
        <f>IF(OR(B103="",AP103="Lost",AP103="Dormant"),"",IF(OR(AP103="At risk",AP103="Slipping"),IF(AB103="",999,AB103),""))</f>
        <v>0</v>
      </c>
      <c r="AR103" s="31">
        <f>IF(AQ103="","",COUNTIFS($AQ$5:$AQ$204,"&gt;"&amp;AQ103)+COUNTIFS($AQ$5:AQ103,AQ103))</f>
        <v>0</v>
      </c>
      <c r="AS103" s="39">
        <f>IF(B103="","",IF(AF103&gt;0.5,"Chase - "&amp;TEXT(AF103,"0")&amp;" owing",IF(AND(H103&lt;&gt;"Lost",H103&lt;&gt;"Inactive",H103&lt;&gt;"Paused",AC103="",K103&lt;&gt;"One-off"),"Book - nothing in the diary",IF(AND(S103&lt;&gt;"",S103-TodayDate&lt;=RenewalWarningDays,S103&gt;=TodayDate),"Due - contract renews soon",IF(AP103="At risk","Call - going quiet",IF(AL103&gt;=2,"Check - complaints logged",IF(AND(AI103&lt;&gt;"",AI103&lt;MarginFloor,Y103&gt;0),"Check - thin margin","OK")))))))</f>
        <v>0</v>
      </c>
    </row>
    <row r="104" spans="1:45">
      <c r="A104" s="43">
        <f>IF(B104="","",ClientPrefix&amp;TEXT(ROW()-4,"0000"))</f>
        <v>0</v>
      </c>
      <c r="W104" s="31">
        <f>IF(A104="","",COUNTIFS(Properties!$C$5:$C$254,A104))</f>
        <v>0</v>
      </c>
      <c r="X104" s="31">
        <f>IF(A104="","",COUNTIFS(Jobs!$G$5:$G$604,A104))</f>
        <v>0</v>
      </c>
      <c r="Y104" s="31">
        <f>IF(A104="","",COUNTIFS(Jobs!$G$5:$G$604,A104,Jobs!$P$5:$P$604,"Completed")+COUNTIFS(Jobs!$G$5:$G$604,A104,Jobs!$P$5:$P$604,"Invoiced"))</f>
        <v>0</v>
      </c>
      <c r="Z104" s="31">
        <f>IF(A104="","",COUNTIFS(Jobs!$G$5:$G$604,A104,Jobs!$P$5:$P$604,"Cancelled")+COUNTIFS(Jobs!$G$5:$G$604,A104,Jobs!$P$5:$P$604,"No access"))</f>
        <v>0</v>
      </c>
      <c r="AA104" s="18">
        <f>IF(A104="","",IF(SUMPRODUCT(MAX((Jobs!$G$5:$G$604=A104)*((Jobs!$P$5:$P$604="Completed")+(Jobs!$P$5:$P$604="Invoiced"))*Jobs!$B$5:$B$604))=0,"",SUMPRODUCT(MAX((Jobs!$G$5:$G$604=A104)*((Jobs!$P$5:$P$604="Completed")+(Jobs!$P$5:$P$604="Invoiced"))*Jobs!$B$5:$B$604))))</f>
        <v>0</v>
      </c>
      <c r="AB104" s="31">
        <f>IF(AA104="","",TodayDate-AA104)</f>
        <v>0</v>
      </c>
      <c r="AC104" s="18">
        <f>IF(A104="","",IF(SUMPRODUCT(MIN((Jobs!$G$5:$G$604=A104)*(Jobs!$B$5:$B$604&gt;=TodayDate)*(Jobs!$P$5:$P$604&lt;&gt;"Cancelled")*Jobs!$B$5:$B$604+(1-(Jobs!$G$5:$G$604=A104)*(Jobs!$B$5:$B$604&gt;=TodayDate)*(Jobs!$P$5:$P$604&lt;&gt;"Cancelled"))*2958465))=2958465,"",SUMPRODUCT(MIN((Jobs!$G$5:$G$604=A104)*(Jobs!$B$5:$B$604&gt;=TodayDate)*(Jobs!$P$5:$P$604&lt;&gt;"Cancelled")*Jobs!$B$5:$B$604+(1-(Jobs!$G$5:$G$604=A104)*(Jobs!$B$5:$B$604&gt;=TodayDate)*(Jobs!$P$5:$P$604&lt;&gt;"Cancelled"))*2958465))))</f>
        <v>0</v>
      </c>
      <c r="AD104" s="21">
        <f>IF(A104="","",SUMIFS(Invoices!$V$5:$V$404,Invoices!$D$5:$D$404,A104))</f>
        <v>0</v>
      </c>
      <c r="AE104" s="21">
        <f>IF(A104="","",SUMIFS(Invoices!$W$5:$W$404,Invoices!$D$5:$D$404,A104))</f>
        <v>0</v>
      </c>
      <c r="AF104" s="21">
        <f>IF(A104="","",AD104-AE104)</f>
        <v>0</v>
      </c>
      <c r="AG104" s="21">
        <f>IF(OR(A104="",Y104=0),"",AD104/Y104)</f>
        <v>0</v>
      </c>
      <c r="AH104" s="21">
        <f>IF(A104="","",SUMIFS('Job Costing'!$U$5:$U$604,'Job Costing'!$D$5:$D$604,A104))</f>
        <v>0</v>
      </c>
      <c r="AI104" s="38">
        <f>IF(OR(A104="",AD104=0),"",AH104/AD104)</f>
        <v>0</v>
      </c>
      <c r="AJ104" s="21">
        <f>IF(OR(A104="",K104="",AG104=""),"",AG104*IFERROR(INDEX(FreqPerYear,MATCH(K104,FreqNames,0)),1))</f>
        <v>0</v>
      </c>
      <c r="AK104" s="34">
        <f>IF(A104="","",IFERROR(AVERAGEIFS(Jobs!$AA$5:$AA$604,Jobs!$G$5:$G$604,A104,Jobs!$AA$5:$AA$604,"&gt;0"),""))</f>
        <v>0</v>
      </c>
      <c r="AL104" s="31">
        <f>IF(A104="","",COUNTIFS(Complaints!$D$5:$D$84,A104))</f>
        <v>0</v>
      </c>
      <c r="AM104" s="31">
        <f>IF(B104="","",COUNTIFS($AD$5:$AD$204,"&gt;"&amp;AD104)+COUNTIFS($AD$5:AD104,AD104))</f>
        <v>0</v>
      </c>
      <c r="AN104" s="31">
        <f>IF(B104="","",COUNTIFS($AH$5:$AH$204,"&gt;"&amp;AH104)+COUNTIFS($AH$5:AH104,AH104))</f>
        <v>0</v>
      </c>
      <c r="AO104" s="31">
        <f>IF(B104="","",COUNTIFS($AJ$5:$AJ$204,"&gt;"&amp;AJ104)+COUNTIFS($AJ$5:AJ104,AJ104))</f>
        <v>0</v>
      </c>
      <c r="AP104" s="39">
        <f>IF(B104="","",IF(H104="Lost","Lost",IF(H104="Inactive","Dormant",IF(AA104="","Dormant",IF(AB104&gt;InactiveClientDays*2,"Dormant",IF(AB104&gt;InactiveClientDays,"At risk",IF(AC104="","Slipping",IF(Y104&gt;=10,"Loyal","Steady"))))))))</f>
        <v>0</v>
      </c>
      <c r="AQ104" s="34">
        <f>IF(OR(B104="",AP104="Lost",AP104="Dormant"),"",IF(OR(AP104="At risk",AP104="Slipping"),IF(AB104="",999,AB104),""))</f>
        <v>0</v>
      </c>
      <c r="AR104" s="31">
        <f>IF(AQ104="","",COUNTIFS($AQ$5:$AQ$204,"&gt;"&amp;AQ104)+COUNTIFS($AQ$5:AQ104,AQ104))</f>
        <v>0</v>
      </c>
      <c r="AS104" s="39">
        <f>IF(B104="","",IF(AF104&gt;0.5,"Chase - "&amp;TEXT(AF104,"0")&amp;" owing",IF(AND(H104&lt;&gt;"Lost",H104&lt;&gt;"Inactive",H104&lt;&gt;"Paused",AC104="",K104&lt;&gt;"One-off"),"Book - nothing in the diary",IF(AND(S104&lt;&gt;"",S104-TodayDate&lt;=RenewalWarningDays,S104&gt;=TodayDate),"Due - contract renews soon",IF(AP104="At risk","Call - going quiet",IF(AL104&gt;=2,"Check - complaints logged",IF(AND(AI104&lt;&gt;"",AI104&lt;MarginFloor,Y104&gt;0),"Check - thin margin","OK")))))))</f>
        <v>0</v>
      </c>
    </row>
    <row r="105" spans="1:45">
      <c r="A105" s="43">
        <f>IF(B105="","",ClientPrefix&amp;TEXT(ROW()-4,"0000"))</f>
        <v>0</v>
      </c>
      <c r="W105" s="31">
        <f>IF(A105="","",COUNTIFS(Properties!$C$5:$C$254,A105))</f>
        <v>0</v>
      </c>
      <c r="X105" s="31">
        <f>IF(A105="","",COUNTIFS(Jobs!$G$5:$G$604,A105))</f>
        <v>0</v>
      </c>
      <c r="Y105" s="31">
        <f>IF(A105="","",COUNTIFS(Jobs!$G$5:$G$604,A105,Jobs!$P$5:$P$604,"Completed")+COUNTIFS(Jobs!$G$5:$G$604,A105,Jobs!$P$5:$P$604,"Invoiced"))</f>
        <v>0</v>
      </c>
      <c r="Z105" s="31">
        <f>IF(A105="","",COUNTIFS(Jobs!$G$5:$G$604,A105,Jobs!$P$5:$P$604,"Cancelled")+COUNTIFS(Jobs!$G$5:$G$604,A105,Jobs!$P$5:$P$604,"No access"))</f>
        <v>0</v>
      </c>
      <c r="AA105" s="18">
        <f>IF(A105="","",IF(SUMPRODUCT(MAX((Jobs!$G$5:$G$604=A105)*((Jobs!$P$5:$P$604="Completed")+(Jobs!$P$5:$P$604="Invoiced"))*Jobs!$B$5:$B$604))=0,"",SUMPRODUCT(MAX((Jobs!$G$5:$G$604=A105)*((Jobs!$P$5:$P$604="Completed")+(Jobs!$P$5:$P$604="Invoiced"))*Jobs!$B$5:$B$604))))</f>
        <v>0</v>
      </c>
      <c r="AB105" s="31">
        <f>IF(AA105="","",TodayDate-AA105)</f>
        <v>0</v>
      </c>
      <c r="AC105" s="18">
        <f>IF(A105="","",IF(SUMPRODUCT(MIN((Jobs!$G$5:$G$604=A105)*(Jobs!$B$5:$B$604&gt;=TodayDate)*(Jobs!$P$5:$P$604&lt;&gt;"Cancelled")*Jobs!$B$5:$B$604+(1-(Jobs!$G$5:$G$604=A105)*(Jobs!$B$5:$B$604&gt;=TodayDate)*(Jobs!$P$5:$P$604&lt;&gt;"Cancelled"))*2958465))=2958465,"",SUMPRODUCT(MIN((Jobs!$G$5:$G$604=A105)*(Jobs!$B$5:$B$604&gt;=TodayDate)*(Jobs!$P$5:$P$604&lt;&gt;"Cancelled")*Jobs!$B$5:$B$604+(1-(Jobs!$G$5:$G$604=A105)*(Jobs!$B$5:$B$604&gt;=TodayDate)*(Jobs!$P$5:$P$604&lt;&gt;"Cancelled"))*2958465))))</f>
        <v>0</v>
      </c>
      <c r="AD105" s="21">
        <f>IF(A105="","",SUMIFS(Invoices!$V$5:$V$404,Invoices!$D$5:$D$404,A105))</f>
        <v>0</v>
      </c>
      <c r="AE105" s="21">
        <f>IF(A105="","",SUMIFS(Invoices!$W$5:$W$404,Invoices!$D$5:$D$404,A105))</f>
        <v>0</v>
      </c>
      <c r="AF105" s="21">
        <f>IF(A105="","",AD105-AE105)</f>
        <v>0</v>
      </c>
      <c r="AG105" s="21">
        <f>IF(OR(A105="",Y105=0),"",AD105/Y105)</f>
        <v>0</v>
      </c>
      <c r="AH105" s="21">
        <f>IF(A105="","",SUMIFS('Job Costing'!$U$5:$U$604,'Job Costing'!$D$5:$D$604,A105))</f>
        <v>0</v>
      </c>
      <c r="AI105" s="38">
        <f>IF(OR(A105="",AD105=0),"",AH105/AD105)</f>
        <v>0</v>
      </c>
      <c r="AJ105" s="21">
        <f>IF(OR(A105="",K105="",AG105=""),"",AG105*IFERROR(INDEX(FreqPerYear,MATCH(K105,FreqNames,0)),1))</f>
        <v>0</v>
      </c>
      <c r="AK105" s="34">
        <f>IF(A105="","",IFERROR(AVERAGEIFS(Jobs!$AA$5:$AA$604,Jobs!$G$5:$G$604,A105,Jobs!$AA$5:$AA$604,"&gt;0"),""))</f>
        <v>0</v>
      </c>
      <c r="AL105" s="31">
        <f>IF(A105="","",COUNTIFS(Complaints!$D$5:$D$84,A105))</f>
        <v>0</v>
      </c>
      <c r="AM105" s="31">
        <f>IF(B105="","",COUNTIFS($AD$5:$AD$204,"&gt;"&amp;AD105)+COUNTIFS($AD$5:AD105,AD105))</f>
        <v>0</v>
      </c>
      <c r="AN105" s="31">
        <f>IF(B105="","",COUNTIFS($AH$5:$AH$204,"&gt;"&amp;AH105)+COUNTIFS($AH$5:AH105,AH105))</f>
        <v>0</v>
      </c>
      <c r="AO105" s="31">
        <f>IF(B105="","",COUNTIFS($AJ$5:$AJ$204,"&gt;"&amp;AJ105)+COUNTIFS($AJ$5:AJ105,AJ105))</f>
        <v>0</v>
      </c>
      <c r="AP105" s="39">
        <f>IF(B105="","",IF(H105="Lost","Lost",IF(H105="Inactive","Dormant",IF(AA105="","Dormant",IF(AB105&gt;InactiveClientDays*2,"Dormant",IF(AB105&gt;InactiveClientDays,"At risk",IF(AC105="","Slipping",IF(Y105&gt;=10,"Loyal","Steady"))))))))</f>
        <v>0</v>
      </c>
      <c r="AQ105" s="34">
        <f>IF(OR(B105="",AP105="Lost",AP105="Dormant"),"",IF(OR(AP105="At risk",AP105="Slipping"),IF(AB105="",999,AB105),""))</f>
        <v>0</v>
      </c>
      <c r="AR105" s="31">
        <f>IF(AQ105="","",COUNTIFS($AQ$5:$AQ$204,"&gt;"&amp;AQ105)+COUNTIFS($AQ$5:AQ105,AQ105))</f>
        <v>0</v>
      </c>
      <c r="AS105" s="39">
        <f>IF(B105="","",IF(AF105&gt;0.5,"Chase - "&amp;TEXT(AF105,"0")&amp;" owing",IF(AND(H105&lt;&gt;"Lost",H105&lt;&gt;"Inactive",H105&lt;&gt;"Paused",AC105="",K105&lt;&gt;"One-off"),"Book - nothing in the diary",IF(AND(S105&lt;&gt;"",S105-TodayDate&lt;=RenewalWarningDays,S105&gt;=TodayDate),"Due - contract renews soon",IF(AP105="At risk","Call - going quiet",IF(AL105&gt;=2,"Check - complaints logged",IF(AND(AI105&lt;&gt;"",AI105&lt;MarginFloor,Y105&gt;0),"Check - thin margin","OK")))))))</f>
        <v>0</v>
      </c>
    </row>
    <row r="106" spans="1:45">
      <c r="A106" s="43">
        <f>IF(B106="","",ClientPrefix&amp;TEXT(ROW()-4,"0000"))</f>
        <v>0</v>
      </c>
      <c r="W106" s="31">
        <f>IF(A106="","",COUNTIFS(Properties!$C$5:$C$254,A106))</f>
        <v>0</v>
      </c>
      <c r="X106" s="31">
        <f>IF(A106="","",COUNTIFS(Jobs!$G$5:$G$604,A106))</f>
        <v>0</v>
      </c>
      <c r="Y106" s="31">
        <f>IF(A106="","",COUNTIFS(Jobs!$G$5:$G$604,A106,Jobs!$P$5:$P$604,"Completed")+COUNTIFS(Jobs!$G$5:$G$604,A106,Jobs!$P$5:$P$604,"Invoiced"))</f>
        <v>0</v>
      </c>
      <c r="Z106" s="31">
        <f>IF(A106="","",COUNTIFS(Jobs!$G$5:$G$604,A106,Jobs!$P$5:$P$604,"Cancelled")+COUNTIFS(Jobs!$G$5:$G$604,A106,Jobs!$P$5:$P$604,"No access"))</f>
        <v>0</v>
      </c>
      <c r="AA106" s="18">
        <f>IF(A106="","",IF(SUMPRODUCT(MAX((Jobs!$G$5:$G$604=A106)*((Jobs!$P$5:$P$604="Completed")+(Jobs!$P$5:$P$604="Invoiced"))*Jobs!$B$5:$B$604))=0,"",SUMPRODUCT(MAX((Jobs!$G$5:$G$604=A106)*((Jobs!$P$5:$P$604="Completed")+(Jobs!$P$5:$P$604="Invoiced"))*Jobs!$B$5:$B$604))))</f>
        <v>0</v>
      </c>
      <c r="AB106" s="31">
        <f>IF(AA106="","",TodayDate-AA106)</f>
        <v>0</v>
      </c>
      <c r="AC106" s="18">
        <f>IF(A106="","",IF(SUMPRODUCT(MIN((Jobs!$G$5:$G$604=A106)*(Jobs!$B$5:$B$604&gt;=TodayDate)*(Jobs!$P$5:$P$604&lt;&gt;"Cancelled")*Jobs!$B$5:$B$604+(1-(Jobs!$G$5:$G$604=A106)*(Jobs!$B$5:$B$604&gt;=TodayDate)*(Jobs!$P$5:$P$604&lt;&gt;"Cancelled"))*2958465))=2958465,"",SUMPRODUCT(MIN((Jobs!$G$5:$G$604=A106)*(Jobs!$B$5:$B$604&gt;=TodayDate)*(Jobs!$P$5:$P$604&lt;&gt;"Cancelled")*Jobs!$B$5:$B$604+(1-(Jobs!$G$5:$G$604=A106)*(Jobs!$B$5:$B$604&gt;=TodayDate)*(Jobs!$P$5:$P$604&lt;&gt;"Cancelled"))*2958465))))</f>
        <v>0</v>
      </c>
      <c r="AD106" s="21">
        <f>IF(A106="","",SUMIFS(Invoices!$V$5:$V$404,Invoices!$D$5:$D$404,A106))</f>
        <v>0</v>
      </c>
      <c r="AE106" s="21">
        <f>IF(A106="","",SUMIFS(Invoices!$W$5:$W$404,Invoices!$D$5:$D$404,A106))</f>
        <v>0</v>
      </c>
      <c r="AF106" s="21">
        <f>IF(A106="","",AD106-AE106)</f>
        <v>0</v>
      </c>
      <c r="AG106" s="21">
        <f>IF(OR(A106="",Y106=0),"",AD106/Y106)</f>
        <v>0</v>
      </c>
      <c r="AH106" s="21">
        <f>IF(A106="","",SUMIFS('Job Costing'!$U$5:$U$604,'Job Costing'!$D$5:$D$604,A106))</f>
        <v>0</v>
      </c>
      <c r="AI106" s="38">
        <f>IF(OR(A106="",AD106=0),"",AH106/AD106)</f>
        <v>0</v>
      </c>
      <c r="AJ106" s="21">
        <f>IF(OR(A106="",K106="",AG106=""),"",AG106*IFERROR(INDEX(FreqPerYear,MATCH(K106,FreqNames,0)),1))</f>
        <v>0</v>
      </c>
      <c r="AK106" s="34">
        <f>IF(A106="","",IFERROR(AVERAGEIFS(Jobs!$AA$5:$AA$604,Jobs!$G$5:$G$604,A106,Jobs!$AA$5:$AA$604,"&gt;0"),""))</f>
        <v>0</v>
      </c>
      <c r="AL106" s="31">
        <f>IF(A106="","",COUNTIFS(Complaints!$D$5:$D$84,A106))</f>
        <v>0</v>
      </c>
      <c r="AM106" s="31">
        <f>IF(B106="","",COUNTIFS($AD$5:$AD$204,"&gt;"&amp;AD106)+COUNTIFS($AD$5:AD106,AD106))</f>
        <v>0</v>
      </c>
      <c r="AN106" s="31">
        <f>IF(B106="","",COUNTIFS($AH$5:$AH$204,"&gt;"&amp;AH106)+COUNTIFS($AH$5:AH106,AH106))</f>
        <v>0</v>
      </c>
      <c r="AO106" s="31">
        <f>IF(B106="","",COUNTIFS($AJ$5:$AJ$204,"&gt;"&amp;AJ106)+COUNTIFS($AJ$5:AJ106,AJ106))</f>
        <v>0</v>
      </c>
      <c r="AP106" s="39">
        <f>IF(B106="","",IF(H106="Lost","Lost",IF(H106="Inactive","Dormant",IF(AA106="","Dormant",IF(AB106&gt;InactiveClientDays*2,"Dormant",IF(AB106&gt;InactiveClientDays,"At risk",IF(AC106="","Slipping",IF(Y106&gt;=10,"Loyal","Steady"))))))))</f>
        <v>0</v>
      </c>
      <c r="AQ106" s="34">
        <f>IF(OR(B106="",AP106="Lost",AP106="Dormant"),"",IF(OR(AP106="At risk",AP106="Slipping"),IF(AB106="",999,AB106),""))</f>
        <v>0</v>
      </c>
      <c r="AR106" s="31">
        <f>IF(AQ106="","",COUNTIFS($AQ$5:$AQ$204,"&gt;"&amp;AQ106)+COUNTIFS($AQ$5:AQ106,AQ106))</f>
        <v>0</v>
      </c>
      <c r="AS106" s="39">
        <f>IF(B106="","",IF(AF106&gt;0.5,"Chase - "&amp;TEXT(AF106,"0")&amp;" owing",IF(AND(H106&lt;&gt;"Lost",H106&lt;&gt;"Inactive",H106&lt;&gt;"Paused",AC106="",K106&lt;&gt;"One-off"),"Book - nothing in the diary",IF(AND(S106&lt;&gt;"",S106-TodayDate&lt;=RenewalWarningDays,S106&gt;=TodayDate),"Due - contract renews soon",IF(AP106="At risk","Call - going quiet",IF(AL106&gt;=2,"Check - complaints logged",IF(AND(AI106&lt;&gt;"",AI106&lt;MarginFloor,Y106&gt;0),"Check - thin margin","OK")))))))</f>
        <v>0</v>
      </c>
    </row>
    <row r="107" spans="1:45">
      <c r="A107" s="43">
        <f>IF(B107="","",ClientPrefix&amp;TEXT(ROW()-4,"0000"))</f>
        <v>0</v>
      </c>
      <c r="W107" s="31">
        <f>IF(A107="","",COUNTIFS(Properties!$C$5:$C$254,A107))</f>
        <v>0</v>
      </c>
      <c r="X107" s="31">
        <f>IF(A107="","",COUNTIFS(Jobs!$G$5:$G$604,A107))</f>
        <v>0</v>
      </c>
      <c r="Y107" s="31">
        <f>IF(A107="","",COUNTIFS(Jobs!$G$5:$G$604,A107,Jobs!$P$5:$P$604,"Completed")+COUNTIFS(Jobs!$G$5:$G$604,A107,Jobs!$P$5:$P$604,"Invoiced"))</f>
        <v>0</v>
      </c>
      <c r="Z107" s="31">
        <f>IF(A107="","",COUNTIFS(Jobs!$G$5:$G$604,A107,Jobs!$P$5:$P$604,"Cancelled")+COUNTIFS(Jobs!$G$5:$G$604,A107,Jobs!$P$5:$P$604,"No access"))</f>
        <v>0</v>
      </c>
      <c r="AA107" s="18">
        <f>IF(A107="","",IF(SUMPRODUCT(MAX((Jobs!$G$5:$G$604=A107)*((Jobs!$P$5:$P$604="Completed")+(Jobs!$P$5:$P$604="Invoiced"))*Jobs!$B$5:$B$604))=0,"",SUMPRODUCT(MAX((Jobs!$G$5:$G$604=A107)*((Jobs!$P$5:$P$604="Completed")+(Jobs!$P$5:$P$604="Invoiced"))*Jobs!$B$5:$B$604))))</f>
        <v>0</v>
      </c>
      <c r="AB107" s="31">
        <f>IF(AA107="","",TodayDate-AA107)</f>
        <v>0</v>
      </c>
      <c r="AC107" s="18">
        <f>IF(A107="","",IF(SUMPRODUCT(MIN((Jobs!$G$5:$G$604=A107)*(Jobs!$B$5:$B$604&gt;=TodayDate)*(Jobs!$P$5:$P$604&lt;&gt;"Cancelled")*Jobs!$B$5:$B$604+(1-(Jobs!$G$5:$G$604=A107)*(Jobs!$B$5:$B$604&gt;=TodayDate)*(Jobs!$P$5:$P$604&lt;&gt;"Cancelled"))*2958465))=2958465,"",SUMPRODUCT(MIN((Jobs!$G$5:$G$604=A107)*(Jobs!$B$5:$B$604&gt;=TodayDate)*(Jobs!$P$5:$P$604&lt;&gt;"Cancelled")*Jobs!$B$5:$B$604+(1-(Jobs!$G$5:$G$604=A107)*(Jobs!$B$5:$B$604&gt;=TodayDate)*(Jobs!$P$5:$P$604&lt;&gt;"Cancelled"))*2958465))))</f>
        <v>0</v>
      </c>
      <c r="AD107" s="21">
        <f>IF(A107="","",SUMIFS(Invoices!$V$5:$V$404,Invoices!$D$5:$D$404,A107))</f>
        <v>0</v>
      </c>
      <c r="AE107" s="21">
        <f>IF(A107="","",SUMIFS(Invoices!$W$5:$W$404,Invoices!$D$5:$D$404,A107))</f>
        <v>0</v>
      </c>
      <c r="AF107" s="21">
        <f>IF(A107="","",AD107-AE107)</f>
        <v>0</v>
      </c>
      <c r="AG107" s="21">
        <f>IF(OR(A107="",Y107=0),"",AD107/Y107)</f>
        <v>0</v>
      </c>
      <c r="AH107" s="21">
        <f>IF(A107="","",SUMIFS('Job Costing'!$U$5:$U$604,'Job Costing'!$D$5:$D$604,A107))</f>
        <v>0</v>
      </c>
      <c r="AI107" s="38">
        <f>IF(OR(A107="",AD107=0),"",AH107/AD107)</f>
        <v>0</v>
      </c>
      <c r="AJ107" s="21">
        <f>IF(OR(A107="",K107="",AG107=""),"",AG107*IFERROR(INDEX(FreqPerYear,MATCH(K107,FreqNames,0)),1))</f>
        <v>0</v>
      </c>
      <c r="AK107" s="34">
        <f>IF(A107="","",IFERROR(AVERAGEIFS(Jobs!$AA$5:$AA$604,Jobs!$G$5:$G$604,A107,Jobs!$AA$5:$AA$604,"&gt;0"),""))</f>
        <v>0</v>
      </c>
      <c r="AL107" s="31">
        <f>IF(A107="","",COUNTIFS(Complaints!$D$5:$D$84,A107))</f>
        <v>0</v>
      </c>
      <c r="AM107" s="31">
        <f>IF(B107="","",COUNTIFS($AD$5:$AD$204,"&gt;"&amp;AD107)+COUNTIFS($AD$5:AD107,AD107))</f>
        <v>0</v>
      </c>
      <c r="AN107" s="31">
        <f>IF(B107="","",COUNTIFS($AH$5:$AH$204,"&gt;"&amp;AH107)+COUNTIFS($AH$5:AH107,AH107))</f>
        <v>0</v>
      </c>
      <c r="AO107" s="31">
        <f>IF(B107="","",COUNTIFS($AJ$5:$AJ$204,"&gt;"&amp;AJ107)+COUNTIFS($AJ$5:AJ107,AJ107))</f>
        <v>0</v>
      </c>
      <c r="AP107" s="39">
        <f>IF(B107="","",IF(H107="Lost","Lost",IF(H107="Inactive","Dormant",IF(AA107="","Dormant",IF(AB107&gt;InactiveClientDays*2,"Dormant",IF(AB107&gt;InactiveClientDays,"At risk",IF(AC107="","Slipping",IF(Y107&gt;=10,"Loyal","Steady"))))))))</f>
        <v>0</v>
      </c>
      <c r="AQ107" s="34">
        <f>IF(OR(B107="",AP107="Lost",AP107="Dormant"),"",IF(OR(AP107="At risk",AP107="Slipping"),IF(AB107="",999,AB107),""))</f>
        <v>0</v>
      </c>
      <c r="AR107" s="31">
        <f>IF(AQ107="","",COUNTIFS($AQ$5:$AQ$204,"&gt;"&amp;AQ107)+COUNTIFS($AQ$5:AQ107,AQ107))</f>
        <v>0</v>
      </c>
      <c r="AS107" s="39">
        <f>IF(B107="","",IF(AF107&gt;0.5,"Chase - "&amp;TEXT(AF107,"0")&amp;" owing",IF(AND(H107&lt;&gt;"Lost",H107&lt;&gt;"Inactive",H107&lt;&gt;"Paused",AC107="",K107&lt;&gt;"One-off"),"Book - nothing in the diary",IF(AND(S107&lt;&gt;"",S107-TodayDate&lt;=RenewalWarningDays,S107&gt;=TodayDate),"Due - contract renews soon",IF(AP107="At risk","Call - going quiet",IF(AL107&gt;=2,"Check - complaints logged",IF(AND(AI107&lt;&gt;"",AI107&lt;MarginFloor,Y107&gt;0),"Check - thin margin","OK")))))))</f>
        <v>0</v>
      </c>
    </row>
    <row r="108" spans="1:45">
      <c r="A108" s="43">
        <f>IF(B108="","",ClientPrefix&amp;TEXT(ROW()-4,"0000"))</f>
        <v>0</v>
      </c>
      <c r="W108" s="31">
        <f>IF(A108="","",COUNTIFS(Properties!$C$5:$C$254,A108))</f>
        <v>0</v>
      </c>
      <c r="X108" s="31">
        <f>IF(A108="","",COUNTIFS(Jobs!$G$5:$G$604,A108))</f>
        <v>0</v>
      </c>
      <c r="Y108" s="31">
        <f>IF(A108="","",COUNTIFS(Jobs!$G$5:$G$604,A108,Jobs!$P$5:$P$604,"Completed")+COUNTIFS(Jobs!$G$5:$G$604,A108,Jobs!$P$5:$P$604,"Invoiced"))</f>
        <v>0</v>
      </c>
      <c r="Z108" s="31">
        <f>IF(A108="","",COUNTIFS(Jobs!$G$5:$G$604,A108,Jobs!$P$5:$P$604,"Cancelled")+COUNTIFS(Jobs!$G$5:$G$604,A108,Jobs!$P$5:$P$604,"No access"))</f>
        <v>0</v>
      </c>
      <c r="AA108" s="18">
        <f>IF(A108="","",IF(SUMPRODUCT(MAX((Jobs!$G$5:$G$604=A108)*((Jobs!$P$5:$P$604="Completed")+(Jobs!$P$5:$P$604="Invoiced"))*Jobs!$B$5:$B$604))=0,"",SUMPRODUCT(MAX((Jobs!$G$5:$G$604=A108)*((Jobs!$P$5:$P$604="Completed")+(Jobs!$P$5:$P$604="Invoiced"))*Jobs!$B$5:$B$604))))</f>
        <v>0</v>
      </c>
      <c r="AB108" s="31">
        <f>IF(AA108="","",TodayDate-AA108)</f>
        <v>0</v>
      </c>
      <c r="AC108" s="18">
        <f>IF(A108="","",IF(SUMPRODUCT(MIN((Jobs!$G$5:$G$604=A108)*(Jobs!$B$5:$B$604&gt;=TodayDate)*(Jobs!$P$5:$P$604&lt;&gt;"Cancelled")*Jobs!$B$5:$B$604+(1-(Jobs!$G$5:$G$604=A108)*(Jobs!$B$5:$B$604&gt;=TodayDate)*(Jobs!$P$5:$P$604&lt;&gt;"Cancelled"))*2958465))=2958465,"",SUMPRODUCT(MIN((Jobs!$G$5:$G$604=A108)*(Jobs!$B$5:$B$604&gt;=TodayDate)*(Jobs!$P$5:$P$604&lt;&gt;"Cancelled")*Jobs!$B$5:$B$604+(1-(Jobs!$G$5:$G$604=A108)*(Jobs!$B$5:$B$604&gt;=TodayDate)*(Jobs!$P$5:$P$604&lt;&gt;"Cancelled"))*2958465))))</f>
        <v>0</v>
      </c>
      <c r="AD108" s="21">
        <f>IF(A108="","",SUMIFS(Invoices!$V$5:$V$404,Invoices!$D$5:$D$404,A108))</f>
        <v>0</v>
      </c>
      <c r="AE108" s="21">
        <f>IF(A108="","",SUMIFS(Invoices!$W$5:$W$404,Invoices!$D$5:$D$404,A108))</f>
        <v>0</v>
      </c>
      <c r="AF108" s="21">
        <f>IF(A108="","",AD108-AE108)</f>
        <v>0</v>
      </c>
      <c r="AG108" s="21">
        <f>IF(OR(A108="",Y108=0),"",AD108/Y108)</f>
        <v>0</v>
      </c>
      <c r="AH108" s="21">
        <f>IF(A108="","",SUMIFS('Job Costing'!$U$5:$U$604,'Job Costing'!$D$5:$D$604,A108))</f>
        <v>0</v>
      </c>
      <c r="AI108" s="38">
        <f>IF(OR(A108="",AD108=0),"",AH108/AD108)</f>
        <v>0</v>
      </c>
      <c r="AJ108" s="21">
        <f>IF(OR(A108="",K108="",AG108=""),"",AG108*IFERROR(INDEX(FreqPerYear,MATCH(K108,FreqNames,0)),1))</f>
        <v>0</v>
      </c>
      <c r="AK108" s="34">
        <f>IF(A108="","",IFERROR(AVERAGEIFS(Jobs!$AA$5:$AA$604,Jobs!$G$5:$G$604,A108,Jobs!$AA$5:$AA$604,"&gt;0"),""))</f>
        <v>0</v>
      </c>
      <c r="AL108" s="31">
        <f>IF(A108="","",COUNTIFS(Complaints!$D$5:$D$84,A108))</f>
        <v>0</v>
      </c>
      <c r="AM108" s="31">
        <f>IF(B108="","",COUNTIFS($AD$5:$AD$204,"&gt;"&amp;AD108)+COUNTIFS($AD$5:AD108,AD108))</f>
        <v>0</v>
      </c>
      <c r="AN108" s="31">
        <f>IF(B108="","",COUNTIFS($AH$5:$AH$204,"&gt;"&amp;AH108)+COUNTIFS($AH$5:AH108,AH108))</f>
        <v>0</v>
      </c>
      <c r="AO108" s="31">
        <f>IF(B108="","",COUNTIFS($AJ$5:$AJ$204,"&gt;"&amp;AJ108)+COUNTIFS($AJ$5:AJ108,AJ108))</f>
        <v>0</v>
      </c>
      <c r="AP108" s="39">
        <f>IF(B108="","",IF(H108="Lost","Lost",IF(H108="Inactive","Dormant",IF(AA108="","Dormant",IF(AB108&gt;InactiveClientDays*2,"Dormant",IF(AB108&gt;InactiveClientDays,"At risk",IF(AC108="","Slipping",IF(Y108&gt;=10,"Loyal","Steady"))))))))</f>
        <v>0</v>
      </c>
      <c r="AQ108" s="34">
        <f>IF(OR(B108="",AP108="Lost",AP108="Dormant"),"",IF(OR(AP108="At risk",AP108="Slipping"),IF(AB108="",999,AB108),""))</f>
        <v>0</v>
      </c>
      <c r="AR108" s="31">
        <f>IF(AQ108="","",COUNTIFS($AQ$5:$AQ$204,"&gt;"&amp;AQ108)+COUNTIFS($AQ$5:AQ108,AQ108))</f>
        <v>0</v>
      </c>
      <c r="AS108" s="39">
        <f>IF(B108="","",IF(AF108&gt;0.5,"Chase - "&amp;TEXT(AF108,"0")&amp;" owing",IF(AND(H108&lt;&gt;"Lost",H108&lt;&gt;"Inactive",H108&lt;&gt;"Paused",AC108="",K108&lt;&gt;"One-off"),"Book - nothing in the diary",IF(AND(S108&lt;&gt;"",S108-TodayDate&lt;=RenewalWarningDays,S108&gt;=TodayDate),"Due - contract renews soon",IF(AP108="At risk","Call - going quiet",IF(AL108&gt;=2,"Check - complaints logged",IF(AND(AI108&lt;&gt;"",AI108&lt;MarginFloor,Y108&gt;0),"Check - thin margin","OK")))))))</f>
        <v>0</v>
      </c>
    </row>
    <row r="109" spans="1:45">
      <c r="A109" s="43">
        <f>IF(B109="","",ClientPrefix&amp;TEXT(ROW()-4,"0000"))</f>
        <v>0</v>
      </c>
      <c r="W109" s="31">
        <f>IF(A109="","",COUNTIFS(Properties!$C$5:$C$254,A109))</f>
        <v>0</v>
      </c>
      <c r="X109" s="31">
        <f>IF(A109="","",COUNTIFS(Jobs!$G$5:$G$604,A109))</f>
        <v>0</v>
      </c>
      <c r="Y109" s="31">
        <f>IF(A109="","",COUNTIFS(Jobs!$G$5:$G$604,A109,Jobs!$P$5:$P$604,"Completed")+COUNTIFS(Jobs!$G$5:$G$604,A109,Jobs!$P$5:$P$604,"Invoiced"))</f>
        <v>0</v>
      </c>
      <c r="Z109" s="31">
        <f>IF(A109="","",COUNTIFS(Jobs!$G$5:$G$604,A109,Jobs!$P$5:$P$604,"Cancelled")+COUNTIFS(Jobs!$G$5:$G$604,A109,Jobs!$P$5:$P$604,"No access"))</f>
        <v>0</v>
      </c>
      <c r="AA109" s="18">
        <f>IF(A109="","",IF(SUMPRODUCT(MAX((Jobs!$G$5:$G$604=A109)*((Jobs!$P$5:$P$604="Completed")+(Jobs!$P$5:$P$604="Invoiced"))*Jobs!$B$5:$B$604))=0,"",SUMPRODUCT(MAX((Jobs!$G$5:$G$604=A109)*((Jobs!$P$5:$P$604="Completed")+(Jobs!$P$5:$P$604="Invoiced"))*Jobs!$B$5:$B$604))))</f>
        <v>0</v>
      </c>
      <c r="AB109" s="31">
        <f>IF(AA109="","",TodayDate-AA109)</f>
        <v>0</v>
      </c>
      <c r="AC109" s="18">
        <f>IF(A109="","",IF(SUMPRODUCT(MIN((Jobs!$G$5:$G$604=A109)*(Jobs!$B$5:$B$604&gt;=TodayDate)*(Jobs!$P$5:$P$604&lt;&gt;"Cancelled")*Jobs!$B$5:$B$604+(1-(Jobs!$G$5:$G$604=A109)*(Jobs!$B$5:$B$604&gt;=TodayDate)*(Jobs!$P$5:$P$604&lt;&gt;"Cancelled"))*2958465))=2958465,"",SUMPRODUCT(MIN((Jobs!$G$5:$G$604=A109)*(Jobs!$B$5:$B$604&gt;=TodayDate)*(Jobs!$P$5:$P$604&lt;&gt;"Cancelled")*Jobs!$B$5:$B$604+(1-(Jobs!$G$5:$G$604=A109)*(Jobs!$B$5:$B$604&gt;=TodayDate)*(Jobs!$P$5:$P$604&lt;&gt;"Cancelled"))*2958465))))</f>
        <v>0</v>
      </c>
      <c r="AD109" s="21">
        <f>IF(A109="","",SUMIFS(Invoices!$V$5:$V$404,Invoices!$D$5:$D$404,A109))</f>
        <v>0</v>
      </c>
      <c r="AE109" s="21">
        <f>IF(A109="","",SUMIFS(Invoices!$W$5:$W$404,Invoices!$D$5:$D$404,A109))</f>
        <v>0</v>
      </c>
      <c r="AF109" s="21">
        <f>IF(A109="","",AD109-AE109)</f>
        <v>0</v>
      </c>
      <c r="AG109" s="21">
        <f>IF(OR(A109="",Y109=0),"",AD109/Y109)</f>
        <v>0</v>
      </c>
      <c r="AH109" s="21">
        <f>IF(A109="","",SUMIFS('Job Costing'!$U$5:$U$604,'Job Costing'!$D$5:$D$604,A109))</f>
        <v>0</v>
      </c>
      <c r="AI109" s="38">
        <f>IF(OR(A109="",AD109=0),"",AH109/AD109)</f>
        <v>0</v>
      </c>
      <c r="AJ109" s="21">
        <f>IF(OR(A109="",K109="",AG109=""),"",AG109*IFERROR(INDEX(FreqPerYear,MATCH(K109,FreqNames,0)),1))</f>
        <v>0</v>
      </c>
      <c r="AK109" s="34">
        <f>IF(A109="","",IFERROR(AVERAGEIFS(Jobs!$AA$5:$AA$604,Jobs!$G$5:$G$604,A109,Jobs!$AA$5:$AA$604,"&gt;0"),""))</f>
        <v>0</v>
      </c>
      <c r="AL109" s="31">
        <f>IF(A109="","",COUNTIFS(Complaints!$D$5:$D$84,A109))</f>
        <v>0</v>
      </c>
      <c r="AM109" s="31">
        <f>IF(B109="","",COUNTIFS($AD$5:$AD$204,"&gt;"&amp;AD109)+COUNTIFS($AD$5:AD109,AD109))</f>
        <v>0</v>
      </c>
      <c r="AN109" s="31">
        <f>IF(B109="","",COUNTIFS($AH$5:$AH$204,"&gt;"&amp;AH109)+COUNTIFS($AH$5:AH109,AH109))</f>
        <v>0</v>
      </c>
      <c r="AO109" s="31">
        <f>IF(B109="","",COUNTIFS($AJ$5:$AJ$204,"&gt;"&amp;AJ109)+COUNTIFS($AJ$5:AJ109,AJ109))</f>
        <v>0</v>
      </c>
      <c r="AP109" s="39">
        <f>IF(B109="","",IF(H109="Lost","Lost",IF(H109="Inactive","Dormant",IF(AA109="","Dormant",IF(AB109&gt;InactiveClientDays*2,"Dormant",IF(AB109&gt;InactiveClientDays,"At risk",IF(AC109="","Slipping",IF(Y109&gt;=10,"Loyal","Steady"))))))))</f>
        <v>0</v>
      </c>
      <c r="AQ109" s="34">
        <f>IF(OR(B109="",AP109="Lost",AP109="Dormant"),"",IF(OR(AP109="At risk",AP109="Slipping"),IF(AB109="",999,AB109),""))</f>
        <v>0</v>
      </c>
      <c r="AR109" s="31">
        <f>IF(AQ109="","",COUNTIFS($AQ$5:$AQ$204,"&gt;"&amp;AQ109)+COUNTIFS($AQ$5:AQ109,AQ109))</f>
        <v>0</v>
      </c>
      <c r="AS109" s="39">
        <f>IF(B109="","",IF(AF109&gt;0.5,"Chase - "&amp;TEXT(AF109,"0")&amp;" owing",IF(AND(H109&lt;&gt;"Lost",H109&lt;&gt;"Inactive",H109&lt;&gt;"Paused",AC109="",K109&lt;&gt;"One-off"),"Book - nothing in the diary",IF(AND(S109&lt;&gt;"",S109-TodayDate&lt;=RenewalWarningDays,S109&gt;=TodayDate),"Due - contract renews soon",IF(AP109="At risk","Call - going quiet",IF(AL109&gt;=2,"Check - complaints logged",IF(AND(AI109&lt;&gt;"",AI109&lt;MarginFloor,Y109&gt;0),"Check - thin margin","OK")))))))</f>
        <v>0</v>
      </c>
    </row>
    <row r="110" spans="1:45">
      <c r="A110" s="43">
        <f>IF(B110="","",ClientPrefix&amp;TEXT(ROW()-4,"0000"))</f>
        <v>0</v>
      </c>
      <c r="W110" s="31">
        <f>IF(A110="","",COUNTIFS(Properties!$C$5:$C$254,A110))</f>
        <v>0</v>
      </c>
      <c r="X110" s="31">
        <f>IF(A110="","",COUNTIFS(Jobs!$G$5:$G$604,A110))</f>
        <v>0</v>
      </c>
      <c r="Y110" s="31">
        <f>IF(A110="","",COUNTIFS(Jobs!$G$5:$G$604,A110,Jobs!$P$5:$P$604,"Completed")+COUNTIFS(Jobs!$G$5:$G$604,A110,Jobs!$P$5:$P$604,"Invoiced"))</f>
        <v>0</v>
      </c>
      <c r="Z110" s="31">
        <f>IF(A110="","",COUNTIFS(Jobs!$G$5:$G$604,A110,Jobs!$P$5:$P$604,"Cancelled")+COUNTIFS(Jobs!$G$5:$G$604,A110,Jobs!$P$5:$P$604,"No access"))</f>
        <v>0</v>
      </c>
      <c r="AA110" s="18">
        <f>IF(A110="","",IF(SUMPRODUCT(MAX((Jobs!$G$5:$G$604=A110)*((Jobs!$P$5:$P$604="Completed")+(Jobs!$P$5:$P$604="Invoiced"))*Jobs!$B$5:$B$604))=0,"",SUMPRODUCT(MAX((Jobs!$G$5:$G$604=A110)*((Jobs!$P$5:$P$604="Completed")+(Jobs!$P$5:$P$604="Invoiced"))*Jobs!$B$5:$B$604))))</f>
        <v>0</v>
      </c>
      <c r="AB110" s="31">
        <f>IF(AA110="","",TodayDate-AA110)</f>
        <v>0</v>
      </c>
      <c r="AC110" s="18">
        <f>IF(A110="","",IF(SUMPRODUCT(MIN((Jobs!$G$5:$G$604=A110)*(Jobs!$B$5:$B$604&gt;=TodayDate)*(Jobs!$P$5:$P$604&lt;&gt;"Cancelled")*Jobs!$B$5:$B$604+(1-(Jobs!$G$5:$G$604=A110)*(Jobs!$B$5:$B$604&gt;=TodayDate)*(Jobs!$P$5:$P$604&lt;&gt;"Cancelled"))*2958465))=2958465,"",SUMPRODUCT(MIN((Jobs!$G$5:$G$604=A110)*(Jobs!$B$5:$B$604&gt;=TodayDate)*(Jobs!$P$5:$P$604&lt;&gt;"Cancelled")*Jobs!$B$5:$B$604+(1-(Jobs!$G$5:$G$604=A110)*(Jobs!$B$5:$B$604&gt;=TodayDate)*(Jobs!$P$5:$P$604&lt;&gt;"Cancelled"))*2958465))))</f>
        <v>0</v>
      </c>
      <c r="AD110" s="21">
        <f>IF(A110="","",SUMIFS(Invoices!$V$5:$V$404,Invoices!$D$5:$D$404,A110))</f>
        <v>0</v>
      </c>
      <c r="AE110" s="21">
        <f>IF(A110="","",SUMIFS(Invoices!$W$5:$W$404,Invoices!$D$5:$D$404,A110))</f>
        <v>0</v>
      </c>
      <c r="AF110" s="21">
        <f>IF(A110="","",AD110-AE110)</f>
        <v>0</v>
      </c>
      <c r="AG110" s="21">
        <f>IF(OR(A110="",Y110=0),"",AD110/Y110)</f>
        <v>0</v>
      </c>
      <c r="AH110" s="21">
        <f>IF(A110="","",SUMIFS('Job Costing'!$U$5:$U$604,'Job Costing'!$D$5:$D$604,A110))</f>
        <v>0</v>
      </c>
      <c r="AI110" s="38">
        <f>IF(OR(A110="",AD110=0),"",AH110/AD110)</f>
        <v>0</v>
      </c>
      <c r="AJ110" s="21">
        <f>IF(OR(A110="",K110="",AG110=""),"",AG110*IFERROR(INDEX(FreqPerYear,MATCH(K110,FreqNames,0)),1))</f>
        <v>0</v>
      </c>
      <c r="AK110" s="34">
        <f>IF(A110="","",IFERROR(AVERAGEIFS(Jobs!$AA$5:$AA$604,Jobs!$G$5:$G$604,A110,Jobs!$AA$5:$AA$604,"&gt;0"),""))</f>
        <v>0</v>
      </c>
      <c r="AL110" s="31">
        <f>IF(A110="","",COUNTIFS(Complaints!$D$5:$D$84,A110))</f>
        <v>0</v>
      </c>
      <c r="AM110" s="31">
        <f>IF(B110="","",COUNTIFS($AD$5:$AD$204,"&gt;"&amp;AD110)+COUNTIFS($AD$5:AD110,AD110))</f>
        <v>0</v>
      </c>
      <c r="AN110" s="31">
        <f>IF(B110="","",COUNTIFS($AH$5:$AH$204,"&gt;"&amp;AH110)+COUNTIFS($AH$5:AH110,AH110))</f>
        <v>0</v>
      </c>
      <c r="AO110" s="31">
        <f>IF(B110="","",COUNTIFS($AJ$5:$AJ$204,"&gt;"&amp;AJ110)+COUNTIFS($AJ$5:AJ110,AJ110))</f>
        <v>0</v>
      </c>
      <c r="AP110" s="39">
        <f>IF(B110="","",IF(H110="Lost","Lost",IF(H110="Inactive","Dormant",IF(AA110="","Dormant",IF(AB110&gt;InactiveClientDays*2,"Dormant",IF(AB110&gt;InactiveClientDays,"At risk",IF(AC110="","Slipping",IF(Y110&gt;=10,"Loyal","Steady"))))))))</f>
        <v>0</v>
      </c>
      <c r="AQ110" s="34">
        <f>IF(OR(B110="",AP110="Lost",AP110="Dormant"),"",IF(OR(AP110="At risk",AP110="Slipping"),IF(AB110="",999,AB110),""))</f>
        <v>0</v>
      </c>
      <c r="AR110" s="31">
        <f>IF(AQ110="","",COUNTIFS($AQ$5:$AQ$204,"&gt;"&amp;AQ110)+COUNTIFS($AQ$5:AQ110,AQ110))</f>
        <v>0</v>
      </c>
      <c r="AS110" s="39">
        <f>IF(B110="","",IF(AF110&gt;0.5,"Chase - "&amp;TEXT(AF110,"0")&amp;" owing",IF(AND(H110&lt;&gt;"Lost",H110&lt;&gt;"Inactive",H110&lt;&gt;"Paused",AC110="",K110&lt;&gt;"One-off"),"Book - nothing in the diary",IF(AND(S110&lt;&gt;"",S110-TodayDate&lt;=RenewalWarningDays,S110&gt;=TodayDate),"Due - contract renews soon",IF(AP110="At risk","Call - going quiet",IF(AL110&gt;=2,"Check - complaints logged",IF(AND(AI110&lt;&gt;"",AI110&lt;MarginFloor,Y110&gt;0),"Check - thin margin","OK")))))))</f>
        <v>0</v>
      </c>
    </row>
    <row r="111" spans="1:45">
      <c r="A111" s="43">
        <f>IF(B111="","",ClientPrefix&amp;TEXT(ROW()-4,"0000"))</f>
        <v>0</v>
      </c>
      <c r="W111" s="31">
        <f>IF(A111="","",COUNTIFS(Properties!$C$5:$C$254,A111))</f>
        <v>0</v>
      </c>
      <c r="X111" s="31">
        <f>IF(A111="","",COUNTIFS(Jobs!$G$5:$G$604,A111))</f>
        <v>0</v>
      </c>
      <c r="Y111" s="31">
        <f>IF(A111="","",COUNTIFS(Jobs!$G$5:$G$604,A111,Jobs!$P$5:$P$604,"Completed")+COUNTIFS(Jobs!$G$5:$G$604,A111,Jobs!$P$5:$P$604,"Invoiced"))</f>
        <v>0</v>
      </c>
      <c r="Z111" s="31">
        <f>IF(A111="","",COUNTIFS(Jobs!$G$5:$G$604,A111,Jobs!$P$5:$P$604,"Cancelled")+COUNTIFS(Jobs!$G$5:$G$604,A111,Jobs!$P$5:$P$604,"No access"))</f>
        <v>0</v>
      </c>
      <c r="AA111" s="18">
        <f>IF(A111="","",IF(SUMPRODUCT(MAX((Jobs!$G$5:$G$604=A111)*((Jobs!$P$5:$P$604="Completed")+(Jobs!$P$5:$P$604="Invoiced"))*Jobs!$B$5:$B$604))=0,"",SUMPRODUCT(MAX((Jobs!$G$5:$G$604=A111)*((Jobs!$P$5:$P$604="Completed")+(Jobs!$P$5:$P$604="Invoiced"))*Jobs!$B$5:$B$604))))</f>
        <v>0</v>
      </c>
      <c r="AB111" s="31">
        <f>IF(AA111="","",TodayDate-AA111)</f>
        <v>0</v>
      </c>
      <c r="AC111" s="18">
        <f>IF(A111="","",IF(SUMPRODUCT(MIN((Jobs!$G$5:$G$604=A111)*(Jobs!$B$5:$B$604&gt;=TodayDate)*(Jobs!$P$5:$P$604&lt;&gt;"Cancelled")*Jobs!$B$5:$B$604+(1-(Jobs!$G$5:$G$604=A111)*(Jobs!$B$5:$B$604&gt;=TodayDate)*(Jobs!$P$5:$P$604&lt;&gt;"Cancelled"))*2958465))=2958465,"",SUMPRODUCT(MIN((Jobs!$G$5:$G$604=A111)*(Jobs!$B$5:$B$604&gt;=TodayDate)*(Jobs!$P$5:$P$604&lt;&gt;"Cancelled")*Jobs!$B$5:$B$604+(1-(Jobs!$G$5:$G$604=A111)*(Jobs!$B$5:$B$604&gt;=TodayDate)*(Jobs!$P$5:$P$604&lt;&gt;"Cancelled"))*2958465))))</f>
        <v>0</v>
      </c>
      <c r="AD111" s="21">
        <f>IF(A111="","",SUMIFS(Invoices!$V$5:$V$404,Invoices!$D$5:$D$404,A111))</f>
        <v>0</v>
      </c>
      <c r="AE111" s="21">
        <f>IF(A111="","",SUMIFS(Invoices!$W$5:$W$404,Invoices!$D$5:$D$404,A111))</f>
        <v>0</v>
      </c>
      <c r="AF111" s="21">
        <f>IF(A111="","",AD111-AE111)</f>
        <v>0</v>
      </c>
      <c r="AG111" s="21">
        <f>IF(OR(A111="",Y111=0),"",AD111/Y111)</f>
        <v>0</v>
      </c>
      <c r="AH111" s="21">
        <f>IF(A111="","",SUMIFS('Job Costing'!$U$5:$U$604,'Job Costing'!$D$5:$D$604,A111))</f>
        <v>0</v>
      </c>
      <c r="AI111" s="38">
        <f>IF(OR(A111="",AD111=0),"",AH111/AD111)</f>
        <v>0</v>
      </c>
      <c r="AJ111" s="21">
        <f>IF(OR(A111="",K111="",AG111=""),"",AG111*IFERROR(INDEX(FreqPerYear,MATCH(K111,FreqNames,0)),1))</f>
        <v>0</v>
      </c>
      <c r="AK111" s="34">
        <f>IF(A111="","",IFERROR(AVERAGEIFS(Jobs!$AA$5:$AA$604,Jobs!$G$5:$G$604,A111,Jobs!$AA$5:$AA$604,"&gt;0"),""))</f>
        <v>0</v>
      </c>
      <c r="AL111" s="31">
        <f>IF(A111="","",COUNTIFS(Complaints!$D$5:$D$84,A111))</f>
        <v>0</v>
      </c>
      <c r="AM111" s="31">
        <f>IF(B111="","",COUNTIFS($AD$5:$AD$204,"&gt;"&amp;AD111)+COUNTIFS($AD$5:AD111,AD111))</f>
        <v>0</v>
      </c>
      <c r="AN111" s="31">
        <f>IF(B111="","",COUNTIFS($AH$5:$AH$204,"&gt;"&amp;AH111)+COUNTIFS($AH$5:AH111,AH111))</f>
        <v>0</v>
      </c>
      <c r="AO111" s="31">
        <f>IF(B111="","",COUNTIFS($AJ$5:$AJ$204,"&gt;"&amp;AJ111)+COUNTIFS($AJ$5:AJ111,AJ111))</f>
        <v>0</v>
      </c>
      <c r="AP111" s="39">
        <f>IF(B111="","",IF(H111="Lost","Lost",IF(H111="Inactive","Dormant",IF(AA111="","Dormant",IF(AB111&gt;InactiveClientDays*2,"Dormant",IF(AB111&gt;InactiveClientDays,"At risk",IF(AC111="","Slipping",IF(Y111&gt;=10,"Loyal","Steady"))))))))</f>
        <v>0</v>
      </c>
      <c r="AQ111" s="34">
        <f>IF(OR(B111="",AP111="Lost",AP111="Dormant"),"",IF(OR(AP111="At risk",AP111="Slipping"),IF(AB111="",999,AB111),""))</f>
        <v>0</v>
      </c>
      <c r="AR111" s="31">
        <f>IF(AQ111="","",COUNTIFS($AQ$5:$AQ$204,"&gt;"&amp;AQ111)+COUNTIFS($AQ$5:AQ111,AQ111))</f>
        <v>0</v>
      </c>
      <c r="AS111" s="39">
        <f>IF(B111="","",IF(AF111&gt;0.5,"Chase - "&amp;TEXT(AF111,"0")&amp;" owing",IF(AND(H111&lt;&gt;"Lost",H111&lt;&gt;"Inactive",H111&lt;&gt;"Paused",AC111="",K111&lt;&gt;"One-off"),"Book - nothing in the diary",IF(AND(S111&lt;&gt;"",S111-TodayDate&lt;=RenewalWarningDays,S111&gt;=TodayDate),"Due - contract renews soon",IF(AP111="At risk","Call - going quiet",IF(AL111&gt;=2,"Check - complaints logged",IF(AND(AI111&lt;&gt;"",AI111&lt;MarginFloor,Y111&gt;0),"Check - thin margin","OK")))))))</f>
        <v>0</v>
      </c>
    </row>
    <row r="112" spans="1:45">
      <c r="A112" s="43">
        <f>IF(B112="","",ClientPrefix&amp;TEXT(ROW()-4,"0000"))</f>
        <v>0</v>
      </c>
      <c r="W112" s="31">
        <f>IF(A112="","",COUNTIFS(Properties!$C$5:$C$254,A112))</f>
        <v>0</v>
      </c>
      <c r="X112" s="31">
        <f>IF(A112="","",COUNTIFS(Jobs!$G$5:$G$604,A112))</f>
        <v>0</v>
      </c>
      <c r="Y112" s="31">
        <f>IF(A112="","",COUNTIFS(Jobs!$G$5:$G$604,A112,Jobs!$P$5:$P$604,"Completed")+COUNTIFS(Jobs!$G$5:$G$604,A112,Jobs!$P$5:$P$604,"Invoiced"))</f>
        <v>0</v>
      </c>
      <c r="Z112" s="31">
        <f>IF(A112="","",COUNTIFS(Jobs!$G$5:$G$604,A112,Jobs!$P$5:$P$604,"Cancelled")+COUNTIFS(Jobs!$G$5:$G$604,A112,Jobs!$P$5:$P$604,"No access"))</f>
        <v>0</v>
      </c>
      <c r="AA112" s="18">
        <f>IF(A112="","",IF(SUMPRODUCT(MAX((Jobs!$G$5:$G$604=A112)*((Jobs!$P$5:$P$604="Completed")+(Jobs!$P$5:$P$604="Invoiced"))*Jobs!$B$5:$B$604))=0,"",SUMPRODUCT(MAX((Jobs!$G$5:$G$604=A112)*((Jobs!$P$5:$P$604="Completed")+(Jobs!$P$5:$P$604="Invoiced"))*Jobs!$B$5:$B$604))))</f>
        <v>0</v>
      </c>
      <c r="AB112" s="31">
        <f>IF(AA112="","",TodayDate-AA112)</f>
        <v>0</v>
      </c>
      <c r="AC112" s="18">
        <f>IF(A112="","",IF(SUMPRODUCT(MIN((Jobs!$G$5:$G$604=A112)*(Jobs!$B$5:$B$604&gt;=TodayDate)*(Jobs!$P$5:$P$604&lt;&gt;"Cancelled")*Jobs!$B$5:$B$604+(1-(Jobs!$G$5:$G$604=A112)*(Jobs!$B$5:$B$604&gt;=TodayDate)*(Jobs!$P$5:$P$604&lt;&gt;"Cancelled"))*2958465))=2958465,"",SUMPRODUCT(MIN((Jobs!$G$5:$G$604=A112)*(Jobs!$B$5:$B$604&gt;=TodayDate)*(Jobs!$P$5:$P$604&lt;&gt;"Cancelled")*Jobs!$B$5:$B$604+(1-(Jobs!$G$5:$G$604=A112)*(Jobs!$B$5:$B$604&gt;=TodayDate)*(Jobs!$P$5:$P$604&lt;&gt;"Cancelled"))*2958465))))</f>
        <v>0</v>
      </c>
      <c r="AD112" s="21">
        <f>IF(A112="","",SUMIFS(Invoices!$V$5:$V$404,Invoices!$D$5:$D$404,A112))</f>
        <v>0</v>
      </c>
      <c r="AE112" s="21">
        <f>IF(A112="","",SUMIFS(Invoices!$W$5:$W$404,Invoices!$D$5:$D$404,A112))</f>
        <v>0</v>
      </c>
      <c r="AF112" s="21">
        <f>IF(A112="","",AD112-AE112)</f>
        <v>0</v>
      </c>
      <c r="AG112" s="21">
        <f>IF(OR(A112="",Y112=0),"",AD112/Y112)</f>
        <v>0</v>
      </c>
      <c r="AH112" s="21">
        <f>IF(A112="","",SUMIFS('Job Costing'!$U$5:$U$604,'Job Costing'!$D$5:$D$604,A112))</f>
        <v>0</v>
      </c>
      <c r="AI112" s="38">
        <f>IF(OR(A112="",AD112=0),"",AH112/AD112)</f>
        <v>0</v>
      </c>
      <c r="AJ112" s="21">
        <f>IF(OR(A112="",K112="",AG112=""),"",AG112*IFERROR(INDEX(FreqPerYear,MATCH(K112,FreqNames,0)),1))</f>
        <v>0</v>
      </c>
      <c r="AK112" s="34">
        <f>IF(A112="","",IFERROR(AVERAGEIFS(Jobs!$AA$5:$AA$604,Jobs!$G$5:$G$604,A112,Jobs!$AA$5:$AA$604,"&gt;0"),""))</f>
        <v>0</v>
      </c>
      <c r="AL112" s="31">
        <f>IF(A112="","",COUNTIFS(Complaints!$D$5:$D$84,A112))</f>
        <v>0</v>
      </c>
      <c r="AM112" s="31">
        <f>IF(B112="","",COUNTIFS($AD$5:$AD$204,"&gt;"&amp;AD112)+COUNTIFS($AD$5:AD112,AD112))</f>
        <v>0</v>
      </c>
      <c r="AN112" s="31">
        <f>IF(B112="","",COUNTIFS($AH$5:$AH$204,"&gt;"&amp;AH112)+COUNTIFS($AH$5:AH112,AH112))</f>
        <v>0</v>
      </c>
      <c r="AO112" s="31">
        <f>IF(B112="","",COUNTIFS($AJ$5:$AJ$204,"&gt;"&amp;AJ112)+COUNTIFS($AJ$5:AJ112,AJ112))</f>
        <v>0</v>
      </c>
      <c r="AP112" s="39">
        <f>IF(B112="","",IF(H112="Lost","Lost",IF(H112="Inactive","Dormant",IF(AA112="","Dormant",IF(AB112&gt;InactiveClientDays*2,"Dormant",IF(AB112&gt;InactiveClientDays,"At risk",IF(AC112="","Slipping",IF(Y112&gt;=10,"Loyal","Steady"))))))))</f>
        <v>0</v>
      </c>
      <c r="AQ112" s="34">
        <f>IF(OR(B112="",AP112="Lost",AP112="Dormant"),"",IF(OR(AP112="At risk",AP112="Slipping"),IF(AB112="",999,AB112),""))</f>
        <v>0</v>
      </c>
      <c r="AR112" s="31">
        <f>IF(AQ112="","",COUNTIFS($AQ$5:$AQ$204,"&gt;"&amp;AQ112)+COUNTIFS($AQ$5:AQ112,AQ112))</f>
        <v>0</v>
      </c>
      <c r="AS112" s="39">
        <f>IF(B112="","",IF(AF112&gt;0.5,"Chase - "&amp;TEXT(AF112,"0")&amp;" owing",IF(AND(H112&lt;&gt;"Lost",H112&lt;&gt;"Inactive",H112&lt;&gt;"Paused",AC112="",K112&lt;&gt;"One-off"),"Book - nothing in the diary",IF(AND(S112&lt;&gt;"",S112-TodayDate&lt;=RenewalWarningDays,S112&gt;=TodayDate),"Due - contract renews soon",IF(AP112="At risk","Call - going quiet",IF(AL112&gt;=2,"Check - complaints logged",IF(AND(AI112&lt;&gt;"",AI112&lt;MarginFloor,Y112&gt;0),"Check - thin margin","OK")))))))</f>
        <v>0</v>
      </c>
    </row>
    <row r="113" spans="1:45">
      <c r="A113" s="43">
        <f>IF(B113="","",ClientPrefix&amp;TEXT(ROW()-4,"0000"))</f>
        <v>0</v>
      </c>
      <c r="W113" s="31">
        <f>IF(A113="","",COUNTIFS(Properties!$C$5:$C$254,A113))</f>
        <v>0</v>
      </c>
      <c r="X113" s="31">
        <f>IF(A113="","",COUNTIFS(Jobs!$G$5:$G$604,A113))</f>
        <v>0</v>
      </c>
      <c r="Y113" s="31">
        <f>IF(A113="","",COUNTIFS(Jobs!$G$5:$G$604,A113,Jobs!$P$5:$P$604,"Completed")+COUNTIFS(Jobs!$G$5:$G$604,A113,Jobs!$P$5:$P$604,"Invoiced"))</f>
        <v>0</v>
      </c>
      <c r="Z113" s="31">
        <f>IF(A113="","",COUNTIFS(Jobs!$G$5:$G$604,A113,Jobs!$P$5:$P$604,"Cancelled")+COUNTIFS(Jobs!$G$5:$G$604,A113,Jobs!$P$5:$P$604,"No access"))</f>
        <v>0</v>
      </c>
      <c r="AA113" s="18">
        <f>IF(A113="","",IF(SUMPRODUCT(MAX((Jobs!$G$5:$G$604=A113)*((Jobs!$P$5:$P$604="Completed")+(Jobs!$P$5:$P$604="Invoiced"))*Jobs!$B$5:$B$604))=0,"",SUMPRODUCT(MAX((Jobs!$G$5:$G$604=A113)*((Jobs!$P$5:$P$604="Completed")+(Jobs!$P$5:$P$604="Invoiced"))*Jobs!$B$5:$B$604))))</f>
        <v>0</v>
      </c>
      <c r="AB113" s="31">
        <f>IF(AA113="","",TodayDate-AA113)</f>
        <v>0</v>
      </c>
      <c r="AC113" s="18">
        <f>IF(A113="","",IF(SUMPRODUCT(MIN((Jobs!$G$5:$G$604=A113)*(Jobs!$B$5:$B$604&gt;=TodayDate)*(Jobs!$P$5:$P$604&lt;&gt;"Cancelled")*Jobs!$B$5:$B$604+(1-(Jobs!$G$5:$G$604=A113)*(Jobs!$B$5:$B$604&gt;=TodayDate)*(Jobs!$P$5:$P$604&lt;&gt;"Cancelled"))*2958465))=2958465,"",SUMPRODUCT(MIN((Jobs!$G$5:$G$604=A113)*(Jobs!$B$5:$B$604&gt;=TodayDate)*(Jobs!$P$5:$P$604&lt;&gt;"Cancelled")*Jobs!$B$5:$B$604+(1-(Jobs!$G$5:$G$604=A113)*(Jobs!$B$5:$B$604&gt;=TodayDate)*(Jobs!$P$5:$P$604&lt;&gt;"Cancelled"))*2958465))))</f>
        <v>0</v>
      </c>
      <c r="AD113" s="21">
        <f>IF(A113="","",SUMIFS(Invoices!$V$5:$V$404,Invoices!$D$5:$D$404,A113))</f>
        <v>0</v>
      </c>
      <c r="AE113" s="21">
        <f>IF(A113="","",SUMIFS(Invoices!$W$5:$W$404,Invoices!$D$5:$D$404,A113))</f>
        <v>0</v>
      </c>
      <c r="AF113" s="21">
        <f>IF(A113="","",AD113-AE113)</f>
        <v>0</v>
      </c>
      <c r="AG113" s="21">
        <f>IF(OR(A113="",Y113=0),"",AD113/Y113)</f>
        <v>0</v>
      </c>
      <c r="AH113" s="21">
        <f>IF(A113="","",SUMIFS('Job Costing'!$U$5:$U$604,'Job Costing'!$D$5:$D$604,A113))</f>
        <v>0</v>
      </c>
      <c r="AI113" s="38">
        <f>IF(OR(A113="",AD113=0),"",AH113/AD113)</f>
        <v>0</v>
      </c>
      <c r="AJ113" s="21">
        <f>IF(OR(A113="",K113="",AG113=""),"",AG113*IFERROR(INDEX(FreqPerYear,MATCH(K113,FreqNames,0)),1))</f>
        <v>0</v>
      </c>
      <c r="AK113" s="34">
        <f>IF(A113="","",IFERROR(AVERAGEIFS(Jobs!$AA$5:$AA$604,Jobs!$G$5:$G$604,A113,Jobs!$AA$5:$AA$604,"&gt;0"),""))</f>
        <v>0</v>
      </c>
      <c r="AL113" s="31">
        <f>IF(A113="","",COUNTIFS(Complaints!$D$5:$D$84,A113))</f>
        <v>0</v>
      </c>
      <c r="AM113" s="31">
        <f>IF(B113="","",COUNTIFS($AD$5:$AD$204,"&gt;"&amp;AD113)+COUNTIFS($AD$5:AD113,AD113))</f>
        <v>0</v>
      </c>
      <c r="AN113" s="31">
        <f>IF(B113="","",COUNTIFS($AH$5:$AH$204,"&gt;"&amp;AH113)+COUNTIFS($AH$5:AH113,AH113))</f>
        <v>0</v>
      </c>
      <c r="AO113" s="31">
        <f>IF(B113="","",COUNTIFS($AJ$5:$AJ$204,"&gt;"&amp;AJ113)+COUNTIFS($AJ$5:AJ113,AJ113))</f>
        <v>0</v>
      </c>
      <c r="AP113" s="39">
        <f>IF(B113="","",IF(H113="Lost","Lost",IF(H113="Inactive","Dormant",IF(AA113="","Dormant",IF(AB113&gt;InactiveClientDays*2,"Dormant",IF(AB113&gt;InactiveClientDays,"At risk",IF(AC113="","Slipping",IF(Y113&gt;=10,"Loyal","Steady"))))))))</f>
        <v>0</v>
      </c>
      <c r="AQ113" s="34">
        <f>IF(OR(B113="",AP113="Lost",AP113="Dormant"),"",IF(OR(AP113="At risk",AP113="Slipping"),IF(AB113="",999,AB113),""))</f>
        <v>0</v>
      </c>
      <c r="AR113" s="31">
        <f>IF(AQ113="","",COUNTIFS($AQ$5:$AQ$204,"&gt;"&amp;AQ113)+COUNTIFS($AQ$5:AQ113,AQ113))</f>
        <v>0</v>
      </c>
      <c r="AS113" s="39">
        <f>IF(B113="","",IF(AF113&gt;0.5,"Chase - "&amp;TEXT(AF113,"0")&amp;" owing",IF(AND(H113&lt;&gt;"Lost",H113&lt;&gt;"Inactive",H113&lt;&gt;"Paused",AC113="",K113&lt;&gt;"One-off"),"Book - nothing in the diary",IF(AND(S113&lt;&gt;"",S113-TodayDate&lt;=RenewalWarningDays,S113&gt;=TodayDate),"Due - contract renews soon",IF(AP113="At risk","Call - going quiet",IF(AL113&gt;=2,"Check - complaints logged",IF(AND(AI113&lt;&gt;"",AI113&lt;MarginFloor,Y113&gt;0),"Check - thin margin","OK")))))))</f>
        <v>0</v>
      </c>
    </row>
    <row r="114" spans="1:45">
      <c r="A114" s="43">
        <f>IF(B114="","",ClientPrefix&amp;TEXT(ROW()-4,"0000"))</f>
        <v>0</v>
      </c>
      <c r="W114" s="31">
        <f>IF(A114="","",COUNTIFS(Properties!$C$5:$C$254,A114))</f>
        <v>0</v>
      </c>
      <c r="X114" s="31">
        <f>IF(A114="","",COUNTIFS(Jobs!$G$5:$G$604,A114))</f>
        <v>0</v>
      </c>
      <c r="Y114" s="31">
        <f>IF(A114="","",COUNTIFS(Jobs!$G$5:$G$604,A114,Jobs!$P$5:$P$604,"Completed")+COUNTIFS(Jobs!$G$5:$G$604,A114,Jobs!$P$5:$P$604,"Invoiced"))</f>
        <v>0</v>
      </c>
      <c r="Z114" s="31">
        <f>IF(A114="","",COUNTIFS(Jobs!$G$5:$G$604,A114,Jobs!$P$5:$P$604,"Cancelled")+COUNTIFS(Jobs!$G$5:$G$604,A114,Jobs!$P$5:$P$604,"No access"))</f>
        <v>0</v>
      </c>
      <c r="AA114" s="18">
        <f>IF(A114="","",IF(SUMPRODUCT(MAX((Jobs!$G$5:$G$604=A114)*((Jobs!$P$5:$P$604="Completed")+(Jobs!$P$5:$P$604="Invoiced"))*Jobs!$B$5:$B$604))=0,"",SUMPRODUCT(MAX((Jobs!$G$5:$G$604=A114)*((Jobs!$P$5:$P$604="Completed")+(Jobs!$P$5:$P$604="Invoiced"))*Jobs!$B$5:$B$604))))</f>
        <v>0</v>
      </c>
      <c r="AB114" s="31">
        <f>IF(AA114="","",TodayDate-AA114)</f>
        <v>0</v>
      </c>
      <c r="AC114" s="18">
        <f>IF(A114="","",IF(SUMPRODUCT(MIN((Jobs!$G$5:$G$604=A114)*(Jobs!$B$5:$B$604&gt;=TodayDate)*(Jobs!$P$5:$P$604&lt;&gt;"Cancelled")*Jobs!$B$5:$B$604+(1-(Jobs!$G$5:$G$604=A114)*(Jobs!$B$5:$B$604&gt;=TodayDate)*(Jobs!$P$5:$P$604&lt;&gt;"Cancelled"))*2958465))=2958465,"",SUMPRODUCT(MIN((Jobs!$G$5:$G$604=A114)*(Jobs!$B$5:$B$604&gt;=TodayDate)*(Jobs!$P$5:$P$604&lt;&gt;"Cancelled")*Jobs!$B$5:$B$604+(1-(Jobs!$G$5:$G$604=A114)*(Jobs!$B$5:$B$604&gt;=TodayDate)*(Jobs!$P$5:$P$604&lt;&gt;"Cancelled"))*2958465))))</f>
        <v>0</v>
      </c>
      <c r="AD114" s="21">
        <f>IF(A114="","",SUMIFS(Invoices!$V$5:$V$404,Invoices!$D$5:$D$404,A114))</f>
        <v>0</v>
      </c>
      <c r="AE114" s="21">
        <f>IF(A114="","",SUMIFS(Invoices!$W$5:$W$404,Invoices!$D$5:$D$404,A114))</f>
        <v>0</v>
      </c>
      <c r="AF114" s="21">
        <f>IF(A114="","",AD114-AE114)</f>
        <v>0</v>
      </c>
      <c r="AG114" s="21">
        <f>IF(OR(A114="",Y114=0),"",AD114/Y114)</f>
        <v>0</v>
      </c>
      <c r="AH114" s="21">
        <f>IF(A114="","",SUMIFS('Job Costing'!$U$5:$U$604,'Job Costing'!$D$5:$D$604,A114))</f>
        <v>0</v>
      </c>
      <c r="AI114" s="38">
        <f>IF(OR(A114="",AD114=0),"",AH114/AD114)</f>
        <v>0</v>
      </c>
      <c r="AJ114" s="21">
        <f>IF(OR(A114="",K114="",AG114=""),"",AG114*IFERROR(INDEX(FreqPerYear,MATCH(K114,FreqNames,0)),1))</f>
        <v>0</v>
      </c>
      <c r="AK114" s="34">
        <f>IF(A114="","",IFERROR(AVERAGEIFS(Jobs!$AA$5:$AA$604,Jobs!$G$5:$G$604,A114,Jobs!$AA$5:$AA$604,"&gt;0"),""))</f>
        <v>0</v>
      </c>
      <c r="AL114" s="31">
        <f>IF(A114="","",COUNTIFS(Complaints!$D$5:$D$84,A114))</f>
        <v>0</v>
      </c>
      <c r="AM114" s="31">
        <f>IF(B114="","",COUNTIFS($AD$5:$AD$204,"&gt;"&amp;AD114)+COUNTIFS($AD$5:AD114,AD114))</f>
        <v>0</v>
      </c>
      <c r="AN114" s="31">
        <f>IF(B114="","",COUNTIFS($AH$5:$AH$204,"&gt;"&amp;AH114)+COUNTIFS($AH$5:AH114,AH114))</f>
        <v>0</v>
      </c>
      <c r="AO114" s="31">
        <f>IF(B114="","",COUNTIFS($AJ$5:$AJ$204,"&gt;"&amp;AJ114)+COUNTIFS($AJ$5:AJ114,AJ114))</f>
        <v>0</v>
      </c>
      <c r="AP114" s="39">
        <f>IF(B114="","",IF(H114="Lost","Lost",IF(H114="Inactive","Dormant",IF(AA114="","Dormant",IF(AB114&gt;InactiveClientDays*2,"Dormant",IF(AB114&gt;InactiveClientDays,"At risk",IF(AC114="","Slipping",IF(Y114&gt;=10,"Loyal","Steady"))))))))</f>
        <v>0</v>
      </c>
      <c r="AQ114" s="34">
        <f>IF(OR(B114="",AP114="Lost",AP114="Dormant"),"",IF(OR(AP114="At risk",AP114="Slipping"),IF(AB114="",999,AB114),""))</f>
        <v>0</v>
      </c>
      <c r="AR114" s="31">
        <f>IF(AQ114="","",COUNTIFS($AQ$5:$AQ$204,"&gt;"&amp;AQ114)+COUNTIFS($AQ$5:AQ114,AQ114))</f>
        <v>0</v>
      </c>
      <c r="AS114" s="39">
        <f>IF(B114="","",IF(AF114&gt;0.5,"Chase - "&amp;TEXT(AF114,"0")&amp;" owing",IF(AND(H114&lt;&gt;"Lost",H114&lt;&gt;"Inactive",H114&lt;&gt;"Paused",AC114="",K114&lt;&gt;"One-off"),"Book - nothing in the diary",IF(AND(S114&lt;&gt;"",S114-TodayDate&lt;=RenewalWarningDays,S114&gt;=TodayDate),"Due - contract renews soon",IF(AP114="At risk","Call - going quiet",IF(AL114&gt;=2,"Check - complaints logged",IF(AND(AI114&lt;&gt;"",AI114&lt;MarginFloor,Y114&gt;0),"Check - thin margin","OK")))))))</f>
        <v>0</v>
      </c>
    </row>
    <row r="115" spans="1:45">
      <c r="A115" s="43">
        <f>IF(B115="","",ClientPrefix&amp;TEXT(ROW()-4,"0000"))</f>
        <v>0</v>
      </c>
      <c r="W115" s="31">
        <f>IF(A115="","",COUNTIFS(Properties!$C$5:$C$254,A115))</f>
        <v>0</v>
      </c>
      <c r="X115" s="31">
        <f>IF(A115="","",COUNTIFS(Jobs!$G$5:$G$604,A115))</f>
        <v>0</v>
      </c>
      <c r="Y115" s="31">
        <f>IF(A115="","",COUNTIFS(Jobs!$G$5:$G$604,A115,Jobs!$P$5:$P$604,"Completed")+COUNTIFS(Jobs!$G$5:$G$604,A115,Jobs!$P$5:$P$604,"Invoiced"))</f>
        <v>0</v>
      </c>
      <c r="Z115" s="31">
        <f>IF(A115="","",COUNTIFS(Jobs!$G$5:$G$604,A115,Jobs!$P$5:$P$604,"Cancelled")+COUNTIFS(Jobs!$G$5:$G$604,A115,Jobs!$P$5:$P$604,"No access"))</f>
        <v>0</v>
      </c>
      <c r="AA115" s="18">
        <f>IF(A115="","",IF(SUMPRODUCT(MAX((Jobs!$G$5:$G$604=A115)*((Jobs!$P$5:$P$604="Completed")+(Jobs!$P$5:$P$604="Invoiced"))*Jobs!$B$5:$B$604))=0,"",SUMPRODUCT(MAX((Jobs!$G$5:$G$604=A115)*((Jobs!$P$5:$P$604="Completed")+(Jobs!$P$5:$P$604="Invoiced"))*Jobs!$B$5:$B$604))))</f>
        <v>0</v>
      </c>
      <c r="AB115" s="31">
        <f>IF(AA115="","",TodayDate-AA115)</f>
        <v>0</v>
      </c>
      <c r="AC115" s="18">
        <f>IF(A115="","",IF(SUMPRODUCT(MIN((Jobs!$G$5:$G$604=A115)*(Jobs!$B$5:$B$604&gt;=TodayDate)*(Jobs!$P$5:$P$604&lt;&gt;"Cancelled")*Jobs!$B$5:$B$604+(1-(Jobs!$G$5:$G$604=A115)*(Jobs!$B$5:$B$604&gt;=TodayDate)*(Jobs!$P$5:$P$604&lt;&gt;"Cancelled"))*2958465))=2958465,"",SUMPRODUCT(MIN((Jobs!$G$5:$G$604=A115)*(Jobs!$B$5:$B$604&gt;=TodayDate)*(Jobs!$P$5:$P$604&lt;&gt;"Cancelled")*Jobs!$B$5:$B$604+(1-(Jobs!$G$5:$G$604=A115)*(Jobs!$B$5:$B$604&gt;=TodayDate)*(Jobs!$P$5:$P$604&lt;&gt;"Cancelled"))*2958465))))</f>
        <v>0</v>
      </c>
      <c r="AD115" s="21">
        <f>IF(A115="","",SUMIFS(Invoices!$V$5:$V$404,Invoices!$D$5:$D$404,A115))</f>
        <v>0</v>
      </c>
      <c r="AE115" s="21">
        <f>IF(A115="","",SUMIFS(Invoices!$W$5:$W$404,Invoices!$D$5:$D$404,A115))</f>
        <v>0</v>
      </c>
      <c r="AF115" s="21">
        <f>IF(A115="","",AD115-AE115)</f>
        <v>0</v>
      </c>
      <c r="AG115" s="21">
        <f>IF(OR(A115="",Y115=0),"",AD115/Y115)</f>
        <v>0</v>
      </c>
      <c r="AH115" s="21">
        <f>IF(A115="","",SUMIFS('Job Costing'!$U$5:$U$604,'Job Costing'!$D$5:$D$604,A115))</f>
        <v>0</v>
      </c>
      <c r="AI115" s="38">
        <f>IF(OR(A115="",AD115=0),"",AH115/AD115)</f>
        <v>0</v>
      </c>
      <c r="AJ115" s="21">
        <f>IF(OR(A115="",K115="",AG115=""),"",AG115*IFERROR(INDEX(FreqPerYear,MATCH(K115,FreqNames,0)),1))</f>
        <v>0</v>
      </c>
      <c r="AK115" s="34">
        <f>IF(A115="","",IFERROR(AVERAGEIFS(Jobs!$AA$5:$AA$604,Jobs!$G$5:$G$604,A115,Jobs!$AA$5:$AA$604,"&gt;0"),""))</f>
        <v>0</v>
      </c>
      <c r="AL115" s="31">
        <f>IF(A115="","",COUNTIFS(Complaints!$D$5:$D$84,A115))</f>
        <v>0</v>
      </c>
      <c r="AM115" s="31">
        <f>IF(B115="","",COUNTIFS($AD$5:$AD$204,"&gt;"&amp;AD115)+COUNTIFS($AD$5:AD115,AD115))</f>
        <v>0</v>
      </c>
      <c r="AN115" s="31">
        <f>IF(B115="","",COUNTIFS($AH$5:$AH$204,"&gt;"&amp;AH115)+COUNTIFS($AH$5:AH115,AH115))</f>
        <v>0</v>
      </c>
      <c r="AO115" s="31">
        <f>IF(B115="","",COUNTIFS($AJ$5:$AJ$204,"&gt;"&amp;AJ115)+COUNTIFS($AJ$5:AJ115,AJ115))</f>
        <v>0</v>
      </c>
      <c r="AP115" s="39">
        <f>IF(B115="","",IF(H115="Lost","Lost",IF(H115="Inactive","Dormant",IF(AA115="","Dormant",IF(AB115&gt;InactiveClientDays*2,"Dormant",IF(AB115&gt;InactiveClientDays,"At risk",IF(AC115="","Slipping",IF(Y115&gt;=10,"Loyal","Steady"))))))))</f>
        <v>0</v>
      </c>
      <c r="AQ115" s="34">
        <f>IF(OR(B115="",AP115="Lost",AP115="Dormant"),"",IF(OR(AP115="At risk",AP115="Slipping"),IF(AB115="",999,AB115),""))</f>
        <v>0</v>
      </c>
      <c r="AR115" s="31">
        <f>IF(AQ115="","",COUNTIFS($AQ$5:$AQ$204,"&gt;"&amp;AQ115)+COUNTIFS($AQ$5:AQ115,AQ115))</f>
        <v>0</v>
      </c>
      <c r="AS115" s="39">
        <f>IF(B115="","",IF(AF115&gt;0.5,"Chase - "&amp;TEXT(AF115,"0")&amp;" owing",IF(AND(H115&lt;&gt;"Lost",H115&lt;&gt;"Inactive",H115&lt;&gt;"Paused",AC115="",K115&lt;&gt;"One-off"),"Book - nothing in the diary",IF(AND(S115&lt;&gt;"",S115-TodayDate&lt;=RenewalWarningDays,S115&gt;=TodayDate),"Due - contract renews soon",IF(AP115="At risk","Call - going quiet",IF(AL115&gt;=2,"Check - complaints logged",IF(AND(AI115&lt;&gt;"",AI115&lt;MarginFloor,Y115&gt;0),"Check - thin margin","OK")))))))</f>
        <v>0</v>
      </c>
    </row>
    <row r="116" spans="1:45">
      <c r="A116" s="43">
        <f>IF(B116="","",ClientPrefix&amp;TEXT(ROW()-4,"0000"))</f>
        <v>0</v>
      </c>
      <c r="W116" s="31">
        <f>IF(A116="","",COUNTIFS(Properties!$C$5:$C$254,A116))</f>
        <v>0</v>
      </c>
      <c r="X116" s="31">
        <f>IF(A116="","",COUNTIFS(Jobs!$G$5:$G$604,A116))</f>
        <v>0</v>
      </c>
      <c r="Y116" s="31">
        <f>IF(A116="","",COUNTIFS(Jobs!$G$5:$G$604,A116,Jobs!$P$5:$P$604,"Completed")+COUNTIFS(Jobs!$G$5:$G$604,A116,Jobs!$P$5:$P$604,"Invoiced"))</f>
        <v>0</v>
      </c>
      <c r="Z116" s="31">
        <f>IF(A116="","",COUNTIFS(Jobs!$G$5:$G$604,A116,Jobs!$P$5:$P$604,"Cancelled")+COUNTIFS(Jobs!$G$5:$G$604,A116,Jobs!$P$5:$P$604,"No access"))</f>
        <v>0</v>
      </c>
      <c r="AA116" s="18">
        <f>IF(A116="","",IF(SUMPRODUCT(MAX((Jobs!$G$5:$G$604=A116)*((Jobs!$P$5:$P$604="Completed")+(Jobs!$P$5:$P$604="Invoiced"))*Jobs!$B$5:$B$604))=0,"",SUMPRODUCT(MAX((Jobs!$G$5:$G$604=A116)*((Jobs!$P$5:$P$604="Completed")+(Jobs!$P$5:$P$604="Invoiced"))*Jobs!$B$5:$B$604))))</f>
        <v>0</v>
      </c>
      <c r="AB116" s="31">
        <f>IF(AA116="","",TodayDate-AA116)</f>
        <v>0</v>
      </c>
      <c r="AC116" s="18">
        <f>IF(A116="","",IF(SUMPRODUCT(MIN((Jobs!$G$5:$G$604=A116)*(Jobs!$B$5:$B$604&gt;=TodayDate)*(Jobs!$P$5:$P$604&lt;&gt;"Cancelled")*Jobs!$B$5:$B$604+(1-(Jobs!$G$5:$G$604=A116)*(Jobs!$B$5:$B$604&gt;=TodayDate)*(Jobs!$P$5:$P$604&lt;&gt;"Cancelled"))*2958465))=2958465,"",SUMPRODUCT(MIN((Jobs!$G$5:$G$604=A116)*(Jobs!$B$5:$B$604&gt;=TodayDate)*(Jobs!$P$5:$P$604&lt;&gt;"Cancelled")*Jobs!$B$5:$B$604+(1-(Jobs!$G$5:$G$604=A116)*(Jobs!$B$5:$B$604&gt;=TodayDate)*(Jobs!$P$5:$P$604&lt;&gt;"Cancelled"))*2958465))))</f>
        <v>0</v>
      </c>
      <c r="AD116" s="21">
        <f>IF(A116="","",SUMIFS(Invoices!$V$5:$V$404,Invoices!$D$5:$D$404,A116))</f>
        <v>0</v>
      </c>
      <c r="AE116" s="21">
        <f>IF(A116="","",SUMIFS(Invoices!$W$5:$W$404,Invoices!$D$5:$D$404,A116))</f>
        <v>0</v>
      </c>
      <c r="AF116" s="21">
        <f>IF(A116="","",AD116-AE116)</f>
        <v>0</v>
      </c>
      <c r="AG116" s="21">
        <f>IF(OR(A116="",Y116=0),"",AD116/Y116)</f>
        <v>0</v>
      </c>
      <c r="AH116" s="21">
        <f>IF(A116="","",SUMIFS('Job Costing'!$U$5:$U$604,'Job Costing'!$D$5:$D$604,A116))</f>
        <v>0</v>
      </c>
      <c r="AI116" s="38">
        <f>IF(OR(A116="",AD116=0),"",AH116/AD116)</f>
        <v>0</v>
      </c>
      <c r="AJ116" s="21">
        <f>IF(OR(A116="",K116="",AG116=""),"",AG116*IFERROR(INDEX(FreqPerYear,MATCH(K116,FreqNames,0)),1))</f>
        <v>0</v>
      </c>
      <c r="AK116" s="34">
        <f>IF(A116="","",IFERROR(AVERAGEIFS(Jobs!$AA$5:$AA$604,Jobs!$G$5:$G$604,A116,Jobs!$AA$5:$AA$604,"&gt;0"),""))</f>
        <v>0</v>
      </c>
      <c r="AL116" s="31">
        <f>IF(A116="","",COUNTIFS(Complaints!$D$5:$D$84,A116))</f>
        <v>0</v>
      </c>
      <c r="AM116" s="31">
        <f>IF(B116="","",COUNTIFS($AD$5:$AD$204,"&gt;"&amp;AD116)+COUNTIFS($AD$5:AD116,AD116))</f>
        <v>0</v>
      </c>
      <c r="AN116" s="31">
        <f>IF(B116="","",COUNTIFS($AH$5:$AH$204,"&gt;"&amp;AH116)+COUNTIFS($AH$5:AH116,AH116))</f>
        <v>0</v>
      </c>
      <c r="AO116" s="31">
        <f>IF(B116="","",COUNTIFS($AJ$5:$AJ$204,"&gt;"&amp;AJ116)+COUNTIFS($AJ$5:AJ116,AJ116))</f>
        <v>0</v>
      </c>
      <c r="AP116" s="39">
        <f>IF(B116="","",IF(H116="Lost","Lost",IF(H116="Inactive","Dormant",IF(AA116="","Dormant",IF(AB116&gt;InactiveClientDays*2,"Dormant",IF(AB116&gt;InactiveClientDays,"At risk",IF(AC116="","Slipping",IF(Y116&gt;=10,"Loyal","Steady"))))))))</f>
        <v>0</v>
      </c>
      <c r="AQ116" s="34">
        <f>IF(OR(B116="",AP116="Lost",AP116="Dormant"),"",IF(OR(AP116="At risk",AP116="Slipping"),IF(AB116="",999,AB116),""))</f>
        <v>0</v>
      </c>
      <c r="AR116" s="31">
        <f>IF(AQ116="","",COUNTIFS($AQ$5:$AQ$204,"&gt;"&amp;AQ116)+COUNTIFS($AQ$5:AQ116,AQ116))</f>
        <v>0</v>
      </c>
      <c r="AS116" s="39">
        <f>IF(B116="","",IF(AF116&gt;0.5,"Chase - "&amp;TEXT(AF116,"0")&amp;" owing",IF(AND(H116&lt;&gt;"Lost",H116&lt;&gt;"Inactive",H116&lt;&gt;"Paused",AC116="",K116&lt;&gt;"One-off"),"Book - nothing in the diary",IF(AND(S116&lt;&gt;"",S116-TodayDate&lt;=RenewalWarningDays,S116&gt;=TodayDate),"Due - contract renews soon",IF(AP116="At risk","Call - going quiet",IF(AL116&gt;=2,"Check - complaints logged",IF(AND(AI116&lt;&gt;"",AI116&lt;MarginFloor,Y116&gt;0),"Check - thin margin","OK")))))))</f>
        <v>0</v>
      </c>
    </row>
    <row r="117" spans="1:45">
      <c r="A117" s="43">
        <f>IF(B117="","",ClientPrefix&amp;TEXT(ROW()-4,"0000"))</f>
        <v>0</v>
      </c>
      <c r="W117" s="31">
        <f>IF(A117="","",COUNTIFS(Properties!$C$5:$C$254,A117))</f>
        <v>0</v>
      </c>
      <c r="X117" s="31">
        <f>IF(A117="","",COUNTIFS(Jobs!$G$5:$G$604,A117))</f>
        <v>0</v>
      </c>
      <c r="Y117" s="31">
        <f>IF(A117="","",COUNTIFS(Jobs!$G$5:$G$604,A117,Jobs!$P$5:$P$604,"Completed")+COUNTIFS(Jobs!$G$5:$G$604,A117,Jobs!$P$5:$P$604,"Invoiced"))</f>
        <v>0</v>
      </c>
      <c r="Z117" s="31">
        <f>IF(A117="","",COUNTIFS(Jobs!$G$5:$G$604,A117,Jobs!$P$5:$P$604,"Cancelled")+COUNTIFS(Jobs!$G$5:$G$604,A117,Jobs!$P$5:$P$604,"No access"))</f>
        <v>0</v>
      </c>
      <c r="AA117" s="18">
        <f>IF(A117="","",IF(SUMPRODUCT(MAX((Jobs!$G$5:$G$604=A117)*((Jobs!$P$5:$P$604="Completed")+(Jobs!$P$5:$P$604="Invoiced"))*Jobs!$B$5:$B$604))=0,"",SUMPRODUCT(MAX((Jobs!$G$5:$G$604=A117)*((Jobs!$P$5:$P$604="Completed")+(Jobs!$P$5:$P$604="Invoiced"))*Jobs!$B$5:$B$604))))</f>
        <v>0</v>
      </c>
      <c r="AB117" s="31">
        <f>IF(AA117="","",TodayDate-AA117)</f>
        <v>0</v>
      </c>
      <c r="AC117" s="18">
        <f>IF(A117="","",IF(SUMPRODUCT(MIN((Jobs!$G$5:$G$604=A117)*(Jobs!$B$5:$B$604&gt;=TodayDate)*(Jobs!$P$5:$P$604&lt;&gt;"Cancelled")*Jobs!$B$5:$B$604+(1-(Jobs!$G$5:$G$604=A117)*(Jobs!$B$5:$B$604&gt;=TodayDate)*(Jobs!$P$5:$P$604&lt;&gt;"Cancelled"))*2958465))=2958465,"",SUMPRODUCT(MIN((Jobs!$G$5:$G$604=A117)*(Jobs!$B$5:$B$604&gt;=TodayDate)*(Jobs!$P$5:$P$604&lt;&gt;"Cancelled")*Jobs!$B$5:$B$604+(1-(Jobs!$G$5:$G$604=A117)*(Jobs!$B$5:$B$604&gt;=TodayDate)*(Jobs!$P$5:$P$604&lt;&gt;"Cancelled"))*2958465))))</f>
        <v>0</v>
      </c>
      <c r="AD117" s="21">
        <f>IF(A117="","",SUMIFS(Invoices!$V$5:$V$404,Invoices!$D$5:$D$404,A117))</f>
        <v>0</v>
      </c>
      <c r="AE117" s="21">
        <f>IF(A117="","",SUMIFS(Invoices!$W$5:$W$404,Invoices!$D$5:$D$404,A117))</f>
        <v>0</v>
      </c>
      <c r="AF117" s="21">
        <f>IF(A117="","",AD117-AE117)</f>
        <v>0</v>
      </c>
      <c r="AG117" s="21">
        <f>IF(OR(A117="",Y117=0),"",AD117/Y117)</f>
        <v>0</v>
      </c>
      <c r="AH117" s="21">
        <f>IF(A117="","",SUMIFS('Job Costing'!$U$5:$U$604,'Job Costing'!$D$5:$D$604,A117))</f>
        <v>0</v>
      </c>
      <c r="AI117" s="38">
        <f>IF(OR(A117="",AD117=0),"",AH117/AD117)</f>
        <v>0</v>
      </c>
      <c r="AJ117" s="21">
        <f>IF(OR(A117="",K117="",AG117=""),"",AG117*IFERROR(INDEX(FreqPerYear,MATCH(K117,FreqNames,0)),1))</f>
        <v>0</v>
      </c>
      <c r="AK117" s="34">
        <f>IF(A117="","",IFERROR(AVERAGEIFS(Jobs!$AA$5:$AA$604,Jobs!$G$5:$G$604,A117,Jobs!$AA$5:$AA$604,"&gt;0"),""))</f>
        <v>0</v>
      </c>
      <c r="AL117" s="31">
        <f>IF(A117="","",COUNTIFS(Complaints!$D$5:$D$84,A117))</f>
        <v>0</v>
      </c>
      <c r="AM117" s="31">
        <f>IF(B117="","",COUNTIFS($AD$5:$AD$204,"&gt;"&amp;AD117)+COUNTIFS($AD$5:AD117,AD117))</f>
        <v>0</v>
      </c>
      <c r="AN117" s="31">
        <f>IF(B117="","",COUNTIFS($AH$5:$AH$204,"&gt;"&amp;AH117)+COUNTIFS($AH$5:AH117,AH117))</f>
        <v>0</v>
      </c>
      <c r="AO117" s="31">
        <f>IF(B117="","",COUNTIFS($AJ$5:$AJ$204,"&gt;"&amp;AJ117)+COUNTIFS($AJ$5:AJ117,AJ117))</f>
        <v>0</v>
      </c>
      <c r="AP117" s="39">
        <f>IF(B117="","",IF(H117="Lost","Lost",IF(H117="Inactive","Dormant",IF(AA117="","Dormant",IF(AB117&gt;InactiveClientDays*2,"Dormant",IF(AB117&gt;InactiveClientDays,"At risk",IF(AC117="","Slipping",IF(Y117&gt;=10,"Loyal","Steady"))))))))</f>
        <v>0</v>
      </c>
      <c r="AQ117" s="34">
        <f>IF(OR(B117="",AP117="Lost",AP117="Dormant"),"",IF(OR(AP117="At risk",AP117="Slipping"),IF(AB117="",999,AB117),""))</f>
        <v>0</v>
      </c>
      <c r="AR117" s="31">
        <f>IF(AQ117="","",COUNTIFS($AQ$5:$AQ$204,"&gt;"&amp;AQ117)+COUNTIFS($AQ$5:AQ117,AQ117))</f>
        <v>0</v>
      </c>
      <c r="AS117" s="39">
        <f>IF(B117="","",IF(AF117&gt;0.5,"Chase - "&amp;TEXT(AF117,"0")&amp;" owing",IF(AND(H117&lt;&gt;"Lost",H117&lt;&gt;"Inactive",H117&lt;&gt;"Paused",AC117="",K117&lt;&gt;"One-off"),"Book - nothing in the diary",IF(AND(S117&lt;&gt;"",S117-TodayDate&lt;=RenewalWarningDays,S117&gt;=TodayDate),"Due - contract renews soon",IF(AP117="At risk","Call - going quiet",IF(AL117&gt;=2,"Check - complaints logged",IF(AND(AI117&lt;&gt;"",AI117&lt;MarginFloor,Y117&gt;0),"Check - thin margin","OK")))))))</f>
        <v>0</v>
      </c>
    </row>
    <row r="118" spans="1:45">
      <c r="A118" s="43">
        <f>IF(B118="","",ClientPrefix&amp;TEXT(ROW()-4,"0000"))</f>
        <v>0</v>
      </c>
      <c r="W118" s="31">
        <f>IF(A118="","",COUNTIFS(Properties!$C$5:$C$254,A118))</f>
        <v>0</v>
      </c>
      <c r="X118" s="31">
        <f>IF(A118="","",COUNTIFS(Jobs!$G$5:$G$604,A118))</f>
        <v>0</v>
      </c>
      <c r="Y118" s="31">
        <f>IF(A118="","",COUNTIFS(Jobs!$G$5:$G$604,A118,Jobs!$P$5:$P$604,"Completed")+COUNTIFS(Jobs!$G$5:$G$604,A118,Jobs!$P$5:$P$604,"Invoiced"))</f>
        <v>0</v>
      </c>
      <c r="Z118" s="31">
        <f>IF(A118="","",COUNTIFS(Jobs!$G$5:$G$604,A118,Jobs!$P$5:$P$604,"Cancelled")+COUNTIFS(Jobs!$G$5:$G$604,A118,Jobs!$P$5:$P$604,"No access"))</f>
        <v>0</v>
      </c>
      <c r="AA118" s="18">
        <f>IF(A118="","",IF(SUMPRODUCT(MAX((Jobs!$G$5:$G$604=A118)*((Jobs!$P$5:$P$604="Completed")+(Jobs!$P$5:$P$604="Invoiced"))*Jobs!$B$5:$B$604))=0,"",SUMPRODUCT(MAX((Jobs!$G$5:$G$604=A118)*((Jobs!$P$5:$P$604="Completed")+(Jobs!$P$5:$P$604="Invoiced"))*Jobs!$B$5:$B$604))))</f>
        <v>0</v>
      </c>
      <c r="AB118" s="31">
        <f>IF(AA118="","",TodayDate-AA118)</f>
        <v>0</v>
      </c>
      <c r="AC118" s="18">
        <f>IF(A118="","",IF(SUMPRODUCT(MIN((Jobs!$G$5:$G$604=A118)*(Jobs!$B$5:$B$604&gt;=TodayDate)*(Jobs!$P$5:$P$604&lt;&gt;"Cancelled")*Jobs!$B$5:$B$604+(1-(Jobs!$G$5:$G$604=A118)*(Jobs!$B$5:$B$604&gt;=TodayDate)*(Jobs!$P$5:$P$604&lt;&gt;"Cancelled"))*2958465))=2958465,"",SUMPRODUCT(MIN((Jobs!$G$5:$G$604=A118)*(Jobs!$B$5:$B$604&gt;=TodayDate)*(Jobs!$P$5:$P$604&lt;&gt;"Cancelled")*Jobs!$B$5:$B$604+(1-(Jobs!$G$5:$G$604=A118)*(Jobs!$B$5:$B$604&gt;=TodayDate)*(Jobs!$P$5:$P$604&lt;&gt;"Cancelled"))*2958465))))</f>
        <v>0</v>
      </c>
      <c r="AD118" s="21">
        <f>IF(A118="","",SUMIFS(Invoices!$V$5:$V$404,Invoices!$D$5:$D$404,A118))</f>
        <v>0</v>
      </c>
      <c r="AE118" s="21">
        <f>IF(A118="","",SUMIFS(Invoices!$W$5:$W$404,Invoices!$D$5:$D$404,A118))</f>
        <v>0</v>
      </c>
      <c r="AF118" s="21">
        <f>IF(A118="","",AD118-AE118)</f>
        <v>0</v>
      </c>
      <c r="AG118" s="21">
        <f>IF(OR(A118="",Y118=0),"",AD118/Y118)</f>
        <v>0</v>
      </c>
      <c r="AH118" s="21">
        <f>IF(A118="","",SUMIFS('Job Costing'!$U$5:$U$604,'Job Costing'!$D$5:$D$604,A118))</f>
        <v>0</v>
      </c>
      <c r="AI118" s="38">
        <f>IF(OR(A118="",AD118=0),"",AH118/AD118)</f>
        <v>0</v>
      </c>
      <c r="AJ118" s="21">
        <f>IF(OR(A118="",K118="",AG118=""),"",AG118*IFERROR(INDEX(FreqPerYear,MATCH(K118,FreqNames,0)),1))</f>
        <v>0</v>
      </c>
      <c r="AK118" s="34">
        <f>IF(A118="","",IFERROR(AVERAGEIFS(Jobs!$AA$5:$AA$604,Jobs!$G$5:$G$604,A118,Jobs!$AA$5:$AA$604,"&gt;0"),""))</f>
        <v>0</v>
      </c>
      <c r="AL118" s="31">
        <f>IF(A118="","",COUNTIFS(Complaints!$D$5:$D$84,A118))</f>
        <v>0</v>
      </c>
      <c r="AM118" s="31">
        <f>IF(B118="","",COUNTIFS($AD$5:$AD$204,"&gt;"&amp;AD118)+COUNTIFS($AD$5:AD118,AD118))</f>
        <v>0</v>
      </c>
      <c r="AN118" s="31">
        <f>IF(B118="","",COUNTIFS($AH$5:$AH$204,"&gt;"&amp;AH118)+COUNTIFS($AH$5:AH118,AH118))</f>
        <v>0</v>
      </c>
      <c r="AO118" s="31">
        <f>IF(B118="","",COUNTIFS($AJ$5:$AJ$204,"&gt;"&amp;AJ118)+COUNTIFS($AJ$5:AJ118,AJ118))</f>
        <v>0</v>
      </c>
      <c r="AP118" s="39">
        <f>IF(B118="","",IF(H118="Lost","Lost",IF(H118="Inactive","Dormant",IF(AA118="","Dormant",IF(AB118&gt;InactiveClientDays*2,"Dormant",IF(AB118&gt;InactiveClientDays,"At risk",IF(AC118="","Slipping",IF(Y118&gt;=10,"Loyal","Steady"))))))))</f>
        <v>0</v>
      </c>
      <c r="AQ118" s="34">
        <f>IF(OR(B118="",AP118="Lost",AP118="Dormant"),"",IF(OR(AP118="At risk",AP118="Slipping"),IF(AB118="",999,AB118),""))</f>
        <v>0</v>
      </c>
      <c r="AR118" s="31">
        <f>IF(AQ118="","",COUNTIFS($AQ$5:$AQ$204,"&gt;"&amp;AQ118)+COUNTIFS($AQ$5:AQ118,AQ118))</f>
        <v>0</v>
      </c>
      <c r="AS118" s="39">
        <f>IF(B118="","",IF(AF118&gt;0.5,"Chase - "&amp;TEXT(AF118,"0")&amp;" owing",IF(AND(H118&lt;&gt;"Lost",H118&lt;&gt;"Inactive",H118&lt;&gt;"Paused",AC118="",K118&lt;&gt;"One-off"),"Book - nothing in the diary",IF(AND(S118&lt;&gt;"",S118-TodayDate&lt;=RenewalWarningDays,S118&gt;=TodayDate),"Due - contract renews soon",IF(AP118="At risk","Call - going quiet",IF(AL118&gt;=2,"Check - complaints logged",IF(AND(AI118&lt;&gt;"",AI118&lt;MarginFloor,Y118&gt;0),"Check - thin margin","OK")))))))</f>
        <v>0</v>
      </c>
    </row>
    <row r="119" spans="1:45">
      <c r="A119" s="43">
        <f>IF(B119="","",ClientPrefix&amp;TEXT(ROW()-4,"0000"))</f>
        <v>0</v>
      </c>
      <c r="W119" s="31">
        <f>IF(A119="","",COUNTIFS(Properties!$C$5:$C$254,A119))</f>
        <v>0</v>
      </c>
      <c r="X119" s="31">
        <f>IF(A119="","",COUNTIFS(Jobs!$G$5:$G$604,A119))</f>
        <v>0</v>
      </c>
      <c r="Y119" s="31">
        <f>IF(A119="","",COUNTIFS(Jobs!$G$5:$G$604,A119,Jobs!$P$5:$P$604,"Completed")+COUNTIFS(Jobs!$G$5:$G$604,A119,Jobs!$P$5:$P$604,"Invoiced"))</f>
        <v>0</v>
      </c>
      <c r="Z119" s="31">
        <f>IF(A119="","",COUNTIFS(Jobs!$G$5:$G$604,A119,Jobs!$P$5:$P$604,"Cancelled")+COUNTIFS(Jobs!$G$5:$G$604,A119,Jobs!$P$5:$P$604,"No access"))</f>
        <v>0</v>
      </c>
      <c r="AA119" s="18">
        <f>IF(A119="","",IF(SUMPRODUCT(MAX((Jobs!$G$5:$G$604=A119)*((Jobs!$P$5:$P$604="Completed")+(Jobs!$P$5:$P$604="Invoiced"))*Jobs!$B$5:$B$604))=0,"",SUMPRODUCT(MAX((Jobs!$G$5:$G$604=A119)*((Jobs!$P$5:$P$604="Completed")+(Jobs!$P$5:$P$604="Invoiced"))*Jobs!$B$5:$B$604))))</f>
        <v>0</v>
      </c>
      <c r="AB119" s="31">
        <f>IF(AA119="","",TodayDate-AA119)</f>
        <v>0</v>
      </c>
      <c r="AC119" s="18">
        <f>IF(A119="","",IF(SUMPRODUCT(MIN((Jobs!$G$5:$G$604=A119)*(Jobs!$B$5:$B$604&gt;=TodayDate)*(Jobs!$P$5:$P$604&lt;&gt;"Cancelled")*Jobs!$B$5:$B$604+(1-(Jobs!$G$5:$G$604=A119)*(Jobs!$B$5:$B$604&gt;=TodayDate)*(Jobs!$P$5:$P$604&lt;&gt;"Cancelled"))*2958465))=2958465,"",SUMPRODUCT(MIN((Jobs!$G$5:$G$604=A119)*(Jobs!$B$5:$B$604&gt;=TodayDate)*(Jobs!$P$5:$P$604&lt;&gt;"Cancelled")*Jobs!$B$5:$B$604+(1-(Jobs!$G$5:$G$604=A119)*(Jobs!$B$5:$B$604&gt;=TodayDate)*(Jobs!$P$5:$P$604&lt;&gt;"Cancelled"))*2958465))))</f>
        <v>0</v>
      </c>
      <c r="AD119" s="21">
        <f>IF(A119="","",SUMIFS(Invoices!$V$5:$V$404,Invoices!$D$5:$D$404,A119))</f>
        <v>0</v>
      </c>
      <c r="AE119" s="21">
        <f>IF(A119="","",SUMIFS(Invoices!$W$5:$W$404,Invoices!$D$5:$D$404,A119))</f>
        <v>0</v>
      </c>
      <c r="AF119" s="21">
        <f>IF(A119="","",AD119-AE119)</f>
        <v>0</v>
      </c>
      <c r="AG119" s="21">
        <f>IF(OR(A119="",Y119=0),"",AD119/Y119)</f>
        <v>0</v>
      </c>
      <c r="AH119" s="21">
        <f>IF(A119="","",SUMIFS('Job Costing'!$U$5:$U$604,'Job Costing'!$D$5:$D$604,A119))</f>
        <v>0</v>
      </c>
      <c r="AI119" s="38">
        <f>IF(OR(A119="",AD119=0),"",AH119/AD119)</f>
        <v>0</v>
      </c>
      <c r="AJ119" s="21">
        <f>IF(OR(A119="",K119="",AG119=""),"",AG119*IFERROR(INDEX(FreqPerYear,MATCH(K119,FreqNames,0)),1))</f>
        <v>0</v>
      </c>
      <c r="AK119" s="34">
        <f>IF(A119="","",IFERROR(AVERAGEIFS(Jobs!$AA$5:$AA$604,Jobs!$G$5:$G$604,A119,Jobs!$AA$5:$AA$604,"&gt;0"),""))</f>
        <v>0</v>
      </c>
      <c r="AL119" s="31">
        <f>IF(A119="","",COUNTIFS(Complaints!$D$5:$D$84,A119))</f>
        <v>0</v>
      </c>
      <c r="AM119" s="31">
        <f>IF(B119="","",COUNTIFS($AD$5:$AD$204,"&gt;"&amp;AD119)+COUNTIFS($AD$5:AD119,AD119))</f>
        <v>0</v>
      </c>
      <c r="AN119" s="31">
        <f>IF(B119="","",COUNTIFS($AH$5:$AH$204,"&gt;"&amp;AH119)+COUNTIFS($AH$5:AH119,AH119))</f>
        <v>0</v>
      </c>
      <c r="AO119" s="31">
        <f>IF(B119="","",COUNTIFS($AJ$5:$AJ$204,"&gt;"&amp;AJ119)+COUNTIFS($AJ$5:AJ119,AJ119))</f>
        <v>0</v>
      </c>
      <c r="AP119" s="39">
        <f>IF(B119="","",IF(H119="Lost","Lost",IF(H119="Inactive","Dormant",IF(AA119="","Dormant",IF(AB119&gt;InactiveClientDays*2,"Dormant",IF(AB119&gt;InactiveClientDays,"At risk",IF(AC119="","Slipping",IF(Y119&gt;=10,"Loyal","Steady"))))))))</f>
        <v>0</v>
      </c>
      <c r="AQ119" s="34">
        <f>IF(OR(B119="",AP119="Lost",AP119="Dormant"),"",IF(OR(AP119="At risk",AP119="Slipping"),IF(AB119="",999,AB119),""))</f>
        <v>0</v>
      </c>
      <c r="AR119" s="31">
        <f>IF(AQ119="","",COUNTIFS($AQ$5:$AQ$204,"&gt;"&amp;AQ119)+COUNTIFS($AQ$5:AQ119,AQ119))</f>
        <v>0</v>
      </c>
      <c r="AS119" s="39">
        <f>IF(B119="","",IF(AF119&gt;0.5,"Chase - "&amp;TEXT(AF119,"0")&amp;" owing",IF(AND(H119&lt;&gt;"Lost",H119&lt;&gt;"Inactive",H119&lt;&gt;"Paused",AC119="",K119&lt;&gt;"One-off"),"Book - nothing in the diary",IF(AND(S119&lt;&gt;"",S119-TodayDate&lt;=RenewalWarningDays,S119&gt;=TodayDate),"Due - contract renews soon",IF(AP119="At risk","Call - going quiet",IF(AL119&gt;=2,"Check - complaints logged",IF(AND(AI119&lt;&gt;"",AI119&lt;MarginFloor,Y119&gt;0),"Check - thin margin","OK")))))))</f>
        <v>0</v>
      </c>
    </row>
    <row r="120" spans="1:45">
      <c r="A120" s="43">
        <f>IF(B120="","",ClientPrefix&amp;TEXT(ROW()-4,"0000"))</f>
        <v>0</v>
      </c>
      <c r="W120" s="31">
        <f>IF(A120="","",COUNTIFS(Properties!$C$5:$C$254,A120))</f>
        <v>0</v>
      </c>
      <c r="X120" s="31">
        <f>IF(A120="","",COUNTIFS(Jobs!$G$5:$G$604,A120))</f>
        <v>0</v>
      </c>
      <c r="Y120" s="31">
        <f>IF(A120="","",COUNTIFS(Jobs!$G$5:$G$604,A120,Jobs!$P$5:$P$604,"Completed")+COUNTIFS(Jobs!$G$5:$G$604,A120,Jobs!$P$5:$P$604,"Invoiced"))</f>
        <v>0</v>
      </c>
      <c r="Z120" s="31">
        <f>IF(A120="","",COUNTIFS(Jobs!$G$5:$G$604,A120,Jobs!$P$5:$P$604,"Cancelled")+COUNTIFS(Jobs!$G$5:$G$604,A120,Jobs!$P$5:$P$604,"No access"))</f>
        <v>0</v>
      </c>
      <c r="AA120" s="18">
        <f>IF(A120="","",IF(SUMPRODUCT(MAX((Jobs!$G$5:$G$604=A120)*((Jobs!$P$5:$P$604="Completed")+(Jobs!$P$5:$P$604="Invoiced"))*Jobs!$B$5:$B$604))=0,"",SUMPRODUCT(MAX((Jobs!$G$5:$G$604=A120)*((Jobs!$P$5:$P$604="Completed")+(Jobs!$P$5:$P$604="Invoiced"))*Jobs!$B$5:$B$604))))</f>
        <v>0</v>
      </c>
      <c r="AB120" s="31">
        <f>IF(AA120="","",TodayDate-AA120)</f>
        <v>0</v>
      </c>
      <c r="AC120" s="18">
        <f>IF(A120="","",IF(SUMPRODUCT(MIN((Jobs!$G$5:$G$604=A120)*(Jobs!$B$5:$B$604&gt;=TodayDate)*(Jobs!$P$5:$P$604&lt;&gt;"Cancelled")*Jobs!$B$5:$B$604+(1-(Jobs!$G$5:$G$604=A120)*(Jobs!$B$5:$B$604&gt;=TodayDate)*(Jobs!$P$5:$P$604&lt;&gt;"Cancelled"))*2958465))=2958465,"",SUMPRODUCT(MIN((Jobs!$G$5:$G$604=A120)*(Jobs!$B$5:$B$604&gt;=TodayDate)*(Jobs!$P$5:$P$604&lt;&gt;"Cancelled")*Jobs!$B$5:$B$604+(1-(Jobs!$G$5:$G$604=A120)*(Jobs!$B$5:$B$604&gt;=TodayDate)*(Jobs!$P$5:$P$604&lt;&gt;"Cancelled"))*2958465))))</f>
        <v>0</v>
      </c>
      <c r="AD120" s="21">
        <f>IF(A120="","",SUMIFS(Invoices!$V$5:$V$404,Invoices!$D$5:$D$404,A120))</f>
        <v>0</v>
      </c>
      <c r="AE120" s="21">
        <f>IF(A120="","",SUMIFS(Invoices!$W$5:$W$404,Invoices!$D$5:$D$404,A120))</f>
        <v>0</v>
      </c>
      <c r="AF120" s="21">
        <f>IF(A120="","",AD120-AE120)</f>
        <v>0</v>
      </c>
      <c r="AG120" s="21">
        <f>IF(OR(A120="",Y120=0),"",AD120/Y120)</f>
        <v>0</v>
      </c>
      <c r="AH120" s="21">
        <f>IF(A120="","",SUMIFS('Job Costing'!$U$5:$U$604,'Job Costing'!$D$5:$D$604,A120))</f>
        <v>0</v>
      </c>
      <c r="AI120" s="38">
        <f>IF(OR(A120="",AD120=0),"",AH120/AD120)</f>
        <v>0</v>
      </c>
      <c r="AJ120" s="21">
        <f>IF(OR(A120="",K120="",AG120=""),"",AG120*IFERROR(INDEX(FreqPerYear,MATCH(K120,FreqNames,0)),1))</f>
        <v>0</v>
      </c>
      <c r="AK120" s="34">
        <f>IF(A120="","",IFERROR(AVERAGEIFS(Jobs!$AA$5:$AA$604,Jobs!$G$5:$G$604,A120,Jobs!$AA$5:$AA$604,"&gt;0"),""))</f>
        <v>0</v>
      </c>
      <c r="AL120" s="31">
        <f>IF(A120="","",COUNTIFS(Complaints!$D$5:$D$84,A120))</f>
        <v>0</v>
      </c>
      <c r="AM120" s="31">
        <f>IF(B120="","",COUNTIFS($AD$5:$AD$204,"&gt;"&amp;AD120)+COUNTIFS($AD$5:AD120,AD120))</f>
        <v>0</v>
      </c>
      <c r="AN120" s="31">
        <f>IF(B120="","",COUNTIFS($AH$5:$AH$204,"&gt;"&amp;AH120)+COUNTIFS($AH$5:AH120,AH120))</f>
        <v>0</v>
      </c>
      <c r="AO120" s="31">
        <f>IF(B120="","",COUNTIFS($AJ$5:$AJ$204,"&gt;"&amp;AJ120)+COUNTIFS($AJ$5:AJ120,AJ120))</f>
        <v>0</v>
      </c>
      <c r="AP120" s="39">
        <f>IF(B120="","",IF(H120="Lost","Lost",IF(H120="Inactive","Dormant",IF(AA120="","Dormant",IF(AB120&gt;InactiveClientDays*2,"Dormant",IF(AB120&gt;InactiveClientDays,"At risk",IF(AC120="","Slipping",IF(Y120&gt;=10,"Loyal","Steady"))))))))</f>
        <v>0</v>
      </c>
      <c r="AQ120" s="34">
        <f>IF(OR(B120="",AP120="Lost",AP120="Dormant"),"",IF(OR(AP120="At risk",AP120="Slipping"),IF(AB120="",999,AB120),""))</f>
        <v>0</v>
      </c>
      <c r="AR120" s="31">
        <f>IF(AQ120="","",COUNTIFS($AQ$5:$AQ$204,"&gt;"&amp;AQ120)+COUNTIFS($AQ$5:AQ120,AQ120))</f>
        <v>0</v>
      </c>
      <c r="AS120" s="39">
        <f>IF(B120="","",IF(AF120&gt;0.5,"Chase - "&amp;TEXT(AF120,"0")&amp;" owing",IF(AND(H120&lt;&gt;"Lost",H120&lt;&gt;"Inactive",H120&lt;&gt;"Paused",AC120="",K120&lt;&gt;"One-off"),"Book - nothing in the diary",IF(AND(S120&lt;&gt;"",S120-TodayDate&lt;=RenewalWarningDays,S120&gt;=TodayDate),"Due - contract renews soon",IF(AP120="At risk","Call - going quiet",IF(AL120&gt;=2,"Check - complaints logged",IF(AND(AI120&lt;&gt;"",AI120&lt;MarginFloor,Y120&gt;0),"Check - thin margin","OK")))))))</f>
        <v>0</v>
      </c>
    </row>
    <row r="121" spans="1:45">
      <c r="A121" s="43">
        <f>IF(B121="","",ClientPrefix&amp;TEXT(ROW()-4,"0000"))</f>
        <v>0</v>
      </c>
      <c r="W121" s="31">
        <f>IF(A121="","",COUNTIFS(Properties!$C$5:$C$254,A121))</f>
        <v>0</v>
      </c>
      <c r="X121" s="31">
        <f>IF(A121="","",COUNTIFS(Jobs!$G$5:$G$604,A121))</f>
        <v>0</v>
      </c>
      <c r="Y121" s="31">
        <f>IF(A121="","",COUNTIFS(Jobs!$G$5:$G$604,A121,Jobs!$P$5:$P$604,"Completed")+COUNTIFS(Jobs!$G$5:$G$604,A121,Jobs!$P$5:$P$604,"Invoiced"))</f>
        <v>0</v>
      </c>
      <c r="Z121" s="31">
        <f>IF(A121="","",COUNTIFS(Jobs!$G$5:$G$604,A121,Jobs!$P$5:$P$604,"Cancelled")+COUNTIFS(Jobs!$G$5:$G$604,A121,Jobs!$P$5:$P$604,"No access"))</f>
        <v>0</v>
      </c>
      <c r="AA121" s="18">
        <f>IF(A121="","",IF(SUMPRODUCT(MAX((Jobs!$G$5:$G$604=A121)*((Jobs!$P$5:$P$604="Completed")+(Jobs!$P$5:$P$604="Invoiced"))*Jobs!$B$5:$B$604))=0,"",SUMPRODUCT(MAX((Jobs!$G$5:$G$604=A121)*((Jobs!$P$5:$P$604="Completed")+(Jobs!$P$5:$P$604="Invoiced"))*Jobs!$B$5:$B$604))))</f>
        <v>0</v>
      </c>
      <c r="AB121" s="31">
        <f>IF(AA121="","",TodayDate-AA121)</f>
        <v>0</v>
      </c>
      <c r="AC121" s="18">
        <f>IF(A121="","",IF(SUMPRODUCT(MIN((Jobs!$G$5:$G$604=A121)*(Jobs!$B$5:$B$604&gt;=TodayDate)*(Jobs!$P$5:$P$604&lt;&gt;"Cancelled")*Jobs!$B$5:$B$604+(1-(Jobs!$G$5:$G$604=A121)*(Jobs!$B$5:$B$604&gt;=TodayDate)*(Jobs!$P$5:$P$604&lt;&gt;"Cancelled"))*2958465))=2958465,"",SUMPRODUCT(MIN((Jobs!$G$5:$G$604=A121)*(Jobs!$B$5:$B$604&gt;=TodayDate)*(Jobs!$P$5:$P$604&lt;&gt;"Cancelled")*Jobs!$B$5:$B$604+(1-(Jobs!$G$5:$G$604=A121)*(Jobs!$B$5:$B$604&gt;=TodayDate)*(Jobs!$P$5:$P$604&lt;&gt;"Cancelled"))*2958465))))</f>
        <v>0</v>
      </c>
      <c r="AD121" s="21">
        <f>IF(A121="","",SUMIFS(Invoices!$V$5:$V$404,Invoices!$D$5:$D$404,A121))</f>
        <v>0</v>
      </c>
      <c r="AE121" s="21">
        <f>IF(A121="","",SUMIFS(Invoices!$W$5:$W$404,Invoices!$D$5:$D$404,A121))</f>
        <v>0</v>
      </c>
      <c r="AF121" s="21">
        <f>IF(A121="","",AD121-AE121)</f>
        <v>0</v>
      </c>
      <c r="AG121" s="21">
        <f>IF(OR(A121="",Y121=0),"",AD121/Y121)</f>
        <v>0</v>
      </c>
      <c r="AH121" s="21">
        <f>IF(A121="","",SUMIFS('Job Costing'!$U$5:$U$604,'Job Costing'!$D$5:$D$604,A121))</f>
        <v>0</v>
      </c>
      <c r="AI121" s="38">
        <f>IF(OR(A121="",AD121=0),"",AH121/AD121)</f>
        <v>0</v>
      </c>
      <c r="AJ121" s="21">
        <f>IF(OR(A121="",K121="",AG121=""),"",AG121*IFERROR(INDEX(FreqPerYear,MATCH(K121,FreqNames,0)),1))</f>
        <v>0</v>
      </c>
      <c r="AK121" s="34">
        <f>IF(A121="","",IFERROR(AVERAGEIFS(Jobs!$AA$5:$AA$604,Jobs!$G$5:$G$604,A121,Jobs!$AA$5:$AA$604,"&gt;0"),""))</f>
        <v>0</v>
      </c>
      <c r="AL121" s="31">
        <f>IF(A121="","",COUNTIFS(Complaints!$D$5:$D$84,A121))</f>
        <v>0</v>
      </c>
      <c r="AM121" s="31">
        <f>IF(B121="","",COUNTIFS($AD$5:$AD$204,"&gt;"&amp;AD121)+COUNTIFS($AD$5:AD121,AD121))</f>
        <v>0</v>
      </c>
      <c r="AN121" s="31">
        <f>IF(B121="","",COUNTIFS($AH$5:$AH$204,"&gt;"&amp;AH121)+COUNTIFS($AH$5:AH121,AH121))</f>
        <v>0</v>
      </c>
      <c r="AO121" s="31">
        <f>IF(B121="","",COUNTIFS($AJ$5:$AJ$204,"&gt;"&amp;AJ121)+COUNTIFS($AJ$5:AJ121,AJ121))</f>
        <v>0</v>
      </c>
      <c r="AP121" s="39">
        <f>IF(B121="","",IF(H121="Lost","Lost",IF(H121="Inactive","Dormant",IF(AA121="","Dormant",IF(AB121&gt;InactiveClientDays*2,"Dormant",IF(AB121&gt;InactiveClientDays,"At risk",IF(AC121="","Slipping",IF(Y121&gt;=10,"Loyal","Steady"))))))))</f>
        <v>0</v>
      </c>
      <c r="AQ121" s="34">
        <f>IF(OR(B121="",AP121="Lost",AP121="Dormant"),"",IF(OR(AP121="At risk",AP121="Slipping"),IF(AB121="",999,AB121),""))</f>
        <v>0</v>
      </c>
      <c r="AR121" s="31">
        <f>IF(AQ121="","",COUNTIFS($AQ$5:$AQ$204,"&gt;"&amp;AQ121)+COUNTIFS($AQ$5:AQ121,AQ121))</f>
        <v>0</v>
      </c>
      <c r="AS121" s="39">
        <f>IF(B121="","",IF(AF121&gt;0.5,"Chase - "&amp;TEXT(AF121,"0")&amp;" owing",IF(AND(H121&lt;&gt;"Lost",H121&lt;&gt;"Inactive",H121&lt;&gt;"Paused",AC121="",K121&lt;&gt;"One-off"),"Book - nothing in the diary",IF(AND(S121&lt;&gt;"",S121-TodayDate&lt;=RenewalWarningDays,S121&gt;=TodayDate),"Due - contract renews soon",IF(AP121="At risk","Call - going quiet",IF(AL121&gt;=2,"Check - complaints logged",IF(AND(AI121&lt;&gt;"",AI121&lt;MarginFloor,Y121&gt;0),"Check - thin margin","OK")))))))</f>
        <v>0</v>
      </c>
    </row>
    <row r="122" spans="1:45">
      <c r="A122" s="43">
        <f>IF(B122="","",ClientPrefix&amp;TEXT(ROW()-4,"0000"))</f>
        <v>0</v>
      </c>
      <c r="W122" s="31">
        <f>IF(A122="","",COUNTIFS(Properties!$C$5:$C$254,A122))</f>
        <v>0</v>
      </c>
      <c r="X122" s="31">
        <f>IF(A122="","",COUNTIFS(Jobs!$G$5:$G$604,A122))</f>
        <v>0</v>
      </c>
      <c r="Y122" s="31">
        <f>IF(A122="","",COUNTIFS(Jobs!$G$5:$G$604,A122,Jobs!$P$5:$P$604,"Completed")+COUNTIFS(Jobs!$G$5:$G$604,A122,Jobs!$P$5:$P$604,"Invoiced"))</f>
        <v>0</v>
      </c>
      <c r="Z122" s="31">
        <f>IF(A122="","",COUNTIFS(Jobs!$G$5:$G$604,A122,Jobs!$P$5:$P$604,"Cancelled")+COUNTIFS(Jobs!$G$5:$G$604,A122,Jobs!$P$5:$P$604,"No access"))</f>
        <v>0</v>
      </c>
      <c r="AA122" s="18">
        <f>IF(A122="","",IF(SUMPRODUCT(MAX((Jobs!$G$5:$G$604=A122)*((Jobs!$P$5:$P$604="Completed")+(Jobs!$P$5:$P$604="Invoiced"))*Jobs!$B$5:$B$604))=0,"",SUMPRODUCT(MAX((Jobs!$G$5:$G$604=A122)*((Jobs!$P$5:$P$604="Completed")+(Jobs!$P$5:$P$604="Invoiced"))*Jobs!$B$5:$B$604))))</f>
        <v>0</v>
      </c>
      <c r="AB122" s="31">
        <f>IF(AA122="","",TodayDate-AA122)</f>
        <v>0</v>
      </c>
      <c r="AC122" s="18">
        <f>IF(A122="","",IF(SUMPRODUCT(MIN((Jobs!$G$5:$G$604=A122)*(Jobs!$B$5:$B$604&gt;=TodayDate)*(Jobs!$P$5:$P$604&lt;&gt;"Cancelled")*Jobs!$B$5:$B$604+(1-(Jobs!$G$5:$G$604=A122)*(Jobs!$B$5:$B$604&gt;=TodayDate)*(Jobs!$P$5:$P$604&lt;&gt;"Cancelled"))*2958465))=2958465,"",SUMPRODUCT(MIN((Jobs!$G$5:$G$604=A122)*(Jobs!$B$5:$B$604&gt;=TodayDate)*(Jobs!$P$5:$P$604&lt;&gt;"Cancelled")*Jobs!$B$5:$B$604+(1-(Jobs!$G$5:$G$604=A122)*(Jobs!$B$5:$B$604&gt;=TodayDate)*(Jobs!$P$5:$P$604&lt;&gt;"Cancelled"))*2958465))))</f>
        <v>0</v>
      </c>
      <c r="AD122" s="21">
        <f>IF(A122="","",SUMIFS(Invoices!$V$5:$V$404,Invoices!$D$5:$D$404,A122))</f>
        <v>0</v>
      </c>
      <c r="AE122" s="21">
        <f>IF(A122="","",SUMIFS(Invoices!$W$5:$W$404,Invoices!$D$5:$D$404,A122))</f>
        <v>0</v>
      </c>
      <c r="AF122" s="21">
        <f>IF(A122="","",AD122-AE122)</f>
        <v>0</v>
      </c>
      <c r="AG122" s="21">
        <f>IF(OR(A122="",Y122=0),"",AD122/Y122)</f>
        <v>0</v>
      </c>
      <c r="AH122" s="21">
        <f>IF(A122="","",SUMIFS('Job Costing'!$U$5:$U$604,'Job Costing'!$D$5:$D$604,A122))</f>
        <v>0</v>
      </c>
      <c r="AI122" s="38">
        <f>IF(OR(A122="",AD122=0),"",AH122/AD122)</f>
        <v>0</v>
      </c>
      <c r="AJ122" s="21">
        <f>IF(OR(A122="",K122="",AG122=""),"",AG122*IFERROR(INDEX(FreqPerYear,MATCH(K122,FreqNames,0)),1))</f>
        <v>0</v>
      </c>
      <c r="AK122" s="34">
        <f>IF(A122="","",IFERROR(AVERAGEIFS(Jobs!$AA$5:$AA$604,Jobs!$G$5:$G$604,A122,Jobs!$AA$5:$AA$604,"&gt;0"),""))</f>
        <v>0</v>
      </c>
      <c r="AL122" s="31">
        <f>IF(A122="","",COUNTIFS(Complaints!$D$5:$D$84,A122))</f>
        <v>0</v>
      </c>
      <c r="AM122" s="31">
        <f>IF(B122="","",COUNTIFS($AD$5:$AD$204,"&gt;"&amp;AD122)+COUNTIFS($AD$5:AD122,AD122))</f>
        <v>0</v>
      </c>
      <c r="AN122" s="31">
        <f>IF(B122="","",COUNTIFS($AH$5:$AH$204,"&gt;"&amp;AH122)+COUNTIFS($AH$5:AH122,AH122))</f>
        <v>0</v>
      </c>
      <c r="AO122" s="31">
        <f>IF(B122="","",COUNTIFS($AJ$5:$AJ$204,"&gt;"&amp;AJ122)+COUNTIFS($AJ$5:AJ122,AJ122))</f>
        <v>0</v>
      </c>
      <c r="AP122" s="39">
        <f>IF(B122="","",IF(H122="Lost","Lost",IF(H122="Inactive","Dormant",IF(AA122="","Dormant",IF(AB122&gt;InactiveClientDays*2,"Dormant",IF(AB122&gt;InactiveClientDays,"At risk",IF(AC122="","Slipping",IF(Y122&gt;=10,"Loyal","Steady"))))))))</f>
        <v>0</v>
      </c>
      <c r="AQ122" s="34">
        <f>IF(OR(B122="",AP122="Lost",AP122="Dormant"),"",IF(OR(AP122="At risk",AP122="Slipping"),IF(AB122="",999,AB122),""))</f>
        <v>0</v>
      </c>
      <c r="AR122" s="31">
        <f>IF(AQ122="","",COUNTIFS($AQ$5:$AQ$204,"&gt;"&amp;AQ122)+COUNTIFS($AQ$5:AQ122,AQ122))</f>
        <v>0</v>
      </c>
      <c r="AS122" s="39">
        <f>IF(B122="","",IF(AF122&gt;0.5,"Chase - "&amp;TEXT(AF122,"0")&amp;" owing",IF(AND(H122&lt;&gt;"Lost",H122&lt;&gt;"Inactive",H122&lt;&gt;"Paused",AC122="",K122&lt;&gt;"One-off"),"Book - nothing in the diary",IF(AND(S122&lt;&gt;"",S122-TodayDate&lt;=RenewalWarningDays,S122&gt;=TodayDate),"Due - contract renews soon",IF(AP122="At risk","Call - going quiet",IF(AL122&gt;=2,"Check - complaints logged",IF(AND(AI122&lt;&gt;"",AI122&lt;MarginFloor,Y122&gt;0),"Check - thin margin","OK")))))))</f>
        <v>0</v>
      </c>
    </row>
    <row r="123" spans="1:45">
      <c r="A123" s="43">
        <f>IF(B123="","",ClientPrefix&amp;TEXT(ROW()-4,"0000"))</f>
        <v>0</v>
      </c>
      <c r="W123" s="31">
        <f>IF(A123="","",COUNTIFS(Properties!$C$5:$C$254,A123))</f>
        <v>0</v>
      </c>
      <c r="X123" s="31">
        <f>IF(A123="","",COUNTIFS(Jobs!$G$5:$G$604,A123))</f>
        <v>0</v>
      </c>
      <c r="Y123" s="31">
        <f>IF(A123="","",COUNTIFS(Jobs!$G$5:$G$604,A123,Jobs!$P$5:$P$604,"Completed")+COUNTIFS(Jobs!$G$5:$G$604,A123,Jobs!$P$5:$P$604,"Invoiced"))</f>
        <v>0</v>
      </c>
      <c r="Z123" s="31">
        <f>IF(A123="","",COUNTIFS(Jobs!$G$5:$G$604,A123,Jobs!$P$5:$P$604,"Cancelled")+COUNTIFS(Jobs!$G$5:$G$604,A123,Jobs!$P$5:$P$604,"No access"))</f>
        <v>0</v>
      </c>
      <c r="AA123" s="18">
        <f>IF(A123="","",IF(SUMPRODUCT(MAX((Jobs!$G$5:$G$604=A123)*((Jobs!$P$5:$P$604="Completed")+(Jobs!$P$5:$P$604="Invoiced"))*Jobs!$B$5:$B$604))=0,"",SUMPRODUCT(MAX((Jobs!$G$5:$G$604=A123)*((Jobs!$P$5:$P$604="Completed")+(Jobs!$P$5:$P$604="Invoiced"))*Jobs!$B$5:$B$604))))</f>
        <v>0</v>
      </c>
      <c r="AB123" s="31">
        <f>IF(AA123="","",TodayDate-AA123)</f>
        <v>0</v>
      </c>
      <c r="AC123" s="18">
        <f>IF(A123="","",IF(SUMPRODUCT(MIN((Jobs!$G$5:$G$604=A123)*(Jobs!$B$5:$B$604&gt;=TodayDate)*(Jobs!$P$5:$P$604&lt;&gt;"Cancelled")*Jobs!$B$5:$B$604+(1-(Jobs!$G$5:$G$604=A123)*(Jobs!$B$5:$B$604&gt;=TodayDate)*(Jobs!$P$5:$P$604&lt;&gt;"Cancelled"))*2958465))=2958465,"",SUMPRODUCT(MIN((Jobs!$G$5:$G$604=A123)*(Jobs!$B$5:$B$604&gt;=TodayDate)*(Jobs!$P$5:$P$604&lt;&gt;"Cancelled")*Jobs!$B$5:$B$604+(1-(Jobs!$G$5:$G$604=A123)*(Jobs!$B$5:$B$604&gt;=TodayDate)*(Jobs!$P$5:$P$604&lt;&gt;"Cancelled"))*2958465))))</f>
        <v>0</v>
      </c>
      <c r="AD123" s="21">
        <f>IF(A123="","",SUMIFS(Invoices!$V$5:$V$404,Invoices!$D$5:$D$404,A123))</f>
        <v>0</v>
      </c>
      <c r="AE123" s="21">
        <f>IF(A123="","",SUMIFS(Invoices!$W$5:$W$404,Invoices!$D$5:$D$404,A123))</f>
        <v>0</v>
      </c>
      <c r="AF123" s="21">
        <f>IF(A123="","",AD123-AE123)</f>
        <v>0</v>
      </c>
      <c r="AG123" s="21">
        <f>IF(OR(A123="",Y123=0),"",AD123/Y123)</f>
        <v>0</v>
      </c>
      <c r="AH123" s="21">
        <f>IF(A123="","",SUMIFS('Job Costing'!$U$5:$U$604,'Job Costing'!$D$5:$D$604,A123))</f>
        <v>0</v>
      </c>
      <c r="AI123" s="38">
        <f>IF(OR(A123="",AD123=0),"",AH123/AD123)</f>
        <v>0</v>
      </c>
      <c r="AJ123" s="21">
        <f>IF(OR(A123="",K123="",AG123=""),"",AG123*IFERROR(INDEX(FreqPerYear,MATCH(K123,FreqNames,0)),1))</f>
        <v>0</v>
      </c>
      <c r="AK123" s="34">
        <f>IF(A123="","",IFERROR(AVERAGEIFS(Jobs!$AA$5:$AA$604,Jobs!$G$5:$G$604,A123,Jobs!$AA$5:$AA$604,"&gt;0"),""))</f>
        <v>0</v>
      </c>
      <c r="AL123" s="31">
        <f>IF(A123="","",COUNTIFS(Complaints!$D$5:$D$84,A123))</f>
        <v>0</v>
      </c>
      <c r="AM123" s="31">
        <f>IF(B123="","",COUNTIFS($AD$5:$AD$204,"&gt;"&amp;AD123)+COUNTIFS($AD$5:AD123,AD123))</f>
        <v>0</v>
      </c>
      <c r="AN123" s="31">
        <f>IF(B123="","",COUNTIFS($AH$5:$AH$204,"&gt;"&amp;AH123)+COUNTIFS($AH$5:AH123,AH123))</f>
        <v>0</v>
      </c>
      <c r="AO123" s="31">
        <f>IF(B123="","",COUNTIFS($AJ$5:$AJ$204,"&gt;"&amp;AJ123)+COUNTIFS($AJ$5:AJ123,AJ123))</f>
        <v>0</v>
      </c>
      <c r="AP123" s="39">
        <f>IF(B123="","",IF(H123="Lost","Lost",IF(H123="Inactive","Dormant",IF(AA123="","Dormant",IF(AB123&gt;InactiveClientDays*2,"Dormant",IF(AB123&gt;InactiveClientDays,"At risk",IF(AC123="","Slipping",IF(Y123&gt;=10,"Loyal","Steady"))))))))</f>
        <v>0</v>
      </c>
      <c r="AQ123" s="34">
        <f>IF(OR(B123="",AP123="Lost",AP123="Dormant"),"",IF(OR(AP123="At risk",AP123="Slipping"),IF(AB123="",999,AB123),""))</f>
        <v>0</v>
      </c>
      <c r="AR123" s="31">
        <f>IF(AQ123="","",COUNTIFS($AQ$5:$AQ$204,"&gt;"&amp;AQ123)+COUNTIFS($AQ$5:AQ123,AQ123))</f>
        <v>0</v>
      </c>
      <c r="AS123" s="39">
        <f>IF(B123="","",IF(AF123&gt;0.5,"Chase - "&amp;TEXT(AF123,"0")&amp;" owing",IF(AND(H123&lt;&gt;"Lost",H123&lt;&gt;"Inactive",H123&lt;&gt;"Paused",AC123="",K123&lt;&gt;"One-off"),"Book - nothing in the diary",IF(AND(S123&lt;&gt;"",S123-TodayDate&lt;=RenewalWarningDays,S123&gt;=TodayDate),"Due - contract renews soon",IF(AP123="At risk","Call - going quiet",IF(AL123&gt;=2,"Check - complaints logged",IF(AND(AI123&lt;&gt;"",AI123&lt;MarginFloor,Y123&gt;0),"Check - thin margin","OK")))))))</f>
        <v>0</v>
      </c>
    </row>
    <row r="124" spans="1:45">
      <c r="A124" s="43">
        <f>IF(B124="","",ClientPrefix&amp;TEXT(ROW()-4,"0000"))</f>
        <v>0</v>
      </c>
      <c r="W124" s="31">
        <f>IF(A124="","",COUNTIFS(Properties!$C$5:$C$254,A124))</f>
        <v>0</v>
      </c>
      <c r="X124" s="31">
        <f>IF(A124="","",COUNTIFS(Jobs!$G$5:$G$604,A124))</f>
        <v>0</v>
      </c>
      <c r="Y124" s="31">
        <f>IF(A124="","",COUNTIFS(Jobs!$G$5:$G$604,A124,Jobs!$P$5:$P$604,"Completed")+COUNTIFS(Jobs!$G$5:$G$604,A124,Jobs!$P$5:$P$604,"Invoiced"))</f>
        <v>0</v>
      </c>
      <c r="Z124" s="31">
        <f>IF(A124="","",COUNTIFS(Jobs!$G$5:$G$604,A124,Jobs!$P$5:$P$604,"Cancelled")+COUNTIFS(Jobs!$G$5:$G$604,A124,Jobs!$P$5:$P$604,"No access"))</f>
        <v>0</v>
      </c>
      <c r="AA124" s="18">
        <f>IF(A124="","",IF(SUMPRODUCT(MAX((Jobs!$G$5:$G$604=A124)*((Jobs!$P$5:$P$604="Completed")+(Jobs!$P$5:$P$604="Invoiced"))*Jobs!$B$5:$B$604))=0,"",SUMPRODUCT(MAX((Jobs!$G$5:$G$604=A124)*((Jobs!$P$5:$P$604="Completed")+(Jobs!$P$5:$P$604="Invoiced"))*Jobs!$B$5:$B$604))))</f>
        <v>0</v>
      </c>
      <c r="AB124" s="31">
        <f>IF(AA124="","",TodayDate-AA124)</f>
        <v>0</v>
      </c>
      <c r="AC124" s="18">
        <f>IF(A124="","",IF(SUMPRODUCT(MIN((Jobs!$G$5:$G$604=A124)*(Jobs!$B$5:$B$604&gt;=TodayDate)*(Jobs!$P$5:$P$604&lt;&gt;"Cancelled")*Jobs!$B$5:$B$604+(1-(Jobs!$G$5:$G$604=A124)*(Jobs!$B$5:$B$604&gt;=TodayDate)*(Jobs!$P$5:$P$604&lt;&gt;"Cancelled"))*2958465))=2958465,"",SUMPRODUCT(MIN((Jobs!$G$5:$G$604=A124)*(Jobs!$B$5:$B$604&gt;=TodayDate)*(Jobs!$P$5:$P$604&lt;&gt;"Cancelled")*Jobs!$B$5:$B$604+(1-(Jobs!$G$5:$G$604=A124)*(Jobs!$B$5:$B$604&gt;=TodayDate)*(Jobs!$P$5:$P$604&lt;&gt;"Cancelled"))*2958465))))</f>
        <v>0</v>
      </c>
      <c r="AD124" s="21">
        <f>IF(A124="","",SUMIFS(Invoices!$V$5:$V$404,Invoices!$D$5:$D$404,A124))</f>
        <v>0</v>
      </c>
      <c r="AE124" s="21">
        <f>IF(A124="","",SUMIFS(Invoices!$W$5:$W$404,Invoices!$D$5:$D$404,A124))</f>
        <v>0</v>
      </c>
      <c r="AF124" s="21">
        <f>IF(A124="","",AD124-AE124)</f>
        <v>0</v>
      </c>
      <c r="AG124" s="21">
        <f>IF(OR(A124="",Y124=0),"",AD124/Y124)</f>
        <v>0</v>
      </c>
      <c r="AH124" s="21">
        <f>IF(A124="","",SUMIFS('Job Costing'!$U$5:$U$604,'Job Costing'!$D$5:$D$604,A124))</f>
        <v>0</v>
      </c>
      <c r="AI124" s="38">
        <f>IF(OR(A124="",AD124=0),"",AH124/AD124)</f>
        <v>0</v>
      </c>
      <c r="AJ124" s="21">
        <f>IF(OR(A124="",K124="",AG124=""),"",AG124*IFERROR(INDEX(FreqPerYear,MATCH(K124,FreqNames,0)),1))</f>
        <v>0</v>
      </c>
      <c r="AK124" s="34">
        <f>IF(A124="","",IFERROR(AVERAGEIFS(Jobs!$AA$5:$AA$604,Jobs!$G$5:$G$604,A124,Jobs!$AA$5:$AA$604,"&gt;0"),""))</f>
        <v>0</v>
      </c>
      <c r="AL124" s="31">
        <f>IF(A124="","",COUNTIFS(Complaints!$D$5:$D$84,A124))</f>
        <v>0</v>
      </c>
      <c r="AM124" s="31">
        <f>IF(B124="","",COUNTIFS($AD$5:$AD$204,"&gt;"&amp;AD124)+COUNTIFS($AD$5:AD124,AD124))</f>
        <v>0</v>
      </c>
      <c r="AN124" s="31">
        <f>IF(B124="","",COUNTIFS($AH$5:$AH$204,"&gt;"&amp;AH124)+COUNTIFS($AH$5:AH124,AH124))</f>
        <v>0</v>
      </c>
      <c r="AO124" s="31">
        <f>IF(B124="","",COUNTIFS($AJ$5:$AJ$204,"&gt;"&amp;AJ124)+COUNTIFS($AJ$5:AJ124,AJ124))</f>
        <v>0</v>
      </c>
      <c r="AP124" s="39">
        <f>IF(B124="","",IF(H124="Lost","Lost",IF(H124="Inactive","Dormant",IF(AA124="","Dormant",IF(AB124&gt;InactiveClientDays*2,"Dormant",IF(AB124&gt;InactiveClientDays,"At risk",IF(AC124="","Slipping",IF(Y124&gt;=10,"Loyal","Steady"))))))))</f>
        <v>0</v>
      </c>
      <c r="AQ124" s="34">
        <f>IF(OR(B124="",AP124="Lost",AP124="Dormant"),"",IF(OR(AP124="At risk",AP124="Slipping"),IF(AB124="",999,AB124),""))</f>
        <v>0</v>
      </c>
      <c r="AR124" s="31">
        <f>IF(AQ124="","",COUNTIFS($AQ$5:$AQ$204,"&gt;"&amp;AQ124)+COUNTIFS($AQ$5:AQ124,AQ124))</f>
        <v>0</v>
      </c>
      <c r="AS124" s="39">
        <f>IF(B124="","",IF(AF124&gt;0.5,"Chase - "&amp;TEXT(AF124,"0")&amp;" owing",IF(AND(H124&lt;&gt;"Lost",H124&lt;&gt;"Inactive",H124&lt;&gt;"Paused",AC124="",K124&lt;&gt;"One-off"),"Book - nothing in the diary",IF(AND(S124&lt;&gt;"",S124-TodayDate&lt;=RenewalWarningDays,S124&gt;=TodayDate),"Due - contract renews soon",IF(AP124="At risk","Call - going quiet",IF(AL124&gt;=2,"Check - complaints logged",IF(AND(AI124&lt;&gt;"",AI124&lt;MarginFloor,Y124&gt;0),"Check - thin margin","OK")))))))</f>
        <v>0</v>
      </c>
    </row>
    <row r="125" spans="1:45">
      <c r="A125" s="43">
        <f>IF(B125="","",ClientPrefix&amp;TEXT(ROW()-4,"0000"))</f>
        <v>0</v>
      </c>
      <c r="W125" s="31">
        <f>IF(A125="","",COUNTIFS(Properties!$C$5:$C$254,A125))</f>
        <v>0</v>
      </c>
      <c r="X125" s="31">
        <f>IF(A125="","",COUNTIFS(Jobs!$G$5:$G$604,A125))</f>
        <v>0</v>
      </c>
      <c r="Y125" s="31">
        <f>IF(A125="","",COUNTIFS(Jobs!$G$5:$G$604,A125,Jobs!$P$5:$P$604,"Completed")+COUNTIFS(Jobs!$G$5:$G$604,A125,Jobs!$P$5:$P$604,"Invoiced"))</f>
        <v>0</v>
      </c>
      <c r="Z125" s="31">
        <f>IF(A125="","",COUNTIFS(Jobs!$G$5:$G$604,A125,Jobs!$P$5:$P$604,"Cancelled")+COUNTIFS(Jobs!$G$5:$G$604,A125,Jobs!$P$5:$P$604,"No access"))</f>
        <v>0</v>
      </c>
      <c r="AA125" s="18">
        <f>IF(A125="","",IF(SUMPRODUCT(MAX((Jobs!$G$5:$G$604=A125)*((Jobs!$P$5:$P$604="Completed")+(Jobs!$P$5:$P$604="Invoiced"))*Jobs!$B$5:$B$604))=0,"",SUMPRODUCT(MAX((Jobs!$G$5:$G$604=A125)*((Jobs!$P$5:$P$604="Completed")+(Jobs!$P$5:$P$604="Invoiced"))*Jobs!$B$5:$B$604))))</f>
        <v>0</v>
      </c>
      <c r="AB125" s="31">
        <f>IF(AA125="","",TodayDate-AA125)</f>
        <v>0</v>
      </c>
      <c r="AC125" s="18">
        <f>IF(A125="","",IF(SUMPRODUCT(MIN((Jobs!$G$5:$G$604=A125)*(Jobs!$B$5:$B$604&gt;=TodayDate)*(Jobs!$P$5:$P$604&lt;&gt;"Cancelled")*Jobs!$B$5:$B$604+(1-(Jobs!$G$5:$G$604=A125)*(Jobs!$B$5:$B$604&gt;=TodayDate)*(Jobs!$P$5:$P$604&lt;&gt;"Cancelled"))*2958465))=2958465,"",SUMPRODUCT(MIN((Jobs!$G$5:$G$604=A125)*(Jobs!$B$5:$B$604&gt;=TodayDate)*(Jobs!$P$5:$P$604&lt;&gt;"Cancelled")*Jobs!$B$5:$B$604+(1-(Jobs!$G$5:$G$604=A125)*(Jobs!$B$5:$B$604&gt;=TodayDate)*(Jobs!$P$5:$P$604&lt;&gt;"Cancelled"))*2958465))))</f>
        <v>0</v>
      </c>
      <c r="AD125" s="21">
        <f>IF(A125="","",SUMIFS(Invoices!$V$5:$V$404,Invoices!$D$5:$D$404,A125))</f>
        <v>0</v>
      </c>
      <c r="AE125" s="21">
        <f>IF(A125="","",SUMIFS(Invoices!$W$5:$W$404,Invoices!$D$5:$D$404,A125))</f>
        <v>0</v>
      </c>
      <c r="AF125" s="21">
        <f>IF(A125="","",AD125-AE125)</f>
        <v>0</v>
      </c>
      <c r="AG125" s="21">
        <f>IF(OR(A125="",Y125=0),"",AD125/Y125)</f>
        <v>0</v>
      </c>
      <c r="AH125" s="21">
        <f>IF(A125="","",SUMIFS('Job Costing'!$U$5:$U$604,'Job Costing'!$D$5:$D$604,A125))</f>
        <v>0</v>
      </c>
      <c r="AI125" s="38">
        <f>IF(OR(A125="",AD125=0),"",AH125/AD125)</f>
        <v>0</v>
      </c>
      <c r="AJ125" s="21">
        <f>IF(OR(A125="",K125="",AG125=""),"",AG125*IFERROR(INDEX(FreqPerYear,MATCH(K125,FreqNames,0)),1))</f>
        <v>0</v>
      </c>
      <c r="AK125" s="34">
        <f>IF(A125="","",IFERROR(AVERAGEIFS(Jobs!$AA$5:$AA$604,Jobs!$G$5:$G$604,A125,Jobs!$AA$5:$AA$604,"&gt;0"),""))</f>
        <v>0</v>
      </c>
      <c r="AL125" s="31">
        <f>IF(A125="","",COUNTIFS(Complaints!$D$5:$D$84,A125))</f>
        <v>0</v>
      </c>
      <c r="AM125" s="31">
        <f>IF(B125="","",COUNTIFS($AD$5:$AD$204,"&gt;"&amp;AD125)+COUNTIFS($AD$5:AD125,AD125))</f>
        <v>0</v>
      </c>
      <c r="AN125" s="31">
        <f>IF(B125="","",COUNTIFS($AH$5:$AH$204,"&gt;"&amp;AH125)+COUNTIFS($AH$5:AH125,AH125))</f>
        <v>0</v>
      </c>
      <c r="AO125" s="31">
        <f>IF(B125="","",COUNTIFS($AJ$5:$AJ$204,"&gt;"&amp;AJ125)+COUNTIFS($AJ$5:AJ125,AJ125))</f>
        <v>0</v>
      </c>
      <c r="AP125" s="39">
        <f>IF(B125="","",IF(H125="Lost","Lost",IF(H125="Inactive","Dormant",IF(AA125="","Dormant",IF(AB125&gt;InactiveClientDays*2,"Dormant",IF(AB125&gt;InactiveClientDays,"At risk",IF(AC125="","Slipping",IF(Y125&gt;=10,"Loyal","Steady"))))))))</f>
        <v>0</v>
      </c>
      <c r="AQ125" s="34">
        <f>IF(OR(B125="",AP125="Lost",AP125="Dormant"),"",IF(OR(AP125="At risk",AP125="Slipping"),IF(AB125="",999,AB125),""))</f>
        <v>0</v>
      </c>
      <c r="AR125" s="31">
        <f>IF(AQ125="","",COUNTIFS($AQ$5:$AQ$204,"&gt;"&amp;AQ125)+COUNTIFS($AQ$5:AQ125,AQ125))</f>
        <v>0</v>
      </c>
      <c r="AS125" s="39">
        <f>IF(B125="","",IF(AF125&gt;0.5,"Chase - "&amp;TEXT(AF125,"0")&amp;" owing",IF(AND(H125&lt;&gt;"Lost",H125&lt;&gt;"Inactive",H125&lt;&gt;"Paused",AC125="",K125&lt;&gt;"One-off"),"Book - nothing in the diary",IF(AND(S125&lt;&gt;"",S125-TodayDate&lt;=RenewalWarningDays,S125&gt;=TodayDate),"Due - contract renews soon",IF(AP125="At risk","Call - going quiet",IF(AL125&gt;=2,"Check - complaints logged",IF(AND(AI125&lt;&gt;"",AI125&lt;MarginFloor,Y125&gt;0),"Check - thin margin","OK")))))))</f>
        <v>0</v>
      </c>
    </row>
    <row r="126" spans="1:45">
      <c r="A126" s="43">
        <f>IF(B126="","",ClientPrefix&amp;TEXT(ROW()-4,"0000"))</f>
        <v>0</v>
      </c>
      <c r="W126" s="31">
        <f>IF(A126="","",COUNTIFS(Properties!$C$5:$C$254,A126))</f>
        <v>0</v>
      </c>
      <c r="X126" s="31">
        <f>IF(A126="","",COUNTIFS(Jobs!$G$5:$G$604,A126))</f>
        <v>0</v>
      </c>
      <c r="Y126" s="31">
        <f>IF(A126="","",COUNTIFS(Jobs!$G$5:$G$604,A126,Jobs!$P$5:$P$604,"Completed")+COUNTIFS(Jobs!$G$5:$G$604,A126,Jobs!$P$5:$P$604,"Invoiced"))</f>
        <v>0</v>
      </c>
      <c r="Z126" s="31">
        <f>IF(A126="","",COUNTIFS(Jobs!$G$5:$G$604,A126,Jobs!$P$5:$P$604,"Cancelled")+COUNTIFS(Jobs!$G$5:$G$604,A126,Jobs!$P$5:$P$604,"No access"))</f>
        <v>0</v>
      </c>
      <c r="AA126" s="18">
        <f>IF(A126="","",IF(SUMPRODUCT(MAX((Jobs!$G$5:$G$604=A126)*((Jobs!$P$5:$P$604="Completed")+(Jobs!$P$5:$P$604="Invoiced"))*Jobs!$B$5:$B$604))=0,"",SUMPRODUCT(MAX((Jobs!$G$5:$G$604=A126)*((Jobs!$P$5:$P$604="Completed")+(Jobs!$P$5:$P$604="Invoiced"))*Jobs!$B$5:$B$604))))</f>
        <v>0</v>
      </c>
      <c r="AB126" s="31">
        <f>IF(AA126="","",TodayDate-AA126)</f>
        <v>0</v>
      </c>
      <c r="AC126" s="18">
        <f>IF(A126="","",IF(SUMPRODUCT(MIN((Jobs!$G$5:$G$604=A126)*(Jobs!$B$5:$B$604&gt;=TodayDate)*(Jobs!$P$5:$P$604&lt;&gt;"Cancelled")*Jobs!$B$5:$B$604+(1-(Jobs!$G$5:$G$604=A126)*(Jobs!$B$5:$B$604&gt;=TodayDate)*(Jobs!$P$5:$P$604&lt;&gt;"Cancelled"))*2958465))=2958465,"",SUMPRODUCT(MIN((Jobs!$G$5:$G$604=A126)*(Jobs!$B$5:$B$604&gt;=TodayDate)*(Jobs!$P$5:$P$604&lt;&gt;"Cancelled")*Jobs!$B$5:$B$604+(1-(Jobs!$G$5:$G$604=A126)*(Jobs!$B$5:$B$604&gt;=TodayDate)*(Jobs!$P$5:$P$604&lt;&gt;"Cancelled"))*2958465))))</f>
        <v>0</v>
      </c>
      <c r="AD126" s="21">
        <f>IF(A126="","",SUMIFS(Invoices!$V$5:$V$404,Invoices!$D$5:$D$404,A126))</f>
        <v>0</v>
      </c>
      <c r="AE126" s="21">
        <f>IF(A126="","",SUMIFS(Invoices!$W$5:$W$404,Invoices!$D$5:$D$404,A126))</f>
        <v>0</v>
      </c>
      <c r="AF126" s="21">
        <f>IF(A126="","",AD126-AE126)</f>
        <v>0</v>
      </c>
      <c r="AG126" s="21">
        <f>IF(OR(A126="",Y126=0),"",AD126/Y126)</f>
        <v>0</v>
      </c>
      <c r="AH126" s="21">
        <f>IF(A126="","",SUMIFS('Job Costing'!$U$5:$U$604,'Job Costing'!$D$5:$D$604,A126))</f>
        <v>0</v>
      </c>
      <c r="AI126" s="38">
        <f>IF(OR(A126="",AD126=0),"",AH126/AD126)</f>
        <v>0</v>
      </c>
      <c r="AJ126" s="21">
        <f>IF(OR(A126="",K126="",AG126=""),"",AG126*IFERROR(INDEX(FreqPerYear,MATCH(K126,FreqNames,0)),1))</f>
        <v>0</v>
      </c>
      <c r="AK126" s="34">
        <f>IF(A126="","",IFERROR(AVERAGEIFS(Jobs!$AA$5:$AA$604,Jobs!$G$5:$G$604,A126,Jobs!$AA$5:$AA$604,"&gt;0"),""))</f>
        <v>0</v>
      </c>
      <c r="AL126" s="31">
        <f>IF(A126="","",COUNTIFS(Complaints!$D$5:$D$84,A126))</f>
        <v>0</v>
      </c>
      <c r="AM126" s="31">
        <f>IF(B126="","",COUNTIFS($AD$5:$AD$204,"&gt;"&amp;AD126)+COUNTIFS($AD$5:AD126,AD126))</f>
        <v>0</v>
      </c>
      <c r="AN126" s="31">
        <f>IF(B126="","",COUNTIFS($AH$5:$AH$204,"&gt;"&amp;AH126)+COUNTIFS($AH$5:AH126,AH126))</f>
        <v>0</v>
      </c>
      <c r="AO126" s="31">
        <f>IF(B126="","",COUNTIFS($AJ$5:$AJ$204,"&gt;"&amp;AJ126)+COUNTIFS($AJ$5:AJ126,AJ126))</f>
        <v>0</v>
      </c>
      <c r="AP126" s="39">
        <f>IF(B126="","",IF(H126="Lost","Lost",IF(H126="Inactive","Dormant",IF(AA126="","Dormant",IF(AB126&gt;InactiveClientDays*2,"Dormant",IF(AB126&gt;InactiveClientDays,"At risk",IF(AC126="","Slipping",IF(Y126&gt;=10,"Loyal","Steady"))))))))</f>
        <v>0</v>
      </c>
      <c r="AQ126" s="34">
        <f>IF(OR(B126="",AP126="Lost",AP126="Dormant"),"",IF(OR(AP126="At risk",AP126="Slipping"),IF(AB126="",999,AB126),""))</f>
        <v>0</v>
      </c>
      <c r="AR126" s="31">
        <f>IF(AQ126="","",COUNTIFS($AQ$5:$AQ$204,"&gt;"&amp;AQ126)+COUNTIFS($AQ$5:AQ126,AQ126))</f>
        <v>0</v>
      </c>
      <c r="AS126" s="39">
        <f>IF(B126="","",IF(AF126&gt;0.5,"Chase - "&amp;TEXT(AF126,"0")&amp;" owing",IF(AND(H126&lt;&gt;"Lost",H126&lt;&gt;"Inactive",H126&lt;&gt;"Paused",AC126="",K126&lt;&gt;"One-off"),"Book - nothing in the diary",IF(AND(S126&lt;&gt;"",S126-TodayDate&lt;=RenewalWarningDays,S126&gt;=TodayDate),"Due - contract renews soon",IF(AP126="At risk","Call - going quiet",IF(AL126&gt;=2,"Check - complaints logged",IF(AND(AI126&lt;&gt;"",AI126&lt;MarginFloor,Y126&gt;0),"Check - thin margin","OK")))))))</f>
        <v>0</v>
      </c>
    </row>
    <row r="127" spans="1:45">
      <c r="A127" s="43">
        <f>IF(B127="","",ClientPrefix&amp;TEXT(ROW()-4,"0000"))</f>
        <v>0</v>
      </c>
      <c r="W127" s="31">
        <f>IF(A127="","",COUNTIFS(Properties!$C$5:$C$254,A127))</f>
        <v>0</v>
      </c>
      <c r="X127" s="31">
        <f>IF(A127="","",COUNTIFS(Jobs!$G$5:$G$604,A127))</f>
        <v>0</v>
      </c>
      <c r="Y127" s="31">
        <f>IF(A127="","",COUNTIFS(Jobs!$G$5:$G$604,A127,Jobs!$P$5:$P$604,"Completed")+COUNTIFS(Jobs!$G$5:$G$604,A127,Jobs!$P$5:$P$604,"Invoiced"))</f>
        <v>0</v>
      </c>
      <c r="Z127" s="31">
        <f>IF(A127="","",COUNTIFS(Jobs!$G$5:$G$604,A127,Jobs!$P$5:$P$604,"Cancelled")+COUNTIFS(Jobs!$G$5:$G$604,A127,Jobs!$P$5:$P$604,"No access"))</f>
        <v>0</v>
      </c>
      <c r="AA127" s="18">
        <f>IF(A127="","",IF(SUMPRODUCT(MAX((Jobs!$G$5:$G$604=A127)*((Jobs!$P$5:$P$604="Completed")+(Jobs!$P$5:$P$604="Invoiced"))*Jobs!$B$5:$B$604))=0,"",SUMPRODUCT(MAX((Jobs!$G$5:$G$604=A127)*((Jobs!$P$5:$P$604="Completed")+(Jobs!$P$5:$P$604="Invoiced"))*Jobs!$B$5:$B$604))))</f>
        <v>0</v>
      </c>
      <c r="AB127" s="31">
        <f>IF(AA127="","",TodayDate-AA127)</f>
        <v>0</v>
      </c>
      <c r="AC127" s="18">
        <f>IF(A127="","",IF(SUMPRODUCT(MIN((Jobs!$G$5:$G$604=A127)*(Jobs!$B$5:$B$604&gt;=TodayDate)*(Jobs!$P$5:$P$604&lt;&gt;"Cancelled")*Jobs!$B$5:$B$604+(1-(Jobs!$G$5:$G$604=A127)*(Jobs!$B$5:$B$604&gt;=TodayDate)*(Jobs!$P$5:$P$604&lt;&gt;"Cancelled"))*2958465))=2958465,"",SUMPRODUCT(MIN((Jobs!$G$5:$G$604=A127)*(Jobs!$B$5:$B$604&gt;=TodayDate)*(Jobs!$P$5:$P$604&lt;&gt;"Cancelled")*Jobs!$B$5:$B$604+(1-(Jobs!$G$5:$G$604=A127)*(Jobs!$B$5:$B$604&gt;=TodayDate)*(Jobs!$P$5:$P$604&lt;&gt;"Cancelled"))*2958465))))</f>
        <v>0</v>
      </c>
      <c r="AD127" s="21">
        <f>IF(A127="","",SUMIFS(Invoices!$V$5:$V$404,Invoices!$D$5:$D$404,A127))</f>
        <v>0</v>
      </c>
      <c r="AE127" s="21">
        <f>IF(A127="","",SUMIFS(Invoices!$W$5:$W$404,Invoices!$D$5:$D$404,A127))</f>
        <v>0</v>
      </c>
      <c r="AF127" s="21">
        <f>IF(A127="","",AD127-AE127)</f>
        <v>0</v>
      </c>
      <c r="AG127" s="21">
        <f>IF(OR(A127="",Y127=0),"",AD127/Y127)</f>
        <v>0</v>
      </c>
      <c r="AH127" s="21">
        <f>IF(A127="","",SUMIFS('Job Costing'!$U$5:$U$604,'Job Costing'!$D$5:$D$604,A127))</f>
        <v>0</v>
      </c>
      <c r="AI127" s="38">
        <f>IF(OR(A127="",AD127=0),"",AH127/AD127)</f>
        <v>0</v>
      </c>
      <c r="AJ127" s="21">
        <f>IF(OR(A127="",K127="",AG127=""),"",AG127*IFERROR(INDEX(FreqPerYear,MATCH(K127,FreqNames,0)),1))</f>
        <v>0</v>
      </c>
      <c r="AK127" s="34">
        <f>IF(A127="","",IFERROR(AVERAGEIFS(Jobs!$AA$5:$AA$604,Jobs!$G$5:$G$604,A127,Jobs!$AA$5:$AA$604,"&gt;0"),""))</f>
        <v>0</v>
      </c>
      <c r="AL127" s="31">
        <f>IF(A127="","",COUNTIFS(Complaints!$D$5:$D$84,A127))</f>
        <v>0</v>
      </c>
      <c r="AM127" s="31">
        <f>IF(B127="","",COUNTIFS($AD$5:$AD$204,"&gt;"&amp;AD127)+COUNTIFS($AD$5:AD127,AD127))</f>
        <v>0</v>
      </c>
      <c r="AN127" s="31">
        <f>IF(B127="","",COUNTIFS($AH$5:$AH$204,"&gt;"&amp;AH127)+COUNTIFS($AH$5:AH127,AH127))</f>
        <v>0</v>
      </c>
      <c r="AO127" s="31">
        <f>IF(B127="","",COUNTIFS($AJ$5:$AJ$204,"&gt;"&amp;AJ127)+COUNTIFS($AJ$5:AJ127,AJ127))</f>
        <v>0</v>
      </c>
      <c r="AP127" s="39">
        <f>IF(B127="","",IF(H127="Lost","Lost",IF(H127="Inactive","Dormant",IF(AA127="","Dormant",IF(AB127&gt;InactiveClientDays*2,"Dormant",IF(AB127&gt;InactiveClientDays,"At risk",IF(AC127="","Slipping",IF(Y127&gt;=10,"Loyal","Steady"))))))))</f>
        <v>0</v>
      </c>
      <c r="AQ127" s="34">
        <f>IF(OR(B127="",AP127="Lost",AP127="Dormant"),"",IF(OR(AP127="At risk",AP127="Slipping"),IF(AB127="",999,AB127),""))</f>
        <v>0</v>
      </c>
      <c r="AR127" s="31">
        <f>IF(AQ127="","",COUNTIFS($AQ$5:$AQ$204,"&gt;"&amp;AQ127)+COUNTIFS($AQ$5:AQ127,AQ127))</f>
        <v>0</v>
      </c>
      <c r="AS127" s="39">
        <f>IF(B127="","",IF(AF127&gt;0.5,"Chase - "&amp;TEXT(AF127,"0")&amp;" owing",IF(AND(H127&lt;&gt;"Lost",H127&lt;&gt;"Inactive",H127&lt;&gt;"Paused",AC127="",K127&lt;&gt;"One-off"),"Book - nothing in the diary",IF(AND(S127&lt;&gt;"",S127-TodayDate&lt;=RenewalWarningDays,S127&gt;=TodayDate),"Due - contract renews soon",IF(AP127="At risk","Call - going quiet",IF(AL127&gt;=2,"Check - complaints logged",IF(AND(AI127&lt;&gt;"",AI127&lt;MarginFloor,Y127&gt;0),"Check - thin margin","OK")))))))</f>
        <v>0</v>
      </c>
    </row>
    <row r="128" spans="1:45">
      <c r="A128" s="43">
        <f>IF(B128="","",ClientPrefix&amp;TEXT(ROW()-4,"0000"))</f>
        <v>0</v>
      </c>
      <c r="W128" s="31">
        <f>IF(A128="","",COUNTIFS(Properties!$C$5:$C$254,A128))</f>
        <v>0</v>
      </c>
      <c r="X128" s="31">
        <f>IF(A128="","",COUNTIFS(Jobs!$G$5:$G$604,A128))</f>
        <v>0</v>
      </c>
      <c r="Y128" s="31">
        <f>IF(A128="","",COUNTIFS(Jobs!$G$5:$G$604,A128,Jobs!$P$5:$P$604,"Completed")+COUNTIFS(Jobs!$G$5:$G$604,A128,Jobs!$P$5:$P$604,"Invoiced"))</f>
        <v>0</v>
      </c>
      <c r="Z128" s="31">
        <f>IF(A128="","",COUNTIFS(Jobs!$G$5:$G$604,A128,Jobs!$P$5:$P$604,"Cancelled")+COUNTIFS(Jobs!$G$5:$G$604,A128,Jobs!$P$5:$P$604,"No access"))</f>
        <v>0</v>
      </c>
      <c r="AA128" s="18">
        <f>IF(A128="","",IF(SUMPRODUCT(MAX((Jobs!$G$5:$G$604=A128)*((Jobs!$P$5:$P$604="Completed")+(Jobs!$P$5:$P$604="Invoiced"))*Jobs!$B$5:$B$604))=0,"",SUMPRODUCT(MAX((Jobs!$G$5:$G$604=A128)*((Jobs!$P$5:$P$604="Completed")+(Jobs!$P$5:$P$604="Invoiced"))*Jobs!$B$5:$B$604))))</f>
        <v>0</v>
      </c>
      <c r="AB128" s="31">
        <f>IF(AA128="","",TodayDate-AA128)</f>
        <v>0</v>
      </c>
      <c r="AC128" s="18">
        <f>IF(A128="","",IF(SUMPRODUCT(MIN((Jobs!$G$5:$G$604=A128)*(Jobs!$B$5:$B$604&gt;=TodayDate)*(Jobs!$P$5:$P$604&lt;&gt;"Cancelled")*Jobs!$B$5:$B$604+(1-(Jobs!$G$5:$G$604=A128)*(Jobs!$B$5:$B$604&gt;=TodayDate)*(Jobs!$P$5:$P$604&lt;&gt;"Cancelled"))*2958465))=2958465,"",SUMPRODUCT(MIN((Jobs!$G$5:$G$604=A128)*(Jobs!$B$5:$B$604&gt;=TodayDate)*(Jobs!$P$5:$P$604&lt;&gt;"Cancelled")*Jobs!$B$5:$B$604+(1-(Jobs!$G$5:$G$604=A128)*(Jobs!$B$5:$B$604&gt;=TodayDate)*(Jobs!$P$5:$P$604&lt;&gt;"Cancelled"))*2958465))))</f>
        <v>0</v>
      </c>
      <c r="AD128" s="21">
        <f>IF(A128="","",SUMIFS(Invoices!$V$5:$V$404,Invoices!$D$5:$D$404,A128))</f>
        <v>0</v>
      </c>
      <c r="AE128" s="21">
        <f>IF(A128="","",SUMIFS(Invoices!$W$5:$W$404,Invoices!$D$5:$D$404,A128))</f>
        <v>0</v>
      </c>
      <c r="AF128" s="21">
        <f>IF(A128="","",AD128-AE128)</f>
        <v>0</v>
      </c>
      <c r="AG128" s="21">
        <f>IF(OR(A128="",Y128=0),"",AD128/Y128)</f>
        <v>0</v>
      </c>
      <c r="AH128" s="21">
        <f>IF(A128="","",SUMIFS('Job Costing'!$U$5:$U$604,'Job Costing'!$D$5:$D$604,A128))</f>
        <v>0</v>
      </c>
      <c r="AI128" s="38">
        <f>IF(OR(A128="",AD128=0),"",AH128/AD128)</f>
        <v>0</v>
      </c>
      <c r="AJ128" s="21">
        <f>IF(OR(A128="",K128="",AG128=""),"",AG128*IFERROR(INDEX(FreqPerYear,MATCH(K128,FreqNames,0)),1))</f>
        <v>0</v>
      </c>
      <c r="AK128" s="34">
        <f>IF(A128="","",IFERROR(AVERAGEIFS(Jobs!$AA$5:$AA$604,Jobs!$G$5:$G$604,A128,Jobs!$AA$5:$AA$604,"&gt;0"),""))</f>
        <v>0</v>
      </c>
      <c r="AL128" s="31">
        <f>IF(A128="","",COUNTIFS(Complaints!$D$5:$D$84,A128))</f>
        <v>0</v>
      </c>
      <c r="AM128" s="31">
        <f>IF(B128="","",COUNTIFS($AD$5:$AD$204,"&gt;"&amp;AD128)+COUNTIFS($AD$5:AD128,AD128))</f>
        <v>0</v>
      </c>
      <c r="AN128" s="31">
        <f>IF(B128="","",COUNTIFS($AH$5:$AH$204,"&gt;"&amp;AH128)+COUNTIFS($AH$5:AH128,AH128))</f>
        <v>0</v>
      </c>
      <c r="AO128" s="31">
        <f>IF(B128="","",COUNTIFS($AJ$5:$AJ$204,"&gt;"&amp;AJ128)+COUNTIFS($AJ$5:AJ128,AJ128))</f>
        <v>0</v>
      </c>
      <c r="AP128" s="39">
        <f>IF(B128="","",IF(H128="Lost","Lost",IF(H128="Inactive","Dormant",IF(AA128="","Dormant",IF(AB128&gt;InactiveClientDays*2,"Dormant",IF(AB128&gt;InactiveClientDays,"At risk",IF(AC128="","Slipping",IF(Y128&gt;=10,"Loyal","Steady"))))))))</f>
        <v>0</v>
      </c>
      <c r="AQ128" s="34">
        <f>IF(OR(B128="",AP128="Lost",AP128="Dormant"),"",IF(OR(AP128="At risk",AP128="Slipping"),IF(AB128="",999,AB128),""))</f>
        <v>0</v>
      </c>
      <c r="AR128" s="31">
        <f>IF(AQ128="","",COUNTIFS($AQ$5:$AQ$204,"&gt;"&amp;AQ128)+COUNTIFS($AQ$5:AQ128,AQ128))</f>
        <v>0</v>
      </c>
      <c r="AS128" s="39">
        <f>IF(B128="","",IF(AF128&gt;0.5,"Chase - "&amp;TEXT(AF128,"0")&amp;" owing",IF(AND(H128&lt;&gt;"Lost",H128&lt;&gt;"Inactive",H128&lt;&gt;"Paused",AC128="",K128&lt;&gt;"One-off"),"Book - nothing in the diary",IF(AND(S128&lt;&gt;"",S128-TodayDate&lt;=RenewalWarningDays,S128&gt;=TodayDate),"Due - contract renews soon",IF(AP128="At risk","Call - going quiet",IF(AL128&gt;=2,"Check - complaints logged",IF(AND(AI128&lt;&gt;"",AI128&lt;MarginFloor,Y128&gt;0),"Check - thin margin","OK")))))))</f>
        <v>0</v>
      </c>
    </row>
    <row r="129" spans="1:45">
      <c r="A129" s="43">
        <f>IF(B129="","",ClientPrefix&amp;TEXT(ROW()-4,"0000"))</f>
        <v>0</v>
      </c>
      <c r="W129" s="31">
        <f>IF(A129="","",COUNTIFS(Properties!$C$5:$C$254,A129))</f>
        <v>0</v>
      </c>
      <c r="X129" s="31">
        <f>IF(A129="","",COUNTIFS(Jobs!$G$5:$G$604,A129))</f>
        <v>0</v>
      </c>
      <c r="Y129" s="31">
        <f>IF(A129="","",COUNTIFS(Jobs!$G$5:$G$604,A129,Jobs!$P$5:$P$604,"Completed")+COUNTIFS(Jobs!$G$5:$G$604,A129,Jobs!$P$5:$P$604,"Invoiced"))</f>
        <v>0</v>
      </c>
      <c r="Z129" s="31">
        <f>IF(A129="","",COUNTIFS(Jobs!$G$5:$G$604,A129,Jobs!$P$5:$P$604,"Cancelled")+COUNTIFS(Jobs!$G$5:$G$604,A129,Jobs!$P$5:$P$604,"No access"))</f>
        <v>0</v>
      </c>
      <c r="AA129" s="18">
        <f>IF(A129="","",IF(SUMPRODUCT(MAX((Jobs!$G$5:$G$604=A129)*((Jobs!$P$5:$P$604="Completed")+(Jobs!$P$5:$P$604="Invoiced"))*Jobs!$B$5:$B$604))=0,"",SUMPRODUCT(MAX((Jobs!$G$5:$G$604=A129)*((Jobs!$P$5:$P$604="Completed")+(Jobs!$P$5:$P$604="Invoiced"))*Jobs!$B$5:$B$604))))</f>
        <v>0</v>
      </c>
      <c r="AB129" s="31">
        <f>IF(AA129="","",TodayDate-AA129)</f>
        <v>0</v>
      </c>
      <c r="AC129" s="18">
        <f>IF(A129="","",IF(SUMPRODUCT(MIN((Jobs!$G$5:$G$604=A129)*(Jobs!$B$5:$B$604&gt;=TodayDate)*(Jobs!$P$5:$P$604&lt;&gt;"Cancelled")*Jobs!$B$5:$B$604+(1-(Jobs!$G$5:$G$604=A129)*(Jobs!$B$5:$B$604&gt;=TodayDate)*(Jobs!$P$5:$P$604&lt;&gt;"Cancelled"))*2958465))=2958465,"",SUMPRODUCT(MIN((Jobs!$G$5:$G$604=A129)*(Jobs!$B$5:$B$604&gt;=TodayDate)*(Jobs!$P$5:$P$604&lt;&gt;"Cancelled")*Jobs!$B$5:$B$604+(1-(Jobs!$G$5:$G$604=A129)*(Jobs!$B$5:$B$604&gt;=TodayDate)*(Jobs!$P$5:$P$604&lt;&gt;"Cancelled"))*2958465))))</f>
        <v>0</v>
      </c>
      <c r="AD129" s="21">
        <f>IF(A129="","",SUMIFS(Invoices!$V$5:$V$404,Invoices!$D$5:$D$404,A129))</f>
        <v>0</v>
      </c>
      <c r="AE129" s="21">
        <f>IF(A129="","",SUMIFS(Invoices!$W$5:$W$404,Invoices!$D$5:$D$404,A129))</f>
        <v>0</v>
      </c>
      <c r="AF129" s="21">
        <f>IF(A129="","",AD129-AE129)</f>
        <v>0</v>
      </c>
      <c r="AG129" s="21">
        <f>IF(OR(A129="",Y129=0),"",AD129/Y129)</f>
        <v>0</v>
      </c>
      <c r="AH129" s="21">
        <f>IF(A129="","",SUMIFS('Job Costing'!$U$5:$U$604,'Job Costing'!$D$5:$D$604,A129))</f>
        <v>0</v>
      </c>
      <c r="AI129" s="38">
        <f>IF(OR(A129="",AD129=0),"",AH129/AD129)</f>
        <v>0</v>
      </c>
      <c r="AJ129" s="21">
        <f>IF(OR(A129="",K129="",AG129=""),"",AG129*IFERROR(INDEX(FreqPerYear,MATCH(K129,FreqNames,0)),1))</f>
        <v>0</v>
      </c>
      <c r="AK129" s="34">
        <f>IF(A129="","",IFERROR(AVERAGEIFS(Jobs!$AA$5:$AA$604,Jobs!$G$5:$G$604,A129,Jobs!$AA$5:$AA$604,"&gt;0"),""))</f>
        <v>0</v>
      </c>
      <c r="AL129" s="31">
        <f>IF(A129="","",COUNTIFS(Complaints!$D$5:$D$84,A129))</f>
        <v>0</v>
      </c>
      <c r="AM129" s="31">
        <f>IF(B129="","",COUNTIFS($AD$5:$AD$204,"&gt;"&amp;AD129)+COUNTIFS($AD$5:AD129,AD129))</f>
        <v>0</v>
      </c>
      <c r="AN129" s="31">
        <f>IF(B129="","",COUNTIFS($AH$5:$AH$204,"&gt;"&amp;AH129)+COUNTIFS($AH$5:AH129,AH129))</f>
        <v>0</v>
      </c>
      <c r="AO129" s="31">
        <f>IF(B129="","",COUNTIFS($AJ$5:$AJ$204,"&gt;"&amp;AJ129)+COUNTIFS($AJ$5:AJ129,AJ129))</f>
        <v>0</v>
      </c>
      <c r="AP129" s="39">
        <f>IF(B129="","",IF(H129="Lost","Lost",IF(H129="Inactive","Dormant",IF(AA129="","Dormant",IF(AB129&gt;InactiveClientDays*2,"Dormant",IF(AB129&gt;InactiveClientDays,"At risk",IF(AC129="","Slipping",IF(Y129&gt;=10,"Loyal","Steady"))))))))</f>
        <v>0</v>
      </c>
      <c r="AQ129" s="34">
        <f>IF(OR(B129="",AP129="Lost",AP129="Dormant"),"",IF(OR(AP129="At risk",AP129="Slipping"),IF(AB129="",999,AB129),""))</f>
        <v>0</v>
      </c>
      <c r="AR129" s="31">
        <f>IF(AQ129="","",COUNTIFS($AQ$5:$AQ$204,"&gt;"&amp;AQ129)+COUNTIFS($AQ$5:AQ129,AQ129))</f>
        <v>0</v>
      </c>
      <c r="AS129" s="39">
        <f>IF(B129="","",IF(AF129&gt;0.5,"Chase - "&amp;TEXT(AF129,"0")&amp;" owing",IF(AND(H129&lt;&gt;"Lost",H129&lt;&gt;"Inactive",H129&lt;&gt;"Paused",AC129="",K129&lt;&gt;"One-off"),"Book - nothing in the diary",IF(AND(S129&lt;&gt;"",S129-TodayDate&lt;=RenewalWarningDays,S129&gt;=TodayDate),"Due - contract renews soon",IF(AP129="At risk","Call - going quiet",IF(AL129&gt;=2,"Check - complaints logged",IF(AND(AI129&lt;&gt;"",AI129&lt;MarginFloor,Y129&gt;0),"Check - thin margin","OK")))))))</f>
        <v>0</v>
      </c>
    </row>
    <row r="130" spans="1:45">
      <c r="A130" s="43">
        <f>IF(B130="","",ClientPrefix&amp;TEXT(ROW()-4,"0000"))</f>
        <v>0</v>
      </c>
      <c r="W130" s="31">
        <f>IF(A130="","",COUNTIFS(Properties!$C$5:$C$254,A130))</f>
        <v>0</v>
      </c>
      <c r="X130" s="31">
        <f>IF(A130="","",COUNTIFS(Jobs!$G$5:$G$604,A130))</f>
        <v>0</v>
      </c>
      <c r="Y130" s="31">
        <f>IF(A130="","",COUNTIFS(Jobs!$G$5:$G$604,A130,Jobs!$P$5:$P$604,"Completed")+COUNTIFS(Jobs!$G$5:$G$604,A130,Jobs!$P$5:$P$604,"Invoiced"))</f>
        <v>0</v>
      </c>
      <c r="Z130" s="31">
        <f>IF(A130="","",COUNTIFS(Jobs!$G$5:$G$604,A130,Jobs!$P$5:$P$604,"Cancelled")+COUNTIFS(Jobs!$G$5:$G$604,A130,Jobs!$P$5:$P$604,"No access"))</f>
        <v>0</v>
      </c>
      <c r="AA130" s="18">
        <f>IF(A130="","",IF(SUMPRODUCT(MAX((Jobs!$G$5:$G$604=A130)*((Jobs!$P$5:$P$604="Completed")+(Jobs!$P$5:$P$604="Invoiced"))*Jobs!$B$5:$B$604))=0,"",SUMPRODUCT(MAX((Jobs!$G$5:$G$604=A130)*((Jobs!$P$5:$P$604="Completed")+(Jobs!$P$5:$P$604="Invoiced"))*Jobs!$B$5:$B$604))))</f>
        <v>0</v>
      </c>
      <c r="AB130" s="31">
        <f>IF(AA130="","",TodayDate-AA130)</f>
        <v>0</v>
      </c>
      <c r="AC130" s="18">
        <f>IF(A130="","",IF(SUMPRODUCT(MIN((Jobs!$G$5:$G$604=A130)*(Jobs!$B$5:$B$604&gt;=TodayDate)*(Jobs!$P$5:$P$604&lt;&gt;"Cancelled")*Jobs!$B$5:$B$604+(1-(Jobs!$G$5:$G$604=A130)*(Jobs!$B$5:$B$604&gt;=TodayDate)*(Jobs!$P$5:$P$604&lt;&gt;"Cancelled"))*2958465))=2958465,"",SUMPRODUCT(MIN((Jobs!$G$5:$G$604=A130)*(Jobs!$B$5:$B$604&gt;=TodayDate)*(Jobs!$P$5:$P$604&lt;&gt;"Cancelled")*Jobs!$B$5:$B$604+(1-(Jobs!$G$5:$G$604=A130)*(Jobs!$B$5:$B$604&gt;=TodayDate)*(Jobs!$P$5:$P$604&lt;&gt;"Cancelled"))*2958465))))</f>
        <v>0</v>
      </c>
      <c r="AD130" s="21">
        <f>IF(A130="","",SUMIFS(Invoices!$V$5:$V$404,Invoices!$D$5:$D$404,A130))</f>
        <v>0</v>
      </c>
      <c r="AE130" s="21">
        <f>IF(A130="","",SUMIFS(Invoices!$W$5:$W$404,Invoices!$D$5:$D$404,A130))</f>
        <v>0</v>
      </c>
      <c r="AF130" s="21">
        <f>IF(A130="","",AD130-AE130)</f>
        <v>0</v>
      </c>
      <c r="AG130" s="21">
        <f>IF(OR(A130="",Y130=0),"",AD130/Y130)</f>
        <v>0</v>
      </c>
      <c r="AH130" s="21">
        <f>IF(A130="","",SUMIFS('Job Costing'!$U$5:$U$604,'Job Costing'!$D$5:$D$604,A130))</f>
        <v>0</v>
      </c>
      <c r="AI130" s="38">
        <f>IF(OR(A130="",AD130=0),"",AH130/AD130)</f>
        <v>0</v>
      </c>
      <c r="AJ130" s="21">
        <f>IF(OR(A130="",K130="",AG130=""),"",AG130*IFERROR(INDEX(FreqPerYear,MATCH(K130,FreqNames,0)),1))</f>
        <v>0</v>
      </c>
      <c r="AK130" s="34">
        <f>IF(A130="","",IFERROR(AVERAGEIFS(Jobs!$AA$5:$AA$604,Jobs!$G$5:$G$604,A130,Jobs!$AA$5:$AA$604,"&gt;0"),""))</f>
        <v>0</v>
      </c>
      <c r="AL130" s="31">
        <f>IF(A130="","",COUNTIFS(Complaints!$D$5:$D$84,A130))</f>
        <v>0</v>
      </c>
      <c r="AM130" s="31">
        <f>IF(B130="","",COUNTIFS($AD$5:$AD$204,"&gt;"&amp;AD130)+COUNTIFS($AD$5:AD130,AD130))</f>
        <v>0</v>
      </c>
      <c r="AN130" s="31">
        <f>IF(B130="","",COUNTIFS($AH$5:$AH$204,"&gt;"&amp;AH130)+COUNTIFS($AH$5:AH130,AH130))</f>
        <v>0</v>
      </c>
      <c r="AO130" s="31">
        <f>IF(B130="","",COUNTIFS($AJ$5:$AJ$204,"&gt;"&amp;AJ130)+COUNTIFS($AJ$5:AJ130,AJ130))</f>
        <v>0</v>
      </c>
      <c r="AP130" s="39">
        <f>IF(B130="","",IF(H130="Lost","Lost",IF(H130="Inactive","Dormant",IF(AA130="","Dormant",IF(AB130&gt;InactiveClientDays*2,"Dormant",IF(AB130&gt;InactiveClientDays,"At risk",IF(AC130="","Slipping",IF(Y130&gt;=10,"Loyal","Steady"))))))))</f>
        <v>0</v>
      </c>
      <c r="AQ130" s="34">
        <f>IF(OR(B130="",AP130="Lost",AP130="Dormant"),"",IF(OR(AP130="At risk",AP130="Slipping"),IF(AB130="",999,AB130),""))</f>
        <v>0</v>
      </c>
      <c r="AR130" s="31">
        <f>IF(AQ130="","",COUNTIFS($AQ$5:$AQ$204,"&gt;"&amp;AQ130)+COUNTIFS($AQ$5:AQ130,AQ130))</f>
        <v>0</v>
      </c>
      <c r="AS130" s="39">
        <f>IF(B130="","",IF(AF130&gt;0.5,"Chase - "&amp;TEXT(AF130,"0")&amp;" owing",IF(AND(H130&lt;&gt;"Lost",H130&lt;&gt;"Inactive",H130&lt;&gt;"Paused",AC130="",K130&lt;&gt;"One-off"),"Book - nothing in the diary",IF(AND(S130&lt;&gt;"",S130-TodayDate&lt;=RenewalWarningDays,S130&gt;=TodayDate),"Due - contract renews soon",IF(AP130="At risk","Call - going quiet",IF(AL130&gt;=2,"Check - complaints logged",IF(AND(AI130&lt;&gt;"",AI130&lt;MarginFloor,Y130&gt;0),"Check - thin margin","OK")))))))</f>
        <v>0</v>
      </c>
    </row>
    <row r="131" spans="1:45">
      <c r="A131" s="43">
        <f>IF(B131="","",ClientPrefix&amp;TEXT(ROW()-4,"0000"))</f>
        <v>0</v>
      </c>
      <c r="W131" s="31">
        <f>IF(A131="","",COUNTIFS(Properties!$C$5:$C$254,A131))</f>
        <v>0</v>
      </c>
      <c r="X131" s="31">
        <f>IF(A131="","",COUNTIFS(Jobs!$G$5:$G$604,A131))</f>
        <v>0</v>
      </c>
      <c r="Y131" s="31">
        <f>IF(A131="","",COUNTIFS(Jobs!$G$5:$G$604,A131,Jobs!$P$5:$P$604,"Completed")+COUNTIFS(Jobs!$G$5:$G$604,A131,Jobs!$P$5:$P$604,"Invoiced"))</f>
        <v>0</v>
      </c>
      <c r="Z131" s="31">
        <f>IF(A131="","",COUNTIFS(Jobs!$G$5:$G$604,A131,Jobs!$P$5:$P$604,"Cancelled")+COUNTIFS(Jobs!$G$5:$G$604,A131,Jobs!$P$5:$P$604,"No access"))</f>
        <v>0</v>
      </c>
      <c r="AA131" s="18">
        <f>IF(A131="","",IF(SUMPRODUCT(MAX((Jobs!$G$5:$G$604=A131)*((Jobs!$P$5:$P$604="Completed")+(Jobs!$P$5:$P$604="Invoiced"))*Jobs!$B$5:$B$604))=0,"",SUMPRODUCT(MAX((Jobs!$G$5:$G$604=A131)*((Jobs!$P$5:$P$604="Completed")+(Jobs!$P$5:$P$604="Invoiced"))*Jobs!$B$5:$B$604))))</f>
        <v>0</v>
      </c>
      <c r="AB131" s="31">
        <f>IF(AA131="","",TodayDate-AA131)</f>
        <v>0</v>
      </c>
      <c r="AC131" s="18">
        <f>IF(A131="","",IF(SUMPRODUCT(MIN((Jobs!$G$5:$G$604=A131)*(Jobs!$B$5:$B$604&gt;=TodayDate)*(Jobs!$P$5:$P$604&lt;&gt;"Cancelled")*Jobs!$B$5:$B$604+(1-(Jobs!$G$5:$G$604=A131)*(Jobs!$B$5:$B$604&gt;=TodayDate)*(Jobs!$P$5:$P$604&lt;&gt;"Cancelled"))*2958465))=2958465,"",SUMPRODUCT(MIN((Jobs!$G$5:$G$604=A131)*(Jobs!$B$5:$B$604&gt;=TodayDate)*(Jobs!$P$5:$P$604&lt;&gt;"Cancelled")*Jobs!$B$5:$B$604+(1-(Jobs!$G$5:$G$604=A131)*(Jobs!$B$5:$B$604&gt;=TodayDate)*(Jobs!$P$5:$P$604&lt;&gt;"Cancelled"))*2958465))))</f>
        <v>0</v>
      </c>
      <c r="AD131" s="21">
        <f>IF(A131="","",SUMIFS(Invoices!$V$5:$V$404,Invoices!$D$5:$D$404,A131))</f>
        <v>0</v>
      </c>
      <c r="AE131" s="21">
        <f>IF(A131="","",SUMIFS(Invoices!$W$5:$W$404,Invoices!$D$5:$D$404,A131))</f>
        <v>0</v>
      </c>
      <c r="AF131" s="21">
        <f>IF(A131="","",AD131-AE131)</f>
        <v>0</v>
      </c>
      <c r="AG131" s="21">
        <f>IF(OR(A131="",Y131=0),"",AD131/Y131)</f>
        <v>0</v>
      </c>
      <c r="AH131" s="21">
        <f>IF(A131="","",SUMIFS('Job Costing'!$U$5:$U$604,'Job Costing'!$D$5:$D$604,A131))</f>
        <v>0</v>
      </c>
      <c r="AI131" s="38">
        <f>IF(OR(A131="",AD131=0),"",AH131/AD131)</f>
        <v>0</v>
      </c>
      <c r="AJ131" s="21">
        <f>IF(OR(A131="",K131="",AG131=""),"",AG131*IFERROR(INDEX(FreqPerYear,MATCH(K131,FreqNames,0)),1))</f>
        <v>0</v>
      </c>
      <c r="AK131" s="34">
        <f>IF(A131="","",IFERROR(AVERAGEIFS(Jobs!$AA$5:$AA$604,Jobs!$G$5:$G$604,A131,Jobs!$AA$5:$AA$604,"&gt;0"),""))</f>
        <v>0</v>
      </c>
      <c r="AL131" s="31">
        <f>IF(A131="","",COUNTIFS(Complaints!$D$5:$D$84,A131))</f>
        <v>0</v>
      </c>
      <c r="AM131" s="31">
        <f>IF(B131="","",COUNTIFS($AD$5:$AD$204,"&gt;"&amp;AD131)+COUNTIFS($AD$5:AD131,AD131))</f>
        <v>0</v>
      </c>
      <c r="AN131" s="31">
        <f>IF(B131="","",COUNTIFS($AH$5:$AH$204,"&gt;"&amp;AH131)+COUNTIFS($AH$5:AH131,AH131))</f>
        <v>0</v>
      </c>
      <c r="AO131" s="31">
        <f>IF(B131="","",COUNTIFS($AJ$5:$AJ$204,"&gt;"&amp;AJ131)+COUNTIFS($AJ$5:AJ131,AJ131))</f>
        <v>0</v>
      </c>
      <c r="AP131" s="39">
        <f>IF(B131="","",IF(H131="Lost","Lost",IF(H131="Inactive","Dormant",IF(AA131="","Dormant",IF(AB131&gt;InactiveClientDays*2,"Dormant",IF(AB131&gt;InactiveClientDays,"At risk",IF(AC131="","Slipping",IF(Y131&gt;=10,"Loyal","Steady"))))))))</f>
        <v>0</v>
      </c>
      <c r="AQ131" s="34">
        <f>IF(OR(B131="",AP131="Lost",AP131="Dormant"),"",IF(OR(AP131="At risk",AP131="Slipping"),IF(AB131="",999,AB131),""))</f>
        <v>0</v>
      </c>
      <c r="AR131" s="31">
        <f>IF(AQ131="","",COUNTIFS($AQ$5:$AQ$204,"&gt;"&amp;AQ131)+COUNTIFS($AQ$5:AQ131,AQ131))</f>
        <v>0</v>
      </c>
      <c r="AS131" s="39">
        <f>IF(B131="","",IF(AF131&gt;0.5,"Chase - "&amp;TEXT(AF131,"0")&amp;" owing",IF(AND(H131&lt;&gt;"Lost",H131&lt;&gt;"Inactive",H131&lt;&gt;"Paused",AC131="",K131&lt;&gt;"One-off"),"Book - nothing in the diary",IF(AND(S131&lt;&gt;"",S131-TodayDate&lt;=RenewalWarningDays,S131&gt;=TodayDate),"Due - contract renews soon",IF(AP131="At risk","Call - going quiet",IF(AL131&gt;=2,"Check - complaints logged",IF(AND(AI131&lt;&gt;"",AI131&lt;MarginFloor,Y131&gt;0),"Check - thin margin","OK")))))))</f>
        <v>0</v>
      </c>
    </row>
    <row r="132" spans="1:45">
      <c r="A132" s="43">
        <f>IF(B132="","",ClientPrefix&amp;TEXT(ROW()-4,"0000"))</f>
        <v>0</v>
      </c>
      <c r="W132" s="31">
        <f>IF(A132="","",COUNTIFS(Properties!$C$5:$C$254,A132))</f>
        <v>0</v>
      </c>
      <c r="X132" s="31">
        <f>IF(A132="","",COUNTIFS(Jobs!$G$5:$G$604,A132))</f>
        <v>0</v>
      </c>
      <c r="Y132" s="31">
        <f>IF(A132="","",COUNTIFS(Jobs!$G$5:$G$604,A132,Jobs!$P$5:$P$604,"Completed")+COUNTIFS(Jobs!$G$5:$G$604,A132,Jobs!$P$5:$P$604,"Invoiced"))</f>
        <v>0</v>
      </c>
      <c r="Z132" s="31">
        <f>IF(A132="","",COUNTIFS(Jobs!$G$5:$G$604,A132,Jobs!$P$5:$P$604,"Cancelled")+COUNTIFS(Jobs!$G$5:$G$604,A132,Jobs!$P$5:$P$604,"No access"))</f>
        <v>0</v>
      </c>
      <c r="AA132" s="18">
        <f>IF(A132="","",IF(SUMPRODUCT(MAX((Jobs!$G$5:$G$604=A132)*((Jobs!$P$5:$P$604="Completed")+(Jobs!$P$5:$P$604="Invoiced"))*Jobs!$B$5:$B$604))=0,"",SUMPRODUCT(MAX((Jobs!$G$5:$G$604=A132)*((Jobs!$P$5:$P$604="Completed")+(Jobs!$P$5:$P$604="Invoiced"))*Jobs!$B$5:$B$604))))</f>
        <v>0</v>
      </c>
      <c r="AB132" s="31">
        <f>IF(AA132="","",TodayDate-AA132)</f>
        <v>0</v>
      </c>
      <c r="AC132" s="18">
        <f>IF(A132="","",IF(SUMPRODUCT(MIN((Jobs!$G$5:$G$604=A132)*(Jobs!$B$5:$B$604&gt;=TodayDate)*(Jobs!$P$5:$P$604&lt;&gt;"Cancelled")*Jobs!$B$5:$B$604+(1-(Jobs!$G$5:$G$604=A132)*(Jobs!$B$5:$B$604&gt;=TodayDate)*(Jobs!$P$5:$P$604&lt;&gt;"Cancelled"))*2958465))=2958465,"",SUMPRODUCT(MIN((Jobs!$G$5:$G$604=A132)*(Jobs!$B$5:$B$604&gt;=TodayDate)*(Jobs!$P$5:$P$604&lt;&gt;"Cancelled")*Jobs!$B$5:$B$604+(1-(Jobs!$G$5:$G$604=A132)*(Jobs!$B$5:$B$604&gt;=TodayDate)*(Jobs!$P$5:$P$604&lt;&gt;"Cancelled"))*2958465))))</f>
        <v>0</v>
      </c>
      <c r="AD132" s="21">
        <f>IF(A132="","",SUMIFS(Invoices!$V$5:$V$404,Invoices!$D$5:$D$404,A132))</f>
        <v>0</v>
      </c>
      <c r="AE132" s="21">
        <f>IF(A132="","",SUMIFS(Invoices!$W$5:$W$404,Invoices!$D$5:$D$404,A132))</f>
        <v>0</v>
      </c>
      <c r="AF132" s="21">
        <f>IF(A132="","",AD132-AE132)</f>
        <v>0</v>
      </c>
      <c r="AG132" s="21">
        <f>IF(OR(A132="",Y132=0),"",AD132/Y132)</f>
        <v>0</v>
      </c>
      <c r="AH132" s="21">
        <f>IF(A132="","",SUMIFS('Job Costing'!$U$5:$U$604,'Job Costing'!$D$5:$D$604,A132))</f>
        <v>0</v>
      </c>
      <c r="AI132" s="38">
        <f>IF(OR(A132="",AD132=0),"",AH132/AD132)</f>
        <v>0</v>
      </c>
      <c r="AJ132" s="21">
        <f>IF(OR(A132="",K132="",AG132=""),"",AG132*IFERROR(INDEX(FreqPerYear,MATCH(K132,FreqNames,0)),1))</f>
        <v>0</v>
      </c>
      <c r="AK132" s="34">
        <f>IF(A132="","",IFERROR(AVERAGEIFS(Jobs!$AA$5:$AA$604,Jobs!$G$5:$G$604,A132,Jobs!$AA$5:$AA$604,"&gt;0"),""))</f>
        <v>0</v>
      </c>
      <c r="AL132" s="31">
        <f>IF(A132="","",COUNTIFS(Complaints!$D$5:$D$84,A132))</f>
        <v>0</v>
      </c>
      <c r="AM132" s="31">
        <f>IF(B132="","",COUNTIFS($AD$5:$AD$204,"&gt;"&amp;AD132)+COUNTIFS($AD$5:AD132,AD132))</f>
        <v>0</v>
      </c>
      <c r="AN132" s="31">
        <f>IF(B132="","",COUNTIFS($AH$5:$AH$204,"&gt;"&amp;AH132)+COUNTIFS($AH$5:AH132,AH132))</f>
        <v>0</v>
      </c>
      <c r="AO132" s="31">
        <f>IF(B132="","",COUNTIFS($AJ$5:$AJ$204,"&gt;"&amp;AJ132)+COUNTIFS($AJ$5:AJ132,AJ132))</f>
        <v>0</v>
      </c>
      <c r="AP132" s="39">
        <f>IF(B132="","",IF(H132="Lost","Lost",IF(H132="Inactive","Dormant",IF(AA132="","Dormant",IF(AB132&gt;InactiveClientDays*2,"Dormant",IF(AB132&gt;InactiveClientDays,"At risk",IF(AC132="","Slipping",IF(Y132&gt;=10,"Loyal","Steady"))))))))</f>
        <v>0</v>
      </c>
      <c r="AQ132" s="34">
        <f>IF(OR(B132="",AP132="Lost",AP132="Dormant"),"",IF(OR(AP132="At risk",AP132="Slipping"),IF(AB132="",999,AB132),""))</f>
        <v>0</v>
      </c>
      <c r="AR132" s="31">
        <f>IF(AQ132="","",COUNTIFS($AQ$5:$AQ$204,"&gt;"&amp;AQ132)+COUNTIFS($AQ$5:AQ132,AQ132))</f>
        <v>0</v>
      </c>
      <c r="AS132" s="39">
        <f>IF(B132="","",IF(AF132&gt;0.5,"Chase - "&amp;TEXT(AF132,"0")&amp;" owing",IF(AND(H132&lt;&gt;"Lost",H132&lt;&gt;"Inactive",H132&lt;&gt;"Paused",AC132="",K132&lt;&gt;"One-off"),"Book - nothing in the diary",IF(AND(S132&lt;&gt;"",S132-TodayDate&lt;=RenewalWarningDays,S132&gt;=TodayDate),"Due - contract renews soon",IF(AP132="At risk","Call - going quiet",IF(AL132&gt;=2,"Check - complaints logged",IF(AND(AI132&lt;&gt;"",AI132&lt;MarginFloor,Y132&gt;0),"Check - thin margin","OK")))))))</f>
        <v>0</v>
      </c>
    </row>
    <row r="133" spans="1:45">
      <c r="A133" s="43">
        <f>IF(B133="","",ClientPrefix&amp;TEXT(ROW()-4,"0000"))</f>
        <v>0</v>
      </c>
      <c r="W133" s="31">
        <f>IF(A133="","",COUNTIFS(Properties!$C$5:$C$254,A133))</f>
        <v>0</v>
      </c>
      <c r="X133" s="31">
        <f>IF(A133="","",COUNTIFS(Jobs!$G$5:$G$604,A133))</f>
        <v>0</v>
      </c>
      <c r="Y133" s="31">
        <f>IF(A133="","",COUNTIFS(Jobs!$G$5:$G$604,A133,Jobs!$P$5:$P$604,"Completed")+COUNTIFS(Jobs!$G$5:$G$604,A133,Jobs!$P$5:$P$604,"Invoiced"))</f>
        <v>0</v>
      </c>
      <c r="Z133" s="31">
        <f>IF(A133="","",COUNTIFS(Jobs!$G$5:$G$604,A133,Jobs!$P$5:$P$604,"Cancelled")+COUNTIFS(Jobs!$G$5:$G$604,A133,Jobs!$P$5:$P$604,"No access"))</f>
        <v>0</v>
      </c>
      <c r="AA133" s="18">
        <f>IF(A133="","",IF(SUMPRODUCT(MAX((Jobs!$G$5:$G$604=A133)*((Jobs!$P$5:$P$604="Completed")+(Jobs!$P$5:$P$604="Invoiced"))*Jobs!$B$5:$B$604))=0,"",SUMPRODUCT(MAX((Jobs!$G$5:$G$604=A133)*((Jobs!$P$5:$P$604="Completed")+(Jobs!$P$5:$P$604="Invoiced"))*Jobs!$B$5:$B$604))))</f>
        <v>0</v>
      </c>
      <c r="AB133" s="31">
        <f>IF(AA133="","",TodayDate-AA133)</f>
        <v>0</v>
      </c>
      <c r="AC133" s="18">
        <f>IF(A133="","",IF(SUMPRODUCT(MIN((Jobs!$G$5:$G$604=A133)*(Jobs!$B$5:$B$604&gt;=TodayDate)*(Jobs!$P$5:$P$604&lt;&gt;"Cancelled")*Jobs!$B$5:$B$604+(1-(Jobs!$G$5:$G$604=A133)*(Jobs!$B$5:$B$604&gt;=TodayDate)*(Jobs!$P$5:$P$604&lt;&gt;"Cancelled"))*2958465))=2958465,"",SUMPRODUCT(MIN((Jobs!$G$5:$G$604=A133)*(Jobs!$B$5:$B$604&gt;=TodayDate)*(Jobs!$P$5:$P$604&lt;&gt;"Cancelled")*Jobs!$B$5:$B$604+(1-(Jobs!$G$5:$G$604=A133)*(Jobs!$B$5:$B$604&gt;=TodayDate)*(Jobs!$P$5:$P$604&lt;&gt;"Cancelled"))*2958465))))</f>
        <v>0</v>
      </c>
      <c r="AD133" s="21">
        <f>IF(A133="","",SUMIFS(Invoices!$V$5:$V$404,Invoices!$D$5:$D$404,A133))</f>
        <v>0</v>
      </c>
      <c r="AE133" s="21">
        <f>IF(A133="","",SUMIFS(Invoices!$W$5:$W$404,Invoices!$D$5:$D$404,A133))</f>
        <v>0</v>
      </c>
      <c r="AF133" s="21">
        <f>IF(A133="","",AD133-AE133)</f>
        <v>0</v>
      </c>
      <c r="AG133" s="21">
        <f>IF(OR(A133="",Y133=0),"",AD133/Y133)</f>
        <v>0</v>
      </c>
      <c r="AH133" s="21">
        <f>IF(A133="","",SUMIFS('Job Costing'!$U$5:$U$604,'Job Costing'!$D$5:$D$604,A133))</f>
        <v>0</v>
      </c>
      <c r="AI133" s="38">
        <f>IF(OR(A133="",AD133=0),"",AH133/AD133)</f>
        <v>0</v>
      </c>
      <c r="AJ133" s="21">
        <f>IF(OR(A133="",K133="",AG133=""),"",AG133*IFERROR(INDEX(FreqPerYear,MATCH(K133,FreqNames,0)),1))</f>
        <v>0</v>
      </c>
      <c r="AK133" s="34">
        <f>IF(A133="","",IFERROR(AVERAGEIFS(Jobs!$AA$5:$AA$604,Jobs!$G$5:$G$604,A133,Jobs!$AA$5:$AA$604,"&gt;0"),""))</f>
        <v>0</v>
      </c>
      <c r="AL133" s="31">
        <f>IF(A133="","",COUNTIFS(Complaints!$D$5:$D$84,A133))</f>
        <v>0</v>
      </c>
      <c r="AM133" s="31">
        <f>IF(B133="","",COUNTIFS($AD$5:$AD$204,"&gt;"&amp;AD133)+COUNTIFS($AD$5:AD133,AD133))</f>
        <v>0</v>
      </c>
      <c r="AN133" s="31">
        <f>IF(B133="","",COUNTIFS($AH$5:$AH$204,"&gt;"&amp;AH133)+COUNTIFS($AH$5:AH133,AH133))</f>
        <v>0</v>
      </c>
      <c r="AO133" s="31">
        <f>IF(B133="","",COUNTIFS($AJ$5:$AJ$204,"&gt;"&amp;AJ133)+COUNTIFS($AJ$5:AJ133,AJ133))</f>
        <v>0</v>
      </c>
      <c r="AP133" s="39">
        <f>IF(B133="","",IF(H133="Lost","Lost",IF(H133="Inactive","Dormant",IF(AA133="","Dormant",IF(AB133&gt;InactiveClientDays*2,"Dormant",IF(AB133&gt;InactiveClientDays,"At risk",IF(AC133="","Slipping",IF(Y133&gt;=10,"Loyal","Steady"))))))))</f>
        <v>0</v>
      </c>
      <c r="AQ133" s="34">
        <f>IF(OR(B133="",AP133="Lost",AP133="Dormant"),"",IF(OR(AP133="At risk",AP133="Slipping"),IF(AB133="",999,AB133),""))</f>
        <v>0</v>
      </c>
      <c r="AR133" s="31">
        <f>IF(AQ133="","",COUNTIFS($AQ$5:$AQ$204,"&gt;"&amp;AQ133)+COUNTIFS($AQ$5:AQ133,AQ133))</f>
        <v>0</v>
      </c>
      <c r="AS133" s="39">
        <f>IF(B133="","",IF(AF133&gt;0.5,"Chase - "&amp;TEXT(AF133,"0")&amp;" owing",IF(AND(H133&lt;&gt;"Lost",H133&lt;&gt;"Inactive",H133&lt;&gt;"Paused",AC133="",K133&lt;&gt;"One-off"),"Book - nothing in the diary",IF(AND(S133&lt;&gt;"",S133-TodayDate&lt;=RenewalWarningDays,S133&gt;=TodayDate),"Due - contract renews soon",IF(AP133="At risk","Call - going quiet",IF(AL133&gt;=2,"Check - complaints logged",IF(AND(AI133&lt;&gt;"",AI133&lt;MarginFloor,Y133&gt;0),"Check - thin margin","OK")))))))</f>
        <v>0</v>
      </c>
    </row>
    <row r="134" spans="1:45">
      <c r="A134" s="43">
        <f>IF(B134="","",ClientPrefix&amp;TEXT(ROW()-4,"0000"))</f>
        <v>0</v>
      </c>
      <c r="W134" s="31">
        <f>IF(A134="","",COUNTIFS(Properties!$C$5:$C$254,A134))</f>
        <v>0</v>
      </c>
      <c r="X134" s="31">
        <f>IF(A134="","",COUNTIFS(Jobs!$G$5:$G$604,A134))</f>
        <v>0</v>
      </c>
      <c r="Y134" s="31">
        <f>IF(A134="","",COUNTIFS(Jobs!$G$5:$G$604,A134,Jobs!$P$5:$P$604,"Completed")+COUNTIFS(Jobs!$G$5:$G$604,A134,Jobs!$P$5:$P$604,"Invoiced"))</f>
        <v>0</v>
      </c>
      <c r="Z134" s="31">
        <f>IF(A134="","",COUNTIFS(Jobs!$G$5:$G$604,A134,Jobs!$P$5:$P$604,"Cancelled")+COUNTIFS(Jobs!$G$5:$G$604,A134,Jobs!$P$5:$P$604,"No access"))</f>
        <v>0</v>
      </c>
      <c r="AA134" s="18">
        <f>IF(A134="","",IF(SUMPRODUCT(MAX((Jobs!$G$5:$G$604=A134)*((Jobs!$P$5:$P$604="Completed")+(Jobs!$P$5:$P$604="Invoiced"))*Jobs!$B$5:$B$604))=0,"",SUMPRODUCT(MAX((Jobs!$G$5:$G$604=A134)*((Jobs!$P$5:$P$604="Completed")+(Jobs!$P$5:$P$604="Invoiced"))*Jobs!$B$5:$B$604))))</f>
        <v>0</v>
      </c>
      <c r="AB134" s="31">
        <f>IF(AA134="","",TodayDate-AA134)</f>
        <v>0</v>
      </c>
      <c r="AC134" s="18">
        <f>IF(A134="","",IF(SUMPRODUCT(MIN((Jobs!$G$5:$G$604=A134)*(Jobs!$B$5:$B$604&gt;=TodayDate)*(Jobs!$P$5:$P$604&lt;&gt;"Cancelled")*Jobs!$B$5:$B$604+(1-(Jobs!$G$5:$G$604=A134)*(Jobs!$B$5:$B$604&gt;=TodayDate)*(Jobs!$P$5:$P$604&lt;&gt;"Cancelled"))*2958465))=2958465,"",SUMPRODUCT(MIN((Jobs!$G$5:$G$604=A134)*(Jobs!$B$5:$B$604&gt;=TodayDate)*(Jobs!$P$5:$P$604&lt;&gt;"Cancelled")*Jobs!$B$5:$B$604+(1-(Jobs!$G$5:$G$604=A134)*(Jobs!$B$5:$B$604&gt;=TodayDate)*(Jobs!$P$5:$P$604&lt;&gt;"Cancelled"))*2958465))))</f>
        <v>0</v>
      </c>
      <c r="AD134" s="21">
        <f>IF(A134="","",SUMIFS(Invoices!$V$5:$V$404,Invoices!$D$5:$D$404,A134))</f>
        <v>0</v>
      </c>
      <c r="AE134" s="21">
        <f>IF(A134="","",SUMIFS(Invoices!$W$5:$W$404,Invoices!$D$5:$D$404,A134))</f>
        <v>0</v>
      </c>
      <c r="AF134" s="21">
        <f>IF(A134="","",AD134-AE134)</f>
        <v>0</v>
      </c>
      <c r="AG134" s="21">
        <f>IF(OR(A134="",Y134=0),"",AD134/Y134)</f>
        <v>0</v>
      </c>
      <c r="AH134" s="21">
        <f>IF(A134="","",SUMIFS('Job Costing'!$U$5:$U$604,'Job Costing'!$D$5:$D$604,A134))</f>
        <v>0</v>
      </c>
      <c r="AI134" s="38">
        <f>IF(OR(A134="",AD134=0),"",AH134/AD134)</f>
        <v>0</v>
      </c>
      <c r="AJ134" s="21">
        <f>IF(OR(A134="",K134="",AG134=""),"",AG134*IFERROR(INDEX(FreqPerYear,MATCH(K134,FreqNames,0)),1))</f>
        <v>0</v>
      </c>
      <c r="AK134" s="34">
        <f>IF(A134="","",IFERROR(AVERAGEIFS(Jobs!$AA$5:$AA$604,Jobs!$G$5:$G$604,A134,Jobs!$AA$5:$AA$604,"&gt;0"),""))</f>
        <v>0</v>
      </c>
      <c r="AL134" s="31">
        <f>IF(A134="","",COUNTIFS(Complaints!$D$5:$D$84,A134))</f>
        <v>0</v>
      </c>
      <c r="AM134" s="31">
        <f>IF(B134="","",COUNTIFS($AD$5:$AD$204,"&gt;"&amp;AD134)+COUNTIFS($AD$5:AD134,AD134))</f>
        <v>0</v>
      </c>
      <c r="AN134" s="31">
        <f>IF(B134="","",COUNTIFS($AH$5:$AH$204,"&gt;"&amp;AH134)+COUNTIFS($AH$5:AH134,AH134))</f>
        <v>0</v>
      </c>
      <c r="AO134" s="31">
        <f>IF(B134="","",COUNTIFS($AJ$5:$AJ$204,"&gt;"&amp;AJ134)+COUNTIFS($AJ$5:AJ134,AJ134))</f>
        <v>0</v>
      </c>
      <c r="AP134" s="39">
        <f>IF(B134="","",IF(H134="Lost","Lost",IF(H134="Inactive","Dormant",IF(AA134="","Dormant",IF(AB134&gt;InactiveClientDays*2,"Dormant",IF(AB134&gt;InactiveClientDays,"At risk",IF(AC134="","Slipping",IF(Y134&gt;=10,"Loyal","Steady"))))))))</f>
        <v>0</v>
      </c>
      <c r="AQ134" s="34">
        <f>IF(OR(B134="",AP134="Lost",AP134="Dormant"),"",IF(OR(AP134="At risk",AP134="Slipping"),IF(AB134="",999,AB134),""))</f>
        <v>0</v>
      </c>
      <c r="AR134" s="31">
        <f>IF(AQ134="","",COUNTIFS($AQ$5:$AQ$204,"&gt;"&amp;AQ134)+COUNTIFS($AQ$5:AQ134,AQ134))</f>
        <v>0</v>
      </c>
      <c r="AS134" s="39">
        <f>IF(B134="","",IF(AF134&gt;0.5,"Chase - "&amp;TEXT(AF134,"0")&amp;" owing",IF(AND(H134&lt;&gt;"Lost",H134&lt;&gt;"Inactive",H134&lt;&gt;"Paused",AC134="",K134&lt;&gt;"One-off"),"Book - nothing in the diary",IF(AND(S134&lt;&gt;"",S134-TodayDate&lt;=RenewalWarningDays,S134&gt;=TodayDate),"Due - contract renews soon",IF(AP134="At risk","Call - going quiet",IF(AL134&gt;=2,"Check - complaints logged",IF(AND(AI134&lt;&gt;"",AI134&lt;MarginFloor,Y134&gt;0),"Check - thin margin","OK")))))))</f>
        <v>0</v>
      </c>
    </row>
    <row r="135" spans="1:45">
      <c r="A135" s="43">
        <f>IF(B135="","",ClientPrefix&amp;TEXT(ROW()-4,"0000"))</f>
        <v>0</v>
      </c>
      <c r="W135" s="31">
        <f>IF(A135="","",COUNTIFS(Properties!$C$5:$C$254,A135))</f>
        <v>0</v>
      </c>
      <c r="X135" s="31">
        <f>IF(A135="","",COUNTIFS(Jobs!$G$5:$G$604,A135))</f>
        <v>0</v>
      </c>
      <c r="Y135" s="31">
        <f>IF(A135="","",COUNTIFS(Jobs!$G$5:$G$604,A135,Jobs!$P$5:$P$604,"Completed")+COUNTIFS(Jobs!$G$5:$G$604,A135,Jobs!$P$5:$P$604,"Invoiced"))</f>
        <v>0</v>
      </c>
      <c r="Z135" s="31">
        <f>IF(A135="","",COUNTIFS(Jobs!$G$5:$G$604,A135,Jobs!$P$5:$P$604,"Cancelled")+COUNTIFS(Jobs!$G$5:$G$604,A135,Jobs!$P$5:$P$604,"No access"))</f>
        <v>0</v>
      </c>
      <c r="AA135" s="18">
        <f>IF(A135="","",IF(SUMPRODUCT(MAX((Jobs!$G$5:$G$604=A135)*((Jobs!$P$5:$P$604="Completed")+(Jobs!$P$5:$P$604="Invoiced"))*Jobs!$B$5:$B$604))=0,"",SUMPRODUCT(MAX((Jobs!$G$5:$G$604=A135)*((Jobs!$P$5:$P$604="Completed")+(Jobs!$P$5:$P$604="Invoiced"))*Jobs!$B$5:$B$604))))</f>
        <v>0</v>
      </c>
      <c r="AB135" s="31">
        <f>IF(AA135="","",TodayDate-AA135)</f>
        <v>0</v>
      </c>
      <c r="AC135" s="18">
        <f>IF(A135="","",IF(SUMPRODUCT(MIN((Jobs!$G$5:$G$604=A135)*(Jobs!$B$5:$B$604&gt;=TodayDate)*(Jobs!$P$5:$P$604&lt;&gt;"Cancelled")*Jobs!$B$5:$B$604+(1-(Jobs!$G$5:$G$604=A135)*(Jobs!$B$5:$B$604&gt;=TodayDate)*(Jobs!$P$5:$P$604&lt;&gt;"Cancelled"))*2958465))=2958465,"",SUMPRODUCT(MIN((Jobs!$G$5:$G$604=A135)*(Jobs!$B$5:$B$604&gt;=TodayDate)*(Jobs!$P$5:$P$604&lt;&gt;"Cancelled")*Jobs!$B$5:$B$604+(1-(Jobs!$G$5:$G$604=A135)*(Jobs!$B$5:$B$604&gt;=TodayDate)*(Jobs!$P$5:$P$604&lt;&gt;"Cancelled"))*2958465))))</f>
        <v>0</v>
      </c>
      <c r="AD135" s="21">
        <f>IF(A135="","",SUMIFS(Invoices!$V$5:$V$404,Invoices!$D$5:$D$404,A135))</f>
        <v>0</v>
      </c>
      <c r="AE135" s="21">
        <f>IF(A135="","",SUMIFS(Invoices!$W$5:$W$404,Invoices!$D$5:$D$404,A135))</f>
        <v>0</v>
      </c>
      <c r="AF135" s="21">
        <f>IF(A135="","",AD135-AE135)</f>
        <v>0</v>
      </c>
      <c r="AG135" s="21">
        <f>IF(OR(A135="",Y135=0),"",AD135/Y135)</f>
        <v>0</v>
      </c>
      <c r="AH135" s="21">
        <f>IF(A135="","",SUMIFS('Job Costing'!$U$5:$U$604,'Job Costing'!$D$5:$D$604,A135))</f>
        <v>0</v>
      </c>
      <c r="AI135" s="38">
        <f>IF(OR(A135="",AD135=0),"",AH135/AD135)</f>
        <v>0</v>
      </c>
      <c r="AJ135" s="21">
        <f>IF(OR(A135="",K135="",AG135=""),"",AG135*IFERROR(INDEX(FreqPerYear,MATCH(K135,FreqNames,0)),1))</f>
        <v>0</v>
      </c>
      <c r="AK135" s="34">
        <f>IF(A135="","",IFERROR(AVERAGEIFS(Jobs!$AA$5:$AA$604,Jobs!$G$5:$G$604,A135,Jobs!$AA$5:$AA$604,"&gt;0"),""))</f>
        <v>0</v>
      </c>
      <c r="AL135" s="31">
        <f>IF(A135="","",COUNTIFS(Complaints!$D$5:$D$84,A135))</f>
        <v>0</v>
      </c>
      <c r="AM135" s="31">
        <f>IF(B135="","",COUNTIFS($AD$5:$AD$204,"&gt;"&amp;AD135)+COUNTIFS($AD$5:AD135,AD135))</f>
        <v>0</v>
      </c>
      <c r="AN135" s="31">
        <f>IF(B135="","",COUNTIFS($AH$5:$AH$204,"&gt;"&amp;AH135)+COUNTIFS($AH$5:AH135,AH135))</f>
        <v>0</v>
      </c>
      <c r="AO135" s="31">
        <f>IF(B135="","",COUNTIFS($AJ$5:$AJ$204,"&gt;"&amp;AJ135)+COUNTIFS($AJ$5:AJ135,AJ135))</f>
        <v>0</v>
      </c>
      <c r="AP135" s="39">
        <f>IF(B135="","",IF(H135="Lost","Lost",IF(H135="Inactive","Dormant",IF(AA135="","Dormant",IF(AB135&gt;InactiveClientDays*2,"Dormant",IF(AB135&gt;InactiveClientDays,"At risk",IF(AC135="","Slipping",IF(Y135&gt;=10,"Loyal","Steady"))))))))</f>
        <v>0</v>
      </c>
      <c r="AQ135" s="34">
        <f>IF(OR(B135="",AP135="Lost",AP135="Dormant"),"",IF(OR(AP135="At risk",AP135="Slipping"),IF(AB135="",999,AB135),""))</f>
        <v>0</v>
      </c>
      <c r="AR135" s="31">
        <f>IF(AQ135="","",COUNTIFS($AQ$5:$AQ$204,"&gt;"&amp;AQ135)+COUNTIFS($AQ$5:AQ135,AQ135))</f>
        <v>0</v>
      </c>
      <c r="AS135" s="39">
        <f>IF(B135="","",IF(AF135&gt;0.5,"Chase - "&amp;TEXT(AF135,"0")&amp;" owing",IF(AND(H135&lt;&gt;"Lost",H135&lt;&gt;"Inactive",H135&lt;&gt;"Paused",AC135="",K135&lt;&gt;"One-off"),"Book - nothing in the diary",IF(AND(S135&lt;&gt;"",S135-TodayDate&lt;=RenewalWarningDays,S135&gt;=TodayDate),"Due - contract renews soon",IF(AP135="At risk","Call - going quiet",IF(AL135&gt;=2,"Check - complaints logged",IF(AND(AI135&lt;&gt;"",AI135&lt;MarginFloor,Y135&gt;0),"Check - thin margin","OK")))))))</f>
        <v>0</v>
      </c>
    </row>
    <row r="136" spans="1:45">
      <c r="A136" s="43">
        <f>IF(B136="","",ClientPrefix&amp;TEXT(ROW()-4,"0000"))</f>
        <v>0</v>
      </c>
      <c r="W136" s="31">
        <f>IF(A136="","",COUNTIFS(Properties!$C$5:$C$254,A136))</f>
        <v>0</v>
      </c>
      <c r="X136" s="31">
        <f>IF(A136="","",COUNTIFS(Jobs!$G$5:$G$604,A136))</f>
        <v>0</v>
      </c>
      <c r="Y136" s="31">
        <f>IF(A136="","",COUNTIFS(Jobs!$G$5:$G$604,A136,Jobs!$P$5:$P$604,"Completed")+COUNTIFS(Jobs!$G$5:$G$604,A136,Jobs!$P$5:$P$604,"Invoiced"))</f>
        <v>0</v>
      </c>
      <c r="Z136" s="31">
        <f>IF(A136="","",COUNTIFS(Jobs!$G$5:$G$604,A136,Jobs!$P$5:$P$604,"Cancelled")+COUNTIFS(Jobs!$G$5:$G$604,A136,Jobs!$P$5:$P$604,"No access"))</f>
        <v>0</v>
      </c>
      <c r="AA136" s="18">
        <f>IF(A136="","",IF(SUMPRODUCT(MAX((Jobs!$G$5:$G$604=A136)*((Jobs!$P$5:$P$604="Completed")+(Jobs!$P$5:$P$604="Invoiced"))*Jobs!$B$5:$B$604))=0,"",SUMPRODUCT(MAX((Jobs!$G$5:$G$604=A136)*((Jobs!$P$5:$P$604="Completed")+(Jobs!$P$5:$P$604="Invoiced"))*Jobs!$B$5:$B$604))))</f>
        <v>0</v>
      </c>
      <c r="AB136" s="31">
        <f>IF(AA136="","",TodayDate-AA136)</f>
        <v>0</v>
      </c>
      <c r="AC136" s="18">
        <f>IF(A136="","",IF(SUMPRODUCT(MIN((Jobs!$G$5:$G$604=A136)*(Jobs!$B$5:$B$604&gt;=TodayDate)*(Jobs!$P$5:$P$604&lt;&gt;"Cancelled")*Jobs!$B$5:$B$604+(1-(Jobs!$G$5:$G$604=A136)*(Jobs!$B$5:$B$604&gt;=TodayDate)*(Jobs!$P$5:$P$604&lt;&gt;"Cancelled"))*2958465))=2958465,"",SUMPRODUCT(MIN((Jobs!$G$5:$G$604=A136)*(Jobs!$B$5:$B$604&gt;=TodayDate)*(Jobs!$P$5:$P$604&lt;&gt;"Cancelled")*Jobs!$B$5:$B$604+(1-(Jobs!$G$5:$G$604=A136)*(Jobs!$B$5:$B$604&gt;=TodayDate)*(Jobs!$P$5:$P$604&lt;&gt;"Cancelled"))*2958465))))</f>
        <v>0</v>
      </c>
      <c r="AD136" s="21">
        <f>IF(A136="","",SUMIFS(Invoices!$V$5:$V$404,Invoices!$D$5:$D$404,A136))</f>
        <v>0</v>
      </c>
      <c r="AE136" s="21">
        <f>IF(A136="","",SUMIFS(Invoices!$W$5:$W$404,Invoices!$D$5:$D$404,A136))</f>
        <v>0</v>
      </c>
      <c r="AF136" s="21">
        <f>IF(A136="","",AD136-AE136)</f>
        <v>0</v>
      </c>
      <c r="AG136" s="21">
        <f>IF(OR(A136="",Y136=0),"",AD136/Y136)</f>
        <v>0</v>
      </c>
      <c r="AH136" s="21">
        <f>IF(A136="","",SUMIFS('Job Costing'!$U$5:$U$604,'Job Costing'!$D$5:$D$604,A136))</f>
        <v>0</v>
      </c>
      <c r="AI136" s="38">
        <f>IF(OR(A136="",AD136=0),"",AH136/AD136)</f>
        <v>0</v>
      </c>
      <c r="AJ136" s="21">
        <f>IF(OR(A136="",K136="",AG136=""),"",AG136*IFERROR(INDEX(FreqPerYear,MATCH(K136,FreqNames,0)),1))</f>
        <v>0</v>
      </c>
      <c r="AK136" s="34">
        <f>IF(A136="","",IFERROR(AVERAGEIFS(Jobs!$AA$5:$AA$604,Jobs!$G$5:$G$604,A136,Jobs!$AA$5:$AA$604,"&gt;0"),""))</f>
        <v>0</v>
      </c>
      <c r="AL136" s="31">
        <f>IF(A136="","",COUNTIFS(Complaints!$D$5:$D$84,A136))</f>
        <v>0</v>
      </c>
      <c r="AM136" s="31">
        <f>IF(B136="","",COUNTIFS($AD$5:$AD$204,"&gt;"&amp;AD136)+COUNTIFS($AD$5:AD136,AD136))</f>
        <v>0</v>
      </c>
      <c r="AN136" s="31">
        <f>IF(B136="","",COUNTIFS($AH$5:$AH$204,"&gt;"&amp;AH136)+COUNTIFS($AH$5:AH136,AH136))</f>
        <v>0</v>
      </c>
      <c r="AO136" s="31">
        <f>IF(B136="","",COUNTIFS($AJ$5:$AJ$204,"&gt;"&amp;AJ136)+COUNTIFS($AJ$5:AJ136,AJ136))</f>
        <v>0</v>
      </c>
      <c r="AP136" s="39">
        <f>IF(B136="","",IF(H136="Lost","Lost",IF(H136="Inactive","Dormant",IF(AA136="","Dormant",IF(AB136&gt;InactiveClientDays*2,"Dormant",IF(AB136&gt;InactiveClientDays,"At risk",IF(AC136="","Slipping",IF(Y136&gt;=10,"Loyal","Steady"))))))))</f>
        <v>0</v>
      </c>
      <c r="AQ136" s="34">
        <f>IF(OR(B136="",AP136="Lost",AP136="Dormant"),"",IF(OR(AP136="At risk",AP136="Slipping"),IF(AB136="",999,AB136),""))</f>
        <v>0</v>
      </c>
      <c r="AR136" s="31">
        <f>IF(AQ136="","",COUNTIFS($AQ$5:$AQ$204,"&gt;"&amp;AQ136)+COUNTIFS($AQ$5:AQ136,AQ136))</f>
        <v>0</v>
      </c>
      <c r="AS136" s="39">
        <f>IF(B136="","",IF(AF136&gt;0.5,"Chase - "&amp;TEXT(AF136,"0")&amp;" owing",IF(AND(H136&lt;&gt;"Lost",H136&lt;&gt;"Inactive",H136&lt;&gt;"Paused",AC136="",K136&lt;&gt;"One-off"),"Book - nothing in the diary",IF(AND(S136&lt;&gt;"",S136-TodayDate&lt;=RenewalWarningDays,S136&gt;=TodayDate),"Due - contract renews soon",IF(AP136="At risk","Call - going quiet",IF(AL136&gt;=2,"Check - complaints logged",IF(AND(AI136&lt;&gt;"",AI136&lt;MarginFloor,Y136&gt;0),"Check - thin margin","OK")))))))</f>
        <v>0</v>
      </c>
    </row>
    <row r="137" spans="1:45">
      <c r="A137" s="43">
        <f>IF(B137="","",ClientPrefix&amp;TEXT(ROW()-4,"0000"))</f>
        <v>0</v>
      </c>
      <c r="W137" s="31">
        <f>IF(A137="","",COUNTIFS(Properties!$C$5:$C$254,A137))</f>
        <v>0</v>
      </c>
      <c r="X137" s="31">
        <f>IF(A137="","",COUNTIFS(Jobs!$G$5:$G$604,A137))</f>
        <v>0</v>
      </c>
      <c r="Y137" s="31">
        <f>IF(A137="","",COUNTIFS(Jobs!$G$5:$G$604,A137,Jobs!$P$5:$P$604,"Completed")+COUNTIFS(Jobs!$G$5:$G$604,A137,Jobs!$P$5:$P$604,"Invoiced"))</f>
        <v>0</v>
      </c>
      <c r="Z137" s="31">
        <f>IF(A137="","",COUNTIFS(Jobs!$G$5:$G$604,A137,Jobs!$P$5:$P$604,"Cancelled")+COUNTIFS(Jobs!$G$5:$G$604,A137,Jobs!$P$5:$P$604,"No access"))</f>
        <v>0</v>
      </c>
      <c r="AA137" s="18">
        <f>IF(A137="","",IF(SUMPRODUCT(MAX((Jobs!$G$5:$G$604=A137)*((Jobs!$P$5:$P$604="Completed")+(Jobs!$P$5:$P$604="Invoiced"))*Jobs!$B$5:$B$604))=0,"",SUMPRODUCT(MAX((Jobs!$G$5:$G$604=A137)*((Jobs!$P$5:$P$604="Completed")+(Jobs!$P$5:$P$604="Invoiced"))*Jobs!$B$5:$B$604))))</f>
        <v>0</v>
      </c>
      <c r="AB137" s="31">
        <f>IF(AA137="","",TodayDate-AA137)</f>
        <v>0</v>
      </c>
      <c r="AC137" s="18">
        <f>IF(A137="","",IF(SUMPRODUCT(MIN((Jobs!$G$5:$G$604=A137)*(Jobs!$B$5:$B$604&gt;=TodayDate)*(Jobs!$P$5:$P$604&lt;&gt;"Cancelled")*Jobs!$B$5:$B$604+(1-(Jobs!$G$5:$G$604=A137)*(Jobs!$B$5:$B$604&gt;=TodayDate)*(Jobs!$P$5:$P$604&lt;&gt;"Cancelled"))*2958465))=2958465,"",SUMPRODUCT(MIN((Jobs!$G$5:$G$604=A137)*(Jobs!$B$5:$B$604&gt;=TodayDate)*(Jobs!$P$5:$P$604&lt;&gt;"Cancelled")*Jobs!$B$5:$B$604+(1-(Jobs!$G$5:$G$604=A137)*(Jobs!$B$5:$B$604&gt;=TodayDate)*(Jobs!$P$5:$P$604&lt;&gt;"Cancelled"))*2958465))))</f>
        <v>0</v>
      </c>
      <c r="AD137" s="21">
        <f>IF(A137="","",SUMIFS(Invoices!$V$5:$V$404,Invoices!$D$5:$D$404,A137))</f>
        <v>0</v>
      </c>
      <c r="AE137" s="21">
        <f>IF(A137="","",SUMIFS(Invoices!$W$5:$W$404,Invoices!$D$5:$D$404,A137))</f>
        <v>0</v>
      </c>
      <c r="AF137" s="21">
        <f>IF(A137="","",AD137-AE137)</f>
        <v>0</v>
      </c>
      <c r="AG137" s="21">
        <f>IF(OR(A137="",Y137=0),"",AD137/Y137)</f>
        <v>0</v>
      </c>
      <c r="AH137" s="21">
        <f>IF(A137="","",SUMIFS('Job Costing'!$U$5:$U$604,'Job Costing'!$D$5:$D$604,A137))</f>
        <v>0</v>
      </c>
      <c r="AI137" s="38">
        <f>IF(OR(A137="",AD137=0),"",AH137/AD137)</f>
        <v>0</v>
      </c>
      <c r="AJ137" s="21">
        <f>IF(OR(A137="",K137="",AG137=""),"",AG137*IFERROR(INDEX(FreqPerYear,MATCH(K137,FreqNames,0)),1))</f>
        <v>0</v>
      </c>
      <c r="AK137" s="34">
        <f>IF(A137="","",IFERROR(AVERAGEIFS(Jobs!$AA$5:$AA$604,Jobs!$G$5:$G$604,A137,Jobs!$AA$5:$AA$604,"&gt;0"),""))</f>
        <v>0</v>
      </c>
      <c r="AL137" s="31">
        <f>IF(A137="","",COUNTIFS(Complaints!$D$5:$D$84,A137))</f>
        <v>0</v>
      </c>
      <c r="AM137" s="31">
        <f>IF(B137="","",COUNTIFS($AD$5:$AD$204,"&gt;"&amp;AD137)+COUNTIFS($AD$5:AD137,AD137))</f>
        <v>0</v>
      </c>
      <c r="AN137" s="31">
        <f>IF(B137="","",COUNTIFS($AH$5:$AH$204,"&gt;"&amp;AH137)+COUNTIFS($AH$5:AH137,AH137))</f>
        <v>0</v>
      </c>
      <c r="AO137" s="31">
        <f>IF(B137="","",COUNTIFS($AJ$5:$AJ$204,"&gt;"&amp;AJ137)+COUNTIFS($AJ$5:AJ137,AJ137))</f>
        <v>0</v>
      </c>
      <c r="AP137" s="39">
        <f>IF(B137="","",IF(H137="Lost","Lost",IF(H137="Inactive","Dormant",IF(AA137="","Dormant",IF(AB137&gt;InactiveClientDays*2,"Dormant",IF(AB137&gt;InactiveClientDays,"At risk",IF(AC137="","Slipping",IF(Y137&gt;=10,"Loyal","Steady"))))))))</f>
        <v>0</v>
      </c>
      <c r="AQ137" s="34">
        <f>IF(OR(B137="",AP137="Lost",AP137="Dormant"),"",IF(OR(AP137="At risk",AP137="Slipping"),IF(AB137="",999,AB137),""))</f>
        <v>0</v>
      </c>
      <c r="AR137" s="31">
        <f>IF(AQ137="","",COUNTIFS($AQ$5:$AQ$204,"&gt;"&amp;AQ137)+COUNTIFS($AQ$5:AQ137,AQ137))</f>
        <v>0</v>
      </c>
      <c r="AS137" s="39">
        <f>IF(B137="","",IF(AF137&gt;0.5,"Chase - "&amp;TEXT(AF137,"0")&amp;" owing",IF(AND(H137&lt;&gt;"Lost",H137&lt;&gt;"Inactive",H137&lt;&gt;"Paused",AC137="",K137&lt;&gt;"One-off"),"Book - nothing in the diary",IF(AND(S137&lt;&gt;"",S137-TodayDate&lt;=RenewalWarningDays,S137&gt;=TodayDate),"Due - contract renews soon",IF(AP137="At risk","Call - going quiet",IF(AL137&gt;=2,"Check - complaints logged",IF(AND(AI137&lt;&gt;"",AI137&lt;MarginFloor,Y137&gt;0),"Check - thin margin","OK")))))))</f>
        <v>0</v>
      </c>
    </row>
    <row r="138" spans="1:45">
      <c r="A138" s="43">
        <f>IF(B138="","",ClientPrefix&amp;TEXT(ROW()-4,"0000"))</f>
        <v>0</v>
      </c>
      <c r="W138" s="31">
        <f>IF(A138="","",COUNTIFS(Properties!$C$5:$C$254,A138))</f>
        <v>0</v>
      </c>
      <c r="X138" s="31">
        <f>IF(A138="","",COUNTIFS(Jobs!$G$5:$G$604,A138))</f>
        <v>0</v>
      </c>
      <c r="Y138" s="31">
        <f>IF(A138="","",COUNTIFS(Jobs!$G$5:$G$604,A138,Jobs!$P$5:$P$604,"Completed")+COUNTIFS(Jobs!$G$5:$G$604,A138,Jobs!$P$5:$P$604,"Invoiced"))</f>
        <v>0</v>
      </c>
      <c r="Z138" s="31">
        <f>IF(A138="","",COUNTIFS(Jobs!$G$5:$G$604,A138,Jobs!$P$5:$P$604,"Cancelled")+COUNTIFS(Jobs!$G$5:$G$604,A138,Jobs!$P$5:$P$604,"No access"))</f>
        <v>0</v>
      </c>
      <c r="AA138" s="18">
        <f>IF(A138="","",IF(SUMPRODUCT(MAX((Jobs!$G$5:$G$604=A138)*((Jobs!$P$5:$P$604="Completed")+(Jobs!$P$5:$P$604="Invoiced"))*Jobs!$B$5:$B$604))=0,"",SUMPRODUCT(MAX((Jobs!$G$5:$G$604=A138)*((Jobs!$P$5:$P$604="Completed")+(Jobs!$P$5:$P$604="Invoiced"))*Jobs!$B$5:$B$604))))</f>
        <v>0</v>
      </c>
      <c r="AB138" s="31">
        <f>IF(AA138="","",TodayDate-AA138)</f>
        <v>0</v>
      </c>
      <c r="AC138" s="18">
        <f>IF(A138="","",IF(SUMPRODUCT(MIN((Jobs!$G$5:$G$604=A138)*(Jobs!$B$5:$B$604&gt;=TodayDate)*(Jobs!$P$5:$P$604&lt;&gt;"Cancelled")*Jobs!$B$5:$B$604+(1-(Jobs!$G$5:$G$604=A138)*(Jobs!$B$5:$B$604&gt;=TodayDate)*(Jobs!$P$5:$P$604&lt;&gt;"Cancelled"))*2958465))=2958465,"",SUMPRODUCT(MIN((Jobs!$G$5:$G$604=A138)*(Jobs!$B$5:$B$604&gt;=TodayDate)*(Jobs!$P$5:$P$604&lt;&gt;"Cancelled")*Jobs!$B$5:$B$604+(1-(Jobs!$G$5:$G$604=A138)*(Jobs!$B$5:$B$604&gt;=TodayDate)*(Jobs!$P$5:$P$604&lt;&gt;"Cancelled"))*2958465))))</f>
        <v>0</v>
      </c>
      <c r="AD138" s="21">
        <f>IF(A138="","",SUMIFS(Invoices!$V$5:$V$404,Invoices!$D$5:$D$404,A138))</f>
        <v>0</v>
      </c>
      <c r="AE138" s="21">
        <f>IF(A138="","",SUMIFS(Invoices!$W$5:$W$404,Invoices!$D$5:$D$404,A138))</f>
        <v>0</v>
      </c>
      <c r="AF138" s="21">
        <f>IF(A138="","",AD138-AE138)</f>
        <v>0</v>
      </c>
      <c r="AG138" s="21">
        <f>IF(OR(A138="",Y138=0),"",AD138/Y138)</f>
        <v>0</v>
      </c>
      <c r="AH138" s="21">
        <f>IF(A138="","",SUMIFS('Job Costing'!$U$5:$U$604,'Job Costing'!$D$5:$D$604,A138))</f>
        <v>0</v>
      </c>
      <c r="AI138" s="38">
        <f>IF(OR(A138="",AD138=0),"",AH138/AD138)</f>
        <v>0</v>
      </c>
      <c r="AJ138" s="21">
        <f>IF(OR(A138="",K138="",AG138=""),"",AG138*IFERROR(INDEX(FreqPerYear,MATCH(K138,FreqNames,0)),1))</f>
        <v>0</v>
      </c>
      <c r="AK138" s="34">
        <f>IF(A138="","",IFERROR(AVERAGEIFS(Jobs!$AA$5:$AA$604,Jobs!$G$5:$G$604,A138,Jobs!$AA$5:$AA$604,"&gt;0"),""))</f>
        <v>0</v>
      </c>
      <c r="AL138" s="31">
        <f>IF(A138="","",COUNTIFS(Complaints!$D$5:$D$84,A138))</f>
        <v>0</v>
      </c>
      <c r="AM138" s="31">
        <f>IF(B138="","",COUNTIFS($AD$5:$AD$204,"&gt;"&amp;AD138)+COUNTIFS($AD$5:AD138,AD138))</f>
        <v>0</v>
      </c>
      <c r="AN138" s="31">
        <f>IF(B138="","",COUNTIFS($AH$5:$AH$204,"&gt;"&amp;AH138)+COUNTIFS($AH$5:AH138,AH138))</f>
        <v>0</v>
      </c>
      <c r="AO138" s="31">
        <f>IF(B138="","",COUNTIFS($AJ$5:$AJ$204,"&gt;"&amp;AJ138)+COUNTIFS($AJ$5:AJ138,AJ138))</f>
        <v>0</v>
      </c>
      <c r="AP138" s="39">
        <f>IF(B138="","",IF(H138="Lost","Lost",IF(H138="Inactive","Dormant",IF(AA138="","Dormant",IF(AB138&gt;InactiveClientDays*2,"Dormant",IF(AB138&gt;InactiveClientDays,"At risk",IF(AC138="","Slipping",IF(Y138&gt;=10,"Loyal","Steady"))))))))</f>
        <v>0</v>
      </c>
      <c r="AQ138" s="34">
        <f>IF(OR(B138="",AP138="Lost",AP138="Dormant"),"",IF(OR(AP138="At risk",AP138="Slipping"),IF(AB138="",999,AB138),""))</f>
        <v>0</v>
      </c>
      <c r="AR138" s="31">
        <f>IF(AQ138="","",COUNTIFS($AQ$5:$AQ$204,"&gt;"&amp;AQ138)+COUNTIFS($AQ$5:AQ138,AQ138))</f>
        <v>0</v>
      </c>
      <c r="AS138" s="39">
        <f>IF(B138="","",IF(AF138&gt;0.5,"Chase - "&amp;TEXT(AF138,"0")&amp;" owing",IF(AND(H138&lt;&gt;"Lost",H138&lt;&gt;"Inactive",H138&lt;&gt;"Paused",AC138="",K138&lt;&gt;"One-off"),"Book - nothing in the diary",IF(AND(S138&lt;&gt;"",S138-TodayDate&lt;=RenewalWarningDays,S138&gt;=TodayDate),"Due - contract renews soon",IF(AP138="At risk","Call - going quiet",IF(AL138&gt;=2,"Check - complaints logged",IF(AND(AI138&lt;&gt;"",AI138&lt;MarginFloor,Y138&gt;0),"Check - thin margin","OK")))))))</f>
        <v>0</v>
      </c>
    </row>
    <row r="139" spans="1:45">
      <c r="A139" s="43">
        <f>IF(B139="","",ClientPrefix&amp;TEXT(ROW()-4,"0000"))</f>
        <v>0</v>
      </c>
      <c r="W139" s="31">
        <f>IF(A139="","",COUNTIFS(Properties!$C$5:$C$254,A139))</f>
        <v>0</v>
      </c>
      <c r="X139" s="31">
        <f>IF(A139="","",COUNTIFS(Jobs!$G$5:$G$604,A139))</f>
        <v>0</v>
      </c>
      <c r="Y139" s="31">
        <f>IF(A139="","",COUNTIFS(Jobs!$G$5:$G$604,A139,Jobs!$P$5:$P$604,"Completed")+COUNTIFS(Jobs!$G$5:$G$604,A139,Jobs!$P$5:$P$604,"Invoiced"))</f>
        <v>0</v>
      </c>
      <c r="Z139" s="31">
        <f>IF(A139="","",COUNTIFS(Jobs!$G$5:$G$604,A139,Jobs!$P$5:$P$604,"Cancelled")+COUNTIFS(Jobs!$G$5:$G$604,A139,Jobs!$P$5:$P$604,"No access"))</f>
        <v>0</v>
      </c>
      <c r="AA139" s="18">
        <f>IF(A139="","",IF(SUMPRODUCT(MAX((Jobs!$G$5:$G$604=A139)*((Jobs!$P$5:$P$604="Completed")+(Jobs!$P$5:$P$604="Invoiced"))*Jobs!$B$5:$B$604))=0,"",SUMPRODUCT(MAX((Jobs!$G$5:$G$604=A139)*((Jobs!$P$5:$P$604="Completed")+(Jobs!$P$5:$P$604="Invoiced"))*Jobs!$B$5:$B$604))))</f>
        <v>0</v>
      </c>
      <c r="AB139" s="31">
        <f>IF(AA139="","",TodayDate-AA139)</f>
        <v>0</v>
      </c>
      <c r="AC139" s="18">
        <f>IF(A139="","",IF(SUMPRODUCT(MIN((Jobs!$G$5:$G$604=A139)*(Jobs!$B$5:$B$604&gt;=TodayDate)*(Jobs!$P$5:$P$604&lt;&gt;"Cancelled")*Jobs!$B$5:$B$604+(1-(Jobs!$G$5:$G$604=A139)*(Jobs!$B$5:$B$604&gt;=TodayDate)*(Jobs!$P$5:$P$604&lt;&gt;"Cancelled"))*2958465))=2958465,"",SUMPRODUCT(MIN((Jobs!$G$5:$G$604=A139)*(Jobs!$B$5:$B$604&gt;=TodayDate)*(Jobs!$P$5:$P$604&lt;&gt;"Cancelled")*Jobs!$B$5:$B$604+(1-(Jobs!$G$5:$G$604=A139)*(Jobs!$B$5:$B$604&gt;=TodayDate)*(Jobs!$P$5:$P$604&lt;&gt;"Cancelled"))*2958465))))</f>
        <v>0</v>
      </c>
      <c r="AD139" s="21">
        <f>IF(A139="","",SUMIFS(Invoices!$V$5:$V$404,Invoices!$D$5:$D$404,A139))</f>
        <v>0</v>
      </c>
      <c r="AE139" s="21">
        <f>IF(A139="","",SUMIFS(Invoices!$W$5:$W$404,Invoices!$D$5:$D$404,A139))</f>
        <v>0</v>
      </c>
      <c r="AF139" s="21">
        <f>IF(A139="","",AD139-AE139)</f>
        <v>0</v>
      </c>
      <c r="AG139" s="21">
        <f>IF(OR(A139="",Y139=0),"",AD139/Y139)</f>
        <v>0</v>
      </c>
      <c r="AH139" s="21">
        <f>IF(A139="","",SUMIFS('Job Costing'!$U$5:$U$604,'Job Costing'!$D$5:$D$604,A139))</f>
        <v>0</v>
      </c>
      <c r="AI139" s="38">
        <f>IF(OR(A139="",AD139=0),"",AH139/AD139)</f>
        <v>0</v>
      </c>
      <c r="AJ139" s="21">
        <f>IF(OR(A139="",K139="",AG139=""),"",AG139*IFERROR(INDEX(FreqPerYear,MATCH(K139,FreqNames,0)),1))</f>
        <v>0</v>
      </c>
      <c r="AK139" s="34">
        <f>IF(A139="","",IFERROR(AVERAGEIFS(Jobs!$AA$5:$AA$604,Jobs!$G$5:$G$604,A139,Jobs!$AA$5:$AA$604,"&gt;0"),""))</f>
        <v>0</v>
      </c>
      <c r="AL139" s="31">
        <f>IF(A139="","",COUNTIFS(Complaints!$D$5:$D$84,A139))</f>
        <v>0</v>
      </c>
      <c r="AM139" s="31">
        <f>IF(B139="","",COUNTIFS($AD$5:$AD$204,"&gt;"&amp;AD139)+COUNTIFS($AD$5:AD139,AD139))</f>
        <v>0</v>
      </c>
      <c r="AN139" s="31">
        <f>IF(B139="","",COUNTIFS($AH$5:$AH$204,"&gt;"&amp;AH139)+COUNTIFS($AH$5:AH139,AH139))</f>
        <v>0</v>
      </c>
      <c r="AO139" s="31">
        <f>IF(B139="","",COUNTIFS($AJ$5:$AJ$204,"&gt;"&amp;AJ139)+COUNTIFS($AJ$5:AJ139,AJ139))</f>
        <v>0</v>
      </c>
      <c r="AP139" s="39">
        <f>IF(B139="","",IF(H139="Lost","Lost",IF(H139="Inactive","Dormant",IF(AA139="","Dormant",IF(AB139&gt;InactiveClientDays*2,"Dormant",IF(AB139&gt;InactiveClientDays,"At risk",IF(AC139="","Slipping",IF(Y139&gt;=10,"Loyal","Steady"))))))))</f>
        <v>0</v>
      </c>
      <c r="AQ139" s="34">
        <f>IF(OR(B139="",AP139="Lost",AP139="Dormant"),"",IF(OR(AP139="At risk",AP139="Slipping"),IF(AB139="",999,AB139),""))</f>
        <v>0</v>
      </c>
      <c r="AR139" s="31">
        <f>IF(AQ139="","",COUNTIFS($AQ$5:$AQ$204,"&gt;"&amp;AQ139)+COUNTIFS($AQ$5:AQ139,AQ139))</f>
        <v>0</v>
      </c>
      <c r="AS139" s="39">
        <f>IF(B139="","",IF(AF139&gt;0.5,"Chase - "&amp;TEXT(AF139,"0")&amp;" owing",IF(AND(H139&lt;&gt;"Lost",H139&lt;&gt;"Inactive",H139&lt;&gt;"Paused",AC139="",K139&lt;&gt;"One-off"),"Book - nothing in the diary",IF(AND(S139&lt;&gt;"",S139-TodayDate&lt;=RenewalWarningDays,S139&gt;=TodayDate),"Due - contract renews soon",IF(AP139="At risk","Call - going quiet",IF(AL139&gt;=2,"Check - complaints logged",IF(AND(AI139&lt;&gt;"",AI139&lt;MarginFloor,Y139&gt;0),"Check - thin margin","OK")))))))</f>
        <v>0</v>
      </c>
    </row>
    <row r="140" spans="1:45">
      <c r="A140" s="43">
        <f>IF(B140="","",ClientPrefix&amp;TEXT(ROW()-4,"0000"))</f>
        <v>0</v>
      </c>
      <c r="W140" s="31">
        <f>IF(A140="","",COUNTIFS(Properties!$C$5:$C$254,A140))</f>
        <v>0</v>
      </c>
      <c r="X140" s="31">
        <f>IF(A140="","",COUNTIFS(Jobs!$G$5:$G$604,A140))</f>
        <v>0</v>
      </c>
      <c r="Y140" s="31">
        <f>IF(A140="","",COUNTIFS(Jobs!$G$5:$G$604,A140,Jobs!$P$5:$P$604,"Completed")+COUNTIFS(Jobs!$G$5:$G$604,A140,Jobs!$P$5:$P$604,"Invoiced"))</f>
        <v>0</v>
      </c>
      <c r="Z140" s="31">
        <f>IF(A140="","",COUNTIFS(Jobs!$G$5:$G$604,A140,Jobs!$P$5:$P$604,"Cancelled")+COUNTIFS(Jobs!$G$5:$G$604,A140,Jobs!$P$5:$P$604,"No access"))</f>
        <v>0</v>
      </c>
      <c r="AA140" s="18">
        <f>IF(A140="","",IF(SUMPRODUCT(MAX((Jobs!$G$5:$G$604=A140)*((Jobs!$P$5:$P$604="Completed")+(Jobs!$P$5:$P$604="Invoiced"))*Jobs!$B$5:$B$604))=0,"",SUMPRODUCT(MAX((Jobs!$G$5:$G$604=A140)*((Jobs!$P$5:$P$604="Completed")+(Jobs!$P$5:$P$604="Invoiced"))*Jobs!$B$5:$B$604))))</f>
        <v>0</v>
      </c>
      <c r="AB140" s="31">
        <f>IF(AA140="","",TodayDate-AA140)</f>
        <v>0</v>
      </c>
      <c r="AC140" s="18">
        <f>IF(A140="","",IF(SUMPRODUCT(MIN((Jobs!$G$5:$G$604=A140)*(Jobs!$B$5:$B$604&gt;=TodayDate)*(Jobs!$P$5:$P$604&lt;&gt;"Cancelled")*Jobs!$B$5:$B$604+(1-(Jobs!$G$5:$G$604=A140)*(Jobs!$B$5:$B$604&gt;=TodayDate)*(Jobs!$P$5:$P$604&lt;&gt;"Cancelled"))*2958465))=2958465,"",SUMPRODUCT(MIN((Jobs!$G$5:$G$604=A140)*(Jobs!$B$5:$B$604&gt;=TodayDate)*(Jobs!$P$5:$P$604&lt;&gt;"Cancelled")*Jobs!$B$5:$B$604+(1-(Jobs!$G$5:$G$604=A140)*(Jobs!$B$5:$B$604&gt;=TodayDate)*(Jobs!$P$5:$P$604&lt;&gt;"Cancelled"))*2958465))))</f>
        <v>0</v>
      </c>
      <c r="AD140" s="21">
        <f>IF(A140="","",SUMIFS(Invoices!$V$5:$V$404,Invoices!$D$5:$D$404,A140))</f>
        <v>0</v>
      </c>
      <c r="AE140" s="21">
        <f>IF(A140="","",SUMIFS(Invoices!$W$5:$W$404,Invoices!$D$5:$D$404,A140))</f>
        <v>0</v>
      </c>
      <c r="AF140" s="21">
        <f>IF(A140="","",AD140-AE140)</f>
        <v>0</v>
      </c>
      <c r="AG140" s="21">
        <f>IF(OR(A140="",Y140=0),"",AD140/Y140)</f>
        <v>0</v>
      </c>
      <c r="AH140" s="21">
        <f>IF(A140="","",SUMIFS('Job Costing'!$U$5:$U$604,'Job Costing'!$D$5:$D$604,A140))</f>
        <v>0</v>
      </c>
      <c r="AI140" s="38">
        <f>IF(OR(A140="",AD140=0),"",AH140/AD140)</f>
        <v>0</v>
      </c>
      <c r="AJ140" s="21">
        <f>IF(OR(A140="",K140="",AG140=""),"",AG140*IFERROR(INDEX(FreqPerYear,MATCH(K140,FreqNames,0)),1))</f>
        <v>0</v>
      </c>
      <c r="AK140" s="34">
        <f>IF(A140="","",IFERROR(AVERAGEIFS(Jobs!$AA$5:$AA$604,Jobs!$G$5:$G$604,A140,Jobs!$AA$5:$AA$604,"&gt;0"),""))</f>
        <v>0</v>
      </c>
      <c r="AL140" s="31">
        <f>IF(A140="","",COUNTIFS(Complaints!$D$5:$D$84,A140))</f>
        <v>0</v>
      </c>
      <c r="AM140" s="31">
        <f>IF(B140="","",COUNTIFS($AD$5:$AD$204,"&gt;"&amp;AD140)+COUNTIFS($AD$5:AD140,AD140))</f>
        <v>0</v>
      </c>
      <c r="AN140" s="31">
        <f>IF(B140="","",COUNTIFS($AH$5:$AH$204,"&gt;"&amp;AH140)+COUNTIFS($AH$5:AH140,AH140))</f>
        <v>0</v>
      </c>
      <c r="AO140" s="31">
        <f>IF(B140="","",COUNTIFS($AJ$5:$AJ$204,"&gt;"&amp;AJ140)+COUNTIFS($AJ$5:AJ140,AJ140))</f>
        <v>0</v>
      </c>
      <c r="AP140" s="39">
        <f>IF(B140="","",IF(H140="Lost","Lost",IF(H140="Inactive","Dormant",IF(AA140="","Dormant",IF(AB140&gt;InactiveClientDays*2,"Dormant",IF(AB140&gt;InactiveClientDays,"At risk",IF(AC140="","Slipping",IF(Y140&gt;=10,"Loyal","Steady"))))))))</f>
        <v>0</v>
      </c>
      <c r="AQ140" s="34">
        <f>IF(OR(B140="",AP140="Lost",AP140="Dormant"),"",IF(OR(AP140="At risk",AP140="Slipping"),IF(AB140="",999,AB140),""))</f>
        <v>0</v>
      </c>
      <c r="AR140" s="31">
        <f>IF(AQ140="","",COUNTIFS($AQ$5:$AQ$204,"&gt;"&amp;AQ140)+COUNTIFS($AQ$5:AQ140,AQ140))</f>
        <v>0</v>
      </c>
      <c r="AS140" s="39">
        <f>IF(B140="","",IF(AF140&gt;0.5,"Chase - "&amp;TEXT(AF140,"0")&amp;" owing",IF(AND(H140&lt;&gt;"Lost",H140&lt;&gt;"Inactive",H140&lt;&gt;"Paused",AC140="",K140&lt;&gt;"One-off"),"Book - nothing in the diary",IF(AND(S140&lt;&gt;"",S140-TodayDate&lt;=RenewalWarningDays,S140&gt;=TodayDate),"Due - contract renews soon",IF(AP140="At risk","Call - going quiet",IF(AL140&gt;=2,"Check - complaints logged",IF(AND(AI140&lt;&gt;"",AI140&lt;MarginFloor,Y140&gt;0),"Check - thin margin","OK")))))))</f>
        <v>0</v>
      </c>
    </row>
    <row r="141" spans="1:45">
      <c r="A141" s="43">
        <f>IF(B141="","",ClientPrefix&amp;TEXT(ROW()-4,"0000"))</f>
        <v>0</v>
      </c>
      <c r="W141" s="31">
        <f>IF(A141="","",COUNTIFS(Properties!$C$5:$C$254,A141))</f>
        <v>0</v>
      </c>
      <c r="X141" s="31">
        <f>IF(A141="","",COUNTIFS(Jobs!$G$5:$G$604,A141))</f>
        <v>0</v>
      </c>
      <c r="Y141" s="31">
        <f>IF(A141="","",COUNTIFS(Jobs!$G$5:$G$604,A141,Jobs!$P$5:$P$604,"Completed")+COUNTIFS(Jobs!$G$5:$G$604,A141,Jobs!$P$5:$P$604,"Invoiced"))</f>
        <v>0</v>
      </c>
      <c r="Z141" s="31">
        <f>IF(A141="","",COUNTIFS(Jobs!$G$5:$G$604,A141,Jobs!$P$5:$P$604,"Cancelled")+COUNTIFS(Jobs!$G$5:$G$604,A141,Jobs!$P$5:$P$604,"No access"))</f>
        <v>0</v>
      </c>
      <c r="AA141" s="18">
        <f>IF(A141="","",IF(SUMPRODUCT(MAX((Jobs!$G$5:$G$604=A141)*((Jobs!$P$5:$P$604="Completed")+(Jobs!$P$5:$P$604="Invoiced"))*Jobs!$B$5:$B$604))=0,"",SUMPRODUCT(MAX((Jobs!$G$5:$G$604=A141)*((Jobs!$P$5:$P$604="Completed")+(Jobs!$P$5:$P$604="Invoiced"))*Jobs!$B$5:$B$604))))</f>
        <v>0</v>
      </c>
      <c r="AB141" s="31">
        <f>IF(AA141="","",TodayDate-AA141)</f>
        <v>0</v>
      </c>
      <c r="AC141" s="18">
        <f>IF(A141="","",IF(SUMPRODUCT(MIN((Jobs!$G$5:$G$604=A141)*(Jobs!$B$5:$B$604&gt;=TodayDate)*(Jobs!$P$5:$P$604&lt;&gt;"Cancelled")*Jobs!$B$5:$B$604+(1-(Jobs!$G$5:$G$604=A141)*(Jobs!$B$5:$B$604&gt;=TodayDate)*(Jobs!$P$5:$P$604&lt;&gt;"Cancelled"))*2958465))=2958465,"",SUMPRODUCT(MIN((Jobs!$G$5:$G$604=A141)*(Jobs!$B$5:$B$604&gt;=TodayDate)*(Jobs!$P$5:$P$604&lt;&gt;"Cancelled")*Jobs!$B$5:$B$604+(1-(Jobs!$G$5:$G$604=A141)*(Jobs!$B$5:$B$604&gt;=TodayDate)*(Jobs!$P$5:$P$604&lt;&gt;"Cancelled"))*2958465))))</f>
        <v>0</v>
      </c>
      <c r="AD141" s="21">
        <f>IF(A141="","",SUMIFS(Invoices!$V$5:$V$404,Invoices!$D$5:$D$404,A141))</f>
        <v>0</v>
      </c>
      <c r="AE141" s="21">
        <f>IF(A141="","",SUMIFS(Invoices!$W$5:$W$404,Invoices!$D$5:$D$404,A141))</f>
        <v>0</v>
      </c>
      <c r="AF141" s="21">
        <f>IF(A141="","",AD141-AE141)</f>
        <v>0</v>
      </c>
      <c r="AG141" s="21">
        <f>IF(OR(A141="",Y141=0),"",AD141/Y141)</f>
        <v>0</v>
      </c>
      <c r="AH141" s="21">
        <f>IF(A141="","",SUMIFS('Job Costing'!$U$5:$U$604,'Job Costing'!$D$5:$D$604,A141))</f>
        <v>0</v>
      </c>
      <c r="AI141" s="38">
        <f>IF(OR(A141="",AD141=0),"",AH141/AD141)</f>
        <v>0</v>
      </c>
      <c r="AJ141" s="21">
        <f>IF(OR(A141="",K141="",AG141=""),"",AG141*IFERROR(INDEX(FreqPerYear,MATCH(K141,FreqNames,0)),1))</f>
        <v>0</v>
      </c>
      <c r="AK141" s="34">
        <f>IF(A141="","",IFERROR(AVERAGEIFS(Jobs!$AA$5:$AA$604,Jobs!$G$5:$G$604,A141,Jobs!$AA$5:$AA$604,"&gt;0"),""))</f>
        <v>0</v>
      </c>
      <c r="AL141" s="31">
        <f>IF(A141="","",COUNTIFS(Complaints!$D$5:$D$84,A141))</f>
        <v>0</v>
      </c>
      <c r="AM141" s="31">
        <f>IF(B141="","",COUNTIFS($AD$5:$AD$204,"&gt;"&amp;AD141)+COUNTIFS($AD$5:AD141,AD141))</f>
        <v>0</v>
      </c>
      <c r="AN141" s="31">
        <f>IF(B141="","",COUNTIFS($AH$5:$AH$204,"&gt;"&amp;AH141)+COUNTIFS($AH$5:AH141,AH141))</f>
        <v>0</v>
      </c>
      <c r="AO141" s="31">
        <f>IF(B141="","",COUNTIFS($AJ$5:$AJ$204,"&gt;"&amp;AJ141)+COUNTIFS($AJ$5:AJ141,AJ141))</f>
        <v>0</v>
      </c>
      <c r="AP141" s="39">
        <f>IF(B141="","",IF(H141="Lost","Lost",IF(H141="Inactive","Dormant",IF(AA141="","Dormant",IF(AB141&gt;InactiveClientDays*2,"Dormant",IF(AB141&gt;InactiveClientDays,"At risk",IF(AC141="","Slipping",IF(Y141&gt;=10,"Loyal","Steady"))))))))</f>
        <v>0</v>
      </c>
      <c r="AQ141" s="34">
        <f>IF(OR(B141="",AP141="Lost",AP141="Dormant"),"",IF(OR(AP141="At risk",AP141="Slipping"),IF(AB141="",999,AB141),""))</f>
        <v>0</v>
      </c>
      <c r="AR141" s="31">
        <f>IF(AQ141="","",COUNTIFS($AQ$5:$AQ$204,"&gt;"&amp;AQ141)+COUNTIFS($AQ$5:AQ141,AQ141))</f>
        <v>0</v>
      </c>
      <c r="AS141" s="39">
        <f>IF(B141="","",IF(AF141&gt;0.5,"Chase - "&amp;TEXT(AF141,"0")&amp;" owing",IF(AND(H141&lt;&gt;"Lost",H141&lt;&gt;"Inactive",H141&lt;&gt;"Paused",AC141="",K141&lt;&gt;"One-off"),"Book - nothing in the diary",IF(AND(S141&lt;&gt;"",S141-TodayDate&lt;=RenewalWarningDays,S141&gt;=TodayDate),"Due - contract renews soon",IF(AP141="At risk","Call - going quiet",IF(AL141&gt;=2,"Check - complaints logged",IF(AND(AI141&lt;&gt;"",AI141&lt;MarginFloor,Y141&gt;0),"Check - thin margin","OK")))))))</f>
        <v>0</v>
      </c>
    </row>
    <row r="142" spans="1:45">
      <c r="A142" s="43">
        <f>IF(B142="","",ClientPrefix&amp;TEXT(ROW()-4,"0000"))</f>
        <v>0</v>
      </c>
      <c r="W142" s="31">
        <f>IF(A142="","",COUNTIFS(Properties!$C$5:$C$254,A142))</f>
        <v>0</v>
      </c>
      <c r="X142" s="31">
        <f>IF(A142="","",COUNTIFS(Jobs!$G$5:$G$604,A142))</f>
        <v>0</v>
      </c>
      <c r="Y142" s="31">
        <f>IF(A142="","",COUNTIFS(Jobs!$G$5:$G$604,A142,Jobs!$P$5:$P$604,"Completed")+COUNTIFS(Jobs!$G$5:$G$604,A142,Jobs!$P$5:$P$604,"Invoiced"))</f>
        <v>0</v>
      </c>
      <c r="Z142" s="31">
        <f>IF(A142="","",COUNTIFS(Jobs!$G$5:$G$604,A142,Jobs!$P$5:$P$604,"Cancelled")+COUNTIFS(Jobs!$G$5:$G$604,A142,Jobs!$P$5:$P$604,"No access"))</f>
        <v>0</v>
      </c>
      <c r="AA142" s="18">
        <f>IF(A142="","",IF(SUMPRODUCT(MAX((Jobs!$G$5:$G$604=A142)*((Jobs!$P$5:$P$604="Completed")+(Jobs!$P$5:$P$604="Invoiced"))*Jobs!$B$5:$B$604))=0,"",SUMPRODUCT(MAX((Jobs!$G$5:$G$604=A142)*((Jobs!$P$5:$P$604="Completed")+(Jobs!$P$5:$P$604="Invoiced"))*Jobs!$B$5:$B$604))))</f>
        <v>0</v>
      </c>
      <c r="AB142" s="31">
        <f>IF(AA142="","",TodayDate-AA142)</f>
        <v>0</v>
      </c>
      <c r="AC142" s="18">
        <f>IF(A142="","",IF(SUMPRODUCT(MIN((Jobs!$G$5:$G$604=A142)*(Jobs!$B$5:$B$604&gt;=TodayDate)*(Jobs!$P$5:$P$604&lt;&gt;"Cancelled")*Jobs!$B$5:$B$604+(1-(Jobs!$G$5:$G$604=A142)*(Jobs!$B$5:$B$604&gt;=TodayDate)*(Jobs!$P$5:$P$604&lt;&gt;"Cancelled"))*2958465))=2958465,"",SUMPRODUCT(MIN((Jobs!$G$5:$G$604=A142)*(Jobs!$B$5:$B$604&gt;=TodayDate)*(Jobs!$P$5:$P$604&lt;&gt;"Cancelled")*Jobs!$B$5:$B$604+(1-(Jobs!$G$5:$G$604=A142)*(Jobs!$B$5:$B$604&gt;=TodayDate)*(Jobs!$P$5:$P$604&lt;&gt;"Cancelled"))*2958465))))</f>
        <v>0</v>
      </c>
      <c r="AD142" s="21">
        <f>IF(A142="","",SUMIFS(Invoices!$V$5:$V$404,Invoices!$D$5:$D$404,A142))</f>
        <v>0</v>
      </c>
      <c r="AE142" s="21">
        <f>IF(A142="","",SUMIFS(Invoices!$W$5:$W$404,Invoices!$D$5:$D$404,A142))</f>
        <v>0</v>
      </c>
      <c r="AF142" s="21">
        <f>IF(A142="","",AD142-AE142)</f>
        <v>0</v>
      </c>
      <c r="AG142" s="21">
        <f>IF(OR(A142="",Y142=0),"",AD142/Y142)</f>
        <v>0</v>
      </c>
      <c r="AH142" s="21">
        <f>IF(A142="","",SUMIFS('Job Costing'!$U$5:$U$604,'Job Costing'!$D$5:$D$604,A142))</f>
        <v>0</v>
      </c>
      <c r="AI142" s="38">
        <f>IF(OR(A142="",AD142=0),"",AH142/AD142)</f>
        <v>0</v>
      </c>
      <c r="AJ142" s="21">
        <f>IF(OR(A142="",K142="",AG142=""),"",AG142*IFERROR(INDEX(FreqPerYear,MATCH(K142,FreqNames,0)),1))</f>
        <v>0</v>
      </c>
      <c r="AK142" s="34">
        <f>IF(A142="","",IFERROR(AVERAGEIFS(Jobs!$AA$5:$AA$604,Jobs!$G$5:$G$604,A142,Jobs!$AA$5:$AA$604,"&gt;0"),""))</f>
        <v>0</v>
      </c>
      <c r="AL142" s="31">
        <f>IF(A142="","",COUNTIFS(Complaints!$D$5:$D$84,A142))</f>
        <v>0</v>
      </c>
      <c r="AM142" s="31">
        <f>IF(B142="","",COUNTIFS($AD$5:$AD$204,"&gt;"&amp;AD142)+COUNTIFS($AD$5:AD142,AD142))</f>
        <v>0</v>
      </c>
      <c r="AN142" s="31">
        <f>IF(B142="","",COUNTIFS($AH$5:$AH$204,"&gt;"&amp;AH142)+COUNTIFS($AH$5:AH142,AH142))</f>
        <v>0</v>
      </c>
      <c r="AO142" s="31">
        <f>IF(B142="","",COUNTIFS($AJ$5:$AJ$204,"&gt;"&amp;AJ142)+COUNTIFS($AJ$5:AJ142,AJ142))</f>
        <v>0</v>
      </c>
      <c r="AP142" s="39">
        <f>IF(B142="","",IF(H142="Lost","Lost",IF(H142="Inactive","Dormant",IF(AA142="","Dormant",IF(AB142&gt;InactiveClientDays*2,"Dormant",IF(AB142&gt;InactiveClientDays,"At risk",IF(AC142="","Slipping",IF(Y142&gt;=10,"Loyal","Steady"))))))))</f>
        <v>0</v>
      </c>
      <c r="AQ142" s="34">
        <f>IF(OR(B142="",AP142="Lost",AP142="Dormant"),"",IF(OR(AP142="At risk",AP142="Slipping"),IF(AB142="",999,AB142),""))</f>
        <v>0</v>
      </c>
      <c r="AR142" s="31">
        <f>IF(AQ142="","",COUNTIFS($AQ$5:$AQ$204,"&gt;"&amp;AQ142)+COUNTIFS($AQ$5:AQ142,AQ142))</f>
        <v>0</v>
      </c>
      <c r="AS142" s="39">
        <f>IF(B142="","",IF(AF142&gt;0.5,"Chase - "&amp;TEXT(AF142,"0")&amp;" owing",IF(AND(H142&lt;&gt;"Lost",H142&lt;&gt;"Inactive",H142&lt;&gt;"Paused",AC142="",K142&lt;&gt;"One-off"),"Book - nothing in the diary",IF(AND(S142&lt;&gt;"",S142-TodayDate&lt;=RenewalWarningDays,S142&gt;=TodayDate),"Due - contract renews soon",IF(AP142="At risk","Call - going quiet",IF(AL142&gt;=2,"Check - complaints logged",IF(AND(AI142&lt;&gt;"",AI142&lt;MarginFloor,Y142&gt;0),"Check - thin margin","OK")))))))</f>
        <v>0</v>
      </c>
    </row>
    <row r="143" spans="1:45">
      <c r="A143" s="43">
        <f>IF(B143="","",ClientPrefix&amp;TEXT(ROW()-4,"0000"))</f>
        <v>0</v>
      </c>
      <c r="W143" s="31">
        <f>IF(A143="","",COUNTIFS(Properties!$C$5:$C$254,A143))</f>
        <v>0</v>
      </c>
      <c r="X143" s="31">
        <f>IF(A143="","",COUNTIFS(Jobs!$G$5:$G$604,A143))</f>
        <v>0</v>
      </c>
      <c r="Y143" s="31">
        <f>IF(A143="","",COUNTIFS(Jobs!$G$5:$G$604,A143,Jobs!$P$5:$P$604,"Completed")+COUNTIFS(Jobs!$G$5:$G$604,A143,Jobs!$P$5:$P$604,"Invoiced"))</f>
        <v>0</v>
      </c>
      <c r="Z143" s="31">
        <f>IF(A143="","",COUNTIFS(Jobs!$G$5:$G$604,A143,Jobs!$P$5:$P$604,"Cancelled")+COUNTIFS(Jobs!$G$5:$G$604,A143,Jobs!$P$5:$P$604,"No access"))</f>
        <v>0</v>
      </c>
      <c r="AA143" s="18">
        <f>IF(A143="","",IF(SUMPRODUCT(MAX((Jobs!$G$5:$G$604=A143)*((Jobs!$P$5:$P$604="Completed")+(Jobs!$P$5:$P$604="Invoiced"))*Jobs!$B$5:$B$604))=0,"",SUMPRODUCT(MAX((Jobs!$G$5:$G$604=A143)*((Jobs!$P$5:$P$604="Completed")+(Jobs!$P$5:$P$604="Invoiced"))*Jobs!$B$5:$B$604))))</f>
        <v>0</v>
      </c>
      <c r="AB143" s="31">
        <f>IF(AA143="","",TodayDate-AA143)</f>
        <v>0</v>
      </c>
      <c r="AC143" s="18">
        <f>IF(A143="","",IF(SUMPRODUCT(MIN((Jobs!$G$5:$G$604=A143)*(Jobs!$B$5:$B$604&gt;=TodayDate)*(Jobs!$P$5:$P$604&lt;&gt;"Cancelled")*Jobs!$B$5:$B$604+(1-(Jobs!$G$5:$G$604=A143)*(Jobs!$B$5:$B$604&gt;=TodayDate)*(Jobs!$P$5:$P$604&lt;&gt;"Cancelled"))*2958465))=2958465,"",SUMPRODUCT(MIN((Jobs!$G$5:$G$604=A143)*(Jobs!$B$5:$B$604&gt;=TodayDate)*(Jobs!$P$5:$P$604&lt;&gt;"Cancelled")*Jobs!$B$5:$B$604+(1-(Jobs!$G$5:$G$604=A143)*(Jobs!$B$5:$B$604&gt;=TodayDate)*(Jobs!$P$5:$P$604&lt;&gt;"Cancelled"))*2958465))))</f>
        <v>0</v>
      </c>
      <c r="AD143" s="21">
        <f>IF(A143="","",SUMIFS(Invoices!$V$5:$V$404,Invoices!$D$5:$D$404,A143))</f>
        <v>0</v>
      </c>
      <c r="AE143" s="21">
        <f>IF(A143="","",SUMIFS(Invoices!$W$5:$W$404,Invoices!$D$5:$D$404,A143))</f>
        <v>0</v>
      </c>
      <c r="AF143" s="21">
        <f>IF(A143="","",AD143-AE143)</f>
        <v>0</v>
      </c>
      <c r="AG143" s="21">
        <f>IF(OR(A143="",Y143=0),"",AD143/Y143)</f>
        <v>0</v>
      </c>
      <c r="AH143" s="21">
        <f>IF(A143="","",SUMIFS('Job Costing'!$U$5:$U$604,'Job Costing'!$D$5:$D$604,A143))</f>
        <v>0</v>
      </c>
      <c r="AI143" s="38">
        <f>IF(OR(A143="",AD143=0),"",AH143/AD143)</f>
        <v>0</v>
      </c>
      <c r="AJ143" s="21">
        <f>IF(OR(A143="",K143="",AG143=""),"",AG143*IFERROR(INDEX(FreqPerYear,MATCH(K143,FreqNames,0)),1))</f>
        <v>0</v>
      </c>
      <c r="AK143" s="34">
        <f>IF(A143="","",IFERROR(AVERAGEIFS(Jobs!$AA$5:$AA$604,Jobs!$G$5:$G$604,A143,Jobs!$AA$5:$AA$604,"&gt;0"),""))</f>
        <v>0</v>
      </c>
      <c r="AL143" s="31">
        <f>IF(A143="","",COUNTIFS(Complaints!$D$5:$D$84,A143))</f>
        <v>0</v>
      </c>
      <c r="AM143" s="31">
        <f>IF(B143="","",COUNTIFS($AD$5:$AD$204,"&gt;"&amp;AD143)+COUNTIFS($AD$5:AD143,AD143))</f>
        <v>0</v>
      </c>
      <c r="AN143" s="31">
        <f>IF(B143="","",COUNTIFS($AH$5:$AH$204,"&gt;"&amp;AH143)+COUNTIFS($AH$5:AH143,AH143))</f>
        <v>0</v>
      </c>
      <c r="AO143" s="31">
        <f>IF(B143="","",COUNTIFS($AJ$5:$AJ$204,"&gt;"&amp;AJ143)+COUNTIFS($AJ$5:AJ143,AJ143))</f>
        <v>0</v>
      </c>
      <c r="AP143" s="39">
        <f>IF(B143="","",IF(H143="Lost","Lost",IF(H143="Inactive","Dormant",IF(AA143="","Dormant",IF(AB143&gt;InactiveClientDays*2,"Dormant",IF(AB143&gt;InactiveClientDays,"At risk",IF(AC143="","Slipping",IF(Y143&gt;=10,"Loyal","Steady"))))))))</f>
        <v>0</v>
      </c>
      <c r="AQ143" s="34">
        <f>IF(OR(B143="",AP143="Lost",AP143="Dormant"),"",IF(OR(AP143="At risk",AP143="Slipping"),IF(AB143="",999,AB143),""))</f>
        <v>0</v>
      </c>
      <c r="AR143" s="31">
        <f>IF(AQ143="","",COUNTIFS($AQ$5:$AQ$204,"&gt;"&amp;AQ143)+COUNTIFS($AQ$5:AQ143,AQ143))</f>
        <v>0</v>
      </c>
      <c r="AS143" s="39">
        <f>IF(B143="","",IF(AF143&gt;0.5,"Chase - "&amp;TEXT(AF143,"0")&amp;" owing",IF(AND(H143&lt;&gt;"Lost",H143&lt;&gt;"Inactive",H143&lt;&gt;"Paused",AC143="",K143&lt;&gt;"One-off"),"Book - nothing in the diary",IF(AND(S143&lt;&gt;"",S143-TodayDate&lt;=RenewalWarningDays,S143&gt;=TodayDate),"Due - contract renews soon",IF(AP143="At risk","Call - going quiet",IF(AL143&gt;=2,"Check - complaints logged",IF(AND(AI143&lt;&gt;"",AI143&lt;MarginFloor,Y143&gt;0),"Check - thin margin","OK")))))))</f>
        <v>0</v>
      </c>
    </row>
    <row r="144" spans="1:45">
      <c r="A144" s="43">
        <f>IF(B144="","",ClientPrefix&amp;TEXT(ROW()-4,"0000"))</f>
        <v>0</v>
      </c>
      <c r="W144" s="31">
        <f>IF(A144="","",COUNTIFS(Properties!$C$5:$C$254,A144))</f>
        <v>0</v>
      </c>
      <c r="X144" s="31">
        <f>IF(A144="","",COUNTIFS(Jobs!$G$5:$G$604,A144))</f>
        <v>0</v>
      </c>
      <c r="Y144" s="31">
        <f>IF(A144="","",COUNTIFS(Jobs!$G$5:$G$604,A144,Jobs!$P$5:$P$604,"Completed")+COUNTIFS(Jobs!$G$5:$G$604,A144,Jobs!$P$5:$P$604,"Invoiced"))</f>
        <v>0</v>
      </c>
      <c r="Z144" s="31">
        <f>IF(A144="","",COUNTIFS(Jobs!$G$5:$G$604,A144,Jobs!$P$5:$P$604,"Cancelled")+COUNTIFS(Jobs!$G$5:$G$604,A144,Jobs!$P$5:$P$604,"No access"))</f>
        <v>0</v>
      </c>
      <c r="AA144" s="18">
        <f>IF(A144="","",IF(SUMPRODUCT(MAX((Jobs!$G$5:$G$604=A144)*((Jobs!$P$5:$P$604="Completed")+(Jobs!$P$5:$P$604="Invoiced"))*Jobs!$B$5:$B$604))=0,"",SUMPRODUCT(MAX((Jobs!$G$5:$G$604=A144)*((Jobs!$P$5:$P$604="Completed")+(Jobs!$P$5:$P$604="Invoiced"))*Jobs!$B$5:$B$604))))</f>
        <v>0</v>
      </c>
      <c r="AB144" s="31">
        <f>IF(AA144="","",TodayDate-AA144)</f>
        <v>0</v>
      </c>
      <c r="AC144" s="18">
        <f>IF(A144="","",IF(SUMPRODUCT(MIN((Jobs!$G$5:$G$604=A144)*(Jobs!$B$5:$B$604&gt;=TodayDate)*(Jobs!$P$5:$P$604&lt;&gt;"Cancelled")*Jobs!$B$5:$B$604+(1-(Jobs!$G$5:$G$604=A144)*(Jobs!$B$5:$B$604&gt;=TodayDate)*(Jobs!$P$5:$P$604&lt;&gt;"Cancelled"))*2958465))=2958465,"",SUMPRODUCT(MIN((Jobs!$G$5:$G$604=A144)*(Jobs!$B$5:$B$604&gt;=TodayDate)*(Jobs!$P$5:$P$604&lt;&gt;"Cancelled")*Jobs!$B$5:$B$604+(1-(Jobs!$G$5:$G$604=A144)*(Jobs!$B$5:$B$604&gt;=TodayDate)*(Jobs!$P$5:$P$604&lt;&gt;"Cancelled"))*2958465))))</f>
        <v>0</v>
      </c>
      <c r="AD144" s="21">
        <f>IF(A144="","",SUMIFS(Invoices!$V$5:$V$404,Invoices!$D$5:$D$404,A144))</f>
        <v>0</v>
      </c>
      <c r="AE144" s="21">
        <f>IF(A144="","",SUMIFS(Invoices!$W$5:$W$404,Invoices!$D$5:$D$404,A144))</f>
        <v>0</v>
      </c>
      <c r="AF144" s="21">
        <f>IF(A144="","",AD144-AE144)</f>
        <v>0</v>
      </c>
      <c r="AG144" s="21">
        <f>IF(OR(A144="",Y144=0),"",AD144/Y144)</f>
        <v>0</v>
      </c>
      <c r="AH144" s="21">
        <f>IF(A144="","",SUMIFS('Job Costing'!$U$5:$U$604,'Job Costing'!$D$5:$D$604,A144))</f>
        <v>0</v>
      </c>
      <c r="AI144" s="38">
        <f>IF(OR(A144="",AD144=0),"",AH144/AD144)</f>
        <v>0</v>
      </c>
      <c r="AJ144" s="21">
        <f>IF(OR(A144="",K144="",AG144=""),"",AG144*IFERROR(INDEX(FreqPerYear,MATCH(K144,FreqNames,0)),1))</f>
        <v>0</v>
      </c>
      <c r="AK144" s="34">
        <f>IF(A144="","",IFERROR(AVERAGEIFS(Jobs!$AA$5:$AA$604,Jobs!$G$5:$G$604,A144,Jobs!$AA$5:$AA$604,"&gt;0"),""))</f>
        <v>0</v>
      </c>
      <c r="AL144" s="31">
        <f>IF(A144="","",COUNTIFS(Complaints!$D$5:$D$84,A144))</f>
        <v>0</v>
      </c>
      <c r="AM144" s="31">
        <f>IF(B144="","",COUNTIFS($AD$5:$AD$204,"&gt;"&amp;AD144)+COUNTIFS($AD$5:AD144,AD144))</f>
        <v>0</v>
      </c>
      <c r="AN144" s="31">
        <f>IF(B144="","",COUNTIFS($AH$5:$AH$204,"&gt;"&amp;AH144)+COUNTIFS($AH$5:AH144,AH144))</f>
        <v>0</v>
      </c>
      <c r="AO144" s="31">
        <f>IF(B144="","",COUNTIFS($AJ$5:$AJ$204,"&gt;"&amp;AJ144)+COUNTIFS($AJ$5:AJ144,AJ144))</f>
        <v>0</v>
      </c>
      <c r="AP144" s="39">
        <f>IF(B144="","",IF(H144="Lost","Lost",IF(H144="Inactive","Dormant",IF(AA144="","Dormant",IF(AB144&gt;InactiveClientDays*2,"Dormant",IF(AB144&gt;InactiveClientDays,"At risk",IF(AC144="","Slipping",IF(Y144&gt;=10,"Loyal","Steady"))))))))</f>
        <v>0</v>
      </c>
      <c r="AQ144" s="34">
        <f>IF(OR(B144="",AP144="Lost",AP144="Dormant"),"",IF(OR(AP144="At risk",AP144="Slipping"),IF(AB144="",999,AB144),""))</f>
        <v>0</v>
      </c>
      <c r="AR144" s="31">
        <f>IF(AQ144="","",COUNTIFS($AQ$5:$AQ$204,"&gt;"&amp;AQ144)+COUNTIFS($AQ$5:AQ144,AQ144))</f>
        <v>0</v>
      </c>
      <c r="AS144" s="39">
        <f>IF(B144="","",IF(AF144&gt;0.5,"Chase - "&amp;TEXT(AF144,"0")&amp;" owing",IF(AND(H144&lt;&gt;"Lost",H144&lt;&gt;"Inactive",H144&lt;&gt;"Paused",AC144="",K144&lt;&gt;"One-off"),"Book - nothing in the diary",IF(AND(S144&lt;&gt;"",S144-TodayDate&lt;=RenewalWarningDays,S144&gt;=TodayDate),"Due - contract renews soon",IF(AP144="At risk","Call - going quiet",IF(AL144&gt;=2,"Check - complaints logged",IF(AND(AI144&lt;&gt;"",AI144&lt;MarginFloor,Y144&gt;0),"Check - thin margin","OK")))))))</f>
        <v>0</v>
      </c>
    </row>
    <row r="145" spans="1:45">
      <c r="A145" s="43">
        <f>IF(B145="","",ClientPrefix&amp;TEXT(ROW()-4,"0000"))</f>
        <v>0</v>
      </c>
      <c r="W145" s="31">
        <f>IF(A145="","",COUNTIFS(Properties!$C$5:$C$254,A145))</f>
        <v>0</v>
      </c>
      <c r="X145" s="31">
        <f>IF(A145="","",COUNTIFS(Jobs!$G$5:$G$604,A145))</f>
        <v>0</v>
      </c>
      <c r="Y145" s="31">
        <f>IF(A145="","",COUNTIFS(Jobs!$G$5:$G$604,A145,Jobs!$P$5:$P$604,"Completed")+COUNTIFS(Jobs!$G$5:$G$604,A145,Jobs!$P$5:$P$604,"Invoiced"))</f>
        <v>0</v>
      </c>
      <c r="Z145" s="31">
        <f>IF(A145="","",COUNTIFS(Jobs!$G$5:$G$604,A145,Jobs!$P$5:$P$604,"Cancelled")+COUNTIFS(Jobs!$G$5:$G$604,A145,Jobs!$P$5:$P$604,"No access"))</f>
        <v>0</v>
      </c>
      <c r="AA145" s="18">
        <f>IF(A145="","",IF(SUMPRODUCT(MAX((Jobs!$G$5:$G$604=A145)*((Jobs!$P$5:$P$604="Completed")+(Jobs!$P$5:$P$604="Invoiced"))*Jobs!$B$5:$B$604))=0,"",SUMPRODUCT(MAX((Jobs!$G$5:$G$604=A145)*((Jobs!$P$5:$P$604="Completed")+(Jobs!$P$5:$P$604="Invoiced"))*Jobs!$B$5:$B$604))))</f>
        <v>0</v>
      </c>
      <c r="AB145" s="31">
        <f>IF(AA145="","",TodayDate-AA145)</f>
        <v>0</v>
      </c>
      <c r="AC145" s="18">
        <f>IF(A145="","",IF(SUMPRODUCT(MIN((Jobs!$G$5:$G$604=A145)*(Jobs!$B$5:$B$604&gt;=TodayDate)*(Jobs!$P$5:$P$604&lt;&gt;"Cancelled")*Jobs!$B$5:$B$604+(1-(Jobs!$G$5:$G$604=A145)*(Jobs!$B$5:$B$604&gt;=TodayDate)*(Jobs!$P$5:$P$604&lt;&gt;"Cancelled"))*2958465))=2958465,"",SUMPRODUCT(MIN((Jobs!$G$5:$G$604=A145)*(Jobs!$B$5:$B$604&gt;=TodayDate)*(Jobs!$P$5:$P$604&lt;&gt;"Cancelled")*Jobs!$B$5:$B$604+(1-(Jobs!$G$5:$G$604=A145)*(Jobs!$B$5:$B$604&gt;=TodayDate)*(Jobs!$P$5:$P$604&lt;&gt;"Cancelled"))*2958465))))</f>
        <v>0</v>
      </c>
      <c r="AD145" s="21">
        <f>IF(A145="","",SUMIFS(Invoices!$V$5:$V$404,Invoices!$D$5:$D$404,A145))</f>
        <v>0</v>
      </c>
      <c r="AE145" s="21">
        <f>IF(A145="","",SUMIFS(Invoices!$W$5:$W$404,Invoices!$D$5:$D$404,A145))</f>
        <v>0</v>
      </c>
      <c r="AF145" s="21">
        <f>IF(A145="","",AD145-AE145)</f>
        <v>0</v>
      </c>
      <c r="AG145" s="21">
        <f>IF(OR(A145="",Y145=0),"",AD145/Y145)</f>
        <v>0</v>
      </c>
      <c r="AH145" s="21">
        <f>IF(A145="","",SUMIFS('Job Costing'!$U$5:$U$604,'Job Costing'!$D$5:$D$604,A145))</f>
        <v>0</v>
      </c>
      <c r="AI145" s="38">
        <f>IF(OR(A145="",AD145=0),"",AH145/AD145)</f>
        <v>0</v>
      </c>
      <c r="AJ145" s="21">
        <f>IF(OR(A145="",K145="",AG145=""),"",AG145*IFERROR(INDEX(FreqPerYear,MATCH(K145,FreqNames,0)),1))</f>
        <v>0</v>
      </c>
      <c r="AK145" s="34">
        <f>IF(A145="","",IFERROR(AVERAGEIFS(Jobs!$AA$5:$AA$604,Jobs!$G$5:$G$604,A145,Jobs!$AA$5:$AA$604,"&gt;0"),""))</f>
        <v>0</v>
      </c>
      <c r="AL145" s="31">
        <f>IF(A145="","",COUNTIFS(Complaints!$D$5:$D$84,A145))</f>
        <v>0</v>
      </c>
      <c r="AM145" s="31">
        <f>IF(B145="","",COUNTIFS($AD$5:$AD$204,"&gt;"&amp;AD145)+COUNTIFS($AD$5:AD145,AD145))</f>
        <v>0</v>
      </c>
      <c r="AN145" s="31">
        <f>IF(B145="","",COUNTIFS($AH$5:$AH$204,"&gt;"&amp;AH145)+COUNTIFS($AH$5:AH145,AH145))</f>
        <v>0</v>
      </c>
      <c r="AO145" s="31">
        <f>IF(B145="","",COUNTIFS($AJ$5:$AJ$204,"&gt;"&amp;AJ145)+COUNTIFS($AJ$5:AJ145,AJ145))</f>
        <v>0</v>
      </c>
      <c r="AP145" s="39">
        <f>IF(B145="","",IF(H145="Lost","Lost",IF(H145="Inactive","Dormant",IF(AA145="","Dormant",IF(AB145&gt;InactiveClientDays*2,"Dormant",IF(AB145&gt;InactiveClientDays,"At risk",IF(AC145="","Slipping",IF(Y145&gt;=10,"Loyal","Steady"))))))))</f>
        <v>0</v>
      </c>
      <c r="AQ145" s="34">
        <f>IF(OR(B145="",AP145="Lost",AP145="Dormant"),"",IF(OR(AP145="At risk",AP145="Slipping"),IF(AB145="",999,AB145),""))</f>
        <v>0</v>
      </c>
      <c r="AR145" s="31">
        <f>IF(AQ145="","",COUNTIFS($AQ$5:$AQ$204,"&gt;"&amp;AQ145)+COUNTIFS($AQ$5:AQ145,AQ145))</f>
        <v>0</v>
      </c>
      <c r="AS145" s="39">
        <f>IF(B145="","",IF(AF145&gt;0.5,"Chase - "&amp;TEXT(AF145,"0")&amp;" owing",IF(AND(H145&lt;&gt;"Lost",H145&lt;&gt;"Inactive",H145&lt;&gt;"Paused",AC145="",K145&lt;&gt;"One-off"),"Book - nothing in the diary",IF(AND(S145&lt;&gt;"",S145-TodayDate&lt;=RenewalWarningDays,S145&gt;=TodayDate),"Due - contract renews soon",IF(AP145="At risk","Call - going quiet",IF(AL145&gt;=2,"Check - complaints logged",IF(AND(AI145&lt;&gt;"",AI145&lt;MarginFloor,Y145&gt;0),"Check - thin margin","OK")))))))</f>
        <v>0</v>
      </c>
    </row>
    <row r="146" spans="1:45">
      <c r="A146" s="43">
        <f>IF(B146="","",ClientPrefix&amp;TEXT(ROW()-4,"0000"))</f>
        <v>0</v>
      </c>
      <c r="W146" s="31">
        <f>IF(A146="","",COUNTIFS(Properties!$C$5:$C$254,A146))</f>
        <v>0</v>
      </c>
      <c r="X146" s="31">
        <f>IF(A146="","",COUNTIFS(Jobs!$G$5:$G$604,A146))</f>
        <v>0</v>
      </c>
      <c r="Y146" s="31">
        <f>IF(A146="","",COUNTIFS(Jobs!$G$5:$G$604,A146,Jobs!$P$5:$P$604,"Completed")+COUNTIFS(Jobs!$G$5:$G$604,A146,Jobs!$P$5:$P$604,"Invoiced"))</f>
        <v>0</v>
      </c>
      <c r="Z146" s="31">
        <f>IF(A146="","",COUNTIFS(Jobs!$G$5:$G$604,A146,Jobs!$P$5:$P$604,"Cancelled")+COUNTIFS(Jobs!$G$5:$G$604,A146,Jobs!$P$5:$P$604,"No access"))</f>
        <v>0</v>
      </c>
      <c r="AA146" s="18">
        <f>IF(A146="","",IF(SUMPRODUCT(MAX((Jobs!$G$5:$G$604=A146)*((Jobs!$P$5:$P$604="Completed")+(Jobs!$P$5:$P$604="Invoiced"))*Jobs!$B$5:$B$604))=0,"",SUMPRODUCT(MAX((Jobs!$G$5:$G$604=A146)*((Jobs!$P$5:$P$604="Completed")+(Jobs!$P$5:$P$604="Invoiced"))*Jobs!$B$5:$B$604))))</f>
        <v>0</v>
      </c>
      <c r="AB146" s="31">
        <f>IF(AA146="","",TodayDate-AA146)</f>
        <v>0</v>
      </c>
      <c r="AC146" s="18">
        <f>IF(A146="","",IF(SUMPRODUCT(MIN((Jobs!$G$5:$G$604=A146)*(Jobs!$B$5:$B$604&gt;=TodayDate)*(Jobs!$P$5:$P$604&lt;&gt;"Cancelled")*Jobs!$B$5:$B$604+(1-(Jobs!$G$5:$G$604=A146)*(Jobs!$B$5:$B$604&gt;=TodayDate)*(Jobs!$P$5:$P$604&lt;&gt;"Cancelled"))*2958465))=2958465,"",SUMPRODUCT(MIN((Jobs!$G$5:$G$604=A146)*(Jobs!$B$5:$B$604&gt;=TodayDate)*(Jobs!$P$5:$P$604&lt;&gt;"Cancelled")*Jobs!$B$5:$B$604+(1-(Jobs!$G$5:$G$604=A146)*(Jobs!$B$5:$B$604&gt;=TodayDate)*(Jobs!$P$5:$P$604&lt;&gt;"Cancelled"))*2958465))))</f>
        <v>0</v>
      </c>
      <c r="AD146" s="21">
        <f>IF(A146="","",SUMIFS(Invoices!$V$5:$V$404,Invoices!$D$5:$D$404,A146))</f>
        <v>0</v>
      </c>
      <c r="AE146" s="21">
        <f>IF(A146="","",SUMIFS(Invoices!$W$5:$W$404,Invoices!$D$5:$D$404,A146))</f>
        <v>0</v>
      </c>
      <c r="AF146" s="21">
        <f>IF(A146="","",AD146-AE146)</f>
        <v>0</v>
      </c>
      <c r="AG146" s="21">
        <f>IF(OR(A146="",Y146=0),"",AD146/Y146)</f>
        <v>0</v>
      </c>
      <c r="AH146" s="21">
        <f>IF(A146="","",SUMIFS('Job Costing'!$U$5:$U$604,'Job Costing'!$D$5:$D$604,A146))</f>
        <v>0</v>
      </c>
      <c r="AI146" s="38">
        <f>IF(OR(A146="",AD146=0),"",AH146/AD146)</f>
        <v>0</v>
      </c>
      <c r="AJ146" s="21">
        <f>IF(OR(A146="",K146="",AG146=""),"",AG146*IFERROR(INDEX(FreqPerYear,MATCH(K146,FreqNames,0)),1))</f>
        <v>0</v>
      </c>
      <c r="AK146" s="34">
        <f>IF(A146="","",IFERROR(AVERAGEIFS(Jobs!$AA$5:$AA$604,Jobs!$G$5:$G$604,A146,Jobs!$AA$5:$AA$604,"&gt;0"),""))</f>
        <v>0</v>
      </c>
      <c r="AL146" s="31">
        <f>IF(A146="","",COUNTIFS(Complaints!$D$5:$D$84,A146))</f>
        <v>0</v>
      </c>
      <c r="AM146" s="31">
        <f>IF(B146="","",COUNTIFS($AD$5:$AD$204,"&gt;"&amp;AD146)+COUNTIFS($AD$5:AD146,AD146))</f>
        <v>0</v>
      </c>
      <c r="AN146" s="31">
        <f>IF(B146="","",COUNTIFS($AH$5:$AH$204,"&gt;"&amp;AH146)+COUNTIFS($AH$5:AH146,AH146))</f>
        <v>0</v>
      </c>
      <c r="AO146" s="31">
        <f>IF(B146="","",COUNTIFS($AJ$5:$AJ$204,"&gt;"&amp;AJ146)+COUNTIFS($AJ$5:AJ146,AJ146))</f>
        <v>0</v>
      </c>
      <c r="AP146" s="39">
        <f>IF(B146="","",IF(H146="Lost","Lost",IF(H146="Inactive","Dormant",IF(AA146="","Dormant",IF(AB146&gt;InactiveClientDays*2,"Dormant",IF(AB146&gt;InactiveClientDays,"At risk",IF(AC146="","Slipping",IF(Y146&gt;=10,"Loyal","Steady"))))))))</f>
        <v>0</v>
      </c>
      <c r="AQ146" s="34">
        <f>IF(OR(B146="",AP146="Lost",AP146="Dormant"),"",IF(OR(AP146="At risk",AP146="Slipping"),IF(AB146="",999,AB146),""))</f>
        <v>0</v>
      </c>
      <c r="AR146" s="31">
        <f>IF(AQ146="","",COUNTIFS($AQ$5:$AQ$204,"&gt;"&amp;AQ146)+COUNTIFS($AQ$5:AQ146,AQ146))</f>
        <v>0</v>
      </c>
      <c r="AS146" s="39">
        <f>IF(B146="","",IF(AF146&gt;0.5,"Chase - "&amp;TEXT(AF146,"0")&amp;" owing",IF(AND(H146&lt;&gt;"Lost",H146&lt;&gt;"Inactive",H146&lt;&gt;"Paused",AC146="",K146&lt;&gt;"One-off"),"Book - nothing in the diary",IF(AND(S146&lt;&gt;"",S146-TodayDate&lt;=RenewalWarningDays,S146&gt;=TodayDate),"Due - contract renews soon",IF(AP146="At risk","Call - going quiet",IF(AL146&gt;=2,"Check - complaints logged",IF(AND(AI146&lt;&gt;"",AI146&lt;MarginFloor,Y146&gt;0),"Check - thin margin","OK")))))))</f>
        <v>0</v>
      </c>
    </row>
    <row r="147" spans="1:45">
      <c r="A147" s="43">
        <f>IF(B147="","",ClientPrefix&amp;TEXT(ROW()-4,"0000"))</f>
        <v>0</v>
      </c>
      <c r="W147" s="31">
        <f>IF(A147="","",COUNTIFS(Properties!$C$5:$C$254,A147))</f>
        <v>0</v>
      </c>
      <c r="X147" s="31">
        <f>IF(A147="","",COUNTIFS(Jobs!$G$5:$G$604,A147))</f>
        <v>0</v>
      </c>
      <c r="Y147" s="31">
        <f>IF(A147="","",COUNTIFS(Jobs!$G$5:$G$604,A147,Jobs!$P$5:$P$604,"Completed")+COUNTIFS(Jobs!$G$5:$G$604,A147,Jobs!$P$5:$P$604,"Invoiced"))</f>
        <v>0</v>
      </c>
      <c r="Z147" s="31">
        <f>IF(A147="","",COUNTIFS(Jobs!$G$5:$G$604,A147,Jobs!$P$5:$P$604,"Cancelled")+COUNTIFS(Jobs!$G$5:$G$604,A147,Jobs!$P$5:$P$604,"No access"))</f>
        <v>0</v>
      </c>
      <c r="AA147" s="18">
        <f>IF(A147="","",IF(SUMPRODUCT(MAX((Jobs!$G$5:$G$604=A147)*((Jobs!$P$5:$P$604="Completed")+(Jobs!$P$5:$P$604="Invoiced"))*Jobs!$B$5:$B$604))=0,"",SUMPRODUCT(MAX((Jobs!$G$5:$G$604=A147)*((Jobs!$P$5:$P$604="Completed")+(Jobs!$P$5:$P$604="Invoiced"))*Jobs!$B$5:$B$604))))</f>
        <v>0</v>
      </c>
      <c r="AB147" s="31">
        <f>IF(AA147="","",TodayDate-AA147)</f>
        <v>0</v>
      </c>
      <c r="AC147" s="18">
        <f>IF(A147="","",IF(SUMPRODUCT(MIN((Jobs!$G$5:$G$604=A147)*(Jobs!$B$5:$B$604&gt;=TodayDate)*(Jobs!$P$5:$P$604&lt;&gt;"Cancelled")*Jobs!$B$5:$B$604+(1-(Jobs!$G$5:$G$604=A147)*(Jobs!$B$5:$B$604&gt;=TodayDate)*(Jobs!$P$5:$P$604&lt;&gt;"Cancelled"))*2958465))=2958465,"",SUMPRODUCT(MIN((Jobs!$G$5:$G$604=A147)*(Jobs!$B$5:$B$604&gt;=TodayDate)*(Jobs!$P$5:$P$604&lt;&gt;"Cancelled")*Jobs!$B$5:$B$604+(1-(Jobs!$G$5:$G$604=A147)*(Jobs!$B$5:$B$604&gt;=TodayDate)*(Jobs!$P$5:$P$604&lt;&gt;"Cancelled"))*2958465))))</f>
        <v>0</v>
      </c>
      <c r="AD147" s="21">
        <f>IF(A147="","",SUMIFS(Invoices!$V$5:$V$404,Invoices!$D$5:$D$404,A147))</f>
        <v>0</v>
      </c>
      <c r="AE147" s="21">
        <f>IF(A147="","",SUMIFS(Invoices!$W$5:$W$404,Invoices!$D$5:$D$404,A147))</f>
        <v>0</v>
      </c>
      <c r="AF147" s="21">
        <f>IF(A147="","",AD147-AE147)</f>
        <v>0</v>
      </c>
      <c r="AG147" s="21">
        <f>IF(OR(A147="",Y147=0),"",AD147/Y147)</f>
        <v>0</v>
      </c>
      <c r="AH147" s="21">
        <f>IF(A147="","",SUMIFS('Job Costing'!$U$5:$U$604,'Job Costing'!$D$5:$D$604,A147))</f>
        <v>0</v>
      </c>
      <c r="AI147" s="38">
        <f>IF(OR(A147="",AD147=0),"",AH147/AD147)</f>
        <v>0</v>
      </c>
      <c r="AJ147" s="21">
        <f>IF(OR(A147="",K147="",AG147=""),"",AG147*IFERROR(INDEX(FreqPerYear,MATCH(K147,FreqNames,0)),1))</f>
        <v>0</v>
      </c>
      <c r="AK147" s="34">
        <f>IF(A147="","",IFERROR(AVERAGEIFS(Jobs!$AA$5:$AA$604,Jobs!$G$5:$G$604,A147,Jobs!$AA$5:$AA$604,"&gt;0"),""))</f>
        <v>0</v>
      </c>
      <c r="AL147" s="31">
        <f>IF(A147="","",COUNTIFS(Complaints!$D$5:$D$84,A147))</f>
        <v>0</v>
      </c>
      <c r="AM147" s="31">
        <f>IF(B147="","",COUNTIFS($AD$5:$AD$204,"&gt;"&amp;AD147)+COUNTIFS($AD$5:AD147,AD147))</f>
        <v>0</v>
      </c>
      <c r="AN147" s="31">
        <f>IF(B147="","",COUNTIFS($AH$5:$AH$204,"&gt;"&amp;AH147)+COUNTIFS($AH$5:AH147,AH147))</f>
        <v>0</v>
      </c>
      <c r="AO147" s="31">
        <f>IF(B147="","",COUNTIFS($AJ$5:$AJ$204,"&gt;"&amp;AJ147)+COUNTIFS($AJ$5:AJ147,AJ147))</f>
        <v>0</v>
      </c>
      <c r="AP147" s="39">
        <f>IF(B147="","",IF(H147="Lost","Lost",IF(H147="Inactive","Dormant",IF(AA147="","Dormant",IF(AB147&gt;InactiveClientDays*2,"Dormant",IF(AB147&gt;InactiveClientDays,"At risk",IF(AC147="","Slipping",IF(Y147&gt;=10,"Loyal","Steady"))))))))</f>
        <v>0</v>
      </c>
      <c r="AQ147" s="34">
        <f>IF(OR(B147="",AP147="Lost",AP147="Dormant"),"",IF(OR(AP147="At risk",AP147="Slipping"),IF(AB147="",999,AB147),""))</f>
        <v>0</v>
      </c>
      <c r="AR147" s="31">
        <f>IF(AQ147="","",COUNTIFS($AQ$5:$AQ$204,"&gt;"&amp;AQ147)+COUNTIFS($AQ$5:AQ147,AQ147))</f>
        <v>0</v>
      </c>
      <c r="AS147" s="39">
        <f>IF(B147="","",IF(AF147&gt;0.5,"Chase - "&amp;TEXT(AF147,"0")&amp;" owing",IF(AND(H147&lt;&gt;"Lost",H147&lt;&gt;"Inactive",H147&lt;&gt;"Paused",AC147="",K147&lt;&gt;"One-off"),"Book - nothing in the diary",IF(AND(S147&lt;&gt;"",S147-TodayDate&lt;=RenewalWarningDays,S147&gt;=TodayDate),"Due - contract renews soon",IF(AP147="At risk","Call - going quiet",IF(AL147&gt;=2,"Check - complaints logged",IF(AND(AI147&lt;&gt;"",AI147&lt;MarginFloor,Y147&gt;0),"Check - thin margin","OK")))))))</f>
        <v>0</v>
      </c>
    </row>
    <row r="148" spans="1:45">
      <c r="A148" s="43">
        <f>IF(B148="","",ClientPrefix&amp;TEXT(ROW()-4,"0000"))</f>
        <v>0</v>
      </c>
      <c r="W148" s="31">
        <f>IF(A148="","",COUNTIFS(Properties!$C$5:$C$254,A148))</f>
        <v>0</v>
      </c>
      <c r="X148" s="31">
        <f>IF(A148="","",COUNTIFS(Jobs!$G$5:$G$604,A148))</f>
        <v>0</v>
      </c>
      <c r="Y148" s="31">
        <f>IF(A148="","",COUNTIFS(Jobs!$G$5:$G$604,A148,Jobs!$P$5:$P$604,"Completed")+COUNTIFS(Jobs!$G$5:$G$604,A148,Jobs!$P$5:$P$604,"Invoiced"))</f>
        <v>0</v>
      </c>
      <c r="Z148" s="31">
        <f>IF(A148="","",COUNTIFS(Jobs!$G$5:$G$604,A148,Jobs!$P$5:$P$604,"Cancelled")+COUNTIFS(Jobs!$G$5:$G$604,A148,Jobs!$P$5:$P$604,"No access"))</f>
        <v>0</v>
      </c>
      <c r="AA148" s="18">
        <f>IF(A148="","",IF(SUMPRODUCT(MAX((Jobs!$G$5:$G$604=A148)*((Jobs!$P$5:$P$604="Completed")+(Jobs!$P$5:$P$604="Invoiced"))*Jobs!$B$5:$B$604))=0,"",SUMPRODUCT(MAX((Jobs!$G$5:$G$604=A148)*((Jobs!$P$5:$P$604="Completed")+(Jobs!$P$5:$P$604="Invoiced"))*Jobs!$B$5:$B$604))))</f>
        <v>0</v>
      </c>
      <c r="AB148" s="31">
        <f>IF(AA148="","",TodayDate-AA148)</f>
        <v>0</v>
      </c>
      <c r="AC148" s="18">
        <f>IF(A148="","",IF(SUMPRODUCT(MIN((Jobs!$G$5:$G$604=A148)*(Jobs!$B$5:$B$604&gt;=TodayDate)*(Jobs!$P$5:$P$604&lt;&gt;"Cancelled")*Jobs!$B$5:$B$604+(1-(Jobs!$G$5:$G$604=A148)*(Jobs!$B$5:$B$604&gt;=TodayDate)*(Jobs!$P$5:$P$604&lt;&gt;"Cancelled"))*2958465))=2958465,"",SUMPRODUCT(MIN((Jobs!$G$5:$G$604=A148)*(Jobs!$B$5:$B$604&gt;=TodayDate)*(Jobs!$P$5:$P$604&lt;&gt;"Cancelled")*Jobs!$B$5:$B$604+(1-(Jobs!$G$5:$G$604=A148)*(Jobs!$B$5:$B$604&gt;=TodayDate)*(Jobs!$P$5:$P$604&lt;&gt;"Cancelled"))*2958465))))</f>
        <v>0</v>
      </c>
      <c r="AD148" s="21">
        <f>IF(A148="","",SUMIFS(Invoices!$V$5:$V$404,Invoices!$D$5:$D$404,A148))</f>
        <v>0</v>
      </c>
      <c r="AE148" s="21">
        <f>IF(A148="","",SUMIFS(Invoices!$W$5:$W$404,Invoices!$D$5:$D$404,A148))</f>
        <v>0</v>
      </c>
      <c r="AF148" s="21">
        <f>IF(A148="","",AD148-AE148)</f>
        <v>0</v>
      </c>
      <c r="AG148" s="21">
        <f>IF(OR(A148="",Y148=0),"",AD148/Y148)</f>
        <v>0</v>
      </c>
      <c r="AH148" s="21">
        <f>IF(A148="","",SUMIFS('Job Costing'!$U$5:$U$604,'Job Costing'!$D$5:$D$604,A148))</f>
        <v>0</v>
      </c>
      <c r="AI148" s="38">
        <f>IF(OR(A148="",AD148=0),"",AH148/AD148)</f>
        <v>0</v>
      </c>
      <c r="AJ148" s="21">
        <f>IF(OR(A148="",K148="",AG148=""),"",AG148*IFERROR(INDEX(FreqPerYear,MATCH(K148,FreqNames,0)),1))</f>
        <v>0</v>
      </c>
      <c r="AK148" s="34">
        <f>IF(A148="","",IFERROR(AVERAGEIFS(Jobs!$AA$5:$AA$604,Jobs!$G$5:$G$604,A148,Jobs!$AA$5:$AA$604,"&gt;0"),""))</f>
        <v>0</v>
      </c>
      <c r="AL148" s="31">
        <f>IF(A148="","",COUNTIFS(Complaints!$D$5:$D$84,A148))</f>
        <v>0</v>
      </c>
      <c r="AM148" s="31">
        <f>IF(B148="","",COUNTIFS($AD$5:$AD$204,"&gt;"&amp;AD148)+COUNTIFS($AD$5:AD148,AD148))</f>
        <v>0</v>
      </c>
      <c r="AN148" s="31">
        <f>IF(B148="","",COUNTIFS($AH$5:$AH$204,"&gt;"&amp;AH148)+COUNTIFS($AH$5:AH148,AH148))</f>
        <v>0</v>
      </c>
      <c r="AO148" s="31">
        <f>IF(B148="","",COUNTIFS($AJ$5:$AJ$204,"&gt;"&amp;AJ148)+COUNTIFS($AJ$5:AJ148,AJ148))</f>
        <v>0</v>
      </c>
      <c r="AP148" s="39">
        <f>IF(B148="","",IF(H148="Lost","Lost",IF(H148="Inactive","Dormant",IF(AA148="","Dormant",IF(AB148&gt;InactiveClientDays*2,"Dormant",IF(AB148&gt;InactiveClientDays,"At risk",IF(AC148="","Slipping",IF(Y148&gt;=10,"Loyal","Steady"))))))))</f>
        <v>0</v>
      </c>
      <c r="AQ148" s="34">
        <f>IF(OR(B148="",AP148="Lost",AP148="Dormant"),"",IF(OR(AP148="At risk",AP148="Slipping"),IF(AB148="",999,AB148),""))</f>
        <v>0</v>
      </c>
      <c r="AR148" s="31">
        <f>IF(AQ148="","",COUNTIFS($AQ$5:$AQ$204,"&gt;"&amp;AQ148)+COUNTIFS($AQ$5:AQ148,AQ148))</f>
        <v>0</v>
      </c>
      <c r="AS148" s="39">
        <f>IF(B148="","",IF(AF148&gt;0.5,"Chase - "&amp;TEXT(AF148,"0")&amp;" owing",IF(AND(H148&lt;&gt;"Lost",H148&lt;&gt;"Inactive",H148&lt;&gt;"Paused",AC148="",K148&lt;&gt;"One-off"),"Book - nothing in the diary",IF(AND(S148&lt;&gt;"",S148-TodayDate&lt;=RenewalWarningDays,S148&gt;=TodayDate),"Due - contract renews soon",IF(AP148="At risk","Call - going quiet",IF(AL148&gt;=2,"Check - complaints logged",IF(AND(AI148&lt;&gt;"",AI148&lt;MarginFloor,Y148&gt;0),"Check - thin margin","OK")))))))</f>
        <v>0</v>
      </c>
    </row>
    <row r="149" spans="1:45">
      <c r="A149" s="43">
        <f>IF(B149="","",ClientPrefix&amp;TEXT(ROW()-4,"0000"))</f>
        <v>0</v>
      </c>
      <c r="W149" s="31">
        <f>IF(A149="","",COUNTIFS(Properties!$C$5:$C$254,A149))</f>
        <v>0</v>
      </c>
      <c r="X149" s="31">
        <f>IF(A149="","",COUNTIFS(Jobs!$G$5:$G$604,A149))</f>
        <v>0</v>
      </c>
      <c r="Y149" s="31">
        <f>IF(A149="","",COUNTIFS(Jobs!$G$5:$G$604,A149,Jobs!$P$5:$P$604,"Completed")+COUNTIFS(Jobs!$G$5:$G$604,A149,Jobs!$P$5:$P$604,"Invoiced"))</f>
        <v>0</v>
      </c>
      <c r="Z149" s="31">
        <f>IF(A149="","",COUNTIFS(Jobs!$G$5:$G$604,A149,Jobs!$P$5:$P$604,"Cancelled")+COUNTIFS(Jobs!$G$5:$G$604,A149,Jobs!$P$5:$P$604,"No access"))</f>
        <v>0</v>
      </c>
      <c r="AA149" s="18">
        <f>IF(A149="","",IF(SUMPRODUCT(MAX((Jobs!$G$5:$G$604=A149)*((Jobs!$P$5:$P$604="Completed")+(Jobs!$P$5:$P$604="Invoiced"))*Jobs!$B$5:$B$604))=0,"",SUMPRODUCT(MAX((Jobs!$G$5:$G$604=A149)*((Jobs!$P$5:$P$604="Completed")+(Jobs!$P$5:$P$604="Invoiced"))*Jobs!$B$5:$B$604))))</f>
        <v>0</v>
      </c>
      <c r="AB149" s="31">
        <f>IF(AA149="","",TodayDate-AA149)</f>
        <v>0</v>
      </c>
      <c r="AC149" s="18">
        <f>IF(A149="","",IF(SUMPRODUCT(MIN((Jobs!$G$5:$G$604=A149)*(Jobs!$B$5:$B$604&gt;=TodayDate)*(Jobs!$P$5:$P$604&lt;&gt;"Cancelled")*Jobs!$B$5:$B$604+(1-(Jobs!$G$5:$G$604=A149)*(Jobs!$B$5:$B$604&gt;=TodayDate)*(Jobs!$P$5:$P$604&lt;&gt;"Cancelled"))*2958465))=2958465,"",SUMPRODUCT(MIN((Jobs!$G$5:$G$604=A149)*(Jobs!$B$5:$B$604&gt;=TodayDate)*(Jobs!$P$5:$P$604&lt;&gt;"Cancelled")*Jobs!$B$5:$B$604+(1-(Jobs!$G$5:$G$604=A149)*(Jobs!$B$5:$B$604&gt;=TodayDate)*(Jobs!$P$5:$P$604&lt;&gt;"Cancelled"))*2958465))))</f>
        <v>0</v>
      </c>
      <c r="AD149" s="21">
        <f>IF(A149="","",SUMIFS(Invoices!$V$5:$V$404,Invoices!$D$5:$D$404,A149))</f>
        <v>0</v>
      </c>
      <c r="AE149" s="21">
        <f>IF(A149="","",SUMIFS(Invoices!$W$5:$W$404,Invoices!$D$5:$D$404,A149))</f>
        <v>0</v>
      </c>
      <c r="AF149" s="21">
        <f>IF(A149="","",AD149-AE149)</f>
        <v>0</v>
      </c>
      <c r="AG149" s="21">
        <f>IF(OR(A149="",Y149=0),"",AD149/Y149)</f>
        <v>0</v>
      </c>
      <c r="AH149" s="21">
        <f>IF(A149="","",SUMIFS('Job Costing'!$U$5:$U$604,'Job Costing'!$D$5:$D$604,A149))</f>
        <v>0</v>
      </c>
      <c r="AI149" s="38">
        <f>IF(OR(A149="",AD149=0),"",AH149/AD149)</f>
        <v>0</v>
      </c>
      <c r="AJ149" s="21">
        <f>IF(OR(A149="",K149="",AG149=""),"",AG149*IFERROR(INDEX(FreqPerYear,MATCH(K149,FreqNames,0)),1))</f>
        <v>0</v>
      </c>
      <c r="AK149" s="34">
        <f>IF(A149="","",IFERROR(AVERAGEIFS(Jobs!$AA$5:$AA$604,Jobs!$G$5:$G$604,A149,Jobs!$AA$5:$AA$604,"&gt;0"),""))</f>
        <v>0</v>
      </c>
      <c r="AL149" s="31">
        <f>IF(A149="","",COUNTIFS(Complaints!$D$5:$D$84,A149))</f>
        <v>0</v>
      </c>
      <c r="AM149" s="31">
        <f>IF(B149="","",COUNTIFS($AD$5:$AD$204,"&gt;"&amp;AD149)+COUNTIFS($AD$5:AD149,AD149))</f>
        <v>0</v>
      </c>
      <c r="AN149" s="31">
        <f>IF(B149="","",COUNTIFS($AH$5:$AH$204,"&gt;"&amp;AH149)+COUNTIFS($AH$5:AH149,AH149))</f>
        <v>0</v>
      </c>
      <c r="AO149" s="31">
        <f>IF(B149="","",COUNTIFS($AJ$5:$AJ$204,"&gt;"&amp;AJ149)+COUNTIFS($AJ$5:AJ149,AJ149))</f>
        <v>0</v>
      </c>
      <c r="AP149" s="39">
        <f>IF(B149="","",IF(H149="Lost","Lost",IF(H149="Inactive","Dormant",IF(AA149="","Dormant",IF(AB149&gt;InactiveClientDays*2,"Dormant",IF(AB149&gt;InactiveClientDays,"At risk",IF(AC149="","Slipping",IF(Y149&gt;=10,"Loyal","Steady"))))))))</f>
        <v>0</v>
      </c>
      <c r="AQ149" s="34">
        <f>IF(OR(B149="",AP149="Lost",AP149="Dormant"),"",IF(OR(AP149="At risk",AP149="Slipping"),IF(AB149="",999,AB149),""))</f>
        <v>0</v>
      </c>
      <c r="AR149" s="31">
        <f>IF(AQ149="","",COUNTIFS($AQ$5:$AQ$204,"&gt;"&amp;AQ149)+COUNTIFS($AQ$5:AQ149,AQ149))</f>
        <v>0</v>
      </c>
      <c r="AS149" s="39">
        <f>IF(B149="","",IF(AF149&gt;0.5,"Chase - "&amp;TEXT(AF149,"0")&amp;" owing",IF(AND(H149&lt;&gt;"Lost",H149&lt;&gt;"Inactive",H149&lt;&gt;"Paused",AC149="",K149&lt;&gt;"One-off"),"Book - nothing in the diary",IF(AND(S149&lt;&gt;"",S149-TodayDate&lt;=RenewalWarningDays,S149&gt;=TodayDate),"Due - contract renews soon",IF(AP149="At risk","Call - going quiet",IF(AL149&gt;=2,"Check - complaints logged",IF(AND(AI149&lt;&gt;"",AI149&lt;MarginFloor,Y149&gt;0),"Check - thin margin","OK")))))))</f>
        <v>0</v>
      </c>
    </row>
    <row r="150" spans="1:45">
      <c r="A150" s="43">
        <f>IF(B150="","",ClientPrefix&amp;TEXT(ROW()-4,"0000"))</f>
        <v>0</v>
      </c>
      <c r="W150" s="31">
        <f>IF(A150="","",COUNTIFS(Properties!$C$5:$C$254,A150))</f>
        <v>0</v>
      </c>
      <c r="X150" s="31">
        <f>IF(A150="","",COUNTIFS(Jobs!$G$5:$G$604,A150))</f>
        <v>0</v>
      </c>
      <c r="Y150" s="31">
        <f>IF(A150="","",COUNTIFS(Jobs!$G$5:$G$604,A150,Jobs!$P$5:$P$604,"Completed")+COUNTIFS(Jobs!$G$5:$G$604,A150,Jobs!$P$5:$P$604,"Invoiced"))</f>
        <v>0</v>
      </c>
      <c r="Z150" s="31">
        <f>IF(A150="","",COUNTIFS(Jobs!$G$5:$G$604,A150,Jobs!$P$5:$P$604,"Cancelled")+COUNTIFS(Jobs!$G$5:$G$604,A150,Jobs!$P$5:$P$604,"No access"))</f>
        <v>0</v>
      </c>
      <c r="AA150" s="18">
        <f>IF(A150="","",IF(SUMPRODUCT(MAX((Jobs!$G$5:$G$604=A150)*((Jobs!$P$5:$P$604="Completed")+(Jobs!$P$5:$P$604="Invoiced"))*Jobs!$B$5:$B$604))=0,"",SUMPRODUCT(MAX((Jobs!$G$5:$G$604=A150)*((Jobs!$P$5:$P$604="Completed")+(Jobs!$P$5:$P$604="Invoiced"))*Jobs!$B$5:$B$604))))</f>
        <v>0</v>
      </c>
      <c r="AB150" s="31">
        <f>IF(AA150="","",TodayDate-AA150)</f>
        <v>0</v>
      </c>
      <c r="AC150" s="18">
        <f>IF(A150="","",IF(SUMPRODUCT(MIN((Jobs!$G$5:$G$604=A150)*(Jobs!$B$5:$B$604&gt;=TodayDate)*(Jobs!$P$5:$P$604&lt;&gt;"Cancelled")*Jobs!$B$5:$B$604+(1-(Jobs!$G$5:$G$604=A150)*(Jobs!$B$5:$B$604&gt;=TodayDate)*(Jobs!$P$5:$P$604&lt;&gt;"Cancelled"))*2958465))=2958465,"",SUMPRODUCT(MIN((Jobs!$G$5:$G$604=A150)*(Jobs!$B$5:$B$604&gt;=TodayDate)*(Jobs!$P$5:$P$604&lt;&gt;"Cancelled")*Jobs!$B$5:$B$604+(1-(Jobs!$G$5:$G$604=A150)*(Jobs!$B$5:$B$604&gt;=TodayDate)*(Jobs!$P$5:$P$604&lt;&gt;"Cancelled"))*2958465))))</f>
        <v>0</v>
      </c>
      <c r="AD150" s="21">
        <f>IF(A150="","",SUMIFS(Invoices!$V$5:$V$404,Invoices!$D$5:$D$404,A150))</f>
        <v>0</v>
      </c>
      <c r="AE150" s="21">
        <f>IF(A150="","",SUMIFS(Invoices!$W$5:$W$404,Invoices!$D$5:$D$404,A150))</f>
        <v>0</v>
      </c>
      <c r="AF150" s="21">
        <f>IF(A150="","",AD150-AE150)</f>
        <v>0</v>
      </c>
      <c r="AG150" s="21">
        <f>IF(OR(A150="",Y150=0),"",AD150/Y150)</f>
        <v>0</v>
      </c>
      <c r="AH150" s="21">
        <f>IF(A150="","",SUMIFS('Job Costing'!$U$5:$U$604,'Job Costing'!$D$5:$D$604,A150))</f>
        <v>0</v>
      </c>
      <c r="AI150" s="38">
        <f>IF(OR(A150="",AD150=0),"",AH150/AD150)</f>
        <v>0</v>
      </c>
      <c r="AJ150" s="21">
        <f>IF(OR(A150="",K150="",AG150=""),"",AG150*IFERROR(INDEX(FreqPerYear,MATCH(K150,FreqNames,0)),1))</f>
        <v>0</v>
      </c>
      <c r="AK150" s="34">
        <f>IF(A150="","",IFERROR(AVERAGEIFS(Jobs!$AA$5:$AA$604,Jobs!$G$5:$G$604,A150,Jobs!$AA$5:$AA$604,"&gt;0"),""))</f>
        <v>0</v>
      </c>
      <c r="AL150" s="31">
        <f>IF(A150="","",COUNTIFS(Complaints!$D$5:$D$84,A150))</f>
        <v>0</v>
      </c>
      <c r="AM150" s="31">
        <f>IF(B150="","",COUNTIFS($AD$5:$AD$204,"&gt;"&amp;AD150)+COUNTIFS($AD$5:AD150,AD150))</f>
        <v>0</v>
      </c>
      <c r="AN150" s="31">
        <f>IF(B150="","",COUNTIFS($AH$5:$AH$204,"&gt;"&amp;AH150)+COUNTIFS($AH$5:AH150,AH150))</f>
        <v>0</v>
      </c>
      <c r="AO150" s="31">
        <f>IF(B150="","",COUNTIFS($AJ$5:$AJ$204,"&gt;"&amp;AJ150)+COUNTIFS($AJ$5:AJ150,AJ150))</f>
        <v>0</v>
      </c>
      <c r="AP150" s="39">
        <f>IF(B150="","",IF(H150="Lost","Lost",IF(H150="Inactive","Dormant",IF(AA150="","Dormant",IF(AB150&gt;InactiveClientDays*2,"Dormant",IF(AB150&gt;InactiveClientDays,"At risk",IF(AC150="","Slipping",IF(Y150&gt;=10,"Loyal","Steady"))))))))</f>
        <v>0</v>
      </c>
      <c r="AQ150" s="34">
        <f>IF(OR(B150="",AP150="Lost",AP150="Dormant"),"",IF(OR(AP150="At risk",AP150="Slipping"),IF(AB150="",999,AB150),""))</f>
        <v>0</v>
      </c>
      <c r="AR150" s="31">
        <f>IF(AQ150="","",COUNTIFS($AQ$5:$AQ$204,"&gt;"&amp;AQ150)+COUNTIFS($AQ$5:AQ150,AQ150))</f>
        <v>0</v>
      </c>
      <c r="AS150" s="39">
        <f>IF(B150="","",IF(AF150&gt;0.5,"Chase - "&amp;TEXT(AF150,"0")&amp;" owing",IF(AND(H150&lt;&gt;"Lost",H150&lt;&gt;"Inactive",H150&lt;&gt;"Paused",AC150="",K150&lt;&gt;"One-off"),"Book - nothing in the diary",IF(AND(S150&lt;&gt;"",S150-TodayDate&lt;=RenewalWarningDays,S150&gt;=TodayDate),"Due - contract renews soon",IF(AP150="At risk","Call - going quiet",IF(AL150&gt;=2,"Check - complaints logged",IF(AND(AI150&lt;&gt;"",AI150&lt;MarginFloor,Y150&gt;0),"Check - thin margin","OK")))))))</f>
        <v>0</v>
      </c>
    </row>
    <row r="151" spans="1:45">
      <c r="A151" s="43">
        <f>IF(B151="","",ClientPrefix&amp;TEXT(ROW()-4,"0000"))</f>
        <v>0</v>
      </c>
      <c r="W151" s="31">
        <f>IF(A151="","",COUNTIFS(Properties!$C$5:$C$254,A151))</f>
        <v>0</v>
      </c>
      <c r="X151" s="31">
        <f>IF(A151="","",COUNTIFS(Jobs!$G$5:$G$604,A151))</f>
        <v>0</v>
      </c>
      <c r="Y151" s="31">
        <f>IF(A151="","",COUNTIFS(Jobs!$G$5:$G$604,A151,Jobs!$P$5:$P$604,"Completed")+COUNTIFS(Jobs!$G$5:$G$604,A151,Jobs!$P$5:$P$604,"Invoiced"))</f>
        <v>0</v>
      </c>
      <c r="Z151" s="31">
        <f>IF(A151="","",COUNTIFS(Jobs!$G$5:$G$604,A151,Jobs!$P$5:$P$604,"Cancelled")+COUNTIFS(Jobs!$G$5:$G$604,A151,Jobs!$P$5:$P$604,"No access"))</f>
        <v>0</v>
      </c>
      <c r="AA151" s="18">
        <f>IF(A151="","",IF(SUMPRODUCT(MAX((Jobs!$G$5:$G$604=A151)*((Jobs!$P$5:$P$604="Completed")+(Jobs!$P$5:$P$604="Invoiced"))*Jobs!$B$5:$B$604))=0,"",SUMPRODUCT(MAX((Jobs!$G$5:$G$604=A151)*((Jobs!$P$5:$P$604="Completed")+(Jobs!$P$5:$P$604="Invoiced"))*Jobs!$B$5:$B$604))))</f>
        <v>0</v>
      </c>
      <c r="AB151" s="31">
        <f>IF(AA151="","",TodayDate-AA151)</f>
        <v>0</v>
      </c>
      <c r="AC151" s="18">
        <f>IF(A151="","",IF(SUMPRODUCT(MIN((Jobs!$G$5:$G$604=A151)*(Jobs!$B$5:$B$604&gt;=TodayDate)*(Jobs!$P$5:$P$604&lt;&gt;"Cancelled")*Jobs!$B$5:$B$604+(1-(Jobs!$G$5:$G$604=A151)*(Jobs!$B$5:$B$604&gt;=TodayDate)*(Jobs!$P$5:$P$604&lt;&gt;"Cancelled"))*2958465))=2958465,"",SUMPRODUCT(MIN((Jobs!$G$5:$G$604=A151)*(Jobs!$B$5:$B$604&gt;=TodayDate)*(Jobs!$P$5:$P$604&lt;&gt;"Cancelled")*Jobs!$B$5:$B$604+(1-(Jobs!$G$5:$G$604=A151)*(Jobs!$B$5:$B$604&gt;=TodayDate)*(Jobs!$P$5:$P$604&lt;&gt;"Cancelled"))*2958465))))</f>
        <v>0</v>
      </c>
      <c r="AD151" s="21">
        <f>IF(A151="","",SUMIFS(Invoices!$V$5:$V$404,Invoices!$D$5:$D$404,A151))</f>
        <v>0</v>
      </c>
      <c r="AE151" s="21">
        <f>IF(A151="","",SUMIFS(Invoices!$W$5:$W$404,Invoices!$D$5:$D$404,A151))</f>
        <v>0</v>
      </c>
      <c r="AF151" s="21">
        <f>IF(A151="","",AD151-AE151)</f>
        <v>0</v>
      </c>
      <c r="AG151" s="21">
        <f>IF(OR(A151="",Y151=0),"",AD151/Y151)</f>
        <v>0</v>
      </c>
      <c r="AH151" s="21">
        <f>IF(A151="","",SUMIFS('Job Costing'!$U$5:$U$604,'Job Costing'!$D$5:$D$604,A151))</f>
        <v>0</v>
      </c>
      <c r="AI151" s="38">
        <f>IF(OR(A151="",AD151=0),"",AH151/AD151)</f>
        <v>0</v>
      </c>
      <c r="AJ151" s="21">
        <f>IF(OR(A151="",K151="",AG151=""),"",AG151*IFERROR(INDEX(FreqPerYear,MATCH(K151,FreqNames,0)),1))</f>
        <v>0</v>
      </c>
      <c r="AK151" s="34">
        <f>IF(A151="","",IFERROR(AVERAGEIFS(Jobs!$AA$5:$AA$604,Jobs!$G$5:$G$604,A151,Jobs!$AA$5:$AA$604,"&gt;0"),""))</f>
        <v>0</v>
      </c>
      <c r="AL151" s="31">
        <f>IF(A151="","",COUNTIFS(Complaints!$D$5:$D$84,A151))</f>
        <v>0</v>
      </c>
      <c r="AM151" s="31">
        <f>IF(B151="","",COUNTIFS($AD$5:$AD$204,"&gt;"&amp;AD151)+COUNTIFS($AD$5:AD151,AD151))</f>
        <v>0</v>
      </c>
      <c r="AN151" s="31">
        <f>IF(B151="","",COUNTIFS($AH$5:$AH$204,"&gt;"&amp;AH151)+COUNTIFS($AH$5:AH151,AH151))</f>
        <v>0</v>
      </c>
      <c r="AO151" s="31">
        <f>IF(B151="","",COUNTIFS($AJ$5:$AJ$204,"&gt;"&amp;AJ151)+COUNTIFS($AJ$5:AJ151,AJ151))</f>
        <v>0</v>
      </c>
      <c r="AP151" s="39">
        <f>IF(B151="","",IF(H151="Lost","Lost",IF(H151="Inactive","Dormant",IF(AA151="","Dormant",IF(AB151&gt;InactiveClientDays*2,"Dormant",IF(AB151&gt;InactiveClientDays,"At risk",IF(AC151="","Slipping",IF(Y151&gt;=10,"Loyal","Steady"))))))))</f>
        <v>0</v>
      </c>
      <c r="AQ151" s="34">
        <f>IF(OR(B151="",AP151="Lost",AP151="Dormant"),"",IF(OR(AP151="At risk",AP151="Slipping"),IF(AB151="",999,AB151),""))</f>
        <v>0</v>
      </c>
      <c r="AR151" s="31">
        <f>IF(AQ151="","",COUNTIFS($AQ$5:$AQ$204,"&gt;"&amp;AQ151)+COUNTIFS($AQ$5:AQ151,AQ151))</f>
        <v>0</v>
      </c>
      <c r="AS151" s="39">
        <f>IF(B151="","",IF(AF151&gt;0.5,"Chase - "&amp;TEXT(AF151,"0")&amp;" owing",IF(AND(H151&lt;&gt;"Lost",H151&lt;&gt;"Inactive",H151&lt;&gt;"Paused",AC151="",K151&lt;&gt;"One-off"),"Book - nothing in the diary",IF(AND(S151&lt;&gt;"",S151-TodayDate&lt;=RenewalWarningDays,S151&gt;=TodayDate),"Due - contract renews soon",IF(AP151="At risk","Call - going quiet",IF(AL151&gt;=2,"Check - complaints logged",IF(AND(AI151&lt;&gt;"",AI151&lt;MarginFloor,Y151&gt;0),"Check - thin margin","OK")))))))</f>
        <v>0</v>
      </c>
    </row>
    <row r="152" spans="1:45">
      <c r="A152" s="43">
        <f>IF(B152="","",ClientPrefix&amp;TEXT(ROW()-4,"0000"))</f>
        <v>0</v>
      </c>
      <c r="W152" s="31">
        <f>IF(A152="","",COUNTIFS(Properties!$C$5:$C$254,A152))</f>
        <v>0</v>
      </c>
      <c r="X152" s="31">
        <f>IF(A152="","",COUNTIFS(Jobs!$G$5:$G$604,A152))</f>
        <v>0</v>
      </c>
      <c r="Y152" s="31">
        <f>IF(A152="","",COUNTIFS(Jobs!$G$5:$G$604,A152,Jobs!$P$5:$P$604,"Completed")+COUNTIFS(Jobs!$G$5:$G$604,A152,Jobs!$P$5:$P$604,"Invoiced"))</f>
        <v>0</v>
      </c>
      <c r="Z152" s="31">
        <f>IF(A152="","",COUNTIFS(Jobs!$G$5:$G$604,A152,Jobs!$P$5:$P$604,"Cancelled")+COUNTIFS(Jobs!$G$5:$G$604,A152,Jobs!$P$5:$P$604,"No access"))</f>
        <v>0</v>
      </c>
      <c r="AA152" s="18">
        <f>IF(A152="","",IF(SUMPRODUCT(MAX((Jobs!$G$5:$G$604=A152)*((Jobs!$P$5:$P$604="Completed")+(Jobs!$P$5:$P$604="Invoiced"))*Jobs!$B$5:$B$604))=0,"",SUMPRODUCT(MAX((Jobs!$G$5:$G$604=A152)*((Jobs!$P$5:$P$604="Completed")+(Jobs!$P$5:$P$604="Invoiced"))*Jobs!$B$5:$B$604))))</f>
        <v>0</v>
      </c>
      <c r="AB152" s="31">
        <f>IF(AA152="","",TodayDate-AA152)</f>
        <v>0</v>
      </c>
      <c r="AC152" s="18">
        <f>IF(A152="","",IF(SUMPRODUCT(MIN((Jobs!$G$5:$G$604=A152)*(Jobs!$B$5:$B$604&gt;=TodayDate)*(Jobs!$P$5:$P$604&lt;&gt;"Cancelled")*Jobs!$B$5:$B$604+(1-(Jobs!$G$5:$G$604=A152)*(Jobs!$B$5:$B$604&gt;=TodayDate)*(Jobs!$P$5:$P$604&lt;&gt;"Cancelled"))*2958465))=2958465,"",SUMPRODUCT(MIN((Jobs!$G$5:$G$604=A152)*(Jobs!$B$5:$B$604&gt;=TodayDate)*(Jobs!$P$5:$P$604&lt;&gt;"Cancelled")*Jobs!$B$5:$B$604+(1-(Jobs!$G$5:$G$604=A152)*(Jobs!$B$5:$B$604&gt;=TodayDate)*(Jobs!$P$5:$P$604&lt;&gt;"Cancelled"))*2958465))))</f>
        <v>0</v>
      </c>
      <c r="AD152" s="21">
        <f>IF(A152="","",SUMIFS(Invoices!$V$5:$V$404,Invoices!$D$5:$D$404,A152))</f>
        <v>0</v>
      </c>
      <c r="AE152" s="21">
        <f>IF(A152="","",SUMIFS(Invoices!$W$5:$W$404,Invoices!$D$5:$D$404,A152))</f>
        <v>0</v>
      </c>
      <c r="AF152" s="21">
        <f>IF(A152="","",AD152-AE152)</f>
        <v>0</v>
      </c>
      <c r="AG152" s="21">
        <f>IF(OR(A152="",Y152=0),"",AD152/Y152)</f>
        <v>0</v>
      </c>
      <c r="AH152" s="21">
        <f>IF(A152="","",SUMIFS('Job Costing'!$U$5:$U$604,'Job Costing'!$D$5:$D$604,A152))</f>
        <v>0</v>
      </c>
      <c r="AI152" s="38">
        <f>IF(OR(A152="",AD152=0),"",AH152/AD152)</f>
        <v>0</v>
      </c>
      <c r="AJ152" s="21">
        <f>IF(OR(A152="",K152="",AG152=""),"",AG152*IFERROR(INDEX(FreqPerYear,MATCH(K152,FreqNames,0)),1))</f>
        <v>0</v>
      </c>
      <c r="AK152" s="34">
        <f>IF(A152="","",IFERROR(AVERAGEIFS(Jobs!$AA$5:$AA$604,Jobs!$G$5:$G$604,A152,Jobs!$AA$5:$AA$604,"&gt;0"),""))</f>
        <v>0</v>
      </c>
      <c r="AL152" s="31">
        <f>IF(A152="","",COUNTIFS(Complaints!$D$5:$D$84,A152))</f>
        <v>0</v>
      </c>
      <c r="AM152" s="31">
        <f>IF(B152="","",COUNTIFS($AD$5:$AD$204,"&gt;"&amp;AD152)+COUNTIFS($AD$5:AD152,AD152))</f>
        <v>0</v>
      </c>
      <c r="AN152" s="31">
        <f>IF(B152="","",COUNTIFS($AH$5:$AH$204,"&gt;"&amp;AH152)+COUNTIFS($AH$5:AH152,AH152))</f>
        <v>0</v>
      </c>
      <c r="AO152" s="31">
        <f>IF(B152="","",COUNTIFS($AJ$5:$AJ$204,"&gt;"&amp;AJ152)+COUNTIFS($AJ$5:AJ152,AJ152))</f>
        <v>0</v>
      </c>
      <c r="AP152" s="39">
        <f>IF(B152="","",IF(H152="Lost","Lost",IF(H152="Inactive","Dormant",IF(AA152="","Dormant",IF(AB152&gt;InactiveClientDays*2,"Dormant",IF(AB152&gt;InactiveClientDays,"At risk",IF(AC152="","Slipping",IF(Y152&gt;=10,"Loyal","Steady"))))))))</f>
        <v>0</v>
      </c>
      <c r="AQ152" s="34">
        <f>IF(OR(B152="",AP152="Lost",AP152="Dormant"),"",IF(OR(AP152="At risk",AP152="Slipping"),IF(AB152="",999,AB152),""))</f>
        <v>0</v>
      </c>
      <c r="AR152" s="31">
        <f>IF(AQ152="","",COUNTIFS($AQ$5:$AQ$204,"&gt;"&amp;AQ152)+COUNTIFS($AQ$5:AQ152,AQ152))</f>
        <v>0</v>
      </c>
      <c r="AS152" s="39">
        <f>IF(B152="","",IF(AF152&gt;0.5,"Chase - "&amp;TEXT(AF152,"0")&amp;" owing",IF(AND(H152&lt;&gt;"Lost",H152&lt;&gt;"Inactive",H152&lt;&gt;"Paused",AC152="",K152&lt;&gt;"One-off"),"Book - nothing in the diary",IF(AND(S152&lt;&gt;"",S152-TodayDate&lt;=RenewalWarningDays,S152&gt;=TodayDate),"Due - contract renews soon",IF(AP152="At risk","Call - going quiet",IF(AL152&gt;=2,"Check - complaints logged",IF(AND(AI152&lt;&gt;"",AI152&lt;MarginFloor,Y152&gt;0),"Check - thin margin","OK")))))))</f>
        <v>0</v>
      </c>
    </row>
    <row r="153" spans="1:45">
      <c r="A153" s="43">
        <f>IF(B153="","",ClientPrefix&amp;TEXT(ROW()-4,"0000"))</f>
        <v>0</v>
      </c>
      <c r="W153" s="31">
        <f>IF(A153="","",COUNTIFS(Properties!$C$5:$C$254,A153))</f>
        <v>0</v>
      </c>
      <c r="X153" s="31">
        <f>IF(A153="","",COUNTIFS(Jobs!$G$5:$G$604,A153))</f>
        <v>0</v>
      </c>
      <c r="Y153" s="31">
        <f>IF(A153="","",COUNTIFS(Jobs!$G$5:$G$604,A153,Jobs!$P$5:$P$604,"Completed")+COUNTIFS(Jobs!$G$5:$G$604,A153,Jobs!$P$5:$P$604,"Invoiced"))</f>
        <v>0</v>
      </c>
      <c r="Z153" s="31">
        <f>IF(A153="","",COUNTIFS(Jobs!$G$5:$G$604,A153,Jobs!$P$5:$P$604,"Cancelled")+COUNTIFS(Jobs!$G$5:$G$604,A153,Jobs!$P$5:$P$604,"No access"))</f>
        <v>0</v>
      </c>
      <c r="AA153" s="18">
        <f>IF(A153="","",IF(SUMPRODUCT(MAX((Jobs!$G$5:$G$604=A153)*((Jobs!$P$5:$P$604="Completed")+(Jobs!$P$5:$P$604="Invoiced"))*Jobs!$B$5:$B$604))=0,"",SUMPRODUCT(MAX((Jobs!$G$5:$G$604=A153)*((Jobs!$P$5:$P$604="Completed")+(Jobs!$P$5:$P$604="Invoiced"))*Jobs!$B$5:$B$604))))</f>
        <v>0</v>
      </c>
      <c r="AB153" s="31">
        <f>IF(AA153="","",TodayDate-AA153)</f>
        <v>0</v>
      </c>
      <c r="AC153" s="18">
        <f>IF(A153="","",IF(SUMPRODUCT(MIN((Jobs!$G$5:$G$604=A153)*(Jobs!$B$5:$B$604&gt;=TodayDate)*(Jobs!$P$5:$P$604&lt;&gt;"Cancelled")*Jobs!$B$5:$B$604+(1-(Jobs!$G$5:$G$604=A153)*(Jobs!$B$5:$B$604&gt;=TodayDate)*(Jobs!$P$5:$P$604&lt;&gt;"Cancelled"))*2958465))=2958465,"",SUMPRODUCT(MIN((Jobs!$G$5:$G$604=A153)*(Jobs!$B$5:$B$604&gt;=TodayDate)*(Jobs!$P$5:$P$604&lt;&gt;"Cancelled")*Jobs!$B$5:$B$604+(1-(Jobs!$G$5:$G$604=A153)*(Jobs!$B$5:$B$604&gt;=TodayDate)*(Jobs!$P$5:$P$604&lt;&gt;"Cancelled"))*2958465))))</f>
        <v>0</v>
      </c>
      <c r="AD153" s="21">
        <f>IF(A153="","",SUMIFS(Invoices!$V$5:$V$404,Invoices!$D$5:$D$404,A153))</f>
        <v>0</v>
      </c>
      <c r="AE153" s="21">
        <f>IF(A153="","",SUMIFS(Invoices!$W$5:$W$404,Invoices!$D$5:$D$404,A153))</f>
        <v>0</v>
      </c>
      <c r="AF153" s="21">
        <f>IF(A153="","",AD153-AE153)</f>
        <v>0</v>
      </c>
      <c r="AG153" s="21">
        <f>IF(OR(A153="",Y153=0),"",AD153/Y153)</f>
        <v>0</v>
      </c>
      <c r="AH153" s="21">
        <f>IF(A153="","",SUMIFS('Job Costing'!$U$5:$U$604,'Job Costing'!$D$5:$D$604,A153))</f>
        <v>0</v>
      </c>
      <c r="AI153" s="38">
        <f>IF(OR(A153="",AD153=0),"",AH153/AD153)</f>
        <v>0</v>
      </c>
      <c r="AJ153" s="21">
        <f>IF(OR(A153="",K153="",AG153=""),"",AG153*IFERROR(INDEX(FreqPerYear,MATCH(K153,FreqNames,0)),1))</f>
        <v>0</v>
      </c>
      <c r="AK153" s="34">
        <f>IF(A153="","",IFERROR(AVERAGEIFS(Jobs!$AA$5:$AA$604,Jobs!$G$5:$G$604,A153,Jobs!$AA$5:$AA$604,"&gt;0"),""))</f>
        <v>0</v>
      </c>
      <c r="AL153" s="31">
        <f>IF(A153="","",COUNTIFS(Complaints!$D$5:$D$84,A153))</f>
        <v>0</v>
      </c>
      <c r="AM153" s="31">
        <f>IF(B153="","",COUNTIFS($AD$5:$AD$204,"&gt;"&amp;AD153)+COUNTIFS($AD$5:AD153,AD153))</f>
        <v>0</v>
      </c>
      <c r="AN153" s="31">
        <f>IF(B153="","",COUNTIFS($AH$5:$AH$204,"&gt;"&amp;AH153)+COUNTIFS($AH$5:AH153,AH153))</f>
        <v>0</v>
      </c>
      <c r="AO153" s="31">
        <f>IF(B153="","",COUNTIFS($AJ$5:$AJ$204,"&gt;"&amp;AJ153)+COUNTIFS($AJ$5:AJ153,AJ153))</f>
        <v>0</v>
      </c>
      <c r="AP153" s="39">
        <f>IF(B153="","",IF(H153="Lost","Lost",IF(H153="Inactive","Dormant",IF(AA153="","Dormant",IF(AB153&gt;InactiveClientDays*2,"Dormant",IF(AB153&gt;InactiveClientDays,"At risk",IF(AC153="","Slipping",IF(Y153&gt;=10,"Loyal","Steady"))))))))</f>
        <v>0</v>
      </c>
      <c r="AQ153" s="34">
        <f>IF(OR(B153="",AP153="Lost",AP153="Dormant"),"",IF(OR(AP153="At risk",AP153="Slipping"),IF(AB153="",999,AB153),""))</f>
        <v>0</v>
      </c>
      <c r="AR153" s="31">
        <f>IF(AQ153="","",COUNTIFS($AQ$5:$AQ$204,"&gt;"&amp;AQ153)+COUNTIFS($AQ$5:AQ153,AQ153))</f>
        <v>0</v>
      </c>
      <c r="AS153" s="39">
        <f>IF(B153="","",IF(AF153&gt;0.5,"Chase - "&amp;TEXT(AF153,"0")&amp;" owing",IF(AND(H153&lt;&gt;"Lost",H153&lt;&gt;"Inactive",H153&lt;&gt;"Paused",AC153="",K153&lt;&gt;"One-off"),"Book - nothing in the diary",IF(AND(S153&lt;&gt;"",S153-TodayDate&lt;=RenewalWarningDays,S153&gt;=TodayDate),"Due - contract renews soon",IF(AP153="At risk","Call - going quiet",IF(AL153&gt;=2,"Check - complaints logged",IF(AND(AI153&lt;&gt;"",AI153&lt;MarginFloor,Y153&gt;0),"Check - thin margin","OK")))))))</f>
        <v>0</v>
      </c>
    </row>
    <row r="154" spans="1:45">
      <c r="A154" s="43">
        <f>IF(B154="","",ClientPrefix&amp;TEXT(ROW()-4,"0000"))</f>
        <v>0</v>
      </c>
      <c r="W154" s="31">
        <f>IF(A154="","",COUNTIFS(Properties!$C$5:$C$254,A154))</f>
        <v>0</v>
      </c>
      <c r="X154" s="31">
        <f>IF(A154="","",COUNTIFS(Jobs!$G$5:$G$604,A154))</f>
        <v>0</v>
      </c>
      <c r="Y154" s="31">
        <f>IF(A154="","",COUNTIFS(Jobs!$G$5:$G$604,A154,Jobs!$P$5:$P$604,"Completed")+COUNTIFS(Jobs!$G$5:$G$604,A154,Jobs!$P$5:$P$604,"Invoiced"))</f>
        <v>0</v>
      </c>
      <c r="Z154" s="31">
        <f>IF(A154="","",COUNTIFS(Jobs!$G$5:$G$604,A154,Jobs!$P$5:$P$604,"Cancelled")+COUNTIFS(Jobs!$G$5:$G$604,A154,Jobs!$P$5:$P$604,"No access"))</f>
        <v>0</v>
      </c>
      <c r="AA154" s="18">
        <f>IF(A154="","",IF(SUMPRODUCT(MAX((Jobs!$G$5:$G$604=A154)*((Jobs!$P$5:$P$604="Completed")+(Jobs!$P$5:$P$604="Invoiced"))*Jobs!$B$5:$B$604))=0,"",SUMPRODUCT(MAX((Jobs!$G$5:$G$604=A154)*((Jobs!$P$5:$P$604="Completed")+(Jobs!$P$5:$P$604="Invoiced"))*Jobs!$B$5:$B$604))))</f>
        <v>0</v>
      </c>
      <c r="AB154" s="31">
        <f>IF(AA154="","",TodayDate-AA154)</f>
        <v>0</v>
      </c>
      <c r="AC154" s="18">
        <f>IF(A154="","",IF(SUMPRODUCT(MIN((Jobs!$G$5:$G$604=A154)*(Jobs!$B$5:$B$604&gt;=TodayDate)*(Jobs!$P$5:$P$604&lt;&gt;"Cancelled")*Jobs!$B$5:$B$604+(1-(Jobs!$G$5:$G$604=A154)*(Jobs!$B$5:$B$604&gt;=TodayDate)*(Jobs!$P$5:$P$604&lt;&gt;"Cancelled"))*2958465))=2958465,"",SUMPRODUCT(MIN((Jobs!$G$5:$G$604=A154)*(Jobs!$B$5:$B$604&gt;=TodayDate)*(Jobs!$P$5:$P$604&lt;&gt;"Cancelled")*Jobs!$B$5:$B$604+(1-(Jobs!$G$5:$G$604=A154)*(Jobs!$B$5:$B$604&gt;=TodayDate)*(Jobs!$P$5:$P$604&lt;&gt;"Cancelled"))*2958465))))</f>
        <v>0</v>
      </c>
      <c r="AD154" s="21">
        <f>IF(A154="","",SUMIFS(Invoices!$V$5:$V$404,Invoices!$D$5:$D$404,A154))</f>
        <v>0</v>
      </c>
      <c r="AE154" s="21">
        <f>IF(A154="","",SUMIFS(Invoices!$W$5:$W$404,Invoices!$D$5:$D$404,A154))</f>
        <v>0</v>
      </c>
      <c r="AF154" s="21">
        <f>IF(A154="","",AD154-AE154)</f>
        <v>0</v>
      </c>
      <c r="AG154" s="21">
        <f>IF(OR(A154="",Y154=0),"",AD154/Y154)</f>
        <v>0</v>
      </c>
      <c r="AH154" s="21">
        <f>IF(A154="","",SUMIFS('Job Costing'!$U$5:$U$604,'Job Costing'!$D$5:$D$604,A154))</f>
        <v>0</v>
      </c>
      <c r="AI154" s="38">
        <f>IF(OR(A154="",AD154=0),"",AH154/AD154)</f>
        <v>0</v>
      </c>
      <c r="AJ154" s="21">
        <f>IF(OR(A154="",K154="",AG154=""),"",AG154*IFERROR(INDEX(FreqPerYear,MATCH(K154,FreqNames,0)),1))</f>
        <v>0</v>
      </c>
      <c r="AK154" s="34">
        <f>IF(A154="","",IFERROR(AVERAGEIFS(Jobs!$AA$5:$AA$604,Jobs!$G$5:$G$604,A154,Jobs!$AA$5:$AA$604,"&gt;0"),""))</f>
        <v>0</v>
      </c>
      <c r="AL154" s="31">
        <f>IF(A154="","",COUNTIFS(Complaints!$D$5:$D$84,A154))</f>
        <v>0</v>
      </c>
      <c r="AM154" s="31">
        <f>IF(B154="","",COUNTIFS($AD$5:$AD$204,"&gt;"&amp;AD154)+COUNTIFS($AD$5:AD154,AD154))</f>
        <v>0</v>
      </c>
      <c r="AN154" s="31">
        <f>IF(B154="","",COUNTIFS($AH$5:$AH$204,"&gt;"&amp;AH154)+COUNTIFS($AH$5:AH154,AH154))</f>
        <v>0</v>
      </c>
      <c r="AO154" s="31">
        <f>IF(B154="","",COUNTIFS($AJ$5:$AJ$204,"&gt;"&amp;AJ154)+COUNTIFS($AJ$5:AJ154,AJ154))</f>
        <v>0</v>
      </c>
      <c r="AP154" s="39">
        <f>IF(B154="","",IF(H154="Lost","Lost",IF(H154="Inactive","Dormant",IF(AA154="","Dormant",IF(AB154&gt;InactiveClientDays*2,"Dormant",IF(AB154&gt;InactiveClientDays,"At risk",IF(AC154="","Slipping",IF(Y154&gt;=10,"Loyal","Steady"))))))))</f>
        <v>0</v>
      </c>
      <c r="AQ154" s="34">
        <f>IF(OR(B154="",AP154="Lost",AP154="Dormant"),"",IF(OR(AP154="At risk",AP154="Slipping"),IF(AB154="",999,AB154),""))</f>
        <v>0</v>
      </c>
      <c r="AR154" s="31">
        <f>IF(AQ154="","",COUNTIFS($AQ$5:$AQ$204,"&gt;"&amp;AQ154)+COUNTIFS($AQ$5:AQ154,AQ154))</f>
        <v>0</v>
      </c>
      <c r="AS154" s="39">
        <f>IF(B154="","",IF(AF154&gt;0.5,"Chase - "&amp;TEXT(AF154,"0")&amp;" owing",IF(AND(H154&lt;&gt;"Lost",H154&lt;&gt;"Inactive",H154&lt;&gt;"Paused",AC154="",K154&lt;&gt;"One-off"),"Book - nothing in the diary",IF(AND(S154&lt;&gt;"",S154-TodayDate&lt;=RenewalWarningDays,S154&gt;=TodayDate),"Due - contract renews soon",IF(AP154="At risk","Call - going quiet",IF(AL154&gt;=2,"Check - complaints logged",IF(AND(AI154&lt;&gt;"",AI154&lt;MarginFloor,Y154&gt;0),"Check - thin margin","OK")))))))</f>
        <v>0</v>
      </c>
    </row>
    <row r="155" spans="1:45">
      <c r="A155" s="43">
        <f>IF(B155="","",ClientPrefix&amp;TEXT(ROW()-4,"0000"))</f>
        <v>0</v>
      </c>
      <c r="W155" s="31">
        <f>IF(A155="","",COUNTIFS(Properties!$C$5:$C$254,A155))</f>
        <v>0</v>
      </c>
      <c r="X155" s="31">
        <f>IF(A155="","",COUNTIFS(Jobs!$G$5:$G$604,A155))</f>
        <v>0</v>
      </c>
      <c r="Y155" s="31">
        <f>IF(A155="","",COUNTIFS(Jobs!$G$5:$G$604,A155,Jobs!$P$5:$P$604,"Completed")+COUNTIFS(Jobs!$G$5:$G$604,A155,Jobs!$P$5:$P$604,"Invoiced"))</f>
        <v>0</v>
      </c>
      <c r="Z155" s="31">
        <f>IF(A155="","",COUNTIFS(Jobs!$G$5:$G$604,A155,Jobs!$P$5:$P$604,"Cancelled")+COUNTIFS(Jobs!$G$5:$G$604,A155,Jobs!$P$5:$P$604,"No access"))</f>
        <v>0</v>
      </c>
      <c r="AA155" s="18">
        <f>IF(A155="","",IF(SUMPRODUCT(MAX((Jobs!$G$5:$G$604=A155)*((Jobs!$P$5:$P$604="Completed")+(Jobs!$P$5:$P$604="Invoiced"))*Jobs!$B$5:$B$604))=0,"",SUMPRODUCT(MAX((Jobs!$G$5:$G$604=A155)*((Jobs!$P$5:$P$604="Completed")+(Jobs!$P$5:$P$604="Invoiced"))*Jobs!$B$5:$B$604))))</f>
        <v>0</v>
      </c>
      <c r="AB155" s="31">
        <f>IF(AA155="","",TodayDate-AA155)</f>
        <v>0</v>
      </c>
      <c r="AC155" s="18">
        <f>IF(A155="","",IF(SUMPRODUCT(MIN((Jobs!$G$5:$G$604=A155)*(Jobs!$B$5:$B$604&gt;=TodayDate)*(Jobs!$P$5:$P$604&lt;&gt;"Cancelled")*Jobs!$B$5:$B$604+(1-(Jobs!$G$5:$G$604=A155)*(Jobs!$B$5:$B$604&gt;=TodayDate)*(Jobs!$P$5:$P$604&lt;&gt;"Cancelled"))*2958465))=2958465,"",SUMPRODUCT(MIN((Jobs!$G$5:$G$604=A155)*(Jobs!$B$5:$B$604&gt;=TodayDate)*(Jobs!$P$5:$P$604&lt;&gt;"Cancelled")*Jobs!$B$5:$B$604+(1-(Jobs!$G$5:$G$604=A155)*(Jobs!$B$5:$B$604&gt;=TodayDate)*(Jobs!$P$5:$P$604&lt;&gt;"Cancelled"))*2958465))))</f>
        <v>0</v>
      </c>
      <c r="AD155" s="21">
        <f>IF(A155="","",SUMIFS(Invoices!$V$5:$V$404,Invoices!$D$5:$D$404,A155))</f>
        <v>0</v>
      </c>
      <c r="AE155" s="21">
        <f>IF(A155="","",SUMIFS(Invoices!$W$5:$W$404,Invoices!$D$5:$D$404,A155))</f>
        <v>0</v>
      </c>
      <c r="AF155" s="21">
        <f>IF(A155="","",AD155-AE155)</f>
        <v>0</v>
      </c>
      <c r="AG155" s="21">
        <f>IF(OR(A155="",Y155=0),"",AD155/Y155)</f>
        <v>0</v>
      </c>
      <c r="AH155" s="21">
        <f>IF(A155="","",SUMIFS('Job Costing'!$U$5:$U$604,'Job Costing'!$D$5:$D$604,A155))</f>
        <v>0</v>
      </c>
      <c r="AI155" s="38">
        <f>IF(OR(A155="",AD155=0),"",AH155/AD155)</f>
        <v>0</v>
      </c>
      <c r="AJ155" s="21">
        <f>IF(OR(A155="",K155="",AG155=""),"",AG155*IFERROR(INDEX(FreqPerYear,MATCH(K155,FreqNames,0)),1))</f>
        <v>0</v>
      </c>
      <c r="AK155" s="34">
        <f>IF(A155="","",IFERROR(AVERAGEIFS(Jobs!$AA$5:$AA$604,Jobs!$G$5:$G$604,A155,Jobs!$AA$5:$AA$604,"&gt;0"),""))</f>
        <v>0</v>
      </c>
      <c r="AL155" s="31">
        <f>IF(A155="","",COUNTIFS(Complaints!$D$5:$D$84,A155))</f>
        <v>0</v>
      </c>
      <c r="AM155" s="31">
        <f>IF(B155="","",COUNTIFS($AD$5:$AD$204,"&gt;"&amp;AD155)+COUNTIFS($AD$5:AD155,AD155))</f>
        <v>0</v>
      </c>
      <c r="AN155" s="31">
        <f>IF(B155="","",COUNTIFS($AH$5:$AH$204,"&gt;"&amp;AH155)+COUNTIFS($AH$5:AH155,AH155))</f>
        <v>0</v>
      </c>
      <c r="AO155" s="31">
        <f>IF(B155="","",COUNTIFS($AJ$5:$AJ$204,"&gt;"&amp;AJ155)+COUNTIFS($AJ$5:AJ155,AJ155))</f>
        <v>0</v>
      </c>
      <c r="AP155" s="39">
        <f>IF(B155="","",IF(H155="Lost","Lost",IF(H155="Inactive","Dormant",IF(AA155="","Dormant",IF(AB155&gt;InactiveClientDays*2,"Dormant",IF(AB155&gt;InactiveClientDays,"At risk",IF(AC155="","Slipping",IF(Y155&gt;=10,"Loyal","Steady"))))))))</f>
        <v>0</v>
      </c>
      <c r="AQ155" s="34">
        <f>IF(OR(B155="",AP155="Lost",AP155="Dormant"),"",IF(OR(AP155="At risk",AP155="Slipping"),IF(AB155="",999,AB155),""))</f>
        <v>0</v>
      </c>
      <c r="AR155" s="31">
        <f>IF(AQ155="","",COUNTIFS($AQ$5:$AQ$204,"&gt;"&amp;AQ155)+COUNTIFS($AQ$5:AQ155,AQ155))</f>
        <v>0</v>
      </c>
      <c r="AS155" s="39">
        <f>IF(B155="","",IF(AF155&gt;0.5,"Chase - "&amp;TEXT(AF155,"0")&amp;" owing",IF(AND(H155&lt;&gt;"Lost",H155&lt;&gt;"Inactive",H155&lt;&gt;"Paused",AC155="",K155&lt;&gt;"One-off"),"Book - nothing in the diary",IF(AND(S155&lt;&gt;"",S155-TodayDate&lt;=RenewalWarningDays,S155&gt;=TodayDate),"Due - contract renews soon",IF(AP155="At risk","Call - going quiet",IF(AL155&gt;=2,"Check - complaints logged",IF(AND(AI155&lt;&gt;"",AI155&lt;MarginFloor,Y155&gt;0),"Check - thin margin","OK")))))))</f>
        <v>0</v>
      </c>
    </row>
    <row r="156" spans="1:45">
      <c r="A156" s="43">
        <f>IF(B156="","",ClientPrefix&amp;TEXT(ROW()-4,"0000"))</f>
        <v>0</v>
      </c>
      <c r="W156" s="31">
        <f>IF(A156="","",COUNTIFS(Properties!$C$5:$C$254,A156))</f>
        <v>0</v>
      </c>
      <c r="X156" s="31">
        <f>IF(A156="","",COUNTIFS(Jobs!$G$5:$G$604,A156))</f>
        <v>0</v>
      </c>
      <c r="Y156" s="31">
        <f>IF(A156="","",COUNTIFS(Jobs!$G$5:$G$604,A156,Jobs!$P$5:$P$604,"Completed")+COUNTIFS(Jobs!$G$5:$G$604,A156,Jobs!$P$5:$P$604,"Invoiced"))</f>
        <v>0</v>
      </c>
      <c r="Z156" s="31">
        <f>IF(A156="","",COUNTIFS(Jobs!$G$5:$G$604,A156,Jobs!$P$5:$P$604,"Cancelled")+COUNTIFS(Jobs!$G$5:$G$604,A156,Jobs!$P$5:$P$604,"No access"))</f>
        <v>0</v>
      </c>
      <c r="AA156" s="18">
        <f>IF(A156="","",IF(SUMPRODUCT(MAX((Jobs!$G$5:$G$604=A156)*((Jobs!$P$5:$P$604="Completed")+(Jobs!$P$5:$P$604="Invoiced"))*Jobs!$B$5:$B$604))=0,"",SUMPRODUCT(MAX((Jobs!$G$5:$G$604=A156)*((Jobs!$P$5:$P$604="Completed")+(Jobs!$P$5:$P$604="Invoiced"))*Jobs!$B$5:$B$604))))</f>
        <v>0</v>
      </c>
      <c r="AB156" s="31">
        <f>IF(AA156="","",TodayDate-AA156)</f>
        <v>0</v>
      </c>
      <c r="AC156" s="18">
        <f>IF(A156="","",IF(SUMPRODUCT(MIN((Jobs!$G$5:$G$604=A156)*(Jobs!$B$5:$B$604&gt;=TodayDate)*(Jobs!$P$5:$P$604&lt;&gt;"Cancelled")*Jobs!$B$5:$B$604+(1-(Jobs!$G$5:$G$604=A156)*(Jobs!$B$5:$B$604&gt;=TodayDate)*(Jobs!$P$5:$P$604&lt;&gt;"Cancelled"))*2958465))=2958465,"",SUMPRODUCT(MIN((Jobs!$G$5:$G$604=A156)*(Jobs!$B$5:$B$604&gt;=TodayDate)*(Jobs!$P$5:$P$604&lt;&gt;"Cancelled")*Jobs!$B$5:$B$604+(1-(Jobs!$G$5:$G$604=A156)*(Jobs!$B$5:$B$604&gt;=TodayDate)*(Jobs!$P$5:$P$604&lt;&gt;"Cancelled"))*2958465))))</f>
        <v>0</v>
      </c>
      <c r="AD156" s="21">
        <f>IF(A156="","",SUMIFS(Invoices!$V$5:$V$404,Invoices!$D$5:$D$404,A156))</f>
        <v>0</v>
      </c>
      <c r="AE156" s="21">
        <f>IF(A156="","",SUMIFS(Invoices!$W$5:$W$404,Invoices!$D$5:$D$404,A156))</f>
        <v>0</v>
      </c>
      <c r="AF156" s="21">
        <f>IF(A156="","",AD156-AE156)</f>
        <v>0</v>
      </c>
      <c r="AG156" s="21">
        <f>IF(OR(A156="",Y156=0),"",AD156/Y156)</f>
        <v>0</v>
      </c>
      <c r="AH156" s="21">
        <f>IF(A156="","",SUMIFS('Job Costing'!$U$5:$U$604,'Job Costing'!$D$5:$D$604,A156))</f>
        <v>0</v>
      </c>
      <c r="AI156" s="38">
        <f>IF(OR(A156="",AD156=0),"",AH156/AD156)</f>
        <v>0</v>
      </c>
      <c r="AJ156" s="21">
        <f>IF(OR(A156="",K156="",AG156=""),"",AG156*IFERROR(INDEX(FreqPerYear,MATCH(K156,FreqNames,0)),1))</f>
        <v>0</v>
      </c>
      <c r="AK156" s="34">
        <f>IF(A156="","",IFERROR(AVERAGEIFS(Jobs!$AA$5:$AA$604,Jobs!$G$5:$G$604,A156,Jobs!$AA$5:$AA$604,"&gt;0"),""))</f>
        <v>0</v>
      </c>
      <c r="AL156" s="31">
        <f>IF(A156="","",COUNTIFS(Complaints!$D$5:$D$84,A156))</f>
        <v>0</v>
      </c>
      <c r="AM156" s="31">
        <f>IF(B156="","",COUNTIFS($AD$5:$AD$204,"&gt;"&amp;AD156)+COUNTIFS($AD$5:AD156,AD156))</f>
        <v>0</v>
      </c>
      <c r="AN156" s="31">
        <f>IF(B156="","",COUNTIFS($AH$5:$AH$204,"&gt;"&amp;AH156)+COUNTIFS($AH$5:AH156,AH156))</f>
        <v>0</v>
      </c>
      <c r="AO156" s="31">
        <f>IF(B156="","",COUNTIFS($AJ$5:$AJ$204,"&gt;"&amp;AJ156)+COUNTIFS($AJ$5:AJ156,AJ156))</f>
        <v>0</v>
      </c>
      <c r="AP156" s="39">
        <f>IF(B156="","",IF(H156="Lost","Lost",IF(H156="Inactive","Dormant",IF(AA156="","Dormant",IF(AB156&gt;InactiveClientDays*2,"Dormant",IF(AB156&gt;InactiveClientDays,"At risk",IF(AC156="","Slipping",IF(Y156&gt;=10,"Loyal","Steady"))))))))</f>
        <v>0</v>
      </c>
      <c r="AQ156" s="34">
        <f>IF(OR(B156="",AP156="Lost",AP156="Dormant"),"",IF(OR(AP156="At risk",AP156="Slipping"),IF(AB156="",999,AB156),""))</f>
        <v>0</v>
      </c>
      <c r="AR156" s="31">
        <f>IF(AQ156="","",COUNTIFS($AQ$5:$AQ$204,"&gt;"&amp;AQ156)+COUNTIFS($AQ$5:AQ156,AQ156))</f>
        <v>0</v>
      </c>
      <c r="AS156" s="39">
        <f>IF(B156="","",IF(AF156&gt;0.5,"Chase - "&amp;TEXT(AF156,"0")&amp;" owing",IF(AND(H156&lt;&gt;"Lost",H156&lt;&gt;"Inactive",H156&lt;&gt;"Paused",AC156="",K156&lt;&gt;"One-off"),"Book - nothing in the diary",IF(AND(S156&lt;&gt;"",S156-TodayDate&lt;=RenewalWarningDays,S156&gt;=TodayDate),"Due - contract renews soon",IF(AP156="At risk","Call - going quiet",IF(AL156&gt;=2,"Check - complaints logged",IF(AND(AI156&lt;&gt;"",AI156&lt;MarginFloor,Y156&gt;0),"Check - thin margin","OK")))))))</f>
        <v>0</v>
      </c>
    </row>
    <row r="157" spans="1:45">
      <c r="A157" s="43">
        <f>IF(B157="","",ClientPrefix&amp;TEXT(ROW()-4,"0000"))</f>
        <v>0</v>
      </c>
      <c r="W157" s="31">
        <f>IF(A157="","",COUNTIFS(Properties!$C$5:$C$254,A157))</f>
        <v>0</v>
      </c>
      <c r="X157" s="31">
        <f>IF(A157="","",COUNTIFS(Jobs!$G$5:$G$604,A157))</f>
        <v>0</v>
      </c>
      <c r="Y157" s="31">
        <f>IF(A157="","",COUNTIFS(Jobs!$G$5:$G$604,A157,Jobs!$P$5:$P$604,"Completed")+COUNTIFS(Jobs!$G$5:$G$604,A157,Jobs!$P$5:$P$604,"Invoiced"))</f>
        <v>0</v>
      </c>
      <c r="Z157" s="31">
        <f>IF(A157="","",COUNTIFS(Jobs!$G$5:$G$604,A157,Jobs!$P$5:$P$604,"Cancelled")+COUNTIFS(Jobs!$G$5:$G$604,A157,Jobs!$P$5:$P$604,"No access"))</f>
        <v>0</v>
      </c>
      <c r="AA157" s="18">
        <f>IF(A157="","",IF(SUMPRODUCT(MAX((Jobs!$G$5:$G$604=A157)*((Jobs!$P$5:$P$604="Completed")+(Jobs!$P$5:$P$604="Invoiced"))*Jobs!$B$5:$B$604))=0,"",SUMPRODUCT(MAX((Jobs!$G$5:$G$604=A157)*((Jobs!$P$5:$P$604="Completed")+(Jobs!$P$5:$P$604="Invoiced"))*Jobs!$B$5:$B$604))))</f>
        <v>0</v>
      </c>
      <c r="AB157" s="31">
        <f>IF(AA157="","",TodayDate-AA157)</f>
        <v>0</v>
      </c>
      <c r="AC157" s="18">
        <f>IF(A157="","",IF(SUMPRODUCT(MIN((Jobs!$G$5:$G$604=A157)*(Jobs!$B$5:$B$604&gt;=TodayDate)*(Jobs!$P$5:$P$604&lt;&gt;"Cancelled")*Jobs!$B$5:$B$604+(1-(Jobs!$G$5:$G$604=A157)*(Jobs!$B$5:$B$604&gt;=TodayDate)*(Jobs!$P$5:$P$604&lt;&gt;"Cancelled"))*2958465))=2958465,"",SUMPRODUCT(MIN((Jobs!$G$5:$G$604=A157)*(Jobs!$B$5:$B$604&gt;=TodayDate)*(Jobs!$P$5:$P$604&lt;&gt;"Cancelled")*Jobs!$B$5:$B$604+(1-(Jobs!$G$5:$G$604=A157)*(Jobs!$B$5:$B$604&gt;=TodayDate)*(Jobs!$P$5:$P$604&lt;&gt;"Cancelled"))*2958465))))</f>
        <v>0</v>
      </c>
      <c r="AD157" s="21">
        <f>IF(A157="","",SUMIFS(Invoices!$V$5:$V$404,Invoices!$D$5:$D$404,A157))</f>
        <v>0</v>
      </c>
      <c r="AE157" s="21">
        <f>IF(A157="","",SUMIFS(Invoices!$W$5:$W$404,Invoices!$D$5:$D$404,A157))</f>
        <v>0</v>
      </c>
      <c r="AF157" s="21">
        <f>IF(A157="","",AD157-AE157)</f>
        <v>0</v>
      </c>
      <c r="AG157" s="21">
        <f>IF(OR(A157="",Y157=0),"",AD157/Y157)</f>
        <v>0</v>
      </c>
      <c r="AH157" s="21">
        <f>IF(A157="","",SUMIFS('Job Costing'!$U$5:$U$604,'Job Costing'!$D$5:$D$604,A157))</f>
        <v>0</v>
      </c>
      <c r="AI157" s="38">
        <f>IF(OR(A157="",AD157=0),"",AH157/AD157)</f>
        <v>0</v>
      </c>
      <c r="AJ157" s="21">
        <f>IF(OR(A157="",K157="",AG157=""),"",AG157*IFERROR(INDEX(FreqPerYear,MATCH(K157,FreqNames,0)),1))</f>
        <v>0</v>
      </c>
      <c r="AK157" s="34">
        <f>IF(A157="","",IFERROR(AVERAGEIFS(Jobs!$AA$5:$AA$604,Jobs!$G$5:$G$604,A157,Jobs!$AA$5:$AA$604,"&gt;0"),""))</f>
        <v>0</v>
      </c>
      <c r="AL157" s="31">
        <f>IF(A157="","",COUNTIFS(Complaints!$D$5:$D$84,A157))</f>
        <v>0</v>
      </c>
      <c r="AM157" s="31">
        <f>IF(B157="","",COUNTIFS($AD$5:$AD$204,"&gt;"&amp;AD157)+COUNTIFS($AD$5:AD157,AD157))</f>
        <v>0</v>
      </c>
      <c r="AN157" s="31">
        <f>IF(B157="","",COUNTIFS($AH$5:$AH$204,"&gt;"&amp;AH157)+COUNTIFS($AH$5:AH157,AH157))</f>
        <v>0</v>
      </c>
      <c r="AO157" s="31">
        <f>IF(B157="","",COUNTIFS($AJ$5:$AJ$204,"&gt;"&amp;AJ157)+COUNTIFS($AJ$5:AJ157,AJ157))</f>
        <v>0</v>
      </c>
      <c r="AP157" s="39">
        <f>IF(B157="","",IF(H157="Lost","Lost",IF(H157="Inactive","Dormant",IF(AA157="","Dormant",IF(AB157&gt;InactiveClientDays*2,"Dormant",IF(AB157&gt;InactiveClientDays,"At risk",IF(AC157="","Slipping",IF(Y157&gt;=10,"Loyal","Steady"))))))))</f>
        <v>0</v>
      </c>
      <c r="AQ157" s="34">
        <f>IF(OR(B157="",AP157="Lost",AP157="Dormant"),"",IF(OR(AP157="At risk",AP157="Slipping"),IF(AB157="",999,AB157),""))</f>
        <v>0</v>
      </c>
      <c r="AR157" s="31">
        <f>IF(AQ157="","",COUNTIFS($AQ$5:$AQ$204,"&gt;"&amp;AQ157)+COUNTIFS($AQ$5:AQ157,AQ157))</f>
        <v>0</v>
      </c>
      <c r="AS157" s="39">
        <f>IF(B157="","",IF(AF157&gt;0.5,"Chase - "&amp;TEXT(AF157,"0")&amp;" owing",IF(AND(H157&lt;&gt;"Lost",H157&lt;&gt;"Inactive",H157&lt;&gt;"Paused",AC157="",K157&lt;&gt;"One-off"),"Book - nothing in the diary",IF(AND(S157&lt;&gt;"",S157-TodayDate&lt;=RenewalWarningDays,S157&gt;=TodayDate),"Due - contract renews soon",IF(AP157="At risk","Call - going quiet",IF(AL157&gt;=2,"Check - complaints logged",IF(AND(AI157&lt;&gt;"",AI157&lt;MarginFloor,Y157&gt;0),"Check - thin margin","OK")))))))</f>
        <v>0</v>
      </c>
    </row>
    <row r="158" spans="1:45">
      <c r="A158" s="43">
        <f>IF(B158="","",ClientPrefix&amp;TEXT(ROW()-4,"0000"))</f>
        <v>0</v>
      </c>
      <c r="W158" s="31">
        <f>IF(A158="","",COUNTIFS(Properties!$C$5:$C$254,A158))</f>
        <v>0</v>
      </c>
      <c r="X158" s="31">
        <f>IF(A158="","",COUNTIFS(Jobs!$G$5:$G$604,A158))</f>
        <v>0</v>
      </c>
      <c r="Y158" s="31">
        <f>IF(A158="","",COUNTIFS(Jobs!$G$5:$G$604,A158,Jobs!$P$5:$P$604,"Completed")+COUNTIFS(Jobs!$G$5:$G$604,A158,Jobs!$P$5:$P$604,"Invoiced"))</f>
        <v>0</v>
      </c>
      <c r="Z158" s="31">
        <f>IF(A158="","",COUNTIFS(Jobs!$G$5:$G$604,A158,Jobs!$P$5:$P$604,"Cancelled")+COUNTIFS(Jobs!$G$5:$G$604,A158,Jobs!$P$5:$P$604,"No access"))</f>
        <v>0</v>
      </c>
      <c r="AA158" s="18">
        <f>IF(A158="","",IF(SUMPRODUCT(MAX((Jobs!$G$5:$G$604=A158)*((Jobs!$P$5:$P$604="Completed")+(Jobs!$P$5:$P$604="Invoiced"))*Jobs!$B$5:$B$604))=0,"",SUMPRODUCT(MAX((Jobs!$G$5:$G$604=A158)*((Jobs!$P$5:$P$604="Completed")+(Jobs!$P$5:$P$604="Invoiced"))*Jobs!$B$5:$B$604))))</f>
        <v>0</v>
      </c>
      <c r="AB158" s="31">
        <f>IF(AA158="","",TodayDate-AA158)</f>
        <v>0</v>
      </c>
      <c r="AC158" s="18">
        <f>IF(A158="","",IF(SUMPRODUCT(MIN((Jobs!$G$5:$G$604=A158)*(Jobs!$B$5:$B$604&gt;=TodayDate)*(Jobs!$P$5:$P$604&lt;&gt;"Cancelled")*Jobs!$B$5:$B$604+(1-(Jobs!$G$5:$G$604=A158)*(Jobs!$B$5:$B$604&gt;=TodayDate)*(Jobs!$P$5:$P$604&lt;&gt;"Cancelled"))*2958465))=2958465,"",SUMPRODUCT(MIN((Jobs!$G$5:$G$604=A158)*(Jobs!$B$5:$B$604&gt;=TodayDate)*(Jobs!$P$5:$P$604&lt;&gt;"Cancelled")*Jobs!$B$5:$B$604+(1-(Jobs!$G$5:$G$604=A158)*(Jobs!$B$5:$B$604&gt;=TodayDate)*(Jobs!$P$5:$P$604&lt;&gt;"Cancelled"))*2958465))))</f>
        <v>0</v>
      </c>
      <c r="AD158" s="21">
        <f>IF(A158="","",SUMIFS(Invoices!$V$5:$V$404,Invoices!$D$5:$D$404,A158))</f>
        <v>0</v>
      </c>
      <c r="AE158" s="21">
        <f>IF(A158="","",SUMIFS(Invoices!$W$5:$W$404,Invoices!$D$5:$D$404,A158))</f>
        <v>0</v>
      </c>
      <c r="AF158" s="21">
        <f>IF(A158="","",AD158-AE158)</f>
        <v>0</v>
      </c>
      <c r="AG158" s="21">
        <f>IF(OR(A158="",Y158=0),"",AD158/Y158)</f>
        <v>0</v>
      </c>
      <c r="AH158" s="21">
        <f>IF(A158="","",SUMIFS('Job Costing'!$U$5:$U$604,'Job Costing'!$D$5:$D$604,A158))</f>
        <v>0</v>
      </c>
      <c r="AI158" s="38">
        <f>IF(OR(A158="",AD158=0),"",AH158/AD158)</f>
        <v>0</v>
      </c>
      <c r="AJ158" s="21">
        <f>IF(OR(A158="",K158="",AG158=""),"",AG158*IFERROR(INDEX(FreqPerYear,MATCH(K158,FreqNames,0)),1))</f>
        <v>0</v>
      </c>
      <c r="AK158" s="34">
        <f>IF(A158="","",IFERROR(AVERAGEIFS(Jobs!$AA$5:$AA$604,Jobs!$G$5:$G$604,A158,Jobs!$AA$5:$AA$604,"&gt;0"),""))</f>
        <v>0</v>
      </c>
      <c r="AL158" s="31">
        <f>IF(A158="","",COUNTIFS(Complaints!$D$5:$D$84,A158))</f>
        <v>0</v>
      </c>
      <c r="AM158" s="31">
        <f>IF(B158="","",COUNTIFS($AD$5:$AD$204,"&gt;"&amp;AD158)+COUNTIFS($AD$5:AD158,AD158))</f>
        <v>0</v>
      </c>
      <c r="AN158" s="31">
        <f>IF(B158="","",COUNTIFS($AH$5:$AH$204,"&gt;"&amp;AH158)+COUNTIFS($AH$5:AH158,AH158))</f>
        <v>0</v>
      </c>
      <c r="AO158" s="31">
        <f>IF(B158="","",COUNTIFS($AJ$5:$AJ$204,"&gt;"&amp;AJ158)+COUNTIFS($AJ$5:AJ158,AJ158))</f>
        <v>0</v>
      </c>
      <c r="AP158" s="39">
        <f>IF(B158="","",IF(H158="Lost","Lost",IF(H158="Inactive","Dormant",IF(AA158="","Dormant",IF(AB158&gt;InactiveClientDays*2,"Dormant",IF(AB158&gt;InactiveClientDays,"At risk",IF(AC158="","Slipping",IF(Y158&gt;=10,"Loyal","Steady"))))))))</f>
        <v>0</v>
      </c>
      <c r="AQ158" s="34">
        <f>IF(OR(B158="",AP158="Lost",AP158="Dormant"),"",IF(OR(AP158="At risk",AP158="Slipping"),IF(AB158="",999,AB158),""))</f>
        <v>0</v>
      </c>
      <c r="AR158" s="31">
        <f>IF(AQ158="","",COUNTIFS($AQ$5:$AQ$204,"&gt;"&amp;AQ158)+COUNTIFS($AQ$5:AQ158,AQ158))</f>
        <v>0</v>
      </c>
      <c r="AS158" s="39">
        <f>IF(B158="","",IF(AF158&gt;0.5,"Chase - "&amp;TEXT(AF158,"0")&amp;" owing",IF(AND(H158&lt;&gt;"Lost",H158&lt;&gt;"Inactive",H158&lt;&gt;"Paused",AC158="",K158&lt;&gt;"One-off"),"Book - nothing in the diary",IF(AND(S158&lt;&gt;"",S158-TodayDate&lt;=RenewalWarningDays,S158&gt;=TodayDate),"Due - contract renews soon",IF(AP158="At risk","Call - going quiet",IF(AL158&gt;=2,"Check - complaints logged",IF(AND(AI158&lt;&gt;"",AI158&lt;MarginFloor,Y158&gt;0),"Check - thin margin","OK")))))))</f>
        <v>0</v>
      </c>
    </row>
    <row r="159" spans="1:45">
      <c r="A159" s="43">
        <f>IF(B159="","",ClientPrefix&amp;TEXT(ROW()-4,"0000"))</f>
        <v>0</v>
      </c>
      <c r="W159" s="31">
        <f>IF(A159="","",COUNTIFS(Properties!$C$5:$C$254,A159))</f>
        <v>0</v>
      </c>
      <c r="X159" s="31">
        <f>IF(A159="","",COUNTIFS(Jobs!$G$5:$G$604,A159))</f>
        <v>0</v>
      </c>
      <c r="Y159" s="31">
        <f>IF(A159="","",COUNTIFS(Jobs!$G$5:$G$604,A159,Jobs!$P$5:$P$604,"Completed")+COUNTIFS(Jobs!$G$5:$G$604,A159,Jobs!$P$5:$P$604,"Invoiced"))</f>
        <v>0</v>
      </c>
      <c r="Z159" s="31">
        <f>IF(A159="","",COUNTIFS(Jobs!$G$5:$G$604,A159,Jobs!$P$5:$P$604,"Cancelled")+COUNTIFS(Jobs!$G$5:$G$604,A159,Jobs!$P$5:$P$604,"No access"))</f>
        <v>0</v>
      </c>
      <c r="AA159" s="18">
        <f>IF(A159="","",IF(SUMPRODUCT(MAX((Jobs!$G$5:$G$604=A159)*((Jobs!$P$5:$P$604="Completed")+(Jobs!$P$5:$P$604="Invoiced"))*Jobs!$B$5:$B$604))=0,"",SUMPRODUCT(MAX((Jobs!$G$5:$G$604=A159)*((Jobs!$P$5:$P$604="Completed")+(Jobs!$P$5:$P$604="Invoiced"))*Jobs!$B$5:$B$604))))</f>
        <v>0</v>
      </c>
      <c r="AB159" s="31">
        <f>IF(AA159="","",TodayDate-AA159)</f>
        <v>0</v>
      </c>
      <c r="AC159" s="18">
        <f>IF(A159="","",IF(SUMPRODUCT(MIN((Jobs!$G$5:$G$604=A159)*(Jobs!$B$5:$B$604&gt;=TodayDate)*(Jobs!$P$5:$P$604&lt;&gt;"Cancelled")*Jobs!$B$5:$B$604+(1-(Jobs!$G$5:$G$604=A159)*(Jobs!$B$5:$B$604&gt;=TodayDate)*(Jobs!$P$5:$P$604&lt;&gt;"Cancelled"))*2958465))=2958465,"",SUMPRODUCT(MIN((Jobs!$G$5:$G$604=A159)*(Jobs!$B$5:$B$604&gt;=TodayDate)*(Jobs!$P$5:$P$604&lt;&gt;"Cancelled")*Jobs!$B$5:$B$604+(1-(Jobs!$G$5:$G$604=A159)*(Jobs!$B$5:$B$604&gt;=TodayDate)*(Jobs!$P$5:$P$604&lt;&gt;"Cancelled"))*2958465))))</f>
        <v>0</v>
      </c>
      <c r="AD159" s="21">
        <f>IF(A159="","",SUMIFS(Invoices!$V$5:$V$404,Invoices!$D$5:$D$404,A159))</f>
        <v>0</v>
      </c>
      <c r="AE159" s="21">
        <f>IF(A159="","",SUMIFS(Invoices!$W$5:$W$404,Invoices!$D$5:$D$404,A159))</f>
        <v>0</v>
      </c>
      <c r="AF159" s="21">
        <f>IF(A159="","",AD159-AE159)</f>
        <v>0</v>
      </c>
      <c r="AG159" s="21">
        <f>IF(OR(A159="",Y159=0),"",AD159/Y159)</f>
        <v>0</v>
      </c>
      <c r="AH159" s="21">
        <f>IF(A159="","",SUMIFS('Job Costing'!$U$5:$U$604,'Job Costing'!$D$5:$D$604,A159))</f>
        <v>0</v>
      </c>
      <c r="AI159" s="38">
        <f>IF(OR(A159="",AD159=0),"",AH159/AD159)</f>
        <v>0</v>
      </c>
      <c r="AJ159" s="21">
        <f>IF(OR(A159="",K159="",AG159=""),"",AG159*IFERROR(INDEX(FreqPerYear,MATCH(K159,FreqNames,0)),1))</f>
        <v>0</v>
      </c>
      <c r="AK159" s="34">
        <f>IF(A159="","",IFERROR(AVERAGEIFS(Jobs!$AA$5:$AA$604,Jobs!$G$5:$G$604,A159,Jobs!$AA$5:$AA$604,"&gt;0"),""))</f>
        <v>0</v>
      </c>
      <c r="AL159" s="31">
        <f>IF(A159="","",COUNTIFS(Complaints!$D$5:$D$84,A159))</f>
        <v>0</v>
      </c>
      <c r="AM159" s="31">
        <f>IF(B159="","",COUNTIFS($AD$5:$AD$204,"&gt;"&amp;AD159)+COUNTIFS($AD$5:AD159,AD159))</f>
        <v>0</v>
      </c>
      <c r="AN159" s="31">
        <f>IF(B159="","",COUNTIFS($AH$5:$AH$204,"&gt;"&amp;AH159)+COUNTIFS($AH$5:AH159,AH159))</f>
        <v>0</v>
      </c>
      <c r="AO159" s="31">
        <f>IF(B159="","",COUNTIFS($AJ$5:$AJ$204,"&gt;"&amp;AJ159)+COUNTIFS($AJ$5:AJ159,AJ159))</f>
        <v>0</v>
      </c>
      <c r="AP159" s="39">
        <f>IF(B159="","",IF(H159="Lost","Lost",IF(H159="Inactive","Dormant",IF(AA159="","Dormant",IF(AB159&gt;InactiveClientDays*2,"Dormant",IF(AB159&gt;InactiveClientDays,"At risk",IF(AC159="","Slipping",IF(Y159&gt;=10,"Loyal","Steady"))))))))</f>
        <v>0</v>
      </c>
      <c r="AQ159" s="34">
        <f>IF(OR(B159="",AP159="Lost",AP159="Dormant"),"",IF(OR(AP159="At risk",AP159="Slipping"),IF(AB159="",999,AB159),""))</f>
        <v>0</v>
      </c>
      <c r="AR159" s="31">
        <f>IF(AQ159="","",COUNTIFS($AQ$5:$AQ$204,"&gt;"&amp;AQ159)+COUNTIFS($AQ$5:AQ159,AQ159))</f>
        <v>0</v>
      </c>
      <c r="AS159" s="39">
        <f>IF(B159="","",IF(AF159&gt;0.5,"Chase - "&amp;TEXT(AF159,"0")&amp;" owing",IF(AND(H159&lt;&gt;"Lost",H159&lt;&gt;"Inactive",H159&lt;&gt;"Paused",AC159="",K159&lt;&gt;"One-off"),"Book - nothing in the diary",IF(AND(S159&lt;&gt;"",S159-TodayDate&lt;=RenewalWarningDays,S159&gt;=TodayDate),"Due - contract renews soon",IF(AP159="At risk","Call - going quiet",IF(AL159&gt;=2,"Check - complaints logged",IF(AND(AI159&lt;&gt;"",AI159&lt;MarginFloor,Y159&gt;0),"Check - thin margin","OK")))))))</f>
        <v>0</v>
      </c>
    </row>
    <row r="160" spans="1:45">
      <c r="A160" s="43">
        <f>IF(B160="","",ClientPrefix&amp;TEXT(ROW()-4,"0000"))</f>
        <v>0</v>
      </c>
      <c r="W160" s="31">
        <f>IF(A160="","",COUNTIFS(Properties!$C$5:$C$254,A160))</f>
        <v>0</v>
      </c>
      <c r="X160" s="31">
        <f>IF(A160="","",COUNTIFS(Jobs!$G$5:$G$604,A160))</f>
        <v>0</v>
      </c>
      <c r="Y160" s="31">
        <f>IF(A160="","",COUNTIFS(Jobs!$G$5:$G$604,A160,Jobs!$P$5:$P$604,"Completed")+COUNTIFS(Jobs!$G$5:$G$604,A160,Jobs!$P$5:$P$604,"Invoiced"))</f>
        <v>0</v>
      </c>
      <c r="Z160" s="31">
        <f>IF(A160="","",COUNTIFS(Jobs!$G$5:$G$604,A160,Jobs!$P$5:$P$604,"Cancelled")+COUNTIFS(Jobs!$G$5:$G$604,A160,Jobs!$P$5:$P$604,"No access"))</f>
        <v>0</v>
      </c>
      <c r="AA160" s="18">
        <f>IF(A160="","",IF(SUMPRODUCT(MAX((Jobs!$G$5:$G$604=A160)*((Jobs!$P$5:$P$604="Completed")+(Jobs!$P$5:$P$604="Invoiced"))*Jobs!$B$5:$B$604))=0,"",SUMPRODUCT(MAX((Jobs!$G$5:$G$604=A160)*((Jobs!$P$5:$P$604="Completed")+(Jobs!$P$5:$P$604="Invoiced"))*Jobs!$B$5:$B$604))))</f>
        <v>0</v>
      </c>
      <c r="AB160" s="31">
        <f>IF(AA160="","",TodayDate-AA160)</f>
        <v>0</v>
      </c>
      <c r="AC160" s="18">
        <f>IF(A160="","",IF(SUMPRODUCT(MIN((Jobs!$G$5:$G$604=A160)*(Jobs!$B$5:$B$604&gt;=TodayDate)*(Jobs!$P$5:$P$604&lt;&gt;"Cancelled")*Jobs!$B$5:$B$604+(1-(Jobs!$G$5:$G$604=A160)*(Jobs!$B$5:$B$604&gt;=TodayDate)*(Jobs!$P$5:$P$604&lt;&gt;"Cancelled"))*2958465))=2958465,"",SUMPRODUCT(MIN((Jobs!$G$5:$G$604=A160)*(Jobs!$B$5:$B$604&gt;=TodayDate)*(Jobs!$P$5:$P$604&lt;&gt;"Cancelled")*Jobs!$B$5:$B$604+(1-(Jobs!$G$5:$G$604=A160)*(Jobs!$B$5:$B$604&gt;=TodayDate)*(Jobs!$P$5:$P$604&lt;&gt;"Cancelled"))*2958465))))</f>
        <v>0</v>
      </c>
      <c r="AD160" s="21">
        <f>IF(A160="","",SUMIFS(Invoices!$V$5:$V$404,Invoices!$D$5:$D$404,A160))</f>
        <v>0</v>
      </c>
      <c r="AE160" s="21">
        <f>IF(A160="","",SUMIFS(Invoices!$W$5:$W$404,Invoices!$D$5:$D$404,A160))</f>
        <v>0</v>
      </c>
      <c r="AF160" s="21">
        <f>IF(A160="","",AD160-AE160)</f>
        <v>0</v>
      </c>
      <c r="AG160" s="21">
        <f>IF(OR(A160="",Y160=0),"",AD160/Y160)</f>
        <v>0</v>
      </c>
      <c r="AH160" s="21">
        <f>IF(A160="","",SUMIFS('Job Costing'!$U$5:$U$604,'Job Costing'!$D$5:$D$604,A160))</f>
        <v>0</v>
      </c>
      <c r="AI160" s="38">
        <f>IF(OR(A160="",AD160=0),"",AH160/AD160)</f>
        <v>0</v>
      </c>
      <c r="AJ160" s="21">
        <f>IF(OR(A160="",K160="",AG160=""),"",AG160*IFERROR(INDEX(FreqPerYear,MATCH(K160,FreqNames,0)),1))</f>
        <v>0</v>
      </c>
      <c r="AK160" s="34">
        <f>IF(A160="","",IFERROR(AVERAGEIFS(Jobs!$AA$5:$AA$604,Jobs!$G$5:$G$604,A160,Jobs!$AA$5:$AA$604,"&gt;0"),""))</f>
        <v>0</v>
      </c>
      <c r="AL160" s="31">
        <f>IF(A160="","",COUNTIFS(Complaints!$D$5:$D$84,A160))</f>
        <v>0</v>
      </c>
      <c r="AM160" s="31">
        <f>IF(B160="","",COUNTIFS($AD$5:$AD$204,"&gt;"&amp;AD160)+COUNTIFS($AD$5:AD160,AD160))</f>
        <v>0</v>
      </c>
      <c r="AN160" s="31">
        <f>IF(B160="","",COUNTIFS($AH$5:$AH$204,"&gt;"&amp;AH160)+COUNTIFS($AH$5:AH160,AH160))</f>
        <v>0</v>
      </c>
      <c r="AO160" s="31">
        <f>IF(B160="","",COUNTIFS($AJ$5:$AJ$204,"&gt;"&amp;AJ160)+COUNTIFS($AJ$5:AJ160,AJ160))</f>
        <v>0</v>
      </c>
      <c r="AP160" s="39">
        <f>IF(B160="","",IF(H160="Lost","Lost",IF(H160="Inactive","Dormant",IF(AA160="","Dormant",IF(AB160&gt;InactiveClientDays*2,"Dormant",IF(AB160&gt;InactiveClientDays,"At risk",IF(AC160="","Slipping",IF(Y160&gt;=10,"Loyal","Steady"))))))))</f>
        <v>0</v>
      </c>
      <c r="AQ160" s="34">
        <f>IF(OR(B160="",AP160="Lost",AP160="Dormant"),"",IF(OR(AP160="At risk",AP160="Slipping"),IF(AB160="",999,AB160),""))</f>
        <v>0</v>
      </c>
      <c r="AR160" s="31">
        <f>IF(AQ160="","",COUNTIFS($AQ$5:$AQ$204,"&gt;"&amp;AQ160)+COUNTIFS($AQ$5:AQ160,AQ160))</f>
        <v>0</v>
      </c>
      <c r="AS160" s="39">
        <f>IF(B160="","",IF(AF160&gt;0.5,"Chase - "&amp;TEXT(AF160,"0")&amp;" owing",IF(AND(H160&lt;&gt;"Lost",H160&lt;&gt;"Inactive",H160&lt;&gt;"Paused",AC160="",K160&lt;&gt;"One-off"),"Book - nothing in the diary",IF(AND(S160&lt;&gt;"",S160-TodayDate&lt;=RenewalWarningDays,S160&gt;=TodayDate),"Due - contract renews soon",IF(AP160="At risk","Call - going quiet",IF(AL160&gt;=2,"Check - complaints logged",IF(AND(AI160&lt;&gt;"",AI160&lt;MarginFloor,Y160&gt;0),"Check - thin margin","OK")))))))</f>
        <v>0</v>
      </c>
    </row>
    <row r="161" spans="1:45">
      <c r="A161" s="43">
        <f>IF(B161="","",ClientPrefix&amp;TEXT(ROW()-4,"0000"))</f>
        <v>0</v>
      </c>
      <c r="W161" s="31">
        <f>IF(A161="","",COUNTIFS(Properties!$C$5:$C$254,A161))</f>
        <v>0</v>
      </c>
      <c r="X161" s="31">
        <f>IF(A161="","",COUNTIFS(Jobs!$G$5:$G$604,A161))</f>
        <v>0</v>
      </c>
      <c r="Y161" s="31">
        <f>IF(A161="","",COUNTIFS(Jobs!$G$5:$G$604,A161,Jobs!$P$5:$P$604,"Completed")+COUNTIFS(Jobs!$G$5:$G$604,A161,Jobs!$P$5:$P$604,"Invoiced"))</f>
        <v>0</v>
      </c>
      <c r="Z161" s="31">
        <f>IF(A161="","",COUNTIFS(Jobs!$G$5:$G$604,A161,Jobs!$P$5:$P$604,"Cancelled")+COUNTIFS(Jobs!$G$5:$G$604,A161,Jobs!$P$5:$P$604,"No access"))</f>
        <v>0</v>
      </c>
      <c r="AA161" s="18">
        <f>IF(A161="","",IF(SUMPRODUCT(MAX((Jobs!$G$5:$G$604=A161)*((Jobs!$P$5:$P$604="Completed")+(Jobs!$P$5:$P$604="Invoiced"))*Jobs!$B$5:$B$604))=0,"",SUMPRODUCT(MAX((Jobs!$G$5:$G$604=A161)*((Jobs!$P$5:$P$604="Completed")+(Jobs!$P$5:$P$604="Invoiced"))*Jobs!$B$5:$B$604))))</f>
        <v>0</v>
      </c>
      <c r="AB161" s="31">
        <f>IF(AA161="","",TodayDate-AA161)</f>
        <v>0</v>
      </c>
      <c r="AC161" s="18">
        <f>IF(A161="","",IF(SUMPRODUCT(MIN((Jobs!$G$5:$G$604=A161)*(Jobs!$B$5:$B$604&gt;=TodayDate)*(Jobs!$P$5:$P$604&lt;&gt;"Cancelled")*Jobs!$B$5:$B$604+(1-(Jobs!$G$5:$G$604=A161)*(Jobs!$B$5:$B$604&gt;=TodayDate)*(Jobs!$P$5:$P$604&lt;&gt;"Cancelled"))*2958465))=2958465,"",SUMPRODUCT(MIN((Jobs!$G$5:$G$604=A161)*(Jobs!$B$5:$B$604&gt;=TodayDate)*(Jobs!$P$5:$P$604&lt;&gt;"Cancelled")*Jobs!$B$5:$B$604+(1-(Jobs!$G$5:$G$604=A161)*(Jobs!$B$5:$B$604&gt;=TodayDate)*(Jobs!$P$5:$P$604&lt;&gt;"Cancelled"))*2958465))))</f>
        <v>0</v>
      </c>
      <c r="AD161" s="21">
        <f>IF(A161="","",SUMIFS(Invoices!$V$5:$V$404,Invoices!$D$5:$D$404,A161))</f>
        <v>0</v>
      </c>
      <c r="AE161" s="21">
        <f>IF(A161="","",SUMIFS(Invoices!$W$5:$W$404,Invoices!$D$5:$D$404,A161))</f>
        <v>0</v>
      </c>
      <c r="AF161" s="21">
        <f>IF(A161="","",AD161-AE161)</f>
        <v>0</v>
      </c>
      <c r="AG161" s="21">
        <f>IF(OR(A161="",Y161=0),"",AD161/Y161)</f>
        <v>0</v>
      </c>
      <c r="AH161" s="21">
        <f>IF(A161="","",SUMIFS('Job Costing'!$U$5:$U$604,'Job Costing'!$D$5:$D$604,A161))</f>
        <v>0</v>
      </c>
      <c r="AI161" s="38">
        <f>IF(OR(A161="",AD161=0),"",AH161/AD161)</f>
        <v>0</v>
      </c>
      <c r="AJ161" s="21">
        <f>IF(OR(A161="",K161="",AG161=""),"",AG161*IFERROR(INDEX(FreqPerYear,MATCH(K161,FreqNames,0)),1))</f>
        <v>0</v>
      </c>
      <c r="AK161" s="34">
        <f>IF(A161="","",IFERROR(AVERAGEIFS(Jobs!$AA$5:$AA$604,Jobs!$G$5:$G$604,A161,Jobs!$AA$5:$AA$604,"&gt;0"),""))</f>
        <v>0</v>
      </c>
      <c r="AL161" s="31">
        <f>IF(A161="","",COUNTIFS(Complaints!$D$5:$D$84,A161))</f>
        <v>0</v>
      </c>
      <c r="AM161" s="31">
        <f>IF(B161="","",COUNTIFS($AD$5:$AD$204,"&gt;"&amp;AD161)+COUNTIFS($AD$5:AD161,AD161))</f>
        <v>0</v>
      </c>
      <c r="AN161" s="31">
        <f>IF(B161="","",COUNTIFS($AH$5:$AH$204,"&gt;"&amp;AH161)+COUNTIFS($AH$5:AH161,AH161))</f>
        <v>0</v>
      </c>
      <c r="AO161" s="31">
        <f>IF(B161="","",COUNTIFS($AJ$5:$AJ$204,"&gt;"&amp;AJ161)+COUNTIFS($AJ$5:AJ161,AJ161))</f>
        <v>0</v>
      </c>
      <c r="AP161" s="39">
        <f>IF(B161="","",IF(H161="Lost","Lost",IF(H161="Inactive","Dormant",IF(AA161="","Dormant",IF(AB161&gt;InactiveClientDays*2,"Dormant",IF(AB161&gt;InactiveClientDays,"At risk",IF(AC161="","Slipping",IF(Y161&gt;=10,"Loyal","Steady"))))))))</f>
        <v>0</v>
      </c>
      <c r="AQ161" s="34">
        <f>IF(OR(B161="",AP161="Lost",AP161="Dormant"),"",IF(OR(AP161="At risk",AP161="Slipping"),IF(AB161="",999,AB161),""))</f>
        <v>0</v>
      </c>
      <c r="AR161" s="31">
        <f>IF(AQ161="","",COUNTIFS($AQ$5:$AQ$204,"&gt;"&amp;AQ161)+COUNTIFS($AQ$5:AQ161,AQ161))</f>
        <v>0</v>
      </c>
      <c r="AS161" s="39">
        <f>IF(B161="","",IF(AF161&gt;0.5,"Chase - "&amp;TEXT(AF161,"0")&amp;" owing",IF(AND(H161&lt;&gt;"Lost",H161&lt;&gt;"Inactive",H161&lt;&gt;"Paused",AC161="",K161&lt;&gt;"One-off"),"Book - nothing in the diary",IF(AND(S161&lt;&gt;"",S161-TodayDate&lt;=RenewalWarningDays,S161&gt;=TodayDate),"Due - contract renews soon",IF(AP161="At risk","Call - going quiet",IF(AL161&gt;=2,"Check - complaints logged",IF(AND(AI161&lt;&gt;"",AI161&lt;MarginFloor,Y161&gt;0),"Check - thin margin","OK")))))))</f>
        <v>0</v>
      </c>
    </row>
    <row r="162" spans="1:45">
      <c r="A162" s="43">
        <f>IF(B162="","",ClientPrefix&amp;TEXT(ROW()-4,"0000"))</f>
        <v>0</v>
      </c>
      <c r="W162" s="31">
        <f>IF(A162="","",COUNTIFS(Properties!$C$5:$C$254,A162))</f>
        <v>0</v>
      </c>
      <c r="X162" s="31">
        <f>IF(A162="","",COUNTIFS(Jobs!$G$5:$G$604,A162))</f>
        <v>0</v>
      </c>
      <c r="Y162" s="31">
        <f>IF(A162="","",COUNTIFS(Jobs!$G$5:$G$604,A162,Jobs!$P$5:$P$604,"Completed")+COUNTIFS(Jobs!$G$5:$G$604,A162,Jobs!$P$5:$P$604,"Invoiced"))</f>
        <v>0</v>
      </c>
      <c r="Z162" s="31">
        <f>IF(A162="","",COUNTIFS(Jobs!$G$5:$G$604,A162,Jobs!$P$5:$P$604,"Cancelled")+COUNTIFS(Jobs!$G$5:$G$604,A162,Jobs!$P$5:$P$604,"No access"))</f>
        <v>0</v>
      </c>
      <c r="AA162" s="18">
        <f>IF(A162="","",IF(SUMPRODUCT(MAX((Jobs!$G$5:$G$604=A162)*((Jobs!$P$5:$P$604="Completed")+(Jobs!$P$5:$P$604="Invoiced"))*Jobs!$B$5:$B$604))=0,"",SUMPRODUCT(MAX((Jobs!$G$5:$G$604=A162)*((Jobs!$P$5:$P$604="Completed")+(Jobs!$P$5:$P$604="Invoiced"))*Jobs!$B$5:$B$604))))</f>
        <v>0</v>
      </c>
      <c r="AB162" s="31">
        <f>IF(AA162="","",TodayDate-AA162)</f>
        <v>0</v>
      </c>
      <c r="AC162" s="18">
        <f>IF(A162="","",IF(SUMPRODUCT(MIN((Jobs!$G$5:$G$604=A162)*(Jobs!$B$5:$B$604&gt;=TodayDate)*(Jobs!$P$5:$P$604&lt;&gt;"Cancelled")*Jobs!$B$5:$B$604+(1-(Jobs!$G$5:$G$604=A162)*(Jobs!$B$5:$B$604&gt;=TodayDate)*(Jobs!$P$5:$P$604&lt;&gt;"Cancelled"))*2958465))=2958465,"",SUMPRODUCT(MIN((Jobs!$G$5:$G$604=A162)*(Jobs!$B$5:$B$604&gt;=TodayDate)*(Jobs!$P$5:$P$604&lt;&gt;"Cancelled")*Jobs!$B$5:$B$604+(1-(Jobs!$G$5:$G$604=A162)*(Jobs!$B$5:$B$604&gt;=TodayDate)*(Jobs!$P$5:$P$604&lt;&gt;"Cancelled"))*2958465))))</f>
        <v>0</v>
      </c>
      <c r="AD162" s="21">
        <f>IF(A162="","",SUMIFS(Invoices!$V$5:$V$404,Invoices!$D$5:$D$404,A162))</f>
        <v>0</v>
      </c>
      <c r="AE162" s="21">
        <f>IF(A162="","",SUMIFS(Invoices!$W$5:$W$404,Invoices!$D$5:$D$404,A162))</f>
        <v>0</v>
      </c>
      <c r="AF162" s="21">
        <f>IF(A162="","",AD162-AE162)</f>
        <v>0</v>
      </c>
      <c r="AG162" s="21">
        <f>IF(OR(A162="",Y162=0),"",AD162/Y162)</f>
        <v>0</v>
      </c>
      <c r="AH162" s="21">
        <f>IF(A162="","",SUMIFS('Job Costing'!$U$5:$U$604,'Job Costing'!$D$5:$D$604,A162))</f>
        <v>0</v>
      </c>
      <c r="AI162" s="38">
        <f>IF(OR(A162="",AD162=0),"",AH162/AD162)</f>
        <v>0</v>
      </c>
      <c r="AJ162" s="21">
        <f>IF(OR(A162="",K162="",AG162=""),"",AG162*IFERROR(INDEX(FreqPerYear,MATCH(K162,FreqNames,0)),1))</f>
        <v>0</v>
      </c>
      <c r="AK162" s="34">
        <f>IF(A162="","",IFERROR(AVERAGEIFS(Jobs!$AA$5:$AA$604,Jobs!$G$5:$G$604,A162,Jobs!$AA$5:$AA$604,"&gt;0"),""))</f>
        <v>0</v>
      </c>
      <c r="AL162" s="31">
        <f>IF(A162="","",COUNTIFS(Complaints!$D$5:$D$84,A162))</f>
        <v>0</v>
      </c>
      <c r="AM162" s="31">
        <f>IF(B162="","",COUNTIFS($AD$5:$AD$204,"&gt;"&amp;AD162)+COUNTIFS($AD$5:AD162,AD162))</f>
        <v>0</v>
      </c>
      <c r="AN162" s="31">
        <f>IF(B162="","",COUNTIFS($AH$5:$AH$204,"&gt;"&amp;AH162)+COUNTIFS($AH$5:AH162,AH162))</f>
        <v>0</v>
      </c>
      <c r="AO162" s="31">
        <f>IF(B162="","",COUNTIFS($AJ$5:$AJ$204,"&gt;"&amp;AJ162)+COUNTIFS($AJ$5:AJ162,AJ162))</f>
        <v>0</v>
      </c>
      <c r="AP162" s="39">
        <f>IF(B162="","",IF(H162="Lost","Lost",IF(H162="Inactive","Dormant",IF(AA162="","Dormant",IF(AB162&gt;InactiveClientDays*2,"Dormant",IF(AB162&gt;InactiveClientDays,"At risk",IF(AC162="","Slipping",IF(Y162&gt;=10,"Loyal","Steady"))))))))</f>
        <v>0</v>
      </c>
      <c r="AQ162" s="34">
        <f>IF(OR(B162="",AP162="Lost",AP162="Dormant"),"",IF(OR(AP162="At risk",AP162="Slipping"),IF(AB162="",999,AB162),""))</f>
        <v>0</v>
      </c>
      <c r="AR162" s="31">
        <f>IF(AQ162="","",COUNTIFS($AQ$5:$AQ$204,"&gt;"&amp;AQ162)+COUNTIFS($AQ$5:AQ162,AQ162))</f>
        <v>0</v>
      </c>
      <c r="AS162" s="39">
        <f>IF(B162="","",IF(AF162&gt;0.5,"Chase - "&amp;TEXT(AF162,"0")&amp;" owing",IF(AND(H162&lt;&gt;"Lost",H162&lt;&gt;"Inactive",H162&lt;&gt;"Paused",AC162="",K162&lt;&gt;"One-off"),"Book - nothing in the diary",IF(AND(S162&lt;&gt;"",S162-TodayDate&lt;=RenewalWarningDays,S162&gt;=TodayDate),"Due - contract renews soon",IF(AP162="At risk","Call - going quiet",IF(AL162&gt;=2,"Check - complaints logged",IF(AND(AI162&lt;&gt;"",AI162&lt;MarginFloor,Y162&gt;0),"Check - thin margin","OK")))))))</f>
        <v>0</v>
      </c>
    </row>
    <row r="163" spans="1:45">
      <c r="A163" s="43">
        <f>IF(B163="","",ClientPrefix&amp;TEXT(ROW()-4,"0000"))</f>
        <v>0</v>
      </c>
      <c r="W163" s="31">
        <f>IF(A163="","",COUNTIFS(Properties!$C$5:$C$254,A163))</f>
        <v>0</v>
      </c>
      <c r="X163" s="31">
        <f>IF(A163="","",COUNTIFS(Jobs!$G$5:$G$604,A163))</f>
        <v>0</v>
      </c>
      <c r="Y163" s="31">
        <f>IF(A163="","",COUNTIFS(Jobs!$G$5:$G$604,A163,Jobs!$P$5:$P$604,"Completed")+COUNTIFS(Jobs!$G$5:$G$604,A163,Jobs!$P$5:$P$604,"Invoiced"))</f>
        <v>0</v>
      </c>
      <c r="Z163" s="31">
        <f>IF(A163="","",COUNTIFS(Jobs!$G$5:$G$604,A163,Jobs!$P$5:$P$604,"Cancelled")+COUNTIFS(Jobs!$G$5:$G$604,A163,Jobs!$P$5:$P$604,"No access"))</f>
        <v>0</v>
      </c>
      <c r="AA163" s="18">
        <f>IF(A163="","",IF(SUMPRODUCT(MAX((Jobs!$G$5:$G$604=A163)*((Jobs!$P$5:$P$604="Completed")+(Jobs!$P$5:$P$604="Invoiced"))*Jobs!$B$5:$B$604))=0,"",SUMPRODUCT(MAX((Jobs!$G$5:$G$604=A163)*((Jobs!$P$5:$P$604="Completed")+(Jobs!$P$5:$P$604="Invoiced"))*Jobs!$B$5:$B$604))))</f>
        <v>0</v>
      </c>
      <c r="AB163" s="31">
        <f>IF(AA163="","",TodayDate-AA163)</f>
        <v>0</v>
      </c>
      <c r="AC163" s="18">
        <f>IF(A163="","",IF(SUMPRODUCT(MIN((Jobs!$G$5:$G$604=A163)*(Jobs!$B$5:$B$604&gt;=TodayDate)*(Jobs!$P$5:$P$604&lt;&gt;"Cancelled")*Jobs!$B$5:$B$604+(1-(Jobs!$G$5:$G$604=A163)*(Jobs!$B$5:$B$604&gt;=TodayDate)*(Jobs!$P$5:$P$604&lt;&gt;"Cancelled"))*2958465))=2958465,"",SUMPRODUCT(MIN((Jobs!$G$5:$G$604=A163)*(Jobs!$B$5:$B$604&gt;=TodayDate)*(Jobs!$P$5:$P$604&lt;&gt;"Cancelled")*Jobs!$B$5:$B$604+(1-(Jobs!$G$5:$G$604=A163)*(Jobs!$B$5:$B$604&gt;=TodayDate)*(Jobs!$P$5:$P$604&lt;&gt;"Cancelled"))*2958465))))</f>
        <v>0</v>
      </c>
      <c r="AD163" s="21">
        <f>IF(A163="","",SUMIFS(Invoices!$V$5:$V$404,Invoices!$D$5:$D$404,A163))</f>
        <v>0</v>
      </c>
      <c r="AE163" s="21">
        <f>IF(A163="","",SUMIFS(Invoices!$W$5:$W$404,Invoices!$D$5:$D$404,A163))</f>
        <v>0</v>
      </c>
      <c r="AF163" s="21">
        <f>IF(A163="","",AD163-AE163)</f>
        <v>0</v>
      </c>
      <c r="AG163" s="21">
        <f>IF(OR(A163="",Y163=0),"",AD163/Y163)</f>
        <v>0</v>
      </c>
      <c r="AH163" s="21">
        <f>IF(A163="","",SUMIFS('Job Costing'!$U$5:$U$604,'Job Costing'!$D$5:$D$604,A163))</f>
        <v>0</v>
      </c>
      <c r="AI163" s="38">
        <f>IF(OR(A163="",AD163=0),"",AH163/AD163)</f>
        <v>0</v>
      </c>
      <c r="AJ163" s="21">
        <f>IF(OR(A163="",K163="",AG163=""),"",AG163*IFERROR(INDEX(FreqPerYear,MATCH(K163,FreqNames,0)),1))</f>
        <v>0</v>
      </c>
      <c r="AK163" s="34">
        <f>IF(A163="","",IFERROR(AVERAGEIFS(Jobs!$AA$5:$AA$604,Jobs!$G$5:$G$604,A163,Jobs!$AA$5:$AA$604,"&gt;0"),""))</f>
        <v>0</v>
      </c>
      <c r="AL163" s="31">
        <f>IF(A163="","",COUNTIFS(Complaints!$D$5:$D$84,A163))</f>
        <v>0</v>
      </c>
      <c r="AM163" s="31">
        <f>IF(B163="","",COUNTIFS($AD$5:$AD$204,"&gt;"&amp;AD163)+COUNTIFS($AD$5:AD163,AD163))</f>
        <v>0</v>
      </c>
      <c r="AN163" s="31">
        <f>IF(B163="","",COUNTIFS($AH$5:$AH$204,"&gt;"&amp;AH163)+COUNTIFS($AH$5:AH163,AH163))</f>
        <v>0</v>
      </c>
      <c r="AO163" s="31">
        <f>IF(B163="","",COUNTIFS($AJ$5:$AJ$204,"&gt;"&amp;AJ163)+COUNTIFS($AJ$5:AJ163,AJ163))</f>
        <v>0</v>
      </c>
      <c r="AP163" s="39">
        <f>IF(B163="","",IF(H163="Lost","Lost",IF(H163="Inactive","Dormant",IF(AA163="","Dormant",IF(AB163&gt;InactiveClientDays*2,"Dormant",IF(AB163&gt;InactiveClientDays,"At risk",IF(AC163="","Slipping",IF(Y163&gt;=10,"Loyal","Steady"))))))))</f>
        <v>0</v>
      </c>
      <c r="AQ163" s="34">
        <f>IF(OR(B163="",AP163="Lost",AP163="Dormant"),"",IF(OR(AP163="At risk",AP163="Slipping"),IF(AB163="",999,AB163),""))</f>
        <v>0</v>
      </c>
      <c r="AR163" s="31">
        <f>IF(AQ163="","",COUNTIFS($AQ$5:$AQ$204,"&gt;"&amp;AQ163)+COUNTIFS($AQ$5:AQ163,AQ163))</f>
        <v>0</v>
      </c>
      <c r="AS163" s="39">
        <f>IF(B163="","",IF(AF163&gt;0.5,"Chase - "&amp;TEXT(AF163,"0")&amp;" owing",IF(AND(H163&lt;&gt;"Lost",H163&lt;&gt;"Inactive",H163&lt;&gt;"Paused",AC163="",K163&lt;&gt;"One-off"),"Book - nothing in the diary",IF(AND(S163&lt;&gt;"",S163-TodayDate&lt;=RenewalWarningDays,S163&gt;=TodayDate),"Due - contract renews soon",IF(AP163="At risk","Call - going quiet",IF(AL163&gt;=2,"Check - complaints logged",IF(AND(AI163&lt;&gt;"",AI163&lt;MarginFloor,Y163&gt;0),"Check - thin margin","OK")))))))</f>
        <v>0</v>
      </c>
    </row>
    <row r="164" spans="1:45">
      <c r="A164" s="43">
        <f>IF(B164="","",ClientPrefix&amp;TEXT(ROW()-4,"0000"))</f>
        <v>0</v>
      </c>
      <c r="W164" s="31">
        <f>IF(A164="","",COUNTIFS(Properties!$C$5:$C$254,A164))</f>
        <v>0</v>
      </c>
      <c r="X164" s="31">
        <f>IF(A164="","",COUNTIFS(Jobs!$G$5:$G$604,A164))</f>
        <v>0</v>
      </c>
      <c r="Y164" s="31">
        <f>IF(A164="","",COUNTIFS(Jobs!$G$5:$G$604,A164,Jobs!$P$5:$P$604,"Completed")+COUNTIFS(Jobs!$G$5:$G$604,A164,Jobs!$P$5:$P$604,"Invoiced"))</f>
        <v>0</v>
      </c>
      <c r="Z164" s="31">
        <f>IF(A164="","",COUNTIFS(Jobs!$G$5:$G$604,A164,Jobs!$P$5:$P$604,"Cancelled")+COUNTIFS(Jobs!$G$5:$G$604,A164,Jobs!$P$5:$P$604,"No access"))</f>
        <v>0</v>
      </c>
      <c r="AA164" s="18">
        <f>IF(A164="","",IF(SUMPRODUCT(MAX((Jobs!$G$5:$G$604=A164)*((Jobs!$P$5:$P$604="Completed")+(Jobs!$P$5:$P$604="Invoiced"))*Jobs!$B$5:$B$604))=0,"",SUMPRODUCT(MAX((Jobs!$G$5:$G$604=A164)*((Jobs!$P$5:$P$604="Completed")+(Jobs!$P$5:$P$604="Invoiced"))*Jobs!$B$5:$B$604))))</f>
        <v>0</v>
      </c>
      <c r="AB164" s="31">
        <f>IF(AA164="","",TodayDate-AA164)</f>
        <v>0</v>
      </c>
      <c r="AC164" s="18">
        <f>IF(A164="","",IF(SUMPRODUCT(MIN((Jobs!$G$5:$G$604=A164)*(Jobs!$B$5:$B$604&gt;=TodayDate)*(Jobs!$P$5:$P$604&lt;&gt;"Cancelled")*Jobs!$B$5:$B$604+(1-(Jobs!$G$5:$G$604=A164)*(Jobs!$B$5:$B$604&gt;=TodayDate)*(Jobs!$P$5:$P$604&lt;&gt;"Cancelled"))*2958465))=2958465,"",SUMPRODUCT(MIN((Jobs!$G$5:$G$604=A164)*(Jobs!$B$5:$B$604&gt;=TodayDate)*(Jobs!$P$5:$P$604&lt;&gt;"Cancelled")*Jobs!$B$5:$B$604+(1-(Jobs!$G$5:$G$604=A164)*(Jobs!$B$5:$B$604&gt;=TodayDate)*(Jobs!$P$5:$P$604&lt;&gt;"Cancelled"))*2958465))))</f>
        <v>0</v>
      </c>
      <c r="AD164" s="21">
        <f>IF(A164="","",SUMIFS(Invoices!$V$5:$V$404,Invoices!$D$5:$D$404,A164))</f>
        <v>0</v>
      </c>
      <c r="AE164" s="21">
        <f>IF(A164="","",SUMIFS(Invoices!$W$5:$W$404,Invoices!$D$5:$D$404,A164))</f>
        <v>0</v>
      </c>
      <c r="AF164" s="21">
        <f>IF(A164="","",AD164-AE164)</f>
        <v>0</v>
      </c>
      <c r="AG164" s="21">
        <f>IF(OR(A164="",Y164=0),"",AD164/Y164)</f>
        <v>0</v>
      </c>
      <c r="AH164" s="21">
        <f>IF(A164="","",SUMIFS('Job Costing'!$U$5:$U$604,'Job Costing'!$D$5:$D$604,A164))</f>
        <v>0</v>
      </c>
      <c r="AI164" s="38">
        <f>IF(OR(A164="",AD164=0),"",AH164/AD164)</f>
        <v>0</v>
      </c>
      <c r="AJ164" s="21">
        <f>IF(OR(A164="",K164="",AG164=""),"",AG164*IFERROR(INDEX(FreqPerYear,MATCH(K164,FreqNames,0)),1))</f>
        <v>0</v>
      </c>
      <c r="AK164" s="34">
        <f>IF(A164="","",IFERROR(AVERAGEIFS(Jobs!$AA$5:$AA$604,Jobs!$G$5:$G$604,A164,Jobs!$AA$5:$AA$604,"&gt;0"),""))</f>
        <v>0</v>
      </c>
      <c r="AL164" s="31">
        <f>IF(A164="","",COUNTIFS(Complaints!$D$5:$D$84,A164))</f>
        <v>0</v>
      </c>
      <c r="AM164" s="31">
        <f>IF(B164="","",COUNTIFS($AD$5:$AD$204,"&gt;"&amp;AD164)+COUNTIFS($AD$5:AD164,AD164))</f>
        <v>0</v>
      </c>
      <c r="AN164" s="31">
        <f>IF(B164="","",COUNTIFS($AH$5:$AH$204,"&gt;"&amp;AH164)+COUNTIFS($AH$5:AH164,AH164))</f>
        <v>0</v>
      </c>
      <c r="AO164" s="31">
        <f>IF(B164="","",COUNTIFS($AJ$5:$AJ$204,"&gt;"&amp;AJ164)+COUNTIFS($AJ$5:AJ164,AJ164))</f>
        <v>0</v>
      </c>
      <c r="AP164" s="39">
        <f>IF(B164="","",IF(H164="Lost","Lost",IF(H164="Inactive","Dormant",IF(AA164="","Dormant",IF(AB164&gt;InactiveClientDays*2,"Dormant",IF(AB164&gt;InactiveClientDays,"At risk",IF(AC164="","Slipping",IF(Y164&gt;=10,"Loyal","Steady"))))))))</f>
        <v>0</v>
      </c>
      <c r="AQ164" s="34">
        <f>IF(OR(B164="",AP164="Lost",AP164="Dormant"),"",IF(OR(AP164="At risk",AP164="Slipping"),IF(AB164="",999,AB164),""))</f>
        <v>0</v>
      </c>
      <c r="AR164" s="31">
        <f>IF(AQ164="","",COUNTIFS($AQ$5:$AQ$204,"&gt;"&amp;AQ164)+COUNTIFS($AQ$5:AQ164,AQ164))</f>
        <v>0</v>
      </c>
      <c r="AS164" s="39">
        <f>IF(B164="","",IF(AF164&gt;0.5,"Chase - "&amp;TEXT(AF164,"0")&amp;" owing",IF(AND(H164&lt;&gt;"Lost",H164&lt;&gt;"Inactive",H164&lt;&gt;"Paused",AC164="",K164&lt;&gt;"One-off"),"Book - nothing in the diary",IF(AND(S164&lt;&gt;"",S164-TodayDate&lt;=RenewalWarningDays,S164&gt;=TodayDate),"Due - contract renews soon",IF(AP164="At risk","Call - going quiet",IF(AL164&gt;=2,"Check - complaints logged",IF(AND(AI164&lt;&gt;"",AI164&lt;MarginFloor,Y164&gt;0),"Check - thin margin","OK")))))))</f>
        <v>0</v>
      </c>
    </row>
    <row r="165" spans="1:45">
      <c r="A165" s="43">
        <f>IF(B165="","",ClientPrefix&amp;TEXT(ROW()-4,"0000"))</f>
        <v>0</v>
      </c>
      <c r="W165" s="31">
        <f>IF(A165="","",COUNTIFS(Properties!$C$5:$C$254,A165))</f>
        <v>0</v>
      </c>
      <c r="X165" s="31">
        <f>IF(A165="","",COUNTIFS(Jobs!$G$5:$G$604,A165))</f>
        <v>0</v>
      </c>
      <c r="Y165" s="31">
        <f>IF(A165="","",COUNTIFS(Jobs!$G$5:$G$604,A165,Jobs!$P$5:$P$604,"Completed")+COUNTIFS(Jobs!$G$5:$G$604,A165,Jobs!$P$5:$P$604,"Invoiced"))</f>
        <v>0</v>
      </c>
      <c r="Z165" s="31">
        <f>IF(A165="","",COUNTIFS(Jobs!$G$5:$G$604,A165,Jobs!$P$5:$P$604,"Cancelled")+COUNTIFS(Jobs!$G$5:$G$604,A165,Jobs!$P$5:$P$604,"No access"))</f>
        <v>0</v>
      </c>
      <c r="AA165" s="18">
        <f>IF(A165="","",IF(SUMPRODUCT(MAX((Jobs!$G$5:$G$604=A165)*((Jobs!$P$5:$P$604="Completed")+(Jobs!$P$5:$P$604="Invoiced"))*Jobs!$B$5:$B$604))=0,"",SUMPRODUCT(MAX((Jobs!$G$5:$G$604=A165)*((Jobs!$P$5:$P$604="Completed")+(Jobs!$P$5:$P$604="Invoiced"))*Jobs!$B$5:$B$604))))</f>
        <v>0</v>
      </c>
      <c r="AB165" s="31">
        <f>IF(AA165="","",TodayDate-AA165)</f>
        <v>0</v>
      </c>
      <c r="AC165" s="18">
        <f>IF(A165="","",IF(SUMPRODUCT(MIN((Jobs!$G$5:$G$604=A165)*(Jobs!$B$5:$B$604&gt;=TodayDate)*(Jobs!$P$5:$P$604&lt;&gt;"Cancelled")*Jobs!$B$5:$B$604+(1-(Jobs!$G$5:$G$604=A165)*(Jobs!$B$5:$B$604&gt;=TodayDate)*(Jobs!$P$5:$P$604&lt;&gt;"Cancelled"))*2958465))=2958465,"",SUMPRODUCT(MIN((Jobs!$G$5:$G$604=A165)*(Jobs!$B$5:$B$604&gt;=TodayDate)*(Jobs!$P$5:$P$604&lt;&gt;"Cancelled")*Jobs!$B$5:$B$604+(1-(Jobs!$G$5:$G$604=A165)*(Jobs!$B$5:$B$604&gt;=TodayDate)*(Jobs!$P$5:$P$604&lt;&gt;"Cancelled"))*2958465))))</f>
        <v>0</v>
      </c>
      <c r="AD165" s="21">
        <f>IF(A165="","",SUMIFS(Invoices!$V$5:$V$404,Invoices!$D$5:$D$404,A165))</f>
        <v>0</v>
      </c>
      <c r="AE165" s="21">
        <f>IF(A165="","",SUMIFS(Invoices!$W$5:$W$404,Invoices!$D$5:$D$404,A165))</f>
        <v>0</v>
      </c>
      <c r="AF165" s="21">
        <f>IF(A165="","",AD165-AE165)</f>
        <v>0</v>
      </c>
      <c r="AG165" s="21">
        <f>IF(OR(A165="",Y165=0),"",AD165/Y165)</f>
        <v>0</v>
      </c>
      <c r="AH165" s="21">
        <f>IF(A165="","",SUMIFS('Job Costing'!$U$5:$U$604,'Job Costing'!$D$5:$D$604,A165))</f>
        <v>0</v>
      </c>
      <c r="AI165" s="38">
        <f>IF(OR(A165="",AD165=0),"",AH165/AD165)</f>
        <v>0</v>
      </c>
      <c r="AJ165" s="21">
        <f>IF(OR(A165="",K165="",AG165=""),"",AG165*IFERROR(INDEX(FreqPerYear,MATCH(K165,FreqNames,0)),1))</f>
        <v>0</v>
      </c>
      <c r="AK165" s="34">
        <f>IF(A165="","",IFERROR(AVERAGEIFS(Jobs!$AA$5:$AA$604,Jobs!$G$5:$G$604,A165,Jobs!$AA$5:$AA$604,"&gt;0"),""))</f>
        <v>0</v>
      </c>
      <c r="AL165" s="31">
        <f>IF(A165="","",COUNTIFS(Complaints!$D$5:$D$84,A165))</f>
        <v>0</v>
      </c>
      <c r="AM165" s="31">
        <f>IF(B165="","",COUNTIFS($AD$5:$AD$204,"&gt;"&amp;AD165)+COUNTIFS($AD$5:AD165,AD165))</f>
        <v>0</v>
      </c>
      <c r="AN165" s="31">
        <f>IF(B165="","",COUNTIFS($AH$5:$AH$204,"&gt;"&amp;AH165)+COUNTIFS($AH$5:AH165,AH165))</f>
        <v>0</v>
      </c>
      <c r="AO165" s="31">
        <f>IF(B165="","",COUNTIFS($AJ$5:$AJ$204,"&gt;"&amp;AJ165)+COUNTIFS($AJ$5:AJ165,AJ165))</f>
        <v>0</v>
      </c>
      <c r="AP165" s="39">
        <f>IF(B165="","",IF(H165="Lost","Lost",IF(H165="Inactive","Dormant",IF(AA165="","Dormant",IF(AB165&gt;InactiveClientDays*2,"Dormant",IF(AB165&gt;InactiveClientDays,"At risk",IF(AC165="","Slipping",IF(Y165&gt;=10,"Loyal","Steady"))))))))</f>
        <v>0</v>
      </c>
      <c r="AQ165" s="34">
        <f>IF(OR(B165="",AP165="Lost",AP165="Dormant"),"",IF(OR(AP165="At risk",AP165="Slipping"),IF(AB165="",999,AB165),""))</f>
        <v>0</v>
      </c>
      <c r="AR165" s="31">
        <f>IF(AQ165="","",COUNTIFS($AQ$5:$AQ$204,"&gt;"&amp;AQ165)+COUNTIFS($AQ$5:AQ165,AQ165))</f>
        <v>0</v>
      </c>
      <c r="AS165" s="39">
        <f>IF(B165="","",IF(AF165&gt;0.5,"Chase - "&amp;TEXT(AF165,"0")&amp;" owing",IF(AND(H165&lt;&gt;"Lost",H165&lt;&gt;"Inactive",H165&lt;&gt;"Paused",AC165="",K165&lt;&gt;"One-off"),"Book - nothing in the diary",IF(AND(S165&lt;&gt;"",S165-TodayDate&lt;=RenewalWarningDays,S165&gt;=TodayDate),"Due - contract renews soon",IF(AP165="At risk","Call - going quiet",IF(AL165&gt;=2,"Check - complaints logged",IF(AND(AI165&lt;&gt;"",AI165&lt;MarginFloor,Y165&gt;0),"Check - thin margin","OK")))))))</f>
        <v>0</v>
      </c>
    </row>
    <row r="166" spans="1:45">
      <c r="A166" s="43">
        <f>IF(B166="","",ClientPrefix&amp;TEXT(ROW()-4,"0000"))</f>
        <v>0</v>
      </c>
      <c r="W166" s="31">
        <f>IF(A166="","",COUNTIFS(Properties!$C$5:$C$254,A166))</f>
        <v>0</v>
      </c>
      <c r="X166" s="31">
        <f>IF(A166="","",COUNTIFS(Jobs!$G$5:$G$604,A166))</f>
        <v>0</v>
      </c>
      <c r="Y166" s="31">
        <f>IF(A166="","",COUNTIFS(Jobs!$G$5:$G$604,A166,Jobs!$P$5:$P$604,"Completed")+COUNTIFS(Jobs!$G$5:$G$604,A166,Jobs!$P$5:$P$604,"Invoiced"))</f>
        <v>0</v>
      </c>
      <c r="Z166" s="31">
        <f>IF(A166="","",COUNTIFS(Jobs!$G$5:$G$604,A166,Jobs!$P$5:$P$604,"Cancelled")+COUNTIFS(Jobs!$G$5:$G$604,A166,Jobs!$P$5:$P$604,"No access"))</f>
        <v>0</v>
      </c>
      <c r="AA166" s="18">
        <f>IF(A166="","",IF(SUMPRODUCT(MAX((Jobs!$G$5:$G$604=A166)*((Jobs!$P$5:$P$604="Completed")+(Jobs!$P$5:$P$604="Invoiced"))*Jobs!$B$5:$B$604))=0,"",SUMPRODUCT(MAX((Jobs!$G$5:$G$604=A166)*((Jobs!$P$5:$P$604="Completed")+(Jobs!$P$5:$P$604="Invoiced"))*Jobs!$B$5:$B$604))))</f>
        <v>0</v>
      </c>
      <c r="AB166" s="31">
        <f>IF(AA166="","",TodayDate-AA166)</f>
        <v>0</v>
      </c>
      <c r="AC166" s="18">
        <f>IF(A166="","",IF(SUMPRODUCT(MIN((Jobs!$G$5:$G$604=A166)*(Jobs!$B$5:$B$604&gt;=TodayDate)*(Jobs!$P$5:$P$604&lt;&gt;"Cancelled")*Jobs!$B$5:$B$604+(1-(Jobs!$G$5:$G$604=A166)*(Jobs!$B$5:$B$604&gt;=TodayDate)*(Jobs!$P$5:$P$604&lt;&gt;"Cancelled"))*2958465))=2958465,"",SUMPRODUCT(MIN((Jobs!$G$5:$G$604=A166)*(Jobs!$B$5:$B$604&gt;=TodayDate)*(Jobs!$P$5:$P$604&lt;&gt;"Cancelled")*Jobs!$B$5:$B$604+(1-(Jobs!$G$5:$G$604=A166)*(Jobs!$B$5:$B$604&gt;=TodayDate)*(Jobs!$P$5:$P$604&lt;&gt;"Cancelled"))*2958465))))</f>
        <v>0</v>
      </c>
      <c r="AD166" s="21">
        <f>IF(A166="","",SUMIFS(Invoices!$V$5:$V$404,Invoices!$D$5:$D$404,A166))</f>
        <v>0</v>
      </c>
      <c r="AE166" s="21">
        <f>IF(A166="","",SUMIFS(Invoices!$W$5:$W$404,Invoices!$D$5:$D$404,A166))</f>
        <v>0</v>
      </c>
      <c r="AF166" s="21">
        <f>IF(A166="","",AD166-AE166)</f>
        <v>0</v>
      </c>
      <c r="AG166" s="21">
        <f>IF(OR(A166="",Y166=0),"",AD166/Y166)</f>
        <v>0</v>
      </c>
      <c r="AH166" s="21">
        <f>IF(A166="","",SUMIFS('Job Costing'!$U$5:$U$604,'Job Costing'!$D$5:$D$604,A166))</f>
        <v>0</v>
      </c>
      <c r="AI166" s="38">
        <f>IF(OR(A166="",AD166=0),"",AH166/AD166)</f>
        <v>0</v>
      </c>
      <c r="AJ166" s="21">
        <f>IF(OR(A166="",K166="",AG166=""),"",AG166*IFERROR(INDEX(FreqPerYear,MATCH(K166,FreqNames,0)),1))</f>
        <v>0</v>
      </c>
      <c r="AK166" s="34">
        <f>IF(A166="","",IFERROR(AVERAGEIFS(Jobs!$AA$5:$AA$604,Jobs!$G$5:$G$604,A166,Jobs!$AA$5:$AA$604,"&gt;0"),""))</f>
        <v>0</v>
      </c>
      <c r="AL166" s="31">
        <f>IF(A166="","",COUNTIFS(Complaints!$D$5:$D$84,A166))</f>
        <v>0</v>
      </c>
      <c r="AM166" s="31">
        <f>IF(B166="","",COUNTIFS($AD$5:$AD$204,"&gt;"&amp;AD166)+COUNTIFS($AD$5:AD166,AD166))</f>
        <v>0</v>
      </c>
      <c r="AN166" s="31">
        <f>IF(B166="","",COUNTIFS($AH$5:$AH$204,"&gt;"&amp;AH166)+COUNTIFS($AH$5:AH166,AH166))</f>
        <v>0</v>
      </c>
      <c r="AO166" s="31">
        <f>IF(B166="","",COUNTIFS($AJ$5:$AJ$204,"&gt;"&amp;AJ166)+COUNTIFS($AJ$5:AJ166,AJ166))</f>
        <v>0</v>
      </c>
      <c r="AP166" s="39">
        <f>IF(B166="","",IF(H166="Lost","Lost",IF(H166="Inactive","Dormant",IF(AA166="","Dormant",IF(AB166&gt;InactiveClientDays*2,"Dormant",IF(AB166&gt;InactiveClientDays,"At risk",IF(AC166="","Slipping",IF(Y166&gt;=10,"Loyal","Steady"))))))))</f>
        <v>0</v>
      </c>
      <c r="AQ166" s="34">
        <f>IF(OR(B166="",AP166="Lost",AP166="Dormant"),"",IF(OR(AP166="At risk",AP166="Slipping"),IF(AB166="",999,AB166),""))</f>
        <v>0</v>
      </c>
      <c r="AR166" s="31">
        <f>IF(AQ166="","",COUNTIFS($AQ$5:$AQ$204,"&gt;"&amp;AQ166)+COUNTIFS($AQ$5:AQ166,AQ166))</f>
        <v>0</v>
      </c>
      <c r="AS166" s="39">
        <f>IF(B166="","",IF(AF166&gt;0.5,"Chase - "&amp;TEXT(AF166,"0")&amp;" owing",IF(AND(H166&lt;&gt;"Lost",H166&lt;&gt;"Inactive",H166&lt;&gt;"Paused",AC166="",K166&lt;&gt;"One-off"),"Book - nothing in the diary",IF(AND(S166&lt;&gt;"",S166-TodayDate&lt;=RenewalWarningDays,S166&gt;=TodayDate),"Due - contract renews soon",IF(AP166="At risk","Call - going quiet",IF(AL166&gt;=2,"Check - complaints logged",IF(AND(AI166&lt;&gt;"",AI166&lt;MarginFloor,Y166&gt;0),"Check - thin margin","OK")))))))</f>
        <v>0</v>
      </c>
    </row>
    <row r="167" spans="1:45">
      <c r="A167" s="43">
        <f>IF(B167="","",ClientPrefix&amp;TEXT(ROW()-4,"0000"))</f>
        <v>0</v>
      </c>
      <c r="W167" s="31">
        <f>IF(A167="","",COUNTIFS(Properties!$C$5:$C$254,A167))</f>
        <v>0</v>
      </c>
      <c r="X167" s="31">
        <f>IF(A167="","",COUNTIFS(Jobs!$G$5:$G$604,A167))</f>
        <v>0</v>
      </c>
      <c r="Y167" s="31">
        <f>IF(A167="","",COUNTIFS(Jobs!$G$5:$G$604,A167,Jobs!$P$5:$P$604,"Completed")+COUNTIFS(Jobs!$G$5:$G$604,A167,Jobs!$P$5:$P$604,"Invoiced"))</f>
        <v>0</v>
      </c>
      <c r="Z167" s="31">
        <f>IF(A167="","",COUNTIFS(Jobs!$G$5:$G$604,A167,Jobs!$P$5:$P$604,"Cancelled")+COUNTIFS(Jobs!$G$5:$G$604,A167,Jobs!$P$5:$P$604,"No access"))</f>
        <v>0</v>
      </c>
      <c r="AA167" s="18">
        <f>IF(A167="","",IF(SUMPRODUCT(MAX((Jobs!$G$5:$G$604=A167)*((Jobs!$P$5:$P$604="Completed")+(Jobs!$P$5:$P$604="Invoiced"))*Jobs!$B$5:$B$604))=0,"",SUMPRODUCT(MAX((Jobs!$G$5:$G$604=A167)*((Jobs!$P$5:$P$604="Completed")+(Jobs!$P$5:$P$604="Invoiced"))*Jobs!$B$5:$B$604))))</f>
        <v>0</v>
      </c>
      <c r="AB167" s="31">
        <f>IF(AA167="","",TodayDate-AA167)</f>
        <v>0</v>
      </c>
      <c r="AC167" s="18">
        <f>IF(A167="","",IF(SUMPRODUCT(MIN((Jobs!$G$5:$G$604=A167)*(Jobs!$B$5:$B$604&gt;=TodayDate)*(Jobs!$P$5:$P$604&lt;&gt;"Cancelled")*Jobs!$B$5:$B$604+(1-(Jobs!$G$5:$G$604=A167)*(Jobs!$B$5:$B$604&gt;=TodayDate)*(Jobs!$P$5:$P$604&lt;&gt;"Cancelled"))*2958465))=2958465,"",SUMPRODUCT(MIN((Jobs!$G$5:$G$604=A167)*(Jobs!$B$5:$B$604&gt;=TodayDate)*(Jobs!$P$5:$P$604&lt;&gt;"Cancelled")*Jobs!$B$5:$B$604+(1-(Jobs!$G$5:$G$604=A167)*(Jobs!$B$5:$B$604&gt;=TodayDate)*(Jobs!$P$5:$P$604&lt;&gt;"Cancelled"))*2958465))))</f>
        <v>0</v>
      </c>
      <c r="AD167" s="21">
        <f>IF(A167="","",SUMIFS(Invoices!$V$5:$V$404,Invoices!$D$5:$D$404,A167))</f>
        <v>0</v>
      </c>
      <c r="AE167" s="21">
        <f>IF(A167="","",SUMIFS(Invoices!$W$5:$W$404,Invoices!$D$5:$D$404,A167))</f>
        <v>0</v>
      </c>
      <c r="AF167" s="21">
        <f>IF(A167="","",AD167-AE167)</f>
        <v>0</v>
      </c>
      <c r="AG167" s="21">
        <f>IF(OR(A167="",Y167=0),"",AD167/Y167)</f>
        <v>0</v>
      </c>
      <c r="AH167" s="21">
        <f>IF(A167="","",SUMIFS('Job Costing'!$U$5:$U$604,'Job Costing'!$D$5:$D$604,A167))</f>
        <v>0</v>
      </c>
      <c r="AI167" s="38">
        <f>IF(OR(A167="",AD167=0),"",AH167/AD167)</f>
        <v>0</v>
      </c>
      <c r="AJ167" s="21">
        <f>IF(OR(A167="",K167="",AG167=""),"",AG167*IFERROR(INDEX(FreqPerYear,MATCH(K167,FreqNames,0)),1))</f>
        <v>0</v>
      </c>
      <c r="AK167" s="34">
        <f>IF(A167="","",IFERROR(AVERAGEIFS(Jobs!$AA$5:$AA$604,Jobs!$G$5:$G$604,A167,Jobs!$AA$5:$AA$604,"&gt;0"),""))</f>
        <v>0</v>
      </c>
      <c r="AL167" s="31">
        <f>IF(A167="","",COUNTIFS(Complaints!$D$5:$D$84,A167))</f>
        <v>0</v>
      </c>
      <c r="AM167" s="31">
        <f>IF(B167="","",COUNTIFS($AD$5:$AD$204,"&gt;"&amp;AD167)+COUNTIFS($AD$5:AD167,AD167))</f>
        <v>0</v>
      </c>
      <c r="AN167" s="31">
        <f>IF(B167="","",COUNTIFS($AH$5:$AH$204,"&gt;"&amp;AH167)+COUNTIFS($AH$5:AH167,AH167))</f>
        <v>0</v>
      </c>
      <c r="AO167" s="31">
        <f>IF(B167="","",COUNTIFS($AJ$5:$AJ$204,"&gt;"&amp;AJ167)+COUNTIFS($AJ$5:AJ167,AJ167))</f>
        <v>0</v>
      </c>
      <c r="AP167" s="39">
        <f>IF(B167="","",IF(H167="Lost","Lost",IF(H167="Inactive","Dormant",IF(AA167="","Dormant",IF(AB167&gt;InactiveClientDays*2,"Dormant",IF(AB167&gt;InactiveClientDays,"At risk",IF(AC167="","Slipping",IF(Y167&gt;=10,"Loyal","Steady"))))))))</f>
        <v>0</v>
      </c>
      <c r="AQ167" s="34">
        <f>IF(OR(B167="",AP167="Lost",AP167="Dormant"),"",IF(OR(AP167="At risk",AP167="Slipping"),IF(AB167="",999,AB167),""))</f>
        <v>0</v>
      </c>
      <c r="AR167" s="31">
        <f>IF(AQ167="","",COUNTIFS($AQ$5:$AQ$204,"&gt;"&amp;AQ167)+COUNTIFS($AQ$5:AQ167,AQ167))</f>
        <v>0</v>
      </c>
      <c r="AS167" s="39">
        <f>IF(B167="","",IF(AF167&gt;0.5,"Chase - "&amp;TEXT(AF167,"0")&amp;" owing",IF(AND(H167&lt;&gt;"Lost",H167&lt;&gt;"Inactive",H167&lt;&gt;"Paused",AC167="",K167&lt;&gt;"One-off"),"Book - nothing in the diary",IF(AND(S167&lt;&gt;"",S167-TodayDate&lt;=RenewalWarningDays,S167&gt;=TodayDate),"Due - contract renews soon",IF(AP167="At risk","Call - going quiet",IF(AL167&gt;=2,"Check - complaints logged",IF(AND(AI167&lt;&gt;"",AI167&lt;MarginFloor,Y167&gt;0),"Check - thin margin","OK")))))))</f>
        <v>0</v>
      </c>
    </row>
    <row r="168" spans="1:45">
      <c r="A168" s="43">
        <f>IF(B168="","",ClientPrefix&amp;TEXT(ROW()-4,"0000"))</f>
        <v>0</v>
      </c>
      <c r="W168" s="31">
        <f>IF(A168="","",COUNTIFS(Properties!$C$5:$C$254,A168))</f>
        <v>0</v>
      </c>
      <c r="X168" s="31">
        <f>IF(A168="","",COUNTIFS(Jobs!$G$5:$G$604,A168))</f>
        <v>0</v>
      </c>
      <c r="Y168" s="31">
        <f>IF(A168="","",COUNTIFS(Jobs!$G$5:$G$604,A168,Jobs!$P$5:$P$604,"Completed")+COUNTIFS(Jobs!$G$5:$G$604,A168,Jobs!$P$5:$P$604,"Invoiced"))</f>
        <v>0</v>
      </c>
      <c r="Z168" s="31">
        <f>IF(A168="","",COUNTIFS(Jobs!$G$5:$G$604,A168,Jobs!$P$5:$P$604,"Cancelled")+COUNTIFS(Jobs!$G$5:$G$604,A168,Jobs!$P$5:$P$604,"No access"))</f>
        <v>0</v>
      </c>
      <c r="AA168" s="18">
        <f>IF(A168="","",IF(SUMPRODUCT(MAX((Jobs!$G$5:$G$604=A168)*((Jobs!$P$5:$P$604="Completed")+(Jobs!$P$5:$P$604="Invoiced"))*Jobs!$B$5:$B$604))=0,"",SUMPRODUCT(MAX((Jobs!$G$5:$G$604=A168)*((Jobs!$P$5:$P$604="Completed")+(Jobs!$P$5:$P$604="Invoiced"))*Jobs!$B$5:$B$604))))</f>
        <v>0</v>
      </c>
      <c r="AB168" s="31">
        <f>IF(AA168="","",TodayDate-AA168)</f>
        <v>0</v>
      </c>
      <c r="AC168" s="18">
        <f>IF(A168="","",IF(SUMPRODUCT(MIN((Jobs!$G$5:$G$604=A168)*(Jobs!$B$5:$B$604&gt;=TodayDate)*(Jobs!$P$5:$P$604&lt;&gt;"Cancelled")*Jobs!$B$5:$B$604+(1-(Jobs!$G$5:$G$604=A168)*(Jobs!$B$5:$B$604&gt;=TodayDate)*(Jobs!$P$5:$P$604&lt;&gt;"Cancelled"))*2958465))=2958465,"",SUMPRODUCT(MIN((Jobs!$G$5:$G$604=A168)*(Jobs!$B$5:$B$604&gt;=TodayDate)*(Jobs!$P$5:$P$604&lt;&gt;"Cancelled")*Jobs!$B$5:$B$604+(1-(Jobs!$G$5:$G$604=A168)*(Jobs!$B$5:$B$604&gt;=TodayDate)*(Jobs!$P$5:$P$604&lt;&gt;"Cancelled"))*2958465))))</f>
        <v>0</v>
      </c>
      <c r="AD168" s="21">
        <f>IF(A168="","",SUMIFS(Invoices!$V$5:$V$404,Invoices!$D$5:$D$404,A168))</f>
        <v>0</v>
      </c>
      <c r="AE168" s="21">
        <f>IF(A168="","",SUMIFS(Invoices!$W$5:$W$404,Invoices!$D$5:$D$404,A168))</f>
        <v>0</v>
      </c>
      <c r="AF168" s="21">
        <f>IF(A168="","",AD168-AE168)</f>
        <v>0</v>
      </c>
      <c r="AG168" s="21">
        <f>IF(OR(A168="",Y168=0),"",AD168/Y168)</f>
        <v>0</v>
      </c>
      <c r="AH168" s="21">
        <f>IF(A168="","",SUMIFS('Job Costing'!$U$5:$U$604,'Job Costing'!$D$5:$D$604,A168))</f>
        <v>0</v>
      </c>
      <c r="AI168" s="38">
        <f>IF(OR(A168="",AD168=0),"",AH168/AD168)</f>
        <v>0</v>
      </c>
      <c r="AJ168" s="21">
        <f>IF(OR(A168="",K168="",AG168=""),"",AG168*IFERROR(INDEX(FreqPerYear,MATCH(K168,FreqNames,0)),1))</f>
        <v>0</v>
      </c>
      <c r="AK168" s="34">
        <f>IF(A168="","",IFERROR(AVERAGEIFS(Jobs!$AA$5:$AA$604,Jobs!$G$5:$G$604,A168,Jobs!$AA$5:$AA$604,"&gt;0"),""))</f>
        <v>0</v>
      </c>
      <c r="AL168" s="31">
        <f>IF(A168="","",COUNTIFS(Complaints!$D$5:$D$84,A168))</f>
        <v>0</v>
      </c>
      <c r="AM168" s="31">
        <f>IF(B168="","",COUNTIFS($AD$5:$AD$204,"&gt;"&amp;AD168)+COUNTIFS($AD$5:AD168,AD168))</f>
        <v>0</v>
      </c>
      <c r="AN168" s="31">
        <f>IF(B168="","",COUNTIFS($AH$5:$AH$204,"&gt;"&amp;AH168)+COUNTIFS($AH$5:AH168,AH168))</f>
        <v>0</v>
      </c>
      <c r="AO168" s="31">
        <f>IF(B168="","",COUNTIFS($AJ$5:$AJ$204,"&gt;"&amp;AJ168)+COUNTIFS($AJ$5:AJ168,AJ168))</f>
        <v>0</v>
      </c>
      <c r="AP168" s="39">
        <f>IF(B168="","",IF(H168="Lost","Lost",IF(H168="Inactive","Dormant",IF(AA168="","Dormant",IF(AB168&gt;InactiveClientDays*2,"Dormant",IF(AB168&gt;InactiveClientDays,"At risk",IF(AC168="","Slipping",IF(Y168&gt;=10,"Loyal","Steady"))))))))</f>
        <v>0</v>
      </c>
      <c r="AQ168" s="34">
        <f>IF(OR(B168="",AP168="Lost",AP168="Dormant"),"",IF(OR(AP168="At risk",AP168="Slipping"),IF(AB168="",999,AB168),""))</f>
        <v>0</v>
      </c>
      <c r="AR168" s="31">
        <f>IF(AQ168="","",COUNTIFS($AQ$5:$AQ$204,"&gt;"&amp;AQ168)+COUNTIFS($AQ$5:AQ168,AQ168))</f>
        <v>0</v>
      </c>
      <c r="AS168" s="39">
        <f>IF(B168="","",IF(AF168&gt;0.5,"Chase - "&amp;TEXT(AF168,"0")&amp;" owing",IF(AND(H168&lt;&gt;"Lost",H168&lt;&gt;"Inactive",H168&lt;&gt;"Paused",AC168="",K168&lt;&gt;"One-off"),"Book - nothing in the diary",IF(AND(S168&lt;&gt;"",S168-TodayDate&lt;=RenewalWarningDays,S168&gt;=TodayDate),"Due - contract renews soon",IF(AP168="At risk","Call - going quiet",IF(AL168&gt;=2,"Check - complaints logged",IF(AND(AI168&lt;&gt;"",AI168&lt;MarginFloor,Y168&gt;0),"Check - thin margin","OK")))))))</f>
        <v>0</v>
      </c>
    </row>
    <row r="169" spans="1:45">
      <c r="A169" s="43">
        <f>IF(B169="","",ClientPrefix&amp;TEXT(ROW()-4,"0000"))</f>
        <v>0</v>
      </c>
      <c r="W169" s="31">
        <f>IF(A169="","",COUNTIFS(Properties!$C$5:$C$254,A169))</f>
        <v>0</v>
      </c>
      <c r="X169" s="31">
        <f>IF(A169="","",COUNTIFS(Jobs!$G$5:$G$604,A169))</f>
        <v>0</v>
      </c>
      <c r="Y169" s="31">
        <f>IF(A169="","",COUNTIFS(Jobs!$G$5:$G$604,A169,Jobs!$P$5:$P$604,"Completed")+COUNTIFS(Jobs!$G$5:$G$604,A169,Jobs!$P$5:$P$604,"Invoiced"))</f>
        <v>0</v>
      </c>
      <c r="Z169" s="31">
        <f>IF(A169="","",COUNTIFS(Jobs!$G$5:$G$604,A169,Jobs!$P$5:$P$604,"Cancelled")+COUNTIFS(Jobs!$G$5:$G$604,A169,Jobs!$P$5:$P$604,"No access"))</f>
        <v>0</v>
      </c>
      <c r="AA169" s="18">
        <f>IF(A169="","",IF(SUMPRODUCT(MAX((Jobs!$G$5:$G$604=A169)*((Jobs!$P$5:$P$604="Completed")+(Jobs!$P$5:$P$604="Invoiced"))*Jobs!$B$5:$B$604))=0,"",SUMPRODUCT(MAX((Jobs!$G$5:$G$604=A169)*((Jobs!$P$5:$P$604="Completed")+(Jobs!$P$5:$P$604="Invoiced"))*Jobs!$B$5:$B$604))))</f>
        <v>0</v>
      </c>
      <c r="AB169" s="31">
        <f>IF(AA169="","",TodayDate-AA169)</f>
        <v>0</v>
      </c>
      <c r="AC169" s="18">
        <f>IF(A169="","",IF(SUMPRODUCT(MIN((Jobs!$G$5:$G$604=A169)*(Jobs!$B$5:$B$604&gt;=TodayDate)*(Jobs!$P$5:$P$604&lt;&gt;"Cancelled")*Jobs!$B$5:$B$604+(1-(Jobs!$G$5:$G$604=A169)*(Jobs!$B$5:$B$604&gt;=TodayDate)*(Jobs!$P$5:$P$604&lt;&gt;"Cancelled"))*2958465))=2958465,"",SUMPRODUCT(MIN((Jobs!$G$5:$G$604=A169)*(Jobs!$B$5:$B$604&gt;=TodayDate)*(Jobs!$P$5:$P$604&lt;&gt;"Cancelled")*Jobs!$B$5:$B$604+(1-(Jobs!$G$5:$G$604=A169)*(Jobs!$B$5:$B$604&gt;=TodayDate)*(Jobs!$P$5:$P$604&lt;&gt;"Cancelled"))*2958465))))</f>
        <v>0</v>
      </c>
      <c r="AD169" s="21">
        <f>IF(A169="","",SUMIFS(Invoices!$V$5:$V$404,Invoices!$D$5:$D$404,A169))</f>
        <v>0</v>
      </c>
      <c r="AE169" s="21">
        <f>IF(A169="","",SUMIFS(Invoices!$W$5:$W$404,Invoices!$D$5:$D$404,A169))</f>
        <v>0</v>
      </c>
      <c r="AF169" s="21">
        <f>IF(A169="","",AD169-AE169)</f>
        <v>0</v>
      </c>
      <c r="AG169" s="21">
        <f>IF(OR(A169="",Y169=0),"",AD169/Y169)</f>
        <v>0</v>
      </c>
      <c r="AH169" s="21">
        <f>IF(A169="","",SUMIFS('Job Costing'!$U$5:$U$604,'Job Costing'!$D$5:$D$604,A169))</f>
        <v>0</v>
      </c>
      <c r="AI169" s="38">
        <f>IF(OR(A169="",AD169=0),"",AH169/AD169)</f>
        <v>0</v>
      </c>
      <c r="AJ169" s="21">
        <f>IF(OR(A169="",K169="",AG169=""),"",AG169*IFERROR(INDEX(FreqPerYear,MATCH(K169,FreqNames,0)),1))</f>
        <v>0</v>
      </c>
      <c r="AK169" s="34">
        <f>IF(A169="","",IFERROR(AVERAGEIFS(Jobs!$AA$5:$AA$604,Jobs!$G$5:$G$604,A169,Jobs!$AA$5:$AA$604,"&gt;0"),""))</f>
        <v>0</v>
      </c>
      <c r="AL169" s="31">
        <f>IF(A169="","",COUNTIFS(Complaints!$D$5:$D$84,A169))</f>
        <v>0</v>
      </c>
      <c r="AM169" s="31">
        <f>IF(B169="","",COUNTIFS($AD$5:$AD$204,"&gt;"&amp;AD169)+COUNTIFS($AD$5:AD169,AD169))</f>
        <v>0</v>
      </c>
      <c r="AN169" s="31">
        <f>IF(B169="","",COUNTIFS($AH$5:$AH$204,"&gt;"&amp;AH169)+COUNTIFS($AH$5:AH169,AH169))</f>
        <v>0</v>
      </c>
      <c r="AO169" s="31">
        <f>IF(B169="","",COUNTIFS($AJ$5:$AJ$204,"&gt;"&amp;AJ169)+COUNTIFS($AJ$5:AJ169,AJ169))</f>
        <v>0</v>
      </c>
      <c r="AP169" s="39">
        <f>IF(B169="","",IF(H169="Lost","Lost",IF(H169="Inactive","Dormant",IF(AA169="","Dormant",IF(AB169&gt;InactiveClientDays*2,"Dormant",IF(AB169&gt;InactiveClientDays,"At risk",IF(AC169="","Slipping",IF(Y169&gt;=10,"Loyal","Steady"))))))))</f>
        <v>0</v>
      </c>
      <c r="AQ169" s="34">
        <f>IF(OR(B169="",AP169="Lost",AP169="Dormant"),"",IF(OR(AP169="At risk",AP169="Slipping"),IF(AB169="",999,AB169),""))</f>
        <v>0</v>
      </c>
      <c r="AR169" s="31">
        <f>IF(AQ169="","",COUNTIFS($AQ$5:$AQ$204,"&gt;"&amp;AQ169)+COUNTIFS($AQ$5:AQ169,AQ169))</f>
        <v>0</v>
      </c>
      <c r="AS169" s="39">
        <f>IF(B169="","",IF(AF169&gt;0.5,"Chase - "&amp;TEXT(AF169,"0")&amp;" owing",IF(AND(H169&lt;&gt;"Lost",H169&lt;&gt;"Inactive",H169&lt;&gt;"Paused",AC169="",K169&lt;&gt;"One-off"),"Book - nothing in the diary",IF(AND(S169&lt;&gt;"",S169-TodayDate&lt;=RenewalWarningDays,S169&gt;=TodayDate),"Due - contract renews soon",IF(AP169="At risk","Call - going quiet",IF(AL169&gt;=2,"Check - complaints logged",IF(AND(AI169&lt;&gt;"",AI169&lt;MarginFloor,Y169&gt;0),"Check - thin margin","OK")))))))</f>
        <v>0</v>
      </c>
    </row>
    <row r="170" spans="1:45">
      <c r="A170" s="43">
        <f>IF(B170="","",ClientPrefix&amp;TEXT(ROW()-4,"0000"))</f>
        <v>0</v>
      </c>
      <c r="W170" s="31">
        <f>IF(A170="","",COUNTIFS(Properties!$C$5:$C$254,A170))</f>
        <v>0</v>
      </c>
      <c r="X170" s="31">
        <f>IF(A170="","",COUNTIFS(Jobs!$G$5:$G$604,A170))</f>
        <v>0</v>
      </c>
      <c r="Y170" s="31">
        <f>IF(A170="","",COUNTIFS(Jobs!$G$5:$G$604,A170,Jobs!$P$5:$P$604,"Completed")+COUNTIFS(Jobs!$G$5:$G$604,A170,Jobs!$P$5:$P$604,"Invoiced"))</f>
        <v>0</v>
      </c>
      <c r="Z170" s="31">
        <f>IF(A170="","",COUNTIFS(Jobs!$G$5:$G$604,A170,Jobs!$P$5:$P$604,"Cancelled")+COUNTIFS(Jobs!$G$5:$G$604,A170,Jobs!$P$5:$P$604,"No access"))</f>
        <v>0</v>
      </c>
      <c r="AA170" s="18">
        <f>IF(A170="","",IF(SUMPRODUCT(MAX((Jobs!$G$5:$G$604=A170)*((Jobs!$P$5:$P$604="Completed")+(Jobs!$P$5:$P$604="Invoiced"))*Jobs!$B$5:$B$604))=0,"",SUMPRODUCT(MAX((Jobs!$G$5:$G$604=A170)*((Jobs!$P$5:$P$604="Completed")+(Jobs!$P$5:$P$604="Invoiced"))*Jobs!$B$5:$B$604))))</f>
        <v>0</v>
      </c>
      <c r="AB170" s="31">
        <f>IF(AA170="","",TodayDate-AA170)</f>
        <v>0</v>
      </c>
      <c r="AC170" s="18">
        <f>IF(A170="","",IF(SUMPRODUCT(MIN((Jobs!$G$5:$G$604=A170)*(Jobs!$B$5:$B$604&gt;=TodayDate)*(Jobs!$P$5:$P$604&lt;&gt;"Cancelled")*Jobs!$B$5:$B$604+(1-(Jobs!$G$5:$G$604=A170)*(Jobs!$B$5:$B$604&gt;=TodayDate)*(Jobs!$P$5:$P$604&lt;&gt;"Cancelled"))*2958465))=2958465,"",SUMPRODUCT(MIN((Jobs!$G$5:$G$604=A170)*(Jobs!$B$5:$B$604&gt;=TodayDate)*(Jobs!$P$5:$P$604&lt;&gt;"Cancelled")*Jobs!$B$5:$B$604+(1-(Jobs!$G$5:$G$604=A170)*(Jobs!$B$5:$B$604&gt;=TodayDate)*(Jobs!$P$5:$P$604&lt;&gt;"Cancelled"))*2958465))))</f>
        <v>0</v>
      </c>
      <c r="AD170" s="21">
        <f>IF(A170="","",SUMIFS(Invoices!$V$5:$V$404,Invoices!$D$5:$D$404,A170))</f>
        <v>0</v>
      </c>
      <c r="AE170" s="21">
        <f>IF(A170="","",SUMIFS(Invoices!$W$5:$W$404,Invoices!$D$5:$D$404,A170))</f>
        <v>0</v>
      </c>
      <c r="AF170" s="21">
        <f>IF(A170="","",AD170-AE170)</f>
        <v>0</v>
      </c>
      <c r="AG170" s="21">
        <f>IF(OR(A170="",Y170=0),"",AD170/Y170)</f>
        <v>0</v>
      </c>
      <c r="AH170" s="21">
        <f>IF(A170="","",SUMIFS('Job Costing'!$U$5:$U$604,'Job Costing'!$D$5:$D$604,A170))</f>
        <v>0</v>
      </c>
      <c r="AI170" s="38">
        <f>IF(OR(A170="",AD170=0),"",AH170/AD170)</f>
        <v>0</v>
      </c>
      <c r="AJ170" s="21">
        <f>IF(OR(A170="",K170="",AG170=""),"",AG170*IFERROR(INDEX(FreqPerYear,MATCH(K170,FreqNames,0)),1))</f>
        <v>0</v>
      </c>
      <c r="AK170" s="34">
        <f>IF(A170="","",IFERROR(AVERAGEIFS(Jobs!$AA$5:$AA$604,Jobs!$G$5:$G$604,A170,Jobs!$AA$5:$AA$604,"&gt;0"),""))</f>
        <v>0</v>
      </c>
      <c r="AL170" s="31">
        <f>IF(A170="","",COUNTIFS(Complaints!$D$5:$D$84,A170))</f>
        <v>0</v>
      </c>
      <c r="AM170" s="31">
        <f>IF(B170="","",COUNTIFS($AD$5:$AD$204,"&gt;"&amp;AD170)+COUNTIFS($AD$5:AD170,AD170))</f>
        <v>0</v>
      </c>
      <c r="AN170" s="31">
        <f>IF(B170="","",COUNTIFS($AH$5:$AH$204,"&gt;"&amp;AH170)+COUNTIFS($AH$5:AH170,AH170))</f>
        <v>0</v>
      </c>
      <c r="AO170" s="31">
        <f>IF(B170="","",COUNTIFS($AJ$5:$AJ$204,"&gt;"&amp;AJ170)+COUNTIFS($AJ$5:AJ170,AJ170))</f>
        <v>0</v>
      </c>
      <c r="AP170" s="39">
        <f>IF(B170="","",IF(H170="Lost","Lost",IF(H170="Inactive","Dormant",IF(AA170="","Dormant",IF(AB170&gt;InactiveClientDays*2,"Dormant",IF(AB170&gt;InactiveClientDays,"At risk",IF(AC170="","Slipping",IF(Y170&gt;=10,"Loyal","Steady"))))))))</f>
        <v>0</v>
      </c>
      <c r="AQ170" s="34">
        <f>IF(OR(B170="",AP170="Lost",AP170="Dormant"),"",IF(OR(AP170="At risk",AP170="Slipping"),IF(AB170="",999,AB170),""))</f>
        <v>0</v>
      </c>
      <c r="AR170" s="31">
        <f>IF(AQ170="","",COUNTIFS($AQ$5:$AQ$204,"&gt;"&amp;AQ170)+COUNTIFS($AQ$5:AQ170,AQ170))</f>
        <v>0</v>
      </c>
      <c r="AS170" s="39">
        <f>IF(B170="","",IF(AF170&gt;0.5,"Chase - "&amp;TEXT(AF170,"0")&amp;" owing",IF(AND(H170&lt;&gt;"Lost",H170&lt;&gt;"Inactive",H170&lt;&gt;"Paused",AC170="",K170&lt;&gt;"One-off"),"Book - nothing in the diary",IF(AND(S170&lt;&gt;"",S170-TodayDate&lt;=RenewalWarningDays,S170&gt;=TodayDate),"Due - contract renews soon",IF(AP170="At risk","Call - going quiet",IF(AL170&gt;=2,"Check - complaints logged",IF(AND(AI170&lt;&gt;"",AI170&lt;MarginFloor,Y170&gt;0),"Check - thin margin","OK")))))))</f>
        <v>0</v>
      </c>
    </row>
    <row r="171" spans="1:45">
      <c r="A171" s="43">
        <f>IF(B171="","",ClientPrefix&amp;TEXT(ROW()-4,"0000"))</f>
        <v>0</v>
      </c>
      <c r="W171" s="31">
        <f>IF(A171="","",COUNTIFS(Properties!$C$5:$C$254,A171))</f>
        <v>0</v>
      </c>
      <c r="X171" s="31">
        <f>IF(A171="","",COUNTIFS(Jobs!$G$5:$G$604,A171))</f>
        <v>0</v>
      </c>
      <c r="Y171" s="31">
        <f>IF(A171="","",COUNTIFS(Jobs!$G$5:$G$604,A171,Jobs!$P$5:$P$604,"Completed")+COUNTIFS(Jobs!$G$5:$G$604,A171,Jobs!$P$5:$P$604,"Invoiced"))</f>
        <v>0</v>
      </c>
      <c r="Z171" s="31">
        <f>IF(A171="","",COUNTIFS(Jobs!$G$5:$G$604,A171,Jobs!$P$5:$P$604,"Cancelled")+COUNTIFS(Jobs!$G$5:$G$604,A171,Jobs!$P$5:$P$604,"No access"))</f>
        <v>0</v>
      </c>
      <c r="AA171" s="18">
        <f>IF(A171="","",IF(SUMPRODUCT(MAX((Jobs!$G$5:$G$604=A171)*((Jobs!$P$5:$P$604="Completed")+(Jobs!$P$5:$P$604="Invoiced"))*Jobs!$B$5:$B$604))=0,"",SUMPRODUCT(MAX((Jobs!$G$5:$G$604=A171)*((Jobs!$P$5:$P$604="Completed")+(Jobs!$P$5:$P$604="Invoiced"))*Jobs!$B$5:$B$604))))</f>
        <v>0</v>
      </c>
      <c r="AB171" s="31">
        <f>IF(AA171="","",TodayDate-AA171)</f>
        <v>0</v>
      </c>
      <c r="AC171" s="18">
        <f>IF(A171="","",IF(SUMPRODUCT(MIN((Jobs!$G$5:$G$604=A171)*(Jobs!$B$5:$B$604&gt;=TodayDate)*(Jobs!$P$5:$P$604&lt;&gt;"Cancelled")*Jobs!$B$5:$B$604+(1-(Jobs!$G$5:$G$604=A171)*(Jobs!$B$5:$B$604&gt;=TodayDate)*(Jobs!$P$5:$P$604&lt;&gt;"Cancelled"))*2958465))=2958465,"",SUMPRODUCT(MIN((Jobs!$G$5:$G$604=A171)*(Jobs!$B$5:$B$604&gt;=TodayDate)*(Jobs!$P$5:$P$604&lt;&gt;"Cancelled")*Jobs!$B$5:$B$604+(1-(Jobs!$G$5:$G$604=A171)*(Jobs!$B$5:$B$604&gt;=TodayDate)*(Jobs!$P$5:$P$604&lt;&gt;"Cancelled"))*2958465))))</f>
        <v>0</v>
      </c>
      <c r="AD171" s="21">
        <f>IF(A171="","",SUMIFS(Invoices!$V$5:$V$404,Invoices!$D$5:$D$404,A171))</f>
        <v>0</v>
      </c>
      <c r="AE171" s="21">
        <f>IF(A171="","",SUMIFS(Invoices!$W$5:$W$404,Invoices!$D$5:$D$404,A171))</f>
        <v>0</v>
      </c>
      <c r="AF171" s="21">
        <f>IF(A171="","",AD171-AE171)</f>
        <v>0</v>
      </c>
      <c r="AG171" s="21">
        <f>IF(OR(A171="",Y171=0),"",AD171/Y171)</f>
        <v>0</v>
      </c>
      <c r="AH171" s="21">
        <f>IF(A171="","",SUMIFS('Job Costing'!$U$5:$U$604,'Job Costing'!$D$5:$D$604,A171))</f>
        <v>0</v>
      </c>
      <c r="AI171" s="38">
        <f>IF(OR(A171="",AD171=0),"",AH171/AD171)</f>
        <v>0</v>
      </c>
      <c r="AJ171" s="21">
        <f>IF(OR(A171="",K171="",AG171=""),"",AG171*IFERROR(INDEX(FreqPerYear,MATCH(K171,FreqNames,0)),1))</f>
        <v>0</v>
      </c>
      <c r="AK171" s="34">
        <f>IF(A171="","",IFERROR(AVERAGEIFS(Jobs!$AA$5:$AA$604,Jobs!$G$5:$G$604,A171,Jobs!$AA$5:$AA$604,"&gt;0"),""))</f>
        <v>0</v>
      </c>
      <c r="AL171" s="31">
        <f>IF(A171="","",COUNTIFS(Complaints!$D$5:$D$84,A171))</f>
        <v>0</v>
      </c>
      <c r="AM171" s="31">
        <f>IF(B171="","",COUNTIFS($AD$5:$AD$204,"&gt;"&amp;AD171)+COUNTIFS($AD$5:AD171,AD171))</f>
        <v>0</v>
      </c>
      <c r="AN171" s="31">
        <f>IF(B171="","",COUNTIFS($AH$5:$AH$204,"&gt;"&amp;AH171)+COUNTIFS($AH$5:AH171,AH171))</f>
        <v>0</v>
      </c>
      <c r="AO171" s="31">
        <f>IF(B171="","",COUNTIFS($AJ$5:$AJ$204,"&gt;"&amp;AJ171)+COUNTIFS($AJ$5:AJ171,AJ171))</f>
        <v>0</v>
      </c>
      <c r="AP171" s="39">
        <f>IF(B171="","",IF(H171="Lost","Lost",IF(H171="Inactive","Dormant",IF(AA171="","Dormant",IF(AB171&gt;InactiveClientDays*2,"Dormant",IF(AB171&gt;InactiveClientDays,"At risk",IF(AC171="","Slipping",IF(Y171&gt;=10,"Loyal","Steady"))))))))</f>
        <v>0</v>
      </c>
      <c r="AQ171" s="34">
        <f>IF(OR(B171="",AP171="Lost",AP171="Dormant"),"",IF(OR(AP171="At risk",AP171="Slipping"),IF(AB171="",999,AB171),""))</f>
        <v>0</v>
      </c>
      <c r="AR171" s="31">
        <f>IF(AQ171="","",COUNTIFS($AQ$5:$AQ$204,"&gt;"&amp;AQ171)+COUNTIFS($AQ$5:AQ171,AQ171))</f>
        <v>0</v>
      </c>
      <c r="AS171" s="39">
        <f>IF(B171="","",IF(AF171&gt;0.5,"Chase - "&amp;TEXT(AF171,"0")&amp;" owing",IF(AND(H171&lt;&gt;"Lost",H171&lt;&gt;"Inactive",H171&lt;&gt;"Paused",AC171="",K171&lt;&gt;"One-off"),"Book - nothing in the diary",IF(AND(S171&lt;&gt;"",S171-TodayDate&lt;=RenewalWarningDays,S171&gt;=TodayDate),"Due - contract renews soon",IF(AP171="At risk","Call - going quiet",IF(AL171&gt;=2,"Check - complaints logged",IF(AND(AI171&lt;&gt;"",AI171&lt;MarginFloor,Y171&gt;0),"Check - thin margin","OK")))))))</f>
        <v>0</v>
      </c>
    </row>
    <row r="172" spans="1:45">
      <c r="A172" s="43">
        <f>IF(B172="","",ClientPrefix&amp;TEXT(ROW()-4,"0000"))</f>
        <v>0</v>
      </c>
      <c r="W172" s="31">
        <f>IF(A172="","",COUNTIFS(Properties!$C$5:$C$254,A172))</f>
        <v>0</v>
      </c>
      <c r="X172" s="31">
        <f>IF(A172="","",COUNTIFS(Jobs!$G$5:$G$604,A172))</f>
        <v>0</v>
      </c>
      <c r="Y172" s="31">
        <f>IF(A172="","",COUNTIFS(Jobs!$G$5:$G$604,A172,Jobs!$P$5:$P$604,"Completed")+COUNTIFS(Jobs!$G$5:$G$604,A172,Jobs!$P$5:$P$604,"Invoiced"))</f>
        <v>0</v>
      </c>
      <c r="Z172" s="31">
        <f>IF(A172="","",COUNTIFS(Jobs!$G$5:$G$604,A172,Jobs!$P$5:$P$604,"Cancelled")+COUNTIFS(Jobs!$G$5:$G$604,A172,Jobs!$P$5:$P$604,"No access"))</f>
        <v>0</v>
      </c>
      <c r="AA172" s="18">
        <f>IF(A172="","",IF(SUMPRODUCT(MAX((Jobs!$G$5:$G$604=A172)*((Jobs!$P$5:$P$604="Completed")+(Jobs!$P$5:$P$604="Invoiced"))*Jobs!$B$5:$B$604))=0,"",SUMPRODUCT(MAX((Jobs!$G$5:$G$604=A172)*((Jobs!$P$5:$P$604="Completed")+(Jobs!$P$5:$P$604="Invoiced"))*Jobs!$B$5:$B$604))))</f>
        <v>0</v>
      </c>
      <c r="AB172" s="31">
        <f>IF(AA172="","",TodayDate-AA172)</f>
        <v>0</v>
      </c>
      <c r="AC172" s="18">
        <f>IF(A172="","",IF(SUMPRODUCT(MIN((Jobs!$G$5:$G$604=A172)*(Jobs!$B$5:$B$604&gt;=TodayDate)*(Jobs!$P$5:$P$604&lt;&gt;"Cancelled")*Jobs!$B$5:$B$604+(1-(Jobs!$G$5:$G$604=A172)*(Jobs!$B$5:$B$604&gt;=TodayDate)*(Jobs!$P$5:$P$604&lt;&gt;"Cancelled"))*2958465))=2958465,"",SUMPRODUCT(MIN((Jobs!$G$5:$G$604=A172)*(Jobs!$B$5:$B$604&gt;=TodayDate)*(Jobs!$P$5:$P$604&lt;&gt;"Cancelled")*Jobs!$B$5:$B$604+(1-(Jobs!$G$5:$G$604=A172)*(Jobs!$B$5:$B$604&gt;=TodayDate)*(Jobs!$P$5:$P$604&lt;&gt;"Cancelled"))*2958465))))</f>
        <v>0</v>
      </c>
      <c r="AD172" s="21">
        <f>IF(A172="","",SUMIFS(Invoices!$V$5:$V$404,Invoices!$D$5:$D$404,A172))</f>
        <v>0</v>
      </c>
      <c r="AE172" s="21">
        <f>IF(A172="","",SUMIFS(Invoices!$W$5:$W$404,Invoices!$D$5:$D$404,A172))</f>
        <v>0</v>
      </c>
      <c r="AF172" s="21">
        <f>IF(A172="","",AD172-AE172)</f>
        <v>0</v>
      </c>
      <c r="AG172" s="21">
        <f>IF(OR(A172="",Y172=0),"",AD172/Y172)</f>
        <v>0</v>
      </c>
      <c r="AH172" s="21">
        <f>IF(A172="","",SUMIFS('Job Costing'!$U$5:$U$604,'Job Costing'!$D$5:$D$604,A172))</f>
        <v>0</v>
      </c>
      <c r="AI172" s="38">
        <f>IF(OR(A172="",AD172=0),"",AH172/AD172)</f>
        <v>0</v>
      </c>
      <c r="AJ172" s="21">
        <f>IF(OR(A172="",K172="",AG172=""),"",AG172*IFERROR(INDEX(FreqPerYear,MATCH(K172,FreqNames,0)),1))</f>
        <v>0</v>
      </c>
      <c r="AK172" s="34">
        <f>IF(A172="","",IFERROR(AVERAGEIFS(Jobs!$AA$5:$AA$604,Jobs!$G$5:$G$604,A172,Jobs!$AA$5:$AA$604,"&gt;0"),""))</f>
        <v>0</v>
      </c>
      <c r="AL172" s="31">
        <f>IF(A172="","",COUNTIFS(Complaints!$D$5:$D$84,A172))</f>
        <v>0</v>
      </c>
      <c r="AM172" s="31">
        <f>IF(B172="","",COUNTIFS($AD$5:$AD$204,"&gt;"&amp;AD172)+COUNTIFS($AD$5:AD172,AD172))</f>
        <v>0</v>
      </c>
      <c r="AN172" s="31">
        <f>IF(B172="","",COUNTIFS($AH$5:$AH$204,"&gt;"&amp;AH172)+COUNTIFS($AH$5:AH172,AH172))</f>
        <v>0</v>
      </c>
      <c r="AO172" s="31">
        <f>IF(B172="","",COUNTIFS($AJ$5:$AJ$204,"&gt;"&amp;AJ172)+COUNTIFS($AJ$5:AJ172,AJ172))</f>
        <v>0</v>
      </c>
      <c r="AP172" s="39">
        <f>IF(B172="","",IF(H172="Lost","Lost",IF(H172="Inactive","Dormant",IF(AA172="","Dormant",IF(AB172&gt;InactiveClientDays*2,"Dormant",IF(AB172&gt;InactiveClientDays,"At risk",IF(AC172="","Slipping",IF(Y172&gt;=10,"Loyal","Steady"))))))))</f>
        <v>0</v>
      </c>
      <c r="AQ172" s="34">
        <f>IF(OR(B172="",AP172="Lost",AP172="Dormant"),"",IF(OR(AP172="At risk",AP172="Slipping"),IF(AB172="",999,AB172),""))</f>
        <v>0</v>
      </c>
      <c r="AR172" s="31">
        <f>IF(AQ172="","",COUNTIFS($AQ$5:$AQ$204,"&gt;"&amp;AQ172)+COUNTIFS($AQ$5:AQ172,AQ172))</f>
        <v>0</v>
      </c>
      <c r="AS172" s="39">
        <f>IF(B172="","",IF(AF172&gt;0.5,"Chase - "&amp;TEXT(AF172,"0")&amp;" owing",IF(AND(H172&lt;&gt;"Lost",H172&lt;&gt;"Inactive",H172&lt;&gt;"Paused",AC172="",K172&lt;&gt;"One-off"),"Book - nothing in the diary",IF(AND(S172&lt;&gt;"",S172-TodayDate&lt;=RenewalWarningDays,S172&gt;=TodayDate),"Due - contract renews soon",IF(AP172="At risk","Call - going quiet",IF(AL172&gt;=2,"Check - complaints logged",IF(AND(AI172&lt;&gt;"",AI172&lt;MarginFloor,Y172&gt;0),"Check - thin margin","OK")))))))</f>
        <v>0</v>
      </c>
    </row>
    <row r="173" spans="1:45">
      <c r="A173" s="43">
        <f>IF(B173="","",ClientPrefix&amp;TEXT(ROW()-4,"0000"))</f>
        <v>0</v>
      </c>
      <c r="W173" s="31">
        <f>IF(A173="","",COUNTIFS(Properties!$C$5:$C$254,A173))</f>
        <v>0</v>
      </c>
      <c r="X173" s="31">
        <f>IF(A173="","",COUNTIFS(Jobs!$G$5:$G$604,A173))</f>
        <v>0</v>
      </c>
      <c r="Y173" s="31">
        <f>IF(A173="","",COUNTIFS(Jobs!$G$5:$G$604,A173,Jobs!$P$5:$P$604,"Completed")+COUNTIFS(Jobs!$G$5:$G$604,A173,Jobs!$P$5:$P$604,"Invoiced"))</f>
        <v>0</v>
      </c>
      <c r="Z173" s="31">
        <f>IF(A173="","",COUNTIFS(Jobs!$G$5:$G$604,A173,Jobs!$P$5:$P$604,"Cancelled")+COUNTIFS(Jobs!$G$5:$G$604,A173,Jobs!$P$5:$P$604,"No access"))</f>
        <v>0</v>
      </c>
      <c r="AA173" s="18">
        <f>IF(A173="","",IF(SUMPRODUCT(MAX((Jobs!$G$5:$G$604=A173)*((Jobs!$P$5:$P$604="Completed")+(Jobs!$P$5:$P$604="Invoiced"))*Jobs!$B$5:$B$604))=0,"",SUMPRODUCT(MAX((Jobs!$G$5:$G$604=A173)*((Jobs!$P$5:$P$604="Completed")+(Jobs!$P$5:$P$604="Invoiced"))*Jobs!$B$5:$B$604))))</f>
        <v>0</v>
      </c>
      <c r="AB173" s="31">
        <f>IF(AA173="","",TodayDate-AA173)</f>
        <v>0</v>
      </c>
      <c r="AC173" s="18">
        <f>IF(A173="","",IF(SUMPRODUCT(MIN((Jobs!$G$5:$G$604=A173)*(Jobs!$B$5:$B$604&gt;=TodayDate)*(Jobs!$P$5:$P$604&lt;&gt;"Cancelled")*Jobs!$B$5:$B$604+(1-(Jobs!$G$5:$G$604=A173)*(Jobs!$B$5:$B$604&gt;=TodayDate)*(Jobs!$P$5:$P$604&lt;&gt;"Cancelled"))*2958465))=2958465,"",SUMPRODUCT(MIN((Jobs!$G$5:$G$604=A173)*(Jobs!$B$5:$B$604&gt;=TodayDate)*(Jobs!$P$5:$P$604&lt;&gt;"Cancelled")*Jobs!$B$5:$B$604+(1-(Jobs!$G$5:$G$604=A173)*(Jobs!$B$5:$B$604&gt;=TodayDate)*(Jobs!$P$5:$P$604&lt;&gt;"Cancelled"))*2958465))))</f>
        <v>0</v>
      </c>
      <c r="AD173" s="21">
        <f>IF(A173="","",SUMIFS(Invoices!$V$5:$V$404,Invoices!$D$5:$D$404,A173))</f>
        <v>0</v>
      </c>
      <c r="AE173" s="21">
        <f>IF(A173="","",SUMIFS(Invoices!$W$5:$W$404,Invoices!$D$5:$D$404,A173))</f>
        <v>0</v>
      </c>
      <c r="AF173" s="21">
        <f>IF(A173="","",AD173-AE173)</f>
        <v>0</v>
      </c>
      <c r="AG173" s="21">
        <f>IF(OR(A173="",Y173=0),"",AD173/Y173)</f>
        <v>0</v>
      </c>
      <c r="AH173" s="21">
        <f>IF(A173="","",SUMIFS('Job Costing'!$U$5:$U$604,'Job Costing'!$D$5:$D$604,A173))</f>
        <v>0</v>
      </c>
      <c r="AI173" s="38">
        <f>IF(OR(A173="",AD173=0),"",AH173/AD173)</f>
        <v>0</v>
      </c>
      <c r="AJ173" s="21">
        <f>IF(OR(A173="",K173="",AG173=""),"",AG173*IFERROR(INDEX(FreqPerYear,MATCH(K173,FreqNames,0)),1))</f>
        <v>0</v>
      </c>
      <c r="AK173" s="34">
        <f>IF(A173="","",IFERROR(AVERAGEIFS(Jobs!$AA$5:$AA$604,Jobs!$G$5:$G$604,A173,Jobs!$AA$5:$AA$604,"&gt;0"),""))</f>
        <v>0</v>
      </c>
      <c r="AL173" s="31">
        <f>IF(A173="","",COUNTIFS(Complaints!$D$5:$D$84,A173))</f>
        <v>0</v>
      </c>
      <c r="AM173" s="31">
        <f>IF(B173="","",COUNTIFS($AD$5:$AD$204,"&gt;"&amp;AD173)+COUNTIFS($AD$5:AD173,AD173))</f>
        <v>0</v>
      </c>
      <c r="AN173" s="31">
        <f>IF(B173="","",COUNTIFS($AH$5:$AH$204,"&gt;"&amp;AH173)+COUNTIFS($AH$5:AH173,AH173))</f>
        <v>0</v>
      </c>
      <c r="AO173" s="31">
        <f>IF(B173="","",COUNTIFS($AJ$5:$AJ$204,"&gt;"&amp;AJ173)+COUNTIFS($AJ$5:AJ173,AJ173))</f>
        <v>0</v>
      </c>
      <c r="AP173" s="39">
        <f>IF(B173="","",IF(H173="Lost","Lost",IF(H173="Inactive","Dormant",IF(AA173="","Dormant",IF(AB173&gt;InactiveClientDays*2,"Dormant",IF(AB173&gt;InactiveClientDays,"At risk",IF(AC173="","Slipping",IF(Y173&gt;=10,"Loyal","Steady"))))))))</f>
        <v>0</v>
      </c>
      <c r="AQ173" s="34">
        <f>IF(OR(B173="",AP173="Lost",AP173="Dormant"),"",IF(OR(AP173="At risk",AP173="Slipping"),IF(AB173="",999,AB173),""))</f>
        <v>0</v>
      </c>
      <c r="AR173" s="31">
        <f>IF(AQ173="","",COUNTIFS($AQ$5:$AQ$204,"&gt;"&amp;AQ173)+COUNTIFS($AQ$5:AQ173,AQ173))</f>
        <v>0</v>
      </c>
      <c r="AS173" s="39">
        <f>IF(B173="","",IF(AF173&gt;0.5,"Chase - "&amp;TEXT(AF173,"0")&amp;" owing",IF(AND(H173&lt;&gt;"Lost",H173&lt;&gt;"Inactive",H173&lt;&gt;"Paused",AC173="",K173&lt;&gt;"One-off"),"Book - nothing in the diary",IF(AND(S173&lt;&gt;"",S173-TodayDate&lt;=RenewalWarningDays,S173&gt;=TodayDate),"Due - contract renews soon",IF(AP173="At risk","Call - going quiet",IF(AL173&gt;=2,"Check - complaints logged",IF(AND(AI173&lt;&gt;"",AI173&lt;MarginFloor,Y173&gt;0),"Check - thin margin","OK")))))))</f>
        <v>0</v>
      </c>
    </row>
    <row r="174" spans="1:45">
      <c r="A174" s="43">
        <f>IF(B174="","",ClientPrefix&amp;TEXT(ROW()-4,"0000"))</f>
        <v>0</v>
      </c>
      <c r="W174" s="31">
        <f>IF(A174="","",COUNTIFS(Properties!$C$5:$C$254,A174))</f>
        <v>0</v>
      </c>
      <c r="X174" s="31">
        <f>IF(A174="","",COUNTIFS(Jobs!$G$5:$G$604,A174))</f>
        <v>0</v>
      </c>
      <c r="Y174" s="31">
        <f>IF(A174="","",COUNTIFS(Jobs!$G$5:$G$604,A174,Jobs!$P$5:$P$604,"Completed")+COUNTIFS(Jobs!$G$5:$G$604,A174,Jobs!$P$5:$P$604,"Invoiced"))</f>
        <v>0</v>
      </c>
      <c r="Z174" s="31">
        <f>IF(A174="","",COUNTIFS(Jobs!$G$5:$G$604,A174,Jobs!$P$5:$P$604,"Cancelled")+COUNTIFS(Jobs!$G$5:$G$604,A174,Jobs!$P$5:$P$604,"No access"))</f>
        <v>0</v>
      </c>
      <c r="AA174" s="18">
        <f>IF(A174="","",IF(SUMPRODUCT(MAX((Jobs!$G$5:$G$604=A174)*((Jobs!$P$5:$P$604="Completed")+(Jobs!$P$5:$P$604="Invoiced"))*Jobs!$B$5:$B$604))=0,"",SUMPRODUCT(MAX((Jobs!$G$5:$G$604=A174)*((Jobs!$P$5:$P$604="Completed")+(Jobs!$P$5:$P$604="Invoiced"))*Jobs!$B$5:$B$604))))</f>
        <v>0</v>
      </c>
      <c r="AB174" s="31">
        <f>IF(AA174="","",TodayDate-AA174)</f>
        <v>0</v>
      </c>
      <c r="AC174" s="18">
        <f>IF(A174="","",IF(SUMPRODUCT(MIN((Jobs!$G$5:$G$604=A174)*(Jobs!$B$5:$B$604&gt;=TodayDate)*(Jobs!$P$5:$P$604&lt;&gt;"Cancelled")*Jobs!$B$5:$B$604+(1-(Jobs!$G$5:$G$604=A174)*(Jobs!$B$5:$B$604&gt;=TodayDate)*(Jobs!$P$5:$P$604&lt;&gt;"Cancelled"))*2958465))=2958465,"",SUMPRODUCT(MIN((Jobs!$G$5:$G$604=A174)*(Jobs!$B$5:$B$604&gt;=TodayDate)*(Jobs!$P$5:$P$604&lt;&gt;"Cancelled")*Jobs!$B$5:$B$604+(1-(Jobs!$G$5:$G$604=A174)*(Jobs!$B$5:$B$604&gt;=TodayDate)*(Jobs!$P$5:$P$604&lt;&gt;"Cancelled"))*2958465))))</f>
        <v>0</v>
      </c>
      <c r="AD174" s="21">
        <f>IF(A174="","",SUMIFS(Invoices!$V$5:$V$404,Invoices!$D$5:$D$404,A174))</f>
        <v>0</v>
      </c>
      <c r="AE174" s="21">
        <f>IF(A174="","",SUMIFS(Invoices!$W$5:$W$404,Invoices!$D$5:$D$404,A174))</f>
        <v>0</v>
      </c>
      <c r="AF174" s="21">
        <f>IF(A174="","",AD174-AE174)</f>
        <v>0</v>
      </c>
      <c r="AG174" s="21">
        <f>IF(OR(A174="",Y174=0),"",AD174/Y174)</f>
        <v>0</v>
      </c>
      <c r="AH174" s="21">
        <f>IF(A174="","",SUMIFS('Job Costing'!$U$5:$U$604,'Job Costing'!$D$5:$D$604,A174))</f>
        <v>0</v>
      </c>
      <c r="AI174" s="38">
        <f>IF(OR(A174="",AD174=0),"",AH174/AD174)</f>
        <v>0</v>
      </c>
      <c r="AJ174" s="21">
        <f>IF(OR(A174="",K174="",AG174=""),"",AG174*IFERROR(INDEX(FreqPerYear,MATCH(K174,FreqNames,0)),1))</f>
        <v>0</v>
      </c>
      <c r="AK174" s="34">
        <f>IF(A174="","",IFERROR(AVERAGEIFS(Jobs!$AA$5:$AA$604,Jobs!$G$5:$G$604,A174,Jobs!$AA$5:$AA$604,"&gt;0"),""))</f>
        <v>0</v>
      </c>
      <c r="AL174" s="31">
        <f>IF(A174="","",COUNTIFS(Complaints!$D$5:$D$84,A174))</f>
        <v>0</v>
      </c>
      <c r="AM174" s="31">
        <f>IF(B174="","",COUNTIFS($AD$5:$AD$204,"&gt;"&amp;AD174)+COUNTIFS($AD$5:AD174,AD174))</f>
        <v>0</v>
      </c>
      <c r="AN174" s="31">
        <f>IF(B174="","",COUNTIFS($AH$5:$AH$204,"&gt;"&amp;AH174)+COUNTIFS($AH$5:AH174,AH174))</f>
        <v>0</v>
      </c>
      <c r="AO174" s="31">
        <f>IF(B174="","",COUNTIFS($AJ$5:$AJ$204,"&gt;"&amp;AJ174)+COUNTIFS($AJ$5:AJ174,AJ174))</f>
        <v>0</v>
      </c>
      <c r="AP174" s="39">
        <f>IF(B174="","",IF(H174="Lost","Lost",IF(H174="Inactive","Dormant",IF(AA174="","Dormant",IF(AB174&gt;InactiveClientDays*2,"Dormant",IF(AB174&gt;InactiveClientDays,"At risk",IF(AC174="","Slipping",IF(Y174&gt;=10,"Loyal","Steady"))))))))</f>
        <v>0</v>
      </c>
      <c r="AQ174" s="34">
        <f>IF(OR(B174="",AP174="Lost",AP174="Dormant"),"",IF(OR(AP174="At risk",AP174="Slipping"),IF(AB174="",999,AB174),""))</f>
        <v>0</v>
      </c>
      <c r="AR174" s="31">
        <f>IF(AQ174="","",COUNTIFS($AQ$5:$AQ$204,"&gt;"&amp;AQ174)+COUNTIFS($AQ$5:AQ174,AQ174))</f>
        <v>0</v>
      </c>
      <c r="AS174" s="39">
        <f>IF(B174="","",IF(AF174&gt;0.5,"Chase - "&amp;TEXT(AF174,"0")&amp;" owing",IF(AND(H174&lt;&gt;"Lost",H174&lt;&gt;"Inactive",H174&lt;&gt;"Paused",AC174="",K174&lt;&gt;"One-off"),"Book - nothing in the diary",IF(AND(S174&lt;&gt;"",S174-TodayDate&lt;=RenewalWarningDays,S174&gt;=TodayDate),"Due - contract renews soon",IF(AP174="At risk","Call - going quiet",IF(AL174&gt;=2,"Check - complaints logged",IF(AND(AI174&lt;&gt;"",AI174&lt;MarginFloor,Y174&gt;0),"Check - thin margin","OK")))))))</f>
        <v>0</v>
      </c>
    </row>
    <row r="175" spans="1:45">
      <c r="A175" s="43">
        <f>IF(B175="","",ClientPrefix&amp;TEXT(ROW()-4,"0000"))</f>
        <v>0</v>
      </c>
      <c r="W175" s="31">
        <f>IF(A175="","",COUNTIFS(Properties!$C$5:$C$254,A175))</f>
        <v>0</v>
      </c>
      <c r="X175" s="31">
        <f>IF(A175="","",COUNTIFS(Jobs!$G$5:$G$604,A175))</f>
        <v>0</v>
      </c>
      <c r="Y175" s="31">
        <f>IF(A175="","",COUNTIFS(Jobs!$G$5:$G$604,A175,Jobs!$P$5:$P$604,"Completed")+COUNTIFS(Jobs!$G$5:$G$604,A175,Jobs!$P$5:$P$604,"Invoiced"))</f>
        <v>0</v>
      </c>
      <c r="Z175" s="31">
        <f>IF(A175="","",COUNTIFS(Jobs!$G$5:$G$604,A175,Jobs!$P$5:$P$604,"Cancelled")+COUNTIFS(Jobs!$G$5:$G$604,A175,Jobs!$P$5:$P$604,"No access"))</f>
        <v>0</v>
      </c>
      <c r="AA175" s="18">
        <f>IF(A175="","",IF(SUMPRODUCT(MAX((Jobs!$G$5:$G$604=A175)*((Jobs!$P$5:$P$604="Completed")+(Jobs!$P$5:$P$604="Invoiced"))*Jobs!$B$5:$B$604))=0,"",SUMPRODUCT(MAX((Jobs!$G$5:$G$604=A175)*((Jobs!$P$5:$P$604="Completed")+(Jobs!$P$5:$P$604="Invoiced"))*Jobs!$B$5:$B$604))))</f>
        <v>0</v>
      </c>
      <c r="AB175" s="31">
        <f>IF(AA175="","",TodayDate-AA175)</f>
        <v>0</v>
      </c>
      <c r="AC175" s="18">
        <f>IF(A175="","",IF(SUMPRODUCT(MIN((Jobs!$G$5:$G$604=A175)*(Jobs!$B$5:$B$604&gt;=TodayDate)*(Jobs!$P$5:$P$604&lt;&gt;"Cancelled")*Jobs!$B$5:$B$604+(1-(Jobs!$G$5:$G$604=A175)*(Jobs!$B$5:$B$604&gt;=TodayDate)*(Jobs!$P$5:$P$604&lt;&gt;"Cancelled"))*2958465))=2958465,"",SUMPRODUCT(MIN((Jobs!$G$5:$G$604=A175)*(Jobs!$B$5:$B$604&gt;=TodayDate)*(Jobs!$P$5:$P$604&lt;&gt;"Cancelled")*Jobs!$B$5:$B$604+(1-(Jobs!$G$5:$G$604=A175)*(Jobs!$B$5:$B$604&gt;=TodayDate)*(Jobs!$P$5:$P$604&lt;&gt;"Cancelled"))*2958465))))</f>
        <v>0</v>
      </c>
      <c r="AD175" s="21">
        <f>IF(A175="","",SUMIFS(Invoices!$V$5:$V$404,Invoices!$D$5:$D$404,A175))</f>
        <v>0</v>
      </c>
      <c r="AE175" s="21">
        <f>IF(A175="","",SUMIFS(Invoices!$W$5:$W$404,Invoices!$D$5:$D$404,A175))</f>
        <v>0</v>
      </c>
      <c r="AF175" s="21">
        <f>IF(A175="","",AD175-AE175)</f>
        <v>0</v>
      </c>
      <c r="AG175" s="21">
        <f>IF(OR(A175="",Y175=0),"",AD175/Y175)</f>
        <v>0</v>
      </c>
      <c r="AH175" s="21">
        <f>IF(A175="","",SUMIFS('Job Costing'!$U$5:$U$604,'Job Costing'!$D$5:$D$604,A175))</f>
        <v>0</v>
      </c>
      <c r="AI175" s="38">
        <f>IF(OR(A175="",AD175=0),"",AH175/AD175)</f>
        <v>0</v>
      </c>
      <c r="AJ175" s="21">
        <f>IF(OR(A175="",K175="",AG175=""),"",AG175*IFERROR(INDEX(FreqPerYear,MATCH(K175,FreqNames,0)),1))</f>
        <v>0</v>
      </c>
      <c r="AK175" s="34">
        <f>IF(A175="","",IFERROR(AVERAGEIFS(Jobs!$AA$5:$AA$604,Jobs!$G$5:$G$604,A175,Jobs!$AA$5:$AA$604,"&gt;0"),""))</f>
        <v>0</v>
      </c>
      <c r="AL175" s="31">
        <f>IF(A175="","",COUNTIFS(Complaints!$D$5:$D$84,A175))</f>
        <v>0</v>
      </c>
      <c r="AM175" s="31">
        <f>IF(B175="","",COUNTIFS($AD$5:$AD$204,"&gt;"&amp;AD175)+COUNTIFS($AD$5:AD175,AD175))</f>
        <v>0</v>
      </c>
      <c r="AN175" s="31">
        <f>IF(B175="","",COUNTIFS($AH$5:$AH$204,"&gt;"&amp;AH175)+COUNTIFS($AH$5:AH175,AH175))</f>
        <v>0</v>
      </c>
      <c r="AO175" s="31">
        <f>IF(B175="","",COUNTIFS($AJ$5:$AJ$204,"&gt;"&amp;AJ175)+COUNTIFS($AJ$5:AJ175,AJ175))</f>
        <v>0</v>
      </c>
      <c r="AP175" s="39">
        <f>IF(B175="","",IF(H175="Lost","Lost",IF(H175="Inactive","Dormant",IF(AA175="","Dormant",IF(AB175&gt;InactiveClientDays*2,"Dormant",IF(AB175&gt;InactiveClientDays,"At risk",IF(AC175="","Slipping",IF(Y175&gt;=10,"Loyal","Steady"))))))))</f>
        <v>0</v>
      </c>
      <c r="AQ175" s="34">
        <f>IF(OR(B175="",AP175="Lost",AP175="Dormant"),"",IF(OR(AP175="At risk",AP175="Slipping"),IF(AB175="",999,AB175),""))</f>
        <v>0</v>
      </c>
      <c r="AR175" s="31">
        <f>IF(AQ175="","",COUNTIFS($AQ$5:$AQ$204,"&gt;"&amp;AQ175)+COUNTIFS($AQ$5:AQ175,AQ175))</f>
        <v>0</v>
      </c>
      <c r="AS175" s="39">
        <f>IF(B175="","",IF(AF175&gt;0.5,"Chase - "&amp;TEXT(AF175,"0")&amp;" owing",IF(AND(H175&lt;&gt;"Lost",H175&lt;&gt;"Inactive",H175&lt;&gt;"Paused",AC175="",K175&lt;&gt;"One-off"),"Book - nothing in the diary",IF(AND(S175&lt;&gt;"",S175-TodayDate&lt;=RenewalWarningDays,S175&gt;=TodayDate),"Due - contract renews soon",IF(AP175="At risk","Call - going quiet",IF(AL175&gt;=2,"Check - complaints logged",IF(AND(AI175&lt;&gt;"",AI175&lt;MarginFloor,Y175&gt;0),"Check - thin margin","OK")))))))</f>
        <v>0</v>
      </c>
    </row>
    <row r="176" spans="1:45">
      <c r="A176" s="43">
        <f>IF(B176="","",ClientPrefix&amp;TEXT(ROW()-4,"0000"))</f>
        <v>0</v>
      </c>
      <c r="W176" s="31">
        <f>IF(A176="","",COUNTIFS(Properties!$C$5:$C$254,A176))</f>
        <v>0</v>
      </c>
      <c r="X176" s="31">
        <f>IF(A176="","",COUNTIFS(Jobs!$G$5:$G$604,A176))</f>
        <v>0</v>
      </c>
      <c r="Y176" s="31">
        <f>IF(A176="","",COUNTIFS(Jobs!$G$5:$G$604,A176,Jobs!$P$5:$P$604,"Completed")+COUNTIFS(Jobs!$G$5:$G$604,A176,Jobs!$P$5:$P$604,"Invoiced"))</f>
        <v>0</v>
      </c>
      <c r="Z176" s="31">
        <f>IF(A176="","",COUNTIFS(Jobs!$G$5:$G$604,A176,Jobs!$P$5:$P$604,"Cancelled")+COUNTIFS(Jobs!$G$5:$G$604,A176,Jobs!$P$5:$P$604,"No access"))</f>
        <v>0</v>
      </c>
      <c r="AA176" s="18">
        <f>IF(A176="","",IF(SUMPRODUCT(MAX((Jobs!$G$5:$G$604=A176)*((Jobs!$P$5:$P$604="Completed")+(Jobs!$P$5:$P$604="Invoiced"))*Jobs!$B$5:$B$604))=0,"",SUMPRODUCT(MAX((Jobs!$G$5:$G$604=A176)*((Jobs!$P$5:$P$604="Completed")+(Jobs!$P$5:$P$604="Invoiced"))*Jobs!$B$5:$B$604))))</f>
        <v>0</v>
      </c>
      <c r="AB176" s="31">
        <f>IF(AA176="","",TodayDate-AA176)</f>
        <v>0</v>
      </c>
      <c r="AC176" s="18">
        <f>IF(A176="","",IF(SUMPRODUCT(MIN((Jobs!$G$5:$G$604=A176)*(Jobs!$B$5:$B$604&gt;=TodayDate)*(Jobs!$P$5:$P$604&lt;&gt;"Cancelled")*Jobs!$B$5:$B$604+(1-(Jobs!$G$5:$G$604=A176)*(Jobs!$B$5:$B$604&gt;=TodayDate)*(Jobs!$P$5:$P$604&lt;&gt;"Cancelled"))*2958465))=2958465,"",SUMPRODUCT(MIN((Jobs!$G$5:$G$604=A176)*(Jobs!$B$5:$B$604&gt;=TodayDate)*(Jobs!$P$5:$P$604&lt;&gt;"Cancelled")*Jobs!$B$5:$B$604+(1-(Jobs!$G$5:$G$604=A176)*(Jobs!$B$5:$B$604&gt;=TodayDate)*(Jobs!$P$5:$P$604&lt;&gt;"Cancelled"))*2958465))))</f>
        <v>0</v>
      </c>
      <c r="AD176" s="21">
        <f>IF(A176="","",SUMIFS(Invoices!$V$5:$V$404,Invoices!$D$5:$D$404,A176))</f>
        <v>0</v>
      </c>
      <c r="AE176" s="21">
        <f>IF(A176="","",SUMIFS(Invoices!$W$5:$W$404,Invoices!$D$5:$D$404,A176))</f>
        <v>0</v>
      </c>
      <c r="AF176" s="21">
        <f>IF(A176="","",AD176-AE176)</f>
        <v>0</v>
      </c>
      <c r="AG176" s="21">
        <f>IF(OR(A176="",Y176=0),"",AD176/Y176)</f>
        <v>0</v>
      </c>
      <c r="AH176" s="21">
        <f>IF(A176="","",SUMIFS('Job Costing'!$U$5:$U$604,'Job Costing'!$D$5:$D$604,A176))</f>
        <v>0</v>
      </c>
      <c r="AI176" s="38">
        <f>IF(OR(A176="",AD176=0),"",AH176/AD176)</f>
        <v>0</v>
      </c>
      <c r="AJ176" s="21">
        <f>IF(OR(A176="",K176="",AG176=""),"",AG176*IFERROR(INDEX(FreqPerYear,MATCH(K176,FreqNames,0)),1))</f>
        <v>0</v>
      </c>
      <c r="AK176" s="34">
        <f>IF(A176="","",IFERROR(AVERAGEIFS(Jobs!$AA$5:$AA$604,Jobs!$G$5:$G$604,A176,Jobs!$AA$5:$AA$604,"&gt;0"),""))</f>
        <v>0</v>
      </c>
      <c r="AL176" s="31">
        <f>IF(A176="","",COUNTIFS(Complaints!$D$5:$D$84,A176))</f>
        <v>0</v>
      </c>
      <c r="AM176" s="31">
        <f>IF(B176="","",COUNTIFS($AD$5:$AD$204,"&gt;"&amp;AD176)+COUNTIFS($AD$5:AD176,AD176))</f>
        <v>0</v>
      </c>
      <c r="AN176" s="31">
        <f>IF(B176="","",COUNTIFS($AH$5:$AH$204,"&gt;"&amp;AH176)+COUNTIFS($AH$5:AH176,AH176))</f>
        <v>0</v>
      </c>
      <c r="AO176" s="31">
        <f>IF(B176="","",COUNTIFS($AJ$5:$AJ$204,"&gt;"&amp;AJ176)+COUNTIFS($AJ$5:AJ176,AJ176))</f>
        <v>0</v>
      </c>
      <c r="AP176" s="39">
        <f>IF(B176="","",IF(H176="Lost","Lost",IF(H176="Inactive","Dormant",IF(AA176="","Dormant",IF(AB176&gt;InactiveClientDays*2,"Dormant",IF(AB176&gt;InactiveClientDays,"At risk",IF(AC176="","Slipping",IF(Y176&gt;=10,"Loyal","Steady"))))))))</f>
        <v>0</v>
      </c>
      <c r="AQ176" s="34">
        <f>IF(OR(B176="",AP176="Lost",AP176="Dormant"),"",IF(OR(AP176="At risk",AP176="Slipping"),IF(AB176="",999,AB176),""))</f>
        <v>0</v>
      </c>
      <c r="AR176" s="31">
        <f>IF(AQ176="","",COUNTIFS($AQ$5:$AQ$204,"&gt;"&amp;AQ176)+COUNTIFS($AQ$5:AQ176,AQ176))</f>
        <v>0</v>
      </c>
      <c r="AS176" s="39">
        <f>IF(B176="","",IF(AF176&gt;0.5,"Chase - "&amp;TEXT(AF176,"0")&amp;" owing",IF(AND(H176&lt;&gt;"Lost",H176&lt;&gt;"Inactive",H176&lt;&gt;"Paused",AC176="",K176&lt;&gt;"One-off"),"Book - nothing in the diary",IF(AND(S176&lt;&gt;"",S176-TodayDate&lt;=RenewalWarningDays,S176&gt;=TodayDate),"Due - contract renews soon",IF(AP176="At risk","Call - going quiet",IF(AL176&gt;=2,"Check - complaints logged",IF(AND(AI176&lt;&gt;"",AI176&lt;MarginFloor,Y176&gt;0),"Check - thin margin","OK")))))))</f>
        <v>0</v>
      </c>
    </row>
    <row r="177" spans="1:45">
      <c r="A177" s="43">
        <f>IF(B177="","",ClientPrefix&amp;TEXT(ROW()-4,"0000"))</f>
        <v>0</v>
      </c>
      <c r="W177" s="31">
        <f>IF(A177="","",COUNTIFS(Properties!$C$5:$C$254,A177))</f>
        <v>0</v>
      </c>
      <c r="X177" s="31">
        <f>IF(A177="","",COUNTIFS(Jobs!$G$5:$G$604,A177))</f>
        <v>0</v>
      </c>
      <c r="Y177" s="31">
        <f>IF(A177="","",COUNTIFS(Jobs!$G$5:$G$604,A177,Jobs!$P$5:$P$604,"Completed")+COUNTIFS(Jobs!$G$5:$G$604,A177,Jobs!$P$5:$P$604,"Invoiced"))</f>
        <v>0</v>
      </c>
      <c r="Z177" s="31">
        <f>IF(A177="","",COUNTIFS(Jobs!$G$5:$G$604,A177,Jobs!$P$5:$P$604,"Cancelled")+COUNTIFS(Jobs!$G$5:$G$604,A177,Jobs!$P$5:$P$604,"No access"))</f>
        <v>0</v>
      </c>
      <c r="AA177" s="18">
        <f>IF(A177="","",IF(SUMPRODUCT(MAX((Jobs!$G$5:$G$604=A177)*((Jobs!$P$5:$P$604="Completed")+(Jobs!$P$5:$P$604="Invoiced"))*Jobs!$B$5:$B$604))=0,"",SUMPRODUCT(MAX((Jobs!$G$5:$G$604=A177)*((Jobs!$P$5:$P$604="Completed")+(Jobs!$P$5:$P$604="Invoiced"))*Jobs!$B$5:$B$604))))</f>
        <v>0</v>
      </c>
      <c r="AB177" s="31">
        <f>IF(AA177="","",TodayDate-AA177)</f>
        <v>0</v>
      </c>
      <c r="AC177" s="18">
        <f>IF(A177="","",IF(SUMPRODUCT(MIN((Jobs!$G$5:$G$604=A177)*(Jobs!$B$5:$B$604&gt;=TodayDate)*(Jobs!$P$5:$P$604&lt;&gt;"Cancelled")*Jobs!$B$5:$B$604+(1-(Jobs!$G$5:$G$604=A177)*(Jobs!$B$5:$B$604&gt;=TodayDate)*(Jobs!$P$5:$P$604&lt;&gt;"Cancelled"))*2958465))=2958465,"",SUMPRODUCT(MIN((Jobs!$G$5:$G$604=A177)*(Jobs!$B$5:$B$604&gt;=TodayDate)*(Jobs!$P$5:$P$604&lt;&gt;"Cancelled")*Jobs!$B$5:$B$604+(1-(Jobs!$G$5:$G$604=A177)*(Jobs!$B$5:$B$604&gt;=TodayDate)*(Jobs!$P$5:$P$604&lt;&gt;"Cancelled"))*2958465))))</f>
        <v>0</v>
      </c>
      <c r="AD177" s="21">
        <f>IF(A177="","",SUMIFS(Invoices!$V$5:$V$404,Invoices!$D$5:$D$404,A177))</f>
        <v>0</v>
      </c>
      <c r="AE177" s="21">
        <f>IF(A177="","",SUMIFS(Invoices!$W$5:$W$404,Invoices!$D$5:$D$404,A177))</f>
        <v>0</v>
      </c>
      <c r="AF177" s="21">
        <f>IF(A177="","",AD177-AE177)</f>
        <v>0</v>
      </c>
      <c r="AG177" s="21">
        <f>IF(OR(A177="",Y177=0),"",AD177/Y177)</f>
        <v>0</v>
      </c>
      <c r="AH177" s="21">
        <f>IF(A177="","",SUMIFS('Job Costing'!$U$5:$U$604,'Job Costing'!$D$5:$D$604,A177))</f>
        <v>0</v>
      </c>
      <c r="AI177" s="38">
        <f>IF(OR(A177="",AD177=0),"",AH177/AD177)</f>
        <v>0</v>
      </c>
      <c r="AJ177" s="21">
        <f>IF(OR(A177="",K177="",AG177=""),"",AG177*IFERROR(INDEX(FreqPerYear,MATCH(K177,FreqNames,0)),1))</f>
        <v>0</v>
      </c>
      <c r="AK177" s="34">
        <f>IF(A177="","",IFERROR(AVERAGEIFS(Jobs!$AA$5:$AA$604,Jobs!$G$5:$G$604,A177,Jobs!$AA$5:$AA$604,"&gt;0"),""))</f>
        <v>0</v>
      </c>
      <c r="AL177" s="31">
        <f>IF(A177="","",COUNTIFS(Complaints!$D$5:$D$84,A177))</f>
        <v>0</v>
      </c>
      <c r="AM177" s="31">
        <f>IF(B177="","",COUNTIFS($AD$5:$AD$204,"&gt;"&amp;AD177)+COUNTIFS($AD$5:AD177,AD177))</f>
        <v>0</v>
      </c>
      <c r="AN177" s="31">
        <f>IF(B177="","",COUNTIFS($AH$5:$AH$204,"&gt;"&amp;AH177)+COUNTIFS($AH$5:AH177,AH177))</f>
        <v>0</v>
      </c>
      <c r="AO177" s="31">
        <f>IF(B177="","",COUNTIFS($AJ$5:$AJ$204,"&gt;"&amp;AJ177)+COUNTIFS($AJ$5:AJ177,AJ177))</f>
        <v>0</v>
      </c>
      <c r="AP177" s="39">
        <f>IF(B177="","",IF(H177="Lost","Lost",IF(H177="Inactive","Dormant",IF(AA177="","Dormant",IF(AB177&gt;InactiveClientDays*2,"Dormant",IF(AB177&gt;InactiveClientDays,"At risk",IF(AC177="","Slipping",IF(Y177&gt;=10,"Loyal","Steady"))))))))</f>
        <v>0</v>
      </c>
      <c r="AQ177" s="34">
        <f>IF(OR(B177="",AP177="Lost",AP177="Dormant"),"",IF(OR(AP177="At risk",AP177="Slipping"),IF(AB177="",999,AB177),""))</f>
        <v>0</v>
      </c>
      <c r="AR177" s="31">
        <f>IF(AQ177="","",COUNTIFS($AQ$5:$AQ$204,"&gt;"&amp;AQ177)+COUNTIFS($AQ$5:AQ177,AQ177))</f>
        <v>0</v>
      </c>
      <c r="AS177" s="39">
        <f>IF(B177="","",IF(AF177&gt;0.5,"Chase - "&amp;TEXT(AF177,"0")&amp;" owing",IF(AND(H177&lt;&gt;"Lost",H177&lt;&gt;"Inactive",H177&lt;&gt;"Paused",AC177="",K177&lt;&gt;"One-off"),"Book - nothing in the diary",IF(AND(S177&lt;&gt;"",S177-TodayDate&lt;=RenewalWarningDays,S177&gt;=TodayDate),"Due - contract renews soon",IF(AP177="At risk","Call - going quiet",IF(AL177&gt;=2,"Check - complaints logged",IF(AND(AI177&lt;&gt;"",AI177&lt;MarginFloor,Y177&gt;0),"Check - thin margin","OK")))))))</f>
        <v>0</v>
      </c>
    </row>
    <row r="178" spans="1:45">
      <c r="A178" s="43">
        <f>IF(B178="","",ClientPrefix&amp;TEXT(ROW()-4,"0000"))</f>
        <v>0</v>
      </c>
      <c r="W178" s="31">
        <f>IF(A178="","",COUNTIFS(Properties!$C$5:$C$254,A178))</f>
        <v>0</v>
      </c>
      <c r="X178" s="31">
        <f>IF(A178="","",COUNTIFS(Jobs!$G$5:$G$604,A178))</f>
        <v>0</v>
      </c>
      <c r="Y178" s="31">
        <f>IF(A178="","",COUNTIFS(Jobs!$G$5:$G$604,A178,Jobs!$P$5:$P$604,"Completed")+COUNTIFS(Jobs!$G$5:$G$604,A178,Jobs!$P$5:$P$604,"Invoiced"))</f>
        <v>0</v>
      </c>
      <c r="Z178" s="31">
        <f>IF(A178="","",COUNTIFS(Jobs!$G$5:$G$604,A178,Jobs!$P$5:$P$604,"Cancelled")+COUNTIFS(Jobs!$G$5:$G$604,A178,Jobs!$P$5:$P$604,"No access"))</f>
        <v>0</v>
      </c>
      <c r="AA178" s="18">
        <f>IF(A178="","",IF(SUMPRODUCT(MAX((Jobs!$G$5:$G$604=A178)*((Jobs!$P$5:$P$604="Completed")+(Jobs!$P$5:$P$604="Invoiced"))*Jobs!$B$5:$B$604))=0,"",SUMPRODUCT(MAX((Jobs!$G$5:$G$604=A178)*((Jobs!$P$5:$P$604="Completed")+(Jobs!$P$5:$P$604="Invoiced"))*Jobs!$B$5:$B$604))))</f>
        <v>0</v>
      </c>
      <c r="AB178" s="31">
        <f>IF(AA178="","",TodayDate-AA178)</f>
        <v>0</v>
      </c>
      <c r="AC178" s="18">
        <f>IF(A178="","",IF(SUMPRODUCT(MIN((Jobs!$G$5:$G$604=A178)*(Jobs!$B$5:$B$604&gt;=TodayDate)*(Jobs!$P$5:$P$604&lt;&gt;"Cancelled")*Jobs!$B$5:$B$604+(1-(Jobs!$G$5:$G$604=A178)*(Jobs!$B$5:$B$604&gt;=TodayDate)*(Jobs!$P$5:$P$604&lt;&gt;"Cancelled"))*2958465))=2958465,"",SUMPRODUCT(MIN((Jobs!$G$5:$G$604=A178)*(Jobs!$B$5:$B$604&gt;=TodayDate)*(Jobs!$P$5:$P$604&lt;&gt;"Cancelled")*Jobs!$B$5:$B$604+(1-(Jobs!$G$5:$G$604=A178)*(Jobs!$B$5:$B$604&gt;=TodayDate)*(Jobs!$P$5:$P$604&lt;&gt;"Cancelled"))*2958465))))</f>
        <v>0</v>
      </c>
      <c r="AD178" s="21">
        <f>IF(A178="","",SUMIFS(Invoices!$V$5:$V$404,Invoices!$D$5:$D$404,A178))</f>
        <v>0</v>
      </c>
      <c r="AE178" s="21">
        <f>IF(A178="","",SUMIFS(Invoices!$W$5:$W$404,Invoices!$D$5:$D$404,A178))</f>
        <v>0</v>
      </c>
      <c r="AF178" s="21">
        <f>IF(A178="","",AD178-AE178)</f>
        <v>0</v>
      </c>
      <c r="AG178" s="21">
        <f>IF(OR(A178="",Y178=0),"",AD178/Y178)</f>
        <v>0</v>
      </c>
      <c r="AH178" s="21">
        <f>IF(A178="","",SUMIFS('Job Costing'!$U$5:$U$604,'Job Costing'!$D$5:$D$604,A178))</f>
        <v>0</v>
      </c>
      <c r="AI178" s="38">
        <f>IF(OR(A178="",AD178=0),"",AH178/AD178)</f>
        <v>0</v>
      </c>
      <c r="AJ178" s="21">
        <f>IF(OR(A178="",K178="",AG178=""),"",AG178*IFERROR(INDEX(FreqPerYear,MATCH(K178,FreqNames,0)),1))</f>
        <v>0</v>
      </c>
      <c r="AK178" s="34">
        <f>IF(A178="","",IFERROR(AVERAGEIFS(Jobs!$AA$5:$AA$604,Jobs!$G$5:$G$604,A178,Jobs!$AA$5:$AA$604,"&gt;0"),""))</f>
        <v>0</v>
      </c>
      <c r="AL178" s="31">
        <f>IF(A178="","",COUNTIFS(Complaints!$D$5:$D$84,A178))</f>
        <v>0</v>
      </c>
      <c r="AM178" s="31">
        <f>IF(B178="","",COUNTIFS($AD$5:$AD$204,"&gt;"&amp;AD178)+COUNTIFS($AD$5:AD178,AD178))</f>
        <v>0</v>
      </c>
      <c r="AN178" s="31">
        <f>IF(B178="","",COUNTIFS($AH$5:$AH$204,"&gt;"&amp;AH178)+COUNTIFS($AH$5:AH178,AH178))</f>
        <v>0</v>
      </c>
      <c r="AO178" s="31">
        <f>IF(B178="","",COUNTIFS($AJ$5:$AJ$204,"&gt;"&amp;AJ178)+COUNTIFS($AJ$5:AJ178,AJ178))</f>
        <v>0</v>
      </c>
      <c r="AP178" s="39">
        <f>IF(B178="","",IF(H178="Lost","Lost",IF(H178="Inactive","Dormant",IF(AA178="","Dormant",IF(AB178&gt;InactiveClientDays*2,"Dormant",IF(AB178&gt;InactiveClientDays,"At risk",IF(AC178="","Slipping",IF(Y178&gt;=10,"Loyal","Steady"))))))))</f>
        <v>0</v>
      </c>
      <c r="AQ178" s="34">
        <f>IF(OR(B178="",AP178="Lost",AP178="Dormant"),"",IF(OR(AP178="At risk",AP178="Slipping"),IF(AB178="",999,AB178),""))</f>
        <v>0</v>
      </c>
      <c r="AR178" s="31">
        <f>IF(AQ178="","",COUNTIFS($AQ$5:$AQ$204,"&gt;"&amp;AQ178)+COUNTIFS($AQ$5:AQ178,AQ178))</f>
        <v>0</v>
      </c>
      <c r="AS178" s="39">
        <f>IF(B178="","",IF(AF178&gt;0.5,"Chase - "&amp;TEXT(AF178,"0")&amp;" owing",IF(AND(H178&lt;&gt;"Lost",H178&lt;&gt;"Inactive",H178&lt;&gt;"Paused",AC178="",K178&lt;&gt;"One-off"),"Book - nothing in the diary",IF(AND(S178&lt;&gt;"",S178-TodayDate&lt;=RenewalWarningDays,S178&gt;=TodayDate),"Due - contract renews soon",IF(AP178="At risk","Call - going quiet",IF(AL178&gt;=2,"Check - complaints logged",IF(AND(AI178&lt;&gt;"",AI178&lt;MarginFloor,Y178&gt;0),"Check - thin margin","OK")))))))</f>
        <v>0</v>
      </c>
    </row>
    <row r="179" spans="1:45">
      <c r="A179" s="43">
        <f>IF(B179="","",ClientPrefix&amp;TEXT(ROW()-4,"0000"))</f>
        <v>0</v>
      </c>
      <c r="W179" s="31">
        <f>IF(A179="","",COUNTIFS(Properties!$C$5:$C$254,A179))</f>
        <v>0</v>
      </c>
      <c r="X179" s="31">
        <f>IF(A179="","",COUNTIFS(Jobs!$G$5:$G$604,A179))</f>
        <v>0</v>
      </c>
      <c r="Y179" s="31">
        <f>IF(A179="","",COUNTIFS(Jobs!$G$5:$G$604,A179,Jobs!$P$5:$P$604,"Completed")+COUNTIFS(Jobs!$G$5:$G$604,A179,Jobs!$P$5:$P$604,"Invoiced"))</f>
        <v>0</v>
      </c>
      <c r="Z179" s="31">
        <f>IF(A179="","",COUNTIFS(Jobs!$G$5:$G$604,A179,Jobs!$P$5:$P$604,"Cancelled")+COUNTIFS(Jobs!$G$5:$G$604,A179,Jobs!$P$5:$P$604,"No access"))</f>
        <v>0</v>
      </c>
      <c r="AA179" s="18">
        <f>IF(A179="","",IF(SUMPRODUCT(MAX((Jobs!$G$5:$G$604=A179)*((Jobs!$P$5:$P$604="Completed")+(Jobs!$P$5:$P$604="Invoiced"))*Jobs!$B$5:$B$604))=0,"",SUMPRODUCT(MAX((Jobs!$G$5:$G$604=A179)*((Jobs!$P$5:$P$604="Completed")+(Jobs!$P$5:$P$604="Invoiced"))*Jobs!$B$5:$B$604))))</f>
        <v>0</v>
      </c>
      <c r="AB179" s="31">
        <f>IF(AA179="","",TodayDate-AA179)</f>
        <v>0</v>
      </c>
      <c r="AC179" s="18">
        <f>IF(A179="","",IF(SUMPRODUCT(MIN((Jobs!$G$5:$G$604=A179)*(Jobs!$B$5:$B$604&gt;=TodayDate)*(Jobs!$P$5:$P$604&lt;&gt;"Cancelled")*Jobs!$B$5:$B$604+(1-(Jobs!$G$5:$G$604=A179)*(Jobs!$B$5:$B$604&gt;=TodayDate)*(Jobs!$P$5:$P$604&lt;&gt;"Cancelled"))*2958465))=2958465,"",SUMPRODUCT(MIN((Jobs!$G$5:$G$604=A179)*(Jobs!$B$5:$B$604&gt;=TodayDate)*(Jobs!$P$5:$P$604&lt;&gt;"Cancelled")*Jobs!$B$5:$B$604+(1-(Jobs!$G$5:$G$604=A179)*(Jobs!$B$5:$B$604&gt;=TodayDate)*(Jobs!$P$5:$P$604&lt;&gt;"Cancelled"))*2958465))))</f>
        <v>0</v>
      </c>
      <c r="AD179" s="21">
        <f>IF(A179="","",SUMIFS(Invoices!$V$5:$V$404,Invoices!$D$5:$D$404,A179))</f>
        <v>0</v>
      </c>
      <c r="AE179" s="21">
        <f>IF(A179="","",SUMIFS(Invoices!$W$5:$W$404,Invoices!$D$5:$D$404,A179))</f>
        <v>0</v>
      </c>
      <c r="AF179" s="21">
        <f>IF(A179="","",AD179-AE179)</f>
        <v>0</v>
      </c>
      <c r="AG179" s="21">
        <f>IF(OR(A179="",Y179=0),"",AD179/Y179)</f>
        <v>0</v>
      </c>
      <c r="AH179" s="21">
        <f>IF(A179="","",SUMIFS('Job Costing'!$U$5:$U$604,'Job Costing'!$D$5:$D$604,A179))</f>
        <v>0</v>
      </c>
      <c r="AI179" s="38">
        <f>IF(OR(A179="",AD179=0),"",AH179/AD179)</f>
        <v>0</v>
      </c>
      <c r="AJ179" s="21">
        <f>IF(OR(A179="",K179="",AG179=""),"",AG179*IFERROR(INDEX(FreqPerYear,MATCH(K179,FreqNames,0)),1))</f>
        <v>0</v>
      </c>
      <c r="AK179" s="34">
        <f>IF(A179="","",IFERROR(AVERAGEIFS(Jobs!$AA$5:$AA$604,Jobs!$G$5:$G$604,A179,Jobs!$AA$5:$AA$604,"&gt;0"),""))</f>
        <v>0</v>
      </c>
      <c r="AL179" s="31">
        <f>IF(A179="","",COUNTIFS(Complaints!$D$5:$D$84,A179))</f>
        <v>0</v>
      </c>
      <c r="AM179" s="31">
        <f>IF(B179="","",COUNTIFS($AD$5:$AD$204,"&gt;"&amp;AD179)+COUNTIFS($AD$5:AD179,AD179))</f>
        <v>0</v>
      </c>
      <c r="AN179" s="31">
        <f>IF(B179="","",COUNTIFS($AH$5:$AH$204,"&gt;"&amp;AH179)+COUNTIFS($AH$5:AH179,AH179))</f>
        <v>0</v>
      </c>
      <c r="AO179" s="31">
        <f>IF(B179="","",COUNTIFS($AJ$5:$AJ$204,"&gt;"&amp;AJ179)+COUNTIFS($AJ$5:AJ179,AJ179))</f>
        <v>0</v>
      </c>
      <c r="AP179" s="39">
        <f>IF(B179="","",IF(H179="Lost","Lost",IF(H179="Inactive","Dormant",IF(AA179="","Dormant",IF(AB179&gt;InactiveClientDays*2,"Dormant",IF(AB179&gt;InactiveClientDays,"At risk",IF(AC179="","Slipping",IF(Y179&gt;=10,"Loyal","Steady"))))))))</f>
        <v>0</v>
      </c>
      <c r="AQ179" s="34">
        <f>IF(OR(B179="",AP179="Lost",AP179="Dormant"),"",IF(OR(AP179="At risk",AP179="Slipping"),IF(AB179="",999,AB179),""))</f>
        <v>0</v>
      </c>
      <c r="AR179" s="31">
        <f>IF(AQ179="","",COUNTIFS($AQ$5:$AQ$204,"&gt;"&amp;AQ179)+COUNTIFS($AQ$5:AQ179,AQ179))</f>
        <v>0</v>
      </c>
      <c r="AS179" s="39">
        <f>IF(B179="","",IF(AF179&gt;0.5,"Chase - "&amp;TEXT(AF179,"0")&amp;" owing",IF(AND(H179&lt;&gt;"Lost",H179&lt;&gt;"Inactive",H179&lt;&gt;"Paused",AC179="",K179&lt;&gt;"One-off"),"Book - nothing in the diary",IF(AND(S179&lt;&gt;"",S179-TodayDate&lt;=RenewalWarningDays,S179&gt;=TodayDate),"Due - contract renews soon",IF(AP179="At risk","Call - going quiet",IF(AL179&gt;=2,"Check - complaints logged",IF(AND(AI179&lt;&gt;"",AI179&lt;MarginFloor,Y179&gt;0),"Check - thin margin","OK")))))))</f>
        <v>0</v>
      </c>
    </row>
    <row r="180" spans="1:45">
      <c r="A180" s="43">
        <f>IF(B180="","",ClientPrefix&amp;TEXT(ROW()-4,"0000"))</f>
        <v>0</v>
      </c>
      <c r="W180" s="31">
        <f>IF(A180="","",COUNTIFS(Properties!$C$5:$C$254,A180))</f>
        <v>0</v>
      </c>
      <c r="X180" s="31">
        <f>IF(A180="","",COUNTIFS(Jobs!$G$5:$G$604,A180))</f>
        <v>0</v>
      </c>
      <c r="Y180" s="31">
        <f>IF(A180="","",COUNTIFS(Jobs!$G$5:$G$604,A180,Jobs!$P$5:$P$604,"Completed")+COUNTIFS(Jobs!$G$5:$G$604,A180,Jobs!$P$5:$P$604,"Invoiced"))</f>
        <v>0</v>
      </c>
      <c r="Z180" s="31">
        <f>IF(A180="","",COUNTIFS(Jobs!$G$5:$G$604,A180,Jobs!$P$5:$P$604,"Cancelled")+COUNTIFS(Jobs!$G$5:$G$604,A180,Jobs!$P$5:$P$604,"No access"))</f>
        <v>0</v>
      </c>
      <c r="AA180" s="18">
        <f>IF(A180="","",IF(SUMPRODUCT(MAX((Jobs!$G$5:$G$604=A180)*((Jobs!$P$5:$P$604="Completed")+(Jobs!$P$5:$P$604="Invoiced"))*Jobs!$B$5:$B$604))=0,"",SUMPRODUCT(MAX((Jobs!$G$5:$G$604=A180)*((Jobs!$P$5:$P$604="Completed")+(Jobs!$P$5:$P$604="Invoiced"))*Jobs!$B$5:$B$604))))</f>
        <v>0</v>
      </c>
      <c r="AB180" s="31">
        <f>IF(AA180="","",TodayDate-AA180)</f>
        <v>0</v>
      </c>
      <c r="AC180" s="18">
        <f>IF(A180="","",IF(SUMPRODUCT(MIN((Jobs!$G$5:$G$604=A180)*(Jobs!$B$5:$B$604&gt;=TodayDate)*(Jobs!$P$5:$P$604&lt;&gt;"Cancelled")*Jobs!$B$5:$B$604+(1-(Jobs!$G$5:$G$604=A180)*(Jobs!$B$5:$B$604&gt;=TodayDate)*(Jobs!$P$5:$P$604&lt;&gt;"Cancelled"))*2958465))=2958465,"",SUMPRODUCT(MIN((Jobs!$G$5:$G$604=A180)*(Jobs!$B$5:$B$604&gt;=TodayDate)*(Jobs!$P$5:$P$604&lt;&gt;"Cancelled")*Jobs!$B$5:$B$604+(1-(Jobs!$G$5:$G$604=A180)*(Jobs!$B$5:$B$604&gt;=TodayDate)*(Jobs!$P$5:$P$604&lt;&gt;"Cancelled"))*2958465))))</f>
        <v>0</v>
      </c>
      <c r="AD180" s="21">
        <f>IF(A180="","",SUMIFS(Invoices!$V$5:$V$404,Invoices!$D$5:$D$404,A180))</f>
        <v>0</v>
      </c>
      <c r="AE180" s="21">
        <f>IF(A180="","",SUMIFS(Invoices!$W$5:$W$404,Invoices!$D$5:$D$404,A180))</f>
        <v>0</v>
      </c>
      <c r="AF180" s="21">
        <f>IF(A180="","",AD180-AE180)</f>
        <v>0</v>
      </c>
      <c r="AG180" s="21">
        <f>IF(OR(A180="",Y180=0),"",AD180/Y180)</f>
        <v>0</v>
      </c>
      <c r="AH180" s="21">
        <f>IF(A180="","",SUMIFS('Job Costing'!$U$5:$U$604,'Job Costing'!$D$5:$D$604,A180))</f>
        <v>0</v>
      </c>
      <c r="AI180" s="38">
        <f>IF(OR(A180="",AD180=0),"",AH180/AD180)</f>
        <v>0</v>
      </c>
      <c r="AJ180" s="21">
        <f>IF(OR(A180="",K180="",AG180=""),"",AG180*IFERROR(INDEX(FreqPerYear,MATCH(K180,FreqNames,0)),1))</f>
        <v>0</v>
      </c>
      <c r="AK180" s="34">
        <f>IF(A180="","",IFERROR(AVERAGEIFS(Jobs!$AA$5:$AA$604,Jobs!$G$5:$G$604,A180,Jobs!$AA$5:$AA$604,"&gt;0"),""))</f>
        <v>0</v>
      </c>
      <c r="AL180" s="31">
        <f>IF(A180="","",COUNTIFS(Complaints!$D$5:$D$84,A180))</f>
        <v>0</v>
      </c>
      <c r="AM180" s="31">
        <f>IF(B180="","",COUNTIFS($AD$5:$AD$204,"&gt;"&amp;AD180)+COUNTIFS($AD$5:AD180,AD180))</f>
        <v>0</v>
      </c>
      <c r="AN180" s="31">
        <f>IF(B180="","",COUNTIFS($AH$5:$AH$204,"&gt;"&amp;AH180)+COUNTIFS($AH$5:AH180,AH180))</f>
        <v>0</v>
      </c>
      <c r="AO180" s="31">
        <f>IF(B180="","",COUNTIFS($AJ$5:$AJ$204,"&gt;"&amp;AJ180)+COUNTIFS($AJ$5:AJ180,AJ180))</f>
        <v>0</v>
      </c>
      <c r="AP180" s="39">
        <f>IF(B180="","",IF(H180="Lost","Lost",IF(H180="Inactive","Dormant",IF(AA180="","Dormant",IF(AB180&gt;InactiveClientDays*2,"Dormant",IF(AB180&gt;InactiveClientDays,"At risk",IF(AC180="","Slipping",IF(Y180&gt;=10,"Loyal","Steady"))))))))</f>
        <v>0</v>
      </c>
      <c r="AQ180" s="34">
        <f>IF(OR(B180="",AP180="Lost",AP180="Dormant"),"",IF(OR(AP180="At risk",AP180="Slipping"),IF(AB180="",999,AB180),""))</f>
        <v>0</v>
      </c>
      <c r="AR180" s="31">
        <f>IF(AQ180="","",COUNTIFS($AQ$5:$AQ$204,"&gt;"&amp;AQ180)+COUNTIFS($AQ$5:AQ180,AQ180))</f>
        <v>0</v>
      </c>
      <c r="AS180" s="39">
        <f>IF(B180="","",IF(AF180&gt;0.5,"Chase - "&amp;TEXT(AF180,"0")&amp;" owing",IF(AND(H180&lt;&gt;"Lost",H180&lt;&gt;"Inactive",H180&lt;&gt;"Paused",AC180="",K180&lt;&gt;"One-off"),"Book - nothing in the diary",IF(AND(S180&lt;&gt;"",S180-TodayDate&lt;=RenewalWarningDays,S180&gt;=TodayDate),"Due - contract renews soon",IF(AP180="At risk","Call - going quiet",IF(AL180&gt;=2,"Check - complaints logged",IF(AND(AI180&lt;&gt;"",AI180&lt;MarginFloor,Y180&gt;0),"Check - thin margin","OK")))))))</f>
        <v>0</v>
      </c>
    </row>
    <row r="181" spans="1:45">
      <c r="A181" s="43">
        <f>IF(B181="","",ClientPrefix&amp;TEXT(ROW()-4,"0000"))</f>
        <v>0</v>
      </c>
      <c r="W181" s="31">
        <f>IF(A181="","",COUNTIFS(Properties!$C$5:$C$254,A181))</f>
        <v>0</v>
      </c>
      <c r="X181" s="31">
        <f>IF(A181="","",COUNTIFS(Jobs!$G$5:$G$604,A181))</f>
        <v>0</v>
      </c>
      <c r="Y181" s="31">
        <f>IF(A181="","",COUNTIFS(Jobs!$G$5:$G$604,A181,Jobs!$P$5:$P$604,"Completed")+COUNTIFS(Jobs!$G$5:$G$604,A181,Jobs!$P$5:$P$604,"Invoiced"))</f>
        <v>0</v>
      </c>
      <c r="Z181" s="31">
        <f>IF(A181="","",COUNTIFS(Jobs!$G$5:$G$604,A181,Jobs!$P$5:$P$604,"Cancelled")+COUNTIFS(Jobs!$G$5:$G$604,A181,Jobs!$P$5:$P$604,"No access"))</f>
        <v>0</v>
      </c>
      <c r="AA181" s="18">
        <f>IF(A181="","",IF(SUMPRODUCT(MAX((Jobs!$G$5:$G$604=A181)*((Jobs!$P$5:$P$604="Completed")+(Jobs!$P$5:$P$604="Invoiced"))*Jobs!$B$5:$B$604))=0,"",SUMPRODUCT(MAX((Jobs!$G$5:$G$604=A181)*((Jobs!$P$5:$P$604="Completed")+(Jobs!$P$5:$P$604="Invoiced"))*Jobs!$B$5:$B$604))))</f>
        <v>0</v>
      </c>
      <c r="AB181" s="31">
        <f>IF(AA181="","",TodayDate-AA181)</f>
        <v>0</v>
      </c>
      <c r="AC181" s="18">
        <f>IF(A181="","",IF(SUMPRODUCT(MIN((Jobs!$G$5:$G$604=A181)*(Jobs!$B$5:$B$604&gt;=TodayDate)*(Jobs!$P$5:$P$604&lt;&gt;"Cancelled")*Jobs!$B$5:$B$604+(1-(Jobs!$G$5:$G$604=A181)*(Jobs!$B$5:$B$604&gt;=TodayDate)*(Jobs!$P$5:$P$604&lt;&gt;"Cancelled"))*2958465))=2958465,"",SUMPRODUCT(MIN((Jobs!$G$5:$G$604=A181)*(Jobs!$B$5:$B$604&gt;=TodayDate)*(Jobs!$P$5:$P$604&lt;&gt;"Cancelled")*Jobs!$B$5:$B$604+(1-(Jobs!$G$5:$G$604=A181)*(Jobs!$B$5:$B$604&gt;=TodayDate)*(Jobs!$P$5:$P$604&lt;&gt;"Cancelled"))*2958465))))</f>
        <v>0</v>
      </c>
      <c r="AD181" s="21">
        <f>IF(A181="","",SUMIFS(Invoices!$V$5:$V$404,Invoices!$D$5:$D$404,A181))</f>
        <v>0</v>
      </c>
      <c r="AE181" s="21">
        <f>IF(A181="","",SUMIFS(Invoices!$W$5:$W$404,Invoices!$D$5:$D$404,A181))</f>
        <v>0</v>
      </c>
      <c r="AF181" s="21">
        <f>IF(A181="","",AD181-AE181)</f>
        <v>0</v>
      </c>
      <c r="AG181" s="21">
        <f>IF(OR(A181="",Y181=0),"",AD181/Y181)</f>
        <v>0</v>
      </c>
      <c r="AH181" s="21">
        <f>IF(A181="","",SUMIFS('Job Costing'!$U$5:$U$604,'Job Costing'!$D$5:$D$604,A181))</f>
        <v>0</v>
      </c>
      <c r="AI181" s="38">
        <f>IF(OR(A181="",AD181=0),"",AH181/AD181)</f>
        <v>0</v>
      </c>
      <c r="AJ181" s="21">
        <f>IF(OR(A181="",K181="",AG181=""),"",AG181*IFERROR(INDEX(FreqPerYear,MATCH(K181,FreqNames,0)),1))</f>
        <v>0</v>
      </c>
      <c r="AK181" s="34">
        <f>IF(A181="","",IFERROR(AVERAGEIFS(Jobs!$AA$5:$AA$604,Jobs!$G$5:$G$604,A181,Jobs!$AA$5:$AA$604,"&gt;0"),""))</f>
        <v>0</v>
      </c>
      <c r="AL181" s="31">
        <f>IF(A181="","",COUNTIFS(Complaints!$D$5:$D$84,A181))</f>
        <v>0</v>
      </c>
      <c r="AM181" s="31">
        <f>IF(B181="","",COUNTIFS($AD$5:$AD$204,"&gt;"&amp;AD181)+COUNTIFS($AD$5:AD181,AD181))</f>
        <v>0</v>
      </c>
      <c r="AN181" s="31">
        <f>IF(B181="","",COUNTIFS($AH$5:$AH$204,"&gt;"&amp;AH181)+COUNTIFS($AH$5:AH181,AH181))</f>
        <v>0</v>
      </c>
      <c r="AO181" s="31">
        <f>IF(B181="","",COUNTIFS($AJ$5:$AJ$204,"&gt;"&amp;AJ181)+COUNTIFS($AJ$5:AJ181,AJ181))</f>
        <v>0</v>
      </c>
      <c r="AP181" s="39">
        <f>IF(B181="","",IF(H181="Lost","Lost",IF(H181="Inactive","Dormant",IF(AA181="","Dormant",IF(AB181&gt;InactiveClientDays*2,"Dormant",IF(AB181&gt;InactiveClientDays,"At risk",IF(AC181="","Slipping",IF(Y181&gt;=10,"Loyal","Steady"))))))))</f>
        <v>0</v>
      </c>
      <c r="AQ181" s="34">
        <f>IF(OR(B181="",AP181="Lost",AP181="Dormant"),"",IF(OR(AP181="At risk",AP181="Slipping"),IF(AB181="",999,AB181),""))</f>
        <v>0</v>
      </c>
      <c r="AR181" s="31">
        <f>IF(AQ181="","",COUNTIFS($AQ$5:$AQ$204,"&gt;"&amp;AQ181)+COUNTIFS($AQ$5:AQ181,AQ181))</f>
        <v>0</v>
      </c>
      <c r="AS181" s="39">
        <f>IF(B181="","",IF(AF181&gt;0.5,"Chase - "&amp;TEXT(AF181,"0")&amp;" owing",IF(AND(H181&lt;&gt;"Lost",H181&lt;&gt;"Inactive",H181&lt;&gt;"Paused",AC181="",K181&lt;&gt;"One-off"),"Book - nothing in the diary",IF(AND(S181&lt;&gt;"",S181-TodayDate&lt;=RenewalWarningDays,S181&gt;=TodayDate),"Due - contract renews soon",IF(AP181="At risk","Call - going quiet",IF(AL181&gt;=2,"Check - complaints logged",IF(AND(AI181&lt;&gt;"",AI181&lt;MarginFloor,Y181&gt;0),"Check - thin margin","OK")))))))</f>
        <v>0</v>
      </c>
    </row>
    <row r="182" spans="1:45">
      <c r="A182" s="43">
        <f>IF(B182="","",ClientPrefix&amp;TEXT(ROW()-4,"0000"))</f>
        <v>0</v>
      </c>
      <c r="W182" s="31">
        <f>IF(A182="","",COUNTIFS(Properties!$C$5:$C$254,A182))</f>
        <v>0</v>
      </c>
      <c r="X182" s="31">
        <f>IF(A182="","",COUNTIFS(Jobs!$G$5:$G$604,A182))</f>
        <v>0</v>
      </c>
      <c r="Y182" s="31">
        <f>IF(A182="","",COUNTIFS(Jobs!$G$5:$G$604,A182,Jobs!$P$5:$P$604,"Completed")+COUNTIFS(Jobs!$G$5:$G$604,A182,Jobs!$P$5:$P$604,"Invoiced"))</f>
        <v>0</v>
      </c>
      <c r="Z182" s="31">
        <f>IF(A182="","",COUNTIFS(Jobs!$G$5:$G$604,A182,Jobs!$P$5:$P$604,"Cancelled")+COUNTIFS(Jobs!$G$5:$G$604,A182,Jobs!$P$5:$P$604,"No access"))</f>
        <v>0</v>
      </c>
      <c r="AA182" s="18">
        <f>IF(A182="","",IF(SUMPRODUCT(MAX((Jobs!$G$5:$G$604=A182)*((Jobs!$P$5:$P$604="Completed")+(Jobs!$P$5:$P$604="Invoiced"))*Jobs!$B$5:$B$604))=0,"",SUMPRODUCT(MAX((Jobs!$G$5:$G$604=A182)*((Jobs!$P$5:$P$604="Completed")+(Jobs!$P$5:$P$604="Invoiced"))*Jobs!$B$5:$B$604))))</f>
        <v>0</v>
      </c>
      <c r="AB182" s="31">
        <f>IF(AA182="","",TodayDate-AA182)</f>
        <v>0</v>
      </c>
      <c r="AC182" s="18">
        <f>IF(A182="","",IF(SUMPRODUCT(MIN((Jobs!$G$5:$G$604=A182)*(Jobs!$B$5:$B$604&gt;=TodayDate)*(Jobs!$P$5:$P$604&lt;&gt;"Cancelled")*Jobs!$B$5:$B$604+(1-(Jobs!$G$5:$G$604=A182)*(Jobs!$B$5:$B$604&gt;=TodayDate)*(Jobs!$P$5:$P$604&lt;&gt;"Cancelled"))*2958465))=2958465,"",SUMPRODUCT(MIN((Jobs!$G$5:$G$604=A182)*(Jobs!$B$5:$B$604&gt;=TodayDate)*(Jobs!$P$5:$P$604&lt;&gt;"Cancelled")*Jobs!$B$5:$B$604+(1-(Jobs!$G$5:$G$604=A182)*(Jobs!$B$5:$B$604&gt;=TodayDate)*(Jobs!$P$5:$P$604&lt;&gt;"Cancelled"))*2958465))))</f>
        <v>0</v>
      </c>
      <c r="AD182" s="21">
        <f>IF(A182="","",SUMIFS(Invoices!$V$5:$V$404,Invoices!$D$5:$D$404,A182))</f>
        <v>0</v>
      </c>
      <c r="AE182" s="21">
        <f>IF(A182="","",SUMIFS(Invoices!$W$5:$W$404,Invoices!$D$5:$D$404,A182))</f>
        <v>0</v>
      </c>
      <c r="AF182" s="21">
        <f>IF(A182="","",AD182-AE182)</f>
        <v>0</v>
      </c>
      <c r="AG182" s="21">
        <f>IF(OR(A182="",Y182=0),"",AD182/Y182)</f>
        <v>0</v>
      </c>
      <c r="AH182" s="21">
        <f>IF(A182="","",SUMIFS('Job Costing'!$U$5:$U$604,'Job Costing'!$D$5:$D$604,A182))</f>
        <v>0</v>
      </c>
      <c r="AI182" s="38">
        <f>IF(OR(A182="",AD182=0),"",AH182/AD182)</f>
        <v>0</v>
      </c>
      <c r="AJ182" s="21">
        <f>IF(OR(A182="",K182="",AG182=""),"",AG182*IFERROR(INDEX(FreqPerYear,MATCH(K182,FreqNames,0)),1))</f>
        <v>0</v>
      </c>
      <c r="AK182" s="34">
        <f>IF(A182="","",IFERROR(AVERAGEIFS(Jobs!$AA$5:$AA$604,Jobs!$G$5:$G$604,A182,Jobs!$AA$5:$AA$604,"&gt;0"),""))</f>
        <v>0</v>
      </c>
      <c r="AL182" s="31">
        <f>IF(A182="","",COUNTIFS(Complaints!$D$5:$D$84,A182))</f>
        <v>0</v>
      </c>
      <c r="AM182" s="31">
        <f>IF(B182="","",COUNTIFS($AD$5:$AD$204,"&gt;"&amp;AD182)+COUNTIFS($AD$5:AD182,AD182))</f>
        <v>0</v>
      </c>
      <c r="AN182" s="31">
        <f>IF(B182="","",COUNTIFS($AH$5:$AH$204,"&gt;"&amp;AH182)+COUNTIFS($AH$5:AH182,AH182))</f>
        <v>0</v>
      </c>
      <c r="AO182" s="31">
        <f>IF(B182="","",COUNTIFS($AJ$5:$AJ$204,"&gt;"&amp;AJ182)+COUNTIFS($AJ$5:AJ182,AJ182))</f>
        <v>0</v>
      </c>
      <c r="AP182" s="39">
        <f>IF(B182="","",IF(H182="Lost","Lost",IF(H182="Inactive","Dormant",IF(AA182="","Dormant",IF(AB182&gt;InactiveClientDays*2,"Dormant",IF(AB182&gt;InactiveClientDays,"At risk",IF(AC182="","Slipping",IF(Y182&gt;=10,"Loyal","Steady"))))))))</f>
        <v>0</v>
      </c>
      <c r="AQ182" s="34">
        <f>IF(OR(B182="",AP182="Lost",AP182="Dormant"),"",IF(OR(AP182="At risk",AP182="Slipping"),IF(AB182="",999,AB182),""))</f>
        <v>0</v>
      </c>
      <c r="AR182" s="31">
        <f>IF(AQ182="","",COUNTIFS($AQ$5:$AQ$204,"&gt;"&amp;AQ182)+COUNTIFS($AQ$5:AQ182,AQ182))</f>
        <v>0</v>
      </c>
      <c r="AS182" s="39">
        <f>IF(B182="","",IF(AF182&gt;0.5,"Chase - "&amp;TEXT(AF182,"0")&amp;" owing",IF(AND(H182&lt;&gt;"Lost",H182&lt;&gt;"Inactive",H182&lt;&gt;"Paused",AC182="",K182&lt;&gt;"One-off"),"Book - nothing in the diary",IF(AND(S182&lt;&gt;"",S182-TodayDate&lt;=RenewalWarningDays,S182&gt;=TodayDate),"Due - contract renews soon",IF(AP182="At risk","Call - going quiet",IF(AL182&gt;=2,"Check - complaints logged",IF(AND(AI182&lt;&gt;"",AI182&lt;MarginFloor,Y182&gt;0),"Check - thin margin","OK")))))))</f>
        <v>0</v>
      </c>
    </row>
    <row r="183" spans="1:45">
      <c r="A183" s="43">
        <f>IF(B183="","",ClientPrefix&amp;TEXT(ROW()-4,"0000"))</f>
        <v>0</v>
      </c>
      <c r="W183" s="31">
        <f>IF(A183="","",COUNTIFS(Properties!$C$5:$C$254,A183))</f>
        <v>0</v>
      </c>
      <c r="X183" s="31">
        <f>IF(A183="","",COUNTIFS(Jobs!$G$5:$G$604,A183))</f>
        <v>0</v>
      </c>
      <c r="Y183" s="31">
        <f>IF(A183="","",COUNTIFS(Jobs!$G$5:$G$604,A183,Jobs!$P$5:$P$604,"Completed")+COUNTIFS(Jobs!$G$5:$G$604,A183,Jobs!$P$5:$P$604,"Invoiced"))</f>
        <v>0</v>
      </c>
      <c r="Z183" s="31">
        <f>IF(A183="","",COUNTIFS(Jobs!$G$5:$G$604,A183,Jobs!$P$5:$P$604,"Cancelled")+COUNTIFS(Jobs!$G$5:$G$604,A183,Jobs!$P$5:$P$604,"No access"))</f>
        <v>0</v>
      </c>
      <c r="AA183" s="18">
        <f>IF(A183="","",IF(SUMPRODUCT(MAX((Jobs!$G$5:$G$604=A183)*((Jobs!$P$5:$P$604="Completed")+(Jobs!$P$5:$P$604="Invoiced"))*Jobs!$B$5:$B$604))=0,"",SUMPRODUCT(MAX((Jobs!$G$5:$G$604=A183)*((Jobs!$P$5:$P$604="Completed")+(Jobs!$P$5:$P$604="Invoiced"))*Jobs!$B$5:$B$604))))</f>
        <v>0</v>
      </c>
      <c r="AB183" s="31">
        <f>IF(AA183="","",TodayDate-AA183)</f>
        <v>0</v>
      </c>
      <c r="AC183" s="18">
        <f>IF(A183="","",IF(SUMPRODUCT(MIN((Jobs!$G$5:$G$604=A183)*(Jobs!$B$5:$B$604&gt;=TodayDate)*(Jobs!$P$5:$P$604&lt;&gt;"Cancelled")*Jobs!$B$5:$B$604+(1-(Jobs!$G$5:$G$604=A183)*(Jobs!$B$5:$B$604&gt;=TodayDate)*(Jobs!$P$5:$P$604&lt;&gt;"Cancelled"))*2958465))=2958465,"",SUMPRODUCT(MIN((Jobs!$G$5:$G$604=A183)*(Jobs!$B$5:$B$604&gt;=TodayDate)*(Jobs!$P$5:$P$604&lt;&gt;"Cancelled")*Jobs!$B$5:$B$604+(1-(Jobs!$G$5:$G$604=A183)*(Jobs!$B$5:$B$604&gt;=TodayDate)*(Jobs!$P$5:$P$604&lt;&gt;"Cancelled"))*2958465))))</f>
        <v>0</v>
      </c>
      <c r="AD183" s="21">
        <f>IF(A183="","",SUMIFS(Invoices!$V$5:$V$404,Invoices!$D$5:$D$404,A183))</f>
        <v>0</v>
      </c>
      <c r="AE183" s="21">
        <f>IF(A183="","",SUMIFS(Invoices!$W$5:$W$404,Invoices!$D$5:$D$404,A183))</f>
        <v>0</v>
      </c>
      <c r="AF183" s="21">
        <f>IF(A183="","",AD183-AE183)</f>
        <v>0</v>
      </c>
      <c r="AG183" s="21">
        <f>IF(OR(A183="",Y183=0),"",AD183/Y183)</f>
        <v>0</v>
      </c>
      <c r="AH183" s="21">
        <f>IF(A183="","",SUMIFS('Job Costing'!$U$5:$U$604,'Job Costing'!$D$5:$D$604,A183))</f>
        <v>0</v>
      </c>
      <c r="AI183" s="38">
        <f>IF(OR(A183="",AD183=0),"",AH183/AD183)</f>
        <v>0</v>
      </c>
      <c r="AJ183" s="21">
        <f>IF(OR(A183="",K183="",AG183=""),"",AG183*IFERROR(INDEX(FreqPerYear,MATCH(K183,FreqNames,0)),1))</f>
        <v>0</v>
      </c>
      <c r="AK183" s="34">
        <f>IF(A183="","",IFERROR(AVERAGEIFS(Jobs!$AA$5:$AA$604,Jobs!$G$5:$G$604,A183,Jobs!$AA$5:$AA$604,"&gt;0"),""))</f>
        <v>0</v>
      </c>
      <c r="AL183" s="31">
        <f>IF(A183="","",COUNTIFS(Complaints!$D$5:$D$84,A183))</f>
        <v>0</v>
      </c>
      <c r="AM183" s="31">
        <f>IF(B183="","",COUNTIFS($AD$5:$AD$204,"&gt;"&amp;AD183)+COUNTIFS($AD$5:AD183,AD183))</f>
        <v>0</v>
      </c>
      <c r="AN183" s="31">
        <f>IF(B183="","",COUNTIFS($AH$5:$AH$204,"&gt;"&amp;AH183)+COUNTIFS($AH$5:AH183,AH183))</f>
        <v>0</v>
      </c>
      <c r="AO183" s="31">
        <f>IF(B183="","",COUNTIFS($AJ$5:$AJ$204,"&gt;"&amp;AJ183)+COUNTIFS($AJ$5:AJ183,AJ183))</f>
        <v>0</v>
      </c>
      <c r="AP183" s="39">
        <f>IF(B183="","",IF(H183="Lost","Lost",IF(H183="Inactive","Dormant",IF(AA183="","Dormant",IF(AB183&gt;InactiveClientDays*2,"Dormant",IF(AB183&gt;InactiveClientDays,"At risk",IF(AC183="","Slipping",IF(Y183&gt;=10,"Loyal","Steady"))))))))</f>
        <v>0</v>
      </c>
      <c r="AQ183" s="34">
        <f>IF(OR(B183="",AP183="Lost",AP183="Dormant"),"",IF(OR(AP183="At risk",AP183="Slipping"),IF(AB183="",999,AB183),""))</f>
        <v>0</v>
      </c>
      <c r="AR183" s="31">
        <f>IF(AQ183="","",COUNTIFS($AQ$5:$AQ$204,"&gt;"&amp;AQ183)+COUNTIFS($AQ$5:AQ183,AQ183))</f>
        <v>0</v>
      </c>
      <c r="AS183" s="39">
        <f>IF(B183="","",IF(AF183&gt;0.5,"Chase - "&amp;TEXT(AF183,"0")&amp;" owing",IF(AND(H183&lt;&gt;"Lost",H183&lt;&gt;"Inactive",H183&lt;&gt;"Paused",AC183="",K183&lt;&gt;"One-off"),"Book - nothing in the diary",IF(AND(S183&lt;&gt;"",S183-TodayDate&lt;=RenewalWarningDays,S183&gt;=TodayDate),"Due - contract renews soon",IF(AP183="At risk","Call - going quiet",IF(AL183&gt;=2,"Check - complaints logged",IF(AND(AI183&lt;&gt;"",AI183&lt;MarginFloor,Y183&gt;0),"Check - thin margin","OK")))))))</f>
        <v>0</v>
      </c>
    </row>
    <row r="184" spans="1:45">
      <c r="A184" s="43">
        <f>IF(B184="","",ClientPrefix&amp;TEXT(ROW()-4,"0000"))</f>
        <v>0</v>
      </c>
      <c r="W184" s="31">
        <f>IF(A184="","",COUNTIFS(Properties!$C$5:$C$254,A184))</f>
        <v>0</v>
      </c>
      <c r="X184" s="31">
        <f>IF(A184="","",COUNTIFS(Jobs!$G$5:$G$604,A184))</f>
        <v>0</v>
      </c>
      <c r="Y184" s="31">
        <f>IF(A184="","",COUNTIFS(Jobs!$G$5:$G$604,A184,Jobs!$P$5:$P$604,"Completed")+COUNTIFS(Jobs!$G$5:$G$604,A184,Jobs!$P$5:$P$604,"Invoiced"))</f>
        <v>0</v>
      </c>
      <c r="Z184" s="31">
        <f>IF(A184="","",COUNTIFS(Jobs!$G$5:$G$604,A184,Jobs!$P$5:$P$604,"Cancelled")+COUNTIFS(Jobs!$G$5:$G$604,A184,Jobs!$P$5:$P$604,"No access"))</f>
        <v>0</v>
      </c>
      <c r="AA184" s="18">
        <f>IF(A184="","",IF(SUMPRODUCT(MAX((Jobs!$G$5:$G$604=A184)*((Jobs!$P$5:$P$604="Completed")+(Jobs!$P$5:$P$604="Invoiced"))*Jobs!$B$5:$B$604))=0,"",SUMPRODUCT(MAX((Jobs!$G$5:$G$604=A184)*((Jobs!$P$5:$P$604="Completed")+(Jobs!$P$5:$P$604="Invoiced"))*Jobs!$B$5:$B$604))))</f>
        <v>0</v>
      </c>
      <c r="AB184" s="31">
        <f>IF(AA184="","",TodayDate-AA184)</f>
        <v>0</v>
      </c>
      <c r="AC184" s="18">
        <f>IF(A184="","",IF(SUMPRODUCT(MIN((Jobs!$G$5:$G$604=A184)*(Jobs!$B$5:$B$604&gt;=TodayDate)*(Jobs!$P$5:$P$604&lt;&gt;"Cancelled")*Jobs!$B$5:$B$604+(1-(Jobs!$G$5:$G$604=A184)*(Jobs!$B$5:$B$604&gt;=TodayDate)*(Jobs!$P$5:$P$604&lt;&gt;"Cancelled"))*2958465))=2958465,"",SUMPRODUCT(MIN((Jobs!$G$5:$G$604=A184)*(Jobs!$B$5:$B$604&gt;=TodayDate)*(Jobs!$P$5:$P$604&lt;&gt;"Cancelled")*Jobs!$B$5:$B$604+(1-(Jobs!$G$5:$G$604=A184)*(Jobs!$B$5:$B$604&gt;=TodayDate)*(Jobs!$P$5:$P$604&lt;&gt;"Cancelled"))*2958465))))</f>
        <v>0</v>
      </c>
      <c r="AD184" s="21">
        <f>IF(A184="","",SUMIFS(Invoices!$V$5:$V$404,Invoices!$D$5:$D$404,A184))</f>
        <v>0</v>
      </c>
      <c r="AE184" s="21">
        <f>IF(A184="","",SUMIFS(Invoices!$W$5:$W$404,Invoices!$D$5:$D$404,A184))</f>
        <v>0</v>
      </c>
      <c r="AF184" s="21">
        <f>IF(A184="","",AD184-AE184)</f>
        <v>0</v>
      </c>
      <c r="AG184" s="21">
        <f>IF(OR(A184="",Y184=0),"",AD184/Y184)</f>
        <v>0</v>
      </c>
      <c r="AH184" s="21">
        <f>IF(A184="","",SUMIFS('Job Costing'!$U$5:$U$604,'Job Costing'!$D$5:$D$604,A184))</f>
        <v>0</v>
      </c>
      <c r="AI184" s="38">
        <f>IF(OR(A184="",AD184=0),"",AH184/AD184)</f>
        <v>0</v>
      </c>
      <c r="AJ184" s="21">
        <f>IF(OR(A184="",K184="",AG184=""),"",AG184*IFERROR(INDEX(FreqPerYear,MATCH(K184,FreqNames,0)),1))</f>
        <v>0</v>
      </c>
      <c r="AK184" s="34">
        <f>IF(A184="","",IFERROR(AVERAGEIFS(Jobs!$AA$5:$AA$604,Jobs!$G$5:$G$604,A184,Jobs!$AA$5:$AA$604,"&gt;0"),""))</f>
        <v>0</v>
      </c>
      <c r="AL184" s="31">
        <f>IF(A184="","",COUNTIFS(Complaints!$D$5:$D$84,A184))</f>
        <v>0</v>
      </c>
      <c r="AM184" s="31">
        <f>IF(B184="","",COUNTIFS($AD$5:$AD$204,"&gt;"&amp;AD184)+COUNTIFS($AD$5:AD184,AD184))</f>
        <v>0</v>
      </c>
      <c r="AN184" s="31">
        <f>IF(B184="","",COUNTIFS($AH$5:$AH$204,"&gt;"&amp;AH184)+COUNTIFS($AH$5:AH184,AH184))</f>
        <v>0</v>
      </c>
      <c r="AO184" s="31">
        <f>IF(B184="","",COUNTIFS($AJ$5:$AJ$204,"&gt;"&amp;AJ184)+COUNTIFS($AJ$5:AJ184,AJ184))</f>
        <v>0</v>
      </c>
      <c r="AP184" s="39">
        <f>IF(B184="","",IF(H184="Lost","Lost",IF(H184="Inactive","Dormant",IF(AA184="","Dormant",IF(AB184&gt;InactiveClientDays*2,"Dormant",IF(AB184&gt;InactiveClientDays,"At risk",IF(AC184="","Slipping",IF(Y184&gt;=10,"Loyal","Steady"))))))))</f>
        <v>0</v>
      </c>
      <c r="AQ184" s="34">
        <f>IF(OR(B184="",AP184="Lost",AP184="Dormant"),"",IF(OR(AP184="At risk",AP184="Slipping"),IF(AB184="",999,AB184),""))</f>
        <v>0</v>
      </c>
      <c r="AR184" s="31">
        <f>IF(AQ184="","",COUNTIFS($AQ$5:$AQ$204,"&gt;"&amp;AQ184)+COUNTIFS($AQ$5:AQ184,AQ184))</f>
        <v>0</v>
      </c>
      <c r="AS184" s="39">
        <f>IF(B184="","",IF(AF184&gt;0.5,"Chase - "&amp;TEXT(AF184,"0")&amp;" owing",IF(AND(H184&lt;&gt;"Lost",H184&lt;&gt;"Inactive",H184&lt;&gt;"Paused",AC184="",K184&lt;&gt;"One-off"),"Book - nothing in the diary",IF(AND(S184&lt;&gt;"",S184-TodayDate&lt;=RenewalWarningDays,S184&gt;=TodayDate),"Due - contract renews soon",IF(AP184="At risk","Call - going quiet",IF(AL184&gt;=2,"Check - complaints logged",IF(AND(AI184&lt;&gt;"",AI184&lt;MarginFloor,Y184&gt;0),"Check - thin margin","OK")))))))</f>
        <v>0</v>
      </c>
    </row>
    <row r="185" spans="1:45">
      <c r="A185" s="43">
        <f>IF(B185="","",ClientPrefix&amp;TEXT(ROW()-4,"0000"))</f>
        <v>0</v>
      </c>
      <c r="W185" s="31">
        <f>IF(A185="","",COUNTIFS(Properties!$C$5:$C$254,A185))</f>
        <v>0</v>
      </c>
      <c r="X185" s="31">
        <f>IF(A185="","",COUNTIFS(Jobs!$G$5:$G$604,A185))</f>
        <v>0</v>
      </c>
      <c r="Y185" s="31">
        <f>IF(A185="","",COUNTIFS(Jobs!$G$5:$G$604,A185,Jobs!$P$5:$P$604,"Completed")+COUNTIFS(Jobs!$G$5:$G$604,A185,Jobs!$P$5:$P$604,"Invoiced"))</f>
        <v>0</v>
      </c>
      <c r="Z185" s="31">
        <f>IF(A185="","",COUNTIFS(Jobs!$G$5:$G$604,A185,Jobs!$P$5:$P$604,"Cancelled")+COUNTIFS(Jobs!$G$5:$G$604,A185,Jobs!$P$5:$P$604,"No access"))</f>
        <v>0</v>
      </c>
      <c r="AA185" s="18">
        <f>IF(A185="","",IF(SUMPRODUCT(MAX((Jobs!$G$5:$G$604=A185)*((Jobs!$P$5:$P$604="Completed")+(Jobs!$P$5:$P$604="Invoiced"))*Jobs!$B$5:$B$604))=0,"",SUMPRODUCT(MAX((Jobs!$G$5:$G$604=A185)*((Jobs!$P$5:$P$604="Completed")+(Jobs!$P$5:$P$604="Invoiced"))*Jobs!$B$5:$B$604))))</f>
        <v>0</v>
      </c>
      <c r="AB185" s="31">
        <f>IF(AA185="","",TodayDate-AA185)</f>
        <v>0</v>
      </c>
      <c r="AC185" s="18">
        <f>IF(A185="","",IF(SUMPRODUCT(MIN((Jobs!$G$5:$G$604=A185)*(Jobs!$B$5:$B$604&gt;=TodayDate)*(Jobs!$P$5:$P$604&lt;&gt;"Cancelled")*Jobs!$B$5:$B$604+(1-(Jobs!$G$5:$G$604=A185)*(Jobs!$B$5:$B$604&gt;=TodayDate)*(Jobs!$P$5:$P$604&lt;&gt;"Cancelled"))*2958465))=2958465,"",SUMPRODUCT(MIN((Jobs!$G$5:$G$604=A185)*(Jobs!$B$5:$B$604&gt;=TodayDate)*(Jobs!$P$5:$P$604&lt;&gt;"Cancelled")*Jobs!$B$5:$B$604+(1-(Jobs!$G$5:$G$604=A185)*(Jobs!$B$5:$B$604&gt;=TodayDate)*(Jobs!$P$5:$P$604&lt;&gt;"Cancelled"))*2958465))))</f>
        <v>0</v>
      </c>
      <c r="AD185" s="21">
        <f>IF(A185="","",SUMIFS(Invoices!$V$5:$V$404,Invoices!$D$5:$D$404,A185))</f>
        <v>0</v>
      </c>
      <c r="AE185" s="21">
        <f>IF(A185="","",SUMIFS(Invoices!$W$5:$W$404,Invoices!$D$5:$D$404,A185))</f>
        <v>0</v>
      </c>
      <c r="AF185" s="21">
        <f>IF(A185="","",AD185-AE185)</f>
        <v>0</v>
      </c>
      <c r="AG185" s="21">
        <f>IF(OR(A185="",Y185=0),"",AD185/Y185)</f>
        <v>0</v>
      </c>
      <c r="AH185" s="21">
        <f>IF(A185="","",SUMIFS('Job Costing'!$U$5:$U$604,'Job Costing'!$D$5:$D$604,A185))</f>
        <v>0</v>
      </c>
      <c r="AI185" s="38">
        <f>IF(OR(A185="",AD185=0),"",AH185/AD185)</f>
        <v>0</v>
      </c>
      <c r="AJ185" s="21">
        <f>IF(OR(A185="",K185="",AG185=""),"",AG185*IFERROR(INDEX(FreqPerYear,MATCH(K185,FreqNames,0)),1))</f>
        <v>0</v>
      </c>
      <c r="AK185" s="34">
        <f>IF(A185="","",IFERROR(AVERAGEIFS(Jobs!$AA$5:$AA$604,Jobs!$G$5:$G$604,A185,Jobs!$AA$5:$AA$604,"&gt;0"),""))</f>
        <v>0</v>
      </c>
      <c r="AL185" s="31">
        <f>IF(A185="","",COUNTIFS(Complaints!$D$5:$D$84,A185))</f>
        <v>0</v>
      </c>
      <c r="AM185" s="31">
        <f>IF(B185="","",COUNTIFS($AD$5:$AD$204,"&gt;"&amp;AD185)+COUNTIFS($AD$5:AD185,AD185))</f>
        <v>0</v>
      </c>
      <c r="AN185" s="31">
        <f>IF(B185="","",COUNTIFS($AH$5:$AH$204,"&gt;"&amp;AH185)+COUNTIFS($AH$5:AH185,AH185))</f>
        <v>0</v>
      </c>
      <c r="AO185" s="31">
        <f>IF(B185="","",COUNTIFS($AJ$5:$AJ$204,"&gt;"&amp;AJ185)+COUNTIFS($AJ$5:AJ185,AJ185))</f>
        <v>0</v>
      </c>
      <c r="AP185" s="39">
        <f>IF(B185="","",IF(H185="Lost","Lost",IF(H185="Inactive","Dormant",IF(AA185="","Dormant",IF(AB185&gt;InactiveClientDays*2,"Dormant",IF(AB185&gt;InactiveClientDays,"At risk",IF(AC185="","Slipping",IF(Y185&gt;=10,"Loyal","Steady"))))))))</f>
        <v>0</v>
      </c>
      <c r="AQ185" s="34">
        <f>IF(OR(B185="",AP185="Lost",AP185="Dormant"),"",IF(OR(AP185="At risk",AP185="Slipping"),IF(AB185="",999,AB185),""))</f>
        <v>0</v>
      </c>
      <c r="AR185" s="31">
        <f>IF(AQ185="","",COUNTIFS($AQ$5:$AQ$204,"&gt;"&amp;AQ185)+COUNTIFS($AQ$5:AQ185,AQ185))</f>
        <v>0</v>
      </c>
      <c r="AS185" s="39">
        <f>IF(B185="","",IF(AF185&gt;0.5,"Chase - "&amp;TEXT(AF185,"0")&amp;" owing",IF(AND(H185&lt;&gt;"Lost",H185&lt;&gt;"Inactive",H185&lt;&gt;"Paused",AC185="",K185&lt;&gt;"One-off"),"Book - nothing in the diary",IF(AND(S185&lt;&gt;"",S185-TodayDate&lt;=RenewalWarningDays,S185&gt;=TodayDate),"Due - contract renews soon",IF(AP185="At risk","Call - going quiet",IF(AL185&gt;=2,"Check - complaints logged",IF(AND(AI185&lt;&gt;"",AI185&lt;MarginFloor,Y185&gt;0),"Check - thin margin","OK")))))))</f>
        <v>0</v>
      </c>
    </row>
    <row r="186" spans="1:45">
      <c r="A186" s="43">
        <f>IF(B186="","",ClientPrefix&amp;TEXT(ROW()-4,"0000"))</f>
        <v>0</v>
      </c>
      <c r="W186" s="31">
        <f>IF(A186="","",COUNTIFS(Properties!$C$5:$C$254,A186))</f>
        <v>0</v>
      </c>
      <c r="X186" s="31">
        <f>IF(A186="","",COUNTIFS(Jobs!$G$5:$G$604,A186))</f>
        <v>0</v>
      </c>
      <c r="Y186" s="31">
        <f>IF(A186="","",COUNTIFS(Jobs!$G$5:$G$604,A186,Jobs!$P$5:$P$604,"Completed")+COUNTIFS(Jobs!$G$5:$G$604,A186,Jobs!$P$5:$P$604,"Invoiced"))</f>
        <v>0</v>
      </c>
      <c r="Z186" s="31">
        <f>IF(A186="","",COUNTIFS(Jobs!$G$5:$G$604,A186,Jobs!$P$5:$P$604,"Cancelled")+COUNTIFS(Jobs!$G$5:$G$604,A186,Jobs!$P$5:$P$604,"No access"))</f>
        <v>0</v>
      </c>
      <c r="AA186" s="18">
        <f>IF(A186="","",IF(SUMPRODUCT(MAX((Jobs!$G$5:$G$604=A186)*((Jobs!$P$5:$P$604="Completed")+(Jobs!$P$5:$P$604="Invoiced"))*Jobs!$B$5:$B$604))=0,"",SUMPRODUCT(MAX((Jobs!$G$5:$G$604=A186)*((Jobs!$P$5:$P$604="Completed")+(Jobs!$P$5:$P$604="Invoiced"))*Jobs!$B$5:$B$604))))</f>
        <v>0</v>
      </c>
      <c r="AB186" s="31">
        <f>IF(AA186="","",TodayDate-AA186)</f>
        <v>0</v>
      </c>
      <c r="AC186" s="18">
        <f>IF(A186="","",IF(SUMPRODUCT(MIN((Jobs!$G$5:$G$604=A186)*(Jobs!$B$5:$B$604&gt;=TodayDate)*(Jobs!$P$5:$P$604&lt;&gt;"Cancelled")*Jobs!$B$5:$B$604+(1-(Jobs!$G$5:$G$604=A186)*(Jobs!$B$5:$B$604&gt;=TodayDate)*(Jobs!$P$5:$P$604&lt;&gt;"Cancelled"))*2958465))=2958465,"",SUMPRODUCT(MIN((Jobs!$G$5:$G$604=A186)*(Jobs!$B$5:$B$604&gt;=TodayDate)*(Jobs!$P$5:$P$604&lt;&gt;"Cancelled")*Jobs!$B$5:$B$604+(1-(Jobs!$G$5:$G$604=A186)*(Jobs!$B$5:$B$604&gt;=TodayDate)*(Jobs!$P$5:$P$604&lt;&gt;"Cancelled"))*2958465))))</f>
        <v>0</v>
      </c>
      <c r="AD186" s="21">
        <f>IF(A186="","",SUMIFS(Invoices!$V$5:$V$404,Invoices!$D$5:$D$404,A186))</f>
        <v>0</v>
      </c>
      <c r="AE186" s="21">
        <f>IF(A186="","",SUMIFS(Invoices!$W$5:$W$404,Invoices!$D$5:$D$404,A186))</f>
        <v>0</v>
      </c>
      <c r="AF186" s="21">
        <f>IF(A186="","",AD186-AE186)</f>
        <v>0</v>
      </c>
      <c r="AG186" s="21">
        <f>IF(OR(A186="",Y186=0),"",AD186/Y186)</f>
        <v>0</v>
      </c>
      <c r="AH186" s="21">
        <f>IF(A186="","",SUMIFS('Job Costing'!$U$5:$U$604,'Job Costing'!$D$5:$D$604,A186))</f>
        <v>0</v>
      </c>
      <c r="AI186" s="38">
        <f>IF(OR(A186="",AD186=0),"",AH186/AD186)</f>
        <v>0</v>
      </c>
      <c r="AJ186" s="21">
        <f>IF(OR(A186="",K186="",AG186=""),"",AG186*IFERROR(INDEX(FreqPerYear,MATCH(K186,FreqNames,0)),1))</f>
        <v>0</v>
      </c>
      <c r="AK186" s="34">
        <f>IF(A186="","",IFERROR(AVERAGEIFS(Jobs!$AA$5:$AA$604,Jobs!$G$5:$G$604,A186,Jobs!$AA$5:$AA$604,"&gt;0"),""))</f>
        <v>0</v>
      </c>
      <c r="AL186" s="31">
        <f>IF(A186="","",COUNTIFS(Complaints!$D$5:$D$84,A186))</f>
        <v>0</v>
      </c>
      <c r="AM186" s="31">
        <f>IF(B186="","",COUNTIFS($AD$5:$AD$204,"&gt;"&amp;AD186)+COUNTIFS($AD$5:AD186,AD186))</f>
        <v>0</v>
      </c>
      <c r="AN186" s="31">
        <f>IF(B186="","",COUNTIFS($AH$5:$AH$204,"&gt;"&amp;AH186)+COUNTIFS($AH$5:AH186,AH186))</f>
        <v>0</v>
      </c>
      <c r="AO186" s="31">
        <f>IF(B186="","",COUNTIFS($AJ$5:$AJ$204,"&gt;"&amp;AJ186)+COUNTIFS($AJ$5:AJ186,AJ186))</f>
        <v>0</v>
      </c>
      <c r="AP186" s="39">
        <f>IF(B186="","",IF(H186="Lost","Lost",IF(H186="Inactive","Dormant",IF(AA186="","Dormant",IF(AB186&gt;InactiveClientDays*2,"Dormant",IF(AB186&gt;InactiveClientDays,"At risk",IF(AC186="","Slipping",IF(Y186&gt;=10,"Loyal","Steady"))))))))</f>
        <v>0</v>
      </c>
      <c r="AQ186" s="34">
        <f>IF(OR(B186="",AP186="Lost",AP186="Dormant"),"",IF(OR(AP186="At risk",AP186="Slipping"),IF(AB186="",999,AB186),""))</f>
        <v>0</v>
      </c>
      <c r="AR186" s="31">
        <f>IF(AQ186="","",COUNTIFS($AQ$5:$AQ$204,"&gt;"&amp;AQ186)+COUNTIFS($AQ$5:AQ186,AQ186))</f>
        <v>0</v>
      </c>
      <c r="AS186" s="39">
        <f>IF(B186="","",IF(AF186&gt;0.5,"Chase - "&amp;TEXT(AF186,"0")&amp;" owing",IF(AND(H186&lt;&gt;"Lost",H186&lt;&gt;"Inactive",H186&lt;&gt;"Paused",AC186="",K186&lt;&gt;"One-off"),"Book - nothing in the diary",IF(AND(S186&lt;&gt;"",S186-TodayDate&lt;=RenewalWarningDays,S186&gt;=TodayDate),"Due - contract renews soon",IF(AP186="At risk","Call - going quiet",IF(AL186&gt;=2,"Check - complaints logged",IF(AND(AI186&lt;&gt;"",AI186&lt;MarginFloor,Y186&gt;0),"Check - thin margin","OK")))))))</f>
        <v>0</v>
      </c>
    </row>
    <row r="187" spans="1:45">
      <c r="A187" s="43">
        <f>IF(B187="","",ClientPrefix&amp;TEXT(ROW()-4,"0000"))</f>
        <v>0</v>
      </c>
      <c r="W187" s="31">
        <f>IF(A187="","",COUNTIFS(Properties!$C$5:$C$254,A187))</f>
        <v>0</v>
      </c>
      <c r="X187" s="31">
        <f>IF(A187="","",COUNTIFS(Jobs!$G$5:$G$604,A187))</f>
        <v>0</v>
      </c>
      <c r="Y187" s="31">
        <f>IF(A187="","",COUNTIFS(Jobs!$G$5:$G$604,A187,Jobs!$P$5:$P$604,"Completed")+COUNTIFS(Jobs!$G$5:$G$604,A187,Jobs!$P$5:$P$604,"Invoiced"))</f>
        <v>0</v>
      </c>
      <c r="Z187" s="31">
        <f>IF(A187="","",COUNTIFS(Jobs!$G$5:$G$604,A187,Jobs!$P$5:$P$604,"Cancelled")+COUNTIFS(Jobs!$G$5:$G$604,A187,Jobs!$P$5:$P$604,"No access"))</f>
        <v>0</v>
      </c>
      <c r="AA187" s="18">
        <f>IF(A187="","",IF(SUMPRODUCT(MAX((Jobs!$G$5:$G$604=A187)*((Jobs!$P$5:$P$604="Completed")+(Jobs!$P$5:$P$604="Invoiced"))*Jobs!$B$5:$B$604))=0,"",SUMPRODUCT(MAX((Jobs!$G$5:$G$604=A187)*((Jobs!$P$5:$P$604="Completed")+(Jobs!$P$5:$P$604="Invoiced"))*Jobs!$B$5:$B$604))))</f>
        <v>0</v>
      </c>
      <c r="AB187" s="31">
        <f>IF(AA187="","",TodayDate-AA187)</f>
        <v>0</v>
      </c>
      <c r="AC187" s="18">
        <f>IF(A187="","",IF(SUMPRODUCT(MIN((Jobs!$G$5:$G$604=A187)*(Jobs!$B$5:$B$604&gt;=TodayDate)*(Jobs!$P$5:$P$604&lt;&gt;"Cancelled")*Jobs!$B$5:$B$604+(1-(Jobs!$G$5:$G$604=A187)*(Jobs!$B$5:$B$604&gt;=TodayDate)*(Jobs!$P$5:$P$604&lt;&gt;"Cancelled"))*2958465))=2958465,"",SUMPRODUCT(MIN((Jobs!$G$5:$G$604=A187)*(Jobs!$B$5:$B$604&gt;=TodayDate)*(Jobs!$P$5:$P$604&lt;&gt;"Cancelled")*Jobs!$B$5:$B$604+(1-(Jobs!$G$5:$G$604=A187)*(Jobs!$B$5:$B$604&gt;=TodayDate)*(Jobs!$P$5:$P$604&lt;&gt;"Cancelled"))*2958465))))</f>
        <v>0</v>
      </c>
      <c r="AD187" s="21">
        <f>IF(A187="","",SUMIFS(Invoices!$V$5:$V$404,Invoices!$D$5:$D$404,A187))</f>
        <v>0</v>
      </c>
      <c r="AE187" s="21">
        <f>IF(A187="","",SUMIFS(Invoices!$W$5:$W$404,Invoices!$D$5:$D$404,A187))</f>
        <v>0</v>
      </c>
      <c r="AF187" s="21">
        <f>IF(A187="","",AD187-AE187)</f>
        <v>0</v>
      </c>
      <c r="AG187" s="21">
        <f>IF(OR(A187="",Y187=0),"",AD187/Y187)</f>
        <v>0</v>
      </c>
      <c r="AH187" s="21">
        <f>IF(A187="","",SUMIFS('Job Costing'!$U$5:$U$604,'Job Costing'!$D$5:$D$604,A187))</f>
        <v>0</v>
      </c>
      <c r="AI187" s="38">
        <f>IF(OR(A187="",AD187=0),"",AH187/AD187)</f>
        <v>0</v>
      </c>
      <c r="AJ187" s="21">
        <f>IF(OR(A187="",K187="",AG187=""),"",AG187*IFERROR(INDEX(FreqPerYear,MATCH(K187,FreqNames,0)),1))</f>
        <v>0</v>
      </c>
      <c r="AK187" s="34">
        <f>IF(A187="","",IFERROR(AVERAGEIFS(Jobs!$AA$5:$AA$604,Jobs!$G$5:$G$604,A187,Jobs!$AA$5:$AA$604,"&gt;0"),""))</f>
        <v>0</v>
      </c>
      <c r="AL187" s="31">
        <f>IF(A187="","",COUNTIFS(Complaints!$D$5:$D$84,A187))</f>
        <v>0</v>
      </c>
      <c r="AM187" s="31">
        <f>IF(B187="","",COUNTIFS($AD$5:$AD$204,"&gt;"&amp;AD187)+COUNTIFS($AD$5:AD187,AD187))</f>
        <v>0</v>
      </c>
      <c r="AN187" s="31">
        <f>IF(B187="","",COUNTIFS($AH$5:$AH$204,"&gt;"&amp;AH187)+COUNTIFS($AH$5:AH187,AH187))</f>
        <v>0</v>
      </c>
      <c r="AO187" s="31">
        <f>IF(B187="","",COUNTIFS($AJ$5:$AJ$204,"&gt;"&amp;AJ187)+COUNTIFS($AJ$5:AJ187,AJ187))</f>
        <v>0</v>
      </c>
      <c r="AP187" s="39">
        <f>IF(B187="","",IF(H187="Lost","Lost",IF(H187="Inactive","Dormant",IF(AA187="","Dormant",IF(AB187&gt;InactiveClientDays*2,"Dormant",IF(AB187&gt;InactiveClientDays,"At risk",IF(AC187="","Slipping",IF(Y187&gt;=10,"Loyal","Steady"))))))))</f>
        <v>0</v>
      </c>
      <c r="AQ187" s="34">
        <f>IF(OR(B187="",AP187="Lost",AP187="Dormant"),"",IF(OR(AP187="At risk",AP187="Slipping"),IF(AB187="",999,AB187),""))</f>
        <v>0</v>
      </c>
      <c r="AR187" s="31">
        <f>IF(AQ187="","",COUNTIFS($AQ$5:$AQ$204,"&gt;"&amp;AQ187)+COUNTIFS($AQ$5:AQ187,AQ187))</f>
        <v>0</v>
      </c>
      <c r="AS187" s="39">
        <f>IF(B187="","",IF(AF187&gt;0.5,"Chase - "&amp;TEXT(AF187,"0")&amp;" owing",IF(AND(H187&lt;&gt;"Lost",H187&lt;&gt;"Inactive",H187&lt;&gt;"Paused",AC187="",K187&lt;&gt;"One-off"),"Book - nothing in the diary",IF(AND(S187&lt;&gt;"",S187-TodayDate&lt;=RenewalWarningDays,S187&gt;=TodayDate),"Due - contract renews soon",IF(AP187="At risk","Call - going quiet",IF(AL187&gt;=2,"Check - complaints logged",IF(AND(AI187&lt;&gt;"",AI187&lt;MarginFloor,Y187&gt;0),"Check - thin margin","OK")))))))</f>
        <v>0</v>
      </c>
    </row>
    <row r="188" spans="1:45">
      <c r="A188" s="43">
        <f>IF(B188="","",ClientPrefix&amp;TEXT(ROW()-4,"0000"))</f>
        <v>0</v>
      </c>
      <c r="W188" s="31">
        <f>IF(A188="","",COUNTIFS(Properties!$C$5:$C$254,A188))</f>
        <v>0</v>
      </c>
      <c r="X188" s="31">
        <f>IF(A188="","",COUNTIFS(Jobs!$G$5:$G$604,A188))</f>
        <v>0</v>
      </c>
      <c r="Y188" s="31">
        <f>IF(A188="","",COUNTIFS(Jobs!$G$5:$G$604,A188,Jobs!$P$5:$P$604,"Completed")+COUNTIFS(Jobs!$G$5:$G$604,A188,Jobs!$P$5:$P$604,"Invoiced"))</f>
        <v>0</v>
      </c>
      <c r="Z188" s="31">
        <f>IF(A188="","",COUNTIFS(Jobs!$G$5:$G$604,A188,Jobs!$P$5:$P$604,"Cancelled")+COUNTIFS(Jobs!$G$5:$G$604,A188,Jobs!$P$5:$P$604,"No access"))</f>
        <v>0</v>
      </c>
      <c r="AA188" s="18">
        <f>IF(A188="","",IF(SUMPRODUCT(MAX((Jobs!$G$5:$G$604=A188)*((Jobs!$P$5:$P$604="Completed")+(Jobs!$P$5:$P$604="Invoiced"))*Jobs!$B$5:$B$604))=0,"",SUMPRODUCT(MAX((Jobs!$G$5:$G$604=A188)*((Jobs!$P$5:$P$604="Completed")+(Jobs!$P$5:$P$604="Invoiced"))*Jobs!$B$5:$B$604))))</f>
        <v>0</v>
      </c>
      <c r="AB188" s="31">
        <f>IF(AA188="","",TodayDate-AA188)</f>
        <v>0</v>
      </c>
      <c r="AC188" s="18">
        <f>IF(A188="","",IF(SUMPRODUCT(MIN((Jobs!$G$5:$G$604=A188)*(Jobs!$B$5:$B$604&gt;=TodayDate)*(Jobs!$P$5:$P$604&lt;&gt;"Cancelled")*Jobs!$B$5:$B$604+(1-(Jobs!$G$5:$G$604=A188)*(Jobs!$B$5:$B$604&gt;=TodayDate)*(Jobs!$P$5:$P$604&lt;&gt;"Cancelled"))*2958465))=2958465,"",SUMPRODUCT(MIN((Jobs!$G$5:$G$604=A188)*(Jobs!$B$5:$B$604&gt;=TodayDate)*(Jobs!$P$5:$P$604&lt;&gt;"Cancelled")*Jobs!$B$5:$B$604+(1-(Jobs!$G$5:$G$604=A188)*(Jobs!$B$5:$B$604&gt;=TodayDate)*(Jobs!$P$5:$P$604&lt;&gt;"Cancelled"))*2958465))))</f>
        <v>0</v>
      </c>
      <c r="AD188" s="21">
        <f>IF(A188="","",SUMIFS(Invoices!$V$5:$V$404,Invoices!$D$5:$D$404,A188))</f>
        <v>0</v>
      </c>
      <c r="AE188" s="21">
        <f>IF(A188="","",SUMIFS(Invoices!$W$5:$W$404,Invoices!$D$5:$D$404,A188))</f>
        <v>0</v>
      </c>
      <c r="AF188" s="21">
        <f>IF(A188="","",AD188-AE188)</f>
        <v>0</v>
      </c>
      <c r="AG188" s="21">
        <f>IF(OR(A188="",Y188=0),"",AD188/Y188)</f>
        <v>0</v>
      </c>
      <c r="AH188" s="21">
        <f>IF(A188="","",SUMIFS('Job Costing'!$U$5:$U$604,'Job Costing'!$D$5:$D$604,A188))</f>
        <v>0</v>
      </c>
      <c r="AI188" s="38">
        <f>IF(OR(A188="",AD188=0),"",AH188/AD188)</f>
        <v>0</v>
      </c>
      <c r="AJ188" s="21">
        <f>IF(OR(A188="",K188="",AG188=""),"",AG188*IFERROR(INDEX(FreqPerYear,MATCH(K188,FreqNames,0)),1))</f>
        <v>0</v>
      </c>
      <c r="AK188" s="34">
        <f>IF(A188="","",IFERROR(AVERAGEIFS(Jobs!$AA$5:$AA$604,Jobs!$G$5:$G$604,A188,Jobs!$AA$5:$AA$604,"&gt;0"),""))</f>
        <v>0</v>
      </c>
      <c r="AL188" s="31">
        <f>IF(A188="","",COUNTIFS(Complaints!$D$5:$D$84,A188))</f>
        <v>0</v>
      </c>
      <c r="AM188" s="31">
        <f>IF(B188="","",COUNTIFS($AD$5:$AD$204,"&gt;"&amp;AD188)+COUNTIFS($AD$5:AD188,AD188))</f>
        <v>0</v>
      </c>
      <c r="AN188" s="31">
        <f>IF(B188="","",COUNTIFS($AH$5:$AH$204,"&gt;"&amp;AH188)+COUNTIFS($AH$5:AH188,AH188))</f>
        <v>0</v>
      </c>
      <c r="AO188" s="31">
        <f>IF(B188="","",COUNTIFS($AJ$5:$AJ$204,"&gt;"&amp;AJ188)+COUNTIFS($AJ$5:AJ188,AJ188))</f>
        <v>0</v>
      </c>
      <c r="AP188" s="39">
        <f>IF(B188="","",IF(H188="Lost","Lost",IF(H188="Inactive","Dormant",IF(AA188="","Dormant",IF(AB188&gt;InactiveClientDays*2,"Dormant",IF(AB188&gt;InactiveClientDays,"At risk",IF(AC188="","Slipping",IF(Y188&gt;=10,"Loyal","Steady"))))))))</f>
        <v>0</v>
      </c>
      <c r="AQ188" s="34">
        <f>IF(OR(B188="",AP188="Lost",AP188="Dormant"),"",IF(OR(AP188="At risk",AP188="Slipping"),IF(AB188="",999,AB188),""))</f>
        <v>0</v>
      </c>
      <c r="AR188" s="31">
        <f>IF(AQ188="","",COUNTIFS($AQ$5:$AQ$204,"&gt;"&amp;AQ188)+COUNTIFS($AQ$5:AQ188,AQ188))</f>
        <v>0</v>
      </c>
      <c r="AS188" s="39">
        <f>IF(B188="","",IF(AF188&gt;0.5,"Chase - "&amp;TEXT(AF188,"0")&amp;" owing",IF(AND(H188&lt;&gt;"Lost",H188&lt;&gt;"Inactive",H188&lt;&gt;"Paused",AC188="",K188&lt;&gt;"One-off"),"Book - nothing in the diary",IF(AND(S188&lt;&gt;"",S188-TodayDate&lt;=RenewalWarningDays,S188&gt;=TodayDate),"Due - contract renews soon",IF(AP188="At risk","Call - going quiet",IF(AL188&gt;=2,"Check - complaints logged",IF(AND(AI188&lt;&gt;"",AI188&lt;MarginFloor,Y188&gt;0),"Check - thin margin","OK")))))))</f>
        <v>0</v>
      </c>
    </row>
    <row r="189" spans="1:45">
      <c r="A189" s="43">
        <f>IF(B189="","",ClientPrefix&amp;TEXT(ROW()-4,"0000"))</f>
        <v>0</v>
      </c>
      <c r="W189" s="31">
        <f>IF(A189="","",COUNTIFS(Properties!$C$5:$C$254,A189))</f>
        <v>0</v>
      </c>
      <c r="X189" s="31">
        <f>IF(A189="","",COUNTIFS(Jobs!$G$5:$G$604,A189))</f>
        <v>0</v>
      </c>
      <c r="Y189" s="31">
        <f>IF(A189="","",COUNTIFS(Jobs!$G$5:$G$604,A189,Jobs!$P$5:$P$604,"Completed")+COUNTIFS(Jobs!$G$5:$G$604,A189,Jobs!$P$5:$P$604,"Invoiced"))</f>
        <v>0</v>
      </c>
      <c r="Z189" s="31">
        <f>IF(A189="","",COUNTIFS(Jobs!$G$5:$G$604,A189,Jobs!$P$5:$P$604,"Cancelled")+COUNTIFS(Jobs!$G$5:$G$604,A189,Jobs!$P$5:$P$604,"No access"))</f>
        <v>0</v>
      </c>
      <c r="AA189" s="18">
        <f>IF(A189="","",IF(SUMPRODUCT(MAX((Jobs!$G$5:$G$604=A189)*((Jobs!$P$5:$P$604="Completed")+(Jobs!$P$5:$P$604="Invoiced"))*Jobs!$B$5:$B$604))=0,"",SUMPRODUCT(MAX((Jobs!$G$5:$G$604=A189)*((Jobs!$P$5:$P$604="Completed")+(Jobs!$P$5:$P$604="Invoiced"))*Jobs!$B$5:$B$604))))</f>
        <v>0</v>
      </c>
      <c r="AB189" s="31">
        <f>IF(AA189="","",TodayDate-AA189)</f>
        <v>0</v>
      </c>
      <c r="AC189" s="18">
        <f>IF(A189="","",IF(SUMPRODUCT(MIN((Jobs!$G$5:$G$604=A189)*(Jobs!$B$5:$B$604&gt;=TodayDate)*(Jobs!$P$5:$P$604&lt;&gt;"Cancelled")*Jobs!$B$5:$B$604+(1-(Jobs!$G$5:$G$604=A189)*(Jobs!$B$5:$B$604&gt;=TodayDate)*(Jobs!$P$5:$P$604&lt;&gt;"Cancelled"))*2958465))=2958465,"",SUMPRODUCT(MIN((Jobs!$G$5:$G$604=A189)*(Jobs!$B$5:$B$604&gt;=TodayDate)*(Jobs!$P$5:$P$604&lt;&gt;"Cancelled")*Jobs!$B$5:$B$604+(1-(Jobs!$G$5:$G$604=A189)*(Jobs!$B$5:$B$604&gt;=TodayDate)*(Jobs!$P$5:$P$604&lt;&gt;"Cancelled"))*2958465))))</f>
        <v>0</v>
      </c>
      <c r="AD189" s="21">
        <f>IF(A189="","",SUMIFS(Invoices!$V$5:$V$404,Invoices!$D$5:$D$404,A189))</f>
        <v>0</v>
      </c>
      <c r="AE189" s="21">
        <f>IF(A189="","",SUMIFS(Invoices!$W$5:$W$404,Invoices!$D$5:$D$404,A189))</f>
        <v>0</v>
      </c>
      <c r="AF189" s="21">
        <f>IF(A189="","",AD189-AE189)</f>
        <v>0</v>
      </c>
      <c r="AG189" s="21">
        <f>IF(OR(A189="",Y189=0),"",AD189/Y189)</f>
        <v>0</v>
      </c>
      <c r="AH189" s="21">
        <f>IF(A189="","",SUMIFS('Job Costing'!$U$5:$U$604,'Job Costing'!$D$5:$D$604,A189))</f>
        <v>0</v>
      </c>
      <c r="AI189" s="38">
        <f>IF(OR(A189="",AD189=0),"",AH189/AD189)</f>
        <v>0</v>
      </c>
      <c r="AJ189" s="21">
        <f>IF(OR(A189="",K189="",AG189=""),"",AG189*IFERROR(INDEX(FreqPerYear,MATCH(K189,FreqNames,0)),1))</f>
        <v>0</v>
      </c>
      <c r="AK189" s="34">
        <f>IF(A189="","",IFERROR(AVERAGEIFS(Jobs!$AA$5:$AA$604,Jobs!$G$5:$G$604,A189,Jobs!$AA$5:$AA$604,"&gt;0"),""))</f>
        <v>0</v>
      </c>
      <c r="AL189" s="31">
        <f>IF(A189="","",COUNTIFS(Complaints!$D$5:$D$84,A189))</f>
        <v>0</v>
      </c>
      <c r="AM189" s="31">
        <f>IF(B189="","",COUNTIFS($AD$5:$AD$204,"&gt;"&amp;AD189)+COUNTIFS($AD$5:AD189,AD189))</f>
        <v>0</v>
      </c>
      <c r="AN189" s="31">
        <f>IF(B189="","",COUNTIFS($AH$5:$AH$204,"&gt;"&amp;AH189)+COUNTIFS($AH$5:AH189,AH189))</f>
        <v>0</v>
      </c>
      <c r="AO189" s="31">
        <f>IF(B189="","",COUNTIFS($AJ$5:$AJ$204,"&gt;"&amp;AJ189)+COUNTIFS($AJ$5:AJ189,AJ189))</f>
        <v>0</v>
      </c>
      <c r="AP189" s="39">
        <f>IF(B189="","",IF(H189="Lost","Lost",IF(H189="Inactive","Dormant",IF(AA189="","Dormant",IF(AB189&gt;InactiveClientDays*2,"Dormant",IF(AB189&gt;InactiveClientDays,"At risk",IF(AC189="","Slipping",IF(Y189&gt;=10,"Loyal","Steady"))))))))</f>
        <v>0</v>
      </c>
      <c r="AQ189" s="34">
        <f>IF(OR(B189="",AP189="Lost",AP189="Dormant"),"",IF(OR(AP189="At risk",AP189="Slipping"),IF(AB189="",999,AB189),""))</f>
        <v>0</v>
      </c>
      <c r="AR189" s="31">
        <f>IF(AQ189="","",COUNTIFS($AQ$5:$AQ$204,"&gt;"&amp;AQ189)+COUNTIFS($AQ$5:AQ189,AQ189))</f>
        <v>0</v>
      </c>
      <c r="AS189" s="39">
        <f>IF(B189="","",IF(AF189&gt;0.5,"Chase - "&amp;TEXT(AF189,"0")&amp;" owing",IF(AND(H189&lt;&gt;"Lost",H189&lt;&gt;"Inactive",H189&lt;&gt;"Paused",AC189="",K189&lt;&gt;"One-off"),"Book - nothing in the diary",IF(AND(S189&lt;&gt;"",S189-TodayDate&lt;=RenewalWarningDays,S189&gt;=TodayDate),"Due - contract renews soon",IF(AP189="At risk","Call - going quiet",IF(AL189&gt;=2,"Check - complaints logged",IF(AND(AI189&lt;&gt;"",AI189&lt;MarginFloor,Y189&gt;0),"Check - thin margin","OK")))))))</f>
        <v>0</v>
      </c>
    </row>
    <row r="190" spans="1:45">
      <c r="A190" s="43">
        <f>IF(B190="","",ClientPrefix&amp;TEXT(ROW()-4,"0000"))</f>
        <v>0</v>
      </c>
      <c r="W190" s="31">
        <f>IF(A190="","",COUNTIFS(Properties!$C$5:$C$254,A190))</f>
        <v>0</v>
      </c>
      <c r="X190" s="31">
        <f>IF(A190="","",COUNTIFS(Jobs!$G$5:$G$604,A190))</f>
        <v>0</v>
      </c>
      <c r="Y190" s="31">
        <f>IF(A190="","",COUNTIFS(Jobs!$G$5:$G$604,A190,Jobs!$P$5:$P$604,"Completed")+COUNTIFS(Jobs!$G$5:$G$604,A190,Jobs!$P$5:$P$604,"Invoiced"))</f>
        <v>0</v>
      </c>
      <c r="Z190" s="31">
        <f>IF(A190="","",COUNTIFS(Jobs!$G$5:$G$604,A190,Jobs!$P$5:$P$604,"Cancelled")+COUNTIFS(Jobs!$G$5:$G$604,A190,Jobs!$P$5:$P$604,"No access"))</f>
        <v>0</v>
      </c>
      <c r="AA190" s="18">
        <f>IF(A190="","",IF(SUMPRODUCT(MAX((Jobs!$G$5:$G$604=A190)*((Jobs!$P$5:$P$604="Completed")+(Jobs!$P$5:$P$604="Invoiced"))*Jobs!$B$5:$B$604))=0,"",SUMPRODUCT(MAX((Jobs!$G$5:$G$604=A190)*((Jobs!$P$5:$P$604="Completed")+(Jobs!$P$5:$P$604="Invoiced"))*Jobs!$B$5:$B$604))))</f>
        <v>0</v>
      </c>
      <c r="AB190" s="31">
        <f>IF(AA190="","",TodayDate-AA190)</f>
        <v>0</v>
      </c>
      <c r="AC190" s="18">
        <f>IF(A190="","",IF(SUMPRODUCT(MIN((Jobs!$G$5:$G$604=A190)*(Jobs!$B$5:$B$604&gt;=TodayDate)*(Jobs!$P$5:$P$604&lt;&gt;"Cancelled")*Jobs!$B$5:$B$604+(1-(Jobs!$G$5:$G$604=A190)*(Jobs!$B$5:$B$604&gt;=TodayDate)*(Jobs!$P$5:$P$604&lt;&gt;"Cancelled"))*2958465))=2958465,"",SUMPRODUCT(MIN((Jobs!$G$5:$G$604=A190)*(Jobs!$B$5:$B$604&gt;=TodayDate)*(Jobs!$P$5:$P$604&lt;&gt;"Cancelled")*Jobs!$B$5:$B$604+(1-(Jobs!$G$5:$G$604=A190)*(Jobs!$B$5:$B$604&gt;=TodayDate)*(Jobs!$P$5:$P$604&lt;&gt;"Cancelled"))*2958465))))</f>
        <v>0</v>
      </c>
      <c r="AD190" s="21">
        <f>IF(A190="","",SUMIFS(Invoices!$V$5:$V$404,Invoices!$D$5:$D$404,A190))</f>
        <v>0</v>
      </c>
      <c r="AE190" s="21">
        <f>IF(A190="","",SUMIFS(Invoices!$W$5:$W$404,Invoices!$D$5:$D$404,A190))</f>
        <v>0</v>
      </c>
      <c r="AF190" s="21">
        <f>IF(A190="","",AD190-AE190)</f>
        <v>0</v>
      </c>
      <c r="AG190" s="21">
        <f>IF(OR(A190="",Y190=0),"",AD190/Y190)</f>
        <v>0</v>
      </c>
      <c r="AH190" s="21">
        <f>IF(A190="","",SUMIFS('Job Costing'!$U$5:$U$604,'Job Costing'!$D$5:$D$604,A190))</f>
        <v>0</v>
      </c>
      <c r="AI190" s="38">
        <f>IF(OR(A190="",AD190=0),"",AH190/AD190)</f>
        <v>0</v>
      </c>
      <c r="AJ190" s="21">
        <f>IF(OR(A190="",K190="",AG190=""),"",AG190*IFERROR(INDEX(FreqPerYear,MATCH(K190,FreqNames,0)),1))</f>
        <v>0</v>
      </c>
      <c r="AK190" s="34">
        <f>IF(A190="","",IFERROR(AVERAGEIFS(Jobs!$AA$5:$AA$604,Jobs!$G$5:$G$604,A190,Jobs!$AA$5:$AA$604,"&gt;0"),""))</f>
        <v>0</v>
      </c>
      <c r="AL190" s="31">
        <f>IF(A190="","",COUNTIFS(Complaints!$D$5:$D$84,A190))</f>
        <v>0</v>
      </c>
      <c r="AM190" s="31">
        <f>IF(B190="","",COUNTIFS($AD$5:$AD$204,"&gt;"&amp;AD190)+COUNTIFS($AD$5:AD190,AD190))</f>
        <v>0</v>
      </c>
      <c r="AN190" s="31">
        <f>IF(B190="","",COUNTIFS($AH$5:$AH$204,"&gt;"&amp;AH190)+COUNTIFS($AH$5:AH190,AH190))</f>
        <v>0</v>
      </c>
      <c r="AO190" s="31">
        <f>IF(B190="","",COUNTIFS($AJ$5:$AJ$204,"&gt;"&amp;AJ190)+COUNTIFS($AJ$5:AJ190,AJ190))</f>
        <v>0</v>
      </c>
      <c r="AP190" s="39">
        <f>IF(B190="","",IF(H190="Lost","Lost",IF(H190="Inactive","Dormant",IF(AA190="","Dormant",IF(AB190&gt;InactiveClientDays*2,"Dormant",IF(AB190&gt;InactiveClientDays,"At risk",IF(AC190="","Slipping",IF(Y190&gt;=10,"Loyal","Steady"))))))))</f>
        <v>0</v>
      </c>
      <c r="AQ190" s="34">
        <f>IF(OR(B190="",AP190="Lost",AP190="Dormant"),"",IF(OR(AP190="At risk",AP190="Slipping"),IF(AB190="",999,AB190),""))</f>
        <v>0</v>
      </c>
      <c r="AR190" s="31">
        <f>IF(AQ190="","",COUNTIFS($AQ$5:$AQ$204,"&gt;"&amp;AQ190)+COUNTIFS($AQ$5:AQ190,AQ190))</f>
        <v>0</v>
      </c>
      <c r="AS190" s="39">
        <f>IF(B190="","",IF(AF190&gt;0.5,"Chase - "&amp;TEXT(AF190,"0")&amp;" owing",IF(AND(H190&lt;&gt;"Lost",H190&lt;&gt;"Inactive",H190&lt;&gt;"Paused",AC190="",K190&lt;&gt;"One-off"),"Book - nothing in the diary",IF(AND(S190&lt;&gt;"",S190-TodayDate&lt;=RenewalWarningDays,S190&gt;=TodayDate),"Due - contract renews soon",IF(AP190="At risk","Call - going quiet",IF(AL190&gt;=2,"Check - complaints logged",IF(AND(AI190&lt;&gt;"",AI190&lt;MarginFloor,Y190&gt;0),"Check - thin margin","OK")))))))</f>
        <v>0</v>
      </c>
    </row>
    <row r="191" spans="1:45">
      <c r="A191" s="43">
        <f>IF(B191="","",ClientPrefix&amp;TEXT(ROW()-4,"0000"))</f>
        <v>0</v>
      </c>
      <c r="W191" s="31">
        <f>IF(A191="","",COUNTIFS(Properties!$C$5:$C$254,A191))</f>
        <v>0</v>
      </c>
      <c r="X191" s="31">
        <f>IF(A191="","",COUNTIFS(Jobs!$G$5:$G$604,A191))</f>
        <v>0</v>
      </c>
      <c r="Y191" s="31">
        <f>IF(A191="","",COUNTIFS(Jobs!$G$5:$G$604,A191,Jobs!$P$5:$P$604,"Completed")+COUNTIFS(Jobs!$G$5:$G$604,A191,Jobs!$P$5:$P$604,"Invoiced"))</f>
        <v>0</v>
      </c>
      <c r="Z191" s="31">
        <f>IF(A191="","",COUNTIFS(Jobs!$G$5:$G$604,A191,Jobs!$P$5:$P$604,"Cancelled")+COUNTIFS(Jobs!$G$5:$G$604,A191,Jobs!$P$5:$P$604,"No access"))</f>
        <v>0</v>
      </c>
      <c r="AA191" s="18">
        <f>IF(A191="","",IF(SUMPRODUCT(MAX((Jobs!$G$5:$G$604=A191)*((Jobs!$P$5:$P$604="Completed")+(Jobs!$P$5:$P$604="Invoiced"))*Jobs!$B$5:$B$604))=0,"",SUMPRODUCT(MAX((Jobs!$G$5:$G$604=A191)*((Jobs!$P$5:$P$604="Completed")+(Jobs!$P$5:$P$604="Invoiced"))*Jobs!$B$5:$B$604))))</f>
        <v>0</v>
      </c>
      <c r="AB191" s="31">
        <f>IF(AA191="","",TodayDate-AA191)</f>
        <v>0</v>
      </c>
      <c r="AC191" s="18">
        <f>IF(A191="","",IF(SUMPRODUCT(MIN((Jobs!$G$5:$G$604=A191)*(Jobs!$B$5:$B$604&gt;=TodayDate)*(Jobs!$P$5:$P$604&lt;&gt;"Cancelled")*Jobs!$B$5:$B$604+(1-(Jobs!$G$5:$G$604=A191)*(Jobs!$B$5:$B$604&gt;=TodayDate)*(Jobs!$P$5:$P$604&lt;&gt;"Cancelled"))*2958465))=2958465,"",SUMPRODUCT(MIN((Jobs!$G$5:$G$604=A191)*(Jobs!$B$5:$B$604&gt;=TodayDate)*(Jobs!$P$5:$P$604&lt;&gt;"Cancelled")*Jobs!$B$5:$B$604+(1-(Jobs!$G$5:$G$604=A191)*(Jobs!$B$5:$B$604&gt;=TodayDate)*(Jobs!$P$5:$P$604&lt;&gt;"Cancelled"))*2958465))))</f>
        <v>0</v>
      </c>
      <c r="AD191" s="21">
        <f>IF(A191="","",SUMIFS(Invoices!$V$5:$V$404,Invoices!$D$5:$D$404,A191))</f>
        <v>0</v>
      </c>
      <c r="AE191" s="21">
        <f>IF(A191="","",SUMIFS(Invoices!$W$5:$W$404,Invoices!$D$5:$D$404,A191))</f>
        <v>0</v>
      </c>
      <c r="AF191" s="21">
        <f>IF(A191="","",AD191-AE191)</f>
        <v>0</v>
      </c>
      <c r="AG191" s="21">
        <f>IF(OR(A191="",Y191=0),"",AD191/Y191)</f>
        <v>0</v>
      </c>
      <c r="AH191" s="21">
        <f>IF(A191="","",SUMIFS('Job Costing'!$U$5:$U$604,'Job Costing'!$D$5:$D$604,A191))</f>
        <v>0</v>
      </c>
      <c r="AI191" s="38">
        <f>IF(OR(A191="",AD191=0),"",AH191/AD191)</f>
        <v>0</v>
      </c>
      <c r="AJ191" s="21">
        <f>IF(OR(A191="",K191="",AG191=""),"",AG191*IFERROR(INDEX(FreqPerYear,MATCH(K191,FreqNames,0)),1))</f>
        <v>0</v>
      </c>
      <c r="AK191" s="34">
        <f>IF(A191="","",IFERROR(AVERAGEIFS(Jobs!$AA$5:$AA$604,Jobs!$G$5:$G$604,A191,Jobs!$AA$5:$AA$604,"&gt;0"),""))</f>
        <v>0</v>
      </c>
      <c r="AL191" s="31">
        <f>IF(A191="","",COUNTIFS(Complaints!$D$5:$D$84,A191))</f>
        <v>0</v>
      </c>
      <c r="AM191" s="31">
        <f>IF(B191="","",COUNTIFS($AD$5:$AD$204,"&gt;"&amp;AD191)+COUNTIFS($AD$5:AD191,AD191))</f>
        <v>0</v>
      </c>
      <c r="AN191" s="31">
        <f>IF(B191="","",COUNTIFS($AH$5:$AH$204,"&gt;"&amp;AH191)+COUNTIFS($AH$5:AH191,AH191))</f>
        <v>0</v>
      </c>
      <c r="AO191" s="31">
        <f>IF(B191="","",COUNTIFS($AJ$5:$AJ$204,"&gt;"&amp;AJ191)+COUNTIFS($AJ$5:AJ191,AJ191))</f>
        <v>0</v>
      </c>
      <c r="AP191" s="39">
        <f>IF(B191="","",IF(H191="Lost","Lost",IF(H191="Inactive","Dormant",IF(AA191="","Dormant",IF(AB191&gt;InactiveClientDays*2,"Dormant",IF(AB191&gt;InactiveClientDays,"At risk",IF(AC191="","Slipping",IF(Y191&gt;=10,"Loyal","Steady"))))))))</f>
        <v>0</v>
      </c>
      <c r="AQ191" s="34">
        <f>IF(OR(B191="",AP191="Lost",AP191="Dormant"),"",IF(OR(AP191="At risk",AP191="Slipping"),IF(AB191="",999,AB191),""))</f>
        <v>0</v>
      </c>
      <c r="AR191" s="31">
        <f>IF(AQ191="","",COUNTIFS($AQ$5:$AQ$204,"&gt;"&amp;AQ191)+COUNTIFS($AQ$5:AQ191,AQ191))</f>
        <v>0</v>
      </c>
      <c r="AS191" s="39">
        <f>IF(B191="","",IF(AF191&gt;0.5,"Chase - "&amp;TEXT(AF191,"0")&amp;" owing",IF(AND(H191&lt;&gt;"Lost",H191&lt;&gt;"Inactive",H191&lt;&gt;"Paused",AC191="",K191&lt;&gt;"One-off"),"Book - nothing in the diary",IF(AND(S191&lt;&gt;"",S191-TodayDate&lt;=RenewalWarningDays,S191&gt;=TodayDate),"Due - contract renews soon",IF(AP191="At risk","Call - going quiet",IF(AL191&gt;=2,"Check - complaints logged",IF(AND(AI191&lt;&gt;"",AI191&lt;MarginFloor,Y191&gt;0),"Check - thin margin","OK")))))))</f>
        <v>0</v>
      </c>
    </row>
    <row r="192" spans="1:45">
      <c r="A192" s="43">
        <f>IF(B192="","",ClientPrefix&amp;TEXT(ROW()-4,"0000"))</f>
        <v>0</v>
      </c>
      <c r="W192" s="31">
        <f>IF(A192="","",COUNTIFS(Properties!$C$5:$C$254,A192))</f>
        <v>0</v>
      </c>
      <c r="X192" s="31">
        <f>IF(A192="","",COUNTIFS(Jobs!$G$5:$G$604,A192))</f>
        <v>0</v>
      </c>
      <c r="Y192" s="31">
        <f>IF(A192="","",COUNTIFS(Jobs!$G$5:$G$604,A192,Jobs!$P$5:$P$604,"Completed")+COUNTIFS(Jobs!$G$5:$G$604,A192,Jobs!$P$5:$P$604,"Invoiced"))</f>
        <v>0</v>
      </c>
      <c r="Z192" s="31">
        <f>IF(A192="","",COUNTIFS(Jobs!$G$5:$G$604,A192,Jobs!$P$5:$P$604,"Cancelled")+COUNTIFS(Jobs!$G$5:$G$604,A192,Jobs!$P$5:$P$604,"No access"))</f>
        <v>0</v>
      </c>
      <c r="AA192" s="18">
        <f>IF(A192="","",IF(SUMPRODUCT(MAX((Jobs!$G$5:$G$604=A192)*((Jobs!$P$5:$P$604="Completed")+(Jobs!$P$5:$P$604="Invoiced"))*Jobs!$B$5:$B$604))=0,"",SUMPRODUCT(MAX((Jobs!$G$5:$G$604=A192)*((Jobs!$P$5:$P$604="Completed")+(Jobs!$P$5:$P$604="Invoiced"))*Jobs!$B$5:$B$604))))</f>
        <v>0</v>
      </c>
      <c r="AB192" s="31">
        <f>IF(AA192="","",TodayDate-AA192)</f>
        <v>0</v>
      </c>
      <c r="AC192" s="18">
        <f>IF(A192="","",IF(SUMPRODUCT(MIN((Jobs!$G$5:$G$604=A192)*(Jobs!$B$5:$B$604&gt;=TodayDate)*(Jobs!$P$5:$P$604&lt;&gt;"Cancelled")*Jobs!$B$5:$B$604+(1-(Jobs!$G$5:$G$604=A192)*(Jobs!$B$5:$B$604&gt;=TodayDate)*(Jobs!$P$5:$P$604&lt;&gt;"Cancelled"))*2958465))=2958465,"",SUMPRODUCT(MIN((Jobs!$G$5:$G$604=A192)*(Jobs!$B$5:$B$604&gt;=TodayDate)*(Jobs!$P$5:$P$604&lt;&gt;"Cancelled")*Jobs!$B$5:$B$604+(1-(Jobs!$G$5:$G$604=A192)*(Jobs!$B$5:$B$604&gt;=TodayDate)*(Jobs!$P$5:$P$604&lt;&gt;"Cancelled"))*2958465))))</f>
        <v>0</v>
      </c>
      <c r="AD192" s="21">
        <f>IF(A192="","",SUMIFS(Invoices!$V$5:$V$404,Invoices!$D$5:$D$404,A192))</f>
        <v>0</v>
      </c>
      <c r="AE192" s="21">
        <f>IF(A192="","",SUMIFS(Invoices!$W$5:$W$404,Invoices!$D$5:$D$404,A192))</f>
        <v>0</v>
      </c>
      <c r="AF192" s="21">
        <f>IF(A192="","",AD192-AE192)</f>
        <v>0</v>
      </c>
      <c r="AG192" s="21">
        <f>IF(OR(A192="",Y192=0),"",AD192/Y192)</f>
        <v>0</v>
      </c>
      <c r="AH192" s="21">
        <f>IF(A192="","",SUMIFS('Job Costing'!$U$5:$U$604,'Job Costing'!$D$5:$D$604,A192))</f>
        <v>0</v>
      </c>
      <c r="AI192" s="38">
        <f>IF(OR(A192="",AD192=0),"",AH192/AD192)</f>
        <v>0</v>
      </c>
      <c r="AJ192" s="21">
        <f>IF(OR(A192="",K192="",AG192=""),"",AG192*IFERROR(INDEX(FreqPerYear,MATCH(K192,FreqNames,0)),1))</f>
        <v>0</v>
      </c>
      <c r="AK192" s="34">
        <f>IF(A192="","",IFERROR(AVERAGEIFS(Jobs!$AA$5:$AA$604,Jobs!$G$5:$G$604,A192,Jobs!$AA$5:$AA$604,"&gt;0"),""))</f>
        <v>0</v>
      </c>
      <c r="AL192" s="31">
        <f>IF(A192="","",COUNTIFS(Complaints!$D$5:$D$84,A192))</f>
        <v>0</v>
      </c>
      <c r="AM192" s="31">
        <f>IF(B192="","",COUNTIFS($AD$5:$AD$204,"&gt;"&amp;AD192)+COUNTIFS($AD$5:AD192,AD192))</f>
        <v>0</v>
      </c>
      <c r="AN192" s="31">
        <f>IF(B192="","",COUNTIFS($AH$5:$AH$204,"&gt;"&amp;AH192)+COUNTIFS($AH$5:AH192,AH192))</f>
        <v>0</v>
      </c>
      <c r="AO192" s="31">
        <f>IF(B192="","",COUNTIFS($AJ$5:$AJ$204,"&gt;"&amp;AJ192)+COUNTIFS($AJ$5:AJ192,AJ192))</f>
        <v>0</v>
      </c>
      <c r="AP192" s="39">
        <f>IF(B192="","",IF(H192="Lost","Lost",IF(H192="Inactive","Dormant",IF(AA192="","Dormant",IF(AB192&gt;InactiveClientDays*2,"Dormant",IF(AB192&gt;InactiveClientDays,"At risk",IF(AC192="","Slipping",IF(Y192&gt;=10,"Loyal","Steady"))))))))</f>
        <v>0</v>
      </c>
      <c r="AQ192" s="34">
        <f>IF(OR(B192="",AP192="Lost",AP192="Dormant"),"",IF(OR(AP192="At risk",AP192="Slipping"),IF(AB192="",999,AB192),""))</f>
        <v>0</v>
      </c>
      <c r="AR192" s="31">
        <f>IF(AQ192="","",COUNTIFS($AQ$5:$AQ$204,"&gt;"&amp;AQ192)+COUNTIFS($AQ$5:AQ192,AQ192))</f>
        <v>0</v>
      </c>
      <c r="AS192" s="39">
        <f>IF(B192="","",IF(AF192&gt;0.5,"Chase - "&amp;TEXT(AF192,"0")&amp;" owing",IF(AND(H192&lt;&gt;"Lost",H192&lt;&gt;"Inactive",H192&lt;&gt;"Paused",AC192="",K192&lt;&gt;"One-off"),"Book - nothing in the diary",IF(AND(S192&lt;&gt;"",S192-TodayDate&lt;=RenewalWarningDays,S192&gt;=TodayDate),"Due - contract renews soon",IF(AP192="At risk","Call - going quiet",IF(AL192&gt;=2,"Check - complaints logged",IF(AND(AI192&lt;&gt;"",AI192&lt;MarginFloor,Y192&gt;0),"Check - thin margin","OK")))))))</f>
        <v>0</v>
      </c>
    </row>
    <row r="193" spans="1:45">
      <c r="A193" s="43">
        <f>IF(B193="","",ClientPrefix&amp;TEXT(ROW()-4,"0000"))</f>
        <v>0</v>
      </c>
      <c r="W193" s="31">
        <f>IF(A193="","",COUNTIFS(Properties!$C$5:$C$254,A193))</f>
        <v>0</v>
      </c>
      <c r="X193" s="31">
        <f>IF(A193="","",COUNTIFS(Jobs!$G$5:$G$604,A193))</f>
        <v>0</v>
      </c>
      <c r="Y193" s="31">
        <f>IF(A193="","",COUNTIFS(Jobs!$G$5:$G$604,A193,Jobs!$P$5:$P$604,"Completed")+COUNTIFS(Jobs!$G$5:$G$604,A193,Jobs!$P$5:$P$604,"Invoiced"))</f>
        <v>0</v>
      </c>
      <c r="Z193" s="31">
        <f>IF(A193="","",COUNTIFS(Jobs!$G$5:$G$604,A193,Jobs!$P$5:$P$604,"Cancelled")+COUNTIFS(Jobs!$G$5:$G$604,A193,Jobs!$P$5:$P$604,"No access"))</f>
        <v>0</v>
      </c>
      <c r="AA193" s="18">
        <f>IF(A193="","",IF(SUMPRODUCT(MAX((Jobs!$G$5:$G$604=A193)*((Jobs!$P$5:$P$604="Completed")+(Jobs!$P$5:$P$604="Invoiced"))*Jobs!$B$5:$B$604))=0,"",SUMPRODUCT(MAX((Jobs!$G$5:$G$604=A193)*((Jobs!$P$5:$P$604="Completed")+(Jobs!$P$5:$P$604="Invoiced"))*Jobs!$B$5:$B$604))))</f>
        <v>0</v>
      </c>
      <c r="AB193" s="31">
        <f>IF(AA193="","",TodayDate-AA193)</f>
        <v>0</v>
      </c>
      <c r="AC193" s="18">
        <f>IF(A193="","",IF(SUMPRODUCT(MIN((Jobs!$G$5:$G$604=A193)*(Jobs!$B$5:$B$604&gt;=TodayDate)*(Jobs!$P$5:$P$604&lt;&gt;"Cancelled")*Jobs!$B$5:$B$604+(1-(Jobs!$G$5:$G$604=A193)*(Jobs!$B$5:$B$604&gt;=TodayDate)*(Jobs!$P$5:$P$604&lt;&gt;"Cancelled"))*2958465))=2958465,"",SUMPRODUCT(MIN((Jobs!$G$5:$G$604=A193)*(Jobs!$B$5:$B$604&gt;=TodayDate)*(Jobs!$P$5:$P$604&lt;&gt;"Cancelled")*Jobs!$B$5:$B$604+(1-(Jobs!$G$5:$G$604=A193)*(Jobs!$B$5:$B$604&gt;=TodayDate)*(Jobs!$P$5:$P$604&lt;&gt;"Cancelled"))*2958465))))</f>
        <v>0</v>
      </c>
      <c r="AD193" s="21">
        <f>IF(A193="","",SUMIFS(Invoices!$V$5:$V$404,Invoices!$D$5:$D$404,A193))</f>
        <v>0</v>
      </c>
      <c r="AE193" s="21">
        <f>IF(A193="","",SUMIFS(Invoices!$W$5:$W$404,Invoices!$D$5:$D$404,A193))</f>
        <v>0</v>
      </c>
      <c r="AF193" s="21">
        <f>IF(A193="","",AD193-AE193)</f>
        <v>0</v>
      </c>
      <c r="AG193" s="21">
        <f>IF(OR(A193="",Y193=0),"",AD193/Y193)</f>
        <v>0</v>
      </c>
      <c r="AH193" s="21">
        <f>IF(A193="","",SUMIFS('Job Costing'!$U$5:$U$604,'Job Costing'!$D$5:$D$604,A193))</f>
        <v>0</v>
      </c>
      <c r="AI193" s="38">
        <f>IF(OR(A193="",AD193=0),"",AH193/AD193)</f>
        <v>0</v>
      </c>
      <c r="AJ193" s="21">
        <f>IF(OR(A193="",K193="",AG193=""),"",AG193*IFERROR(INDEX(FreqPerYear,MATCH(K193,FreqNames,0)),1))</f>
        <v>0</v>
      </c>
      <c r="AK193" s="34">
        <f>IF(A193="","",IFERROR(AVERAGEIFS(Jobs!$AA$5:$AA$604,Jobs!$G$5:$G$604,A193,Jobs!$AA$5:$AA$604,"&gt;0"),""))</f>
        <v>0</v>
      </c>
      <c r="AL193" s="31">
        <f>IF(A193="","",COUNTIFS(Complaints!$D$5:$D$84,A193))</f>
        <v>0</v>
      </c>
      <c r="AM193" s="31">
        <f>IF(B193="","",COUNTIFS($AD$5:$AD$204,"&gt;"&amp;AD193)+COUNTIFS($AD$5:AD193,AD193))</f>
        <v>0</v>
      </c>
      <c r="AN193" s="31">
        <f>IF(B193="","",COUNTIFS($AH$5:$AH$204,"&gt;"&amp;AH193)+COUNTIFS($AH$5:AH193,AH193))</f>
        <v>0</v>
      </c>
      <c r="AO193" s="31">
        <f>IF(B193="","",COUNTIFS($AJ$5:$AJ$204,"&gt;"&amp;AJ193)+COUNTIFS($AJ$5:AJ193,AJ193))</f>
        <v>0</v>
      </c>
      <c r="AP193" s="39">
        <f>IF(B193="","",IF(H193="Lost","Lost",IF(H193="Inactive","Dormant",IF(AA193="","Dormant",IF(AB193&gt;InactiveClientDays*2,"Dormant",IF(AB193&gt;InactiveClientDays,"At risk",IF(AC193="","Slipping",IF(Y193&gt;=10,"Loyal","Steady"))))))))</f>
        <v>0</v>
      </c>
      <c r="AQ193" s="34">
        <f>IF(OR(B193="",AP193="Lost",AP193="Dormant"),"",IF(OR(AP193="At risk",AP193="Slipping"),IF(AB193="",999,AB193),""))</f>
        <v>0</v>
      </c>
      <c r="AR193" s="31">
        <f>IF(AQ193="","",COUNTIFS($AQ$5:$AQ$204,"&gt;"&amp;AQ193)+COUNTIFS($AQ$5:AQ193,AQ193))</f>
        <v>0</v>
      </c>
      <c r="AS193" s="39">
        <f>IF(B193="","",IF(AF193&gt;0.5,"Chase - "&amp;TEXT(AF193,"0")&amp;" owing",IF(AND(H193&lt;&gt;"Lost",H193&lt;&gt;"Inactive",H193&lt;&gt;"Paused",AC193="",K193&lt;&gt;"One-off"),"Book - nothing in the diary",IF(AND(S193&lt;&gt;"",S193-TodayDate&lt;=RenewalWarningDays,S193&gt;=TodayDate),"Due - contract renews soon",IF(AP193="At risk","Call - going quiet",IF(AL193&gt;=2,"Check - complaints logged",IF(AND(AI193&lt;&gt;"",AI193&lt;MarginFloor,Y193&gt;0),"Check - thin margin","OK")))))))</f>
        <v>0</v>
      </c>
    </row>
    <row r="194" spans="1:45">
      <c r="A194" s="43">
        <f>IF(B194="","",ClientPrefix&amp;TEXT(ROW()-4,"0000"))</f>
        <v>0</v>
      </c>
      <c r="W194" s="31">
        <f>IF(A194="","",COUNTIFS(Properties!$C$5:$C$254,A194))</f>
        <v>0</v>
      </c>
      <c r="X194" s="31">
        <f>IF(A194="","",COUNTIFS(Jobs!$G$5:$G$604,A194))</f>
        <v>0</v>
      </c>
      <c r="Y194" s="31">
        <f>IF(A194="","",COUNTIFS(Jobs!$G$5:$G$604,A194,Jobs!$P$5:$P$604,"Completed")+COUNTIFS(Jobs!$G$5:$G$604,A194,Jobs!$P$5:$P$604,"Invoiced"))</f>
        <v>0</v>
      </c>
      <c r="Z194" s="31">
        <f>IF(A194="","",COUNTIFS(Jobs!$G$5:$G$604,A194,Jobs!$P$5:$P$604,"Cancelled")+COUNTIFS(Jobs!$G$5:$G$604,A194,Jobs!$P$5:$P$604,"No access"))</f>
        <v>0</v>
      </c>
      <c r="AA194" s="18">
        <f>IF(A194="","",IF(SUMPRODUCT(MAX((Jobs!$G$5:$G$604=A194)*((Jobs!$P$5:$P$604="Completed")+(Jobs!$P$5:$P$604="Invoiced"))*Jobs!$B$5:$B$604))=0,"",SUMPRODUCT(MAX((Jobs!$G$5:$G$604=A194)*((Jobs!$P$5:$P$604="Completed")+(Jobs!$P$5:$P$604="Invoiced"))*Jobs!$B$5:$B$604))))</f>
        <v>0</v>
      </c>
      <c r="AB194" s="31">
        <f>IF(AA194="","",TodayDate-AA194)</f>
        <v>0</v>
      </c>
      <c r="AC194" s="18">
        <f>IF(A194="","",IF(SUMPRODUCT(MIN((Jobs!$G$5:$G$604=A194)*(Jobs!$B$5:$B$604&gt;=TodayDate)*(Jobs!$P$5:$P$604&lt;&gt;"Cancelled")*Jobs!$B$5:$B$604+(1-(Jobs!$G$5:$G$604=A194)*(Jobs!$B$5:$B$604&gt;=TodayDate)*(Jobs!$P$5:$P$604&lt;&gt;"Cancelled"))*2958465))=2958465,"",SUMPRODUCT(MIN((Jobs!$G$5:$G$604=A194)*(Jobs!$B$5:$B$604&gt;=TodayDate)*(Jobs!$P$5:$P$604&lt;&gt;"Cancelled")*Jobs!$B$5:$B$604+(1-(Jobs!$G$5:$G$604=A194)*(Jobs!$B$5:$B$604&gt;=TodayDate)*(Jobs!$P$5:$P$604&lt;&gt;"Cancelled"))*2958465))))</f>
        <v>0</v>
      </c>
      <c r="AD194" s="21">
        <f>IF(A194="","",SUMIFS(Invoices!$V$5:$V$404,Invoices!$D$5:$D$404,A194))</f>
        <v>0</v>
      </c>
      <c r="AE194" s="21">
        <f>IF(A194="","",SUMIFS(Invoices!$W$5:$W$404,Invoices!$D$5:$D$404,A194))</f>
        <v>0</v>
      </c>
      <c r="AF194" s="21">
        <f>IF(A194="","",AD194-AE194)</f>
        <v>0</v>
      </c>
      <c r="AG194" s="21">
        <f>IF(OR(A194="",Y194=0),"",AD194/Y194)</f>
        <v>0</v>
      </c>
      <c r="AH194" s="21">
        <f>IF(A194="","",SUMIFS('Job Costing'!$U$5:$U$604,'Job Costing'!$D$5:$D$604,A194))</f>
        <v>0</v>
      </c>
      <c r="AI194" s="38">
        <f>IF(OR(A194="",AD194=0),"",AH194/AD194)</f>
        <v>0</v>
      </c>
      <c r="AJ194" s="21">
        <f>IF(OR(A194="",K194="",AG194=""),"",AG194*IFERROR(INDEX(FreqPerYear,MATCH(K194,FreqNames,0)),1))</f>
        <v>0</v>
      </c>
      <c r="AK194" s="34">
        <f>IF(A194="","",IFERROR(AVERAGEIFS(Jobs!$AA$5:$AA$604,Jobs!$G$5:$G$604,A194,Jobs!$AA$5:$AA$604,"&gt;0"),""))</f>
        <v>0</v>
      </c>
      <c r="AL194" s="31">
        <f>IF(A194="","",COUNTIFS(Complaints!$D$5:$D$84,A194))</f>
        <v>0</v>
      </c>
      <c r="AM194" s="31">
        <f>IF(B194="","",COUNTIFS($AD$5:$AD$204,"&gt;"&amp;AD194)+COUNTIFS($AD$5:AD194,AD194))</f>
        <v>0</v>
      </c>
      <c r="AN194" s="31">
        <f>IF(B194="","",COUNTIFS($AH$5:$AH$204,"&gt;"&amp;AH194)+COUNTIFS($AH$5:AH194,AH194))</f>
        <v>0</v>
      </c>
      <c r="AO194" s="31">
        <f>IF(B194="","",COUNTIFS($AJ$5:$AJ$204,"&gt;"&amp;AJ194)+COUNTIFS($AJ$5:AJ194,AJ194))</f>
        <v>0</v>
      </c>
      <c r="AP194" s="39">
        <f>IF(B194="","",IF(H194="Lost","Lost",IF(H194="Inactive","Dormant",IF(AA194="","Dormant",IF(AB194&gt;InactiveClientDays*2,"Dormant",IF(AB194&gt;InactiveClientDays,"At risk",IF(AC194="","Slipping",IF(Y194&gt;=10,"Loyal","Steady"))))))))</f>
        <v>0</v>
      </c>
      <c r="AQ194" s="34">
        <f>IF(OR(B194="",AP194="Lost",AP194="Dormant"),"",IF(OR(AP194="At risk",AP194="Slipping"),IF(AB194="",999,AB194),""))</f>
        <v>0</v>
      </c>
      <c r="AR194" s="31">
        <f>IF(AQ194="","",COUNTIFS($AQ$5:$AQ$204,"&gt;"&amp;AQ194)+COUNTIFS($AQ$5:AQ194,AQ194))</f>
        <v>0</v>
      </c>
      <c r="AS194" s="39">
        <f>IF(B194="","",IF(AF194&gt;0.5,"Chase - "&amp;TEXT(AF194,"0")&amp;" owing",IF(AND(H194&lt;&gt;"Lost",H194&lt;&gt;"Inactive",H194&lt;&gt;"Paused",AC194="",K194&lt;&gt;"One-off"),"Book - nothing in the diary",IF(AND(S194&lt;&gt;"",S194-TodayDate&lt;=RenewalWarningDays,S194&gt;=TodayDate),"Due - contract renews soon",IF(AP194="At risk","Call - going quiet",IF(AL194&gt;=2,"Check - complaints logged",IF(AND(AI194&lt;&gt;"",AI194&lt;MarginFloor,Y194&gt;0),"Check - thin margin","OK")))))))</f>
        <v>0</v>
      </c>
    </row>
    <row r="195" spans="1:45">
      <c r="A195" s="43">
        <f>IF(B195="","",ClientPrefix&amp;TEXT(ROW()-4,"0000"))</f>
        <v>0</v>
      </c>
      <c r="W195" s="31">
        <f>IF(A195="","",COUNTIFS(Properties!$C$5:$C$254,A195))</f>
        <v>0</v>
      </c>
      <c r="X195" s="31">
        <f>IF(A195="","",COUNTIFS(Jobs!$G$5:$G$604,A195))</f>
        <v>0</v>
      </c>
      <c r="Y195" s="31">
        <f>IF(A195="","",COUNTIFS(Jobs!$G$5:$G$604,A195,Jobs!$P$5:$P$604,"Completed")+COUNTIFS(Jobs!$G$5:$G$604,A195,Jobs!$P$5:$P$604,"Invoiced"))</f>
        <v>0</v>
      </c>
      <c r="Z195" s="31">
        <f>IF(A195="","",COUNTIFS(Jobs!$G$5:$G$604,A195,Jobs!$P$5:$P$604,"Cancelled")+COUNTIFS(Jobs!$G$5:$G$604,A195,Jobs!$P$5:$P$604,"No access"))</f>
        <v>0</v>
      </c>
      <c r="AA195" s="18">
        <f>IF(A195="","",IF(SUMPRODUCT(MAX((Jobs!$G$5:$G$604=A195)*((Jobs!$P$5:$P$604="Completed")+(Jobs!$P$5:$P$604="Invoiced"))*Jobs!$B$5:$B$604))=0,"",SUMPRODUCT(MAX((Jobs!$G$5:$G$604=A195)*((Jobs!$P$5:$P$604="Completed")+(Jobs!$P$5:$P$604="Invoiced"))*Jobs!$B$5:$B$604))))</f>
        <v>0</v>
      </c>
      <c r="AB195" s="31">
        <f>IF(AA195="","",TodayDate-AA195)</f>
        <v>0</v>
      </c>
      <c r="AC195" s="18">
        <f>IF(A195="","",IF(SUMPRODUCT(MIN((Jobs!$G$5:$G$604=A195)*(Jobs!$B$5:$B$604&gt;=TodayDate)*(Jobs!$P$5:$P$604&lt;&gt;"Cancelled")*Jobs!$B$5:$B$604+(1-(Jobs!$G$5:$G$604=A195)*(Jobs!$B$5:$B$604&gt;=TodayDate)*(Jobs!$P$5:$P$604&lt;&gt;"Cancelled"))*2958465))=2958465,"",SUMPRODUCT(MIN((Jobs!$G$5:$G$604=A195)*(Jobs!$B$5:$B$604&gt;=TodayDate)*(Jobs!$P$5:$P$604&lt;&gt;"Cancelled")*Jobs!$B$5:$B$604+(1-(Jobs!$G$5:$G$604=A195)*(Jobs!$B$5:$B$604&gt;=TodayDate)*(Jobs!$P$5:$P$604&lt;&gt;"Cancelled"))*2958465))))</f>
        <v>0</v>
      </c>
      <c r="AD195" s="21">
        <f>IF(A195="","",SUMIFS(Invoices!$V$5:$V$404,Invoices!$D$5:$D$404,A195))</f>
        <v>0</v>
      </c>
      <c r="AE195" s="21">
        <f>IF(A195="","",SUMIFS(Invoices!$W$5:$W$404,Invoices!$D$5:$D$404,A195))</f>
        <v>0</v>
      </c>
      <c r="AF195" s="21">
        <f>IF(A195="","",AD195-AE195)</f>
        <v>0</v>
      </c>
      <c r="AG195" s="21">
        <f>IF(OR(A195="",Y195=0),"",AD195/Y195)</f>
        <v>0</v>
      </c>
      <c r="AH195" s="21">
        <f>IF(A195="","",SUMIFS('Job Costing'!$U$5:$U$604,'Job Costing'!$D$5:$D$604,A195))</f>
        <v>0</v>
      </c>
      <c r="AI195" s="38">
        <f>IF(OR(A195="",AD195=0),"",AH195/AD195)</f>
        <v>0</v>
      </c>
      <c r="AJ195" s="21">
        <f>IF(OR(A195="",K195="",AG195=""),"",AG195*IFERROR(INDEX(FreqPerYear,MATCH(K195,FreqNames,0)),1))</f>
        <v>0</v>
      </c>
      <c r="AK195" s="34">
        <f>IF(A195="","",IFERROR(AVERAGEIFS(Jobs!$AA$5:$AA$604,Jobs!$G$5:$G$604,A195,Jobs!$AA$5:$AA$604,"&gt;0"),""))</f>
        <v>0</v>
      </c>
      <c r="AL195" s="31">
        <f>IF(A195="","",COUNTIFS(Complaints!$D$5:$D$84,A195))</f>
        <v>0</v>
      </c>
      <c r="AM195" s="31">
        <f>IF(B195="","",COUNTIFS($AD$5:$AD$204,"&gt;"&amp;AD195)+COUNTIFS($AD$5:AD195,AD195))</f>
        <v>0</v>
      </c>
      <c r="AN195" s="31">
        <f>IF(B195="","",COUNTIFS($AH$5:$AH$204,"&gt;"&amp;AH195)+COUNTIFS($AH$5:AH195,AH195))</f>
        <v>0</v>
      </c>
      <c r="AO195" s="31">
        <f>IF(B195="","",COUNTIFS($AJ$5:$AJ$204,"&gt;"&amp;AJ195)+COUNTIFS($AJ$5:AJ195,AJ195))</f>
        <v>0</v>
      </c>
      <c r="AP195" s="39">
        <f>IF(B195="","",IF(H195="Lost","Lost",IF(H195="Inactive","Dormant",IF(AA195="","Dormant",IF(AB195&gt;InactiveClientDays*2,"Dormant",IF(AB195&gt;InactiveClientDays,"At risk",IF(AC195="","Slipping",IF(Y195&gt;=10,"Loyal","Steady"))))))))</f>
        <v>0</v>
      </c>
      <c r="AQ195" s="34">
        <f>IF(OR(B195="",AP195="Lost",AP195="Dormant"),"",IF(OR(AP195="At risk",AP195="Slipping"),IF(AB195="",999,AB195),""))</f>
        <v>0</v>
      </c>
      <c r="AR195" s="31">
        <f>IF(AQ195="","",COUNTIFS($AQ$5:$AQ$204,"&gt;"&amp;AQ195)+COUNTIFS($AQ$5:AQ195,AQ195))</f>
        <v>0</v>
      </c>
      <c r="AS195" s="39">
        <f>IF(B195="","",IF(AF195&gt;0.5,"Chase - "&amp;TEXT(AF195,"0")&amp;" owing",IF(AND(H195&lt;&gt;"Lost",H195&lt;&gt;"Inactive",H195&lt;&gt;"Paused",AC195="",K195&lt;&gt;"One-off"),"Book - nothing in the diary",IF(AND(S195&lt;&gt;"",S195-TodayDate&lt;=RenewalWarningDays,S195&gt;=TodayDate),"Due - contract renews soon",IF(AP195="At risk","Call - going quiet",IF(AL195&gt;=2,"Check - complaints logged",IF(AND(AI195&lt;&gt;"",AI195&lt;MarginFloor,Y195&gt;0),"Check - thin margin","OK")))))))</f>
        <v>0</v>
      </c>
    </row>
    <row r="196" spans="1:45">
      <c r="A196" s="43">
        <f>IF(B196="","",ClientPrefix&amp;TEXT(ROW()-4,"0000"))</f>
        <v>0</v>
      </c>
      <c r="W196" s="31">
        <f>IF(A196="","",COUNTIFS(Properties!$C$5:$C$254,A196))</f>
        <v>0</v>
      </c>
      <c r="X196" s="31">
        <f>IF(A196="","",COUNTIFS(Jobs!$G$5:$G$604,A196))</f>
        <v>0</v>
      </c>
      <c r="Y196" s="31">
        <f>IF(A196="","",COUNTIFS(Jobs!$G$5:$G$604,A196,Jobs!$P$5:$P$604,"Completed")+COUNTIFS(Jobs!$G$5:$G$604,A196,Jobs!$P$5:$P$604,"Invoiced"))</f>
        <v>0</v>
      </c>
      <c r="Z196" s="31">
        <f>IF(A196="","",COUNTIFS(Jobs!$G$5:$G$604,A196,Jobs!$P$5:$P$604,"Cancelled")+COUNTIFS(Jobs!$G$5:$G$604,A196,Jobs!$P$5:$P$604,"No access"))</f>
        <v>0</v>
      </c>
      <c r="AA196" s="18">
        <f>IF(A196="","",IF(SUMPRODUCT(MAX((Jobs!$G$5:$G$604=A196)*((Jobs!$P$5:$P$604="Completed")+(Jobs!$P$5:$P$604="Invoiced"))*Jobs!$B$5:$B$604))=0,"",SUMPRODUCT(MAX((Jobs!$G$5:$G$604=A196)*((Jobs!$P$5:$P$604="Completed")+(Jobs!$P$5:$P$604="Invoiced"))*Jobs!$B$5:$B$604))))</f>
        <v>0</v>
      </c>
      <c r="AB196" s="31">
        <f>IF(AA196="","",TodayDate-AA196)</f>
        <v>0</v>
      </c>
      <c r="AC196" s="18">
        <f>IF(A196="","",IF(SUMPRODUCT(MIN((Jobs!$G$5:$G$604=A196)*(Jobs!$B$5:$B$604&gt;=TodayDate)*(Jobs!$P$5:$P$604&lt;&gt;"Cancelled")*Jobs!$B$5:$B$604+(1-(Jobs!$G$5:$G$604=A196)*(Jobs!$B$5:$B$604&gt;=TodayDate)*(Jobs!$P$5:$P$604&lt;&gt;"Cancelled"))*2958465))=2958465,"",SUMPRODUCT(MIN((Jobs!$G$5:$G$604=A196)*(Jobs!$B$5:$B$604&gt;=TodayDate)*(Jobs!$P$5:$P$604&lt;&gt;"Cancelled")*Jobs!$B$5:$B$604+(1-(Jobs!$G$5:$G$604=A196)*(Jobs!$B$5:$B$604&gt;=TodayDate)*(Jobs!$P$5:$P$604&lt;&gt;"Cancelled"))*2958465))))</f>
        <v>0</v>
      </c>
      <c r="AD196" s="21">
        <f>IF(A196="","",SUMIFS(Invoices!$V$5:$V$404,Invoices!$D$5:$D$404,A196))</f>
        <v>0</v>
      </c>
      <c r="AE196" s="21">
        <f>IF(A196="","",SUMIFS(Invoices!$W$5:$W$404,Invoices!$D$5:$D$404,A196))</f>
        <v>0</v>
      </c>
      <c r="AF196" s="21">
        <f>IF(A196="","",AD196-AE196)</f>
        <v>0</v>
      </c>
      <c r="AG196" s="21">
        <f>IF(OR(A196="",Y196=0),"",AD196/Y196)</f>
        <v>0</v>
      </c>
      <c r="AH196" s="21">
        <f>IF(A196="","",SUMIFS('Job Costing'!$U$5:$U$604,'Job Costing'!$D$5:$D$604,A196))</f>
        <v>0</v>
      </c>
      <c r="AI196" s="38">
        <f>IF(OR(A196="",AD196=0),"",AH196/AD196)</f>
        <v>0</v>
      </c>
      <c r="AJ196" s="21">
        <f>IF(OR(A196="",K196="",AG196=""),"",AG196*IFERROR(INDEX(FreqPerYear,MATCH(K196,FreqNames,0)),1))</f>
        <v>0</v>
      </c>
      <c r="AK196" s="34">
        <f>IF(A196="","",IFERROR(AVERAGEIFS(Jobs!$AA$5:$AA$604,Jobs!$G$5:$G$604,A196,Jobs!$AA$5:$AA$604,"&gt;0"),""))</f>
        <v>0</v>
      </c>
      <c r="AL196" s="31">
        <f>IF(A196="","",COUNTIFS(Complaints!$D$5:$D$84,A196))</f>
        <v>0</v>
      </c>
      <c r="AM196" s="31">
        <f>IF(B196="","",COUNTIFS($AD$5:$AD$204,"&gt;"&amp;AD196)+COUNTIFS($AD$5:AD196,AD196))</f>
        <v>0</v>
      </c>
      <c r="AN196" s="31">
        <f>IF(B196="","",COUNTIFS($AH$5:$AH$204,"&gt;"&amp;AH196)+COUNTIFS($AH$5:AH196,AH196))</f>
        <v>0</v>
      </c>
      <c r="AO196" s="31">
        <f>IF(B196="","",COUNTIFS($AJ$5:$AJ$204,"&gt;"&amp;AJ196)+COUNTIFS($AJ$5:AJ196,AJ196))</f>
        <v>0</v>
      </c>
      <c r="AP196" s="39">
        <f>IF(B196="","",IF(H196="Lost","Lost",IF(H196="Inactive","Dormant",IF(AA196="","Dormant",IF(AB196&gt;InactiveClientDays*2,"Dormant",IF(AB196&gt;InactiveClientDays,"At risk",IF(AC196="","Slipping",IF(Y196&gt;=10,"Loyal","Steady"))))))))</f>
        <v>0</v>
      </c>
      <c r="AQ196" s="34">
        <f>IF(OR(B196="",AP196="Lost",AP196="Dormant"),"",IF(OR(AP196="At risk",AP196="Slipping"),IF(AB196="",999,AB196),""))</f>
        <v>0</v>
      </c>
      <c r="AR196" s="31">
        <f>IF(AQ196="","",COUNTIFS($AQ$5:$AQ$204,"&gt;"&amp;AQ196)+COUNTIFS($AQ$5:AQ196,AQ196))</f>
        <v>0</v>
      </c>
      <c r="AS196" s="39">
        <f>IF(B196="","",IF(AF196&gt;0.5,"Chase - "&amp;TEXT(AF196,"0")&amp;" owing",IF(AND(H196&lt;&gt;"Lost",H196&lt;&gt;"Inactive",H196&lt;&gt;"Paused",AC196="",K196&lt;&gt;"One-off"),"Book - nothing in the diary",IF(AND(S196&lt;&gt;"",S196-TodayDate&lt;=RenewalWarningDays,S196&gt;=TodayDate),"Due - contract renews soon",IF(AP196="At risk","Call - going quiet",IF(AL196&gt;=2,"Check - complaints logged",IF(AND(AI196&lt;&gt;"",AI196&lt;MarginFloor,Y196&gt;0),"Check - thin margin","OK")))))))</f>
        <v>0</v>
      </c>
    </row>
    <row r="197" spans="1:45">
      <c r="A197" s="43">
        <f>IF(B197="","",ClientPrefix&amp;TEXT(ROW()-4,"0000"))</f>
        <v>0</v>
      </c>
      <c r="W197" s="31">
        <f>IF(A197="","",COUNTIFS(Properties!$C$5:$C$254,A197))</f>
        <v>0</v>
      </c>
      <c r="X197" s="31">
        <f>IF(A197="","",COUNTIFS(Jobs!$G$5:$G$604,A197))</f>
        <v>0</v>
      </c>
      <c r="Y197" s="31">
        <f>IF(A197="","",COUNTIFS(Jobs!$G$5:$G$604,A197,Jobs!$P$5:$P$604,"Completed")+COUNTIFS(Jobs!$G$5:$G$604,A197,Jobs!$P$5:$P$604,"Invoiced"))</f>
        <v>0</v>
      </c>
      <c r="Z197" s="31">
        <f>IF(A197="","",COUNTIFS(Jobs!$G$5:$G$604,A197,Jobs!$P$5:$P$604,"Cancelled")+COUNTIFS(Jobs!$G$5:$G$604,A197,Jobs!$P$5:$P$604,"No access"))</f>
        <v>0</v>
      </c>
      <c r="AA197" s="18">
        <f>IF(A197="","",IF(SUMPRODUCT(MAX((Jobs!$G$5:$G$604=A197)*((Jobs!$P$5:$P$604="Completed")+(Jobs!$P$5:$P$604="Invoiced"))*Jobs!$B$5:$B$604))=0,"",SUMPRODUCT(MAX((Jobs!$G$5:$G$604=A197)*((Jobs!$P$5:$P$604="Completed")+(Jobs!$P$5:$P$604="Invoiced"))*Jobs!$B$5:$B$604))))</f>
        <v>0</v>
      </c>
      <c r="AB197" s="31">
        <f>IF(AA197="","",TodayDate-AA197)</f>
        <v>0</v>
      </c>
      <c r="AC197" s="18">
        <f>IF(A197="","",IF(SUMPRODUCT(MIN((Jobs!$G$5:$G$604=A197)*(Jobs!$B$5:$B$604&gt;=TodayDate)*(Jobs!$P$5:$P$604&lt;&gt;"Cancelled")*Jobs!$B$5:$B$604+(1-(Jobs!$G$5:$G$604=A197)*(Jobs!$B$5:$B$604&gt;=TodayDate)*(Jobs!$P$5:$P$604&lt;&gt;"Cancelled"))*2958465))=2958465,"",SUMPRODUCT(MIN((Jobs!$G$5:$G$604=A197)*(Jobs!$B$5:$B$604&gt;=TodayDate)*(Jobs!$P$5:$P$604&lt;&gt;"Cancelled")*Jobs!$B$5:$B$604+(1-(Jobs!$G$5:$G$604=A197)*(Jobs!$B$5:$B$604&gt;=TodayDate)*(Jobs!$P$5:$P$604&lt;&gt;"Cancelled"))*2958465))))</f>
        <v>0</v>
      </c>
      <c r="AD197" s="21">
        <f>IF(A197="","",SUMIFS(Invoices!$V$5:$V$404,Invoices!$D$5:$D$404,A197))</f>
        <v>0</v>
      </c>
      <c r="AE197" s="21">
        <f>IF(A197="","",SUMIFS(Invoices!$W$5:$W$404,Invoices!$D$5:$D$404,A197))</f>
        <v>0</v>
      </c>
      <c r="AF197" s="21">
        <f>IF(A197="","",AD197-AE197)</f>
        <v>0</v>
      </c>
      <c r="AG197" s="21">
        <f>IF(OR(A197="",Y197=0),"",AD197/Y197)</f>
        <v>0</v>
      </c>
      <c r="AH197" s="21">
        <f>IF(A197="","",SUMIFS('Job Costing'!$U$5:$U$604,'Job Costing'!$D$5:$D$604,A197))</f>
        <v>0</v>
      </c>
      <c r="AI197" s="38">
        <f>IF(OR(A197="",AD197=0),"",AH197/AD197)</f>
        <v>0</v>
      </c>
      <c r="AJ197" s="21">
        <f>IF(OR(A197="",K197="",AG197=""),"",AG197*IFERROR(INDEX(FreqPerYear,MATCH(K197,FreqNames,0)),1))</f>
        <v>0</v>
      </c>
      <c r="AK197" s="34">
        <f>IF(A197="","",IFERROR(AVERAGEIFS(Jobs!$AA$5:$AA$604,Jobs!$G$5:$G$604,A197,Jobs!$AA$5:$AA$604,"&gt;0"),""))</f>
        <v>0</v>
      </c>
      <c r="AL197" s="31">
        <f>IF(A197="","",COUNTIFS(Complaints!$D$5:$D$84,A197))</f>
        <v>0</v>
      </c>
      <c r="AM197" s="31">
        <f>IF(B197="","",COUNTIFS($AD$5:$AD$204,"&gt;"&amp;AD197)+COUNTIFS($AD$5:AD197,AD197))</f>
        <v>0</v>
      </c>
      <c r="AN197" s="31">
        <f>IF(B197="","",COUNTIFS($AH$5:$AH$204,"&gt;"&amp;AH197)+COUNTIFS($AH$5:AH197,AH197))</f>
        <v>0</v>
      </c>
      <c r="AO197" s="31">
        <f>IF(B197="","",COUNTIFS($AJ$5:$AJ$204,"&gt;"&amp;AJ197)+COUNTIFS($AJ$5:AJ197,AJ197))</f>
        <v>0</v>
      </c>
      <c r="AP197" s="39">
        <f>IF(B197="","",IF(H197="Lost","Lost",IF(H197="Inactive","Dormant",IF(AA197="","Dormant",IF(AB197&gt;InactiveClientDays*2,"Dormant",IF(AB197&gt;InactiveClientDays,"At risk",IF(AC197="","Slipping",IF(Y197&gt;=10,"Loyal","Steady"))))))))</f>
        <v>0</v>
      </c>
      <c r="AQ197" s="34">
        <f>IF(OR(B197="",AP197="Lost",AP197="Dormant"),"",IF(OR(AP197="At risk",AP197="Slipping"),IF(AB197="",999,AB197),""))</f>
        <v>0</v>
      </c>
      <c r="AR197" s="31">
        <f>IF(AQ197="","",COUNTIFS($AQ$5:$AQ$204,"&gt;"&amp;AQ197)+COUNTIFS($AQ$5:AQ197,AQ197))</f>
        <v>0</v>
      </c>
      <c r="AS197" s="39">
        <f>IF(B197="","",IF(AF197&gt;0.5,"Chase - "&amp;TEXT(AF197,"0")&amp;" owing",IF(AND(H197&lt;&gt;"Lost",H197&lt;&gt;"Inactive",H197&lt;&gt;"Paused",AC197="",K197&lt;&gt;"One-off"),"Book - nothing in the diary",IF(AND(S197&lt;&gt;"",S197-TodayDate&lt;=RenewalWarningDays,S197&gt;=TodayDate),"Due - contract renews soon",IF(AP197="At risk","Call - going quiet",IF(AL197&gt;=2,"Check - complaints logged",IF(AND(AI197&lt;&gt;"",AI197&lt;MarginFloor,Y197&gt;0),"Check - thin margin","OK")))))))</f>
        <v>0</v>
      </c>
    </row>
    <row r="198" spans="1:45">
      <c r="A198" s="43">
        <f>IF(B198="","",ClientPrefix&amp;TEXT(ROW()-4,"0000"))</f>
        <v>0</v>
      </c>
      <c r="W198" s="31">
        <f>IF(A198="","",COUNTIFS(Properties!$C$5:$C$254,A198))</f>
        <v>0</v>
      </c>
      <c r="X198" s="31">
        <f>IF(A198="","",COUNTIFS(Jobs!$G$5:$G$604,A198))</f>
        <v>0</v>
      </c>
      <c r="Y198" s="31">
        <f>IF(A198="","",COUNTIFS(Jobs!$G$5:$G$604,A198,Jobs!$P$5:$P$604,"Completed")+COUNTIFS(Jobs!$G$5:$G$604,A198,Jobs!$P$5:$P$604,"Invoiced"))</f>
        <v>0</v>
      </c>
      <c r="Z198" s="31">
        <f>IF(A198="","",COUNTIFS(Jobs!$G$5:$G$604,A198,Jobs!$P$5:$P$604,"Cancelled")+COUNTIFS(Jobs!$G$5:$G$604,A198,Jobs!$P$5:$P$604,"No access"))</f>
        <v>0</v>
      </c>
      <c r="AA198" s="18">
        <f>IF(A198="","",IF(SUMPRODUCT(MAX((Jobs!$G$5:$G$604=A198)*((Jobs!$P$5:$P$604="Completed")+(Jobs!$P$5:$P$604="Invoiced"))*Jobs!$B$5:$B$604))=0,"",SUMPRODUCT(MAX((Jobs!$G$5:$G$604=A198)*((Jobs!$P$5:$P$604="Completed")+(Jobs!$P$5:$P$604="Invoiced"))*Jobs!$B$5:$B$604))))</f>
        <v>0</v>
      </c>
      <c r="AB198" s="31">
        <f>IF(AA198="","",TodayDate-AA198)</f>
        <v>0</v>
      </c>
      <c r="AC198" s="18">
        <f>IF(A198="","",IF(SUMPRODUCT(MIN((Jobs!$G$5:$G$604=A198)*(Jobs!$B$5:$B$604&gt;=TodayDate)*(Jobs!$P$5:$P$604&lt;&gt;"Cancelled")*Jobs!$B$5:$B$604+(1-(Jobs!$G$5:$G$604=A198)*(Jobs!$B$5:$B$604&gt;=TodayDate)*(Jobs!$P$5:$P$604&lt;&gt;"Cancelled"))*2958465))=2958465,"",SUMPRODUCT(MIN((Jobs!$G$5:$G$604=A198)*(Jobs!$B$5:$B$604&gt;=TodayDate)*(Jobs!$P$5:$P$604&lt;&gt;"Cancelled")*Jobs!$B$5:$B$604+(1-(Jobs!$G$5:$G$604=A198)*(Jobs!$B$5:$B$604&gt;=TodayDate)*(Jobs!$P$5:$P$604&lt;&gt;"Cancelled"))*2958465))))</f>
        <v>0</v>
      </c>
      <c r="AD198" s="21">
        <f>IF(A198="","",SUMIFS(Invoices!$V$5:$V$404,Invoices!$D$5:$D$404,A198))</f>
        <v>0</v>
      </c>
      <c r="AE198" s="21">
        <f>IF(A198="","",SUMIFS(Invoices!$W$5:$W$404,Invoices!$D$5:$D$404,A198))</f>
        <v>0</v>
      </c>
      <c r="AF198" s="21">
        <f>IF(A198="","",AD198-AE198)</f>
        <v>0</v>
      </c>
      <c r="AG198" s="21">
        <f>IF(OR(A198="",Y198=0),"",AD198/Y198)</f>
        <v>0</v>
      </c>
      <c r="AH198" s="21">
        <f>IF(A198="","",SUMIFS('Job Costing'!$U$5:$U$604,'Job Costing'!$D$5:$D$604,A198))</f>
        <v>0</v>
      </c>
      <c r="AI198" s="38">
        <f>IF(OR(A198="",AD198=0),"",AH198/AD198)</f>
        <v>0</v>
      </c>
      <c r="AJ198" s="21">
        <f>IF(OR(A198="",K198="",AG198=""),"",AG198*IFERROR(INDEX(FreqPerYear,MATCH(K198,FreqNames,0)),1))</f>
        <v>0</v>
      </c>
      <c r="AK198" s="34">
        <f>IF(A198="","",IFERROR(AVERAGEIFS(Jobs!$AA$5:$AA$604,Jobs!$G$5:$G$604,A198,Jobs!$AA$5:$AA$604,"&gt;0"),""))</f>
        <v>0</v>
      </c>
      <c r="AL198" s="31">
        <f>IF(A198="","",COUNTIFS(Complaints!$D$5:$D$84,A198))</f>
        <v>0</v>
      </c>
      <c r="AM198" s="31">
        <f>IF(B198="","",COUNTIFS($AD$5:$AD$204,"&gt;"&amp;AD198)+COUNTIFS($AD$5:AD198,AD198))</f>
        <v>0</v>
      </c>
      <c r="AN198" s="31">
        <f>IF(B198="","",COUNTIFS($AH$5:$AH$204,"&gt;"&amp;AH198)+COUNTIFS($AH$5:AH198,AH198))</f>
        <v>0</v>
      </c>
      <c r="AO198" s="31">
        <f>IF(B198="","",COUNTIFS($AJ$5:$AJ$204,"&gt;"&amp;AJ198)+COUNTIFS($AJ$5:AJ198,AJ198))</f>
        <v>0</v>
      </c>
      <c r="AP198" s="39">
        <f>IF(B198="","",IF(H198="Lost","Lost",IF(H198="Inactive","Dormant",IF(AA198="","Dormant",IF(AB198&gt;InactiveClientDays*2,"Dormant",IF(AB198&gt;InactiveClientDays,"At risk",IF(AC198="","Slipping",IF(Y198&gt;=10,"Loyal","Steady"))))))))</f>
        <v>0</v>
      </c>
      <c r="AQ198" s="34">
        <f>IF(OR(B198="",AP198="Lost",AP198="Dormant"),"",IF(OR(AP198="At risk",AP198="Slipping"),IF(AB198="",999,AB198),""))</f>
        <v>0</v>
      </c>
      <c r="AR198" s="31">
        <f>IF(AQ198="","",COUNTIFS($AQ$5:$AQ$204,"&gt;"&amp;AQ198)+COUNTIFS($AQ$5:AQ198,AQ198))</f>
        <v>0</v>
      </c>
      <c r="AS198" s="39">
        <f>IF(B198="","",IF(AF198&gt;0.5,"Chase - "&amp;TEXT(AF198,"0")&amp;" owing",IF(AND(H198&lt;&gt;"Lost",H198&lt;&gt;"Inactive",H198&lt;&gt;"Paused",AC198="",K198&lt;&gt;"One-off"),"Book - nothing in the diary",IF(AND(S198&lt;&gt;"",S198-TodayDate&lt;=RenewalWarningDays,S198&gt;=TodayDate),"Due - contract renews soon",IF(AP198="At risk","Call - going quiet",IF(AL198&gt;=2,"Check - complaints logged",IF(AND(AI198&lt;&gt;"",AI198&lt;MarginFloor,Y198&gt;0),"Check - thin margin","OK")))))))</f>
        <v>0</v>
      </c>
    </row>
    <row r="199" spans="1:45">
      <c r="A199" s="43">
        <f>IF(B199="","",ClientPrefix&amp;TEXT(ROW()-4,"0000"))</f>
        <v>0</v>
      </c>
      <c r="W199" s="31">
        <f>IF(A199="","",COUNTIFS(Properties!$C$5:$C$254,A199))</f>
        <v>0</v>
      </c>
      <c r="X199" s="31">
        <f>IF(A199="","",COUNTIFS(Jobs!$G$5:$G$604,A199))</f>
        <v>0</v>
      </c>
      <c r="Y199" s="31">
        <f>IF(A199="","",COUNTIFS(Jobs!$G$5:$G$604,A199,Jobs!$P$5:$P$604,"Completed")+COUNTIFS(Jobs!$G$5:$G$604,A199,Jobs!$P$5:$P$604,"Invoiced"))</f>
        <v>0</v>
      </c>
      <c r="Z199" s="31">
        <f>IF(A199="","",COUNTIFS(Jobs!$G$5:$G$604,A199,Jobs!$P$5:$P$604,"Cancelled")+COUNTIFS(Jobs!$G$5:$G$604,A199,Jobs!$P$5:$P$604,"No access"))</f>
        <v>0</v>
      </c>
      <c r="AA199" s="18">
        <f>IF(A199="","",IF(SUMPRODUCT(MAX((Jobs!$G$5:$G$604=A199)*((Jobs!$P$5:$P$604="Completed")+(Jobs!$P$5:$P$604="Invoiced"))*Jobs!$B$5:$B$604))=0,"",SUMPRODUCT(MAX((Jobs!$G$5:$G$604=A199)*((Jobs!$P$5:$P$604="Completed")+(Jobs!$P$5:$P$604="Invoiced"))*Jobs!$B$5:$B$604))))</f>
        <v>0</v>
      </c>
      <c r="AB199" s="31">
        <f>IF(AA199="","",TodayDate-AA199)</f>
        <v>0</v>
      </c>
      <c r="AC199" s="18">
        <f>IF(A199="","",IF(SUMPRODUCT(MIN((Jobs!$G$5:$G$604=A199)*(Jobs!$B$5:$B$604&gt;=TodayDate)*(Jobs!$P$5:$P$604&lt;&gt;"Cancelled")*Jobs!$B$5:$B$604+(1-(Jobs!$G$5:$G$604=A199)*(Jobs!$B$5:$B$604&gt;=TodayDate)*(Jobs!$P$5:$P$604&lt;&gt;"Cancelled"))*2958465))=2958465,"",SUMPRODUCT(MIN((Jobs!$G$5:$G$604=A199)*(Jobs!$B$5:$B$604&gt;=TodayDate)*(Jobs!$P$5:$P$604&lt;&gt;"Cancelled")*Jobs!$B$5:$B$604+(1-(Jobs!$G$5:$G$604=A199)*(Jobs!$B$5:$B$604&gt;=TodayDate)*(Jobs!$P$5:$P$604&lt;&gt;"Cancelled"))*2958465))))</f>
        <v>0</v>
      </c>
      <c r="AD199" s="21">
        <f>IF(A199="","",SUMIFS(Invoices!$V$5:$V$404,Invoices!$D$5:$D$404,A199))</f>
        <v>0</v>
      </c>
      <c r="AE199" s="21">
        <f>IF(A199="","",SUMIFS(Invoices!$W$5:$W$404,Invoices!$D$5:$D$404,A199))</f>
        <v>0</v>
      </c>
      <c r="AF199" s="21">
        <f>IF(A199="","",AD199-AE199)</f>
        <v>0</v>
      </c>
      <c r="AG199" s="21">
        <f>IF(OR(A199="",Y199=0),"",AD199/Y199)</f>
        <v>0</v>
      </c>
      <c r="AH199" s="21">
        <f>IF(A199="","",SUMIFS('Job Costing'!$U$5:$U$604,'Job Costing'!$D$5:$D$604,A199))</f>
        <v>0</v>
      </c>
      <c r="AI199" s="38">
        <f>IF(OR(A199="",AD199=0),"",AH199/AD199)</f>
        <v>0</v>
      </c>
      <c r="AJ199" s="21">
        <f>IF(OR(A199="",K199="",AG199=""),"",AG199*IFERROR(INDEX(FreqPerYear,MATCH(K199,FreqNames,0)),1))</f>
        <v>0</v>
      </c>
      <c r="AK199" s="34">
        <f>IF(A199="","",IFERROR(AVERAGEIFS(Jobs!$AA$5:$AA$604,Jobs!$G$5:$G$604,A199,Jobs!$AA$5:$AA$604,"&gt;0"),""))</f>
        <v>0</v>
      </c>
      <c r="AL199" s="31">
        <f>IF(A199="","",COUNTIFS(Complaints!$D$5:$D$84,A199))</f>
        <v>0</v>
      </c>
      <c r="AM199" s="31">
        <f>IF(B199="","",COUNTIFS($AD$5:$AD$204,"&gt;"&amp;AD199)+COUNTIFS($AD$5:AD199,AD199))</f>
        <v>0</v>
      </c>
      <c r="AN199" s="31">
        <f>IF(B199="","",COUNTIFS($AH$5:$AH$204,"&gt;"&amp;AH199)+COUNTIFS($AH$5:AH199,AH199))</f>
        <v>0</v>
      </c>
      <c r="AO199" s="31">
        <f>IF(B199="","",COUNTIFS($AJ$5:$AJ$204,"&gt;"&amp;AJ199)+COUNTIFS($AJ$5:AJ199,AJ199))</f>
        <v>0</v>
      </c>
      <c r="AP199" s="39">
        <f>IF(B199="","",IF(H199="Lost","Lost",IF(H199="Inactive","Dormant",IF(AA199="","Dormant",IF(AB199&gt;InactiveClientDays*2,"Dormant",IF(AB199&gt;InactiveClientDays,"At risk",IF(AC199="","Slipping",IF(Y199&gt;=10,"Loyal","Steady"))))))))</f>
        <v>0</v>
      </c>
      <c r="AQ199" s="34">
        <f>IF(OR(B199="",AP199="Lost",AP199="Dormant"),"",IF(OR(AP199="At risk",AP199="Slipping"),IF(AB199="",999,AB199),""))</f>
        <v>0</v>
      </c>
      <c r="AR199" s="31">
        <f>IF(AQ199="","",COUNTIFS($AQ$5:$AQ$204,"&gt;"&amp;AQ199)+COUNTIFS($AQ$5:AQ199,AQ199))</f>
        <v>0</v>
      </c>
      <c r="AS199" s="39">
        <f>IF(B199="","",IF(AF199&gt;0.5,"Chase - "&amp;TEXT(AF199,"0")&amp;" owing",IF(AND(H199&lt;&gt;"Lost",H199&lt;&gt;"Inactive",H199&lt;&gt;"Paused",AC199="",K199&lt;&gt;"One-off"),"Book - nothing in the diary",IF(AND(S199&lt;&gt;"",S199-TodayDate&lt;=RenewalWarningDays,S199&gt;=TodayDate),"Due - contract renews soon",IF(AP199="At risk","Call - going quiet",IF(AL199&gt;=2,"Check - complaints logged",IF(AND(AI199&lt;&gt;"",AI199&lt;MarginFloor,Y199&gt;0),"Check - thin margin","OK")))))))</f>
        <v>0</v>
      </c>
    </row>
    <row r="200" spans="1:45">
      <c r="A200" s="43">
        <f>IF(B200="","",ClientPrefix&amp;TEXT(ROW()-4,"0000"))</f>
        <v>0</v>
      </c>
      <c r="W200" s="31">
        <f>IF(A200="","",COUNTIFS(Properties!$C$5:$C$254,A200))</f>
        <v>0</v>
      </c>
      <c r="X200" s="31">
        <f>IF(A200="","",COUNTIFS(Jobs!$G$5:$G$604,A200))</f>
        <v>0</v>
      </c>
      <c r="Y200" s="31">
        <f>IF(A200="","",COUNTIFS(Jobs!$G$5:$G$604,A200,Jobs!$P$5:$P$604,"Completed")+COUNTIFS(Jobs!$G$5:$G$604,A200,Jobs!$P$5:$P$604,"Invoiced"))</f>
        <v>0</v>
      </c>
      <c r="Z200" s="31">
        <f>IF(A200="","",COUNTIFS(Jobs!$G$5:$G$604,A200,Jobs!$P$5:$P$604,"Cancelled")+COUNTIFS(Jobs!$G$5:$G$604,A200,Jobs!$P$5:$P$604,"No access"))</f>
        <v>0</v>
      </c>
      <c r="AA200" s="18">
        <f>IF(A200="","",IF(SUMPRODUCT(MAX((Jobs!$G$5:$G$604=A200)*((Jobs!$P$5:$P$604="Completed")+(Jobs!$P$5:$P$604="Invoiced"))*Jobs!$B$5:$B$604))=0,"",SUMPRODUCT(MAX((Jobs!$G$5:$G$604=A200)*((Jobs!$P$5:$P$604="Completed")+(Jobs!$P$5:$P$604="Invoiced"))*Jobs!$B$5:$B$604))))</f>
        <v>0</v>
      </c>
      <c r="AB200" s="31">
        <f>IF(AA200="","",TodayDate-AA200)</f>
        <v>0</v>
      </c>
      <c r="AC200" s="18">
        <f>IF(A200="","",IF(SUMPRODUCT(MIN((Jobs!$G$5:$G$604=A200)*(Jobs!$B$5:$B$604&gt;=TodayDate)*(Jobs!$P$5:$P$604&lt;&gt;"Cancelled")*Jobs!$B$5:$B$604+(1-(Jobs!$G$5:$G$604=A200)*(Jobs!$B$5:$B$604&gt;=TodayDate)*(Jobs!$P$5:$P$604&lt;&gt;"Cancelled"))*2958465))=2958465,"",SUMPRODUCT(MIN((Jobs!$G$5:$G$604=A200)*(Jobs!$B$5:$B$604&gt;=TodayDate)*(Jobs!$P$5:$P$604&lt;&gt;"Cancelled")*Jobs!$B$5:$B$604+(1-(Jobs!$G$5:$G$604=A200)*(Jobs!$B$5:$B$604&gt;=TodayDate)*(Jobs!$P$5:$P$604&lt;&gt;"Cancelled"))*2958465))))</f>
        <v>0</v>
      </c>
      <c r="AD200" s="21">
        <f>IF(A200="","",SUMIFS(Invoices!$V$5:$V$404,Invoices!$D$5:$D$404,A200))</f>
        <v>0</v>
      </c>
      <c r="AE200" s="21">
        <f>IF(A200="","",SUMIFS(Invoices!$W$5:$W$404,Invoices!$D$5:$D$404,A200))</f>
        <v>0</v>
      </c>
      <c r="AF200" s="21">
        <f>IF(A200="","",AD200-AE200)</f>
        <v>0</v>
      </c>
      <c r="AG200" s="21">
        <f>IF(OR(A200="",Y200=0),"",AD200/Y200)</f>
        <v>0</v>
      </c>
      <c r="AH200" s="21">
        <f>IF(A200="","",SUMIFS('Job Costing'!$U$5:$U$604,'Job Costing'!$D$5:$D$604,A200))</f>
        <v>0</v>
      </c>
      <c r="AI200" s="38">
        <f>IF(OR(A200="",AD200=0),"",AH200/AD200)</f>
        <v>0</v>
      </c>
      <c r="AJ200" s="21">
        <f>IF(OR(A200="",K200="",AG200=""),"",AG200*IFERROR(INDEX(FreqPerYear,MATCH(K200,FreqNames,0)),1))</f>
        <v>0</v>
      </c>
      <c r="AK200" s="34">
        <f>IF(A200="","",IFERROR(AVERAGEIFS(Jobs!$AA$5:$AA$604,Jobs!$G$5:$G$604,A200,Jobs!$AA$5:$AA$604,"&gt;0"),""))</f>
        <v>0</v>
      </c>
      <c r="AL200" s="31">
        <f>IF(A200="","",COUNTIFS(Complaints!$D$5:$D$84,A200))</f>
        <v>0</v>
      </c>
      <c r="AM200" s="31">
        <f>IF(B200="","",COUNTIFS($AD$5:$AD$204,"&gt;"&amp;AD200)+COUNTIFS($AD$5:AD200,AD200))</f>
        <v>0</v>
      </c>
      <c r="AN200" s="31">
        <f>IF(B200="","",COUNTIFS($AH$5:$AH$204,"&gt;"&amp;AH200)+COUNTIFS($AH$5:AH200,AH200))</f>
        <v>0</v>
      </c>
      <c r="AO200" s="31">
        <f>IF(B200="","",COUNTIFS($AJ$5:$AJ$204,"&gt;"&amp;AJ200)+COUNTIFS($AJ$5:AJ200,AJ200))</f>
        <v>0</v>
      </c>
      <c r="AP200" s="39">
        <f>IF(B200="","",IF(H200="Lost","Lost",IF(H200="Inactive","Dormant",IF(AA200="","Dormant",IF(AB200&gt;InactiveClientDays*2,"Dormant",IF(AB200&gt;InactiveClientDays,"At risk",IF(AC200="","Slipping",IF(Y200&gt;=10,"Loyal","Steady"))))))))</f>
        <v>0</v>
      </c>
      <c r="AQ200" s="34">
        <f>IF(OR(B200="",AP200="Lost",AP200="Dormant"),"",IF(OR(AP200="At risk",AP200="Slipping"),IF(AB200="",999,AB200),""))</f>
        <v>0</v>
      </c>
      <c r="AR200" s="31">
        <f>IF(AQ200="","",COUNTIFS($AQ$5:$AQ$204,"&gt;"&amp;AQ200)+COUNTIFS($AQ$5:AQ200,AQ200))</f>
        <v>0</v>
      </c>
      <c r="AS200" s="39">
        <f>IF(B200="","",IF(AF200&gt;0.5,"Chase - "&amp;TEXT(AF200,"0")&amp;" owing",IF(AND(H200&lt;&gt;"Lost",H200&lt;&gt;"Inactive",H200&lt;&gt;"Paused",AC200="",K200&lt;&gt;"One-off"),"Book - nothing in the diary",IF(AND(S200&lt;&gt;"",S200-TodayDate&lt;=RenewalWarningDays,S200&gt;=TodayDate),"Due - contract renews soon",IF(AP200="At risk","Call - going quiet",IF(AL200&gt;=2,"Check - complaints logged",IF(AND(AI200&lt;&gt;"",AI200&lt;MarginFloor,Y200&gt;0),"Check - thin margin","OK")))))))</f>
        <v>0</v>
      </c>
    </row>
    <row r="201" spans="1:45">
      <c r="A201" s="43">
        <f>IF(B201="","",ClientPrefix&amp;TEXT(ROW()-4,"0000"))</f>
        <v>0</v>
      </c>
      <c r="W201" s="31">
        <f>IF(A201="","",COUNTIFS(Properties!$C$5:$C$254,A201))</f>
        <v>0</v>
      </c>
      <c r="X201" s="31">
        <f>IF(A201="","",COUNTIFS(Jobs!$G$5:$G$604,A201))</f>
        <v>0</v>
      </c>
      <c r="Y201" s="31">
        <f>IF(A201="","",COUNTIFS(Jobs!$G$5:$G$604,A201,Jobs!$P$5:$P$604,"Completed")+COUNTIFS(Jobs!$G$5:$G$604,A201,Jobs!$P$5:$P$604,"Invoiced"))</f>
        <v>0</v>
      </c>
      <c r="Z201" s="31">
        <f>IF(A201="","",COUNTIFS(Jobs!$G$5:$G$604,A201,Jobs!$P$5:$P$604,"Cancelled")+COUNTIFS(Jobs!$G$5:$G$604,A201,Jobs!$P$5:$P$604,"No access"))</f>
        <v>0</v>
      </c>
      <c r="AA201" s="18">
        <f>IF(A201="","",IF(SUMPRODUCT(MAX((Jobs!$G$5:$G$604=A201)*((Jobs!$P$5:$P$604="Completed")+(Jobs!$P$5:$P$604="Invoiced"))*Jobs!$B$5:$B$604))=0,"",SUMPRODUCT(MAX((Jobs!$G$5:$G$604=A201)*((Jobs!$P$5:$P$604="Completed")+(Jobs!$P$5:$P$604="Invoiced"))*Jobs!$B$5:$B$604))))</f>
        <v>0</v>
      </c>
      <c r="AB201" s="31">
        <f>IF(AA201="","",TodayDate-AA201)</f>
        <v>0</v>
      </c>
      <c r="AC201" s="18">
        <f>IF(A201="","",IF(SUMPRODUCT(MIN((Jobs!$G$5:$G$604=A201)*(Jobs!$B$5:$B$604&gt;=TodayDate)*(Jobs!$P$5:$P$604&lt;&gt;"Cancelled")*Jobs!$B$5:$B$604+(1-(Jobs!$G$5:$G$604=A201)*(Jobs!$B$5:$B$604&gt;=TodayDate)*(Jobs!$P$5:$P$604&lt;&gt;"Cancelled"))*2958465))=2958465,"",SUMPRODUCT(MIN((Jobs!$G$5:$G$604=A201)*(Jobs!$B$5:$B$604&gt;=TodayDate)*(Jobs!$P$5:$P$604&lt;&gt;"Cancelled")*Jobs!$B$5:$B$604+(1-(Jobs!$G$5:$G$604=A201)*(Jobs!$B$5:$B$604&gt;=TodayDate)*(Jobs!$P$5:$P$604&lt;&gt;"Cancelled"))*2958465))))</f>
        <v>0</v>
      </c>
      <c r="AD201" s="21">
        <f>IF(A201="","",SUMIFS(Invoices!$V$5:$V$404,Invoices!$D$5:$D$404,A201))</f>
        <v>0</v>
      </c>
      <c r="AE201" s="21">
        <f>IF(A201="","",SUMIFS(Invoices!$W$5:$W$404,Invoices!$D$5:$D$404,A201))</f>
        <v>0</v>
      </c>
      <c r="AF201" s="21">
        <f>IF(A201="","",AD201-AE201)</f>
        <v>0</v>
      </c>
      <c r="AG201" s="21">
        <f>IF(OR(A201="",Y201=0),"",AD201/Y201)</f>
        <v>0</v>
      </c>
      <c r="AH201" s="21">
        <f>IF(A201="","",SUMIFS('Job Costing'!$U$5:$U$604,'Job Costing'!$D$5:$D$604,A201))</f>
        <v>0</v>
      </c>
      <c r="AI201" s="38">
        <f>IF(OR(A201="",AD201=0),"",AH201/AD201)</f>
        <v>0</v>
      </c>
      <c r="AJ201" s="21">
        <f>IF(OR(A201="",K201="",AG201=""),"",AG201*IFERROR(INDEX(FreqPerYear,MATCH(K201,FreqNames,0)),1))</f>
        <v>0</v>
      </c>
      <c r="AK201" s="34">
        <f>IF(A201="","",IFERROR(AVERAGEIFS(Jobs!$AA$5:$AA$604,Jobs!$G$5:$G$604,A201,Jobs!$AA$5:$AA$604,"&gt;0"),""))</f>
        <v>0</v>
      </c>
      <c r="AL201" s="31">
        <f>IF(A201="","",COUNTIFS(Complaints!$D$5:$D$84,A201))</f>
        <v>0</v>
      </c>
      <c r="AM201" s="31">
        <f>IF(B201="","",COUNTIFS($AD$5:$AD$204,"&gt;"&amp;AD201)+COUNTIFS($AD$5:AD201,AD201))</f>
        <v>0</v>
      </c>
      <c r="AN201" s="31">
        <f>IF(B201="","",COUNTIFS($AH$5:$AH$204,"&gt;"&amp;AH201)+COUNTIFS($AH$5:AH201,AH201))</f>
        <v>0</v>
      </c>
      <c r="AO201" s="31">
        <f>IF(B201="","",COUNTIFS($AJ$5:$AJ$204,"&gt;"&amp;AJ201)+COUNTIFS($AJ$5:AJ201,AJ201))</f>
        <v>0</v>
      </c>
      <c r="AP201" s="39">
        <f>IF(B201="","",IF(H201="Lost","Lost",IF(H201="Inactive","Dormant",IF(AA201="","Dormant",IF(AB201&gt;InactiveClientDays*2,"Dormant",IF(AB201&gt;InactiveClientDays,"At risk",IF(AC201="","Slipping",IF(Y201&gt;=10,"Loyal","Steady"))))))))</f>
        <v>0</v>
      </c>
      <c r="AQ201" s="34">
        <f>IF(OR(B201="",AP201="Lost",AP201="Dormant"),"",IF(OR(AP201="At risk",AP201="Slipping"),IF(AB201="",999,AB201),""))</f>
        <v>0</v>
      </c>
      <c r="AR201" s="31">
        <f>IF(AQ201="","",COUNTIFS($AQ$5:$AQ$204,"&gt;"&amp;AQ201)+COUNTIFS($AQ$5:AQ201,AQ201))</f>
        <v>0</v>
      </c>
      <c r="AS201" s="39">
        <f>IF(B201="","",IF(AF201&gt;0.5,"Chase - "&amp;TEXT(AF201,"0")&amp;" owing",IF(AND(H201&lt;&gt;"Lost",H201&lt;&gt;"Inactive",H201&lt;&gt;"Paused",AC201="",K201&lt;&gt;"One-off"),"Book - nothing in the diary",IF(AND(S201&lt;&gt;"",S201-TodayDate&lt;=RenewalWarningDays,S201&gt;=TodayDate),"Due - contract renews soon",IF(AP201="At risk","Call - going quiet",IF(AL201&gt;=2,"Check - complaints logged",IF(AND(AI201&lt;&gt;"",AI201&lt;MarginFloor,Y201&gt;0),"Check - thin margin","OK")))))))</f>
        <v>0</v>
      </c>
    </row>
    <row r="202" spans="1:45">
      <c r="A202" s="43">
        <f>IF(B202="","",ClientPrefix&amp;TEXT(ROW()-4,"0000"))</f>
        <v>0</v>
      </c>
      <c r="W202" s="31">
        <f>IF(A202="","",COUNTIFS(Properties!$C$5:$C$254,A202))</f>
        <v>0</v>
      </c>
      <c r="X202" s="31">
        <f>IF(A202="","",COUNTIFS(Jobs!$G$5:$G$604,A202))</f>
        <v>0</v>
      </c>
      <c r="Y202" s="31">
        <f>IF(A202="","",COUNTIFS(Jobs!$G$5:$G$604,A202,Jobs!$P$5:$P$604,"Completed")+COUNTIFS(Jobs!$G$5:$G$604,A202,Jobs!$P$5:$P$604,"Invoiced"))</f>
        <v>0</v>
      </c>
      <c r="Z202" s="31">
        <f>IF(A202="","",COUNTIFS(Jobs!$G$5:$G$604,A202,Jobs!$P$5:$P$604,"Cancelled")+COUNTIFS(Jobs!$G$5:$G$604,A202,Jobs!$P$5:$P$604,"No access"))</f>
        <v>0</v>
      </c>
      <c r="AA202" s="18">
        <f>IF(A202="","",IF(SUMPRODUCT(MAX((Jobs!$G$5:$G$604=A202)*((Jobs!$P$5:$P$604="Completed")+(Jobs!$P$5:$P$604="Invoiced"))*Jobs!$B$5:$B$604))=0,"",SUMPRODUCT(MAX((Jobs!$G$5:$G$604=A202)*((Jobs!$P$5:$P$604="Completed")+(Jobs!$P$5:$P$604="Invoiced"))*Jobs!$B$5:$B$604))))</f>
        <v>0</v>
      </c>
      <c r="AB202" s="31">
        <f>IF(AA202="","",TodayDate-AA202)</f>
        <v>0</v>
      </c>
      <c r="AC202" s="18">
        <f>IF(A202="","",IF(SUMPRODUCT(MIN((Jobs!$G$5:$G$604=A202)*(Jobs!$B$5:$B$604&gt;=TodayDate)*(Jobs!$P$5:$P$604&lt;&gt;"Cancelled")*Jobs!$B$5:$B$604+(1-(Jobs!$G$5:$G$604=A202)*(Jobs!$B$5:$B$604&gt;=TodayDate)*(Jobs!$P$5:$P$604&lt;&gt;"Cancelled"))*2958465))=2958465,"",SUMPRODUCT(MIN((Jobs!$G$5:$G$604=A202)*(Jobs!$B$5:$B$604&gt;=TodayDate)*(Jobs!$P$5:$P$604&lt;&gt;"Cancelled")*Jobs!$B$5:$B$604+(1-(Jobs!$G$5:$G$604=A202)*(Jobs!$B$5:$B$604&gt;=TodayDate)*(Jobs!$P$5:$P$604&lt;&gt;"Cancelled"))*2958465))))</f>
        <v>0</v>
      </c>
      <c r="AD202" s="21">
        <f>IF(A202="","",SUMIFS(Invoices!$V$5:$V$404,Invoices!$D$5:$D$404,A202))</f>
        <v>0</v>
      </c>
      <c r="AE202" s="21">
        <f>IF(A202="","",SUMIFS(Invoices!$W$5:$W$404,Invoices!$D$5:$D$404,A202))</f>
        <v>0</v>
      </c>
      <c r="AF202" s="21">
        <f>IF(A202="","",AD202-AE202)</f>
        <v>0</v>
      </c>
      <c r="AG202" s="21">
        <f>IF(OR(A202="",Y202=0),"",AD202/Y202)</f>
        <v>0</v>
      </c>
      <c r="AH202" s="21">
        <f>IF(A202="","",SUMIFS('Job Costing'!$U$5:$U$604,'Job Costing'!$D$5:$D$604,A202))</f>
        <v>0</v>
      </c>
      <c r="AI202" s="38">
        <f>IF(OR(A202="",AD202=0),"",AH202/AD202)</f>
        <v>0</v>
      </c>
      <c r="AJ202" s="21">
        <f>IF(OR(A202="",K202="",AG202=""),"",AG202*IFERROR(INDEX(FreqPerYear,MATCH(K202,FreqNames,0)),1))</f>
        <v>0</v>
      </c>
      <c r="AK202" s="34">
        <f>IF(A202="","",IFERROR(AVERAGEIFS(Jobs!$AA$5:$AA$604,Jobs!$G$5:$G$604,A202,Jobs!$AA$5:$AA$604,"&gt;0"),""))</f>
        <v>0</v>
      </c>
      <c r="AL202" s="31">
        <f>IF(A202="","",COUNTIFS(Complaints!$D$5:$D$84,A202))</f>
        <v>0</v>
      </c>
      <c r="AM202" s="31">
        <f>IF(B202="","",COUNTIFS($AD$5:$AD$204,"&gt;"&amp;AD202)+COUNTIFS($AD$5:AD202,AD202))</f>
        <v>0</v>
      </c>
      <c r="AN202" s="31">
        <f>IF(B202="","",COUNTIFS($AH$5:$AH$204,"&gt;"&amp;AH202)+COUNTIFS($AH$5:AH202,AH202))</f>
        <v>0</v>
      </c>
      <c r="AO202" s="31">
        <f>IF(B202="","",COUNTIFS($AJ$5:$AJ$204,"&gt;"&amp;AJ202)+COUNTIFS($AJ$5:AJ202,AJ202))</f>
        <v>0</v>
      </c>
      <c r="AP202" s="39">
        <f>IF(B202="","",IF(H202="Lost","Lost",IF(H202="Inactive","Dormant",IF(AA202="","Dormant",IF(AB202&gt;InactiveClientDays*2,"Dormant",IF(AB202&gt;InactiveClientDays,"At risk",IF(AC202="","Slipping",IF(Y202&gt;=10,"Loyal","Steady"))))))))</f>
        <v>0</v>
      </c>
      <c r="AQ202" s="34">
        <f>IF(OR(B202="",AP202="Lost",AP202="Dormant"),"",IF(OR(AP202="At risk",AP202="Slipping"),IF(AB202="",999,AB202),""))</f>
        <v>0</v>
      </c>
      <c r="AR202" s="31">
        <f>IF(AQ202="","",COUNTIFS($AQ$5:$AQ$204,"&gt;"&amp;AQ202)+COUNTIFS($AQ$5:AQ202,AQ202))</f>
        <v>0</v>
      </c>
      <c r="AS202" s="39">
        <f>IF(B202="","",IF(AF202&gt;0.5,"Chase - "&amp;TEXT(AF202,"0")&amp;" owing",IF(AND(H202&lt;&gt;"Lost",H202&lt;&gt;"Inactive",H202&lt;&gt;"Paused",AC202="",K202&lt;&gt;"One-off"),"Book - nothing in the diary",IF(AND(S202&lt;&gt;"",S202-TodayDate&lt;=RenewalWarningDays,S202&gt;=TodayDate),"Due - contract renews soon",IF(AP202="At risk","Call - going quiet",IF(AL202&gt;=2,"Check - complaints logged",IF(AND(AI202&lt;&gt;"",AI202&lt;MarginFloor,Y202&gt;0),"Check - thin margin","OK")))))))</f>
        <v>0</v>
      </c>
    </row>
    <row r="203" spans="1:45">
      <c r="A203" s="43">
        <f>IF(B203="","",ClientPrefix&amp;TEXT(ROW()-4,"0000"))</f>
        <v>0</v>
      </c>
      <c r="W203" s="31">
        <f>IF(A203="","",COUNTIFS(Properties!$C$5:$C$254,A203))</f>
        <v>0</v>
      </c>
      <c r="X203" s="31">
        <f>IF(A203="","",COUNTIFS(Jobs!$G$5:$G$604,A203))</f>
        <v>0</v>
      </c>
      <c r="Y203" s="31">
        <f>IF(A203="","",COUNTIFS(Jobs!$G$5:$G$604,A203,Jobs!$P$5:$P$604,"Completed")+COUNTIFS(Jobs!$G$5:$G$604,A203,Jobs!$P$5:$P$604,"Invoiced"))</f>
        <v>0</v>
      </c>
      <c r="Z203" s="31">
        <f>IF(A203="","",COUNTIFS(Jobs!$G$5:$G$604,A203,Jobs!$P$5:$P$604,"Cancelled")+COUNTIFS(Jobs!$G$5:$G$604,A203,Jobs!$P$5:$P$604,"No access"))</f>
        <v>0</v>
      </c>
      <c r="AA203" s="18">
        <f>IF(A203="","",IF(SUMPRODUCT(MAX((Jobs!$G$5:$G$604=A203)*((Jobs!$P$5:$P$604="Completed")+(Jobs!$P$5:$P$604="Invoiced"))*Jobs!$B$5:$B$604))=0,"",SUMPRODUCT(MAX((Jobs!$G$5:$G$604=A203)*((Jobs!$P$5:$P$604="Completed")+(Jobs!$P$5:$P$604="Invoiced"))*Jobs!$B$5:$B$604))))</f>
        <v>0</v>
      </c>
      <c r="AB203" s="31">
        <f>IF(AA203="","",TodayDate-AA203)</f>
        <v>0</v>
      </c>
      <c r="AC203" s="18">
        <f>IF(A203="","",IF(SUMPRODUCT(MIN((Jobs!$G$5:$G$604=A203)*(Jobs!$B$5:$B$604&gt;=TodayDate)*(Jobs!$P$5:$P$604&lt;&gt;"Cancelled")*Jobs!$B$5:$B$604+(1-(Jobs!$G$5:$G$604=A203)*(Jobs!$B$5:$B$604&gt;=TodayDate)*(Jobs!$P$5:$P$604&lt;&gt;"Cancelled"))*2958465))=2958465,"",SUMPRODUCT(MIN((Jobs!$G$5:$G$604=A203)*(Jobs!$B$5:$B$604&gt;=TodayDate)*(Jobs!$P$5:$P$604&lt;&gt;"Cancelled")*Jobs!$B$5:$B$604+(1-(Jobs!$G$5:$G$604=A203)*(Jobs!$B$5:$B$604&gt;=TodayDate)*(Jobs!$P$5:$P$604&lt;&gt;"Cancelled"))*2958465))))</f>
        <v>0</v>
      </c>
      <c r="AD203" s="21">
        <f>IF(A203="","",SUMIFS(Invoices!$V$5:$V$404,Invoices!$D$5:$D$404,A203))</f>
        <v>0</v>
      </c>
      <c r="AE203" s="21">
        <f>IF(A203="","",SUMIFS(Invoices!$W$5:$W$404,Invoices!$D$5:$D$404,A203))</f>
        <v>0</v>
      </c>
      <c r="AF203" s="21">
        <f>IF(A203="","",AD203-AE203)</f>
        <v>0</v>
      </c>
      <c r="AG203" s="21">
        <f>IF(OR(A203="",Y203=0),"",AD203/Y203)</f>
        <v>0</v>
      </c>
      <c r="AH203" s="21">
        <f>IF(A203="","",SUMIFS('Job Costing'!$U$5:$U$604,'Job Costing'!$D$5:$D$604,A203))</f>
        <v>0</v>
      </c>
      <c r="AI203" s="38">
        <f>IF(OR(A203="",AD203=0),"",AH203/AD203)</f>
        <v>0</v>
      </c>
      <c r="AJ203" s="21">
        <f>IF(OR(A203="",K203="",AG203=""),"",AG203*IFERROR(INDEX(FreqPerYear,MATCH(K203,FreqNames,0)),1))</f>
        <v>0</v>
      </c>
      <c r="AK203" s="34">
        <f>IF(A203="","",IFERROR(AVERAGEIFS(Jobs!$AA$5:$AA$604,Jobs!$G$5:$G$604,A203,Jobs!$AA$5:$AA$604,"&gt;0"),""))</f>
        <v>0</v>
      </c>
      <c r="AL203" s="31">
        <f>IF(A203="","",COUNTIFS(Complaints!$D$5:$D$84,A203))</f>
        <v>0</v>
      </c>
      <c r="AM203" s="31">
        <f>IF(B203="","",COUNTIFS($AD$5:$AD$204,"&gt;"&amp;AD203)+COUNTIFS($AD$5:AD203,AD203))</f>
        <v>0</v>
      </c>
      <c r="AN203" s="31">
        <f>IF(B203="","",COUNTIFS($AH$5:$AH$204,"&gt;"&amp;AH203)+COUNTIFS($AH$5:AH203,AH203))</f>
        <v>0</v>
      </c>
      <c r="AO203" s="31">
        <f>IF(B203="","",COUNTIFS($AJ$5:$AJ$204,"&gt;"&amp;AJ203)+COUNTIFS($AJ$5:AJ203,AJ203))</f>
        <v>0</v>
      </c>
      <c r="AP203" s="39">
        <f>IF(B203="","",IF(H203="Lost","Lost",IF(H203="Inactive","Dormant",IF(AA203="","Dormant",IF(AB203&gt;InactiveClientDays*2,"Dormant",IF(AB203&gt;InactiveClientDays,"At risk",IF(AC203="","Slipping",IF(Y203&gt;=10,"Loyal","Steady"))))))))</f>
        <v>0</v>
      </c>
      <c r="AQ203" s="34">
        <f>IF(OR(B203="",AP203="Lost",AP203="Dormant"),"",IF(OR(AP203="At risk",AP203="Slipping"),IF(AB203="",999,AB203),""))</f>
        <v>0</v>
      </c>
      <c r="AR203" s="31">
        <f>IF(AQ203="","",COUNTIFS($AQ$5:$AQ$204,"&gt;"&amp;AQ203)+COUNTIFS($AQ$5:AQ203,AQ203))</f>
        <v>0</v>
      </c>
      <c r="AS203" s="39">
        <f>IF(B203="","",IF(AF203&gt;0.5,"Chase - "&amp;TEXT(AF203,"0")&amp;" owing",IF(AND(H203&lt;&gt;"Lost",H203&lt;&gt;"Inactive",H203&lt;&gt;"Paused",AC203="",K203&lt;&gt;"One-off"),"Book - nothing in the diary",IF(AND(S203&lt;&gt;"",S203-TodayDate&lt;=RenewalWarningDays,S203&gt;=TodayDate),"Due - contract renews soon",IF(AP203="At risk","Call - going quiet",IF(AL203&gt;=2,"Check - complaints logged",IF(AND(AI203&lt;&gt;"",AI203&lt;MarginFloor,Y203&gt;0),"Check - thin margin","OK")))))))</f>
        <v>0</v>
      </c>
    </row>
    <row r="204" spans="1:45">
      <c r="A204" s="43">
        <f>IF(B204="","",ClientPrefix&amp;TEXT(ROW()-4,"0000"))</f>
        <v>0</v>
      </c>
      <c r="W204" s="31">
        <f>IF(A204="","",COUNTIFS(Properties!$C$5:$C$254,A204))</f>
        <v>0</v>
      </c>
      <c r="X204" s="31">
        <f>IF(A204="","",COUNTIFS(Jobs!$G$5:$G$604,A204))</f>
        <v>0</v>
      </c>
      <c r="Y204" s="31">
        <f>IF(A204="","",COUNTIFS(Jobs!$G$5:$G$604,A204,Jobs!$P$5:$P$604,"Completed")+COUNTIFS(Jobs!$G$5:$G$604,A204,Jobs!$P$5:$P$604,"Invoiced"))</f>
        <v>0</v>
      </c>
      <c r="Z204" s="31">
        <f>IF(A204="","",COUNTIFS(Jobs!$G$5:$G$604,A204,Jobs!$P$5:$P$604,"Cancelled")+COUNTIFS(Jobs!$G$5:$G$604,A204,Jobs!$P$5:$P$604,"No access"))</f>
        <v>0</v>
      </c>
      <c r="AA204" s="18">
        <f>IF(A204="","",IF(SUMPRODUCT(MAX((Jobs!$G$5:$G$604=A204)*((Jobs!$P$5:$P$604="Completed")+(Jobs!$P$5:$P$604="Invoiced"))*Jobs!$B$5:$B$604))=0,"",SUMPRODUCT(MAX((Jobs!$G$5:$G$604=A204)*((Jobs!$P$5:$P$604="Completed")+(Jobs!$P$5:$P$604="Invoiced"))*Jobs!$B$5:$B$604))))</f>
        <v>0</v>
      </c>
      <c r="AB204" s="31">
        <f>IF(AA204="","",TodayDate-AA204)</f>
        <v>0</v>
      </c>
      <c r="AC204" s="18">
        <f>IF(A204="","",IF(SUMPRODUCT(MIN((Jobs!$G$5:$G$604=A204)*(Jobs!$B$5:$B$604&gt;=TodayDate)*(Jobs!$P$5:$P$604&lt;&gt;"Cancelled")*Jobs!$B$5:$B$604+(1-(Jobs!$G$5:$G$604=A204)*(Jobs!$B$5:$B$604&gt;=TodayDate)*(Jobs!$P$5:$P$604&lt;&gt;"Cancelled"))*2958465))=2958465,"",SUMPRODUCT(MIN((Jobs!$G$5:$G$604=A204)*(Jobs!$B$5:$B$604&gt;=TodayDate)*(Jobs!$P$5:$P$604&lt;&gt;"Cancelled")*Jobs!$B$5:$B$604+(1-(Jobs!$G$5:$G$604=A204)*(Jobs!$B$5:$B$604&gt;=TodayDate)*(Jobs!$P$5:$P$604&lt;&gt;"Cancelled"))*2958465))))</f>
        <v>0</v>
      </c>
      <c r="AD204" s="21">
        <f>IF(A204="","",SUMIFS(Invoices!$V$5:$V$404,Invoices!$D$5:$D$404,A204))</f>
        <v>0</v>
      </c>
      <c r="AE204" s="21">
        <f>IF(A204="","",SUMIFS(Invoices!$W$5:$W$404,Invoices!$D$5:$D$404,A204))</f>
        <v>0</v>
      </c>
      <c r="AF204" s="21">
        <f>IF(A204="","",AD204-AE204)</f>
        <v>0</v>
      </c>
      <c r="AG204" s="21">
        <f>IF(OR(A204="",Y204=0),"",AD204/Y204)</f>
        <v>0</v>
      </c>
      <c r="AH204" s="21">
        <f>IF(A204="","",SUMIFS('Job Costing'!$U$5:$U$604,'Job Costing'!$D$5:$D$604,A204))</f>
        <v>0</v>
      </c>
      <c r="AI204" s="38">
        <f>IF(OR(A204="",AD204=0),"",AH204/AD204)</f>
        <v>0</v>
      </c>
      <c r="AJ204" s="21">
        <f>IF(OR(A204="",K204="",AG204=""),"",AG204*IFERROR(INDEX(FreqPerYear,MATCH(K204,FreqNames,0)),1))</f>
        <v>0</v>
      </c>
      <c r="AK204" s="34">
        <f>IF(A204="","",IFERROR(AVERAGEIFS(Jobs!$AA$5:$AA$604,Jobs!$G$5:$G$604,A204,Jobs!$AA$5:$AA$604,"&gt;0"),""))</f>
        <v>0</v>
      </c>
      <c r="AL204" s="31">
        <f>IF(A204="","",COUNTIFS(Complaints!$D$5:$D$84,A204))</f>
        <v>0</v>
      </c>
      <c r="AM204" s="31">
        <f>IF(B204="","",COUNTIFS($AD$5:$AD$204,"&gt;"&amp;AD204)+COUNTIFS($AD$5:AD204,AD204))</f>
        <v>0</v>
      </c>
      <c r="AN204" s="31">
        <f>IF(B204="","",COUNTIFS($AH$5:$AH$204,"&gt;"&amp;AH204)+COUNTIFS($AH$5:AH204,AH204))</f>
        <v>0</v>
      </c>
      <c r="AO204" s="31">
        <f>IF(B204="","",COUNTIFS($AJ$5:$AJ$204,"&gt;"&amp;AJ204)+COUNTIFS($AJ$5:AJ204,AJ204))</f>
        <v>0</v>
      </c>
      <c r="AP204" s="39">
        <f>IF(B204="","",IF(H204="Lost","Lost",IF(H204="Inactive","Dormant",IF(AA204="","Dormant",IF(AB204&gt;InactiveClientDays*2,"Dormant",IF(AB204&gt;InactiveClientDays,"At risk",IF(AC204="","Slipping",IF(Y204&gt;=10,"Loyal","Steady"))))))))</f>
        <v>0</v>
      </c>
      <c r="AQ204" s="34">
        <f>IF(OR(B204="",AP204="Lost",AP204="Dormant"),"",IF(OR(AP204="At risk",AP204="Slipping"),IF(AB204="",999,AB204),""))</f>
        <v>0</v>
      </c>
      <c r="AR204" s="31">
        <f>IF(AQ204="","",COUNTIFS($AQ$5:$AQ$204,"&gt;"&amp;AQ204)+COUNTIFS($AQ$5:AQ204,AQ204))</f>
        <v>0</v>
      </c>
      <c r="AS204" s="39">
        <f>IF(B204="","",IF(AF204&gt;0.5,"Chase - "&amp;TEXT(AF204,"0")&amp;" owing",IF(AND(H204&lt;&gt;"Lost",H204&lt;&gt;"Inactive",H204&lt;&gt;"Paused",AC204="",K204&lt;&gt;"One-off"),"Book - nothing in the diary",IF(AND(S204&lt;&gt;"",S204-TodayDate&lt;=RenewalWarningDays,S204&gt;=TodayDate),"Due - contract renews soon",IF(AP204="At risk","Call - going quiet",IF(AL204&gt;=2,"Check - complaints logged",IF(AND(AI204&lt;&gt;"",AI204&lt;MarginFloor,Y204&gt;0),"Check - thin margin","OK")))))))</f>
        <v>0</v>
      </c>
    </row>
  </sheetData>
  <sheetProtection password="EC7C" sheet="1" objects="1" scenarios="1" formatCells="0" formatColumns="0" formatRows="0" insertRows="0" insertHyperlinks="0" deleteRows="0" autoFilter="0"/>
  <autoFilter ref="A4:AS204"/>
  <mergeCells count="13">
    <mergeCell ref="A1:AP1"/>
    <mergeCell ref="AQ1:AS1"/>
    <mergeCell ref="A2:AS2"/>
    <mergeCell ref="A3:B3"/>
    <mergeCell ref="C3:D3"/>
    <mergeCell ref="E3:F3"/>
    <mergeCell ref="G3:H3"/>
    <mergeCell ref="I3:J3"/>
    <mergeCell ref="K3:L3"/>
    <mergeCell ref="M3:N3"/>
    <mergeCell ref="O3:P3"/>
    <mergeCell ref="Q3:R3"/>
    <mergeCell ref="S3:AS3"/>
  </mergeCells>
  <conditionalFormatting sqref="AB5:AB204">
    <cfRule type="cellIs" dxfId="2" priority="84" operator="greaterThan">
      <formula>InactiveClientDays</formula>
    </cfRule>
  </conditionalFormatting>
  <conditionalFormatting sqref="AF5:AF204">
    <cfRule type="cellIs" dxfId="0" priority="85" operator="greaterThan">
      <formula>0</formula>
    </cfRule>
  </conditionalFormatting>
  <conditionalFormatting sqref="AH5:AH204">
    <cfRule type="cellIs" dxfId="2" priority="86" operator="lessThan">
      <formula>0</formula>
    </cfRule>
  </conditionalFormatting>
  <conditionalFormatting sqref="AI5:AI204">
    <cfRule type="cellIs" dxfId="2" priority="87" operator="lessThan">
      <formula>MarginFloor</formula>
    </cfRule>
    <cfRule type="cellIs" dxfId="1" priority="88" operator="greaterThanOrEqual">
      <formula>TargetMargin</formula>
    </cfRule>
  </conditionalFormatting>
  <conditionalFormatting sqref="AK5:AK204">
    <cfRule type="cellIs" dxfId="2" priority="89" operator="lessThan">
      <formula>3.5</formula>
    </cfRule>
    <cfRule type="cellIs" dxfId="1" priority="90" operator="greaterThanOrEqual">
      <formula>4.5</formula>
    </cfRule>
  </conditionalFormatting>
  <conditionalFormatting sqref="AL5:AL204">
    <cfRule type="cellIs" dxfId="0" priority="91" operator="greaterThanOrEqual">
      <formula>2</formula>
    </cfRule>
  </conditionalFormatting>
  <conditionalFormatting sqref="AP5:AP204">
    <cfRule type="containsText" dxfId="1" priority="92" operator="containsText" text="Completed">
      <formula>NOT(ISERROR(SEARCH("Completed",AP5)))</formula>
    </cfRule>
    <cfRule type="containsText" dxfId="1" priority="93" operator="containsText" text="Complete">
      <formula>NOT(ISERROR(SEARCH("Complete",AP5)))</formula>
    </cfRule>
    <cfRule type="containsText" dxfId="1" priority="94" operator="containsText" text="Done">
      <formula>NOT(ISERROR(SEARCH("Done",AP5)))</formula>
    </cfRule>
    <cfRule type="containsText" dxfId="1" priority="95" operator="containsText" text="Paid">
      <formula>NOT(ISERROR(SEARCH("Paid",AP5)))</formula>
    </cfRule>
    <cfRule type="containsText" dxfId="1" priority="96" operator="containsText" text="Accepted">
      <formula>NOT(ISERROR(SEARCH("Accepted",AP5)))</formula>
    </cfRule>
    <cfRule type="containsText" dxfId="1" priority="97" operator="containsText" text="Won">
      <formula>NOT(ISERROR(SEARCH("Won",AP5)))</formula>
    </cfRule>
    <cfRule type="containsText" dxfId="1" priority="98" operator="containsText" text="Active">
      <formula>NOT(ISERROR(SEARCH("Active",AP5)))</formula>
    </cfRule>
    <cfRule type="containsText" dxfId="1" priority="99" operator="containsText" text="In stock">
      <formula>NOT(ISERROR(SEARCH("In stock",AP5)))</formula>
    </cfRule>
    <cfRule type="containsText" dxfId="1" priority="100" operator="containsText" text="Resolved">
      <formula>NOT(ISERROR(SEARCH("Resolved",AP5)))</formula>
    </cfRule>
    <cfRule type="containsText" dxfId="1" priority="101" operator="containsText" text="Signed">
      <formula>NOT(ISERROR(SEARCH("Signed",AP5)))</formula>
    </cfRule>
    <cfRule type="containsText" dxfId="1" priority="102" operator="containsText" text="Yes">
      <formula>NOT(ISERROR(SEARCH("Yes",AP5)))</formula>
    </cfRule>
    <cfRule type="containsText" dxfId="3" priority="103" operator="containsText" text="Booked">
      <formula>NOT(ISERROR(SEARCH("Booked",AP5)))</formula>
    </cfRule>
    <cfRule type="containsText" dxfId="3" priority="104" operator="containsText" text="Confirmed">
      <formula>NOT(ISERROR(SEARCH("Confirmed",AP5)))</formula>
    </cfRule>
    <cfRule type="containsText" dxfId="3" priority="105" operator="containsText" text="Scheduled">
      <formula>NOT(ISERROR(SEARCH("Scheduled",AP5)))</formula>
    </cfRule>
    <cfRule type="containsText" dxfId="3" priority="106" operator="containsText" text="In progress">
      <formula>NOT(ISERROR(SEARCH("In progress",AP5)))</formula>
    </cfRule>
    <cfRule type="containsText" dxfId="3" priority="107" operator="containsText" text="Sent">
      <formula>NOT(ISERROR(SEARCH("Sent",AP5)))</formula>
    </cfRule>
    <cfRule type="containsText" dxfId="3" priority="108" operator="containsText" text="Invoiced">
      <formula>NOT(ISERROR(SEARCH("Invoiced",AP5)))</formula>
    </cfRule>
    <cfRule type="containsText" dxfId="3" priority="109" operator="containsText" text="Quoted">
      <formula>NOT(ISERROR(SEARCH("Quoted",AP5)))</formula>
    </cfRule>
    <cfRule type="containsText" dxfId="3" priority="110" operator="containsText" text="Prospect">
      <formula>NOT(ISERROR(SEARCH("Prospect",AP5)))</formula>
    </cfRule>
    <cfRule type="containsText" dxfId="0" priority="111" operator="containsText" text="Draft">
      <formula>NOT(ISERROR(SEARCH("Draft",AP5)))</formula>
    </cfRule>
    <cfRule type="containsText" dxfId="0" priority="112" operator="containsText" text="Enquiry">
      <formula>NOT(ISERROR(SEARCH("Enquiry",AP5)))</formula>
    </cfRule>
    <cfRule type="containsText" dxfId="0" priority="113" operator="containsText" text="Pending">
      <formula>NOT(ISERROR(SEARCH("Pending",AP5)))</formula>
    </cfRule>
    <cfRule type="containsText" dxfId="0" priority="114" operator="containsText" text="Part paid">
      <formula>NOT(ISERROR(SEARCH("Part paid",AP5)))</formula>
    </cfRule>
    <cfRule type="containsText" dxfId="0" priority="115" operator="containsText" text="Followed up">
      <formula>NOT(ISERROR(SEARCH("Followed up",AP5)))</formula>
    </cfRule>
    <cfRule type="containsText" dxfId="0" priority="116" operator="containsText" text="Low stock">
      <formula>NOT(ISERROR(SEARCH("Low stock",AP5)))</formula>
    </cfRule>
    <cfRule type="containsText" dxfId="0" priority="117" operator="containsText" text="Due soon">
      <formula>NOT(ISERROR(SEARCH("Due soon",AP5)))</formula>
    </cfRule>
    <cfRule type="containsText" dxfId="0" priority="118" operator="containsText" text="On hold">
      <formula>NOT(ISERROR(SEARCH("On hold",AP5)))</formula>
    </cfRule>
    <cfRule type="containsText" dxfId="0" priority="119" operator="containsText" text="Unassigned">
      <formula>NOT(ISERROR(SEARCH("Unassigned",AP5)))</formula>
    </cfRule>
    <cfRule type="containsText" dxfId="2" priority="120" operator="containsText" text="Overdue">
      <formula>NOT(ISERROR(SEARCH("Overdue",AP5)))</formula>
    </cfRule>
    <cfRule type="containsText" dxfId="2" priority="121" operator="containsText" text="Cancelled">
      <formula>NOT(ISERROR(SEARCH("Cancelled",AP5)))</formula>
    </cfRule>
    <cfRule type="containsText" dxfId="2" priority="122" operator="containsText" text="Declined">
      <formula>NOT(ISERROR(SEARCH("Declined",AP5)))</formula>
    </cfRule>
    <cfRule type="containsText" dxfId="2" priority="123" operator="containsText" text="Lost">
      <formula>NOT(ISERROR(SEARCH("Lost",AP5)))</formula>
    </cfRule>
    <cfRule type="containsText" dxfId="2" priority="124" operator="containsText" text="No access">
      <formula>NOT(ISERROR(SEARCH("No access",AP5)))</formula>
    </cfRule>
    <cfRule type="containsText" dxfId="2" priority="125" operator="containsText" text="Out of stock">
      <formula>NOT(ISERROR(SEARCH("Out of stock",AP5)))</formula>
    </cfRule>
    <cfRule type="containsText" dxfId="2" priority="126" operator="containsText" text="Written off">
      <formula>NOT(ISERROR(SEARCH("Written off",AP5)))</formula>
    </cfRule>
    <cfRule type="containsText" dxfId="2" priority="127" operator="containsText" text="Expired">
      <formula>NOT(ISERROR(SEARCH("Expired",AP5)))</formula>
    </cfRule>
    <cfRule type="containsText" dxfId="4" priority="128" operator="containsText" text="Inactive">
      <formula>NOT(ISERROR(SEARCH("Inactive",AP5)))</formula>
    </cfRule>
    <cfRule type="containsText" dxfId="4" priority="129" operator="containsText" text="Archived">
      <formula>NOT(ISERROR(SEARCH("Archived",AP5)))</formula>
    </cfRule>
    <cfRule type="containsText" dxfId="4" priority="130" operator="containsText" text="Not needed">
      <formula>NOT(ISERROR(SEARCH("Not needed",AP5)))</formula>
    </cfRule>
  </conditionalFormatting>
  <conditionalFormatting sqref="AS5:AS204">
    <cfRule type="beginsWith" dxfId="1" priority="131" operator="beginsWith" text="OK">
      <formula>LEFT(AS5,2)="OK"</formula>
    </cfRule>
    <cfRule type="containsText" dxfId="2" priority="132" operator="containsText" text="Overdue">
      <formula>NOT(ISERROR(SEARCH("Overdue",AS5)))</formula>
    </cfRule>
    <cfRule type="containsText" dxfId="2" priority="133" operator="containsText" text="Late">
      <formula>NOT(ISERROR(SEARCH("Late",AS5)))</formula>
    </cfRule>
    <cfRule type="containsText" dxfId="2" priority="134" operator="containsText" text="Missing">
      <formula>NOT(ISERROR(SEARCH("Missing",AS5)))</formula>
    </cfRule>
    <cfRule type="containsText" dxfId="2" priority="135" operator="containsText" text="Conflict">
      <formula>NOT(ISERROR(SEARCH("Conflict",AS5)))</formula>
    </cfRule>
    <cfRule type="containsText" dxfId="2" priority="136" operator="containsText" text="Clash">
      <formula>NOT(ISERROR(SEARCH("Clash",AS5)))</formula>
    </cfRule>
    <cfRule type="containsText" dxfId="2" priority="137" operator="containsText" text="Expired">
      <formula>NOT(ISERROR(SEARCH("Expired",AS5)))</formula>
    </cfRule>
    <cfRule type="containsText" dxfId="2" priority="138" operator="containsText" text="Duplicate">
      <formula>NOT(ISERROR(SEARCH("Duplicate",AS5)))</formula>
    </cfRule>
    <cfRule type="containsText" dxfId="2" priority="139" operator="containsText" text="Unpaid">
      <formula>NOT(ISERROR(SEARCH("Unpaid",AS5)))</formula>
    </cfRule>
    <cfRule type="containsText" dxfId="2" priority="140" operator="containsText" text="Loss">
      <formula>NOT(ISERROR(SEARCH("Loss",AS5)))</formula>
    </cfRule>
    <cfRule type="containsText" dxfId="2" priority="141" operator="containsText" text="Below">
      <formula>NOT(ISERROR(SEARCH("Below",AS5)))</formula>
    </cfRule>
    <cfRule type="containsText" dxfId="0" priority="142" operator="containsText" text="Action">
      <formula>NOT(ISERROR(SEARCH("Action",AS5)))</formula>
    </cfRule>
    <cfRule type="containsText" dxfId="0" priority="143" operator="containsText" text="Due">
      <formula>NOT(ISERROR(SEARCH("Due",AS5)))</formula>
    </cfRule>
    <cfRule type="containsText" dxfId="0" priority="144" operator="containsText" text="Check">
      <formula>NOT(ISERROR(SEARCH("Check",AS5)))</formula>
    </cfRule>
    <cfRule type="containsText" dxfId="0" priority="145" operator="containsText" text="Chase">
      <formula>NOT(ISERROR(SEARCH("Chase",AS5)))</formula>
    </cfRule>
    <cfRule type="containsText" dxfId="0" priority="146" operator="containsText" text="Assign">
      <formula>NOT(ISERROR(SEARCH("Assign",AS5)))</formula>
    </cfRule>
    <cfRule type="containsText" dxfId="0" priority="147" operator="containsText" text="Confirm">
      <formula>NOT(ISERROR(SEARCH("Confirm",AS5)))</formula>
    </cfRule>
    <cfRule type="containsText" dxfId="0" priority="148" operator="containsText" text="Order">
      <formula>NOT(ISERROR(SEARCH("Order",AS5)))</formula>
    </cfRule>
    <cfRule type="containsText" dxfId="3" priority="149" operator="containsText" text="Today">
      <formula>NOT(ISERROR(SEARCH("Today",AS5)))</formula>
    </cfRule>
    <cfRule type="containsText" dxfId="3" priority="150" operator="containsText" text="Upcoming">
      <formula>NOT(ISERROR(SEARCH("Upcoming",AS5)))</formula>
    </cfRule>
    <cfRule type="containsText" dxfId="3" priority="151" operator="containsText" text="Tomorrow">
      <formula>NOT(ISERROR(SEARCH("Tomorrow",AS5)))</formula>
    </cfRule>
  </conditionalFormatting>
  <conditionalFormatting sqref="H5:H204">
    <cfRule type="containsText" dxfId="1" priority="1" operator="containsText" text="Completed">
      <formula>NOT(ISERROR(SEARCH("Completed",H5)))</formula>
    </cfRule>
    <cfRule type="containsText" dxfId="1" priority="2" operator="containsText" text="Complete">
      <formula>NOT(ISERROR(SEARCH("Complete",H5)))</formula>
    </cfRule>
    <cfRule type="containsText" dxfId="1" priority="3" operator="containsText" text="Done">
      <formula>NOT(ISERROR(SEARCH("Done",H5)))</formula>
    </cfRule>
    <cfRule type="containsText" dxfId="1" priority="4" operator="containsText" text="Paid">
      <formula>NOT(ISERROR(SEARCH("Paid",H5)))</formula>
    </cfRule>
    <cfRule type="containsText" dxfId="1" priority="5" operator="containsText" text="Accepted">
      <formula>NOT(ISERROR(SEARCH("Accepted",H5)))</formula>
    </cfRule>
    <cfRule type="containsText" dxfId="1" priority="6" operator="containsText" text="Won">
      <formula>NOT(ISERROR(SEARCH("Won",H5)))</formula>
    </cfRule>
    <cfRule type="containsText" dxfId="1" priority="7" operator="containsText" text="Active">
      <formula>NOT(ISERROR(SEARCH("Active",H5)))</formula>
    </cfRule>
    <cfRule type="containsText" dxfId="1" priority="8" operator="containsText" text="In stock">
      <formula>NOT(ISERROR(SEARCH("In stock",H5)))</formula>
    </cfRule>
    <cfRule type="containsText" dxfId="1" priority="9" operator="containsText" text="Resolved">
      <formula>NOT(ISERROR(SEARCH("Resolved",H5)))</formula>
    </cfRule>
    <cfRule type="containsText" dxfId="1" priority="10" operator="containsText" text="Signed">
      <formula>NOT(ISERROR(SEARCH("Signed",H5)))</formula>
    </cfRule>
    <cfRule type="containsText" dxfId="1" priority="11" operator="containsText" text="Yes">
      <formula>NOT(ISERROR(SEARCH("Yes",H5)))</formula>
    </cfRule>
    <cfRule type="containsText" dxfId="3" priority="12" operator="containsText" text="Booked">
      <formula>NOT(ISERROR(SEARCH("Booked",H5)))</formula>
    </cfRule>
    <cfRule type="containsText" dxfId="3" priority="13" operator="containsText" text="Confirmed">
      <formula>NOT(ISERROR(SEARCH("Confirmed",H5)))</formula>
    </cfRule>
    <cfRule type="containsText" dxfId="3" priority="14" operator="containsText" text="Scheduled">
      <formula>NOT(ISERROR(SEARCH("Scheduled",H5)))</formula>
    </cfRule>
    <cfRule type="containsText" dxfId="3" priority="15" operator="containsText" text="In progress">
      <formula>NOT(ISERROR(SEARCH("In progress",H5)))</formula>
    </cfRule>
    <cfRule type="containsText" dxfId="3" priority="16" operator="containsText" text="Sent">
      <formula>NOT(ISERROR(SEARCH("Sent",H5)))</formula>
    </cfRule>
    <cfRule type="containsText" dxfId="3" priority="17" operator="containsText" text="Invoiced">
      <formula>NOT(ISERROR(SEARCH("Invoiced",H5)))</formula>
    </cfRule>
    <cfRule type="containsText" dxfId="3" priority="18" operator="containsText" text="Quoted">
      <formula>NOT(ISERROR(SEARCH("Quoted",H5)))</formula>
    </cfRule>
    <cfRule type="containsText" dxfId="3" priority="19" operator="containsText" text="Prospect">
      <formula>NOT(ISERROR(SEARCH("Prospect",H5)))</formula>
    </cfRule>
    <cfRule type="containsText" dxfId="0" priority="20" operator="containsText" text="Draft">
      <formula>NOT(ISERROR(SEARCH("Draft",H5)))</formula>
    </cfRule>
    <cfRule type="containsText" dxfId="0" priority="21" operator="containsText" text="Enquiry">
      <formula>NOT(ISERROR(SEARCH("Enquiry",H5)))</formula>
    </cfRule>
    <cfRule type="containsText" dxfId="0" priority="22" operator="containsText" text="Pending">
      <formula>NOT(ISERROR(SEARCH("Pending",H5)))</formula>
    </cfRule>
    <cfRule type="containsText" dxfId="0" priority="23" operator="containsText" text="Part paid">
      <formula>NOT(ISERROR(SEARCH("Part paid",H5)))</formula>
    </cfRule>
    <cfRule type="containsText" dxfId="0" priority="24" operator="containsText" text="Followed up">
      <formula>NOT(ISERROR(SEARCH("Followed up",H5)))</formula>
    </cfRule>
    <cfRule type="containsText" dxfId="0" priority="25" operator="containsText" text="Low stock">
      <formula>NOT(ISERROR(SEARCH("Low stock",H5)))</formula>
    </cfRule>
    <cfRule type="containsText" dxfId="0" priority="26" operator="containsText" text="Due soon">
      <formula>NOT(ISERROR(SEARCH("Due soon",H5)))</formula>
    </cfRule>
    <cfRule type="containsText" dxfId="0" priority="27" operator="containsText" text="On hold">
      <formula>NOT(ISERROR(SEARCH("On hold",H5)))</formula>
    </cfRule>
    <cfRule type="containsText" dxfId="0" priority="28" operator="containsText" text="Unassigned">
      <formula>NOT(ISERROR(SEARCH("Unassigned",H5)))</formula>
    </cfRule>
    <cfRule type="containsText" dxfId="2" priority="29" operator="containsText" text="Overdue">
      <formula>NOT(ISERROR(SEARCH("Overdue",H5)))</formula>
    </cfRule>
    <cfRule type="containsText" dxfId="2" priority="30" operator="containsText" text="Cancelled">
      <formula>NOT(ISERROR(SEARCH("Cancelled",H5)))</formula>
    </cfRule>
    <cfRule type="containsText" dxfId="2" priority="31" operator="containsText" text="Declined">
      <formula>NOT(ISERROR(SEARCH("Declined",H5)))</formula>
    </cfRule>
    <cfRule type="containsText" dxfId="2" priority="32" operator="containsText" text="Lost">
      <formula>NOT(ISERROR(SEARCH("Lost",H5)))</formula>
    </cfRule>
    <cfRule type="containsText" dxfId="2" priority="33" operator="containsText" text="No access">
      <formula>NOT(ISERROR(SEARCH("No access",H5)))</formula>
    </cfRule>
    <cfRule type="containsText" dxfId="2" priority="34" operator="containsText" text="Out of stock">
      <formula>NOT(ISERROR(SEARCH("Out of stock",H5)))</formula>
    </cfRule>
    <cfRule type="containsText" dxfId="2" priority="35" operator="containsText" text="Written off">
      <formula>NOT(ISERROR(SEARCH("Written off",H5)))</formula>
    </cfRule>
    <cfRule type="containsText" dxfId="2" priority="36" operator="containsText" text="Expired">
      <formula>NOT(ISERROR(SEARCH("Expired",H5)))</formula>
    </cfRule>
    <cfRule type="containsText" dxfId="4" priority="37" operator="containsText" text="Inactive">
      <formula>NOT(ISERROR(SEARCH("Inactive",H5)))</formula>
    </cfRule>
    <cfRule type="containsText" dxfId="4" priority="38" operator="containsText" text="Archived">
      <formula>NOT(ISERROR(SEARCH("Archived",H5)))</formula>
    </cfRule>
    <cfRule type="containsText" dxfId="4" priority="39" operator="containsText" text="Not needed">
      <formula>NOT(ISERROR(SEARCH("Not needed",H5)))</formula>
    </cfRule>
  </conditionalFormatting>
  <conditionalFormatting sqref="R5:R204">
    <cfRule type="containsText" dxfId="1" priority="40" operator="containsText" text="Completed">
      <formula>NOT(ISERROR(SEARCH("Completed",R5)))</formula>
    </cfRule>
    <cfRule type="containsText" dxfId="1" priority="41" operator="containsText" text="Complete">
      <formula>NOT(ISERROR(SEARCH("Complete",R5)))</formula>
    </cfRule>
    <cfRule type="containsText" dxfId="1" priority="42" operator="containsText" text="Done">
      <formula>NOT(ISERROR(SEARCH("Done",R5)))</formula>
    </cfRule>
    <cfRule type="containsText" dxfId="1" priority="43" operator="containsText" text="Paid">
      <formula>NOT(ISERROR(SEARCH("Paid",R5)))</formula>
    </cfRule>
    <cfRule type="containsText" dxfId="1" priority="44" operator="containsText" text="Accepted">
      <formula>NOT(ISERROR(SEARCH("Accepted",R5)))</formula>
    </cfRule>
    <cfRule type="containsText" dxfId="1" priority="45" operator="containsText" text="Won">
      <formula>NOT(ISERROR(SEARCH("Won",R5)))</formula>
    </cfRule>
    <cfRule type="containsText" dxfId="1" priority="46" operator="containsText" text="Active">
      <formula>NOT(ISERROR(SEARCH("Active",R5)))</formula>
    </cfRule>
    <cfRule type="containsText" dxfId="1" priority="47" operator="containsText" text="In stock">
      <formula>NOT(ISERROR(SEARCH("In stock",R5)))</formula>
    </cfRule>
    <cfRule type="containsText" dxfId="1" priority="48" operator="containsText" text="Resolved">
      <formula>NOT(ISERROR(SEARCH("Resolved",R5)))</formula>
    </cfRule>
    <cfRule type="containsText" dxfId="1" priority="49" operator="containsText" text="Signed">
      <formula>NOT(ISERROR(SEARCH("Signed",R5)))</formula>
    </cfRule>
    <cfRule type="containsText" dxfId="1" priority="50" operator="containsText" text="Yes">
      <formula>NOT(ISERROR(SEARCH("Yes",R5)))</formula>
    </cfRule>
    <cfRule type="containsText" dxfId="3" priority="51" operator="containsText" text="Booked">
      <formula>NOT(ISERROR(SEARCH("Booked",R5)))</formula>
    </cfRule>
    <cfRule type="containsText" dxfId="3" priority="52" operator="containsText" text="Confirmed">
      <formula>NOT(ISERROR(SEARCH("Confirmed",R5)))</formula>
    </cfRule>
    <cfRule type="containsText" dxfId="3" priority="53" operator="containsText" text="Scheduled">
      <formula>NOT(ISERROR(SEARCH("Scheduled",R5)))</formula>
    </cfRule>
    <cfRule type="containsText" dxfId="3" priority="54" operator="containsText" text="In progress">
      <formula>NOT(ISERROR(SEARCH("In progress",R5)))</formula>
    </cfRule>
    <cfRule type="containsText" dxfId="3" priority="55" operator="containsText" text="Sent">
      <formula>NOT(ISERROR(SEARCH("Sent",R5)))</formula>
    </cfRule>
    <cfRule type="containsText" dxfId="3" priority="56" operator="containsText" text="Invoiced">
      <formula>NOT(ISERROR(SEARCH("Invoiced",R5)))</formula>
    </cfRule>
    <cfRule type="containsText" dxfId="3" priority="57" operator="containsText" text="Quoted">
      <formula>NOT(ISERROR(SEARCH("Quoted",R5)))</formula>
    </cfRule>
    <cfRule type="containsText" dxfId="3" priority="58" operator="containsText" text="Prospect">
      <formula>NOT(ISERROR(SEARCH("Prospect",R5)))</formula>
    </cfRule>
    <cfRule type="containsText" dxfId="0" priority="59" operator="containsText" text="Draft">
      <formula>NOT(ISERROR(SEARCH("Draft",R5)))</formula>
    </cfRule>
    <cfRule type="containsText" dxfId="0" priority="60" operator="containsText" text="Enquiry">
      <formula>NOT(ISERROR(SEARCH("Enquiry",R5)))</formula>
    </cfRule>
    <cfRule type="containsText" dxfId="0" priority="61" operator="containsText" text="Pending">
      <formula>NOT(ISERROR(SEARCH("Pending",R5)))</formula>
    </cfRule>
    <cfRule type="containsText" dxfId="0" priority="62" operator="containsText" text="Part paid">
      <formula>NOT(ISERROR(SEARCH("Part paid",R5)))</formula>
    </cfRule>
    <cfRule type="containsText" dxfId="0" priority="63" operator="containsText" text="Followed up">
      <formula>NOT(ISERROR(SEARCH("Followed up",R5)))</formula>
    </cfRule>
    <cfRule type="containsText" dxfId="0" priority="64" operator="containsText" text="Low stock">
      <formula>NOT(ISERROR(SEARCH("Low stock",R5)))</formula>
    </cfRule>
    <cfRule type="containsText" dxfId="0" priority="65" operator="containsText" text="Due soon">
      <formula>NOT(ISERROR(SEARCH("Due soon",R5)))</formula>
    </cfRule>
    <cfRule type="containsText" dxfId="0" priority="66" operator="containsText" text="On hold">
      <formula>NOT(ISERROR(SEARCH("On hold",R5)))</formula>
    </cfRule>
    <cfRule type="containsText" dxfId="0" priority="67" operator="containsText" text="Unassigned">
      <formula>NOT(ISERROR(SEARCH("Unassigned",R5)))</formula>
    </cfRule>
    <cfRule type="containsText" dxfId="2" priority="68" operator="containsText" text="Overdue">
      <formula>NOT(ISERROR(SEARCH("Overdue",R5)))</formula>
    </cfRule>
    <cfRule type="containsText" dxfId="2" priority="69" operator="containsText" text="Cancelled">
      <formula>NOT(ISERROR(SEARCH("Cancelled",R5)))</formula>
    </cfRule>
    <cfRule type="containsText" dxfId="2" priority="70" operator="containsText" text="Declined">
      <formula>NOT(ISERROR(SEARCH("Declined",R5)))</formula>
    </cfRule>
    <cfRule type="containsText" dxfId="2" priority="71" operator="containsText" text="Lost">
      <formula>NOT(ISERROR(SEARCH("Lost",R5)))</formula>
    </cfRule>
    <cfRule type="containsText" dxfId="2" priority="72" operator="containsText" text="No access">
      <formula>NOT(ISERROR(SEARCH("No access",R5)))</formula>
    </cfRule>
    <cfRule type="containsText" dxfId="2" priority="73" operator="containsText" text="Out of stock">
      <formula>NOT(ISERROR(SEARCH("Out of stock",R5)))</formula>
    </cfRule>
    <cfRule type="containsText" dxfId="2" priority="74" operator="containsText" text="Written off">
      <formula>NOT(ISERROR(SEARCH("Written off",R5)))</formula>
    </cfRule>
    <cfRule type="containsText" dxfId="2" priority="75" operator="containsText" text="Expired">
      <formula>NOT(ISERROR(SEARCH("Expired",R5)))</formula>
    </cfRule>
    <cfRule type="containsText" dxfId="4" priority="76" operator="containsText" text="Inactive">
      <formula>NOT(ISERROR(SEARCH("Inactive",R5)))</formula>
    </cfRule>
    <cfRule type="containsText" dxfId="4" priority="77" operator="containsText" text="Archived">
      <formula>NOT(ISERROR(SEARCH("Archived",R5)))</formula>
    </cfRule>
    <cfRule type="containsText" dxfId="4" priority="78" operator="containsText" text="Not needed">
      <formula>NOT(ISERROR(SEARCH("Not needed",R5)))</formula>
    </cfRule>
  </conditionalFormatting>
  <conditionalFormatting sqref="T5:T204">
    <cfRule type="containsText" dxfId="0" priority="79" operator="containsText" text="No">
      <formula>NOT(ISERROR(SEARCH("No",T5)))</formula>
    </cfRule>
    <cfRule type="containsText" dxfId="1" priority="80" operator="containsText" text="Yes">
      <formula>NOT(ISERROR(SEARCH("Yes",T5)))</formula>
    </cfRule>
  </conditionalFormatting>
  <conditionalFormatting sqref="U5:U204">
    <cfRule type="containsText" dxfId="0" priority="81" operator="containsText" text="No">
      <formula>NOT(ISERROR(SEARCH("No",U5)))</formula>
    </cfRule>
    <cfRule type="containsText" dxfId="1" priority="82" operator="containsText" text="Yes">
      <formula>NOT(ISERROR(SEARCH("Yes",U5)))</formula>
    </cfRule>
  </conditionalFormatting>
  <conditionalFormatting sqref="Z5:Z204">
    <cfRule type="cellIs" dxfId="0" priority="83" operator="greaterThanOrEqual">
      <formula>3</formula>
    </cfRule>
  </conditionalFormatting>
  <dataValidations count="15">
    <dataValidation type="list" allowBlank="1" showInputMessage="1" showErrorMessage="1" promptTitle="Type" prompt="Residential and commercial work behave very differently - the reports split on this." sqref="C5:C204">
      <formula1>ClientTypeList</formula1>
    </dataValidation>
    <dataValidation type="list" allowBlank="1" showInputMessage="1" showErrorMessage="1" promptTitle="Status" prompt="Prospect until they book. Mark them Paused rather than deleting them - the history is worth keeping." sqref="H5:H204">
      <formula1>ClientStatusList</formula1>
    </dataValidation>
    <dataValidation type="list" allowBlank="1" showInputMessage="1" showErrorMessage="1" promptTitle="Came from" prompt="Where they heard about you. Fill this in every time and the Reports tab tells you where to spend your marketing money." sqref="I5:I204">
      <formula1>LeadSourceList</formula1>
    </dataValidation>
    <dataValidation type="date" allowBlank="1" showInputMessage="1" showErrorMessage="1" errorTitle="Check the date" error="Enter a real date between 2000 and 2100." sqref="J5:J204">
      <formula1>36526</formula1>
      <formula2>73415</formula2>
    </dataValidation>
    <dataValidation type="list" allowBlank="1" showInputMessage="1" showErrorMessage="1" promptTitle="Usual frequency" prompt="Drives the recurring booking dates and the value of the client over a year." sqref="K5:K204">
      <formula1>FrequencyList</formula1>
    </dataValidation>
    <dataValidation type="list" allowBlank="1" showInputMessage="1" showErrorMessage="1" sqref="L5:L204">
      <formula1>WeekdayList</formula1>
    </dataValidation>
    <dataValidation type="list" allowBlank="1" showInputMessage="1" showErrorMessage="1" sqref="M5:M204">
      <formula1>TimeSlotList</formula1>
    </dataValidation>
    <dataValidation type="list" allowBlank="1" showInputMessage="1" showErrorMessage="1" promptTitle="Preferred cleaner" prompt="The scheduler flags a job given to anybody else, so you can at least tell the client." sqref="N5:N204">
      <formula1>EmployeeNames</formula1>
    </dataValidation>
    <dataValidation type="decimal" allowBlank="1" showInputMessage="1" showErrorMessage="1" errorTitle="Check the value" error="Enter a number between 0 and 10000." promptTitle="Agreed hourly rate" prompt="Leave blank to use the standard rate from Settings. Fill it in for a client on a special price." sqref="O5:O204">
      <formula1>0</formula1>
      <formula2>10000</formula2>
    </dataValidation>
    <dataValidation type="whole" allowBlank="1" showInputMessage="1" showErrorMessage="1" errorTitle="Check the value" error="Enter a number between 0 and 180." promptTitle="Payment terms (days)" prompt="Blank uses the default terms from the Settings tab." sqref="P5:P204">
      <formula1>0</formula1>
      <formula2>180</formula2>
    </dataValidation>
    <dataValidation type="list" allowBlank="1" showInputMessage="1" showErrorMessage="1" sqref="Q5:Q204">
      <formula1>PaymentMethodList</formula1>
    </dataValidation>
    <dataValidation type="list" allowBlank="1" showInputMessage="1" showErrorMessage="1" sqref="R5:R204">
      <formula1>ContractTermList</formula1>
    </dataValidation>
    <dataValidation type="date" allowBlank="1" showInputMessage="1" showErrorMessage="1" errorTitle="Check the date" error="Enter a real date between 2000 and 2100." promptTitle="Contract ends" prompt="The renewal alert counts down to this date." sqref="S5:S204">
      <formula1>36526</formula1>
      <formula2>73415</formula2>
    </dataValidation>
    <dataValidation type="list" allowBlank="1" showInputMessage="1" showErrorMessage="1" sqref="T5:T204">
      <formula1>YesNoList</formula1>
    </dataValidation>
    <dataValidation type="list" allowBlank="1" showInputMessage="1" showErrorMessage="1" promptTitle="Happy to be contacted?" prompt="Keep a record of consent before you add anyone to a mailing list." sqref="U5:U204">
      <formula1>YesNoList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&amp;L&amp;"Calibri,Bold"&amp;12&amp;C&amp;"Calibri,Bold"&amp;11Clients&amp;R&amp;"Calibri,Italic"&amp;9Cleaning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6.xml><?xml version="1.0" encoding="utf-8"?>
<worksheet xmlns="http://schemas.openxmlformats.org/spreadsheetml/2006/main" xmlns:r="http://schemas.openxmlformats.org/officeDocument/2006/relationships">
  <sheetPr>
    <tabColor rgb="FF14616B"/>
    <pageSetUpPr fitToPage="1"/>
  </sheetPr>
  <dimension ref="A1:AH25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28.7109375" style="15" customWidth="1"/>
    <col min="3" max="3" width="11.7109375" style="49" customWidth="1"/>
    <col min="4" max="4" width="22.7109375" style="23" customWidth="1"/>
    <col min="5" max="5" width="15.7109375" style="15" customWidth="1"/>
    <col min="6" max="6" width="36.7109375" style="44" customWidth="1"/>
    <col min="7" max="7" width="11.7109375" style="40" customWidth="1"/>
    <col min="8" max="8" width="9.7109375" style="16" customWidth="1"/>
    <col min="9" max="9" width="10.7109375" style="16" customWidth="1"/>
    <col min="10" max="10" width="11.7109375" style="16" customWidth="1"/>
    <col min="11" max="11" width="14.7109375" style="15" customWidth="1"/>
    <col min="12" max="12" width="20.7109375" style="15" customWidth="1"/>
    <col min="13" max="13" width="12.7109375" style="15" customWidth="1"/>
    <col min="14" max="14" width="20.7109375" style="15" customWidth="1"/>
    <col min="15" max="15" width="14.7109375" style="45" customWidth="1"/>
    <col min="16" max="16" width="32.7109375" style="44" customWidth="1"/>
    <col min="17" max="17" width="16.7109375" style="15" customWidth="1"/>
    <col min="18" max="18" width="10.7109375" style="17" customWidth="1"/>
    <col min="19" max="19" width="18.7109375" style="15" customWidth="1"/>
    <col min="20" max="20" width="11.7109375" style="47" customWidth="1"/>
    <col min="21" max="21" width="8.7109375" style="47" customWidth="1"/>
    <col min="22" max="22" width="38.7109375" style="44" customWidth="1"/>
    <col min="23" max="23" width="10.7109375" style="34" hidden="1" customWidth="1"/>
    <col min="24" max="24" width="13.7109375" style="34" customWidth="1"/>
    <col min="25" max="25" width="11.7109375" style="34" customWidth="1"/>
    <col min="26" max="26" width="13.7109375" style="21" customWidth="1"/>
    <col min="27" max="27" width="11.7109375" style="21" hidden="1" customWidth="1"/>
    <col min="28" max="28" width="12.7109375" style="38" customWidth="1"/>
    <col min="29" max="29" width="9.7109375" style="31" customWidth="1"/>
    <col min="30" max="30" width="12.7109375" style="18" customWidth="1"/>
    <col min="31" max="31" width="13.7109375" style="34" customWidth="1"/>
    <col min="32" max="32" width="12.7109375" style="34" customWidth="1"/>
    <col min="33" max="33" width="12.7109375" style="21" customWidth="1"/>
    <col min="34" max="34" width="28.7109375" style="39" customWidth="1"/>
  </cols>
  <sheetData>
    <row r="1" spans="1:34" ht="34" customHeight="1">
      <c r="A1" s="2" t="s">
        <v>25</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3" t="s">
        <v>1</v>
      </c>
      <c r="AG1" s="3"/>
      <c r="AH1" s="3"/>
    </row>
    <row r="2" spans="1:34" ht="18" customHeight="1">
      <c r="A2" s="4" t="s">
        <v>716</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row>
    <row r="3" spans="1:34"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717</v>
      </c>
      <c r="T3" s="48"/>
      <c r="U3" s="48"/>
      <c r="V3" s="48"/>
      <c r="W3" s="48"/>
      <c r="X3" s="48"/>
      <c r="Y3" s="48"/>
      <c r="Z3" s="48"/>
      <c r="AA3" s="48"/>
      <c r="AB3" s="48"/>
      <c r="AC3" s="48"/>
      <c r="AD3" s="48"/>
      <c r="AE3" s="48"/>
      <c r="AF3" s="48"/>
      <c r="AG3" s="48"/>
      <c r="AH3" s="48"/>
    </row>
    <row r="4" spans="1:34" ht="30" customHeight="1">
      <c r="A4" s="8" t="s">
        <v>545</v>
      </c>
      <c r="B4" s="8" t="s">
        <v>718</v>
      </c>
      <c r="C4" s="9" t="s">
        <v>719</v>
      </c>
      <c r="D4" s="9" t="s">
        <v>403</v>
      </c>
      <c r="E4" s="9" t="s">
        <v>720</v>
      </c>
      <c r="F4" s="9" t="s">
        <v>183</v>
      </c>
      <c r="G4" s="9" t="s">
        <v>721</v>
      </c>
      <c r="H4" s="9" t="s">
        <v>443</v>
      </c>
      <c r="I4" s="9" t="s">
        <v>444</v>
      </c>
      <c r="J4" s="9" t="s">
        <v>446</v>
      </c>
      <c r="K4" s="9" t="s">
        <v>722</v>
      </c>
      <c r="L4" s="9" t="s">
        <v>447</v>
      </c>
      <c r="M4" s="9" t="s">
        <v>723</v>
      </c>
      <c r="N4" s="9" t="s">
        <v>724</v>
      </c>
      <c r="O4" s="9" t="s">
        <v>725</v>
      </c>
      <c r="P4" s="9" t="s">
        <v>726</v>
      </c>
      <c r="Q4" s="9" t="s">
        <v>727</v>
      </c>
      <c r="R4" s="9" t="s">
        <v>728</v>
      </c>
      <c r="S4" s="9" t="s">
        <v>729</v>
      </c>
      <c r="T4" s="9" t="s">
        <v>730</v>
      </c>
      <c r="U4" s="9" t="s">
        <v>731</v>
      </c>
      <c r="V4" s="9" t="s">
        <v>421</v>
      </c>
      <c r="W4" s="9" t="s">
        <v>732</v>
      </c>
      <c r="X4" s="9" t="s">
        <v>733</v>
      </c>
      <c r="Y4" s="9" t="s">
        <v>398</v>
      </c>
      <c r="Z4" s="9" t="s">
        <v>734</v>
      </c>
      <c r="AA4" s="9" t="s">
        <v>735</v>
      </c>
      <c r="AB4" s="9" t="s">
        <v>736</v>
      </c>
      <c r="AC4" s="9" t="s">
        <v>737</v>
      </c>
      <c r="AD4" s="9" t="s">
        <v>738</v>
      </c>
      <c r="AE4" s="9" t="s">
        <v>739</v>
      </c>
      <c r="AF4" s="9" t="s">
        <v>740</v>
      </c>
      <c r="AG4" s="9" t="s">
        <v>741</v>
      </c>
      <c r="AH4" s="9" t="s">
        <v>574</v>
      </c>
    </row>
    <row r="5" spans="1:34">
      <c r="A5" s="43">
        <f>IF(B5="","",PropertyPrefix&amp;TEXT(ROW()-4,"0000"))</f>
        <v>0</v>
      </c>
      <c r="B5" s="15" t="s">
        <v>742</v>
      </c>
      <c r="C5" s="49" t="s">
        <v>743</v>
      </c>
      <c r="D5" s="23">
        <f>IF(C5="","",IFERROR(INDEX(Clients!$B$5:$B$204,MATCH(C5,Clients!$A$5:$A$204,0)),"Not found"))</f>
        <v>0</v>
      </c>
      <c r="E5" s="15" t="s">
        <v>744</v>
      </c>
      <c r="F5" s="44" t="s">
        <v>579</v>
      </c>
      <c r="G5" s="40">
        <v>1450</v>
      </c>
      <c r="H5" s="16">
        <v>3</v>
      </c>
      <c r="I5" s="16">
        <v>2</v>
      </c>
      <c r="J5" s="16">
        <v>4</v>
      </c>
      <c r="K5" s="15" t="s">
        <v>745</v>
      </c>
      <c r="L5" s="15" t="s">
        <v>448</v>
      </c>
      <c r="M5" s="15" t="s">
        <v>746</v>
      </c>
      <c r="N5" s="15" t="s">
        <v>747</v>
      </c>
      <c r="O5" s="45" t="s">
        <v>748</v>
      </c>
      <c r="P5" s="44" t="s">
        <v>749</v>
      </c>
      <c r="Q5" s="15" t="s">
        <v>750</v>
      </c>
      <c r="R5" s="17">
        <v>4.2</v>
      </c>
      <c r="S5" s="15" t="s">
        <v>437</v>
      </c>
      <c r="T5" s="47" t="s">
        <v>457</v>
      </c>
      <c r="U5" s="47" t="s">
        <v>454</v>
      </c>
      <c r="V5" s="44" t="s">
        <v>751</v>
      </c>
      <c r="W5" s="34">
        <f>IF(B5="","",MAX(IF(H5="",0,H5)*0.45+IF(I5="",0,I5)*0.6+IF(J5="",0,J5)*0.3,IF(G5="",0,G5)/650))</f>
        <v>0</v>
      </c>
      <c r="X5" s="34">
        <f>IF(B5="","",ROUND(MAX(1,W5)*IFERROR(INDEX(ConditionFactors,MATCH(L5,ConditionNames,0)),1),2))</f>
        <v>0</v>
      </c>
      <c r="Y5" s="34">
        <f>IF(B5="","",ROUND(X5/MAX(1,CleanersPerJob),2))</f>
        <v>0</v>
      </c>
      <c r="Z5" s="21">
        <f>IF(B5="","",MAX(MinimumCharge,ROUND(X5*IF(IFERROR(INDEX(Clients!$O$5:$O$204,MATCH(C5,Clients!$A$5:$A$204,0)),0)&gt;0,INDEX(Clients!$O$5:$O$204,MATCH(C5,Clients!$A$5:$A$204,0)),HourlyRate)+IF(M5="",0,IF(M5="None",0,PetSurcharge)),2)))</f>
        <v>0</v>
      </c>
      <c r="AA5" s="21">
        <f>IF(B5="","",ROUND(X5*CostPerHour,2))</f>
        <v>0</v>
      </c>
      <c r="AB5" s="38">
        <f>IF(B5="","",IF(Z5=0,"",(Z5-AA5-X5*SuppliesPerHour)/Z5))</f>
        <v>0</v>
      </c>
      <c r="AC5" s="31">
        <f>IF(A5="","",COUNTIFS(Jobs!$J$5:$J$604,A5))</f>
        <v>0</v>
      </c>
      <c r="AD5" s="18">
        <f>IF(A5="","",IF(SUMPRODUCT(MAX((Jobs!$J$5:$J$604=A5)*((Jobs!$P$5:$P$604="Completed")+(Jobs!$P$5:$P$604="Invoiced"))*Jobs!$B$5:$B$604))=0,"",SUMPRODUCT(MAX((Jobs!$J$5:$J$604=A5)*((Jobs!$P$5:$P$604="Completed")+(Jobs!$P$5:$P$604="Invoiced"))*Jobs!$B$5:$B$604))))</f>
        <v>0</v>
      </c>
      <c r="AE5" s="34">
        <f>IF(A5="","",IFERROR(AVERAGEIFS(Jobs!$AK$5:$AK$604,Jobs!$J$5:$J$604,A5,Jobs!$AK$5:$AK$604,"&gt;0"),""))</f>
        <v>0</v>
      </c>
      <c r="AF5" s="34">
        <f>IF(OR(AE5="",X5=""),"",AE5-X5)</f>
        <v>0</v>
      </c>
      <c r="AG5" s="21">
        <f>IF(A5="","",SUMIFS(Jobs!$AJ$5:$AJ$604,Jobs!$J$5:$J$604,A5,Jobs!$P$5:$P$604,"Invoiced")+SUMIFS(Jobs!$AJ$5:$AJ$604,Jobs!$J$5:$J$604,A5,Jobs!$P$5:$P$604,"Completed"))</f>
        <v>0</v>
      </c>
      <c r="AH5" s="39">
        <f>IF(B5="","",IF(C5="","Add - no client linked",IF(IFERROR(INDEX(Clients!$B$5:$B$204,MATCH(C5,Clients!$A$5:$A$204,0)),"")="","Check - client ID not found",IF(AND(G5="",H5=""),"Add - size needed to price it",IF(AND(AF5&lt;&gt;"",AF5&gt;0.5),"Check - runs over the estimate",IF(N5="","Add - how do we get in?","OK"))))))</f>
        <v>0</v>
      </c>
    </row>
    <row r="6" spans="1:34">
      <c r="A6" s="43">
        <f>IF(B6="","",PropertyPrefix&amp;TEXT(ROW()-4,"0000"))</f>
        <v>0</v>
      </c>
      <c r="B6" s="15" t="s">
        <v>752</v>
      </c>
      <c r="C6" s="49" t="s">
        <v>753</v>
      </c>
      <c r="D6" s="23">
        <f>IF(C6="","",IFERROR(INDEX(Clients!$B$5:$B$204,MATCH(C6,Clients!$A$5:$A$204,0)),"Not found"))</f>
        <v>0</v>
      </c>
      <c r="E6" s="15" t="s">
        <v>754</v>
      </c>
      <c r="F6" s="44" t="s">
        <v>591</v>
      </c>
      <c r="G6" s="40">
        <v>1700</v>
      </c>
      <c r="H6" s="16">
        <v>4</v>
      </c>
      <c r="I6" s="16">
        <v>2</v>
      </c>
      <c r="J6" s="16">
        <v>5</v>
      </c>
      <c r="K6" s="15" t="s">
        <v>755</v>
      </c>
      <c r="L6" s="15" t="s">
        <v>756</v>
      </c>
      <c r="M6" s="15" t="s">
        <v>757</v>
      </c>
      <c r="N6" s="15" t="s">
        <v>758</v>
      </c>
      <c r="O6" s="45" t="s">
        <v>759</v>
      </c>
      <c r="P6" s="44" t="s">
        <v>760</v>
      </c>
      <c r="Q6" s="15" t="s">
        <v>761</v>
      </c>
      <c r="R6" s="17">
        <v>6</v>
      </c>
      <c r="S6" s="15" t="s">
        <v>437</v>
      </c>
      <c r="T6" s="47" t="s">
        <v>457</v>
      </c>
      <c r="U6" s="47" t="s">
        <v>454</v>
      </c>
      <c r="V6" s="44" t="s">
        <v>762</v>
      </c>
      <c r="W6" s="34">
        <f>IF(B6="","",MAX(IF(H6="",0,H6)*0.45+IF(I6="",0,I6)*0.6+IF(J6="",0,J6)*0.3,IF(G6="",0,G6)/650))</f>
        <v>0</v>
      </c>
      <c r="X6" s="34">
        <f>IF(B6="","",ROUND(MAX(1,W6)*IFERROR(INDEX(ConditionFactors,MATCH(L6,ConditionNames,0)),1),2))</f>
        <v>0</v>
      </c>
      <c r="Y6" s="34">
        <f>IF(B6="","",ROUND(X6/MAX(1,CleanersPerJob),2))</f>
        <v>0</v>
      </c>
      <c r="Z6" s="21">
        <f>IF(B6="","",MAX(MinimumCharge,ROUND(X6*IF(IFERROR(INDEX(Clients!$O$5:$O$204,MATCH(C6,Clients!$A$5:$A$204,0)),0)&gt;0,INDEX(Clients!$O$5:$O$204,MATCH(C6,Clients!$A$5:$A$204,0)),HourlyRate)+IF(M6="",0,IF(M6="None",0,PetSurcharge)),2)))</f>
        <v>0</v>
      </c>
      <c r="AA6" s="21">
        <f>IF(B6="","",ROUND(X6*CostPerHour,2))</f>
        <v>0</v>
      </c>
      <c r="AB6" s="38">
        <f>IF(B6="","",IF(Z6=0,"",(Z6-AA6-X6*SuppliesPerHour)/Z6))</f>
        <v>0</v>
      </c>
      <c r="AC6" s="31">
        <f>IF(A6="","",COUNTIFS(Jobs!$J$5:$J$604,A6))</f>
        <v>0</v>
      </c>
      <c r="AD6" s="18">
        <f>IF(A6="","",IF(SUMPRODUCT(MAX((Jobs!$J$5:$J$604=A6)*((Jobs!$P$5:$P$604="Completed")+(Jobs!$P$5:$P$604="Invoiced"))*Jobs!$B$5:$B$604))=0,"",SUMPRODUCT(MAX((Jobs!$J$5:$J$604=A6)*((Jobs!$P$5:$P$604="Completed")+(Jobs!$P$5:$P$604="Invoiced"))*Jobs!$B$5:$B$604))))</f>
        <v>0</v>
      </c>
      <c r="AE6" s="34">
        <f>IF(A6="","",IFERROR(AVERAGEIFS(Jobs!$AK$5:$AK$604,Jobs!$J$5:$J$604,A6,Jobs!$AK$5:$AK$604,"&gt;0"),""))</f>
        <v>0</v>
      </c>
      <c r="AF6" s="34">
        <f>IF(OR(AE6="",X6=""),"",AE6-X6)</f>
        <v>0</v>
      </c>
      <c r="AG6" s="21">
        <f>IF(A6="","",SUMIFS(Jobs!$AJ$5:$AJ$604,Jobs!$J$5:$J$604,A6,Jobs!$P$5:$P$604,"Invoiced")+SUMIFS(Jobs!$AJ$5:$AJ$604,Jobs!$J$5:$J$604,A6,Jobs!$P$5:$P$604,"Completed"))</f>
        <v>0</v>
      </c>
      <c r="AH6" s="39">
        <f>IF(B6="","",IF(C6="","Add - no client linked",IF(IFERROR(INDEX(Clients!$B$5:$B$204,MATCH(C6,Clients!$A$5:$A$204,0)),"")="","Check - client ID not found",IF(AND(G6="",H6=""),"Add - size needed to price it",IF(AND(AF6&lt;&gt;"",AF6&gt;0.5),"Check - runs over the estimate",IF(N6="","Add - how do we get in?","OK"))))))</f>
        <v>0</v>
      </c>
    </row>
    <row r="7" spans="1:34">
      <c r="A7" s="43">
        <f>IF(B7="","",PropertyPrefix&amp;TEXT(ROW()-4,"0000"))</f>
        <v>0</v>
      </c>
      <c r="B7" s="15" t="s">
        <v>763</v>
      </c>
      <c r="C7" s="49" t="s">
        <v>764</v>
      </c>
      <c r="D7" s="23">
        <f>IF(C7="","",IFERROR(INDEX(Clients!$B$5:$B$204,MATCH(C7,Clients!$A$5:$A$204,0)),"Not found"))</f>
        <v>0</v>
      </c>
      <c r="E7" s="15" t="s">
        <v>765</v>
      </c>
      <c r="F7" s="44" t="s">
        <v>603</v>
      </c>
      <c r="G7" s="40">
        <v>2200</v>
      </c>
      <c r="H7" s="16">
        <v>0</v>
      </c>
      <c r="I7" s="16">
        <v>3</v>
      </c>
      <c r="J7" s="16">
        <v>8</v>
      </c>
      <c r="K7" s="15" t="s">
        <v>766</v>
      </c>
      <c r="L7" s="15" t="s">
        <v>448</v>
      </c>
      <c r="M7" s="15" t="s">
        <v>757</v>
      </c>
      <c r="N7" s="15" t="s">
        <v>767</v>
      </c>
      <c r="O7" s="45" t="s">
        <v>759</v>
      </c>
      <c r="P7" s="44" t="s">
        <v>768</v>
      </c>
      <c r="Q7" s="15" t="s">
        <v>769</v>
      </c>
      <c r="R7" s="17">
        <v>3.1</v>
      </c>
      <c r="S7" s="15" t="s">
        <v>770</v>
      </c>
      <c r="T7" s="47" t="s">
        <v>454</v>
      </c>
      <c r="U7" s="47" t="s">
        <v>454</v>
      </c>
      <c r="V7" s="44" t="s">
        <v>771</v>
      </c>
      <c r="W7" s="34">
        <f>IF(B7="","",MAX(IF(H7="",0,H7)*0.45+IF(I7="",0,I7)*0.6+IF(J7="",0,J7)*0.3,IF(G7="",0,G7)/650))</f>
        <v>0</v>
      </c>
      <c r="X7" s="34">
        <f>IF(B7="","",ROUND(MAX(1,W7)*IFERROR(INDEX(ConditionFactors,MATCH(L7,ConditionNames,0)),1),2))</f>
        <v>0</v>
      </c>
      <c r="Y7" s="34">
        <f>IF(B7="","",ROUND(X7/MAX(1,CleanersPerJob),2))</f>
        <v>0</v>
      </c>
      <c r="Z7" s="21">
        <f>IF(B7="","",MAX(MinimumCharge,ROUND(X7*IF(IFERROR(INDEX(Clients!$O$5:$O$204,MATCH(C7,Clients!$A$5:$A$204,0)),0)&gt;0,INDEX(Clients!$O$5:$O$204,MATCH(C7,Clients!$A$5:$A$204,0)),HourlyRate)+IF(M7="",0,IF(M7="None",0,PetSurcharge)),2)))</f>
        <v>0</v>
      </c>
      <c r="AA7" s="21">
        <f>IF(B7="","",ROUND(X7*CostPerHour,2))</f>
        <v>0</v>
      </c>
      <c r="AB7" s="38">
        <f>IF(B7="","",IF(Z7=0,"",(Z7-AA7-X7*SuppliesPerHour)/Z7))</f>
        <v>0</v>
      </c>
      <c r="AC7" s="31">
        <f>IF(A7="","",COUNTIFS(Jobs!$J$5:$J$604,A7))</f>
        <v>0</v>
      </c>
      <c r="AD7" s="18">
        <f>IF(A7="","",IF(SUMPRODUCT(MAX((Jobs!$J$5:$J$604=A7)*((Jobs!$P$5:$P$604="Completed")+(Jobs!$P$5:$P$604="Invoiced"))*Jobs!$B$5:$B$604))=0,"",SUMPRODUCT(MAX((Jobs!$J$5:$J$604=A7)*((Jobs!$P$5:$P$604="Completed")+(Jobs!$P$5:$P$604="Invoiced"))*Jobs!$B$5:$B$604))))</f>
        <v>0</v>
      </c>
      <c r="AE7" s="34">
        <f>IF(A7="","",IFERROR(AVERAGEIFS(Jobs!$AK$5:$AK$604,Jobs!$J$5:$J$604,A7,Jobs!$AK$5:$AK$604,"&gt;0"),""))</f>
        <v>0</v>
      </c>
      <c r="AF7" s="34">
        <f>IF(OR(AE7="",X7=""),"",AE7-X7)</f>
        <v>0</v>
      </c>
      <c r="AG7" s="21">
        <f>IF(A7="","",SUMIFS(Jobs!$AJ$5:$AJ$604,Jobs!$J$5:$J$604,A7,Jobs!$P$5:$P$604,"Invoiced")+SUMIFS(Jobs!$AJ$5:$AJ$604,Jobs!$J$5:$J$604,A7,Jobs!$P$5:$P$604,"Completed"))</f>
        <v>0</v>
      </c>
      <c r="AH7" s="39">
        <f>IF(B7="","",IF(C7="","Add - no client linked",IF(IFERROR(INDEX(Clients!$B$5:$B$204,MATCH(C7,Clients!$A$5:$A$204,0)),"")="","Check - client ID not found",IF(AND(G7="",H7=""),"Add - size needed to price it",IF(AND(AF7&lt;&gt;"",AF7&gt;0.5),"Check - runs over the estimate",IF(N7="","Add - how do we get in?","OK"))))))</f>
        <v>0</v>
      </c>
    </row>
    <row r="8" spans="1:34">
      <c r="A8" s="43">
        <f>IF(B8="","",PropertyPrefix&amp;TEXT(ROW()-4,"0000"))</f>
        <v>0</v>
      </c>
      <c r="B8" s="15" t="s">
        <v>772</v>
      </c>
      <c r="C8" s="49" t="s">
        <v>773</v>
      </c>
      <c r="D8" s="23">
        <f>IF(C8="","",IFERROR(INDEX(Clients!$B$5:$B$204,MATCH(C8,Clients!$A$5:$A$204,0)),"Not found"))</f>
        <v>0</v>
      </c>
      <c r="E8" s="15" t="s">
        <v>774</v>
      </c>
      <c r="F8" s="44" t="s">
        <v>616</v>
      </c>
      <c r="G8" s="40">
        <v>3100</v>
      </c>
      <c r="H8" s="16">
        <v>0</v>
      </c>
      <c r="I8" s="16">
        <v>2</v>
      </c>
      <c r="J8" s="16">
        <v>9</v>
      </c>
      <c r="K8" s="15" t="s">
        <v>775</v>
      </c>
      <c r="L8" s="15" t="s">
        <v>776</v>
      </c>
      <c r="M8" s="15" t="s">
        <v>757</v>
      </c>
      <c r="N8" s="15" t="s">
        <v>777</v>
      </c>
      <c r="O8" s="45" t="s">
        <v>759</v>
      </c>
      <c r="P8" s="44" t="s">
        <v>778</v>
      </c>
      <c r="Q8" s="15" t="s">
        <v>779</v>
      </c>
      <c r="R8" s="17">
        <v>2.4</v>
      </c>
      <c r="S8" s="15" t="s">
        <v>770</v>
      </c>
      <c r="T8" s="47" t="s">
        <v>454</v>
      </c>
      <c r="U8" s="47" t="s">
        <v>454</v>
      </c>
      <c r="V8" s="44" t="s">
        <v>780</v>
      </c>
      <c r="W8" s="34">
        <f>IF(B8="","",MAX(IF(H8="",0,H8)*0.45+IF(I8="",0,I8)*0.6+IF(J8="",0,J8)*0.3,IF(G8="",0,G8)/650))</f>
        <v>0</v>
      </c>
      <c r="X8" s="34">
        <f>IF(B8="","",ROUND(MAX(1,W8)*IFERROR(INDEX(ConditionFactors,MATCH(L8,ConditionNames,0)),1),2))</f>
        <v>0</v>
      </c>
      <c r="Y8" s="34">
        <f>IF(B8="","",ROUND(X8/MAX(1,CleanersPerJob),2))</f>
        <v>0</v>
      </c>
      <c r="Z8" s="21">
        <f>IF(B8="","",MAX(MinimumCharge,ROUND(X8*IF(IFERROR(INDEX(Clients!$O$5:$O$204,MATCH(C8,Clients!$A$5:$A$204,0)),0)&gt;0,INDEX(Clients!$O$5:$O$204,MATCH(C8,Clients!$A$5:$A$204,0)),HourlyRate)+IF(M8="",0,IF(M8="None",0,PetSurcharge)),2)))</f>
        <v>0</v>
      </c>
      <c r="AA8" s="21">
        <f>IF(B8="","",ROUND(X8*CostPerHour,2))</f>
        <v>0</v>
      </c>
      <c r="AB8" s="38">
        <f>IF(B8="","",IF(Z8=0,"",(Z8-AA8-X8*SuppliesPerHour)/Z8))</f>
        <v>0</v>
      </c>
      <c r="AC8" s="31">
        <f>IF(A8="","",COUNTIFS(Jobs!$J$5:$J$604,A8))</f>
        <v>0</v>
      </c>
      <c r="AD8" s="18">
        <f>IF(A8="","",IF(SUMPRODUCT(MAX((Jobs!$J$5:$J$604=A8)*((Jobs!$P$5:$P$604="Completed")+(Jobs!$P$5:$P$604="Invoiced"))*Jobs!$B$5:$B$604))=0,"",SUMPRODUCT(MAX((Jobs!$J$5:$J$604=A8)*((Jobs!$P$5:$P$604="Completed")+(Jobs!$P$5:$P$604="Invoiced"))*Jobs!$B$5:$B$604))))</f>
        <v>0</v>
      </c>
      <c r="AE8" s="34">
        <f>IF(A8="","",IFERROR(AVERAGEIFS(Jobs!$AK$5:$AK$604,Jobs!$J$5:$J$604,A8,Jobs!$AK$5:$AK$604,"&gt;0"),""))</f>
        <v>0</v>
      </c>
      <c r="AF8" s="34">
        <f>IF(OR(AE8="",X8=""),"",AE8-X8)</f>
        <v>0</v>
      </c>
      <c r="AG8" s="21">
        <f>IF(A8="","",SUMIFS(Jobs!$AJ$5:$AJ$604,Jobs!$J$5:$J$604,A8,Jobs!$P$5:$P$604,"Invoiced")+SUMIFS(Jobs!$AJ$5:$AJ$604,Jobs!$J$5:$J$604,A8,Jobs!$P$5:$P$604,"Completed"))</f>
        <v>0</v>
      </c>
      <c r="AH8" s="39">
        <f>IF(B8="","",IF(C8="","Add - no client linked",IF(IFERROR(INDEX(Clients!$B$5:$B$204,MATCH(C8,Clients!$A$5:$A$204,0)),"")="","Check - client ID not found",IF(AND(G8="",H8=""),"Add - size needed to price it",IF(AND(AF8&lt;&gt;"",AF8&gt;0.5),"Check - runs over the estimate",IF(N8="","Add - how do we get in?","OK"))))))</f>
        <v>0</v>
      </c>
    </row>
    <row r="9" spans="1:34">
      <c r="A9" s="43">
        <f>IF(B9="","",PropertyPrefix&amp;TEXT(ROW()-4,"0000"))</f>
        <v>0</v>
      </c>
      <c r="B9" s="15" t="s">
        <v>781</v>
      </c>
      <c r="C9" s="49" t="s">
        <v>782</v>
      </c>
      <c r="D9" s="23">
        <f>IF(C9="","",IFERROR(INDEX(Clients!$B$5:$B$204,MATCH(C9,Clients!$A$5:$A$204,0)),"Not found"))</f>
        <v>0</v>
      </c>
      <c r="E9" s="15" t="s">
        <v>783</v>
      </c>
      <c r="F9" s="44" t="s">
        <v>784</v>
      </c>
      <c r="G9" s="40">
        <v>780</v>
      </c>
      <c r="H9" s="16">
        <v>2</v>
      </c>
      <c r="I9" s="16">
        <v>1</v>
      </c>
      <c r="J9" s="16">
        <v>3</v>
      </c>
      <c r="K9" s="15" t="s">
        <v>785</v>
      </c>
      <c r="L9" s="15" t="s">
        <v>786</v>
      </c>
      <c r="M9" s="15" t="s">
        <v>757</v>
      </c>
      <c r="N9" s="15" t="s">
        <v>787</v>
      </c>
      <c r="O9" s="45" t="s">
        <v>759</v>
      </c>
      <c r="P9" s="44" t="s">
        <v>788</v>
      </c>
      <c r="Q9" s="15" t="s">
        <v>789</v>
      </c>
      <c r="R9" s="17">
        <v>7.5</v>
      </c>
      <c r="S9" s="15" t="s">
        <v>790</v>
      </c>
      <c r="T9" s="47" t="s">
        <v>457</v>
      </c>
      <c r="U9" s="47" t="s">
        <v>454</v>
      </c>
      <c r="V9" s="44" t="s">
        <v>791</v>
      </c>
      <c r="W9" s="34">
        <f>IF(B9="","",MAX(IF(H9="",0,H9)*0.45+IF(I9="",0,I9)*0.6+IF(J9="",0,J9)*0.3,IF(G9="",0,G9)/650))</f>
        <v>0</v>
      </c>
      <c r="X9" s="34">
        <f>IF(B9="","",ROUND(MAX(1,W9)*IFERROR(INDEX(ConditionFactors,MATCH(L9,ConditionNames,0)),1),2))</f>
        <v>0</v>
      </c>
      <c r="Y9" s="34">
        <f>IF(B9="","",ROUND(X9/MAX(1,CleanersPerJob),2))</f>
        <v>0</v>
      </c>
      <c r="Z9" s="21">
        <f>IF(B9="","",MAX(MinimumCharge,ROUND(X9*IF(IFERROR(INDEX(Clients!$O$5:$O$204,MATCH(C9,Clients!$A$5:$A$204,0)),0)&gt;0,INDEX(Clients!$O$5:$O$204,MATCH(C9,Clients!$A$5:$A$204,0)),HourlyRate)+IF(M9="",0,IF(M9="None",0,PetSurcharge)),2)))</f>
        <v>0</v>
      </c>
      <c r="AA9" s="21">
        <f>IF(B9="","",ROUND(X9*CostPerHour,2))</f>
        <v>0</v>
      </c>
      <c r="AB9" s="38">
        <f>IF(B9="","",IF(Z9=0,"",(Z9-AA9-X9*SuppliesPerHour)/Z9))</f>
        <v>0</v>
      </c>
      <c r="AC9" s="31">
        <f>IF(A9="","",COUNTIFS(Jobs!$J$5:$J$604,A9))</f>
        <v>0</v>
      </c>
      <c r="AD9" s="18">
        <f>IF(A9="","",IF(SUMPRODUCT(MAX((Jobs!$J$5:$J$604=A9)*((Jobs!$P$5:$P$604="Completed")+(Jobs!$P$5:$P$604="Invoiced"))*Jobs!$B$5:$B$604))=0,"",SUMPRODUCT(MAX((Jobs!$J$5:$J$604=A9)*((Jobs!$P$5:$P$604="Completed")+(Jobs!$P$5:$P$604="Invoiced"))*Jobs!$B$5:$B$604))))</f>
        <v>0</v>
      </c>
      <c r="AE9" s="34">
        <f>IF(A9="","",IFERROR(AVERAGEIFS(Jobs!$AK$5:$AK$604,Jobs!$J$5:$J$604,A9,Jobs!$AK$5:$AK$604,"&gt;0"),""))</f>
        <v>0</v>
      </c>
      <c r="AF9" s="34">
        <f>IF(OR(AE9="",X9=""),"",AE9-X9)</f>
        <v>0</v>
      </c>
      <c r="AG9" s="21">
        <f>IF(A9="","",SUMIFS(Jobs!$AJ$5:$AJ$604,Jobs!$J$5:$J$604,A9,Jobs!$P$5:$P$604,"Invoiced")+SUMIFS(Jobs!$AJ$5:$AJ$604,Jobs!$J$5:$J$604,A9,Jobs!$P$5:$P$604,"Completed"))</f>
        <v>0</v>
      </c>
      <c r="AH9" s="39">
        <f>IF(B9="","",IF(C9="","Add - no client linked",IF(IFERROR(INDEX(Clients!$B$5:$B$204,MATCH(C9,Clients!$A$5:$A$204,0)),"")="","Check - client ID not found",IF(AND(G9="",H9=""),"Add - size needed to price it",IF(AND(AF9&lt;&gt;"",AF9&gt;0.5),"Check - runs over the estimate",IF(N9="","Add - how do we get in?","OK"))))))</f>
        <v>0</v>
      </c>
    </row>
    <row r="10" spans="1:34">
      <c r="A10" s="43">
        <f>IF(B10="","",PropertyPrefix&amp;TEXT(ROW()-4,"0000"))</f>
        <v>0</v>
      </c>
      <c r="B10" s="15" t="s">
        <v>792</v>
      </c>
      <c r="C10" s="49" t="s">
        <v>793</v>
      </c>
      <c r="D10" s="23">
        <f>IF(C10="","",IFERROR(INDEX(Clients!$B$5:$B$204,MATCH(C10,Clients!$A$5:$A$204,0)),"Not found"))</f>
        <v>0</v>
      </c>
      <c r="E10" s="15" t="s">
        <v>794</v>
      </c>
      <c r="F10" s="44" t="s">
        <v>635</v>
      </c>
      <c r="G10" s="40">
        <v>1200</v>
      </c>
      <c r="H10" s="16">
        <v>0</v>
      </c>
      <c r="I10" s="16">
        <v>2</v>
      </c>
      <c r="J10" s="16">
        <v>4</v>
      </c>
      <c r="K10" s="15" t="s">
        <v>795</v>
      </c>
      <c r="L10" s="15" t="s">
        <v>448</v>
      </c>
      <c r="M10" s="15" t="s">
        <v>757</v>
      </c>
      <c r="N10" s="15" t="s">
        <v>747</v>
      </c>
      <c r="O10" s="45" t="s">
        <v>748</v>
      </c>
      <c r="P10" s="44" t="s">
        <v>749</v>
      </c>
      <c r="Q10" s="15" t="s">
        <v>796</v>
      </c>
      <c r="R10" s="17">
        <v>5</v>
      </c>
      <c r="S10" s="15" t="s">
        <v>797</v>
      </c>
      <c r="T10" s="47" t="s">
        <v>454</v>
      </c>
      <c r="U10" s="47" t="s">
        <v>454</v>
      </c>
      <c r="V10" s="44" t="s">
        <v>798</v>
      </c>
      <c r="W10" s="34">
        <f>IF(B10="","",MAX(IF(H10="",0,H10)*0.45+IF(I10="",0,I10)*0.6+IF(J10="",0,J10)*0.3,IF(G10="",0,G10)/650))</f>
        <v>0</v>
      </c>
      <c r="X10" s="34">
        <f>IF(B10="","",ROUND(MAX(1,W10)*IFERROR(INDEX(ConditionFactors,MATCH(L10,ConditionNames,0)),1),2))</f>
        <v>0</v>
      </c>
      <c r="Y10" s="34">
        <f>IF(B10="","",ROUND(X10/MAX(1,CleanersPerJob),2))</f>
        <v>0</v>
      </c>
      <c r="Z10" s="21">
        <f>IF(B10="","",MAX(MinimumCharge,ROUND(X10*IF(IFERROR(INDEX(Clients!$O$5:$O$204,MATCH(C10,Clients!$A$5:$A$204,0)),0)&gt;0,INDEX(Clients!$O$5:$O$204,MATCH(C10,Clients!$A$5:$A$204,0)),HourlyRate)+IF(M10="",0,IF(M10="None",0,PetSurcharge)),2)))</f>
        <v>0</v>
      </c>
      <c r="AA10" s="21">
        <f>IF(B10="","",ROUND(X10*CostPerHour,2))</f>
        <v>0</v>
      </c>
      <c r="AB10" s="38">
        <f>IF(B10="","",IF(Z10=0,"",(Z10-AA10-X10*SuppliesPerHour)/Z10))</f>
        <v>0</v>
      </c>
      <c r="AC10" s="31">
        <f>IF(A10="","",COUNTIFS(Jobs!$J$5:$J$604,A10))</f>
        <v>0</v>
      </c>
      <c r="AD10" s="18">
        <f>IF(A10="","",IF(SUMPRODUCT(MAX((Jobs!$J$5:$J$604=A10)*((Jobs!$P$5:$P$604="Completed")+(Jobs!$P$5:$P$604="Invoiced"))*Jobs!$B$5:$B$604))=0,"",SUMPRODUCT(MAX((Jobs!$J$5:$J$604=A10)*((Jobs!$P$5:$P$604="Completed")+(Jobs!$P$5:$P$604="Invoiced"))*Jobs!$B$5:$B$604))))</f>
        <v>0</v>
      </c>
      <c r="AE10" s="34">
        <f>IF(A10="","",IFERROR(AVERAGEIFS(Jobs!$AK$5:$AK$604,Jobs!$J$5:$J$604,A10,Jobs!$AK$5:$AK$604,"&gt;0"),""))</f>
        <v>0</v>
      </c>
      <c r="AF10" s="34">
        <f>IF(OR(AE10="",X10=""),"",AE10-X10)</f>
        <v>0</v>
      </c>
      <c r="AG10" s="21">
        <f>IF(A10="","",SUMIFS(Jobs!$AJ$5:$AJ$604,Jobs!$J$5:$J$604,A10,Jobs!$P$5:$P$604,"Invoiced")+SUMIFS(Jobs!$AJ$5:$AJ$604,Jobs!$J$5:$J$604,A10,Jobs!$P$5:$P$604,"Completed"))</f>
        <v>0</v>
      </c>
      <c r="AH10" s="39">
        <f>IF(B10="","",IF(C10="","Add - no client linked",IF(IFERROR(INDEX(Clients!$B$5:$B$204,MATCH(C10,Clients!$A$5:$A$204,0)),"")="","Check - client ID not found",IF(AND(G10="",H10=""),"Add - size needed to price it",IF(AND(AF10&lt;&gt;"",AF10&gt;0.5),"Check - runs over the estimate",IF(N10="","Add - how do we get in?","OK"))))))</f>
        <v>0</v>
      </c>
    </row>
    <row r="11" spans="1:34">
      <c r="A11" s="43">
        <f>IF(B11="","",PropertyPrefix&amp;TEXT(ROW()-4,"0000"))</f>
        <v>0</v>
      </c>
      <c r="B11" s="15" t="s">
        <v>799</v>
      </c>
      <c r="C11" s="49" t="s">
        <v>800</v>
      </c>
      <c r="D11" s="23">
        <f>IF(C11="","",IFERROR(INDEX(Clients!$B$5:$B$204,MATCH(C11,Clients!$A$5:$A$204,0)),"Not found"))</f>
        <v>0</v>
      </c>
      <c r="E11" s="15" t="s">
        <v>801</v>
      </c>
      <c r="F11" s="44" t="s">
        <v>647</v>
      </c>
      <c r="G11" s="40">
        <v>2600</v>
      </c>
      <c r="H11" s="16">
        <v>0</v>
      </c>
      <c r="I11" s="16">
        <v>4</v>
      </c>
      <c r="J11" s="16">
        <v>10</v>
      </c>
      <c r="K11" s="15" t="s">
        <v>766</v>
      </c>
      <c r="L11" s="15" t="s">
        <v>448</v>
      </c>
      <c r="M11" s="15" t="s">
        <v>757</v>
      </c>
      <c r="N11" s="15" t="s">
        <v>747</v>
      </c>
      <c r="O11" s="45" t="s">
        <v>802</v>
      </c>
      <c r="P11" s="44" t="s">
        <v>749</v>
      </c>
      <c r="Q11" s="15" t="s">
        <v>750</v>
      </c>
      <c r="R11" s="17">
        <v>4.6</v>
      </c>
      <c r="S11" s="15" t="s">
        <v>803</v>
      </c>
      <c r="T11" s="47" t="s">
        <v>454</v>
      </c>
      <c r="U11" s="47" t="s">
        <v>454</v>
      </c>
      <c r="V11" s="44" t="s">
        <v>804</v>
      </c>
      <c r="W11" s="34">
        <f>IF(B11="","",MAX(IF(H11="",0,H11)*0.45+IF(I11="",0,I11)*0.6+IF(J11="",0,J11)*0.3,IF(G11="",0,G11)/650))</f>
        <v>0</v>
      </c>
      <c r="X11" s="34">
        <f>IF(B11="","",ROUND(MAX(1,W11)*IFERROR(INDEX(ConditionFactors,MATCH(L11,ConditionNames,0)),1),2))</f>
        <v>0</v>
      </c>
      <c r="Y11" s="34">
        <f>IF(B11="","",ROUND(X11/MAX(1,CleanersPerJob),2))</f>
        <v>0</v>
      </c>
      <c r="Z11" s="21">
        <f>IF(B11="","",MAX(MinimumCharge,ROUND(X11*IF(IFERROR(INDEX(Clients!$O$5:$O$204,MATCH(C11,Clients!$A$5:$A$204,0)),0)&gt;0,INDEX(Clients!$O$5:$O$204,MATCH(C11,Clients!$A$5:$A$204,0)),HourlyRate)+IF(M11="",0,IF(M11="None",0,PetSurcharge)),2)))</f>
        <v>0</v>
      </c>
      <c r="AA11" s="21">
        <f>IF(B11="","",ROUND(X11*CostPerHour,2))</f>
        <v>0</v>
      </c>
      <c r="AB11" s="38">
        <f>IF(B11="","",IF(Z11=0,"",(Z11-AA11-X11*SuppliesPerHour)/Z11))</f>
        <v>0</v>
      </c>
      <c r="AC11" s="31">
        <f>IF(A11="","",COUNTIFS(Jobs!$J$5:$J$604,A11))</f>
        <v>0</v>
      </c>
      <c r="AD11" s="18">
        <f>IF(A11="","",IF(SUMPRODUCT(MAX((Jobs!$J$5:$J$604=A11)*((Jobs!$P$5:$P$604="Completed")+(Jobs!$P$5:$P$604="Invoiced"))*Jobs!$B$5:$B$604))=0,"",SUMPRODUCT(MAX((Jobs!$J$5:$J$604=A11)*((Jobs!$P$5:$P$604="Completed")+(Jobs!$P$5:$P$604="Invoiced"))*Jobs!$B$5:$B$604))))</f>
        <v>0</v>
      </c>
      <c r="AE11" s="34">
        <f>IF(A11="","",IFERROR(AVERAGEIFS(Jobs!$AK$5:$AK$604,Jobs!$J$5:$J$604,A11,Jobs!$AK$5:$AK$604,"&gt;0"),""))</f>
        <v>0</v>
      </c>
      <c r="AF11" s="34">
        <f>IF(OR(AE11="",X11=""),"",AE11-X11)</f>
        <v>0</v>
      </c>
      <c r="AG11" s="21">
        <f>IF(A11="","",SUMIFS(Jobs!$AJ$5:$AJ$604,Jobs!$J$5:$J$604,A11,Jobs!$P$5:$P$604,"Invoiced")+SUMIFS(Jobs!$AJ$5:$AJ$604,Jobs!$J$5:$J$604,A11,Jobs!$P$5:$P$604,"Completed"))</f>
        <v>0</v>
      </c>
      <c r="AH11" s="39">
        <f>IF(B11="","",IF(C11="","Add - no client linked",IF(IFERROR(INDEX(Clients!$B$5:$B$204,MATCH(C11,Clients!$A$5:$A$204,0)),"")="","Check - client ID not found",IF(AND(G11="",H11=""),"Add - size needed to price it",IF(AND(AF11&lt;&gt;"",AF11&gt;0.5),"Check - runs over the estimate",IF(N11="","Add - how do we get in?","OK"))))))</f>
        <v>0</v>
      </c>
    </row>
    <row r="12" spans="1:34">
      <c r="A12" s="43">
        <f>IF(B12="","",PropertyPrefix&amp;TEXT(ROW()-4,"0000"))</f>
        <v>0</v>
      </c>
      <c r="B12" s="15" t="s">
        <v>805</v>
      </c>
      <c r="C12" s="49" t="s">
        <v>806</v>
      </c>
      <c r="D12" s="23">
        <f>IF(C12="","",IFERROR(INDEX(Clients!$B$5:$B$204,MATCH(C12,Clients!$A$5:$A$204,0)),"Not found"))</f>
        <v>0</v>
      </c>
      <c r="E12" s="15" t="s">
        <v>744</v>
      </c>
      <c r="F12" s="44" t="s">
        <v>653</v>
      </c>
      <c r="G12" s="40">
        <v>1900</v>
      </c>
      <c r="H12" s="16">
        <v>4</v>
      </c>
      <c r="I12" s="16">
        <v>2</v>
      </c>
      <c r="J12" s="16">
        <v>5</v>
      </c>
      <c r="K12" s="15" t="s">
        <v>807</v>
      </c>
      <c r="L12" s="15" t="s">
        <v>448</v>
      </c>
      <c r="M12" s="15" t="s">
        <v>808</v>
      </c>
      <c r="N12" s="15" t="s">
        <v>809</v>
      </c>
      <c r="O12" s="45" t="s">
        <v>802</v>
      </c>
      <c r="P12" s="44" t="s">
        <v>810</v>
      </c>
      <c r="Q12" s="15" t="s">
        <v>750</v>
      </c>
      <c r="R12" s="17">
        <v>8.2</v>
      </c>
      <c r="S12" s="15" t="s">
        <v>437</v>
      </c>
      <c r="T12" s="47" t="s">
        <v>457</v>
      </c>
      <c r="U12" s="47" t="s">
        <v>454</v>
      </c>
      <c r="V12" s="44" t="s">
        <v>811</v>
      </c>
      <c r="W12" s="34">
        <f>IF(B12="","",MAX(IF(H12="",0,H12)*0.45+IF(I12="",0,I12)*0.6+IF(J12="",0,J12)*0.3,IF(G12="",0,G12)/650))</f>
        <v>0</v>
      </c>
      <c r="X12" s="34">
        <f>IF(B12="","",ROUND(MAX(1,W12)*IFERROR(INDEX(ConditionFactors,MATCH(L12,ConditionNames,0)),1),2))</f>
        <v>0</v>
      </c>
      <c r="Y12" s="34">
        <f>IF(B12="","",ROUND(X12/MAX(1,CleanersPerJob),2))</f>
        <v>0</v>
      </c>
      <c r="Z12" s="21">
        <f>IF(B12="","",MAX(MinimumCharge,ROUND(X12*IF(IFERROR(INDEX(Clients!$O$5:$O$204,MATCH(C12,Clients!$A$5:$A$204,0)),0)&gt;0,INDEX(Clients!$O$5:$O$204,MATCH(C12,Clients!$A$5:$A$204,0)),HourlyRate)+IF(M12="",0,IF(M12="None",0,PetSurcharge)),2)))</f>
        <v>0</v>
      </c>
      <c r="AA12" s="21">
        <f>IF(B12="","",ROUND(X12*CostPerHour,2))</f>
        <v>0</v>
      </c>
      <c r="AB12" s="38">
        <f>IF(B12="","",IF(Z12=0,"",(Z12-AA12-X12*SuppliesPerHour)/Z12))</f>
        <v>0</v>
      </c>
      <c r="AC12" s="31">
        <f>IF(A12="","",COUNTIFS(Jobs!$J$5:$J$604,A12))</f>
        <v>0</v>
      </c>
      <c r="AD12" s="18">
        <f>IF(A12="","",IF(SUMPRODUCT(MAX((Jobs!$J$5:$J$604=A12)*((Jobs!$P$5:$P$604="Completed")+(Jobs!$P$5:$P$604="Invoiced"))*Jobs!$B$5:$B$604))=0,"",SUMPRODUCT(MAX((Jobs!$J$5:$J$604=A12)*((Jobs!$P$5:$P$604="Completed")+(Jobs!$P$5:$P$604="Invoiced"))*Jobs!$B$5:$B$604))))</f>
        <v>0</v>
      </c>
      <c r="AE12" s="34">
        <f>IF(A12="","",IFERROR(AVERAGEIFS(Jobs!$AK$5:$AK$604,Jobs!$J$5:$J$604,A12,Jobs!$AK$5:$AK$604,"&gt;0"),""))</f>
        <v>0</v>
      </c>
      <c r="AF12" s="34">
        <f>IF(OR(AE12="",X12=""),"",AE12-X12)</f>
        <v>0</v>
      </c>
      <c r="AG12" s="21">
        <f>IF(A12="","",SUMIFS(Jobs!$AJ$5:$AJ$604,Jobs!$J$5:$J$604,A12,Jobs!$P$5:$P$604,"Invoiced")+SUMIFS(Jobs!$AJ$5:$AJ$604,Jobs!$J$5:$J$604,A12,Jobs!$P$5:$P$604,"Completed"))</f>
        <v>0</v>
      </c>
      <c r="AH12" s="39">
        <f>IF(B12="","",IF(C12="","Add - no client linked",IF(IFERROR(INDEX(Clients!$B$5:$B$204,MATCH(C12,Clients!$A$5:$A$204,0)),"")="","Check - client ID not found",IF(AND(G12="",H12=""),"Add - size needed to price it",IF(AND(AF12&lt;&gt;"",AF12&gt;0.5),"Check - runs over the estimate",IF(N12="","Add - how do we get in?","OK"))))))</f>
        <v>0</v>
      </c>
    </row>
    <row r="13" spans="1:34">
      <c r="A13" s="43">
        <f>IF(B13="","",PropertyPrefix&amp;TEXT(ROW()-4,"0000"))</f>
        <v>0</v>
      </c>
      <c r="B13" s="15" t="s">
        <v>812</v>
      </c>
      <c r="C13" s="49" t="s">
        <v>813</v>
      </c>
      <c r="D13" s="23">
        <f>IF(C13="","",IFERROR(INDEX(Clients!$B$5:$B$204,MATCH(C13,Clients!$A$5:$A$204,0)),"Not found"))</f>
        <v>0</v>
      </c>
      <c r="E13" s="15" t="s">
        <v>814</v>
      </c>
      <c r="F13" s="44" t="s">
        <v>662</v>
      </c>
      <c r="G13" s="40">
        <v>2400</v>
      </c>
      <c r="H13" s="16">
        <v>0</v>
      </c>
      <c r="I13" s="16">
        <v>2</v>
      </c>
      <c r="J13" s="16">
        <v>5</v>
      </c>
      <c r="K13" s="15" t="s">
        <v>815</v>
      </c>
      <c r="L13" s="15" t="s">
        <v>448</v>
      </c>
      <c r="M13" s="15" t="s">
        <v>757</v>
      </c>
      <c r="N13" s="15" t="s">
        <v>777</v>
      </c>
      <c r="O13" s="45" t="s">
        <v>759</v>
      </c>
      <c r="P13" s="44" t="s">
        <v>778</v>
      </c>
      <c r="Q13" s="15" t="s">
        <v>779</v>
      </c>
      <c r="R13" s="17">
        <v>3.8</v>
      </c>
      <c r="S13" s="15" t="s">
        <v>770</v>
      </c>
      <c r="T13" s="47" t="s">
        <v>454</v>
      </c>
      <c r="U13" s="47" t="s">
        <v>454</v>
      </c>
      <c r="V13" s="44" t="s">
        <v>816</v>
      </c>
      <c r="W13" s="34">
        <f>IF(B13="","",MAX(IF(H13="",0,H13)*0.45+IF(I13="",0,I13)*0.6+IF(J13="",0,J13)*0.3,IF(G13="",0,G13)/650))</f>
        <v>0</v>
      </c>
      <c r="X13" s="34">
        <f>IF(B13="","",ROUND(MAX(1,W13)*IFERROR(INDEX(ConditionFactors,MATCH(L13,ConditionNames,0)),1),2))</f>
        <v>0</v>
      </c>
      <c r="Y13" s="34">
        <f>IF(B13="","",ROUND(X13/MAX(1,CleanersPerJob),2))</f>
        <v>0</v>
      </c>
      <c r="Z13" s="21">
        <f>IF(B13="","",MAX(MinimumCharge,ROUND(X13*IF(IFERROR(INDEX(Clients!$O$5:$O$204,MATCH(C13,Clients!$A$5:$A$204,0)),0)&gt;0,INDEX(Clients!$O$5:$O$204,MATCH(C13,Clients!$A$5:$A$204,0)),HourlyRate)+IF(M13="",0,IF(M13="None",0,PetSurcharge)),2)))</f>
        <v>0</v>
      </c>
      <c r="AA13" s="21">
        <f>IF(B13="","",ROUND(X13*CostPerHour,2))</f>
        <v>0</v>
      </c>
      <c r="AB13" s="38">
        <f>IF(B13="","",IF(Z13=0,"",(Z13-AA13-X13*SuppliesPerHour)/Z13))</f>
        <v>0</v>
      </c>
      <c r="AC13" s="31">
        <f>IF(A13="","",COUNTIFS(Jobs!$J$5:$J$604,A13))</f>
        <v>0</v>
      </c>
      <c r="AD13" s="18">
        <f>IF(A13="","",IF(SUMPRODUCT(MAX((Jobs!$J$5:$J$604=A13)*((Jobs!$P$5:$P$604="Completed")+(Jobs!$P$5:$P$604="Invoiced"))*Jobs!$B$5:$B$604))=0,"",SUMPRODUCT(MAX((Jobs!$J$5:$J$604=A13)*((Jobs!$P$5:$P$604="Completed")+(Jobs!$P$5:$P$604="Invoiced"))*Jobs!$B$5:$B$604))))</f>
        <v>0</v>
      </c>
      <c r="AE13" s="34">
        <f>IF(A13="","",IFERROR(AVERAGEIFS(Jobs!$AK$5:$AK$604,Jobs!$J$5:$J$604,A13,Jobs!$AK$5:$AK$604,"&gt;0"),""))</f>
        <v>0</v>
      </c>
      <c r="AF13" s="34">
        <f>IF(OR(AE13="",X13=""),"",AE13-X13)</f>
        <v>0</v>
      </c>
      <c r="AG13" s="21">
        <f>IF(A13="","",SUMIFS(Jobs!$AJ$5:$AJ$604,Jobs!$J$5:$J$604,A13,Jobs!$P$5:$P$604,"Invoiced")+SUMIFS(Jobs!$AJ$5:$AJ$604,Jobs!$J$5:$J$604,A13,Jobs!$P$5:$P$604,"Completed"))</f>
        <v>0</v>
      </c>
      <c r="AH13" s="39">
        <f>IF(B13="","",IF(C13="","Add - no client linked",IF(IFERROR(INDEX(Clients!$B$5:$B$204,MATCH(C13,Clients!$A$5:$A$204,0)),"")="","Check - client ID not found",IF(AND(G13="",H13=""),"Add - size needed to price it",IF(AND(AF13&lt;&gt;"",AF13&gt;0.5),"Check - runs over the estimate",IF(N13="","Add - how do we get in?","OK"))))))</f>
        <v>0</v>
      </c>
    </row>
    <row r="14" spans="1:34">
      <c r="A14" s="43">
        <f>IF(B14="","",PropertyPrefix&amp;TEXT(ROW()-4,"0000"))</f>
        <v>0</v>
      </c>
      <c r="B14" s="15" t="s">
        <v>817</v>
      </c>
      <c r="C14" s="49" t="s">
        <v>818</v>
      </c>
      <c r="D14" s="23">
        <f>IF(C14="","",IFERROR(INDEX(Clients!$B$5:$B$204,MATCH(C14,Clients!$A$5:$A$204,0)),"Not found"))</f>
        <v>0</v>
      </c>
      <c r="E14" s="15" t="s">
        <v>819</v>
      </c>
      <c r="F14" s="44" t="s">
        <v>671</v>
      </c>
      <c r="G14" s="40">
        <v>950</v>
      </c>
      <c r="H14" s="16">
        <v>2</v>
      </c>
      <c r="I14" s="16">
        <v>1</v>
      </c>
      <c r="J14" s="16">
        <v>3</v>
      </c>
      <c r="K14" s="15" t="s">
        <v>807</v>
      </c>
      <c r="L14" s="15" t="s">
        <v>448</v>
      </c>
      <c r="M14" s="15" t="s">
        <v>757</v>
      </c>
      <c r="N14" s="15" t="s">
        <v>809</v>
      </c>
      <c r="O14" s="45" t="s">
        <v>802</v>
      </c>
      <c r="P14" s="44" t="s">
        <v>810</v>
      </c>
      <c r="Q14" s="15" t="s">
        <v>820</v>
      </c>
      <c r="R14" s="17">
        <v>2.9</v>
      </c>
      <c r="S14" s="15" t="s">
        <v>821</v>
      </c>
      <c r="T14" s="47" t="s">
        <v>454</v>
      </c>
      <c r="U14" s="47" t="s">
        <v>454</v>
      </c>
      <c r="V14" s="44" t="s">
        <v>822</v>
      </c>
      <c r="W14" s="34">
        <f>IF(B14="","",MAX(IF(H14="",0,H14)*0.45+IF(I14="",0,I14)*0.6+IF(J14="",0,J14)*0.3,IF(G14="",0,G14)/650))</f>
        <v>0</v>
      </c>
      <c r="X14" s="34">
        <f>IF(B14="","",ROUND(MAX(1,W14)*IFERROR(INDEX(ConditionFactors,MATCH(L14,ConditionNames,0)),1),2))</f>
        <v>0</v>
      </c>
      <c r="Y14" s="34">
        <f>IF(B14="","",ROUND(X14/MAX(1,CleanersPerJob),2))</f>
        <v>0</v>
      </c>
      <c r="Z14" s="21">
        <f>IF(B14="","",MAX(MinimumCharge,ROUND(X14*IF(IFERROR(INDEX(Clients!$O$5:$O$204,MATCH(C14,Clients!$A$5:$A$204,0)),0)&gt;0,INDEX(Clients!$O$5:$O$204,MATCH(C14,Clients!$A$5:$A$204,0)),HourlyRate)+IF(M14="",0,IF(M14="None",0,PetSurcharge)),2)))</f>
        <v>0</v>
      </c>
      <c r="AA14" s="21">
        <f>IF(B14="","",ROUND(X14*CostPerHour,2))</f>
        <v>0</v>
      </c>
      <c r="AB14" s="38">
        <f>IF(B14="","",IF(Z14=0,"",(Z14-AA14-X14*SuppliesPerHour)/Z14))</f>
        <v>0</v>
      </c>
      <c r="AC14" s="31">
        <f>IF(A14="","",COUNTIFS(Jobs!$J$5:$J$604,A14))</f>
        <v>0</v>
      </c>
      <c r="AD14" s="18">
        <f>IF(A14="","",IF(SUMPRODUCT(MAX((Jobs!$J$5:$J$604=A14)*((Jobs!$P$5:$P$604="Completed")+(Jobs!$P$5:$P$604="Invoiced"))*Jobs!$B$5:$B$604))=0,"",SUMPRODUCT(MAX((Jobs!$J$5:$J$604=A14)*((Jobs!$P$5:$P$604="Completed")+(Jobs!$P$5:$P$604="Invoiced"))*Jobs!$B$5:$B$604))))</f>
        <v>0</v>
      </c>
      <c r="AE14" s="34">
        <f>IF(A14="","",IFERROR(AVERAGEIFS(Jobs!$AK$5:$AK$604,Jobs!$J$5:$J$604,A14,Jobs!$AK$5:$AK$604,"&gt;0"),""))</f>
        <v>0</v>
      </c>
      <c r="AF14" s="34">
        <f>IF(OR(AE14="",X14=""),"",AE14-X14)</f>
        <v>0</v>
      </c>
      <c r="AG14" s="21">
        <f>IF(A14="","",SUMIFS(Jobs!$AJ$5:$AJ$604,Jobs!$J$5:$J$604,A14,Jobs!$P$5:$P$604,"Invoiced")+SUMIFS(Jobs!$AJ$5:$AJ$604,Jobs!$J$5:$J$604,A14,Jobs!$P$5:$P$604,"Completed"))</f>
        <v>0</v>
      </c>
      <c r="AH14" s="39">
        <f>IF(B14="","",IF(C14="","Add - no client linked",IF(IFERROR(INDEX(Clients!$B$5:$B$204,MATCH(C14,Clients!$A$5:$A$204,0)),"")="","Check - client ID not found",IF(AND(G14="",H14=""),"Add - size needed to price it",IF(AND(AF14&lt;&gt;"",AF14&gt;0.5),"Check - runs over the estimate",IF(N14="","Add - how do we get in?","OK"))))))</f>
        <v>0</v>
      </c>
    </row>
    <row r="15" spans="1:34">
      <c r="A15" s="43">
        <f>IF(B15="","",PropertyPrefix&amp;TEXT(ROW()-4,"0000"))</f>
        <v>0</v>
      </c>
      <c r="B15" s="15" t="s">
        <v>823</v>
      </c>
      <c r="C15" s="49" t="s">
        <v>818</v>
      </c>
      <c r="D15" s="23">
        <f>IF(C15="","",IFERROR(INDEX(Clients!$B$5:$B$204,MATCH(C15,Clients!$A$5:$A$204,0)),"Not found"))</f>
        <v>0</v>
      </c>
      <c r="E15" s="15" t="s">
        <v>819</v>
      </c>
      <c r="F15" s="44" t="s">
        <v>824</v>
      </c>
      <c r="G15" s="40">
        <v>540</v>
      </c>
      <c r="H15" s="16">
        <v>1</v>
      </c>
      <c r="I15" s="16">
        <v>1</v>
      </c>
      <c r="J15" s="16">
        <v>2</v>
      </c>
      <c r="K15" s="15" t="s">
        <v>785</v>
      </c>
      <c r="L15" s="15" t="s">
        <v>448</v>
      </c>
      <c r="M15" s="15" t="s">
        <v>757</v>
      </c>
      <c r="N15" s="15" t="s">
        <v>809</v>
      </c>
      <c r="O15" s="45" t="s">
        <v>802</v>
      </c>
      <c r="P15" s="44" t="s">
        <v>810</v>
      </c>
      <c r="Q15" s="15" t="s">
        <v>825</v>
      </c>
      <c r="R15" s="17">
        <v>3.4</v>
      </c>
      <c r="S15" s="15" t="s">
        <v>821</v>
      </c>
      <c r="T15" s="47" t="s">
        <v>454</v>
      </c>
      <c r="U15" s="47" t="s">
        <v>454</v>
      </c>
      <c r="V15" s="44" t="s">
        <v>826</v>
      </c>
      <c r="W15" s="34">
        <f>IF(B15="","",MAX(IF(H15="",0,H15)*0.45+IF(I15="",0,I15)*0.6+IF(J15="",0,J15)*0.3,IF(G15="",0,G15)/650))</f>
        <v>0</v>
      </c>
      <c r="X15" s="34">
        <f>IF(B15="","",ROUND(MAX(1,W15)*IFERROR(INDEX(ConditionFactors,MATCH(L15,ConditionNames,0)),1),2))</f>
        <v>0</v>
      </c>
      <c r="Y15" s="34">
        <f>IF(B15="","",ROUND(X15/MAX(1,CleanersPerJob),2))</f>
        <v>0</v>
      </c>
      <c r="Z15" s="21">
        <f>IF(B15="","",MAX(MinimumCharge,ROUND(X15*IF(IFERROR(INDEX(Clients!$O$5:$O$204,MATCH(C15,Clients!$A$5:$A$204,0)),0)&gt;0,INDEX(Clients!$O$5:$O$204,MATCH(C15,Clients!$A$5:$A$204,0)),HourlyRate)+IF(M15="",0,IF(M15="None",0,PetSurcharge)),2)))</f>
        <v>0</v>
      </c>
      <c r="AA15" s="21">
        <f>IF(B15="","",ROUND(X15*CostPerHour,2))</f>
        <v>0</v>
      </c>
      <c r="AB15" s="38">
        <f>IF(B15="","",IF(Z15=0,"",(Z15-AA15-X15*SuppliesPerHour)/Z15))</f>
        <v>0</v>
      </c>
      <c r="AC15" s="31">
        <f>IF(A15="","",COUNTIFS(Jobs!$J$5:$J$604,A15))</f>
        <v>0</v>
      </c>
      <c r="AD15" s="18">
        <f>IF(A15="","",IF(SUMPRODUCT(MAX((Jobs!$J$5:$J$604=A15)*((Jobs!$P$5:$P$604="Completed")+(Jobs!$P$5:$P$604="Invoiced"))*Jobs!$B$5:$B$604))=0,"",SUMPRODUCT(MAX((Jobs!$J$5:$J$604=A15)*((Jobs!$P$5:$P$604="Completed")+(Jobs!$P$5:$P$604="Invoiced"))*Jobs!$B$5:$B$604))))</f>
        <v>0</v>
      </c>
      <c r="AE15" s="34">
        <f>IF(A15="","",IFERROR(AVERAGEIFS(Jobs!$AK$5:$AK$604,Jobs!$J$5:$J$604,A15,Jobs!$AK$5:$AK$604,"&gt;0"),""))</f>
        <v>0</v>
      </c>
      <c r="AF15" s="34">
        <f>IF(OR(AE15="",X15=""),"",AE15-X15)</f>
        <v>0</v>
      </c>
      <c r="AG15" s="21">
        <f>IF(A15="","",SUMIFS(Jobs!$AJ$5:$AJ$604,Jobs!$J$5:$J$604,A15,Jobs!$P$5:$P$604,"Invoiced")+SUMIFS(Jobs!$AJ$5:$AJ$604,Jobs!$J$5:$J$604,A15,Jobs!$P$5:$P$604,"Completed"))</f>
        <v>0</v>
      </c>
      <c r="AH15" s="39">
        <f>IF(B15="","",IF(C15="","Add - no client linked",IF(IFERROR(INDEX(Clients!$B$5:$B$204,MATCH(C15,Clients!$A$5:$A$204,0)),"")="","Check - client ID not found",IF(AND(G15="",H15=""),"Add - size needed to price it",IF(AND(AF15&lt;&gt;"",AF15&gt;0.5),"Check - runs over the estimate",IF(N15="","Add - how do we get in?","OK"))))))</f>
        <v>0</v>
      </c>
    </row>
    <row r="16" spans="1:34">
      <c r="A16" s="43">
        <f>IF(B16="","",PropertyPrefix&amp;TEXT(ROW()-4,"0000"))</f>
        <v>0</v>
      </c>
      <c r="B16" s="15" t="s">
        <v>827</v>
      </c>
      <c r="C16" s="49" t="s">
        <v>828</v>
      </c>
      <c r="D16" s="23">
        <f>IF(C16="","",IFERROR(INDEX(Clients!$B$5:$B$204,MATCH(C16,Clients!$A$5:$A$204,0)),"Not found"))</f>
        <v>0</v>
      </c>
      <c r="E16" s="15" t="s">
        <v>829</v>
      </c>
      <c r="F16" s="44" t="s">
        <v>680</v>
      </c>
      <c r="G16" s="40">
        <v>1100</v>
      </c>
      <c r="H16" s="16">
        <v>2</v>
      </c>
      <c r="I16" s="16">
        <v>1</v>
      </c>
      <c r="J16" s="16">
        <v>4</v>
      </c>
      <c r="K16" s="15" t="s">
        <v>775</v>
      </c>
      <c r="L16" s="15" t="s">
        <v>448</v>
      </c>
      <c r="M16" s="15" t="s">
        <v>830</v>
      </c>
      <c r="N16" s="15" t="s">
        <v>747</v>
      </c>
      <c r="O16" s="45" t="s">
        <v>748</v>
      </c>
      <c r="P16" s="44" t="s">
        <v>749</v>
      </c>
      <c r="Q16" s="15" t="s">
        <v>750</v>
      </c>
      <c r="R16" s="17">
        <v>6.8</v>
      </c>
      <c r="S16" s="15" t="s">
        <v>437</v>
      </c>
      <c r="T16" s="47" t="s">
        <v>457</v>
      </c>
      <c r="U16" s="47" t="s">
        <v>454</v>
      </c>
      <c r="V16" s="44" t="s">
        <v>831</v>
      </c>
      <c r="W16" s="34">
        <f>IF(B16="","",MAX(IF(H16="",0,H16)*0.45+IF(I16="",0,I16)*0.6+IF(J16="",0,J16)*0.3,IF(G16="",0,G16)/650))</f>
        <v>0</v>
      </c>
      <c r="X16" s="34">
        <f>IF(B16="","",ROUND(MAX(1,W16)*IFERROR(INDEX(ConditionFactors,MATCH(L16,ConditionNames,0)),1),2))</f>
        <v>0</v>
      </c>
      <c r="Y16" s="34">
        <f>IF(B16="","",ROUND(X16/MAX(1,CleanersPerJob),2))</f>
        <v>0</v>
      </c>
      <c r="Z16" s="21">
        <f>IF(B16="","",MAX(MinimumCharge,ROUND(X16*IF(IFERROR(INDEX(Clients!$O$5:$O$204,MATCH(C16,Clients!$A$5:$A$204,0)),0)&gt;0,INDEX(Clients!$O$5:$O$204,MATCH(C16,Clients!$A$5:$A$204,0)),HourlyRate)+IF(M16="",0,IF(M16="None",0,PetSurcharge)),2)))</f>
        <v>0</v>
      </c>
      <c r="AA16" s="21">
        <f>IF(B16="","",ROUND(X16*CostPerHour,2))</f>
        <v>0</v>
      </c>
      <c r="AB16" s="38">
        <f>IF(B16="","",IF(Z16=0,"",(Z16-AA16-X16*SuppliesPerHour)/Z16))</f>
        <v>0</v>
      </c>
      <c r="AC16" s="31">
        <f>IF(A16="","",COUNTIFS(Jobs!$J$5:$J$604,A16))</f>
        <v>0</v>
      </c>
      <c r="AD16" s="18">
        <f>IF(A16="","",IF(SUMPRODUCT(MAX((Jobs!$J$5:$J$604=A16)*((Jobs!$P$5:$P$604="Completed")+(Jobs!$P$5:$P$604="Invoiced"))*Jobs!$B$5:$B$604))=0,"",SUMPRODUCT(MAX((Jobs!$J$5:$J$604=A16)*((Jobs!$P$5:$P$604="Completed")+(Jobs!$P$5:$P$604="Invoiced"))*Jobs!$B$5:$B$604))))</f>
        <v>0</v>
      </c>
      <c r="AE16" s="34">
        <f>IF(A16="","",IFERROR(AVERAGEIFS(Jobs!$AK$5:$AK$604,Jobs!$J$5:$J$604,A16,Jobs!$AK$5:$AK$604,"&gt;0"),""))</f>
        <v>0</v>
      </c>
      <c r="AF16" s="34">
        <f>IF(OR(AE16="",X16=""),"",AE16-X16)</f>
        <v>0</v>
      </c>
      <c r="AG16" s="21">
        <f>IF(A16="","",SUMIFS(Jobs!$AJ$5:$AJ$604,Jobs!$J$5:$J$604,A16,Jobs!$P$5:$P$604,"Invoiced")+SUMIFS(Jobs!$AJ$5:$AJ$604,Jobs!$J$5:$J$604,A16,Jobs!$P$5:$P$604,"Completed"))</f>
        <v>0</v>
      </c>
      <c r="AH16" s="39">
        <f>IF(B16="","",IF(C16="","Add - no client linked",IF(IFERROR(INDEX(Clients!$B$5:$B$204,MATCH(C16,Clients!$A$5:$A$204,0)),"")="","Check - client ID not found",IF(AND(G16="",H16=""),"Add - size needed to price it",IF(AND(AF16&lt;&gt;"",AF16&gt;0.5),"Check - runs over the estimate",IF(N16="","Add - how do we get in?","OK"))))))</f>
        <v>0</v>
      </c>
    </row>
    <row r="17" spans="1:34">
      <c r="A17" s="43">
        <f>IF(B17="","",PropertyPrefix&amp;TEXT(ROW()-4,"0000"))</f>
        <v>0</v>
      </c>
      <c r="B17" s="15" t="s">
        <v>832</v>
      </c>
      <c r="C17" s="49" t="s">
        <v>833</v>
      </c>
      <c r="D17" s="23">
        <f>IF(C17="","",IFERROR(INDEX(Clients!$B$5:$B$204,MATCH(C17,Clients!$A$5:$A$204,0)),"Not found"))</f>
        <v>0</v>
      </c>
      <c r="E17" s="15" t="s">
        <v>834</v>
      </c>
      <c r="F17" s="44" t="s">
        <v>835</v>
      </c>
      <c r="G17" s="40">
        <v>1600</v>
      </c>
      <c r="H17" s="16">
        <v>0</v>
      </c>
      <c r="I17" s="16">
        <v>0</v>
      </c>
      <c r="J17" s="16">
        <v>3</v>
      </c>
      <c r="K17" s="15" t="s">
        <v>836</v>
      </c>
      <c r="L17" s="15" t="s">
        <v>448</v>
      </c>
      <c r="M17" s="15" t="s">
        <v>757</v>
      </c>
      <c r="N17" s="15" t="s">
        <v>837</v>
      </c>
      <c r="O17" s="45" t="s">
        <v>759</v>
      </c>
      <c r="P17" s="44" t="s">
        <v>838</v>
      </c>
      <c r="Q17" s="15" t="s">
        <v>769</v>
      </c>
      <c r="R17" s="17">
        <v>9.1</v>
      </c>
      <c r="S17" s="15" t="s">
        <v>839</v>
      </c>
      <c r="T17" s="47" t="s">
        <v>457</v>
      </c>
      <c r="U17" s="47" t="s">
        <v>454</v>
      </c>
      <c r="V17" s="44" t="s">
        <v>840</v>
      </c>
      <c r="W17" s="34">
        <f>IF(B17="","",MAX(IF(H17="",0,H17)*0.45+IF(I17="",0,I17)*0.6+IF(J17="",0,J17)*0.3,IF(G17="",0,G17)/650))</f>
        <v>0</v>
      </c>
      <c r="X17" s="34">
        <f>IF(B17="","",ROUND(MAX(1,W17)*IFERROR(INDEX(ConditionFactors,MATCH(L17,ConditionNames,0)),1),2))</f>
        <v>0</v>
      </c>
      <c r="Y17" s="34">
        <f>IF(B17="","",ROUND(X17/MAX(1,CleanersPerJob),2))</f>
        <v>0</v>
      </c>
      <c r="Z17" s="21">
        <f>IF(B17="","",MAX(MinimumCharge,ROUND(X17*IF(IFERROR(INDEX(Clients!$O$5:$O$204,MATCH(C17,Clients!$A$5:$A$204,0)),0)&gt;0,INDEX(Clients!$O$5:$O$204,MATCH(C17,Clients!$A$5:$A$204,0)),HourlyRate)+IF(M17="",0,IF(M17="None",0,PetSurcharge)),2)))</f>
        <v>0</v>
      </c>
      <c r="AA17" s="21">
        <f>IF(B17="","",ROUND(X17*CostPerHour,2))</f>
        <v>0</v>
      </c>
      <c r="AB17" s="38">
        <f>IF(B17="","",IF(Z17=0,"",(Z17-AA17-X17*SuppliesPerHour)/Z17))</f>
        <v>0</v>
      </c>
      <c r="AC17" s="31">
        <f>IF(A17="","",COUNTIFS(Jobs!$J$5:$J$604,A17))</f>
        <v>0</v>
      </c>
      <c r="AD17" s="18">
        <f>IF(A17="","",IF(SUMPRODUCT(MAX((Jobs!$J$5:$J$604=A17)*((Jobs!$P$5:$P$604="Completed")+(Jobs!$P$5:$P$604="Invoiced"))*Jobs!$B$5:$B$604))=0,"",SUMPRODUCT(MAX((Jobs!$J$5:$J$604=A17)*((Jobs!$P$5:$P$604="Completed")+(Jobs!$P$5:$P$604="Invoiced"))*Jobs!$B$5:$B$604))))</f>
        <v>0</v>
      </c>
      <c r="AE17" s="34">
        <f>IF(A17="","",IFERROR(AVERAGEIFS(Jobs!$AK$5:$AK$604,Jobs!$J$5:$J$604,A17,Jobs!$AK$5:$AK$604,"&gt;0"),""))</f>
        <v>0</v>
      </c>
      <c r="AF17" s="34">
        <f>IF(OR(AE17="",X17=""),"",AE17-X17)</f>
        <v>0</v>
      </c>
      <c r="AG17" s="21">
        <f>IF(A17="","",SUMIFS(Jobs!$AJ$5:$AJ$604,Jobs!$J$5:$J$604,A17,Jobs!$P$5:$P$604,"Invoiced")+SUMIFS(Jobs!$AJ$5:$AJ$604,Jobs!$J$5:$J$604,A17,Jobs!$P$5:$P$604,"Completed"))</f>
        <v>0</v>
      </c>
      <c r="AH17" s="39">
        <f>IF(B17="","",IF(C17="","Add - no client linked",IF(IFERROR(INDEX(Clients!$B$5:$B$204,MATCH(C17,Clients!$A$5:$A$204,0)),"")="","Check - client ID not found",IF(AND(G17="",H17=""),"Add - size needed to price it",IF(AND(AF17&lt;&gt;"",AF17&gt;0.5),"Check - runs over the estimate",IF(N17="","Add - how do we get in?","OK"))))))</f>
        <v>0</v>
      </c>
    </row>
    <row r="18" spans="1:34">
      <c r="A18" s="43">
        <f>IF(B18="","",PropertyPrefix&amp;TEXT(ROW()-4,"0000"))</f>
        <v>0</v>
      </c>
      <c r="B18" s="15" t="s">
        <v>841</v>
      </c>
      <c r="C18" s="49" t="s">
        <v>833</v>
      </c>
      <c r="D18" s="23">
        <f>IF(C18="","",IFERROR(INDEX(Clients!$B$5:$B$204,MATCH(C18,Clients!$A$5:$A$204,0)),"Not found"))</f>
        <v>0</v>
      </c>
      <c r="E18" s="15" t="s">
        <v>834</v>
      </c>
      <c r="F18" s="44" t="s">
        <v>842</v>
      </c>
      <c r="G18" s="40">
        <v>1600</v>
      </c>
      <c r="H18" s="16">
        <v>0</v>
      </c>
      <c r="I18" s="16">
        <v>0</v>
      </c>
      <c r="J18" s="16">
        <v>3</v>
      </c>
      <c r="K18" s="15" t="s">
        <v>836</v>
      </c>
      <c r="L18" s="15" t="s">
        <v>448</v>
      </c>
      <c r="M18" s="15" t="s">
        <v>757</v>
      </c>
      <c r="N18" s="15" t="s">
        <v>837</v>
      </c>
      <c r="O18" s="45" t="s">
        <v>759</v>
      </c>
      <c r="P18" s="44" t="s">
        <v>838</v>
      </c>
      <c r="Q18" s="15" t="s">
        <v>769</v>
      </c>
      <c r="R18" s="17">
        <v>9.1</v>
      </c>
      <c r="S18" s="15" t="s">
        <v>839</v>
      </c>
      <c r="T18" s="47" t="s">
        <v>457</v>
      </c>
      <c r="U18" s="47" t="s">
        <v>454</v>
      </c>
      <c r="V18" s="44" t="s">
        <v>843</v>
      </c>
      <c r="W18" s="34">
        <f>IF(B18="","",MAX(IF(H18="",0,H18)*0.45+IF(I18="",0,I18)*0.6+IF(J18="",0,J18)*0.3,IF(G18="",0,G18)/650))</f>
        <v>0</v>
      </c>
      <c r="X18" s="34">
        <f>IF(B18="","",ROUND(MAX(1,W18)*IFERROR(INDEX(ConditionFactors,MATCH(L18,ConditionNames,0)),1),2))</f>
        <v>0</v>
      </c>
      <c r="Y18" s="34">
        <f>IF(B18="","",ROUND(X18/MAX(1,CleanersPerJob),2))</f>
        <v>0</v>
      </c>
      <c r="Z18" s="21">
        <f>IF(B18="","",MAX(MinimumCharge,ROUND(X18*IF(IFERROR(INDEX(Clients!$O$5:$O$204,MATCH(C18,Clients!$A$5:$A$204,0)),0)&gt;0,INDEX(Clients!$O$5:$O$204,MATCH(C18,Clients!$A$5:$A$204,0)),HourlyRate)+IF(M18="",0,IF(M18="None",0,PetSurcharge)),2)))</f>
        <v>0</v>
      </c>
      <c r="AA18" s="21">
        <f>IF(B18="","",ROUND(X18*CostPerHour,2))</f>
        <v>0</v>
      </c>
      <c r="AB18" s="38">
        <f>IF(B18="","",IF(Z18=0,"",(Z18-AA18-X18*SuppliesPerHour)/Z18))</f>
        <v>0</v>
      </c>
      <c r="AC18" s="31">
        <f>IF(A18="","",COUNTIFS(Jobs!$J$5:$J$604,A18))</f>
        <v>0</v>
      </c>
      <c r="AD18" s="18">
        <f>IF(A18="","",IF(SUMPRODUCT(MAX((Jobs!$J$5:$J$604=A18)*((Jobs!$P$5:$P$604="Completed")+(Jobs!$P$5:$P$604="Invoiced"))*Jobs!$B$5:$B$604))=0,"",SUMPRODUCT(MAX((Jobs!$J$5:$J$604=A18)*((Jobs!$P$5:$P$604="Completed")+(Jobs!$P$5:$P$604="Invoiced"))*Jobs!$B$5:$B$604))))</f>
        <v>0</v>
      </c>
      <c r="AE18" s="34">
        <f>IF(A18="","",IFERROR(AVERAGEIFS(Jobs!$AK$5:$AK$604,Jobs!$J$5:$J$604,A18,Jobs!$AK$5:$AK$604,"&gt;0"),""))</f>
        <v>0</v>
      </c>
      <c r="AF18" s="34">
        <f>IF(OR(AE18="",X18=""),"",AE18-X18)</f>
        <v>0</v>
      </c>
      <c r="AG18" s="21">
        <f>IF(A18="","",SUMIFS(Jobs!$AJ$5:$AJ$604,Jobs!$J$5:$J$604,A18,Jobs!$P$5:$P$604,"Invoiced")+SUMIFS(Jobs!$AJ$5:$AJ$604,Jobs!$J$5:$J$604,A18,Jobs!$P$5:$P$604,"Completed"))</f>
        <v>0</v>
      </c>
      <c r="AH18" s="39">
        <f>IF(B18="","",IF(C18="","Add - no client linked",IF(IFERROR(INDEX(Clients!$B$5:$B$204,MATCH(C18,Clients!$A$5:$A$204,0)),"")="","Check - client ID not found",IF(AND(G18="",H18=""),"Add - size needed to price it",IF(AND(AF18&lt;&gt;"",AF18&gt;0.5),"Check - runs over the estimate",IF(N18="","Add - how do we get in?","OK"))))))</f>
        <v>0</v>
      </c>
    </row>
    <row r="19" spans="1:34">
      <c r="A19" s="43">
        <f>IF(B19="","",PropertyPrefix&amp;TEXT(ROW()-4,"0000"))</f>
        <v>0</v>
      </c>
      <c r="B19" s="15" t="s">
        <v>844</v>
      </c>
      <c r="C19" s="49" t="s">
        <v>845</v>
      </c>
      <c r="D19" s="23">
        <f>IF(C19="","",IFERROR(INDEX(Clients!$B$5:$B$204,MATCH(C19,Clients!$A$5:$A$204,0)),"Not found"))</f>
        <v>0</v>
      </c>
      <c r="E19" s="15" t="s">
        <v>744</v>
      </c>
      <c r="F19" s="44" t="s">
        <v>696</v>
      </c>
      <c r="G19" s="40">
        <v>1250</v>
      </c>
      <c r="H19" s="16">
        <v>3</v>
      </c>
      <c r="I19" s="16">
        <v>1</v>
      </c>
      <c r="J19" s="16">
        <v>4</v>
      </c>
      <c r="K19" s="15" t="s">
        <v>745</v>
      </c>
      <c r="L19" s="15" t="s">
        <v>756</v>
      </c>
      <c r="M19" s="15" t="s">
        <v>830</v>
      </c>
      <c r="N19" s="15" t="s">
        <v>758</v>
      </c>
      <c r="O19" s="45" t="s">
        <v>759</v>
      </c>
      <c r="P19" s="44" t="s">
        <v>760</v>
      </c>
      <c r="Q19" s="15" t="s">
        <v>761</v>
      </c>
      <c r="R19" s="17">
        <v>5.5</v>
      </c>
      <c r="S19" s="15" t="s">
        <v>437</v>
      </c>
      <c r="T19" s="47" t="s">
        <v>457</v>
      </c>
      <c r="U19" s="47" t="s">
        <v>454</v>
      </c>
      <c r="V19" s="44" t="s">
        <v>846</v>
      </c>
      <c r="W19" s="34">
        <f>IF(B19="","",MAX(IF(H19="",0,H19)*0.45+IF(I19="",0,I19)*0.6+IF(J19="",0,J19)*0.3,IF(G19="",0,G19)/650))</f>
        <v>0</v>
      </c>
      <c r="X19" s="34">
        <f>IF(B19="","",ROUND(MAX(1,W19)*IFERROR(INDEX(ConditionFactors,MATCH(L19,ConditionNames,0)),1),2))</f>
        <v>0</v>
      </c>
      <c r="Y19" s="34">
        <f>IF(B19="","",ROUND(X19/MAX(1,CleanersPerJob),2))</f>
        <v>0</v>
      </c>
      <c r="Z19" s="21">
        <f>IF(B19="","",MAX(MinimumCharge,ROUND(X19*IF(IFERROR(INDEX(Clients!$O$5:$O$204,MATCH(C19,Clients!$A$5:$A$204,0)),0)&gt;0,INDEX(Clients!$O$5:$O$204,MATCH(C19,Clients!$A$5:$A$204,0)),HourlyRate)+IF(M19="",0,IF(M19="None",0,PetSurcharge)),2)))</f>
        <v>0</v>
      </c>
      <c r="AA19" s="21">
        <f>IF(B19="","",ROUND(X19*CostPerHour,2))</f>
        <v>0</v>
      </c>
      <c r="AB19" s="38">
        <f>IF(B19="","",IF(Z19=0,"",(Z19-AA19-X19*SuppliesPerHour)/Z19))</f>
        <v>0</v>
      </c>
      <c r="AC19" s="31">
        <f>IF(A19="","",COUNTIFS(Jobs!$J$5:$J$604,A19))</f>
        <v>0</v>
      </c>
      <c r="AD19" s="18">
        <f>IF(A19="","",IF(SUMPRODUCT(MAX((Jobs!$J$5:$J$604=A19)*((Jobs!$P$5:$P$604="Completed")+(Jobs!$P$5:$P$604="Invoiced"))*Jobs!$B$5:$B$604))=0,"",SUMPRODUCT(MAX((Jobs!$J$5:$J$604=A19)*((Jobs!$P$5:$P$604="Completed")+(Jobs!$P$5:$P$604="Invoiced"))*Jobs!$B$5:$B$604))))</f>
        <v>0</v>
      </c>
      <c r="AE19" s="34">
        <f>IF(A19="","",IFERROR(AVERAGEIFS(Jobs!$AK$5:$AK$604,Jobs!$J$5:$J$604,A19,Jobs!$AK$5:$AK$604,"&gt;0"),""))</f>
        <v>0</v>
      </c>
      <c r="AF19" s="34">
        <f>IF(OR(AE19="",X19=""),"",AE19-X19)</f>
        <v>0</v>
      </c>
      <c r="AG19" s="21">
        <f>IF(A19="","",SUMIFS(Jobs!$AJ$5:$AJ$604,Jobs!$J$5:$J$604,A19,Jobs!$P$5:$P$604,"Invoiced")+SUMIFS(Jobs!$AJ$5:$AJ$604,Jobs!$J$5:$J$604,A19,Jobs!$P$5:$P$604,"Completed"))</f>
        <v>0</v>
      </c>
      <c r="AH19" s="39">
        <f>IF(B19="","",IF(C19="","Add - no client linked",IF(IFERROR(INDEX(Clients!$B$5:$B$204,MATCH(C19,Clients!$A$5:$A$204,0)),"")="","Check - client ID not found",IF(AND(G19="",H19=""),"Add - size needed to price it",IF(AND(AF19&lt;&gt;"",AF19&gt;0.5),"Check - runs over the estimate",IF(N19="","Add - how do we get in?","OK"))))))</f>
        <v>0</v>
      </c>
    </row>
    <row r="20" spans="1:34">
      <c r="A20" s="43">
        <f>IF(B20="","",PropertyPrefix&amp;TEXT(ROW()-4,"0000"))</f>
        <v>0</v>
      </c>
      <c r="B20" s="15" t="s">
        <v>847</v>
      </c>
      <c r="C20" s="49" t="s">
        <v>848</v>
      </c>
      <c r="D20" s="23">
        <f>IF(C20="","",IFERROR(INDEX(Clients!$B$5:$B$204,MATCH(C20,Clients!$A$5:$A$204,0)),"Not found"))</f>
        <v>0</v>
      </c>
      <c r="E20" s="15" t="s">
        <v>774</v>
      </c>
      <c r="F20" s="44" t="s">
        <v>705</v>
      </c>
      <c r="G20" s="40">
        <v>2100</v>
      </c>
      <c r="H20" s="16">
        <v>0</v>
      </c>
      <c r="I20" s="16">
        <v>2</v>
      </c>
      <c r="J20" s="16">
        <v>7</v>
      </c>
      <c r="K20" s="15" t="s">
        <v>775</v>
      </c>
      <c r="L20" s="15" t="s">
        <v>776</v>
      </c>
      <c r="M20" s="15" t="s">
        <v>757</v>
      </c>
      <c r="N20" s="15" t="s">
        <v>849</v>
      </c>
      <c r="O20" s="45" t="s">
        <v>759</v>
      </c>
      <c r="P20" s="44" t="s">
        <v>850</v>
      </c>
      <c r="Q20" s="15" t="s">
        <v>851</v>
      </c>
      <c r="R20" s="17">
        <v>2.2</v>
      </c>
      <c r="S20" s="15" t="s">
        <v>770</v>
      </c>
      <c r="T20" s="47" t="s">
        <v>454</v>
      </c>
      <c r="U20" s="47" t="s">
        <v>454</v>
      </c>
      <c r="V20" s="44" t="s">
        <v>852</v>
      </c>
      <c r="W20" s="34">
        <f>IF(B20="","",MAX(IF(H20="",0,H20)*0.45+IF(I20="",0,I20)*0.6+IF(J20="",0,J20)*0.3,IF(G20="",0,G20)/650))</f>
        <v>0</v>
      </c>
      <c r="X20" s="34">
        <f>IF(B20="","",ROUND(MAX(1,W20)*IFERROR(INDEX(ConditionFactors,MATCH(L20,ConditionNames,0)),1),2))</f>
        <v>0</v>
      </c>
      <c r="Y20" s="34">
        <f>IF(B20="","",ROUND(X20/MAX(1,CleanersPerJob),2))</f>
        <v>0</v>
      </c>
      <c r="Z20" s="21">
        <f>IF(B20="","",MAX(MinimumCharge,ROUND(X20*IF(IFERROR(INDEX(Clients!$O$5:$O$204,MATCH(C20,Clients!$A$5:$A$204,0)),0)&gt;0,INDEX(Clients!$O$5:$O$204,MATCH(C20,Clients!$A$5:$A$204,0)),HourlyRate)+IF(M20="",0,IF(M20="None",0,PetSurcharge)),2)))</f>
        <v>0</v>
      </c>
      <c r="AA20" s="21">
        <f>IF(B20="","",ROUND(X20*CostPerHour,2))</f>
        <v>0</v>
      </c>
      <c r="AB20" s="38">
        <f>IF(B20="","",IF(Z20=0,"",(Z20-AA20-X20*SuppliesPerHour)/Z20))</f>
        <v>0</v>
      </c>
      <c r="AC20" s="31">
        <f>IF(A20="","",COUNTIFS(Jobs!$J$5:$J$604,A20))</f>
        <v>0</v>
      </c>
      <c r="AD20" s="18">
        <f>IF(A20="","",IF(SUMPRODUCT(MAX((Jobs!$J$5:$J$604=A20)*((Jobs!$P$5:$P$604="Completed")+(Jobs!$P$5:$P$604="Invoiced"))*Jobs!$B$5:$B$604))=0,"",SUMPRODUCT(MAX((Jobs!$J$5:$J$604=A20)*((Jobs!$P$5:$P$604="Completed")+(Jobs!$P$5:$P$604="Invoiced"))*Jobs!$B$5:$B$604))))</f>
        <v>0</v>
      </c>
      <c r="AE20" s="34">
        <f>IF(A20="","",IFERROR(AVERAGEIFS(Jobs!$AK$5:$AK$604,Jobs!$J$5:$J$604,A20,Jobs!$AK$5:$AK$604,"&gt;0"),""))</f>
        <v>0</v>
      </c>
      <c r="AF20" s="34">
        <f>IF(OR(AE20="",X20=""),"",AE20-X20)</f>
        <v>0</v>
      </c>
      <c r="AG20" s="21">
        <f>IF(A20="","",SUMIFS(Jobs!$AJ$5:$AJ$604,Jobs!$J$5:$J$604,A20,Jobs!$P$5:$P$604,"Invoiced")+SUMIFS(Jobs!$AJ$5:$AJ$604,Jobs!$J$5:$J$604,A20,Jobs!$P$5:$P$604,"Completed"))</f>
        <v>0</v>
      </c>
      <c r="AH20" s="39">
        <f>IF(B20="","",IF(C20="","Add - no client linked",IF(IFERROR(INDEX(Clients!$B$5:$B$204,MATCH(C20,Clients!$A$5:$A$204,0)),"")="","Check - client ID not found",IF(AND(G20="",H20=""),"Add - size needed to price it",IF(AND(AF20&lt;&gt;"",AF20&gt;0.5),"Check - runs over the estimate",IF(N20="","Add - how do we get in?","OK"))))))</f>
        <v>0</v>
      </c>
    </row>
    <row r="21" spans="1:34">
      <c r="A21" s="43">
        <f>IF(B21="","",PropertyPrefix&amp;TEXT(ROW()-4,"0000"))</f>
        <v>0</v>
      </c>
      <c r="D21" s="23">
        <f>IF(C21="","",IFERROR(INDEX(Clients!$B$5:$B$204,MATCH(C21,Clients!$A$5:$A$204,0)),"Not found"))</f>
        <v>0</v>
      </c>
      <c r="W21" s="34">
        <f>IF(B21="","",MAX(IF(H21="",0,H21)*0.45+IF(I21="",0,I21)*0.6+IF(J21="",0,J21)*0.3,IF(G21="",0,G21)/650))</f>
        <v>0</v>
      </c>
      <c r="X21" s="34">
        <f>IF(B21="","",ROUND(MAX(1,W21)*IFERROR(INDEX(ConditionFactors,MATCH(L21,ConditionNames,0)),1),2))</f>
        <v>0</v>
      </c>
      <c r="Y21" s="34">
        <f>IF(B21="","",ROUND(X21/MAX(1,CleanersPerJob),2))</f>
        <v>0</v>
      </c>
      <c r="Z21" s="21">
        <f>IF(B21="","",MAX(MinimumCharge,ROUND(X21*IF(IFERROR(INDEX(Clients!$O$5:$O$204,MATCH(C21,Clients!$A$5:$A$204,0)),0)&gt;0,INDEX(Clients!$O$5:$O$204,MATCH(C21,Clients!$A$5:$A$204,0)),HourlyRate)+IF(M21="",0,IF(M21="None",0,PetSurcharge)),2)))</f>
        <v>0</v>
      </c>
      <c r="AA21" s="21">
        <f>IF(B21="","",ROUND(X21*CostPerHour,2))</f>
        <v>0</v>
      </c>
      <c r="AB21" s="38">
        <f>IF(B21="","",IF(Z21=0,"",(Z21-AA21-X21*SuppliesPerHour)/Z21))</f>
        <v>0</v>
      </c>
      <c r="AC21" s="31">
        <f>IF(A21="","",COUNTIFS(Jobs!$J$5:$J$604,A21))</f>
        <v>0</v>
      </c>
      <c r="AD21" s="18">
        <f>IF(A21="","",IF(SUMPRODUCT(MAX((Jobs!$J$5:$J$604=A21)*((Jobs!$P$5:$P$604="Completed")+(Jobs!$P$5:$P$604="Invoiced"))*Jobs!$B$5:$B$604))=0,"",SUMPRODUCT(MAX((Jobs!$J$5:$J$604=A21)*((Jobs!$P$5:$P$604="Completed")+(Jobs!$P$5:$P$604="Invoiced"))*Jobs!$B$5:$B$604))))</f>
        <v>0</v>
      </c>
      <c r="AE21" s="34">
        <f>IF(A21="","",IFERROR(AVERAGEIFS(Jobs!$AK$5:$AK$604,Jobs!$J$5:$J$604,A21,Jobs!$AK$5:$AK$604,"&gt;0"),""))</f>
        <v>0</v>
      </c>
      <c r="AF21" s="34">
        <f>IF(OR(AE21="",X21=""),"",AE21-X21)</f>
        <v>0</v>
      </c>
      <c r="AG21" s="21">
        <f>IF(A21="","",SUMIFS(Jobs!$AJ$5:$AJ$604,Jobs!$J$5:$J$604,A21,Jobs!$P$5:$P$604,"Invoiced")+SUMIFS(Jobs!$AJ$5:$AJ$604,Jobs!$J$5:$J$604,A21,Jobs!$P$5:$P$604,"Completed"))</f>
        <v>0</v>
      </c>
      <c r="AH21" s="39">
        <f>IF(B21="","",IF(C21="","Add - no client linked",IF(IFERROR(INDEX(Clients!$B$5:$B$204,MATCH(C21,Clients!$A$5:$A$204,0)),"")="","Check - client ID not found",IF(AND(G21="",H21=""),"Add - size needed to price it",IF(AND(AF21&lt;&gt;"",AF21&gt;0.5),"Check - runs over the estimate",IF(N21="","Add - how do we get in?","OK"))))))</f>
        <v>0</v>
      </c>
    </row>
    <row r="22" spans="1:34">
      <c r="A22" s="43">
        <f>IF(B22="","",PropertyPrefix&amp;TEXT(ROW()-4,"0000"))</f>
        <v>0</v>
      </c>
      <c r="D22" s="23">
        <f>IF(C22="","",IFERROR(INDEX(Clients!$B$5:$B$204,MATCH(C22,Clients!$A$5:$A$204,0)),"Not found"))</f>
        <v>0</v>
      </c>
      <c r="W22" s="34">
        <f>IF(B22="","",MAX(IF(H22="",0,H22)*0.45+IF(I22="",0,I22)*0.6+IF(J22="",0,J22)*0.3,IF(G22="",0,G22)/650))</f>
        <v>0</v>
      </c>
      <c r="X22" s="34">
        <f>IF(B22="","",ROUND(MAX(1,W22)*IFERROR(INDEX(ConditionFactors,MATCH(L22,ConditionNames,0)),1),2))</f>
        <v>0</v>
      </c>
      <c r="Y22" s="34">
        <f>IF(B22="","",ROUND(X22/MAX(1,CleanersPerJob),2))</f>
        <v>0</v>
      </c>
      <c r="Z22" s="21">
        <f>IF(B22="","",MAX(MinimumCharge,ROUND(X22*IF(IFERROR(INDEX(Clients!$O$5:$O$204,MATCH(C22,Clients!$A$5:$A$204,0)),0)&gt;0,INDEX(Clients!$O$5:$O$204,MATCH(C22,Clients!$A$5:$A$204,0)),HourlyRate)+IF(M22="",0,IF(M22="None",0,PetSurcharge)),2)))</f>
        <v>0</v>
      </c>
      <c r="AA22" s="21">
        <f>IF(B22="","",ROUND(X22*CostPerHour,2))</f>
        <v>0</v>
      </c>
      <c r="AB22" s="38">
        <f>IF(B22="","",IF(Z22=0,"",(Z22-AA22-X22*SuppliesPerHour)/Z22))</f>
        <v>0</v>
      </c>
      <c r="AC22" s="31">
        <f>IF(A22="","",COUNTIFS(Jobs!$J$5:$J$604,A22))</f>
        <v>0</v>
      </c>
      <c r="AD22" s="18">
        <f>IF(A22="","",IF(SUMPRODUCT(MAX((Jobs!$J$5:$J$604=A22)*((Jobs!$P$5:$P$604="Completed")+(Jobs!$P$5:$P$604="Invoiced"))*Jobs!$B$5:$B$604))=0,"",SUMPRODUCT(MAX((Jobs!$J$5:$J$604=A22)*((Jobs!$P$5:$P$604="Completed")+(Jobs!$P$5:$P$604="Invoiced"))*Jobs!$B$5:$B$604))))</f>
        <v>0</v>
      </c>
      <c r="AE22" s="34">
        <f>IF(A22="","",IFERROR(AVERAGEIFS(Jobs!$AK$5:$AK$604,Jobs!$J$5:$J$604,A22,Jobs!$AK$5:$AK$604,"&gt;0"),""))</f>
        <v>0</v>
      </c>
      <c r="AF22" s="34">
        <f>IF(OR(AE22="",X22=""),"",AE22-X22)</f>
        <v>0</v>
      </c>
      <c r="AG22" s="21">
        <f>IF(A22="","",SUMIFS(Jobs!$AJ$5:$AJ$604,Jobs!$J$5:$J$604,A22,Jobs!$P$5:$P$604,"Invoiced")+SUMIFS(Jobs!$AJ$5:$AJ$604,Jobs!$J$5:$J$604,A22,Jobs!$P$5:$P$604,"Completed"))</f>
        <v>0</v>
      </c>
      <c r="AH22" s="39">
        <f>IF(B22="","",IF(C22="","Add - no client linked",IF(IFERROR(INDEX(Clients!$B$5:$B$204,MATCH(C22,Clients!$A$5:$A$204,0)),"")="","Check - client ID not found",IF(AND(G22="",H22=""),"Add - size needed to price it",IF(AND(AF22&lt;&gt;"",AF22&gt;0.5),"Check - runs over the estimate",IF(N22="","Add - how do we get in?","OK"))))))</f>
        <v>0</v>
      </c>
    </row>
    <row r="23" spans="1:34">
      <c r="A23" s="43">
        <f>IF(B23="","",PropertyPrefix&amp;TEXT(ROW()-4,"0000"))</f>
        <v>0</v>
      </c>
      <c r="D23" s="23">
        <f>IF(C23="","",IFERROR(INDEX(Clients!$B$5:$B$204,MATCH(C23,Clients!$A$5:$A$204,0)),"Not found"))</f>
        <v>0</v>
      </c>
      <c r="W23" s="34">
        <f>IF(B23="","",MAX(IF(H23="",0,H23)*0.45+IF(I23="",0,I23)*0.6+IF(J23="",0,J23)*0.3,IF(G23="",0,G23)/650))</f>
        <v>0</v>
      </c>
      <c r="X23" s="34">
        <f>IF(B23="","",ROUND(MAX(1,W23)*IFERROR(INDEX(ConditionFactors,MATCH(L23,ConditionNames,0)),1),2))</f>
        <v>0</v>
      </c>
      <c r="Y23" s="34">
        <f>IF(B23="","",ROUND(X23/MAX(1,CleanersPerJob),2))</f>
        <v>0</v>
      </c>
      <c r="Z23" s="21">
        <f>IF(B23="","",MAX(MinimumCharge,ROUND(X23*IF(IFERROR(INDEX(Clients!$O$5:$O$204,MATCH(C23,Clients!$A$5:$A$204,0)),0)&gt;0,INDEX(Clients!$O$5:$O$204,MATCH(C23,Clients!$A$5:$A$204,0)),HourlyRate)+IF(M23="",0,IF(M23="None",0,PetSurcharge)),2)))</f>
        <v>0</v>
      </c>
      <c r="AA23" s="21">
        <f>IF(B23="","",ROUND(X23*CostPerHour,2))</f>
        <v>0</v>
      </c>
      <c r="AB23" s="38">
        <f>IF(B23="","",IF(Z23=0,"",(Z23-AA23-X23*SuppliesPerHour)/Z23))</f>
        <v>0</v>
      </c>
      <c r="AC23" s="31">
        <f>IF(A23="","",COUNTIFS(Jobs!$J$5:$J$604,A23))</f>
        <v>0</v>
      </c>
      <c r="AD23" s="18">
        <f>IF(A23="","",IF(SUMPRODUCT(MAX((Jobs!$J$5:$J$604=A23)*((Jobs!$P$5:$P$604="Completed")+(Jobs!$P$5:$P$604="Invoiced"))*Jobs!$B$5:$B$604))=0,"",SUMPRODUCT(MAX((Jobs!$J$5:$J$604=A23)*((Jobs!$P$5:$P$604="Completed")+(Jobs!$P$5:$P$604="Invoiced"))*Jobs!$B$5:$B$604))))</f>
        <v>0</v>
      </c>
      <c r="AE23" s="34">
        <f>IF(A23="","",IFERROR(AVERAGEIFS(Jobs!$AK$5:$AK$604,Jobs!$J$5:$J$604,A23,Jobs!$AK$5:$AK$604,"&gt;0"),""))</f>
        <v>0</v>
      </c>
      <c r="AF23" s="34">
        <f>IF(OR(AE23="",X23=""),"",AE23-X23)</f>
        <v>0</v>
      </c>
      <c r="AG23" s="21">
        <f>IF(A23="","",SUMIFS(Jobs!$AJ$5:$AJ$604,Jobs!$J$5:$J$604,A23,Jobs!$P$5:$P$604,"Invoiced")+SUMIFS(Jobs!$AJ$5:$AJ$604,Jobs!$J$5:$J$604,A23,Jobs!$P$5:$P$604,"Completed"))</f>
        <v>0</v>
      </c>
      <c r="AH23" s="39">
        <f>IF(B23="","",IF(C23="","Add - no client linked",IF(IFERROR(INDEX(Clients!$B$5:$B$204,MATCH(C23,Clients!$A$5:$A$204,0)),"")="","Check - client ID not found",IF(AND(G23="",H23=""),"Add - size needed to price it",IF(AND(AF23&lt;&gt;"",AF23&gt;0.5),"Check - runs over the estimate",IF(N23="","Add - how do we get in?","OK"))))))</f>
        <v>0</v>
      </c>
    </row>
    <row r="24" spans="1:34">
      <c r="A24" s="43">
        <f>IF(B24="","",PropertyPrefix&amp;TEXT(ROW()-4,"0000"))</f>
        <v>0</v>
      </c>
      <c r="D24" s="23">
        <f>IF(C24="","",IFERROR(INDEX(Clients!$B$5:$B$204,MATCH(C24,Clients!$A$5:$A$204,0)),"Not found"))</f>
        <v>0</v>
      </c>
      <c r="W24" s="34">
        <f>IF(B24="","",MAX(IF(H24="",0,H24)*0.45+IF(I24="",0,I24)*0.6+IF(J24="",0,J24)*0.3,IF(G24="",0,G24)/650))</f>
        <v>0</v>
      </c>
      <c r="X24" s="34">
        <f>IF(B24="","",ROUND(MAX(1,W24)*IFERROR(INDEX(ConditionFactors,MATCH(L24,ConditionNames,0)),1),2))</f>
        <v>0</v>
      </c>
      <c r="Y24" s="34">
        <f>IF(B24="","",ROUND(X24/MAX(1,CleanersPerJob),2))</f>
        <v>0</v>
      </c>
      <c r="Z24" s="21">
        <f>IF(B24="","",MAX(MinimumCharge,ROUND(X24*IF(IFERROR(INDEX(Clients!$O$5:$O$204,MATCH(C24,Clients!$A$5:$A$204,0)),0)&gt;0,INDEX(Clients!$O$5:$O$204,MATCH(C24,Clients!$A$5:$A$204,0)),HourlyRate)+IF(M24="",0,IF(M24="None",0,PetSurcharge)),2)))</f>
        <v>0</v>
      </c>
      <c r="AA24" s="21">
        <f>IF(B24="","",ROUND(X24*CostPerHour,2))</f>
        <v>0</v>
      </c>
      <c r="AB24" s="38">
        <f>IF(B24="","",IF(Z24=0,"",(Z24-AA24-X24*SuppliesPerHour)/Z24))</f>
        <v>0</v>
      </c>
      <c r="AC24" s="31">
        <f>IF(A24="","",COUNTIFS(Jobs!$J$5:$J$604,A24))</f>
        <v>0</v>
      </c>
      <c r="AD24" s="18">
        <f>IF(A24="","",IF(SUMPRODUCT(MAX((Jobs!$J$5:$J$604=A24)*((Jobs!$P$5:$P$604="Completed")+(Jobs!$P$5:$P$604="Invoiced"))*Jobs!$B$5:$B$604))=0,"",SUMPRODUCT(MAX((Jobs!$J$5:$J$604=A24)*((Jobs!$P$5:$P$604="Completed")+(Jobs!$P$5:$P$604="Invoiced"))*Jobs!$B$5:$B$604))))</f>
        <v>0</v>
      </c>
      <c r="AE24" s="34">
        <f>IF(A24="","",IFERROR(AVERAGEIFS(Jobs!$AK$5:$AK$604,Jobs!$J$5:$J$604,A24,Jobs!$AK$5:$AK$604,"&gt;0"),""))</f>
        <v>0</v>
      </c>
      <c r="AF24" s="34">
        <f>IF(OR(AE24="",X24=""),"",AE24-X24)</f>
        <v>0</v>
      </c>
      <c r="AG24" s="21">
        <f>IF(A24="","",SUMIFS(Jobs!$AJ$5:$AJ$604,Jobs!$J$5:$J$604,A24,Jobs!$P$5:$P$604,"Invoiced")+SUMIFS(Jobs!$AJ$5:$AJ$604,Jobs!$J$5:$J$604,A24,Jobs!$P$5:$P$604,"Completed"))</f>
        <v>0</v>
      </c>
      <c r="AH24" s="39">
        <f>IF(B24="","",IF(C24="","Add - no client linked",IF(IFERROR(INDEX(Clients!$B$5:$B$204,MATCH(C24,Clients!$A$5:$A$204,0)),"")="","Check - client ID not found",IF(AND(G24="",H24=""),"Add - size needed to price it",IF(AND(AF24&lt;&gt;"",AF24&gt;0.5),"Check - runs over the estimate",IF(N24="","Add - how do we get in?","OK"))))))</f>
        <v>0</v>
      </c>
    </row>
    <row r="25" spans="1:34">
      <c r="A25" s="43">
        <f>IF(B25="","",PropertyPrefix&amp;TEXT(ROW()-4,"0000"))</f>
        <v>0</v>
      </c>
      <c r="D25" s="23">
        <f>IF(C25="","",IFERROR(INDEX(Clients!$B$5:$B$204,MATCH(C25,Clients!$A$5:$A$204,0)),"Not found"))</f>
        <v>0</v>
      </c>
      <c r="W25" s="34">
        <f>IF(B25="","",MAX(IF(H25="",0,H25)*0.45+IF(I25="",0,I25)*0.6+IF(J25="",0,J25)*0.3,IF(G25="",0,G25)/650))</f>
        <v>0</v>
      </c>
      <c r="X25" s="34">
        <f>IF(B25="","",ROUND(MAX(1,W25)*IFERROR(INDEX(ConditionFactors,MATCH(L25,ConditionNames,0)),1),2))</f>
        <v>0</v>
      </c>
      <c r="Y25" s="34">
        <f>IF(B25="","",ROUND(X25/MAX(1,CleanersPerJob),2))</f>
        <v>0</v>
      </c>
      <c r="Z25" s="21">
        <f>IF(B25="","",MAX(MinimumCharge,ROUND(X25*IF(IFERROR(INDEX(Clients!$O$5:$O$204,MATCH(C25,Clients!$A$5:$A$204,0)),0)&gt;0,INDEX(Clients!$O$5:$O$204,MATCH(C25,Clients!$A$5:$A$204,0)),HourlyRate)+IF(M25="",0,IF(M25="None",0,PetSurcharge)),2)))</f>
        <v>0</v>
      </c>
      <c r="AA25" s="21">
        <f>IF(B25="","",ROUND(X25*CostPerHour,2))</f>
        <v>0</v>
      </c>
      <c r="AB25" s="38">
        <f>IF(B25="","",IF(Z25=0,"",(Z25-AA25-X25*SuppliesPerHour)/Z25))</f>
        <v>0</v>
      </c>
      <c r="AC25" s="31">
        <f>IF(A25="","",COUNTIFS(Jobs!$J$5:$J$604,A25))</f>
        <v>0</v>
      </c>
      <c r="AD25" s="18">
        <f>IF(A25="","",IF(SUMPRODUCT(MAX((Jobs!$J$5:$J$604=A25)*((Jobs!$P$5:$P$604="Completed")+(Jobs!$P$5:$P$604="Invoiced"))*Jobs!$B$5:$B$604))=0,"",SUMPRODUCT(MAX((Jobs!$J$5:$J$604=A25)*((Jobs!$P$5:$P$604="Completed")+(Jobs!$P$5:$P$604="Invoiced"))*Jobs!$B$5:$B$604))))</f>
        <v>0</v>
      </c>
      <c r="AE25" s="34">
        <f>IF(A25="","",IFERROR(AVERAGEIFS(Jobs!$AK$5:$AK$604,Jobs!$J$5:$J$604,A25,Jobs!$AK$5:$AK$604,"&gt;0"),""))</f>
        <v>0</v>
      </c>
      <c r="AF25" s="34">
        <f>IF(OR(AE25="",X25=""),"",AE25-X25)</f>
        <v>0</v>
      </c>
      <c r="AG25" s="21">
        <f>IF(A25="","",SUMIFS(Jobs!$AJ$5:$AJ$604,Jobs!$J$5:$J$604,A25,Jobs!$P$5:$P$604,"Invoiced")+SUMIFS(Jobs!$AJ$5:$AJ$604,Jobs!$J$5:$J$604,A25,Jobs!$P$5:$P$604,"Completed"))</f>
        <v>0</v>
      </c>
      <c r="AH25" s="39">
        <f>IF(B25="","",IF(C25="","Add - no client linked",IF(IFERROR(INDEX(Clients!$B$5:$B$204,MATCH(C25,Clients!$A$5:$A$204,0)),"")="","Check - client ID not found",IF(AND(G25="",H25=""),"Add - size needed to price it",IF(AND(AF25&lt;&gt;"",AF25&gt;0.5),"Check - runs over the estimate",IF(N25="","Add - how do we get in?","OK"))))))</f>
        <v>0</v>
      </c>
    </row>
    <row r="26" spans="1:34">
      <c r="A26" s="43">
        <f>IF(B26="","",PropertyPrefix&amp;TEXT(ROW()-4,"0000"))</f>
        <v>0</v>
      </c>
      <c r="D26" s="23">
        <f>IF(C26="","",IFERROR(INDEX(Clients!$B$5:$B$204,MATCH(C26,Clients!$A$5:$A$204,0)),"Not found"))</f>
        <v>0</v>
      </c>
      <c r="W26" s="34">
        <f>IF(B26="","",MAX(IF(H26="",0,H26)*0.45+IF(I26="",0,I26)*0.6+IF(J26="",0,J26)*0.3,IF(G26="",0,G26)/650))</f>
        <v>0</v>
      </c>
      <c r="X26" s="34">
        <f>IF(B26="","",ROUND(MAX(1,W26)*IFERROR(INDEX(ConditionFactors,MATCH(L26,ConditionNames,0)),1),2))</f>
        <v>0</v>
      </c>
      <c r="Y26" s="34">
        <f>IF(B26="","",ROUND(X26/MAX(1,CleanersPerJob),2))</f>
        <v>0</v>
      </c>
      <c r="Z26" s="21">
        <f>IF(B26="","",MAX(MinimumCharge,ROUND(X26*IF(IFERROR(INDEX(Clients!$O$5:$O$204,MATCH(C26,Clients!$A$5:$A$204,0)),0)&gt;0,INDEX(Clients!$O$5:$O$204,MATCH(C26,Clients!$A$5:$A$204,0)),HourlyRate)+IF(M26="",0,IF(M26="None",0,PetSurcharge)),2)))</f>
        <v>0</v>
      </c>
      <c r="AA26" s="21">
        <f>IF(B26="","",ROUND(X26*CostPerHour,2))</f>
        <v>0</v>
      </c>
      <c r="AB26" s="38">
        <f>IF(B26="","",IF(Z26=0,"",(Z26-AA26-X26*SuppliesPerHour)/Z26))</f>
        <v>0</v>
      </c>
      <c r="AC26" s="31">
        <f>IF(A26="","",COUNTIFS(Jobs!$J$5:$J$604,A26))</f>
        <v>0</v>
      </c>
      <c r="AD26" s="18">
        <f>IF(A26="","",IF(SUMPRODUCT(MAX((Jobs!$J$5:$J$604=A26)*((Jobs!$P$5:$P$604="Completed")+(Jobs!$P$5:$P$604="Invoiced"))*Jobs!$B$5:$B$604))=0,"",SUMPRODUCT(MAX((Jobs!$J$5:$J$604=A26)*((Jobs!$P$5:$P$604="Completed")+(Jobs!$P$5:$P$604="Invoiced"))*Jobs!$B$5:$B$604))))</f>
        <v>0</v>
      </c>
      <c r="AE26" s="34">
        <f>IF(A26="","",IFERROR(AVERAGEIFS(Jobs!$AK$5:$AK$604,Jobs!$J$5:$J$604,A26,Jobs!$AK$5:$AK$604,"&gt;0"),""))</f>
        <v>0</v>
      </c>
      <c r="AF26" s="34">
        <f>IF(OR(AE26="",X26=""),"",AE26-X26)</f>
        <v>0</v>
      </c>
      <c r="AG26" s="21">
        <f>IF(A26="","",SUMIFS(Jobs!$AJ$5:$AJ$604,Jobs!$J$5:$J$604,A26,Jobs!$P$5:$P$604,"Invoiced")+SUMIFS(Jobs!$AJ$5:$AJ$604,Jobs!$J$5:$J$604,A26,Jobs!$P$5:$P$604,"Completed"))</f>
        <v>0</v>
      </c>
      <c r="AH26" s="39">
        <f>IF(B26="","",IF(C26="","Add - no client linked",IF(IFERROR(INDEX(Clients!$B$5:$B$204,MATCH(C26,Clients!$A$5:$A$204,0)),"")="","Check - client ID not found",IF(AND(G26="",H26=""),"Add - size needed to price it",IF(AND(AF26&lt;&gt;"",AF26&gt;0.5),"Check - runs over the estimate",IF(N26="","Add - how do we get in?","OK"))))))</f>
        <v>0</v>
      </c>
    </row>
    <row r="27" spans="1:34">
      <c r="A27" s="43">
        <f>IF(B27="","",PropertyPrefix&amp;TEXT(ROW()-4,"0000"))</f>
        <v>0</v>
      </c>
      <c r="D27" s="23">
        <f>IF(C27="","",IFERROR(INDEX(Clients!$B$5:$B$204,MATCH(C27,Clients!$A$5:$A$204,0)),"Not found"))</f>
        <v>0</v>
      </c>
      <c r="W27" s="34">
        <f>IF(B27="","",MAX(IF(H27="",0,H27)*0.45+IF(I27="",0,I27)*0.6+IF(J27="",0,J27)*0.3,IF(G27="",0,G27)/650))</f>
        <v>0</v>
      </c>
      <c r="X27" s="34">
        <f>IF(B27="","",ROUND(MAX(1,W27)*IFERROR(INDEX(ConditionFactors,MATCH(L27,ConditionNames,0)),1),2))</f>
        <v>0</v>
      </c>
      <c r="Y27" s="34">
        <f>IF(B27="","",ROUND(X27/MAX(1,CleanersPerJob),2))</f>
        <v>0</v>
      </c>
      <c r="Z27" s="21">
        <f>IF(B27="","",MAX(MinimumCharge,ROUND(X27*IF(IFERROR(INDEX(Clients!$O$5:$O$204,MATCH(C27,Clients!$A$5:$A$204,0)),0)&gt;0,INDEX(Clients!$O$5:$O$204,MATCH(C27,Clients!$A$5:$A$204,0)),HourlyRate)+IF(M27="",0,IF(M27="None",0,PetSurcharge)),2)))</f>
        <v>0</v>
      </c>
      <c r="AA27" s="21">
        <f>IF(B27="","",ROUND(X27*CostPerHour,2))</f>
        <v>0</v>
      </c>
      <c r="AB27" s="38">
        <f>IF(B27="","",IF(Z27=0,"",(Z27-AA27-X27*SuppliesPerHour)/Z27))</f>
        <v>0</v>
      </c>
      <c r="AC27" s="31">
        <f>IF(A27="","",COUNTIFS(Jobs!$J$5:$J$604,A27))</f>
        <v>0</v>
      </c>
      <c r="AD27" s="18">
        <f>IF(A27="","",IF(SUMPRODUCT(MAX((Jobs!$J$5:$J$604=A27)*((Jobs!$P$5:$P$604="Completed")+(Jobs!$P$5:$P$604="Invoiced"))*Jobs!$B$5:$B$604))=0,"",SUMPRODUCT(MAX((Jobs!$J$5:$J$604=A27)*((Jobs!$P$5:$P$604="Completed")+(Jobs!$P$5:$P$604="Invoiced"))*Jobs!$B$5:$B$604))))</f>
        <v>0</v>
      </c>
      <c r="AE27" s="34">
        <f>IF(A27="","",IFERROR(AVERAGEIFS(Jobs!$AK$5:$AK$604,Jobs!$J$5:$J$604,A27,Jobs!$AK$5:$AK$604,"&gt;0"),""))</f>
        <v>0</v>
      </c>
      <c r="AF27" s="34">
        <f>IF(OR(AE27="",X27=""),"",AE27-X27)</f>
        <v>0</v>
      </c>
      <c r="AG27" s="21">
        <f>IF(A27="","",SUMIFS(Jobs!$AJ$5:$AJ$604,Jobs!$J$5:$J$604,A27,Jobs!$P$5:$P$604,"Invoiced")+SUMIFS(Jobs!$AJ$5:$AJ$604,Jobs!$J$5:$J$604,A27,Jobs!$P$5:$P$604,"Completed"))</f>
        <v>0</v>
      </c>
      <c r="AH27" s="39">
        <f>IF(B27="","",IF(C27="","Add - no client linked",IF(IFERROR(INDEX(Clients!$B$5:$B$204,MATCH(C27,Clients!$A$5:$A$204,0)),"")="","Check - client ID not found",IF(AND(G27="",H27=""),"Add - size needed to price it",IF(AND(AF27&lt;&gt;"",AF27&gt;0.5),"Check - runs over the estimate",IF(N27="","Add - how do we get in?","OK"))))))</f>
        <v>0</v>
      </c>
    </row>
    <row r="28" spans="1:34">
      <c r="A28" s="43">
        <f>IF(B28="","",PropertyPrefix&amp;TEXT(ROW()-4,"0000"))</f>
        <v>0</v>
      </c>
      <c r="D28" s="23">
        <f>IF(C28="","",IFERROR(INDEX(Clients!$B$5:$B$204,MATCH(C28,Clients!$A$5:$A$204,0)),"Not found"))</f>
        <v>0</v>
      </c>
      <c r="W28" s="34">
        <f>IF(B28="","",MAX(IF(H28="",0,H28)*0.45+IF(I28="",0,I28)*0.6+IF(J28="",0,J28)*0.3,IF(G28="",0,G28)/650))</f>
        <v>0</v>
      </c>
      <c r="X28" s="34">
        <f>IF(B28="","",ROUND(MAX(1,W28)*IFERROR(INDEX(ConditionFactors,MATCH(L28,ConditionNames,0)),1),2))</f>
        <v>0</v>
      </c>
      <c r="Y28" s="34">
        <f>IF(B28="","",ROUND(X28/MAX(1,CleanersPerJob),2))</f>
        <v>0</v>
      </c>
      <c r="Z28" s="21">
        <f>IF(B28="","",MAX(MinimumCharge,ROUND(X28*IF(IFERROR(INDEX(Clients!$O$5:$O$204,MATCH(C28,Clients!$A$5:$A$204,0)),0)&gt;0,INDEX(Clients!$O$5:$O$204,MATCH(C28,Clients!$A$5:$A$204,0)),HourlyRate)+IF(M28="",0,IF(M28="None",0,PetSurcharge)),2)))</f>
        <v>0</v>
      </c>
      <c r="AA28" s="21">
        <f>IF(B28="","",ROUND(X28*CostPerHour,2))</f>
        <v>0</v>
      </c>
      <c r="AB28" s="38">
        <f>IF(B28="","",IF(Z28=0,"",(Z28-AA28-X28*SuppliesPerHour)/Z28))</f>
        <v>0</v>
      </c>
      <c r="AC28" s="31">
        <f>IF(A28="","",COUNTIFS(Jobs!$J$5:$J$604,A28))</f>
        <v>0</v>
      </c>
      <c r="AD28" s="18">
        <f>IF(A28="","",IF(SUMPRODUCT(MAX((Jobs!$J$5:$J$604=A28)*((Jobs!$P$5:$P$604="Completed")+(Jobs!$P$5:$P$604="Invoiced"))*Jobs!$B$5:$B$604))=0,"",SUMPRODUCT(MAX((Jobs!$J$5:$J$604=A28)*((Jobs!$P$5:$P$604="Completed")+(Jobs!$P$5:$P$604="Invoiced"))*Jobs!$B$5:$B$604))))</f>
        <v>0</v>
      </c>
      <c r="AE28" s="34">
        <f>IF(A28="","",IFERROR(AVERAGEIFS(Jobs!$AK$5:$AK$604,Jobs!$J$5:$J$604,A28,Jobs!$AK$5:$AK$604,"&gt;0"),""))</f>
        <v>0</v>
      </c>
      <c r="AF28" s="34">
        <f>IF(OR(AE28="",X28=""),"",AE28-X28)</f>
        <v>0</v>
      </c>
      <c r="AG28" s="21">
        <f>IF(A28="","",SUMIFS(Jobs!$AJ$5:$AJ$604,Jobs!$J$5:$J$604,A28,Jobs!$P$5:$P$604,"Invoiced")+SUMIFS(Jobs!$AJ$5:$AJ$604,Jobs!$J$5:$J$604,A28,Jobs!$P$5:$P$604,"Completed"))</f>
        <v>0</v>
      </c>
      <c r="AH28" s="39">
        <f>IF(B28="","",IF(C28="","Add - no client linked",IF(IFERROR(INDEX(Clients!$B$5:$B$204,MATCH(C28,Clients!$A$5:$A$204,0)),"")="","Check - client ID not found",IF(AND(G28="",H28=""),"Add - size needed to price it",IF(AND(AF28&lt;&gt;"",AF28&gt;0.5),"Check - runs over the estimate",IF(N28="","Add - how do we get in?","OK"))))))</f>
        <v>0</v>
      </c>
    </row>
    <row r="29" spans="1:34">
      <c r="A29" s="43">
        <f>IF(B29="","",PropertyPrefix&amp;TEXT(ROW()-4,"0000"))</f>
        <v>0</v>
      </c>
      <c r="D29" s="23">
        <f>IF(C29="","",IFERROR(INDEX(Clients!$B$5:$B$204,MATCH(C29,Clients!$A$5:$A$204,0)),"Not found"))</f>
        <v>0</v>
      </c>
      <c r="W29" s="34">
        <f>IF(B29="","",MAX(IF(H29="",0,H29)*0.45+IF(I29="",0,I29)*0.6+IF(J29="",0,J29)*0.3,IF(G29="",0,G29)/650))</f>
        <v>0</v>
      </c>
      <c r="X29" s="34">
        <f>IF(B29="","",ROUND(MAX(1,W29)*IFERROR(INDEX(ConditionFactors,MATCH(L29,ConditionNames,0)),1),2))</f>
        <v>0</v>
      </c>
      <c r="Y29" s="34">
        <f>IF(B29="","",ROUND(X29/MAX(1,CleanersPerJob),2))</f>
        <v>0</v>
      </c>
      <c r="Z29" s="21">
        <f>IF(B29="","",MAX(MinimumCharge,ROUND(X29*IF(IFERROR(INDEX(Clients!$O$5:$O$204,MATCH(C29,Clients!$A$5:$A$204,0)),0)&gt;0,INDEX(Clients!$O$5:$O$204,MATCH(C29,Clients!$A$5:$A$204,0)),HourlyRate)+IF(M29="",0,IF(M29="None",0,PetSurcharge)),2)))</f>
        <v>0</v>
      </c>
      <c r="AA29" s="21">
        <f>IF(B29="","",ROUND(X29*CostPerHour,2))</f>
        <v>0</v>
      </c>
      <c r="AB29" s="38">
        <f>IF(B29="","",IF(Z29=0,"",(Z29-AA29-X29*SuppliesPerHour)/Z29))</f>
        <v>0</v>
      </c>
      <c r="AC29" s="31">
        <f>IF(A29="","",COUNTIFS(Jobs!$J$5:$J$604,A29))</f>
        <v>0</v>
      </c>
      <c r="AD29" s="18">
        <f>IF(A29="","",IF(SUMPRODUCT(MAX((Jobs!$J$5:$J$604=A29)*((Jobs!$P$5:$P$604="Completed")+(Jobs!$P$5:$P$604="Invoiced"))*Jobs!$B$5:$B$604))=0,"",SUMPRODUCT(MAX((Jobs!$J$5:$J$604=A29)*((Jobs!$P$5:$P$604="Completed")+(Jobs!$P$5:$P$604="Invoiced"))*Jobs!$B$5:$B$604))))</f>
        <v>0</v>
      </c>
      <c r="AE29" s="34">
        <f>IF(A29="","",IFERROR(AVERAGEIFS(Jobs!$AK$5:$AK$604,Jobs!$J$5:$J$604,A29,Jobs!$AK$5:$AK$604,"&gt;0"),""))</f>
        <v>0</v>
      </c>
      <c r="AF29" s="34">
        <f>IF(OR(AE29="",X29=""),"",AE29-X29)</f>
        <v>0</v>
      </c>
      <c r="AG29" s="21">
        <f>IF(A29="","",SUMIFS(Jobs!$AJ$5:$AJ$604,Jobs!$J$5:$J$604,A29,Jobs!$P$5:$P$604,"Invoiced")+SUMIFS(Jobs!$AJ$5:$AJ$604,Jobs!$J$5:$J$604,A29,Jobs!$P$5:$P$604,"Completed"))</f>
        <v>0</v>
      </c>
      <c r="AH29" s="39">
        <f>IF(B29="","",IF(C29="","Add - no client linked",IF(IFERROR(INDEX(Clients!$B$5:$B$204,MATCH(C29,Clients!$A$5:$A$204,0)),"")="","Check - client ID not found",IF(AND(G29="",H29=""),"Add - size needed to price it",IF(AND(AF29&lt;&gt;"",AF29&gt;0.5),"Check - runs over the estimate",IF(N29="","Add - how do we get in?","OK"))))))</f>
        <v>0</v>
      </c>
    </row>
    <row r="30" spans="1:34">
      <c r="A30" s="43">
        <f>IF(B30="","",PropertyPrefix&amp;TEXT(ROW()-4,"0000"))</f>
        <v>0</v>
      </c>
      <c r="D30" s="23">
        <f>IF(C30="","",IFERROR(INDEX(Clients!$B$5:$B$204,MATCH(C30,Clients!$A$5:$A$204,0)),"Not found"))</f>
        <v>0</v>
      </c>
      <c r="W30" s="34">
        <f>IF(B30="","",MAX(IF(H30="",0,H30)*0.45+IF(I30="",0,I30)*0.6+IF(J30="",0,J30)*0.3,IF(G30="",0,G30)/650))</f>
        <v>0</v>
      </c>
      <c r="X30" s="34">
        <f>IF(B30="","",ROUND(MAX(1,W30)*IFERROR(INDEX(ConditionFactors,MATCH(L30,ConditionNames,0)),1),2))</f>
        <v>0</v>
      </c>
      <c r="Y30" s="34">
        <f>IF(B30="","",ROUND(X30/MAX(1,CleanersPerJob),2))</f>
        <v>0</v>
      </c>
      <c r="Z30" s="21">
        <f>IF(B30="","",MAX(MinimumCharge,ROUND(X30*IF(IFERROR(INDEX(Clients!$O$5:$O$204,MATCH(C30,Clients!$A$5:$A$204,0)),0)&gt;0,INDEX(Clients!$O$5:$O$204,MATCH(C30,Clients!$A$5:$A$204,0)),HourlyRate)+IF(M30="",0,IF(M30="None",0,PetSurcharge)),2)))</f>
        <v>0</v>
      </c>
      <c r="AA30" s="21">
        <f>IF(B30="","",ROUND(X30*CostPerHour,2))</f>
        <v>0</v>
      </c>
      <c r="AB30" s="38">
        <f>IF(B30="","",IF(Z30=0,"",(Z30-AA30-X30*SuppliesPerHour)/Z30))</f>
        <v>0</v>
      </c>
      <c r="AC30" s="31">
        <f>IF(A30="","",COUNTIFS(Jobs!$J$5:$J$604,A30))</f>
        <v>0</v>
      </c>
      <c r="AD30" s="18">
        <f>IF(A30="","",IF(SUMPRODUCT(MAX((Jobs!$J$5:$J$604=A30)*((Jobs!$P$5:$P$604="Completed")+(Jobs!$P$5:$P$604="Invoiced"))*Jobs!$B$5:$B$604))=0,"",SUMPRODUCT(MAX((Jobs!$J$5:$J$604=A30)*((Jobs!$P$5:$P$604="Completed")+(Jobs!$P$5:$P$604="Invoiced"))*Jobs!$B$5:$B$604))))</f>
        <v>0</v>
      </c>
      <c r="AE30" s="34">
        <f>IF(A30="","",IFERROR(AVERAGEIFS(Jobs!$AK$5:$AK$604,Jobs!$J$5:$J$604,A30,Jobs!$AK$5:$AK$604,"&gt;0"),""))</f>
        <v>0</v>
      </c>
      <c r="AF30" s="34">
        <f>IF(OR(AE30="",X30=""),"",AE30-X30)</f>
        <v>0</v>
      </c>
      <c r="AG30" s="21">
        <f>IF(A30="","",SUMIFS(Jobs!$AJ$5:$AJ$604,Jobs!$J$5:$J$604,A30,Jobs!$P$5:$P$604,"Invoiced")+SUMIFS(Jobs!$AJ$5:$AJ$604,Jobs!$J$5:$J$604,A30,Jobs!$P$5:$P$604,"Completed"))</f>
        <v>0</v>
      </c>
      <c r="AH30" s="39">
        <f>IF(B30="","",IF(C30="","Add - no client linked",IF(IFERROR(INDEX(Clients!$B$5:$B$204,MATCH(C30,Clients!$A$5:$A$204,0)),"")="","Check - client ID not found",IF(AND(G30="",H30=""),"Add - size needed to price it",IF(AND(AF30&lt;&gt;"",AF30&gt;0.5),"Check - runs over the estimate",IF(N30="","Add - how do we get in?","OK"))))))</f>
        <v>0</v>
      </c>
    </row>
    <row r="31" spans="1:34">
      <c r="A31" s="43">
        <f>IF(B31="","",PropertyPrefix&amp;TEXT(ROW()-4,"0000"))</f>
        <v>0</v>
      </c>
      <c r="D31" s="23">
        <f>IF(C31="","",IFERROR(INDEX(Clients!$B$5:$B$204,MATCH(C31,Clients!$A$5:$A$204,0)),"Not found"))</f>
        <v>0</v>
      </c>
      <c r="W31" s="34">
        <f>IF(B31="","",MAX(IF(H31="",0,H31)*0.45+IF(I31="",0,I31)*0.6+IF(J31="",0,J31)*0.3,IF(G31="",0,G31)/650))</f>
        <v>0</v>
      </c>
      <c r="X31" s="34">
        <f>IF(B31="","",ROUND(MAX(1,W31)*IFERROR(INDEX(ConditionFactors,MATCH(L31,ConditionNames,0)),1),2))</f>
        <v>0</v>
      </c>
      <c r="Y31" s="34">
        <f>IF(B31="","",ROUND(X31/MAX(1,CleanersPerJob),2))</f>
        <v>0</v>
      </c>
      <c r="Z31" s="21">
        <f>IF(B31="","",MAX(MinimumCharge,ROUND(X31*IF(IFERROR(INDEX(Clients!$O$5:$O$204,MATCH(C31,Clients!$A$5:$A$204,0)),0)&gt;0,INDEX(Clients!$O$5:$O$204,MATCH(C31,Clients!$A$5:$A$204,0)),HourlyRate)+IF(M31="",0,IF(M31="None",0,PetSurcharge)),2)))</f>
        <v>0</v>
      </c>
      <c r="AA31" s="21">
        <f>IF(B31="","",ROUND(X31*CostPerHour,2))</f>
        <v>0</v>
      </c>
      <c r="AB31" s="38">
        <f>IF(B31="","",IF(Z31=0,"",(Z31-AA31-X31*SuppliesPerHour)/Z31))</f>
        <v>0</v>
      </c>
      <c r="AC31" s="31">
        <f>IF(A31="","",COUNTIFS(Jobs!$J$5:$J$604,A31))</f>
        <v>0</v>
      </c>
      <c r="AD31" s="18">
        <f>IF(A31="","",IF(SUMPRODUCT(MAX((Jobs!$J$5:$J$604=A31)*((Jobs!$P$5:$P$604="Completed")+(Jobs!$P$5:$P$604="Invoiced"))*Jobs!$B$5:$B$604))=0,"",SUMPRODUCT(MAX((Jobs!$J$5:$J$604=A31)*((Jobs!$P$5:$P$604="Completed")+(Jobs!$P$5:$P$604="Invoiced"))*Jobs!$B$5:$B$604))))</f>
        <v>0</v>
      </c>
      <c r="AE31" s="34">
        <f>IF(A31="","",IFERROR(AVERAGEIFS(Jobs!$AK$5:$AK$604,Jobs!$J$5:$J$604,A31,Jobs!$AK$5:$AK$604,"&gt;0"),""))</f>
        <v>0</v>
      </c>
      <c r="AF31" s="34">
        <f>IF(OR(AE31="",X31=""),"",AE31-X31)</f>
        <v>0</v>
      </c>
      <c r="AG31" s="21">
        <f>IF(A31="","",SUMIFS(Jobs!$AJ$5:$AJ$604,Jobs!$J$5:$J$604,A31,Jobs!$P$5:$P$604,"Invoiced")+SUMIFS(Jobs!$AJ$5:$AJ$604,Jobs!$J$5:$J$604,A31,Jobs!$P$5:$P$604,"Completed"))</f>
        <v>0</v>
      </c>
      <c r="AH31" s="39">
        <f>IF(B31="","",IF(C31="","Add - no client linked",IF(IFERROR(INDEX(Clients!$B$5:$B$204,MATCH(C31,Clients!$A$5:$A$204,0)),"")="","Check - client ID not found",IF(AND(G31="",H31=""),"Add - size needed to price it",IF(AND(AF31&lt;&gt;"",AF31&gt;0.5),"Check - runs over the estimate",IF(N31="","Add - how do we get in?","OK"))))))</f>
        <v>0</v>
      </c>
    </row>
    <row r="32" spans="1:34">
      <c r="A32" s="43">
        <f>IF(B32="","",PropertyPrefix&amp;TEXT(ROW()-4,"0000"))</f>
        <v>0</v>
      </c>
      <c r="D32" s="23">
        <f>IF(C32="","",IFERROR(INDEX(Clients!$B$5:$B$204,MATCH(C32,Clients!$A$5:$A$204,0)),"Not found"))</f>
        <v>0</v>
      </c>
      <c r="W32" s="34">
        <f>IF(B32="","",MAX(IF(H32="",0,H32)*0.45+IF(I32="",0,I32)*0.6+IF(J32="",0,J32)*0.3,IF(G32="",0,G32)/650))</f>
        <v>0</v>
      </c>
      <c r="X32" s="34">
        <f>IF(B32="","",ROUND(MAX(1,W32)*IFERROR(INDEX(ConditionFactors,MATCH(L32,ConditionNames,0)),1),2))</f>
        <v>0</v>
      </c>
      <c r="Y32" s="34">
        <f>IF(B32="","",ROUND(X32/MAX(1,CleanersPerJob),2))</f>
        <v>0</v>
      </c>
      <c r="Z32" s="21">
        <f>IF(B32="","",MAX(MinimumCharge,ROUND(X32*IF(IFERROR(INDEX(Clients!$O$5:$O$204,MATCH(C32,Clients!$A$5:$A$204,0)),0)&gt;0,INDEX(Clients!$O$5:$O$204,MATCH(C32,Clients!$A$5:$A$204,0)),HourlyRate)+IF(M32="",0,IF(M32="None",0,PetSurcharge)),2)))</f>
        <v>0</v>
      </c>
      <c r="AA32" s="21">
        <f>IF(B32="","",ROUND(X32*CostPerHour,2))</f>
        <v>0</v>
      </c>
      <c r="AB32" s="38">
        <f>IF(B32="","",IF(Z32=0,"",(Z32-AA32-X32*SuppliesPerHour)/Z32))</f>
        <v>0</v>
      </c>
      <c r="AC32" s="31">
        <f>IF(A32="","",COUNTIFS(Jobs!$J$5:$J$604,A32))</f>
        <v>0</v>
      </c>
      <c r="AD32" s="18">
        <f>IF(A32="","",IF(SUMPRODUCT(MAX((Jobs!$J$5:$J$604=A32)*((Jobs!$P$5:$P$604="Completed")+(Jobs!$P$5:$P$604="Invoiced"))*Jobs!$B$5:$B$604))=0,"",SUMPRODUCT(MAX((Jobs!$J$5:$J$604=A32)*((Jobs!$P$5:$P$604="Completed")+(Jobs!$P$5:$P$604="Invoiced"))*Jobs!$B$5:$B$604))))</f>
        <v>0</v>
      </c>
      <c r="AE32" s="34">
        <f>IF(A32="","",IFERROR(AVERAGEIFS(Jobs!$AK$5:$AK$604,Jobs!$J$5:$J$604,A32,Jobs!$AK$5:$AK$604,"&gt;0"),""))</f>
        <v>0</v>
      </c>
      <c r="AF32" s="34">
        <f>IF(OR(AE32="",X32=""),"",AE32-X32)</f>
        <v>0</v>
      </c>
      <c r="AG32" s="21">
        <f>IF(A32="","",SUMIFS(Jobs!$AJ$5:$AJ$604,Jobs!$J$5:$J$604,A32,Jobs!$P$5:$P$604,"Invoiced")+SUMIFS(Jobs!$AJ$5:$AJ$604,Jobs!$J$5:$J$604,A32,Jobs!$P$5:$P$604,"Completed"))</f>
        <v>0</v>
      </c>
      <c r="AH32" s="39">
        <f>IF(B32="","",IF(C32="","Add - no client linked",IF(IFERROR(INDEX(Clients!$B$5:$B$204,MATCH(C32,Clients!$A$5:$A$204,0)),"")="","Check - client ID not found",IF(AND(G32="",H32=""),"Add - size needed to price it",IF(AND(AF32&lt;&gt;"",AF32&gt;0.5),"Check - runs over the estimate",IF(N32="","Add - how do we get in?","OK"))))))</f>
        <v>0</v>
      </c>
    </row>
    <row r="33" spans="1:34">
      <c r="A33" s="43">
        <f>IF(B33="","",PropertyPrefix&amp;TEXT(ROW()-4,"0000"))</f>
        <v>0</v>
      </c>
      <c r="D33" s="23">
        <f>IF(C33="","",IFERROR(INDEX(Clients!$B$5:$B$204,MATCH(C33,Clients!$A$5:$A$204,0)),"Not found"))</f>
        <v>0</v>
      </c>
      <c r="W33" s="34">
        <f>IF(B33="","",MAX(IF(H33="",0,H33)*0.45+IF(I33="",0,I33)*0.6+IF(J33="",0,J33)*0.3,IF(G33="",0,G33)/650))</f>
        <v>0</v>
      </c>
      <c r="X33" s="34">
        <f>IF(B33="","",ROUND(MAX(1,W33)*IFERROR(INDEX(ConditionFactors,MATCH(L33,ConditionNames,0)),1),2))</f>
        <v>0</v>
      </c>
      <c r="Y33" s="34">
        <f>IF(B33="","",ROUND(X33/MAX(1,CleanersPerJob),2))</f>
        <v>0</v>
      </c>
      <c r="Z33" s="21">
        <f>IF(B33="","",MAX(MinimumCharge,ROUND(X33*IF(IFERROR(INDEX(Clients!$O$5:$O$204,MATCH(C33,Clients!$A$5:$A$204,0)),0)&gt;0,INDEX(Clients!$O$5:$O$204,MATCH(C33,Clients!$A$5:$A$204,0)),HourlyRate)+IF(M33="",0,IF(M33="None",0,PetSurcharge)),2)))</f>
        <v>0</v>
      </c>
      <c r="AA33" s="21">
        <f>IF(B33="","",ROUND(X33*CostPerHour,2))</f>
        <v>0</v>
      </c>
      <c r="AB33" s="38">
        <f>IF(B33="","",IF(Z33=0,"",(Z33-AA33-X33*SuppliesPerHour)/Z33))</f>
        <v>0</v>
      </c>
      <c r="AC33" s="31">
        <f>IF(A33="","",COUNTIFS(Jobs!$J$5:$J$604,A33))</f>
        <v>0</v>
      </c>
      <c r="AD33" s="18">
        <f>IF(A33="","",IF(SUMPRODUCT(MAX((Jobs!$J$5:$J$604=A33)*((Jobs!$P$5:$P$604="Completed")+(Jobs!$P$5:$P$604="Invoiced"))*Jobs!$B$5:$B$604))=0,"",SUMPRODUCT(MAX((Jobs!$J$5:$J$604=A33)*((Jobs!$P$5:$P$604="Completed")+(Jobs!$P$5:$P$604="Invoiced"))*Jobs!$B$5:$B$604))))</f>
        <v>0</v>
      </c>
      <c r="AE33" s="34">
        <f>IF(A33="","",IFERROR(AVERAGEIFS(Jobs!$AK$5:$AK$604,Jobs!$J$5:$J$604,A33,Jobs!$AK$5:$AK$604,"&gt;0"),""))</f>
        <v>0</v>
      </c>
      <c r="AF33" s="34">
        <f>IF(OR(AE33="",X33=""),"",AE33-X33)</f>
        <v>0</v>
      </c>
      <c r="AG33" s="21">
        <f>IF(A33="","",SUMIFS(Jobs!$AJ$5:$AJ$604,Jobs!$J$5:$J$604,A33,Jobs!$P$5:$P$604,"Invoiced")+SUMIFS(Jobs!$AJ$5:$AJ$604,Jobs!$J$5:$J$604,A33,Jobs!$P$5:$P$604,"Completed"))</f>
        <v>0</v>
      </c>
      <c r="AH33" s="39">
        <f>IF(B33="","",IF(C33="","Add - no client linked",IF(IFERROR(INDEX(Clients!$B$5:$B$204,MATCH(C33,Clients!$A$5:$A$204,0)),"")="","Check - client ID not found",IF(AND(G33="",H33=""),"Add - size needed to price it",IF(AND(AF33&lt;&gt;"",AF33&gt;0.5),"Check - runs over the estimate",IF(N33="","Add - how do we get in?","OK"))))))</f>
        <v>0</v>
      </c>
    </row>
    <row r="34" spans="1:34">
      <c r="A34" s="43">
        <f>IF(B34="","",PropertyPrefix&amp;TEXT(ROW()-4,"0000"))</f>
        <v>0</v>
      </c>
      <c r="D34" s="23">
        <f>IF(C34="","",IFERROR(INDEX(Clients!$B$5:$B$204,MATCH(C34,Clients!$A$5:$A$204,0)),"Not found"))</f>
        <v>0</v>
      </c>
      <c r="W34" s="34">
        <f>IF(B34="","",MAX(IF(H34="",0,H34)*0.45+IF(I34="",0,I34)*0.6+IF(J34="",0,J34)*0.3,IF(G34="",0,G34)/650))</f>
        <v>0</v>
      </c>
      <c r="X34" s="34">
        <f>IF(B34="","",ROUND(MAX(1,W34)*IFERROR(INDEX(ConditionFactors,MATCH(L34,ConditionNames,0)),1),2))</f>
        <v>0</v>
      </c>
      <c r="Y34" s="34">
        <f>IF(B34="","",ROUND(X34/MAX(1,CleanersPerJob),2))</f>
        <v>0</v>
      </c>
      <c r="Z34" s="21">
        <f>IF(B34="","",MAX(MinimumCharge,ROUND(X34*IF(IFERROR(INDEX(Clients!$O$5:$O$204,MATCH(C34,Clients!$A$5:$A$204,0)),0)&gt;0,INDEX(Clients!$O$5:$O$204,MATCH(C34,Clients!$A$5:$A$204,0)),HourlyRate)+IF(M34="",0,IF(M34="None",0,PetSurcharge)),2)))</f>
        <v>0</v>
      </c>
      <c r="AA34" s="21">
        <f>IF(B34="","",ROUND(X34*CostPerHour,2))</f>
        <v>0</v>
      </c>
      <c r="AB34" s="38">
        <f>IF(B34="","",IF(Z34=0,"",(Z34-AA34-X34*SuppliesPerHour)/Z34))</f>
        <v>0</v>
      </c>
      <c r="AC34" s="31">
        <f>IF(A34="","",COUNTIFS(Jobs!$J$5:$J$604,A34))</f>
        <v>0</v>
      </c>
      <c r="AD34" s="18">
        <f>IF(A34="","",IF(SUMPRODUCT(MAX((Jobs!$J$5:$J$604=A34)*((Jobs!$P$5:$P$604="Completed")+(Jobs!$P$5:$P$604="Invoiced"))*Jobs!$B$5:$B$604))=0,"",SUMPRODUCT(MAX((Jobs!$J$5:$J$604=A34)*((Jobs!$P$5:$P$604="Completed")+(Jobs!$P$5:$P$604="Invoiced"))*Jobs!$B$5:$B$604))))</f>
        <v>0</v>
      </c>
      <c r="AE34" s="34">
        <f>IF(A34="","",IFERROR(AVERAGEIFS(Jobs!$AK$5:$AK$604,Jobs!$J$5:$J$604,A34,Jobs!$AK$5:$AK$604,"&gt;0"),""))</f>
        <v>0</v>
      </c>
      <c r="AF34" s="34">
        <f>IF(OR(AE34="",X34=""),"",AE34-X34)</f>
        <v>0</v>
      </c>
      <c r="AG34" s="21">
        <f>IF(A34="","",SUMIFS(Jobs!$AJ$5:$AJ$604,Jobs!$J$5:$J$604,A34,Jobs!$P$5:$P$604,"Invoiced")+SUMIFS(Jobs!$AJ$5:$AJ$604,Jobs!$J$5:$J$604,A34,Jobs!$P$5:$P$604,"Completed"))</f>
        <v>0</v>
      </c>
      <c r="AH34" s="39">
        <f>IF(B34="","",IF(C34="","Add - no client linked",IF(IFERROR(INDEX(Clients!$B$5:$B$204,MATCH(C34,Clients!$A$5:$A$204,0)),"")="","Check - client ID not found",IF(AND(G34="",H34=""),"Add - size needed to price it",IF(AND(AF34&lt;&gt;"",AF34&gt;0.5),"Check - runs over the estimate",IF(N34="","Add - how do we get in?","OK"))))))</f>
        <v>0</v>
      </c>
    </row>
    <row r="35" spans="1:34">
      <c r="A35" s="43">
        <f>IF(B35="","",PropertyPrefix&amp;TEXT(ROW()-4,"0000"))</f>
        <v>0</v>
      </c>
      <c r="D35" s="23">
        <f>IF(C35="","",IFERROR(INDEX(Clients!$B$5:$B$204,MATCH(C35,Clients!$A$5:$A$204,0)),"Not found"))</f>
        <v>0</v>
      </c>
      <c r="W35" s="34">
        <f>IF(B35="","",MAX(IF(H35="",0,H35)*0.45+IF(I35="",0,I35)*0.6+IF(J35="",0,J35)*0.3,IF(G35="",0,G35)/650))</f>
        <v>0</v>
      </c>
      <c r="X35" s="34">
        <f>IF(B35="","",ROUND(MAX(1,W35)*IFERROR(INDEX(ConditionFactors,MATCH(L35,ConditionNames,0)),1),2))</f>
        <v>0</v>
      </c>
      <c r="Y35" s="34">
        <f>IF(B35="","",ROUND(X35/MAX(1,CleanersPerJob),2))</f>
        <v>0</v>
      </c>
      <c r="Z35" s="21">
        <f>IF(B35="","",MAX(MinimumCharge,ROUND(X35*IF(IFERROR(INDEX(Clients!$O$5:$O$204,MATCH(C35,Clients!$A$5:$A$204,0)),0)&gt;0,INDEX(Clients!$O$5:$O$204,MATCH(C35,Clients!$A$5:$A$204,0)),HourlyRate)+IF(M35="",0,IF(M35="None",0,PetSurcharge)),2)))</f>
        <v>0</v>
      </c>
      <c r="AA35" s="21">
        <f>IF(B35="","",ROUND(X35*CostPerHour,2))</f>
        <v>0</v>
      </c>
      <c r="AB35" s="38">
        <f>IF(B35="","",IF(Z35=0,"",(Z35-AA35-X35*SuppliesPerHour)/Z35))</f>
        <v>0</v>
      </c>
      <c r="AC35" s="31">
        <f>IF(A35="","",COUNTIFS(Jobs!$J$5:$J$604,A35))</f>
        <v>0</v>
      </c>
      <c r="AD35" s="18">
        <f>IF(A35="","",IF(SUMPRODUCT(MAX((Jobs!$J$5:$J$604=A35)*((Jobs!$P$5:$P$604="Completed")+(Jobs!$P$5:$P$604="Invoiced"))*Jobs!$B$5:$B$604))=0,"",SUMPRODUCT(MAX((Jobs!$J$5:$J$604=A35)*((Jobs!$P$5:$P$604="Completed")+(Jobs!$P$5:$P$604="Invoiced"))*Jobs!$B$5:$B$604))))</f>
        <v>0</v>
      </c>
      <c r="AE35" s="34">
        <f>IF(A35="","",IFERROR(AVERAGEIFS(Jobs!$AK$5:$AK$604,Jobs!$J$5:$J$604,A35,Jobs!$AK$5:$AK$604,"&gt;0"),""))</f>
        <v>0</v>
      </c>
      <c r="AF35" s="34">
        <f>IF(OR(AE35="",X35=""),"",AE35-X35)</f>
        <v>0</v>
      </c>
      <c r="AG35" s="21">
        <f>IF(A35="","",SUMIFS(Jobs!$AJ$5:$AJ$604,Jobs!$J$5:$J$604,A35,Jobs!$P$5:$P$604,"Invoiced")+SUMIFS(Jobs!$AJ$5:$AJ$604,Jobs!$J$5:$J$604,A35,Jobs!$P$5:$P$604,"Completed"))</f>
        <v>0</v>
      </c>
      <c r="AH35" s="39">
        <f>IF(B35="","",IF(C35="","Add - no client linked",IF(IFERROR(INDEX(Clients!$B$5:$B$204,MATCH(C35,Clients!$A$5:$A$204,0)),"")="","Check - client ID not found",IF(AND(G35="",H35=""),"Add - size needed to price it",IF(AND(AF35&lt;&gt;"",AF35&gt;0.5),"Check - runs over the estimate",IF(N35="","Add - how do we get in?","OK"))))))</f>
        <v>0</v>
      </c>
    </row>
    <row r="36" spans="1:34">
      <c r="A36" s="43">
        <f>IF(B36="","",PropertyPrefix&amp;TEXT(ROW()-4,"0000"))</f>
        <v>0</v>
      </c>
      <c r="D36" s="23">
        <f>IF(C36="","",IFERROR(INDEX(Clients!$B$5:$B$204,MATCH(C36,Clients!$A$5:$A$204,0)),"Not found"))</f>
        <v>0</v>
      </c>
      <c r="W36" s="34">
        <f>IF(B36="","",MAX(IF(H36="",0,H36)*0.45+IF(I36="",0,I36)*0.6+IF(J36="",0,J36)*0.3,IF(G36="",0,G36)/650))</f>
        <v>0</v>
      </c>
      <c r="X36" s="34">
        <f>IF(B36="","",ROUND(MAX(1,W36)*IFERROR(INDEX(ConditionFactors,MATCH(L36,ConditionNames,0)),1),2))</f>
        <v>0</v>
      </c>
      <c r="Y36" s="34">
        <f>IF(B36="","",ROUND(X36/MAX(1,CleanersPerJob),2))</f>
        <v>0</v>
      </c>
      <c r="Z36" s="21">
        <f>IF(B36="","",MAX(MinimumCharge,ROUND(X36*IF(IFERROR(INDEX(Clients!$O$5:$O$204,MATCH(C36,Clients!$A$5:$A$204,0)),0)&gt;0,INDEX(Clients!$O$5:$O$204,MATCH(C36,Clients!$A$5:$A$204,0)),HourlyRate)+IF(M36="",0,IF(M36="None",0,PetSurcharge)),2)))</f>
        <v>0</v>
      </c>
      <c r="AA36" s="21">
        <f>IF(B36="","",ROUND(X36*CostPerHour,2))</f>
        <v>0</v>
      </c>
      <c r="AB36" s="38">
        <f>IF(B36="","",IF(Z36=0,"",(Z36-AA36-X36*SuppliesPerHour)/Z36))</f>
        <v>0</v>
      </c>
      <c r="AC36" s="31">
        <f>IF(A36="","",COUNTIFS(Jobs!$J$5:$J$604,A36))</f>
        <v>0</v>
      </c>
      <c r="AD36" s="18">
        <f>IF(A36="","",IF(SUMPRODUCT(MAX((Jobs!$J$5:$J$604=A36)*((Jobs!$P$5:$P$604="Completed")+(Jobs!$P$5:$P$604="Invoiced"))*Jobs!$B$5:$B$604))=0,"",SUMPRODUCT(MAX((Jobs!$J$5:$J$604=A36)*((Jobs!$P$5:$P$604="Completed")+(Jobs!$P$5:$P$604="Invoiced"))*Jobs!$B$5:$B$604))))</f>
        <v>0</v>
      </c>
      <c r="AE36" s="34">
        <f>IF(A36="","",IFERROR(AVERAGEIFS(Jobs!$AK$5:$AK$604,Jobs!$J$5:$J$604,A36,Jobs!$AK$5:$AK$604,"&gt;0"),""))</f>
        <v>0</v>
      </c>
      <c r="AF36" s="34">
        <f>IF(OR(AE36="",X36=""),"",AE36-X36)</f>
        <v>0</v>
      </c>
      <c r="AG36" s="21">
        <f>IF(A36="","",SUMIFS(Jobs!$AJ$5:$AJ$604,Jobs!$J$5:$J$604,A36,Jobs!$P$5:$P$604,"Invoiced")+SUMIFS(Jobs!$AJ$5:$AJ$604,Jobs!$J$5:$J$604,A36,Jobs!$P$5:$P$604,"Completed"))</f>
        <v>0</v>
      </c>
      <c r="AH36" s="39">
        <f>IF(B36="","",IF(C36="","Add - no client linked",IF(IFERROR(INDEX(Clients!$B$5:$B$204,MATCH(C36,Clients!$A$5:$A$204,0)),"")="","Check - client ID not found",IF(AND(G36="",H36=""),"Add - size needed to price it",IF(AND(AF36&lt;&gt;"",AF36&gt;0.5),"Check - runs over the estimate",IF(N36="","Add - how do we get in?","OK"))))))</f>
        <v>0</v>
      </c>
    </row>
    <row r="37" spans="1:34">
      <c r="A37" s="43">
        <f>IF(B37="","",PropertyPrefix&amp;TEXT(ROW()-4,"0000"))</f>
        <v>0</v>
      </c>
      <c r="D37" s="23">
        <f>IF(C37="","",IFERROR(INDEX(Clients!$B$5:$B$204,MATCH(C37,Clients!$A$5:$A$204,0)),"Not found"))</f>
        <v>0</v>
      </c>
      <c r="W37" s="34">
        <f>IF(B37="","",MAX(IF(H37="",0,H37)*0.45+IF(I37="",0,I37)*0.6+IF(J37="",0,J37)*0.3,IF(G37="",0,G37)/650))</f>
        <v>0</v>
      </c>
      <c r="X37" s="34">
        <f>IF(B37="","",ROUND(MAX(1,W37)*IFERROR(INDEX(ConditionFactors,MATCH(L37,ConditionNames,0)),1),2))</f>
        <v>0</v>
      </c>
      <c r="Y37" s="34">
        <f>IF(B37="","",ROUND(X37/MAX(1,CleanersPerJob),2))</f>
        <v>0</v>
      </c>
      <c r="Z37" s="21">
        <f>IF(B37="","",MAX(MinimumCharge,ROUND(X37*IF(IFERROR(INDEX(Clients!$O$5:$O$204,MATCH(C37,Clients!$A$5:$A$204,0)),0)&gt;0,INDEX(Clients!$O$5:$O$204,MATCH(C37,Clients!$A$5:$A$204,0)),HourlyRate)+IF(M37="",0,IF(M37="None",0,PetSurcharge)),2)))</f>
        <v>0</v>
      </c>
      <c r="AA37" s="21">
        <f>IF(B37="","",ROUND(X37*CostPerHour,2))</f>
        <v>0</v>
      </c>
      <c r="AB37" s="38">
        <f>IF(B37="","",IF(Z37=0,"",(Z37-AA37-X37*SuppliesPerHour)/Z37))</f>
        <v>0</v>
      </c>
      <c r="AC37" s="31">
        <f>IF(A37="","",COUNTIFS(Jobs!$J$5:$J$604,A37))</f>
        <v>0</v>
      </c>
      <c r="AD37" s="18">
        <f>IF(A37="","",IF(SUMPRODUCT(MAX((Jobs!$J$5:$J$604=A37)*((Jobs!$P$5:$P$604="Completed")+(Jobs!$P$5:$P$604="Invoiced"))*Jobs!$B$5:$B$604))=0,"",SUMPRODUCT(MAX((Jobs!$J$5:$J$604=A37)*((Jobs!$P$5:$P$604="Completed")+(Jobs!$P$5:$P$604="Invoiced"))*Jobs!$B$5:$B$604))))</f>
        <v>0</v>
      </c>
      <c r="AE37" s="34">
        <f>IF(A37="","",IFERROR(AVERAGEIFS(Jobs!$AK$5:$AK$604,Jobs!$J$5:$J$604,A37,Jobs!$AK$5:$AK$604,"&gt;0"),""))</f>
        <v>0</v>
      </c>
      <c r="AF37" s="34">
        <f>IF(OR(AE37="",X37=""),"",AE37-X37)</f>
        <v>0</v>
      </c>
      <c r="AG37" s="21">
        <f>IF(A37="","",SUMIFS(Jobs!$AJ$5:$AJ$604,Jobs!$J$5:$J$604,A37,Jobs!$P$5:$P$604,"Invoiced")+SUMIFS(Jobs!$AJ$5:$AJ$604,Jobs!$J$5:$J$604,A37,Jobs!$P$5:$P$604,"Completed"))</f>
        <v>0</v>
      </c>
      <c r="AH37" s="39">
        <f>IF(B37="","",IF(C37="","Add - no client linked",IF(IFERROR(INDEX(Clients!$B$5:$B$204,MATCH(C37,Clients!$A$5:$A$204,0)),"")="","Check - client ID not found",IF(AND(G37="",H37=""),"Add - size needed to price it",IF(AND(AF37&lt;&gt;"",AF37&gt;0.5),"Check - runs over the estimate",IF(N37="","Add - how do we get in?","OK"))))))</f>
        <v>0</v>
      </c>
    </row>
    <row r="38" spans="1:34">
      <c r="A38" s="43">
        <f>IF(B38="","",PropertyPrefix&amp;TEXT(ROW()-4,"0000"))</f>
        <v>0</v>
      </c>
      <c r="D38" s="23">
        <f>IF(C38="","",IFERROR(INDEX(Clients!$B$5:$B$204,MATCH(C38,Clients!$A$5:$A$204,0)),"Not found"))</f>
        <v>0</v>
      </c>
      <c r="W38" s="34">
        <f>IF(B38="","",MAX(IF(H38="",0,H38)*0.45+IF(I38="",0,I38)*0.6+IF(J38="",0,J38)*0.3,IF(G38="",0,G38)/650))</f>
        <v>0</v>
      </c>
      <c r="X38" s="34">
        <f>IF(B38="","",ROUND(MAX(1,W38)*IFERROR(INDEX(ConditionFactors,MATCH(L38,ConditionNames,0)),1),2))</f>
        <v>0</v>
      </c>
      <c r="Y38" s="34">
        <f>IF(B38="","",ROUND(X38/MAX(1,CleanersPerJob),2))</f>
        <v>0</v>
      </c>
      <c r="Z38" s="21">
        <f>IF(B38="","",MAX(MinimumCharge,ROUND(X38*IF(IFERROR(INDEX(Clients!$O$5:$O$204,MATCH(C38,Clients!$A$5:$A$204,0)),0)&gt;0,INDEX(Clients!$O$5:$O$204,MATCH(C38,Clients!$A$5:$A$204,0)),HourlyRate)+IF(M38="",0,IF(M38="None",0,PetSurcharge)),2)))</f>
        <v>0</v>
      </c>
      <c r="AA38" s="21">
        <f>IF(B38="","",ROUND(X38*CostPerHour,2))</f>
        <v>0</v>
      </c>
      <c r="AB38" s="38">
        <f>IF(B38="","",IF(Z38=0,"",(Z38-AA38-X38*SuppliesPerHour)/Z38))</f>
        <v>0</v>
      </c>
      <c r="AC38" s="31">
        <f>IF(A38="","",COUNTIFS(Jobs!$J$5:$J$604,A38))</f>
        <v>0</v>
      </c>
      <c r="AD38" s="18">
        <f>IF(A38="","",IF(SUMPRODUCT(MAX((Jobs!$J$5:$J$604=A38)*((Jobs!$P$5:$P$604="Completed")+(Jobs!$P$5:$P$604="Invoiced"))*Jobs!$B$5:$B$604))=0,"",SUMPRODUCT(MAX((Jobs!$J$5:$J$604=A38)*((Jobs!$P$5:$P$604="Completed")+(Jobs!$P$5:$P$604="Invoiced"))*Jobs!$B$5:$B$604))))</f>
        <v>0</v>
      </c>
      <c r="AE38" s="34">
        <f>IF(A38="","",IFERROR(AVERAGEIFS(Jobs!$AK$5:$AK$604,Jobs!$J$5:$J$604,A38,Jobs!$AK$5:$AK$604,"&gt;0"),""))</f>
        <v>0</v>
      </c>
      <c r="AF38" s="34">
        <f>IF(OR(AE38="",X38=""),"",AE38-X38)</f>
        <v>0</v>
      </c>
      <c r="AG38" s="21">
        <f>IF(A38="","",SUMIFS(Jobs!$AJ$5:$AJ$604,Jobs!$J$5:$J$604,A38,Jobs!$P$5:$P$604,"Invoiced")+SUMIFS(Jobs!$AJ$5:$AJ$604,Jobs!$J$5:$J$604,A38,Jobs!$P$5:$P$604,"Completed"))</f>
        <v>0</v>
      </c>
      <c r="AH38" s="39">
        <f>IF(B38="","",IF(C38="","Add - no client linked",IF(IFERROR(INDEX(Clients!$B$5:$B$204,MATCH(C38,Clients!$A$5:$A$204,0)),"")="","Check - client ID not found",IF(AND(G38="",H38=""),"Add - size needed to price it",IF(AND(AF38&lt;&gt;"",AF38&gt;0.5),"Check - runs over the estimate",IF(N38="","Add - how do we get in?","OK"))))))</f>
        <v>0</v>
      </c>
    </row>
    <row r="39" spans="1:34">
      <c r="A39" s="43">
        <f>IF(B39="","",PropertyPrefix&amp;TEXT(ROW()-4,"0000"))</f>
        <v>0</v>
      </c>
      <c r="D39" s="23">
        <f>IF(C39="","",IFERROR(INDEX(Clients!$B$5:$B$204,MATCH(C39,Clients!$A$5:$A$204,0)),"Not found"))</f>
        <v>0</v>
      </c>
      <c r="W39" s="34">
        <f>IF(B39="","",MAX(IF(H39="",0,H39)*0.45+IF(I39="",0,I39)*0.6+IF(J39="",0,J39)*0.3,IF(G39="",0,G39)/650))</f>
        <v>0</v>
      </c>
      <c r="X39" s="34">
        <f>IF(B39="","",ROUND(MAX(1,W39)*IFERROR(INDEX(ConditionFactors,MATCH(L39,ConditionNames,0)),1),2))</f>
        <v>0</v>
      </c>
      <c r="Y39" s="34">
        <f>IF(B39="","",ROUND(X39/MAX(1,CleanersPerJob),2))</f>
        <v>0</v>
      </c>
      <c r="Z39" s="21">
        <f>IF(B39="","",MAX(MinimumCharge,ROUND(X39*IF(IFERROR(INDEX(Clients!$O$5:$O$204,MATCH(C39,Clients!$A$5:$A$204,0)),0)&gt;0,INDEX(Clients!$O$5:$O$204,MATCH(C39,Clients!$A$5:$A$204,0)),HourlyRate)+IF(M39="",0,IF(M39="None",0,PetSurcharge)),2)))</f>
        <v>0</v>
      </c>
      <c r="AA39" s="21">
        <f>IF(B39="","",ROUND(X39*CostPerHour,2))</f>
        <v>0</v>
      </c>
      <c r="AB39" s="38">
        <f>IF(B39="","",IF(Z39=0,"",(Z39-AA39-X39*SuppliesPerHour)/Z39))</f>
        <v>0</v>
      </c>
      <c r="AC39" s="31">
        <f>IF(A39="","",COUNTIFS(Jobs!$J$5:$J$604,A39))</f>
        <v>0</v>
      </c>
      <c r="AD39" s="18">
        <f>IF(A39="","",IF(SUMPRODUCT(MAX((Jobs!$J$5:$J$604=A39)*((Jobs!$P$5:$P$604="Completed")+(Jobs!$P$5:$P$604="Invoiced"))*Jobs!$B$5:$B$604))=0,"",SUMPRODUCT(MAX((Jobs!$J$5:$J$604=A39)*((Jobs!$P$5:$P$604="Completed")+(Jobs!$P$5:$P$604="Invoiced"))*Jobs!$B$5:$B$604))))</f>
        <v>0</v>
      </c>
      <c r="AE39" s="34">
        <f>IF(A39="","",IFERROR(AVERAGEIFS(Jobs!$AK$5:$AK$604,Jobs!$J$5:$J$604,A39,Jobs!$AK$5:$AK$604,"&gt;0"),""))</f>
        <v>0</v>
      </c>
      <c r="AF39" s="34">
        <f>IF(OR(AE39="",X39=""),"",AE39-X39)</f>
        <v>0</v>
      </c>
      <c r="AG39" s="21">
        <f>IF(A39="","",SUMIFS(Jobs!$AJ$5:$AJ$604,Jobs!$J$5:$J$604,A39,Jobs!$P$5:$P$604,"Invoiced")+SUMIFS(Jobs!$AJ$5:$AJ$604,Jobs!$J$5:$J$604,A39,Jobs!$P$5:$P$604,"Completed"))</f>
        <v>0</v>
      </c>
      <c r="AH39" s="39">
        <f>IF(B39="","",IF(C39="","Add - no client linked",IF(IFERROR(INDEX(Clients!$B$5:$B$204,MATCH(C39,Clients!$A$5:$A$204,0)),"")="","Check - client ID not found",IF(AND(G39="",H39=""),"Add - size needed to price it",IF(AND(AF39&lt;&gt;"",AF39&gt;0.5),"Check - runs over the estimate",IF(N39="","Add - how do we get in?","OK"))))))</f>
        <v>0</v>
      </c>
    </row>
    <row r="40" spans="1:34">
      <c r="A40" s="43">
        <f>IF(B40="","",PropertyPrefix&amp;TEXT(ROW()-4,"0000"))</f>
        <v>0</v>
      </c>
      <c r="D40" s="23">
        <f>IF(C40="","",IFERROR(INDEX(Clients!$B$5:$B$204,MATCH(C40,Clients!$A$5:$A$204,0)),"Not found"))</f>
        <v>0</v>
      </c>
      <c r="W40" s="34">
        <f>IF(B40="","",MAX(IF(H40="",0,H40)*0.45+IF(I40="",0,I40)*0.6+IF(J40="",0,J40)*0.3,IF(G40="",0,G40)/650))</f>
        <v>0</v>
      </c>
      <c r="X40" s="34">
        <f>IF(B40="","",ROUND(MAX(1,W40)*IFERROR(INDEX(ConditionFactors,MATCH(L40,ConditionNames,0)),1),2))</f>
        <v>0</v>
      </c>
      <c r="Y40" s="34">
        <f>IF(B40="","",ROUND(X40/MAX(1,CleanersPerJob),2))</f>
        <v>0</v>
      </c>
      <c r="Z40" s="21">
        <f>IF(B40="","",MAX(MinimumCharge,ROUND(X40*IF(IFERROR(INDEX(Clients!$O$5:$O$204,MATCH(C40,Clients!$A$5:$A$204,0)),0)&gt;0,INDEX(Clients!$O$5:$O$204,MATCH(C40,Clients!$A$5:$A$204,0)),HourlyRate)+IF(M40="",0,IF(M40="None",0,PetSurcharge)),2)))</f>
        <v>0</v>
      </c>
      <c r="AA40" s="21">
        <f>IF(B40="","",ROUND(X40*CostPerHour,2))</f>
        <v>0</v>
      </c>
      <c r="AB40" s="38">
        <f>IF(B40="","",IF(Z40=0,"",(Z40-AA40-X40*SuppliesPerHour)/Z40))</f>
        <v>0</v>
      </c>
      <c r="AC40" s="31">
        <f>IF(A40="","",COUNTIFS(Jobs!$J$5:$J$604,A40))</f>
        <v>0</v>
      </c>
      <c r="AD40" s="18">
        <f>IF(A40="","",IF(SUMPRODUCT(MAX((Jobs!$J$5:$J$604=A40)*((Jobs!$P$5:$P$604="Completed")+(Jobs!$P$5:$P$604="Invoiced"))*Jobs!$B$5:$B$604))=0,"",SUMPRODUCT(MAX((Jobs!$J$5:$J$604=A40)*((Jobs!$P$5:$P$604="Completed")+(Jobs!$P$5:$P$604="Invoiced"))*Jobs!$B$5:$B$604))))</f>
        <v>0</v>
      </c>
      <c r="AE40" s="34">
        <f>IF(A40="","",IFERROR(AVERAGEIFS(Jobs!$AK$5:$AK$604,Jobs!$J$5:$J$604,A40,Jobs!$AK$5:$AK$604,"&gt;0"),""))</f>
        <v>0</v>
      </c>
      <c r="AF40" s="34">
        <f>IF(OR(AE40="",X40=""),"",AE40-X40)</f>
        <v>0</v>
      </c>
      <c r="AG40" s="21">
        <f>IF(A40="","",SUMIFS(Jobs!$AJ$5:$AJ$604,Jobs!$J$5:$J$604,A40,Jobs!$P$5:$P$604,"Invoiced")+SUMIFS(Jobs!$AJ$5:$AJ$604,Jobs!$J$5:$J$604,A40,Jobs!$P$5:$P$604,"Completed"))</f>
        <v>0</v>
      </c>
      <c r="AH40" s="39">
        <f>IF(B40="","",IF(C40="","Add - no client linked",IF(IFERROR(INDEX(Clients!$B$5:$B$204,MATCH(C40,Clients!$A$5:$A$204,0)),"")="","Check - client ID not found",IF(AND(G40="",H40=""),"Add - size needed to price it",IF(AND(AF40&lt;&gt;"",AF40&gt;0.5),"Check - runs over the estimate",IF(N40="","Add - how do we get in?","OK"))))))</f>
        <v>0</v>
      </c>
    </row>
    <row r="41" spans="1:34">
      <c r="A41" s="43">
        <f>IF(B41="","",PropertyPrefix&amp;TEXT(ROW()-4,"0000"))</f>
        <v>0</v>
      </c>
      <c r="D41" s="23">
        <f>IF(C41="","",IFERROR(INDEX(Clients!$B$5:$B$204,MATCH(C41,Clients!$A$5:$A$204,0)),"Not found"))</f>
        <v>0</v>
      </c>
      <c r="W41" s="34">
        <f>IF(B41="","",MAX(IF(H41="",0,H41)*0.45+IF(I41="",0,I41)*0.6+IF(J41="",0,J41)*0.3,IF(G41="",0,G41)/650))</f>
        <v>0</v>
      </c>
      <c r="X41" s="34">
        <f>IF(B41="","",ROUND(MAX(1,W41)*IFERROR(INDEX(ConditionFactors,MATCH(L41,ConditionNames,0)),1),2))</f>
        <v>0</v>
      </c>
      <c r="Y41" s="34">
        <f>IF(B41="","",ROUND(X41/MAX(1,CleanersPerJob),2))</f>
        <v>0</v>
      </c>
      <c r="Z41" s="21">
        <f>IF(B41="","",MAX(MinimumCharge,ROUND(X41*IF(IFERROR(INDEX(Clients!$O$5:$O$204,MATCH(C41,Clients!$A$5:$A$204,0)),0)&gt;0,INDEX(Clients!$O$5:$O$204,MATCH(C41,Clients!$A$5:$A$204,0)),HourlyRate)+IF(M41="",0,IF(M41="None",0,PetSurcharge)),2)))</f>
        <v>0</v>
      </c>
      <c r="AA41" s="21">
        <f>IF(B41="","",ROUND(X41*CostPerHour,2))</f>
        <v>0</v>
      </c>
      <c r="AB41" s="38">
        <f>IF(B41="","",IF(Z41=0,"",(Z41-AA41-X41*SuppliesPerHour)/Z41))</f>
        <v>0</v>
      </c>
      <c r="AC41" s="31">
        <f>IF(A41="","",COUNTIFS(Jobs!$J$5:$J$604,A41))</f>
        <v>0</v>
      </c>
      <c r="AD41" s="18">
        <f>IF(A41="","",IF(SUMPRODUCT(MAX((Jobs!$J$5:$J$604=A41)*((Jobs!$P$5:$P$604="Completed")+(Jobs!$P$5:$P$604="Invoiced"))*Jobs!$B$5:$B$604))=0,"",SUMPRODUCT(MAX((Jobs!$J$5:$J$604=A41)*((Jobs!$P$5:$P$604="Completed")+(Jobs!$P$5:$P$604="Invoiced"))*Jobs!$B$5:$B$604))))</f>
        <v>0</v>
      </c>
      <c r="AE41" s="34">
        <f>IF(A41="","",IFERROR(AVERAGEIFS(Jobs!$AK$5:$AK$604,Jobs!$J$5:$J$604,A41,Jobs!$AK$5:$AK$604,"&gt;0"),""))</f>
        <v>0</v>
      </c>
      <c r="AF41" s="34">
        <f>IF(OR(AE41="",X41=""),"",AE41-X41)</f>
        <v>0</v>
      </c>
      <c r="AG41" s="21">
        <f>IF(A41="","",SUMIFS(Jobs!$AJ$5:$AJ$604,Jobs!$J$5:$J$604,A41,Jobs!$P$5:$P$604,"Invoiced")+SUMIFS(Jobs!$AJ$5:$AJ$604,Jobs!$J$5:$J$604,A41,Jobs!$P$5:$P$604,"Completed"))</f>
        <v>0</v>
      </c>
      <c r="AH41" s="39">
        <f>IF(B41="","",IF(C41="","Add - no client linked",IF(IFERROR(INDEX(Clients!$B$5:$B$204,MATCH(C41,Clients!$A$5:$A$204,0)),"")="","Check - client ID not found",IF(AND(G41="",H41=""),"Add - size needed to price it",IF(AND(AF41&lt;&gt;"",AF41&gt;0.5),"Check - runs over the estimate",IF(N41="","Add - how do we get in?","OK"))))))</f>
        <v>0</v>
      </c>
    </row>
    <row r="42" spans="1:34">
      <c r="A42" s="43">
        <f>IF(B42="","",PropertyPrefix&amp;TEXT(ROW()-4,"0000"))</f>
        <v>0</v>
      </c>
      <c r="D42" s="23">
        <f>IF(C42="","",IFERROR(INDEX(Clients!$B$5:$B$204,MATCH(C42,Clients!$A$5:$A$204,0)),"Not found"))</f>
        <v>0</v>
      </c>
      <c r="W42" s="34">
        <f>IF(B42="","",MAX(IF(H42="",0,H42)*0.45+IF(I42="",0,I42)*0.6+IF(J42="",0,J42)*0.3,IF(G42="",0,G42)/650))</f>
        <v>0</v>
      </c>
      <c r="X42" s="34">
        <f>IF(B42="","",ROUND(MAX(1,W42)*IFERROR(INDEX(ConditionFactors,MATCH(L42,ConditionNames,0)),1),2))</f>
        <v>0</v>
      </c>
      <c r="Y42" s="34">
        <f>IF(B42="","",ROUND(X42/MAX(1,CleanersPerJob),2))</f>
        <v>0</v>
      </c>
      <c r="Z42" s="21">
        <f>IF(B42="","",MAX(MinimumCharge,ROUND(X42*IF(IFERROR(INDEX(Clients!$O$5:$O$204,MATCH(C42,Clients!$A$5:$A$204,0)),0)&gt;0,INDEX(Clients!$O$5:$O$204,MATCH(C42,Clients!$A$5:$A$204,0)),HourlyRate)+IF(M42="",0,IF(M42="None",0,PetSurcharge)),2)))</f>
        <v>0</v>
      </c>
      <c r="AA42" s="21">
        <f>IF(B42="","",ROUND(X42*CostPerHour,2))</f>
        <v>0</v>
      </c>
      <c r="AB42" s="38">
        <f>IF(B42="","",IF(Z42=0,"",(Z42-AA42-X42*SuppliesPerHour)/Z42))</f>
        <v>0</v>
      </c>
      <c r="AC42" s="31">
        <f>IF(A42="","",COUNTIFS(Jobs!$J$5:$J$604,A42))</f>
        <v>0</v>
      </c>
      <c r="AD42" s="18">
        <f>IF(A42="","",IF(SUMPRODUCT(MAX((Jobs!$J$5:$J$604=A42)*((Jobs!$P$5:$P$604="Completed")+(Jobs!$P$5:$P$604="Invoiced"))*Jobs!$B$5:$B$604))=0,"",SUMPRODUCT(MAX((Jobs!$J$5:$J$604=A42)*((Jobs!$P$5:$P$604="Completed")+(Jobs!$P$5:$P$604="Invoiced"))*Jobs!$B$5:$B$604))))</f>
        <v>0</v>
      </c>
      <c r="AE42" s="34">
        <f>IF(A42="","",IFERROR(AVERAGEIFS(Jobs!$AK$5:$AK$604,Jobs!$J$5:$J$604,A42,Jobs!$AK$5:$AK$604,"&gt;0"),""))</f>
        <v>0</v>
      </c>
      <c r="AF42" s="34">
        <f>IF(OR(AE42="",X42=""),"",AE42-X42)</f>
        <v>0</v>
      </c>
      <c r="AG42" s="21">
        <f>IF(A42="","",SUMIFS(Jobs!$AJ$5:$AJ$604,Jobs!$J$5:$J$604,A42,Jobs!$P$5:$P$604,"Invoiced")+SUMIFS(Jobs!$AJ$5:$AJ$604,Jobs!$J$5:$J$604,A42,Jobs!$P$5:$P$604,"Completed"))</f>
        <v>0</v>
      </c>
      <c r="AH42" s="39">
        <f>IF(B42="","",IF(C42="","Add - no client linked",IF(IFERROR(INDEX(Clients!$B$5:$B$204,MATCH(C42,Clients!$A$5:$A$204,0)),"")="","Check - client ID not found",IF(AND(G42="",H42=""),"Add - size needed to price it",IF(AND(AF42&lt;&gt;"",AF42&gt;0.5),"Check - runs over the estimate",IF(N42="","Add - how do we get in?","OK"))))))</f>
        <v>0</v>
      </c>
    </row>
    <row r="43" spans="1:34">
      <c r="A43" s="43">
        <f>IF(B43="","",PropertyPrefix&amp;TEXT(ROW()-4,"0000"))</f>
        <v>0</v>
      </c>
      <c r="D43" s="23">
        <f>IF(C43="","",IFERROR(INDEX(Clients!$B$5:$B$204,MATCH(C43,Clients!$A$5:$A$204,0)),"Not found"))</f>
        <v>0</v>
      </c>
      <c r="W43" s="34">
        <f>IF(B43="","",MAX(IF(H43="",0,H43)*0.45+IF(I43="",0,I43)*0.6+IF(J43="",0,J43)*0.3,IF(G43="",0,G43)/650))</f>
        <v>0</v>
      </c>
      <c r="X43" s="34">
        <f>IF(B43="","",ROUND(MAX(1,W43)*IFERROR(INDEX(ConditionFactors,MATCH(L43,ConditionNames,0)),1),2))</f>
        <v>0</v>
      </c>
      <c r="Y43" s="34">
        <f>IF(B43="","",ROUND(X43/MAX(1,CleanersPerJob),2))</f>
        <v>0</v>
      </c>
      <c r="Z43" s="21">
        <f>IF(B43="","",MAX(MinimumCharge,ROUND(X43*IF(IFERROR(INDEX(Clients!$O$5:$O$204,MATCH(C43,Clients!$A$5:$A$204,0)),0)&gt;0,INDEX(Clients!$O$5:$O$204,MATCH(C43,Clients!$A$5:$A$204,0)),HourlyRate)+IF(M43="",0,IF(M43="None",0,PetSurcharge)),2)))</f>
        <v>0</v>
      </c>
      <c r="AA43" s="21">
        <f>IF(B43="","",ROUND(X43*CostPerHour,2))</f>
        <v>0</v>
      </c>
      <c r="AB43" s="38">
        <f>IF(B43="","",IF(Z43=0,"",(Z43-AA43-X43*SuppliesPerHour)/Z43))</f>
        <v>0</v>
      </c>
      <c r="AC43" s="31">
        <f>IF(A43="","",COUNTIFS(Jobs!$J$5:$J$604,A43))</f>
        <v>0</v>
      </c>
      <c r="AD43" s="18">
        <f>IF(A43="","",IF(SUMPRODUCT(MAX((Jobs!$J$5:$J$604=A43)*((Jobs!$P$5:$P$604="Completed")+(Jobs!$P$5:$P$604="Invoiced"))*Jobs!$B$5:$B$604))=0,"",SUMPRODUCT(MAX((Jobs!$J$5:$J$604=A43)*((Jobs!$P$5:$P$604="Completed")+(Jobs!$P$5:$P$604="Invoiced"))*Jobs!$B$5:$B$604))))</f>
        <v>0</v>
      </c>
      <c r="AE43" s="34">
        <f>IF(A43="","",IFERROR(AVERAGEIFS(Jobs!$AK$5:$AK$604,Jobs!$J$5:$J$604,A43,Jobs!$AK$5:$AK$604,"&gt;0"),""))</f>
        <v>0</v>
      </c>
      <c r="AF43" s="34">
        <f>IF(OR(AE43="",X43=""),"",AE43-X43)</f>
        <v>0</v>
      </c>
      <c r="AG43" s="21">
        <f>IF(A43="","",SUMIFS(Jobs!$AJ$5:$AJ$604,Jobs!$J$5:$J$604,A43,Jobs!$P$5:$P$604,"Invoiced")+SUMIFS(Jobs!$AJ$5:$AJ$604,Jobs!$J$5:$J$604,A43,Jobs!$P$5:$P$604,"Completed"))</f>
        <v>0</v>
      </c>
      <c r="AH43" s="39">
        <f>IF(B43="","",IF(C43="","Add - no client linked",IF(IFERROR(INDEX(Clients!$B$5:$B$204,MATCH(C43,Clients!$A$5:$A$204,0)),"")="","Check - client ID not found",IF(AND(G43="",H43=""),"Add - size needed to price it",IF(AND(AF43&lt;&gt;"",AF43&gt;0.5),"Check - runs over the estimate",IF(N43="","Add - how do we get in?","OK"))))))</f>
        <v>0</v>
      </c>
    </row>
    <row r="44" spans="1:34">
      <c r="A44" s="43">
        <f>IF(B44="","",PropertyPrefix&amp;TEXT(ROW()-4,"0000"))</f>
        <v>0</v>
      </c>
      <c r="D44" s="23">
        <f>IF(C44="","",IFERROR(INDEX(Clients!$B$5:$B$204,MATCH(C44,Clients!$A$5:$A$204,0)),"Not found"))</f>
        <v>0</v>
      </c>
      <c r="W44" s="34">
        <f>IF(B44="","",MAX(IF(H44="",0,H44)*0.45+IF(I44="",0,I44)*0.6+IF(J44="",0,J44)*0.3,IF(G44="",0,G44)/650))</f>
        <v>0</v>
      </c>
      <c r="X44" s="34">
        <f>IF(B44="","",ROUND(MAX(1,W44)*IFERROR(INDEX(ConditionFactors,MATCH(L44,ConditionNames,0)),1),2))</f>
        <v>0</v>
      </c>
      <c r="Y44" s="34">
        <f>IF(B44="","",ROUND(X44/MAX(1,CleanersPerJob),2))</f>
        <v>0</v>
      </c>
      <c r="Z44" s="21">
        <f>IF(B44="","",MAX(MinimumCharge,ROUND(X44*IF(IFERROR(INDEX(Clients!$O$5:$O$204,MATCH(C44,Clients!$A$5:$A$204,0)),0)&gt;0,INDEX(Clients!$O$5:$O$204,MATCH(C44,Clients!$A$5:$A$204,0)),HourlyRate)+IF(M44="",0,IF(M44="None",0,PetSurcharge)),2)))</f>
        <v>0</v>
      </c>
      <c r="AA44" s="21">
        <f>IF(B44="","",ROUND(X44*CostPerHour,2))</f>
        <v>0</v>
      </c>
      <c r="AB44" s="38">
        <f>IF(B44="","",IF(Z44=0,"",(Z44-AA44-X44*SuppliesPerHour)/Z44))</f>
        <v>0</v>
      </c>
      <c r="AC44" s="31">
        <f>IF(A44="","",COUNTIFS(Jobs!$J$5:$J$604,A44))</f>
        <v>0</v>
      </c>
      <c r="AD44" s="18">
        <f>IF(A44="","",IF(SUMPRODUCT(MAX((Jobs!$J$5:$J$604=A44)*((Jobs!$P$5:$P$604="Completed")+(Jobs!$P$5:$P$604="Invoiced"))*Jobs!$B$5:$B$604))=0,"",SUMPRODUCT(MAX((Jobs!$J$5:$J$604=A44)*((Jobs!$P$5:$P$604="Completed")+(Jobs!$P$5:$P$604="Invoiced"))*Jobs!$B$5:$B$604))))</f>
        <v>0</v>
      </c>
      <c r="AE44" s="34">
        <f>IF(A44="","",IFERROR(AVERAGEIFS(Jobs!$AK$5:$AK$604,Jobs!$J$5:$J$604,A44,Jobs!$AK$5:$AK$604,"&gt;0"),""))</f>
        <v>0</v>
      </c>
      <c r="AF44" s="34">
        <f>IF(OR(AE44="",X44=""),"",AE44-X44)</f>
        <v>0</v>
      </c>
      <c r="AG44" s="21">
        <f>IF(A44="","",SUMIFS(Jobs!$AJ$5:$AJ$604,Jobs!$J$5:$J$604,A44,Jobs!$P$5:$P$604,"Invoiced")+SUMIFS(Jobs!$AJ$5:$AJ$604,Jobs!$J$5:$J$604,A44,Jobs!$P$5:$P$604,"Completed"))</f>
        <v>0</v>
      </c>
      <c r="AH44" s="39">
        <f>IF(B44="","",IF(C44="","Add - no client linked",IF(IFERROR(INDEX(Clients!$B$5:$B$204,MATCH(C44,Clients!$A$5:$A$204,0)),"")="","Check - client ID not found",IF(AND(G44="",H44=""),"Add - size needed to price it",IF(AND(AF44&lt;&gt;"",AF44&gt;0.5),"Check - runs over the estimate",IF(N44="","Add - how do we get in?","OK"))))))</f>
        <v>0</v>
      </c>
    </row>
    <row r="45" spans="1:34">
      <c r="A45" s="43">
        <f>IF(B45="","",PropertyPrefix&amp;TEXT(ROW()-4,"0000"))</f>
        <v>0</v>
      </c>
      <c r="D45" s="23">
        <f>IF(C45="","",IFERROR(INDEX(Clients!$B$5:$B$204,MATCH(C45,Clients!$A$5:$A$204,0)),"Not found"))</f>
        <v>0</v>
      </c>
      <c r="W45" s="34">
        <f>IF(B45="","",MAX(IF(H45="",0,H45)*0.45+IF(I45="",0,I45)*0.6+IF(J45="",0,J45)*0.3,IF(G45="",0,G45)/650))</f>
        <v>0</v>
      </c>
      <c r="X45" s="34">
        <f>IF(B45="","",ROUND(MAX(1,W45)*IFERROR(INDEX(ConditionFactors,MATCH(L45,ConditionNames,0)),1),2))</f>
        <v>0</v>
      </c>
      <c r="Y45" s="34">
        <f>IF(B45="","",ROUND(X45/MAX(1,CleanersPerJob),2))</f>
        <v>0</v>
      </c>
      <c r="Z45" s="21">
        <f>IF(B45="","",MAX(MinimumCharge,ROUND(X45*IF(IFERROR(INDEX(Clients!$O$5:$O$204,MATCH(C45,Clients!$A$5:$A$204,0)),0)&gt;0,INDEX(Clients!$O$5:$O$204,MATCH(C45,Clients!$A$5:$A$204,0)),HourlyRate)+IF(M45="",0,IF(M45="None",0,PetSurcharge)),2)))</f>
        <v>0</v>
      </c>
      <c r="AA45" s="21">
        <f>IF(B45="","",ROUND(X45*CostPerHour,2))</f>
        <v>0</v>
      </c>
      <c r="AB45" s="38">
        <f>IF(B45="","",IF(Z45=0,"",(Z45-AA45-X45*SuppliesPerHour)/Z45))</f>
        <v>0</v>
      </c>
      <c r="AC45" s="31">
        <f>IF(A45="","",COUNTIFS(Jobs!$J$5:$J$604,A45))</f>
        <v>0</v>
      </c>
      <c r="AD45" s="18">
        <f>IF(A45="","",IF(SUMPRODUCT(MAX((Jobs!$J$5:$J$604=A45)*((Jobs!$P$5:$P$604="Completed")+(Jobs!$P$5:$P$604="Invoiced"))*Jobs!$B$5:$B$604))=0,"",SUMPRODUCT(MAX((Jobs!$J$5:$J$604=A45)*((Jobs!$P$5:$P$604="Completed")+(Jobs!$P$5:$P$604="Invoiced"))*Jobs!$B$5:$B$604))))</f>
        <v>0</v>
      </c>
      <c r="AE45" s="34">
        <f>IF(A45="","",IFERROR(AVERAGEIFS(Jobs!$AK$5:$AK$604,Jobs!$J$5:$J$604,A45,Jobs!$AK$5:$AK$604,"&gt;0"),""))</f>
        <v>0</v>
      </c>
      <c r="AF45" s="34">
        <f>IF(OR(AE45="",X45=""),"",AE45-X45)</f>
        <v>0</v>
      </c>
      <c r="AG45" s="21">
        <f>IF(A45="","",SUMIFS(Jobs!$AJ$5:$AJ$604,Jobs!$J$5:$J$604,A45,Jobs!$P$5:$P$604,"Invoiced")+SUMIFS(Jobs!$AJ$5:$AJ$604,Jobs!$J$5:$J$604,A45,Jobs!$P$5:$P$604,"Completed"))</f>
        <v>0</v>
      </c>
      <c r="AH45" s="39">
        <f>IF(B45="","",IF(C45="","Add - no client linked",IF(IFERROR(INDEX(Clients!$B$5:$B$204,MATCH(C45,Clients!$A$5:$A$204,0)),"")="","Check - client ID not found",IF(AND(G45="",H45=""),"Add - size needed to price it",IF(AND(AF45&lt;&gt;"",AF45&gt;0.5),"Check - runs over the estimate",IF(N45="","Add - how do we get in?","OK"))))))</f>
        <v>0</v>
      </c>
    </row>
    <row r="46" spans="1:34">
      <c r="A46" s="43">
        <f>IF(B46="","",PropertyPrefix&amp;TEXT(ROW()-4,"0000"))</f>
        <v>0</v>
      </c>
      <c r="D46" s="23">
        <f>IF(C46="","",IFERROR(INDEX(Clients!$B$5:$B$204,MATCH(C46,Clients!$A$5:$A$204,0)),"Not found"))</f>
        <v>0</v>
      </c>
      <c r="W46" s="34">
        <f>IF(B46="","",MAX(IF(H46="",0,H46)*0.45+IF(I46="",0,I46)*0.6+IF(J46="",0,J46)*0.3,IF(G46="",0,G46)/650))</f>
        <v>0</v>
      </c>
      <c r="X46" s="34">
        <f>IF(B46="","",ROUND(MAX(1,W46)*IFERROR(INDEX(ConditionFactors,MATCH(L46,ConditionNames,0)),1),2))</f>
        <v>0</v>
      </c>
      <c r="Y46" s="34">
        <f>IF(B46="","",ROUND(X46/MAX(1,CleanersPerJob),2))</f>
        <v>0</v>
      </c>
      <c r="Z46" s="21">
        <f>IF(B46="","",MAX(MinimumCharge,ROUND(X46*IF(IFERROR(INDEX(Clients!$O$5:$O$204,MATCH(C46,Clients!$A$5:$A$204,0)),0)&gt;0,INDEX(Clients!$O$5:$O$204,MATCH(C46,Clients!$A$5:$A$204,0)),HourlyRate)+IF(M46="",0,IF(M46="None",0,PetSurcharge)),2)))</f>
        <v>0</v>
      </c>
      <c r="AA46" s="21">
        <f>IF(B46="","",ROUND(X46*CostPerHour,2))</f>
        <v>0</v>
      </c>
      <c r="AB46" s="38">
        <f>IF(B46="","",IF(Z46=0,"",(Z46-AA46-X46*SuppliesPerHour)/Z46))</f>
        <v>0</v>
      </c>
      <c r="AC46" s="31">
        <f>IF(A46="","",COUNTIFS(Jobs!$J$5:$J$604,A46))</f>
        <v>0</v>
      </c>
      <c r="AD46" s="18">
        <f>IF(A46="","",IF(SUMPRODUCT(MAX((Jobs!$J$5:$J$604=A46)*((Jobs!$P$5:$P$604="Completed")+(Jobs!$P$5:$P$604="Invoiced"))*Jobs!$B$5:$B$604))=0,"",SUMPRODUCT(MAX((Jobs!$J$5:$J$604=A46)*((Jobs!$P$5:$P$604="Completed")+(Jobs!$P$5:$P$604="Invoiced"))*Jobs!$B$5:$B$604))))</f>
        <v>0</v>
      </c>
      <c r="AE46" s="34">
        <f>IF(A46="","",IFERROR(AVERAGEIFS(Jobs!$AK$5:$AK$604,Jobs!$J$5:$J$604,A46,Jobs!$AK$5:$AK$604,"&gt;0"),""))</f>
        <v>0</v>
      </c>
      <c r="AF46" s="34">
        <f>IF(OR(AE46="",X46=""),"",AE46-X46)</f>
        <v>0</v>
      </c>
      <c r="AG46" s="21">
        <f>IF(A46="","",SUMIFS(Jobs!$AJ$5:$AJ$604,Jobs!$J$5:$J$604,A46,Jobs!$P$5:$P$604,"Invoiced")+SUMIFS(Jobs!$AJ$5:$AJ$604,Jobs!$J$5:$J$604,A46,Jobs!$P$5:$P$604,"Completed"))</f>
        <v>0</v>
      </c>
      <c r="AH46" s="39">
        <f>IF(B46="","",IF(C46="","Add - no client linked",IF(IFERROR(INDEX(Clients!$B$5:$B$204,MATCH(C46,Clients!$A$5:$A$204,0)),"")="","Check - client ID not found",IF(AND(G46="",H46=""),"Add - size needed to price it",IF(AND(AF46&lt;&gt;"",AF46&gt;0.5),"Check - runs over the estimate",IF(N46="","Add - how do we get in?","OK"))))))</f>
        <v>0</v>
      </c>
    </row>
    <row r="47" spans="1:34">
      <c r="A47" s="43">
        <f>IF(B47="","",PropertyPrefix&amp;TEXT(ROW()-4,"0000"))</f>
        <v>0</v>
      </c>
      <c r="D47" s="23">
        <f>IF(C47="","",IFERROR(INDEX(Clients!$B$5:$B$204,MATCH(C47,Clients!$A$5:$A$204,0)),"Not found"))</f>
        <v>0</v>
      </c>
      <c r="W47" s="34">
        <f>IF(B47="","",MAX(IF(H47="",0,H47)*0.45+IF(I47="",0,I47)*0.6+IF(J47="",0,J47)*0.3,IF(G47="",0,G47)/650))</f>
        <v>0</v>
      </c>
      <c r="X47" s="34">
        <f>IF(B47="","",ROUND(MAX(1,W47)*IFERROR(INDEX(ConditionFactors,MATCH(L47,ConditionNames,0)),1),2))</f>
        <v>0</v>
      </c>
      <c r="Y47" s="34">
        <f>IF(B47="","",ROUND(X47/MAX(1,CleanersPerJob),2))</f>
        <v>0</v>
      </c>
      <c r="Z47" s="21">
        <f>IF(B47="","",MAX(MinimumCharge,ROUND(X47*IF(IFERROR(INDEX(Clients!$O$5:$O$204,MATCH(C47,Clients!$A$5:$A$204,0)),0)&gt;0,INDEX(Clients!$O$5:$O$204,MATCH(C47,Clients!$A$5:$A$204,0)),HourlyRate)+IF(M47="",0,IF(M47="None",0,PetSurcharge)),2)))</f>
        <v>0</v>
      </c>
      <c r="AA47" s="21">
        <f>IF(B47="","",ROUND(X47*CostPerHour,2))</f>
        <v>0</v>
      </c>
      <c r="AB47" s="38">
        <f>IF(B47="","",IF(Z47=0,"",(Z47-AA47-X47*SuppliesPerHour)/Z47))</f>
        <v>0</v>
      </c>
      <c r="AC47" s="31">
        <f>IF(A47="","",COUNTIFS(Jobs!$J$5:$J$604,A47))</f>
        <v>0</v>
      </c>
      <c r="AD47" s="18">
        <f>IF(A47="","",IF(SUMPRODUCT(MAX((Jobs!$J$5:$J$604=A47)*((Jobs!$P$5:$P$604="Completed")+(Jobs!$P$5:$P$604="Invoiced"))*Jobs!$B$5:$B$604))=0,"",SUMPRODUCT(MAX((Jobs!$J$5:$J$604=A47)*((Jobs!$P$5:$P$604="Completed")+(Jobs!$P$5:$P$604="Invoiced"))*Jobs!$B$5:$B$604))))</f>
        <v>0</v>
      </c>
      <c r="AE47" s="34">
        <f>IF(A47="","",IFERROR(AVERAGEIFS(Jobs!$AK$5:$AK$604,Jobs!$J$5:$J$604,A47,Jobs!$AK$5:$AK$604,"&gt;0"),""))</f>
        <v>0</v>
      </c>
      <c r="AF47" s="34">
        <f>IF(OR(AE47="",X47=""),"",AE47-X47)</f>
        <v>0</v>
      </c>
      <c r="AG47" s="21">
        <f>IF(A47="","",SUMIFS(Jobs!$AJ$5:$AJ$604,Jobs!$J$5:$J$604,A47,Jobs!$P$5:$P$604,"Invoiced")+SUMIFS(Jobs!$AJ$5:$AJ$604,Jobs!$J$5:$J$604,A47,Jobs!$P$5:$P$604,"Completed"))</f>
        <v>0</v>
      </c>
      <c r="AH47" s="39">
        <f>IF(B47="","",IF(C47="","Add - no client linked",IF(IFERROR(INDEX(Clients!$B$5:$B$204,MATCH(C47,Clients!$A$5:$A$204,0)),"")="","Check - client ID not found",IF(AND(G47="",H47=""),"Add - size needed to price it",IF(AND(AF47&lt;&gt;"",AF47&gt;0.5),"Check - runs over the estimate",IF(N47="","Add - how do we get in?","OK"))))))</f>
        <v>0</v>
      </c>
    </row>
    <row r="48" spans="1:34">
      <c r="A48" s="43">
        <f>IF(B48="","",PropertyPrefix&amp;TEXT(ROW()-4,"0000"))</f>
        <v>0</v>
      </c>
      <c r="D48" s="23">
        <f>IF(C48="","",IFERROR(INDEX(Clients!$B$5:$B$204,MATCH(C48,Clients!$A$5:$A$204,0)),"Not found"))</f>
        <v>0</v>
      </c>
      <c r="W48" s="34">
        <f>IF(B48="","",MAX(IF(H48="",0,H48)*0.45+IF(I48="",0,I48)*0.6+IF(J48="",0,J48)*0.3,IF(G48="",0,G48)/650))</f>
        <v>0</v>
      </c>
      <c r="X48" s="34">
        <f>IF(B48="","",ROUND(MAX(1,W48)*IFERROR(INDEX(ConditionFactors,MATCH(L48,ConditionNames,0)),1),2))</f>
        <v>0</v>
      </c>
      <c r="Y48" s="34">
        <f>IF(B48="","",ROUND(X48/MAX(1,CleanersPerJob),2))</f>
        <v>0</v>
      </c>
      <c r="Z48" s="21">
        <f>IF(B48="","",MAX(MinimumCharge,ROUND(X48*IF(IFERROR(INDEX(Clients!$O$5:$O$204,MATCH(C48,Clients!$A$5:$A$204,0)),0)&gt;0,INDEX(Clients!$O$5:$O$204,MATCH(C48,Clients!$A$5:$A$204,0)),HourlyRate)+IF(M48="",0,IF(M48="None",0,PetSurcharge)),2)))</f>
        <v>0</v>
      </c>
      <c r="AA48" s="21">
        <f>IF(B48="","",ROUND(X48*CostPerHour,2))</f>
        <v>0</v>
      </c>
      <c r="AB48" s="38">
        <f>IF(B48="","",IF(Z48=0,"",(Z48-AA48-X48*SuppliesPerHour)/Z48))</f>
        <v>0</v>
      </c>
      <c r="AC48" s="31">
        <f>IF(A48="","",COUNTIFS(Jobs!$J$5:$J$604,A48))</f>
        <v>0</v>
      </c>
      <c r="AD48" s="18">
        <f>IF(A48="","",IF(SUMPRODUCT(MAX((Jobs!$J$5:$J$604=A48)*((Jobs!$P$5:$P$604="Completed")+(Jobs!$P$5:$P$604="Invoiced"))*Jobs!$B$5:$B$604))=0,"",SUMPRODUCT(MAX((Jobs!$J$5:$J$604=A48)*((Jobs!$P$5:$P$604="Completed")+(Jobs!$P$5:$P$604="Invoiced"))*Jobs!$B$5:$B$604))))</f>
        <v>0</v>
      </c>
      <c r="AE48" s="34">
        <f>IF(A48="","",IFERROR(AVERAGEIFS(Jobs!$AK$5:$AK$604,Jobs!$J$5:$J$604,A48,Jobs!$AK$5:$AK$604,"&gt;0"),""))</f>
        <v>0</v>
      </c>
      <c r="AF48" s="34">
        <f>IF(OR(AE48="",X48=""),"",AE48-X48)</f>
        <v>0</v>
      </c>
      <c r="AG48" s="21">
        <f>IF(A48="","",SUMIFS(Jobs!$AJ$5:$AJ$604,Jobs!$J$5:$J$604,A48,Jobs!$P$5:$P$604,"Invoiced")+SUMIFS(Jobs!$AJ$5:$AJ$604,Jobs!$J$5:$J$604,A48,Jobs!$P$5:$P$604,"Completed"))</f>
        <v>0</v>
      </c>
      <c r="AH48" s="39">
        <f>IF(B48="","",IF(C48="","Add - no client linked",IF(IFERROR(INDEX(Clients!$B$5:$B$204,MATCH(C48,Clients!$A$5:$A$204,0)),"")="","Check - client ID not found",IF(AND(G48="",H48=""),"Add - size needed to price it",IF(AND(AF48&lt;&gt;"",AF48&gt;0.5),"Check - runs over the estimate",IF(N48="","Add - how do we get in?","OK"))))))</f>
        <v>0</v>
      </c>
    </row>
    <row r="49" spans="1:34">
      <c r="A49" s="43">
        <f>IF(B49="","",PropertyPrefix&amp;TEXT(ROW()-4,"0000"))</f>
        <v>0</v>
      </c>
      <c r="D49" s="23">
        <f>IF(C49="","",IFERROR(INDEX(Clients!$B$5:$B$204,MATCH(C49,Clients!$A$5:$A$204,0)),"Not found"))</f>
        <v>0</v>
      </c>
      <c r="W49" s="34">
        <f>IF(B49="","",MAX(IF(H49="",0,H49)*0.45+IF(I49="",0,I49)*0.6+IF(J49="",0,J49)*0.3,IF(G49="",0,G49)/650))</f>
        <v>0</v>
      </c>
      <c r="X49" s="34">
        <f>IF(B49="","",ROUND(MAX(1,W49)*IFERROR(INDEX(ConditionFactors,MATCH(L49,ConditionNames,0)),1),2))</f>
        <v>0</v>
      </c>
      <c r="Y49" s="34">
        <f>IF(B49="","",ROUND(X49/MAX(1,CleanersPerJob),2))</f>
        <v>0</v>
      </c>
      <c r="Z49" s="21">
        <f>IF(B49="","",MAX(MinimumCharge,ROUND(X49*IF(IFERROR(INDEX(Clients!$O$5:$O$204,MATCH(C49,Clients!$A$5:$A$204,0)),0)&gt;0,INDEX(Clients!$O$5:$O$204,MATCH(C49,Clients!$A$5:$A$204,0)),HourlyRate)+IF(M49="",0,IF(M49="None",0,PetSurcharge)),2)))</f>
        <v>0</v>
      </c>
      <c r="AA49" s="21">
        <f>IF(B49="","",ROUND(X49*CostPerHour,2))</f>
        <v>0</v>
      </c>
      <c r="AB49" s="38">
        <f>IF(B49="","",IF(Z49=0,"",(Z49-AA49-X49*SuppliesPerHour)/Z49))</f>
        <v>0</v>
      </c>
      <c r="AC49" s="31">
        <f>IF(A49="","",COUNTIFS(Jobs!$J$5:$J$604,A49))</f>
        <v>0</v>
      </c>
      <c r="AD49" s="18">
        <f>IF(A49="","",IF(SUMPRODUCT(MAX((Jobs!$J$5:$J$604=A49)*((Jobs!$P$5:$P$604="Completed")+(Jobs!$P$5:$P$604="Invoiced"))*Jobs!$B$5:$B$604))=0,"",SUMPRODUCT(MAX((Jobs!$J$5:$J$604=A49)*((Jobs!$P$5:$P$604="Completed")+(Jobs!$P$5:$P$604="Invoiced"))*Jobs!$B$5:$B$604))))</f>
        <v>0</v>
      </c>
      <c r="AE49" s="34">
        <f>IF(A49="","",IFERROR(AVERAGEIFS(Jobs!$AK$5:$AK$604,Jobs!$J$5:$J$604,A49,Jobs!$AK$5:$AK$604,"&gt;0"),""))</f>
        <v>0</v>
      </c>
      <c r="AF49" s="34">
        <f>IF(OR(AE49="",X49=""),"",AE49-X49)</f>
        <v>0</v>
      </c>
      <c r="AG49" s="21">
        <f>IF(A49="","",SUMIFS(Jobs!$AJ$5:$AJ$604,Jobs!$J$5:$J$604,A49,Jobs!$P$5:$P$604,"Invoiced")+SUMIFS(Jobs!$AJ$5:$AJ$604,Jobs!$J$5:$J$604,A49,Jobs!$P$5:$P$604,"Completed"))</f>
        <v>0</v>
      </c>
      <c r="AH49" s="39">
        <f>IF(B49="","",IF(C49="","Add - no client linked",IF(IFERROR(INDEX(Clients!$B$5:$B$204,MATCH(C49,Clients!$A$5:$A$204,0)),"")="","Check - client ID not found",IF(AND(G49="",H49=""),"Add - size needed to price it",IF(AND(AF49&lt;&gt;"",AF49&gt;0.5),"Check - runs over the estimate",IF(N49="","Add - how do we get in?","OK"))))))</f>
        <v>0</v>
      </c>
    </row>
    <row r="50" spans="1:34">
      <c r="A50" s="43">
        <f>IF(B50="","",PropertyPrefix&amp;TEXT(ROW()-4,"0000"))</f>
        <v>0</v>
      </c>
      <c r="D50" s="23">
        <f>IF(C50="","",IFERROR(INDEX(Clients!$B$5:$B$204,MATCH(C50,Clients!$A$5:$A$204,0)),"Not found"))</f>
        <v>0</v>
      </c>
      <c r="W50" s="34">
        <f>IF(B50="","",MAX(IF(H50="",0,H50)*0.45+IF(I50="",0,I50)*0.6+IF(J50="",0,J50)*0.3,IF(G50="",0,G50)/650))</f>
        <v>0</v>
      </c>
      <c r="X50" s="34">
        <f>IF(B50="","",ROUND(MAX(1,W50)*IFERROR(INDEX(ConditionFactors,MATCH(L50,ConditionNames,0)),1),2))</f>
        <v>0</v>
      </c>
      <c r="Y50" s="34">
        <f>IF(B50="","",ROUND(X50/MAX(1,CleanersPerJob),2))</f>
        <v>0</v>
      </c>
      <c r="Z50" s="21">
        <f>IF(B50="","",MAX(MinimumCharge,ROUND(X50*IF(IFERROR(INDEX(Clients!$O$5:$O$204,MATCH(C50,Clients!$A$5:$A$204,0)),0)&gt;0,INDEX(Clients!$O$5:$O$204,MATCH(C50,Clients!$A$5:$A$204,0)),HourlyRate)+IF(M50="",0,IF(M50="None",0,PetSurcharge)),2)))</f>
        <v>0</v>
      </c>
      <c r="AA50" s="21">
        <f>IF(B50="","",ROUND(X50*CostPerHour,2))</f>
        <v>0</v>
      </c>
      <c r="AB50" s="38">
        <f>IF(B50="","",IF(Z50=0,"",(Z50-AA50-X50*SuppliesPerHour)/Z50))</f>
        <v>0</v>
      </c>
      <c r="AC50" s="31">
        <f>IF(A50="","",COUNTIFS(Jobs!$J$5:$J$604,A50))</f>
        <v>0</v>
      </c>
      <c r="AD50" s="18">
        <f>IF(A50="","",IF(SUMPRODUCT(MAX((Jobs!$J$5:$J$604=A50)*((Jobs!$P$5:$P$604="Completed")+(Jobs!$P$5:$P$604="Invoiced"))*Jobs!$B$5:$B$604))=0,"",SUMPRODUCT(MAX((Jobs!$J$5:$J$604=A50)*((Jobs!$P$5:$P$604="Completed")+(Jobs!$P$5:$P$604="Invoiced"))*Jobs!$B$5:$B$604))))</f>
        <v>0</v>
      </c>
      <c r="AE50" s="34">
        <f>IF(A50="","",IFERROR(AVERAGEIFS(Jobs!$AK$5:$AK$604,Jobs!$J$5:$J$604,A50,Jobs!$AK$5:$AK$604,"&gt;0"),""))</f>
        <v>0</v>
      </c>
      <c r="AF50" s="34">
        <f>IF(OR(AE50="",X50=""),"",AE50-X50)</f>
        <v>0</v>
      </c>
      <c r="AG50" s="21">
        <f>IF(A50="","",SUMIFS(Jobs!$AJ$5:$AJ$604,Jobs!$J$5:$J$604,A50,Jobs!$P$5:$P$604,"Invoiced")+SUMIFS(Jobs!$AJ$5:$AJ$604,Jobs!$J$5:$J$604,A50,Jobs!$P$5:$P$604,"Completed"))</f>
        <v>0</v>
      </c>
      <c r="AH50" s="39">
        <f>IF(B50="","",IF(C50="","Add - no client linked",IF(IFERROR(INDEX(Clients!$B$5:$B$204,MATCH(C50,Clients!$A$5:$A$204,0)),"")="","Check - client ID not found",IF(AND(G50="",H50=""),"Add - size needed to price it",IF(AND(AF50&lt;&gt;"",AF50&gt;0.5),"Check - runs over the estimate",IF(N50="","Add - how do we get in?","OK"))))))</f>
        <v>0</v>
      </c>
    </row>
    <row r="51" spans="1:34">
      <c r="A51" s="43">
        <f>IF(B51="","",PropertyPrefix&amp;TEXT(ROW()-4,"0000"))</f>
        <v>0</v>
      </c>
      <c r="D51" s="23">
        <f>IF(C51="","",IFERROR(INDEX(Clients!$B$5:$B$204,MATCH(C51,Clients!$A$5:$A$204,0)),"Not found"))</f>
        <v>0</v>
      </c>
      <c r="W51" s="34">
        <f>IF(B51="","",MAX(IF(H51="",0,H51)*0.45+IF(I51="",0,I51)*0.6+IF(J51="",0,J51)*0.3,IF(G51="",0,G51)/650))</f>
        <v>0</v>
      </c>
      <c r="X51" s="34">
        <f>IF(B51="","",ROUND(MAX(1,W51)*IFERROR(INDEX(ConditionFactors,MATCH(L51,ConditionNames,0)),1),2))</f>
        <v>0</v>
      </c>
      <c r="Y51" s="34">
        <f>IF(B51="","",ROUND(X51/MAX(1,CleanersPerJob),2))</f>
        <v>0</v>
      </c>
      <c r="Z51" s="21">
        <f>IF(B51="","",MAX(MinimumCharge,ROUND(X51*IF(IFERROR(INDEX(Clients!$O$5:$O$204,MATCH(C51,Clients!$A$5:$A$204,0)),0)&gt;0,INDEX(Clients!$O$5:$O$204,MATCH(C51,Clients!$A$5:$A$204,0)),HourlyRate)+IF(M51="",0,IF(M51="None",0,PetSurcharge)),2)))</f>
        <v>0</v>
      </c>
      <c r="AA51" s="21">
        <f>IF(B51="","",ROUND(X51*CostPerHour,2))</f>
        <v>0</v>
      </c>
      <c r="AB51" s="38">
        <f>IF(B51="","",IF(Z51=0,"",(Z51-AA51-X51*SuppliesPerHour)/Z51))</f>
        <v>0</v>
      </c>
      <c r="AC51" s="31">
        <f>IF(A51="","",COUNTIFS(Jobs!$J$5:$J$604,A51))</f>
        <v>0</v>
      </c>
      <c r="AD51" s="18">
        <f>IF(A51="","",IF(SUMPRODUCT(MAX((Jobs!$J$5:$J$604=A51)*((Jobs!$P$5:$P$604="Completed")+(Jobs!$P$5:$P$604="Invoiced"))*Jobs!$B$5:$B$604))=0,"",SUMPRODUCT(MAX((Jobs!$J$5:$J$604=A51)*((Jobs!$P$5:$P$604="Completed")+(Jobs!$P$5:$P$604="Invoiced"))*Jobs!$B$5:$B$604))))</f>
        <v>0</v>
      </c>
      <c r="AE51" s="34">
        <f>IF(A51="","",IFERROR(AVERAGEIFS(Jobs!$AK$5:$AK$604,Jobs!$J$5:$J$604,A51,Jobs!$AK$5:$AK$604,"&gt;0"),""))</f>
        <v>0</v>
      </c>
      <c r="AF51" s="34">
        <f>IF(OR(AE51="",X51=""),"",AE51-X51)</f>
        <v>0</v>
      </c>
      <c r="AG51" s="21">
        <f>IF(A51="","",SUMIFS(Jobs!$AJ$5:$AJ$604,Jobs!$J$5:$J$604,A51,Jobs!$P$5:$P$604,"Invoiced")+SUMIFS(Jobs!$AJ$5:$AJ$604,Jobs!$J$5:$J$604,A51,Jobs!$P$5:$P$604,"Completed"))</f>
        <v>0</v>
      </c>
      <c r="AH51" s="39">
        <f>IF(B51="","",IF(C51="","Add - no client linked",IF(IFERROR(INDEX(Clients!$B$5:$B$204,MATCH(C51,Clients!$A$5:$A$204,0)),"")="","Check - client ID not found",IF(AND(G51="",H51=""),"Add - size needed to price it",IF(AND(AF51&lt;&gt;"",AF51&gt;0.5),"Check - runs over the estimate",IF(N51="","Add - how do we get in?","OK"))))))</f>
        <v>0</v>
      </c>
    </row>
    <row r="52" spans="1:34">
      <c r="A52" s="43">
        <f>IF(B52="","",PropertyPrefix&amp;TEXT(ROW()-4,"0000"))</f>
        <v>0</v>
      </c>
      <c r="D52" s="23">
        <f>IF(C52="","",IFERROR(INDEX(Clients!$B$5:$B$204,MATCH(C52,Clients!$A$5:$A$204,0)),"Not found"))</f>
        <v>0</v>
      </c>
      <c r="W52" s="34">
        <f>IF(B52="","",MAX(IF(H52="",0,H52)*0.45+IF(I52="",0,I52)*0.6+IF(J52="",0,J52)*0.3,IF(G52="",0,G52)/650))</f>
        <v>0</v>
      </c>
      <c r="X52" s="34">
        <f>IF(B52="","",ROUND(MAX(1,W52)*IFERROR(INDEX(ConditionFactors,MATCH(L52,ConditionNames,0)),1),2))</f>
        <v>0</v>
      </c>
      <c r="Y52" s="34">
        <f>IF(B52="","",ROUND(X52/MAX(1,CleanersPerJob),2))</f>
        <v>0</v>
      </c>
      <c r="Z52" s="21">
        <f>IF(B52="","",MAX(MinimumCharge,ROUND(X52*IF(IFERROR(INDEX(Clients!$O$5:$O$204,MATCH(C52,Clients!$A$5:$A$204,0)),0)&gt;0,INDEX(Clients!$O$5:$O$204,MATCH(C52,Clients!$A$5:$A$204,0)),HourlyRate)+IF(M52="",0,IF(M52="None",0,PetSurcharge)),2)))</f>
        <v>0</v>
      </c>
      <c r="AA52" s="21">
        <f>IF(B52="","",ROUND(X52*CostPerHour,2))</f>
        <v>0</v>
      </c>
      <c r="AB52" s="38">
        <f>IF(B52="","",IF(Z52=0,"",(Z52-AA52-X52*SuppliesPerHour)/Z52))</f>
        <v>0</v>
      </c>
      <c r="AC52" s="31">
        <f>IF(A52="","",COUNTIFS(Jobs!$J$5:$J$604,A52))</f>
        <v>0</v>
      </c>
      <c r="AD52" s="18">
        <f>IF(A52="","",IF(SUMPRODUCT(MAX((Jobs!$J$5:$J$604=A52)*((Jobs!$P$5:$P$604="Completed")+(Jobs!$P$5:$P$604="Invoiced"))*Jobs!$B$5:$B$604))=0,"",SUMPRODUCT(MAX((Jobs!$J$5:$J$604=A52)*((Jobs!$P$5:$P$604="Completed")+(Jobs!$P$5:$P$604="Invoiced"))*Jobs!$B$5:$B$604))))</f>
        <v>0</v>
      </c>
      <c r="AE52" s="34">
        <f>IF(A52="","",IFERROR(AVERAGEIFS(Jobs!$AK$5:$AK$604,Jobs!$J$5:$J$604,A52,Jobs!$AK$5:$AK$604,"&gt;0"),""))</f>
        <v>0</v>
      </c>
      <c r="AF52" s="34">
        <f>IF(OR(AE52="",X52=""),"",AE52-X52)</f>
        <v>0</v>
      </c>
      <c r="AG52" s="21">
        <f>IF(A52="","",SUMIFS(Jobs!$AJ$5:$AJ$604,Jobs!$J$5:$J$604,A52,Jobs!$P$5:$P$604,"Invoiced")+SUMIFS(Jobs!$AJ$5:$AJ$604,Jobs!$J$5:$J$604,A52,Jobs!$P$5:$P$604,"Completed"))</f>
        <v>0</v>
      </c>
      <c r="AH52" s="39">
        <f>IF(B52="","",IF(C52="","Add - no client linked",IF(IFERROR(INDEX(Clients!$B$5:$B$204,MATCH(C52,Clients!$A$5:$A$204,0)),"")="","Check - client ID not found",IF(AND(G52="",H52=""),"Add - size needed to price it",IF(AND(AF52&lt;&gt;"",AF52&gt;0.5),"Check - runs over the estimate",IF(N52="","Add - how do we get in?","OK"))))))</f>
        <v>0</v>
      </c>
    </row>
    <row r="53" spans="1:34">
      <c r="A53" s="43">
        <f>IF(B53="","",PropertyPrefix&amp;TEXT(ROW()-4,"0000"))</f>
        <v>0</v>
      </c>
      <c r="D53" s="23">
        <f>IF(C53="","",IFERROR(INDEX(Clients!$B$5:$B$204,MATCH(C53,Clients!$A$5:$A$204,0)),"Not found"))</f>
        <v>0</v>
      </c>
      <c r="W53" s="34">
        <f>IF(B53="","",MAX(IF(H53="",0,H53)*0.45+IF(I53="",0,I53)*0.6+IF(J53="",0,J53)*0.3,IF(G53="",0,G53)/650))</f>
        <v>0</v>
      </c>
      <c r="X53" s="34">
        <f>IF(B53="","",ROUND(MAX(1,W53)*IFERROR(INDEX(ConditionFactors,MATCH(L53,ConditionNames,0)),1),2))</f>
        <v>0</v>
      </c>
      <c r="Y53" s="34">
        <f>IF(B53="","",ROUND(X53/MAX(1,CleanersPerJob),2))</f>
        <v>0</v>
      </c>
      <c r="Z53" s="21">
        <f>IF(B53="","",MAX(MinimumCharge,ROUND(X53*IF(IFERROR(INDEX(Clients!$O$5:$O$204,MATCH(C53,Clients!$A$5:$A$204,0)),0)&gt;0,INDEX(Clients!$O$5:$O$204,MATCH(C53,Clients!$A$5:$A$204,0)),HourlyRate)+IF(M53="",0,IF(M53="None",0,PetSurcharge)),2)))</f>
        <v>0</v>
      </c>
      <c r="AA53" s="21">
        <f>IF(B53="","",ROUND(X53*CostPerHour,2))</f>
        <v>0</v>
      </c>
      <c r="AB53" s="38">
        <f>IF(B53="","",IF(Z53=0,"",(Z53-AA53-X53*SuppliesPerHour)/Z53))</f>
        <v>0</v>
      </c>
      <c r="AC53" s="31">
        <f>IF(A53="","",COUNTIFS(Jobs!$J$5:$J$604,A53))</f>
        <v>0</v>
      </c>
      <c r="AD53" s="18">
        <f>IF(A53="","",IF(SUMPRODUCT(MAX((Jobs!$J$5:$J$604=A53)*((Jobs!$P$5:$P$604="Completed")+(Jobs!$P$5:$P$604="Invoiced"))*Jobs!$B$5:$B$604))=0,"",SUMPRODUCT(MAX((Jobs!$J$5:$J$604=A53)*((Jobs!$P$5:$P$604="Completed")+(Jobs!$P$5:$P$604="Invoiced"))*Jobs!$B$5:$B$604))))</f>
        <v>0</v>
      </c>
      <c r="AE53" s="34">
        <f>IF(A53="","",IFERROR(AVERAGEIFS(Jobs!$AK$5:$AK$604,Jobs!$J$5:$J$604,A53,Jobs!$AK$5:$AK$604,"&gt;0"),""))</f>
        <v>0</v>
      </c>
      <c r="AF53" s="34">
        <f>IF(OR(AE53="",X53=""),"",AE53-X53)</f>
        <v>0</v>
      </c>
      <c r="AG53" s="21">
        <f>IF(A53="","",SUMIFS(Jobs!$AJ$5:$AJ$604,Jobs!$J$5:$J$604,A53,Jobs!$P$5:$P$604,"Invoiced")+SUMIFS(Jobs!$AJ$5:$AJ$604,Jobs!$J$5:$J$604,A53,Jobs!$P$5:$P$604,"Completed"))</f>
        <v>0</v>
      </c>
      <c r="AH53" s="39">
        <f>IF(B53="","",IF(C53="","Add - no client linked",IF(IFERROR(INDEX(Clients!$B$5:$B$204,MATCH(C53,Clients!$A$5:$A$204,0)),"")="","Check - client ID not found",IF(AND(G53="",H53=""),"Add - size needed to price it",IF(AND(AF53&lt;&gt;"",AF53&gt;0.5),"Check - runs over the estimate",IF(N53="","Add - how do we get in?","OK"))))))</f>
        <v>0</v>
      </c>
    </row>
    <row r="54" spans="1:34">
      <c r="A54" s="43">
        <f>IF(B54="","",PropertyPrefix&amp;TEXT(ROW()-4,"0000"))</f>
        <v>0</v>
      </c>
      <c r="D54" s="23">
        <f>IF(C54="","",IFERROR(INDEX(Clients!$B$5:$B$204,MATCH(C54,Clients!$A$5:$A$204,0)),"Not found"))</f>
        <v>0</v>
      </c>
      <c r="W54" s="34">
        <f>IF(B54="","",MAX(IF(H54="",0,H54)*0.45+IF(I54="",0,I54)*0.6+IF(J54="",0,J54)*0.3,IF(G54="",0,G54)/650))</f>
        <v>0</v>
      </c>
      <c r="X54" s="34">
        <f>IF(B54="","",ROUND(MAX(1,W54)*IFERROR(INDEX(ConditionFactors,MATCH(L54,ConditionNames,0)),1),2))</f>
        <v>0</v>
      </c>
      <c r="Y54" s="34">
        <f>IF(B54="","",ROUND(X54/MAX(1,CleanersPerJob),2))</f>
        <v>0</v>
      </c>
      <c r="Z54" s="21">
        <f>IF(B54="","",MAX(MinimumCharge,ROUND(X54*IF(IFERROR(INDEX(Clients!$O$5:$O$204,MATCH(C54,Clients!$A$5:$A$204,0)),0)&gt;0,INDEX(Clients!$O$5:$O$204,MATCH(C54,Clients!$A$5:$A$204,0)),HourlyRate)+IF(M54="",0,IF(M54="None",0,PetSurcharge)),2)))</f>
        <v>0</v>
      </c>
      <c r="AA54" s="21">
        <f>IF(B54="","",ROUND(X54*CostPerHour,2))</f>
        <v>0</v>
      </c>
      <c r="AB54" s="38">
        <f>IF(B54="","",IF(Z54=0,"",(Z54-AA54-X54*SuppliesPerHour)/Z54))</f>
        <v>0</v>
      </c>
      <c r="AC54" s="31">
        <f>IF(A54="","",COUNTIFS(Jobs!$J$5:$J$604,A54))</f>
        <v>0</v>
      </c>
      <c r="AD54" s="18">
        <f>IF(A54="","",IF(SUMPRODUCT(MAX((Jobs!$J$5:$J$604=A54)*((Jobs!$P$5:$P$604="Completed")+(Jobs!$P$5:$P$604="Invoiced"))*Jobs!$B$5:$B$604))=0,"",SUMPRODUCT(MAX((Jobs!$J$5:$J$604=A54)*((Jobs!$P$5:$P$604="Completed")+(Jobs!$P$5:$P$604="Invoiced"))*Jobs!$B$5:$B$604))))</f>
        <v>0</v>
      </c>
      <c r="AE54" s="34">
        <f>IF(A54="","",IFERROR(AVERAGEIFS(Jobs!$AK$5:$AK$604,Jobs!$J$5:$J$604,A54,Jobs!$AK$5:$AK$604,"&gt;0"),""))</f>
        <v>0</v>
      </c>
      <c r="AF54" s="34">
        <f>IF(OR(AE54="",X54=""),"",AE54-X54)</f>
        <v>0</v>
      </c>
      <c r="AG54" s="21">
        <f>IF(A54="","",SUMIFS(Jobs!$AJ$5:$AJ$604,Jobs!$J$5:$J$604,A54,Jobs!$P$5:$P$604,"Invoiced")+SUMIFS(Jobs!$AJ$5:$AJ$604,Jobs!$J$5:$J$604,A54,Jobs!$P$5:$P$604,"Completed"))</f>
        <v>0</v>
      </c>
      <c r="AH54" s="39">
        <f>IF(B54="","",IF(C54="","Add - no client linked",IF(IFERROR(INDEX(Clients!$B$5:$B$204,MATCH(C54,Clients!$A$5:$A$204,0)),"")="","Check - client ID not found",IF(AND(G54="",H54=""),"Add - size needed to price it",IF(AND(AF54&lt;&gt;"",AF54&gt;0.5),"Check - runs over the estimate",IF(N54="","Add - how do we get in?","OK"))))))</f>
        <v>0</v>
      </c>
    </row>
    <row r="55" spans="1:34">
      <c r="A55" s="43">
        <f>IF(B55="","",PropertyPrefix&amp;TEXT(ROW()-4,"0000"))</f>
        <v>0</v>
      </c>
      <c r="D55" s="23">
        <f>IF(C55="","",IFERROR(INDEX(Clients!$B$5:$B$204,MATCH(C55,Clients!$A$5:$A$204,0)),"Not found"))</f>
        <v>0</v>
      </c>
      <c r="W55" s="34">
        <f>IF(B55="","",MAX(IF(H55="",0,H55)*0.45+IF(I55="",0,I55)*0.6+IF(J55="",0,J55)*0.3,IF(G55="",0,G55)/650))</f>
        <v>0</v>
      </c>
      <c r="X55" s="34">
        <f>IF(B55="","",ROUND(MAX(1,W55)*IFERROR(INDEX(ConditionFactors,MATCH(L55,ConditionNames,0)),1),2))</f>
        <v>0</v>
      </c>
      <c r="Y55" s="34">
        <f>IF(B55="","",ROUND(X55/MAX(1,CleanersPerJob),2))</f>
        <v>0</v>
      </c>
      <c r="Z55" s="21">
        <f>IF(B55="","",MAX(MinimumCharge,ROUND(X55*IF(IFERROR(INDEX(Clients!$O$5:$O$204,MATCH(C55,Clients!$A$5:$A$204,0)),0)&gt;0,INDEX(Clients!$O$5:$O$204,MATCH(C55,Clients!$A$5:$A$204,0)),HourlyRate)+IF(M55="",0,IF(M55="None",0,PetSurcharge)),2)))</f>
        <v>0</v>
      </c>
      <c r="AA55" s="21">
        <f>IF(B55="","",ROUND(X55*CostPerHour,2))</f>
        <v>0</v>
      </c>
      <c r="AB55" s="38">
        <f>IF(B55="","",IF(Z55=0,"",(Z55-AA55-X55*SuppliesPerHour)/Z55))</f>
        <v>0</v>
      </c>
      <c r="AC55" s="31">
        <f>IF(A55="","",COUNTIFS(Jobs!$J$5:$J$604,A55))</f>
        <v>0</v>
      </c>
      <c r="AD55" s="18">
        <f>IF(A55="","",IF(SUMPRODUCT(MAX((Jobs!$J$5:$J$604=A55)*((Jobs!$P$5:$P$604="Completed")+(Jobs!$P$5:$P$604="Invoiced"))*Jobs!$B$5:$B$604))=0,"",SUMPRODUCT(MAX((Jobs!$J$5:$J$604=A55)*((Jobs!$P$5:$P$604="Completed")+(Jobs!$P$5:$P$604="Invoiced"))*Jobs!$B$5:$B$604))))</f>
        <v>0</v>
      </c>
      <c r="AE55" s="34">
        <f>IF(A55="","",IFERROR(AVERAGEIFS(Jobs!$AK$5:$AK$604,Jobs!$J$5:$J$604,A55,Jobs!$AK$5:$AK$604,"&gt;0"),""))</f>
        <v>0</v>
      </c>
      <c r="AF55" s="34">
        <f>IF(OR(AE55="",X55=""),"",AE55-X55)</f>
        <v>0</v>
      </c>
      <c r="AG55" s="21">
        <f>IF(A55="","",SUMIFS(Jobs!$AJ$5:$AJ$604,Jobs!$J$5:$J$604,A55,Jobs!$P$5:$P$604,"Invoiced")+SUMIFS(Jobs!$AJ$5:$AJ$604,Jobs!$J$5:$J$604,A55,Jobs!$P$5:$P$604,"Completed"))</f>
        <v>0</v>
      </c>
      <c r="AH55" s="39">
        <f>IF(B55="","",IF(C55="","Add - no client linked",IF(IFERROR(INDEX(Clients!$B$5:$B$204,MATCH(C55,Clients!$A$5:$A$204,0)),"")="","Check - client ID not found",IF(AND(G55="",H55=""),"Add - size needed to price it",IF(AND(AF55&lt;&gt;"",AF55&gt;0.5),"Check - runs over the estimate",IF(N55="","Add - how do we get in?","OK"))))))</f>
        <v>0</v>
      </c>
    </row>
    <row r="56" spans="1:34">
      <c r="A56" s="43">
        <f>IF(B56="","",PropertyPrefix&amp;TEXT(ROW()-4,"0000"))</f>
        <v>0</v>
      </c>
      <c r="D56" s="23">
        <f>IF(C56="","",IFERROR(INDEX(Clients!$B$5:$B$204,MATCH(C56,Clients!$A$5:$A$204,0)),"Not found"))</f>
        <v>0</v>
      </c>
      <c r="W56" s="34">
        <f>IF(B56="","",MAX(IF(H56="",0,H56)*0.45+IF(I56="",0,I56)*0.6+IF(J56="",0,J56)*0.3,IF(G56="",0,G56)/650))</f>
        <v>0</v>
      </c>
      <c r="X56" s="34">
        <f>IF(B56="","",ROUND(MAX(1,W56)*IFERROR(INDEX(ConditionFactors,MATCH(L56,ConditionNames,0)),1),2))</f>
        <v>0</v>
      </c>
      <c r="Y56" s="34">
        <f>IF(B56="","",ROUND(X56/MAX(1,CleanersPerJob),2))</f>
        <v>0</v>
      </c>
      <c r="Z56" s="21">
        <f>IF(B56="","",MAX(MinimumCharge,ROUND(X56*IF(IFERROR(INDEX(Clients!$O$5:$O$204,MATCH(C56,Clients!$A$5:$A$204,0)),0)&gt;0,INDEX(Clients!$O$5:$O$204,MATCH(C56,Clients!$A$5:$A$204,0)),HourlyRate)+IF(M56="",0,IF(M56="None",0,PetSurcharge)),2)))</f>
        <v>0</v>
      </c>
      <c r="AA56" s="21">
        <f>IF(B56="","",ROUND(X56*CostPerHour,2))</f>
        <v>0</v>
      </c>
      <c r="AB56" s="38">
        <f>IF(B56="","",IF(Z56=0,"",(Z56-AA56-X56*SuppliesPerHour)/Z56))</f>
        <v>0</v>
      </c>
      <c r="AC56" s="31">
        <f>IF(A56="","",COUNTIFS(Jobs!$J$5:$J$604,A56))</f>
        <v>0</v>
      </c>
      <c r="AD56" s="18">
        <f>IF(A56="","",IF(SUMPRODUCT(MAX((Jobs!$J$5:$J$604=A56)*((Jobs!$P$5:$P$604="Completed")+(Jobs!$P$5:$P$604="Invoiced"))*Jobs!$B$5:$B$604))=0,"",SUMPRODUCT(MAX((Jobs!$J$5:$J$604=A56)*((Jobs!$P$5:$P$604="Completed")+(Jobs!$P$5:$P$604="Invoiced"))*Jobs!$B$5:$B$604))))</f>
        <v>0</v>
      </c>
      <c r="AE56" s="34">
        <f>IF(A56="","",IFERROR(AVERAGEIFS(Jobs!$AK$5:$AK$604,Jobs!$J$5:$J$604,A56,Jobs!$AK$5:$AK$604,"&gt;0"),""))</f>
        <v>0</v>
      </c>
      <c r="AF56" s="34">
        <f>IF(OR(AE56="",X56=""),"",AE56-X56)</f>
        <v>0</v>
      </c>
      <c r="AG56" s="21">
        <f>IF(A56="","",SUMIFS(Jobs!$AJ$5:$AJ$604,Jobs!$J$5:$J$604,A56,Jobs!$P$5:$P$604,"Invoiced")+SUMIFS(Jobs!$AJ$5:$AJ$604,Jobs!$J$5:$J$604,A56,Jobs!$P$5:$P$604,"Completed"))</f>
        <v>0</v>
      </c>
      <c r="AH56" s="39">
        <f>IF(B56="","",IF(C56="","Add - no client linked",IF(IFERROR(INDEX(Clients!$B$5:$B$204,MATCH(C56,Clients!$A$5:$A$204,0)),"")="","Check - client ID not found",IF(AND(G56="",H56=""),"Add - size needed to price it",IF(AND(AF56&lt;&gt;"",AF56&gt;0.5),"Check - runs over the estimate",IF(N56="","Add - how do we get in?","OK"))))))</f>
        <v>0</v>
      </c>
    </row>
    <row r="57" spans="1:34">
      <c r="A57" s="43">
        <f>IF(B57="","",PropertyPrefix&amp;TEXT(ROW()-4,"0000"))</f>
        <v>0</v>
      </c>
      <c r="D57" s="23">
        <f>IF(C57="","",IFERROR(INDEX(Clients!$B$5:$B$204,MATCH(C57,Clients!$A$5:$A$204,0)),"Not found"))</f>
        <v>0</v>
      </c>
      <c r="W57" s="34">
        <f>IF(B57="","",MAX(IF(H57="",0,H57)*0.45+IF(I57="",0,I57)*0.6+IF(J57="",0,J57)*0.3,IF(G57="",0,G57)/650))</f>
        <v>0</v>
      </c>
      <c r="X57" s="34">
        <f>IF(B57="","",ROUND(MAX(1,W57)*IFERROR(INDEX(ConditionFactors,MATCH(L57,ConditionNames,0)),1),2))</f>
        <v>0</v>
      </c>
      <c r="Y57" s="34">
        <f>IF(B57="","",ROUND(X57/MAX(1,CleanersPerJob),2))</f>
        <v>0</v>
      </c>
      <c r="Z57" s="21">
        <f>IF(B57="","",MAX(MinimumCharge,ROUND(X57*IF(IFERROR(INDEX(Clients!$O$5:$O$204,MATCH(C57,Clients!$A$5:$A$204,0)),0)&gt;0,INDEX(Clients!$O$5:$O$204,MATCH(C57,Clients!$A$5:$A$204,0)),HourlyRate)+IF(M57="",0,IF(M57="None",0,PetSurcharge)),2)))</f>
        <v>0</v>
      </c>
      <c r="AA57" s="21">
        <f>IF(B57="","",ROUND(X57*CostPerHour,2))</f>
        <v>0</v>
      </c>
      <c r="AB57" s="38">
        <f>IF(B57="","",IF(Z57=0,"",(Z57-AA57-X57*SuppliesPerHour)/Z57))</f>
        <v>0</v>
      </c>
      <c r="AC57" s="31">
        <f>IF(A57="","",COUNTIFS(Jobs!$J$5:$J$604,A57))</f>
        <v>0</v>
      </c>
      <c r="AD57" s="18">
        <f>IF(A57="","",IF(SUMPRODUCT(MAX((Jobs!$J$5:$J$604=A57)*((Jobs!$P$5:$P$604="Completed")+(Jobs!$P$5:$P$604="Invoiced"))*Jobs!$B$5:$B$604))=0,"",SUMPRODUCT(MAX((Jobs!$J$5:$J$604=A57)*((Jobs!$P$5:$P$604="Completed")+(Jobs!$P$5:$P$604="Invoiced"))*Jobs!$B$5:$B$604))))</f>
        <v>0</v>
      </c>
      <c r="AE57" s="34">
        <f>IF(A57="","",IFERROR(AVERAGEIFS(Jobs!$AK$5:$AK$604,Jobs!$J$5:$J$604,A57,Jobs!$AK$5:$AK$604,"&gt;0"),""))</f>
        <v>0</v>
      </c>
      <c r="AF57" s="34">
        <f>IF(OR(AE57="",X57=""),"",AE57-X57)</f>
        <v>0</v>
      </c>
      <c r="AG57" s="21">
        <f>IF(A57="","",SUMIFS(Jobs!$AJ$5:$AJ$604,Jobs!$J$5:$J$604,A57,Jobs!$P$5:$P$604,"Invoiced")+SUMIFS(Jobs!$AJ$5:$AJ$604,Jobs!$J$5:$J$604,A57,Jobs!$P$5:$P$604,"Completed"))</f>
        <v>0</v>
      </c>
      <c r="AH57" s="39">
        <f>IF(B57="","",IF(C57="","Add - no client linked",IF(IFERROR(INDEX(Clients!$B$5:$B$204,MATCH(C57,Clients!$A$5:$A$204,0)),"")="","Check - client ID not found",IF(AND(G57="",H57=""),"Add - size needed to price it",IF(AND(AF57&lt;&gt;"",AF57&gt;0.5),"Check - runs over the estimate",IF(N57="","Add - how do we get in?","OK"))))))</f>
        <v>0</v>
      </c>
    </row>
    <row r="58" spans="1:34">
      <c r="A58" s="43">
        <f>IF(B58="","",PropertyPrefix&amp;TEXT(ROW()-4,"0000"))</f>
        <v>0</v>
      </c>
      <c r="D58" s="23">
        <f>IF(C58="","",IFERROR(INDEX(Clients!$B$5:$B$204,MATCH(C58,Clients!$A$5:$A$204,0)),"Not found"))</f>
        <v>0</v>
      </c>
      <c r="W58" s="34">
        <f>IF(B58="","",MAX(IF(H58="",0,H58)*0.45+IF(I58="",0,I58)*0.6+IF(J58="",0,J58)*0.3,IF(G58="",0,G58)/650))</f>
        <v>0</v>
      </c>
      <c r="X58" s="34">
        <f>IF(B58="","",ROUND(MAX(1,W58)*IFERROR(INDEX(ConditionFactors,MATCH(L58,ConditionNames,0)),1),2))</f>
        <v>0</v>
      </c>
      <c r="Y58" s="34">
        <f>IF(B58="","",ROUND(X58/MAX(1,CleanersPerJob),2))</f>
        <v>0</v>
      </c>
      <c r="Z58" s="21">
        <f>IF(B58="","",MAX(MinimumCharge,ROUND(X58*IF(IFERROR(INDEX(Clients!$O$5:$O$204,MATCH(C58,Clients!$A$5:$A$204,0)),0)&gt;0,INDEX(Clients!$O$5:$O$204,MATCH(C58,Clients!$A$5:$A$204,0)),HourlyRate)+IF(M58="",0,IF(M58="None",0,PetSurcharge)),2)))</f>
        <v>0</v>
      </c>
      <c r="AA58" s="21">
        <f>IF(B58="","",ROUND(X58*CostPerHour,2))</f>
        <v>0</v>
      </c>
      <c r="AB58" s="38">
        <f>IF(B58="","",IF(Z58=0,"",(Z58-AA58-X58*SuppliesPerHour)/Z58))</f>
        <v>0</v>
      </c>
      <c r="AC58" s="31">
        <f>IF(A58="","",COUNTIFS(Jobs!$J$5:$J$604,A58))</f>
        <v>0</v>
      </c>
      <c r="AD58" s="18">
        <f>IF(A58="","",IF(SUMPRODUCT(MAX((Jobs!$J$5:$J$604=A58)*((Jobs!$P$5:$P$604="Completed")+(Jobs!$P$5:$P$604="Invoiced"))*Jobs!$B$5:$B$604))=0,"",SUMPRODUCT(MAX((Jobs!$J$5:$J$604=A58)*((Jobs!$P$5:$P$604="Completed")+(Jobs!$P$5:$P$604="Invoiced"))*Jobs!$B$5:$B$604))))</f>
        <v>0</v>
      </c>
      <c r="AE58" s="34">
        <f>IF(A58="","",IFERROR(AVERAGEIFS(Jobs!$AK$5:$AK$604,Jobs!$J$5:$J$604,A58,Jobs!$AK$5:$AK$604,"&gt;0"),""))</f>
        <v>0</v>
      </c>
      <c r="AF58" s="34">
        <f>IF(OR(AE58="",X58=""),"",AE58-X58)</f>
        <v>0</v>
      </c>
      <c r="AG58" s="21">
        <f>IF(A58="","",SUMIFS(Jobs!$AJ$5:$AJ$604,Jobs!$J$5:$J$604,A58,Jobs!$P$5:$P$604,"Invoiced")+SUMIFS(Jobs!$AJ$5:$AJ$604,Jobs!$J$5:$J$604,A58,Jobs!$P$5:$P$604,"Completed"))</f>
        <v>0</v>
      </c>
      <c r="AH58" s="39">
        <f>IF(B58="","",IF(C58="","Add - no client linked",IF(IFERROR(INDEX(Clients!$B$5:$B$204,MATCH(C58,Clients!$A$5:$A$204,0)),"")="","Check - client ID not found",IF(AND(G58="",H58=""),"Add - size needed to price it",IF(AND(AF58&lt;&gt;"",AF58&gt;0.5),"Check - runs over the estimate",IF(N58="","Add - how do we get in?","OK"))))))</f>
        <v>0</v>
      </c>
    </row>
    <row r="59" spans="1:34">
      <c r="A59" s="43">
        <f>IF(B59="","",PropertyPrefix&amp;TEXT(ROW()-4,"0000"))</f>
        <v>0</v>
      </c>
      <c r="D59" s="23">
        <f>IF(C59="","",IFERROR(INDEX(Clients!$B$5:$B$204,MATCH(C59,Clients!$A$5:$A$204,0)),"Not found"))</f>
        <v>0</v>
      </c>
      <c r="W59" s="34">
        <f>IF(B59="","",MAX(IF(H59="",0,H59)*0.45+IF(I59="",0,I59)*0.6+IF(J59="",0,J59)*0.3,IF(G59="",0,G59)/650))</f>
        <v>0</v>
      </c>
      <c r="X59" s="34">
        <f>IF(B59="","",ROUND(MAX(1,W59)*IFERROR(INDEX(ConditionFactors,MATCH(L59,ConditionNames,0)),1),2))</f>
        <v>0</v>
      </c>
      <c r="Y59" s="34">
        <f>IF(B59="","",ROUND(X59/MAX(1,CleanersPerJob),2))</f>
        <v>0</v>
      </c>
      <c r="Z59" s="21">
        <f>IF(B59="","",MAX(MinimumCharge,ROUND(X59*IF(IFERROR(INDEX(Clients!$O$5:$O$204,MATCH(C59,Clients!$A$5:$A$204,0)),0)&gt;0,INDEX(Clients!$O$5:$O$204,MATCH(C59,Clients!$A$5:$A$204,0)),HourlyRate)+IF(M59="",0,IF(M59="None",0,PetSurcharge)),2)))</f>
        <v>0</v>
      </c>
      <c r="AA59" s="21">
        <f>IF(B59="","",ROUND(X59*CostPerHour,2))</f>
        <v>0</v>
      </c>
      <c r="AB59" s="38">
        <f>IF(B59="","",IF(Z59=0,"",(Z59-AA59-X59*SuppliesPerHour)/Z59))</f>
        <v>0</v>
      </c>
      <c r="AC59" s="31">
        <f>IF(A59="","",COUNTIFS(Jobs!$J$5:$J$604,A59))</f>
        <v>0</v>
      </c>
      <c r="AD59" s="18">
        <f>IF(A59="","",IF(SUMPRODUCT(MAX((Jobs!$J$5:$J$604=A59)*((Jobs!$P$5:$P$604="Completed")+(Jobs!$P$5:$P$604="Invoiced"))*Jobs!$B$5:$B$604))=0,"",SUMPRODUCT(MAX((Jobs!$J$5:$J$604=A59)*((Jobs!$P$5:$P$604="Completed")+(Jobs!$P$5:$P$604="Invoiced"))*Jobs!$B$5:$B$604))))</f>
        <v>0</v>
      </c>
      <c r="AE59" s="34">
        <f>IF(A59="","",IFERROR(AVERAGEIFS(Jobs!$AK$5:$AK$604,Jobs!$J$5:$J$604,A59,Jobs!$AK$5:$AK$604,"&gt;0"),""))</f>
        <v>0</v>
      </c>
      <c r="AF59" s="34">
        <f>IF(OR(AE59="",X59=""),"",AE59-X59)</f>
        <v>0</v>
      </c>
      <c r="AG59" s="21">
        <f>IF(A59="","",SUMIFS(Jobs!$AJ$5:$AJ$604,Jobs!$J$5:$J$604,A59,Jobs!$P$5:$P$604,"Invoiced")+SUMIFS(Jobs!$AJ$5:$AJ$604,Jobs!$J$5:$J$604,A59,Jobs!$P$5:$P$604,"Completed"))</f>
        <v>0</v>
      </c>
      <c r="AH59" s="39">
        <f>IF(B59="","",IF(C59="","Add - no client linked",IF(IFERROR(INDEX(Clients!$B$5:$B$204,MATCH(C59,Clients!$A$5:$A$204,0)),"")="","Check - client ID not found",IF(AND(G59="",H59=""),"Add - size needed to price it",IF(AND(AF59&lt;&gt;"",AF59&gt;0.5),"Check - runs over the estimate",IF(N59="","Add - how do we get in?","OK"))))))</f>
        <v>0</v>
      </c>
    </row>
    <row r="60" spans="1:34">
      <c r="A60" s="43">
        <f>IF(B60="","",PropertyPrefix&amp;TEXT(ROW()-4,"0000"))</f>
        <v>0</v>
      </c>
      <c r="D60" s="23">
        <f>IF(C60="","",IFERROR(INDEX(Clients!$B$5:$B$204,MATCH(C60,Clients!$A$5:$A$204,0)),"Not found"))</f>
        <v>0</v>
      </c>
      <c r="W60" s="34">
        <f>IF(B60="","",MAX(IF(H60="",0,H60)*0.45+IF(I60="",0,I60)*0.6+IF(J60="",0,J60)*0.3,IF(G60="",0,G60)/650))</f>
        <v>0</v>
      </c>
      <c r="X60" s="34">
        <f>IF(B60="","",ROUND(MAX(1,W60)*IFERROR(INDEX(ConditionFactors,MATCH(L60,ConditionNames,0)),1),2))</f>
        <v>0</v>
      </c>
      <c r="Y60" s="34">
        <f>IF(B60="","",ROUND(X60/MAX(1,CleanersPerJob),2))</f>
        <v>0</v>
      </c>
      <c r="Z60" s="21">
        <f>IF(B60="","",MAX(MinimumCharge,ROUND(X60*IF(IFERROR(INDEX(Clients!$O$5:$O$204,MATCH(C60,Clients!$A$5:$A$204,0)),0)&gt;0,INDEX(Clients!$O$5:$O$204,MATCH(C60,Clients!$A$5:$A$204,0)),HourlyRate)+IF(M60="",0,IF(M60="None",0,PetSurcharge)),2)))</f>
        <v>0</v>
      </c>
      <c r="AA60" s="21">
        <f>IF(B60="","",ROUND(X60*CostPerHour,2))</f>
        <v>0</v>
      </c>
      <c r="AB60" s="38">
        <f>IF(B60="","",IF(Z60=0,"",(Z60-AA60-X60*SuppliesPerHour)/Z60))</f>
        <v>0</v>
      </c>
      <c r="AC60" s="31">
        <f>IF(A60="","",COUNTIFS(Jobs!$J$5:$J$604,A60))</f>
        <v>0</v>
      </c>
      <c r="AD60" s="18">
        <f>IF(A60="","",IF(SUMPRODUCT(MAX((Jobs!$J$5:$J$604=A60)*((Jobs!$P$5:$P$604="Completed")+(Jobs!$P$5:$P$604="Invoiced"))*Jobs!$B$5:$B$604))=0,"",SUMPRODUCT(MAX((Jobs!$J$5:$J$604=A60)*((Jobs!$P$5:$P$604="Completed")+(Jobs!$P$5:$P$604="Invoiced"))*Jobs!$B$5:$B$604))))</f>
        <v>0</v>
      </c>
      <c r="AE60" s="34">
        <f>IF(A60="","",IFERROR(AVERAGEIFS(Jobs!$AK$5:$AK$604,Jobs!$J$5:$J$604,A60,Jobs!$AK$5:$AK$604,"&gt;0"),""))</f>
        <v>0</v>
      </c>
      <c r="AF60" s="34">
        <f>IF(OR(AE60="",X60=""),"",AE60-X60)</f>
        <v>0</v>
      </c>
      <c r="AG60" s="21">
        <f>IF(A60="","",SUMIFS(Jobs!$AJ$5:$AJ$604,Jobs!$J$5:$J$604,A60,Jobs!$P$5:$P$604,"Invoiced")+SUMIFS(Jobs!$AJ$5:$AJ$604,Jobs!$J$5:$J$604,A60,Jobs!$P$5:$P$604,"Completed"))</f>
        <v>0</v>
      </c>
      <c r="AH60" s="39">
        <f>IF(B60="","",IF(C60="","Add - no client linked",IF(IFERROR(INDEX(Clients!$B$5:$B$204,MATCH(C60,Clients!$A$5:$A$204,0)),"")="","Check - client ID not found",IF(AND(G60="",H60=""),"Add - size needed to price it",IF(AND(AF60&lt;&gt;"",AF60&gt;0.5),"Check - runs over the estimate",IF(N60="","Add - how do we get in?","OK"))))))</f>
        <v>0</v>
      </c>
    </row>
    <row r="61" spans="1:34">
      <c r="A61" s="43">
        <f>IF(B61="","",PropertyPrefix&amp;TEXT(ROW()-4,"0000"))</f>
        <v>0</v>
      </c>
      <c r="D61" s="23">
        <f>IF(C61="","",IFERROR(INDEX(Clients!$B$5:$B$204,MATCH(C61,Clients!$A$5:$A$204,0)),"Not found"))</f>
        <v>0</v>
      </c>
      <c r="W61" s="34">
        <f>IF(B61="","",MAX(IF(H61="",0,H61)*0.45+IF(I61="",0,I61)*0.6+IF(J61="",0,J61)*0.3,IF(G61="",0,G61)/650))</f>
        <v>0</v>
      </c>
      <c r="X61" s="34">
        <f>IF(B61="","",ROUND(MAX(1,W61)*IFERROR(INDEX(ConditionFactors,MATCH(L61,ConditionNames,0)),1),2))</f>
        <v>0</v>
      </c>
      <c r="Y61" s="34">
        <f>IF(B61="","",ROUND(X61/MAX(1,CleanersPerJob),2))</f>
        <v>0</v>
      </c>
      <c r="Z61" s="21">
        <f>IF(B61="","",MAX(MinimumCharge,ROUND(X61*IF(IFERROR(INDEX(Clients!$O$5:$O$204,MATCH(C61,Clients!$A$5:$A$204,0)),0)&gt;0,INDEX(Clients!$O$5:$O$204,MATCH(C61,Clients!$A$5:$A$204,0)),HourlyRate)+IF(M61="",0,IF(M61="None",0,PetSurcharge)),2)))</f>
        <v>0</v>
      </c>
      <c r="AA61" s="21">
        <f>IF(B61="","",ROUND(X61*CostPerHour,2))</f>
        <v>0</v>
      </c>
      <c r="AB61" s="38">
        <f>IF(B61="","",IF(Z61=0,"",(Z61-AA61-X61*SuppliesPerHour)/Z61))</f>
        <v>0</v>
      </c>
      <c r="AC61" s="31">
        <f>IF(A61="","",COUNTIFS(Jobs!$J$5:$J$604,A61))</f>
        <v>0</v>
      </c>
      <c r="AD61" s="18">
        <f>IF(A61="","",IF(SUMPRODUCT(MAX((Jobs!$J$5:$J$604=A61)*((Jobs!$P$5:$P$604="Completed")+(Jobs!$P$5:$P$604="Invoiced"))*Jobs!$B$5:$B$604))=0,"",SUMPRODUCT(MAX((Jobs!$J$5:$J$604=A61)*((Jobs!$P$5:$P$604="Completed")+(Jobs!$P$5:$P$604="Invoiced"))*Jobs!$B$5:$B$604))))</f>
        <v>0</v>
      </c>
      <c r="AE61" s="34">
        <f>IF(A61="","",IFERROR(AVERAGEIFS(Jobs!$AK$5:$AK$604,Jobs!$J$5:$J$604,A61,Jobs!$AK$5:$AK$604,"&gt;0"),""))</f>
        <v>0</v>
      </c>
      <c r="AF61" s="34">
        <f>IF(OR(AE61="",X61=""),"",AE61-X61)</f>
        <v>0</v>
      </c>
      <c r="AG61" s="21">
        <f>IF(A61="","",SUMIFS(Jobs!$AJ$5:$AJ$604,Jobs!$J$5:$J$604,A61,Jobs!$P$5:$P$604,"Invoiced")+SUMIFS(Jobs!$AJ$5:$AJ$604,Jobs!$J$5:$J$604,A61,Jobs!$P$5:$P$604,"Completed"))</f>
        <v>0</v>
      </c>
      <c r="AH61" s="39">
        <f>IF(B61="","",IF(C61="","Add - no client linked",IF(IFERROR(INDEX(Clients!$B$5:$B$204,MATCH(C61,Clients!$A$5:$A$204,0)),"")="","Check - client ID not found",IF(AND(G61="",H61=""),"Add - size needed to price it",IF(AND(AF61&lt;&gt;"",AF61&gt;0.5),"Check - runs over the estimate",IF(N61="","Add - how do we get in?","OK"))))))</f>
        <v>0</v>
      </c>
    </row>
    <row r="62" spans="1:34">
      <c r="A62" s="43">
        <f>IF(B62="","",PropertyPrefix&amp;TEXT(ROW()-4,"0000"))</f>
        <v>0</v>
      </c>
      <c r="D62" s="23">
        <f>IF(C62="","",IFERROR(INDEX(Clients!$B$5:$B$204,MATCH(C62,Clients!$A$5:$A$204,0)),"Not found"))</f>
        <v>0</v>
      </c>
      <c r="W62" s="34">
        <f>IF(B62="","",MAX(IF(H62="",0,H62)*0.45+IF(I62="",0,I62)*0.6+IF(J62="",0,J62)*0.3,IF(G62="",0,G62)/650))</f>
        <v>0</v>
      </c>
      <c r="X62" s="34">
        <f>IF(B62="","",ROUND(MAX(1,W62)*IFERROR(INDEX(ConditionFactors,MATCH(L62,ConditionNames,0)),1),2))</f>
        <v>0</v>
      </c>
      <c r="Y62" s="34">
        <f>IF(B62="","",ROUND(X62/MAX(1,CleanersPerJob),2))</f>
        <v>0</v>
      </c>
      <c r="Z62" s="21">
        <f>IF(B62="","",MAX(MinimumCharge,ROUND(X62*IF(IFERROR(INDEX(Clients!$O$5:$O$204,MATCH(C62,Clients!$A$5:$A$204,0)),0)&gt;0,INDEX(Clients!$O$5:$O$204,MATCH(C62,Clients!$A$5:$A$204,0)),HourlyRate)+IF(M62="",0,IF(M62="None",0,PetSurcharge)),2)))</f>
        <v>0</v>
      </c>
      <c r="AA62" s="21">
        <f>IF(B62="","",ROUND(X62*CostPerHour,2))</f>
        <v>0</v>
      </c>
      <c r="AB62" s="38">
        <f>IF(B62="","",IF(Z62=0,"",(Z62-AA62-X62*SuppliesPerHour)/Z62))</f>
        <v>0</v>
      </c>
      <c r="AC62" s="31">
        <f>IF(A62="","",COUNTIFS(Jobs!$J$5:$J$604,A62))</f>
        <v>0</v>
      </c>
      <c r="AD62" s="18">
        <f>IF(A62="","",IF(SUMPRODUCT(MAX((Jobs!$J$5:$J$604=A62)*((Jobs!$P$5:$P$604="Completed")+(Jobs!$P$5:$P$604="Invoiced"))*Jobs!$B$5:$B$604))=0,"",SUMPRODUCT(MAX((Jobs!$J$5:$J$604=A62)*((Jobs!$P$5:$P$604="Completed")+(Jobs!$P$5:$P$604="Invoiced"))*Jobs!$B$5:$B$604))))</f>
        <v>0</v>
      </c>
      <c r="AE62" s="34">
        <f>IF(A62="","",IFERROR(AVERAGEIFS(Jobs!$AK$5:$AK$604,Jobs!$J$5:$J$604,A62,Jobs!$AK$5:$AK$604,"&gt;0"),""))</f>
        <v>0</v>
      </c>
      <c r="AF62" s="34">
        <f>IF(OR(AE62="",X62=""),"",AE62-X62)</f>
        <v>0</v>
      </c>
      <c r="AG62" s="21">
        <f>IF(A62="","",SUMIFS(Jobs!$AJ$5:$AJ$604,Jobs!$J$5:$J$604,A62,Jobs!$P$5:$P$604,"Invoiced")+SUMIFS(Jobs!$AJ$5:$AJ$604,Jobs!$J$5:$J$604,A62,Jobs!$P$5:$P$604,"Completed"))</f>
        <v>0</v>
      </c>
      <c r="AH62" s="39">
        <f>IF(B62="","",IF(C62="","Add - no client linked",IF(IFERROR(INDEX(Clients!$B$5:$B$204,MATCH(C62,Clients!$A$5:$A$204,0)),"")="","Check - client ID not found",IF(AND(G62="",H62=""),"Add - size needed to price it",IF(AND(AF62&lt;&gt;"",AF62&gt;0.5),"Check - runs over the estimate",IF(N62="","Add - how do we get in?","OK"))))))</f>
        <v>0</v>
      </c>
    </row>
    <row r="63" spans="1:34">
      <c r="A63" s="43">
        <f>IF(B63="","",PropertyPrefix&amp;TEXT(ROW()-4,"0000"))</f>
        <v>0</v>
      </c>
      <c r="D63" s="23">
        <f>IF(C63="","",IFERROR(INDEX(Clients!$B$5:$B$204,MATCH(C63,Clients!$A$5:$A$204,0)),"Not found"))</f>
        <v>0</v>
      </c>
      <c r="W63" s="34">
        <f>IF(B63="","",MAX(IF(H63="",0,H63)*0.45+IF(I63="",0,I63)*0.6+IF(J63="",0,J63)*0.3,IF(G63="",0,G63)/650))</f>
        <v>0</v>
      </c>
      <c r="X63" s="34">
        <f>IF(B63="","",ROUND(MAX(1,W63)*IFERROR(INDEX(ConditionFactors,MATCH(L63,ConditionNames,0)),1),2))</f>
        <v>0</v>
      </c>
      <c r="Y63" s="34">
        <f>IF(B63="","",ROUND(X63/MAX(1,CleanersPerJob),2))</f>
        <v>0</v>
      </c>
      <c r="Z63" s="21">
        <f>IF(B63="","",MAX(MinimumCharge,ROUND(X63*IF(IFERROR(INDEX(Clients!$O$5:$O$204,MATCH(C63,Clients!$A$5:$A$204,0)),0)&gt;0,INDEX(Clients!$O$5:$O$204,MATCH(C63,Clients!$A$5:$A$204,0)),HourlyRate)+IF(M63="",0,IF(M63="None",0,PetSurcharge)),2)))</f>
        <v>0</v>
      </c>
      <c r="AA63" s="21">
        <f>IF(B63="","",ROUND(X63*CostPerHour,2))</f>
        <v>0</v>
      </c>
      <c r="AB63" s="38">
        <f>IF(B63="","",IF(Z63=0,"",(Z63-AA63-X63*SuppliesPerHour)/Z63))</f>
        <v>0</v>
      </c>
      <c r="AC63" s="31">
        <f>IF(A63="","",COUNTIFS(Jobs!$J$5:$J$604,A63))</f>
        <v>0</v>
      </c>
      <c r="AD63" s="18">
        <f>IF(A63="","",IF(SUMPRODUCT(MAX((Jobs!$J$5:$J$604=A63)*((Jobs!$P$5:$P$604="Completed")+(Jobs!$P$5:$P$604="Invoiced"))*Jobs!$B$5:$B$604))=0,"",SUMPRODUCT(MAX((Jobs!$J$5:$J$604=A63)*((Jobs!$P$5:$P$604="Completed")+(Jobs!$P$5:$P$604="Invoiced"))*Jobs!$B$5:$B$604))))</f>
        <v>0</v>
      </c>
      <c r="AE63" s="34">
        <f>IF(A63="","",IFERROR(AVERAGEIFS(Jobs!$AK$5:$AK$604,Jobs!$J$5:$J$604,A63,Jobs!$AK$5:$AK$604,"&gt;0"),""))</f>
        <v>0</v>
      </c>
      <c r="AF63" s="34">
        <f>IF(OR(AE63="",X63=""),"",AE63-X63)</f>
        <v>0</v>
      </c>
      <c r="AG63" s="21">
        <f>IF(A63="","",SUMIFS(Jobs!$AJ$5:$AJ$604,Jobs!$J$5:$J$604,A63,Jobs!$P$5:$P$604,"Invoiced")+SUMIFS(Jobs!$AJ$5:$AJ$604,Jobs!$J$5:$J$604,A63,Jobs!$P$5:$P$604,"Completed"))</f>
        <v>0</v>
      </c>
      <c r="AH63" s="39">
        <f>IF(B63="","",IF(C63="","Add - no client linked",IF(IFERROR(INDEX(Clients!$B$5:$B$204,MATCH(C63,Clients!$A$5:$A$204,0)),"")="","Check - client ID not found",IF(AND(G63="",H63=""),"Add - size needed to price it",IF(AND(AF63&lt;&gt;"",AF63&gt;0.5),"Check - runs over the estimate",IF(N63="","Add - how do we get in?","OK"))))))</f>
        <v>0</v>
      </c>
    </row>
    <row r="64" spans="1:34">
      <c r="A64" s="43">
        <f>IF(B64="","",PropertyPrefix&amp;TEXT(ROW()-4,"0000"))</f>
        <v>0</v>
      </c>
      <c r="D64" s="23">
        <f>IF(C64="","",IFERROR(INDEX(Clients!$B$5:$B$204,MATCH(C64,Clients!$A$5:$A$204,0)),"Not found"))</f>
        <v>0</v>
      </c>
      <c r="W64" s="34">
        <f>IF(B64="","",MAX(IF(H64="",0,H64)*0.45+IF(I64="",0,I64)*0.6+IF(J64="",0,J64)*0.3,IF(G64="",0,G64)/650))</f>
        <v>0</v>
      </c>
      <c r="X64" s="34">
        <f>IF(B64="","",ROUND(MAX(1,W64)*IFERROR(INDEX(ConditionFactors,MATCH(L64,ConditionNames,0)),1),2))</f>
        <v>0</v>
      </c>
      <c r="Y64" s="34">
        <f>IF(B64="","",ROUND(X64/MAX(1,CleanersPerJob),2))</f>
        <v>0</v>
      </c>
      <c r="Z64" s="21">
        <f>IF(B64="","",MAX(MinimumCharge,ROUND(X64*IF(IFERROR(INDEX(Clients!$O$5:$O$204,MATCH(C64,Clients!$A$5:$A$204,0)),0)&gt;0,INDEX(Clients!$O$5:$O$204,MATCH(C64,Clients!$A$5:$A$204,0)),HourlyRate)+IF(M64="",0,IF(M64="None",0,PetSurcharge)),2)))</f>
        <v>0</v>
      </c>
      <c r="AA64" s="21">
        <f>IF(B64="","",ROUND(X64*CostPerHour,2))</f>
        <v>0</v>
      </c>
      <c r="AB64" s="38">
        <f>IF(B64="","",IF(Z64=0,"",(Z64-AA64-X64*SuppliesPerHour)/Z64))</f>
        <v>0</v>
      </c>
      <c r="AC64" s="31">
        <f>IF(A64="","",COUNTIFS(Jobs!$J$5:$J$604,A64))</f>
        <v>0</v>
      </c>
      <c r="AD64" s="18">
        <f>IF(A64="","",IF(SUMPRODUCT(MAX((Jobs!$J$5:$J$604=A64)*((Jobs!$P$5:$P$604="Completed")+(Jobs!$P$5:$P$604="Invoiced"))*Jobs!$B$5:$B$604))=0,"",SUMPRODUCT(MAX((Jobs!$J$5:$J$604=A64)*((Jobs!$P$5:$P$604="Completed")+(Jobs!$P$5:$P$604="Invoiced"))*Jobs!$B$5:$B$604))))</f>
        <v>0</v>
      </c>
      <c r="AE64" s="34">
        <f>IF(A64="","",IFERROR(AVERAGEIFS(Jobs!$AK$5:$AK$604,Jobs!$J$5:$J$604,A64,Jobs!$AK$5:$AK$604,"&gt;0"),""))</f>
        <v>0</v>
      </c>
      <c r="AF64" s="34">
        <f>IF(OR(AE64="",X64=""),"",AE64-X64)</f>
        <v>0</v>
      </c>
      <c r="AG64" s="21">
        <f>IF(A64="","",SUMIFS(Jobs!$AJ$5:$AJ$604,Jobs!$J$5:$J$604,A64,Jobs!$P$5:$P$604,"Invoiced")+SUMIFS(Jobs!$AJ$5:$AJ$604,Jobs!$J$5:$J$604,A64,Jobs!$P$5:$P$604,"Completed"))</f>
        <v>0</v>
      </c>
      <c r="AH64" s="39">
        <f>IF(B64="","",IF(C64="","Add - no client linked",IF(IFERROR(INDEX(Clients!$B$5:$B$204,MATCH(C64,Clients!$A$5:$A$204,0)),"")="","Check - client ID not found",IF(AND(G64="",H64=""),"Add - size needed to price it",IF(AND(AF64&lt;&gt;"",AF64&gt;0.5),"Check - runs over the estimate",IF(N64="","Add - how do we get in?","OK"))))))</f>
        <v>0</v>
      </c>
    </row>
    <row r="65" spans="1:34">
      <c r="A65" s="43">
        <f>IF(B65="","",PropertyPrefix&amp;TEXT(ROW()-4,"0000"))</f>
        <v>0</v>
      </c>
      <c r="D65" s="23">
        <f>IF(C65="","",IFERROR(INDEX(Clients!$B$5:$B$204,MATCH(C65,Clients!$A$5:$A$204,0)),"Not found"))</f>
        <v>0</v>
      </c>
      <c r="W65" s="34">
        <f>IF(B65="","",MAX(IF(H65="",0,H65)*0.45+IF(I65="",0,I65)*0.6+IF(J65="",0,J65)*0.3,IF(G65="",0,G65)/650))</f>
        <v>0</v>
      </c>
      <c r="X65" s="34">
        <f>IF(B65="","",ROUND(MAX(1,W65)*IFERROR(INDEX(ConditionFactors,MATCH(L65,ConditionNames,0)),1),2))</f>
        <v>0</v>
      </c>
      <c r="Y65" s="34">
        <f>IF(B65="","",ROUND(X65/MAX(1,CleanersPerJob),2))</f>
        <v>0</v>
      </c>
      <c r="Z65" s="21">
        <f>IF(B65="","",MAX(MinimumCharge,ROUND(X65*IF(IFERROR(INDEX(Clients!$O$5:$O$204,MATCH(C65,Clients!$A$5:$A$204,0)),0)&gt;0,INDEX(Clients!$O$5:$O$204,MATCH(C65,Clients!$A$5:$A$204,0)),HourlyRate)+IF(M65="",0,IF(M65="None",0,PetSurcharge)),2)))</f>
        <v>0</v>
      </c>
      <c r="AA65" s="21">
        <f>IF(B65="","",ROUND(X65*CostPerHour,2))</f>
        <v>0</v>
      </c>
      <c r="AB65" s="38">
        <f>IF(B65="","",IF(Z65=0,"",(Z65-AA65-X65*SuppliesPerHour)/Z65))</f>
        <v>0</v>
      </c>
      <c r="AC65" s="31">
        <f>IF(A65="","",COUNTIFS(Jobs!$J$5:$J$604,A65))</f>
        <v>0</v>
      </c>
      <c r="AD65" s="18">
        <f>IF(A65="","",IF(SUMPRODUCT(MAX((Jobs!$J$5:$J$604=A65)*((Jobs!$P$5:$P$604="Completed")+(Jobs!$P$5:$P$604="Invoiced"))*Jobs!$B$5:$B$604))=0,"",SUMPRODUCT(MAX((Jobs!$J$5:$J$604=A65)*((Jobs!$P$5:$P$604="Completed")+(Jobs!$P$5:$P$604="Invoiced"))*Jobs!$B$5:$B$604))))</f>
        <v>0</v>
      </c>
      <c r="AE65" s="34">
        <f>IF(A65="","",IFERROR(AVERAGEIFS(Jobs!$AK$5:$AK$604,Jobs!$J$5:$J$604,A65,Jobs!$AK$5:$AK$604,"&gt;0"),""))</f>
        <v>0</v>
      </c>
      <c r="AF65" s="34">
        <f>IF(OR(AE65="",X65=""),"",AE65-X65)</f>
        <v>0</v>
      </c>
      <c r="AG65" s="21">
        <f>IF(A65="","",SUMIFS(Jobs!$AJ$5:$AJ$604,Jobs!$J$5:$J$604,A65,Jobs!$P$5:$P$604,"Invoiced")+SUMIFS(Jobs!$AJ$5:$AJ$604,Jobs!$J$5:$J$604,A65,Jobs!$P$5:$P$604,"Completed"))</f>
        <v>0</v>
      </c>
      <c r="AH65" s="39">
        <f>IF(B65="","",IF(C65="","Add - no client linked",IF(IFERROR(INDEX(Clients!$B$5:$B$204,MATCH(C65,Clients!$A$5:$A$204,0)),"")="","Check - client ID not found",IF(AND(G65="",H65=""),"Add - size needed to price it",IF(AND(AF65&lt;&gt;"",AF65&gt;0.5),"Check - runs over the estimate",IF(N65="","Add - how do we get in?","OK"))))))</f>
        <v>0</v>
      </c>
    </row>
    <row r="66" spans="1:34">
      <c r="A66" s="43">
        <f>IF(B66="","",PropertyPrefix&amp;TEXT(ROW()-4,"0000"))</f>
        <v>0</v>
      </c>
      <c r="D66" s="23">
        <f>IF(C66="","",IFERROR(INDEX(Clients!$B$5:$B$204,MATCH(C66,Clients!$A$5:$A$204,0)),"Not found"))</f>
        <v>0</v>
      </c>
      <c r="W66" s="34">
        <f>IF(B66="","",MAX(IF(H66="",0,H66)*0.45+IF(I66="",0,I66)*0.6+IF(J66="",0,J66)*0.3,IF(G66="",0,G66)/650))</f>
        <v>0</v>
      </c>
      <c r="X66" s="34">
        <f>IF(B66="","",ROUND(MAX(1,W66)*IFERROR(INDEX(ConditionFactors,MATCH(L66,ConditionNames,0)),1),2))</f>
        <v>0</v>
      </c>
      <c r="Y66" s="34">
        <f>IF(B66="","",ROUND(X66/MAX(1,CleanersPerJob),2))</f>
        <v>0</v>
      </c>
      <c r="Z66" s="21">
        <f>IF(B66="","",MAX(MinimumCharge,ROUND(X66*IF(IFERROR(INDEX(Clients!$O$5:$O$204,MATCH(C66,Clients!$A$5:$A$204,0)),0)&gt;0,INDEX(Clients!$O$5:$O$204,MATCH(C66,Clients!$A$5:$A$204,0)),HourlyRate)+IF(M66="",0,IF(M66="None",0,PetSurcharge)),2)))</f>
        <v>0</v>
      </c>
      <c r="AA66" s="21">
        <f>IF(B66="","",ROUND(X66*CostPerHour,2))</f>
        <v>0</v>
      </c>
      <c r="AB66" s="38">
        <f>IF(B66="","",IF(Z66=0,"",(Z66-AA66-X66*SuppliesPerHour)/Z66))</f>
        <v>0</v>
      </c>
      <c r="AC66" s="31">
        <f>IF(A66="","",COUNTIFS(Jobs!$J$5:$J$604,A66))</f>
        <v>0</v>
      </c>
      <c r="AD66" s="18">
        <f>IF(A66="","",IF(SUMPRODUCT(MAX((Jobs!$J$5:$J$604=A66)*((Jobs!$P$5:$P$604="Completed")+(Jobs!$P$5:$P$604="Invoiced"))*Jobs!$B$5:$B$604))=0,"",SUMPRODUCT(MAX((Jobs!$J$5:$J$604=A66)*((Jobs!$P$5:$P$604="Completed")+(Jobs!$P$5:$P$604="Invoiced"))*Jobs!$B$5:$B$604))))</f>
        <v>0</v>
      </c>
      <c r="AE66" s="34">
        <f>IF(A66="","",IFERROR(AVERAGEIFS(Jobs!$AK$5:$AK$604,Jobs!$J$5:$J$604,A66,Jobs!$AK$5:$AK$604,"&gt;0"),""))</f>
        <v>0</v>
      </c>
      <c r="AF66" s="34">
        <f>IF(OR(AE66="",X66=""),"",AE66-X66)</f>
        <v>0</v>
      </c>
      <c r="AG66" s="21">
        <f>IF(A66="","",SUMIFS(Jobs!$AJ$5:$AJ$604,Jobs!$J$5:$J$604,A66,Jobs!$P$5:$P$604,"Invoiced")+SUMIFS(Jobs!$AJ$5:$AJ$604,Jobs!$J$5:$J$604,A66,Jobs!$P$5:$P$604,"Completed"))</f>
        <v>0</v>
      </c>
      <c r="AH66" s="39">
        <f>IF(B66="","",IF(C66="","Add - no client linked",IF(IFERROR(INDEX(Clients!$B$5:$B$204,MATCH(C66,Clients!$A$5:$A$204,0)),"")="","Check - client ID not found",IF(AND(G66="",H66=""),"Add - size needed to price it",IF(AND(AF66&lt;&gt;"",AF66&gt;0.5),"Check - runs over the estimate",IF(N66="","Add - how do we get in?","OK"))))))</f>
        <v>0</v>
      </c>
    </row>
    <row r="67" spans="1:34">
      <c r="A67" s="43">
        <f>IF(B67="","",PropertyPrefix&amp;TEXT(ROW()-4,"0000"))</f>
        <v>0</v>
      </c>
      <c r="D67" s="23">
        <f>IF(C67="","",IFERROR(INDEX(Clients!$B$5:$B$204,MATCH(C67,Clients!$A$5:$A$204,0)),"Not found"))</f>
        <v>0</v>
      </c>
      <c r="W67" s="34">
        <f>IF(B67="","",MAX(IF(H67="",0,H67)*0.45+IF(I67="",0,I67)*0.6+IF(J67="",0,J67)*0.3,IF(G67="",0,G67)/650))</f>
        <v>0</v>
      </c>
      <c r="X67" s="34">
        <f>IF(B67="","",ROUND(MAX(1,W67)*IFERROR(INDEX(ConditionFactors,MATCH(L67,ConditionNames,0)),1),2))</f>
        <v>0</v>
      </c>
      <c r="Y67" s="34">
        <f>IF(B67="","",ROUND(X67/MAX(1,CleanersPerJob),2))</f>
        <v>0</v>
      </c>
      <c r="Z67" s="21">
        <f>IF(B67="","",MAX(MinimumCharge,ROUND(X67*IF(IFERROR(INDEX(Clients!$O$5:$O$204,MATCH(C67,Clients!$A$5:$A$204,0)),0)&gt;0,INDEX(Clients!$O$5:$O$204,MATCH(C67,Clients!$A$5:$A$204,0)),HourlyRate)+IF(M67="",0,IF(M67="None",0,PetSurcharge)),2)))</f>
        <v>0</v>
      </c>
      <c r="AA67" s="21">
        <f>IF(B67="","",ROUND(X67*CostPerHour,2))</f>
        <v>0</v>
      </c>
      <c r="AB67" s="38">
        <f>IF(B67="","",IF(Z67=0,"",(Z67-AA67-X67*SuppliesPerHour)/Z67))</f>
        <v>0</v>
      </c>
      <c r="AC67" s="31">
        <f>IF(A67="","",COUNTIFS(Jobs!$J$5:$J$604,A67))</f>
        <v>0</v>
      </c>
      <c r="AD67" s="18">
        <f>IF(A67="","",IF(SUMPRODUCT(MAX((Jobs!$J$5:$J$604=A67)*((Jobs!$P$5:$P$604="Completed")+(Jobs!$P$5:$P$604="Invoiced"))*Jobs!$B$5:$B$604))=0,"",SUMPRODUCT(MAX((Jobs!$J$5:$J$604=A67)*((Jobs!$P$5:$P$604="Completed")+(Jobs!$P$5:$P$604="Invoiced"))*Jobs!$B$5:$B$604))))</f>
        <v>0</v>
      </c>
      <c r="AE67" s="34">
        <f>IF(A67="","",IFERROR(AVERAGEIFS(Jobs!$AK$5:$AK$604,Jobs!$J$5:$J$604,A67,Jobs!$AK$5:$AK$604,"&gt;0"),""))</f>
        <v>0</v>
      </c>
      <c r="AF67" s="34">
        <f>IF(OR(AE67="",X67=""),"",AE67-X67)</f>
        <v>0</v>
      </c>
      <c r="AG67" s="21">
        <f>IF(A67="","",SUMIFS(Jobs!$AJ$5:$AJ$604,Jobs!$J$5:$J$604,A67,Jobs!$P$5:$P$604,"Invoiced")+SUMIFS(Jobs!$AJ$5:$AJ$604,Jobs!$J$5:$J$604,A67,Jobs!$P$5:$P$604,"Completed"))</f>
        <v>0</v>
      </c>
      <c r="AH67" s="39">
        <f>IF(B67="","",IF(C67="","Add - no client linked",IF(IFERROR(INDEX(Clients!$B$5:$B$204,MATCH(C67,Clients!$A$5:$A$204,0)),"")="","Check - client ID not found",IF(AND(G67="",H67=""),"Add - size needed to price it",IF(AND(AF67&lt;&gt;"",AF67&gt;0.5),"Check - runs over the estimate",IF(N67="","Add - how do we get in?","OK"))))))</f>
        <v>0</v>
      </c>
    </row>
    <row r="68" spans="1:34">
      <c r="A68" s="43">
        <f>IF(B68="","",PropertyPrefix&amp;TEXT(ROW()-4,"0000"))</f>
        <v>0</v>
      </c>
      <c r="D68" s="23">
        <f>IF(C68="","",IFERROR(INDEX(Clients!$B$5:$B$204,MATCH(C68,Clients!$A$5:$A$204,0)),"Not found"))</f>
        <v>0</v>
      </c>
      <c r="W68" s="34">
        <f>IF(B68="","",MAX(IF(H68="",0,H68)*0.45+IF(I68="",0,I68)*0.6+IF(J68="",0,J68)*0.3,IF(G68="",0,G68)/650))</f>
        <v>0</v>
      </c>
      <c r="X68" s="34">
        <f>IF(B68="","",ROUND(MAX(1,W68)*IFERROR(INDEX(ConditionFactors,MATCH(L68,ConditionNames,0)),1),2))</f>
        <v>0</v>
      </c>
      <c r="Y68" s="34">
        <f>IF(B68="","",ROUND(X68/MAX(1,CleanersPerJob),2))</f>
        <v>0</v>
      </c>
      <c r="Z68" s="21">
        <f>IF(B68="","",MAX(MinimumCharge,ROUND(X68*IF(IFERROR(INDEX(Clients!$O$5:$O$204,MATCH(C68,Clients!$A$5:$A$204,0)),0)&gt;0,INDEX(Clients!$O$5:$O$204,MATCH(C68,Clients!$A$5:$A$204,0)),HourlyRate)+IF(M68="",0,IF(M68="None",0,PetSurcharge)),2)))</f>
        <v>0</v>
      </c>
      <c r="AA68" s="21">
        <f>IF(B68="","",ROUND(X68*CostPerHour,2))</f>
        <v>0</v>
      </c>
      <c r="AB68" s="38">
        <f>IF(B68="","",IF(Z68=0,"",(Z68-AA68-X68*SuppliesPerHour)/Z68))</f>
        <v>0</v>
      </c>
      <c r="AC68" s="31">
        <f>IF(A68="","",COUNTIFS(Jobs!$J$5:$J$604,A68))</f>
        <v>0</v>
      </c>
      <c r="AD68" s="18">
        <f>IF(A68="","",IF(SUMPRODUCT(MAX((Jobs!$J$5:$J$604=A68)*((Jobs!$P$5:$P$604="Completed")+(Jobs!$P$5:$P$604="Invoiced"))*Jobs!$B$5:$B$604))=0,"",SUMPRODUCT(MAX((Jobs!$J$5:$J$604=A68)*((Jobs!$P$5:$P$604="Completed")+(Jobs!$P$5:$P$604="Invoiced"))*Jobs!$B$5:$B$604))))</f>
        <v>0</v>
      </c>
      <c r="AE68" s="34">
        <f>IF(A68="","",IFERROR(AVERAGEIFS(Jobs!$AK$5:$AK$604,Jobs!$J$5:$J$604,A68,Jobs!$AK$5:$AK$604,"&gt;0"),""))</f>
        <v>0</v>
      </c>
      <c r="AF68" s="34">
        <f>IF(OR(AE68="",X68=""),"",AE68-X68)</f>
        <v>0</v>
      </c>
      <c r="AG68" s="21">
        <f>IF(A68="","",SUMIFS(Jobs!$AJ$5:$AJ$604,Jobs!$J$5:$J$604,A68,Jobs!$P$5:$P$604,"Invoiced")+SUMIFS(Jobs!$AJ$5:$AJ$604,Jobs!$J$5:$J$604,A68,Jobs!$P$5:$P$604,"Completed"))</f>
        <v>0</v>
      </c>
      <c r="AH68" s="39">
        <f>IF(B68="","",IF(C68="","Add - no client linked",IF(IFERROR(INDEX(Clients!$B$5:$B$204,MATCH(C68,Clients!$A$5:$A$204,0)),"")="","Check - client ID not found",IF(AND(G68="",H68=""),"Add - size needed to price it",IF(AND(AF68&lt;&gt;"",AF68&gt;0.5),"Check - runs over the estimate",IF(N68="","Add - how do we get in?","OK"))))))</f>
        <v>0</v>
      </c>
    </row>
    <row r="69" spans="1:34">
      <c r="A69" s="43">
        <f>IF(B69="","",PropertyPrefix&amp;TEXT(ROW()-4,"0000"))</f>
        <v>0</v>
      </c>
      <c r="D69" s="23">
        <f>IF(C69="","",IFERROR(INDEX(Clients!$B$5:$B$204,MATCH(C69,Clients!$A$5:$A$204,0)),"Not found"))</f>
        <v>0</v>
      </c>
      <c r="W69" s="34">
        <f>IF(B69="","",MAX(IF(H69="",0,H69)*0.45+IF(I69="",0,I69)*0.6+IF(J69="",0,J69)*0.3,IF(G69="",0,G69)/650))</f>
        <v>0</v>
      </c>
      <c r="X69" s="34">
        <f>IF(B69="","",ROUND(MAX(1,W69)*IFERROR(INDEX(ConditionFactors,MATCH(L69,ConditionNames,0)),1),2))</f>
        <v>0</v>
      </c>
      <c r="Y69" s="34">
        <f>IF(B69="","",ROUND(X69/MAX(1,CleanersPerJob),2))</f>
        <v>0</v>
      </c>
      <c r="Z69" s="21">
        <f>IF(B69="","",MAX(MinimumCharge,ROUND(X69*IF(IFERROR(INDEX(Clients!$O$5:$O$204,MATCH(C69,Clients!$A$5:$A$204,0)),0)&gt;0,INDEX(Clients!$O$5:$O$204,MATCH(C69,Clients!$A$5:$A$204,0)),HourlyRate)+IF(M69="",0,IF(M69="None",0,PetSurcharge)),2)))</f>
        <v>0</v>
      </c>
      <c r="AA69" s="21">
        <f>IF(B69="","",ROUND(X69*CostPerHour,2))</f>
        <v>0</v>
      </c>
      <c r="AB69" s="38">
        <f>IF(B69="","",IF(Z69=0,"",(Z69-AA69-X69*SuppliesPerHour)/Z69))</f>
        <v>0</v>
      </c>
      <c r="AC69" s="31">
        <f>IF(A69="","",COUNTIFS(Jobs!$J$5:$J$604,A69))</f>
        <v>0</v>
      </c>
      <c r="AD69" s="18">
        <f>IF(A69="","",IF(SUMPRODUCT(MAX((Jobs!$J$5:$J$604=A69)*((Jobs!$P$5:$P$604="Completed")+(Jobs!$P$5:$P$604="Invoiced"))*Jobs!$B$5:$B$604))=0,"",SUMPRODUCT(MAX((Jobs!$J$5:$J$604=A69)*((Jobs!$P$5:$P$604="Completed")+(Jobs!$P$5:$P$604="Invoiced"))*Jobs!$B$5:$B$604))))</f>
        <v>0</v>
      </c>
      <c r="AE69" s="34">
        <f>IF(A69="","",IFERROR(AVERAGEIFS(Jobs!$AK$5:$AK$604,Jobs!$J$5:$J$604,A69,Jobs!$AK$5:$AK$604,"&gt;0"),""))</f>
        <v>0</v>
      </c>
      <c r="AF69" s="34">
        <f>IF(OR(AE69="",X69=""),"",AE69-X69)</f>
        <v>0</v>
      </c>
      <c r="AG69" s="21">
        <f>IF(A69="","",SUMIFS(Jobs!$AJ$5:$AJ$604,Jobs!$J$5:$J$604,A69,Jobs!$P$5:$P$604,"Invoiced")+SUMIFS(Jobs!$AJ$5:$AJ$604,Jobs!$J$5:$J$604,A69,Jobs!$P$5:$P$604,"Completed"))</f>
        <v>0</v>
      </c>
      <c r="AH69" s="39">
        <f>IF(B69="","",IF(C69="","Add - no client linked",IF(IFERROR(INDEX(Clients!$B$5:$B$204,MATCH(C69,Clients!$A$5:$A$204,0)),"")="","Check - client ID not found",IF(AND(G69="",H69=""),"Add - size needed to price it",IF(AND(AF69&lt;&gt;"",AF69&gt;0.5),"Check - runs over the estimate",IF(N69="","Add - how do we get in?","OK"))))))</f>
        <v>0</v>
      </c>
    </row>
    <row r="70" spans="1:34">
      <c r="A70" s="43">
        <f>IF(B70="","",PropertyPrefix&amp;TEXT(ROW()-4,"0000"))</f>
        <v>0</v>
      </c>
      <c r="D70" s="23">
        <f>IF(C70="","",IFERROR(INDEX(Clients!$B$5:$B$204,MATCH(C70,Clients!$A$5:$A$204,0)),"Not found"))</f>
        <v>0</v>
      </c>
      <c r="W70" s="34">
        <f>IF(B70="","",MAX(IF(H70="",0,H70)*0.45+IF(I70="",0,I70)*0.6+IF(J70="",0,J70)*0.3,IF(G70="",0,G70)/650))</f>
        <v>0</v>
      </c>
      <c r="X70" s="34">
        <f>IF(B70="","",ROUND(MAX(1,W70)*IFERROR(INDEX(ConditionFactors,MATCH(L70,ConditionNames,0)),1),2))</f>
        <v>0</v>
      </c>
      <c r="Y70" s="34">
        <f>IF(B70="","",ROUND(X70/MAX(1,CleanersPerJob),2))</f>
        <v>0</v>
      </c>
      <c r="Z70" s="21">
        <f>IF(B70="","",MAX(MinimumCharge,ROUND(X70*IF(IFERROR(INDEX(Clients!$O$5:$O$204,MATCH(C70,Clients!$A$5:$A$204,0)),0)&gt;0,INDEX(Clients!$O$5:$O$204,MATCH(C70,Clients!$A$5:$A$204,0)),HourlyRate)+IF(M70="",0,IF(M70="None",0,PetSurcharge)),2)))</f>
        <v>0</v>
      </c>
      <c r="AA70" s="21">
        <f>IF(B70="","",ROUND(X70*CostPerHour,2))</f>
        <v>0</v>
      </c>
      <c r="AB70" s="38">
        <f>IF(B70="","",IF(Z70=0,"",(Z70-AA70-X70*SuppliesPerHour)/Z70))</f>
        <v>0</v>
      </c>
      <c r="AC70" s="31">
        <f>IF(A70="","",COUNTIFS(Jobs!$J$5:$J$604,A70))</f>
        <v>0</v>
      </c>
      <c r="AD70" s="18">
        <f>IF(A70="","",IF(SUMPRODUCT(MAX((Jobs!$J$5:$J$604=A70)*((Jobs!$P$5:$P$604="Completed")+(Jobs!$P$5:$P$604="Invoiced"))*Jobs!$B$5:$B$604))=0,"",SUMPRODUCT(MAX((Jobs!$J$5:$J$604=A70)*((Jobs!$P$5:$P$604="Completed")+(Jobs!$P$5:$P$604="Invoiced"))*Jobs!$B$5:$B$604))))</f>
        <v>0</v>
      </c>
      <c r="AE70" s="34">
        <f>IF(A70="","",IFERROR(AVERAGEIFS(Jobs!$AK$5:$AK$604,Jobs!$J$5:$J$604,A70,Jobs!$AK$5:$AK$604,"&gt;0"),""))</f>
        <v>0</v>
      </c>
      <c r="AF70" s="34">
        <f>IF(OR(AE70="",X70=""),"",AE70-X70)</f>
        <v>0</v>
      </c>
      <c r="AG70" s="21">
        <f>IF(A70="","",SUMIFS(Jobs!$AJ$5:$AJ$604,Jobs!$J$5:$J$604,A70,Jobs!$P$5:$P$604,"Invoiced")+SUMIFS(Jobs!$AJ$5:$AJ$604,Jobs!$J$5:$J$604,A70,Jobs!$P$5:$P$604,"Completed"))</f>
        <v>0</v>
      </c>
      <c r="AH70" s="39">
        <f>IF(B70="","",IF(C70="","Add - no client linked",IF(IFERROR(INDEX(Clients!$B$5:$B$204,MATCH(C70,Clients!$A$5:$A$204,0)),"")="","Check - client ID not found",IF(AND(G70="",H70=""),"Add - size needed to price it",IF(AND(AF70&lt;&gt;"",AF70&gt;0.5),"Check - runs over the estimate",IF(N70="","Add - how do we get in?","OK"))))))</f>
        <v>0</v>
      </c>
    </row>
    <row r="71" spans="1:34">
      <c r="A71" s="43">
        <f>IF(B71="","",PropertyPrefix&amp;TEXT(ROW()-4,"0000"))</f>
        <v>0</v>
      </c>
      <c r="D71" s="23">
        <f>IF(C71="","",IFERROR(INDEX(Clients!$B$5:$B$204,MATCH(C71,Clients!$A$5:$A$204,0)),"Not found"))</f>
        <v>0</v>
      </c>
      <c r="W71" s="34">
        <f>IF(B71="","",MAX(IF(H71="",0,H71)*0.45+IF(I71="",0,I71)*0.6+IF(J71="",0,J71)*0.3,IF(G71="",0,G71)/650))</f>
        <v>0</v>
      </c>
      <c r="X71" s="34">
        <f>IF(B71="","",ROUND(MAX(1,W71)*IFERROR(INDEX(ConditionFactors,MATCH(L71,ConditionNames,0)),1),2))</f>
        <v>0</v>
      </c>
      <c r="Y71" s="34">
        <f>IF(B71="","",ROUND(X71/MAX(1,CleanersPerJob),2))</f>
        <v>0</v>
      </c>
      <c r="Z71" s="21">
        <f>IF(B71="","",MAX(MinimumCharge,ROUND(X71*IF(IFERROR(INDEX(Clients!$O$5:$O$204,MATCH(C71,Clients!$A$5:$A$204,0)),0)&gt;0,INDEX(Clients!$O$5:$O$204,MATCH(C71,Clients!$A$5:$A$204,0)),HourlyRate)+IF(M71="",0,IF(M71="None",0,PetSurcharge)),2)))</f>
        <v>0</v>
      </c>
      <c r="AA71" s="21">
        <f>IF(B71="","",ROUND(X71*CostPerHour,2))</f>
        <v>0</v>
      </c>
      <c r="AB71" s="38">
        <f>IF(B71="","",IF(Z71=0,"",(Z71-AA71-X71*SuppliesPerHour)/Z71))</f>
        <v>0</v>
      </c>
      <c r="AC71" s="31">
        <f>IF(A71="","",COUNTIFS(Jobs!$J$5:$J$604,A71))</f>
        <v>0</v>
      </c>
      <c r="AD71" s="18">
        <f>IF(A71="","",IF(SUMPRODUCT(MAX((Jobs!$J$5:$J$604=A71)*((Jobs!$P$5:$P$604="Completed")+(Jobs!$P$5:$P$604="Invoiced"))*Jobs!$B$5:$B$604))=0,"",SUMPRODUCT(MAX((Jobs!$J$5:$J$604=A71)*((Jobs!$P$5:$P$604="Completed")+(Jobs!$P$5:$P$604="Invoiced"))*Jobs!$B$5:$B$604))))</f>
        <v>0</v>
      </c>
      <c r="AE71" s="34">
        <f>IF(A71="","",IFERROR(AVERAGEIFS(Jobs!$AK$5:$AK$604,Jobs!$J$5:$J$604,A71,Jobs!$AK$5:$AK$604,"&gt;0"),""))</f>
        <v>0</v>
      </c>
      <c r="AF71" s="34">
        <f>IF(OR(AE71="",X71=""),"",AE71-X71)</f>
        <v>0</v>
      </c>
      <c r="AG71" s="21">
        <f>IF(A71="","",SUMIFS(Jobs!$AJ$5:$AJ$604,Jobs!$J$5:$J$604,A71,Jobs!$P$5:$P$604,"Invoiced")+SUMIFS(Jobs!$AJ$5:$AJ$604,Jobs!$J$5:$J$604,A71,Jobs!$P$5:$P$604,"Completed"))</f>
        <v>0</v>
      </c>
      <c r="AH71" s="39">
        <f>IF(B71="","",IF(C71="","Add - no client linked",IF(IFERROR(INDEX(Clients!$B$5:$B$204,MATCH(C71,Clients!$A$5:$A$204,0)),"")="","Check - client ID not found",IF(AND(G71="",H71=""),"Add - size needed to price it",IF(AND(AF71&lt;&gt;"",AF71&gt;0.5),"Check - runs over the estimate",IF(N71="","Add - how do we get in?","OK"))))))</f>
        <v>0</v>
      </c>
    </row>
    <row r="72" spans="1:34">
      <c r="A72" s="43">
        <f>IF(B72="","",PropertyPrefix&amp;TEXT(ROW()-4,"0000"))</f>
        <v>0</v>
      </c>
      <c r="D72" s="23">
        <f>IF(C72="","",IFERROR(INDEX(Clients!$B$5:$B$204,MATCH(C72,Clients!$A$5:$A$204,0)),"Not found"))</f>
        <v>0</v>
      </c>
      <c r="W72" s="34">
        <f>IF(B72="","",MAX(IF(H72="",0,H72)*0.45+IF(I72="",0,I72)*0.6+IF(J72="",0,J72)*0.3,IF(G72="",0,G72)/650))</f>
        <v>0</v>
      </c>
      <c r="X72" s="34">
        <f>IF(B72="","",ROUND(MAX(1,W72)*IFERROR(INDEX(ConditionFactors,MATCH(L72,ConditionNames,0)),1),2))</f>
        <v>0</v>
      </c>
      <c r="Y72" s="34">
        <f>IF(B72="","",ROUND(X72/MAX(1,CleanersPerJob),2))</f>
        <v>0</v>
      </c>
      <c r="Z72" s="21">
        <f>IF(B72="","",MAX(MinimumCharge,ROUND(X72*IF(IFERROR(INDEX(Clients!$O$5:$O$204,MATCH(C72,Clients!$A$5:$A$204,0)),0)&gt;0,INDEX(Clients!$O$5:$O$204,MATCH(C72,Clients!$A$5:$A$204,0)),HourlyRate)+IF(M72="",0,IF(M72="None",0,PetSurcharge)),2)))</f>
        <v>0</v>
      </c>
      <c r="AA72" s="21">
        <f>IF(B72="","",ROUND(X72*CostPerHour,2))</f>
        <v>0</v>
      </c>
      <c r="AB72" s="38">
        <f>IF(B72="","",IF(Z72=0,"",(Z72-AA72-X72*SuppliesPerHour)/Z72))</f>
        <v>0</v>
      </c>
      <c r="AC72" s="31">
        <f>IF(A72="","",COUNTIFS(Jobs!$J$5:$J$604,A72))</f>
        <v>0</v>
      </c>
      <c r="AD72" s="18">
        <f>IF(A72="","",IF(SUMPRODUCT(MAX((Jobs!$J$5:$J$604=A72)*((Jobs!$P$5:$P$604="Completed")+(Jobs!$P$5:$P$604="Invoiced"))*Jobs!$B$5:$B$604))=0,"",SUMPRODUCT(MAX((Jobs!$J$5:$J$604=A72)*((Jobs!$P$5:$P$604="Completed")+(Jobs!$P$5:$P$604="Invoiced"))*Jobs!$B$5:$B$604))))</f>
        <v>0</v>
      </c>
      <c r="AE72" s="34">
        <f>IF(A72="","",IFERROR(AVERAGEIFS(Jobs!$AK$5:$AK$604,Jobs!$J$5:$J$604,A72,Jobs!$AK$5:$AK$604,"&gt;0"),""))</f>
        <v>0</v>
      </c>
      <c r="AF72" s="34">
        <f>IF(OR(AE72="",X72=""),"",AE72-X72)</f>
        <v>0</v>
      </c>
      <c r="AG72" s="21">
        <f>IF(A72="","",SUMIFS(Jobs!$AJ$5:$AJ$604,Jobs!$J$5:$J$604,A72,Jobs!$P$5:$P$604,"Invoiced")+SUMIFS(Jobs!$AJ$5:$AJ$604,Jobs!$J$5:$J$604,A72,Jobs!$P$5:$P$604,"Completed"))</f>
        <v>0</v>
      </c>
      <c r="AH72" s="39">
        <f>IF(B72="","",IF(C72="","Add - no client linked",IF(IFERROR(INDEX(Clients!$B$5:$B$204,MATCH(C72,Clients!$A$5:$A$204,0)),"")="","Check - client ID not found",IF(AND(G72="",H72=""),"Add - size needed to price it",IF(AND(AF72&lt;&gt;"",AF72&gt;0.5),"Check - runs over the estimate",IF(N72="","Add - how do we get in?","OK"))))))</f>
        <v>0</v>
      </c>
    </row>
    <row r="73" spans="1:34">
      <c r="A73" s="43">
        <f>IF(B73="","",PropertyPrefix&amp;TEXT(ROW()-4,"0000"))</f>
        <v>0</v>
      </c>
      <c r="D73" s="23">
        <f>IF(C73="","",IFERROR(INDEX(Clients!$B$5:$B$204,MATCH(C73,Clients!$A$5:$A$204,0)),"Not found"))</f>
        <v>0</v>
      </c>
      <c r="W73" s="34">
        <f>IF(B73="","",MAX(IF(H73="",0,H73)*0.45+IF(I73="",0,I73)*0.6+IF(J73="",0,J73)*0.3,IF(G73="",0,G73)/650))</f>
        <v>0</v>
      </c>
      <c r="X73" s="34">
        <f>IF(B73="","",ROUND(MAX(1,W73)*IFERROR(INDEX(ConditionFactors,MATCH(L73,ConditionNames,0)),1),2))</f>
        <v>0</v>
      </c>
      <c r="Y73" s="34">
        <f>IF(B73="","",ROUND(X73/MAX(1,CleanersPerJob),2))</f>
        <v>0</v>
      </c>
      <c r="Z73" s="21">
        <f>IF(B73="","",MAX(MinimumCharge,ROUND(X73*IF(IFERROR(INDEX(Clients!$O$5:$O$204,MATCH(C73,Clients!$A$5:$A$204,0)),0)&gt;0,INDEX(Clients!$O$5:$O$204,MATCH(C73,Clients!$A$5:$A$204,0)),HourlyRate)+IF(M73="",0,IF(M73="None",0,PetSurcharge)),2)))</f>
        <v>0</v>
      </c>
      <c r="AA73" s="21">
        <f>IF(B73="","",ROUND(X73*CostPerHour,2))</f>
        <v>0</v>
      </c>
      <c r="AB73" s="38">
        <f>IF(B73="","",IF(Z73=0,"",(Z73-AA73-X73*SuppliesPerHour)/Z73))</f>
        <v>0</v>
      </c>
      <c r="AC73" s="31">
        <f>IF(A73="","",COUNTIFS(Jobs!$J$5:$J$604,A73))</f>
        <v>0</v>
      </c>
      <c r="AD73" s="18">
        <f>IF(A73="","",IF(SUMPRODUCT(MAX((Jobs!$J$5:$J$604=A73)*((Jobs!$P$5:$P$604="Completed")+(Jobs!$P$5:$P$604="Invoiced"))*Jobs!$B$5:$B$604))=0,"",SUMPRODUCT(MAX((Jobs!$J$5:$J$604=A73)*((Jobs!$P$5:$P$604="Completed")+(Jobs!$P$5:$P$604="Invoiced"))*Jobs!$B$5:$B$604))))</f>
        <v>0</v>
      </c>
      <c r="AE73" s="34">
        <f>IF(A73="","",IFERROR(AVERAGEIFS(Jobs!$AK$5:$AK$604,Jobs!$J$5:$J$604,A73,Jobs!$AK$5:$AK$604,"&gt;0"),""))</f>
        <v>0</v>
      </c>
      <c r="AF73" s="34">
        <f>IF(OR(AE73="",X73=""),"",AE73-X73)</f>
        <v>0</v>
      </c>
      <c r="AG73" s="21">
        <f>IF(A73="","",SUMIFS(Jobs!$AJ$5:$AJ$604,Jobs!$J$5:$J$604,A73,Jobs!$P$5:$P$604,"Invoiced")+SUMIFS(Jobs!$AJ$5:$AJ$604,Jobs!$J$5:$J$604,A73,Jobs!$P$5:$P$604,"Completed"))</f>
        <v>0</v>
      </c>
      <c r="AH73" s="39">
        <f>IF(B73="","",IF(C73="","Add - no client linked",IF(IFERROR(INDEX(Clients!$B$5:$B$204,MATCH(C73,Clients!$A$5:$A$204,0)),"")="","Check - client ID not found",IF(AND(G73="",H73=""),"Add - size needed to price it",IF(AND(AF73&lt;&gt;"",AF73&gt;0.5),"Check - runs over the estimate",IF(N73="","Add - how do we get in?","OK"))))))</f>
        <v>0</v>
      </c>
    </row>
    <row r="74" spans="1:34">
      <c r="A74" s="43">
        <f>IF(B74="","",PropertyPrefix&amp;TEXT(ROW()-4,"0000"))</f>
        <v>0</v>
      </c>
      <c r="D74" s="23">
        <f>IF(C74="","",IFERROR(INDEX(Clients!$B$5:$B$204,MATCH(C74,Clients!$A$5:$A$204,0)),"Not found"))</f>
        <v>0</v>
      </c>
      <c r="W74" s="34">
        <f>IF(B74="","",MAX(IF(H74="",0,H74)*0.45+IF(I74="",0,I74)*0.6+IF(J74="",0,J74)*0.3,IF(G74="",0,G74)/650))</f>
        <v>0</v>
      </c>
      <c r="X74" s="34">
        <f>IF(B74="","",ROUND(MAX(1,W74)*IFERROR(INDEX(ConditionFactors,MATCH(L74,ConditionNames,0)),1),2))</f>
        <v>0</v>
      </c>
      <c r="Y74" s="34">
        <f>IF(B74="","",ROUND(X74/MAX(1,CleanersPerJob),2))</f>
        <v>0</v>
      </c>
      <c r="Z74" s="21">
        <f>IF(B74="","",MAX(MinimumCharge,ROUND(X74*IF(IFERROR(INDEX(Clients!$O$5:$O$204,MATCH(C74,Clients!$A$5:$A$204,0)),0)&gt;0,INDEX(Clients!$O$5:$O$204,MATCH(C74,Clients!$A$5:$A$204,0)),HourlyRate)+IF(M74="",0,IF(M74="None",0,PetSurcharge)),2)))</f>
        <v>0</v>
      </c>
      <c r="AA74" s="21">
        <f>IF(B74="","",ROUND(X74*CostPerHour,2))</f>
        <v>0</v>
      </c>
      <c r="AB74" s="38">
        <f>IF(B74="","",IF(Z74=0,"",(Z74-AA74-X74*SuppliesPerHour)/Z74))</f>
        <v>0</v>
      </c>
      <c r="AC74" s="31">
        <f>IF(A74="","",COUNTIFS(Jobs!$J$5:$J$604,A74))</f>
        <v>0</v>
      </c>
      <c r="AD74" s="18">
        <f>IF(A74="","",IF(SUMPRODUCT(MAX((Jobs!$J$5:$J$604=A74)*((Jobs!$P$5:$P$604="Completed")+(Jobs!$P$5:$P$604="Invoiced"))*Jobs!$B$5:$B$604))=0,"",SUMPRODUCT(MAX((Jobs!$J$5:$J$604=A74)*((Jobs!$P$5:$P$604="Completed")+(Jobs!$P$5:$P$604="Invoiced"))*Jobs!$B$5:$B$604))))</f>
        <v>0</v>
      </c>
      <c r="AE74" s="34">
        <f>IF(A74="","",IFERROR(AVERAGEIFS(Jobs!$AK$5:$AK$604,Jobs!$J$5:$J$604,A74,Jobs!$AK$5:$AK$604,"&gt;0"),""))</f>
        <v>0</v>
      </c>
      <c r="AF74" s="34">
        <f>IF(OR(AE74="",X74=""),"",AE74-X74)</f>
        <v>0</v>
      </c>
      <c r="AG74" s="21">
        <f>IF(A74="","",SUMIFS(Jobs!$AJ$5:$AJ$604,Jobs!$J$5:$J$604,A74,Jobs!$P$5:$P$604,"Invoiced")+SUMIFS(Jobs!$AJ$5:$AJ$604,Jobs!$J$5:$J$604,A74,Jobs!$P$5:$P$604,"Completed"))</f>
        <v>0</v>
      </c>
      <c r="AH74" s="39">
        <f>IF(B74="","",IF(C74="","Add - no client linked",IF(IFERROR(INDEX(Clients!$B$5:$B$204,MATCH(C74,Clients!$A$5:$A$204,0)),"")="","Check - client ID not found",IF(AND(G74="",H74=""),"Add - size needed to price it",IF(AND(AF74&lt;&gt;"",AF74&gt;0.5),"Check - runs over the estimate",IF(N74="","Add - how do we get in?","OK"))))))</f>
        <v>0</v>
      </c>
    </row>
    <row r="75" spans="1:34">
      <c r="A75" s="43">
        <f>IF(B75="","",PropertyPrefix&amp;TEXT(ROW()-4,"0000"))</f>
        <v>0</v>
      </c>
      <c r="D75" s="23">
        <f>IF(C75="","",IFERROR(INDEX(Clients!$B$5:$B$204,MATCH(C75,Clients!$A$5:$A$204,0)),"Not found"))</f>
        <v>0</v>
      </c>
      <c r="W75" s="34">
        <f>IF(B75="","",MAX(IF(H75="",0,H75)*0.45+IF(I75="",0,I75)*0.6+IF(J75="",0,J75)*0.3,IF(G75="",0,G75)/650))</f>
        <v>0</v>
      </c>
      <c r="X75" s="34">
        <f>IF(B75="","",ROUND(MAX(1,W75)*IFERROR(INDEX(ConditionFactors,MATCH(L75,ConditionNames,0)),1),2))</f>
        <v>0</v>
      </c>
      <c r="Y75" s="34">
        <f>IF(B75="","",ROUND(X75/MAX(1,CleanersPerJob),2))</f>
        <v>0</v>
      </c>
      <c r="Z75" s="21">
        <f>IF(B75="","",MAX(MinimumCharge,ROUND(X75*IF(IFERROR(INDEX(Clients!$O$5:$O$204,MATCH(C75,Clients!$A$5:$A$204,0)),0)&gt;0,INDEX(Clients!$O$5:$O$204,MATCH(C75,Clients!$A$5:$A$204,0)),HourlyRate)+IF(M75="",0,IF(M75="None",0,PetSurcharge)),2)))</f>
        <v>0</v>
      </c>
      <c r="AA75" s="21">
        <f>IF(B75="","",ROUND(X75*CostPerHour,2))</f>
        <v>0</v>
      </c>
      <c r="AB75" s="38">
        <f>IF(B75="","",IF(Z75=0,"",(Z75-AA75-X75*SuppliesPerHour)/Z75))</f>
        <v>0</v>
      </c>
      <c r="AC75" s="31">
        <f>IF(A75="","",COUNTIFS(Jobs!$J$5:$J$604,A75))</f>
        <v>0</v>
      </c>
      <c r="AD75" s="18">
        <f>IF(A75="","",IF(SUMPRODUCT(MAX((Jobs!$J$5:$J$604=A75)*((Jobs!$P$5:$P$604="Completed")+(Jobs!$P$5:$P$604="Invoiced"))*Jobs!$B$5:$B$604))=0,"",SUMPRODUCT(MAX((Jobs!$J$5:$J$604=A75)*((Jobs!$P$5:$P$604="Completed")+(Jobs!$P$5:$P$604="Invoiced"))*Jobs!$B$5:$B$604))))</f>
        <v>0</v>
      </c>
      <c r="AE75" s="34">
        <f>IF(A75="","",IFERROR(AVERAGEIFS(Jobs!$AK$5:$AK$604,Jobs!$J$5:$J$604,A75,Jobs!$AK$5:$AK$604,"&gt;0"),""))</f>
        <v>0</v>
      </c>
      <c r="AF75" s="34">
        <f>IF(OR(AE75="",X75=""),"",AE75-X75)</f>
        <v>0</v>
      </c>
      <c r="AG75" s="21">
        <f>IF(A75="","",SUMIFS(Jobs!$AJ$5:$AJ$604,Jobs!$J$5:$J$604,A75,Jobs!$P$5:$P$604,"Invoiced")+SUMIFS(Jobs!$AJ$5:$AJ$604,Jobs!$J$5:$J$604,A75,Jobs!$P$5:$P$604,"Completed"))</f>
        <v>0</v>
      </c>
      <c r="AH75" s="39">
        <f>IF(B75="","",IF(C75="","Add - no client linked",IF(IFERROR(INDEX(Clients!$B$5:$B$204,MATCH(C75,Clients!$A$5:$A$204,0)),"")="","Check - client ID not found",IF(AND(G75="",H75=""),"Add - size needed to price it",IF(AND(AF75&lt;&gt;"",AF75&gt;0.5),"Check - runs over the estimate",IF(N75="","Add - how do we get in?","OK"))))))</f>
        <v>0</v>
      </c>
    </row>
    <row r="76" spans="1:34">
      <c r="A76" s="43">
        <f>IF(B76="","",PropertyPrefix&amp;TEXT(ROW()-4,"0000"))</f>
        <v>0</v>
      </c>
      <c r="D76" s="23">
        <f>IF(C76="","",IFERROR(INDEX(Clients!$B$5:$B$204,MATCH(C76,Clients!$A$5:$A$204,0)),"Not found"))</f>
        <v>0</v>
      </c>
      <c r="W76" s="34">
        <f>IF(B76="","",MAX(IF(H76="",0,H76)*0.45+IF(I76="",0,I76)*0.6+IF(J76="",0,J76)*0.3,IF(G76="",0,G76)/650))</f>
        <v>0</v>
      </c>
      <c r="X76" s="34">
        <f>IF(B76="","",ROUND(MAX(1,W76)*IFERROR(INDEX(ConditionFactors,MATCH(L76,ConditionNames,0)),1),2))</f>
        <v>0</v>
      </c>
      <c r="Y76" s="34">
        <f>IF(B76="","",ROUND(X76/MAX(1,CleanersPerJob),2))</f>
        <v>0</v>
      </c>
      <c r="Z76" s="21">
        <f>IF(B76="","",MAX(MinimumCharge,ROUND(X76*IF(IFERROR(INDEX(Clients!$O$5:$O$204,MATCH(C76,Clients!$A$5:$A$204,0)),0)&gt;0,INDEX(Clients!$O$5:$O$204,MATCH(C76,Clients!$A$5:$A$204,0)),HourlyRate)+IF(M76="",0,IF(M76="None",0,PetSurcharge)),2)))</f>
        <v>0</v>
      </c>
      <c r="AA76" s="21">
        <f>IF(B76="","",ROUND(X76*CostPerHour,2))</f>
        <v>0</v>
      </c>
      <c r="AB76" s="38">
        <f>IF(B76="","",IF(Z76=0,"",(Z76-AA76-X76*SuppliesPerHour)/Z76))</f>
        <v>0</v>
      </c>
      <c r="AC76" s="31">
        <f>IF(A76="","",COUNTIFS(Jobs!$J$5:$J$604,A76))</f>
        <v>0</v>
      </c>
      <c r="AD76" s="18">
        <f>IF(A76="","",IF(SUMPRODUCT(MAX((Jobs!$J$5:$J$604=A76)*((Jobs!$P$5:$P$604="Completed")+(Jobs!$P$5:$P$604="Invoiced"))*Jobs!$B$5:$B$604))=0,"",SUMPRODUCT(MAX((Jobs!$J$5:$J$604=A76)*((Jobs!$P$5:$P$604="Completed")+(Jobs!$P$5:$P$604="Invoiced"))*Jobs!$B$5:$B$604))))</f>
        <v>0</v>
      </c>
      <c r="AE76" s="34">
        <f>IF(A76="","",IFERROR(AVERAGEIFS(Jobs!$AK$5:$AK$604,Jobs!$J$5:$J$604,A76,Jobs!$AK$5:$AK$604,"&gt;0"),""))</f>
        <v>0</v>
      </c>
      <c r="AF76" s="34">
        <f>IF(OR(AE76="",X76=""),"",AE76-X76)</f>
        <v>0</v>
      </c>
      <c r="AG76" s="21">
        <f>IF(A76="","",SUMIFS(Jobs!$AJ$5:$AJ$604,Jobs!$J$5:$J$604,A76,Jobs!$P$5:$P$604,"Invoiced")+SUMIFS(Jobs!$AJ$5:$AJ$604,Jobs!$J$5:$J$604,A76,Jobs!$P$5:$P$604,"Completed"))</f>
        <v>0</v>
      </c>
      <c r="AH76" s="39">
        <f>IF(B76="","",IF(C76="","Add - no client linked",IF(IFERROR(INDEX(Clients!$B$5:$B$204,MATCH(C76,Clients!$A$5:$A$204,0)),"")="","Check - client ID not found",IF(AND(G76="",H76=""),"Add - size needed to price it",IF(AND(AF76&lt;&gt;"",AF76&gt;0.5),"Check - runs over the estimate",IF(N76="","Add - how do we get in?","OK"))))))</f>
        <v>0</v>
      </c>
    </row>
    <row r="77" spans="1:34">
      <c r="A77" s="43">
        <f>IF(B77="","",PropertyPrefix&amp;TEXT(ROW()-4,"0000"))</f>
        <v>0</v>
      </c>
      <c r="D77" s="23">
        <f>IF(C77="","",IFERROR(INDEX(Clients!$B$5:$B$204,MATCH(C77,Clients!$A$5:$A$204,0)),"Not found"))</f>
        <v>0</v>
      </c>
      <c r="W77" s="34">
        <f>IF(B77="","",MAX(IF(H77="",0,H77)*0.45+IF(I77="",0,I77)*0.6+IF(J77="",0,J77)*0.3,IF(G77="",0,G77)/650))</f>
        <v>0</v>
      </c>
      <c r="X77" s="34">
        <f>IF(B77="","",ROUND(MAX(1,W77)*IFERROR(INDEX(ConditionFactors,MATCH(L77,ConditionNames,0)),1),2))</f>
        <v>0</v>
      </c>
      <c r="Y77" s="34">
        <f>IF(B77="","",ROUND(X77/MAX(1,CleanersPerJob),2))</f>
        <v>0</v>
      </c>
      <c r="Z77" s="21">
        <f>IF(B77="","",MAX(MinimumCharge,ROUND(X77*IF(IFERROR(INDEX(Clients!$O$5:$O$204,MATCH(C77,Clients!$A$5:$A$204,0)),0)&gt;0,INDEX(Clients!$O$5:$O$204,MATCH(C77,Clients!$A$5:$A$204,0)),HourlyRate)+IF(M77="",0,IF(M77="None",0,PetSurcharge)),2)))</f>
        <v>0</v>
      </c>
      <c r="AA77" s="21">
        <f>IF(B77="","",ROUND(X77*CostPerHour,2))</f>
        <v>0</v>
      </c>
      <c r="AB77" s="38">
        <f>IF(B77="","",IF(Z77=0,"",(Z77-AA77-X77*SuppliesPerHour)/Z77))</f>
        <v>0</v>
      </c>
      <c r="AC77" s="31">
        <f>IF(A77="","",COUNTIFS(Jobs!$J$5:$J$604,A77))</f>
        <v>0</v>
      </c>
      <c r="AD77" s="18">
        <f>IF(A77="","",IF(SUMPRODUCT(MAX((Jobs!$J$5:$J$604=A77)*((Jobs!$P$5:$P$604="Completed")+(Jobs!$P$5:$P$604="Invoiced"))*Jobs!$B$5:$B$604))=0,"",SUMPRODUCT(MAX((Jobs!$J$5:$J$604=A77)*((Jobs!$P$5:$P$604="Completed")+(Jobs!$P$5:$P$604="Invoiced"))*Jobs!$B$5:$B$604))))</f>
        <v>0</v>
      </c>
      <c r="AE77" s="34">
        <f>IF(A77="","",IFERROR(AVERAGEIFS(Jobs!$AK$5:$AK$604,Jobs!$J$5:$J$604,A77,Jobs!$AK$5:$AK$604,"&gt;0"),""))</f>
        <v>0</v>
      </c>
      <c r="AF77" s="34">
        <f>IF(OR(AE77="",X77=""),"",AE77-X77)</f>
        <v>0</v>
      </c>
      <c r="AG77" s="21">
        <f>IF(A77="","",SUMIFS(Jobs!$AJ$5:$AJ$604,Jobs!$J$5:$J$604,A77,Jobs!$P$5:$P$604,"Invoiced")+SUMIFS(Jobs!$AJ$5:$AJ$604,Jobs!$J$5:$J$604,A77,Jobs!$P$5:$P$604,"Completed"))</f>
        <v>0</v>
      </c>
      <c r="AH77" s="39">
        <f>IF(B77="","",IF(C77="","Add - no client linked",IF(IFERROR(INDEX(Clients!$B$5:$B$204,MATCH(C77,Clients!$A$5:$A$204,0)),"")="","Check - client ID not found",IF(AND(G77="",H77=""),"Add - size needed to price it",IF(AND(AF77&lt;&gt;"",AF77&gt;0.5),"Check - runs over the estimate",IF(N77="","Add - how do we get in?","OK"))))))</f>
        <v>0</v>
      </c>
    </row>
    <row r="78" spans="1:34">
      <c r="A78" s="43">
        <f>IF(B78="","",PropertyPrefix&amp;TEXT(ROW()-4,"0000"))</f>
        <v>0</v>
      </c>
      <c r="D78" s="23">
        <f>IF(C78="","",IFERROR(INDEX(Clients!$B$5:$B$204,MATCH(C78,Clients!$A$5:$A$204,0)),"Not found"))</f>
        <v>0</v>
      </c>
      <c r="W78" s="34">
        <f>IF(B78="","",MAX(IF(H78="",0,H78)*0.45+IF(I78="",0,I78)*0.6+IF(J78="",0,J78)*0.3,IF(G78="",0,G78)/650))</f>
        <v>0</v>
      </c>
      <c r="X78" s="34">
        <f>IF(B78="","",ROUND(MAX(1,W78)*IFERROR(INDEX(ConditionFactors,MATCH(L78,ConditionNames,0)),1),2))</f>
        <v>0</v>
      </c>
      <c r="Y78" s="34">
        <f>IF(B78="","",ROUND(X78/MAX(1,CleanersPerJob),2))</f>
        <v>0</v>
      </c>
      <c r="Z78" s="21">
        <f>IF(B78="","",MAX(MinimumCharge,ROUND(X78*IF(IFERROR(INDEX(Clients!$O$5:$O$204,MATCH(C78,Clients!$A$5:$A$204,0)),0)&gt;0,INDEX(Clients!$O$5:$O$204,MATCH(C78,Clients!$A$5:$A$204,0)),HourlyRate)+IF(M78="",0,IF(M78="None",0,PetSurcharge)),2)))</f>
        <v>0</v>
      </c>
      <c r="AA78" s="21">
        <f>IF(B78="","",ROUND(X78*CostPerHour,2))</f>
        <v>0</v>
      </c>
      <c r="AB78" s="38">
        <f>IF(B78="","",IF(Z78=0,"",(Z78-AA78-X78*SuppliesPerHour)/Z78))</f>
        <v>0</v>
      </c>
      <c r="AC78" s="31">
        <f>IF(A78="","",COUNTIFS(Jobs!$J$5:$J$604,A78))</f>
        <v>0</v>
      </c>
      <c r="AD78" s="18">
        <f>IF(A78="","",IF(SUMPRODUCT(MAX((Jobs!$J$5:$J$604=A78)*((Jobs!$P$5:$P$604="Completed")+(Jobs!$P$5:$P$604="Invoiced"))*Jobs!$B$5:$B$604))=0,"",SUMPRODUCT(MAX((Jobs!$J$5:$J$604=A78)*((Jobs!$P$5:$P$604="Completed")+(Jobs!$P$5:$P$604="Invoiced"))*Jobs!$B$5:$B$604))))</f>
        <v>0</v>
      </c>
      <c r="AE78" s="34">
        <f>IF(A78="","",IFERROR(AVERAGEIFS(Jobs!$AK$5:$AK$604,Jobs!$J$5:$J$604,A78,Jobs!$AK$5:$AK$604,"&gt;0"),""))</f>
        <v>0</v>
      </c>
      <c r="AF78" s="34">
        <f>IF(OR(AE78="",X78=""),"",AE78-X78)</f>
        <v>0</v>
      </c>
      <c r="AG78" s="21">
        <f>IF(A78="","",SUMIFS(Jobs!$AJ$5:$AJ$604,Jobs!$J$5:$J$604,A78,Jobs!$P$5:$P$604,"Invoiced")+SUMIFS(Jobs!$AJ$5:$AJ$604,Jobs!$J$5:$J$604,A78,Jobs!$P$5:$P$604,"Completed"))</f>
        <v>0</v>
      </c>
      <c r="AH78" s="39">
        <f>IF(B78="","",IF(C78="","Add - no client linked",IF(IFERROR(INDEX(Clients!$B$5:$B$204,MATCH(C78,Clients!$A$5:$A$204,0)),"")="","Check - client ID not found",IF(AND(G78="",H78=""),"Add - size needed to price it",IF(AND(AF78&lt;&gt;"",AF78&gt;0.5),"Check - runs over the estimate",IF(N78="","Add - how do we get in?","OK"))))))</f>
        <v>0</v>
      </c>
    </row>
    <row r="79" spans="1:34">
      <c r="A79" s="43">
        <f>IF(B79="","",PropertyPrefix&amp;TEXT(ROW()-4,"0000"))</f>
        <v>0</v>
      </c>
      <c r="D79" s="23">
        <f>IF(C79="","",IFERROR(INDEX(Clients!$B$5:$B$204,MATCH(C79,Clients!$A$5:$A$204,0)),"Not found"))</f>
        <v>0</v>
      </c>
      <c r="W79" s="34">
        <f>IF(B79="","",MAX(IF(H79="",0,H79)*0.45+IF(I79="",0,I79)*0.6+IF(J79="",0,J79)*0.3,IF(G79="",0,G79)/650))</f>
        <v>0</v>
      </c>
      <c r="X79" s="34">
        <f>IF(B79="","",ROUND(MAX(1,W79)*IFERROR(INDEX(ConditionFactors,MATCH(L79,ConditionNames,0)),1),2))</f>
        <v>0</v>
      </c>
      <c r="Y79" s="34">
        <f>IF(B79="","",ROUND(X79/MAX(1,CleanersPerJob),2))</f>
        <v>0</v>
      </c>
      <c r="Z79" s="21">
        <f>IF(B79="","",MAX(MinimumCharge,ROUND(X79*IF(IFERROR(INDEX(Clients!$O$5:$O$204,MATCH(C79,Clients!$A$5:$A$204,0)),0)&gt;0,INDEX(Clients!$O$5:$O$204,MATCH(C79,Clients!$A$5:$A$204,0)),HourlyRate)+IF(M79="",0,IF(M79="None",0,PetSurcharge)),2)))</f>
        <v>0</v>
      </c>
      <c r="AA79" s="21">
        <f>IF(B79="","",ROUND(X79*CostPerHour,2))</f>
        <v>0</v>
      </c>
      <c r="AB79" s="38">
        <f>IF(B79="","",IF(Z79=0,"",(Z79-AA79-X79*SuppliesPerHour)/Z79))</f>
        <v>0</v>
      </c>
      <c r="AC79" s="31">
        <f>IF(A79="","",COUNTIFS(Jobs!$J$5:$J$604,A79))</f>
        <v>0</v>
      </c>
      <c r="AD79" s="18">
        <f>IF(A79="","",IF(SUMPRODUCT(MAX((Jobs!$J$5:$J$604=A79)*((Jobs!$P$5:$P$604="Completed")+(Jobs!$P$5:$P$604="Invoiced"))*Jobs!$B$5:$B$604))=0,"",SUMPRODUCT(MAX((Jobs!$J$5:$J$604=A79)*((Jobs!$P$5:$P$604="Completed")+(Jobs!$P$5:$P$604="Invoiced"))*Jobs!$B$5:$B$604))))</f>
        <v>0</v>
      </c>
      <c r="AE79" s="34">
        <f>IF(A79="","",IFERROR(AVERAGEIFS(Jobs!$AK$5:$AK$604,Jobs!$J$5:$J$604,A79,Jobs!$AK$5:$AK$604,"&gt;0"),""))</f>
        <v>0</v>
      </c>
      <c r="AF79" s="34">
        <f>IF(OR(AE79="",X79=""),"",AE79-X79)</f>
        <v>0</v>
      </c>
      <c r="AG79" s="21">
        <f>IF(A79="","",SUMIFS(Jobs!$AJ$5:$AJ$604,Jobs!$J$5:$J$604,A79,Jobs!$P$5:$P$604,"Invoiced")+SUMIFS(Jobs!$AJ$5:$AJ$604,Jobs!$J$5:$J$604,A79,Jobs!$P$5:$P$604,"Completed"))</f>
        <v>0</v>
      </c>
      <c r="AH79" s="39">
        <f>IF(B79="","",IF(C79="","Add - no client linked",IF(IFERROR(INDEX(Clients!$B$5:$B$204,MATCH(C79,Clients!$A$5:$A$204,0)),"")="","Check - client ID not found",IF(AND(G79="",H79=""),"Add - size needed to price it",IF(AND(AF79&lt;&gt;"",AF79&gt;0.5),"Check - runs over the estimate",IF(N79="","Add - how do we get in?","OK"))))))</f>
        <v>0</v>
      </c>
    </row>
    <row r="80" spans="1:34">
      <c r="A80" s="43">
        <f>IF(B80="","",PropertyPrefix&amp;TEXT(ROW()-4,"0000"))</f>
        <v>0</v>
      </c>
      <c r="D80" s="23">
        <f>IF(C80="","",IFERROR(INDEX(Clients!$B$5:$B$204,MATCH(C80,Clients!$A$5:$A$204,0)),"Not found"))</f>
        <v>0</v>
      </c>
      <c r="W80" s="34">
        <f>IF(B80="","",MAX(IF(H80="",0,H80)*0.45+IF(I80="",0,I80)*0.6+IF(J80="",0,J80)*0.3,IF(G80="",0,G80)/650))</f>
        <v>0</v>
      </c>
      <c r="X80" s="34">
        <f>IF(B80="","",ROUND(MAX(1,W80)*IFERROR(INDEX(ConditionFactors,MATCH(L80,ConditionNames,0)),1),2))</f>
        <v>0</v>
      </c>
      <c r="Y80" s="34">
        <f>IF(B80="","",ROUND(X80/MAX(1,CleanersPerJob),2))</f>
        <v>0</v>
      </c>
      <c r="Z80" s="21">
        <f>IF(B80="","",MAX(MinimumCharge,ROUND(X80*IF(IFERROR(INDEX(Clients!$O$5:$O$204,MATCH(C80,Clients!$A$5:$A$204,0)),0)&gt;0,INDEX(Clients!$O$5:$O$204,MATCH(C80,Clients!$A$5:$A$204,0)),HourlyRate)+IF(M80="",0,IF(M80="None",0,PetSurcharge)),2)))</f>
        <v>0</v>
      </c>
      <c r="AA80" s="21">
        <f>IF(B80="","",ROUND(X80*CostPerHour,2))</f>
        <v>0</v>
      </c>
      <c r="AB80" s="38">
        <f>IF(B80="","",IF(Z80=0,"",(Z80-AA80-X80*SuppliesPerHour)/Z80))</f>
        <v>0</v>
      </c>
      <c r="AC80" s="31">
        <f>IF(A80="","",COUNTIFS(Jobs!$J$5:$J$604,A80))</f>
        <v>0</v>
      </c>
      <c r="AD80" s="18">
        <f>IF(A80="","",IF(SUMPRODUCT(MAX((Jobs!$J$5:$J$604=A80)*((Jobs!$P$5:$P$604="Completed")+(Jobs!$P$5:$P$604="Invoiced"))*Jobs!$B$5:$B$604))=0,"",SUMPRODUCT(MAX((Jobs!$J$5:$J$604=A80)*((Jobs!$P$5:$P$604="Completed")+(Jobs!$P$5:$P$604="Invoiced"))*Jobs!$B$5:$B$604))))</f>
        <v>0</v>
      </c>
      <c r="AE80" s="34">
        <f>IF(A80="","",IFERROR(AVERAGEIFS(Jobs!$AK$5:$AK$604,Jobs!$J$5:$J$604,A80,Jobs!$AK$5:$AK$604,"&gt;0"),""))</f>
        <v>0</v>
      </c>
      <c r="AF80" s="34">
        <f>IF(OR(AE80="",X80=""),"",AE80-X80)</f>
        <v>0</v>
      </c>
      <c r="AG80" s="21">
        <f>IF(A80="","",SUMIFS(Jobs!$AJ$5:$AJ$604,Jobs!$J$5:$J$604,A80,Jobs!$P$5:$P$604,"Invoiced")+SUMIFS(Jobs!$AJ$5:$AJ$604,Jobs!$J$5:$J$604,A80,Jobs!$P$5:$P$604,"Completed"))</f>
        <v>0</v>
      </c>
      <c r="AH80" s="39">
        <f>IF(B80="","",IF(C80="","Add - no client linked",IF(IFERROR(INDEX(Clients!$B$5:$B$204,MATCH(C80,Clients!$A$5:$A$204,0)),"")="","Check - client ID not found",IF(AND(G80="",H80=""),"Add - size needed to price it",IF(AND(AF80&lt;&gt;"",AF80&gt;0.5),"Check - runs over the estimate",IF(N80="","Add - how do we get in?","OK"))))))</f>
        <v>0</v>
      </c>
    </row>
    <row r="81" spans="1:34">
      <c r="A81" s="43">
        <f>IF(B81="","",PropertyPrefix&amp;TEXT(ROW()-4,"0000"))</f>
        <v>0</v>
      </c>
      <c r="D81" s="23">
        <f>IF(C81="","",IFERROR(INDEX(Clients!$B$5:$B$204,MATCH(C81,Clients!$A$5:$A$204,0)),"Not found"))</f>
        <v>0</v>
      </c>
      <c r="W81" s="34">
        <f>IF(B81="","",MAX(IF(H81="",0,H81)*0.45+IF(I81="",0,I81)*0.6+IF(J81="",0,J81)*0.3,IF(G81="",0,G81)/650))</f>
        <v>0</v>
      </c>
      <c r="X81" s="34">
        <f>IF(B81="","",ROUND(MAX(1,W81)*IFERROR(INDEX(ConditionFactors,MATCH(L81,ConditionNames,0)),1),2))</f>
        <v>0</v>
      </c>
      <c r="Y81" s="34">
        <f>IF(B81="","",ROUND(X81/MAX(1,CleanersPerJob),2))</f>
        <v>0</v>
      </c>
      <c r="Z81" s="21">
        <f>IF(B81="","",MAX(MinimumCharge,ROUND(X81*IF(IFERROR(INDEX(Clients!$O$5:$O$204,MATCH(C81,Clients!$A$5:$A$204,0)),0)&gt;0,INDEX(Clients!$O$5:$O$204,MATCH(C81,Clients!$A$5:$A$204,0)),HourlyRate)+IF(M81="",0,IF(M81="None",0,PetSurcharge)),2)))</f>
        <v>0</v>
      </c>
      <c r="AA81" s="21">
        <f>IF(B81="","",ROUND(X81*CostPerHour,2))</f>
        <v>0</v>
      </c>
      <c r="AB81" s="38">
        <f>IF(B81="","",IF(Z81=0,"",(Z81-AA81-X81*SuppliesPerHour)/Z81))</f>
        <v>0</v>
      </c>
      <c r="AC81" s="31">
        <f>IF(A81="","",COUNTIFS(Jobs!$J$5:$J$604,A81))</f>
        <v>0</v>
      </c>
      <c r="AD81" s="18">
        <f>IF(A81="","",IF(SUMPRODUCT(MAX((Jobs!$J$5:$J$604=A81)*((Jobs!$P$5:$P$604="Completed")+(Jobs!$P$5:$P$604="Invoiced"))*Jobs!$B$5:$B$604))=0,"",SUMPRODUCT(MAX((Jobs!$J$5:$J$604=A81)*((Jobs!$P$5:$P$604="Completed")+(Jobs!$P$5:$P$604="Invoiced"))*Jobs!$B$5:$B$604))))</f>
        <v>0</v>
      </c>
      <c r="AE81" s="34">
        <f>IF(A81="","",IFERROR(AVERAGEIFS(Jobs!$AK$5:$AK$604,Jobs!$J$5:$J$604,A81,Jobs!$AK$5:$AK$604,"&gt;0"),""))</f>
        <v>0</v>
      </c>
      <c r="AF81" s="34">
        <f>IF(OR(AE81="",X81=""),"",AE81-X81)</f>
        <v>0</v>
      </c>
      <c r="AG81" s="21">
        <f>IF(A81="","",SUMIFS(Jobs!$AJ$5:$AJ$604,Jobs!$J$5:$J$604,A81,Jobs!$P$5:$P$604,"Invoiced")+SUMIFS(Jobs!$AJ$5:$AJ$604,Jobs!$J$5:$J$604,A81,Jobs!$P$5:$P$604,"Completed"))</f>
        <v>0</v>
      </c>
      <c r="AH81" s="39">
        <f>IF(B81="","",IF(C81="","Add - no client linked",IF(IFERROR(INDEX(Clients!$B$5:$B$204,MATCH(C81,Clients!$A$5:$A$204,0)),"")="","Check - client ID not found",IF(AND(G81="",H81=""),"Add - size needed to price it",IF(AND(AF81&lt;&gt;"",AF81&gt;0.5),"Check - runs over the estimate",IF(N81="","Add - how do we get in?","OK"))))))</f>
        <v>0</v>
      </c>
    </row>
    <row r="82" spans="1:34">
      <c r="A82" s="43">
        <f>IF(B82="","",PropertyPrefix&amp;TEXT(ROW()-4,"0000"))</f>
        <v>0</v>
      </c>
      <c r="D82" s="23">
        <f>IF(C82="","",IFERROR(INDEX(Clients!$B$5:$B$204,MATCH(C82,Clients!$A$5:$A$204,0)),"Not found"))</f>
        <v>0</v>
      </c>
      <c r="W82" s="34">
        <f>IF(B82="","",MAX(IF(H82="",0,H82)*0.45+IF(I82="",0,I82)*0.6+IF(J82="",0,J82)*0.3,IF(G82="",0,G82)/650))</f>
        <v>0</v>
      </c>
      <c r="X82" s="34">
        <f>IF(B82="","",ROUND(MAX(1,W82)*IFERROR(INDEX(ConditionFactors,MATCH(L82,ConditionNames,0)),1),2))</f>
        <v>0</v>
      </c>
      <c r="Y82" s="34">
        <f>IF(B82="","",ROUND(X82/MAX(1,CleanersPerJob),2))</f>
        <v>0</v>
      </c>
      <c r="Z82" s="21">
        <f>IF(B82="","",MAX(MinimumCharge,ROUND(X82*IF(IFERROR(INDEX(Clients!$O$5:$O$204,MATCH(C82,Clients!$A$5:$A$204,0)),0)&gt;0,INDEX(Clients!$O$5:$O$204,MATCH(C82,Clients!$A$5:$A$204,0)),HourlyRate)+IF(M82="",0,IF(M82="None",0,PetSurcharge)),2)))</f>
        <v>0</v>
      </c>
      <c r="AA82" s="21">
        <f>IF(B82="","",ROUND(X82*CostPerHour,2))</f>
        <v>0</v>
      </c>
      <c r="AB82" s="38">
        <f>IF(B82="","",IF(Z82=0,"",(Z82-AA82-X82*SuppliesPerHour)/Z82))</f>
        <v>0</v>
      </c>
      <c r="AC82" s="31">
        <f>IF(A82="","",COUNTIFS(Jobs!$J$5:$J$604,A82))</f>
        <v>0</v>
      </c>
      <c r="AD82" s="18">
        <f>IF(A82="","",IF(SUMPRODUCT(MAX((Jobs!$J$5:$J$604=A82)*((Jobs!$P$5:$P$604="Completed")+(Jobs!$P$5:$P$604="Invoiced"))*Jobs!$B$5:$B$604))=0,"",SUMPRODUCT(MAX((Jobs!$J$5:$J$604=A82)*((Jobs!$P$5:$P$604="Completed")+(Jobs!$P$5:$P$604="Invoiced"))*Jobs!$B$5:$B$604))))</f>
        <v>0</v>
      </c>
      <c r="AE82" s="34">
        <f>IF(A82="","",IFERROR(AVERAGEIFS(Jobs!$AK$5:$AK$604,Jobs!$J$5:$J$604,A82,Jobs!$AK$5:$AK$604,"&gt;0"),""))</f>
        <v>0</v>
      </c>
      <c r="AF82" s="34">
        <f>IF(OR(AE82="",X82=""),"",AE82-X82)</f>
        <v>0</v>
      </c>
      <c r="AG82" s="21">
        <f>IF(A82="","",SUMIFS(Jobs!$AJ$5:$AJ$604,Jobs!$J$5:$J$604,A82,Jobs!$P$5:$P$604,"Invoiced")+SUMIFS(Jobs!$AJ$5:$AJ$604,Jobs!$J$5:$J$604,A82,Jobs!$P$5:$P$604,"Completed"))</f>
        <v>0</v>
      </c>
      <c r="AH82" s="39">
        <f>IF(B82="","",IF(C82="","Add - no client linked",IF(IFERROR(INDEX(Clients!$B$5:$B$204,MATCH(C82,Clients!$A$5:$A$204,0)),"")="","Check - client ID not found",IF(AND(G82="",H82=""),"Add - size needed to price it",IF(AND(AF82&lt;&gt;"",AF82&gt;0.5),"Check - runs over the estimate",IF(N82="","Add - how do we get in?","OK"))))))</f>
        <v>0</v>
      </c>
    </row>
    <row r="83" spans="1:34">
      <c r="A83" s="43">
        <f>IF(B83="","",PropertyPrefix&amp;TEXT(ROW()-4,"0000"))</f>
        <v>0</v>
      </c>
      <c r="D83" s="23">
        <f>IF(C83="","",IFERROR(INDEX(Clients!$B$5:$B$204,MATCH(C83,Clients!$A$5:$A$204,0)),"Not found"))</f>
        <v>0</v>
      </c>
      <c r="W83" s="34">
        <f>IF(B83="","",MAX(IF(H83="",0,H83)*0.45+IF(I83="",0,I83)*0.6+IF(J83="",0,J83)*0.3,IF(G83="",0,G83)/650))</f>
        <v>0</v>
      </c>
      <c r="X83" s="34">
        <f>IF(B83="","",ROUND(MAX(1,W83)*IFERROR(INDEX(ConditionFactors,MATCH(L83,ConditionNames,0)),1),2))</f>
        <v>0</v>
      </c>
      <c r="Y83" s="34">
        <f>IF(B83="","",ROUND(X83/MAX(1,CleanersPerJob),2))</f>
        <v>0</v>
      </c>
      <c r="Z83" s="21">
        <f>IF(B83="","",MAX(MinimumCharge,ROUND(X83*IF(IFERROR(INDEX(Clients!$O$5:$O$204,MATCH(C83,Clients!$A$5:$A$204,0)),0)&gt;0,INDEX(Clients!$O$5:$O$204,MATCH(C83,Clients!$A$5:$A$204,0)),HourlyRate)+IF(M83="",0,IF(M83="None",0,PetSurcharge)),2)))</f>
        <v>0</v>
      </c>
      <c r="AA83" s="21">
        <f>IF(B83="","",ROUND(X83*CostPerHour,2))</f>
        <v>0</v>
      </c>
      <c r="AB83" s="38">
        <f>IF(B83="","",IF(Z83=0,"",(Z83-AA83-X83*SuppliesPerHour)/Z83))</f>
        <v>0</v>
      </c>
      <c r="AC83" s="31">
        <f>IF(A83="","",COUNTIFS(Jobs!$J$5:$J$604,A83))</f>
        <v>0</v>
      </c>
      <c r="AD83" s="18">
        <f>IF(A83="","",IF(SUMPRODUCT(MAX((Jobs!$J$5:$J$604=A83)*((Jobs!$P$5:$P$604="Completed")+(Jobs!$P$5:$P$604="Invoiced"))*Jobs!$B$5:$B$604))=0,"",SUMPRODUCT(MAX((Jobs!$J$5:$J$604=A83)*((Jobs!$P$5:$P$604="Completed")+(Jobs!$P$5:$P$604="Invoiced"))*Jobs!$B$5:$B$604))))</f>
        <v>0</v>
      </c>
      <c r="AE83" s="34">
        <f>IF(A83="","",IFERROR(AVERAGEIFS(Jobs!$AK$5:$AK$604,Jobs!$J$5:$J$604,A83,Jobs!$AK$5:$AK$604,"&gt;0"),""))</f>
        <v>0</v>
      </c>
      <c r="AF83" s="34">
        <f>IF(OR(AE83="",X83=""),"",AE83-X83)</f>
        <v>0</v>
      </c>
      <c r="AG83" s="21">
        <f>IF(A83="","",SUMIFS(Jobs!$AJ$5:$AJ$604,Jobs!$J$5:$J$604,A83,Jobs!$P$5:$P$604,"Invoiced")+SUMIFS(Jobs!$AJ$5:$AJ$604,Jobs!$J$5:$J$604,A83,Jobs!$P$5:$P$604,"Completed"))</f>
        <v>0</v>
      </c>
      <c r="AH83" s="39">
        <f>IF(B83="","",IF(C83="","Add - no client linked",IF(IFERROR(INDEX(Clients!$B$5:$B$204,MATCH(C83,Clients!$A$5:$A$204,0)),"")="","Check - client ID not found",IF(AND(G83="",H83=""),"Add - size needed to price it",IF(AND(AF83&lt;&gt;"",AF83&gt;0.5),"Check - runs over the estimate",IF(N83="","Add - how do we get in?","OK"))))))</f>
        <v>0</v>
      </c>
    </row>
    <row r="84" spans="1:34">
      <c r="A84" s="43">
        <f>IF(B84="","",PropertyPrefix&amp;TEXT(ROW()-4,"0000"))</f>
        <v>0</v>
      </c>
      <c r="D84" s="23">
        <f>IF(C84="","",IFERROR(INDEX(Clients!$B$5:$B$204,MATCH(C84,Clients!$A$5:$A$204,0)),"Not found"))</f>
        <v>0</v>
      </c>
      <c r="W84" s="34">
        <f>IF(B84="","",MAX(IF(H84="",0,H84)*0.45+IF(I84="",0,I84)*0.6+IF(J84="",0,J84)*0.3,IF(G84="",0,G84)/650))</f>
        <v>0</v>
      </c>
      <c r="X84" s="34">
        <f>IF(B84="","",ROUND(MAX(1,W84)*IFERROR(INDEX(ConditionFactors,MATCH(L84,ConditionNames,0)),1),2))</f>
        <v>0</v>
      </c>
      <c r="Y84" s="34">
        <f>IF(B84="","",ROUND(X84/MAX(1,CleanersPerJob),2))</f>
        <v>0</v>
      </c>
      <c r="Z84" s="21">
        <f>IF(B84="","",MAX(MinimumCharge,ROUND(X84*IF(IFERROR(INDEX(Clients!$O$5:$O$204,MATCH(C84,Clients!$A$5:$A$204,0)),0)&gt;0,INDEX(Clients!$O$5:$O$204,MATCH(C84,Clients!$A$5:$A$204,0)),HourlyRate)+IF(M84="",0,IF(M84="None",0,PetSurcharge)),2)))</f>
        <v>0</v>
      </c>
      <c r="AA84" s="21">
        <f>IF(B84="","",ROUND(X84*CostPerHour,2))</f>
        <v>0</v>
      </c>
      <c r="AB84" s="38">
        <f>IF(B84="","",IF(Z84=0,"",(Z84-AA84-X84*SuppliesPerHour)/Z84))</f>
        <v>0</v>
      </c>
      <c r="AC84" s="31">
        <f>IF(A84="","",COUNTIFS(Jobs!$J$5:$J$604,A84))</f>
        <v>0</v>
      </c>
      <c r="AD84" s="18">
        <f>IF(A84="","",IF(SUMPRODUCT(MAX((Jobs!$J$5:$J$604=A84)*((Jobs!$P$5:$P$604="Completed")+(Jobs!$P$5:$P$604="Invoiced"))*Jobs!$B$5:$B$604))=0,"",SUMPRODUCT(MAX((Jobs!$J$5:$J$604=A84)*((Jobs!$P$5:$P$604="Completed")+(Jobs!$P$5:$P$604="Invoiced"))*Jobs!$B$5:$B$604))))</f>
        <v>0</v>
      </c>
      <c r="AE84" s="34">
        <f>IF(A84="","",IFERROR(AVERAGEIFS(Jobs!$AK$5:$AK$604,Jobs!$J$5:$J$604,A84,Jobs!$AK$5:$AK$604,"&gt;0"),""))</f>
        <v>0</v>
      </c>
      <c r="AF84" s="34">
        <f>IF(OR(AE84="",X84=""),"",AE84-X84)</f>
        <v>0</v>
      </c>
      <c r="AG84" s="21">
        <f>IF(A84="","",SUMIFS(Jobs!$AJ$5:$AJ$604,Jobs!$J$5:$J$604,A84,Jobs!$P$5:$P$604,"Invoiced")+SUMIFS(Jobs!$AJ$5:$AJ$604,Jobs!$J$5:$J$604,A84,Jobs!$P$5:$P$604,"Completed"))</f>
        <v>0</v>
      </c>
      <c r="AH84" s="39">
        <f>IF(B84="","",IF(C84="","Add - no client linked",IF(IFERROR(INDEX(Clients!$B$5:$B$204,MATCH(C84,Clients!$A$5:$A$204,0)),"")="","Check - client ID not found",IF(AND(G84="",H84=""),"Add - size needed to price it",IF(AND(AF84&lt;&gt;"",AF84&gt;0.5),"Check - runs over the estimate",IF(N84="","Add - how do we get in?","OK"))))))</f>
        <v>0</v>
      </c>
    </row>
    <row r="85" spans="1:34">
      <c r="A85" s="43">
        <f>IF(B85="","",PropertyPrefix&amp;TEXT(ROW()-4,"0000"))</f>
        <v>0</v>
      </c>
      <c r="D85" s="23">
        <f>IF(C85="","",IFERROR(INDEX(Clients!$B$5:$B$204,MATCH(C85,Clients!$A$5:$A$204,0)),"Not found"))</f>
        <v>0</v>
      </c>
      <c r="W85" s="34">
        <f>IF(B85="","",MAX(IF(H85="",0,H85)*0.45+IF(I85="",0,I85)*0.6+IF(J85="",0,J85)*0.3,IF(G85="",0,G85)/650))</f>
        <v>0</v>
      </c>
      <c r="X85" s="34">
        <f>IF(B85="","",ROUND(MAX(1,W85)*IFERROR(INDEX(ConditionFactors,MATCH(L85,ConditionNames,0)),1),2))</f>
        <v>0</v>
      </c>
      <c r="Y85" s="34">
        <f>IF(B85="","",ROUND(X85/MAX(1,CleanersPerJob),2))</f>
        <v>0</v>
      </c>
      <c r="Z85" s="21">
        <f>IF(B85="","",MAX(MinimumCharge,ROUND(X85*IF(IFERROR(INDEX(Clients!$O$5:$O$204,MATCH(C85,Clients!$A$5:$A$204,0)),0)&gt;0,INDEX(Clients!$O$5:$O$204,MATCH(C85,Clients!$A$5:$A$204,0)),HourlyRate)+IF(M85="",0,IF(M85="None",0,PetSurcharge)),2)))</f>
        <v>0</v>
      </c>
      <c r="AA85" s="21">
        <f>IF(B85="","",ROUND(X85*CostPerHour,2))</f>
        <v>0</v>
      </c>
      <c r="AB85" s="38">
        <f>IF(B85="","",IF(Z85=0,"",(Z85-AA85-X85*SuppliesPerHour)/Z85))</f>
        <v>0</v>
      </c>
      <c r="AC85" s="31">
        <f>IF(A85="","",COUNTIFS(Jobs!$J$5:$J$604,A85))</f>
        <v>0</v>
      </c>
      <c r="AD85" s="18">
        <f>IF(A85="","",IF(SUMPRODUCT(MAX((Jobs!$J$5:$J$604=A85)*((Jobs!$P$5:$P$604="Completed")+(Jobs!$P$5:$P$604="Invoiced"))*Jobs!$B$5:$B$604))=0,"",SUMPRODUCT(MAX((Jobs!$J$5:$J$604=A85)*((Jobs!$P$5:$P$604="Completed")+(Jobs!$P$5:$P$604="Invoiced"))*Jobs!$B$5:$B$604))))</f>
        <v>0</v>
      </c>
      <c r="AE85" s="34">
        <f>IF(A85="","",IFERROR(AVERAGEIFS(Jobs!$AK$5:$AK$604,Jobs!$J$5:$J$604,A85,Jobs!$AK$5:$AK$604,"&gt;0"),""))</f>
        <v>0</v>
      </c>
      <c r="AF85" s="34">
        <f>IF(OR(AE85="",X85=""),"",AE85-X85)</f>
        <v>0</v>
      </c>
      <c r="AG85" s="21">
        <f>IF(A85="","",SUMIFS(Jobs!$AJ$5:$AJ$604,Jobs!$J$5:$J$604,A85,Jobs!$P$5:$P$604,"Invoiced")+SUMIFS(Jobs!$AJ$5:$AJ$604,Jobs!$J$5:$J$604,A85,Jobs!$P$5:$P$604,"Completed"))</f>
        <v>0</v>
      </c>
      <c r="AH85" s="39">
        <f>IF(B85="","",IF(C85="","Add - no client linked",IF(IFERROR(INDEX(Clients!$B$5:$B$204,MATCH(C85,Clients!$A$5:$A$204,0)),"")="","Check - client ID not found",IF(AND(G85="",H85=""),"Add - size needed to price it",IF(AND(AF85&lt;&gt;"",AF85&gt;0.5),"Check - runs over the estimate",IF(N85="","Add - how do we get in?","OK"))))))</f>
        <v>0</v>
      </c>
    </row>
    <row r="86" spans="1:34">
      <c r="A86" s="43">
        <f>IF(B86="","",PropertyPrefix&amp;TEXT(ROW()-4,"0000"))</f>
        <v>0</v>
      </c>
      <c r="D86" s="23">
        <f>IF(C86="","",IFERROR(INDEX(Clients!$B$5:$B$204,MATCH(C86,Clients!$A$5:$A$204,0)),"Not found"))</f>
        <v>0</v>
      </c>
      <c r="W86" s="34">
        <f>IF(B86="","",MAX(IF(H86="",0,H86)*0.45+IF(I86="",0,I86)*0.6+IF(J86="",0,J86)*0.3,IF(G86="",0,G86)/650))</f>
        <v>0</v>
      </c>
      <c r="X86" s="34">
        <f>IF(B86="","",ROUND(MAX(1,W86)*IFERROR(INDEX(ConditionFactors,MATCH(L86,ConditionNames,0)),1),2))</f>
        <v>0</v>
      </c>
      <c r="Y86" s="34">
        <f>IF(B86="","",ROUND(X86/MAX(1,CleanersPerJob),2))</f>
        <v>0</v>
      </c>
      <c r="Z86" s="21">
        <f>IF(B86="","",MAX(MinimumCharge,ROUND(X86*IF(IFERROR(INDEX(Clients!$O$5:$O$204,MATCH(C86,Clients!$A$5:$A$204,0)),0)&gt;0,INDEX(Clients!$O$5:$O$204,MATCH(C86,Clients!$A$5:$A$204,0)),HourlyRate)+IF(M86="",0,IF(M86="None",0,PetSurcharge)),2)))</f>
        <v>0</v>
      </c>
      <c r="AA86" s="21">
        <f>IF(B86="","",ROUND(X86*CostPerHour,2))</f>
        <v>0</v>
      </c>
      <c r="AB86" s="38">
        <f>IF(B86="","",IF(Z86=0,"",(Z86-AA86-X86*SuppliesPerHour)/Z86))</f>
        <v>0</v>
      </c>
      <c r="AC86" s="31">
        <f>IF(A86="","",COUNTIFS(Jobs!$J$5:$J$604,A86))</f>
        <v>0</v>
      </c>
      <c r="AD86" s="18">
        <f>IF(A86="","",IF(SUMPRODUCT(MAX((Jobs!$J$5:$J$604=A86)*((Jobs!$P$5:$P$604="Completed")+(Jobs!$P$5:$P$604="Invoiced"))*Jobs!$B$5:$B$604))=0,"",SUMPRODUCT(MAX((Jobs!$J$5:$J$604=A86)*((Jobs!$P$5:$P$604="Completed")+(Jobs!$P$5:$P$604="Invoiced"))*Jobs!$B$5:$B$604))))</f>
        <v>0</v>
      </c>
      <c r="AE86" s="34">
        <f>IF(A86="","",IFERROR(AVERAGEIFS(Jobs!$AK$5:$AK$604,Jobs!$J$5:$J$604,A86,Jobs!$AK$5:$AK$604,"&gt;0"),""))</f>
        <v>0</v>
      </c>
      <c r="AF86" s="34">
        <f>IF(OR(AE86="",X86=""),"",AE86-X86)</f>
        <v>0</v>
      </c>
      <c r="AG86" s="21">
        <f>IF(A86="","",SUMIFS(Jobs!$AJ$5:$AJ$604,Jobs!$J$5:$J$604,A86,Jobs!$P$5:$P$604,"Invoiced")+SUMIFS(Jobs!$AJ$5:$AJ$604,Jobs!$J$5:$J$604,A86,Jobs!$P$5:$P$604,"Completed"))</f>
        <v>0</v>
      </c>
      <c r="AH86" s="39">
        <f>IF(B86="","",IF(C86="","Add - no client linked",IF(IFERROR(INDEX(Clients!$B$5:$B$204,MATCH(C86,Clients!$A$5:$A$204,0)),"")="","Check - client ID not found",IF(AND(G86="",H86=""),"Add - size needed to price it",IF(AND(AF86&lt;&gt;"",AF86&gt;0.5),"Check - runs over the estimate",IF(N86="","Add - how do we get in?","OK"))))))</f>
        <v>0</v>
      </c>
    </row>
    <row r="87" spans="1:34">
      <c r="A87" s="43">
        <f>IF(B87="","",PropertyPrefix&amp;TEXT(ROW()-4,"0000"))</f>
        <v>0</v>
      </c>
      <c r="D87" s="23">
        <f>IF(C87="","",IFERROR(INDEX(Clients!$B$5:$B$204,MATCH(C87,Clients!$A$5:$A$204,0)),"Not found"))</f>
        <v>0</v>
      </c>
      <c r="W87" s="34">
        <f>IF(B87="","",MAX(IF(H87="",0,H87)*0.45+IF(I87="",0,I87)*0.6+IF(J87="",0,J87)*0.3,IF(G87="",0,G87)/650))</f>
        <v>0</v>
      </c>
      <c r="X87" s="34">
        <f>IF(B87="","",ROUND(MAX(1,W87)*IFERROR(INDEX(ConditionFactors,MATCH(L87,ConditionNames,0)),1),2))</f>
        <v>0</v>
      </c>
      <c r="Y87" s="34">
        <f>IF(B87="","",ROUND(X87/MAX(1,CleanersPerJob),2))</f>
        <v>0</v>
      </c>
      <c r="Z87" s="21">
        <f>IF(B87="","",MAX(MinimumCharge,ROUND(X87*IF(IFERROR(INDEX(Clients!$O$5:$O$204,MATCH(C87,Clients!$A$5:$A$204,0)),0)&gt;0,INDEX(Clients!$O$5:$O$204,MATCH(C87,Clients!$A$5:$A$204,0)),HourlyRate)+IF(M87="",0,IF(M87="None",0,PetSurcharge)),2)))</f>
        <v>0</v>
      </c>
      <c r="AA87" s="21">
        <f>IF(B87="","",ROUND(X87*CostPerHour,2))</f>
        <v>0</v>
      </c>
      <c r="AB87" s="38">
        <f>IF(B87="","",IF(Z87=0,"",(Z87-AA87-X87*SuppliesPerHour)/Z87))</f>
        <v>0</v>
      </c>
      <c r="AC87" s="31">
        <f>IF(A87="","",COUNTIFS(Jobs!$J$5:$J$604,A87))</f>
        <v>0</v>
      </c>
      <c r="AD87" s="18">
        <f>IF(A87="","",IF(SUMPRODUCT(MAX((Jobs!$J$5:$J$604=A87)*((Jobs!$P$5:$P$604="Completed")+(Jobs!$P$5:$P$604="Invoiced"))*Jobs!$B$5:$B$604))=0,"",SUMPRODUCT(MAX((Jobs!$J$5:$J$604=A87)*((Jobs!$P$5:$P$604="Completed")+(Jobs!$P$5:$P$604="Invoiced"))*Jobs!$B$5:$B$604))))</f>
        <v>0</v>
      </c>
      <c r="AE87" s="34">
        <f>IF(A87="","",IFERROR(AVERAGEIFS(Jobs!$AK$5:$AK$604,Jobs!$J$5:$J$604,A87,Jobs!$AK$5:$AK$604,"&gt;0"),""))</f>
        <v>0</v>
      </c>
      <c r="AF87" s="34">
        <f>IF(OR(AE87="",X87=""),"",AE87-X87)</f>
        <v>0</v>
      </c>
      <c r="AG87" s="21">
        <f>IF(A87="","",SUMIFS(Jobs!$AJ$5:$AJ$604,Jobs!$J$5:$J$604,A87,Jobs!$P$5:$P$604,"Invoiced")+SUMIFS(Jobs!$AJ$5:$AJ$604,Jobs!$J$5:$J$604,A87,Jobs!$P$5:$P$604,"Completed"))</f>
        <v>0</v>
      </c>
      <c r="AH87" s="39">
        <f>IF(B87="","",IF(C87="","Add - no client linked",IF(IFERROR(INDEX(Clients!$B$5:$B$204,MATCH(C87,Clients!$A$5:$A$204,0)),"")="","Check - client ID not found",IF(AND(G87="",H87=""),"Add - size needed to price it",IF(AND(AF87&lt;&gt;"",AF87&gt;0.5),"Check - runs over the estimate",IF(N87="","Add - how do we get in?","OK"))))))</f>
        <v>0</v>
      </c>
    </row>
    <row r="88" spans="1:34">
      <c r="A88" s="43">
        <f>IF(B88="","",PropertyPrefix&amp;TEXT(ROW()-4,"0000"))</f>
        <v>0</v>
      </c>
      <c r="D88" s="23">
        <f>IF(C88="","",IFERROR(INDEX(Clients!$B$5:$B$204,MATCH(C88,Clients!$A$5:$A$204,0)),"Not found"))</f>
        <v>0</v>
      </c>
      <c r="W88" s="34">
        <f>IF(B88="","",MAX(IF(H88="",0,H88)*0.45+IF(I88="",0,I88)*0.6+IF(J88="",0,J88)*0.3,IF(G88="",0,G88)/650))</f>
        <v>0</v>
      </c>
      <c r="X88" s="34">
        <f>IF(B88="","",ROUND(MAX(1,W88)*IFERROR(INDEX(ConditionFactors,MATCH(L88,ConditionNames,0)),1),2))</f>
        <v>0</v>
      </c>
      <c r="Y88" s="34">
        <f>IF(B88="","",ROUND(X88/MAX(1,CleanersPerJob),2))</f>
        <v>0</v>
      </c>
      <c r="Z88" s="21">
        <f>IF(B88="","",MAX(MinimumCharge,ROUND(X88*IF(IFERROR(INDEX(Clients!$O$5:$O$204,MATCH(C88,Clients!$A$5:$A$204,0)),0)&gt;0,INDEX(Clients!$O$5:$O$204,MATCH(C88,Clients!$A$5:$A$204,0)),HourlyRate)+IF(M88="",0,IF(M88="None",0,PetSurcharge)),2)))</f>
        <v>0</v>
      </c>
      <c r="AA88" s="21">
        <f>IF(B88="","",ROUND(X88*CostPerHour,2))</f>
        <v>0</v>
      </c>
      <c r="AB88" s="38">
        <f>IF(B88="","",IF(Z88=0,"",(Z88-AA88-X88*SuppliesPerHour)/Z88))</f>
        <v>0</v>
      </c>
      <c r="AC88" s="31">
        <f>IF(A88="","",COUNTIFS(Jobs!$J$5:$J$604,A88))</f>
        <v>0</v>
      </c>
      <c r="AD88" s="18">
        <f>IF(A88="","",IF(SUMPRODUCT(MAX((Jobs!$J$5:$J$604=A88)*((Jobs!$P$5:$P$604="Completed")+(Jobs!$P$5:$P$604="Invoiced"))*Jobs!$B$5:$B$604))=0,"",SUMPRODUCT(MAX((Jobs!$J$5:$J$604=A88)*((Jobs!$P$5:$P$604="Completed")+(Jobs!$P$5:$P$604="Invoiced"))*Jobs!$B$5:$B$604))))</f>
        <v>0</v>
      </c>
      <c r="AE88" s="34">
        <f>IF(A88="","",IFERROR(AVERAGEIFS(Jobs!$AK$5:$AK$604,Jobs!$J$5:$J$604,A88,Jobs!$AK$5:$AK$604,"&gt;0"),""))</f>
        <v>0</v>
      </c>
      <c r="AF88" s="34">
        <f>IF(OR(AE88="",X88=""),"",AE88-X88)</f>
        <v>0</v>
      </c>
      <c r="AG88" s="21">
        <f>IF(A88="","",SUMIFS(Jobs!$AJ$5:$AJ$604,Jobs!$J$5:$J$604,A88,Jobs!$P$5:$P$604,"Invoiced")+SUMIFS(Jobs!$AJ$5:$AJ$604,Jobs!$J$5:$J$604,A88,Jobs!$P$5:$P$604,"Completed"))</f>
        <v>0</v>
      </c>
      <c r="AH88" s="39">
        <f>IF(B88="","",IF(C88="","Add - no client linked",IF(IFERROR(INDEX(Clients!$B$5:$B$204,MATCH(C88,Clients!$A$5:$A$204,0)),"")="","Check - client ID not found",IF(AND(G88="",H88=""),"Add - size needed to price it",IF(AND(AF88&lt;&gt;"",AF88&gt;0.5),"Check - runs over the estimate",IF(N88="","Add - how do we get in?","OK"))))))</f>
        <v>0</v>
      </c>
    </row>
    <row r="89" spans="1:34">
      <c r="A89" s="43">
        <f>IF(B89="","",PropertyPrefix&amp;TEXT(ROW()-4,"0000"))</f>
        <v>0</v>
      </c>
      <c r="D89" s="23">
        <f>IF(C89="","",IFERROR(INDEX(Clients!$B$5:$B$204,MATCH(C89,Clients!$A$5:$A$204,0)),"Not found"))</f>
        <v>0</v>
      </c>
      <c r="W89" s="34">
        <f>IF(B89="","",MAX(IF(H89="",0,H89)*0.45+IF(I89="",0,I89)*0.6+IF(J89="",0,J89)*0.3,IF(G89="",0,G89)/650))</f>
        <v>0</v>
      </c>
      <c r="X89" s="34">
        <f>IF(B89="","",ROUND(MAX(1,W89)*IFERROR(INDEX(ConditionFactors,MATCH(L89,ConditionNames,0)),1),2))</f>
        <v>0</v>
      </c>
      <c r="Y89" s="34">
        <f>IF(B89="","",ROUND(X89/MAX(1,CleanersPerJob),2))</f>
        <v>0</v>
      </c>
      <c r="Z89" s="21">
        <f>IF(B89="","",MAX(MinimumCharge,ROUND(X89*IF(IFERROR(INDEX(Clients!$O$5:$O$204,MATCH(C89,Clients!$A$5:$A$204,0)),0)&gt;0,INDEX(Clients!$O$5:$O$204,MATCH(C89,Clients!$A$5:$A$204,0)),HourlyRate)+IF(M89="",0,IF(M89="None",0,PetSurcharge)),2)))</f>
        <v>0</v>
      </c>
      <c r="AA89" s="21">
        <f>IF(B89="","",ROUND(X89*CostPerHour,2))</f>
        <v>0</v>
      </c>
      <c r="AB89" s="38">
        <f>IF(B89="","",IF(Z89=0,"",(Z89-AA89-X89*SuppliesPerHour)/Z89))</f>
        <v>0</v>
      </c>
      <c r="AC89" s="31">
        <f>IF(A89="","",COUNTIFS(Jobs!$J$5:$J$604,A89))</f>
        <v>0</v>
      </c>
      <c r="AD89" s="18">
        <f>IF(A89="","",IF(SUMPRODUCT(MAX((Jobs!$J$5:$J$604=A89)*((Jobs!$P$5:$P$604="Completed")+(Jobs!$P$5:$P$604="Invoiced"))*Jobs!$B$5:$B$604))=0,"",SUMPRODUCT(MAX((Jobs!$J$5:$J$604=A89)*((Jobs!$P$5:$P$604="Completed")+(Jobs!$P$5:$P$604="Invoiced"))*Jobs!$B$5:$B$604))))</f>
        <v>0</v>
      </c>
      <c r="AE89" s="34">
        <f>IF(A89="","",IFERROR(AVERAGEIFS(Jobs!$AK$5:$AK$604,Jobs!$J$5:$J$604,A89,Jobs!$AK$5:$AK$604,"&gt;0"),""))</f>
        <v>0</v>
      </c>
      <c r="AF89" s="34">
        <f>IF(OR(AE89="",X89=""),"",AE89-X89)</f>
        <v>0</v>
      </c>
      <c r="AG89" s="21">
        <f>IF(A89="","",SUMIFS(Jobs!$AJ$5:$AJ$604,Jobs!$J$5:$J$604,A89,Jobs!$P$5:$P$604,"Invoiced")+SUMIFS(Jobs!$AJ$5:$AJ$604,Jobs!$J$5:$J$604,A89,Jobs!$P$5:$P$604,"Completed"))</f>
        <v>0</v>
      </c>
      <c r="AH89" s="39">
        <f>IF(B89="","",IF(C89="","Add - no client linked",IF(IFERROR(INDEX(Clients!$B$5:$B$204,MATCH(C89,Clients!$A$5:$A$204,0)),"")="","Check - client ID not found",IF(AND(G89="",H89=""),"Add - size needed to price it",IF(AND(AF89&lt;&gt;"",AF89&gt;0.5),"Check - runs over the estimate",IF(N89="","Add - how do we get in?","OK"))))))</f>
        <v>0</v>
      </c>
    </row>
    <row r="90" spans="1:34">
      <c r="A90" s="43">
        <f>IF(B90="","",PropertyPrefix&amp;TEXT(ROW()-4,"0000"))</f>
        <v>0</v>
      </c>
      <c r="D90" s="23">
        <f>IF(C90="","",IFERROR(INDEX(Clients!$B$5:$B$204,MATCH(C90,Clients!$A$5:$A$204,0)),"Not found"))</f>
        <v>0</v>
      </c>
      <c r="W90" s="34">
        <f>IF(B90="","",MAX(IF(H90="",0,H90)*0.45+IF(I90="",0,I90)*0.6+IF(J90="",0,J90)*0.3,IF(G90="",0,G90)/650))</f>
        <v>0</v>
      </c>
      <c r="X90" s="34">
        <f>IF(B90="","",ROUND(MAX(1,W90)*IFERROR(INDEX(ConditionFactors,MATCH(L90,ConditionNames,0)),1),2))</f>
        <v>0</v>
      </c>
      <c r="Y90" s="34">
        <f>IF(B90="","",ROUND(X90/MAX(1,CleanersPerJob),2))</f>
        <v>0</v>
      </c>
      <c r="Z90" s="21">
        <f>IF(B90="","",MAX(MinimumCharge,ROUND(X90*IF(IFERROR(INDEX(Clients!$O$5:$O$204,MATCH(C90,Clients!$A$5:$A$204,0)),0)&gt;0,INDEX(Clients!$O$5:$O$204,MATCH(C90,Clients!$A$5:$A$204,0)),HourlyRate)+IF(M90="",0,IF(M90="None",0,PetSurcharge)),2)))</f>
        <v>0</v>
      </c>
      <c r="AA90" s="21">
        <f>IF(B90="","",ROUND(X90*CostPerHour,2))</f>
        <v>0</v>
      </c>
      <c r="AB90" s="38">
        <f>IF(B90="","",IF(Z90=0,"",(Z90-AA90-X90*SuppliesPerHour)/Z90))</f>
        <v>0</v>
      </c>
      <c r="AC90" s="31">
        <f>IF(A90="","",COUNTIFS(Jobs!$J$5:$J$604,A90))</f>
        <v>0</v>
      </c>
      <c r="AD90" s="18">
        <f>IF(A90="","",IF(SUMPRODUCT(MAX((Jobs!$J$5:$J$604=A90)*((Jobs!$P$5:$P$604="Completed")+(Jobs!$P$5:$P$604="Invoiced"))*Jobs!$B$5:$B$604))=0,"",SUMPRODUCT(MAX((Jobs!$J$5:$J$604=A90)*((Jobs!$P$5:$P$604="Completed")+(Jobs!$P$5:$P$604="Invoiced"))*Jobs!$B$5:$B$604))))</f>
        <v>0</v>
      </c>
      <c r="AE90" s="34">
        <f>IF(A90="","",IFERROR(AVERAGEIFS(Jobs!$AK$5:$AK$604,Jobs!$J$5:$J$604,A90,Jobs!$AK$5:$AK$604,"&gt;0"),""))</f>
        <v>0</v>
      </c>
      <c r="AF90" s="34">
        <f>IF(OR(AE90="",X90=""),"",AE90-X90)</f>
        <v>0</v>
      </c>
      <c r="AG90" s="21">
        <f>IF(A90="","",SUMIFS(Jobs!$AJ$5:$AJ$604,Jobs!$J$5:$J$604,A90,Jobs!$P$5:$P$604,"Invoiced")+SUMIFS(Jobs!$AJ$5:$AJ$604,Jobs!$J$5:$J$604,A90,Jobs!$P$5:$P$604,"Completed"))</f>
        <v>0</v>
      </c>
      <c r="AH90" s="39">
        <f>IF(B90="","",IF(C90="","Add - no client linked",IF(IFERROR(INDEX(Clients!$B$5:$B$204,MATCH(C90,Clients!$A$5:$A$204,0)),"")="","Check - client ID not found",IF(AND(G90="",H90=""),"Add - size needed to price it",IF(AND(AF90&lt;&gt;"",AF90&gt;0.5),"Check - runs over the estimate",IF(N90="","Add - how do we get in?","OK"))))))</f>
        <v>0</v>
      </c>
    </row>
    <row r="91" spans="1:34">
      <c r="A91" s="43">
        <f>IF(B91="","",PropertyPrefix&amp;TEXT(ROW()-4,"0000"))</f>
        <v>0</v>
      </c>
      <c r="D91" s="23">
        <f>IF(C91="","",IFERROR(INDEX(Clients!$B$5:$B$204,MATCH(C91,Clients!$A$5:$A$204,0)),"Not found"))</f>
        <v>0</v>
      </c>
      <c r="W91" s="34">
        <f>IF(B91="","",MAX(IF(H91="",0,H91)*0.45+IF(I91="",0,I91)*0.6+IF(J91="",0,J91)*0.3,IF(G91="",0,G91)/650))</f>
        <v>0</v>
      </c>
      <c r="X91" s="34">
        <f>IF(B91="","",ROUND(MAX(1,W91)*IFERROR(INDEX(ConditionFactors,MATCH(L91,ConditionNames,0)),1),2))</f>
        <v>0</v>
      </c>
      <c r="Y91" s="34">
        <f>IF(B91="","",ROUND(X91/MAX(1,CleanersPerJob),2))</f>
        <v>0</v>
      </c>
      <c r="Z91" s="21">
        <f>IF(B91="","",MAX(MinimumCharge,ROUND(X91*IF(IFERROR(INDEX(Clients!$O$5:$O$204,MATCH(C91,Clients!$A$5:$A$204,0)),0)&gt;0,INDEX(Clients!$O$5:$O$204,MATCH(C91,Clients!$A$5:$A$204,0)),HourlyRate)+IF(M91="",0,IF(M91="None",0,PetSurcharge)),2)))</f>
        <v>0</v>
      </c>
      <c r="AA91" s="21">
        <f>IF(B91="","",ROUND(X91*CostPerHour,2))</f>
        <v>0</v>
      </c>
      <c r="AB91" s="38">
        <f>IF(B91="","",IF(Z91=0,"",(Z91-AA91-X91*SuppliesPerHour)/Z91))</f>
        <v>0</v>
      </c>
      <c r="AC91" s="31">
        <f>IF(A91="","",COUNTIFS(Jobs!$J$5:$J$604,A91))</f>
        <v>0</v>
      </c>
      <c r="AD91" s="18">
        <f>IF(A91="","",IF(SUMPRODUCT(MAX((Jobs!$J$5:$J$604=A91)*((Jobs!$P$5:$P$604="Completed")+(Jobs!$P$5:$P$604="Invoiced"))*Jobs!$B$5:$B$604))=0,"",SUMPRODUCT(MAX((Jobs!$J$5:$J$604=A91)*((Jobs!$P$5:$P$604="Completed")+(Jobs!$P$5:$P$604="Invoiced"))*Jobs!$B$5:$B$604))))</f>
        <v>0</v>
      </c>
      <c r="AE91" s="34">
        <f>IF(A91="","",IFERROR(AVERAGEIFS(Jobs!$AK$5:$AK$604,Jobs!$J$5:$J$604,A91,Jobs!$AK$5:$AK$604,"&gt;0"),""))</f>
        <v>0</v>
      </c>
      <c r="AF91" s="34">
        <f>IF(OR(AE91="",X91=""),"",AE91-X91)</f>
        <v>0</v>
      </c>
      <c r="AG91" s="21">
        <f>IF(A91="","",SUMIFS(Jobs!$AJ$5:$AJ$604,Jobs!$J$5:$J$604,A91,Jobs!$P$5:$P$604,"Invoiced")+SUMIFS(Jobs!$AJ$5:$AJ$604,Jobs!$J$5:$J$604,A91,Jobs!$P$5:$P$604,"Completed"))</f>
        <v>0</v>
      </c>
      <c r="AH91" s="39">
        <f>IF(B91="","",IF(C91="","Add - no client linked",IF(IFERROR(INDEX(Clients!$B$5:$B$204,MATCH(C91,Clients!$A$5:$A$204,0)),"")="","Check - client ID not found",IF(AND(G91="",H91=""),"Add - size needed to price it",IF(AND(AF91&lt;&gt;"",AF91&gt;0.5),"Check - runs over the estimate",IF(N91="","Add - how do we get in?","OK"))))))</f>
        <v>0</v>
      </c>
    </row>
    <row r="92" spans="1:34">
      <c r="A92" s="43">
        <f>IF(B92="","",PropertyPrefix&amp;TEXT(ROW()-4,"0000"))</f>
        <v>0</v>
      </c>
      <c r="D92" s="23">
        <f>IF(C92="","",IFERROR(INDEX(Clients!$B$5:$B$204,MATCH(C92,Clients!$A$5:$A$204,0)),"Not found"))</f>
        <v>0</v>
      </c>
      <c r="W92" s="34">
        <f>IF(B92="","",MAX(IF(H92="",0,H92)*0.45+IF(I92="",0,I92)*0.6+IF(J92="",0,J92)*0.3,IF(G92="",0,G92)/650))</f>
        <v>0</v>
      </c>
      <c r="X92" s="34">
        <f>IF(B92="","",ROUND(MAX(1,W92)*IFERROR(INDEX(ConditionFactors,MATCH(L92,ConditionNames,0)),1),2))</f>
        <v>0</v>
      </c>
      <c r="Y92" s="34">
        <f>IF(B92="","",ROUND(X92/MAX(1,CleanersPerJob),2))</f>
        <v>0</v>
      </c>
      <c r="Z92" s="21">
        <f>IF(B92="","",MAX(MinimumCharge,ROUND(X92*IF(IFERROR(INDEX(Clients!$O$5:$O$204,MATCH(C92,Clients!$A$5:$A$204,0)),0)&gt;0,INDEX(Clients!$O$5:$O$204,MATCH(C92,Clients!$A$5:$A$204,0)),HourlyRate)+IF(M92="",0,IF(M92="None",0,PetSurcharge)),2)))</f>
        <v>0</v>
      </c>
      <c r="AA92" s="21">
        <f>IF(B92="","",ROUND(X92*CostPerHour,2))</f>
        <v>0</v>
      </c>
      <c r="AB92" s="38">
        <f>IF(B92="","",IF(Z92=0,"",(Z92-AA92-X92*SuppliesPerHour)/Z92))</f>
        <v>0</v>
      </c>
      <c r="AC92" s="31">
        <f>IF(A92="","",COUNTIFS(Jobs!$J$5:$J$604,A92))</f>
        <v>0</v>
      </c>
      <c r="AD92" s="18">
        <f>IF(A92="","",IF(SUMPRODUCT(MAX((Jobs!$J$5:$J$604=A92)*((Jobs!$P$5:$P$604="Completed")+(Jobs!$P$5:$P$604="Invoiced"))*Jobs!$B$5:$B$604))=0,"",SUMPRODUCT(MAX((Jobs!$J$5:$J$604=A92)*((Jobs!$P$5:$P$604="Completed")+(Jobs!$P$5:$P$604="Invoiced"))*Jobs!$B$5:$B$604))))</f>
        <v>0</v>
      </c>
      <c r="AE92" s="34">
        <f>IF(A92="","",IFERROR(AVERAGEIFS(Jobs!$AK$5:$AK$604,Jobs!$J$5:$J$604,A92,Jobs!$AK$5:$AK$604,"&gt;0"),""))</f>
        <v>0</v>
      </c>
      <c r="AF92" s="34">
        <f>IF(OR(AE92="",X92=""),"",AE92-X92)</f>
        <v>0</v>
      </c>
      <c r="AG92" s="21">
        <f>IF(A92="","",SUMIFS(Jobs!$AJ$5:$AJ$604,Jobs!$J$5:$J$604,A92,Jobs!$P$5:$P$604,"Invoiced")+SUMIFS(Jobs!$AJ$5:$AJ$604,Jobs!$J$5:$J$604,A92,Jobs!$P$5:$P$604,"Completed"))</f>
        <v>0</v>
      </c>
      <c r="AH92" s="39">
        <f>IF(B92="","",IF(C92="","Add - no client linked",IF(IFERROR(INDEX(Clients!$B$5:$B$204,MATCH(C92,Clients!$A$5:$A$204,0)),"")="","Check - client ID not found",IF(AND(G92="",H92=""),"Add - size needed to price it",IF(AND(AF92&lt;&gt;"",AF92&gt;0.5),"Check - runs over the estimate",IF(N92="","Add - how do we get in?","OK"))))))</f>
        <v>0</v>
      </c>
    </row>
    <row r="93" spans="1:34">
      <c r="A93" s="43">
        <f>IF(B93="","",PropertyPrefix&amp;TEXT(ROW()-4,"0000"))</f>
        <v>0</v>
      </c>
      <c r="D93" s="23">
        <f>IF(C93="","",IFERROR(INDEX(Clients!$B$5:$B$204,MATCH(C93,Clients!$A$5:$A$204,0)),"Not found"))</f>
        <v>0</v>
      </c>
      <c r="W93" s="34">
        <f>IF(B93="","",MAX(IF(H93="",0,H93)*0.45+IF(I93="",0,I93)*0.6+IF(J93="",0,J93)*0.3,IF(G93="",0,G93)/650))</f>
        <v>0</v>
      </c>
      <c r="X93" s="34">
        <f>IF(B93="","",ROUND(MAX(1,W93)*IFERROR(INDEX(ConditionFactors,MATCH(L93,ConditionNames,0)),1),2))</f>
        <v>0</v>
      </c>
      <c r="Y93" s="34">
        <f>IF(B93="","",ROUND(X93/MAX(1,CleanersPerJob),2))</f>
        <v>0</v>
      </c>
      <c r="Z93" s="21">
        <f>IF(B93="","",MAX(MinimumCharge,ROUND(X93*IF(IFERROR(INDEX(Clients!$O$5:$O$204,MATCH(C93,Clients!$A$5:$A$204,0)),0)&gt;0,INDEX(Clients!$O$5:$O$204,MATCH(C93,Clients!$A$5:$A$204,0)),HourlyRate)+IF(M93="",0,IF(M93="None",0,PetSurcharge)),2)))</f>
        <v>0</v>
      </c>
      <c r="AA93" s="21">
        <f>IF(B93="","",ROUND(X93*CostPerHour,2))</f>
        <v>0</v>
      </c>
      <c r="AB93" s="38">
        <f>IF(B93="","",IF(Z93=0,"",(Z93-AA93-X93*SuppliesPerHour)/Z93))</f>
        <v>0</v>
      </c>
      <c r="AC93" s="31">
        <f>IF(A93="","",COUNTIFS(Jobs!$J$5:$J$604,A93))</f>
        <v>0</v>
      </c>
      <c r="AD93" s="18">
        <f>IF(A93="","",IF(SUMPRODUCT(MAX((Jobs!$J$5:$J$604=A93)*((Jobs!$P$5:$P$604="Completed")+(Jobs!$P$5:$P$604="Invoiced"))*Jobs!$B$5:$B$604))=0,"",SUMPRODUCT(MAX((Jobs!$J$5:$J$604=A93)*((Jobs!$P$5:$P$604="Completed")+(Jobs!$P$5:$P$604="Invoiced"))*Jobs!$B$5:$B$604))))</f>
        <v>0</v>
      </c>
      <c r="AE93" s="34">
        <f>IF(A93="","",IFERROR(AVERAGEIFS(Jobs!$AK$5:$AK$604,Jobs!$J$5:$J$604,A93,Jobs!$AK$5:$AK$604,"&gt;0"),""))</f>
        <v>0</v>
      </c>
      <c r="AF93" s="34">
        <f>IF(OR(AE93="",X93=""),"",AE93-X93)</f>
        <v>0</v>
      </c>
      <c r="AG93" s="21">
        <f>IF(A93="","",SUMIFS(Jobs!$AJ$5:$AJ$604,Jobs!$J$5:$J$604,A93,Jobs!$P$5:$P$604,"Invoiced")+SUMIFS(Jobs!$AJ$5:$AJ$604,Jobs!$J$5:$J$604,A93,Jobs!$P$5:$P$604,"Completed"))</f>
        <v>0</v>
      </c>
      <c r="AH93" s="39">
        <f>IF(B93="","",IF(C93="","Add - no client linked",IF(IFERROR(INDEX(Clients!$B$5:$B$204,MATCH(C93,Clients!$A$5:$A$204,0)),"")="","Check - client ID not found",IF(AND(G93="",H93=""),"Add - size needed to price it",IF(AND(AF93&lt;&gt;"",AF93&gt;0.5),"Check - runs over the estimate",IF(N93="","Add - how do we get in?","OK"))))))</f>
        <v>0</v>
      </c>
    </row>
    <row r="94" spans="1:34">
      <c r="A94" s="43">
        <f>IF(B94="","",PropertyPrefix&amp;TEXT(ROW()-4,"0000"))</f>
        <v>0</v>
      </c>
      <c r="D94" s="23">
        <f>IF(C94="","",IFERROR(INDEX(Clients!$B$5:$B$204,MATCH(C94,Clients!$A$5:$A$204,0)),"Not found"))</f>
        <v>0</v>
      </c>
      <c r="W94" s="34">
        <f>IF(B94="","",MAX(IF(H94="",0,H94)*0.45+IF(I94="",0,I94)*0.6+IF(J94="",0,J94)*0.3,IF(G94="",0,G94)/650))</f>
        <v>0</v>
      </c>
      <c r="X94" s="34">
        <f>IF(B94="","",ROUND(MAX(1,W94)*IFERROR(INDEX(ConditionFactors,MATCH(L94,ConditionNames,0)),1),2))</f>
        <v>0</v>
      </c>
      <c r="Y94" s="34">
        <f>IF(B94="","",ROUND(X94/MAX(1,CleanersPerJob),2))</f>
        <v>0</v>
      </c>
      <c r="Z94" s="21">
        <f>IF(B94="","",MAX(MinimumCharge,ROUND(X94*IF(IFERROR(INDEX(Clients!$O$5:$O$204,MATCH(C94,Clients!$A$5:$A$204,0)),0)&gt;0,INDEX(Clients!$O$5:$O$204,MATCH(C94,Clients!$A$5:$A$204,0)),HourlyRate)+IF(M94="",0,IF(M94="None",0,PetSurcharge)),2)))</f>
        <v>0</v>
      </c>
      <c r="AA94" s="21">
        <f>IF(B94="","",ROUND(X94*CostPerHour,2))</f>
        <v>0</v>
      </c>
      <c r="AB94" s="38">
        <f>IF(B94="","",IF(Z94=0,"",(Z94-AA94-X94*SuppliesPerHour)/Z94))</f>
        <v>0</v>
      </c>
      <c r="AC94" s="31">
        <f>IF(A94="","",COUNTIFS(Jobs!$J$5:$J$604,A94))</f>
        <v>0</v>
      </c>
      <c r="AD94" s="18">
        <f>IF(A94="","",IF(SUMPRODUCT(MAX((Jobs!$J$5:$J$604=A94)*((Jobs!$P$5:$P$604="Completed")+(Jobs!$P$5:$P$604="Invoiced"))*Jobs!$B$5:$B$604))=0,"",SUMPRODUCT(MAX((Jobs!$J$5:$J$604=A94)*((Jobs!$P$5:$P$604="Completed")+(Jobs!$P$5:$P$604="Invoiced"))*Jobs!$B$5:$B$604))))</f>
        <v>0</v>
      </c>
      <c r="AE94" s="34">
        <f>IF(A94="","",IFERROR(AVERAGEIFS(Jobs!$AK$5:$AK$604,Jobs!$J$5:$J$604,A94,Jobs!$AK$5:$AK$604,"&gt;0"),""))</f>
        <v>0</v>
      </c>
      <c r="AF94" s="34">
        <f>IF(OR(AE94="",X94=""),"",AE94-X94)</f>
        <v>0</v>
      </c>
      <c r="AG94" s="21">
        <f>IF(A94="","",SUMIFS(Jobs!$AJ$5:$AJ$604,Jobs!$J$5:$J$604,A94,Jobs!$P$5:$P$604,"Invoiced")+SUMIFS(Jobs!$AJ$5:$AJ$604,Jobs!$J$5:$J$604,A94,Jobs!$P$5:$P$604,"Completed"))</f>
        <v>0</v>
      </c>
      <c r="AH94" s="39">
        <f>IF(B94="","",IF(C94="","Add - no client linked",IF(IFERROR(INDEX(Clients!$B$5:$B$204,MATCH(C94,Clients!$A$5:$A$204,0)),"")="","Check - client ID not found",IF(AND(G94="",H94=""),"Add - size needed to price it",IF(AND(AF94&lt;&gt;"",AF94&gt;0.5),"Check - runs over the estimate",IF(N94="","Add - how do we get in?","OK"))))))</f>
        <v>0</v>
      </c>
    </row>
    <row r="95" spans="1:34">
      <c r="A95" s="43">
        <f>IF(B95="","",PropertyPrefix&amp;TEXT(ROW()-4,"0000"))</f>
        <v>0</v>
      </c>
      <c r="D95" s="23">
        <f>IF(C95="","",IFERROR(INDEX(Clients!$B$5:$B$204,MATCH(C95,Clients!$A$5:$A$204,0)),"Not found"))</f>
        <v>0</v>
      </c>
      <c r="W95" s="34">
        <f>IF(B95="","",MAX(IF(H95="",0,H95)*0.45+IF(I95="",0,I95)*0.6+IF(J95="",0,J95)*0.3,IF(G95="",0,G95)/650))</f>
        <v>0</v>
      </c>
      <c r="X95" s="34">
        <f>IF(B95="","",ROUND(MAX(1,W95)*IFERROR(INDEX(ConditionFactors,MATCH(L95,ConditionNames,0)),1),2))</f>
        <v>0</v>
      </c>
      <c r="Y95" s="34">
        <f>IF(B95="","",ROUND(X95/MAX(1,CleanersPerJob),2))</f>
        <v>0</v>
      </c>
      <c r="Z95" s="21">
        <f>IF(B95="","",MAX(MinimumCharge,ROUND(X95*IF(IFERROR(INDEX(Clients!$O$5:$O$204,MATCH(C95,Clients!$A$5:$A$204,0)),0)&gt;0,INDEX(Clients!$O$5:$O$204,MATCH(C95,Clients!$A$5:$A$204,0)),HourlyRate)+IF(M95="",0,IF(M95="None",0,PetSurcharge)),2)))</f>
        <v>0</v>
      </c>
      <c r="AA95" s="21">
        <f>IF(B95="","",ROUND(X95*CostPerHour,2))</f>
        <v>0</v>
      </c>
      <c r="AB95" s="38">
        <f>IF(B95="","",IF(Z95=0,"",(Z95-AA95-X95*SuppliesPerHour)/Z95))</f>
        <v>0</v>
      </c>
      <c r="AC95" s="31">
        <f>IF(A95="","",COUNTIFS(Jobs!$J$5:$J$604,A95))</f>
        <v>0</v>
      </c>
      <c r="AD95" s="18">
        <f>IF(A95="","",IF(SUMPRODUCT(MAX((Jobs!$J$5:$J$604=A95)*((Jobs!$P$5:$P$604="Completed")+(Jobs!$P$5:$P$604="Invoiced"))*Jobs!$B$5:$B$604))=0,"",SUMPRODUCT(MAX((Jobs!$J$5:$J$604=A95)*((Jobs!$P$5:$P$604="Completed")+(Jobs!$P$5:$P$604="Invoiced"))*Jobs!$B$5:$B$604))))</f>
        <v>0</v>
      </c>
      <c r="AE95" s="34">
        <f>IF(A95="","",IFERROR(AVERAGEIFS(Jobs!$AK$5:$AK$604,Jobs!$J$5:$J$604,A95,Jobs!$AK$5:$AK$604,"&gt;0"),""))</f>
        <v>0</v>
      </c>
      <c r="AF95" s="34">
        <f>IF(OR(AE95="",X95=""),"",AE95-X95)</f>
        <v>0</v>
      </c>
      <c r="AG95" s="21">
        <f>IF(A95="","",SUMIFS(Jobs!$AJ$5:$AJ$604,Jobs!$J$5:$J$604,A95,Jobs!$P$5:$P$604,"Invoiced")+SUMIFS(Jobs!$AJ$5:$AJ$604,Jobs!$J$5:$J$604,A95,Jobs!$P$5:$P$604,"Completed"))</f>
        <v>0</v>
      </c>
      <c r="AH95" s="39">
        <f>IF(B95="","",IF(C95="","Add - no client linked",IF(IFERROR(INDEX(Clients!$B$5:$B$204,MATCH(C95,Clients!$A$5:$A$204,0)),"")="","Check - client ID not found",IF(AND(G95="",H95=""),"Add - size needed to price it",IF(AND(AF95&lt;&gt;"",AF95&gt;0.5),"Check - runs over the estimate",IF(N95="","Add - how do we get in?","OK"))))))</f>
        <v>0</v>
      </c>
    </row>
    <row r="96" spans="1:34">
      <c r="A96" s="43">
        <f>IF(B96="","",PropertyPrefix&amp;TEXT(ROW()-4,"0000"))</f>
        <v>0</v>
      </c>
      <c r="D96" s="23">
        <f>IF(C96="","",IFERROR(INDEX(Clients!$B$5:$B$204,MATCH(C96,Clients!$A$5:$A$204,0)),"Not found"))</f>
        <v>0</v>
      </c>
      <c r="W96" s="34">
        <f>IF(B96="","",MAX(IF(H96="",0,H96)*0.45+IF(I96="",0,I96)*0.6+IF(J96="",0,J96)*0.3,IF(G96="",0,G96)/650))</f>
        <v>0</v>
      </c>
      <c r="X96" s="34">
        <f>IF(B96="","",ROUND(MAX(1,W96)*IFERROR(INDEX(ConditionFactors,MATCH(L96,ConditionNames,0)),1),2))</f>
        <v>0</v>
      </c>
      <c r="Y96" s="34">
        <f>IF(B96="","",ROUND(X96/MAX(1,CleanersPerJob),2))</f>
        <v>0</v>
      </c>
      <c r="Z96" s="21">
        <f>IF(B96="","",MAX(MinimumCharge,ROUND(X96*IF(IFERROR(INDEX(Clients!$O$5:$O$204,MATCH(C96,Clients!$A$5:$A$204,0)),0)&gt;0,INDEX(Clients!$O$5:$O$204,MATCH(C96,Clients!$A$5:$A$204,0)),HourlyRate)+IF(M96="",0,IF(M96="None",0,PetSurcharge)),2)))</f>
        <v>0</v>
      </c>
      <c r="AA96" s="21">
        <f>IF(B96="","",ROUND(X96*CostPerHour,2))</f>
        <v>0</v>
      </c>
      <c r="AB96" s="38">
        <f>IF(B96="","",IF(Z96=0,"",(Z96-AA96-X96*SuppliesPerHour)/Z96))</f>
        <v>0</v>
      </c>
      <c r="AC96" s="31">
        <f>IF(A96="","",COUNTIFS(Jobs!$J$5:$J$604,A96))</f>
        <v>0</v>
      </c>
      <c r="AD96" s="18">
        <f>IF(A96="","",IF(SUMPRODUCT(MAX((Jobs!$J$5:$J$604=A96)*((Jobs!$P$5:$P$604="Completed")+(Jobs!$P$5:$P$604="Invoiced"))*Jobs!$B$5:$B$604))=0,"",SUMPRODUCT(MAX((Jobs!$J$5:$J$604=A96)*((Jobs!$P$5:$P$604="Completed")+(Jobs!$P$5:$P$604="Invoiced"))*Jobs!$B$5:$B$604))))</f>
        <v>0</v>
      </c>
      <c r="AE96" s="34">
        <f>IF(A96="","",IFERROR(AVERAGEIFS(Jobs!$AK$5:$AK$604,Jobs!$J$5:$J$604,A96,Jobs!$AK$5:$AK$604,"&gt;0"),""))</f>
        <v>0</v>
      </c>
      <c r="AF96" s="34">
        <f>IF(OR(AE96="",X96=""),"",AE96-X96)</f>
        <v>0</v>
      </c>
      <c r="AG96" s="21">
        <f>IF(A96="","",SUMIFS(Jobs!$AJ$5:$AJ$604,Jobs!$J$5:$J$604,A96,Jobs!$P$5:$P$604,"Invoiced")+SUMIFS(Jobs!$AJ$5:$AJ$604,Jobs!$J$5:$J$604,A96,Jobs!$P$5:$P$604,"Completed"))</f>
        <v>0</v>
      </c>
      <c r="AH96" s="39">
        <f>IF(B96="","",IF(C96="","Add - no client linked",IF(IFERROR(INDEX(Clients!$B$5:$B$204,MATCH(C96,Clients!$A$5:$A$204,0)),"")="","Check - client ID not found",IF(AND(G96="",H96=""),"Add - size needed to price it",IF(AND(AF96&lt;&gt;"",AF96&gt;0.5),"Check - runs over the estimate",IF(N96="","Add - how do we get in?","OK"))))))</f>
        <v>0</v>
      </c>
    </row>
    <row r="97" spans="1:34">
      <c r="A97" s="43">
        <f>IF(B97="","",PropertyPrefix&amp;TEXT(ROW()-4,"0000"))</f>
        <v>0</v>
      </c>
      <c r="D97" s="23">
        <f>IF(C97="","",IFERROR(INDEX(Clients!$B$5:$B$204,MATCH(C97,Clients!$A$5:$A$204,0)),"Not found"))</f>
        <v>0</v>
      </c>
      <c r="W97" s="34">
        <f>IF(B97="","",MAX(IF(H97="",0,H97)*0.45+IF(I97="",0,I97)*0.6+IF(J97="",0,J97)*0.3,IF(G97="",0,G97)/650))</f>
        <v>0</v>
      </c>
      <c r="X97" s="34">
        <f>IF(B97="","",ROUND(MAX(1,W97)*IFERROR(INDEX(ConditionFactors,MATCH(L97,ConditionNames,0)),1),2))</f>
        <v>0</v>
      </c>
      <c r="Y97" s="34">
        <f>IF(B97="","",ROUND(X97/MAX(1,CleanersPerJob),2))</f>
        <v>0</v>
      </c>
      <c r="Z97" s="21">
        <f>IF(B97="","",MAX(MinimumCharge,ROUND(X97*IF(IFERROR(INDEX(Clients!$O$5:$O$204,MATCH(C97,Clients!$A$5:$A$204,0)),0)&gt;0,INDEX(Clients!$O$5:$O$204,MATCH(C97,Clients!$A$5:$A$204,0)),HourlyRate)+IF(M97="",0,IF(M97="None",0,PetSurcharge)),2)))</f>
        <v>0</v>
      </c>
      <c r="AA97" s="21">
        <f>IF(B97="","",ROUND(X97*CostPerHour,2))</f>
        <v>0</v>
      </c>
      <c r="AB97" s="38">
        <f>IF(B97="","",IF(Z97=0,"",(Z97-AA97-X97*SuppliesPerHour)/Z97))</f>
        <v>0</v>
      </c>
      <c r="AC97" s="31">
        <f>IF(A97="","",COUNTIFS(Jobs!$J$5:$J$604,A97))</f>
        <v>0</v>
      </c>
      <c r="AD97" s="18">
        <f>IF(A97="","",IF(SUMPRODUCT(MAX((Jobs!$J$5:$J$604=A97)*((Jobs!$P$5:$P$604="Completed")+(Jobs!$P$5:$P$604="Invoiced"))*Jobs!$B$5:$B$604))=0,"",SUMPRODUCT(MAX((Jobs!$J$5:$J$604=A97)*((Jobs!$P$5:$P$604="Completed")+(Jobs!$P$5:$P$604="Invoiced"))*Jobs!$B$5:$B$604))))</f>
        <v>0</v>
      </c>
      <c r="AE97" s="34">
        <f>IF(A97="","",IFERROR(AVERAGEIFS(Jobs!$AK$5:$AK$604,Jobs!$J$5:$J$604,A97,Jobs!$AK$5:$AK$604,"&gt;0"),""))</f>
        <v>0</v>
      </c>
      <c r="AF97" s="34">
        <f>IF(OR(AE97="",X97=""),"",AE97-X97)</f>
        <v>0</v>
      </c>
      <c r="AG97" s="21">
        <f>IF(A97="","",SUMIFS(Jobs!$AJ$5:$AJ$604,Jobs!$J$5:$J$604,A97,Jobs!$P$5:$P$604,"Invoiced")+SUMIFS(Jobs!$AJ$5:$AJ$604,Jobs!$J$5:$J$604,A97,Jobs!$P$5:$P$604,"Completed"))</f>
        <v>0</v>
      </c>
      <c r="AH97" s="39">
        <f>IF(B97="","",IF(C97="","Add - no client linked",IF(IFERROR(INDEX(Clients!$B$5:$B$204,MATCH(C97,Clients!$A$5:$A$204,0)),"")="","Check - client ID not found",IF(AND(G97="",H97=""),"Add - size needed to price it",IF(AND(AF97&lt;&gt;"",AF97&gt;0.5),"Check - runs over the estimate",IF(N97="","Add - how do we get in?","OK"))))))</f>
        <v>0</v>
      </c>
    </row>
    <row r="98" spans="1:34">
      <c r="A98" s="43">
        <f>IF(B98="","",PropertyPrefix&amp;TEXT(ROW()-4,"0000"))</f>
        <v>0</v>
      </c>
      <c r="D98" s="23">
        <f>IF(C98="","",IFERROR(INDEX(Clients!$B$5:$B$204,MATCH(C98,Clients!$A$5:$A$204,0)),"Not found"))</f>
        <v>0</v>
      </c>
      <c r="W98" s="34">
        <f>IF(B98="","",MAX(IF(H98="",0,H98)*0.45+IF(I98="",0,I98)*0.6+IF(J98="",0,J98)*0.3,IF(G98="",0,G98)/650))</f>
        <v>0</v>
      </c>
      <c r="X98" s="34">
        <f>IF(B98="","",ROUND(MAX(1,W98)*IFERROR(INDEX(ConditionFactors,MATCH(L98,ConditionNames,0)),1),2))</f>
        <v>0</v>
      </c>
      <c r="Y98" s="34">
        <f>IF(B98="","",ROUND(X98/MAX(1,CleanersPerJob),2))</f>
        <v>0</v>
      </c>
      <c r="Z98" s="21">
        <f>IF(B98="","",MAX(MinimumCharge,ROUND(X98*IF(IFERROR(INDEX(Clients!$O$5:$O$204,MATCH(C98,Clients!$A$5:$A$204,0)),0)&gt;0,INDEX(Clients!$O$5:$O$204,MATCH(C98,Clients!$A$5:$A$204,0)),HourlyRate)+IF(M98="",0,IF(M98="None",0,PetSurcharge)),2)))</f>
        <v>0</v>
      </c>
      <c r="AA98" s="21">
        <f>IF(B98="","",ROUND(X98*CostPerHour,2))</f>
        <v>0</v>
      </c>
      <c r="AB98" s="38">
        <f>IF(B98="","",IF(Z98=0,"",(Z98-AA98-X98*SuppliesPerHour)/Z98))</f>
        <v>0</v>
      </c>
      <c r="AC98" s="31">
        <f>IF(A98="","",COUNTIFS(Jobs!$J$5:$J$604,A98))</f>
        <v>0</v>
      </c>
      <c r="AD98" s="18">
        <f>IF(A98="","",IF(SUMPRODUCT(MAX((Jobs!$J$5:$J$604=A98)*((Jobs!$P$5:$P$604="Completed")+(Jobs!$P$5:$P$604="Invoiced"))*Jobs!$B$5:$B$604))=0,"",SUMPRODUCT(MAX((Jobs!$J$5:$J$604=A98)*((Jobs!$P$5:$P$604="Completed")+(Jobs!$P$5:$P$604="Invoiced"))*Jobs!$B$5:$B$604))))</f>
        <v>0</v>
      </c>
      <c r="AE98" s="34">
        <f>IF(A98="","",IFERROR(AVERAGEIFS(Jobs!$AK$5:$AK$604,Jobs!$J$5:$J$604,A98,Jobs!$AK$5:$AK$604,"&gt;0"),""))</f>
        <v>0</v>
      </c>
      <c r="AF98" s="34">
        <f>IF(OR(AE98="",X98=""),"",AE98-X98)</f>
        <v>0</v>
      </c>
      <c r="AG98" s="21">
        <f>IF(A98="","",SUMIFS(Jobs!$AJ$5:$AJ$604,Jobs!$J$5:$J$604,A98,Jobs!$P$5:$P$604,"Invoiced")+SUMIFS(Jobs!$AJ$5:$AJ$604,Jobs!$J$5:$J$604,A98,Jobs!$P$5:$P$604,"Completed"))</f>
        <v>0</v>
      </c>
      <c r="AH98" s="39">
        <f>IF(B98="","",IF(C98="","Add - no client linked",IF(IFERROR(INDEX(Clients!$B$5:$B$204,MATCH(C98,Clients!$A$5:$A$204,0)),"")="","Check - client ID not found",IF(AND(G98="",H98=""),"Add - size needed to price it",IF(AND(AF98&lt;&gt;"",AF98&gt;0.5),"Check - runs over the estimate",IF(N98="","Add - how do we get in?","OK"))))))</f>
        <v>0</v>
      </c>
    </row>
    <row r="99" spans="1:34">
      <c r="A99" s="43">
        <f>IF(B99="","",PropertyPrefix&amp;TEXT(ROW()-4,"0000"))</f>
        <v>0</v>
      </c>
      <c r="D99" s="23">
        <f>IF(C99="","",IFERROR(INDEX(Clients!$B$5:$B$204,MATCH(C99,Clients!$A$5:$A$204,0)),"Not found"))</f>
        <v>0</v>
      </c>
      <c r="W99" s="34">
        <f>IF(B99="","",MAX(IF(H99="",0,H99)*0.45+IF(I99="",0,I99)*0.6+IF(J99="",0,J99)*0.3,IF(G99="",0,G99)/650))</f>
        <v>0</v>
      </c>
      <c r="X99" s="34">
        <f>IF(B99="","",ROUND(MAX(1,W99)*IFERROR(INDEX(ConditionFactors,MATCH(L99,ConditionNames,0)),1),2))</f>
        <v>0</v>
      </c>
      <c r="Y99" s="34">
        <f>IF(B99="","",ROUND(X99/MAX(1,CleanersPerJob),2))</f>
        <v>0</v>
      </c>
      <c r="Z99" s="21">
        <f>IF(B99="","",MAX(MinimumCharge,ROUND(X99*IF(IFERROR(INDEX(Clients!$O$5:$O$204,MATCH(C99,Clients!$A$5:$A$204,0)),0)&gt;0,INDEX(Clients!$O$5:$O$204,MATCH(C99,Clients!$A$5:$A$204,0)),HourlyRate)+IF(M99="",0,IF(M99="None",0,PetSurcharge)),2)))</f>
        <v>0</v>
      </c>
      <c r="AA99" s="21">
        <f>IF(B99="","",ROUND(X99*CostPerHour,2))</f>
        <v>0</v>
      </c>
      <c r="AB99" s="38">
        <f>IF(B99="","",IF(Z99=0,"",(Z99-AA99-X99*SuppliesPerHour)/Z99))</f>
        <v>0</v>
      </c>
      <c r="AC99" s="31">
        <f>IF(A99="","",COUNTIFS(Jobs!$J$5:$J$604,A99))</f>
        <v>0</v>
      </c>
      <c r="AD99" s="18">
        <f>IF(A99="","",IF(SUMPRODUCT(MAX((Jobs!$J$5:$J$604=A99)*((Jobs!$P$5:$P$604="Completed")+(Jobs!$P$5:$P$604="Invoiced"))*Jobs!$B$5:$B$604))=0,"",SUMPRODUCT(MAX((Jobs!$J$5:$J$604=A99)*((Jobs!$P$5:$P$604="Completed")+(Jobs!$P$5:$P$604="Invoiced"))*Jobs!$B$5:$B$604))))</f>
        <v>0</v>
      </c>
      <c r="AE99" s="34">
        <f>IF(A99="","",IFERROR(AVERAGEIFS(Jobs!$AK$5:$AK$604,Jobs!$J$5:$J$604,A99,Jobs!$AK$5:$AK$604,"&gt;0"),""))</f>
        <v>0</v>
      </c>
      <c r="AF99" s="34">
        <f>IF(OR(AE99="",X99=""),"",AE99-X99)</f>
        <v>0</v>
      </c>
      <c r="AG99" s="21">
        <f>IF(A99="","",SUMIFS(Jobs!$AJ$5:$AJ$604,Jobs!$J$5:$J$604,A99,Jobs!$P$5:$P$604,"Invoiced")+SUMIFS(Jobs!$AJ$5:$AJ$604,Jobs!$J$5:$J$604,A99,Jobs!$P$5:$P$604,"Completed"))</f>
        <v>0</v>
      </c>
      <c r="AH99" s="39">
        <f>IF(B99="","",IF(C99="","Add - no client linked",IF(IFERROR(INDEX(Clients!$B$5:$B$204,MATCH(C99,Clients!$A$5:$A$204,0)),"")="","Check - client ID not found",IF(AND(G99="",H99=""),"Add - size needed to price it",IF(AND(AF99&lt;&gt;"",AF99&gt;0.5),"Check - runs over the estimate",IF(N99="","Add - how do we get in?","OK"))))))</f>
        <v>0</v>
      </c>
    </row>
    <row r="100" spans="1:34">
      <c r="A100" s="43">
        <f>IF(B100="","",PropertyPrefix&amp;TEXT(ROW()-4,"0000"))</f>
        <v>0</v>
      </c>
      <c r="D100" s="23">
        <f>IF(C100="","",IFERROR(INDEX(Clients!$B$5:$B$204,MATCH(C100,Clients!$A$5:$A$204,0)),"Not found"))</f>
        <v>0</v>
      </c>
      <c r="W100" s="34">
        <f>IF(B100="","",MAX(IF(H100="",0,H100)*0.45+IF(I100="",0,I100)*0.6+IF(J100="",0,J100)*0.3,IF(G100="",0,G100)/650))</f>
        <v>0</v>
      </c>
      <c r="X100" s="34">
        <f>IF(B100="","",ROUND(MAX(1,W100)*IFERROR(INDEX(ConditionFactors,MATCH(L100,ConditionNames,0)),1),2))</f>
        <v>0</v>
      </c>
      <c r="Y100" s="34">
        <f>IF(B100="","",ROUND(X100/MAX(1,CleanersPerJob),2))</f>
        <v>0</v>
      </c>
      <c r="Z100" s="21">
        <f>IF(B100="","",MAX(MinimumCharge,ROUND(X100*IF(IFERROR(INDEX(Clients!$O$5:$O$204,MATCH(C100,Clients!$A$5:$A$204,0)),0)&gt;0,INDEX(Clients!$O$5:$O$204,MATCH(C100,Clients!$A$5:$A$204,0)),HourlyRate)+IF(M100="",0,IF(M100="None",0,PetSurcharge)),2)))</f>
        <v>0</v>
      </c>
      <c r="AA100" s="21">
        <f>IF(B100="","",ROUND(X100*CostPerHour,2))</f>
        <v>0</v>
      </c>
      <c r="AB100" s="38">
        <f>IF(B100="","",IF(Z100=0,"",(Z100-AA100-X100*SuppliesPerHour)/Z100))</f>
        <v>0</v>
      </c>
      <c r="AC100" s="31">
        <f>IF(A100="","",COUNTIFS(Jobs!$J$5:$J$604,A100))</f>
        <v>0</v>
      </c>
      <c r="AD100" s="18">
        <f>IF(A100="","",IF(SUMPRODUCT(MAX((Jobs!$J$5:$J$604=A100)*((Jobs!$P$5:$P$604="Completed")+(Jobs!$P$5:$P$604="Invoiced"))*Jobs!$B$5:$B$604))=0,"",SUMPRODUCT(MAX((Jobs!$J$5:$J$604=A100)*((Jobs!$P$5:$P$604="Completed")+(Jobs!$P$5:$P$604="Invoiced"))*Jobs!$B$5:$B$604))))</f>
        <v>0</v>
      </c>
      <c r="AE100" s="34">
        <f>IF(A100="","",IFERROR(AVERAGEIFS(Jobs!$AK$5:$AK$604,Jobs!$J$5:$J$604,A100,Jobs!$AK$5:$AK$604,"&gt;0"),""))</f>
        <v>0</v>
      </c>
      <c r="AF100" s="34">
        <f>IF(OR(AE100="",X100=""),"",AE100-X100)</f>
        <v>0</v>
      </c>
      <c r="AG100" s="21">
        <f>IF(A100="","",SUMIFS(Jobs!$AJ$5:$AJ$604,Jobs!$J$5:$J$604,A100,Jobs!$P$5:$P$604,"Invoiced")+SUMIFS(Jobs!$AJ$5:$AJ$604,Jobs!$J$5:$J$604,A100,Jobs!$P$5:$P$604,"Completed"))</f>
        <v>0</v>
      </c>
      <c r="AH100" s="39">
        <f>IF(B100="","",IF(C100="","Add - no client linked",IF(IFERROR(INDEX(Clients!$B$5:$B$204,MATCH(C100,Clients!$A$5:$A$204,0)),"")="","Check - client ID not found",IF(AND(G100="",H100=""),"Add - size needed to price it",IF(AND(AF100&lt;&gt;"",AF100&gt;0.5),"Check - runs over the estimate",IF(N100="","Add - how do we get in?","OK"))))))</f>
        <v>0</v>
      </c>
    </row>
    <row r="101" spans="1:34">
      <c r="A101" s="43">
        <f>IF(B101="","",PropertyPrefix&amp;TEXT(ROW()-4,"0000"))</f>
        <v>0</v>
      </c>
      <c r="D101" s="23">
        <f>IF(C101="","",IFERROR(INDEX(Clients!$B$5:$B$204,MATCH(C101,Clients!$A$5:$A$204,0)),"Not found"))</f>
        <v>0</v>
      </c>
      <c r="W101" s="34">
        <f>IF(B101="","",MAX(IF(H101="",0,H101)*0.45+IF(I101="",0,I101)*0.6+IF(J101="",0,J101)*0.3,IF(G101="",0,G101)/650))</f>
        <v>0</v>
      </c>
      <c r="X101" s="34">
        <f>IF(B101="","",ROUND(MAX(1,W101)*IFERROR(INDEX(ConditionFactors,MATCH(L101,ConditionNames,0)),1),2))</f>
        <v>0</v>
      </c>
      <c r="Y101" s="34">
        <f>IF(B101="","",ROUND(X101/MAX(1,CleanersPerJob),2))</f>
        <v>0</v>
      </c>
      <c r="Z101" s="21">
        <f>IF(B101="","",MAX(MinimumCharge,ROUND(X101*IF(IFERROR(INDEX(Clients!$O$5:$O$204,MATCH(C101,Clients!$A$5:$A$204,0)),0)&gt;0,INDEX(Clients!$O$5:$O$204,MATCH(C101,Clients!$A$5:$A$204,0)),HourlyRate)+IF(M101="",0,IF(M101="None",0,PetSurcharge)),2)))</f>
        <v>0</v>
      </c>
      <c r="AA101" s="21">
        <f>IF(B101="","",ROUND(X101*CostPerHour,2))</f>
        <v>0</v>
      </c>
      <c r="AB101" s="38">
        <f>IF(B101="","",IF(Z101=0,"",(Z101-AA101-X101*SuppliesPerHour)/Z101))</f>
        <v>0</v>
      </c>
      <c r="AC101" s="31">
        <f>IF(A101="","",COUNTIFS(Jobs!$J$5:$J$604,A101))</f>
        <v>0</v>
      </c>
      <c r="AD101" s="18">
        <f>IF(A101="","",IF(SUMPRODUCT(MAX((Jobs!$J$5:$J$604=A101)*((Jobs!$P$5:$P$604="Completed")+(Jobs!$P$5:$P$604="Invoiced"))*Jobs!$B$5:$B$604))=0,"",SUMPRODUCT(MAX((Jobs!$J$5:$J$604=A101)*((Jobs!$P$5:$P$604="Completed")+(Jobs!$P$5:$P$604="Invoiced"))*Jobs!$B$5:$B$604))))</f>
        <v>0</v>
      </c>
      <c r="AE101" s="34">
        <f>IF(A101="","",IFERROR(AVERAGEIFS(Jobs!$AK$5:$AK$604,Jobs!$J$5:$J$604,A101,Jobs!$AK$5:$AK$604,"&gt;0"),""))</f>
        <v>0</v>
      </c>
      <c r="AF101" s="34">
        <f>IF(OR(AE101="",X101=""),"",AE101-X101)</f>
        <v>0</v>
      </c>
      <c r="AG101" s="21">
        <f>IF(A101="","",SUMIFS(Jobs!$AJ$5:$AJ$604,Jobs!$J$5:$J$604,A101,Jobs!$P$5:$P$604,"Invoiced")+SUMIFS(Jobs!$AJ$5:$AJ$604,Jobs!$J$5:$J$604,A101,Jobs!$P$5:$P$604,"Completed"))</f>
        <v>0</v>
      </c>
      <c r="AH101" s="39">
        <f>IF(B101="","",IF(C101="","Add - no client linked",IF(IFERROR(INDEX(Clients!$B$5:$B$204,MATCH(C101,Clients!$A$5:$A$204,0)),"")="","Check - client ID not found",IF(AND(G101="",H101=""),"Add - size needed to price it",IF(AND(AF101&lt;&gt;"",AF101&gt;0.5),"Check - runs over the estimate",IF(N101="","Add - how do we get in?","OK"))))))</f>
        <v>0</v>
      </c>
    </row>
    <row r="102" spans="1:34">
      <c r="A102" s="43">
        <f>IF(B102="","",PropertyPrefix&amp;TEXT(ROW()-4,"0000"))</f>
        <v>0</v>
      </c>
      <c r="D102" s="23">
        <f>IF(C102="","",IFERROR(INDEX(Clients!$B$5:$B$204,MATCH(C102,Clients!$A$5:$A$204,0)),"Not found"))</f>
        <v>0</v>
      </c>
      <c r="W102" s="34">
        <f>IF(B102="","",MAX(IF(H102="",0,H102)*0.45+IF(I102="",0,I102)*0.6+IF(J102="",0,J102)*0.3,IF(G102="",0,G102)/650))</f>
        <v>0</v>
      </c>
      <c r="X102" s="34">
        <f>IF(B102="","",ROUND(MAX(1,W102)*IFERROR(INDEX(ConditionFactors,MATCH(L102,ConditionNames,0)),1),2))</f>
        <v>0</v>
      </c>
      <c r="Y102" s="34">
        <f>IF(B102="","",ROUND(X102/MAX(1,CleanersPerJob),2))</f>
        <v>0</v>
      </c>
      <c r="Z102" s="21">
        <f>IF(B102="","",MAX(MinimumCharge,ROUND(X102*IF(IFERROR(INDEX(Clients!$O$5:$O$204,MATCH(C102,Clients!$A$5:$A$204,0)),0)&gt;0,INDEX(Clients!$O$5:$O$204,MATCH(C102,Clients!$A$5:$A$204,0)),HourlyRate)+IF(M102="",0,IF(M102="None",0,PetSurcharge)),2)))</f>
        <v>0</v>
      </c>
      <c r="AA102" s="21">
        <f>IF(B102="","",ROUND(X102*CostPerHour,2))</f>
        <v>0</v>
      </c>
      <c r="AB102" s="38">
        <f>IF(B102="","",IF(Z102=0,"",(Z102-AA102-X102*SuppliesPerHour)/Z102))</f>
        <v>0</v>
      </c>
      <c r="AC102" s="31">
        <f>IF(A102="","",COUNTIFS(Jobs!$J$5:$J$604,A102))</f>
        <v>0</v>
      </c>
      <c r="AD102" s="18">
        <f>IF(A102="","",IF(SUMPRODUCT(MAX((Jobs!$J$5:$J$604=A102)*((Jobs!$P$5:$P$604="Completed")+(Jobs!$P$5:$P$604="Invoiced"))*Jobs!$B$5:$B$604))=0,"",SUMPRODUCT(MAX((Jobs!$J$5:$J$604=A102)*((Jobs!$P$5:$P$604="Completed")+(Jobs!$P$5:$P$604="Invoiced"))*Jobs!$B$5:$B$604))))</f>
        <v>0</v>
      </c>
      <c r="AE102" s="34">
        <f>IF(A102="","",IFERROR(AVERAGEIFS(Jobs!$AK$5:$AK$604,Jobs!$J$5:$J$604,A102,Jobs!$AK$5:$AK$604,"&gt;0"),""))</f>
        <v>0</v>
      </c>
      <c r="AF102" s="34">
        <f>IF(OR(AE102="",X102=""),"",AE102-X102)</f>
        <v>0</v>
      </c>
      <c r="AG102" s="21">
        <f>IF(A102="","",SUMIFS(Jobs!$AJ$5:$AJ$604,Jobs!$J$5:$J$604,A102,Jobs!$P$5:$P$604,"Invoiced")+SUMIFS(Jobs!$AJ$5:$AJ$604,Jobs!$J$5:$J$604,A102,Jobs!$P$5:$P$604,"Completed"))</f>
        <v>0</v>
      </c>
      <c r="AH102" s="39">
        <f>IF(B102="","",IF(C102="","Add - no client linked",IF(IFERROR(INDEX(Clients!$B$5:$B$204,MATCH(C102,Clients!$A$5:$A$204,0)),"")="","Check - client ID not found",IF(AND(G102="",H102=""),"Add - size needed to price it",IF(AND(AF102&lt;&gt;"",AF102&gt;0.5),"Check - runs over the estimate",IF(N102="","Add - how do we get in?","OK"))))))</f>
        <v>0</v>
      </c>
    </row>
    <row r="103" spans="1:34">
      <c r="A103" s="43">
        <f>IF(B103="","",PropertyPrefix&amp;TEXT(ROW()-4,"0000"))</f>
        <v>0</v>
      </c>
      <c r="D103" s="23">
        <f>IF(C103="","",IFERROR(INDEX(Clients!$B$5:$B$204,MATCH(C103,Clients!$A$5:$A$204,0)),"Not found"))</f>
        <v>0</v>
      </c>
      <c r="W103" s="34">
        <f>IF(B103="","",MAX(IF(H103="",0,H103)*0.45+IF(I103="",0,I103)*0.6+IF(J103="",0,J103)*0.3,IF(G103="",0,G103)/650))</f>
        <v>0</v>
      </c>
      <c r="X103" s="34">
        <f>IF(B103="","",ROUND(MAX(1,W103)*IFERROR(INDEX(ConditionFactors,MATCH(L103,ConditionNames,0)),1),2))</f>
        <v>0</v>
      </c>
      <c r="Y103" s="34">
        <f>IF(B103="","",ROUND(X103/MAX(1,CleanersPerJob),2))</f>
        <v>0</v>
      </c>
      <c r="Z103" s="21">
        <f>IF(B103="","",MAX(MinimumCharge,ROUND(X103*IF(IFERROR(INDEX(Clients!$O$5:$O$204,MATCH(C103,Clients!$A$5:$A$204,0)),0)&gt;0,INDEX(Clients!$O$5:$O$204,MATCH(C103,Clients!$A$5:$A$204,0)),HourlyRate)+IF(M103="",0,IF(M103="None",0,PetSurcharge)),2)))</f>
        <v>0</v>
      </c>
      <c r="AA103" s="21">
        <f>IF(B103="","",ROUND(X103*CostPerHour,2))</f>
        <v>0</v>
      </c>
      <c r="AB103" s="38">
        <f>IF(B103="","",IF(Z103=0,"",(Z103-AA103-X103*SuppliesPerHour)/Z103))</f>
        <v>0</v>
      </c>
      <c r="AC103" s="31">
        <f>IF(A103="","",COUNTIFS(Jobs!$J$5:$J$604,A103))</f>
        <v>0</v>
      </c>
      <c r="AD103" s="18">
        <f>IF(A103="","",IF(SUMPRODUCT(MAX((Jobs!$J$5:$J$604=A103)*((Jobs!$P$5:$P$604="Completed")+(Jobs!$P$5:$P$604="Invoiced"))*Jobs!$B$5:$B$604))=0,"",SUMPRODUCT(MAX((Jobs!$J$5:$J$604=A103)*((Jobs!$P$5:$P$604="Completed")+(Jobs!$P$5:$P$604="Invoiced"))*Jobs!$B$5:$B$604))))</f>
        <v>0</v>
      </c>
      <c r="AE103" s="34">
        <f>IF(A103="","",IFERROR(AVERAGEIFS(Jobs!$AK$5:$AK$604,Jobs!$J$5:$J$604,A103,Jobs!$AK$5:$AK$604,"&gt;0"),""))</f>
        <v>0</v>
      </c>
      <c r="AF103" s="34">
        <f>IF(OR(AE103="",X103=""),"",AE103-X103)</f>
        <v>0</v>
      </c>
      <c r="AG103" s="21">
        <f>IF(A103="","",SUMIFS(Jobs!$AJ$5:$AJ$604,Jobs!$J$5:$J$604,A103,Jobs!$P$5:$P$604,"Invoiced")+SUMIFS(Jobs!$AJ$5:$AJ$604,Jobs!$J$5:$J$604,A103,Jobs!$P$5:$P$604,"Completed"))</f>
        <v>0</v>
      </c>
      <c r="AH103" s="39">
        <f>IF(B103="","",IF(C103="","Add - no client linked",IF(IFERROR(INDEX(Clients!$B$5:$B$204,MATCH(C103,Clients!$A$5:$A$204,0)),"")="","Check - client ID not found",IF(AND(G103="",H103=""),"Add - size needed to price it",IF(AND(AF103&lt;&gt;"",AF103&gt;0.5),"Check - runs over the estimate",IF(N103="","Add - how do we get in?","OK"))))))</f>
        <v>0</v>
      </c>
    </row>
    <row r="104" spans="1:34">
      <c r="A104" s="43">
        <f>IF(B104="","",PropertyPrefix&amp;TEXT(ROW()-4,"0000"))</f>
        <v>0</v>
      </c>
      <c r="D104" s="23">
        <f>IF(C104="","",IFERROR(INDEX(Clients!$B$5:$B$204,MATCH(C104,Clients!$A$5:$A$204,0)),"Not found"))</f>
        <v>0</v>
      </c>
      <c r="W104" s="34">
        <f>IF(B104="","",MAX(IF(H104="",0,H104)*0.45+IF(I104="",0,I104)*0.6+IF(J104="",0,J104)*0.3,IF(G104="",0,G104)/650))</f>
        <v>0</v>
      </c>
      <c r="X104" s="34">
        <f>IF(B104="","",ROUND(MAX(1,W104)*IFERROR(INDEX(ConditionFactors,MATCH(L104,ConditionNames,0)),1),2))</f>
        <v>0</v>
      </c>
      <c r="Y104" s="34">
        <f>IF(B104="","",ROUND(X104/MAX(1,CleanersPerJob),2))</f>
        <v>0</v>
      </c>
      <c r="Z104" s="21">
        <f>IF(B104="","",MAX(MinimumCharge,ROUND(X104*IF(IFERROR(INDEX(Clients!$O$5:$O$204,MATCH(C104,Clients!$A$5:$A$204,0)),0)&gt;0,INDEX(Clients!$O$5:$O$204,MATCH(C104,Clients!$A$5:$A$204,0)),HourlyRate)+IF(M104="",0,IF(M104="None",0,PetSurcharge)),2)))</f>
        <v>0</v>
      </c>
      <c r="AA104" s="21">
        <f>IF(B104="","",ROUND(X104*CostPerHour,2))</f>
        <v>0</v>
      </c>
      <c r="AB104" s="38">
        <f>IF(B104="","",IF(Z104=0,"",(Z104-AA104-X104*SuppliesPerHour)/Z104))</f>
        <v>0</v>
      </c>
      <c r="AC104" s="31">
        <f>IF(A104="","",COUNTIFS(Jobs!$J$5:$J$604,A104))</f>
        <v>0</v>
      </c>
      <c r="AD104" s="18">
        <f>IF(A104="","",IF(SUMPRODUCT(MAX((Jobs!$J$5:$J$604=A104)*((Jobs!$P$5:$P$604="Completed")+(Jobs!$P$5:$P$604="Invoiced"))*Jobs!$B$5:$B$604))=0,"",SUMPRODUCT(MAX((Jobs!$J$5:$J$604=A104)*((Jobs!$P$5:$P$604="Completed")+(Jobs!$P$5:$P$604="Invoiced"))*Jobs!$B$5:$B$604))))</f>
        <v>0</v>
      </c>
      <c r="AE104" s="34">
        <f>IF(A104="","",IFERROR(AVERAGEIFS(Jobs!$AK$5:$AK$604,Jobs!$J$5:$J$604,A104,Jobs!$AK$5:$AK$604,"&gt;0"),""))</f>
        <v>0</v>
      </c>
      <c r="AF104" s="34">
        <f>IF(OR(AE104="",X104=""),"",AE104-X104)</f>
        <v>0</v>
      </c>
      <c r="AG104" s="21">
        <f>IF(A104="","",SUMIFS(Jobs!$AJ$5:$AJ$604,Jobs!$J$5:$J$604,A104,Jobs!$P$5:$P$604,"Invoiced")+SUMIFS(Jobs!$AJ$5:$AJ$604,Jobs!$J$5:$J$604,A104,Jobs!$P$5:$P$604,"Completed"))</f>
        <v>0</v>
      </c>
      <c r="AH104" s="39">
        <f>IF(B104="","",IF(C104="","Add - no client linked",IF(IFERROR(INDEX(Clients!$B$5:$B$204,MATCH(C104,Clients!$A$5:$A$204,0)),"")="","Check - client ID not found",IF(AND(G104="",H104=""),"Add - size needed to price it",IF(AND(AF104&lt;&gt;"",AF104&gt;0.5),"Check - runs over the estimate",IF(N104="","Add - how do we get in?","OK"))))))</f>
        <v>0</v>
      </c>
    </row>
    <row r="105" spans="1:34">
      <c r="A105" s="43">
        <f>IF(B105="","",PropertyPrefix&amp;TEXT(ROW()-4,"0000"))</f>
        <v>0</v>
      </c>
      <c r="D105" s="23">
        <f>IF(C105="","",IFERROR(INDEX(Clients!$B$5:$B$204,MATCH(C105,Clients!$A$5:$A$204,0)),"Not found"))</f>
        <v>0</v>
      </c>
      <c r="W105" s="34">
        <f>IF(B105="","",MAX(IF(H105="",0,H105)*0.45+IF(I105="",0,I105)*0.6+IF(J105="",0,J105)*0.3,IF(G105="",0,G105)/650))</f>
        <v>0</v>
      </c>
      <c r="X105" s="34">
        <f>IF(B105="","",ROUND(MAX(1,W105)*IFERROR(INDEX(ConditionFactors,MATCH(L105,ConditionNames,0)),1),2))</f>
        <v>0</v>
      </c>
      <c r="Y105" s="34">
        <f>IF(B105="","",ROUND(X105/MAX(1,CleanersPerJob),2))</f>
        <v>0</v>
      </c>
      <c r="Z105" s="21">
        <f>IF(B105="","",MAX(MinimumCharge,ROUND(X105*IF(IFERROR(INDEX(Clients!$O$5:$O$204,MATCH(C105,Clients!$A$5:$A$204,0)),0)&gt;0,INDEX(Clients!$O$5:$O$204,MATCH(C105,Clients!$A$5:$A$204,0)),HourlyRate)+IF(M105="",0,IF(M105="None",0,PetSurcharge)),2)))</f>
        <v>0</v>
      </c>
      <c r="AA105" s="21">
        <f>IF(B105="","",ROUND(X105*CostPerHour,2))</f>
        <v>0</v>
      </c>
      <c r="AB105" s="38">
        <f>IF(B105="","",IF(Z105=0,"",(Z105-AA105-X105*SuppliesPerHour)/Z105))</f>
        <v>0</v>
      </c>
      <c r="AC105" s="31">
        <f>IF(A105="","",COUNTIFS(Jobs!$J$5:$J$604,A105))</f>
        <v>0</v>
      </c>
      <c r="AD105" s="18">
        <f>IF(A105="","",IF(SUMPRODUCT(MAX((Jobs!$J$5:$J$604=A105)*((Jobs!$P$5:$P$604="Completed")+(Jobs!$P$5:$P$604="Invoiced"))*Jobs!$B$5:$B$604))=0,"",SUMPRODUCT(MAX((Jobs!$J$5:$J$604=A105)*((Jobs!$P$5:$P$604="Completed")+(Jobs!$P$5:$P$604="Invoiced"))*Jobs!$B$5:$B$604))))</f>
        <v>0</v>
      </c>
      <c r="AE105" s="34">
        <f>IF(A105="","",IFERROR(AVERAGEIFS(Jobs!$AK$5:$AK$604,Jobs!$J$5:$J$604,A105,Jobs!$AK$5:$AK$604,"&gt;0"),""))</f>
        <v>0</v>
      </c>
      <c r="AF105" s="34">
        <f>IF(OR(AE105="",X105=""),"",AE105-X105)</f>
        <v>0</v>
      </c>
      <c r="AG105" s="21">
        <f>IF(A105="","",SUMIFS(Jobs!$AJ$5:$AJ$604,Jobs!$J$5:$J$604,A105,Jobs!$P$5:$P$604,"Invoiced")+SUMIFS(Jobs!$AJ$5:$AJ$604,Jobs!$J$5:$J$604,A105,Jobs!$P$5:$P$604,"Completed"))</f>
        <v>0</v>
      </c>
      <c r="AH105" s="39">
        <f>IF(B105="","",IF(C105="","Add - no client linked",IF(IFERROR(INDEX(Clients!$B$5:$B$204,MATCH(C105,Clients!$A$5:$A$204,0)),"")="","Check - client ID not found",IF(AND(G105="",H105=""),"Add - size needed to price it",IF(AND(AF105&lt;&gt;"",AF105&gt;0.5),"Check - runs over the estimate",IF(N105="","Add - how do we get in?","OK"))))))</f>
        <v>0</v>
      </c>
    </row>
    <row r="106" spans="1:34">
      <c r="A106" s="43">
        <f>IF(B106="","",PropertyPrefix&amp;TEXT(ROW()-4,"0000"))</f>
        <v>0</v>
      </c>
      <c r="D106" s="23">
        <f>IF(C106="","",IFERROR(INDEX(Clients!$B$5:$B$204,MATCH(C106,Clients!$A$5:$A$204,0)),"Not found"))</f>
        <v>0</v>
      </c>
      <c r="W106" s="34">
        <f>IF(B106="","",MAX(IF(H106="",0,H106)*0.45+IF(I106="",0,I106)*0.6+IF(J106="",0,J106)*0.3,IF(G106="",0,G106)/650))</f>
        <v>0</v>
      </c>
      <c r="X106" s="34">
        <f>IF(B106="","",ROUND(MAX(1,W106)*IFERROR(INDEX(ConditionFactors,MATCH(L106,ConditionNames,0)),1),2))</f>
        <v>0</v>
      </c>
      <c r="Y106" s="34">
        <f>IF(B106="","",ROUND(X106/MAX(1,CleanersPerJob),2))</f>
        <v>0</v>
      </c>
      <c r="Z106" s="21">
        <f>IF(B106="","",MAX(MinimumCharge,ROUND(X106*IF(IFERROR(INDEX(Clients!$O$5:$O$204,MATCH(C106,Clients!$A$5:$A$204,0)),0)&gt;0,INDEX(Clients!$O$5:$O$204,MATCH(C106,Clients!$A$5:$A$204,0)),HourlyRate)+IF(M106="",0,IF(M106="None",0,PetSurcharge)),2)))</f>
        <v>0</v>
      </c>
      <c r="AA106" s="21">
        <f>IF(B106="","",ROUND(X106*CostPerHour,2))</f>
        <v>0</v>
      </c>
      <c r="AB106" s="38">
        <f>IF(B106="","",IF(Z106=0,"",(Z106-AA106-X106*SuppliesPerHour)/Z106))</f>
        <v>0</v>
      </c>
      <c r="AC106" s="31">
        <f>IF(A106="","",COUNTIFS(Jobs!$J$5:$J$604,A106))</f>
        <v>0</v>
      </c>
      <c r="AD106" s="18">
        <f>IF(A106="","",IF(SUMPRODUCT(MAX((Jobs!$J$5:$J$604=A106)*((Jobs!$P$5:$P$604="Completed")+(Jobs!$P$5:$P$604="Invoiced"))*Jobs!$B$5:$B$604))=0,"",SUMPRODUCT(MAX((Jobs!$J$5:$J$604=A106)*((Jobs!$P$5:$P$604="Completed")+(Jobs!$P$5:$P$604="Invoiced"))*Jobs!$B$5:$B$604))))</f>
        <v>0</v>
      </c>
      <c r="AE106" s="34">
        <f>IF(A106="","",IFERROR(AVERAGEIFS(Jobs!$AK$5:$AK$604,Jobs!$J$5:$J$604,A106,Jobs!$AK$5:$AK$604,"&gt;0"),""))</f>
        <v>0</v>
      </c>
      <c r="AF106" s="34">
        <f>IF(OR(AE106="",X106=""),"",AE106-X106)</f>
        <v>0</v>
      </c>
      <c r="AG106" s="21">
        <f>IF(A106="","",SUMIFS(Jobs!$AJ$5:$AJ$604,Jobs!$J$5:$J$604,A106,Jobs!$P$5:$P$604,"Invoiced")+SUMIFS(Jobs!$AJ$5:$AJ$604,Jobs!$J$5:$J$604,A106,Jobs!$P$5:$P$604,"Completed"))</f>
        <v>0</v>
      </c>
      <c r="AH106" s="39">
        <f>IF(B106="","",IF(C106="","Add - no client linked",IF(IFERROR(INDEX(Clients!$B$5:$B$204,MATCH(C106,Clients!$A$5:$A$204,0)),"")="","Check - client ID not found",IF(AND(G106="",H106=""),"Add - size needed to price it",IF(AND(AF106&lt;&gt;"",AF106&gt;0.5),"Check - runs over the estimate",IF(N106="","Add - how do we get in?","OK"))))))</f>
        <v>0</v>
      </c>
    </row>
    <row r="107" spans="1:34">
      <c r="A107" s="43">
        <f>IF(B107="","",PropertyPrefix&amp;TEXT(ROW()-4,"0000"))</f>
        <v>0</v>
      </c>
      <c r="D107" s="23">
        <f>IF(C107="","",IFERROR(INDEX(Clients!$B$5:$B$204,MATCH(C107,Clients!$A$5:$A$204,0)),"Not found"))</f>
        <v>0</v>
      </c>
      <c r="W107" s="34">
        <f>IF(B107="","",MAX(IF(H107="",0,H107)*0.45+IF(I107="",0,I107)*0.6+IF(J107="",0,J107)*0.3,IF(G107="",0,G107)/650))</f>
        <v>0</v>
      </c>
      <c r="X107" s="34">
        <f>IF(B107="","",ROUND(MAX(1,W107)*IFERROR(INDEX(ConditionFactors,MATCH(L107,ConditionNames,0)),1),2))</f>
        <v>0</v>
      </c>
      <c r="Y107" s="34">
        <f>IF(B107="","",ROUND(X107/MAX(1,CleanersPerJob),2))</f>
        <v>0</v>
      </c>
      <c r="Z107" s="21">
        <f>IF(B107="","",MAX(MinimumCharge,ROUND(X107*IF(IFERROR(INDEX(Clients!$O$5:$O$204,MATCH(C107,Clients!$A$5:$A$204,0)),0)&gt;0,INDEX(Clients!$O$5:$O$204,MATCH(C107,Clients!$A$5:$A$204,0)),HourlyRate)+IF(M107="",0,IF(M107="None",0,PetSurcharge)),2)))</f>
        <v>0</v>
      </c>
      <c r="AA107" s="21">
        <f>IF(B107="","",ROUND(X107*CostPerHour,2))</f>
        <v>0</v>
      </c>
      <c r="AB107" s="38">
        <f>IF(B107="","",IF(Z107=0,"",(Z107-AA107-X107*SuppliesPerHour)/Z107))</f>
        <v>0</v>
      </c>
      <c r="AC107" s="31">
        <f>IF(A107="","",COUNTIFS(Jobs!$J$5:$J$604,A107))</f>
        <v>0</v>
      </c>
      <c r="AD107" s="18">
        <f>IF(A107="","",IF(SUMPRODUCT(MAX((Jobs!$J$5:$J$604=A107)*((Jobs!$P$5:$P$604="Completed")+(Jobs!$P$5:$P$604="Invoiced"))*Jobs!$B$5:$B$604))=0,"",SUMPRODUCT(MAX((Jobs!$J$5:$J$604=A107)*((Jobs!$P$5:$P$604="Completed")+(Jobs!$P$5:$P$604="Invoiced"))*Jobs!$B$5:$B$604))))</f>
        <v>0</v>
      </c>
      <c r="AE107" s="34">
        <f>IF(A107="","",IFERROR(AVERAGEIFS(Jobs!$AK$5:$AK$604,Jobs!$J$5:$J$604,A107,Jobs!$AK$5:$AK$604,"&gt;0"),""))</f>
        <v>0</v>
      </c>
      <c r="AF107" s="34">
        <f>IF(OR(AE107="",X107=""),"",AE107-X107)</f>
        <v>0</v>
      </c>
      <c r="AG107" s="21">
        <f>IF(A107="","",SUMIFS(Jobs!$AJ$5:$AJ$604,Jobs!$J$5:$J$604,A107,Jobs!$P$5:$P$604,"Invoiced")+SUMIFS(Jobs!$AJ$5:$AJ$604,Jobs!$J$5:$J$604,A107,Jobs!$P$5:$P$604,"Completed"))</f>
        <v>0</v>
      </c>
      <c r="AH107" s="39">
        <f>IF(B107="","",IF(C107="","Add - no client linked",IF(IFERROR(INDEX(Clients!$B$5:$B$204,MATCH(C107,Clients!$A$5:$A$204,0)),"")="","Check - client ID not found",IF(AND(G107="",H107=""),"Add - size needed to price it",IF(AND(AF107&lt;&gt;"",AF107&gt;0.5),"Check - runs over the estimate",IF(N107="","Add - how do we get in?","OK"))))))</f>
        <v>0</v>
      </c>
    </row>
    <row r="108" spans="1:34">
      <c r="A108" s="43">
        <f>IF(B108="","",PropertyPrefix&amp;TEXT(ROW()-4,"0000"))</f>
        <v>0</v>
      </c>
      <c r="D108" s="23">
        <f>IF(C108="","",IFERROR(INDEX(Clients!$B$5:$B$204,MATCH(C108,Clients!$A$5:$A$204,0)),"Not found"))</f>
        <v>0</v>
      </c>
      <c r="W108" s="34">
        <f>IF(B108="","",MAX(IF(H108="",0,H108)*0.45+IF(I108="",0,I108)*0.6+IF(J108="",0,J108)*0.3,IF(G108="",0,G108)/650))</f>
        <v>0</v>
      </c>
      <c r="X108" s="34">
        <f>IF(B108="","",ROUND(MAX(1,W108)*IFERROR(INDEX(ConditionFactors,MATCH(L108,ConditionNames,0)),1),2))</f>
        <v>0</v>
      </c>
      <c r="Y108" s="34">
        <f>IF(B108="","",ROUND(X108/MAX(1,CleanersPerJob),2))</f>
        <v>0</v>
      </c>
      <c r="Z108" s="21">
        <f>IF(B108="","",MAX(MinimumCharge,ROUND(X108*IF(IFERROR(INDEX(Clients!$O$5:$O$204,MATCH(C108,Clients!$A$5:$A$204,0)),0)&gt;0,INDEX(Clients!$O$5:$O$204,MATCH(C108,Clients!$A$5:$A$204,0)),HourlyRate)+IF(M108="",0,IF(M108="None",0,PetSurcharge)),2)))</f>
        <v>0</v>
      </c>
      <c r="AA108" s="21">
        <f>IF(B108="","",ROUND(X108*CostPerHour,2))</f>
        <v>0</v>
      </c>
      <c r="AB108" s="38">
        <f>IF(B108="","",IF(Z108=0,"",(Z108-AA108-X108*SuppliesPerHour)/Z108))</f>
        <v>0</v>
      </c>
      <c r="AC108" s="31">
        <f>IF(A108="","",COUNTIFS(Jobs!$J$5:$J$604,A108))</f>
        <v>0</v>
      </c>
      <c r="AD108" s="18">
        <f>IF(A108="","",IF(SUMPRODUCT(MAX((Jobs!$J$5:$J$604=A108)*((Jobs!$P$5:$P$604="Completed")+(Jobs!$P$5:$P$604="Invoiced"))*Jobs!$B$5:$B$604))=0,"",SUMPRODUCT(MAX((Jobs!$J$5:$J$604=A108)*((Jobs!$P$5:$P$604="Completed")+(Jobs!$P$5:$P$604="Invoiced"))*Jobs!$B$5:$B$604))))</f>
        <v>0</v>
      </c>
      <c r="AE108" s="34">
        <f>IF(A108="","",IFERROR(AVERAGEIFS(Jobs!$AK$5:$AK$604,Jobs!$J$5:$J$604,A108,Jobs!$AK$5:$AK$604,"&gt;0"),""))</f>
        <v>0</v>
      </c>
      <c r="AF108" s="34">
        <f>IF(OR(AE108="",X108=""),"",AE108-X108)</f>
        <v>0</v>
      </c>
      <c r="AG108" s="21">
        <f>IF(A108="","",SUMIFS(Jobs!$AJ$5:$AJ$604,Jobs!$J$5:$J$604,A108,Jobs!$P$5:$P$604,"Invoiced")+SUMIFS(Jobs!$AJ$5:$AJ$604,Jobs!$J$5:$J$604,A108,Jobs!$P$5:$P$604,"Completed"))</f>
        <v>0</v>
      </c>
      <c r="AH108" s="39">
        <f>IF(B108="","",IF(C108="","Add - no client linked",IF(IFERROR(INDEX(Clients!$B$5:$B$204,MATCH(C108,Clients!$A$5:$A$204,0)),"")="","Check - client ID not found",IF(AND(G108="",H108=""),"Add - size needed to price it",IF(AND(AF108&lt;&gt;"",AF108&gt;0.5),"Check - runs over the estimate",IF(N108="","Add - how do we get in?","OK"))))))</f>
        <v>0</v>
      </c>
    </row>
    <row r="109" spans="1:34">
      <c r="A109" s="43">
        <f>IF(B109="","",PropertyPrefix&amp;TEXT(ROW()-4,"0000"))</f>
        <v>0</v>
      </c>
      <c r="D109" s="23">
        <f>IF(C109="","",IFERROR(INDEX(Clients!$B$5:$B$204,MATCH(C109,Clients!$A$5:$A$204,0)),"Not found"))</f>
        <v>0</v>
      </c>
      <c r="W109" s="34">
        <f>IF(B109="","",MAX(IF(H109="",0,H109)*0.45+IF(I109="",0,I109)*0.6+IF(J109="",0,J109)*0.3,IF(G109="",0,G109)/650))</f>
        <v>0</v>
      </c>
      <c r="X109" s="34">
        <f>IF(B109="","",ROUND(MAX(1,W109)*IFERROR(INDEX(ConditionFactors,MATCH(L109,ConditionNames,0)),1),2))</f>
        <v>0</v>
      </c>
      <c r="Y109" s="34">
        <f>IF(B109="","",ROUND(X109/MAX(1,CleanersPerJob),2))</f>
        <v>0</v>
      </c>
      <c r="Z109" s="21">
        <f>IF(B109="","",MAX(MinimumCharge,ROUND(X109*IF(IFERROR(INDEX(Clients!$O$5:$O$204,MATCH(C109,Clients!$A$5:$A$204,0)),0)&gt;0,INDEX(Clients!$O$5:$O$204,MATCH(C109,Clients!$A$5:$A$204,0)),HourlyRate)+IF(M109="",0,IF(M109="None",0,PetSurcharge)),2)))</f>
        <v>0</v>
      </c>
      <c r="AA109" s="21">
        <f>IF(B109="","",ROUND(X109*CostPerHour,2))</f>
        <v>0</v>
      </c>
      <c r="AB109" s="38">
        <f>IF(B109="","",IF(Z109=0,"",(Z109-AA109-X109*SuppliesPerHour)/Z109))</f>
        <v>0</v>
      </c>
      <c r="AC109" s="31">
        <f>IF(A109="","",COUNTIFS(Jobs!$J$5:$J$604,A109))</f>
        <v>0</v>
      </c>
      <c r="AD109" s="18">
        <f>IF(A109="","",IF(SUMPRODUCT(MAX((Jobs!$J$5:$J$604=A109)*((Jobs!$P$5:$P$604="Completed")+(Jobs!$P$5:$P$604="Invoiced"))*Jobs!$B$5:$B$604))=0,"",SUMPRODUCT(MAX((Jobs!$J$5:$J$604=A109)*((Jobs!$P$5:$P$604="Completed")+(Jobs!$P$5:$P$604="Invoiced"))*Jobs!$B$5:$B$604))))</f>
        <v>0</v>
      </c>
      <c r="AE109" s="34">
        <f>IF(A109="","",IFERROR(AVERAGEIFS(Jobs!$AK$5:$AK$604,Jobs!$J$5:$J$604,A109,Jobs!$AK$5:$AK$604,"&gt;0"),""))</f>
        <v>0</v>
      </c>
      <c r="AF109" s="34">
        <f>IF(OR(AE109="",X109=""),"",AE109-X109)</f>
        <v>0</v>
      </c>
      <c r="AG109" s="21">
        <f>IF(A109="","",SUMIFS(Jobs!$AJ$5:$AJ$604,Jobs!$J$5:$J$604,A109,Jobs!$P$5:$P$604,"Invoiced")+SUMIFS(Jobs!$AJ$5:$AJ$604,Jobs!$J$5:$J$604,A109,Jobs!$P$5:$P$604,"Completed"))</f>
        <v>0</v>
      </c>
      <c r="AH109" s="39">
        <f>IF(B109="","",IF(C109="","Add - no client linked",IF(IFERROR(INDEX(Clients!$B$5:$B$204,MATCH(C109,Clients!$A$5:$A$204,0)),"")="","Check - client ID not found",IF(AND(G109="",H109=""),"Add - size needed to price it",IF(AND(AF109&lt;&gt;"",AF109&gt;0.5),"Check - runs over the estimate",IF(N109="","Add - how do we get in?","OK"))))))</f>
        <v>0</v>
      </c>
    </row>
    <row r="110" spans="1:34">
      <c r="A110" s="43">
        <f>IF(B110="","",PropertyPrefix&amp;TEXT(ROW()-4,"0000"))</f>
        <v>0</v>
      </c>
      <c r="D110" s="23">
        <f>IF(C110="","",IFERROR(INDEX(Clients!$B$5:$B$204,MATCH(C110,Clients!$A$5:$A$204,0)),"Not found"))</f>
        <v>0</v>
      </c>
      <c r="W110" s="34">
        <f>IF(B110="","",MAX(IF(H110="",0,H110)*0.45+IF(I110="",0,I110)*0.6+IF(J110="",0,J110)*0.3,IF(G110="",0,G110)/650))</f>
        <v>0</v>
      </c>
      <c r="X110" s="34">
        <f>IF(B110="","",ROUND(MAX(1,W110)*IFERROR(INDEX(ConditionFactors,MATCH(L110,ConditionNames,0)),1),2))</f>
        <v>0</v>
      </c>
      <c r="Y110" s="34">
        <f>IF(B110="","",ROUND(X110/MAX(1,CleanersPerJob),2))</f>
        <v>0</v>
      </c>
      <c r="Z110" s="21">
        <f>IF(B110="","",MAX(MinimumCharge,ROUND(X110*IF(IFERROR(INDEX(Clients!$O$5:$O$204,MATCH(C110,Clients!$A$5:$A$204,0)),0)&gt;0,INDEX(Clients!$O$5:$O$204,MATCH(C110,Clients!$A$5:$A$204,0)),HourlyRate)+IF(M110="",0,IF(M110="None",0,PetSurcharge)),2)))</f>
        <v>0</v>
      </c>
      <c r="AA110" s="21">
        <f>IF(B110="","",ROUND(X110*CostPerHour,2))</f>
        <v>0</v>
      </c>
      <c r="AB110" s="38">
        <f>IF(B110="","",IF(Z110=0,"",(Z110-AA110-X110*SuppliesPerHour)/Z110))</f>
        <v>0</v>
      </c>
      <c r="AC110" s="31">
        <f>IF(A110="","",COUNTIFS(Jobs!$J$5:$J$604,A110))</f>
        <v>0</v>
      </c>
      <c r="AD110" s="18">
        <f>IF(A110="","",IF(SUMPRODUCT(MAX((Jobs!$J$5:$J$604=A110)*((Jobs!$P$5:$P$604="Completed")+(Jobs!$P$5:$P$604="Invoiced"))*Jobs!$B$5:$B$604))=0,"",SUMPRODUCT(MAX((Jobs!$J$5:$J$604=A110)*((Jobs!$P$5:$P$604="Completed")+(Jobs!$P$5:$P$604="Invoiced"))*Jobs!$B$5:$B$604))))</f>
        <v>0</v>
      </c>
      <c r="AE110" s="34">
        <f>IF(A110="","",IFERROR(AVERAGEIFS(Jobs!$AK$5:$AK$604,Jobs!$J$5:$J$604,A110,Jobs!$AK$5:$AK$604,"&gt;0"),""))</f>
        <v>0</v>
      </c>
      <c r="AF110" s="34">
        <f>IF(OR(AE110="",X110=""),"",AE110-X110)</f>
        <v>0</v>
      </c>
      <c r="AG110" s="21">
        <f>IF(A110="","",SUMIFS(Jobs!$AJ$5:$AJ$604,Jobs!$J$5:$J$604,A110,Jobs!$P$5:$P$604,"Invoiced")+SUMIFS(Jobs!$AJ$5:$AJ$604,Jobs!$J$5:$J$604,A110,Jobs!$P$5:$P$604,"Completed"))</f>
        <v>0</v>
      </c>
      <c r="AH110" s="39">
        <f>IF(B110="","",IF(C110="","Add - no client linked",IF(IFERROR(INDEX(Clients!$B$5:$B$204,MATCH(C110,Clients!$A$5:$A$204,0)),"")="","Check - client ID not found",IF(AND(G110="",H110=""),"Add - size needed to price it",IF(AND(AF110&lt;&gt;"",AF110&gt;0.5),"Check - runs over the estimate",IF(N110="","Add - how do we get in?","OK"))))))</f>
        <v>0</v>
      </c>
    </row>
    <row r="111" spans="1:34">
      <c r="A111" s="43">
        <f>IF(B111="","",PropertyPrefix&amp;TEXT(ROW()-4,"0000"))</f>
        <v>0</v>
      </c>
      <c r="D111" s="23">
        <f>IF(C111="","",IFERROR(INDEX(Clients!$B$5:$B$204,MATCH(C111,Clients!$A$5:$A$204,0)),"Not found"))</f>
        <v>0</v>
      </c>
      <c r="W111" s="34">
        <f>IF(B111="","",MAX(IF(H111="",0,H111)*0.45+IF(I111="",0,I111)*0.6+IF(J111="",0,J111)*0.3,IF(G111="",0,G111)/650))</f>
        <v>0</v>
      </c>
      <c r="X111" s="34">
        <f>IF(B111="","",ROUND(MAX(1,W111)*IFERROR(INDEX(ConditionFactors,MATCH(L111,ConditionNames,0)),1),2))</f>
        <v>0</v>
      </c>
      <c r="Y111" s="34">
        <f>IF(B111="","",ROUND(X111/MAX(1,CleanersPerJob),2))</f>
        <v>0</v>
      </c>
      <c r="Z111" s="21">
        <f>IF(B111="","",MAX(MinimumCharge,ROUND(X111*IF(IFERROR(INDEX(Clients!$O$5:$O$204,MATCH(C111,Clients!$A$5:$A$204,0)),0)&gt;0,INDEX(Clients!$O$5:$O$204,MATCH(C111,Clients!$A$5:$A$204,0)),HourlyRate)+IF(M111="",0,IF(M111="None",0,PetSurcharge)),2)))</f>
        <v>0</v>
      </c>
      <c r="AA111" s="21">
        <f>IF(B111="","",ROUND(X111*CostPerHour,2))</f>
        <v>0</v>
      </c>
      <c r="AB111" s="38">
        <f>IF(B111="","",IF(Z111=0,"",(Z111-AA111-X111*SuppliesPerHour)/Z111))</f>
        <v>0</v>
      </c>
      <c r="AC111" s="31">
        <f>IF(A111="","",COUNTIFS(Jobs!$J$5:$J$604,A111))</f>
        <v>0</v>
      </c>
      <c r="AD111" s="18">
        <f>IF(A111="","",IF(SUMPRODUCT(MAX((Jobs!$J$5:$J$604=A111)*((Jobs!$P$5:$P$604="Completed")+(Jobs!$P$5:$P$604="Invoiced"))*Jobs!$B$5:$B$604))=0,"",SUMPRODUCT(MAX((Jobs!$J$5:$J$604=A111)*((Jobs!$P$5:$P$604="Completed")+(Jobs!$P$5:$P$604="Invoiced"))*Jobs!$B$5:$B$604))))</f>
        <v>0</v>
      </c>
      <c r="AE111" s="34">
        <f>IF(A111="","",IFERROR(AVERAGEIFS(Jobs!$AK$5:$AK$604,Jobs!$J$5:$J$604,A111,Jobs!$AK$5:$AK$604,"&gt;0"),""))</f>
        <v>0</v>
      </c>
      <c r="AF111" s="34">
        <f>IF(OR(AE111="",X111=""),"",AE111-X111)</f>
        <v>0</v>
      </c>
      <c r="AG111" s="21">
        <f>IF(A111="","",SUMIFS(Jobs!$AJ$5:$AJ$604,Jobs!$J$5:$J$604,A111,Jobs!$P$5:$P$604,"Invoiced")+SUMIFS(Jobs!$AJ$5:$AJ$604,Jobs!$J$5:$J$604,A111,Jobs!$P$5:$P$604,"Completed"))</f>
        <v>0</v>
      </c>
      <c r="AH111" s="39">
        <f>IF(B111="","",IF(C111="","Add - no client linked",IF(IFERROR(INDEX(Clients!$B$5:$B$204,MATCH(C111,Clients!$A$5:$A$204,0)),"")="","Check - client ID not found",IF(AND(G111="",H111=""),"Add - size needed to price it",IF(AND(AF111&lt;&gt;"",AF111&gt;0.5),"Check - runs over the estimate",IF(N111="","Add - how do we get in?","OK"))))))</f>
        <v>0</v>
      </c>
    </row>
    <row r="112" spans="1:34">
      <c r="A112" s="43">
        <f>IF(B112="","",PropertyPrefix&amp;TEXT(ROW()-4,"0000"))</f>
        <v>0</v>
      </c>
      <c r="D112" s="23">
        <f>IF(C112="","",IFERROR(INDEX(Clients!$B$5:$B$204,MATCH(C112,Clients!$A$5:$A$204,0)),"Not found"))</f>
        <v>0</v>
      </c>
      <c r="W112" s="34">
        <f>IF(B112="","",MAX(IF(H112="",0,H112)*0.45+IF(I112="",0,I112)*0.6+IF(J112="",0,J112)*0.3,IF(G112="",0,G112)/650))</f>
        <v>0</v>
      </c>
      <c r="X112" s="34">
        <f>IF(B112="","",ROUND(MAX(1,W112)*IFERROR(INDEX(ConditionFactors,MATCH(L112,ConditionNames,0)),1),2))</f>
        <v>0</v>
      </c>
      <c r="Y112" s="34">
        <f>IF(B112="","",ROUND(X112/MAX(1,CleanersPerJob),2))</f>
        <v>0</v>
      </c>
      <c r="Z112" s="21">
        <f>IF(B112="","",MAX(MinimumCharge,ROUND(X112*IF(IFERROR(INDEX(Clients!$O$5:$O$204,MATCH(C112,Clients!$A$5:$A$204,0)),0)&gt;0,INDEX(Clients!$O$5:$O$204,MATCH(C112,Clients!$A$5:$A$204,0)),HourlyRate)+IF(M112="",0,IF(M112="None",0,PetSurcharge)),2)))</f>
        <v>0</v>
      </c>
      <c r="AA112" s="21">
        <f>IF(B112="","",ROUND(X112*CostPerHour,2))</f>
        <v>0</v>
      </c>
      <c r="AB112" s="38">
        <f>IF(B112="","",IF(Z112=0,"",(Z112-AA112-X112*SuppliesPerHour)/Z112))</f>
        <v>0</v>
      </c>
      <c r="AC112" s="31">
        <f>IF(A112="","",COUNTIFS(Jobs!$J$5:$J$604,A112))</f>
        <v>0</v>
      </c>
      <c r="AD112" s="18">
        <f>IF(A112="","",IF(SUMPRODUCT(MAX((Jobs!$J$5:$J$604=A112)*((Jobs!$P$5:$P$604="Completed")+(Jobs!$P$5:$P$604="Invoiced"))*Jobs!$B$5:$B$604))=0,"",SUMPRODUCT(MAX((Jobs!$J$5:$J$604=A112)*((Jobs!$P$5:$P$604="Completed")+(Jobs!$P$5:$P$604="Invoiced"))*Jobs!$B$5:$B$604))))</f>
        <v>0</v>
      </c>
      <c r="AE112" s="34">
        <f>IF(A112="","",IFERROR(AVERAGEIFS(Jobs!$AK$5:$AK$604,Jobs!$J$5:$J$604,A112,Jobs!$AK$5:$AK$604,"&gt;0"),""))</f>
        <v>0</v>
      </c>
      <c r="AF112" s="34">
        <f>IF(OR(AE112="",X112=""),"",AE112-X112)</f>
        <v>0</v>
      </c>
      <c r="AG112" s="21">
        <f>IF(A112="","",SUMIFS(Jobs!$AJ$5:$AJ$604,Jobs!$J$5:$J$604,A112,Jobs!$P$5:$P$604,"Invoiced")+SUMIFS(Jobs!$AJ$5:$AJ$604,Jobs!$J$5:$J$604,A112,Jobs!$P$5:$P$604,"Completed"))</f>
        <v>0</v>
      </c>
      <c r="AH112" s="39">
        <f>IF(B112="","",IF(C112="","Add - no client linked",IF(IFERROR(INDEX(Clients!$B$5:$B$204,MATCH(C112,Clients!$A$5:$A$204,0)),"")="","Check - client ID not found",IF(AND(G112="",H112=""),"Add - size needed to price it",IF(AND(AF112&lt;&gt;"",AF112&gt;0.5),"Check - runs over the estimate",IF(N112="","Add - how do we get in?","OK"))))))</f>
        <v>0</v>
      </c>
    </row>
    <row r="113" spans="1:34">
      <c r="A113" s="43">
        <f>IF(B113="","",PropertyPrefix&amp;TEXT(ROW()-4,"0000"))</f>
        <v>0</v>
      </c>
      <c r="D113" s="23">
        <f>IF(C113="","",IFERROR(INDEX(Clients!$B$5:$B$204,MATCH(C113,Clients!$A$5:$A$204,0)),"Not found"))</f>
        <v>0</v>
      </c>
      <c r="W113" s="34">
        <f>IF(B113="","",MAX(IF(H113="",0,H113)*0.45+IF(I113="",0,I113)*0.6+IF(J113="",0,J113)*0.3,IF(G113="",0,G113)/650))</f>
        <v>0</v>
      </c>
      <c r="X113" s="34">
        <f>IF(B113="","",ROUND(MAX(1,W113)*IFERROR(INDEX(ConditionFactors,MATCH(L113,ConditionNames,0)),1),2))</f>
        <v>0</v>
      </c>
      <c r="Y113" s="34">
        <f>IF(B113="","",ROUND(X113/MAX(1,CleanersPerJob),2))</f>
        <v>0</v>
      </c>
      <c r="Z113" s="21">
        <f>IF(B113="","",MAX(MinimumCharge,ROUND(X113*IF(IFERROR(INDEX(Clients!$O$5:$O$204,MATCH(C113,Clients!$A$5:$A$204,0)),0)&gt;0,INDEX(Clients!$O$5:$O$204,MATCH(C113,Clients!$A$5:$A$204,0)),HourlyRate)+IF(M113="",0,IF(M113="None",0,PetSurcharge)),2)))</f>
        <v>0</v>
      </c>
      <c r="AA113" s="21">
        <f>IF(B113="","",ROUND(X113*CostPerHour,2))</f>
        <v>0</v>
      </c>
      <c r="AB113" s="38">
        <f>IF(B113="","",IF(Z113=0,"",(Z113-AA113-X113*SuppliesPerHour)/Z113))</f>
        <v>0</v>
      </c>
      <c r="AC113" s="31">
        <f>IF(A113="","",COUNTIFS(Jobs!$J$5:$J$604,A113))</f>
        <v>0</v>
      </c>
      <c r="AD113" s="18">
        <f>IF(A113="","",IF(SUMPRODUCT(MAX((Jobs!$J$5:$J$604=A113)*((Jobs!$P$5:$P$604="Completed")+(Jobs!$P$5:$P$604="Invoiced"))*Jobs!$B$5:$B$604))=0,"",SUMPRODUCT(MAX((Jobs!$J$5:$J$604=A113)*((Jobs!$P$5:$P$604="Completed")+(Jobs!$P$5:$P$604="Invoiced"))*Jobs!$B$5:$B$604))))</f>
        <v>0</v>
      </c>
      <c r="AE113" s="34">
        <f>IF(A113="","",IFERROR(AVERAGEIFS(Jobs!$AK$5:$AK$604,Jobs!$J$5:$J$604,A113,Jobs!$AK$5:$AK$604,"&gt;0"),""))</f>
        <v>0</v>
      </c>
      <c r="AF113" s="34">
        <f>IF(OR(AE113="",X113=""),"",AE113-X113)</f>
        <v>0</v>
      </c>
      <c r="AG113" s="21">
        <f>IF(A113="","",SUMIFS(Jobs!$AJ$5:$AJ$604,Jobs!$J$5:$J$604,A113,Jobs!$P$5:$P$604,"Invoiced")+SUMIFS(Jobs!$AJ$5:$AJ$604,Jobs!$J$5:$J$604,A113,Jobs!$P$5:$P$604,"Completed"))</f>
        <v>0</v>
      </c>
      <c r="AH113" s="39">
        <f>IF(B113="","",IF(C113="","Add - no client linked",IF(IFERROR(INDEX(Clients!$B$5:$B$204,MATCH(C113,Clients!$A$5:$A$204,0)),"")="","Check - client ID not found",IF(AND(G113="",H113=""),"Add - size needed to price it",IF(AND(AF113&lt;&gt;"",AF113&gt;0.5),"Check - runs over the estimate",IF(N113="","Add - how do we get in?","OK"))))))</f>
        <v>0</v>
      </c>
    </row>
    <row r="114" spans="1:34">
      <c r="A114" s="43">
        <f>IF(B114="","",PropertyPrefix&amp;TEXT(ROW()-4,"0000"))</f>
        <v>0</v>
      </c>
      <c r="D114" s="23">
        <f>IF(C114="","",IFERROR(INDEX(Clients!$B$5:$B$204,MATCH(C114,Clients!$A$5:$A$204,0)),"Not found"))</f>
        <v>0</v>
      </c>
      <c r="W114" s="34">
        <f>IF(B114="","",MAX(IF(H114="",0,H114)*0.45+IF(I114="",0,I114)*0.6+IF(J114="",0,J114)*0.3,IF(G114="",0,G114)/650))</f>
        <v>0</v>
      </c>
      <c r="X114" s="34">
        <f>IF(B114="","",ROUND(MAX(1,W114)*IFERROR(INDEX(ConditionFactors,MATCH(L114,ConditionNames,0)),1),2))</f>
        <v>0</v>
      </c>
      <c r="Y114" s="34">
        <f>IF(B114="","",ROUND(X114/MAX(1,CleanersPerJob),2))</f>
        <v>0</v>
      </c>
      <c r="Z114" s="21">
        <f>IF(B114="","",MAX(MinimumCharge,ROUND(X114*IF(IFERROR(INDEX(Clients!$O$5:$O$204,MATCH(C114,Clients!$A$5:$A$204,0)),0)&gt;0,INDEX(Clients!$O$5:$O$204,MATCH(C114,Clients!$A$5:$A$204,0)),HourlyRate)+IF(M114="",0,IF(M114="None",0,PetSurcharge)),2)))</f>
        <v>0</v>
      </c>
      <c r="AA114" s="21">
        <f>IF(B114="","",ROUND(X114*CostPerHour,2))</f>
        <v>0</v>
      </c>
      <c r="AB114" s="38">
        <f>IF(B114="","",IF(Z114=0,"",(Z114-AA114-X114*SuppliesPerHour)/Z114))</f>
        <v>0</v>
      </c>
      <c r="AC114" s="31">
        <f>IF(A114="","",COUNTIFS(Jobs!$J$5:$J$604,A114))</f>
        <v>0</v>
      </c>
      <c r="AD114" s="18">
        <f>IF(A114="","",IF(SUMPRODUCT(MAX((Jobs!$J$5:$J$604=A114)*((Jobs!$P$5:$P$604="Completed")+(Jobs!$P$5:$P$604="Invoiced"))*Jobs!$B$5:$B$604))=0,"",SUMPRODUCT(MAX((Jobs!$J$5:$J$604=A114)*((Jobs!$P$5:$P$604="Completed")+(Jobs!$P$5:$P$604="Invoiced"))*Jobs!$B$5:$B$604))))</f>
        <v>0</v>
      </c>
      <c r="AE114" s="34">
        <f>IF(A114="","",IFERROR(AVERAGEIFS(Jobs!$AK$5:$AK$604,Jobs!$J$5:$J$604,A114,Jobs!$AK$5:$AK$604,"&gt;0"),""))</f>
        <v>0</v>
      </c>
      <c r="AF114" s="34">
        <f>IF(OR(AE114="",X114=""),"",AE114-X114)</f>
        <v>0</v>
      </c>
      <c r="AG114" s="21">
        <f>IF(A114="","",SUMIFS(Jobs!$AJ$5:$AJ$604,Jobs!$J$5:$J$604,A114,Jobs!$P$5:$P$604,"Invoiced")+SUMIFS(Jobs!$AJ$5:$AJ$604,Jobs!$J$5:$J$604,A114,Jobs!$P$5:$P$604,"Completed"))</f>
        <v>0</v>
      </c>
      <c r="AH114" s="39">
        <f>IF(B114="","",IF(C114="","Add - no client linked",IF(IFERROR(INDEX(Clients!$B$5:$B$204,MATCH(C114,Clients!$A$5:$A$204,0)),"")="","Check - client ID not found",IF(AND(G114="",H114=""),"Add - size needed to price it",IF(AND(AF114&lt;&gt;"",AF114&gt;0.5),"Check - runs over the estimate",IF(N114="","Add - how do we get in?","OK"))))))</f>
        <v>0</v>
      </c>
    </row>
    <row r="115" spans="1:34">
      <c r="A115" s="43">
        <f>IF(B115="","",PropertyPrefix&amp;TEXT(ROW()-4,"0000"))</f>
        <v>0</v>
      </c>
      <c r="D115" s="23">
        <f>IF(C115="","",IFERROR(INDEX(Clients!$B$5:$B$204,MATCH(C115,Clients!$A$5:$A$204,0)),"Not found"))</f>
        <v>0</v>
      </c>
      <c r="W115" s="34">
        <f>IF(B115="","",MAX(IF(H115="",0,H115)*0.45+IF(I115="",0,I115)*0.6+IF(J115="",0,J115)*0.3,IF(G115="",0,G115)/650))</f>
        <v>0</v>
      </c>
      <c r="X115" s="34">
        <f>IF(B115="","",ROUND(MAX(1,W115)*IFERROR(INDEX(ConditionFactors,MATCH(L115,ConditionNames,0)),1),2))</f>
        <v>0</v>
      </c>
      <c r="Y115" s="34">
        <f>IF(B115="","",ROUND(X115/MAX(1,CleanersPerJob),2))</f>
        <v>0</v>
      </c>
      <c r="Z115" s="21">
        <f>IF(B115="","",MAX(MinimumCharge,ROUND(X115*IF(IFERROR(INDEX(Clients!$O$5:$O$204,MATCH(C115,Clients!$A$5:$A$204,0)),0)&gt;0,INDEX(Clients!$O$5:$O$204,MATCH(C115,Clients!$A$5:$A$204,0)),HourlyRate)+IF(M115="",0,IF(M115="None",0,PetSurcharge)),2)))</f>
        <v>0</v>
      </c>
      <c r="AA115" s="21">
        <f>IF(B115="","",ROUND(X115*CostPerHour,2))</f>
        <v>0</v>
      </c>
      <c r="AB115" s="38">
        <f>IF(B115="","",IF(Z115=0,"",(Z115-AA115-X115*SuppliesPerHour)/Z115))</f>
        <v>0</v>
      </c>
      <c r="AC115" s="31">
        <f>IF(A115="","",COUNTIFS(Jobs!$J$5:$J$604,A115))</f>
        <v>0</v>
      </c>
      <c r="AD115" s="18">
        <f>IF(A115="","",IF(SUMPRODUCT(MAX((Jobs!$J$5:$J$604=A115)*((Jobs!$P$5:$P$604="Completed")+(Jobs!$P$5:$P$604="Invoiced"))*Jobs!$B$5:$B$604))=0,"",SUMPRODUCT(MAX((Jobs!$J$5:$J$604=A115)*((Jobs!$P$5:$P$604="Completed")+(Jobs!$P$5:$P$604="Invoiced"))*Jobs!$B$5:$B$604))))</f>
        <v>0</v>
      </c>
      <c r="AE115" s="34">
        <f>IF(A115="","",IFERROR(AVERAGEIFS(Jobs!$AK$5:$AK$604,Jobs!$J$5:$J$604,A115,Jobs!$AK$5:$AK$604,"&gt;0"),""))</f>
        <v>0</v>
      </c>
      <c r="AF115" s="34">
        <f>IF(OR(AE115="",X115=""),"",AE115-X115)</f>
        <v>0</v>
      </c>
      <c r="AG115" s="21">
        <f>IF(A115="","",SUMIFS(Jobs!$AJ$5:$AJ$604,Jobs!$J$5:$J$604,A115,Jobs!$P$5:$P$604,"Invoiced")+SUMIFS(Jobs!$AJ$5:$AJ$604,Jobs!$J$5:$J$604,A115,Jobs!$P$5:$P$604,"Completed"))</f>
        <v>0</v>
      </c>
      <c r="AH115" s="39">
        <f>IF(B115="","",IF(C115="","Add - no client linked",IF(IFERROR(INDEX(Clients!$B$5:$B$204,MATCH(C115,Clients!$A$5:$A$204,0)),"")="","Check - client ID not found",IF(AND(G115="",H115=""),"Add - size needed to price it",IF(AND(AF115&lt;&gt;"",AF115&gt;0.5),"Check - runs over the estimate",IF(N115="","Add - how do we get in?","OK"))))))</f>
        <v>0</v>
      </c>
    </row>
    <row r="116" spans="1:34">
      <c r="A116" s="43">
        <f>IF(B116="","",PropertyPrefix&amp;TEXT(ROW()-4,"0000"))</f>
        <v>0</v>
      </c>
      <c r="D116" s="23">
        <f>IF(C116="","",IFERROR(INDEX(Clients!$B$5:$B$204,MATCH(C116,Clients!$A$5:$A$204,0)),"Not found"))</f>
        <v>0</v>
      </c>
      <c r="W116" s="34">
        <f>IF(B116="","",MAX(IF(H116="",0,H116)*0.45+IF(I116="",0,I116)*0.6+IF(J116="",0,J116)*0.3,IF(G116="",0,G116)/650))</f>
        <v>0</v>
      </c>
      <c r="X116" s="34">
        <f>IF(B116="","",ROUND(MAX(1,W116)*IFERROR(INDEX(ConditionFactors,MATCH(L116,ConditionNames,0)),1),2))</f>
        <v>0</v>
      </c>
      <c r="Y116" s="34">
        <f>IF(B116="","",ROUND(X116/MAX(1,CleanersPerJob),2))</f>
        <v>0</v>
      </c>
      <c r="Z116" s="21">
        <f>IF(B116="","",MAX(MinimumCharge,ROUND(X116*IF(IFERROR(INDEX(Clients!$O$5:$O$204,MATCH(C116,Clients!$A$5:$A$204,0)),0)&gt;0,INDEX(Clients!$O$5:$O$204,MATCH(C116,Clients!$A$5:$A$204,0)),HourlyRate)+IF(M116="",0,IF(M116="None",0,PetSurcharge)),2)))</f>
        <v>0</v>
      </c>
      <c r="AA116" s="21">
        <f>IF(B116="","",ROUND(X116*CostPerHour,2))</f>
        <v>0</v>
      </c>
      <c r="AB116" s="38">
        <f>IF(B116="","",IF(Z116=0,"",(Z116-AA116-X116*SuppliesPerHour)/Z116))</f>
        <v>0</v>
      </c>
      <c r="AC116" s="31">
        <f>IF(A116="","",COUNTIFS(Jobs!$J$5:$J$604,A116))</f>
        <v>0</v>
      </c>
      <c r="AD116" s="18">
        <f>IF(A116="","",IF(SUMPRODUCT(MAX((Jobs!$J$5:$J$604=A116)*((Jobs!$P$5:$P$604="Completed")+(Jobs!$P$5:$P$604="Invoiced"))*Jobs!$B$5:$B$604))=0,"",SUMPRODUCT(MAX((Jobs!$J$5:$J$604=A116)*((Jobs!$P$5:$P$604="Completed")+(Jobs!$P$5:$P$604="Invoiced"))*Jobs!$B$5:$B$604))))</f>
        <v>0</v>
      </c>
      <c r="AE116" s="34">
        <f>IF(A116="","",IFERROR(AVERAGEIFS(Jobs!$AK$5:$AK$604,Jobs!$J$5:$J$604,A116,Jobs!$AK$5:$AK$604,"&gt;0"),""))</f>
        <v>0</v>
      </c>
      <c r="AF116" s="34">
        <f>IF(OR(AE116="",X116=""),"",AE116-X116)</f>
        <v>0</v>
      </c>
      <c r="AG116" s="21">
        <f>IF(A116="","",SUMIFS(Jobs!$AJ$5:$AJ$604,Jobs!$J$5:$J$604,A116,Jobs!$P$5:$P$604,"Invoiced")+SUMIFS(Jobs!$AJ$5:$AJ$604,Jobs!$J$5:$J$604,A116,Jobs!$P$5:$P$604,"Completed"))</f>
        <v>0</v>
      </c>
      <c r="AH116" s="39">
        <f>IF(B116="","",IF(C116="","Add - no client linked",IF(IFERROR(INDEX(Clients!$B$5:$B$204,MATCH(C116,Clients!$A$5:$A$204,0)),"")="","Check - client ID not found",IF(AND(G116="",H116=""),"Add - size needed to price it",IF(AND(AF116&lt;&gt;"",AF116&gt;0.5),"Check - runs over the estimate",IF(N116="","Add - how do we get in?","OK"))))))</f>
        <v>0</v>
      </c>
    </row>
    <row r="117" spans="1:34">
      <c r="A117" s="43">
        <f>IF(B117="","",PropertyPrefix&amp;TEXT(ROW()-4,"0000"))</f>
        <v>0</v>
      </c>
      <c r="D117" s="23">
        <f>IF(C117="","",IFERROR(INDEX(Clients!$B$5:$B$204,MATCH(C117,Clients!$A$5:$A$204,0)),"Not found"))</f>
        <v>0</v>
      </c>
      <c r="W117" s="34">
        <f>IF(B117="","",MAX(IF(H117="",0,H117)*0.45+IF(I117="",0,I117)*0.6+IF(J117="",0,J117)*0.3,IF(G117="",0,G117)/650))</f>
        <v>0</v>
      </c>
      <c r="X117" s="34">
        <f>IF(B117="","",ROUND(MAX(1,W117)*IFERROR(INDEX(ConditionFactors,MATCH(L117,ConditionNames,0)),1),2))</f>
        <v>0</v>
      </c>
      <c r="Y117" s="34">
        <f>IF(B117="","",ROUND(X117/MAX(1,CleanersPerJob),2))</f>
        <v>0</v>
      </c>
      <c r="Z117" s="21">
        <f>IF(B117="","",MAX(MinimumCharge,ROUND(X117*IF(IFERROR(INDEX(Clients!$O$5:$O$204,MATCH(C117,Clients!$A$5:$A$204,0)),0)&gt;0,INDEX(Clients!$O$5:$O$204,MATCH(C117,Clients!$A$5:$A$204,0)),HourlyRate)+IF(M117="",0,IF(M117="None",0,PetSurcharge)),2)))</f>
        <v>0</v>
      </c>
      <c r="AA117" s="21">
        <f>IF(B117="","",ROUND(X117*CostPerHour,2))</f>
        <v>0</v>
      </c>
      <c r="AB117" s="38">
        <f>IF(B117="","",IF(Z117=0,"",(Z117-AA117-X117*SuppliesPerHour)/Z117))</f>
        <v>0</v>
      </c>
      <c r="AC117" s="31">
        <f>IF(A117="","",COUNTIFS(Jobs!$J$5:$J$604,A117))</f>
        <v>0</v>
      </c>
      <c r="AD117" s="18">
        <f>IF(A117="","",IF(SUMPRODUCT(MAX((Jobs!$J$5:$J$604=A117)*((Jobs!$P$5:$P$604="Completed")+(Jobs!$P$5:$P$604="Invoiced"))*Jobs!$B$5:$B$604))=0,"",SUMPRODUCT(MAX((Jobs!$J$5:$J$604=A117)*((Jobs!$P$5:$P$604="Completed")+(Jobs!$P$5:$P$604="Invoiced"))*Jobs!$B$5:$B$604))))</f>
        <v>0</v>
      </c>
      <c r="AE117" s="34">
        <f>IF(A117="","",IFERROR(AVERAGEIFS(Jobs!$AK$5:$AK$604,Jobs!$J$5:$J$604,A117,Jobs!$AK$5:$AK$604,"&gt;0"),""))</f>
        <v>0</v>
      </c>
      <c r="AF117" s="34">
        <f>IF(OR(AE117="",X117=""),"",AE117-X117)</f>
        <v>0</v>
      </c>
      <c r="AG117" s="21">
        <f>IF(A117="","",SUMIFS(Jobs!$AJ$5:$AJ$604,Jobs!$J$5:$J$604,A117,Jobs!$P$5:$P$604,"Invoiced")+SUMIFS(Jobs!$AJ$5:$AJ$604,Jobs!$J$5:$J$604,A117,Jobs!$P$5:$P$604,"Completed"))</f>
        <v>0</v>
      </c>
      <c r="AH117" s="39">
        <f>IF(B117="","",IF(C117="","Add - no client linked",IF(IFERROR(INDEX(Clients!$B$5:$B$204,MATCH(C117,Clients!$A$5:$A$204,0)),"")="","Check - client ID not found",IF(AND(G117="",H117=""),"Add - size needed to price it",IF(AND(AF117&lt;&gt;"",AF117&gt;0.5),"Check - runs over the estimate",IF(N117="","Add - how do we get in?","OK"))))))</f>
        <v>0</v>
      </c>
    </row>
    <row r="118" spans="1:34">
      <c r="A118" s="43">
        <f>IF(B118="","",PropertyPrefix&amp;TEXT(ROW()-4,"0000"))</f>
        <v>0</v>
      </c>
      <c r="D118" s="23">
        <f>IF(C118="","",IFERROR(INDEX(Clients!$B$5:$B$204,MATCH(C118,Clients!$A$5:$A$204,0)),"Not found"))</f>
        <v>0</v>
      </c>
      <c r="W118" s="34">
        <f>IF(B118="","",MAX(IF(H118="",0,H118)*0.45+IF(I118="",0,I118)*0.6+IF(J118="",0,J118)*0.3,IF(G118="",0,G118)/650))</f>
        <v>0</v>
      </c>
      <c r="X118" s="34">
        <f>IF(B118="","",ROUND(MAX(1,W118)*IFERROR(INDEX(ConditionFactors,MATCH(L118,ConditionNames,0)),1),2))</f>
        <v>0</v>
      </c>
      <c r="Y118" s="34">
        <f>IF(B118="","",ROUND(X118/MAX(1,CleanersPerJob),2))</f>
        <v>0</v>
      </c>
      <c r="Z118" s="21">
        <f>IF(B118="","",MAX(MinimumCharge,ROUND(X118*IF(IFERROR(INDEX(Clients!$O$5:$O$204,MATCH(C118,Clients!$A$5:$A$204,0)),0)&gt;0,INDEX(Clients!$O$5:$O$204,MATCH(C118,Clients!$A$5:$A$204,0)),HourlyRate)+IF(M118="",0,IF(M118="None",0,PetSurcharge)),2)))</f>
        <v>0</v>
      </c>
      <c r="AA118" s="21">
        <f>IF(B118="","",ROUND(X118*CostPerHour,2))</f>
        <v>0</v>
      </c>
      <c r="AB118" s="38">
        <f>IF(B118="","",IF(Z118=0,"",(Z118-AA118-X118*SuppliesPerHour)/Z118))</f>
        <v>0</v>
      </c>
      <c r="AC118" s="31">
        <f>IF(A118="","",COUNTIFS(Jobs!$J$5:$J$604,A118))</f>
        <v>0</v>
      </c>
      <c r="AD118" s="18">
        <f>IF(A118="","",IF(SUMPRODUCT(MAX((Jobs!$J$5:$J$604=A118)*((Jobs!$P$5:$P$604="Completed")+(Jobs!$P$5:$P$604="Invoiced"))*Jobs!$B$5:$B$604))=0,"",SUMPRODUCT(MAX((Jobs!$J$5:$J$604=A118)*((Jobs!$P$5:$P$604="Completed")+(Jobs!$P$5:$P$604="Invoiced"))*Jobs!$B$5:$B$604))))</f>
        <v>0</v>
      </c>
      <c r="AE118" s="34">
        <f>IF(A118="","",IFERROR(AVERAGEIFS(Jobs!$AK$5:$AK$604,Jobs!$J$5:$J$604,A118,Jobs!$AK$5:$AK$604,"&gt;0"),""))</f>
        <v>0</v>
      </c>
      <c r="AF118" s="34">
        <f>IF(OR(AE118="",X118=""),"",AE118-X118)</f>
        <v>0</v>
      </c>
      <c r="AG118" s="21">
        <f>IF(A118="","",SUMIFS(Jobs!$AJ$5:$AJ$604,Jobs!$J$5:$J$604,A118,Jobs!$P$5:$P$604,"Invoiced")+SUMIFS(Jobs!$AJ$5:$AJ$604,Jobs!$J$5:$J$604,A118,Jobs!$P$5:$P$604,"Completed"))</f>
        <v>0</v>
      </c>
      <c r="AH118" s="39">
        <f>IF(B118="","",IF(C118="","Add - no client linked",IF(IFERROR(INDEX(Clients!$B$5:$B$204,MATCH(C118,Clients!$A$5:$A$204,0)),"")="","Check - client ID not found",IF(AND(G118="",H118=""),"Add - size needed to price it",IF(AND(AF118&lt;&gt;"",AF118&gt;0.5),"Check - runs over the estimate",IF(N118="","Add - how do we get in?","OK"))))))</f>
        <v>0</v>
      </c>
    </row>
    <row r="119" spans="1:34">
      <c r="A119" s="43">
        <f>IF(B119="","",PropertyPrefix&amp;TEXT(ROW()-4,"0000"))</f>
        <v>0</v>
      </c>
      <c r="D119" s="23">
        <f>IF(C119="","",IFERROR(INDEX(Clients!$B$5:$B$204,MATCH(C119,Clients!$A$5:$A$204,0)),"Not found"))</f>
        <v>0</v>
      </c>
      <c r="W119" s="34">
        <f>IF(B119="","",MAX(IF(H119="",0,H119)*0.45+IF(I119="",0,I119)*0.6+IF(J119="",0,J119)*0.3,IF(G119="",0,G119)/650))</f>
        <v>0</v>
      </c>
      <c r="X119" s="34">
        <f>IF(B119="","",ROUND(MAX(1,W119)*IFERROR(INDEX(ConditionFactors,MATCH(L119,ConditionNames,0)),1),2))</f>
        <v>0</v>
      </c>
      <c r="Y119" s="34">
        <f>IF(B119="","",ROUND(X119/MAX(1,CleanersPerJob),2))</f>
        <v>0</v>
      </c>
      <c r="Z119" s="21">
        <f>IF(B119="","",MAX(MinimumCharge,ROUND(X119*IF(IFERROR(INDEX(Clients!$O$5:$O$204,MATCH(C119,Clients!$A$5:$A$204,0)),0)&gt;0,INDEX(Clients!$O$5:$O$204,MATCH(C119,Clients!$A$5:$A$204,0)),HourlyRate)+IF(M119="",0,IF(M119="None",0,PetSurcharge)),2)))</f>
        <v>0</v>
      </c>
      <c r="AA119" s="21">
        <f>IF(B119="","",ROUND(X119*CostPerHour,2))</f>
        <v>0</v>
      </c>
      <c r="AB119" s="38">
        <f>IF(B119="","",IF(Z119=0,"",(Z119-AA119-X119*SuppliesPerHour)/Z119))</f>
        <v>0</v>
      </c>
      <c r="AC119" s="31">
        <f>IF(A119="","",COUNTIFS(Jobs!$J$5:$J$604,A119))</f>
        <v>0</v>
      </c>
      <c r="AD119" s="18">
        <f>IF(A119="","",IF(SUMPRODUCT(MAX((Jobs!$J$5:$J$604=A119)*((Jobs!$P$5:$P$604="Completed")+(Jobs!$P$5:$P$604="Invoiced"))*Jobs!$B$5:$B$604))=0,"",SUMPRODUCT(MAX((Jobs!$J$5:$J$604=A119)*((Jobs!$P$5:$P$604="Completed")+(Jobs!$P$5:$P$604="Invoiced"))*Jobs!$B$5:$B$604))))</f>
        <v>0</v>
      </c>
      <c r="AE119" s="34">
        <f>IF(A119="","",IFERROR(AVERAGEIFS(Jobs!$AK$5:$AK$604,Jobs!$J$5:$J$604,A119,Jobs!$AK$5:$AK$604,"&gt;0"),""))</f>
        <v>0</v>
      </c>
      <c r="AF119" s="34">
        <f>IF(OR(AE119="",X119=""),"",AE119-X119)</f>
        <v>0</v>
      </c>
      <c r="AG119" s="21">
        <f>IF(A119="","",SUMIFS(Jobs!$AJ$5:$AJ$604,Jobs!$J$5:$J$604,A119,Jobs!$P$5:$P$604,"Invoiced")+SUMIFS(Jobs!$AJ$5:$AJ$604,Jobs!$J$5:$J$604,A119,Jobs!$P$5:$P$604,"Completed"))</f>
        <v>0</v>
      </c>
      <c r="AH119" s="39">
        <f>IF(B119="","",IF(C119="","Add - no client linked",IF(IFERROR(INDEX(Clients!$B$5:$B$204,MATCH(C119,Clients!$A$5:$A$204,0)),"")="","Check - client ID not found",IF(AND(G119="",H119=""),"Add - size needed to price it",IF(AND(AF119&lt;&gt;"",AF119&gt;0.5),"Check - runs over the estimate",IF(N119="","Add - how do we get in?","OK"))))))</f>
        <v>0</v>
      </c>
    </row>
    <row r="120" spans="1:34">
      <c r="A120" s="43">
        <f>IF(B120="","",PropertyPrefix&amp;TEXT(ROW()-4,"0000"))</f>
        <v>0</v>
      </c>
      <c r="D120" s="23">
        <f>IF(C120="","",IFERROR(INDEX(Clients!$B$5:$B$204,MATCH(C120,Clients!$A$5:$A$204,0)),"Not found"))</f>
        <v>0</v>
      </c>
      <c r="W120" s="34">
        <f>IF(B120="","",MAX(IF(H120="",0,H120)*0.45+IF(I120="",0,I120)*0.6+IF(J120="",0,J120)*0.3,IF(G120="",0,G120)/650))</f>
        <v>0</v>
      </c>
      <c r="X120" s="34">
        <f>IF(B120="","",ROUND(MAX(1,W120)*IFERROR(INDEX(ConditionFactors,MATCH(L120,ConditionNames,0)),1),2))</f>
        <v>0</v>
      </c>
      <c r="Y120" s="34">
        <f>IF(B120="","",ROUND(X120/MAX(1,CleanersPerJob),2))</f>
        <v>0</v>
      </c>
      <c r="Z120" s="21">
        <f>IF(B120="","",MAX(MinimumCharge,ROUND(X120*IF(IFERROR(INDEX(Clients!$O$5:$O$204,MATCH(C120,Clients!$A$5:$A$204,0)),0)&gt;0,INDEX(Clients!$O$5:$O$204,MATCH(C120,Clients!$A$5:$A$204,0)),HourlyRate)+IF(M120="",0,IF(M120="None",0,PetSurcharge)),2)))</f>
        <v>0</v>
      </c>
      <c r="AA120" s="21">
        <f>IF(B120="","",ROUND(X120*CostPerHour,2))</f>
        <v>0</v>
      </c>
      <c r="AB120" s="38">
        <f>IF(B120="","",IF(Z120=0,"",(Z120-AA120-X120*SuppliesPerHour)/Z120))</f>
        <v>0</v>
      </c>
      <c r="AC120" s="31">
        <f>IF(A120="","",COUNTIFS(Jobs!$J$5:$J$604,A120))</f>
        <v>0</v>
      </c>
      <c r="AD120" s="18">
        <f>IF(A120="","",IF(SUMPRODUCT(MAX((Jobs!$J$5:$J$604=A120)*((Jobs!$P$5:$P$604="Completed")+(Jobs!$P$5:$P$604="Invoiced"))*Jobs!$B$5:$B$604))=0,"",SUMPRODUCT(MAX((Jobs!$J$5:$J$604=A120)*((Jobs!$P$5:$P$604="Completed")+(Jobs!$P$5:$P$604="Invoiced"))*Jobs!$B$5:$B$604))))</f>
        <v>0</v>
      </c>
      <c r="AE120" s="34">
        <f>IF(A120="","",IFERROR(AVERAGEIFS(Jobs!$AK$5:$AK$604,Jobs!$J$5:$J$604,A120,Jobs!$AK$5:$AK$604,"&gt;0"),""))</f>
        <v>0</v>
      </c>
      <c r="AF120" s="34">
        <f>IF(OR(AE120="",X120=""),"",AE120-X120)</f>
        <v>0</v>
      </c>
      <c r="AG120" s="21">
        <f>IF(A120="","",SUMIFS(Jobs!$AJ$5:$AJ$604,Jobs!$J$5:$J$604,A120,Jobs!$P$5:$P$604,"Invoiced")+SUMIFS(Jobs!$AJ$5:$AJ$604,Jobs!$J$5:$J$604,A120,Jobs!$P$5:$P$604,"Completed"))</f>
        <v>0</v>
      </c>
      <c r="AH120" s="39">
        <f>IF(B120="","",IF(C120="","Add - no client linked",IF(IFERROR(INDEX(Clients!$B$5:$B$204,MATCH(C120,Clients!$A$5:$A$204,0)),"")="","Check - client ID not found",IF(AND(G120="",H120=""),"Add - size needed to price it",IF(AND(AF120&lt;&gt;"",AF120&gt;0.5),"Check - runs over the estimate",IF(N120="","Add - how do we get in?","OK"))))))</f>
        <v>0</v>
      </c>
    </row>
    <row r="121" spans="1:34">
      <c r="A121" s="43">
        <f>IF(B121="","",PropertyPrefix&amp;TEXT(ROW()-4,"0000"))</f>
        <v>0</v>
      </c>
      <c r="D121" s="23">
        <f>IF(C121="","",IFERROR(INDEX(Clients!$B$5:$B$204,MATCH(C121,Clients!$A$5:$A$204,0)),"Not found"))</f>
        <v>0</v>
      </c>
      <c r="W121" s="34">
        <f>IF(B121="","",MAX(IF(H121="",0,H121)*0.45+IF(I121="",0,I121)*0.6+IF(J121="",0,J121)*0.3,IF(G121="",0,G121)/650))</f>
        <v>0</v>
      </c>
      <c r="X121" s="34">
        <f>IF(B121="","",ROUND(MAX(1,W121)*IFERROR(INDEX(ConditionFactors,MATCH(L121,ConditionNames,0)),1),2))</f>
        <v>0</v>
      </c>
      <c r="Y121" s="34">
        <f>IF(B121="","",ROUND(X121/MAX(1,CleanersPerJob),2))</f>
        <v>0</v>
      </c>
      <c r="Z121" s="21">
        <f>IF(B121="","",MAX(MinimumCharge,ROUND(X121*IF(IFERROR(INDEX(Clients!$O$5:$O$204,MATCH(C121,Clients!$A$5:$A$204,0)),0)&gt;0,INDEX(Clients!$O$5:$O$204,MATCH(C121,Clients!$A$5:$A$204,0)),HourlyRate)+IF(M121="",0,IF(M121="None",0,PetSurcharge)),2)))</f>
        <v>0</v>
      </c>
      <c r="AA121" s="21">
        <f>IF(B121="","",ROUND(X121*CostPerHour,2))</f>
        <v>0</v>
      </c>
      <c r="AB121" s="38">
        <f>IF(B121="","",IF(Z121=0,"",(Z121-AA121-X121*SuppliesPerHour)/Z121))</f>
        <v>0</v>
      </c>
      <c r="AC121" s="31">
        <f>IF(A121="","",COUNTIFS(Jobs!$J$5:$J$604,A121))</f>
        <v>0</v>
      </c>
      <c r="AD121" s="18">
        <f>IF(A121="","",IF(SUMPRODUCT(MAX((Jobs!$J$5:$J$604=A121)*((Jobs!$P$5:$P$604="Completed")+(Jobs!$P$5:$P$604="Invoiced"))*Jobs!$B$5:$B$604))=0,"",SUMPRODUCT(MAX((Jobs!$J$5:$J$604=A121)*((Jobs!$P$5:$P$604="Completed")+(Jobs!$P$5:$P$604="Invoiced"))*Jobs!$B$5:$B$604))))</f>
        <v>0</v>
      </c>
      <c r="AE121" s="34">
        <f>IF(A121="","",IFERROR(AVERAGEIFS(Jobs!$AK$5:$AK$604,Jobs!$J$5:$J$604,A121,Jobs!$AK$5:$AK$604,"&gt;0"),""))</f>
        <v>0</v>
      </c>
      <c r="AF121" s="34">
        <f>IF(OR(AE121="",X121=""),"",AE121-X121)</f>
        <v>0</v>
      </c>
      <c r="AG121" s="21">
        <f>IF(A121="","",SUMIFS(Jobs!$AJ$5:$AJ$604,Jobs!$J$5:$J$604,A121,Jobs!$P$5:$P$604,"Invoiced")+SUMIFS(Jobs!$AJ$5:$AJ$604,Jobs!$J$5:$J$604,A121,Jobs!$P$5:$P$604,"Completed"))</f>
        <v>0</v>
      </c>
      <c r="AH121" s="39">
        <f>IF(B121="","",IF(C121="","Add - no client linked",IF(IFERROR(INDEX(Clients!$B$5:$B$204,MATCH(C121,Clients!$A$5:$A$204,0)),"")="","Check - client ID not found",IF(AND(G121="",H121=""),"Add - size needed to price it",IF(AND(AF121&lt;&gt;"",AF121&gt;0.5),"Check - runs over the estimate",IF(N121="","Add - how do we get in?","OK"))))))</f>
        <v>0</v>
      </c>
    </row>
    <row r="122" spans="1:34">
      <c r="A122" s="43">
        <f>IF(B122="","",PropertyPrefix&amp;TEXT(ROW()-4,"0000"))</f>
        <v>0</v>
      </c>
      <c r="D122" s="23">
        <f>IF(C122="","",IFERROR(INDEX(Clients!$B$5:$B$204,MATCH(C122,Clients!$A$5:$A$204,0)),"Not found"))</f>
        <v>0</v>
      </c>
      <c r="W122" s="34">
        <f>IF(B122="","",MAX(IF(H122="",0,H122)*0.45+IF(I122="",0,I122)*0.6+IF(J122="",0,J122)*0.3,IF(G122="",0,G122)/650))</f>
        <v>0</v>
      </c>
      <c r="X122" s="34">
        <f>IF(B122="","",ROUND(MAX(1,W122)*IFERROR(INDEX(ConditionFactors,MATCH(L122,ConditionNames,0)),1),2))</f>
        <v>0</v>
      </c>
      <c r="Y122" s="34">
        <f>IF(B122="","",ROUND(X122/MAX(1,CleanersPerJob),2))</f>
        <v>0</v>
      </c>
      <c r="Z122" s="21">
        <f>IF(B122="","",MAX(MinimumCharge,ROUND(X122*IF(IFERROR(INDEX(Clients!$O$5:$O$204,MATCH(C122,Clients!$A$5:$A$204,0)),0)&gt;0,INDEX(Clients!$O$5:$O$204,MATCH(C122,Clients!$A$5:$A$204,0)),HourlyRate)+IF(M122="",0,IF(M122="None",0,PetSurcharge)),2)))</f>
        <v>0</v>
      </c>
      <c r="AA122" s="21">
        <f>IF(B122="","",ROUND(X122*CostPerHour,2))</f>
        <v>0</v>
      </c>
      <c r="AB122" s="38">
        <f>IF(B122="","",IF(Z122=0,"",(Z122-AA122-X122*SuppliesPerHour)/Z122))</f>
        <v>0</v>
      </c>
      <c r="AC122" s="31">
        <f>IF(A122="","",COUNTIFS(Jobs!$J$5:$J$604,A122))</f>
        <v>0</v>
      </c>
      <c r="AD122" s="18">
        <f>IF(A122="","",IF(SUMPRODUCT(MAX((Jobs!$J$5:$J$604=A122)*((Jobs!$P$5:$P$604="Completed")+(Jobs!$P$5:$P$604="Invoiced"))*Jobs!$B$5:$B$604))=0,"",SUMPRODUCT(MAX((Jobs!$J$5:$J$604=A122)*((Jobs!$P$5:$P$604="Completed")+(Jobs!$P$5:$P$604="Invoiced"))*Jobs!$B$5:$B$604))))</f>
        <v>0</v>
      </c>
      <c r="AE122" s="34">
        <f>IF(A122="","",IFERROR(AVERAGEIFS(Jobs!$AK$5:$AK$604,Jobs!$J$5:$J$604,A122,Jobs!$AK$5:$AK$604,"&gt;0"),""))</f>
        <v>0</v>
      </c>
      <c r="AF122" s="34">
        <f>IF(OR(AE122="",X122=""),"",AE122-X122)</f>
        <v>0</v>
      </c>
      <c r="AG122" s="21">
        <f>IF(A122="","",SUMIFS(Jobs!$AJ$5:$AJ$604,Jobs!$J$5:$J$604,A122,Jobs!$P$5:$P$604,"Invoiced")+SUMIFS(Jobs!$AJ$5:$AJ$604,Jobs!$J$5:$J$604,A122,Jobs!$P$5:$P$604,"Completed"))</f>
        <v>0</v>
      </c>
      <c r="AH122" s="39">
        <f>IF(B122="","",IF(C122="","Add - no client linked",IF(IFERROR(INDEX(Clients!$B$5:$B$204,MATCH(C122,Clients!$A$5:$A$204,0)),"")="","Check - client ID not found",IF(AND(G122="",H122=""),"Add - size needed to price it",IF(AND(AF122&lt;&gt;"",AF122&gt;0.5),"Check - runs over the estimate",IF(N122="","Add - how do we get in?","OK"))))))</f>
        <v>0</v>
      </c>
    </row>
    <row r="123" spans="1:34">
      <c r="A123" s="43">
        <f>IF(B123="","",PropertyPrefix&amp;TEXT(ROW()-4,"0000"))</f>
        <v>0</v>
      </c>
      <c r="D123" s="23">
        <f>IF(C123="","",IFERROR(INDEX(Clients!$B$5:$B$204,MATCH(C123,Clients!$A$5:$A$204,0)),"Not found"))</f>
        <v>0</v>
      </c>
      <c r="W123" s="34">
        <f>IF(B123="","",MAX(IF(H123="",0,H123)*0.45+IF(I123="",0,I123)*0.6+IF(J123="",0,J123)*0.3,IF(G123="",0,G123)/650))</f>
        <v>0</v>
      </c>
      <c r="X123" s="34">
        <f>IF(B123="","",ROUND(MAX(1,W123)*IFERROR(INDEX(ConditionFactors,MATCH(L123,ConditionNames,0)),1),2))</f>
        <v>0</v>
      </c>
      <c r="Y123" s="34">
        <f>IF(B123="","",ROUND(X123/MAX(1,CleanersPerJob),2))</f>
        <v>0</v>
      </c>
      <c r="Z123" s="21">
        <f>IF(B123="","",MAX(MinimumCharge,ROUND(X123*IF(IFERROR(INDEX(Clients!$O$5:$O$204,MATCH(C123,Clients!$A$5:$A$204,0)),0)&gt;0,INDEX(Clients!$O$5:$O$204,MATCH(C123,Clients!$A$5:$A$204,0)),HourlyRate)+IF(M123="",0,IF(M123="None",0,PetSurcharge)),2)))</f>
        <v>0</v>
      </c>
      <c r="AA123" s="21">
        <f>IF(B123="","",ROUND(X123*CostPerHour,2))</f>
        <v>0</v>
      </c>
      <c r="AB123" s="38">
        <f>IF(B123="","",IF(Z123=0,"",(Z123-AA123-X123*SuppliesPerHour)/Z123))</f>
        <v>0</v>
      </c>
      <c r="AC123" s="31">
        <f>IF(A123="","",COUNTIFS(Jobs!$J$5:$J$604,A123))</f>
        <v>0</v>
      </c>
      <c r="AD123" s="18">
        <f>IF(A123="","",IF(SUMPRODUCT(MAX((Jobs!$J$5:$J$604=A123)*((Jobs!$P$5:$P$604="Completed")+(Jobs!$P$5:$P$604="Invoiced"))*Jobs!$B$5:$B$604))=0,"",SUMPRODUCT(MAX((Jobs!$J$5:$J$604=A123)*((Jobs!$P$5:$P$604="Completed")+(Jobs!$P$5:$P$604="Invoiced"))*Jobs!$B$5:$B$604))))</f>
        <v>0</v>
      </c>
      <c r="AE123" s="34">
        <f>IF(A123="","",IFERROR(AVERAGEIFS(Jobs!$AK$5:$AK$604,Jobs!$J$5:$J$604,A123,Jobs!$AK$5:$AK$604,"&gt;0"),""))</f>
        <v>0</v>
      </c>
      <c r="AF123" s="34">
        <f>IF(OR(AE123="",X123=""),"",AE123-X123)</f>
        <v>0</v>
      </c>
      <c r="AG123" s="21">
        <f>IF(A123="","",SUMIFS(Jobs!$AJ$5:$AJ$604,Jobs!$J$5:$J$604,A123,Jobs!$P$5:$P$604,"Invoiced")+SUMIFS(Jobs!$AJ$5:$AJ$604,Jobs!$J$5:$J$604,A123,Jobs!$P$5:$P$604,"Completed"))</f>
        <v>0</v>
      </c>
      <c r="AH123" s="39">
        <f>IF(B123="","",IF(C123="","Add - no client linked",IF(IFERROR(INDEX(Clients!$B$5:$B$204,MATCH(C123,Clients!$A$5:$A$204,0)),"")="","Check - client ID not found",IF(AND(G123="",H123=""),"Add - size needed to price it",IF(AND(AF123&lt;&gt;"",AF123&gt;0.5),"Check - runs over the estimate",IF(N123="","Add - how do we get in?","OK"))))))</f>
        <v>0</v>
      </c>
    </row>
    <row r="124" spans="1:34">
      <c r="A124" s="43">
        <f>IF(B124="","",PropertyPrefix&amp;TEXT(ROW()-4,"0000"))</f>
        <v>0</v>
      </c>
      <c r="D124" s="23">
        <f>IF(C124="","",IFERROR(INDEX(Clients!$B$5:$B$204,MATCH(C124,Clients!$A$5:$A$204,0)),"Not found"))</f>
        <v>0</v>
      </c>
      <c r="W124" s="34">
        <f>IF(B124="","",MAX(IF(H124="",0,H124)*0.45+IF(I124="",0,I124)*0.6+IF(J124="",0,J124)*0.3,IF(G124="",0,G124)/650))</f>
        <v>0</v>
      </c>
      <c r="X124" s="34">
        <f>IF(B124="","",ROUND(MAX(1,W124)*IFERROR(INDEX(ConditionFactors,MATCH(L124,ConditionNames,0)),1),2))</f>
        <v>0</v>
      </c>
      <c r="Y124" s="34">
        <f>IF(B124="","",ROUND(X124/MAX(1,CleanersPerJob),2))</f>
        <v>0</v>
      </c>
      <c r="Z124" s="21">
        <f>IF(B124="","",MAX(MinimumCharge,ROUND(X124*IF(IFERROR(INDEX(Clients!$O$5:$O$204,MATCH(C124,Clients!$A$5:$A$204,0)),0)&gt;0,INDEX(Clients!$O$5:$O$204,MATCH(C124,Clients!$A$5:$A$204,0)),HourlyRate)+IF(M124="",0,IF(M124="None",0,PetSurcharge)),2)))</f>
        <v>0</v>
      </c>
      <c r="AA124" s="21">
        <f>IF(B124="","",ROUND(X124*CostPerHour,2))</f>
        <v>0</v>
      </c>
      <c r="AB124" s="38">
        <f>IF(B124="","",IF(Z124=0,"",(Z124-AA124-X124*SuppliesPerHour)/Z124))</f>
        <v>0</v>
      </c>
      <c r="AC124" s="31">
        <f>IF(A124="","",COUNTIFS(Jobs!$J$5:$J$604,A124))</f>
        <v>0</v>
      </c>
      <c r="AD124" s="18">
        <f>IF(A124="","",IF(SUMPRODUCT(MAX((Jobs!$J$5:$J$604=A124)*((Jobs!$P$5:$P$604="Completed")+(Jobs!$P$5:$P$604="Invoiced"))*Jobs!$B$5:$B$604))=0,"",SUMPRODUCT(MAX((Jobs!$J$5:$J$604=A124)*((Jobs!$P$5:$P$604="Completed")+(Jobs!$P$5:$P$604="Invoiced"))*Jobs!$B$5:$B$604))))</f>
        <v>0</v>
      </c>
      <c r="AE124" s="34">
        <f>IF(A124="","",IFERROR(AVERAGEIFS(Jobs!$AK$5:$AK$604,Jobs!$J$5:$J$604,A124,Jobs!$AK$5:$AK$604,"&gt;0"),""))</f>
        <v>0</v>
      </c>
      <c r="AF124" s="34">
        <f>IF(OR(AE124="",X124=""),"",AE124-X124)</f>
        <v>0</v>
      </c>
      <c r="AG124" s="21">
        <f>IF(A124="","",SUMIFS(Jobs!$AJ$5:$AJ$604,Jobs!$J$5:$J$604,A124,Jobs!$P$5:$P$604,"Invoiced")+SUMIFS(Jobs!$AJ$5:$AJ$604,Jobs!$J$5:$J$604,A124,Jobs!$P$5:$P$604,"Completed"))</f>
        <v>0</v>
      </c>
      <c r="AH124" s="39">
        <f>IF(B124="","",IF(C124="","Add - no client linked",IF(IFERROR(INDEX(Clients!$B$5:$B$204,MATCH(C124,Clients!$A$5:$A$204,0)),"")="","Check - client ID not found",IF(AND(G124="",H124=""),"Add - size needed to price it",IF(AND(AF124&lt;&gt;"",AF124&gt;0.5),"Check - runs over the estimate",IF(N124="","Add - how do we get in?","OK"))))))</f>
        <v>0</v>
      </c>
    </row>
    <row r="125" spans="1:34">
      <c r="A125" s="43">
        <f>IF(B125="","",PropertyPrefix&amp;TEXT(ROW()-4,"0000"))</f>
        <v>0</v>
      </c>
      <c r="D125" s="23">
        <f>IF(C125="","",IFERROR(INDEX(Clients!$B$5:$B$204,MATCH(C125,Clients!$A$5:$A$204,0)),"Not found"))</f>
        <v>0</v>
      </c>
      <c r="W125" s="34">
        <f>IF(B125="","",MAX(IF(H125="",0,H125)*0.45+IF(I125="",0,I125)*0.6+IF(J125="",0,J125)*0.3,IF(G125="",0,G125)/650))</f>
        <v>0</v>
      </c>
      <c r="X125" s="34">
        <f>IF(B125="","",ROUND(MAX(1,W125)*IFERROR(INDEX(ConditionFactors,MATCH(L125,ConditionNames,0)),1),2))</f>
        <v>0</v>
      </c>
      <c r="Y125" s="34">
        <f>IF(B125="","",ROUND(X125/MAX(1,CleanersPerJob),2))</f>
        <v>0</v>
      </c>
      <c r="Z125" s="21">
        <f>IF(B125="","",MAX(MinimumCharge,ROUND(X125*IF(IFERROR(INDEX(Clients!$O$5:$O$204,MATCH(C125,Clients!$A$5:$A$204,0)),0)&gt;0,INDEX(Clients!$O$5:$O$204,MATCH(C125,Clients!$A$5:$A$204,0)),HourlyRate)+IF(M125="",0,IF(M125="None",0,PetSurcharge)),2)))</f>
        <v>0</v>
      </c>
      <c r="AA125" s="21">
        <f>IF(B125="","",ROUND(X125*CostPerHour,2))</f>
        <v>0</v>
      </c>
      <c r="AB125" s="38">
        <f>IF(B125="","",IF(Z125=0,"",(Z125-AA125-X125*SuppliesPerHour)/Z125))</f>
        <v>0</v>
      </c>
      <c r="AC125" s="31">
        <f>IF(A125="","",COUNTIFS(Jobs!$J$5:$J$604,A125))</f>
        <v>0</v>
      </c>
      <c r="AD125" s="18">
        <f>IF(A125="","",IF(SUMPRODUCT(MAX((Jobs!$J$5:$J$604=A125)*((Jobs!$P$5:$P$604="Completed")+(Jobs!$P$5:$P$604="Invoiced"))*Jobs!$B$5:$B$604))=0,"",SUMPRODUCT(MAX((Jobs!$J$5:$J$604=A125)*((Jobs!$P$5:$P$604="Completed")+(Jobs!$P$5:$P$604="Invoiced"))*Jobs!$B$5:$B$604))))</f>
        <v>0</v>
      </c>
      <c r="AE125" s="34">
        <f>IF(A125="","",IFERROR(AVERAGEIFS(Jobs!$AK$5:$AK$604,Jobs!$J$5:$J$604,A125,Jobs!$AK$5:$AK$604,"&gt;0"),""))</f>
        <v>0</v>
      </c>
      <c r="AF125" s="34">
        <f>IF(OR(AE125="",X125=""),"",AE125-X125)</f>
        <v>0</v>
      </c>
      <c r="AG125" s="21">
        <f>IF(A125="","",SUMIFS(Jobs!$AJ$5:$AJ$604,Jobs!$J$5:$J$604,A125,Jobs!$P$5:$P$604,"Invoiced")+SUMIFS(Jobs!$AJ$5:$AJ$604,Jobs!$J$5:$J$604,A125,Jobs!$P$5:$P$604,"Completed"))</f>
        <v>0</v>
      </c>
      <c r="AH125" s="39">
        <f>IF(B125="","",IF(C125="","Add - no client linked",IF(IFERROR(INDEX(Clients!$B$5:$B$204,MATCH(C125,Clients!$A$5:$A$204,0)),"")="","Check - client ID not found",IF(AND(G125="",H125=""),"Add - size needed to price it",IF(AND(AF125&lt;&gt;"",AF125&gt;0.5),"Check - runs over the estimate",IF(N125="","Add - how do we get in?","OK"))))))</f>
        <v>0</v>
      </c>
    </row>
    <row r="126" spans="1:34">
      <c r="A126" s="43">
        <f>IF(B126="","",PropertyPrefix&amp;TEXT(ROW()-4,"0000"))</f>
        <v>0</v>
      </c>
      <c r="D126" s="23">
        <f>IF(C126="","",IFERROR(INDEX(Clients!$B$5:$B$204,MATCH(C126,Clients!$A$5:$A$204,0)),"Not found"))</f>
        <v>0</v>
      </c>
      <c r="W126" s="34">
        <f>IF(B126="","",MAX(IF(H126="",0,H126)*0.45+IF(I126="",0,I126)*0.6+IF(J126="",0,J126)*0.3,IF(G126="",0,G126)/650))</f>
        <v>0</v>
      </c>
      <c r="X126" s="34">
        <f>IF(B126="","",ROUND(MAX(1,W126)*IFERROR(INDEX(ConditionFactors,MATCH(L126,ConditionNames,0)),1),2))</f>
        <v>0</v>
      </c>
      <c r="Y126" s="34">
        <f>IF(B126="","",ROUND(X126/MAX(1,CleanersPerJob),2))</f>
        <v>0</v>
      </c>
      <c r="Z126" s="21">
        <f>IF(B126="","",MAX(MinimumCharge,ROUND(X126*IF(IFERROR(INDEX(Clients!$O$5:$O$204,MATCH(C126,Clients!$A$5:$A$204,0)),0)&gt;0,INDEX(Clients!$O$5:$O$204,MATCH(C126,Clients!$A$5:$A$204,0)),HourlyRate)+IF(M126="",0,IF(M126="None",0,PetSurcharge)),2)))</f>
        <v>0</v>
      </c>
      <c r="AA126" s="21">
        <f>IF(B126="","",ROUND(X126*CostPerHour,2))</f>
        <v>0</v>
      </c>
      <c r="AB126" s="38">
        <f>IF(B126="","",IF(Z126=0,"",(Z126-AA126-X126*SuppliesPerHour)/Z126))</f>
        <v>0</v>
      </c>
      <c r="AC126" s="31">
        <f>IF(A126="","",COUNTIFS(Jobs!$J$5:$J$604,A126))</f>
        <v>0</v>
      </c>
      <c r="AD126" s="18">
        <f>IF(A126="","",IF(SUMPRODUCT(MAX((Jobs!$J$5:$J$604=A126)*((Jobs!$P$5:$P$604="Completed")+(Jobs!$P$5:$P$604="Invoiced"))*Jobs!$B$5:$B$604))=0,"",SUMPRODUCT(MAX((Jobs!$J$5:$J$604=A126)*((Jobs!$P$5:$P$604="Completed")+(Jobs!$P$5:$P$604="Invoiced"))*Jobs!$B$5:$B$604))))</f>
        <v>0</v>
      </c>
      <c r="AE126" s="34">
        <f>IF(A126="","",IFERROR(AVERAGEIFS(Jobs!$AK$5:$AK$604,Jobs!$J$5:$J$604,A126,Jobs!$AK$5:$AK$604,"&gt;0"),""))</f>
        <v>0</v>
      </c>
      <c r="AF126" s="34">
        <f>IF(OR(AE126="",X126=""),"",AE126-X126)</f>
        <v>0</v>
      </c>
      <c r="AG126" s="21">
        <f>IF(A126="","",SUMIFS(Jobs!$AJ$5:$AJ$604,Jobs!$J$5:$J$604,A126,Jobs!$P$5:$P$604,"Invoiced")+SUMIFS(Jobs!$AJ$5:$AJ$604,Jobs!$J$5:$J$604,A126,Jobs!$P$5:$P$604,"Completed"))</f>
        <v>0</v>
      </c>
      <c r="AH126" s="39">
        <f>IF(B126="","",IF(C126="","Add - no client linked",IF(IFERROR(INDEX(Clients!$B$5:$B$204,MATCH(C126,Clients!$A$5:$A$204,0)),"")="","Check - client ID not found",IF(AND(G126="",H126=""),"Add - size needed to price it",IF(AND(AF126&lt;&gt;"",AF126&gt;0.5),"Check - runs over the estimate",IF(N126="","Add - how do we get in?","OK"))))))</f>
        <v>0</v>
      </c>
    </row>
    <row r="127" spans="1:34">
      <c r="A127" s="43">
        <f>IF(B127="","",PropertyPrefix&amp;TEXT(ROW()-4,"0000"))</f>
        <v>0</v>
      </c>
      <c r="D127" s="23">
        <f>IF(C127="","",IFERROR(INDEX(Clients!$B$5:$B$204,MATCH(C127,Clients!$A$5:$A$204,0)),"Not found"))</f>
        <v>0</v>
      </c>
      <c r="W127" s="34">
        <f>IF(B127="","",MAX(IF(H127="",0,H127)*0.45+IF(I127="",0,I127)*0.6+IF(J127="",0,J127)*0.3,IF(G127="",0,G127)/650))</f>
        <v>0</v>
      </c>
      <c r="X127" s="34">
        <f>IF(B127="","",ROUND(MAX(1,W127)*IFERROR(INDEX(ConditionFactors,MATCH(L127,ConditionNames,0)),1),2))</f>
        <v>0</v>
      </c>
      <c r="Y127" s="34">
        <f>IF(B127="","",ROUND(X127/MAX(1,CleanersPerJob),2))</f>
        <v>0</v>
      </c>
      <c r="Z127" s="21">
        <f>IF(B127="","",MAX(MinimumCharge,ROUND(X127*IF(IFERROR(INDEX(Clients!$O$5:$O$204,MATCH(C127,Clients!$A$5:$A$204,0)),0)&gt;0,INDEX(Clients!$O$5:$O$204,MATCH(C127,Clients!$A$5:$A$204,0)),HourlyRate)+IF(M127="",0,IF(M127="None",0,PetSurcharge)),2)))</f>
        <v>0</v>
      </c>
      <c r="AA127" s="21">
        <f>IF(B127="","",ROUND(X127*CostPerHour,2))</f>
        <v>0</v>
      </c>
      <c r="AB127" s="38">
        <f>IF(B127="","",IF(Z127=0,"",(Z127-AA127-X127*SuppliesPerHour)/Z127))</f>
        <v>0</v>
      </c>
      <c r="AC127" s="31">
        <f>IF(A127="","",COUNTIFS(Jobs!$J$5:$J$604,A127))</f>
        <v>0</v>
      </c>
      <c r="AD127" s="18">
        <f>IF(A127="","",IF(SUMPRODUCT(MAX((Jobs!$J$5:$J$604=A127)*((Jobs!$P$5:$P$604="Completed")+(Jobs!$P$5:$P$604="Invoiced"))*Jobs!$B$5:$B$604))=0,"",SUMPRODUCT(MAX((Jobs!$J$5:$J$604=A127)*((Jobs!$P$5:$P$604="Completed")+(Jobs!$P$5:$P$604="Invoiced"))*Jobs!$B$5:$B$604))))</f>
        <v>0</v>
      </c>
      <c r="AE127" s="34">
        <f>IF(A127="","",IFERROR(AVERAGEIFS(Jobs!$AK$5:$AK$604,Jobs!$J$5:$J$604,A127,Jobs!$AK$5:$AK$604,"&gt;0"),""))</f>
        <v>0</v>
      </c>
      <c r="AF127" s="34">
        <f>IF(OR(AE127="",X127=""),"",AE127-X127)</f>
        <v>0</v>
      </c>
      <c r="AG127" s="21">
        <f>IF(A127="","",SUMIFS(Jobs!$AJ$5:$AJ$604,Jobs!$J$5:$J$604,A127,Jobs!$P$5:$P$604,"Invoiced")+SUMIFS(Jobs!$AJ$5:$AJ$604,Jobs!$J$5:$J$604,A127,Jobs!$P$5:$P$604,"Completed"))</f>
        <v>0</v>
      </c>
      <c r="AH127" s="39">
        <f>IF(B127="","",IF(C127="","Add - no client linked",IF(IFERROR(INDEX(Clients!$B$5:$B$204,MATCH(C127,Clients!$A$5:$A$204,0)),"")="","Check - client ID not found",IF(AND(G127="",H127=""),"Add - size needed to price it",IF(AND(AF127&lt;&gt;"",AF127&gt;0.5),"Check - runs over the estimate",IF(N127="","Add - how do we get in?","OK"))))))</f>
        <v>0</v>
      </c>
    </row>
    <row r="128" spans="1:34">
      <c r="A128" s="43">
        <f>IF(B128="","",PropertyPrefix&amp;TEXT(ROW()-4,"0000"))</f>
        <v>0</v>
      </c>
      <c r="D128" s="23">
        <f>IF(C128="","",IFERROR(INDEX(Clients!$B$5:$B$204,MATCH(C128,Clients!$A$5:$A$204,0)),"Not found"))</f>
        <v>0</v>
      </c>
      <c r="W128" s="34">
        <f>IF(B128="","",MAX(IF(H128="",0,H128)*0.45+IF(I128="",0,I128)*0.6+IF(J128="",0,J128)*0.3,IF(G128="",0,G128)/650))</f>
        <v>0</v>
      </c>
      <c r="X128" s="34">
        <f>IF(B128="","",ROUND(MAX(1,W128)*IFERROR(INDEX(ConditionFactors,MATCH(L128,ConditionNames,0)),1),2))</f>
        <v>0</v>
      </c>
      <c r="Y128" s="34">
        <f>IF(B128="","",ROUND(X128/MAX(1,CleanersPerJob),2))</f>
        <v>0</v>
      </c>
      <c r="Z128" s="21">
        <f>IF(B128="","",MAX(MinimumCharge,ROUND(X128*IF(IFERROR(INDEX(Clients!$O$5:$O$204,MATCH(C128,Clients!$A$5:$A$204,0)),0)&gt;0,INDEX(Clients!$O$5:$O$204,MATCH(C128,Clients!$A$5:$A$204,0)),HourlyRate)+IF(M128="",0,IF(M128="None",0,PetSurcharge)),2)))</f>
        <v>0</v>
      </c>
      <c r="AA128" s="21">
        <f>IF(B128="","",ROUND(X128*CostPerHour,2))</f>
        <v>0</v>
      </c>
      <c r="AB128" s="38">
        <f>IF(B128="","",IF(Z128=0,"",(Z128-AA128-X128*SuppliesPerHour)/Z128))</f>
        <v>0</v>
      </c>
      <c r="AC128" s="31">
        <f>IF(A128="","",COUNTIFS(Jobs!$J$5:$J$604,A128))</f>
        <v>0</v>
      </c>
      <c r="AD128" s="18">
        <f>IF(A128="","",IF(SUMPRODUCT(MAX((Jobs!$J$5:$J$604=A128)*((Jobs!$P$5:$P$604="Completed")+(Jobs!$P$5:$P$604="Invoiced"))*Jobs!$B$5:$B$604))=0,"",SUMPRODUCT(MAX((Jobs!$J$5:$J$604=A128)*((Jobs!$P$5:$P$604="Completed")+(Jobs!$P$5:$P$604="Invoiced"))*Jobs!$B$5:$B$604))))</f>
        <v>0</v>
      </c>
      <c r="AE128" s="34">
        <f>IF(A128="","",IFERROR(AVERAGEIFS(Jobs!$AK$5:$AK$604,Jobs!$J$5:$J$604,A128,Jobs!$AK$5:$AK$604,"&gt;0"),""))</f>
        <v>0</v>
      </c>
      <c r="AF128" s="34">
        <f>IF(OR(AE128="",X128=""),"",AE128-X128)</f>
        <v>0</v>
      </c>
      <c r="AG128" s="21">
        <f>IF(A128="","",SUMIFS(Jobs!$AJ$5:$AJ$604,Jobs!$J$5:$J$604,A128,Jobs!$P$5:$P$604,"Invoiced")+SUMIFS(Jobs!$AJ$5:$AJ$604,Jobs!$J$5:$J$604,A128,Jobs!$P$5:$P$604,"Completed"))</f>
        <v>0</v>
      </c>
      <c r="AH128" s="39">
        <f>IF(B128="","",IF(C128="","Add - no client linked",IF(IFERROR(INDEX(Clients!$B$5:$B$204,MATCH(C128,Clients!$A$5:$A$204,0)),"")="","Check - client ID not found",IF(AND(G128="",H128=""),"Add - size needed to price it",IF(AND(AF128&lt;&gt;"",AF128&gt;0.5),"Check - runs over the estimate",IF(N128="","Add - how do we get in?","OK"))))))</f>
        <v>0</v>
      </c>
    </row>
    <row r="129" spans="1:34">
      <c r="A129" s="43">
        <f>IF(B129="","",PropertyPrefix&amp;TEXT(ROW()-4,"0000"))</f>
        <v>0</v>
      </c>
      <c r="D129" s="23">
        <f>IF(C129="","",IFERROR(INDEX(Clients!$B$5:$B$204,MATCH(C129,Clients!$A$5:$A$204,0)),"Not found"))</f>
        <v>0</v>
      </c>
      <c r="W129" s="34">
        <f>IF(B129="","",MAX(IF(H129="",0,H129)*0.45+IF(I129="",0,I129)*0.6+IF(J129="",0,J129)*0.3,IF(G129="",0,G129)/650))</f>
        <v>0</v>
      </c>
      <c r="X129" s="34">
        <f>IF(B129="","",ROUND(MAX(1,W129)*IFERROR(INDEX(ConditionFactors,MATCH(L129,ConditionNames,0)),1),2))</f>
        <v>0</v>
      </c>
      <c r="Y129" s="34">
        <f>IF(B129="","",ROUND(X129/MAX(1,CleanersPerJob),2))</f>
        <v>0</v>
      </c>
      <c r="Z129" s="21">
        <f>IF(B129="","",MAX(MinimumCharge,ROUND(X129*IF(IFERROR(INDEX(Clients!$O$5:$O$204,MATCH(C129,Clients!$A$5:$A$204,0)),0)&gt;0,INDEX(Clients!$O$5:$O$204,MATCH(C129,Clients!$A$5:$A$204,0)),HourlyRate)+IF(M129="",0,IF(M129="None",0,PetSurcharge)),2)))</f>
        <v>0</v>
      </c>
      <c r="AA129" s="21">
        <f>IF(B129="","",ROUND(X129*CostPerHour,2))</f>
        <v>0</v>
      </c>
      <c r="AB129" s="38">
        <f>IF(B129="","",IF(Z129=0,"",(Z129-AA129-X129*SuppliesPerHour)/Z129))</f>
        <v>0</v>
      </c>
      <c r="AC129" s="31">
        <f>IF(A129="","",COUNTIFS(Jobs!$J$5:$J$604,A129))</f>
        <v>0</v>
      </c>
      <c r="AD129" s="18">
        <f>IF(A129="","",IF(SUMPRODUCT(MAX((Jobs!$J$5:$J$604=A129)*((Jobs!$P$5:$P$604="Completed")+(Jobs!$P$5:$P$604="Invoiced"))*Jobs!$B$5:$B$604))=0,"",SUMPRODUCT(MAX((Jobs!$J$5:$J$604=A129)*((Jobs!$P$5:$P$604="Completed")+(Jobs!$P$5:$P$604="Invoiced"))*Jobs!$B$5:$B$604))))</f>
        <v>0</v>
      </c>
      <c r="AE129" s="34">
        <f>IF(A129="","",IFERROR(AVERAGEIFS(Jobs!$AK$5:$AK$604,Jobs!$J$5:$J$604,A129,Jobs!$AK$5:$AK$604,"&gt;0"),""))</f>
        <v>0</v>
      </c>
      <c r="AF129" s="34">
        <f>IF(OR(AE129="",X129=""),"",AE129-X129)</f>
        <v>0</v>
      </c>
      <c r="AG129" s="21">
        <f>IF(A129="","",SUMIFS(Jobs!$AJ$5:$AJ$604,Jobs!$J$5:$J$604,A129,Jobs!$P$5:$P$604,"Invoiced")+SUMIFS(Jobs!$AJ$5:$AJ$604,Jobs!$J$5:$J$604,A129,Jobs!$P$5:$P$604,"Completed"))</f>
        <v>0</v>
      </c>
      <c r="AH129" s="39">
        <f>IF(B129="","",IF(C129="","Add - no client linked",IF(IFERROR(INDEX(Clients!$B$5:$B$204,MATCH(C129,Clients!$A$5:$A$204,0)),"")="","Check - client ID not found",IF(AND(G129="",H129=""),"Add - size needed to price it",IF(AND(AF129&lt;&gt;"",AF129&gt;0.5),"Check - runs over the estimate",IF(N129="","Add - how do we get in?","OK"))))))</f>
        <v>0</v>
      </c>
    </row>
    <row r="130" spans="1:34">
      <c r="A130" s="43">
        <f>IF(B130="","",PropertyPrefix&amp;TEXT(ROW()-4,"0000"))</f>
        <v>0</v>
      </c>
      <c r="D130" s="23">
        <f>IF(C130="","",IFERROR(INDEX(Clients!$B$5:$B$204,MATCH(C130,Clients!$A$5:$A$204,0)),"Not found"))</f>
        <v>0</v>
      </c>
      <c r="W130" s="34">
        <f>IF(B130="","",MAX(IF(H130="",0,H130)*0.45+IF(I130="",0,I130)*0.6+IF(J130="",0,J130)*0.3,IF(G130="",0,G130)/650))</f>
        <v>0</v>
      </c>
      <c r="X130" s="34">
        <f>IF(B130="","",ROUND(MAX(1,W130)*IFERROR(INDEX(ConditionFactors,MATCH(L130,ConditionNames,0)),1),2))</f>
        <v>0</v>
      </c>
      <c r="Y130" s="34">
        <f>IF(B130="","",ROUND(X130/MAX(1,CleanersPerJob),2))</f>
        <v>0</v>
      </c>
      <c r="Z130" s="21">
        <f>IF(B130="","",MAX(MinimumCharge,ROUND(X130*IF(IFERROR(INDEX(Clients!$O$5:$O$204,MATCH(C130,Clients!$A$5:$A$204,0)),0)&gt;0,INDEX(Clients!$O$5:$O$204,MATCH(C130,Clients!$A$5:$A$204,0)),HourlyRate)+IF(M130="",0,IF(M130="None",0,PetSurcharge)),2)))</f>
        <v>0</v>
      </c>
      <c r="AA130" s="21">
        <f>IF(B130="","",ROUND(X130*CostPerHour,2))</f>
        <v>0</v>
      </c>
      <c r="AB130" s="38">
        <f>IF(B130="","",IF(Z130=0,"",(Z130-AA130-X130*SuppliesPerHour)/Z130))</f>
        <v>0</v>
      </c>
      <c r="AC130" s="31">
        <f>IF(A130="","",COUNTIFS(Jobs!$J$5:$J$604,A130))</f>
        <v>0</v>
      </c>
      <c r="AD130" s="18">
        <f>IF(A130="","",IF(SUMPRODUCT(MAX((Jobs!$J$5:$J$604=A130)*((Jobs!$P$5:$P$604="Completed")+(Jobs!$P$5:$P$604="Invoiced"))*Jobs!$B$5:$B$604))=0,"",SUMPRODUCT(MAX((Jobs!$J$5:$J$604=A130)*((Jobs!$P$5:$P$604="Completed")+(Jobs!$P$5:$P$604="Invoiced"))*Jobs!$B$5:$B$604))))</f>
        <v>0</v>
      </c>
      <c r="AE130" s="34">
        <f>IF(A130="","",IFERROR(AVERAGEIFS(Jobs!$AK$5:$AK$604,Jobs!$J$5:$J$604,A130,Jobs!$AK$5:$AK$604,"&gt;0"),""))</f>
        <v>0</v>
      </c>
      <c r="AF130" s="34">
        <f>IF(OR(AE130="",X130=""),"",AE130-X130)</f>
        <v>0</v>
      </c>
      <c r="AG130" s="21">
        <f>IF(A130="","",SUMIFS(Jobs!$AJ$5:$AJ$604,Jobs!$J$5:$J$604,A130,Jobs!$P$5:$P$604,"Invoiced")+SUMIFS(Jobs!$AJ$5:$AJ$604,Jobs!$J$5:$J$604,A130,Jobs!$P$5:$P$604,"Completed"))</f>
        <v>0</v>
      </c>
      <c r="AH130" s="39">
        <f>IF(B130="","",IF(C130="","Add - no client linked",IF(IFERROR(INDEX(Clients!$B$5:$B$204,MATCH(C130,Clients!$A$5:$A$204,0)),"")="","Check - client ID not found",IF(AND(G130="",H130=""),"Add - size needed to price it",IF(AND(AF130&lt;&gt;"",AF130&gt;0.5),"Check - runs over the estimate",IF(N130="","Add - how do we get in?","OK"))))))</f>
        <v>0</v>
      </c>
    </row>
    <row r="131" spans="1:34">
      <c r="A131" s="43">
        <f>IF(B131="","",PropertyPrefix&amp;TEXT(ROW()-4,"0000"))</f>
        <v>0</v>
      </c>
      <c r="D131" s="23">
        <f>IF(C131="","",IFERROR(INDEX(Clients!$B$5:$B$204,MATCH(C131,Clients!$A$5:$A$204,0)),"Not found"))</f>
        <v>0</v>
      </c>
      <c r="W131" s="34">
        <f>IF(B131="","",MAX(IF(H131="",0,H131)*0.45+IF(I131="",0,I131)*0.6+IF(J131="",0,J131)*0.3,IF(G131="",0,G131)/650))</f>
        <v>0</v>
      </c>
      <c r="X131" s="34">
        <f>IF(B131="","",ROUND(MAX(1,W131)*IFERROR(INDEX(ConditionFactors,MATCH(L131,ConditionNames,0)),1),2))</f>
        <v>0</v>
      </c>
      <c r="Y131" s="34">
        <f>IF(B131="","",ROUND(X131/MAX(1,CleanersPerJob),2))</f>
        <v>0</v>
      </c>
      <c r="Z131" s="21">
        <f>IF(B131="","",MAX(MinimumCharge,ROUND(X131*IF(IFERROR(INDEX(Clients!$O$5:$O$204,MATCH(C131,Clients!$A$5:$A$204,0)),0)&gt;0,INDEX(Clients!$O$5:$O$204,MATCH(C131,Clients!$A$5:$A$204,0)),HourlyRate)+IF(M131="",0,IF(M131="None",0,PetSurcharge)),2)))</f>
        <v>0</v>
      </c>
      <c r="AA131" s="21">
        <f>IF(B131="","",ROUND(X131*CostPerHour,2))</f>
        <v>0</v>
      </c>
      <c r="AB131" s="38">
        <f>IF(B131="","",IF(Z131=0,"",(Z131-AA131-X131*SuppliesPerHour)/Z131))</f>
        <v>0</v>
      </c>
      <c r="AC131" s="31">
        <f>IF(A131="","",COUNTIFS(Jobs!$J$5:$J$604,A131))</f>
        <v>0</v>
      </c>
      <c r="AD131" s="18">
        <f>IF(A131="","",IF(SUMPRODUCT(MAX((Jobs!$J$5:$J$604=A131)*((Jobs!$P$5:$P$604="Completed")+(Jobs!$P$5:$P$604="Invoiced"))*Jobs!$B$5:$B$604))=0,"",SUMPRODUCT(MAX((Jobs!$J$5:$J$604=A131)*((Jobs!$P$5:$P$604="Completed")+(Jobs!$P$5:$P$604="Invoiced"))*Jobs!$B$5:$B$604))))</f>
        <v>0</v>
      </c>
      <c r="AE131" s="34">
        <f>IF(A131="","",IFERROR(AVERAGEIFS(Jobs!$AK$5:$AK$604,Jobs!$J$5:$J$604,A131,Jobs!$AK$5:$AK$604,"&gt;0"),""))</f>
        <v>0</v>
      </c>
      <c r="AF131" s="34">
        <f>IF(OR(AE131="",X131=""),"",AE131-X131)</f>
        <v>0</v>
      </c>
      <c r="AG131" s="21">
        <f>IF(A131="","",SUMIFS(Jobs!$AJ$5:$AJ$604,Jobs!$J$5:$J$604,A131,Jobs!$P$5:$P$604,"Invoiced")+SUMIFS(Jobs!$AJ$5:$AJ$604,Jobs!$J$5:$J$604,A131,Jobs!$P$5:$P$604,"Completed"))</f>
        <v>0</v>
      </c>
      <c r="AH131" s="39">
        <f>IF(B131="","",IF(C131="","Add - no client linked",IF(IFERROR(INDEX(Clients!$B$5:$B$204,MATCH(C131,Clients!$A$5:$A$204,0)),"")="","Check - client ID not found",IF(AND(G131="",H131=""),"Add - size needed to price it",IF(AND(AF131&lt;&gt;"",AF131&gt;0.5),"Check - runs over the estimate",IF(N131="","Add - how do we get in?","OK"))))))</f>
        <v>0</v>
      </c>
    </row>
    <row r="132" spans="1:34">
      <c r="A132" s="43">
        <f>IF(B132="","",PropertyPrefix&amp;TEXT(ROW()-4,"0000"))</f>
        <v>0</v>
      </c>
      <c r="D132" s="23">
        <f>IF(C132="","",IFERROR(INDEX(Clients!$B$5:$B$204,MATCH(C132,Clients!$A$5:$A$204,0)),"Not found"))</f>
        <v>0</v>
      </c>
      <c r="W132" s="34">
        <f>IF(B132="","",MAX(IF(H132="",0,H132)*0.45+IF(I132="",0,I132)*0.6+IF(J132="",0,J132)*0.3,IF(G132="",0,G132)/650))</f>
        <v>0</v>
      </c>
      <c r="X132" s="34">
        <f>IF(B132="","",ROUND(MAX(1,W132)*IFERROR(INDEX(ConditionFactors,MATCH(L132,ConditionNames,0)),1),2))</f>
        <v>0</v>
      </c>
      <c r="Y132" s="34">
        <f>IF(B132="","",ROUND(X132/MAX(1,CleanersPerJob),2))</f>
        <v>0</v>
      </c>
      <c r="Z132" s="21">
        <f>IF(B132="","",MAX(MinimumCharge,ROUND(X132*IF(IFERROR(INDEX(Clients!$O$5:$O$204,MATCH(C132,Clients!$A$5:$A$204,0)),0)&gt;0,INDEX(Clients!$O$5:$O$204,MATCH(C132,Clients!$A$5:$A$204,0)),HourlyRate)+IF(M132="",0,IF(M132="None",0,PetSurcharge)),2)))</f>
        <v>0</v>
      </c>
      <c r="AA132" s="21">
        <f>IF(B132="","",ROUND(X132*CostPerHour,2))</f>
        <v>0</v>
      </c>
      <c r="AB132" s="38">
        <f>IF(B132="","",IF(Z132=0,"",(Z132-AA132-X132*SuppliesPerHour)/Z132))</f>
        <v>0</v>
      </c>
      <c r="AC132" s="31">
        <f>IF(A132="","",COUNTIFS(Jobs!$J$5:$J$604,A132))</f>
        <v>0</v>
      </c>
      <c r="AD132" s="18">
        <f>IF(A132="","",IF(SUMPRODUCT(MAX((Jobs!$J$5:$J$604=A132)*((Jobs!$P$5:$P$604="Completed")+(Jobs!$P$5:$P$604="Invoiced"))*Jobs!$B$5:$B$604))=0,"",SUMPRODUCT(MAX((Jobs!$J$5:$J$604=A132)*((Jobs!$P$5:$P$604="Completed")+(Jobs!$P$5:$P$604="Invoiced"))*Jobs!$B$5:$B$604))))</f>
        <v>0</v>
      </c>
      <c r="AE132" s="34">
        <f>IF(A132="","",IFERROR(AVERAGEIFS(Jobs!$AK$5:$AK$604,Jobs!$J$5:$J$604,A132,Jobs!$AK$5:$AK$604,"&gt;0"),""))</f>
        <v>0</v>
      </c>
      <c r="AF132" s="34">
        <f>IF(OR(AE132="",X132=""),"",AE132-X132)</f>
        <v>0</v>
      </c>
      <c r="AG132" s="21">
        <f>IF(A132="","",SUMIFS(Jobs!$AJ$5:$AJ$604,Jobs!$J$5:$J$604,A132,Jobs!$P$5:$P$604,"Invoiced")+SUMIFS(Jobs!$AJ$5:$AJ$604,Jobs!$J$5:$J$604,A132,Jobs!$P$5:$P$604,"Completed"))</f>
        <v>0</v>
      </c>
      <c r="AH132" s="39">
        <f>IF(B132="","",IF(C132="","Add - no client linked",IF(IFERROR(INDEX(Clients!$B$5:$B$204,MATCH(C132,Clients!$A$5:$A$204,0)),"")="","Check - client ID not found",IF(AND(G132="",H132=""),"Add - size needed to price it",IF(AND(AF132&lt;&gt;"",AF132&gt;0.5),"Check - runs over the estimate",IF(N132="","Add - how do we get in?","OK"))))))</f>
        <v>0</v>
      </c>
    </row>
    <row r="133" spans="1:34">
      <c r="A133" s="43">
        <f>IF(B133="","",PropertyPrefix&amp;TEXT(ROW()-4,"0000"))</f>
        <v>0</v>
      </c>
      <c r="D133" s="23">
        <f>IF(C133="","",IFERROR(INDEX(Clients!$B$5:$B$204,MATCH(C133,Clients!$A$5:$A$204,0)),"Not found"))</f>
        <v>0</v>
      </c>
      <c r="W133" s="34">
        <f>IF(B133="","",MAX(IF(H133="",0,H133)*0.45+IF(I133="",0,I133)*0.6+IF(J133="",0,J133)*0.3,IF(G133="",0,G133)/650))</f>
        <v>0</v>
      </c>
      <c r="X133" s="34">
        <f>IF(B133="","",ROUND(MAX(1,W133)*IFERROR(INDEX(ConditionFactors,MATCH(L133,ConditionNames,0)),1),2))</f>
        <v>0</v>
      </c>
      <c r="Y133" s="34">
        <f>IF(B133="","",ROUND(X133/MAX(1,CleanersPerJob),2))</f>
        <v>0</v>
      </c>
      <c r="Z133" s="21">
        <f>IF(B133="","",MAX(MinimumCharge,ROUND(X133*IF(IFERROR(INDEX(Clients!$O$5:$O$204,MATCH(C133,Clients!$A$5:$A$204,0)),0)&gt;0,INDEX(Clients!$O$5:$O$204,MATCH(C133,Clients!$A$5:$A$204,0)),HourlyRate)+IF(M133="",0,IF(M133="None",0,PetSurcharge)),2)))</f>
        <v>0</v>
      </c>
      <c r="AA133" s="21">
        <f>IF(B133="","",ROUND(X133*CostPerHour,2))</f>
        <v>0</v>
      </c>
      <c r="AB133" s="38">
        <f>IF(B133="","",IF(Z133=0,"",(Z133-AA133-X133*SuppliesPerHour)/Z133))</f>
        <v>0</v>
      </c>
      <c r="AC133" s="31">
        <f>IF(A133="","",COUNTIFS(Jobs!$J$5:$J$604,A133))</f>
        <v>0</v>
      </c>
      <c r="AD133" s="18">
        <f>IF(A133="","",IF(SUMPRODUCT(MAX((Jobs!$J$5:$J$604=A133)*((Jobs!$P$5:$P$604="Completed")+(Jobs!$P$5:$P$604="Invoiced"))*Jobs!$B$5:$B$604))=0,"",SUMPRODUCT(MAX((Jobs!$J$5:$J$604=A133)*((Jobs!$P$5:$P$604="Completed")+(Jobs!$P$5:$P$604="Invoiced"))*Jobs!$B$5:$B$604))))</f>
        <v>0</v>
      </c>
      <c r="AE133" s="34">
        <f>IF(A133="","",IFERROR(AVERAGEIFS(Jobs!$AK$5:$AK$604,Jobs!$J$5:$J$604,A133,Jobs!$AK$5:$AK$604,"&gt;0"),""))</f>
        <v>0</v>
      </c>
      <c r="AF133" s="34">
        <f>IF(OR(AE133="",X133=""),"",AE133-X133)</f>
        <v>0</v>
      </c>
      <c r="AG133" s="21">
        <f>IF(A133="","",SUMIFS(Jobs!$AJ$5:$AJ$604,Jobs!$J$5:$J$604,A133,Jobs!$P$5:$P$604,"Invoiced")+SUMIFS(Jobs!$AJ$5:$AJ$604,Jobs!$J$5:$J$604,A133,Jobs!$P$5:$P$604,"Completed"))</f>
        <v>0</v>
      </c>
      <c r="AH133" s="39">
        <f>IF(B133="","",IF(C133="","Add - no client linked",IF(IFERROR(INDEX(Clients!$B$5:$B$204,MATCH(C133,Clients!$A$5:$A$204,0)),"")="","Check - client ID not found",IF(AND(G133="",H133=""),"Add - size needed to price it",IF(AND(AF133&lt;&gt;"",AF133&gt;0.5),"Check - runs over the estimate",IF(N133="","Add - how do we get in?","OK"))))))</f>
        <v>0</v>
      </c>
    </row>
    <row r="134" spans="1:34">
      <c r="A134" s="43">
        <f>IF(B134="","",PropertyPrefix&amp;TEXT(ROW()-4,"0000"))</f>
        <v>0</v>
      </c>
      <c r="D134" s="23">
        <f>IF(C134="","",IFERROR(INDEX(Clients!$B$5:$B$204,MATCH(C134,Clients!$A$5:$A$204,0)),"Not found"))</f>
        <v>0</v>
      </c>
      <c r="W134" s="34">
        <f>IF(B134="","",MAX(IF(H134="",0,H134)*0.45+IF(I134="",0,I134)*0.6+IF(J134="",0,J134)*0.3,IF(G134="",0,G134)/650))</f>
        <v>0</v>
      </c>
      <c r="X134" s="34">
        <f>IF(B134="","",ROUND(MAX(1,W134)*IFERROR(INDEX(ConditionFactors,MATCH(L134,ConditionNames,0)),1),2))</f>
        <v>0</v>
      </c>
      <c r="Y134" s="34">
        <f>IF(B134="","",ROUND(X134/MAX(1,CleanersPerJob),2))</f>
        <v>0</v>
      </c>
      <c r="Z134" s="21">
        <f>IF(B134="","",MAX(MinimumCharge,ROUND(X134*IF(IFERROR(INDEX(Clients!$O$5:$O$204,MATCH(C134,Clients!$A$5:$A$204,0)),0)&gt;0,INDEX(Clients!$O$5:$O$204,MATCH(C134,Clients!$A$5:$A$204,0)),HourlyRate)+IF(M134="",0,IF(M134="None",0,PetSurcharge)),2)))</f>
        <v>0</v>
      </c>
      <c r="AA134" s="21">
        <f>IF(B134="","",ROUND(X134*CostPerHour,2))</f>
        <v>0</v>
      </c>
      <c r="AB134" s="38">
        <f>IF(B134="","",IF(Z134=0,"",(Z134-AA134-X134*SuppliesPerHour)/Z134))</f>
        <v>0</v>
      </c>
      <c r="AC134" s="31">
        <f>IF(A134="","",COUNTIFS(Jobs!$J$5:$J$604,A134))</f>
        <v>0</v>
      </c>
      <c r="AD134" s="18">
        <f>IF(A134="","",IF(SUMPRODUCT(MAX((Jobs!$J$5:$J$604=A134)*((Jobs!$P$5:$P$604="Completed")+(Jobs!$P$5:$P$604="Invoiced"))*Jobs!$B$5:$B$604))=0,"",SUMPRODUCT(MAX((Jobs!$J$5:$J$604=A134)*((Jobs!$P$5:$P$604="Completed")+(Jobs!$P$5:$P$604="Invoiced"))*Jobs!$B$5:$B$604))))</f>
        <v>0</v>
      </c>
      <c r="AE134" s="34">
        <f>IF(A134="","",IFERROR(AVERAGEIFS(Jobs!$AK$5:$AK$604,Jobs!$J$5:$J$604,A134,Jobs!$AK$5:$AK$604,"&gt;0"),""))</f>
        <v>0</v>
      </c>
      <c r="AF134" s="34">
        <f>IF(OR(AE134="",X134=""),"",AE134-X134)</f>
        <v>0</v>
      </c>
      <c r="AG134" s="21">
        <f>IF(A134="","",SUMIFS(Jobs!$AJ$5:$AJ$604,Jobs!$J$5:$J$604,A134,Jobs!$P$5:$P$604,"Invoiced")+SUMIFS(Jobs!$AJ$5:$AJ$604,Jobs!$J$5:$J$604,A134,Jobs!$P$5:$P$604,"Completed"))</f>
        <v>0</v>
      </c>
      <c r="AH134" s="39">
        <f>IF(B134="","",IF(C134="","Add - no client linked",IF(IFERROR(INDEX(Clients!$B$5:$B$204,MATCH(C134,Clients!$A$5:$A$204,0)),"")="","Check - client ID not found",IF(AND(G134="",H134=""),"Add - size needed to price it",IF(AND(AF134&lt;&gt;"",AF134&gt;0.5),"Check - runs over the estimate",IF(N134="","Add - how do we get in?","OK"))))))</f>
        <v>0</v>
      </c>
    </row>
    <row r="135" spans="1:34">
      <c r="A135" s="43">
        <f>IF(B135="","",PropertyPrefix&amp;TEXT(ROW()-4,"0000"))</f>
        <v>0</v>
      </c>
      <c r="D135" s="23">
        <f>IF(C135="","",IFERROR(INDEX(Clients!$B$5:$B$204,MATCH(C135,Clients!$A$5:$A$204,0)),"Not found"))</f>
        <v>0</v>
      </c>
      <c r="W135" s="34">
        <f>IF(B135="","",MAX(IF(H135="",0,H135)*0.45+IF(I135="",0,I135)*0.6+IF(J135="",0,J135)*0.3,IF(G135="",0,G135)/650))</f>
        <v>0</v>
      </c>
      <c r="X135" s="34">
        <f>IF(B135="","",ROUND(MAX(1,W135)*IFERROR(INDEX(ConditionFactors,MATCH(L135,ConditionNames,0)),1),2))</f>
        <v>0</v>
      </c>
      <c r="Y135" s="34">
        <f>IF(B135="","",ROUND(X135/MAX(1,CleanersPerJob),2))</f>
        <v>0</v>
      </c>
      <c r="Z135" s="21">
        <f>IF(B135="","",MAX(MinimumCharge,ROUND(X135*IF(IFERROR(INDEX(Clients!$O$5:$O$204,MATCH(C135,Clients!$A$5:$A$204,0)),0)&gt;0,INDEX(Clients!$O$5:$O$204,MATCH(C135,Clients!$A$5:$A$204,0)),HourlyRate)+IF(M135="",0,IF(M135="None",0,PetSurcharge)),2)))</f>
        <v>0</v>
      </c>
      <c r="AA135" s="21">
        <f>IF(B135="","",ROUND(X135*CostPerHour,2))</f>
        <v>0</v>
      </c>
      <c r="AB135" s="38">
        <f>IF(B135="","",IF(Z135=0,"",(Z135-AA135-X135*SuppliesPerHour)/Z135))</f>
        <v>0</v>
      </c>
      <c r="AC135" s="31">
        <f>IF(A135="","",COUNTIFS(Jobs!$J$5:$J$604,A135))</f>
        <v>0</v>
      </c>
      <c r="AD135" s="18">
        <f>IF(A135="","",IF(SUMPRODUCT(MAX((Jobs!$J$5:$J$604=A135)*((Jobs!$P$5:$P$604="Completed")+(Jobs!$P$5:$P$604="Invoiced"))*Jobs!$B$5:$B$604))=0,"",SUMPRODUCT(MAX((Jobs!$J$5:$J$604=A135)*((Jobs!$P$5:$P$604="Completed")+(Jobs!$P$5:$P$604="Invoiced"))*Jobs!$B$5:$B$604))))</f>
        <v>0</v>
      </c>
      <c r="AE135" s="34">
        <f>IF(A135="","",IFERROR(AVERAGEIFS(Jobs!$AK$5:$AK$604,Jobs!$J$5:$J$604,A135,Jobs!$AK$5:$AK$604,"&gt;0"),""))</f>
        <v>0</v>
      </c>
      <c r="AF135" s="34">
        <f>IF(OR(AE135="",X135=""),"",AE135-X135)</f>
        <v>0</v>
      </c>
      <c r="AG135" s="21">
        <f>IF(A135="","",SUMIFS(Jobs!$AJ$5:$AJ$604,Jobs!$J$5:$J$604,A135,Jobs!$P$5:$P$604,"Invoiced")+SUMIFS(Jobs!$AJ$5:$AJ$604,Jobs!$J$5:$J$604,A135,Jobs!$P$5:$P$604,"Completed"))</f>
        <v>0</v>
      </c>
      <c r="AH135" s="39">
        <f>IF(B135="","",IF(C135="","Add - no client linked",IF(IFERROR(INDEX(Clients!$B$5:$B$204,MATCH(C135,Clients!$A$5:$A$204,0)),"")="","Check - client ID not found",IF(AND(G135="",H135=""),"Add - size needed to price it",IF(AND(AF135&lt;&gt;"",AF135&gt;0.5),"Check - runs over the estimate",IF(N135="","Add - how do we get in?","OK"))))))</f>
        <v>0</v>
      </c>
    </row>
    <row r="136" spans="1:34">
      <c r="A136" s="43">
        <f>IF(B136="","",PropertyPrefix&amp;TEXT(ROW()-4,"0000"))</f>
        <v>0</v>
      </c>
      <c r="D136" s="23">
        <f>IF(C136="","",IFERROR(INDEX(Clients!$B$5:$B$204,MATCH(C136,Clients!$A$5:$A$204,0)),"Not found"))</f>
        <v>0</v>
      </c>
      <c r="W136" s="34">
        <f>IF(B136="","",MAX(IF(H136="",0,H136)*0.45+IF(I136="",0,I136)*0.6+IF(J136="",0,J136)*0.3,IF(G136="",0,G136)/650))</f>
        <v>0</v>
      </c>
      <c r="X136" s="34">
        <f>IF(B136="","",ROUND(MAX(1,W136)*IFERROR(INDEX(ConditionFactors,MATCH(L136,ConditionNames,0)),1),2))</f>
        <v>0</v>
      </c>
      <c r="Y136" s="34">
        <f>IF(B136="","",ROUND(X136/MAX(1,CleanersPerJob),2))</f>
        <v>0</v>
      </c>
      <c r="Z136" s="21">
        <f>IF(B136="","",MAX(MinimumCharge,ROUND(X136*IF(IFERROR(INDEX(Clients!$O$5:$O$204,MATCH(C136,Clients!$A$5:$A$204,0)),0)&gt;0,INDEX(Clients!$O$5:$O$204,MATCH(C136,Clients!$A$5:$A$204,0)),HourlyRate)+IF(M136="",0,IF(M136="None",0,PetSurcharge)),2)))</f>
        <v>0</v>
      </c>
      <c r="AA136" s="21">
        <f>IF(B136="","",ROUND(X136*CostPerHour,2))</f>
        <v>0</v>
      </c>
      <c r="AB136" s="38">
        <f>IF(B136="","",IF(Z136=0,"",(Z136-AA136-X136*SuppliesPerHour)/Z136))</f>
        <v>0</v>
      </c>
      <c r="AC136" s="31">
        <f>IF(A136="","",COUNTIFS(Jobs!$J$5:$J$604,A136))</f>
        <v>0</v>
      </c>
      <c r="AD136" s="18">
        <f>IF(A136="","",IF(SUMPRODUCT(MAX((Jobs!$J$5:$J$604=A136)*((Jobs!$P$5:$P$604="Completed")+(Jobs!$P$5:$P$604="Invoiced"))*Jobs!$B$5:$B$604))=0,"",SUMPRODUCT(MAX((Jobs!$J$5:$J$604=A136)*((Jobs!$P$5:$P$604="Completed")+(Jobs!$P$5:$P$604="Invoiced"))*Jobs!$B$5:$B$604))))</f>
        <v>0</v>
      </c>
      <c r="AE136" s="34">
        <f>IF(A136="","",IFERROR(AVERAGEIFS(Jobs!$AK$5:$AK$604,Jobs!$J$5:$J$604,A136,Jobs!$AK$5:$AK$604,"&gt;0"),""))</f>
        <v>0</v>
      </c>
      <c r="AF136" s="34">
        <f>IF(OR(AE136="",X136=""),"",AE136-X136)</f>
        <v>0</v>
      </c>
      <c r="AG136" s="21">
        <f>IF(A136="","",SUMIFS(Jobs!$AJ$5:$AJ$604,Jobs!$J$5:$J$604,A136,Jobs!$P$5:$P$604,"Invoiced")+SUMIFS(Jobs!$AJ$5:$AJ$604,Jobs!$J$5:$J$604,A136,Jobs!$P$5:$P$604,"Completed"))</f>
        <v>0</v>
      </c>
      <c r="AH136" s="39">
        <f>IF(B136="","",IF(C136="","Add - no client linked",IF(IFERROR(INDEX(Clients!$B$5:$B$204,MATCH(C136,Clients!$A$5:$A$204,0)),"")="","Check - client ID not found",IF(AND(G136="",H136=""),"Add - size needed to price it",IF(AND(AF136&lt;&gt;"",AF136&gt;0.5),"Check - runs over the estimate",IF(N136="","Add - how do we get in?","OK"))))))</f>
        <v>0</v>
      </c>
    </row>
    <row r="137" spans="1:34">
      <c r="A137" s="43">
        <f>IF(B137="","",PropertyPrefix&amp;TEXT(ROW()-4,"0000"))</f>
        <v>0</v>
      </c>
      <c r="D137" s="23">
        <f>IF(C137="","",IFERROR(INDEX(Clients!$B$5:$B$204,MATCH(C137,Clients!$A$5:$A$204,0)),"Not found"))</f>
        <v>0</v>
      </c>
      <c r="W137" s="34">
        <f>IF(B137="","",MAX(IF(H137="",0,H137)*0.45+IF(I137="",0,I137)*0.6+IF(J137="",0,J137)*0.3,IF(G137="",0,G137)/650))</f>
        <v>0</v>
      </c>
      <c r="X137" s="34">
        <f>IF(B137="","",ROUND(MAX(1,W137)*IFERROR(INDEX(ConditionFactors,MATCH(L137,ConditionNames,0)),1),2))</f>
        <v>0</v>
      </c>
      <c r="Y137" s="34">
        <f>IF(B137="","",ROUND(X137/MAX(1,CleanersPerJob),2))</f>
        <v>0</v>
      </c>
      <c r="Z137" s="21">
        <f>IF(B137="","",MAX(MinimumCharge,ROUND(X137*IF(IFERROR(INDEX(Clients!$O$5:$O$204,MATCH(C137,Clients!$A$5:$A$204,0)),0)&gt;0,INDEX(Clients!$O$5:$O$204,MATCH(C137,Clients!$A$5:$A$204,0)),HourlyRate)+IF(M137="",0,IF(M137="None",0,PetSurcharge)),2)))</f>
        <v>0</v>
      </c>
      <c r="AA137" s="21">
        <f>IF(B137="","",ROUND(X137*CostPerHour,2))</f>
        <v>0</v>
      </c>
      <c r="AB137" s="38">
        <f>IF(B137="","",IF(Z137=0,"",(Z137-AA137-X137*SuppliesPerHour)/Z137))</f>
        <v>0</v>
      </c>
      <c r="AC137" s="31">
        <f>IF(A137="","",COUNTIFS(Jobs!$J$5:$J$604,A137))</f>
        <v>0</v>
      </c>
      <c r="AD137" s="18">
        <f>IF(A137="","",IF(SUMPRODUCT(MAX((Jobs!$J$5:$J$604=A137)*((Jobs!$P$5:$P$604="Completed")+(Jobs!$P$5:$P$604="Invoiced"))*Jobs!$B$5:$B$604))=0,"",SUMPRODUCT(MAX((Jobs!$J$5:$J$604=A137)*((Jobs!$P$5:$P$604="Completed")+(Jobs!$P$5:$P$604="Invoiced"))*Jobs!$B$5:$B$604))))</f>
        <v>0</v>
      </c>
      <c r="AE137" s="34">
        <f>IF(A137="","",IFERROR(AVERAGEIFS(Jobs!$AK$5:$AK$604,Jobs!$J$5:$J$604,A137,Jobs!$AK$5:$AK$604,"&gt;0"),""))</f>
        <v>0</v>
      </c>
      <c r="AF137" s="34">
        <f>IF(OR(AE137="",X137=""),"",AE137-X137)</f>
        <v>0</v>
      </c>
      <c r="AG137" s="21">
        <f>IF(A137="","",SUMIFS(Jobs!$AJ$5:$AJ$604,Jobs!$J$5:$J$604,A137,Jobs!$P$5:$P$604,"Invoiced")+SUMIFS(Jobs!$AJ$5:$AJ$604,Jobs!$J$5:$J$604,A137,Jobs!$P$5:$P$604,"Completed"))</f>
        <v>0</v>
      </c>
      <c r="AH137" s="39">
        <f>IF(B137="","",IF(C137="","Add - no client linked",IF(IFERROR(INDEX(Clients!$B$5:$B$204,MATCH(C137,Clients!$A$5:$A$204,0)),"")="","Check - client ID not found",IF(AND(G137="",H137=""),"Add - size needed to price it",IF(AND(AF137&lt;&gt;"",AF137&gt;0.5),"Check - runs over the estimate",IF(N137="","Add - how do we get in?","OK"))))))</f>
        <v>0</v>
      </c>
    </row>
    <row r="138" spans="1:34">
      <c r="A138" s="43">
        <f>IF(B138="","",PropertyPrefix&amp;TEXT(ROW()-4,"0000"))</f>
        <v>0</v>
      </c>
      <c r="D138" s="23">
        <f>IF(C138="","",IFERROR(INDEX(Clients!$B$5:$B$204,MATCH(C138,Clients!$A$5:$A$204,0)),"Not found"))</f>
        <v>0</v>
      </c>
      <c r="W138" s="34">
        <f>IF(B138="","",MAX(IF(H138="",0,H138)*0.45+IF(I138="",0,I138)*0.6+IF(J138="",0,J138)*0.3,IF(G138="",0,G138)/650))</f>
        <v>0</v>
      </c>
      <c r="X138" s="34">
        <f>IF(B138="","",ROUND(MAX(1,W138)*IFERROR(INDEX(ConditionFactors,MATCH(L138,ConditionNames,0)),1),2))</f>
        <v>0</v>
      </c>
      <c r="Y138" s="34">
        <f>IF(B138="","",ROUND(X138/MAX(1,CleanersPerJob),2))</f>
        <v>0</v>
      </c>
      <c r="Z138" s="21">
        <f>IF(B138="","",MAX(MinimumCharge,ROUND(X138*IF(IFERROR(INDEX(Clients!$O$5:$O$204,MATCH(C138,Clients!$A$5:$A$204,0)),0)&gt;0,INDEX(Clients!$O$5:$O$204,MATCH(C138,Clients!$A$5:$A$204,0)),HourlyRate)+IF(M138="",0,IF(M138="None",0,PetSurcharge)),2)))</f>
        <v>0</v>
      </c>
      <c r="AA138" s="21">
        <f>IF(B138="","",ROUND(X138*CostPerHour,2))</f>
        <v>0</v>
      </c>
      <c r="AB138" s="38">
        <f>IF(B138="","",IF(Z138=0,"",(Z138-AA138-X138*SuppliesPerHour)/Z138))</f>
        <v>0</v>
      </c>
      <c r="AC138" s="31">
        <f>IF(A138="","",COUNTIFS(Jobs!$J$5:$J$604,A138))</f>
        <v>0</v>
      </c>
      <c r="AD138" s="18">
        <f>IF(A138="","",IF(SUMPRODUCT(MAX((Jobs!$J$5:$J$604=A138)*((Jobs!$P$5:$P$604="Completed")+(Jobs!$P$5:$P$604="Invoiced"))*Jobs!$B$5:$B$604))=0,"",SUMPRODUCT(MAX((Jobs!$J$5:$J$604=A138)*((Jobs!$P$5:$P$604="Completed")+(Jobs!$P$5:$P$604="Invoiced"))*Jobs!$B$5:$B$604))))</f>
        <v>0</v>
      </c>
      <c r="AE138" s="34">
        <f>IF(A138="","",IFERROR(AVERAGEIFS(Jobs!$AK$5:$AK$604,Jobs!$J$5:$J$604,A138,Jobs!$AK$5:$AK$604,"&gt;0"),""))</f>
        <v>0</v>
      </c>
      <c r="AF138" s="34">
        <f>IF(OR(AE138="",X138=""),"",AE138-X138)</f>
        <v>0</v>
      </c>
      <c r="AG138" s="21">
        <f>IF(A138="","",SUMIFS(Jobs!$AJ$5:$AJ$604,Jobs!$J$5:$J$604,A138,Jobs!$P$5:$P$604,"Invoiced")+SUMIFS(Jobs!$AJ$5:$AJ$604,Jobs!$J$5:$J$604,A138,Jobs!$P$5:$P$604,"Completed"))</f>
        <v>0</v>
      </c>
      <c r="AH138" s="39">
        <f>IF(B138="","",IF(C138="","Add - no client linked",IF(IFERROR(INDEX(Clients!$B$5:$B$204,MATCH(C138,Clients!$A$5:$A$204,0)),"")="","Check - client ID not found",IF(AND(G138="",H138=""),"Add - size needed to price it",IF(AND(AF138&lt;&gt;"",AF138&gt;0.5),"Check - runs over the estimate",IF(N138="","Add - how do we get in?","OK"))))))</f>
        <v>0</v>
      </c>
    </row>
    <row r="139" spans="1:34">
      <c r="A139" s="43">
        <f>IF(B139="","",PropertyPrefix&amp;TEXT(ROW()-4,"0000"))</f>
        <v>0</v>
      </c>
      <c r="D139" s="23">
        <f>IF(C139="","",IFERROR(INDEX(Clients!$B$5:$B$204,MATCH(C139,Clients!$A$5:$A$204,0)),"Not found"))</f>
        <v>0</v>
      </c>
      <c r="W139" s="34">
        <f>IF(B139="","",MAX(IF(H139="",0,H139)*0.45+IF(I139="",0,I139)*0.6+IF(J139="",0,J139)*0.3,IF(G139="",0,G139)/650))</f>
        <v>0</v>
      </c>
      <c r="X139" s="34">
        <f>IF(B139="","",ROUND(MAX(1,W139)*IFERROR(INDEX(ConditionFactors,MATCH(L139,ConditionNames,0)),1),2))</f>
        <v>0</v>
      </c>
      <c r="Y139" s="34">
        <f>IF(B139="","",ROUND(X139/MAX(1,CleanersPerJob),2))</f>
        <v>0</v>
      </c>
      <c r="Z139" s="21">
        <f>IF(B139="","",MAX(MinimumCharge,ROUND(X139*IF(IFERROR(INDEX(Clients!$O$5:$O$204,MATCH(C139,Clients!$A$5:$A$204,0)),0)&gt;0,INDEX(Clients!$O$5:$O$204,MATCH(C139,Clients!$A$5:$A$204,0)),HourlyRate)+IF(M139="",0,IF(M139="None",0,PetSurcharge)),2)))</f>
        <v>0</v>
      </c>
      <c r="AA139" s="21">
        <f>IF(B139="","",ROUND(X139*CostPerHour,2))</f>
        <v>0</v>
      </c>
      <c r="AB139" s="38">
        <f>IF(B139="","",IF(Z139=0,"",(Z139-AA139-X139*SuppliesPerHour)/Z139))</f>
        <v>0</v>
      </c>
      <c r="AC139" s="31">
        <f>IF(A139="","",COUNTIFS(Jobs!$J$5:$J$604,A139))</f>
        <v>0</v>
      </c>
      <c r="AD139" s="18">
        <f>IF(A139="","",IF(SUMPRODUCT(MAX((Jobs!$J$5:$J$604=A139)*((Jobs!$P$5:$P$604="Completed")+(Jobs!$P$5:$P$604="Invoiced"))*Jobs!$B$5:$B$604))=0,"",SUMPRODUCT(MAX((Jobs!$J$5:$J$604=A139)*((Jobs!$P$5:$P$604="Completed")+(Jobs!$P$5:$P$604="Invoiced"))*Jobs!$B$5:$B$604))))</f>
        <v>0</v>
      </c>
      <c r="AE139" s="34">
        <f>IF(A139="","",IFERROR(AVERAGEIFS(Jobs!$AK$5:$AK$604,Jobs!$J$5:$J$604,A139,Jobs!$AK$5:$AK$604,"&gt;0"),""))</f>
        <v>0</v>
      </c>
      <c r="AF139" s="34">
        <f>IF(OR(AE139="",X139=""),"",AE139-X139)</f>
        <v>0</v>
      </c>
      <c r="AG139" s="21">
        <f>IF(A139="","",SUMIFS(Jobs!$AJ$5:$AJ$604,Jobs!$J$5:$J$604,A139,Jobs!$P$5:$P$604,"Invoiced")+SUMIFS(Jobs!$AJ$5:$AJ$604,Jobs!$J$5:$J$604,A139,Jobs!$P$5:$P$604,"Completed"))</f>
        <v>0</v>
      </c>
      <c r="AH139" s="39">
        <f>IF(B139="","",IF(C139="","Add - no client linked",IF(IFERROR(INDEX(Clients!$B$5:$B$204,MATCH(C139,Clients!$A$5:$A$204,0)),"")="","Check - client ID not found",IF(AND(G139="",H139=""),"Add - size needed to price it",IF(AND(AF139&lt;&gt;"",AF139&gt;0.5),"Check - runs over the estimate",IF(N139="","Add - how do we get in?","OK"))))))</f>
        <v>0</v>
      </c>
    </row>
    <row r="140" spans="1:34">
      <c r="A140" s="43">
        <f>IF(B140="","",PropertyPrefix&amp;TEXT(ROW()-4,"0000"))</f>
        <v>0</v>
      </c>
      <c r="D140" s="23">
        <f>IF(C140="","",IFERROR(INDEX(Clients!$B$5:$B$204,MATCH(C140,Clients!$A$5:$A$204,0)),"Not found"))</f>
        <v>0</v>
      </c>
      <c r="W140" s="34">
        <f>IF(B140="","",MAX(IF(H140="",0,H140)*0.45+IF(I140="",0,I140)*0.6+IF(J140="",0,J140)*0.3,IF(G140="",0,G140)/650))</f>
        <v>0</v>
      </c>
      <c r="X140" s="34">
        <f>IF(B140="","",ROUND(MAX(1,W140)*IFERROR(INDEX(ConditionFactors,MATCH(L140,ConditionNames,0)),1),2))</f>
        <v>0</v>
      </c>
      <c r="Y140" s="34">
        <f>IF(B140="","",ROUND(X140/MAX(1,CleanersPerJob),2))</f>
        <v>0</v>
      </c>
      <c r="Z140" s="21">
        <f>IF(B140="","",MAX(MinimumCharge,ROUND(X140*IF(IFERROR(INDEX(Clients!$O$5:$O$204,MATCH(C140,Clients!$A$5:$A$204,0)),0)&gt;0,INDEX(Clients!$O$5:$O$204,MATCH(C140,Clients!$A$5:$A$204,0)),HourlyRate)+IF(M140="",0,IF(M140="None",0,PetSurcharge)),2)))</f>
        <v>0</v>
      </c>
      <c r="AA140" s="21">
        <f>IF(B140="","",ROUND(X140*CostPerHour,2))</f>
        <v>0</v>
      </c>
      <c r="AB140" s="38">
        <f>IF(B140="","",IF(Z140=0,"",(Z140-AA140-X140*SuppliesPerHour)/Z140))</f>
        <v>0</v>
      </c>
      <c r="AC140" s="31">
        <f>IF(A140="","",COUNTIFS(Jobs!$J$5:$J$604,A140))</f>
        <v>0</v>
      </c>
      <c r="AD140" s="18">
        <f>IF(A140="","",IF(SUMPRODUCT(MAX((Jobs!$J$5:$J$604=A140)*((Jobs!$P$5:$P$604="Completed")+(Jobs!$P$5:$P$604="Invoiced"))*Jobs!$B$5:$B$604))=0,"",SUMPRODUCT(MAX((Jobs!$J$5:$J$604=A140)*((Jobs!$P$5:$P$604="Completed")+(Jobs!$P$5:$P$604="Invoiced"))*Jobs!$B$5:$B$604))))</f>
        <v>0</v>
      </c>
      <c r="AE140" s="34">
        <f>IF(A140="","",IFERROR(AVERAGEIFS(Jobs!$AK$5:$AK$604,Jobs!$J$5:$J$604,A140,Jobs!$AK$5:$AK$604,"&gt;0"),""))</f>
        <v>0</v>
      </c>
      <c r="AF140" s="34">
        <f>IF(OR(AE140="",X140=""),"",AE140-X140)</f>
        <v>0</v>
      </c>
      <c r="AG140" s="21">
        <f>IF(A140="","",SUMIFS(Jobs!$AJ$5:$AJ$604,Jobs!$J$5:$J$604,A140,Jobs!$P$5:$P$604,"Invoiced")+SUMIFS(Jobs!$AJ$5:$AJ$604,Jobs!$J$5:$J$604,A140,Jobs!$P$5:$P$604,"Completed"))</f>
        <v>0</v>
      </c>
      <c r="AH140" s="39">
        <f>IF(B140="","",IF(C140="","Add - no client linked",IF(IFERROR(INDEX(Clients!$B$5:$B$204,MATCH(C140,Clients!$A$5:$A$204,0)),"")="","Check - client ID not found",IF(AND(G140="",H140=""),"Add - size needed to price it",IF(AND(AF140&lt;&gt;"",AF140&gt;0.5),"Check - runs over the estimate",IF(N140="","Add - how do we get in?","OK"))))))</f>
        <v>0</v>
      </c>
    </row>
    <row r="141" spans="1:34">
      <c r="A141" s="43">
        <f>IF(B141="","",PropertyPrefix&amp;TEXT(ROW()-4,"0000"))</f>
        <v>0</v>
      </c>
      <c r="D141" s="23">
        <f>IF(C141="","",IFERROR(INDEX(Clients!$B$5:$B$204,MATCH(C141,Clients!$A$5:$A$204,0)),"Not found"))</f>
        <v>0</v>
      </c>
      <c r="W141" s="34">
        <f>IF(B141="","",MAX(IF(H141="",0,H141)*0.45+IF(I141="",0,I141)*0.6+IF(J141="",0,J141)*0.3,IF(G141="",0,G141)/650))</f>
        <v>0</v>
      </c>
      <c r="X141" s="34">
        <f>IF(B141="","",ROUND(MAX(1,W141)*IFERROR(INDEX(ConditionFactors,MATCH(L141,ConditionNames,0)),1),2))</f>
        <v>0</v>
      </c>
      <c r="Y141" s="34">
        <f>IF(B141="","",ROUND(X141/MAX(1,CleanersPerJob),2))</f>
        <v>0</v>
      </c>
      <c r="Z141" s="21">
        <f>IF(B141="","",MAX(MinimumCharge,ROUND(X141*IF(IFERROR(INDEX(Clients!$O$5:$O$204,MATCH(C141,Clients!$A$5:$A$204,0)),0)&gt;0,INDEX(Clients!$O$5:$O$204,MATCH(C141,Clients!$A$5:$A$204,0)),HourlyRate)+IF(M141="",0,IF(M141="None",0,PetSurcharge)),2)))</f>
        <v>0</v>
      </c>
      <c r="AA141" s="21">
        <f>IF(B141="","",ROUND(X141*CostPerHour,2))</f>
        <v>0</v>
      </c>
      <c r="AB141" s="38">
        <f>IF(B141="","",IF(Z141=0,"",(Z141-AA141-X141*SuppliesPerHour)/Z141))</f>
        <v>0</v>
      </c>
      <c r="AC141" s="31">
        <f>IF(A141="","",COUNTIFS(Jobs!$J$5:$J$604,A141))</f>
        <v>0</v>
      </c>
      <c r="AD141" s="18">
        <f>IF(A141="","",IF(SUMPRODUCT(MAX((Jobs!$J$5:$J$604=A141)*((Jobs!$P$5:$P$604="Completed")+(Jobs!$P$5:$P$604="Invoiced"))*Jobs!$B$5:$B$604))=0,"",SUMPRODUCT(MAX((Jobs!$J$5:$J$604=A141)*((Jobs!$P$5:$P$604="Completed")+(Jobs!$P$5:$P$604="Invoiced"))*Jobs!$B$5:$B$604))))</f>
        <v>0</v>
      </c>
      <c r="AE141" s="34">
        <f>IF(A141="","",IFERROR(AVERAGEIFS(Jobs!$AK$5:$AK$604,Jobs!$J$5:$J$604,A141,Jobs!$AK$5:$AK$604,"&gt;0"),""))</f>
        <v>0</v>
      </c>
      <c r="AF141" s="34">
        <f>IF(OR(AE141="",X141=""),"",AE141-X141)</f>
        <v>0</v>
      </c>
      <c r="AG141" s="21">
        <f>IF(A141="","",SUMIFS(Jobs!$AJ$5:$AJ$604,Jobs!$J$5:$J$604,A141,Jobs!$P$5:$P$604,"Invoiced")+SUMIFS(Jobs!$AJ$5:$AJ$604,Jobs!$J$5:$J$604,A141,Jobs!$P$5:$P$604,"Completed"))</f>
        <v>0</v>
      </c>
      <c r="AH141" s="39">
        <f>IF(B141="","",IF(C141="","Add - no client linked",IF(IFERROR(INDEX(Clients!$B$5:$B$204,MATCH(C141,Clients!$A$5:$A$204,0)),"")="","Check - client ID not found",IF(AND(G141="",H141=""),"Add - size needed to price it",IF(AND(AF141&lt;&gt;"",AF141&gt;0.5),"Check - runs over the estimate",IF(N141="","Add - how do we get in?","OK"))))))</f>
        <v>0</v>
      </c>
    </row>
    <row r="142" spans="1:34">
      <c r="A142" s="43">
        <f>IF(B142="","",PropertyPrefix&amp;TEXT(ROW()-4,"0000"))</f>
        <v>0</v>
      </c>
      <c r="D142" s="23">
        <f>IF(C142="","",IFERROR(INDEX(Clients!$B$5:$B$204,MATCH(C142,Clients!$A$5:$A$204,0)),"Not found"))</f>
        <v>0</v>
      </c>
      <c r="W142" s="34">
        <f>IF(B142="","",MAX(IF(H142="",0,H142)*0.45+IF(I142="",0,I142)*0.6+IF(J142="",0,J142)*0.3,IF(G142="",0,G142)/650))</f>
        <v>0</v>
      </c>
      <c r="X142" s="34">
        <f>IF(B142="","",ROUND(MAX(1,W142)*IFERROR(INDEX(ConditionFactors,MATCH(L142,ConditionNames,0)),1),2))</f>
        <v>0</v>
      </c>
      <c r="Y142" s="34">
        <f>IF(B142="","",ROUND(X142/MAX(1,CleanersPerJob),2))</f>
        <v>0</v>
      </c>
      <c r="Z142" s="21">
        <f>IF(B142="","",MAX(MinimumCharge,ROUND(X142*IF(IFERROR(INDEX(Clients!$O$5:$O$204,MATCH(C142,Clients!$A$5:$A$204,0)),0)&gt;0,INDEX(Clients!$O$5:$O$204,MATCH(C142,Clients!$A$5:$A$204,0)),HourlyRate)+IF(M142="",0,IF(M142="None",0,PetSurcharge)),2)))</f>
        <v>0</v>
      </c>
      <c r="AA142" s="21">
        <f>IF(B142="","",ROUND(X142*CostPerHour,2))</f>
        <v>0</v>
      </c>
      <c r="AB142" s="38">
        <f>IF(B142="","",IF(Z142=0,"",(Z142-AA142-X142*SuppliesPerHour)/Z142))</f>
        <v>0</v>
      </c>
      <c r="AC142" s="31">
        <f>IF(A142="","",COUNTIFS(Jobs!$J$5:$J$604,A142))</f>
        <v>0</v>
      </c>
      <c r="AD142" s="18">
        <f>IF(A142="","",IF(SUMPRODUCT(MAX((Jobs!$J$5:$J$604=A142)*((Jobs!$P$5:$P$604="Completed")+(Jobs!$P$5:$P$604="Invoiced"))*Jobs!$B$5:$B$604))=0,"",SUMPRODUCT(MAX((Jobs!$J$5:$J$604=A142)*((Jobs!$P$5:$P$604="Completed")+(Jobs!$P$5:$P$604="Invoiced"))*Jobs!$B$5:$B$604))))</f>
        <v>0</v>
      </c>
      <c r="AE142" s="34">
        <f>IF(A142="","",IFERROR(AVERAGEIFS(Jobs!$AK$5:$AK$604,Jobs!$J$5:$J$604,A142,Jobs!$AK$5:$AK$604,"&gt;0"),""))</f>
        <v>0</v>
      </c>
      <c r="AF142" s="34">
        <f>IF(OR(AE142="",X142=""),"",AE142-X142)</f>
        <v>0</v>
      </c>
      <c r="AG142" s="21">
        <f>IF(A142="","",SUMIFS(Jobs!$AJ$5:$AJ$604,Jobs!$J$5:$J$604,A142,Jobs!$P$5:$P$604,"Invoiced")+SUMIFS(Jobs!$AJ$5:$AJ$604,Jobs!$J$5:$J$604,A142,Jobs!$P$5:$P$604,"Completed"))</f>
        <v>0</v>
      </c>
      <c r="AH142" s="39">
        <f>IF(B142="","",IF(C142="","Add - no client linked",IF(IFERROR(INDEX(Clients!$B$5:$B$204,MATCH(C142,Clients!$A$5:$A$204,0)),"")="","Check - client ID not found",IF(AND(G142="",H142=""),"Add - size needed to price it",IF(AND(AF142&lt;&gt;"",AF142&gt;0.5),"Check - runs over the estimate",IF(N142="","Add - how do we get in?","OK"))))))</f>
        <v>0</v>
      </c>
    </row>
    <row r="143" spans="1:34">
      <c r="A143" s="43">
        <f>IF(B143="","",PropertyPrefix&amp;TEXT(ROW()-4,"0000"))</f>
        <v>0</v>
      </c>
      <c r="D143" s="23">
        <f>IF(C143="","",IFERROR(INDEX(Clients!$B$5:$B$204,MATCH(C143,Clients!$A$5:$A$204,0)),"Not found"))</f>
        <v>0</v>
      </c>
      <c r="W143" s="34">
        <f>IF(B143="","",MAX(IF(H143="",0,H143)*0.45+IF(I143="",0,I143)*0.6+IF(J143="",0,J143)*0.3,IF(G143="",0,G143)/650))</f>
        <v>0</v>
      </c>
      <c r="X143" s="34">
        <f>IF(B143="","",ROUND(MAX(1,W143)*IFERROR(INDEX(ConditionFactors,MATCH(L143,ConditionNames,0)),1),2))</f>
        <v>0</v>
      </c>
      <c r="Y143" s="34">
        <f>IF(B143="","",ROUND(X143/MAX(1,CleanersPerJob),2))</f>
        <v>0</v>
      </c>
      <c r="Z143" s="21">
        <f>IF(B143="","",MAX(MinimumCharge,ROUND(X143*IF(IFERROR(INDEX(Clients!$O$5:$O$204,MATCH(C143,Clients!$A$5:$A$204,0)),0)&gt;0,INDEX(Clients!$O$5:$O$204,MATCH(C143,Clients!$A$5:$A$204,0)),HourlyRate)+IF(M143="",0,IF(M143="None",0,PetSurcharge)),2)))</f>
        <v>0</v>
      </c>
      <c r="AA143" s="21">
        <f>IF(B143="","",ROUND(X143*CostPerHour,2))</f>
        <v>0</v>
      </c>
      <c r="AB143" s="38">
        <f>IF(B143="","",IF(Z143=0,"",(Z143-AA143-X143*SuppliesPerHour)/Z143))</f>
        <v>0</v>
      </c>
      <c r="AC143" s="31">
        <f>IF(A143="","",COUNTIFS(Jobs!$J$5:$J$604,A143))</f>
        <v>0</v>
      </c>
      <c r="AD143" s="18">
        <f>IF(A143="","",IF(SUMPRODUCT(MAX((Jobs!$J$5:$J$604=A143)*((Jobs!$P$5:$P$604="Completed")+(Jobs!$P$5:$P$604="Invoiced"))*Jobs!$B$5:$B$604))=0,"",SUMPRODUCT(MAX((Jobs!$J$5:$J$604=A143)*((Jobs!$P$5:$P$604="Completed")+(Jobs!$P$5:$P$604="Invoiced"))*Jobs!$B$5:$B$604))))</f>
        <v>0</v>
      </c>
      <c r="AE143" s="34">
        <f>IF(A143="","",IFERROR(AVERAGEIFS(Jobs!$AK$5:$AK$604,Jobs!$J$5:$J$604,A143,Jobs!$AK$5:$AK$604,"&gt;0"),""))</f>
        <v>0</v>
      </c>
      <c r="AF143" s="34">
        <f>IF(OR(AE143="",X143=""),"",AE143-X143)</f>
        <v>0</v>
      </c>
      <c r="AG143" s="21">
        <f>IF(A143="","",SUMIFS(Jobs!$AJ$5:$AJ$604,Jobs!$J$5:$J$604,A143,Jobs!$P$5:$P$604,"Invoiced")+SUMIFS(Jobs!$AJ$5:$AJ$604,Jobs!$J$5:$J$604,A143,Jobs!$P$5:$P$604,"Completed"))</f>
        <v>0</v>
      </c>
      <c r="AH143" s="39">
        <f>IF(B143="","",IF(C143="","Add - no client linked",IF(IFERROR(INDEX(Clients!$B$5:$B$204,MATCH(C143,Clients!$A$5:$A$204,0)),"")="","Check - client ID not found",IF(AND(G143="",H143=""),"Add - size needed to price it",IF(AND(AF143&lt;&gt;"",AF143&gt;0.5),"Check - runs over the estimate",IF(N143="","Add - how do we get in?","OK"))))))</f>
        <v>0</v>
      </c>
    </row>
    <row r="144" spans="1:34">
      <c r="A144" s="43">
        <f>IF(B144="","",PropertyPrefix&amp;TEXT(ROW()-4,"0000"))</f>
        <v>0</v>
      </c>
      <c r="D144" s="23">
        <f>IF(C144="","",IFERROR(INDEX(Clients!$B$5:$B$204,MATCH(C144,Clients!$A$5:$A$204,0)),"Not found"))</f>
        <v>0</v>
      </c>
      <c r="W144" s="34">
        <f>IF(B144="","",MAX(IF(H144="",0,H144)*0.45+IF(I144="",0,I144)*0.6+IF(J144="",0,J144)*0.3,IF(G144="",0,G144)/650))</f>
        <v>0</v>
      </c>
      <c r="X144" s="34">
        <f>IF(B144="","",ROUND(MAX(1,W144)*IFERROR(INDEX(ConditionFactors,MATCH(L144,ConditionNames,0)),1),2))</f>
        <v>0</v>
      </c>
      <c r="Y144" s="34">
        <f>IF(B144="","",ROUND(X144/MAX(1,CleanersPerJob),2))</f>
        <v>0</v>
      </c>
      <c r="Z144" s="21">
        <f>IF(B144="","",MAX(MinimumCharge,ROUND(X144*IF(IFERROR(INDEX(Clients!$O$5:$O$204,MATCH(C144,Clients!$A$5:$A$204,0)),0)&gt;0,INDEX(Clients!$O$5:$O$204,MATCH(C144,Clients!$A$5:$A$204,0)),HourlyRate)+IF(M144="",0,IF(M144="None",0,PetSurcharge)),2)))</f>
        <v>0</v>
      </c>
      <c r="AA144" s="21">
        <f>IF(B144="","",ROUND(X144*CostPerHour,2))</f>
        <v>0</v>
      </c>
      <c r="AB144" s="38">
        <f>IF(B144="","",IF(Z144=0,"",(Z144-AA144-X144*SuppliesPerHour)/Z144))</f>
        <v>0</v>
      </c>
      <c r="AC144" s="31">
        <f>IF(A144="","",COUNTIFS(Jobs!$J$5:$J$604,A144))</f>
        <v>0</v>
      </c>
      <c r="AD144" s="18">
        <f>IF(A144="","",IF(SUMPRODUCT(MAX((Jobs!$J$5:$J$604=A144)*((Jobs!$P$5:$P$604="Completed")+(Jobs!$P$5:$P$604="Invoiced"))*Jobs!$B$5:$B$604))=0,"",SUMPRODUCT(MAX((Jobs!$J$5:$J$604=A144)*((Jobs!$P$5:$P$604="Completed")+(Jobs!$P$5:$P$604="Invoiced"))*Jobs!$B$5:$B$604))))</f>
        <v>0</v>
      </c>
      <c r="AE144" s="34">
        <f>IF(A144="","",IFERROR(AVERAGEIFS(Jobs!$AK$5:$AK$604,Jobs!$J$5:$J$604,A144,Jobs!$AK$5:$AK$604,"&gt;0"),""))</f>
        <v>0</v>
      </c>
      <c r="AF144" s="34">
        <f>IF(OR(AE144="",X144=""),"",AE144-X144)</f>
        <v>0</v>
      </c>
      <c r="AG144" s="21">
        <f>IF(A144="","",SUMIFS(Jobs!$AJ$5:$AJ$604,Jobs!$J$5:$J$604,A144,Jobs!$P$5:$P$604,"Invoiced")+SUMIFS(Jobs!$AJ$5:$AJ$604,Jobs!$J$5:$J$604,A144,Jobs!$P$5:$P$604,"Completed"))</f>
        <v>0</v>
      </c>
      <c r="AH144" s="39">
        <f>IF(B144="","",IF(C144="","Add - no client linked",IF(IFERROR(INDEX(Clients!$B$5:$B$204,MATCH(C144,Clients!$A$5:$A$204,0)),"")="","Check - client ID not found",IF(AND(G144="",H144=""),"Add - size needed to price it",IF(AND(AF144&lt;&gt;"",AF144&gt;0.5),"Check - runs over the estimate",IF(N144="","Add - how do we get in?","OK"))))))</f>
        <v>0</v>
      </c>
    </row>
    <row r="145" spans="1:34">
      <c r="A145" s="43">
        <f>IF(B145="","",PropertyPrefix&amp;TEXT(ROW()-4,"0000"))</f>
        <v>0</v>
      </c>
      <c r="D145" s="23">
        <f>IF(C145="","",IFERROR(INDEX(Clients!$B$5:$B$204,MATCH(C145,Clients!$A$5:$A$204,0)),"Not found"))</f>
        <v>0</v>
      </c>
      <c r="W145" s="34">
        <f>IF(B145="","",MAX(IF(H145="",0,H145)*0.45+IF(I145="",0,I145)*0.6+IF(J145="",0,J145)*0.3,IF(G145="",0,G145)/650))</f>
        <v>0</v>
      </c>
      <c r="X145" s="34">
        <f>IF(B145="","",ROUND(MAX(1,W145)*IFERROR(INDEX(ConditionFactors,MATCH(L145,ConditionNames,0)),1),2))</f>
        <v>0</v>
      </c>
      <c r="Y145" s="34">
        <f>IF(B145="","",ROUND(X145/MAX(1,CleanersPerJob),2))</f>
        <v>0</v>
      </c>
      <c r="Z145" s="21">
        <f>IF(B145="","",MAX(MinimumCharge,ROUND(X145*IF(IFERROR(INDEX(Clients!$O$5:$O$204,MATCH(C145,Clients!$A$5:$A$204,0)),0)&gt;0,INDEX(Clients!$O$5:$O$204,MATCH(C145,Clients!$A$5:$A$204,0)),HourlyRate)+IF(M145="",0,IF(M145="None",0,PetSurcharge)),2)))</f>
        <v>0</v>
      </c>
      <c r="AA145" s="21">
        <f>IF(B145="","",ROUND(X145*CostPerHour,2))</f>
        <v>0</v>
      </c>
      <c r="AB145" s="38">
        <f>IF(B145="","",IF(Z145=0,"",(Z145-AA145-X145*SuppliesPerHour)/Z145))</f>
        <v>0</v>
      </c>
      <c r="AC145" s="31">
        <f>IF(A145="","",COUNTIFS(Jobs!$J$5:$J$604,A145))</f>
        <v>0</v>
      </c>
      <c r="AD145" s="18">
        <f>IF(A145="","",IF(SUMPRODUCT(MAX((Jobs!$J$5:$J$604=A145)*((Jobs!$P$5:$P$604="Completed")+(Jobs!$P$5:$P$604="Invoiced"))*Jobs!$B$5:$B$604))=0,"",SUMPRODUCT(MAX((Jobs!$J$5:$J$604=A145)*((Jobs!$P$5:$P$604="Completed")+(Jobs!$P$5:$P$604="Invoiced"))*Jobs!$B$5:$B$604))))</f>
        <v>0</v>
      </c>
      <c r="AE145" s="34">
        <f>IF(A145="","",IFERROR(AVERAGEIFS(Jobs!$AK$5:$AK$604,Jobs!$J$5:$J$604,A145,Jobs!$AK$5:$AK$604,"&gt;0"),""))</f>
        <v>0</v>
      </c>
      <c r="AF145" s="34">
        <f>IF(OR(AE145="",X145=""),"",AE145-X145)</f>
        <v>0</v>
      </c>
      <c r="AG145" s="21">
        <f>IF(A145="","",SUMIFS(Jobs!$AJ$5:$AJ$604,Jobs!$J$5:$J$604,A145,Jobs!$P$5:$P$604,"Invoiced")+SUMIFS(Jobs!$AJ$5:$AJ$604,Jobs!$J$5:$J$604,A145,Jobs!$P$5:$P$604,"Completed"))</f>
        <v>0</v>
      </c>
      <c r="AH145" s="39">
        <f>IF(B145="","",IF(C145="","Add - no client linked",IF(IFERROR(INDEX(Clients!$B$5:$B$204,MATCH(C145,Clients!$A$5:$A$204,0)),"")="","Check - client ID not found",IF(AND(G145="",H145=""),"Add - size needed to price it",IF(AND(AF145&lt;&gt;"",AF145&gt;0.5),"Check - runs over the estimate",IF(N145="","Add - how do we get in?","OK"))))))</f>
        <v>0</v>
      </c>
    </row>
    <row r="146" spans="1:34">
      <c r="A146" s="43">
        <f>IF(B146="","",PropertyPrefix&amp;TEXT(ROW()-4,"0000"))</f>
        <v>0</v>
      </c>
      <c r="D146" s="23">
        <f>IF(C146="","",IFERROR(INDEX(Clients!$B$5:$B$204,MATCH(C146,Clients!$A$5:$A$204,0)),"Not found"))</f>
        <v>0</v>
      </c>
      <c r="W146" s="34">
        <f>IF(B146="","",MAX(IF(H146="",0,H146)*0.45+IF(I146="",0,I146)*0.6+IF(J146="",0,J146)*0.3,IF(G146="",0,G146)/650))</f>
        <v>0</v>
      </c>
      <c r="X146" s="34">
        <f>IF(B146="","",ROUND(MAX(1,W146)*IFERROR(INDEX(ConditionFactors,MATCH(L146,ConditionNames,0)),1),2))</f>
        <v>0</v>
      </c>
      <c r="Y146" s="34">
        <f>IF(B146="","",ROUND(X146/MAX(1,CleanersPerJob),2))</f>
        <v>0</v>
      </c>
      <c r="Z146" s="21">
        <f>IF(B146="","",MAX(MinimumCharge,ROUND(X146*IF(IFERROR(INDEX(Clients!$O$5:$O$204,MATCH(C146,Clients!$A$5:$A$204,0)),0)&gt;0,INDEX(Clients!$O$5:$O$204,MATCH(C146,Clients!$A$5:$A$204,0)),HourlyRate)+IF(M146="",0,IF(M146="None",0,PetSurcharge)),2)))</f>
        <v>0</v>
      </c>
      <c r="AA146" s="21">
        <f>IF(B146="","",ROUND(X146*CostPerHour,2))</f>
        <v>0</v>
      </c>
      <c r="AB146" s="38">
        <f>IF(B146="","",IF(Z146=0,"",(Z146-AA146-X146*SuppliesPerHour)/Z146))</f>
        <v>0</v>
      </c>
      <c r="AC146" s="31">
        <f>IF(A146="","",COUNTIFS(Jobs!$J$5:$J$604,A146))</f>
        <v>0</v>
      </c>
      <c r="AD146" s="18">
        <f>IF(A146="","",IF(SUMPRODUCT(MAX((Jobs!$J$5:$J$604=A146)*((Jobs!$P$5:$P$604="Completed")+(Jobs!$P$5:$P$604="Invoiced"))*Jobs!$B$5:$B$604))=0,"",SUMPRODUCT(MAX((Jobs!$J$5:$J$604=A146)*((Jobs!$P$5:$P$604="Completed")+(Jobs!$P$5:$P$604="Invoiced"))*Jobs!$B$5:$B$604))))</f>
        <v>0</v>
      </c>
      <c r="AE146" s="34">
        <f>IF(A146="","",IFERROR(AVERAGEIFS(Jobs!$AK$5:$AK$604,Jobs!$J$5:$J$604,A146,Jobs!$AK$5:$AK$604,"&gt;0"),""))</f>
        <v>0</v>
      </c>
      <c r="AF146" s="34">
        <f>IF(OR(AE146="",X146=""),"",AE146-X146)</f>
        <v>0</v>
      </c>
      <c r="AG146" s="21">
        <f>IF(A146="","",SUMIFS(Jobs!$AJ$5:$AJ$604,Jobs!$J$5:$J$604,A146,Jobs!$P$5:$P$604,"Invoiced")+SUMIFS(Jobs!$AJ$5:$AJ$604,Jobs!$J$5:$J$604,A146,Jobs!$P$5:$P$604,"Completed"))</f>
        <v>0</v>
      </c>
      <c r="AH146" s="39">
        <f>IF(B146="","",IF(C146="","Add - no client linked",IF(IFERROR(INDEX(Clients!$B$5:$B$204,MATCH(C146,Clients!$A$5:$A$204,0)),"")="","Check - client ID not found",IF(AND(G146="",H146=""),"Add - size needed to price it",IF(AND(AF146&lt;&gt;"",AF146&gt;0.5),"Check - runs over the estimate",IF(N146="","Add - how do we get in?","OK"))))))</f>
        <v>0</v>
      </c>
    </row>
    <row r="147" spans="1:34">
      <c r="A147" s="43">
        <f>IF(B147="","",PropertyPrefix&amp;TEXT(ROW()-4,"0000"))</f>
        <v>0</v>
      </c>
      <c r="D147" s="23">
        <f>IF(C147="","",IFERROR(INDEX(Clients!$B$5:$B$204,MATCH(C147,Clients!$A$5:$A$204,0)),"Not found"))</f>
        <v>0</v>
      </c>
      <c r="W147" s="34">
        <f>IF(B147="","",MAX(IF(H147="",0,H147)*0.45+IF(I147="",0,I147)*0.6+IF(J147="",0,J147)*0.3,IF(G147="",0,G147)/650))</f>
        <v>0</v>
      </c>
      <c r="X147" s="34">
        <f>IF(B147="","",ROUND(MAX(1,W147)*IFERROR(INDEX(ConditionFactors,MATCH(L147,ConditionNames,0)),1),2))</f>
        <v>0</v>
      </c>
      <c r="Y147" s="34">
        <f>IF(B147="","",ROUND(X147/MAX(1,CleanersPerJob),2))</f>
        <v>0</v>
      </c>
      <c r="Z147" s="21">
        <f>IF(B147="","",MAX(MinimumCharge,ROUND(X147*IF(IFERROR(INDEX(Clients!$O$5:$O$204,MATCH(C147,Clients!$A$5:$A$204,0)),0)&gt;0,INDEX(Clients!$O$5:$O$204,MATCH(C147,Clients!$A$5:$A$204,0)),HourlyRate)+IF(M147="",0,IF(M147="None",0,PetSurcharge)),2)))</f>
        <v>0</v>
      </c>
      <c r="AA147" s="21">
        <f>IF(B147="","",ROUND(X147*CostPerHour,2))</f>
        <v>0</v>
      </c>
      <c r="AB147" s="38">
        <f>IF(B147="","",IF(Z147=0,"",(Z147-AA147-X147*SuppliesPerHour)/Z147))</f>
        <v>0</v>
      </c>
      <c r="AC147" s="31">
        <f>IF(A147="","",COUNTIFS(Jobs!$J$5:$J$604,A147))</f>
        <v>0</v>
      </c>
      <c r="AD147" s="18">
        <f>IF(A147="","",IF(SUMPRODUCT(MAX((Jobs!$J$5:$J$604=A147)*((Jobs!$P$5:$P$604="Completed")+(Jobs!$P$5:$P$604="Invoiced"))*Jobs!$B$5:$B$604))=0,"",SUMPRODUCT(MAX((Jobs!$J$5:$J$604=A147)*((Jobs!$P$5:$P$604="Completed")+(Jobs!$P$5:$P$604="Invoiced"))*Jobs!$B$5:$B$604))))</f>
        <v>0</v>
      </c>
      <c r="AE147" s="34">
        <f>IF(A147="","",IFERROR(AVERAGEIFS(Jobs!$AK$5:$AK$604,Jobs!$J$5:$J$604,A147,Jobs!$AK$5:$AK$604,"&gt;0"),""))</f>
        <v>0</v>
      </c>
      <c r="AF147" s="34">
        <f>IF(OR(AE147="",X147=""),"",AE147-X147)</f>
        <v>0</v>
      </c>
      <c r="AG147" s="21">
        <f>IF(A147="","",SUMIFS(Jobs!$AJ$5:$AJ$604,Jobs!$J$5:$J$604,A147,Jobs!$P$5:$P$604,"Invoiced")+SUMIFS(Jobs!$AJ$5:$AJ$604,Jobs!$J$5:$J$604,A147,Jobs!$P$5:$P$604,"Completed"))</f>
        <v>0</v>
      </c>
      <c r="AH147" s="39">
        <f>IF(B147="","",IF(C147="","Add - no client linked",IF(IFERROR(INDEX(Clients!$B$5:$B$204,MATCH(C147,Clients!$A$5:$A$204,0)),"")="","Check - client ID not found",IF(AND(G147="",H147=""),"Add - size needed to price it",IF(AND(AF147&lt;&gt;"",AF147&gt;0.5),"Check - runs over the estimate",IF(N147="","Add - how do we get in?","OK"))))))</f>
        <v>0</v>
      </c>
    </row>
    <row r="148" spans="1:34">
      <c r="A148" s="43">
        <f>IF(B148="","",PropertyPrefix&amp;TEXT(ROW()-4,"0000"))</f>
        <v>0</v>
      </c>
      <c r="D148" s="23">
        <f>IF(C148="","",IFERROR(INDEX(Clients!$B$5:$B$204,MATCH(C148,Clients!$A$5:$A$204,0)),"Not found"))</f>
        <v>0</v>
      </c>
      <c r="W148" s="34">
        <f>IF(B148="","",MAX(IF(H148="",0,H148)*0.45+IF(I148="",0,I148)*0.6+IF(J148="",0,J148)*0.3,IF(G148="",0,G148)/650))</f>
        <v>0</v>
      </c>
      <c r="X148" s="34">
        <f>IF(B148="","",ROUND(MAX(1,W148)*IFERROR(INDEX(ConditionFactors,MATCH(L148,ConditionNames,0)),1),2))</f>
        <v>0</v>
      </c>
      <c r="Y148" s="34">
        <f>IF(B148="","",ROUND(X148/MAX(1,CleanersPerJob),2))</f>
        <v>0</v>
      </c>
      <c r="Z148" s="21">
        <f>IF(B148="","",MAX(MinimumCharge,ROUND(X148*IF(IFERROR(INDEX(Clients!$O$5:$O$204,MATCH(C148,Clients!$A$5:$A$204,0)),0)&gt;0,INDEX(Clients!$O$5:$O$204,MATCH(C148,Clients!$A$5:$A$204,0)),HourlyRate)+IF(M148="",0,IF(M148="None",0,PetSurcharge)),2)))</f>
        <v>0</v>
      </c>
      <c r="AA148" s="21">
        <f>IF(B148="","",ROUND(X148*CostPerHour,2))</f>
        <v>0</v>
      </c>
      <c r="AB148" s="38">
        <f>IF(B148="","",IF(Z148=0,"",(Z148-AA148-X148*SuppliesPerHour)/Z148))</f>
        <v>0</v>
      </c>
      <c r="AC148" s="31">
        <f>IF(A148="","",COUNTIFS(Jobs!$J$5:$J$604,A148))</f>
        <v>0</v>
      </c>
      <c r="AD148" s="18">
        <f>IF(A148="","",IF(SUMPRODUCT(MAX((Jobs!$J$5:$J$604=A148)*((Jobs!$P$5:$P$604="Completed")+(Jobs!$P$5:$P$604="Invoiced"))*Jobs!$B$5:$B$604))=0,"",SUMPRODUCT(MAX((Jobs!$J$5:$J$604=A148)*((Jobs!$P$5:$P$604="Completed")+(Jobs!$P$5:$P$604="Invoiced"))*Jobs!$B$5:$B$604))))</f>
        <v>0</v>
      </c>
      <c r="AE148" s="34">
        <f>IF(A148="","",IFERROR(AVERAGEIFS(Jobs!$AK$5:$AK$604,Jobs!$J$5:$J$604,A148,Jobs!$AK$5:$AK$604,"&gt;0"),""))</f>
        <v>0</v>
      </c>
      <c r="AF148" s="34">
        <f>IF(OR(AE148="",X148=""),"",AE148-X148)</f>
        <v>0</v>
      </c>
      <c r="AG148" s="21">
        <f>IF(A148="","",SUMIFS(Jobs!$AJ$5:$AJ$604,Jobs!$J$5:$J$604,A148,Jobs!$P$5:$P$604,"Invoiced")+SUMIFS(Jobs!$AJ$5:$AJ$604,Jobs!$J$5:$J$604,A148,Jobs!$P$5:$P$604,"Completed"))</f>
        <v>0</v>
      </c>
      <c r="AH148" s="39">
        <f>IF(B148="","",IF(C148="","Add - no client linked",IF(IFERROR(INDEX(Clients!$B$5:$B$204,MATCH(C148,Clients!$A$5:$A$204,0)),"")="","Check - client ID not found",IF(AND(G148="",H148=""),"Add - size needed to price it",IF(AND(AF148&lt;&gt;"",AF148&gt;0.5),"Check - runs over the estimate",IF(N148="","Add - how do we get in?","OK"))))))</f>
        <v>0</v>
      </c>
    </row>
    <row r="149" spans="1:34">
      <c r="A149" s="43">
        <f>IF(B149="","",PropertyPrefix&amp;TEXT(ROW()-4,"0000"))</f>
        <v>0</v>
      </c>
      <c r="D149" s="23">
        <f>IF(C149="","",IFERROR(INDEX(Clients!$B$5:$B$204,MATCH(C149,Clients!$A$5:$A$204,0)),"Not found"))</f>
        <v>0</v>
      </c>
      <c r="W149" s="34">
        <f>IF(B149="","",MAX(IF(H149="",0,H149)*0.45+IF(I149="",0,I149)*0.6+IF(J149="",0,J149)*0.3,IF(G149="",0,G149)/650))</f>
        <v>0</v>
      </c>
      <c r="X149" s="34">
        <f>IF(B149="","",ROUND(MAX(1,W149)*IFERROR(INDEX(ConditionFactors,MATCH(L149,ConditionNames,0)),1),2))</f>
        <v>0</v>
      </c>
      <c r="Y149" s="34">
        <f>IF(B149="","",ROUND(X149/MAX(1,CleanersPerJob),2))</f>
        <v>0</v>
      </c>
      <c r="Z149" s="21">
        <f>IF(B149="","",MAX(MinimumCharge,ROUND(X149*IF(IFERROR(INDEX(Clients!$O$5:$O$204,MATCH(C149,Clients!$A$5:$A$204,0)),0)&gt;0,INDEX(Clients!$O$5:$O$204,MATCH(C149,Clients!$A$5:$A$204,0)),HourlyRate)+IF(M149="",0,IF(M149="None",0,PetSurcharge)),2)))</f>
        <v>0</v>
      </c>
      <c r="AA149" s="21">
        <f>IF(B149="","",ROUND(X149*CostPerHour,2))</f>
        <v>0</v>
      </c>
      <c r="AB149" s="38">
        <f>IF(B149="","",IF(Z149=0,"",(Z149-AA149-X149*SuppliesPerHour)/Z149))</f>
        <v>0</v>
      </c>
      <c r="AC149" s="31">
        <f>IF(A149="","",COUNTIFS(Jobs!$J$5:$J$604,A149))</f>
        <v>0</v>
      </c>
      <c r="AD149" s="18">
        <f>IF(A149="","",IF(SUMPRODUCT(MAX((Jobs!$J$5:$J$604=A149)*((Jobs!$P$5:$P$604="Completed")+(Jobs!$P$5:$P$604="Invoiced"))*Jobs!$B$5:$B$604))=0,"",SUMPRODUCT(MAX((Jobs!$J$5:$J$604=A149)*((Jobs!$P$5:$P$604="Completed")+(Jobs!$P$5:$P$604="Invoiced"))*Jobs!$B$5:$B$604))))</f>
        <v>0</v>
      </c>
      <c r="AE149" s="34">
        <f>IF(A149="","",IFERROR(AVERAGEIFS(Jobs!$AK$5:$AK$604,Jobs!$J$5:$J$604,A149,Jobs!$AK$5:$AK$604,"&gt;0"),""))</f>
        <v>0</v>
      </c>
      <c r="AF149" s="34">
        <f>IF(OR(AE149="",X149=""),"",AE149-X149)</f>
        <v>0</v>
      </c>
      <c r="AG149" s="21">
        <f>IF(A149="","",SUMIFS(Jobs!$AJ$5:$AJ$604,Jobs!$J$5:$J$604,A149,Jobs!$P$5:$P$604,"Invoiced")+SUMIFS(Jobs!$AJ$5:$AJ$604,Jobs!$J$5:$J$604,A149,Jobs!$P$5:$P$604,"Completed"))</f>
        <v>0</v>
      </c>
      <c r="AH149" s="39">
        <f>IF(B149="","",IF(C149="","Add - no client linked",IF(IFERROR(INDEX(Clients!$B$5:$B$204,MATCH(C149,Clients!$A$5:$A$204,0)),"")="","Check - client ID not found",IF(AND(G149="",H149=""),"Add - size needed to price it",IF(AND(AF149&lt;&gt;"",AF149&gt;0.5),"Check - runs over the estimate",IF(N149="","Add - how do we get in?","OK"))))))</f>
        <v>0</v>
      </c>
    </row>
    <row r="150" spans="1:34">
      <c r="A150" s="43">
        <f>IF(B150="","",PropertyPrefix&amp;TEXT(ROW()-4,"0000"))</f>
        <v>0</v>
      </c>
      <c r="D150" s="23">
        <f>IF(C150="","",IFERROR(INDEX(Clients!$B$5:$B$204,MATCH(C150,Clients!$A$5:$A$204,0)),"Not found"))</f>
        <v>0</v>
      </c>
      <c r="W150" s="34">
        <f>IF(B150="","",MAX(IF(H150="",0,H150)*0.45+IF(I150="",0,I150)*0.6+IF(J150="",0,J150)*0.3,IF(G150="",0,G150)/650))</f>
        <v>0</v>
      </c>
      <c r="X150" s="34">
        <f>IF(B150="","",ROUND(MAX(1,W150)*IFERROR(INDEX(ConditionFactors,MATCH(L150,ConditionNames,0)),1),2))</f>
        <v>0</v>
      </c>
      <c r="Y150" s="34">
        <f>IF(B150="","",ROUND(X150/MAX(1,CleanersPerJob),2))</f>
        <v>0</v>
      </c>
      <c r="Z150" s="21">
        <f>IF(B150="","",MAX(MinimumCharge,ROUND(X150*IF(IFERROR(INDEX(Clients!$O$5:$O$204,MATCH(C150,Clients!$A$5:$A$204,0)),0)&gt;0,INDEX(Clients!$O$5:$O$204,MATCH(C150,Clients!$A$5:$A$204,0)),HourlyRate)+IF(M150="",0,IF(M150="None",0,PetSurcharge)),2)))</f>
        <v>0</v>
      </c>
      <c r="AA150" s="21">
        <f>IF(B150="","",ROUND(X150*CostPerHour,2))</f>
        <v>0</v>
      </c>
      <c r="AB150" s="38">
        <f>IF(B150="","",IF(Z150=0,"",(Z150-AA150-X150*SuppliesPerHour)/Z150))</f>
        <v>0</v>
      </c>
      <c r="AC150" s="31">
        <f>IF(A150="","",COUNTIFS(Jobs!$J$5:$J$604,A150))</f>
        <v>0</v>
      </c>
      <c r="AD150" s="18">
        <f>IF(A150="","",IF(SUMPRODUCT(MAX((Jobs!$J$5:$J$604=A150)*((Jobs!$P$5:$P$604="Completed")+(Jobs!$P$5:$P$604="Invoiced"))*Jobs!$B$5:$B$604))=0,"",SUMPRODUCT(MAX((Jobs!$J$5:$J$604=A150)*((Jobs!$P$5:$P$604="Completed")+(Jobs!$P$5:$P$604="Invoiced"))*Jobs!$B$5:$B$604))))</f>
        <v>0</v>
      </c>
      <c r="AE150" s="34">
        <f>IF(A150="","",IFERROR(AVERAGEIFS(Jobs!$AK$5:$AK$604,Jobs!$J$5:$J$604,A150,Jobs!$AK$5:$AK$604,"&gt;0"),""))</f>
        <v>0</v>
      </c>
      <c r="AF150" s="34">
        <f>IF(OR(AE150="",X150=""),"",AE150-X150)</f>
        <v>0</v>
      </c>
      <c r="AG150" s="21">
        <f>IF(A150="","",SUMIFS(Jobs!$AJ$5:$AJ$604,Jobs!$J$5:$J$604,A150,Jobs!$P$5:$P$604,"Invoiced")+SUMIFS(Jobs!$AJ$5:$AJ$604,Jobs!$J$5:$J$604,A150,Jobs!$P$5:$P$604,"Completed"))</f>
        <v>0</v>
      </c>
      <c r="AH150" s="39">
        <f>IF(B150="","",IF(C150="","Add - no client linked",IF(IFERROR(INDEX(Clients!$B$5:$B$204,MATCH(C150,Clients!$A$5:$A$204,0)),"")="","Check - client ID not found",IF(AND(G150="",H150=""),"Add - size needed to price it",IF(AND(AF150&lt;&gt;"",AF150&gt;0.5),"Check - runs over the estimate",IF(N150="","Add - how do we get in?","OK"))))))</f>
        <v>0</v>
      </c>
    </row>
    <row r="151" spans="1:34">
      <c r="A151" s="43">
        <f>IF(B151="","",PropertyPrefix&amp;TEXT(ROW()-4,"0000"))</f>
        <v>0</v>
      </c>
      <c r="D151" s="23">
        <f>IF(C151="","",IFERROR(INDEX(Clients!$B$5:$B$204,MATCH(C151,Clients!$A$5:$A$204,0)),"Not found"))</f>
        <v>0</v>
      </c>
      <c r="W151" s="34">
        <f>IF(B151="","",MAX(IF(H151="",0,H151)*0.45+IF(I151="",0,I151)*0.6+IF(J151="",0,J151)*0.3,IF(G151="",0,G151)/650))</f>
        <v>0</v>
      </c>
      <c r="X151" s="34">
        <f>IF(B151="","",ROUND(MAX(1,W151)*IFERROR(INDEX(ConditionFactors,MATCH(L151,ConditionNames,0)),1),2))</f>
        <v>0</v>
      </c>
      <c r="Y151" s="34">
        <f>IF(B151="","",ROUND(X151/MAX(1,CleanersPerJob),2))</f>
        <v>0</v>
      </c>
      <c r="Z151" s="21">
        <f>IF(B151="","",MAX(MinimumCharge,ROUND(X151*IF(IFERROR(INDEX(Clients!$O$5:$O$204,MATCH(C151,Clients!$A$5:$A$204,0)),0)&gt;0,INDEX(Clients!$O$5:$O$204,MATCH(C151,Clients!$A$5:$A$204,0)),HourlyRate)+IF(M151="",0,IF(M151="None",0,PetSurcharge)),2)))</f>
        <v>0</v>
      </c>
      <c r="AA151" s="21">
        <f>IF(B151="","",ROUND(X151*CostPerHour,2))</f>
        <v>0</v>
      </c>
      <c r="AB151" s="38">
        <f>IF(B151="","",IF(Z151=0,"",(Z151-AA151-X151*SuppliesPerHour)/Z151))</f>
        <v>0</v>
      </c>
      <c r="AC151" s="31">
        <f>IF(A151="","",COUNTIFS(Jobs!$J$5:$J$604,A151))</f>
        <v>0</v>
      </c>
      <c r="AD151" s="18">
        <f>IF(A151="","",IF(SUMPRODUCT(MAX((Jobs!$J$5:$J$604=A151)*((Jobs!$P$5:$P$604="Completed")+(Jobs!$P$5:$P$604="Invoiced"))*Jobs!$B$5:$B$604))=0,"",SUMPRODUCT(MAX((Jobs!$J$5:$J$604=A151)*((Jobs!$P$5:$P$604="Completed")+(Jobs!$P$5:$P$604="Invoiced"))*Jobs!$B$5:$B$604))))</f>
        <v>0</v>
      </c>
      <c r="AE151" s="34">
        <f>IF(A151="","",IFERROR(AVERAGEIFS(Jobs!$AK$5:$AK$604,Jobs!$J$5:$J$604,A151,Jobs!$AK$5:$AK$604,"&gt;0"),""))</f>
        <v>0</v>
      </c>
      <c r="AF151" s="34">
        <f>IF(OR(AE151="",X151=""),"",AE151-X151)</f>
        <v>0</v>
      </c>
      <c r="AG151" s="21">
        <f>IF(A151="","",SUMIFS(Jobs!$AJ$5:$AJ$604,Jobs!$J$5:$J$604,A151,Jobs!$P$5:$P$604,"Invoiced")+SUMIFS(Jobs!$AJ$5:$AJ$604,Jobs!$J$5:$J$604,A151,Jobs!$P$5:$P$604,"Completed"))</f>
        <v>0</v>
      </c>
      <c r="AH151" s="39">
        <f>IF(B151="","",IF(C151="","Add - no client linked",IF(IFERROR(INDEX(Clients!$B$5:$B$204,MATCH(C151,Clients!$A$5:$A$204,0)),"")="","Check - client ID not found",IF(AND(G151="",H151=""),"Add - size needed to price it",IF(AND(AF151&lt;&gt;"",AF151&gt;0.5),"Check - runs over the estimate",IF(N151="","Add - how do we get in?","OK"))))))</f>
        <v>0</v>
      </c>
    </row>
    <row r="152" spans="1:34">
      <c r="A152" s="43">
        <f>IF(B152="","",PropertyPrefix&amp;TEXT(ROW()-4,"0000"))</f>
        <v>0</v>
      </c>
      <c r="D152" s="23">
        <f>IF(C152="","",IFERROR(INDEX(Clients!$B$5:$B$204,MATCH(C152,Clients!$A$5:$A$204,0)),"Not found"))</f>
        <v>0</v>
      </c>
      <c r="W152" s="34">
        <f>IF(B152="","",MAX(IF(H152="",0,H152)*0.45+IF(I152="",0,I152)*0.6+IF(J152="",0,J152)*0.3,IF(G152="",0,G152)/650))</f>
        <v>0</v>
      </c>
      <c r="X152" s="34">
        <f>IF(B152="","",ROUND(MAX(1,W152)*IFERROR(INDEX(ConditionFactors,MATCH(L152,ConditionNames,0)),1),2))</f>
        <v>0</v>
      </c>
      <c r="Y152" s="34">
        <f>IF(B152="","",ROUND(X152/MAX(1,CleanersPerJob),2))</f>
        <v>0</v>
      </c>
      <c r="Z152" s="21">
        <f>IF(B152="","",MAX(MinimumCharge,ROUND(X152*IF(IFERROR(INDEX(Clients!$O$5:$O$204,MATCH(C152,Clients!$A$5:$A$204,0)),0)&gt;0,INDEX(Clients!$O$5:$O$204,MATCH(C152,Clients!$A$5:$A$204,0)),HourlyRate)+IF(M152="",0,IF(M152="None",0,PetSurcharge)),2)))</f>
        <v>0</v>
      </c>
      <c r="AA152" s="21">
        <f>IF(B152="","",ROUND(X152*CostPerHour,2))</f>
        <v>0</v>
      </c>
      <c r="AB152" s="38">
        <f>IF(B152="","",IF(Z152=0,"",(Z152-AA152-X152*SuppliesPerHour)/Z152))</f>
        <v>0</v>
      </c>
      <c r="AC152" s="31">
        <f>IF(A152="","",COUNTIFS(Jobs!$J$5:$J$604,A152))</f>
        <v>0</v>
      </c>
      <c r="AD152" s="18">
        <f>IF(A152="","",IF(SUMPRODUCT(MAX((Jobs!$J$5:$J$604=A152)*((Jobs!$P$5:$P$604="Completed")+(Jobs!$P$5:$P$604="Invoiced"))*Jobs!$B$5:$B$604))=0,"",SUMPRODUCT(MAX((Jobs!$J$5:$J$604=A152)*((Jobs!$P$5:$P$604="Completed")+(Jobs!$P$5:$P$604="Invoiced"))*Jobs!$B$5:$B$604))))</f>
        <v>0</v>
      </c>
      <c r="AE152" s="34">
        <f>IF(A152="","",IFERROR(AVERAGEIFS(Jobs!$AK$5:$AK$604,Jobs!$J$5:$J$604,A152,Jobs!$AK$5:$AK$604,"&gt;0"),""))</f>
        <v>0</v>
      </c>
      <c r="AF152" s="34">
        <f>IF(OR(AE152="",X152=""),"",AE152-X152)</f>
        <v>0</v>
      </c>
      <c r="AG152" s="21">
        <f>IF(A152="","",SUMIFS(Jobs!$AJ$5:$AJ$604,Jobs!$J$5:$J$604,A152,Jobs!$P$5:$P$604,"Invoiced")+SUMIFS(Jobs!$AJ$5:$AJ$604,Jobs!$J$5:$J$604,A152,Jobs!$P$5:$P$604,"Completed"))</f>
        <v>0</v>
      </c>
      <c r="AH152" s="39">
        <f>IF(B152="","",IF(C152="","Add - no client linked",IF(IFERROR(INDEX(Clients!$B$5:$B$204,MATCH(C152,Clients!$A$5:$A$204,0)),"")="","Check - client ID not found",IF(AND(G152="",H152=""),"Add - size needed to price it",IF(AND(AF152&lt;&gt;"",AF152&gt;0.5),"Check - runs over the estimate",IF(N152="","Add - how do we get in?","OK"))))))</f>
        <v>0</v>
      </c>
    </row>
    <row r="153" spans="1:34">
      <c r="A153" s="43">
        <f>IF(B153="","",PropertyPrefix&amp;TEXT(ROW()-4,"0000"))</f>
        <v>0</v>
      </c>
      <c r="D153" s="23">
        <f>IF(C153="","",IFERROR(INDEX(Clients!$B$5:$B$204,MATCH(C153,Clients!$A$5:$A$204,0)),"Not found"))</f>
        <v>0</v>
      </c>
      <c r="W153" s="34">
        <f>IF(B153="","",MAX(IF(H153="",0,H153)*0.45+IF(I153="",0,I153)*0.6+IF(J153="",0,J153)*0.3,IF(G153="",0,G153)/650))</f>
        <v>0</v>
      </c>
      <c r="X153" s="34">
        <f>IF(B153="","",ROUND(MAX(1,W153)*IFERROR(INDEX(ConditionFactors,MATCH(L153,ConditionNames,0)),1),2))</f>
        <v>0</v>
      </c>
      <c r="Y153" s="34">
        <f>IF(B153="","",ROUND(X153/MAX(1,CleanersPerJob),2))</f>
        <v>0</v>
      </c>
      <c r="Z153" s="21">
        <f>IF(B153="","",MAX(MinimumCharge,ROUND(X153*IF(IFERROR(INDEX(Clients!$O$5:$O$204,MATCH(C153,Clients!$A$5:$A$204,0)),0)&gt;0,INDEX(Clients!$O$5:$O$204,MATCH(C153,Clients!$A$5:$A$204,0)),HourlyRate)+IF(M153="",0,IF(M153="None",0,PetSurcharge)),2)))</f>
        <v>0</v>
      </c>
      <c r="AA153" s="21">
        <f>IF(B153="","",ROUND(X153*CostPerHour,2))</f>
        <v>0</v>
      </c>
      <c r="AB153" s="38">
        <f>IF(B153="","",IF(Z153=0,"",(Z153-AA153-X153*SuppliesPerHour)/Z153))</f>
        <v>0</v>
      </c>
      <c r="AC153" s="31">
        <f>IF(A153="","",COUNTIFS(Jobs!$J$5:$J$604,A153))</f>
        <v>0</v>
      </c>
      <c r="AD153" s="18">
        <f>IF(A153="","",IF(SUMPRODUCT(MAX((Jobs!$J$5:$J$604=A153)*((Jobs!$P$5:$P$604="Completed")+(Jobs!$P$5:$P$604="Invoiced"))*Jobs!$B$5:$B$604))=0,"",SUMPRODUCT(MAX((Jobs!$J$5:$J$604=A153)*((Jobs!$P$5:$P$604="Completed")+(Jobs!$P$5:$P$604="Invoiced"))*Jobs!$B$5:$B$604))))</f>
        <v>0</v>
      </c>
      <c r="AE153" s="34">
        <f>IF(A153="","",IFERROR(AVERAGEIFS(Jobs!$AK$5:$AK$604,Jobs!$J$5:$J$604,A153,Jobs!$AK$5:$AK$604,"&gt;0"),""))</f>
        <v>0</v>
      </c>
      <c r="AF153" s="34">
        <f>IF(OR(AE153="",X153=""),"",AE153-X153)</f>
        <v>0</v>
      </c>
      <c r="AG153" s="21">
        <f>IF(A153="","",SUMIFS(Jobs!$AJ$5:$AJ$604,Jobs!$J$5:$J$604,A153,Jobs!$P$5:$P$604,"Invoiced")+SUMIFS(Jobs!$AJ$5:$AJ$604,Jobs!$J$5:$J$604,A153,Jobs!$P$5:$P$604,"Completed"))</f>
        <v>0</v>
      </c>
      <c r="AH153" s="39">
        <f>IF(B153="","",IF(C153="","Add - no client linked",IF(IFERROR(INDEX(Clients!$B$5:$B$204,MATCH(C153,Clients!$A$5:$A$204,0)),"")="","Check - client ID not found",IF(AND(G153="",H153=""),"Add - size needed to price it",IF(AND(AF153&lt;&gt;"",AF153&gt;0.5),"Check - runs over the estimate",IF(N153="","Add - how do we get in?","OK"))))))</f>
        <v>0</v>
      </c>
    </row>
    <row r="154" spans="1:34">
      <c r="A154" s="43">
        <f>IF(B154="","",PropertyPrefix&amp;TEXT(ROW()-4,"0000"))</f>
        <v>0</v>
      </c>
      <c r="D154" s="23">
        <f>IF(C154="","",IFERROR(INDEX(Clients!$B$5:$B$204,MATCH(C154,Clients!$A$5:$A$204,0)),"Not found"))</f>
        <v>0</v>
      </c>
      <c r="W154" s="34">
        <f>IF(B154="","",MAX(IF(H154="",0,H154)*0.45+IF(I154="",0,I154)*0.6+IF(J154="",0,J154)*0.3,IF(G154="",0,G154)/650))</f>
        <v>0</v>
      </c>
      <c r="X154" s="34">
        <f>IF(B154="","",ROUND(MAX(1,W154)*IFERROR(INDEX(ConditionFactors,MATCH(L154,ConditionNames,0)),1),2))</f>
        <v>0</v>
      </c>
      <c r="Y154" s="34">
        <f>IF(B154="","",ROUND(X154/MAX(1,CleanersPerJob),2))</f>
        <v>0</v>
      </c>
      <c r="Z154" s="21">
        <f>IF(B154="","",MAX(MinimumCharge,ROUND(X154*IF(IFERROR(INDEX(Clients!$O$5:$O$204,MATCH(C154,Clients!$A$5:$A$204,0)),0)&gt;0,INDEX(Clients!$O$5:$O$204,MATCH(C154,Clients!$A$5:$A$204,0)),HourlyRate)+IF(M154="",0,IF(M154="None",0,PetSurcharge)),2)))</f>
        <v>0</v>
      </c>
      <c r="AA154" s="21">
        <f>IF(B154="","",ROUND(X154*CostPerHour,2))</f>
        <v>0</v>
      </c>
      <c r="AB154" s="38">
        <f>IF(B154="","",IF(Z154=0,"",(Z154-AA154-X154*SuppliesPerHour)/Z154))</f>
        <v>0</v>
      </c>
      <c r="AC154" s="31">
        <f>IF(A154="","",COUNTIFS(Jobs!$J$5:$J$604,A154))</f>
        <v>0</v>
      </c>
      <c r="AD154" s="18">
        <f>IF(A154="","",IF(SUMPRODUCT(MAX((Jobs!$J$5:$J$604=A154)*((Jobs!$P$5:$P$604="Completed")+(Jobs!$P$5:$P$604="Invoiced"))*Jobs!$B$5:$B$604))=0,"",SUMPRODUCT(MAX((Jobs!$J$5:$J$604=A154)*((Jobs!$P$5:$P$604="Completed")+(Jobs!$P$5:$P$604="Invoiced"))*Jobs!$B$5:$B$604))))</f>
        <v>0</v>
      </c>
      <c r="AE154" s="34">
        <f>IF(A154="","",IFERROR(AVERAGEIFS(Jobs!$AK$5:$AK$604,Jobs!$J$5:$J$604,A154,Jobs!$AK$5:$AK$604,"&gt;0"),""))</f>
        <v>0</v>
      </c>
      <c r="AF154" s="34">
        <f>IF(OR(AE154="",X154=""),"",AE154-X154)</f>
        <v>0</v>
      </c>
      <c r="AG154" s="21">
        <f>IF(A154="","",SUMIFS(Jobs!$AJ$5:$AJ$604,Jobs!$J$5:$J$604,A154,Jobs!$P$5:$P$604,"Invoiced")+SUMIFS(Jobs!$AJ$5:$AJ$604,Jobs!$J$5:$J$604,A154,Jobs!$P$5:$P$604,"Completed"))</f>
        <v>0</v>
      </c>
      <c r="AH154" s="39">
        <f>IF(B154="","",IF(C154="","Add - no client linked",IF(IFERROR(INDEX(Clients!$B$5:$B$204,MATCH(C154,Clients!$A$5:$A$204,0)),"")="","Check - client ID not found",IF(AND(G154="",H154=""),"Add - size needed to price it",IF(AND(AF154&lt;&gt;"",AF154&gt;0.5),"Check - runs over the estimate",IF(N154="","Add - how do we get in?","OK"))))))</f>
        <v>0</v>
      </c>
    </row>
    <row r="155" spans="1:34">
      <c r="A155" s="43">
        <f>IF(B155="","",PropertyPrefix&amp;TEXT(ROW()-4,"0000"))</f>
        <v>0</v>
      </c>
      <c r="D155" s="23">
        <f>IF(C155="","",IFERROR(INDEX(Clients!$B$5:$B$204,MATCH(C155,Clients!$A$5:$A$204,0)),"Not found"))</f>
        <v>0</v>
      </c>
      <c r="W155" s="34">
        <f>IF(B155="","",MAX(IF(H155="",0,H155)*0.45+IF(I155="",0,I155)*0.6+IF(J155="",0,J155)*0.3,IF(G155="",0,G155)/650))</f>
        <v>0</v>
      </c>
      <c r="X155" s="34">
        <f>IF(B155="","",ROUND(MAX(1,W155)*IFERROR(INDEX(ConditionFactors,MATCH(L155,ConditionNames,0)),1),2))</f>
        <v>0</v>
      </c>
      <c r="Y155" s="34">
        <f>IF(B155="","",ROUND(X155/MAX(1,CleanersPerJob),2))</f>
        <v>0</v>
      </c>
      <c r="Z155" s="21">
        <f>IF(B155="","",MAX(MinimumCharge,ROUND(X155*IF(IFERROR(INDEX(Clients!$O$5:$O$204,MATCH(C155,Clients!$A$5:$A$204,0)),0)&gt;0,INDEX(Clients!$O$5:$O$204,MATCH(C155,Clients!$A$5:$A$204,0)),HourlyRate)+IF(M155="",0,IF(M155="None",0,PetSurcharge)),2)))</f>
        <v>0</v>
      </c>
      <c r="AA155" s="21">
        <f>IF(B155="","",ROUND(X155*CostPerHour,2))</f>
        <v>0</v>
      </c>
      <c r="AB155" s="38">
        <f>IF(B155="","",IF(Z155=0,"",(Z155-AA155-X155*SuppliesPerHour)/Z155))</f>
        <v>0</v>
      </c>
      <c r="AC155" s="31">
        <f>IF(A155="","",COUNTIFS(Jobs!$J$5:$J$604,A155))</f>
        <v>0</v>
      </c>
      <c r="AD155" s="18">
        <f>IF(A155="","",IF(SUMPRODUCT(MAX((Jobs!$J$5:$J$604=A155)*((Jobs!$P$5:$P$604="Completed")+(Jobs!$P$5:$P$604="Invoiced"))*Jobs!$B$5:$B$604))=0,"",SUMPRODUCT(MAX((Jobs!$J$5:$J$604=A155)*((Jobs!$P$5:$P$604="Completed")+(Jobs!$P$5:$P$604="Invoiced"))*Jobs!$B$5:$B$604))))</f>
        <v>0</v>
      </c>
      <c r="AE155" s="34">
        <f>IF(A155="","",IFERROR(AVERAGEIFS(Jobs!$AK$5:$AK$604,Jobs!$J$5:$J$604,A155,Jobs!$AK$5:$AK$604,"&gt;0"),""))</f>
        <v>0</v>
      </c>
      <c r="AF155" s="34">
        <f>IF(OR(AE155="",X155=""),"",AE155-X155)</f>
        <v>0</v>
      </c>
      <c r="AG155" s="21">
        <f>IF(A155="","",SUMIFS(Jobs!$AJ$5:$AJ$604,Jobs!$J$5:$J$604,A155,Jobs!$P$5:$P$604,"Invoiced")+SUMIFS(Jobs!$AJ$5:$AJ$604,Jobs!$J$5:$J$604,A155,Jobs!$P$5:$P$604,"Completed"))</f>
        <v>0</v>
      </c>
      <c r="AH155" s="39">
        <f>IF(B155="","",IF(C155="","Add - no client linked",IF(IFERROR(INDEX(Clients!$B$5:$B$204,MATCH(C155,Clients!$A$5:$A$204,0)),"")="","Check - client ID not found",IF(AND(G155="",H155=""),"Add - size needed to price it",IF(AND(AF155&lt;&gt;"",AF155&gt;0.5),"Check - runs over the estimate",IF(N155="","Add - how do we get in?","OK"))))))</f>
        <v>0</v>
      </c>
    </row>
    <row r="156" spans="1:34">
      <c r="A156" s="43">
        <f>IF(B156="","",PropertyPrefix&amp;TEXT(ROW()-4,"0000"))</f>
        <v>0</v>
      </c>
      <c r="D156" s="23">
        <f>IF(C156="","",IFERROR(INDEX(Clients!$B$5:$B$204,MATCH(C156,Clients!$A$5:$A$204,0)),"Not found"))</f>
        <v>0</v>
      </c>
      <c r="W156" s="34">
        <f>IF(B156="","",MAX(IF(H156="",0,H156)*0.45+IF(I156="",0,I156)*0.6+IF(J156="",0,J156)*0.3,IF(G156="",0,G156)/650))</f>
        <v>0</v>
      </c>
      <c r="X156" s="34">
        <f>IF(B156="","",ROUND(MAX(1,W156)*IFERROR(INDEX(ConditionFactors,MATCH(L156,ConditionNames,0)),1),2))</f>
        <v>0</v>
      </c>
      <c r="Y156" s="34">
        <f>IF(B156="","",ROUND(X156/MAX(1,CleanersPerJob),2))</f>
        <v>0</v>
      </c>
      <c r="Z156" s="21">
        <f>IF(B156="","",MAX(MinimumCharge,ROUND(X156*IF(IFERROR(INDEX(Clients!$O$5:$O$204,MATCH(C156,Clients!$A$5:$A$204,0)),0)&gt;0,INDEX(Clients!$O$5:$O$204,MATCH(C156,Clients!$A$5:$A$204,0)),HourlyRate)+IF(M156="",0,IF(M156="None",0,PetSurcharge)),2)))</f>
        <v>0</v>
      </c>
      <c r="AA156" s="21">
        <f>IF(B156="","",ROUND(X156*CostPerHour,2))</f>
        <v>0</v>
      </c>
      <c r="AB156" s="38">
        <f>IF(B156="","",IF(Z156=0,"",(Z156-AA156-X156*SuppliesPerHour)/Z156))</f>
        <v>0</v>
      </c>
      <c r="AC156" s="31">
        <f>IF(A156="","",COUNTIFS(Jobs!$J$5:$J$604,A156))</f>
        <v>0</v>
      </c>
      <c r="AD156" s="18">
        <f>IF(A156="","",IF(SUMPRODUCT(MAX((Jobs!$J$5:$J$604=A156)*((Jobs!$P$5:$P$604="Completed")+(Jobs!$P$5:$P$604="Invoiced"))*Jobs!$B$5:$B$604))=0,"",SUMPRODUCT(MAX((Jobs!$J$5:$J$604=A156)*((Jobs!$P$5:$P$604="Completed")+(Jobs!$P$5:$P$604="Invoiced"))*Jobs!$B$5:$B$604))))</f>
        <v>0</v>
      </c>
      <c r="AE156" s="34">
        <f>IF(A156="","",IFERROR(AVERAGEIFS(Jobs!$AK$5:$AK$604,Jobs!$J$5:$J$604,A156,Jobs!$AK$5:$AK$604,"&gt;0"),""))</f>
        <v>0</v>
      </c>
      <c r="AF156" s="34">
        <f>IF(OR(AE156="",X156=""),"",AE156-X156)</f>
        <v>0</v>
      </c>
      <c r="AG156" s="21">
        <f>IF(A156="","",SUMIFS(Jobs!$AJ$5:$AJ$604,Jobs!$J$5:$J$604,A156,Jobs!$P$5:$P$604,"Invoiced")+SUMIFS(Jobs!$AJ$5:$AJ$604,Jobs!$J$5:$J$604,A156,Jobs!$P$5:$P$604,"Completed"))</f>
        <v>0</v>
      </c>
      <c r="AH156" s="39">
        <f>IF(B156="","",IF(C156="","Add - no client linked",IF(IFERROR(INDEX(Clients!$B$5:$B$204,MATCH(C156,Clients!$A$5:$A$204,0)),"")="","Check - client ID not found",IF(AND(G156="",H156=""),"Add - size needed to price it",IF(AND(AF156&lt;&gt;"",AF156&gt;0.5),"Check - runs over the estimate",IF(N156="","Add - how do we get in?","OK"))))))</f>
        <v>0</v>
      </c>
    </row>
    <row r="157" spans="1:34">
      <c r="A157" s="43">
        <f>IF(B157="","",PropertyPrefix&amp;TEXT(ROW()-4,"0000"))</f>
        <v>0</v>
      </c>
      <c r="D157" s="23">
        <f>IF(C157="","",IFERROR(INDEX(Clients!$B$5:$B$204,MATCH(C157,Clients!$A$5:$A$204,0)),"Not found"))</f>
        <v>0</v>
      </c>
      <c r="W157" s="34">
        <f>IF(B157="","",MAX(IF(H157="",0,H157)*0.45+IF(I157="",0,I157)*0.6+IF(J157="",0,J157)*0.3,IF(G157="",0,G157)/650))</f>
        <v>0</v>
      </c>
      <c r="X157" s="34">
        <f>IF(B157="","",ROUND(MAX(1,W157)*IFERROR(INDEX(ConditionFactors,MATCH(L157,ConditionNames,0)),1),2))</f>
        <v>0</v>
      </c>
      <c r="Y157" s="34">
        <f>IF(B157="","",ROUND(X157/MAX(1,CleanersPerJob),2))</f>
        <v>0</v>
      </c>
      <c r="Z157" s="21">
        <f>IF(B157="","",MAX(MinimumCharge,ROUND(X157*IF(IFERROR(INDEX(Clients!$O$5:$O$204,MATCH(C157,Clients!$A$5:$A$204,0)),0)&gt;0,INDEX(Clients!$O$5:$O$204,MATCH(C157,Clients!$A$5:$A$204,0)),HourlyRate)+IF(M157="",0,IF(M157="None",0,PetSurcharge)),2)))</f>
        <v>0</v>
      </c>
      <c r="AA157" s="21">
        <f>IF(B157="","",ROUND(X157*CostPerHour,2))</f>
        <v>0</v>
      </c>
      <c r="AB157" s="38">
        <f>IF(B157="","",IF(Z157=0,"",(Z157-AA157-X157*SuppliesPerHour)/Z157))</f>
        <v>0</v>
      </c>
      <c r="AC157" s="31">
        <f>IF(A157="","",COUNTIFS(Jobs!$J$5:$J$604,A157))</f>
        <v>0</v>
      </c>
      <c r="AD157" s="18">
        <f>IF(A157="","",IF(SUMPRODUCT(MAX((Jobs!$J$5:$J$604=A157)*((Jobs!$P$5:$P$604="Completed")+(Jobs!$P$5:$P$604="Invoiced"))*Jobs!$B$5:$B$604))=0,"",SUMPRODUCT(MAX((Jobs!$J$5:$J$604=A157)*((Jobs!$P$5:$P$604="Completed")+(Jobs!$P$5:$P$604="Invoiced"))*Jobs!$B$5:$B$604))))</f>
        <v>0</v>
      </c>
      <c r="AE157" s="34">
        <f>IF(A157="","",IFERROR(AVERAGEIFS(Jobs!$AK$5:$AK$604,Jobs!$J$5:$J$604,A157,Jobs!$AK$5:$AK$604,"&gt;0"),""))</f>
        <v>0</v>
      </c>
      <c r="AF157" s="34">
        <f>IF(OR(AE157="",X157=""),"",AE157-X157)</f>
        <v>0</v>
      </c>
      <c r="AG157" s="21">
        <f>IF(A157="","",SUMIFS(Jobs!$AJ$5:$AJ$604,Jobs!$J$5:$J$604,A157,Jobs!$P$5:$P$604,"Invoiced")+SUMIFS(Jobs!$AJ$5:$AJ$604,Jobs!$J$5:$J$604,A157,Jobs!$P$5:$P$604,"Completed"))</f>
        <v>0</v>
      </c>
      <c r="AH157" s="39">
        <f>IF(B157="","",IF(C157="","Add - no client linked",IF(IFERROR(INDEX(Clients!$B$5:$B$204,MATCH(C157,Clients!$A$5:$A$204,0)),"")="","Check - client ID not found",IF(AND(G157="",H157=""),"Add - size needed to price it",IF(AND(AF157&lt;&gt;"",AF157&gt;0.5),"Check - runs over the estimate",IF(N157="","Add - how do we get in?","OK"))))))</f>
        <v>0</v>
      </c>
    </row>
    <row r="158" spans="1:34">
      <c r="A158" s="43">
        <f>IF(B158="","",PropertyPrefix&amp;TEXT(ROW()-4,"0000"))</f>
        <v>0</v>
      </c>
      <c r="D158" s="23">
        <f>IF(C158="","",IFERROR(INDEX(Clients!$B$5:$B$204,MATCH(C158,Clients!$A$5:$A$204,0)),"Not found"))</f>
        <v>0</v>
      </c>
      <c r="W158" s="34">
        <f>IF(B158="","",MAX(IF(H158="",0,H158)*0.45+IF(I158="",0,I158)*0.6+IF(J158="",0,J158)*0.3,IF(G158="",0,G158)/650))</f>
        <v>0</v>
      </c>
      <c r="X158" s="34">
        <f>IF(B158="","",ROUND(MAX(1,W158)*IFERROR(INDEX(ConditionFactors,MATCH(L158,ConditionNames,0)),1),2))</f>
        <v>0</v>
      </c>
      <c r="Y158" s="34">
        <f>IF(B158="","",ROUND(X158/MAX(1,CleanersPerJob),2))</f>
        <v>0</v>
      </c>
      <c r="Z158" s="21">
        <f>IF(B158="","",MAX(MinimumCharge,ROUND(X158*IF(IFERROR(INDEX(Clients!$O$5:$O$204,MATCH(C158,Clients!$A$5:$A$204,0)),0)&gt;0,INDEX(Clients!$O$5:$O$204,MATCH(C158,Clients!$A$5:$A$204,0)),HourlyRate)+IF(M158="",0,IF(M158="None",0,PetSurcharge)),2)))</f>
        <v>0</v>
      </c>
      <c r="AA158" s="21">
        <f>IF(B158="","",ROUND(X158*CostPerHour,2))</f>
        <v>0</v>
      </c>
      <c r="AB158" s="38">
        <f>IF(B158="","",IF(Z158=0,"",(Z158-AA158-X158*SuppliesPerHour)/Z158))</f>
        <v>0</v>
      </c>
      <c r="AC158" s="31">
        <f>IF(A158="","",COUNTIFS(Jobs!$J$5:$J$604,A158))</f>
        <v>0</v>
      </c>
      <c r="AD158" s="18">
        <f>IF(A158="","",IF(SUMPRODUCT(MAX((Jobs!$J$5:$J$604=A158)*((Jobs!$P$5:$P$604="Completed")+(Jobs!$P$5:$P$604="Invoiced"))*Jobs!$B$5:$B$604))=0,"",SUMPRODUCT(MAX((Jobs!$J$5:$J$604=A158)*((Jobs!$P$5:$P$604="Completed")+(Jobs!$P$5:$P$604="Invoiced"))*Jobs!$B$5:$B$604))))</f>
        <v>0</v>
      </c>
      <c r="AE158" s="34">
        <f>IF(A158="","",IFERROR(AVERAGEIFS(Jobs!$AK$5:$AK$604,Jobs!$J$5:$J$604,A158,Jobs!$AK$5:$AK$604,"&gt;0"),""))</f>
        <v>0</v>
      </c>
      <c r="AF158" s="34">
        <f>IF(OR(AE158="",X158=""),"",AE158-X158)</f>
        <v>0</v>
      </c>
      <c r="AG158" s="21">
        <f>IF(A158="","",SUMIFS(Jobs!$AJ$5:$AJ$604,Jobs!$J$5:$J$604,A158,Jobs!$P$5:$P$604,"Invoiced")+SUMIFS(Jobs!$AJ$5:$AJ$604,Jobs!$J$5:$J$604,A158,Jobs!$P$5:$P$604,"Completed"))</f>
        <v>0</v>
      </c>
      <c r="AH158" s="39">
        <f>IF(B158="","",IF(C158="","Add - no client linked",IF(IFERROR(INDEX(Clients!$B$5:$B$204,MATCH(C158,Clients!$A$5:$A$204,0)),"")="","Check - client ID not found",IF(AND(G158="",H158=""),"Add - size needed to price it",IF(AND(AF158&lt;&gt;"",AF158&gt;0.5),"Check - runs over the estimate",IF(N158="","Add - how do we get in?","OK"))))))</f>
        <v>0</v>
      </c>
    </row>
    <row r="159" spans="1:34">
      <c r="A159" s="43">
        <f>IF(B159="","",PropertyPrefix&amp;TEXT(ROW()-4,"0000"))</f>
        <v>0</v>
      </c>
      <c r="D159" s="23">
        <f>IF(C159="","",IFERROR(INDEX(Clients!$B$5:$B$204,MATCH(C159,Clients!$A$5:$A$204,0)),"Not found"))</f>
        <v>0</v>
      </c>
      <c r="W159" s="34">
        <f>IF(B159="","",MAX(IF(H159="",0,H159)*0.45+IF(I159="",0,I159)*0.6+IF(J159="",0,J159)*0.3,IF(G159="",0,G159)/650))</f>
        <v>0</v>
      </c>
      <c r="X159" s="34">
        <f>IF(B159="","",ROUND(MAX(1,W159)*IFERROR(INDEX(ConditionFactors,MATCH(L159,ConditionNames,0)),1),2))</f>
        <v>0</v>
      </c>
      <c r="Y159" s="34">
        <f>IF(B159="","",ROUND(X159/MAX(1,CleanersPerJob),2))</f>
        <v>0</v>
      </c>
      <c r="Z159" s="21">
        <f>IF(B159="","",MAX(MinimumCharge,ROUND(X159*IF(IFERROR(INDEX(Clients!$O$5:$O$204,MATCH(C159,Clients!$A$5:$A$204,0)),0)&gt;0,INDEX(Clients!$O$5:$O$204,MATCH(C159,Clients!$A$5:$A$204,0)),HourlyRate)+IF(M159="",0,IF(M159="None",0,PetSurcharge)),2)))</f>
        <v>0</v>
      </c>
      <c r="AA159" s="21">
        <f>IF(B159="","",ROUND(X159*CostPerHour,2))</f>
        <v>0</v>
      </c>
      <c r="AB159" s="38">
        <f>IF(B159="","",IF(Z159=0,"",(Z159-AA159-X159*SuppliesPerHour)/Z159))</f>
        <v>0</v>
      </c>
      <c r="AC159" s="31">
        <f>IF(A159="","",COUNTIFS(Jobs!$J$5:$J$604,A159))</f>
        <v>0</v>
      </c>
      <c r="AD159" s="18">
        <f>IF(A159="","",IF(SUMPRODUCT(MAX((Jobs!$J$5:$J$604=A159)*((Jobs!$P$5:$P$604="Completed")+(Jobs!$P$5:$P$604="Invoiced"))*Jobs!$B$5:$B$604))=0,"",SUMPRODUCT(MAX((Jobs!$J$5:$J$604=A159)*((Jobs!$P$5:$P$604="Completed")+(Jobs!$P$5:$P$604="Invoiced"))*Jobs!$B$5:$B$604))))</f>
        <v>0</v>
      </c>
      <c r="AE159" s="34">
        <f>IF(A159="","",IFERROR(AVERAGEIFS(Jobs!$AK$5:$AK$604,Jobs!$J$5:$J$604,A159,Jobs!$AK$5:$AK$604,"&gt;0"),""))</f>
        <v>0</v>
      </c>
      <c r="AF159" s="34">
        <f>IF(OR(AE159="",X159=""),"",AE159-X159)</f>
        <v>0</v>
      </c>
      <c r="AG159" s="21">
        <f>IF(A159="","",SUMIFS(Jobs!$AJ$5:$AJ$604,Jobs!$J$5:$J$604,A159,Jobs!$P$5:$P$604,"Invoiced")+SUMIFS(Jobs!$AJ$5:$AJ$604,Jobs!$J$5:$J$604,A159,Jobs!$P$5:$P$604,"Completed"))</f>
        <v>0</v>
      </c>
      <c r="AH159" s="39">
        <f>IF(B159="","",IF(C159="","Add - no client linked",IF(IFERROR(INDEX(Clients!$B$5:$B$204,MATCH(C159,Clients!$A$5:$A$204,0)),"")="","Check - client ID not found",IF(AND(G159="",H159=""),"Add - size needed to price it",IF(AND(AF159&lt;&gt;"",AF159&gt;0.5),"Check - runs over the estimate",IF(N159="","Add - how do we get in?","OK"))))))</f>
        <v>0</v>
      </c>
    </row>
    <row r="160" spans="1:34">
      <c r="A160" s="43">
        <f>IF(B160="","",PropertyPrefix&amp;TEXT(ROW()-4,"0000"))</f>
        <v>0</v>
      </c>
      <c r="D160" s="23">
        <f>IF(C160="","",IFERROR(INDEX(Clients!$B$5:$B$204,MATCH(C160,Clients!$A$5:$A$204,0)),"Not found"))</f>
        <v>0</v>
      </c>
      <c r="W160" s="34">
        <f>IF(B160="","",MAX(IF(H160="",0,H160)*0.45+IF(I160="",0,I160)*0.6+IF(J160="",0,J160)*0.3,IF(G160="",0,G160)/650))</f>
        <v>0</v>
      </c>
      <c r="X160" s="34">
        <f>IF(B160="","",ROUND(MAX(1,W160)*IFERROR(INDEX(ConditionFactors,MATCH(L160,ConditionNames,0)),1),2))</f>
        <v>0</v>
      </c>
      <c r="Y160" s="34">
        <f>IF(B160="","",ROUND(X160/MAX(1,CleanersPerJob),2))</f>
        <v>0</v>
      </c>
      <c r="Z160" s="21">
        <f>IF(B160="","",MAX(MinimumCharge,ROUND(X160*IF(IFERROR(INDEX(Clients!$O$5:$O$204,MATCH(C160,Clients!$A$5:$A$204,0)),0)&gt;0,INDEX(Clients!$O$5:$O$204,MATCH(C160,Clients!$A$5:$A$204,0)),HourlyRate)+IF(M160="",0,IF(M160="None",0,PetSurcharge)),2)))</f>
        <v>0</v>
      </c>
      <c r="AA160" s="21">
        <f>IF(B160="","",ROUND(X160*CostPerHour,2))</f>
        <v>0</v>
      </c>
      <c r="AB160" s="38">
        <f>IF(B160="","",IF(Z160=0,"",(Z160-AA160-X160*SuppliesPerHour)/Z160))</f>
        <v>0</v>
      </c>
      <c r="AC160" s="31">
        <f>IF(A160="","",COUNTIFS(Jobs!$J$5:$J$604,A160))</f>
        <v>0</v>
      </c>
      <c r="AD160" s="18">
        <f>IF(A160="","",IF(SUMPRODUCT(MAX((Jobs!$J$5:$J$604=A160)*((Jobs!$P$5:$P$604="Completed")+(Jobs!$P$5:$P$604="Invoiced"))*Jobs!$B$5:$B$604))=0,"",SUMPRODUCT(MAX((Jobs!$J$5:$J$604=A160)*((Jobs!$P$5:$P$604="Completed")+(Jobs!$P$5:$P$604="Invoiced"))*Jobs!$B$5:$B$604))))</f>
        <v>0</v>
      </c>
      <c r="AE160" s="34">
        <f>IF(A160="","",IFERROR(AVERAGEIFS(Jobs!$AK$5:$AK$604,Jobs!$J$5:$J$604,A160,Jobs!$AK$5:$AK$604,"&gt;0"),""))</f>
        <v>0</v>
      </c>
      <c r="AF160" s="34">
        <f>IF(OR(AE160="",X160=""),"",AE160-X160)</f>
        <v>0</v>
      </c>
      <c r="AG160" s="21">
        <f>IF(A160="","",SUMIFS(Jobs!$AJ$5:$AJ$604,Jobs!$J$5:$J$604,A160,Jobs!$P$5:$P$604,"Invoiced")+SUMIFS(Jobs!$AJ$5:$AJ$604,Jobs!$J$5:$J$604,A160,Jobs!$P$5:$P$604,"Completed"))</f>
        <v>0</v>
      </c>
      <c r="AH160" s="39">
        <f>IF(B160="","",IF(C160="","Add - no client linked",IF(IFERROR(INDEX(Clients!$B$5:$B$204,MATCH(C160,Clients!$A$5:$A$204,0)),"")="","Check - client ID not found",IF(AND(G160="",H160=""),"Add - size needed to price it",IF(AND(AF160&lt;&gt;"",AF160&gt;0.5),"Check - runs over the estimate",IF(N160="","Add - how do we get in?","OK"))))))</f>
        <v>0</v>
      </c>
    </row>
    <row r="161" spans="1:34">
      <c r="A161" s="43">
        <f>IF(B161="","",PropertyPrefix&amp;TEXT(ROW()-4,"0000"))</f>
        <v>0</v>
      </c>
      <c r="D161" s="23">
        <f>IF(C161="","",IFERROR(INDEX(Clients!$B$5:$B$204,MATCH(C161,Clients!$A$5:$A$204,0)),"Not found"))</f>
        <v>0</v>
      </c>
      <c r="W161" s="34">
        <f>IF(B161="","",MAX(IF(H161="",0,H161)*0.45+IF(I161="",0,I161)*0.6+IF(J161="",0,J161)*0.3,IF(G161="",0,G161)/650))</f>
        <v>0</v>
      </c>
      <c r="X161" s="34">
        <f>IF(B161="","",ROUND(MAX(1,W161)*IFERROR(INDEX(ConditionFactors,MATCH(L161,ConditionNames,0)),1),2))</f>
        <v>0</v>
      </c>
      <c r="Y161" s="34">
        <f>IF(B161="","",ROUND(X161/MAX(1,CleanersPerJob),2))</f>
        <v>0</v>
      </c>
      <c r="Z161" s="21">
        <f>IF(B161="","",MAX(MinimumCharge,ROUND(X161*IF(IFERROR(INDEX(Clients!$O$5:$O$204,MATCH(C161,Clients!$A$5:$A$204,0)),0)&gt;0,INDEX(Clients!$O$5:$O$204,MATCH(C161,Clients!$A$5:$A$204,0)),HourlyRate)+IF(M161="",0,IF(M161="None",0,PetSurcharge)),2)))</f>
        <v>0</v>
      </c>
      <c r="AA161" s="21">
        <f>IF(B161="","",ROUND(X161*CostPerHour,2))</f>
        <v>0</v>
      </c>
      <c r="AB161" s="38">
        <f>IF(B161="","",IF(Z161=0,"",(Z161-AA161-X161*SuppliesPerHour)/Z161))</f>
        <v>0</v>
      </c>
      <c r="AC161" s="31">
        <f>IF(A161="","",COUNTIFS(Jobs!$J$5:$J$604,A161))</f>
        <v>0</v>
      </c>
      <c r="AD161" s="18">
        <f>IF(A161="","",IF(SUMPRODUCT(MAX((Jobs!$J$5:$J$604=A161)*((Jobs!$P$5:$P$604="Completed")+(Jobs!$P$5:$P$604="Invoiced"))*Jobs!$B$5:$B$604))=0,"",SUMPRODUCT(MAX((Jobs!$J$5:$J$604=A161)*((Jobs!$P$5:$P$604="Completed")+(Jobs!$P$5:$P$604="Invoiced"))*Jobs!$B$5:$B$604))))</f>
        <v>0</v>
      </c>
      <c r="AE161" s="34">
        <f>IF(A161="","",IFERROR(AVERAGEIFS(Jobs!$AK$5:$AK$604,Jobs!$J$5:$J$604,A161,Jobs!$AK$5:$AK$604,"&gt;0"),""))</f>
        <v>0</v>
      </c>
      <c r="AF161" s="34">
        <f>IF(OR(AE161="",X161=""),"",AE161-X161)</f>
        <v>0</v>
      </c>
      <c r="AG161" s="21">
        <f>IF(A161="","",SUMIFS(Jobs!$AJ$5:$AJ$604,Jobs!$J$5:$J$604,A161,Jobs!$P$5:$P$604,"Invoiced")+SUMIFS(Jobs!$AJ$5:$AJ$604,Jobs!$J$5:$J$604,A161,Jobs!$P$5:$P$604,"Completed"))</f>
        <v>0</v>
      </c>
      <c r="AH161" s="39">
        <f>IF(B161="","",IF(C161="","Add - no client linked",IF(IFERROR(INDEX(Clients!$B$5:$B$204,MATCH(C161,Clients!$A$5:$A$204,0)),"")="","Check - client ID not found",IF(AND(G161="",H161=""),"Add - size needed to price it",IF(AND(AF161&lt;&gt;"",AF161&gt;0.5),"Check - runs over the estimate",IF(N161="","Add - how do we get in?","OK"))))))</f>
        <v>0</v>
      </c>
    </row>
    <row r="162" spans="1:34">
      <c r="A162" s="43">
        <f>IF(B162="","",PropertyPrefix&amp;TEXT(ROW()-4,"0000"))</f>
        <v>0</v>
      </c>
      <c r="D162" s="23">
        <f>IF(C162="","",IFERROR(INDEX(Clients!$B$5:$B$204,MATCH(C162,Clients!$A$5:$A$204,0)),"Not found"))</f>
        <v>0</v>
      </c>
      <c r="W162" s="34">
        <f>IF(B162="","",MAX(IF(H162="",0,H162)*0.45+IF(I162="",0,I162)*0.6+IF(J162="",0,J162)*0.3,IF(G162="",0,G162)/650))</f>
        <v>0</v>
      </c>
      <c r="X162" s="34">
        <f>IF(B162="","",ROUND(MAX(1,W162)*IFERROR(INDEX(ConditionFactors,MATCH(L162,ConditionNames,0)),1),2))</f>
        <v>0</v>
      </c>
      <c r="Y162" s="34">
        <f>IF(B162="","",ROUND(X162/MAX(1,CleanersPerJob),2))</f>
        <v>0</v>
      </c>
      <c r="Z162" s="21">
        <f>IF(B162="","",MAX(MinimumCharge,ROUND(X162*IF(IFERROR(INDEX(Clients!$O$5:$O$204,MATCH(C162,Clients!$A$5:$A$204,0)),0)&gt;0,INDEX(Clients!$O$5:$O$204,MATCH(C162,Clients!$A$5:$A$204,0)),HourlyRate)+IF(M162="",0,IF(M162="None",0,PetSurcharge)),2)))</f>
        <v>0</v>
      </c>
      <c r="AA162" s="21">
        <f>IF(B162="","",ROUND(X162*CostPerHour,2))</f>
        <v>0</v>
      </c>
      <c r="AB162" s="38">
        <f>IF(B162="","",IF(Z162=0,"",(Z162-AA162-X162*SuppliesPerHour)/Z162))</f>
        <v>0</v>
      </c>
      <c r="AC162" s="31">
        <f>IF(A162="","",COUNTIFS(Jobs!$J$5:$J$604,A162))</f>
        <v>0</v>
      </c>
      <c r="AD162" s="18">
        <f>IF(A162="","",IF(SUMPRODUCT(MAX((Jobs!$J$5:$J$604=A162)*((Jobs!$P$5:$P$604="Completed")+(Jobs!$P$5:$P$604="Invoiced"))*Jobs!$B$5:$B$604))=0,"",SUMPRODUCT(MAX((Jobs!$J$5:$J$604=A162)*((Jobs!$P$5:$P$604="Completed")+(Jobs!$P$5:$P$604="Invoiced"))*Jobs!$B$5:$B$604))))</f>
        <v>0</v>
      </c>
      <c r="AE162" s="34">
        <f>IF(A162="","",IFERROR(AVERAGEIFS(Jobs!$AK$5:$AK$604,Jobs!$J$5:$J$604,A162,Jobs!$AK$5:$AK$604,"&gt;0"),""))</f>
        <v>0</v>
      </c>
      <c r="AF162" s="34">
        <f>IF(OR(AE162="",X162=""),"",AE162-X162)</f>
        <v>0</v>
      </c>
      <c r="AG162" s="21">
        <f>IF(A162="","",SUMIFS(Jobs!$AJ$5:$AJ$604,Jobs!$J$5:$J$604,A162,Jobs!$P$5:$P$604,"Invoiced")+SUMIFS(Jobs!$AJ$5:$AJ$604,Jobs!$J$5:$J$604,A162,Jobs!$P$5:$P$604,"Completed"))</f>
        <v>0</v>
      </c>
      <c r="AH162" s="39">
        <f>IF(B162="","",IF(C162="","Add - no client linked",IF(IFERROR(INDEX(Clients!$B$5:$B$204,MATCH(C162,Clients!$A$5:$A$204,0)),"")="","Check - client ID not found",IF(AND(G162="",H162=""),"Add - size needed to price it",IF(AND(AF162&lt;&gt;"",AF162&gt;0.5),"Check - runs over the estimate",IF(N162="","Add - how do we get in?","OK"))))))</f>
        <v>0</v>
      </c>
    </row>
    <row r="163" spans="1:34">
      <c r="A163" s="43">
        <f>IF(B163="","",PropertyPrefix&amp;TEXT(ROW()-4,"0000"))</f>
        <v>0</v>
      </c>
      <c r="D163" s="23">
        <f>IF(C163="","",IFERROR(INDEX(Clients!$B$5:$B$204,MATCH(C163,Clients!$A$5:$A$204,0)),"Not found"))</f>
        <v>0</v>
      </c>
      <c r="W163" s="34">
        <f>IF(B163="","",MAX(IF(H163="",0,H163)*0.45+IF(I163="",0,I163)*0.6+IF(J163="",0,J163)*0.3,IF(G163="",0,G163)/650))</f>
        <v>0</v>
      </c>
      <c r="X163" s="34">
        <f>IF(B163="","",ROUND(MAX(1,W163)*IFERROR(INDEX(ConditionFactors,MATCH(L163,ConditionNames,0)),1),2))</f>
        <v>0</v>
      </c>
      <c r="Y163" s="34">
        <f>IF(B163="","",ROUND(X163/MAX(1,CleanersPerJob),2))</f>
        <v>0</v>
      </c>
      <c r="Z163" s="21">
        <f>IF(B163="","",MAX(MinimumCharge,ROUND(X163*IF(IFERROR(INDEX(Clients!$O$5:$O$204,MATCH(C163,Clients!$A$5:$A$204,0)),0)&gt;0,INDEX(Clients!$O$5:$O$204,MATCH(C163,Clients!$A$5:$A$204,0)),HourlyRate)+IF(M163="",0,IF(M163="None",0,PetSurcharge)),2)))</f>
        <v>0</v>
      </c>
      <c r="AA163" s="21">
        <f>IF(B163="","",ROUND(X163*CostPerHour,2))</f>
        <v>0</v>
      </c>
      <c r="AB163" s="38">
        <f>IF(B163="","",IF(Z163=0,"",(Z163-AA163-X163*SuppliesPerHour)/Z163))</f>
        <v>0</v>
      </c>
      <c r="AC163" s="31">
        <f>IF(A163="","",COUNTIFS(Jobs!$J$5:$J$604,A163))</f>
        <v>0</v>
      </c>
      <c r="AD163" s="18">
        <f>IF(A163="","",IF(SUMPRODUCT(MAX((Jobs!$J$5:$J$604=A163)*((Jobs!$P$5:$P$604="Completed")+(Jobs!$P$5:$P$604="Invoiced"))*Jobs!$B$5:$B$604))=0,"",SUMPRODUCT(MAX((Jobs!$J$5:$J$604=A163)*((Jobs!$P$5:$P$604="Completed")+(Jobs!$P$5:$P$604="Invoiced"))*Jobs!$B$5:$B$604))))</f>
        <v>0</v>
      </c>
      <c r="AE163" s="34">
        <f>IF(A163="","",IFERROR(AVERAGEIFS(Jobs!$AK$5:$AK$604,Jobs!$J$5:$J$604,A163,Jobs!$AK$5:$AK$604,"&gt;0"),""))</f>
        <v>0</v>
      </c>
      <c r="AF163" s="34">
        <f>IF(OR(AE163="",X163=""),"",AE163-X163)</f>
        <v>0</v>
      </c>
      <c r="AG163" s="21">
        <f>IF(A163="","",SUMIFS(Jobs!$AJ$5:$AJ$604,Jobs!$J$5:$J$604,A163,Jobs!$P$5:$P$604,"Invoiced")+SUMIFS(Jobs!$AJ$5:$AJ$604,Jobs!$J$5:$J$604,A163,Jobs!$P$5:$P$604,"Completed"))</f>
        <v>0</v>
      </c>
      <c r="AH163" s="39">
        <f>IF(B163="","",IF(C163="","Add - no client linked",IF(IFERROR(INDEX(Clients!$B$5:$B$204,MATCH(C163,Clients!$A$5:$A$204,0)),"")="","Check - client ID not found",IF(AND(G163="",H163=""),"Add - size needed to price it",IF(AND(AF163&lt;&gt;"",AF163&gt;0.5),"Check - runs over the estimate",IF(N163="","Add - how do we get in?","OK"))))))</f>
        <v>0</v>
      </c>
    </row>
    <row r="164" spans="1:34">
      <c r="A164" s="43">
        <f>IF(B164="","",PropertyPrefix&amp;TEXT(ROW()-4,"0000"))</f>
        <v>0</v>
      </c>
      <c r="D164" s="23">
        <f>IF(C164="","",IFERROR(INDEX(Clients!$B$5:$B$204,MATCH(C164,Clients!$A$5:$A$204,0)),"Not found"))</f>
        <v>0</v>
      </c>
      <c r="W164" s="34">
        <f>IF(B164="","",MAX(IF(H164="",0,H164)*0.45+IF(I164="",0,I164)*0.6+IF(J164="",0,J164)*0.3,IF(G164="",0,G164)/650))</f>
        <v>0</v>
      </c>
      <c r="X164" s="34">
        <f>IF(B164="","",ROUND(MAX(1,W164)*IFERROR(INDEX(ConditionFactors,MATCH(L164,ConditionNames,0)),1),2))</f>
        <v>0</v>
      </c>
      <c r="Y164" s="34">
        <f>IF(B164="","",ROUND(X164/MAX(1,CleanersPerJob),2))</f>
        <v>0</v>
      </c>
      <c r="Z164" s="21">
        <f>IF(B164="","",MAX(MinimumCharge,ROUND(X164*IF(IFERROR(INDEX(Clients!$O$5:$O$204,MATCH(C164,Clients!$A$5:$A$204,0)),0)&gt;0,INDEX(Clients!$O$5:$O$204,MATCH(C164,Clients!$A$5:$A$204,0)),HourlyRate)+IF(M164="",0,IF(M164="None",0,PetSurcharge)),2)))</f>
        <v>0</v>
      </c>
      <c r="AA164" s="21">
        <f>IF(B164="","",ROUND(X164*CostPerHour,2))</f>
        <v>0</v>
      </c>
      <c r="AB164" s="38">
        <f>IF(B164="","",IF(Z164=0,"",(Z164-AA164-X164*SuppliesPerHour)/Z164))</f>
        <v>0</v>
      </c>
      <c r="AC164" s="31">
        <f>IF(A164="","",COUNTIFS(Jobs!$J$5:$J$604,A164))</f>
        <v>0</v>
      </c>
      <c r="AD164" s="18">
        <f>IF(A164="","",IF(SUMPRODUCT(MAX((Jobs!$J$5:$J$604=A164)*((Jobs!$P$5:$P$604="Completed")+(Jobs!$P$5:$P$604="Invoiced"))*Jobs!$B$5:$B$604))=0,"",SUMPRODUCT(MAX((Jobs!$J$5:$J$604=A164)*((Jobs!$P$5:$P$604="Completed")+(Jobs!$P$5:$P$604="Invoiced"))*Jobs!$B$5:$B$604))))</f>
        <v>0</v>
      </c>
      <c r="AE164" s="34">
        <f>IF(A164="","",IFERROR(AVERAGEIFS(Jobs!$AK$5:$AK$604,Jobs!$J$5:$J$604,A164,Jobs!$AK$5:$AK$604,"&gt;0"),""))</f>
        <v>0</v>
      </c>
      <c r="AF164" s="34">
        <f>IF(OR(AE164="",X164=""),"",AE164-X164)</f>
        <v>0</v>
      </c>
      <c r="AG164" s="21">
        <f>IF(A164="","",SUMIFS(Jobs!$AJ$5:$AJ$604,Jobs!$J$5:$J$604,A164,Jobs!$P$5:$P$604,"Invoiced")+SUMIFS(Jobs!$AJ$5:$AJ$604,Jobs!$J$5:$J$604,A164,Jobs!$P$5:$P$604,"Completed"))</f>
        <v>0</v>
      </c>
      <c r="AH164" s="39">
        <f>IF(B164="","",IF(C164="","Add - no client linked",IF(IFERROR(INDEX(Clients!$B$5:$B$204,MATCH(C164,Clients!$A$5:$A$204,0)),"")="","Check - client ID not found",IF(AND(G164="",H164=""),"Add - size needed to price it",IF(AND(AF164&lt;&gt;"",AF164&gt;0.5),"Check - runs over the estimate",IF(N164="","Add - how do we get in?","OK"))))))</f>
        <v>0</v>
      </c>
    </row>
    <row r="165" spans="1:34">
      <c r="A165" s="43">
        <f>IF(B165="","",PropertyPrefix&amp;TEXT(ROW()-4,"0000"))</f>
        <v>0</v>
      </c>
      <c r="D165" s="23">
        <f>IF(C165="","",IFERROR(INDEX(Clients!$B$5:$B$204,MATCH(C165,Clients!$A$5:$A$204,0)),"Not found"))</f>
        <v>0</v>
      </c>
      <c r="W165" s="34">
        <f>IF(B165="","",MAX(IF(H165="",0,H165)*0.45+IF(I165="",0,I165)*0.6+IF(J165="",0,J165)*0.3,IF(G165="",0,G165)/650))</f>
        <v>0</v>
      </c>
      <c r="X165" s="34">
        <f>IF(B165="","",ROUND(MAX(1,W165)*IFERROR(INDEX(ConditionFactors,MATCH(L165,ConditionNames,0)),1),2))</f>
        <v>0</v>
      </c>
      <c r="Y165" s="34">
        <f>IF(B165="","",ROUND(X165/MAX(1,CleanersPerJob),2))</f>
        <v>0</v>
      </c>
      <c r="Z165" s="21">
        <f>IF(B165="","",MAX(MinimumCharge,ROUND(X165*IF(IFERROR(INDEX(Clients!$O$5:$O$204,MATCH(C165,Clients!$A$5:$A$204,0)),0)&gt;0,INDEX(Clients!$O$5:$O$204,MATCH(C165,Clients!$A$5:$A$204,0)),HourlyRate)+IF(M165="",0,IF(M165="None",0,PetSurcharge)),2)))</f>
        <v>0</v>
      </c>
      <c r="AA165" s="21">
        <f>IF(B165="","",ROUND(X165*CostPerHour,2))</f>
        <v>0</v>
      </c>
      <c r="AB165" s="38">
        <f>IF(B165="","",IF(Z165=0,"",(Z165-AA165-X165*SuppliesPerHour)/Z165))</f>
        <v>0</v>
      </c>
      <c r="AC165" s="31">
        <f>IF(A165="","",COUNTIFS(Jobs!$J$5:$J$604,A165))</f>
        <v>0</v>
      </c>
      <c r="AD165" s="18">
        <f>IF(A165="","",IF(SUMPRODUCT(MAX((Jobs!$J$5:$J$604=A165)*((Jobs!$P$5:$P$604="Completed")+(Jobs!$P$5:$P$604="Invoiced"))*Jobs!$B$5:$B$604))=0,"",SUMPRODUCT(MAX((Jobs!$J$5:$J$604=A165)*((Jobs!$P$5:$P$604="Completed")+(Jobs!$P$5:$P$604="Invoiced"))*Jobs!$B$5:$B$604))))</f>
        <v>0</v>
      </c>
      <c r="AE165" s="34">
        <f>IF(A165="","",IFERROR(AVERAGEIFS(Jobs!$AK$5:$AK$604,Jobs!$J$5:$J$604,A165,Jobs!$AK$5:$AK$604,"&gt;0"),""))</f>
        <v>0</v>
      </c>
      <c r="AF165" s="34">
        <f>IF(OR(AE165="",X165=""),"",AE165-X165)</f>
        <v>0</v>
      </c>
      <c r="AG165" s="21">
        <f>IF(A165="","",SUMIFS(Jobs!$AJ$5:$AJ$604,Jobs!$J$5:$J$604,A165,Jobs!$P$5:$P$604,"Invoiced")+SUMIFS(Jobs!$AJ$5:$AJ$604,Jobs!$J$5:$J$604,A165,Jobs!$P$5:$P$604,"Completed"))</f>
        <v>0</v>
      </c>
      <c r="AH165" s="39">
        <f>IF(B165="","",IF(C165="","Add - no client linked",IF(IFERROR(INDEX(Clients!$B$5:$B$204,MATCH(C165,Clients!$A$5:$A$204,0)),"")="","Check - client ID not found",IF(AND(G165="",H165=""),"Add - size needed to price it",IF(AND(AF165&lt;&gt;"",AF165&gt;0.5),"Check - runs over the estimate",IF(N165="","Add - how do we get in?","OK"))))))</f>
        <v>0</v>
      </c>
    </row>
    <row r="166" spans="1:34">
      <c r="A166" s="43">
        <f>IF(B166="","",PropertyPrefix&amp;TEXT(ROW()-4,"0000"))</f>
        <v>0</v>
      </c>
      <c r="D166" s="23">
        <f>IF(C166="","",IFERROR(INDEX(Clients!$B$5:$B$204,MATCH(C166,Clients!$A$5:$A$204,0)),"Not found"))</f>
        <v>0</v>
      </c>
      <c r="W166" s="34">
        <f>IF(B166="","",MAX(IF(H166="",0,H166)*0.45+IF(I166="",0,I166)*0.6+IF(J166="",0,J166)*0.3,IF(G166="",0,G166)/650))</f>
        <v>0</v>
      </c>
      <c r="X166" s="34">
        <f>IF(B166="","",ROUND(MAX(1,W166)*IFERROR(INDEX(ConditionFactors,MATCH(L166,ConditionNames,0)),1),2))</f>
        <v>0</v>
      </c>
      <c r="Y166" s="34">
        <f>IF(B166="","",ROUND(X166/MAX(1,CleanersPerJob),2))</f>
        <v>0</v>
      </c>
      <c r="Z166" s="21">
        <f>IF(B166="","",MAX(MinimumCharge,ROUND(X166*IF(IFERROR(INDEX(Clients!$O$5:$O$204,MATCH(C166,Clients!$A$5:$A$204,0)),0)&gt;0,INDEX(Clients!$O$5:$O$204,MATCH(C166,Clients!$A$5:$A$204,0)),HourlyRate)+IF(M166="",0,IF(M166="None",0,PetSurcharge)),2)))</f>
        <v>0</v>
      </c>
      <c r="AA166" s="21">
        <f>IF(B166="","",ROUND(X166*CostPerHour,2))</f>
        <v>0</v>
      </c>
      <c r="AB166" s="38">
        <f>IF(B166="","",IF(Z166=0,"",(Z166-AA166-X166*SuppliesPerHour)/Z166))</f>
        <v>0</v>
      </c>
      <c r="AC166" s="31">
        <f>IF(A166="","",COUNTIFS(Jobs!$J$5:$J$604,A166))</f>
        <v>0</v>
      </c>
      <c r="AD166" s="18">
        <f>IF(A166="","",IF(SUMPRODUCT(MAX((Jobs!$J$5:$J$604=A166)*((Jobs!$P$5:$P$604="Completed")+(Jobs!$P$5:$P$604="Invoiced"))*Jobs!$B$5:$B$604))=0,"",SUMPRODUCT(MAX((Jobs!$J$5:$J$604=A166)*((Jobs!$P$5:$P$604="Completed")+(Jobs!$P$5:$P$604="Invoiced"))*Jobs!$B$5:$B$604))))</f>
        <v>0</v>
      </c>
      <c r="AE166" s="34">
        <f>IF(A166="","",IFERROR(AVERAGEIFS(Jobs!$AK$5:$AK$604,Jobs!$J$5:$J$604,A166,Jobs!$AK$5:$AK$604,"&gt;0"),""))</f>
        <v>0</v>
      </c>
      <c r="AF166" s="34">
        <f>IF(OR(AE166="",X166=""),"",AE166-X166)</f>
        <v>0</v>
      </c>
      <c r="AG166" s="21">
        <f>IF(A166="","",SUMIFS(Jobs!$AJ$5:$AJ$604,Jobs!$J$5:$J$604,A166,Jobs!$P$5:$P$604,"Invoiced")+SUMIFS(Jobs!$AJ$5:$AJ$604,Jobs!$J$5:$J$604,A166,Jobs!$P$5:$P$604,"Completed"))</f>
        <v>0</v>
      </c>
      <c r="AH166" s="39">
        <f>IF(B166="","",IF(C166="","Add - no client linked",IF(IFERROR(INDEX(Clients!$B$5:$B$204,MATCH(C166,Clients!$A$5:$A$204,0)),"")="","Check - client ID not found",IF(AND(G166="",H166=""),"Add - size needed to price it",IF(AND(AF166&lt;&gt;"",AF166&gt;0.5),"Check - runs over the estimate",IF(N166="","Add - how do we get in?","OK"))))))</f>
        <v>0</v>
      </c>
    </row>
    <row r="167" spans="1:34">
      <c r="A167" s="43">
        <f>IF(B167="","",PropertyPrefix&amp;TEXT(ROW()-4,"0000"))</f>
        <v>0</v>
      </c>
      <c r="D167" s="23">
        <f>IF(C167="","",IFERROR(INDEX(Clients!$B$5:$B$204,MATCH(C167,Clients!$A$5:$A$204,0)),"Not found"))</f>
        <v>0</v>
      </c>
      <c r="W167" s="34">
        <f>IF(B167="","",MAX(IF(H167="",0,H167)*0.45+IF(I167="",0,I167)*0.6+IF(J167="",0,J167)*0.3,IF(G167="",0,G167)/650))</f>
        <v>0</v>
      </c>
      <c r="X167" s="34">
        <f>IF(B167="","",ROUND(MAX(1,W167)*IFERROR(INDEX(ConditionFactors,MATCH(L167,ConditionNames,0)),1),2))</f>
        <v>0</v>
      </c>
      <c r="Y167" s="34">
        <f>IF(B167="","",ROUND(X167/MAX(1,CleanersPerJob),2))</f>
        <v>0</v>
      </c>
      <c r="Z167" s="21">
        <f>IF(B167="","",MAX(MinimumCharge,ROUND(X167*IF(IFERROR(INDEX(Clients!$O$5:$O$204,MATCH(C167,Clients!$A$5:$A$204,0)),0)&gt;0,INDEX(Clients!$O$5:$O$204,MATCH(C167,Clients!$A$5:$A$204,0)),HourlyRate)+IF(M167="",0,IF(M167="None",0,PetSurcharge)),2)))</f>
        <v>0</v>
      </c>
      <c r="AA167" s="21">
        <f>IF(B167="","",ROUND(X167*CostPerHour,2))</f>
        <v>0</v>
      </c>
      <c r="AB167" s="38">
        <f>IF(B167="","",IF(Z167=0,"",(Z167-AA167-X167*SuppliesPerHour)/Z167))</f>
        <v>0</v>
      </c>
      <c r="AC167" s="31">
        <f>IF(A167="","",COUNTIFS(Jobs!$J$5:$J$604,A167))</f>
        <v>0</v>
      </c>
      <c r="AD167" s="18">
        <f>IF(A167="","",IF(SUMPRODUCT(MAX((Jobs!$J$5:$J$604=A167)*((Jobs!$P$5:$P$604="Completed")+(Jobs!$P$5:$P$604="Invoiced"))*Jobs!$B$5:$B$604))=0,"",SUMPRODUCT(MAX((Jobs!$J$5:$J$604=A167)*((Jobs!$P$5:$P$604="Completed")+(Jobs!$P$5:$P$604="Invoiced"))*Jobs!$B$5:$B$604))))</f>
        <v>0</v>
      </c>
      <c r="AE167" s="34">
        <f>IF(A167="","",IFERROR(AVERAGEIFS(Jobs!$AK$5:$AK$604,Jobs!$J$5:$J$604,A167,Jobs!$AK$5:$AK$604,"&gt;0"),""))</f>
        <v>0</v>
      </c>
      <c r="AF167" s="34">
        <f>IF(OR(AE167="",X167=""),"",AE167-X167)</f>
        <v>0</v>
      </c>
      <c r="AG167" s="21">
        <f>IF(A167="","",SUMIFS(Jobs!$AJ$5:$AJ$604,Jobs!$J$5:$J$604,A167,Jobs!$P$5:$P$604,"Invoiced")+SUMIFS(Jobs!$AJ$5:$AJ$604,Jobs!$J$5:$J$604,A167,Jobs!$P$5:$P$604,"Completed"))</f>
        <v>0</v>
      </c>
      <c r="AH167" s="39">
        <f>IF(B167="","",IF(C167="","Add - no client linked",IF(IFERROR(INDEX(Clients!$B$5:$B$204,MATCH(C167,Clients!$A$5:$A$204,0)),"")="","Check - client ID not found",IF(AND(G167="",H167=""),"Add - size needed to price it",IF(AND(AF167&lt;&gt;"",AF167&gt;0.5),"Check - runs over the estimate",IF(N167="","Add - how do we get in?","OK"))))))</f>
        <v>0</v>
      </c>
    </row>
    <row r="168" spans="1:34">
      <c r="A168" s="43">
        <f>IF(B168="","",PropertyPrefix&amp;TEXT(ROW()-4,"0000"))</f>
        <v>0</v>
      </c>
      <c r="D168" s="23">
        <f>IF(C168="","",IFERROR(INDEX(Clients!$B$5:$B$204,MATCH(C168,Clients!$A$5:$A$204,0)),"Not found"))</f>
        <v>0</v>
      </c>
      <c r="W168" s="34">
        <f>IF(B168="","",MAX(IF(H168="",0,H168)*0.45+IF(I168="",0,I168)*0.6+IF(J168="",0,J168)*0.3,IF(G168="",0,G168)/650))</f>
        <v>0</v>
      </c>
      <c r="X168" s="34">
        <f>IF(B168="","",ROUND(MAX(1,W168)*IFERROR(INDEX(ConditionFactors,MATCH(L168,ConditionNames,0)),1),2))</f>
        <v>0</v>
      </c>
      <c r="Y168" s="34">
        <f>IF(B168="","",ROUND(X168/MAX(1,CleanersPerJob),2))</f>
        <v>0</v>
      </c>
      <c r="Z168" s="21">
        <f>IF(B168="","",MAX(MinimumCharge,ROUND(X168*IF(IFERROR(INDEX(Clients!$O$5:$O$204,MATCH(C168,Clients!$A$5:$A$204,0)),0)&gt;0,INDEX(Clients!$O$5:$O$204,MATCH(C168,Clients!$A$5:$A$204,0)),HourlyRate)+IF(M168="",0,IF(M168="None",0,PetSurcharge)),2)))</f>
        <v>0</v>
      </c>
      <c r="AA168" s="21">
        <f>IF(B168="","",ROUND(X168*CostPerHour,2))</f>
        <v>0</v>
      </c>
      <c r="AB168" s="38">
        <f>IF(B168="","",IF(Z168=0,"",(Z168-AA168-X168*SuppliesPerHour)/Z168))</f>
        <v>0</v>
      </c>
      <c r="AC168" s="31">
        <f>IF(A168="","",COUNTIFS(Jobs!$J$5:$J$604,A168))</f>
        <v>0</v>
      </c>
      <c r="AD168" s="18">
        <f>IF(A168="","",IF(SUMPRODUCT(MAX((Jobs!$J$5:$J$604=A168)*((Jobs!$P$5:$P$604="Completed")+(Jobs!$P$5:$P$604="Invoiced"))*Jobs!$B$5:$B$604))=0,"",SUMPRODUCT(MAX((Jobs!$J$5:$J$604=A168)*((Jobs!$P$5:$P$604="Completed")+(Jobs!$P$5:$P$604="Invoiced"))*Jobs!$B$5:$B$604))))</f>
        <v>0</v>
      </c>
      <c r="AE168" s="34">
        <f>IF(A168="","",IFERROR(AVERAGEIFS(Jobs!$AK$5:$AK$604,Jobs!$J$5:$J$604,A168,Jobs!$AK$5:$AK$604,"&gt;0"),""))</f>
        <v>0</v>
      </c>
      <c r="AF168" s="34">
        <f>IF(OR(AE168="",X168=""),"",AE168-X168)</f>
        <v>0</v>
      </c>
      <c r="AG168" s="21">
        <f>IF(A168="","",SUMIFS(Jobs!$AJ$5:$AJ$604,Jobs!$J$5:$J$604,A168,Jobs!$P$5:$P$604,"Invoiced")+SUMIFS(Jobs!$AJ$5:$AJ$604,Jobs!$J$5:$J$604,A168,Jobs!$P$5:$P$604,"Completed"))</f>
        <v>0</v>
      </c>
      <c r="AH168" s="39">
        <f>IF(B168="","",IF(C168="","Add - no client linked",IF(IFERROR(INDEX(Clients!$B$5:$B$204,MATCH(C168,Clients!$A$5:$A$204,0)),"")="","Check - client ID not found",IF(AND(G168="",H168=""),"Add - size needed to price it",IF(AND(AF168&lt;&gt;"",AF168&gt;0.5),"Check - runs over the estimate",IF(N168="","Add - how do we get in?","OK"))))))</f>
        <v>0</v>
      </c>
    </row>
    <row r="169" spans="1:34">
      <c r="A169" s="43">
        <f>IF(B169="","",PropertyPrefix&amp;TEXT(ROW()-4,"0000"))</f>
        <v>0</v>
      </c>
      <c r="D169" s="23">
        <f>IF(C169="","",IFERROR(INDEX(Clients!$B$5:$B$204,MATCH(C169,Clients!$A$5:$A$204,0)),"Not found"))</f>
        <v>0</v>
      </c>
      <c r="W169" s="34">
        <f>IF(B169="","",MAX(IF(H169="",0,H169)*0.45+IF(I169="",0,I169)*0.6+IF(J169="",0,J169)*0.3,IF(G169="",0,G169)/650))</f>
        <v>0</v>
      </c>
      <c r="X169" s="34">
        <f>IF(B169="","",ROUND(MAX(1,W169)*IFERROR(INDEX(ConditionFactors,MATCH(L169,ConditionNames,0)),1),2))</f>
        <v>0</v>
      </c>
      <c r="Y169" s="34">
        <f>IF(B169="","",ROUND(X169/MAX(1,CleanersPerJob),2))</f>
        <v>0</v>
      </c>
      <c r="Z169" s="21">
        <f>IF(B169="","",MAX(MinimumCharge,ROUND(X169*IF(IFERROR(INDEX(Clients!$O$5:$O$204,MATCH(C169,Clients!$A$5:$A$204,0)),0)&gt;0,INDEX(Clients!$O$5:$O$204,MATCH(C169,Clients!$A$5:$A$204,0)),HourlyRate)+IF(M169="",0,IF(M169="None",0,PetSurcharge)),2)))</f>
        <v>0</v>
      </c>
      <c r="AA169" s="21">
        <f>IF(B169="","",ROUND(X169*CostPerHour,2))</f>
        <v>0</v>
      </c>
      <c r="AB169" s="38">
        <f>IF(B169="","",IF(Z169=0,"",(Z169-AA169-X169*SuppliesPerHour)/Z169))</f>
        <v>0</v>
      </c>
      <c r="AC169" s="31">
        <f>IF(A169="","",COUNTIFS(Jobs!$J$5:$J$604,A169))</f>
        <v>0</v>
      </c>
      <c r="AD169" s="18">
        <f>IF(A169="","",IF(SUMPRODUCT(MAX((Jobs!$J$5:$J$604=A169)*((Jobs!$P$5:$P$604="Completed")+(Jobs!$P$5:$P$604="Invoiced"))*Jobs!$B$5:$B$604))=0,"",SUMPRODUCT(MAX((Jobs!$J$5:$J$604=A169)*((Jobs!$P$5:$P$604="Completed")+(Jobs!$P$5:$P$604="Invoiced"))*Jobs!$B$5:$B$604))))</f>
        <v>0</v>
      </c>
      <c r="AE169" s="34">
        <f>IF(A169="","",IFERROR(AVERAGEIFS(Jobs!$AK$5:$AK$604,Jobs!$J$5:$J$604,A169,Jobs!$AK$5:$AK$604,"&gt;0"),""))</f>
        <v>0</v>
      </c>
      <c r="AF169" s="34">
        <f>IF(OR(AE169="",X169=""),"",AE169-X169)</f>
        <v>0</v>
      </c>
      <c r="AG169" s="21">
        <f>IF(A169="","",SUMIFS(Jobs!$AJ$5:$AJ$604,Jobs!$J$5:$J$604,A169,Jobs!$P$5:$P$604,"Invoiced")+SUMIFS(Jobs!$AJ$5:$AJ$604,Jobs!$J$5:$J$604,A169,Jobs!$P$5:$P$604,"Completed"))</f>
        <v>0</v>
      </c>
      <c r="AH169" s="39">
        <f>IF(B169="","",IF(C169="","Add - no client linked",IF(IFERROR(INDEX(Clients!$B$5:$B$204,MATCH(C169,Clients!$A$5:$A$204,0)),"")="","Check - client ID not found",IF(AND(G169="",H169=""),"Add - size needed to price it",IF(AND(AF169&lt;&gt;"",AF169&gt;0.5),"Check - runs over the estimate",IF(N169="","Add - how do we get in?","OK"))))))</f>
        <v>0</v>
      </c>
    </row>
    <row r="170" spans="1:34">
      <c r="A170" s="43">
        <f>IF(B170="","",PropertyPrefix&amp;TEXT(ROW()-4,"0000"))</f>
        <v>0</v>
      </c>
      <c r="D170" s="23">
        <f>IF(C170="","",IFERROR(INDEX(Clients!$B$5:$B$204,MATCH(C170,Clients!$A$5:$A$204,0)),"Not found"))</f>
        <v>0</v>
      </c>
      <c r="W170" s="34">
        <f>IF(B170="","",MAX(IF(H170="",0,H170)*0.45+IF(I170="",0,I170)*0.6+IF(J170="",0,J170)*0.3,IF(G170="",0,G170)/650))</f>
        <v>0</v>
      </c>
      <c r="X170" s="34">
        <f>IF(B170="","",ROUND(MAX(1,W170)*IFERROR(INDEX(ConditionFactors,MATCH(L170,ConditionNames,0)),1),2))</f>
        <v>0</v>
      </c>
      <c r="Y170" s="34">
        <f>IF(B170="","",ROUND(X170/MAX(1,CleanersPerJob),2))</f>
        <v>0</v>
      </c>
      <c r="Z170" s="21">
        <f>IF(B170="","",MAX(MinimumCharge,ROUND(X170*IF(IFERROR(INDEX(Clients!$O$5:$O$204,MATCH(C170,Clients!$A$5:$A$204,0)),0)&gt;0,INDEX(Clients!$O$5:$O$204,MATCH(C170,Clients!$A$5:$A$204,0)),HourlyRate)+IF(M170="",0,IF(M170="None",0,PetSurcharge)),2)))</f>
        <v>0</v>
      </c>
      <c r="AA170" s="21">
        <f>IF(B170="","",ROUND(X170*CostPerHour,2))</f>
        <v>0</v>
      </c>
      <c r="AB170" s="38">
        <f>IF(B170="","",IF(Z170=0,"",(Z170-AA170-X170*SuppliesPerHour)/Z170))</f>
        <v>0</v>
      </c>
      <c r="AC170" s="31">
        <f>IF(A170="","",COUNTIFS(Jobs!$J$5:$J$604,A170))</f>
        <v>0</v>
      </c>
      <c r="AD170" s="18">
        <f>IF(A170="","",IF(SUMPRODUCT(MAX((Jobs!$J$5:$J$604=A170)*((Jobs!$P$5:$P$604="Completed")+(Jobs!$P$5:$P$604="Invoiced"))*Jobs!$B$5:$B$604))=0,"",SUMPRODUCT(MAX((Jobs!$J$5:$J$604=A170)*((Jobs!$P$5:$P$604="Completed")+(Jobs!$P$5:$P$604="Invoiced"))*Jobs!$B$5:$B$604))))</f>
        <v>0</v>
      </c>
      <c r="AE170" s="34">
        <f>IF(A170="","",IFERROR(AVERAGEIFS(Jobs!$AK$5:$AK$604,Jobs!$J$5:$J$604,A170,Jobs!$AK$5:$AK$604,"&gt;0"),""))</f>
        <v>0</v>
      </c>
      <c r="AF170" s="34">
        <f>IF(OR(AE170="",X170=""),"",AE170-X170)</f>
        <v>0</v>
      </c>
      <c r="AG170" s="21">
        <f>IF(A170="","",SUMIFS(Jobs!$AJ$5:$AJ$604,Jobs!$J$5:$J$604,A170,Jobs!$P$5:$P$604,"Invoiced")+SUMIFS(Jobs!$AJ$5:$AJ$604,Jobs!$J$5:$J$604,A170,Jobs!$P$5:$P$604,"Completed"))</f>
        <v>0</v>
      </c>
      <c r="AH170" s="39">
        <f>IF(B170="","",IF(C170="","Add - no client linked",IF(IFERROR(INDEX(Clients!$B$5:$B$204,MATCH(C170,Clients!$A$5:$A$204,0)),"")="","Check - client ID not found",IF(AND(G170="",H170=""),"Add - size needed to price it",IF(AND(AF170&lt;&gt;"",AF170&gt;0.5),"Check - runs over the estimate",IF(N170="","Add - how do we get in?","OK"))))))</f>
        <v>0</v>
      </c>
    </row>
    <row r="171" spans="1:34">
      <c r="A171" s="43">
        <f>IF(B171="","",PropertyPrefix&amp;TEXT(ROW()-4,"0000"))</f>
        <v>0</v>
      </c>
      <c r="D171" s="23">
        <f>IF(C171="","",IFERROR(INDEX(Clients!$B$5:$B$204,MATCH(C171,Clients!$A$5:$A$204,0)),"Not found"))</f>
        <v>0</v>
      </c>
      <c r="W171" s="34">
        <f>IF(B171="","",MAX(IF(H171="",0,H171)*0.45+IF(I171="",0,I171)*0.6+IF(J171="",0,J171)*0.3,IF(G171="",0,G171)/650))</f>
        <v>0</v>
      </c>
      <c r="X171" s="34">
        <f>IF(B171="","",ROUND(MAX(1,W171)*IFERROR(INDEX(ConditionFactors,MATCH(L171,ConditionNames,0)),1),2))</f>
        <v>0</v>
      </c>
      <c r="Y171" s="34">
        <f>IF(B171="","",ROUND(X171/MAX(1,CleanersPerJob),2))</f>
        <v>0</v>
      </c>
      <c r="Z171" s="21">
        <f>IF(B171="","",MAX(MinimumCharge,ROUND(X171*IF(IFERROR(INDEX(Clients!$O$5:$O$204,MATCH(C171,Clients!$A$5:$A$204,0)),0)&gt;0,INDEX(Clients!$O$5:$O$204,MATCH(C171,Clients!$A$5:$A$204,0)),HourlyRate)+IF(M171="",0,IF(M171="None",0,PetSurcharge)),2)))</f>
        <v>0</v>
      </c>
      <c r="AA171" s="21">
        <f>IF(B171="","",ROUND(X171*CostPerHour,2))</f>
        <v>0</v>
      </c>
      <c r="AB171" s="38">
        <f>IF(B171="","",IF(Z171=0,"",(Z171-AA171-X171*SuppliesPerHour)/Z171))</f>
        <v>0</v>
      </c>
      <c r="AC171" s="31">
        <f>IF(A171="","",COUNTIFS(Jobs!$J$5:$J$604,A171))</f>
        <v>0</v>
      </c>
      <c r="AD171" s="18">
        <f>IF(A171="","",IF(SUMPRODUCT(MAX((Jobs!$J$5:$J$604=A171)*((Jobs!$P$5:$P$604="Completed")+(Jobs!$P$5:$P$604="Invoiced"))*Jobs!$B$5:$B$604))=0,"",SUMPRODUCT(MAX((Jobs!$J$5:$J$604=A171)*((Jobs!$P$5:$P$604="Completed")+(Jobs!$P$5:$P$604="Invoiced"))*Jobs!$B$5:$B$604))))</f>
        <v>0</v>
      </c>
      <c r="AE171" s="34">
        <f>IF(A171="","",IFERROR(AVERAGEIFS(Jobs!$AK$5:$AK$604,Jobs!$J$5:$J$604,A171,Jobs!$AK$5:$AK$604,"&gt;0"),""))</f>
        <v>0</v>
      </c>
      <c r="AF171" s="34">
        <f>IF(OR(AE171="",X171=""),"",AE171-X171)</f>
        <v>0</v>
      </c>
      <c r="AG171" s="21">
        <f>IF(A171="","",SUMIFS(Jobs!$AJ$5:$AJ$604,Jobs!$J$5:$J$604,A171,Jobs!$P$5:$P$604,"Invoiced")+SUMIFS(Jobs!$AJ$5:$AJ$604,Jobs!$J$5:$J$604,A171,Jobs!$P$5:$P$604,"Completed"))</f>
        <v>0</v>
      </c>
      <c r="AH171" s="39">
        <f>IF(B171="","",IF(C171="","Add - no client linked",IF(IFERROR(INDEX(Clients!$B$5:$B$204,MATCH(C171,Clients!$A$5:$A$204,0)),"")="","Check - client ID not found",IF(AND(G171="",H171=""),"Add - size needed to price it",IF(AND(AF171&lt;&gt;"",AF171&gt;0.5),"Check - runs over the estimate",IF(N171="","Add - how do we get in?","OK"))))))</f>
        <v>0</v>
      </c>
    </row>
    <row r="172" spans="1:34">
      <c r="A172" s="43">
        <f>IF(B172="","",PropertyPrefix&amp;TEXT(ROW()-4,"0000"))</f>
        <v>0</v>
      </c>
      <c r="D172" s="23">
        <f>IF(C172="","",IFERROR(INDEX(Clients!$B$5:$B$204,MATCH(C172,Clients!$A$5:$A$204,0)),"Not found"))</f>
        <v>0</v>
      </c>
      <c r="W172" s="34">
        <f>IF(B172="","",MAX(IF(H172="",0,H172)*0.45+IF(I172="",0,I172)*0.6+IF(J172="",0,J172)*0.3,IF(G172="",0,G172)/650))</f>
        <v>0</v>
      </c>
      <c r="X172" s="34">
        <f>IF(B172="","",ROUND(MAX(1,W172)*IFERROR(INDEX(ConditionFactors,MATCH(L172,ConditionNames,0)),1),2))</f>
        <v>0</v>
      </c>
      <c r="Y172" s="34">
        <f>IF(B172="","",ROUND(X172/MAX(1,CleanersPerJob),2))</f>
        <v>0</v>
      </c>
      <c r="Z172" s="21">
        <f>IF(B172="","",MAX(MinimumCharge,ROUND(X172*IF(IFERROR(INDEX(Clients!$O$5:$O$204,MATCH(C172,Clients!$A$5:$A$204,0)),0)&gt;0,INDEX(Clients!$O$5:$O$204,MATCH(C172,Clients!$A$5:$A$204,0)),HourlyRate)+IF(M172="",0,IF(M172="None",0,PetSurcharge)),2)))</f>
        <v>0</v>
      </c>
      <c r="AA172" s="21">
        <f>IF(B172="","",ROUND(X172*CostPerHour,2))</f>
        <v>0</v>
      </c>
      <c r="AB172" s="38">
        <f>IF(B172="","",IF(Z172=0,"",(Z172-AA172-X172*SuppliesPerHour)/Z172))</f>
        <v>0</v>
      </c>
      <c r="AC172" s="31">
        <f>IF(A172="","",COUNTIFS(Jobs!$J$5:$J$604,A172))</f>
        <v>0</v>
      </c>
      <c r="AD172" s="18">
        <f>IF(A172="","",IF(SUMPRODUCT(MAX((Jobs!$J$5:$J$604=A172)*((Jobs!$P$5:$P$604="Completed")+(Jobs!$P$5:$P$604="Invoiced"))*Jobs!$B$5:$B$604))=0,"",SUMPRODUCT(MAX((Jobs!$J$5:$J$604=A172)*((Jobs!$P$5:$P$604="Completed")+(Jobs!$P$5:$P$604="Invoiced"))*Jobs!$B$5:$B$604))))</f>
        <v>0</v>
      </c>
      <c r="AE172" s="34">
        <f>IF(A172="","",IFERROR(AVERAGEIFS(Jobs!$AK$5:$AK$604,Jobs!$J$5:$J$604,A172,Jobs!$AK$5:$AK$604,"&gt;0"),""))</f>
        <v>0</v>
      </c>
      <c r="AF172" s="34">
        <f>IF(OR(AE172="",X172=""),"",AE172-X172)</f>
        <v>0</v>
      </c>
      <c r="AG172" s="21">
        <f>IF(A172="","",SUMIFS(Jobs!$AJ$5:$AJ$604,Jobs!$J$5:$J$604,A172,Jobs!$P$5:$P$604,"Invoiced")+SUMIFS(Jobs!$AJ$5:$AJ$604,Jobs!$J$5:$J$604,A172,Jobs!$P$5:$P$604,"Completed"))</f>
        <v>0</v>
      </c>
      <c r="AH172" s="39">
        <f>IF(B172="","",IF(C172="","Add - no client linked",IF(IFERROR(INDEX(Clients!$B$5:$B$204,MATCH(C172,Clients!$A$5:$A$204,0)),"")="","Check - client ID not found",IF(AND(G172="",H172=""),"Add - size needed to price it",IF(AND(AF172&lt;&gt;"",AF172&gt;0.5),"Check - runs over the estimate",IF(N172="","Add - how do we get in?","OK"))))))</f>
        <v>0</v>
      </c>
    </row>
    <row r="173" spans="1:34">
      <c r="A173" s="43">
        <f>IF(B173="","",PropertyPrefix&amp;TEXT(ROW()-4,"0000"))</f>
        <v>0</v>
      </c>
      <c r="D173" s="23">
        <f>IF(C173="","",IFERROR(INDEX(Clients!$B$5:$B$204,MATCH(C173,Clients!$A$5:$A$204,0)),"Not found"))</f>
        <v>0</v>
      </c>
      <c r="W173" s="34">
        <f>IF(B173="","",MAX(IF(H173="",0,H173)*0.45+IF(I173="",0,I173)*0.6+IF(J173="",0,J173)*0.3,IF(G173="",0,G173)/650))</f>
        <v>0</v>
      </c>
      <c r="X173" s="34">
        <f>IF(B173="","",ROUND(MAX(1,W173)*IFERROR(INDEX(ConditionFactors,MATCH(L173,ConditionNames,0)),1),2))</f>
        <v>0</v>
      </c>
      <c r="Y173" s="34">
        <f>IF(B173="","",ROUND(X173/MAX(1,CleanersPerJob),2))</f>
        <v>0</v>
      </c>
      <c r="Z173" s="21">
        <f>IF(B173="","",MAX(MinimumCharge,ROUND(X173*IF(IFERROR(INDEX(Clients!$O$5:$O$204,MATCH(C173,Clients!$A$5:$A$204,0)),0)&gt;0,INDEX(Clients!$O$5:$O$204,MATCH(C173,Clients!$A$5:$A$204,0)),HourlyRate)+IF(M173="",0,IF(M173="None",0,PetSurcharge)),2)))</f>
        <v>0</v>
      </c>
      <c r="AA173" s="21">
        <f>IF(B173="","",ROUND(X173*CostPerHour,2))</f>
        <v>0</v>
      </c>
      <c r="AB173" s="38">
        <f>IF(B173="","",IF(Z173=0,"",(Z173-AA173-X173*SuppliesPerHour)/Z173))</f>
        <v>0</v>
      </c>
      <c r="AC173" s="31">
        <f>IF(A173="","",COUNTIFS(Jobs!$J$5:$J$604,A173))</f>
        <v>0</v>
      </c>
      <c r="AD173" s="18">
        <f>IF(A173="","",IF(SUMPRODUCT(MAX((Jobs!$J$5:$J$604=A173)*((Jobs!$P$5:$P$604="Completed")+(Jobs!$P$5:$P$604="Invoiced"))*Jobs!$B$5:$B$604))=0,"",SUMPRODUCT(MAX((Jobs!$J$5:$J$604=A173)*((Jobs!$P$5:$P$604="Completed")+(Jobs!$P$5:$P$604="Invoiced"))*Jobs!$B$5:$B$604))))</f>
        <v>0</v>
      </c>
      <c r="AE173" s="34">
        <f>IF(A173="","",IFERROR(AVERAGEIFS(Jobs!$AK$5:$AK$604,Jobs!$J$5:$J$604,A173,Jobs!$AK$5:$AK$604,"&gt;0"),""))</f>
        <v>0</v>
      </c>
      <c r="AF173" s="34">
        <f>IF(OR(AE173="",X173=""),"",AE173-X173)</f>
        <v>0</v>
      </c>
      <c r="AG173" s="21">
        <f>IF(A173="","",SUMIFS(Jobs!$AJ$5:$AJ$604,Jobs!$J$5:$J$604,A173,Jobs!$P$5:$P$604,"Invoiced")+SUMIFS(Jobs!$AJ$5:$AJ$604,Jobs!$J$5:$J$604,A173,Jobs!$P$5:$P$604,"Completed"))</f>
        <v>0</v>
      </c>
      <c r="AH173" s="39">
        <f>IF(B173="","",IF(C173="","Add - no client linked",IF(IFERROR(INDEX(Clients!$B$5:$B$204,MATCH(C173,Clients!$A$5:$A$204,0)),"")="","Check - client ID not found",IF(AND(G173="",H173=""),"Add - size needed to price it",IF(AND(AF173&lt;&gt;"",AF173&gt;0.5),"Check - runs over the estimate",IF(N173="","Add - how do we get in?","OK"))))))</f>
        <v>0</v>
      </c>
    </row>
    <row r="174" spans="1:34">
      <c r="A174" s="43">
        <f>IF(B174="","",PropertyPrefix&amp;TEXT(ROW()-4,"0000"))</f>
        <v>0</v>
      </c>
      <c r="D174" s="23">
        <f>IF(C174="","",IFERROR(INDEX(Clients!$B$5:$B$204,MATCH(C174,Clients!$A$5:$A$204,0)),"Not found"))</f>
        <v>0</v>
      </c>
      <c r="W174" s="34">
        <f>IF(B174="","",MAX(IF(H174="",0,H174)*0.45+IF(I174="",0,I174)*0.6+IF(J174="",0,J174)*0.3,IF(G174="",0,G174)/650))</f>
        <v>0</v>
      </c>
      <c r="X174" s="34">
        <f>IF(B174="","",ROUND(MAX(1,W174)*IFERROR(INDEX(ConditionFactors,MATCH(L174,ConditionNames,0)),1),2))</f>
        <v>0</v>
      </c>
      <c r="Y174" s="34">
        <f>IF(B174="","",ROUND(X174/MAX(1,CleanersPerJob),2))</f>
        <v>0</v>
      </c>
      <c r="Z174" s="21">
        <f>IF(B174="","",MAX(MinimumCharge,ROUND(X174*IF(IFERROR(INDEX(Clients!$O$5:$O$204,MATCH(C174,Clients!$A$5:$A$204,0)),0)&gt;0,INDEX(Clients!$O$5:$O$204,MATCH(C174,Clients!$A$5:$A$204,0)),HourlyRate)+IF(M174="",0,IF(M174="None",0,PetSurcharge)),2)))</f>
        <v>0</v>
      </c>
      <c r="AA174" s="21">
        <f>IF(B174="","",ROUND(X174*CostPerHour,2))</f>
        <v>0</v>
      </c>
      <c r="AB174" s="38">
        <f>IF(B174="","",IF(Z174=0,"",(Z174-AA174-X174*SuppliesPerHour)/Z174))</f>
        <v>0</v>
      </c>
      <c r="AC174" s="31">
        <f>IF(A174="","",COUNTIFS(Jobs!$J$5:$J$604,A174))</f>
        <v>0</v>
      </c>
      <c r="AD174" s="18">
        <f>IF(A174="","",IF(SUMPRODUCT(MAX((Jobs!$J$5:$J$604=A174)*((Jobs!$P$5:$P$604="Completed")+(Jobs!$P$5:$P$604="Invoiced"))*Jobs!$B$5:$B$604))=0,"",SUMPRODUCT(MAX((Jobs!$J$5:$J$604=A174)*((Jobs!$P$5:$P$604="Completed")+(Jobs!$P$5:$P$604="Invoiced"))*Jobs!$B$5:$B$604))))</f>
        <v>0</v>
      </c>
      <c r="AE174" s="34">
        <f>IF(A174="","",IFERROR(AVERAGEIFS(Jobs!$AK$5:$AK$604,Jobs!$J$5:$J$604,A174,Jobs!$AK$5:$AK$604,"&gt;0"),""))</f>
        <v>0</v>
      </c>
      <c r="AF174" s="34">
        <f>IF(OR(AE174="",X174=""),"",AE174-X174)</f>
        <v>0</v>
      </c>
      <c r="AG174" s="21">
        <f>IF(A174="","",SUMIFS(Jobs!$AJ$5:$AJ$604,Jobs!$J$5:$J$604,A174,Jobs!$P$5:$P$604,"Invoiced")+SUMIFS(Jobs!$AJ$5:$AJ$604,Jobs!$J$5:$J$604,A174,Jobs!$P$5:$P$604,"Completed"))</f>
        <v>0</v>
      </c>
      <c r="AH174" s="39">
        <f>IF(B174="","",IF(C174="","Add - no client linked",IF(IFERROR(INDEX(Clients!$B$5:$B$204,MATCH(C174,Clients!$A$5:$A$204,0)),"")="","Check - client ID not found",IF(AND(G174="",H174=""),"Add - size needed to price it",IF(AND(AF174&lt;&gt;"",AF174&gt;0.5),"Check - runs over the estimate",IF(N174="","Add - how do we get in?","OK"))))))</f>
        <v>0</v>
      </c>
    </row>
    <row r="175" spans="1:34">
      <c r="A175" s="43">
        <f>IF(B175="","",PropertyPrefix&amp;TEXT(ROW()-4,"0000"))</f>
        <v>0</v>
      </c>
      <c r="D175" s="23">
        <f>IF(C175="","",IFERROR(INDEX(Clients!$B$5:$B$204,MATCH(C175,Clients!$A$5:$A$204,0)),"Not found"))</f>
        <v>0</v>
      </c>
      <c r="W175" s="34">
        <f>IF(B175="","",MAX(IF(H175="",0,H175)*0.45+IF(I175="",0,I175)*0.6+IF(J175="",0,J175)*0.3,IF(G175="",0,G175)/650))</f>
        <v>0</v>
      </c>
      <c r="X175" s="34">
        <f>IF(B175="","",ROUND(MAX(1,W175)*IFERROR(INDEX(ConditionFactors,MATCH(L175,ConditionNames,0)),1),2))</f>
        <v>0</v>
      </c>
      <c r="Y175" s="34">
        <f>IF(B175="","",ROUND(X175/MAX(1,CleanersPerJob),2))</f>
        <v>0</v>
      </c>
      <c r="Z175" s="21">
        <f>IF(B175="","",MAX(MinimumCharge,ROUND(X175*IF(IFERROR(INDEX(Clients!$O$5:$O$204,MATCH(C175,Clients!$A$5:$A$204,0)),0)&gt;0,INDEX(Clients!$O$5:$O$204,MATCH(C175,Clients!$A$5:$A$204,0)),HourlyRate)+IF(M175="",0,IF(M175="None",0,PetSurcharge)),2)))</f>
        <v>0</v>
      </c>
      <c r="AA175" s="21">
        <f>IF(B175="","",ROUND(X175*CostPerHour,2))</f>
        <v>0</v>
      </c>
      <c r="AB175" s="38">
        <f>IF(B175="","",IF(Z175=0,"",(Z175-AA175-X175*SuppliesPerHour)/Z175))</f>
        <v>0</v>
      </c>
      <c r="AC175" s="31">
        <f>IF(A175="","",COUNTIFS(Jobs!$J$5:$J$604,A175))</f>
        <v>0</v>
      </c>
      <c r="AD175" s="18">
        <f>IF(A175="","",IF(SUMPRODUCT(MAX((Jobs!$J$5:$J$604=A175)*((Jobs!$P$5:$P$604="Completed")+(Jobs!$P$5:$P$604="Invoiced"))*Jobs!$B$5:$B$604))=0,"",SUMPRODUCT(MAX((Jobs!$J$5:$J$604=A175)*((Jobs!$P$5:$P$604="Completed")+(Jobs!$P$5:$P$604="Invoiced"))*Jobs!$B$5:$B$604))))</f>
        <v>0</v>
      </c>
      <c r="AE175" s="34">
        <f>IF(A175="","",IFERROR(AVERAGEIFS(Jobs!$AK$5:$AK$604,Jobs!$J$5:$J$604,A175,Jobs!$AK$5:$AK$604,"&gt;0"),""))</f>
        <v>0</v>
      </c>
      <c r="AF175" s="34">
        <f>IF(OR(AE175="",X175=""),"",AE175-X175)</f>
        <v>0</v>
      </c>
      <c r="AG175" s="21">
        <f>IF(A175="","",SUMIFS(Jobs!$AJ$5:$AJ$604,Jobs!$J$5:$J$604,A175,Jobs!$P$5:$P$604,"Invoiced")+SUMIFS(Jobs!$AJ$5:$AJ$604,Jobs!$J$5:$J$604,A175,Jobs!$P$5:$P$604,"Completed"))</f>
        <v>0</v>
      </c>
      <c r="AH175" s="39">
        <f>IF(B175="","",IF(C175="","Add - no client linked",IF(IFERROR(INDEX(Clients!$B$5:$B$204,MATCH(C175,Clients!$A$5:$A$204,0)),"")="","Check - client ID not found",IF(AND(G175="",H175=""),"Add - size needed to price it",IF(AND(AF175&lt;&gt;"",AF175&gt;0.5),"Check - runs over the estimate",IF(N175="","Add - how do we get in?","OK"))))))</f>
        <v>0</v>
      </c>
    </row>
    <row r="176" spans="1:34">
      <c r="A176" s="43">
        <f>IF(B176="","",PropertyPrefix&amp;TEXT(ROW()-4,"0000"))</f>
        <v>0</v>
      </c>
      <c r="D176" s="23">
        <f>IF(C176="","",IFERROR(INDEX(Clients!$B$5:$B$204,MATCH(C176,Clients!$A$5:$A$204,0)),"Not found"))</f>
        <v>0</v>
      </c>
      <c r="W176" s="34">
        <f>IF(B176="","",MAX(IF(H176="",0,H176)*0.45+IF(I176="",0,I176)*0.6+IF(J176="",0,J176)*0.3,IF(G176="",0,G176)/650))</f>
        <v>0</v>
      </c>
      <c r="X176" s="34">
        <f>IF(B176="","",ROUND(MAX(1,W176)*IFERROR(INDEX(ConditionFactors,MATCH(L176,ConditionNames,0)),1),2))</f>
        <v>0</v>
      </c>
      <c r="Y176" s="34">
        <f>IF(B176="","",ROUND(X176/MAX(1,CleanersPerJob),2))</f>
        <v>0</v>
      </c>
      <c r="Z176" s="21">
        <f>IF(B176="","",MAX(MinimumCharge,ROUND(X176*IF(IFERROR(INDEX(Clients!$O$5:$O$204,MATCH(C176,Clients!$A$5:$A$204,0)),0)&gt;0,INDEX(Clients!$O$5:$O$204,MATCH(C176,Clients!$A$5:$A$204,0)),HourlyRate)+IF(M176="",0,IF(M176="None",0,PetSurcharge)),2)))</f>
        <v>0</v>
      </c>
      <c r="AA176" s="21">
        <f>IF(B176="","",ROUND(X176*CostPerHour,2))</f>
        <v>0</v>
      </c>
      <c r="AB176" s="38">
        <f>IF(B176="","",IF(Z176=0,"",(Z176-AA176-X176*SuppliesPerHour)/Z176))</f>
        <v>0</v>
      </c>
      <c r="AC176" s="31">
        <f>IF(A176="","",COUNTIFS(Jobs!$J$5:$J$604,A176))</f>
        <v>0</v>
      </c>
      <c r="AD176" s="18">
        <f>IF(A176="","",IF(SUMPRODUCT(MAX((Jobs!$J$5:$J$604=A176)*((Jobs!$P$5:$P$604="Completed")+(Jobs!$P$5:$P$604="Invoiced"))*Jobs!$B$5:$B$604))=0,"",SUMPRODUCT(MAX((Jobs!$J$5:$J$604=A176)*((Jobs!$P$5:$P$604="Completed")+(Jobs!$P$5:$P$604="Invoiced"))*Jobs!$B$5:$B$604))))</f>
        <v>0</v>
      </c>
      <c r="AE176" s="34">
        <f>IF(A176="","",IFERROR(AVERAGEIFS(Jobs!$AK$5:$AK$604,Jobs!$J$5:$J$604,A176,Jobs!$AK$5:$AK$604,"&gt;0"),""))</f>
        <v>0</v>
      </c>
      <c r="AF176" s="34">
        <f>IF(OR(AE176="",X176=""),"",AE176-X176)</f>
        <v>0</v>
      </c>
      <c r="AG176" s="21">
        <f>IF(A176="","",SUMIFS(Jobs!$AJ$5:$AJ$604,Jobs!$J$5:$J$604,A176,Jobs!$P$5:$P$604,"Invoiced")+SUMIFS(Jobs!$AJ$5:$AJ$604,Jobs!$J$5:$J$604,A176,Jobs!$P$5:$P$604,"Completed"))</f>
        <v>0</v>
      </c>
      <c r="AH176" s="39">
        <f>IF(B176="","",IF(C176="","Add - no client linked",IF(IFERROR(INDEX(Clients!$B$5:$B$204,MATCH(C176,Clients!$A$5:$A$204,0)),"")="","Check - client ID not found",IF(AND(G176="",H176=""),"Add - size needed to price it",IF(AND(AF176&lt;&gt;"",AF176&gt;0.5),"Check - runs over the estimate",IF(N176="","Add - how do we get in?","OK"))))))</f>
        <v>0</v>
      </c>
    </row>
    <row r="177" spans="1:34">
      <c r="A177" s="43">
        <f>IF(B177="","",PropertyPrefix&amp;TEXT(ROW()-4,"0000"))</f>
        <v>0</v>
      </c>
      <c r="D177" s="23">
        <f>IF(C177="","",IFERROR(INDEX(Clients!$B$5:$B$204,MATCH(C177,Clients!$A$5:$A$204,0)),"Not found"))</f>
        <v>0</v>
      </c>
      <c r="W177" s="34">
        <f>IF(B177="","",MAX(IF(H177="",0,H177)*0.45+IF(I177="",0,I177)*0.6+IF(J177="",0,J177)*0.3,IF(G177="",0,G177)/650))</f>
        <v>0</v>
      </c>
      <c r="X177" s="34">
        <f>IF(B177="","",ROUND(MAX(1,W177)*IFERROR(INDEX(ConditionFactors,MATCH(L177,ConditionNames,0)),1),2))</f>
        <v>0</v>
      </c>
      <c r="Y177" s="34">
        <f>IF(B177="","",ROUND(X177/MAX(1,CleanersPerJob),2))</f>
        <v>0</v>
      </c>
      <c r="Z177" s="21">
        <f>IF(B177="","",MAX(MinimumCharge,ROUND(X177*IF(IFERROR(INDEX(Clients!$O$5:$O$204,MATCH(C177,Clients!$A$5:$A$204,0)),0)&gt;0,INDEX(Clients!$O$5:$O$204,MATCH(C177,Clients!$A$5:$A$204,0)),HourlyRate)+IF(M177="",0,IF(M177="None",0,PetSurcharge)),2)))</f>
        <v>0</v>
      </c>
      <c r="AA177" s="21">
        <f>IF(B177="","",ROUND(X177*CostPerHour,2))</f>
        <v>0</v>
      </c>
      <c r="AB177" s="38">
        <f>IF(B177="","",IF(Z177=0,"",(Z177-AA177-X177*SuppliesPerHour)/Z177))</f>
        <v>0</v>
      </c>
      <c r="AC177" s="31">
        <f>IF(A177="","",COUNTIFS(Jobs!$J$5:$J$604,A177))</f>
        <v>0</v>
      </c>
      <c r="AD177" s="18">
        <f>IF(A177="","",IF(SUMPRODUCT(MAX((Jobs!$J$5:$J$604=A177)*((Jobs!$P$5:$P$604="Completed")+(Jobs!$P$5:$P$604="Invoiced"))*Jobs!$B$5:$B$604))=0,"",SUMPRODUCT(MAX((Jobs!$J$5:$J$604=A177)*((Jobs!$P$5:$P$604="Completed")+(Jobs!$P$5:$P$604="Invoiced"))*Jobs!$B$5:$B$604))))</f>
        <v>0</v>
      </c>
      <c r="AE177" s="34">
        <f>IF(A177="","",IFERROR(AVERAGEIFS(Jobs!$AK$5:$AK$604,Jobs!$J$5:$J$604,A177,Jobs!$AK$5:$AK$604,"&gt;0"),""))</f>
        <v>0</v>
      </c>
      <c r="AF177" s="34">
        <f>IF(OR(AE177="",X177=""),"",AE177-X177)</f>
        <v>0</v>
      </c>
      <c r="AG177" s="21">
        <f>IF(A177="","",SUMIFS(Jobs!$AJ$5:$AJ$604,Jobs!$J$5:$J$604,A177,Jobs!$P$5:$P$604,"Invoiced")+SUMIFS(Jobs!$AJ$5:$AJ$604,Jobs!$J$5:$J$604,A177,Jobs!$P$5:$P$604,"Completed"))</f>
        <v>0</v>
      </c>
      <c r="AH177" s="39">
        <f>IF(B177="","",IF(C177="","Add - no client linked",IF(IFERROR(INDEX(Clients!$B$5:$B$204,MATCH(C177,Clients!$A$5:$A$204,0)),"")="","Check - client ID not found",IF(AND(G177="",H177=""),"Add - size needed to price it",IF(AND(AF177&lt;&gt;"",AF177&gt;0.5),"Check - runs over the estimate",IF(N177="","Add - how do we get in?","OK"))))))</f>
        <v>0</v>
      </c>
    </row>
    <row r="178" spans="1:34">
      <c r="A178" s="43">
        <f>IF(B178="","",PropertyPrefix&amp;TEXT(ROW()-4,"0000"))</f>
        <v>0</v>
      </c>
      <c r="D178" s="23">
        <f>IF(C178="","",IFERROR(INDEX(Clients!$B$5:$B$204,MATCH(C178,Clients!$A$5:$A$204,0)),"Not found"))</f>
        <v>0</v>
      </c>
      <c r="W178" s="34">
        <f>IF(B178="","",MAX(IF(H178="",0,H178)*0.45+IF(I178="",0,I178)*0.6+IF(J178="",0,J178)*0.3,IF(G178="",0,G178)/650))</f>
        <v>0</v>
      </c>
      <c r="X178" s="34">
        <f>IF(B178="","",ROUND(MAX(1,W178)*IFERROR(INDEX(ConditionFactors,MATCH(L178,ConditionNames,0)),1),2))</f>
        <v>0</v>
      </c>
      <c r="Y178" s="34">
        <f>IF(B178="","",ROUND(X178/MAX(1,CleanersPerJob),2))</f>
        <v>0</v>
      </c>
      <c r="Z178" s="21">
        <f>IF(B178="","",MAX(MinimumCharge,ROUND(X178*IF(IFERROR(INDEX(Clients!$O$5:$O$204,MATCH(C178,Clients!$A$5:$A$204,0)),0)&gt;0,INDEX(Clients!$O$5:$O$204,MATCH(C178,Clients!$A$5:$A$204,0)),HourlyRate)+IF(M178="",0,IF(M178="None",0,PetSurcharge)),2)))</f>
        <v>0</v>
      </c>
      <c r="AA178" s="21">
        <f>IF(B178="","",ROUND(X178*CostPerHour,2))</f>
        <v>0</v>
      </c>
      <c r="AB178" s="38">
        <f>IF(B178="","",IF(Z178=0,"",(Z178-AA178-X178*SuppliesPerHour)/Z178))</f>
        <v>0</v>
      </c>
      <c r="AC178" s="31">
        <f>IF(A178="","",COUNTIFS(Jobs!$J$5:$J$604,A178))</f>
        <v>0</v>
      </c>
      <c r="AD178" s="18">
        <f>IF(A178="","",IF(SUMPRODUCT(MAX((Jobs!$J$5:$J$604=A178)*((Jobs!$P$5:$P$604="Completed")+(Jobs!$P$5:$P$604="Invoiced"))*Jobs!$B$5:$B$604))=0,"",SUMPRODUCT(MAX((Jobs!$J$5:$J$604=A178)*((Jobs!$P$5:$P$604="Completed")+(Jobs!$P$5:$P$604="Invoiced"))*Jobs!$B$5:$B$604))))</f>
        <v>0</v>
      </c>
      <c r="AE178" s="34">
        <f>IF(A178="","",IFERROR(AVERAGEIFS(Jobs!$AK$5:$AK$604,Jobs!$J$5:$J$604,A178,Jobs!$AK$5:$AK$604,"&gt;0"),""))</f>
        <v>0</v>
      </c>
      <c r="AF178" s="34">
        <f>IF(OR(AE178="",X178=""),"",AE178-X178)</f>
        <v>0</v>
      </c>
      <c r="AG178" s="21">
        <f>IF(A178="","",SUMIFS(Jobs!$AJ$5:$AJ$604,Jobs!$J$5:$J$604,A178,Jobs!$P$5:$P$604,"Invoiced")+SUMIFS(Jobs!$AJ$5:$AJ$604,Jobs!$J$5:$J$604,A178,Jobs!$P$5:$P$604,"Completed"))</f>
        <v>0</v>
      </c>
      <c r="AH178" s="39">
        <f>IF(B178="","",IF(C178="","Add - no client linked",IF(IFERROR(INDEX(Clients!$B$5:$B$204,MATCH(C178,Clients!$A$5:$A$204,0)),"")="","Check - client ID not found",IF(AND(G178="",H178=""),"Add - size needed to price it",IF(AND(AF178&lt;&gt;"",AF178&gt;0.5),"Check - runs over the estimate",IF(N178="","Add - how do we get in?","OK"))))))</f>
        <v>0</v>
      </c>
    </row>
    <row r="179" spans="1:34">
      <c r="A179" s="43">
        <f>IF(B179="","",PropertyPrefix&amp;TEXT(ROW()-4,"0000"))</f>
        <v>0</v>
      </c>
      <c r="D179" s="23">
        <f>IF(C179="","",IFERROR(INDEX(Clients!$B$5:$B$204,MATCH(C179,Clients!$A$5:$A$204,0)),"Not found"))</f>
        <v>0</v>
      </c>
      <c r="W179" s="34">
        <f>IF(B179="","",MAX(IF(H179="",0,H179)*0.45+IF(I179="",0,I179)*0.6+IF(J179="",0,J179)*0.3,IF(G179="",0,G179)/650))</f>
        <v>0</v>
      </c>
      <c r="X179" s="34">
        <f>IF(B179="","",ROUND(MAX(1,W179)*IFERROR(INDEX(ConditionFactors,MATCH(L179,ConditionNames,0)),1),2))</f>
        <v>0</v>
      </c>
      <c r="Y179" s="34">
        <f>IF(B179="","",ROUND(X179/MAX(1,CleanersPerJob),2))</f>
        <v>0</v>
      </c>
      <c r="Z179" s="21">
        <f>IF(B179="","",MAX(MinimumCharge,ROUND(X179*IF(IFERROR(INDEX(Clients!$O$5:$O$204,MATCH(C179,Clients!$A$5:$A$204,0)),0)&gt;0,INDEX(Clients!$O$5:$O$204,MATCH(C179,Clients!$A$5:$A$204,0)),HourlyRate)+IF(M179="",0,IF(M179="None",0,PetSurcharge)),2)))</f>
        <v>0</v>
      </c>
      <c r="AA179" s="21">
        <f>IF(B179="","",ROUND(X179*CostPerHour,2))</f>
        <v>0</v>
      </c>
      <c r="AB179" s="38">
        <f>IF(B179="","",IF(Z179=0,"",(Z179-AA179-X179*SuppliesPerHour)/Z179))</f>
        <v>0</v>
      </c>
      <c r="AC179" s="31">
        <f>IF(A179="","",COUNTIFS(Jobs!$J$5:$J$604,A179))</f>
        <v>0</v>
      </c>
      <c r="AD179" s="18">
        <f>IF(A179="","",IF(SUMPRODUCT(MAX((Jobs!$J$5:$J$604=A179)*((Jobs!$P$5:$P$604="Completed")+(Jobs!$P$5:$P$604="Invoiced"))*Jobs!$B$5:$B$604))=0,"",SUMPRODUCT(MAX((Jobs!$J$5:$J$604=A179)*((Jobs!$P$5:$P$604="Completed")+(Jobs!$P$5:$P$604="Invoiced"))*Jobs!$B$5:$B$604))))</f>
        <v>0</v>
      </c>
      <c r="AE179" s="34">
        <f>IF(A179="","",IFERROR(AVERAGEIFS(Jobs!$AK$5:$AK$604,Jobs!$J$5:$J$604,A179,Jobs!$AK$5:$AK$604,"&gt;0"),""))</f>
        <v>0</v>
      </c>
      <c r="AF179" s="34">
        <f>IF(OR(AE179="",X179=""),"",AE179-X179)</f>
        <v>0</v>
      </c>
      <c r="AG179" s="21">
        <f>IF(A179="","",SUMIFS(Jobs!$AJ$5:$AJ$604,Jobs!$J$5:$J$604,A179,Jobs!$P$5:$P$604,"Invoiced")+SUMIFS(Jobs!$AJ$5:$AJ$604,Jobs!$J$5:$J$604,A179,Jobs!$P$5:$P$604,"Completed"))</f>
        <v>0</v>
      </c>
      <c r="AH179" s="39">
        <f>IF(B179="","",IF(C179="","Add - no client linked",IF(IFERROR(INDEX(Clients!$B$5:$B$204,MATCH(C179,Clients!$A$5:$A$204,0)),"")="","Check - client ID not found",IF(AND(G179="",H179=""),"Add - size needed to price it",IF(AND(AF179&lt;&gt;"",AF179&gt;0.5),"Check - runs over the estimate",IF(N179="","Add - how do we get in?","OK"))))))</f>
        <v>0</v>
      </c>
    </row>
    <row r="180" spans="1:34">
      <c r="A180" s="43">
        <f>IF(B180="","",PropertyPrefix&amp;TEXT(ROW()-4,"0000"))</f>
        <v>0</v>
      </c>
      <c r="D180" s="23">
        <f>IF(C180="","",IFERROR(INDEX(Clients!$B$5:$B$204,MATCH(C180,Clients!$A$5:$A$204,0)),"Not found"))</f>
        <v>0</v>
      </c>
      <c r="W180" s="34">
        <f>IF(B180="","",MAX(IF(H180="",0,H180)*0.45+IF(I180="",0,I180)*0.6+IF(J180="",0,J180)*0.3,IF(G180="",0,G180)/650))</f>
        <v>0</v>
      </c>
      <c r="X180" s="34">
        <f>IF(B180="","",ROUND(MAX(1,W180)*IFERROR(INDEX(ConditionFactors,MATCH(L180,ConditionNames,0)),1),2))</f>
        <v>0</v>
      </c>
      <c r="Y180" s="34">
        <f>IF(B180="","",ROUND(X180/MAX(1,CleanersPerJob),2))</f>
        <v>0</v>
      </c>
      <c r="Z180" s="21">
        <f>IF(B180="","",MAX(MinimumCharge,ROUND(X180*IF(IFERROR(INDEX(Clients!$O$5:$O$204,MATCH(C180,Clients!$A$5:$A$204,0)),0)&gt;0,INDEX(Clients!$O$5:$O$204,MATCH(C180,Clients!$A$5:$A$204,0)),HourlyRate)+IF(M180="",0,IF(M180="None",0,PetSurcharge)),2)))</f>
        <v>0</v>
      </c>
      <c r="AA180" s="21">
        <f>IF(B180="","",ROUND(X180*CostPerHour,2))</f>
        <v>0</v>
      </c>
      <c r="AB180" s="38">
        <f>IF(B180="","",IF(Z180=0,"",(Z180-AA180-X180*SuppliesPerHour)/Z180))</f>
        <v>0</v>
      </c>
      <c r="AC180" s="31">
        <f>IF(A180="","",COUNTIFS(Jobs!$J$5:$J$604,A180))</f>
        <v>0</v>
      </c>
      <c r="AD180" s="18">
        <f>IF(A180="","",IF(SUMPRODUCT(MAX((Jobs!$J$5:$J$604=A180)*((Jobs!$P$5:$P$604="Completed")+(Jobs!$P$5:$P$604="Invoiced"))*Jobs!$B$5:$B$604))=0,"",SUMPRODUCT(MAX((Jobs!$J$5:$J$604=A180)*((Jobs!$P$5:$P$604="Completed")+(Jobs!$P$5:$P$604="Invoiced"))*Jobs!$B$5:$B$604))))</f>
        <v>0</v>
      </c>
      <c r="AE180" s="34">
        <f>IF(A180="","",IFERROR(AVERAGEIFS(Jobs!$AK$5:$AK$604,Jobs!$J$5:$J$604,A180,Jobs!$AK$5:$AK$604,"&gt;0"),""))</f>
        <v>0</v>
      </c>
      <c r="AF180" s="34">
        <f>IF(OR(AE180="",X180=""),"",AE180-X180)</f>
        <v>0</v>
      </c>
      <c r="AG180" s="21">
        <f>IF(A180="","",SUMIFS(Jobs!$AJ$5:$AJ$604,Jobs!$J$5:$J$604,A180,Jobs!$P$5:$P$604,"Invoiced")+SUMIFS(Jobs!$AJ$5:$AJ$604,Jobs!$J$5:$J$604,A180,Jobs!$P$5:$P$604,"Completed"))</f>
        <v>0</v>
      </c>
      <c r="AH180" s="39">
        <f>IF(B180="","",IF(C180="","Add - no client linked",IF(IFERROR(INDEX(Clients!$B$5:$B$204,MATCH(C180,Clients!$A$5:$A$204,0)),"")="","Check - client ID not found",IF(AND(G180="",H180=""),"Add - size needed to price it",IF(AND(AF180&lt;&gt;"",AF180&gt;0.5),"Check - runs over the estimate",IF(N180="","Add - how do we get in?","OK"))))))</f>
        <v>0</v>
      </c>
    </row>
    <row r="181" spans="1:34">
      <c r="A181" s="43">
        <f>IF(B181="","",PropertyPrefix&amp;TEXT(ROW()-4,"0000"))</f>
        <v>0</v>
      </c>
      <c r="D181" s="23">
        <f>IF(C181="","",IFERROR(INDEX(Clients!$B$5:$B$204,MATCH(C181,Clients!$A$5:$A$204,0)),"Not found"))</f>
        <v>0</v>
      </c>
      <c r="W181" s="34">
        <f>IF(B181="","",MAX(IF(H181="",0,H181)*0.45+IF(I181="",0,I181)*0.6+IF(J181="",0,J181)*0.3,IF(G181="",0,G181)/650))</f>
        <v>0</v>
      </c>
      <c r="X181" s="34">
        <f>IF(B181="","",ROUND(MAX(1,W181)*IFERROR(INDEX(ConditionFactors,MATCH(L181,ConditionNames,0)),1),2))</f>
        <v>0</v>
      </c>
      <c r="Y181" s="34">
        <f>IF(B181="","",ROUND(X181/MAX(1,CleanersPerJob),2))</f>
        <v>0</v>
      </c>
      <c r="Z181" s="21">
        <f>IF(B181="","",MAX(MinimumCharge,ROUND(X181*IF(IFERROR(INDEX(Clients!$O$5:$O$204,MATCH(C181,Clients!$A$5:$A$204,0)),0)&gt;0,INDEX(Clients!$O$5:$O$204,MATCH(C181,Clients!$A$5:$A$204,0)),HourlyRate)+IF(M181="",0,IF(M181="None",0,PetSurcharge)),2)))</f>
        <v>0</v>
      </c>
      <c r="AA181" s="21">
        <f>IF(B181="","",ROUND(X181*CostPerHour,2))</f>
        <v>0</v>
      </c>
      <c r="AB181" s="38">
        <f>IF(B181="","",IF(Z181=0,"",(Z181-AA181-X181*SuppliesPerHour)/Z181))</f>
        <v>0</v>
      </c>
      <c r="AC181" s="31">
        <f>IF(A181="","",COUNTIFS(Jobs!$J$5:$J$604,A181))</f>
        <v>0</v>
      </c>
      <c r="AD181" s="18">
        <f>IF(A181="","",IF(SUMPRODUCT(MAX((Jobs!$J$5:$J$604=A181)*((Jobs!$P$5:$P$604="Completed")+(Jobs!$P$5:$P$604="Invoiced"))*Jobs!$B$5:$B$604))=0,"",SUMPRODUCT(MAX((Jobs!$J$5:$J$604=A181)*((Jobs!$P$5:$P$604="Completed")+(Jobs!$P$5:$P$604="Invoiced"))*Jobs!$B$5:$B$604))))</f>
        <v>0</v>
      </c>
      <c r="AE181" s="34">
        <f>IF(A181="","",IFERROR(AVERAGEIFS(Jobs!$AK$5:$AK$604,Jobs!$J$5:$J$604,A181,Jobs!$AK$5:$AK$604,"&gt;0"),""))</f>
        <v>0</v>
      </c>
      <c r="AF181" s="34">
        <f>IF(OR(AE181="",X181=""),"",AE181-X181)</f>
        <v>0</v>
      </c>
      <c r="AG181" s="21">
        <f>IF(A181="","",SUMIFS(Jobs!$AJ$5:$AJ$604,Jobs!$J$5:$J$604,A181,Jobs!$P$5:$P$604,"Invoiced")+SUMIFS(Jobs!$AJ$5:$AJ$604,Jobs!$J$5:$J$604,A181,Jobs!$P$5:$P$604,"Completed"))</f>
        <v>0</v>
      </c>
      <c r="AH181" s="39">
        <f>IF(B181="","",IF(C181="","Add - no client linked",IF(IFERROR(INDEX(Clients!$B$5:$B$204,MATCH(C181,Clients!$A$5:$A$204,0)),"")="","Check - client ID not found",IF(AND(G181="",H181=""),"Add - size needed to price it",IF(AND(AF181&lt;&gt;"",AF181&gt;0.5),"Check - runs over the estimate",IF(N181="","Add - how do we get in?","OK"))))))</f>
        <v>0</v>
      </c>
    </row>
    <row r="182" spans="1:34">
      <c r="A182" s="43">
        <f>IF(B182="","",PropertyPrefix&amp;TEXT(ROW()-4,"0000"))</f>
        <v>0</v>
      </c>
      <c r="D182" s="23">
        <f>IF(C182="","",IFERROR(INDEX(Clients!$B$5:$B$204,MATCH(C182,Clients!$A$5:$A$204,0)),"Not found"))</f>
        <v>0</v>
      </c>
      <c r="W182" s="34">
        <f>IF(B182="","",MAX(IF(H182="",0,H182)*0.45+IF(I182="",0,I182)*0.6+IF(J182="",0,J182)*0.3,IF(G182="",0,G182)/650))</f>
        <v>0</v>
      </c>
      <c r="X182" s="34">
        <f>IF(B182="","",ROUND(MAX(1,W182)*IFERROR(INDEX(ConditionFactors,MATCH(L182,ConditionNames,0)),1),2))</f>
        <v>0</v>
      </c>
      <c r="Y182" s="34">
        <f>IF(B182="","",ROUND(X182/MAX(1,CleanersPerJob),2))</f>
        <v>0</v>
      </c>
      <c r="Z182" s="21">
        <f>IF(B182="","",MAX(MinimumCharge,ROUND(X182*IF(IFERROR(INDEX(Clients!$O$5:$O$204,MATCH(C182,Clients!$A$5:$A$204,0)),0)&gt;0,INDEX(Clients!$O$5:$O$204,MATCH(C182,Clients!$A$5:$A$204,0)),HourlyRate)+IF(M182="",0,IF(M182="None",0,PetSurcharge)),2)))</f>
        <v>0</v>
      </c>
      <c r="AA182" s="21">
        <f>IF(B182="","",ROUND(X182*CostPerHour,2))</f>
        <v>0</v>
      </c>
      <c r="AB182" s="38">
        <f>IF(B182="","",IF(Z182=0,"",(Z182-AA182-X182*SuppliesPerHour)/Z182))</f>
        <v>0</v>
      </c>
      <c r="AC182" s="31">
        <f>IF(A182="","",COUNTIFS(Jobs!$J$5:$J$604,A182))</f>
        <v>0</v>
      </c>
      <c r="AD182" s="18">
        <f>IF(A182="","",IF(SUMPRODUCT(MAX((Jobs!$J$5:$J$604=A182)*((Jobs!$P$5:$P$604="Completed")+(Jobs!$P$5:$P$604="Invoiced"))*Jobs!$B$5:$B$604))=0,"",SUMPRODUCT(MAX((Jobs!$J$5:$J$604=A182)*((Jobs!$P$5:$P$604="Completed")+(Jobs!$P$5:$P$604="Invoiced"))*Jobs!$B$5:$B$604))))</f>
        <v>0</v>
      </c>
      <c r="AE182" s="34">
        <f>IF(A182="","",IFERROR(AVERAGEIFS(Jobs!$AK$5:$AK$604,Jobs!$J$5:$J$604,A182,Jobs!$AK$5:$AK$604,"&gt;0"),""))</f>
        <v>0</v>
      </c>
      <c r="AF182" s="34">
        <f>IF(OR(AE182="",X182=""),"",AE182-X182)</f>
        <v>0</v>
      </c>
      <c r="AG182" s="21">
        <f>IF(A182="","",SUMIFS(Jobs!$AJ$5:$AJ$604,Jobs!$J$5:$J$604,A182,Jobs!$P$5:$P$604,"Invoiced")+SUMIFS(Jobs!$AJ$5:$AJ$604,Jobs!$J$5:$J$604,A182,Jobs!$P$5:$P$604,"Completed"))</f>
        <v>0</v>
      </c>
      <c r="AH182" s="39">
        <f>IF(B182="","",IF(C182="","Add - no client linked",IF(IFERROR(INDEX(Clients!$B$5:$B$204,MATCH(C182,Clients!$A$5:$A$204,0)),"")="","Check - client ID not found",IF(AND(G182="",H182=""),"Add - size needed to price it",IF(AND(AF182&lt;&gt;"",AF182&gt;0.5),"Check - runs over the estimate",IF(N182="","Add - how do we get in?","OK"))))))</f>
        <v>0</v>
      </c>
    </row>
    <row r="183" spans="1:34">
      <c r="A183" s="43">
        <f>IF(B183="","",PropertyPrefix&amp;TEXT(ROW()-4,"0000"))</f>
        <v>0</v>
      </c>
      <c r="D183" s="23">
        <f>IF(C183="","",IFERROR(INDEX(Clients!$B$5:$B$204,MATCH(C183,Clients!$A$5:$A$204,0)),"Not found"))</f>
        <v>0</v>
      </c>
      <c r="W183" s="34">
        <f>IF(B183="","",MAX(IF(H183="",0,H183)*0.45+IF(I183="",0,I183)*0.6+IF(J183="",0,J183)*0.3,IF(G183="",0,G183)/650))</f>
        <v>0</v>
      </c>
      <c r="X183" s="34">
        <f>IF(B183="","",ROUND(MAX(1,W183)*IFERROR(INDEX(ConditionFactors,MATCH(L183,ConditionNames,0)),1),2))</f>
        <v>0</v>
      </c>
      <c r="Y183" s="34">
        <f>IF(B183="","",ROUND(X183/MAX(1,CleanersPerJob),2))</f>
        <v>0</v>
      </c>
      <c r="Z183" s="21">
        <f>IF(B183="","",MAX(MinimumCharge,ROUND(X183*IF(IFERROR(INDEX(Clients!$O$5:$O$204,MATCH(C183,Clients!$A$5:$A$204,0)),0)&gt;0,INDEX(Clients!$O$5:$O$204,MATCH(C183,Clients!$A$5:$A$204,0)),HourlyRate)+IF(M183="",0,IF(M183="None",0,PetSurcharge)),2)))</f>
        <v>0</v>
      </c>
      <c r="AA183" s="21">
        <f>IF(B183="","",ROUND(X183*CostPerHour,2))</f>
        <v>0</v>
      </c>
      <c r="AB183" s="38">
        <f>IF(B183="","",IF(Z183=0,"",(Z183-AA183-X183*SuppliesPerHour)/Z183))</f>
        <v>0</v>
      </c>
      <c r="AC183" s="31">
        <f>IF(A183="","",COUNTIFS(Jobs!$J$5:$J$604,A183))</f>
        <v>0</v>
      </c>
      <c r="AD183" s="18">
        <f>IF(A183="","",IF(SUMPRODUCT(MAX((Jobs!$J$5:$J$604=A183)*((Jobs!$P$5:$P$604="Completed")+(Jobs!$P$5:$P$604="Invoiced"))*Jobs!$B$5:$B$604))=0,"",SUMPRODUCT(MAX((Jobs!$J$5:$J$604=A183)*((Jobs!$P$5:$P$604="Completed")+(Jobs!$P$5:$P$604="Invoiced"))*Jobs!$B$5:$B$604))))</f>
        <v>0</v>
      </c>
      <c r="AE183" s="34">
        <f>IF(A183="","",IFERROR(AVERAGEIFS(Jobs!$AK$5:$AK$604,Jobs!$J$5:$J$604,A183,Jobs!$AK$5:$AK$604,"&gt;0"),""))</f>
        <v>0</v>
      </c>
      <c r="AF183" s="34">
        <f>IF(OR(AE183="",X183=""),"",AE183-X183)</f>
        <v>0</v>
      </c>
      <c r="AG183" s="21">
        <f>IF(A183="","",SUMIFS(Jobs!$AJ$5:$AJ$604,Jobs!$J$5:$J$604,A183,Jobs!$P$5:$P$604,"Invoiced")+SUMIFS(Jobs!$AJ$5:$AJ$604,Jobs!$J$5:$J$604,A183,Jobs!$P$5:$P$604,"Completed"))</f>
        <v>0</v>
      </c>
      <c r="AH183" s="39">
        <f>IF(B183="","",IF(C183="","Add - no client linked",IF(IFERROR(INDEX(Clients!$B$5:$B$204,MATCH(C183,Clients!$A$5:$A$204,0)),"")="","Check - client ID not found",IF(AND(G183="",H183=""),"Add - size needed to price it",IF(AND(AF183&lt;&gt;"",AF183&gt;0.5),"Check - runs over the estimate",IF(N183="","Add - how do we get in?","OK"))))))</f>
        <v>0</v>
      </c>
    </row>
    <row r="184" spans="1:34">
      <c r="A184" s="43">
        <f>IF(B184="","",PropertyPrefix&amp;TEXT(ROW()-4,"0000"))</f>
        <v>0</v>
      </c>
      <c r="D184" s="23">
        <f>IF(C184="","",IFERROR(INDEX(Clients!$B$5:$B$204,MATCH(C184,Clients!$A$5:$A$204,0)),"Not found"))</f>
        <v>0</v>
      </c>
      <c r="W184" s="34">
        <f>IF(B184="","",MAX(IF(H184="",0,H184)*0.45+IF(I184="",0,I184)*0.6+IF(J184="",0,J184)*0.3,IF(G184="",0,G184)/650))</f>
        <v>0</v>
      </c>
      <c r="X184" s="34">
        <f>IF(B184="","",ROUND(MAX(1,W184)*IFERROR(INDEX(ConditionFactors,MATCH(L184,ConditionNames,0)),1),2))</f>
        <v>0</v>
      </c>
      <c r="Y184" s="34">
        <f>IF(B184="","",ROUND(X184/MAX(1,CleanersPerJob),2))</f>
        <v>0</v>
      </c>
      <c r="Z184" s="21">
        <f>IF(B184="","",MAX(MinimumCharge,ROUND(X184*IF(IFERROR(INDEX(Clients!$O$5:$O$204,MATCH(C184,Clients!$A$5:$A$204,0)),0)&gt;0,INDEX(Clients!$O$5:$O$204,MATCH(C184,Clients!$A$5:$A$204,0)),HourlyRate)+IF(M184="",0,IF(M184="None",0,PetSurcharge)),2)))</f>
        <v>0</v>
      </c>
      <c r="AA184" s="21">
        <f>IF(B184="","",ROUND(X184*CostPerHour,2))</f>
        <v>0</v>
      </c>
      <c r="AB184" s="38">
        <f>IF(B184="","",IF(Z184=0,"",(Z184-AA184-X184*SuppliesPerHour)/Z184))</f>
        <v>0</v>
      </c>
      <c r="AC184" s="31">
        <f>IF(A184="","",COUNTIFS(Jobs!$J$5:$J$604,A184))</f>
        <v>0</v>
      </c>
      <c r="AD184" s="18">
        <f>IF(A184="","",IF(SUMPRODUCT(MAX((Jobs!$J$5:$J$604=A184)*((Jobs!$P$5:$P$604="Completed")+(Jobs!$P$5:$P$604="Invoiced"))*Jobs!$B$5:$B$604))=0,"",SUMPRODUCT(MAX((Jobs!$J$5:$J$604=A184)*((Jobs!$P$5:$P$604="Completed")+(Jobs!$P$5:$P$604="Invoiced"))*Jobs!$B$5:$B$604))))</f>
        <v>0</v>
      </c>
      <c r="AE184" s="34">
        <f>IF(A184="","",IFERROR(AVERAGEIFS(Jobs!$AK$5:$AK$604,Jobs!$J$5:$J$604,A184,Jobs!$AK$5:$AK$604,"&gt;0"),""))</f>
        <v>0</v>
      </c>
      <c r="AF184" s="34">
        <f>IF(OR(AE184="",X184=""),"",AE184-X184)</f>
        <v>0</v>
      </c>
      <c r="AG184" s="21">
        <f>IF(A184="","",SUMIFS(Jobs!$AJ$5:$AJ$604,Jobs!$J$5:$J$604,A184,Jobs!$P$5:$P$604,"Invoiced")+SUMIFS(Jobs!$AJ$5:$AJ$604,Jobs!$J$5:$J$604,A184,Jobs!$P$5:$P$604,"Completed"))</f>
        <v>0</v>
      </c>
      <c r="AH184" s="39">
        <f>IF(B184="","",IF(C184="","Add - no client linked",IF(IFERROR(INDEX(Clients!$B$5:$B$204,MATCH(C184,Clients!$A$5:$A$204,0)),"")="","Check - client ID not found",IF(AND(G184="",H184=""),"Add - size needed to price it",IF(AND(AF184&lt;&gt;"",AF184&gt;0.5),"Check - runs over the estimate",IF(N184="","Add - how do we get in?","OK"))))))</f>
        <v>0</v>
      </c>
    </row>
    <row r="185" spans="1:34">
      <c r="A185" s="43">
        <f>IF(B185="","",PropertyPrefix&amp;TEXT(ROW()-4,"0000"))</f>
        <v>0</v>
      </c>
      <c r="D185" s="23">
        <f>IF(C185="","",IFERROR(INDEX(Clients!$B$5:$B$204,MATCH(C185,Clients!$A$5:$A$204,0)),"Not found"))</f>
        <v>0</v>
      </c>
      <c r="W185" s="34">
        <f>IF(B185="","",MAX(IF(H185="",0,H185)*0.45+IF(I185="",0,I185)*0.6+IF(J185="",0,J185)*0.3,IF(G185="",0,G185)/650))</f>
        <v>0</v>
      </c>
      <c r="X185" s="34">
        <f>IF(B185="","",ROUND(MAX(1,W185)*IFERROR(INDEX(ConditionFactors,MATCH(L185,ConditionNames,0)),1),2))</f>
        <v>0</v>
      </c>
      <c r="Y185" s="34">
        <f>IF(B185="","",ROUND(X185/MAX(1,CleanersPerJob),2))</f>
        <v>0</v>
      </c>
      <c r="Z185" s="21">
        <f>IF(B185="","",MAX(MinimumCharge,ROUND(X185*IF(IFERROR(INDEX(Clients!$O$5:$O$204,MATCH(C185,Clients!$A$5:$A$204,0)),0)&gt;0,INDEX(Clients!$O$5:$O$204,MATCH(C185,Clients!$A$5:$A$204,0)),HourlyRate)+IF(M185="",0,IF(M185="None",0,PetSurcharge)),2)))</f>
        <v>0</v>
      </c>
      <c r="AA185" s="21">
        <f>IF(B185="","",ROUND(X185*CostPerHour,2))</f>
        <v>0</v>
      </c>
      <c r="AB185" s="38">
        <f>IF(B185="","",IF(Z185=0,"",(Z185-AA185-X185*SuppliesPerHour)/Z185))</f>
        <v>0</v>
      </c>
      <c r="AC185" s="31">
        <f>IF(A185="","",COUNTIFS(Jobs!$J$5:$J$604,A185))</f>
        <v>0</v>
      </c>
      <c r="AD185" s="18">
        <f>IF(A185="","",IF(SUMPRODUCT(MAX((Jobs!$J$5:$J$604=A185)*((Jobs!$P$5:$P$604="Completed")+(Jobs!$P$5:$P$604="Invoiced"))*Jobs!$B$5:$B$604))=0,"",SUMPRODUCT(MAX((Jobs!$J$5:$J$604=A185)*((Jobs!$P$5:$P$604="Completed")+(Jobs!$P$5:$P$604="Invoiced"))*Jobs!$B$5:$B$604))))</f>
        <v>0</v>
      </c>
      <c r="AE185" s="34">
        <f>IF(A185="","",IFERROR(AVERAGEIFS(Jobs!$AK$5:$AK$604,Jobs!$J$5:$J$604,A185,Jobs!$AK$5:$AK$604,"&gt;0"),""))</f>
        <v>0</v>
      </c>
      <c r="AF185" s="34">
        <f>IF(OR(AE185="",X185=""),"",AE185-X185)</f>
        <v>0</v>
      </c>
      <c r="AG185" s="21">
        <f>IF(A185="","",SUMIFS(Jobs!$AJ$5:$AJ$604,Jobs!$J$5:$J$604,A185,Jobs!$P$5:$P$604,"Invoiced")+SUMIFS(Jobs!$AJ$5:$AJ$604,Jobs!$J$5:$J$604,A185,Jobs!$P$5:$P$604,"Completed"))</f>
        <v>0</v>
      </c>
      <c r="AH185" s="39">
        <f>IF(B185="","",IF(C185="","Add - no client linked",IF(IFERROR(INDEX(Clients!$B$5:$B$204,MATCH(C185,Clients!$A$5:$A$204,0)),"")="","Check - client ID not found",IF(AND(G185="",H185=""),"Add - size needed to price it",IF(AND(AF185&lt;&gt;"",AF185&gt;0.5),"Check - runs over the estimate",IF(N185="","Add - how do we get in?","OK"))))))</f>
        <v>0</v>
      </c>
    </row>
    <row r="186" spans="1:34">
      <c r="A186" s="43">
        <f>IF(B186="","",PropertyPrefix&amp;TEXT(ROW()-4,"0000"))</f>
        <v>0</v>
      </c>
      <c r="D186" s="23">
        <f>IF(C186="","",IFERROR(INDEX(Clients!$B$5:$B$204,MATCH(C186,Clients!$A$5:$A$204,0)),"Not found"))</f>
        <v>0</v>
      </c>
      <c r="W186" s="34">
        <f>IF(B186="","",MAX(IF(H186="",0,H186)*0.45+IF(I186="",0,I186)*0.6+IF(J186="",0,J186)*0.3,IF(G186="",0,G186)/650))</f>
        <v>0</v>
      </c>
      <c r="X186" s="34">
        <f>IF(B186="","",ROUND(MAX(1,W186)*IFERROR(INDEX(ConditionFactors,MATCH(L186,ConditionNames,0)),1),2))</f>
        <v>0</v>
      </c>
      <c r="Y186" s="34">
        <f>IF(B186="","",ROUND(X186/MAX(1,CleanersPerJob),2))</f>
        <v>0</v>
      </c>
      <c r="Z186" s="21">
        <f>IF(B186="","",MAX(MinimumCharge,ROUND(X186*IF(IFERROR(INDEX(Clients!$O$5:$O$204,MATCH(C186,Clients!$A$5:$A$204,0)),0)&gt;0,INDEX(Clients!$O$5:$O$204,MATCH(C186,Clients!$A$5:$A$204,0)),HourlyRate)+IF(M186="",0,IF(M186="None",0,PetSurcharge)),2)))</f>
        <v>0</v>
      </c>
      <c r="AA186" s="21">
        <f>IF(B186="","",ROUND(X186*CostPerHour,2))</f>
        <v>0</v>
      </c>
      <c r="AB186" s="38">
        <f>IF(B186="","",IF(Z186=0,"",(Z186-AA186-X186*SuppliesPerHour)/Z186))</f>
        <v>0</v>
      </c>
      <c r="AC186" s="31">
        <f>IF(A186="","",COUNTIFS(Jobs!$J$5:$J$604,A186))</f>
        <v>0</v>
      </c>
      <c r="AD186" s="18">
        <f>IF(A186="","",IF(SUMPRODUCT(MAX((Jobs!$J$5:$J$604=A186)*((Jobs!$P$5:$P$604="Completed")+(Jobs!$P$5:$P$604="Invoiced"))*Jobs!$B$5:$B$604))=0,"",SUMPRODUCT(MAX((Jobs!$J$5:$J$604=A186)*((Jobs!$P$5:$P$604="Completed")+(Jobs!$P$5:$P$604="Invoiced"))*Jobs!$B$5:$B$604))))</f>
        <v>0</v>
      </c>
      <c r="AE186" s="34">
        <f>IF(A186="","",IFERROR(AVERAGEIFS(Jobs!$AK$5:$AK$604,Jobs!$J$5:$J$604,A186,Jobs!$AK$5:$AK$604,"&gt;0"),""))</f>
        <v>0</v>
      </c>
      <c r="AF186" s="34">
        <f>IF(OR(AE186="",X186=""),"",AE186-X186)</f>
        <v>0</v>
      </c>
      <c r="AG186" s="21">
        <f>IF(A186="","",SUMIFS(Jobs!$AJ$5:$AJ$604,Jobs!$J$5:$J$604,A186,Jobs!$P$5:$P$604,"Invoiced")+SUMIFS(Jobs!$AJ$5:$AJ$604,Jobs!$J$5:$J$604,A186,Jobs!$P$5:$P$604,"Completed"))</f>
        <v>0</v>
      </c>
      <c r="AH186" s="39">
        <f>IF(B186="","",IF(C186="","Add - no client linked",IF(IFERROR(INDEX(Clients!$B$5:$B$204,MATCH(C186,Clients!$A$5:$A$204,0)),"")="","Check - client ID not found",IF(AND(G186="",H186=""),"Add - size needed to price it",IF(AND(AF186&lt;&gt;"",AF186&gt;0.5),"Check - runs over the estimate",IF(N186="","Add - how do we get in?","OK"))))))</f>
        <v>0</v>
      </c>
    </row>
    <row r="187" spans="1:34">
      <c r="A187" s="43">
        <f>IF(B187="","",PropertyPrefix&amp;TEXT(ROW()-4,"0000"))</f>
        <v>0</v>
      </c>
      <c r="D187" s="23">
        <f>IF(C187="","",IFERROR(INDEX(Clients!$B$5:$B$204,MATCH(C187,Clients!$A$5:$A$204,0)),"Not found"))</f>
        <v>0</v>
      </c>
      <c r="W187" s="34">
        <f>IF(B187="","",MAX(IF(H187="",0,H187)*0.45+IF(I187="",0,I187)*0.6+IF(J187="",0,J187)*0.3,IF(G187="",0,G187)/650))</f>
        <v>0</v>
      </c>
      <c r="X187" s="34">
        <f>IF(B187="","",ROUND(MAX(1,W187)*IFERROR(INDEX(ConditionFactors,MATCH(L187,ConditionNames,0)),1),2))</f>
        <v>0</v>
      </c>
      <c r="Y187" s="34">
        <f>IF(B187="","",ROUND(X187/MAX(1,CleanersPerJob),2))</f>
        <v>0</v>
      </c>
      <c r="Z187" s="21">
        <f>IF(B187="","",MAX(MinimumCharge,ROUND(X187*IF(IFERROR(INDEX(Clients!$O$5:$O$204,MATCH(C187,Clients!$A$5:$A$204,0)),0)&gt;0,INDEX(Clients!$O$5:$O$204,MATCH(C187,Clients!$A$5:$A$204,0)),HourlyRate)+IF(M187="",0,IF(M187="None",0,PetSurcharge)),2)))</f>
        <v>0</v>
      </c>
      <c r="AA187" s="21">
        <f>IF(B187="","",ROUND(X187*CostPerHour,2))</f>
        <v>0</v>
      </c>
      <c r="AB187" s="38">
        <f>IF(B187="","",IF(Z187=0,"",(Z187-AA187-X187*SuppliesPerHour)/Z187))</f>
        <v>0</v>
      </c>
      <c r="AC187" s="31">
        <f>IF(A187="","",COUNTIFS(Jobs!$J$5:$J$604,A187))</f>
        <v>0</v>
      </c>
      <c r="AD187" s="18">
        <f>IF(A187="","",IF(SUMPRODUCT(MAX((Jobs!$J$5:$J$604=A187)*((Jobs!$P$5:$P$604="Completed")+(Jobs!$P$5:$P$604="Invoiced"))*Jobs!$B$5:$B$604))=0,"",SUMPRODUCT(MAX((Jobs!$J$5:$J$604=A187)*((Jobs!$P$5:$P$604="Completed")+(Jobs!$P$5:$P$604="Invoiced"))*Jobs!$B$5:$B$604))))</f>
        <v>0</v>
      </c>
      <c r="AE187" s="34">
        <f>IF(A187="","",IFERROR(AVERAGEIFS(Jobs!$AK$5:$AK$604,Jobs!$J$5:$J$604,A187,Jobs!$AK$5:$AK$604,"&gt;0"),""))</f>
        <v>0</v>
      </c>
      <c r="AF187" s="34">
        <f>IF(OR(AE187="",X187=""),"",AE187-X187)</f>
        <v>0</v>
      </c>
      <c r="AG187" s="21">
        <f>IF(A187="","",SUMIFS(Jobs!$AJ$5:$AJ$604,Jobs!$J$5:$J$604,A187,Jobs!$P$5:$P$604,"Invoiced")+SUMIFS(Jobs!$AJ$5:$AJ$604,Jobs!$J$5:$J$604,A187,Jobs!$P$5:$P$604,"Completed"))</f>
        <v>0</v>
      </c>
      <c r="AH187" s="39">
        <f>IF(B187="","",IF(C187="","Add - no client linked",IF(IFERROR(INDEX(Clients!$B$5:$B$204,MATCH(C187,Clients!$A$5:$A$204,0)),"")="","Check - client ID not found",IF(AND(G187="",H187=""),"Add - size needed to price it",IF(AND(AF187&lt;&gt;"",AF187&gt;0.5),"Check - runs over the estimate",IF(N187="","Add - how do we get in?","OK"))))))</f>
        <v>0</v>
      </c>
    </row>
    <row r="188" spans="1:34">
      <c r="A188" s="43">
        <f>IF(B188="","",PropertyPrefix&amp;TEXT(ROW()-4,"0000"))</f>
        <v>0</v>
      </c>
      <c r="D188" s="23">
        <f>IF(C188="","",IFERROR(INDEX(Clients!$B$5:$B$204,MATCH(C188,Clients!$A$5:$A$204,0)),"Not found"))</f>
        <v>0</v>
      </c>
      <c r="W188" s="34">
        <f>IF(B188="","",MAX(IF(H188="",0,H188)*0.45+IF(I188="",0,I188)*0.6+IF(J188="",0,J188)*0.3,IF(G188="",0,G188)/650))</f>
        <v>0</v>
      </c>
      <c r="X188" s="34">
        <f>IF(B188="","",ROUND(MAX(1,W188)*IFERROR(INDEX(ConditionFactors,MATCH(L188,ConditionNames,0)),1),2))</f>
        <v>0</v>
      </c>
      <c r="Y188" s="34">
        <f>IF(B188="","",ROUND(X188/MAX(1,CleanersPerJob),2))</f>
        <v>0</v>
      </c>
      <c r="Z188" s="21">
        <f>IF(B188="","",MAX(MinimumCharge,ROUND(X188*IF(IFERROR(INDEX(Clients!$O$5:$O$204,MATCH(C188,Clients!$A$5:$A$204,0)),0)&gt;0,INDEX(Clients!$O$5:$O$204,MATCH(C188,Clients!$A$5:$A$204,0)),HourlyRate)+IF(M188="",0,IF(M188="None",0,PetSurcharge)),2)))</f>
        <v>0</v>
      </c>
      <c r="AA188" s="21">
        <f>IF(B188="","",ROUND(X188*CostPerHour,2))</f>
        <v>0</v>
      </c>
      <c r="AB188" s="38">
        <f>IF(B188="","",IF(Z188=0,"",(Z188-AA188-X188*SuppliesPerHour)/Z188))</f>
        <v>0</v>
      </c>
      <c r="AC188" s="31">
        <f>IF(A188="","",COUNTIFS(Jobs!$J$5:$J$604,A188))</f>
        <v>0</v>
      </c>
      <c r="AD188" s="18">
        <f>IF(A188="","",IF(SUMPRODUCT(MAX((Jobs!$J$5:$J$604=A188)*((Jobs!$P$5:$P$604="Completed")+(Jobs!$P$5:$P$604="Invoiced"))*Jobs!$B$5:$B$604))=0,"",SUMPRODUCT(MAX((Jobs!$J$5:$J$604=A188)*((Jobs!$P$5:$P$604="Completed")+(Jobs!$P$5:$P$604="Invoiced"))*Jobs!$B$5:$B$604))))</f>
        <v>0</v>
      </c>
      <c r="AE188" s="34">
        <f>IF(A188="","",IFERROR(AVERAGEIFS(Jobs!$AK$5:$AK$604,Jobs!$J$5:$J$604,A188,Jobs!$AK$5:$AK$604,"&gt;0"),""))</f>
        <v>0</v>
      </c>
      <c r="AF188" s="34">
        <f>IF(OR(AE188="",X188=""),"",AE188-X188)</f>
        <v>0</v>
      </c>
      <c r="AG188" s="21">
        <f>IF(A188="","",SUMIFS(Jobs!$AJ$5:$AJ$604,Jobs!$J$5:$J$604,A188,Jobs!$P$5:$P$604,"Invoiced")+SUMIFS(Jobs!$AJ$5:$AJ$604,Jobs!$J$5:$J$604,A188,Jobs!$P$5:$P$604,"Completed"))</f>
        <v>0</v>
      </c>
      <c r="AH188" s="39">
        <f>IF(B188="","",IF(C188="","Add - no client linked",IF(IFERROR(INDEX(Clients!$B$5:$B$204,MATCH(C188,Clients!$A$5:$A$204,0)),"")="","Check - client ID not found",IF(AND(G188="",H188=""),"Add - size needed to price it",IF(AND(AF188&lt;&gt;"",AF188&gt;0.5),"Check - runs over the estimate",IF(N188="","Add - how do we get in?","OK"))))))</f>
        <v>0</v>
      </c>
    </row>
    <row r="189" spans="1:34">
      <c r="A189" s="43">
        <f>IF(B189="","",PropertyPrefix&amp;TEXT(ROW()-4,"0000"))</f>
        <v>0</v>
      </c>
      <c r="D189" s="23">
        <f>IF(C189="","",IFERROR(INDEX(Clients!$B$5:$B$204,MATCH(C189,Clients!$A$5:$A$204,0)),"Not found"))</f>
        <v>0</v>
      </c>
      <c r="W189" s="34">
        <f>IF(B189="","",MAX(IF(H189="",0,H189)*0.45+IF(I189="",0,I189)*0.6+IF(J189="",0,J189)*0.3,IF(G189="",0,G189)/650))</f>
        <v>0</v>
      </c>
      <c r="X189" s="34">
        <f>IF(B189="","",ROUND(MAX(1,W189)*IFERROR(INDEX(ConditionFactors,MATCH(L189,ConditionNames,0)),1),2))</f>
        <v>0</v>
      </c>
      <c r="Y189" s="34">
        <f>IF(B189="","",ROUND(X189/MAX(1,CleanersPerJob),2))</f>
        <v>0</v>
      </c>
      <c r="Z189" s="21">
        <f>IF(B189="","",MAX(MinimumCharge,ROUND(X189*IF(IFERROR(INDEX(Clients!$O$5:$O$204,MATCH(C189,Clients!$A$5:$A$204,0)),0)&gt;0,INDEX(Clients!$O$5:$O$204,MATCH(C189,Clients!$A$5:$A$204,0)),HourlyRate)+IF(M189="",0,IF(M189="None",0,PetSurcharge)),2)))</f>
        <v>0</v>
      </c>
      <c r="AA189" s="21">
        <f>IF(B189="","",ROUND(X189*CostPerHour,2))</f>
        <v>0</v>
      </c>
      <c r="AB189" s="38">
        <f>IF(B189="","",IF(Z189=0,"",(Z189-AA189-X189*SuppliesPerHour)/Z189))</f>
        <v>0</v>
      </c>
      <c r="AC189" s="31">
        <f>IF(A189="","",COUNTIFS(Jobs!$J$5:$J$604,A189))</f>
        <v>0</v>
      </c>
      <c r="AD189" s="18">
        <f>IF(A189="","",IF(SUMPRODUCT(MAX((Jobs!$J$5:$J$604=A189)*((Jobs!$P$5:$P$604="Completed")+(Jobs!$P$5:$P$604="Invoiced"))*Jobs!$B$5:$B$604))=0,"",SUMPRODUCT(MAX((Jobs!$J$5:$J$604=A189)*((Jobs!$P$5:$P$604="Completed")+(Jobs!$P$5:$P$604="Invoiced"))*Jobs!$B$5:$B$604))))</f>
        <v>0</v>
      </c>
      <c r="AE189" s="34">
        <f>IF(A189="","",IFERROR(AVERAGEIFS(Jobs!$AK$5:$AK$604,Jobs!$J$5:$J$604,A189,Jobs!$AK$5:$AK$604,"&gt;0"),""))</f>
        <v>0</v>
      </c>
      <c r="AF189" s="34">
        <f>IF(OR(AE189="",X189=""),"",AE189-X189)</f>
        <v>0</v>
      </c>
      <c r="AG189" s="21">
        <f>IF(A189="","",SUMIFS(Jobs!$AJ$5:$AJ$604,Jobs!$J$5:$J$604,A189,Jobs!$P$5:$P$604,"Invoiced")+SUMIFS(Jobs!$AJ$5:$AJ$604,Jobs!$J$5:$J$604,A189,Jobs!$P$5:$P$604,"Completed"))</f>
        <v>0</v>
      </c>
      <c r="AH189" s="39">
        <f>IF(B189="","",IF(C189="","Add - no client linked",IF(IFERROR(INDEX(Clients!$B$5:$B$204,MATCH(C189,Clients!$A$5:$A$204,0)),"")="","Check - client ID not found",IF(AND(G189="",H189=""),"Add - size needed to price it",IF(AND(AF189&lt;&gt;"",AF189&gt;0.5),"Check - runs over the estimate",IF(N189="","Add - how do we get in?","OK"))))))</f>
        <v>0</v>
      </c>
    </row>
    <row r="190" spans="1:34">
      <c r="A190" s="43">
        <f>IF(B190="","",PropertyPrefix&amp;TEXT(ROW()-4,"0000"))</f>
        <v>0</v>
      </c>
      <c r="D190" s="23">
        <f>IF(C190="","",IFERROR(INDEX(Clients!$B$5:$B$204,MATCH(C190,Clients!$A$5:$A$204,0)),"Not found"))</f>
        <v>0</v>
      </c>
      <c r="W190" s="34">
        <f>IF(B190="","",MAX(IF(H190="",0,H190)*0.45+IF(I190="",0,I190)*0.6+IF(J190="",0,J190)*0.3,IF(G190="",0,G190)/650))</f>
        <v>0</v>
      </c>
      <c r="X190" s="34">
        <f>IF(B190="","",ROUND(MAX(1,W190)*IFERROR(INDEX(ConditionFactors,MATCH(L190,ConditionNames,0)),1),2))</f>
        <v>0</v>
      </c>
      <c r="Y190" s="34">
        <f>IF(B190="","",ROUND(X190/MAX(1,CleanersPerJob),2))</f>
        <v>0</v>
      </c>
      <c r="Z190" s="21">
        <f>IF(B190="","",MAX(MinimumCharge,ROUND(X190*IF(IFERROR(INDEX(Clients!$O$5:$O$204,MATCH(C190,Clients!$A$5:$A$204,0)),0)&gt;0,INDEX(Clients!$O$5:$O$204,MATCH(C190,Clients!$A$5:$A$204,0)),HourlyRate)+IF(M190="",0,IF(M190="None",0,PetSurcharge)),2)))</f>
        <v>0</v>
      </c>
      <c r="AA190" s="21">
        <f>IF(B190="","",ROUND(X190*CostPerHour,2))</f>
        <v>0</v>
      </c>
      <c r="AB190" s="38">
        <f>IF(B190="","",IF(Z190=0,"",(Z190-AA190-X190*SuppliesPerHour)/Z190))</f>
        <v>0</v>
      </c>
      <c r="AC190" s="31">
        <f>IF(A190="","",COUNTIFS(Jobs!$J$5:$J$604,A190))</f>
        <v>0</v>
      </c>
      <c r="AD190" s="18">
        <f>IF(A190="","",IF(SUMPRODUCT(MAX((Jobs!$J$5:$J$604=A190)*((Jobs!$P$5:$P$604="Completed")+(Jobs!$P$5:$P$604="Invoiced"))*Jobs!$B$5:$B$604))=0,"",SUMPRODUCT(MAX((Jobs!$J$5:$J$604=A190)*((Jobs!$P$5:$P$604="Completed")+(Jobs!$P$5:$P$604="Invoiced"))*Jobs!$B$5:$B$604))))</f>
        <v>0</v>
      </c>
      <c r="AE190" s="34">
        <f>IF(A190="","",IFERROR(AVERAGEIFS(Jobs!$AK$5:$AK$604,Jobs!$J$5:$J$604,A190,Jobs!$AK$5:$AK$604,"&gt;0"),""))</f>
        <v>0</v>
      </c>
      <c r="AF190" s="34">
        <f>IF(OR(AE190="",X190=""),"",AE190-X190)</f>
        <v>0</v>
      </c>
      <c r="AG190" s="21">
        <f>IF(A190="","",SUMIFS(Jobs!$AJ$5:$AJ$604,Jobs!$J$5:$J$604,A190,Jobs!$P$5:$P$604,"Invoiced")+SUMIFS(Jobs!$AJ$5:$AJ$604,Jobs!$J$5:$J$604,A190,Jobs!$P$5:$P$604,"Completed"))</f>
        <v>0</v>
      </c>
      <c r="AH190" s="39">
        <f>IF(B190="","",IF(C190="","Add - no client linked",IF(IFERROR(INDEX(Clients!$B$5:$B$204,MATCH(C190,Clients!$A$5:$A$204,0)),"")="","Check - client ID not found",IF(AND(G190="",H190=""),"Add - size needed to price it",IF(AND(AF190&lt;&gt;"",AF190&gt;0.5),"Check - runs over the estimate",IF(N190="","Add - how do we get in?","OK"))))))</f>
        <v>0</v>
      </c>
    </row>
    <row r="191" spans="1:34">
      <c r="A191" s="43">
        <f>IF(B191="","",PropertyPrefix&amp;TEXT(ROW()-4,"0000"))</f>
        <v>0</v>
      </c>
      <c r="D191" s="23">
        <f>IF(C191="","",IFERROR(INDEX(Clients!$B$5:$B$204,MATCH(C191,Clients!$A$5:$A$204,0)),"Not found"))</f>
        <v>0</v>
      </c>
      <c r="W191" s="34">
        <f>IF(B191="","",MAX(IF(H191="",0,H191)*0.45+IF(I191="",0,I191)*0.6+IF(J191="",0,J191)*0.3,IF(G191="",0,G191)/650))</f>
        <v>0</v>
      </c>
      <c r="X191" s="34">
        <f>IF(B191="","",ROUND(MAX(1,W191)*IFERROR(INDEX(ConditionFactors,MATCH(L191,ConditionNames,0)),1),2))</f>
        <v>0</v>
      </c>
      <c r="Y191" s="34">
        <f>IF(B191="","",ROUND(X191/MAX(1,CleanersPerJob),2))</f>
        <v>0</v>
      </c>
      <c r="Z191" s="21">
        <f>IF(B191="","",MAX(MinimumCharge,ROUND(X191*IF(IFERROR(INDEX(Clients!$O$5:$O$204,MATCH(C191,Clients!$A$5:$A$204,0)),0)&gt;0,INDEX(Clients!$O$5:$O$204,MATCH(C191,Clients!$A$5:$A$204,0)),HourlyRate)+IF(M191="",0,IF(M191="None",0,PetSurcharge)),2)))</f>
        <v>0</v>
      </c>
      <c r="AA191" s="21">
        <f>IF(B191="","",ROUND(X191*CostPerHour,2))</f>
        <v>0</v>
      </c>
      <c r="AB191" s="38">
        <f>IF(B191="","",IF(Z191=0,"",(Z191-AA191-X191*SuppliesPerHour)/Z191))</f>
        <v>0</v>
      </c>
      <c r="AC191" s="31">
        <f>IF(A191="","",COUNTIFS(Jobs!$J$5:$J$604,A191))</f>
        <v>0</v>
      </c>
      <c r="AD191" s="18">
        <f>IF(A191="","",IF(SUMPRODUCT(MAX((Jobs!$J$5:$J$604=A191)*((Jobs!$P$5:$P$604="Completed")+(Jobs!$P$5:$P$604="Invoiced"))*Jobs!$B$5:$B$604))=0,"",SUMPRODUCT(MAX((Jobs!$J$5:$J$604=A191)*((Jobs!$P$5:$P$604="Completed")+(Jobs!$P$5:$P$604="Invoiced"))*Jobs!$B$5:$B$604))))</f>
        <v>0</v>
      </c>
      <c r="AE191" s="34">
        <f>IF(A191="","",IFERROR(AVERAGEIFS(Jobs!$AK$5:$AK$604,Jobs!$J$5:$J$604,A191,Jobs!$AK$5:$AK$604,"&gt;0"),""))</f>
        <v>0</v>
      </c>
      <c r="AF191" s="34">
        <f>IF(OR(AE191="",X191=""),"",AE191-X191)</f>
        <v>0</v>
      </c>
      <c r="AG191" s="21">
        <f>IF(A191="","",SUMIFS(Jobs!$AJ$5:$AJ$604,Jobs!$J$5:$J$604,A191,Jobs!$P$5:$P$604,"Invoiced")+SUMIFS(Jobs!$AJ$5:$AJ$604,Jobs!$J$5:$J$604,A191,Jobs!$P$5:$P$604,"Completed"))</f>
        <v>0</v>
      </c>
      <c r="AH191" s="39">
        <f>IF(B191="","",IF(C191="","Add - no client linked",IF(IFERROR(INDEX(Clients!$B$5:$B$204,MATCH(C191,Clients!$A$5:$A$204,0)),"")="","Check - client ID not found",IF(AND(G191="",H191=""),"Add - size needed to price it",IF(AND(AF191&lt;&gt;"",AF191&gt;0.5),"Check - runs over the estimate",IF(N191="","Add - how do we get in?","OK"))))))</f>
        <v>0</v>
      </c>
    </row>
    <row r="192" spans="1:34">
      <c r="A192" s="43">
        <f>IF(B192="","",PropertyPrefix&amp;TEXT(ROW()-4,"0000"))</f>
        <v>0</v>
      </c>
      <c r="D192" s="23">
        <f>IF(C192="","",IFERROR(INDEX(Clients!$B$5:$B$204,MATCH(C192,Clients!$A$5:$A$204,0)),"Not found"))</f>
        <v>0</v>
      </c>
      <c r="W192" s="34">
        <f>IF(B192="","",MAX(IF(H192="",0,H192)*0.45+IF(I192="",0,I192)*0.6+IF(J192="",0,J192)*0.3,IF(G192="",0,G192)/650))</f>
        <v>0</v>
      </c>
      <c r="X192" s="34">
        <f>IF(B192="","",ROUND(MAX(1,W192)*IFERROR(INDEX(ConditionFactors,MATCH(L192,ConditionNames,0)),1),2))</f>
        <v>0</v>
      </c>
      <c r="Y192" s="34">
        <f>IF(B192="","",ROUND(X192/MAX(1,CleanersPerJob),2))</f>
        <v>0</v>
      </c>
      <c r="Z192" s="21">
        <f>IF(B192="","",MAX(MinimumCharge,ROUND(X192*IF(IFERROR(INDEX(Clients!$O$5:$O$204,MATCH(C192,Clients!$A$5:$A$204,0)),0)&gt;0,INDEX(Clients!$O$5:$O$204,MATCH(C192,Clients!$A$5:$A$204,0)),HourlyRate)+IF(M192="",0,IF(M192="None",0,PetSurcharge)),2)))</f>
        <v>0</v>
      </c>
      <c r="AA192" s="21">
        <f>IF(B192="","",ROUND(X192*CostPerHour,2))</f>
        <v>0</v>
      </c>
      <c r="AB192" s="38">
        <f>IF(B192="","",IF(Z192=0,"",(Z192-AA192-X192*SuppliesPerHour)/Z192))</f>
        <v>0</v>
      </c>
      <c r="AC192" s="31">
        <f>IF(A192="","",COUNTIFS(Jobs!$J$5:$J$604,A192))</f>
        <v>0</v>
      </c>
      <c r="AD192" s="18">
        <f>IF(A192="","",IF(SUMPRODUCT(MAX((Jobs!$J$5:$J$604=A192)*((Jobs!$P$5:$P$604="Completed")+(Jobs!$P$5:$P$604="Invoiced"))*Jobs!$B$5:$B$604))=0,"",SUMPRODUCT(MAX((Jobs!$J$5:$J$604=A192)*((Jobs!$P$5:$P$604="Completed")+(Jobs!$P$5:$P$604="Invoiced"))*Jobs!$B$5:$B$604))))</f>
        <v>0</v>
      </c>
      <c r="AE192" s="34">
        <f>IF(A192="","",IFERROR(AVERAGEIFS(Jobs!$AK$5:$AK$604,Jobs!$J$5:$J$604,A192,Jobs!$AK$5:$AK$604,"&gt;0"),""))</f>
        <v>0</v>
      </c>
      <c r="AF192" s="34">
        <f>IF(OR(AE192="",X192=""),"",AE192-X192)</f>
        <v>0</v>
      </c>
      <c r="AG192" s="21">
        <f>IF(A192="","",SUMIFS(Jobs!$AJ$5:$AJ$604,Jobs!$J$5:$J$604,A192,Jobs!$P$5:$P$604,"Invoiced")+SUMIFS(Jobs!$AJ$5:$AJ$604,Jobs!$J$5:$J$604,A192,Jobs!$P$5:$P$604,"Completed"))</f>
        <v>0</v>
      </c>
      <c r="AH192" s="39">
        <f>IF(B192="","",IF(C192="","Add - no client linked",IF(IFERROR(INDEX(Clients!$B$5:$B$204,MATCH(C192,Clients!$A$5:$A$204,0)),"")="","Check - client ID not found",IF(AND(G192="",H192=""),"Add - size needed to price it",IF(AND(AF192&lt;&gt;"",AF192&gt;0.5),"Check - runs over the estimate",IF(N192="","Add - how do we get in?","OK"))))))</f>
        <v>0</v>
      </c>
    </row>
    <row r="193" spans="1:34">
      <c r="A193" s="43">
        <f>IF(B193="","",PropertyPrefix&amp;TEXT(ROW()-4,"0000"))</f>
        <v>0</v>
      </c>
      <c r="D193" s="23">
        <f>IF(C193="","",IFERROR(INDEX(Clients!$B$5:$B$204,MATCH(C193,Clients!$A$5:$A$204,0)),"Not found"))</f>
        <v>0</v>
      </c>
      <c r="W193" s="34">
        <f>IF(B193="","",MAX(IF(H193="",0,H193)*0.45+IF(I193="",0,I193)*0.6+IF(J193="",0,J193)*0.3,IF(G193="",0,G193)/650))</f>
        <v>0</v>
      </c>
      <c r="X193" s="34">
        <f>IF(B193="","",ROUND(MAX(1,W193)*IFERROR(INDEX(ConditionFactors,MATCH(L193,ConditionNames,0)),1),2))</f>
        <v>0</v>
      </c>
      <c r="Y193" s="34">
        <f>IF(B193="","",ROUND(X193/MAX(1,CleanersPerJob),2))</f>
        <v>0</v>
      </c>
      <c r="Z193" s="21">
        <f>IF(B193="","",MAX(MinimumCharge,ROUND(X193*IF(IFERROR(INDEX(Clients!$O$5:$O$204,MATCH(C193,Clients!$A$5:$A$204,0)),0)&gt;0,INDEX(Clients!$O$5:$O$204,MATCH(C193,Clients!$A$5:$A$204,0)),HourlyRate)+IF(M193="",0,IF(M193="None",0,PetSurcharge)),2)))</f>
        <v>0</v>
      </c>
      <c r="AA193" s="21">
        <f>IF(B193="","",ROUND(X193*CostPerHour,2))</f>
        <v>0</v>
      </c>
      <c r="AB193" s="38">
        <f>IF(B193="","",IF(Z193=0,"",(Z193-AA193-X193*SuppliesPerHour)/Z193))</f>
        <v>0</v>
      </c>
      <c r="AC193" s="31">
        <f>IF(A193="","",COUNTIFS(Jobs!$J$5:$J$604,A193))</f>
        <v>0</v>
      </c>
      <c r="AD193" s="18">
        <f>IF(A193="","",IF(SUMPRODUCT(MAX((Jobs!$J$5:$J$604=A193)*((Jobs!$P$5:$P$604="Completed")+(Jobs!$P$5:$P$604="Invoiced"))*Jobs!$B$5:$B$604))=0,"",SUMPRODUCT(MAX((Jobs!$J$5:$J$604=A193)*((Jobs!$P$5:$P$604="Completed")+(Jobs!$P$5:$P$604="Invoiced"))*Jobs!$B$5:$B$604))))</f>
        <v>0</v>
      </c>
      <c r="AE193" s="34">
        <f>IF(A193="","",IFERROR(AVERAGEIFS(Jobs!$AK$5:$AK$604,Jobs!$J$5:$J$604,A193,Jobs!$AK$5:$AK$604,"&gt;0"),""))</f>
        <v>0</v>
      </c>
      <c r="AF193" s="34">
        <f>IF(OR(AE193="",X193=""),"",AE193-X193)</f>
        <v>0</v>
      </c>
      <c r="AG193" s="21">
        <f>IF(A193="","",SUMIFS(Jobs!$AJ$5:$AJ$604,Jobs!$J$5:$J$604,A193,Jobs!$P$5:$P$604,"Invoiced")+SUMIFS(Jobs!$AJ$5:$AJ$604,Jobs!$J$5:$J$604,A193,Jobs!$P$5:$P$604,"Completed"))</f>
        <v>0</v>
      </c>
      <c r="AH193" s="39">
        <f>IF(B193="","",IF(C193="","Add - no client linked",IF(IFERROR(INDEX(Clients!$B$5:$B$204,MATCH(C193,Clients!$A$5:$A$204,0)),"")="","Check - client ID not found",IF(AND(G193="",H193=""),"Add - size needed to price it",IF(AND(AF193&lt;&gt;"",AF193&gt;0.5),"Check - runs over the estimate",IF(N193="","Add - how do we get in?","OK"))))))</f>
        <v>0</v>
      </c>
    </row>
    <row r="194" spans="1:34">
      <c r="A194" s="43">
        <f>IF(B194="","",PropertyPrefix&amp;TEXT(ROW()-4,"0000"))</f>
        <v>0</v>
      </c>
      <c r="D194" s="23">
        <f>IF(C194="","",IFERROR(INDEX(Clients!$B$5:$B$204,MATCH(C194,Clients!$A$5:$A$204,0)),"Not found"))</f>
        <v>0</v>
      </c>
      <c r="W194" s="34">
        <f>IF(B194="","",MAX(IF(H194="",0,H194)*0.45+IF(I194="",0,I194)*0.6+IF(J194="",0,J194)*0.3,IF(G194="",0,G194)/650))</f>
        <v>0</v>
      </c>
      <c r="X194" s="34">
        <f>IF(B194="","",ROUND(MAX(1,W194)*IFERROR(INDEX(ConditionFactors,MATCH(L194,ConditionNames,0)),1),2))</f>
        <v>0</v>
      </c>
      <c r="Y194" s="34">
        <f>IF(B194="","",ROUND(X194/MAX(1,CleanersPerJob),2))</f>
        <v>0</v>
      </c>
      <c r="Z194" s="21">
        <f>IF(B194="","",MAX(MinimumCharge,ROUND(X194*IF(IFERROR(INDEX(Clients!$O$5:$O$204,MATCH(C194,Clients!$A$5:$A$204,0)),0)&gt;0,INDEX(Clients!$O$5:$O$204,MATCH(C194,Clients!$A$5:$A$204,0)),HourlyRate)+IF(M194="",0,IF(M194="None",0,PetSurcharge)),2)))</f>
        <v>0</v>
      </c>
      <c r="AA194" s="21">
        <f>IF(B194="","",ROUND(X194*CostPerHour,2))</f>
        <v>0</v>
      </c>
      <c r="AB194" s="38">
        <f>IF(B194="","",IF(Z194=0,"",(Z194-AA194-X194*SuppliesPerHour)/Z194))</f>
        <v>0</v>
      </c>
      <c r="AC194" s="31">
        <f>IF(A194="","",COUNTIFS(Jobs!$J$5:$J$604,A194))</f>
        <v>0</v>
      </c>
      <c r="AD194" s="18">
        <f>IF(A194="","",IF(SUMPRODUCT(MAX((Jobs!$J$5:$J$604=A194)*((Jobs!$P$5:$P$604="Completed")+(Jobs!$P$5:$P$604="Invoiced"))*Jobs!$B$5:$B$604))=0,"",SUMPRODUCT(MAX((Jobs!$J$5:$J$604=A194)*((Jobs!$P$5:$P$604="Completed")+(Jobs!$P$5:$P$604="Invoiced"))*Jobs!$B$5:$B$604))))</f>
        <v>0</v>
      </c>
      <c r="AE194" s="34">
        <f>IF(A194="","",IFERROR(AVERAGEIFS(Jobs!$AK$5:$AK$604,Jobs!$J$5:$J$604,A194,Jobs!$AK$5:$AK$604,"&gt;0"),""))</f>
        <v>0</v>
      </c>
      <c r="AF194" s="34">
        <f>IF(OR(AE194="",X194=""),"",AE194-X194)</f>
        <v>0</v>
      </c>
      <c r="AG194" s="21">
        <f>IF(A194="","",SUMIFS(Jobs!$AJ$5:$AJ$604,Jobs!$J$5:$J$604,A194,Jobs!$P$5:$P$604,"Invoiced")+SUMIFS(Jobs!$AJ$5:$AJ$604,Jobs!$J$5:$J$604,A194,Jobs!$P$5:$P$604,"Completed"))</f>
        <v>0</v>
      </c>
      <c r="AH194" s="39">
        <f>IF(B194="","",IF(C194="","Add - no client linked",IF(IFERROR(INDEX(Clients!$B$5:$B$204,MATCH(C194,Clients!$A$5:$A$204,0)),"")="","Check - client ID not found",IF(AND(G194="",H194=""),"Add - size needed to price it",IF(AND(AF194&lt;&gt;"",AF194&gt;0.5),"Check - runs over the estimate",IF(N194="","Add - how do we get in?","OK"))))))</f>
        <v>0</v>
      </c>
    </row>
    <row r="195" spans="1:34">
      <c r="A195" s="43">
        <f>IF(B195="","",PropertyPrefix&amp;TEXT(ROW()-4,"0000"))</f>
        <v>0</v>
      </c>
      <c r="D195" s="23">
        <f>IF(C195="","",IFERROR(INDEX(Clients!$B$5:$B$204,MATCH(C195,Clients!$A$5:$A$204,0)),"Not found"))</f>
        <v>0</v>
      </c>
      <c r="W195" s="34">
        <f>IF(B195="","",MAX(IF(H195="",0,H195)*0.45+IF(I195="",0,I195)*0.6+IF(J195="",0,J195)*0.3,IF(G195="",0,G195)/650))</f>
        <v>0</v>
      </c>
      <c r="X195" s="34">
        <f>IF(B195="","",ROUND(MAX(1,W195)*IFERROR(INDEX(ConditionFactors,MATCH(L195,ConditionNames,0)),1),2))</f>
        <v>0</v>
      </c>
      <c r="Y195" s="34">
        <f>IF(B195="","",ROUND(X195/MAX(1,CleanersPerJob),2))</f>
        <v>0</v>
      </c>
      <c r="Z195" s="21">
        <f>IF(B195="","",MAX(MinimumCharge,ROUND(X195*IF(IFERROR(INDEX(Clients!$O$5:$O$204,MATCH(C195,Clients!$A$5:$A$204,0)),0)&gt;0,INDEX(Clients!$O$5:$O$204,MATCH(C195,Clients!$A$5:$A$204,0)),HourlyRate)+IF(M195="",0,IF(M195="None",0,PetSurcharge)),2)))</f>
        <v>0</v>
      </c>
      <c r="AA195" s="21">
        <f>IF(B195="","",ROUND(X195*CostPerHour,2))</f>
        <v>0</v>
      </c>
      <c r="AB195" s="38">
        <f>IF(B195="","",IF(Z195=0,"",(Z195-AA195-X195*SuppliesPerHour)/Z195))</f>
        <v>0</v>
      </c>
      <c r="AC195" s="31">
        <f>IF(A195="","",COUNTIFS(Jobs!$J$5:$J$604,A195))</f>
        <v>0</v>
      </c>
      <c r="AD195" s="18">
        <f>IF(A195="","",IF(SUMPRODUCT(MAX((Jobs!$J$5:$J$604=A195)*((Jobs!$P$5:$P$604="Completed")+(Jobs!$P$5:$P$604="Invoiced"))*Jobs!$B$5:$B$604))=0,"",SUMPRODUCT(MAX((Jobs!$J$5:$J$604=A195)*((Jobs!$P$5:$P$604="Completed")+(Jobs!$P$5:$P$604="Invoiced"))*Jobs!$B$5:$B$604))))</f>
        <v>0</v>
      </c>
      <c r="AE195" s="34">
        <f>IF(A195="","",IFERROR(AVERAGEIFS(Jobs!$AK$5:$AK$604,Jobs!$J$5:$J$604,A195,Jobs!$AK$5:$AK$604,"&gt;0"),""))</f>
        <v>0</v>
      </c>
      <c r="AF195" s="34">
        <f>IF(OR(AE195="",X195=""),"",AE195-X195)</f>
        <v>0</v>
      </c>
      <c r="AG195" s="21">
        <f>IF(A195="","",SUMIFS(Jobs!$AJ$5:$AJ$604,Jobs!$J$5:$J$604,A195,Jobs!$P$5:$P$604,"Invoiced")+SUMIFS(Jobs!$AJ$5:$AJ$604,Jobs!$J$5:$J$604,A195,Jobs!$P$5:$P$604,"Completed"))</f>
        <v>0</v>
      </c>
      <c r="AH195" s="39">
        <f>IF(B195="","",IF(C195="","Add - no client linked",IF(IFERROR(INDEX(Clients!$B$5:$B$204,MATCH(C195,Clients!$A$5:$A$204,0)),"")="","Check - client ID not found",IF(AND(G195="",H195=""),"Add - size needed to price it",IF(AND(AF195&lt;&gt;"",AF195&gt;0.5),"Check - runs over the estimate",IF(N195="","Add - how do we get in?","OK"))))))</f>
        <v>0</v>
      </c>
    </row>
    <row r="196" spans="1:34">
      <c r="A196" s="43">
        <f>IF(B196="","",PropertyPrefix&amp;TEXT(ROW()-4,"0000"))</f>
        <v>0</v>
      </c>
      <c r="D196" s="23">
        <f>IF(C196="","",IFERROR(INDEX(Clients!$B$5:$B$204,MATCH(C196,Clients!$A$5:$A$204,0)),"Not found"))</f>
        <v>0</v>
      </c>
      <c r="W196" s="34">
        <f>IF(B196="","",MAX(IF(H196="",0,H196)*0.45+IF(I196="",0,I196)*0.6+IF(J196="",0,J196)*0.3,IF(G196="",0,G196)/650))</f>
        <v>0</v>
      </c>
      <c r="X196" s="34">
        <f>IF(B196="","",ROUND(MAX(1,W196)*IFERROR(INDEX(ConditionFactors,MATCH(L196,ConditionNames,0)),1),2))</f>
        <v>0</v>
      </c>
      <c r="Y196" s="34">
        <f>IF(B196="","",ROUND(X196/MAX(1,CleanersPerJob),2))</f>
        <v>0</v>
      </c>
      <c r="Z196" s="21">
        <f>IF(B196="","",MAX(MinimumCharge,ROUND(X196*IF(IFERROR(INDEX(Clients!$O$5:$O$204,MATCH(C196,Clients!$A$5:$A$204,0)),0)&gt;0,INDEX(Clients!$O$5:$O$204,MATCH(C196,Clients!$A$5:$A$204,0)),HourlyRate)+IF(M196="",0,IF(M196="None",0,PetSurcharge)),2)))</f>
        <v>0</v>
      </c>
      <c r="AA196" s="21">
        <f>IF(B196="","",ROUND(X196*CostPerHour,2))</f>
        <v>0</v>
      </c>
      <c r="AB196" s="38">
        <f>IF(B196="","",IF(Z196=0,"",(Z196-AA196-X196*SuppliesPerHour)/Z196))</f>
        <v>0</v>
      </c>
      <c r="AC196" s="31">
        <f>IF(A196="","",COUNTIFS(Jobs!$J$5:$J$604,A196))</f>
        <v>0</v>
      </c>
      <c r="AD196" s="18">
        <f>IF(A196="","",IF(SUMPRODUCT(MAX((Jobs!$J$5:$J$604=A196)*((Jobs!$P$5:$P$604="Completed")+(Jobs!$P$5:$P$604="Invoiced"))*Jobs!$B$5:$B$604))=0,"",SUMPRODUCT(MAX((Jobs!$J$5:$J$604=A196)*((Jobs!$P$5:$P$604="Completed")+(Jobs!$P$5:$P$604="Invoiced"))*Jobs!$B$5:$B$604))))</f>
        <v>0</v>
      </c>
      <c r="AE196" s="34">
        <f>IF(A196="","",IFERROR(AVERAGEIFS(Jobs!$AK$5:$AK$604,Jobs!$J$5:$J$604,A196,Jobs!$AK$5:$AK$604,"&gt;0"),""))</f>
        <v>0</v>
      </c>
      <c r="AF196" s="34">
        <f>IF(OR(AE196="",X196=""),"",AE196-X196)</f>
        <v>0</v>
      </c>
      <c r="AG196" s="21">
        <f>IF(A196="","",SUMIFS(Jobs!$AJ$5:$AJ$604,Jobs!$J$5:$J$604,A196,Jobs!$P$5:$P$604,"Invoiced")+SUMIFS(Jobs!$AJ$5:$AJ$604,Jobs!$J$5:$J$604,A196,Jobs!$P$5:$P$604,"Completed"))</f>
        <v>0</v>
      </c>
      <c r="AH196" s="39">
        <f>IF(B196="","",IF(C196="","Add - no client linked",IF(IFERROR(INDEX(Clients!$B$5:$B$204,MATCH(C196,Clients!$A$5:$A$204,0)),"")="","Check - client ID not found",IF(AND(G196="",H196=""),"Add - size needed to price it",IF(AND(AF196&lt;&gt;"",AF196&gt;0.5),"Check - runs over the estimate",IF(N196="","Add - how do we get in?","OK"))))))</f>
        <v>0</v>
      </c>
    </row>
    <row r="197" spans="1:34">
      <c r="A197" s="43">
        <f>IF(B197="","",PropertyPrefix&amp;TEXT(ROW()-4,"0000"))</f>
        <v>0</v>
      </c>
      <c r="D197" s="23">
        <f>IF(C197="","",IFERROR(INDEX(Clients!$B$5:$B$204,MATCH(C197,Clients!$A$5:$A$204,0)),"Not found"))</f>
        <v>0</v>
      </c>
      <c r="W197" s="34">
        <f>IF(B197="","",MAX(IF(H197="",0,H197)*0.45+IF(I197="",0,I197)*0.6+IF(J197="",0,J197)*0.3,IF(G197="",0,G197)/650))</f>
        <v>0</v>
      </c>
      <c r="X197" s="34">
        <f>IF(B197="","",ROUND(MAX(1,W197)*IFERROR(INDEX(ConditionFactors,MATCH(L197,ConditionNames,0)),1),2))</f>
        <v>0</v>
      </c>
      <c r="Y197" s="34">
        <f>IF(B197="","",ROUND(X197/MAX(1,CleanersPerJob),2))</f>
        <v>0</v>
      </c>
      <c r="Z197" s="21">
        <f>IF(B197="","",MAX(MinimumCharge,ROUND(X197*IF(IFERROR(INDEX(Clients!$O$5:$O$204,MATCH(C197,Clients!$A$5:$A$204,0)),0)&gt;0,INDEX(Clients!$O$5:$O$204,MATCH(C197,Clients!$A$5:$A$204,0)),HourlyRate)+IF(M197="",0,IF(M197="None",0,PetSurcharge)),2)))</f>
        <v>0</v>
      </c>
      <c r="AA197" s="21">
        <f>IF(B197="","",ROUND(X197*CostPerHour,2))</f>
        <v>0</v>
      </c>
      <c r="AB197" s="38">
        <f>IF(B197="","",IF(Z197=0,"",(Z197-AA197-X197*SuppliesPerHour)/Z197))</f>
        <v>0</v>
      </c>
      <c r="AC197" s="31">
        <f>IF(A197="","",COUNTIFS(Jobs!$J$5:$J$604,A197))</f>
        <v>0</v>
      </c>
      <c r="AD197" s="18">
        <f>IF(A197="","",IF(SUMPRODUCT(MAX((Jobs!$J$5:$J$604=A197)*((Jobs!$P$5:$P$604="Completed")+(Jobs!$P$5:$P$604="Invoiced"))*Jobs!$B$5:$B$604))=0,"",SUMPRODUCT(MAX((Jobs!$J$5:$J$604=A197)*((Jobs!$P$5:$P$604="Completed")+(Jobs!$P$5:$P$604="Invoiced"))*Jobs!$B$5:$B$604))))</f>
        <v>0</v>
      </c>
      <c r="AE197" s="34">
        <f>IF(A197="","",IFERROR(AVERAGEIFS(Jobs!$AK$5:$AK$604,Jobs!$J$5:$J$604,A197,Jobs!$AK$5:$AK$604,"&gt;0"),""))</f>
        <v>0</v>
      </c>
      <c r="AF197" s="34">
        <f>IF(OR(AE197="",X197=""),"",AE197-X197)</f>
        <v>0</v>
      </c>
      <c r="AG197" s="21">
        <f>IF(A197="","",SUMIFS(Jobs!$AJ$5:$AJ$604,Jobs!$J$5:$J$604,A197,Jobs!$P$5:$P$604,"Invoiced")+SUMIFS(Jobs!$AJ$5:$AJ$604,Jobs!$J$5:$J$604,A197,Jobs!$P$5:$P$604,"Completed"))</f>
        <v>0</v>
      </c>
      <c r="AH197" s="39">
        <f>IF(B197="","",IF(C197="","Add - no client linked",IF(IFERROR(INDEX(Clients!$B$5:$B$204,MATCH(C197,Clients!$A$5:$A$204,0)),"")="","Check - client ID not found",IF(AND(G197="",H197=""),"Add - size needed to price it",IF(AND(AF197&lt;&gt;"",AF197&gt;0.5),"Check - runs over the estimate",IF(N197="","Add - how do we get in?","OK"))))))</f>
        <v>0</v>
      </c>
    </row>
    <row r="198" spans="1:34">
      <c r="A198" s="43">
        <f>IF(B198="","",PropertyPrefix&amp;TEXT(ROW()-4,"0000"))</f>
        <v>0</v>
      </c>
      <c r="D198" s="23">
        <f>IF(C198="","",IFERROR(INDEX(Clients!$B$5:$B$204,MATCH(C198,Clients!$A$5:$A$204,0)),"Not found"))</f>
        <v>0</v>
      </c>
      <c r="W198" s="34">
        <f>IF(B198="","",MAX(IF(H198="",0,H198)*0.45+IF(I198="",0,I198)*0.6+IF(J198="",0,J198)*0.3,IF(G198="",0,G198)/650))</f>
        <v>0</v>
      </c>
      <c r="X198" s="34">
        <f>IF(B198="","",ROUND(MAX(1,W198)*IFERROR(INDEX(ConditionFactors,MATCH(L198,ConditionNames,0)),1),2))</f>
        <v>0</v>
      </c>
      <c r="Y198" s="34">
        <f>IF(B198="","",ROUND(X198/MAX(1,CleanersPerJob),2))</f>
        <v>0</v>
      </c>
      <c r="Z198" s="21">
        <f>IF(B198="","",MAX(MinimumCharge,ROUND(X198*IF(IFERROR(INDEX(Clients!$O$5:$O$204,MATCH(C198,Clients!$A$5:$A$204,0)),0)&gt;0,INDEX(Clients!$O$5:$O$204,MATCH(C198,Clients!$A$5:$A$204,0)),HourlyRate)+IF(M198="",0,IF(M198="None",0,PetSurcharge)),2)))</f>
        <v>0</v>
      </c>
      <c r="AA198" s="21">
        <f>IF(B198="","",ROUND(X198*CostPerHour,2))</f>
        <v>0</v>
      </c>
      <c r="AB198" s="38">
        <f>IF(B198="","",IF(Z198=0,"",(Z198-AA198-X198*SuppliesPerHour)/Z198))</f>
        <v>0</v>
      </c>
      <c r="AC198" s="31">
        <f>IF(A198="","",COUNTIFS(Jobs!$J$5:$J$604,A198))</f>
        <v>0</v>
      </c>
      <c r="AD198" s="18">
        <f>IF(A198="","",IF(SUMPRODUCT(MAX((Jobs!$J$5:$J$604=A198)*((Jobs!$P$5:$P$604="Completed")+(Jobs!$P$5:$P$604="Invoiced"))*Jobs!$B$5:$B$604))=0,"",SUMPRODUCT(MAX((Jobs!$J$5:$J$604=A198)*((Jobs!$P$5:$P$604="Completed")+(Jobs!$P$5:$P$604="Invoiced"))*Jobs!$B$5:$B$604))))</f>
        <v>0</v>
      </c>
      <c r="AE198" s="34">
        <f>IF(A198="","",IFERROR(AVERAGEIFS(Jobs!$AK$5:$AK$604,Jobs!$J$5:$J$604,A198,Jobs!$AK$5:$AK$604,"&gt;0"),""))</f>
        <v>0</v>
      </c>
      <c r="AF198" s="34">
        <f>IF(OR(AE198="",X198=""),"",AE198-X198)</f>
        <v>0</v>
      </c>
      <c r="AG198" s="21">
        <f>IF(A198="","",SUMIFS(Jobs!$AJ$5:$AJ$604,Jobs!$J$5:$J$604,A198,Jobs!$P$5:$P$604,"Invoiced")+SUMIFS(Jobs!$AJ$5:$AJ$604,Jobs!$J$5:$J$604,A198,Jobs!$P$5:$P$604,"Completed"))</f>
        <v>0</v>
      </c>
      <c r="AH198" s="39">
        <f>IF(B198="","",IF(C198="","Add - no client linked",IF(IFERROR(INDEX(Clients!$B$5:$B$204,MATCH(C198,Clients!$A$5:$A$204,0)),"")="","Check - client ID not found",IF(AND(G198="",H198=""),"Add - size needed to price it",IF(AND(AF198&lt;&gt;"",AF198&gt;0.5),"Check - runs over the estimate",IF(N198="","Add - how do we get in?","OK"))))))</f>
        <v>0</v>
      </c>
    </row>
    <row r="199" spans="1:34">
      <c r="A199" s="43">
        <f>IF(B199="","",PropertyPrefix&amp;TEXT(ROW()-4,"0000"))</f>
        <v>0</v>
      </c>
      <c r="D199" s="23">
        <f>IF(C199="","",IFERROR(INDEX(Clients!$B$5:$B$204,MATCH(C199,Clients!$A$5:$A$204,0)),"Not found"))</f>
        <v>0</v>
      </c>
      <c r="W199" s="34">
        <f>IF(B199="","",MAX(IF(H199="",0,H199)*0.45+IF(I199="",0,I199)*0.6+IF(J199="",0,J199)*0.3,IF(G199="",0,G199)/650))</f>
        <v>0</v>
      </c>
      <c r="X199" s="34">
        <f>IF(B199="","",ROUND(MAX(1,W199)*IFERROR(INDEX(ConditionFactors,MATCH(L199,ConditionNames,0)),1),2))</f>
        <v>0</v>
      </c>
      <c r="Y199" s="34">
        <f>IF(B199="","",ROUND(X199/MAX(1,CleanersPerJob),2))</f>
        <v>0</v>
      </c>
      <c r="Z199" s="21">
        <f>IF(B199="","",MAX(MinimumCharge,ROUND(X199*IF(IFERROR(INDEX(Clients!$O$5:$O$204,MATCH(C199,Clients!$A$5:$A$204,0)),0)&gt;0,INDEX(Clients!$O$5:$O$204,MATCH(C199,Clients!$A$5:$A$204,0)),HourlyRate)+IF(M199="",0,IF(M199="None",0,PetSurcharge)),2)))</f>
        <v>0</v>
      </c>
      <c r="AA199" s="21">
        <f>IF(B199="","",ROUND(X199*CostPerHour,2))</f>
        <v>0</v>
      </c>
      <c r="AB199" s="38">
        <f>IF(B199="","",IF(Z199=0,"",(Z199-AA199-X199*SuppliesPerHour)/Z199))</f>
        <v>0</v>
      </c>
      <c r="AC199" s="31">
        <f>IF(A199="","",COUNTIFS(Jobs!$J$5:$J$604,A199))</f>
        <v>0</v>
      </c>
      <c r="AD199" s="18">
        <f>IF(A199="","",IF(SUMPRODUCT(MAX((Jobs!$J$5:$J$604=A199)*((Jobs!$P$5:$P$604="Completed")+(Jobs!$P$5:$P$604="Invoiced"))*Jobs!$B$5:$B$604))=0,"",SUMPRODUCT(MAX((Jobs!$J$5:$J$604=A199)*((Jobs!$P$5:$P$604="Completed")+(Jobs!$P$5:$P$604="Invoiced"))*Jobs!$B$5:$B$604))))</f>
        <v>0</v>
      </c>
      <c r="AE199" s="34">
        <f>IF(A199="","",IFERROR(AVERAGEIFS(Jobs!$AK$5:$AK$604,Jobs!$J$5:$J$604,A199,Jobs!$AK$5:$AK$604,"&gt;0"),""))</f>
        <v>0</v>
      </c>
      <c r="AF199" s="34">
        <f>IF(OR(AE199="",X199=""),"",AE199-X199)</f>
        <v>0</v>
      </c>
      <c r="AG199" s="21">
        <f>IF(A199="","",SUMIFS(Jobs!$AJ$5:$AJ$604,Jobs!$J$5:$J$604,A199,Jobs!$P$5:$P$604,"Invoiced")+SUMIFS(Jobs!$AJ$5:$AJ$604,Jobs!$J$5:$J$604,A199,Jobs!$P$5:$P$604,"Completed"))</f>
        <v>0</v>
      </c>
      <c r="AH199" s="39">
        <f>IF(B199="","",IF(C199="","Add - no client linked",IF(IFERROR(INDEX(Clients!$B$5:$B$204,MATCH(C199,Clients!$A$5:$A$204,0)),"")="","Check - client ID not found",IF(AND(G199="",H199=""),"Add - size needed to price it",IF(AND(AF199&lt;&gt;"",AF199&gt;0.5),"Check - runs over the estimate",IF(N199="","Add - how do we get in?","OK"))))))</f>
        <v>0</v>
      </c>
    </row>
    <row r="200" spans="1:34">
      <c r="A200" s="43">
        <f>IF(B200="","",PropertyPrefix&amp;TEXT(ROW()-4,"0000"))</f>
        <v>0</v>
      </c>
      <c r="D200" s="23">
        <f>IF(C200="","",IFERROR(INDEX(Clients!$B$5:$B$204,MATCH(C200,Clients!$A$5:$A$204,0)),"Not found"))</f>
        <v>0</v>
      </c>
      <c r="W200" s="34">
        <f>IF(B200="","",MAX(IF(H200="",0,H200)*0.45+IF(I200="",0,I200)*0.6+IF(J200="",0,J200)*0.3,IF(G200="",0,G200)/650))</f>
        <v>0</v>
      </c>
      <c r="X200" s="34">
        <f>IF(B200="","",ROUND(MAX(1,W200)*IFERROR(INDEX(ConditionFactors,MATCH(L200,ConditionNames,0)),1),2))</f>
        <v>0</v>
      </c>
      <c r="Y200" s="34">
        <f>IF(B200="","",ROUND(X200/MAX(1,CleanersPerJob),2))</f>
        <v>0</v>
      </c>
      <c r="Z200" s="21">
        <f>IF(B200="","",MAX(MinimumCharge,ROUND(X200*IF(IFERROR(INDEX(Clients!$O$5:$O$204,MATCH(C200,Clients!$A$5:$A$204,0)),0)&gt;0,INDEX(Clients!$O$5:$O$204,MATCH(C200,Clients!$A$5:$A$204,0)),HourlyRate)+IF(M200="",0,IF(M200="None",0,PetSurcharge)),2)))</f>
        <v>0</v>
      </c>
      <c r="AA200" s="21">
        <f>IF(B200="","",ROUND(X200*CostPerHour,2))</f>
        <v>0</v>
      </c>
      <c r="AB200" s="38">
        <f>IF(B200="","",IF(Z200=0,"",(Z200-AA200-X200*SuppliesPerHour)/Z200))</f>
        <v>0</v>
      </c>
      <c r="AC200" s="31">
        <f>IF(A200="","",COUNTIFS(Jobs!$J$5:$J$604,A200))</f>
        <v>0</v>
      </c>
      <c r="AD200" s="18">
        <f>IF(A200="","",IF(SUMPRODUCT(MAX((Jobs!$J$5:$J$604=A200)*((Jobs!$P$5:$P$604="Completed")+(Jobs!$P$5:$P$604="Invoiced"))*Jobs!$B$5:$B$604))=0,"",SUMPRODUCT(MAX((Jobs!$J$5:$J$604=A200)*((Jobs!$P$5:$P$604="Completed")+(Jobs!$P$5:$P$604="Invoiced"))*Jobs!$B$5:$B$604))))</f>
        <v>0</v>
      </c>
      <c r="AE200" s="34">
        <f>IF(A200="","",IFERROR(AVERAGEIFS(Jobs!$AK$5:$AK$604,Jobs!$J$5:$J$604,A200,Jobs!$AK$5:$AK$604,"&gt;0"),""))</f>
        <v>0</v>
      </c>
      <c r="AF200" s="34">
        <f>IF(OR(AE200="",X200=""),"",AE200-X200)</f>
        <v>0</v>
      </c>
      <c r="AG200" s="21">
        <f>IF(A200="","",SUMIFS(Jobs!$AJ$5:$AJ$604,Jobs!$J$5:$J$604,A200,Jobs!$P$5:$P$604,"Invoiced")+SUMIFS(Jobs!$AJ$5:$AJ$604,Jobs!$J$5:$J$604,A200,Jobs!$P$5:$P$604,"Completed"))</f>
        <v>0</v>
      </c>
      <c r="AH200" s="39">
        <f>IF(B200="","",IF(C200="","Add - no client linked",IF(IFERROR(INDEX(Clients!$B$5:$B$204,MATCH(C200,Clients!$A$5:$A$204,0)),"")="","Check - client ID not found",IF(AND(G200="",H200=""),"Add - size needed to price it",IF(AND(AF200&lt;&gt;"",AF200&gt;0.5),"Check - runs over the estimate",IF(N200="","Add - how do we get in?","OK"))))))</f>
        <v>0</v>
      </c>
    </row>
    <row r="201" spans="1:34">
      <c r="A201" s="43">
        <f>IF(B201="","",PropertyPrefix&amp;TEXT(ROW()-4,"0000"))</f>
        <v>0</v>
      </c>
      <c r="D201" s="23">
        <f>IF(C201="","",IFERROR(INDEX(Clients!$B$5:$B$204,MATCH(C201,Clients!$A$5:$A$204,0)),"Not found"))</f>
        <v>0</v>
      </c>
      <c r="W201" s="34">
        <f>IF(B201="","",MAX(IF(H201="",0,H201)*0.45+IF(I201="",0,I201)*0.6+IF(J201="",0,J201)*0.3,IF(G201="",0,G201)/650))</f>
        <v>0</v>
      </c>
      <c r="X201" s="34">
        <f>IF(B201="","",ROUND(MAX(1,W201)*IFERROR(INDEX(ConditionFactors,MATCH(L201,ConditionNames,0)),1),2))</f>
        <v>0</v>
      </c>
      <c r="Y201" s="34">
        <f>IF(B201="","",ROUND(X201/MAX(1,CleanersPerJob),2))</f>
        <v>0</v>
      </c>
      <c r="Z201" s="21">
        <f>IF(B201="","",MAX(MinimumCharge,ROUND(X201*IF(IFERROR(INDEX(Clients!$O$5:$O$204,MATCH(C201,Clients!$A$5:$A$204,0)),0)&gt;0,INDEX(Clients!$O$5:$O$204,MATCH(C201,Clients!$A$5:$A$204,0)),HourlyRate)+IF(M201="",0,IF(M201="None",0,PetSurcharge)),2)))</f>
        <v>0</v>
      </c>
      <c r="AA201" s="21">
        <f>IF(B201="","",ROUND(X201*CostPerHour,2))</f>
        <v>0</v>
      </c>
      <c r="AB201" s="38">
        <f>IF(B201="","",IF(Z201=0,"",(Z201-AA201-X201*SuppliesPerHour)/Z201))</f>
        <v>0</v>
      </c>
      <c r="AC201" s="31">
        <f>IF(A201="","",COUNTIFS(Jobs!$J$5:$J$604,A201))</f>
        <v>0</v>
      </c>
      <c r="AD201" s="18">
        <f>IF(A201="","",IF(SUMPRODUCT(MAX((Jobs!$J$5:$J$604=A201)*((Jobs!$P$5:$P$604="Completed")+(Jobs!$P$5:$P$604="Invoiced"))*Jobs!$B$5:$B$604))=0,"",SUMPRODUCT(MAX((Jobs!$J$5:$J$604=A201)*((Jobs!$P$5:$P$604="Completed")+(Jobs!$P$5:$P$604="Invoiced"))*Jobs!$B$5:$B$604))))</f>
        <v>0</v>
      </c>
      <c r="AE201" s="34">
        <f>IF(A201="","",IFERROR(AVERAGEIFS(Jobs!$AK$5:$AK$604,Jobs!$J$5:$J$604,A201,Jobs!$AK$5:$AK$604,"&gt;0"),""))</f>
        <v>0</v>
      </c>
      <c r="AF201" s="34">
        <f>IF(OR(AE201="",X201=""),"",AE201-X201)</f>
        <v>0</v>
      </c>
      <c r="AG201" s="21">
        <f>IF(A201="","",SUMIFS(Jobs!$AJ$5:$AJ$604,Jobs!$J$5:$J$604,A201,Jobs!$P$5:$P$604,"Invoiced")+SUMIFS(Jobs!$AJ$5:$AJ$604,Jobs!$J$5:$J$604,A201,Jobs!$P$5:$P$604,"Completed"))</f>
        <v>0</v>
      </c>
      <c r="AH201" s="39">
        <f>IF(B201="","",IF(C201="","Add - no client linked",IF(IFERROR(INDEX(Clients!$B$5:$B$204,MATCH(C201,Clients!$A$5:$A$204,0)),"")="","Check - client ID not found",IF(AND(G201="",H201=""),"Add - size needed to price it",IF(AND(AF201&lt;&gt;"",AF201&gt;0.5),"Check - runs over the estimate",IF(N201="","Add - how do we get in?","OK"))))))</f>
        <v>0</v>
      </c>
    </row>
    <row r="202" spans="1:34">
      <c r="A202" s="43">
        <f>IF(B202="","",PropertyPrefix&amp;TEXT(ROW()-4,"0000"))</f>
        <v>0</v>
      </c>
      <c r="D202" s="23">
        <f>IF(C202="","",IFERROR(INDEX(Clients!$B$5:$B$204,MATCH(C202,Clients!$A$5:$A$204,0)),"Not found"))</f>
        <v>0</v>
      </c>
      <c r="W202" s="34">
        <f>IF(B202="","",MAX(IF(H202="",0,H202)*0.45+IF(I202="",0,I202)*0.6+IF(J202="",0,J202)*0.3,IF(G202="",0,G202)/650))</f>
        <v>0</v>
      </c>
      <c r="X202" s="34">
        <f>IF(B202="","",ROUND(MAX(1,W202)*IFERROR(INDEX(ConditionFactors,MATCH(L202,ConditionNames,0)),1),2))</f>
        <v>0</v>
      </c>
      <c r="Y202" s="34">
        <f>IF(B202="","",ROUND(X202/MAX(1,CleanersPerJob),2))</f>
        <v>0</v>
      </c>
      <c r="Z202" s="21">
        <f>IF(B202="","",MAX(MinimumCharge,ROUND(X202*IF(IFERROR(INDEX(Clients!$O$5:$O$204,MATCH(C202,Clients!$A$5:$A$204,0)),0)&gt;0,INDEX(Clients!$O$5:$O$204,MATCH(C202,Clients!$A$5:$A$204,0)),HourlyRate)+IF(M202="",0,IF(M202="None",0,PetSurcharge)),2)))</f>
        <v>0</v>
      </c>
      <c r="AA202" s="21">
        <f>IF(B202="","",ROUND(X202*CostPerHour,2))</f>
        <v>0</v>
      </c>
      <c r="AB202" s="38">
        <f>IF(B202="","",IF(Z202=0,"",(Z202-AA202-X202*SuppliesPerHour)/Z202))</f>
        <v>0</v>
      </c>
      <c r="AC202" s="31">
        <f>IF(A202="","",COUNTIFS(Jobs!$J$5:$J$604,A202))</f>
        <v>0</v>
      </c>
      <c r="AD202" s="18">
        <f>IF(A202="","",IF(SUMPRODUCT(MAX((Jobs!$J$5:$J$604=A202)*((Jobs!$P$5:$P$604="Completed")+(Jobs!$P$5:$P$604="Invoiced"))*Jobs!$B$5:$B$604))=0,"",SUMPRODUCT(MAX((Jobs!$J$5:$J$604=A202)*((Jobs!$P$5:$P$604="Completed")+(Jobs!$P$5:$P$604="Invoiced"))*Jobs!$B$5:$B$604))))</f>
        <v>0</v>
      </c>
      <c r="AE202" s="34">
        <f>IF(A202="","",IFERROR(AVERAGEIFS(Jobs!$AK$5:$AK$604,Jobs!$J$5:$J$604,A202,Jobs!$AK$5:$AK$604,"&gt;0"),""))</f>
        <v>0</v>
      </c>
      <c r="AF202" s="34">
        <f>IF(OR(AE202="",X202=""),"",AE202-X202)</f>
        <v>0</v>
      </c>
      <c r="AG202" s="21">
        <f>IF(A202="","",SUMIFS(Jobs!$AJ$5:$AJ$604,Jobs!$J$5:$J$604,A202,Jobs!$P$5:$P$604,"Invoiced")+SUMIFS(Jobs!$AJ$5:$AJ$604,Jobs!$J$5:$J$604,A202,Jobs!$P$5:$P$604,"Completed"))</f>
        <v>0</v>
      </c>
      <c r="AH202" s="39">
        <f>IF(B202="","",IF(C202="","Add - no client linked",IF(IFERROR(INDEX(Clients!$B$5:$B$204,MATCH(C202,Clients!$A$5:$A$204,0)),"")="","Check - client ID not found",IF(AND(G202="",H202=""),"Add - size needed to price it",IF(AND(AF202&lt;&gt;"",AF202&gt;0.5),"Check - runs over the estimate",IF(N202="","Add - how do we get in?","OK"))))))</f>
        <v>0</v>
      </c>
    </row>
    <row r="203" spans="1:34">
      <c r="A203" s="43">
        <f>IF(B203="","",PropertyPrefix&amp;TEXT(ROW()-4,"0000"))</f>
        <v>0</v>
      </c>
      <c r="D203" s="23">
        <f>IF(C203="","",IFERROR(INDEX(Clients!$B$5:$B$204,MATCH(C203,Clients!$A$5:$A$204,0)),"Not found"))</f>
        <v>0</v>
      </c>
      <c r="W203" s="34">
        <f>IF(B203="","",MAX(IF(H203="",0,H203)*0.45+IF(I203="",0,I203)*0.6+IF(J203="",0,J203)*0.3,IF(G203="",0,G203)/650))</f>
        <v>0</v>
      </c>
      <c r="X203" s="34">
        <f>IF(B203="","",ROUND(MAX(1,W203)*IFERROR(INDEX(ConditionFactors,MATCH(L203,ConditionNames,0)),1),2))</f>
        <v>0</v>
      </c>
      <c r="Y203" s="34">
        <f>IF(B203="","",ROUND(X203/MAX(1,CleanersPerJob),2))</f>
        <v>0</v>
      </c>
      <c r="Z203" s="21">
        <f>IF(B203="","",MAX(MinimumCharge,ROUND(X203*IF(IFERROR(INDEX(Clients!$O$5:$O$204,MATCH(C203,Clients!$A$5:$A$204,0)),0)&gt;0,INDEX(Clients!$O$5:$O$204,MATCH(C203,Clients!$A$5:$A$204,0)),HourlyRate)+IF(M203="",0,IF(M203="None",0,PetSurcharge)),2)))</f>
        <v>0</v>
      </c>
      <c r="AA203" s="21">
        <f>IF(B203="","",ROUND(X203*CostPerHour,2))</f>
        <v>0</v>
      </c>
      <c r="AB203" s="38">
        <f>IF(B203="","",IF(Z203=0,"",(Z203-AA203-X203*SuppliesPerHour)/Z203))</f>
        <v>0</v>
      </c>
      <c r="AC203" s="31">
        <f>IF(A203="","",COUNTIFS(Jobs!$J$5:$J$604,A203))</f>
        <v>0</v>
      </c>
      <c r="AD203" s="18">
        <f>IF(A203="","",IF(SUMPRODUCT(MAX((Jobs!$J$5:$J$604=A203)*((Jobs!$P$5:$P$604="Completed")+(Jobs!$P$5:$P$604="Invoiced"))*Jobs!$B$5:$B$604))=0,"",SUMPRODUCT(MAX((Jobs!$J$5:$J$604=A203)*((Jobs!$P$5:$P$604="Completed")+(Jobs!$P$5:$P$604="Invoiced"))*Jobs!$B$5:$B$604))))</f>
        <v>0</v>
      </c>
      <c r="AE203" s="34">
        <f>IF(A203="","",IFERROR(AVERAGEIFS(Jobs!$AK$5:$AK$604,Jobs!$J$5:$J$604,A203,Jobs!$AK$5:$AK$604,"&gt;0"),""))</f>
        <v>0</v>
      </c>
      <c r="AF203" s="34">
        <f>IF(OR(AE203="",X203=""),"",AE203-X203)</f>
        <v>0</v>
      </c>
      <c r="AG203" s="21">
        <f>IF(A203="","",SUMIFS(Jobs!$AJ$5:$AJ$604,Jobs!$J$5:$J$604,A203,Jobs!$P$5:$P$604,"Invoiced")+SUMIFS(Jobs!$AJ$5:$AJ$604,Jobs!$J$5:$J$604,A203,Jobs!$P$5:$P$604,"Completed"))</f>
        <v>0</v>
      </c>
      <c r="AH203" s="39">
        <f>IF(B203="","",IF(C203="","Add - no client linked",IF(IFERROR(INDEX(Clients!$B$5:$B$204,MATCH(C203,Clients!$A$5:$A$204,0)),"")="","Check - client ID not found",IF(AND(G203="",H203=""),"Add - size needed to price it",IF(AND(AF203&lt;&gt;"",AF203&gt;0.5),"Check - runs over the estimate",IF(N203="","Add - how do we get in?","OK"))))))</f>
        <v>0</v>
      </c>
    </row>
    <row r="204" spans="1:34">
      <c r="A204" s="43">
        <f>IF(B204="","",PropertyPrefix&amp;TEXT(ROW()-4,"0000"))</f>
        <v>0</v>
      </c>
      <c r="D204" s="23">
        <f>IF(C204="","",IFERROR(INDEX(Clients!$B$5:$B$204,MATCH(C204,Clients!$A$5:$A$204,0)),"Not found"))</f>
        <v>0</v>
      </c>
      <c r="W204" s="34">
        <f>IF(B204="","",MAX(IF(H204="",0,H204)*0.45+IF(I204="",0,I204)*0.6+IF(J204="",0,J204)*0.3,IF(G204="",0,G204)/650))</f>
        <v>0</v>
      </c>
      <c r="X204" s="34">
        <f>IF(B204="","",ROUND(MAX(1,W204)*IFERROR(INDEX(ConditionFactors,MATCH(L204,ConditionNames,0)),1),2))</f>
        <v>0</v>
      </c>
      <c r="Y204" s="34">
        <f>IF(B204="","",ROUND(X204/MAX(1,CleanersPerJob),2))</f>
        <v>0</v>
      </c>
      <c r="Z204" s="21">
        <f>IF(B204="","",MAX(MinimumCharge,ROUND(X204*IF(IFERROR(INDEX(Clients!$O$5:$O$204,MATCH(C204,Clients!$A$5:$A$204,0)),0)&gt;0,INDEX(Clients!$O$5:$O$204,MATCH(C204,Clients!$A$5:$A$204,0)),HourlyRate)+IF(M204="",0,IF(M204="None",0,PetSurcharge)),2)))</f>
        <v>0</v>
      </c>
      <c r="AA204" s="21">
        <f>IF(B204="","",ROUND(X204*CostPerHour,2))</f>
        <v>0</v>
      </c>
      <c r="AB204" s="38">
        <f>IF(B204="","",IF(Z204=0,"",(Z204-AA204-X204*SuppliesPerHour)/Z204))</f>
        <v>0</v>
      </c>
      <c r="AC204" s="31">
        <f>IF(A204="","",COUNTIFS(Jobs!$J$5:$J$604,A204))</f>
        <v>0</v>
      </c>
      <c r="AD204" s="18">
        <f>IF(A204="","",IF(SUMPRODUCT(MAX((Jobs!$J$5:$J$604=A204)*((Jobs!$P$5:$P$604="Completed")+(Jobs!$P$5:$P$604="Invoiced"))*Jobs!$B$5:$B$604))=0,"",SUMPRODUCT(MAX((Jobs!$J$5:$J$604=A204)*((Jobs!$P$5:$P$604="Completed")+(Jobs!$P$5:$P$604="Invoiced"))*Jobs!$B$5:$B$604))))</f>
        <v>0</v>
      </c>
      <c r="AE204" s="34">
        <f>IF(A204="","",IFERROR(AVERAGEIFS(Jobs!$AK$5:$AK$604,Jobs!$J$5:$J$604,A204,Jobs!$AK$5:$AK$604,"&gt;0"),""))</f>
        <v>0</v>
      </c>
      <c r="AF204" s="34">
        <f>IF(OR(AE204="",X204=""),"",AE204-X204)</f>
        <v>0</v>
      </c>
      <c r="AG204" s="21">
        <f>IF(A204="","",SUMIFS(Jobs!$AJ$5:$AJ$604,Jobs!$J$5:$J$604,A204,Jobs!$P$5:$P$604,"Invoiced")+SUMIFS(Jobs!$AJ$5:$AJ$604,Jobs!$J$5:$J$604,A204,Jobs!$P$5:$P$604,"Completed"))</f>
        <v>0</v>
      </c>
      <c r="AH204" s="39">
        <f>IF(B204="","",IF(C204="","Add - no client linked",IF(IFERROR(INDEX(Clients!$B$5:$B$204,MATCH(C204,Clients!$A$5:$A$204,0)),"")="","Check - client ID not found",IF(AND(G204="",H204=""),"Add - size needed to price it",IF(AND(AF204&lt;&gt;"",AF204&gt;0.5),"Check - runs over the estimate",IF(N204="","Add - how do we get in?","OK"))))))</f>
        <v>0</v>
      </c>
    </row>
    <row r="205" spans="1:34">
      <c r="A205" s="43">
        <f>IF(B205="","",PropertyPrefix&amp;TEXT(ROW()-4,"0000"))</f>
        <v>0</v>
      </c>
      <c r="D205" s="23">
        <f>IF(C205="","",IFERROR(INDEX(Clients!$B$5:$B$204,MATCH(C205,Clients!$A$5:$A$204,0)),"Not found"))</f>
        <v>0</v>
      </c>
      <c r="W205" s="34">
        <f>IF(B205="","",MAX(IF(H205="",0,H205)*0.45+IF(I205="",0,I205)*0.6+IF(J205="",0,J205)*0.3,IF(G205="",0,G205)/650))</f>
        <v>0</v>
      </c>
      <c r="X205" s="34">
        <f>IF(B205="","",ROUND(MAX(1,W205)*IFERROR(INDEX(ConditionFactors,MATCH(L205,ConditionNames,0)),1),2))</f>
        <v>0</v>
      </c>
      <c r="Y205" s="34">
        <f>IF(B205="","",ROUND(X205/MAX(1,CleanersPerJob),2))</f>
        <v>0</v>
      </c>
      <c r="Z205" s="21">
        <f>IF(B205="","",MAX(MinimumCharge,ROUND(X205*IF(IFERROR(INDEX(Clients!$O$5:$O$204,MATCH(C205,Clients!$A$5:$A$204,0)),0)&gt;0,INDEX(Clients!$O$5:$O$204,MATCH(C205,Clients!$A$5:$A$204,0)),HourlyRate)+IF(M205="",0,IF(M205="None",0,PetSurcharge)),2)))</f>
        <v>0</v>
      </c>
      <c r="AA205" s="21">
        <f>IF(B205="","",ROUND(X205*CostPerHour,2))</f>
        <v>0</v>
      </c>
      <c r="AB205" s="38">
        <f>IF(B205="","",IF(Z205=0,"",(Z205-AA205-X205*SuppliesPerHour)/Z205))</f>
        <v>0</v>
      </c>
      <c r="AC205" s="31">
        <f>IF(A205="","",COUNTIFS(Jobs!$J$5:$J$604,A205))</f>
        <v>0</v>
      </c>
      <c r="AD205" s="18">
        <f>IF(A205="","",IF(SUMPRODUCT(MAX((Jobs!$J$5:$J$604=A205)*((Jobs!$P$5:$P$604="Completed")+(Jobs!$P$5:$P$604="Invoiced"))*Jobs!$B$5:$B$604))=0,"",SUMPRODUCT(MAX((Jobs!$J$5:$J$604=A205)*((Jobs!$P$5:$P$604="Completed")+(Jobs!$P$5:$P$604="Invoiced"))*Jobs!$B$5:$B$604))))</f>
        <v>0</v>
      </c>
      <c r="AE205" s="34">
        <f>IF(A205="","",IFERROR(AVERAGEIFS(Jobs!$AK$5:$AK$604,Jobs!$J$5:$J$604,A205,Jobs!$AK$5:$AK$604,"&gt;0"),""))</f>
        <v>0</v>
      </c>
      <c r="AF205" s="34">
        <f>IF(OR(AE205="",X205=""),"",AE205-X205)</f>
        <v>0</v>
      </c>
      <c r="AG205" s="21">
        <f>IF(A205="","",SUMIFS(Jobs!$AJ$5:$AJ$604,Jobs!$J$5:$J$604,A205,Jobs!$P$5:$P$604,"Invoiced")+SUMIFS(Jobs!$AJ$5:$AJ$604,Jobs!$J$5:$J$604,A205,Jobs!$P$5:$P$604,"Completed"))</f>
        <v>0</v>
      </c>
      <c r="AH205" s="39">
        <f>IF(B205="","",IF(C205="","Add - no client linked",IF(IFERROR(INDEX(Clients!$B$5:$B$204,MATCH(C205,Clients!$A$5:$A$204,0)),"")="","Check - client ID not found",IF(AND(G205="",H205=""),"Add - size needed to price it",IF(AND(AF205&lt;&gt;"",AF205&gt;0.5),"Check - runs over the estimate",IF(N205="","Add - how do we get in?","OK"))))))</f>
        <v>0</v>
      </c>
    </row>
    <row r="206" spans="1:34">
      <c r="A206" s="43">
        <f>IF(B206="","",PropertyPrefix&amp;TEXT(ROW()-4,"0000"))</f>
        <v>0</v>
      </c>
      <c r="D206" s="23">
        <f>IF(C206="","",IFERROR(INDEX(Clients!$B$5:$B$204,MATCH(C206,Clients!$A$5:$A$204,0)),"Not found"))</f>
        <v>0</v>
      </c>
      <c r="W206" s="34">
        <f>IF(B206="","",MAX(IF(H206="",0,H206)*0.45+IF(I206="",0,I206)*0.6+IF(J206="",0,J206)*0.3,IF(G206="",0,G206)/650))</f>
        <v>0</v>
      </c>
      <c r="X206" s="34">
        <f>IF(B206="","",ROUND(MAX(1,W206)*IFERROR(INDEX(ConditionFactors,MATCH(L206,ConditionNames,0)),1),2))</f>
        <v>0</v>
      </c>
      <c r="Y206" s="34">
        <f>IF(B206="","",ROUND(X206/MAX(1,CleanersPerJob),2))</f>
        <v>0</v>
      </c>
      <c r="Z206" s="21">
        <f>IF(B206="","",MAX(MinimumCharge,ROUND(X206*IF(IFERROR(INDEX(Clients!$O$5:$O$204,MATCH(C206,Clients!$A$5:$A$204,0)),0)&gt;0,INDEX(Clients!$O$5:$O$204,MATCH(C206,Clients!$A$5:$A$204,0)),HourlyRate)+IF(M206="",0,IF(M206="None",0,PetSurcharge)),2)))</f>
        <v>0</v>
      </c>
      <c r="AA206" s="21">
        <f>IF(B206="","",ROUND(X206*CostPerHour,2))</f>
        <v>0</v>
      </c>
      <c r="AB206" s="38">
        <f>IF(B206="","",IF(Z206=0,"",(Z206-AA206-X206*SuppliesPerHour)/Z206))</f>
        <v>0</v>
      </c>
      <c r="AC206" s="31">
        <f>IF(A206="","",COUNTIFS(Jobs!$J$5:$J$604,A206))</f>
        <v>0</v>
      </c>
      <c r="AD206" s="18">
        <f>IF(A206="","",IF(SUMPRODUCT(MAX((Jobs!$J$5:$J$604=A206)*((Jobs!$P$5:$P$604="Completed")+(Jobs!$P$5:$P$604="Invoiced"))*Jobs!$B$5:$B$604))=0,"",SUMPRODUCT(MAX((Jobs!$J$5:$J$604=A206)*((Jobs!$P$5:$P$604="Completed")+(Jobs!$P$5:$P$604="Invoiced"))*Jobs!$B$5:$B$604))))</f>
        <v>0</v>
      </c>
      <c r="AE206" s="34">
        <f>IF(A206="","",IFERROR(AVERAGEIFS(Jobs!$AK$5:$AK$604,Jobs!$J$5:$J$604,A206,Jobs!$AK$5:$AK$604,"&gt;0"),""))</f>
        <v>0</v>
      </c>
      <c r="AF206" s="34">
        <f>IF(OR(AE206="",X206=""),"",AE206-X206)</f>
        <v>0</v>
      </c>
      <c r="AG206" s="21">
        <f>IF(A206="","",SUMIFS(Jobs!$AJ$5:$AJ$604,Jobs!$J$5:$J$604,A206,Jobs!$P$5:$P$604,"Invoiced")+SUMIFS(Jobs!$AJ$5:$AJ$604,Jobs!$J$5:$J$604,A206,Jobs!$P$5:$P$604,"Completed"))</f>
        <v>0</v>
      </c>
      <c r="AH206" s="39">
        <f>IF(B206="","",IF(C206="","Add - no client linked",IF(IFERROR(INDEX(Clients!$B$5:$B$204,MATCH(C206,Clients!$A$5:$A$204,0)),"")="","Check - client ID not found",IF(AND(G206="",H206=""),"Add - size needed to price it",IF(AND(AF206&lt;&gt;"",AF206&gt;0.5),"Check - runs over the estimate",IF(N206="","Add - how do we get in?","OK"))))))</f>
        <v>0</v>
      </c>
    </row>
    <row r="207" spans="1:34">
      <c r="A207" s="43">
        <f>IF(B207="","",PropertyPrefix&amp;TEXT(ROW()-4,"0000"))</f>
        <v>0</v>
      </c>
      <c r="D207" s="23">
        <f>IF(C207="","",IFERROR(INDEX(Clients!$B$5:$B$204,MATCH(C207,Clients!$A$5:$A$204,0)),"Not found"))</f>
        <v>0</v>
      </c>
      <c r="W207" s="34">
        <f>IF(B207="","",MAX(IF(H207="",0,H207)*0.45+IF(I207="",0,I207)*0.6+IF(J207="",0,J207)*0.3,IF(G207="",0,G207)/650))</f>
        <v>0</v>
      </c>
      <c r="X207" s="34">
        <f>IF(B207="","",ROUND(MAX(1,W207)*IFERROR(INDEX(ConditionFactors,MATCH(L207,ConditionNames,0)),1),2))</f>
        <v>0</v>
      </c>
      <c r="Y207" s="34">
        <f>IF(B207="","",ROUND(X207/MAX(1,CleanersPerJob),2))</f>
        <v>0</v>
      </c>
      <c r="Z207" s="21">
        <f>IF(B207="","",MAX(MinimumCharge,ROUND(X207*IF(IFERROR(INDEX(Clients!$O$5:$O$204,MATCH(C207,Clients!$A$5:$A$204,0)),0)&gt;0,INDEX(Clients!$O$5:$O$204,MATCH(C207,Clients!$A$5:$A$204,0)),HourlyRate)+IF(M207="",0,IF(M207="None",0,PetSurcharge)),2)))</f>
        <v>0</v>
      </c>
      <c r="AA207" s="21">
        <f>IF(B207="","",ROUND(X207*CostPerHour,2))</f>
        <v>0</v>
      </c>
      <c r="AB207" s="38">
        <f>IF(B207="","",IF(Z207=0,"",(Z207-AA207-X207*SuppliesPerHour)/Z207))</f>
        <v>0</v>
      </c>
      <c r="AC207" s="31">
        <f>IF(A207="","",COUNTIFS(Jobs!$J$5:$J$604,A207))</f>
        <v>0</v>
      </c>
      <c r="AD207" s="18">
        <f>IF(A207="","",IF(SUMPRODUCT(MAX((Jobs!$J$5:$J$604=A207)*((Jobs!$P$5:$P$604="Completed")+(Jobs!$P$5:$P$604="Invoiced"))*Jobs!$B$5:$B$604))=0,"",SUMPRODUCT(MAX((Jobs!$J$5:$J$604=A207)*((Jobs!$P$5:$P$604="Completed")+(Jobs!$P$5:$P$604="Invoiced"))*Jobs!$B$5:$B$604))))</f>
        <v>0</v>
      </c>
      <c r="AE207" s="34">
        <f>IF(A207="","",IFERROR(AVERAGEIFS(Jobs!$AK$5:$AK$604,Jobs!$J$5:$J$604,A207,Jobs!$AK$5:$AK$604,"&gt;0"),""))</f>
        <v>0</v>
      </c>
      <c r="AF207" s="34">
        <f>IF(OR(AE207="",X207=""),"",AE207-X207)</f>
        <v>0</v>
      </c>
      <c r="AG207" s="21">
        <f>IF(A207="","",SUMIFS(Jobs!$AJ$5:$AJ$604,Jobs!$J$5:$J$604,A207,Jobs!$P$5:$P$604,"Invoiced")+SUMIFS(Jobs!$AJ$5:$AJ$604,Jobs!$J$5:$J$604,A207,Jobs!$P$5:$P$604,"Completed"))</f>
        <v>0</v>
      </c>
      <c r="AH207" s="39">
        <f>IF(B207="","",IF(C207="","Add - no client linked",IF(IFERROR(INDEX(Clients!$B$5:$B$204,MATCH(C207,Clients!$A$5:$A$204,0)),"")="","Check - client ID not found",IF(AND(G207="",H207=""),"Add - size needed to price it",IF(AND(AF207&lt;&gt;"",AF207&gt;0.5),"Check - runs over the estimate",IF(N207="","Add - how do we get in?","OK"))))))</f>
        <v>0</v>
      </c>
    </row>
    <row r="208" spans="1:34">
      <c r="A208" s="43">
        <f>IF(B208="","",PropertyPrefix&amp;TEXT(ROW()-4,"0000"))</f>
        <v>0</v>
      </c>
      <c r="D208" s="23">
        <f>IF(C208="","",IFERROR(INDEX(Clients!$B$5:$B$204,MATCH(C208,Clients!$A$5:$A$204,0)),"Not found"))</f>
        <v>0</v>
      </c>
      <c r="W208" s="34">
        <f>IF(B208="","",MAX(IF(H208="",0,H208)*0.45+IF(I208="",0,I208)*0.6+IF(J208="",0,J208)*0.3,IF(G208="",0,G208)/650))</f>
        <v>0</v>
      </c>
      <c r="X208" s="34">
        <f>IF(B208="","",ROUND(MAX(1,W208)*IFERROR(INDEX(ConditionFactors,MATCH(L208,ConditionNames,0)),1),2))</f>
        <v>0</v>
      </c>
      <c r="Y208" s="34">
        <f>IF(B208="","",ROUND(X208/MAX(1,CleanersPerJob),2))</f>
        <v>0</v>
      </c>
      <c r="Z208" s="21">
        <f>IF(B208="","",MAX(MinimumCharge,ROUND(X208*IF(IFERROR(INDEX(Clients!$O$5:$O$204,MATCH(C208,Clients!$A$5:$A$204,0)),0)&gt;0,INDEX(Clients!$O$5:$O$204,MATCH(C208,Clients!$A$5:$A$204,0)),HourlyRate)+IF(M208="",0,IF(M208="None",0,PetSurcharge)),2)))</f>
        <v>0</v>
      </c>
      <c r="AA208" s="21">
        <f>IF(B208="","",ROUND(X208*CostPerHour,2))</f>
        <v>0</v>
      </c>
      <c r="AB208" s="38">
        <f>IF(B208="","",IF(Z208=0,"",(Z208-AA208-X208*SuppliesPerHour)/Z208))</f>
        <v>0</v>
      </c>
      <c r="AC208" s="31">
        <f>IF(A208="","",COUNTIFS(Jobs!$J$5:$J$604,A208))</f>
        <v>0</v>
      </c>
      <c r="AD208" s="18">
        <f>IF(A208="","",IF(SUMPRODUCT(MAX((Jobs!$J$5:$J$604=A208)*((Jobs!$P$5:$P$604="Completed")+(Jobs!$P$5:$P$604="Invoiced"))*Jobs!$B$5:$B$604))=0,"",SUMPRODUCT(MAX((Jobs!$J$5:$J$604=A208)*((Jobs!$P$5:$P$604="Completed")+(Jobs!$P$5:$P$604="Invoiced"))*Jobs!$B$5:$B$604))))</f>
        <v>0</v>
      </c>
      <c r="AE208" s="34">
        <f>IF(A208="","",IFERROR(AVERAGEIFS(Jobs!$AK$5:$AK$604,Jobs!$J$5:$J$604,A208,Jobs!$AK$5:$AK$604,"&gt;0"),""))</f>
        <v>0</v>
      </c>
      <c r="AF208" s="34">
        <f>IF(OR(AE208="",X208=""),"",AE208-X208)</f>
        <v>0</v>
      </c>
      <c r="AG208" s="21">
        <f>IF(A208="","",SUMIFS(Jobs!$AJ$5:$AJ$604,Jobs!$J$5:$J$604,A208,Jobs!$P$5:$P$604,"Invoiced")+SUMIFS(Jobs!$AJ$5:$AJ$604,Jobs!$J$5:$J$604,A208,Jobs!$P$5:$P$604,"Completed"))</f>
        <v>0</v>
      </c>
      <c r="AH208" s="39">
        <f>IF(B208="","",IF(C208="","Add - no client linked",IF(IFERROR(INDEX(Clients!$B$5:$B$204,MATCH(C208,Clients!$A$5:$A$204,0)),"")="","Check - client ID not found",IF(AND(G208="",H208=""),"Add - size needed to price it",IF(AND(AF208&lt;&gt;"",AF208&gt;0.5),"Check - runs over the estimate",IF(N208="","Add - how do we get in?","OK"))))))</f>
        <v>0</v>
      </c>
    </row>
    <row r="209" spans="1:34">
      <c r="A209" s="43">
        <f>IF(B209="","",PropertyPrefix&amp;TEXT(ROW()-4,"0000"))</f>
        <v>0</v>
      </c>
      <c r="D209" s="23">
        <f>IF(C209="","",IFERROR(INDEX(Clients!$B$5:$B$204,MATCH(C209,Clients!$A$5:$A$204,0)),"Not found"))</f>
        <v>0</v>
      </c>
      <c r="W209" s="34">
        <f>IF(B209="","",MAX(IF(H209="",0,H209)*0.45+IF(I209="",0,I209)*0.6+IF(J209="",0,J209)*0.3,IF(G209="",0,G209)/650))</f>
        <v>0</v>
      </c>
      <c r="X209" s="34">
        <f>IF(B209="","",ROUND(MAX(1,W209)*IFERROR(INDEX(ConditionFactors,MATCH(L209,ConditionNames,0)),1),2))</f>
        <v>0</v>
      </c>
      <c r="Y209" s="34">
        <f>IF(B209="","",ROUND(X209/MAX(1,CleanersPerJob),2))</f>
        <v>0</v>
      </c>
      <c r="Z209" s="21">
        <f>IF(B209="","",MAX(MinimumCharge,ROUND(X209*IF(IFERROR(INDEX(Clients!$O$5:$O$204,MATCH(C209,Clients!$A$5:$A$204,0)),0)&gt;0,INDEX(Clients!$O$5:$O$204,MATCH(C209,Clients!$A$5:$A$204,0)),HourlyRate)+IF(M209="",0,IF(M209="None",0,PetSurcharge)),2)))</f>
        <v>0</v>
      </c>
      <c r="AA209" s="21">
        <f>IF(B209="","",ROUND(X209*CostPerHour,2))</f>
        <v>0</v>
      </c>
      <c r="AB209" s="38">
        <f>IF(B209="","",IF(Z209=0,"",(Z209-AA209-X209*SuppliesPerHour)/Z209))</f>
        <v>0</v>
      </c>
      <c r="AC209" s="31">
        <f>IF(A209="","",COUNTIFS(Jobs!$J$5:$J$604,A209))</f>
        <v>0</v>
      </c>
      <c r="AD209" s="18">
        <f>IF(A209="","",IF(SUMPRODUCT(MAX((Jobs!$J$5:$J$604=A209)*((Jobs!$P$5:$P$604="Completed")+(Jobs!$P$5:$P$604="Invoiced"))*Jobs!$B$5:$B$604))=0,"",SUMPRODUCT(MAX((Jobs!$J$5:$J$604=A209)*((Jobs!$P$5:$P$604="Completed")+(Jobs!$P$5:$P$604="Invoiced"))*Jobs!$B$5:$B$604))))</f>
        <v>0</v>
      </c>
      <c r="AE209" s="34">
        <f>IF(A209="","",IFERROR(AVERAGEIFS(Jobs!$AK$5:$AK$604,Jobs!$J$5:$J$604,A209,Jobs!$AK$5:$AK$604,"&gt;0"),""))</f>
        <v>0</v>
      </c>
      <c r="AF209" s="34">
        <f>IF(OR(AE209="",X209=""),"",AE209-X209)</f>
        <v>0</v>
      </c>
      <c r="AG209" s="21">
        <f>IF(A209="","",SUMIFS(Jobs!$AJ$5:$AJ$604,Jobs!$J$5:$J$604,A209,Jobs!$P$5:$P$604,"Invoiced")+SUMIFS(Jobs!$AJ$5:$AJ$604,Jobs!$J$5:$J$604,A209,Jobs!$P$5:$P$604,"Completed"))</f>
        <v>0</v>
      </c>
      <c r="AH209" s="39">
        <f>IF(B209="","",IF(C209="","Add - no client linked",IF(IFERROR(INDEX(Clients!$B$5:$B$204,MATCH(C209,Clients!$A$5:$A$204,0)),"")="","Check - client ID not found",IF(AND(G209="",H209=""),"Add - size needed to price it",IF(AND(AF209&lt;&gt;"",AF209&gt;0.5),"Check - runs over the estimate",IF(N209="","Add - how do we get in?","OK"))))))</f>
        <v>0</v>
      </c>
    </row>
    <row r="210" spans="1:34">
      <c r="A210" s="43">
        <f>IF(B210="","",PropertyPrefix&amp;TEXT(ROW()-4,"0000"))</f>
        <v>0</v>
      </c>
      <c r="D210" s="23">
        <f>IF(C210="","",IFERROR(INDEX(Clients!$B$5:$B$204,MATCH(C210,Clients!$A$5:$A$204,0)),"Not found"))</f>
        <v>0</v>
      </c>
      <c r="W210" s="34">
        <f>IF(B210="","",MAX(IF(H210="",0,H210)*0.45+IF(I210="",0,I210)*0.6+IF(J210="",0,J210)*0.3,IF(G210="",0,G210)/650))</f>
        <v>0</v>
      </c>
      <c r="X210" s="34">
        <f>IF(B210="","",ROUND(MAX(1,W210)*IFERROR(INDEX(ConditionFactors,MATCH(L210,ConditionNames,0)),1),2))</f>
        <v>0</v>
      </c>
      <c r="Y210" s="34">
        <f>IF(B210="","",ROUND(X210/MAX(1,CleanersPerJob),2))</f>
        <v>0</v>
      </c>
      <c r="Z210" s="21">
        <f>IF(B210="","",MAX(MinimumCharge,ROUND(X210*IF(IFERROR(INDEX(Clients!$O$5:$O$204,MATCH(C210,Clients!$A$5:$A$204,0)),0)&gt;0,INDEX(Clients!$O$5:$O$204,MATCH(C210,Clients!$A$5:$A$204,0)),HourlyRate)+IF(M210="",0,IF(M210="None",0,PetSurcharge)),2)))</f>
        <v>0</v>
      </c>
      <c r="AA210" s="21">
        <f>IF(B210="","",ROUND(X210*CostPerHour,2))</f>
        <v>0</v>
      </c>
      <c r="AB210" s="38">
        <f>IF(B210="","",IF(Z210=0,"",(Z210-AA210-X210*SuppliesPerHour)/Z210))</f>
        <v>0</v>
      </c>
      <c r="AC210" s="31">
        <f>IF(A210="","",COUNTIFS(Jobs!$J$5:$J$604,A210))</f>
        <v>0</v>
      </c>
      <c r="AD210" s="18">
        <f>IF(A210="","",IF(SUMPRODUCT(MAX((Jobs!$J$5:$J$604=A210)*((Jobs!$P$5:$P$604="Completed")+(Jobs!$P$5:$P$604="Invoiced"))*Jobs!$B$5:$B$604))=0,"",SUMPRODUCT(MAX((Jobs!$J$5:$J$604=A210)*((Jobs!$P$5:$P$604="Completed")+(Jobs!$P$5:$P$604="Invoiced"))*Jobs!$B$5:$B$604))))</f>
        <v>0</v>
      </c>
      <c r="AE210" s="34">
        <f>IF(A210="","",IFERROR(AVERAGEIFS(Jobs!$AK$5:$AK$604,Jobs!$J$5:$J$604,A210,Jobs!$AK$5:$AK$604,"&gt;0"),""))</f>
        <v>0</v>
      </c>
      <c r="AF210" s="34">
        <f>IF(OR(AE210="",X210=""),"",AE210-X210)</f>
        <v>0</v>
      </c>
      <c r="AG210" s="21">
        <f>IF(A210="","",SUMIFS(Jobs!$AJ$5:$AJ$604,Jobs!$J$5:$J$604,A210,Jobs!$P$5:$P$604,"Invoiced")+SUMIFS(Jobs!$AJ$5:$AJ$604,Jobs!$J$5:$J$604,A210,Jobs!$P$5:$P$604,"Completed"))</f>
        <v>0</v>
      </c>
      <c r="AH210" s="39">
        <f>IF(B210="","",IF(C210="","Add - no client linked",IF(IFERROR(INDEX(Clients!$B$5:$B$204,MATCH(C210,Clients!$A$5:$A$204,0)),"")="","Check - client ID not found",IF(AND(G210="",H210=""),"Add - size needed to price it",IF(AND(AF210&lt;&gt;"",AF210&gt;0.5),"Check - runs over the estimate",IF(N210="","Add - how do we get in?","OK"))))))</f>
        <v>0</v>
      </c>
    </row>
    <row r="211" spans="1:34">
      <c r="A211" s="43">
        <f>IF(B211="","",PropertyPrefix&amp;TEXT(ROW()-4,"0000"))</f>
        <v>0</v>
      </c>
      <c r="D211" s="23">
        <f>IF(C211="","",IFERROR(INDEX(Clients!$B$5:$B$204,MATCH(C211,Clients!$A$5:$A$204,0)),"Not found"))</f>
        <v>0</v>
      </c>
      <c r="W211" s="34">
        <f>IF(B211="","",MAX(IF(H211="",0,H211)*0.45+IF(I211="",0,I211)*0.6+IF(J211="",0,J211)*0.3,IF(G211="",0,G211)/650))</f>
        <v>0</v>
      </c>
      <c r="X211" s="34">
        <f>IF(B211="","",ROUND(MAX(1,W211)*IFERROR(INDEX(ConditionFactors,MATCH(L211,ConditionNames,0)),1),2))</f>
        <v>0</v>
      </c>
      <c r="Y211" s="34">
        <f>IF(B211="","",ROUND(X211/MAX(1,CleanersPerJob),2))</f>
        <v>0</v>
      </c>
      <c r="Z211" s="21">
        <f>IF(B211="","",MAX(MinimumCharge,ROUND(X211*IF(IFERROR(INDEX(Clients!$O$5:$O$204,MATCH(C211,Clients!$A$5:$A$204,0)),0)&gt;0,INDEX(Clients!$O$5:$O$204,MATCH(C211,Clients!$A$5:$A$204,0)),HourlyRate)+IF(M211="",0,IF(M211="None",0,PetSurcharge)),2)))</f>
        <v>0</v>
      </c>
      <c r="AA211" s="21">
        <f>IF(B211="","",ROUND(X211*CostPerHour,2))</f>
        <v>0</v>
      </c>
      <c r="AB211" s="38">
        <f>IF(B211="","",IF(Z211=0,"",(Z211-AA211-X211*SuppliesPerHour)/Z211))</f>
        <v>0</v>
      </c>
      <c r="AC211" s="31">
        <f>IF(A211="","",COUNTIFS(Jobs!$J$5:$J$604,A211))</f>
        <v>0</v>
      </c>
      <c r="AD211" s="18">
        <f>IF(A211="","",IF(SUMPRODUCT(MAX((Jobs!$J$5:$J$604=A211)*((Jobs!$P$5:$P$604="Completed")+(Jobs!$P$5:$P$604="Invoiced"))*Jobs!$B$5:$B$604))=0,"",SUMPRODUCT(MAX((Jobs!$J$5:$J$604=A211)*((Jobs!$P$5:$P$604="Completed")+(Jobs!$P$5:$P$604="Invoiced"))*Jobs!$B$5:$B$604))))</f>
        <v>0</v>
      </c>
      <c r="AE211" s="34">
        <f>IF(A211="","",IFERROR(AVERAGEIFS(Jobs!$AK$5:$AK$604,Jobs!$J$5:$J$604,A211,Jobs!$AK$5:$AK$604,"&gt;0"),""))</f>
        <v>0</v>
      </c>
      <c r="AF211" s="34">
        <f>IF(OR(AE211="",X211=""),"",AE211-X211)</f>
        <v>0</v>
      </c>
      <c r="AG211" s="21">
        <f>IF(A211="","",SUMIFS(Jobs!$AJ$5:$AJ$604,Jobs!$J$5:$J$604,A211,Jobs!$P$5:$P$604,"Invoiced")+SUMIFS(Jobs!$AJ$5:$AJ$604,Jobs!$J$5:$J$604,A211,Jobs!$P$5:$P$604,"Completed"))</f>
        <v>0</v>
      </c>
      <c r="AH211" s="39">
        <f>IF(B211="","",IF(C211="","Add - no client linked",IF(IFERROR(INDEX(Clients!$B$5:$B$204,MATCH(C211,Clients!$A$5:$A$204,0)),"")="","Check - client ID not found",IF(AND(G211="",H211=""),"Add - size needed to price it",IF(AND(AF211&lt;&gt;"",AF211&gt;0.5),"Check - runs over the estimate",IF(N211="","Add - how do we get in?","OK"))))))</f>
        <v>0</v>
      </c>
    </row>
    <row r="212" spans="1:34">
      <c r="A212" s="43">
        <f>IF(B212="","",PropertyPrefix&amp;TEXT(ROW()-4,"0000"))</f>
        <v>0</v>
      </c>
      <c r="D212" s="23">
        <f>IF(C212="","",IFERROR(INDEX(Clients!$B$5:$B$204,MATCH(C212,Clients!$A$5:$A$204,0)),"Not found"))</f>
        <v>0</v>
      </c>
      <c r="W212" s="34">
        <f>IF(B212="","",MAX(IF(H212="",0,H212)*0.45+IF(I212="",0,I212)*0.6+IF(J212="",0,J212)*0.3,IF(G212="",0,G212)/650))</f>
        <v>0</v>
      </c>
      <c r="X212" s="34">
        <f>IF(B212="","",ROUND(MAX(1,W212)*IFERROR(INDEX(ConditionFactors,MATCH(L212,ConditionNames,0)),1),2))</f>
        <v>0</v>
      </c>
      <c r="Y212" s="34">
        <f>IF(B212="","",ROUND(X212/MAX(1,CleanersPerJob),2))</f>
        <v>0</v>
      </c>
      <c r="Z212" s="21">
        <f>IF(B212="","",MAX(MinimumCharge,ROUND(X212*IF(IFERROR(INDEX(Clients!$O$5:$O$204,MATCH(C212,Clients!$A$5:$A$204,0)),0)&gt;0,INDEX(Clients!$O$5:$O$204,MATCH(C212,Clients!$A$5:$A$204,0)),HourlyRate)+IF(M212="",0,IF(M212="None",0,PetSurcharge)),2)))</f>
        <v>0</v>
      </c>
      <c r="AA212" s="21">
        <f>IF(B212="","",ROUND(X212*CostPerHour,2))</f>
        <v>0</v>
      </c>
      <c r="AB212" s="38">
        <f>IF(B212="","",IF(Z212=0,"",(Z212-AA212-X212*SuppliesPerHour)/Z212))</f>
        <v>0</v>
      </c>
      <c r="AC212" s="31">
        <f>IF(A212="","",COUNTIFS(Jobs!$J$5:$J$604,A212))</f>
        <v>0</v>
      </c>
      <c r="AD212" s="18">
        <f>IF(A212="","",IF(SUMPRODUCT(MAX((Jobs!$J$5:$J$604=A212)*((Jobs!$P$5:$P$604="Completed")+(Jobs!$P$5:$P$604="Invoiced"))*Jobs!$B$5:$B$604))=0,"",SUMPRODUCT(MAX((Jobs!$J$5:$J$604=A212)*((Jobs!$P$5:$P$604="Completed")+(Jobs!$P$5:$P$604="Invoiced"))*Jobs!$B$5:$B$604))))</f>
        <v>0</v>
      </c>
      <c r="AE212" s="34">
        <f>IF(A212="","",IFERROR(AVERAGEIFS(Jobs!$AK$5:$AK$604,Jobs!$J$5:$J$604,A212,Jobs!$AK$5:$AK$604,"&gt;0"),""))</f>
        <v>0</v>
      </c>
      <c r="AF212" s="34">
        <f>IF(OR(AE212="",X212=""),"",AE212-X212)</f>
        <v>0</v>
      </c>
      <c r="AG212" s="21">
        <f>IF(A212="","",SUMIFS(Jobs!$AJ$5:$AJ$604,Jobs!$J$5:$J$604,A212,Jobs!$P$5:$P$604,"Invoiced")+SUMIFS(Jobs!$AJ$5:$AJ$604,Jobs!$J$5:$J$604,A212,Jobs!$P$5:$P$604,"Completed"))</f>
        <v>0</v>
      </c>
      <c r="AH212" s="39">
        <f>IF(B212="","",IF(C212="","Add - no client linked",IF(IFERROR(INDEX(Clients!$B$5:$B$204,MATCH(C212,Clients!$A$5:$A$204,0)),"")="","Check - client ID not found",IF(AND(G212="",H212=""),"Add - size needed to price it",IF(AND(AF212&lt;&gt;"",AF212&gt;0.5),"Check - runs over the estimate",IF(N212="","Add - how do we get in?","OK"))))))</f>
        <v>0</v>
      </c>
    </row>
    <row r="213" spans="1:34">
      <c r="A213" s="43">
        <f>IF(B213="","",PropertyPrefix&amp;TEXT(ROW()-4,"0000"))</f>
        <v>0</v>
      </c>
      <c r="D213" s="23">
        <f>IF(C213="","",IFERROR(INDEX(Clients!$B$5:$B$204,MATCH(C213,Clients!$A$5:$A$204,0)),"Not found"))</f>
        <v>0</v>
      </c>
      <c r="W213" s="34">
        <f>IF(B213="","",MAX(IF(H213="",0,H213)*0.45+IF(I213="",0,I213)*0.6+IF(J213="",0,J213)*0.3,IF(G213="",0,G213)/650))</f>
        <v>0</v>
      </c>
      <c r="X213" s="34">
        <f>IF(B213="","",ROUND(MAX(1,W213)*IFERROR(INDEX(ConditionFactors,MATCH(L213,ConditionNames,0)),1),2))</f>
        <v>0</v>
      </c>
      <c r="Y213" s="34">
        <f>IF(B213="","",ROUND(X213/MAX(1,CleanersPerJob),2))</f>
        <v>0</v>
      </c>
      <c r="Z213" s="21">
        <f>IF(B213="","",MAX(MinimumCharge,ROUND(X213*IF(IFERROR(INDEX(Clients!$O$5:$O$204,MATCH(C213,Clients!$A$5:$A$204,0)),0)&gt;0,INDEX(Clients!$O$5:$O$204,MATCH(C213,Clients!$A$5:$A$204,0)),HourlyRate)+IF(M213="",0,IF(M213="None",0,PetSurcharge)),2)))</f>
        <v>0</v>
      </c>
      <c r="AA213" s="21">
        <f>IF(B213="","",ROUND(X213*CostPerHour,2))</f>
        <v>0</v>
      </c>
      <c r="AB213" s="38">
        <f>IF(B213="","",IF(Z213=0,"",(Z213-AA213-X213*SuppliesPerHour)/Z213))</f>
        <v>0</v>
      </c>
      <c r="AC213" s="31">
        <f>IF(A213="","",COUNTIFS(Jobs!$J$5:$J$604,A213))</f>
        <v>0</v>
      </c>
      <c r="AD213" s="18">
        <f>IF(A213="","",IF(SUMPRODUCT(MAX((Jobs!$J$5:$J$604=A213)*((Jobs!$P$5:$P$604="Completed")+(Jobs!$P$5:$P$604="Invoiced"))*Jobs!$B$5:$B$604))=0,"",SUMPRODUCT(MAX((Jobs!$J$5:$J$604=A213)*((Jobs!$P$5:$P$604="Completed")+(Jobs!$P$5:$P$604="Invoiced"))*Jobs!$B$5:$B$604))))</f>
        <v>0</v>
      </c>
      <c r="AE213" s="34">
        <f>IF(A213="","",IFERROR(AVERAGEIFS(Jobs!$AK$5:$AK$604,Jobs!$J$5:$J$604,A213,Jobs!$AK$5:$AK$604,"&gt;0"),""))</f>
        <v>0</v>
      </c>
      <c r="AF213" s="34">
        <f>IF(OR(AE213="",X213=""),"",AE213-X213)</f>
        <v>0</v>
      </c>
      <c r="AG213" s="21">
        <f>IF(A213="","",SUMIFS(Jobs!$AJ$5:$AJ$604,Jobs!$J$5:$J$604,A213,Jobs!$P$5:$P$604,"Invoiced")+SUMIFS(Jobs!$AJ$5:$AJ$604,Jobs!$J$5:$J$604,A213,Jobs!$P$5:$P$604,"Completed"))</f>
        <v>0</v>
      </c>
      <c r="AH213" s="39">
        <f>IF(B213="","",IF(C213="","Add - no client linked",IF(IFERROR(INDEX(Clients!$B$5:$B$204,MATCH(C213,Clients!$A$5:$A$204,0)),"")="","Check - client ID not found",IF(AND(G213="",H213=""),"Add - size needed to price it",IF(AND(AF213&lt;&gt;"",AF213&gt;0.5),"Check - runs over the estimate",IF(N213="","Add - how do we get in?","OK"))))))</f>
        <v>0</v>
      </c>
    </row>
    <row r="214" spans="1:34">
      <c r="A214" s="43">
        <f>IF(B214="","",PropertyPrefix&amp;TEXT(ROW()-4,"0000"))</f>
        <v>0</v>
      </c>
      <c r="D214" s="23">
        <f>IF(C214="","",IFERROR(INDEX(Clients!$B$5:$B$204,MATCH(C214,Clients!$A$5:$A$204,0)),"Not found"))</f>
        <v>0</v>
      </c>
      <c r="W214" s="34">
        <f>IF(B214="","",MAX(IF(H214="",0,H214)*0.45+IF(I214="",0,I214)*0.6+IF(J214="",0,J214)*0.3,IF(G214="",0,G214)/650))</f>
        <v>0</v>
      </c>
      <c r="X214" s="34">
        <f>IF(B214="","",ROUND(MAX(1,W214)*IFERROR(INDEX(ConditionFactors,MATCH(L214,ConditionNames,0)),1),2))</f>
        <v>0</v>
      </c>
      <c r="Y214" s="34">
        <f>IF(B214="","",ROUND(X214/MAX(1,CleanersPerJob),2))</f>
        <v>0</v>
      </c>
      <c r="Z214" s="21">
        <f>IF(B214="","",MAX(MinimumCharge,ROUND(X214*IF(IFERROR(INDEX(Clients!$O$5:$O$204,MATCH(C214,Clients!$A$5:$A$204,0)),0)&gt;0,INDEX(Clients!$O$5:$O$204,MATCH(C214,Clients!$A$5:$A$204,0)),HourlyRate)+IF(M214="",0,IF(M214="None",0,PetSurcharge)),2)))</f>
        <v>0</v>
      </c>
      <c r="AA214" s="21">
        <f>IF(B214="","",ROUND(X214*CostPerHour,2))</f>
        <v>0</v>
      </c>
      <c r="AB214" s="38">
        <f>IF(B214="","",IF(Z214=0,"",(Z214-AA214-X214*SuppliesPerHour)/Z214))</f>
        <v>0</v>
      </c>
      <c r="AC214" s="31">
        <f>IF(A214="","",COUNTIFS(Jobs!$J$5:$J$604,A214))</f>
        <v>0</v>
      </c>
      <c r="AD214" s="18">
        <f>IF(A214="","",IF(SUMPRODUCT(MAX((Jobs!$J$5:$J$604=A214)*((Jobs!$P$5:$P$604="Completed")+(Jobs!$P$5:$P$604="Invoiced"))*Jobs!$B$5:$B$604))=0,"",SUMPRODUCT(MAX((Jobs!$J$5:$J$604=A214)*((Jobs!$P$5:$P$604="Completed")+(Jobs!$P$5:$P$604="Invoiced"))*Jobs!$B$5:$B$604))))</f>
        <v>0</v>
      </c>
      <c r="AE214" s="34">
        <f>IF(A214="","",IFERROR(AVERAGEIFS(Jobs!$AK$5:$AK$604,Jobs!$J$5:$J$604,A214,Jobs!$AK$5:$AK$604,"&gt;0"),""))</f>
        <v>0</v>
      </c>
      <c r="AF214" s="34">
        <f>IF(OR(AE214="",X214=""),"",AE214-X214)</f>
        <v>0</v>
      </c>
      <c r="AG214" s="21">
        <f>IF(A214="","",SUMIFS(Jobs!$AJ$5:$AJ$604,Jobs!$J$5:$J$604,A214,Jobs!$P$5:$P$604,"Invoiced")+SUMIFS(Jobs!$AJ$5:$AJ$604,Jobs!$J$5:$J$604,A214,Jobs!$P$5:$P$604,"Completed"))</f>
        <v>0</v>
      </c>
      <c r="AH214" s="39">
        <f>IF(B214="","",IF(C214="","Add - no client linked",IF(IFERROR(INDEX(Clients!$B$5:$B$204,MATCH(C214,Clients!$A$5:$A$204,0)),"")="","Check - client ID not found",IF(AND(G214="",H214=""),"Add - size needed to price it",IF(AND(AF214&lt;&gt;"",AF214&gt;0.5),"Check - runs over the estimate",IF(N214="","Add - how do we get in?","OK"))))))</f>
        <v>0</v>
      </c>
    </row>
    <row r="215" spans="1:34">
      <c r="A215" s="43">
        <f>IF(B215="","",PropertyPrefix&amp;TEXT(ROW()-4,"0000"))</f>
        <v>0</v>
      </c>
      <c r="D215" s="23">
        <f>IF(C215="","",IFERROR(INDEX(Clients!$B$5:$B$204,MATCH(C215,Clients!$A$5:$A$204,0)),"Not found"))</f>
        <v>0</v>
      </c>
      <c r="W215" s="34">
        <f>IF(B215="","",MAX(IF(H215="",0,H215)*0.45+IF(I215="",0,I215)*0.6+IF(J215="",0,J215)*0.3,IF(G215="",0,G215)/650))</f>
        <v>0</v>
      </c>
      <c r="X215" s="34">
        <f>IF(B215="","",ROUND(MAX(1,W215)*IFERROR(INDEX(ConditionFactors,MATCH(L215,ConditionNames,0)),1),2))</f>
        <v>0</v>
      </c>
      <c r="Y215" s="34">
        <f>IF(B215="","",ROUND(X215/MAX(1,CleanersPerJob),2))</f>
        <v>0</v>
      </c>
      <c r="Z215" s="21">
        <f>IF(B215="","",MAX(MinimumCharge,ROUND(X215*IF(IFERROR(INDEX(Clients!$O$5:$O$204,MATCH(C215,Clients!$A$5:$A$204,0)),0)&gt;0,INDEX(Clients!$O$5:$O$204,MATCH(C215,Clients!$A$5:$A$204,0)),HourlyRate)+IF(M215="",0,IF(M215="None",0,PetSurcharge)),2)))</f>
        <v>0</v>
      </c>
      <c r="AA215" s="21">
        <f>IF(B215="","",ROUND(X215*CostPerHour,2))</f>
        <v>0</v>
      </c>
      <c r="AB215" s="38">
        <f>IF(B215="","",IF(Z215=0,"",(Z215-AA215-X215*SuppliesPerHour)/Z215))</f>
        <v>0</v>
      </c>
      <c r="AC215" s="31">
        <f>IF(A215="","",COUNTIFS(Jobs!$J$5:$J$604,A215))</f>
        <v>0</v>
      </c>
      <c r="AD215" s="18">
        <f>IF(A215="","",IF(SUMPRODUCT(MAX((Jobs!$J$5:$J$604=A215)*((Jobs!$P$5:$P$604="Completed")+(Jobs!$P$5:$P$604="Invoiced"))*Jobs!$B$5:$B$604))=0,"",SUMPRODUCT(MAX((Jobs!$J$5:$J$604=A215)*((Jobs!$P$5:$P$604="Completed")+(Jobs!$P$5:$P$604="Invoiced"))*Jobs!$B$5:$B$604))))</f>
        <v>0</v>
      </c>
      <c r="AE215" s="34">
        <f>IF(A215="","",IFERROR(AVERAGEIFS(Jobs!$AK$5:$AK$604,Jobs!$J$5:$J$604,A215,Jobs!$AK$5:$AK$604,"&gt;0"),""))</f>
        <v>0</v>
      </c>
      <c r="AF215" s="34">
        <f>IF(OR(AE215="",X215=""),"",AE215-X215)</f>
        <v>0</v>
      </c>
      <c r="AG215" s="21">
        <f>IF(A215="","",SUMIFS(Jobs!$AJ$5:$AJ$604,Jobs!$J$5:$J$604,A215,Jobs!$P$5:$P$604,"Invoiced")+SUMIFS(Jobs!$AJ$5:$AJ$604,Jobs!$J$5:$J$604,A215,Jobs!$P$5:$P$604,"Completed"))</f>
        <v>0</v>
      </c>
      <c r="AH215" s="39">
        <f>IF(B215="","",IF(C215="","Add - no client linked",IF(IFERROR(INDEX(Clients!$B$5:$B$204,MATCH(C215,Clients!$A$5:$A$204,0)),"")="","Check - client ID not found",IF(AND(G215="",H215=""),"Add - size needed to price it",IF(AND(AF215&lt;&gt;"",AF215&gt;0.5),"Check - runs over the estimate",IF(N215="","Add - how do we get in?","OK"))))))</f>
        <v>0</v>
      </c>
    </row>
    <row r="216" spans="1:34">
      <c r="A216" s="43">
        <f>IF(B216="","",PropertyPrefix&amp;TEXT(ROW()-4,"0000"))</f>
        <v>0</v>
      </c>
      <c r="D216" s="23">
        <f>IF(C216="","",IFERROR(INDEX(Clients!$B$5:$B$204,MATCH(C216,Clients!$A$5:$A$204,0)),"Not found"))</f>
        <v>0</v>
      </c>
      <c r="W216" s="34">
        <f>IF(B216="","",MAX(IF(H216="",0,H216)*0.45+IF(I216="",0,I216)*0.6+IF(J216="",0,J216)*0.3,IF(G216="",0,G216)/650))</f>
        <v>0</v>
      </c>
      <c r="X216" s="34">
        <f>IF(B216="","",ROUND(MAX(1,W216)*IFERROR(INDEX(ConditionFactors,MATCH(L216,ConditionNames,0)),1),2))</f>
        <v>0</v>
      </c>
      <c r="Y216" s="34">
        <f>IF(B216="","",ROUND(X216/MAX(1,CleanersPerJob),2))</f>
        <v>0</v>
      </c>
      <c r="Z216" s="21">
        <f>IF(B216="","",MAX(MinimumCharge,ROUND(X216*IF(IFERROR(INDEX(Clients!$O$5:$O$204,MATCH(C216,Clients!$A$5:$A$204,0)),0)&gt;0,INDEX(Clients!$O$5:$O$204,MATCH(C216,Clients!$A$5:$A$204,0)),HourlyRate)+IF(M216="",0,IF(M216="None",0,PetSurcharge)),2)))</f>
        <v>0</v>
      </c>
      <c r="AA216" s="21">
        <f>IF(B216="","",ROUND(X216*CostPerHour,2))</f>
        <v>0</v>
      </c>
      <c r="AB216" s="38">
        <f>IF(B216="","",IF(Z216=0,"",(Z216-AA216-X216*SuppliesPerHour)/Z216))</f>
        <v>0</v>
      </c>
      <c r="AC216" s="31">
        <f>IF(A216="","",COUNTIFS(Jobs!$J$5:$J$604,A216))</f>
        <v>0</v>
      </c>
      <c r="AD216" s="18">
        <f>IF(A216="","",IF(SUMPRODUCT(MAX((Jobs!$J$5:$J$604=A216)*((Jobs!$P$5:$P$604="Completed")+(Jobs!$P$5:$P$604="Invoiced"))*Jobs!$B$5:$B$604))=0,"",SUMPRODUCT(MAX((Jobs!$J$5:$J$604=A216)*((Jobs!$P$5:$P$604="Completed")+(Jobs!$P$5:$P$604="Invoiced"))*Jobs!$B$5:$B$604))))</f>
        <v>0</v>
      </c>
      <c r="AE216" s="34">
        <f>IF(A216="","",IFERROR(AVERAGEIFS(Jobs!$AK$5:$AK$604,Jobs!$J$5:$J$604,A216,Jobs!$AK$5:$AK$604,"&gt;0"),""))</f>
        <v>0</v>
      </c>
      <c r="AF216" s="34">
        <f>IF(OR(AE216="",X216=""),"",AE216-X216)</f>
        <v>0</v>
      </c>
      <c r="AG216" s="21">
        <f>IF(A216="","",SUMIFS(Jobs!$AJ$5:$AJ$604,Jobs!$J$5:$J$604,A216,Jobs!$P$5:$P$604,"Invoiced")+SUMIFS(Jobs!$AJ$5:$AJ$604,Jobs!$J$5:$J$604,A216,Jobs!$P$5:$P$604,"Completed"))</f>
        <v>0</v>
      </c>
      <c r="AH216" s="39">
        <f>IF(B216="","",IF(C216="","Add - no client linked",IF(IFERROR(INDEX(Clients!$B$5:$B$204,MATCH(C216,Clients!$A$5:$A$204,0)),"")="","Check - client ID not found",IF(AND(G216="",H216=""),"Add - size needed to price it",IF(AND(AF216&lt;&gt;"",AF216&gt;0.5),"Check - runs over the estimate",IF(N216="","Add - how do we get in?","OK"))))))</f>
        <v>0</v>
      </c>
    </row>
    <row r="217" spans="1:34">
      <c r="A217" s="43">
        <f>IF(B217="","",PropertyPrefix&amp;TEXT(ROW()-4,"0000"))</f>
        <v>0</v>
      </c>
      <c r="D217" s="23">
        <f>IF(C217="","",IFERROR(INDEX(Clients!$B$5:$B$204,MATCH(C217,Clients!$A$5:$A$204,0)),"Not found"))</f>
        <v>0</v>
      </c>
      <c r="W217" s="34">
        <f>IF(B217="","",MAX(IF(H217="",0,H217)*0.45+IF(I217="",0,I217)*0.6+IF(J217="",0,J217)*0.3,IF(G217="",0,G217)/650))</f>
        <v>0</v>
      </c>
      <c r="X217" s="34">
        <f>IF(B217="","",ROUND(MAX(1,W217)*IFERROR(INDEX(ConditionFactors,MATCH(L217,ConditionNames,0)),1),2))</f>
        <v>0</v>
      </c>
      <c r="Y217" s="34">
        <f>IF(B217="","",ROUND(X217/MAX(1,CleanersPerJob),2))</f>
        <v>0</v>
      </c>
      <c r="Z217" s="21">
        <f>IF(B217="","",MAX(MinimumCharge,ROUND(X217*IF(IFERROR(INDEX(Clients!$O$5:$O$204,MATCH(C217,Clients!$A$5:$A$204,0)),0)&gt;0,INDEX(Clients!$O$5:$O$204,MATCH(C217,Clients!$A$5:$A$204,0)),HourlyRate)+IF(M217="",0,IF(M217="None",0,PetSurcharge)),2)))</f>
        <v>0</v>
      </c>
      <c r="AA217" s="21">
        <f>IF(B217="","",ROUND(X217*CostPerHour,2))</f>
        <v>0</v>
      </c>
      <c r="AB217" s="38">
        <f>IF(B217="","",IF(Z217=0,"",(Z217-AA217-X217*SuppliesPerHour)/Z217))</f>
        <v>0</v>
      </c>
      <c r="AC217" s="31">
        <f>IF(A217="","",COUNTIFS(Jobs!$J$5:$J$604,A217))</f>
        <v>0</v>
      </c>
      <c r="AD217" s="18">
        <f>IF(A217="","",IF(SUMPRODUCT(MAX((Jobs!$J$5:$J$604=A217)*((Jobs!$P$5:$P$604="Completed")+(Jobs!$P$5:$P$604="Invoiced"))*Jobs!$B$5:$B$604))=0,"",SUMPRODUCT(MAX((Jobs!$J$5:$J$604=A217)*((Jobs!$P$5:$P$604="Completed")+(Jobs!$P$5:$P$604="Invoiced"))*Jobs!$B$5:$B$604))))</f>
        <v>0</v>
      </c>
      <c r="AE217" s="34">
        <f>IF(A217="","",IFERROR(AVERAGEIFS(Jobs!$AK$5:$AK$604,Jobs!$J$5:$J$604,A217,Jobs!$AK$5:$AK$604,"&gt;0"),""))</f>
        <v>0</v>
      </c>
      <c r="AF217" s="34">
        <f>IF(OR(AE217="",X217=""),"",AE217-X217)</f>
        <v>0</v>
      </c>
      <c r="AG217" s="21">
        <f>IF(A217="","",SUMIFS(Jobs!$AJ$5:$AJ$604,Jobs!$J$5:$J$604,A217,Jobs!$P$5:$P$604,"Invoiced")+SUMIFS(Jobs!$AJ$5:$AJ$604,Jobs!$J$5:$J$604,A217,Jobs!$P$5:$P$604,"Completed"))</f>
        <v>0</v>
      </c>
      <c r="AH217" s="39">
        <f>IF(B217="","",IF(C217="","Add - no client linked",IF(IFERROR(INDEX(Clients!$B$5:$B$204,MATCH(C217,Clients!$A$5:$A$204,0)),"")="","Check - client ID not found",IF(AND(G217="",H217=""),"Add - size needed to price it",IF(AND(AF217&lt;&gt;"",AF217&gt;0.5),"Check - runs over the estimate",IF(N217="","Add - how do we get in?","OK"))))))</f>
        <v>0</v>
      </c>
    </row>
    <row r="218" spans="1:34">
      <c r="A218" s="43">
        <f>IF(B218="","",PropertyPrefix&amp;TEXT(ROW()-4,"0000"))</f>
        <v>0</v>
      </c>
      <c r="D218" s="23">
        <f>IF(C218="","",IFERROR(INDEX(Clients!$B$5:$B$204,MATCH(C218,Clients!$A$5:$A$204,0)),"Not found"))</f>
        <v>0</v>
      </c>
      <c r="W218" s="34">
        <f>IF(B218="","",MAX(IF(H218="",0,H218)*0.45+IF(I218="",0,I218)*0.6+IF(J218="",0,J218)*0.3,IF(G218="",0,G218)/650))</f>
        <v>0</v>
      </c>
      <c r="X218" s="34">
        <f>IF(B218="","",ROUND(MAX(1,W218)*IFERROR(INDEX(ConditionFactors,MATCH(L218,ConditionNames,0)),1),2))</f>
        <v>0</v>
      </c>
      <c r="Y218" s="34">
        <f>IF(B218="","",ROUND(X218/MAX(1,CleanersPerJob),2))</f>
        <v>0</v>
      </c>
      <c r="Z218" s="21">
        <f>IF(B218="","",MAX(MinimumCharge,ROUND(X218*IF(IFERROR(INDEX(Clients!$O$5:$O$204,MATCH(C218,Clients!$A$5:$A$204,0)),0)&gt;0,INDEX(Clients!$O$5:$O$204,MATCH(C218,Clients!$A$5:$A$204,0)),HourlyRate)+IF(M218="",0,IF(M218="None",0,PetSurcharge)),2)))</f>
        <v>0</v>
      </c>
      <c r="AA218" s="21">
        <f>IF(B218="","",ROUND(X218*CostPerHour,2))</f>
        <v>0</v>
      </c>
      <c r="AB218" s="38">
        <f>IF(B218="","",IF(Z218=0,"",(Z218-AA218-X218*SuppliesPerHour)/Z218))</f>
        <v>0</v>
      </c>
      <c r="AC218" s="31">
        <f>IF(A218="","",COUNTIFS(Jobs!$J$5:$J$604,A218))</f>
        <v>0</v>
      </c>
      <c r="AD218" s="18">
        <f>IF(A218="","",IF(SUMPRODUCT(MAX((Jobs!$J$5:$J$604=A218)*((Jobs!$P$5:$P$604="Completed")+(Jobs!$P$5:$P$604="Invoiced"))*Jobs!$B$5:$B$604))=0,"",SUMPRODUCT(MAX((Jobs!$J$5:$J$604=A218)*((Jobs!$P$5:$P$604="Completed")+(Jobs!$P$5:$P$604="Invoiced"))*Jobs!$B$5:$B$604))))</f>
        <v>0</v>
      </c>
      <c r="AE218" s="34">
        <f>IF(A218="","",IFERROR(AVERAGEIFS(Jobs!$AK$5:$AK$604,Jobs!$J$5:$J$604,A218,Jobs!$AK$5:$AK$604,"&gt;0"),""))</f>
        <v>0</v>
      </c>
      <c r="AF218" s="34">
        <f>IF(OR(AE218="",X218=""),"",AE218-X218)</f>
        <v>0</v>
      </c>
      <c r="AG218" s="21">
        <f>IF(A218="","",SUMIFS(Jobs!$AJ$5:$AJ$604,Jobs!$J$5:$J$604,A218,Jobs!$P$5:$P$604,"Invoiced")+SUMIFS(Jobs!$AJ$5:$AJ$604,Jobs!$J$5:$J$604,A218,Jobs!$P$5:$P$604,"Completed"))</f>
        <v>0</v>
      </c>
      <c r="AH218" s="39">
        <f>IF(B218="","",IF(C218="","Add - no client linked",IF(IFERROR(INDEX(Clients!$B$5:$B$204,MATCH(C218,Clients!$A$5:$A$204,0)),"")="","Check - client ID not found",IF(AND(G218="",H218=""),"Add - size needed to price it",IF(AND(AF218&lt;&gt;"",AF218&gt;0.5),"Check - runs over the estimate",IF(N218="","Add - how do we get in?","OK"))))))</f>
        <v>0</v>
      </c>
    </row>
    <row r="219" spans="1:34">
      <c r="A219" s="43">
        <f>IF(B219="","",PropertyPrefix&amp;TEXT(ROW()-4,"0000"))</f>
        <v>0</v>
      </c>
      <c r="D219" s="23">
        <f>IF(C219="","",IFERROR(INDEX(Clients!$B$5:$B$204,MATCH(C219,Clients!$A$5:$A$204,0)),"Not found"))</f>
        <v>0</v>
      </c>
      <c r="W219" s="34">
        <f>IF(B219="","",MAX(IF(H219="",0,H219)*0.45+IF(I219="",0,I219)*0.6+IF(J219="",0,J219)*0.3,IF(G219="",0,G219)/650))</f>
        <v>0</v>
      </c>
      <c r="X219" s="34">
        <f>IF(B219="","",ROUND(MAX(1,W219)*IFERROR(INDEX(ConditionFactors,MATCH(L219,ConditionNames,0)),1),2))</f>
        <v>0</v>
      </c>
      <c r="Y219" s="34">
        <f>IF(B219="","",ROUND(X219/MAX(1,CleanersPerJob),2))</f>
        <v>0</v>
      </c>
      <c r="Z219" s="21">
        <f>IF(B219="","",MAX(MinimumCharge,ROUND(X219*IF(IFERROR(INDEX(Clients!$O$5:$O$204,MATCH(C219,Clients!$A$5:$A$204,0)),0)&gt;0,INDEX(Clients!$O$5:$O$204,MATCH(C219,Clients!$A$5:$A$204,0)),HourlyRate)+IF(M219="",0,IF(M219="None",0,PetSurcharge)),2)))</f>
        <v>0</v>
      </c>
      <c r="AA219" s="21">
        <f>IF(B219="","",ROUND(X219*CostPerHour,2))</f>
        <v>0</v>
      </c>
      <c r="AB219" s="38">
        <f>IF(B219="","",IF(Z219=0,"",(Z219-AA219-X219*SuppliesPerHour)/Z219))</f>
        <v>0</v>
      </c>
      <c r="AC219" s="31">
        <f>IF(A219="","",COUNTIFS(Jobs!$J$5:$J$604,A219))</f>
        <v>0</v>
      </c>
      <c r="AD219" s="18">
        <f>IF(A219="","",IF(SUMPRODUCT(MAX((Jobs!$J$5:$J$604=A219)*((Jobs!$P$5:$P$604="Completed")+(Jobs!$P$5:$P$604="Invoiced"))*Jobs!$B$5:$B$604))=0,"",SUMPRODUCT(MAX((Jobs!$J$5:$J$604=A219)*((Jobs!$P$5:$P$604="Completed")+(Jobs!$P$5:$P$604="Invoiced"))*Jobs!$B$5:$B$604))))</f>
        <v>0</v>
      </c>
      <c r="AE219" s="34">
        <f>IF(A219="","",IFERROR(AVERAGEIFS(Jobs!$AK$5:$AK$604,Jobs!$J$5:$J$604,A219,Jobs!$AK$5:$AK$604,"&gt;0"),""))</f>
        <v>0</v>
      </c>
      <c r="AF219" s="34">
        <f>IF(OR(AE219="",X219=""),"",AE219-X219)</f>
        <v>0</v>
      </c>
      <c r="AG219" s="21">
        <f>IF(A219="","",SUMIFS(Jobs!$AJ$5:$AJ$604,Jobs!$J$5:$J$604,A219,Jobs!$P$5:$P$604,"Invoiced")+SUMIFS(Jobs!$AJ$5:$AJ$604,Jobs!$J$5:$J$604,A219,Jobs!$P$5:$P$604,"Completed"))</f>
        <v>0</v>
      </c>
      <c r="AH219" s="39">
        <f>IF(B219="","",IF(C219="","Add - no client linked",IF(IFERROR(INDEX(Clients!$B$5:$B$204,MATCH(C219,Clients!$A$5:$A$204,0)),"")="","Check - client ID not found",IF(AND(G219="",H219=""),"Add - size needed to price it",IF(AND(AF219&lt;&gt;"",AF219&gt;0.5),"Check - runs over the estimate",IF(N219="","Add - how do we get in?","OK"))))))</f>
        <v>0</v>
      </c>
    </row>
    <row r="220" spans="1:34">
      <c r="A220" s="43">
        <f>IF(B220="","",PropertyPrefix&amp;TEXT(ROW()-4,"0000"))</f>
        <v>0</v>
      </c>
      <c r="D220" s="23">
        <f>IF(C220="","",IFERROR(INDEX(Clients!$B$5:$B$204,MATCH(C220,Clients!$A$5:$A$204,0)),"Not found"))</f>
        <v>0</v>
      </c>
      <c r="W220" s="34">
        <f>IF(B220="","",MAX(IF(H220="",0,H220)*0.45+IF(I220="",0,I220)*0.6+IF(J220="",0,J220)*0.3,IF(G220="",0,G220)/650))</f>
        <v>0</v>
      </c>
      <c r="X220" s="34">
        <f>IF(B220="","",ROUND(MAX(1,W220)*IFERROR(INDEX(ConditionFactors,MATCH(L220,ConditionNames,0)),1),2))</f>
        <v>0</v>
      </c>
      <c r="Y220" s="34">
        <f>IF(B220="","",ROUND(X220/MAX(1,CleanersPerJob),2))</f>
        <v>0</v>
      </c>
      <c r="Z220" s="21">
        <f>IF(B220="","",MAX(MinimumCharge,ROUND(X220*IF(IFERROR(INDEX(Clients!$O$5:$O$204,MATCH(C220,Clients!$A$5:$A$204,0)),0)&gt;0,INDEX(Clients!$O$5:$O$204,MATCH(C220,Clients!$A$5:$A$204,0)),HourlyRate)+IF(M220="",0,IF(M220="None",0,PetSurcharge)),2)))</f>
        <v>0</v>
      </c>
      <c r="AA220" s="21">
        <f>IF(B220="","",ROUND(X220*CostPerHour,2))</f>
        <v>0</v>
      </c>
      <c r="AB220" s="38">
        <f>IF(B220="","",IF(Z220=0,"",(Z220-AA220-X220*SuppliesPerHour)/Z220))</f>
        <v>0</v>
      </c>
      <c r="AC220" s="31">
        <f>IF(A220="","",COUNTIFS(Jobs!$J$5:$J$604,A220))</f>
        <v>0</v>
      </c>
      <c r="AD220" s="18">
        <f>IF(A220="","",IF(SUMPRODUCT(MAX((Jobs!$J$5:$J$604=A220)*((Jobs!$P$5:$P$604="Completed")+(Jobs!$P$5:$P$604="Invoiced"))*Jobs!$B$5:$B$604))=0,"",SUMPRODUCT(MAX((Jobs!$J$5:$J$604=A220)*((Jobs!$P$5:$P$604="Completed")+(Jobs!$P$5:$P$604="Invoiced"))*Jobs!$B$5:$B$604))))</f>
        <v>0</v>
      </c>
      <c r="AE220" s="34">
        <f>IF(A220="","",IFERROR(AVERAGEIFS(Jobs!$AK$5:$AK$604,Jobs!$J$5:$J$604,A220,Jobs!$AK$5:$AK$604,"&gt;0"),""))</f>
        <v>0</v>
      </c>
      <c r="AF220" s="34">
        <f>IF(OR(AE220="",X220=""),"",AE220-X220)</f>
        <v>0</v>
      </c>
      <c r="AG220" s="21">
        <f>IF(A220="","",SUMIFS(Jobs!$AJ$5:$AJ$604,Jobs!$J$5:$J$604,A220,Jobs!$P$5:$P$604,"Invoiced")+SUMIFS(Jobs!$AJ$5:$AJ$604,Jobs!$J$5:$J$604,A220,Jobs!$P$5:$P$604,"Completed"))</f>
        <v>0</v>
      </c>
      <c r="AH220" s="39">
        <f>IF(B220="","",IF(C220="","Add - no client linked",IF(IFERROR(INDEX(Clients!$B$5:$B$204,MATCH(C220,Clients!$A$5:$A$204,0)),"")="","Check - client ID not found",IF(AND(G220="",H220=""),"Add - size needed to price it",IF(AND(AF220&lt;&gt;"",AF220&gt;0.5),"Check - runs over the estimate",IF(N220="","Add - how do we get in?","OK"))))))</f>
        <v>0</v>
      </c>
    </row>
    <row r="221" spans="1:34">
      <c r="A221" s="43">
        <f>IF(B221="","",PropertyPrefix&amp;TEXT(ROW()-4,"0000"))</f>
        <v>0</v>
      </c>
      <c r="D221" s="23">
        <f>IF(C221="","",IFERROR(INDEX(Clients!$B$5:$B$204,MATCH(C221,Clients!$A$5:$A$204,0)),"Not found"))</f>
        <v>0</v>
      </c>
      <c r="W221" s="34">
        <f>IF(B221="","",MAX(IF(H221="",0,H221)*0.45+IF(I221="",0,I221)*0.6+IF(J221="",0,J221)*0.3,IF(G221="",0,G221)/650))</f>
        <v>0</v>
      </c>
      <c r="X221" s="34">
        <f>IF(B221="","",ROUND(MAX(1,W221)*IFERROR(INDEX(ConditionFactors,MATCH(L221,ConditionNames,0)),1),2))</f>
        <v>0</v>
      </c>
      <c r="Y221" s="34">
        <f>IF(B221="","",ROUND(X221/MAX(1,CleanersPerJob),2))</f>
        <v>0</v>
      </c>
      <c r="Z221" s="21">
        <f>IF(B221="","",MAX(MinimumCharge,ROUND(X221*IF(IFERROR(INDEX(Clients!$O$5:$O$204,MATCH(C221,Clients!$A$5:$A$204,0)),0)&gt;0,INDEX(Clients!$O$5:$O$204,MATCH(C221,Clients!$A$5:$A$204,0)),HourlyRate)+IF(M221="",0,IF(M221="None",0,PetSurcharge)),2)))</f>
        <v>0</v>
      </c>
      <c r="AA221" s="21">
        <f>IF(B221="","",ROUND(X221*CostPerHour,2))</f>
        <v>0</v>
      </c>
      <c r="AB221" s="38">
        <f>IF(B221="","",IF(Z221=0,"",(Z221-AA221-X221*SuppliesPerHour)/Z221))</f>
        <v>0</v>
      </c>
      <c r="AC221" s="31">
        <f>IF(A221="","",COUNTIFS(Jobs!$J$5:$J$604,A221))</f>
        <v>0</v>
      </c>
      <c r="AD221" s="18">
        <f>IF(A221="","",IF(SUMPRODUCT(MAX((Jobs!$J$5:$J$604=A221)*((Jobs!$P$5:$P$604="Completed")+(Jobs!$P$5:$P$604="Invoiced"))*Jobs!$B$5:$B$604))=0,"",SUMPRODUCT(MAX((Jobs!$J$5:$J$604=A221)*((Jobs!$P$5:$P$604="Completed")+(Jobs!$P$5:$P$604="Invoiced"))*Jobs!$B$5:$B$604))))</f>
        <v>0</v>
      </c>
      <c r="AE221" s="34">
        <f>IF(A221="","",IFERROR(AVERAGEIFS(Jobs!$AK$5:$AK$604,Jobs!$J$5:$J$604,A221,Jobs!$AK$5:$AK$604,"&gt;0"),""))</f>
        <v>0</v>
      </c>
      <c r="AF221" s="34">
        <f>IF(OR(AE221="",X221=""),"",AE221-X221)</f>
        <v>0</v>
      </c>
      <c r="AG221" s="21">
        <f>IF(A221="","",SUMIFS(Jobs!$AJ$5:$AJ$604,Jobs!$J$5:$J$604,A221,Jobs!$P$5:$P$604,"Invoiced")+SUMIFS(Jobs!$AJ$5:$AJ$604,Jobs!$J$5:$J$604,A221,Jobs!$P$5:$P$604,"Completed"))</f>
        <v>0</v>
      </c>
      <c r="AH221" s="39">
        <f>IF(B221="","",IF(C221="","Add - no client linked",IF(IFERROR(INDEX(Clients!$B$5:$B$204,MATCH(C221,Clients!$A$5:$A$204,0)),"")="","Check - client ID not found",IF(AND(G221="",H221=""),"Add - size needed to price it",IF(AND(AF221&lt;&gt;"",AF221&gt;0.5),"Check - runs over the estimate",IF(N221="","Add - how do we get in?","OK"))))))</f>
        <v>0</v>
      </c>
    </row>
    <row r="222" spans="1:34">
      <c r="A222" s="43">
        <f>IF(B222="","",PropertyPrefix&amp;TEXT(ROW()-4,"0000"))</f>
        <v>0</v>
      </c>
      <c r="D222" s="23">
        <f>IF(C222="","",IFERROR(INDEX(Clients!$B$5:$B$204,MATCH(C222,Clients!$A$5:$A$204,0)),"Not found"))</f>
        <v>0</v>
      </c>
      <c r="W222" s="34">
        <f>IF(B222="","",MAX(IF(H222="",0,H222)*0.45+IF(I222="",0,I222)*0.6+IF(J222="",0,J222)*0.3,IF(G222="",0,G222)/650))</f>
        <v>0</v>
      </c>
      <c r="X222" s="34">
        <f>IF(B222="","",ROUND(MAX(1,W222)*IFERROR(INDEX(ConditionFactors,MATCH(L222,ConditionNames,0)),1),2))</f>
        <v>0</v>
      </c>
      <c r="Y222" s="34">
        <f>IF(B222="","",ROUND(X222/MAX(1,CleanersPerJob),2))</f>
        <v>0</v>
      </c>
      <c r="Z222" s="21">
        <f>IF(B222="","",MAX(MinimumCharge,ROUND(X222*IF(IFERROR(INDEX(Clients!$O$5:$O$204,MATCH(C222,Clients!$A$5:$A$204,0)),0)&gt;0,INDEX(Clients!$O$5:$O$204,MATCH(C222,Clients!$A$5:$A$204,0)),HourlyRate)+IF(M222="",0,IF(M222="None",0,PetSurcharge)),2)))</f>
        <v>0</v>
      </c>
      <c r="AA222" s="21">
        <f>IF(B222="","",ROUND(X222*CostPerHour,2))</f>
        <v>0</v>
      </c>
      <c r="AB222" s="38">
        <f>IF(B222="","",IF(Z222=0,"",(Z222-AA222-X222*SuppliesPerHour)/Z222))</f>
        <v>0</v>
      </c>
      <c r="AC222" s="31">
        <f>IF(A222="","",COUNTIFS(Jobs!$J$5:$J$604,A222))</f>
        <v>0</v>
      </c>
      <c r="AD222" s="18">
        <f>IF(A222="","",IF(SUMPRODUCT(MAX((Jobs!$J$5:$J$604=A222)*((Jobs!$P$5:$P$604="Completed")+(Jobs!$P$5:$P$604="Invoiced"))*Jobs!$B$5:$B$604))=0,"",SUMPRODUCT(MAX((Jobs!$J$5:$J$604=A222)*((Jobs!$P$5:$P$604="Completed")+(Jobs!$P$5:$P$604="Invoiced"))*Jobs!$B$5:$B$604))))</f>
        <v>0</v>
      </c>
      <c r="AE222" s="34">
        <f>IF(A222="","",IFERROR(AVERAGEIFS(Jobs!$AK$5:$AK$604,Jobs!$J$5:$J$604,A222,Jobs!$AK$5:$AK$604,"&gt;0"),""))</f>
        <v>0</v>
      </c>
      <c r="AF222" s="34">
        <f>IF(OR(AE222="",X222=""),"",AE222-X222)</f>
        <v>0</v>
      </c>
      <c r="AG222" s="21">
        <f>IF(A222="","",SUMIFS(Jobs!$AJ$5:$AJ$604,Jobs!$J$5:$J$604,A222,Jobs!$P$5:$P$604,"Invoiced")+SUMIFS(Jobs!$AJ$5:$AJ$604,Jobs!$J$5:$J$604,A222,Jobs!$P$5:$P$604,"Completed"))</f>
        <v>0</v>
      </c>
      <c r="AH222" s="39">
        <f>IF(B222="","",IF(C222="","Add - no client linked",IF(IFERROR(INDEX(Clients!$B$5:$B$204,MATCH(C222,Clients!$A$5:$A$204,0)),"")="","Check - client ID not found",IF(AND(G222="",H222=""),"Add - size needed to price it",IF(AND(AF222&lt;&gt;"",AF222&gt;0.5),"Check - runs over the estimate",IF(N222="","Add - how do we get in?","OK"))))))</f>
        <v>0</v>
      </c>
    </row>
    <row r="223" spans="1:34">
      <c r="A223" s="43">
        <f>IF(B223="","",PropertyPrefix&amp;TEXT(ROW()-4,"0000"))</f>
        <v>0</v>
      </c>
      <c r="D223" s="23">
        <f>IF(C223="","",IFERROR(INDEX(Clients!$B$5:$B$204,MATCH(C223,Clients!$A$5:$A$204,0)),"Not found"))</f>
        <v>0</v>
      </c>
      <c r="W223" s="34">
        <f>IF(B223="","",MAX(IF(H223="",0,H223)*0.45+IF(I223="",0,I223)*0.6+IF(J223="",0,J223)*0.3,IF(G223="",0,G223)/650))</f>
        <v>0</v>
      </c>
      <c r="X223" s="34">
        <f>IF(B223="","",ROUND(MAX(1,W223)*IFERROR(INDEX(ConditionFactors,MATCH(L223,ConditionNames,0)),1),2))</f>
        <v>0</v>
      </c>
      <c r="Y223" s="34">
        <f>IF(B223="","",ROUND(X223/MAX(1,CleanersPerJob),2))</f>
        <v>0</v>
      </c>
      <c r="Z223" s="21">
        <f>IF(B223="","",MAX(MinimumCharge,ROUND(X223*IF(IFERROR(INDEX(Clients!$O$5:$O$204,MATCH(C223,Clients!$A$5:$A$204,0)),0)&gt;0,INDEX(Clients!$O$5:$O$204,MATCH(C223,Clients!$A$5:$A$204,0)),HourlyRate)+IF(M223="",0,IF(M223="None",0,PetSurcharge)),2)))</f>
        <v>0</v>
      </c>
      <c r="AA223" s="21">
        <f>IF(B223="","",ROUND(X223*CostPerHour,2))</f>
        <v>0</v>
      </c>
      <c r="AB223" s="38">
        <f>IF(B223="","",IF(Z223=0,"",(Z223-AA223-X223*SuppliesPerHour)/Z223))</f>
        <v>0</v>
      </c>
      <c r="AC223" s="31">
        <f>IF(A223="","",COUNTIFS(Jobs!$J$5:$J$604,A223))</f>
        <v>0</v>
      </c>
      <c r="AD223" s="18">
        <f>IF(A223="","",IF(SUMPRODUCT(MAX((Jobs!$J$5:$J$604=A223)*((Jobs!$P$5:$P$604="Completed")+(Jobs!$P$5:$P$604="Invoiced"))*Jobs!$B$5:$B$604))=0,"",SUMPRODUCT(MAX((Jobs!$J$5:$J$604=A223)*((Jobs!$P$5:$P$604="Completed")+(Jobs!$P$5:$P$604="Invoiced"))*Jobs!$B$5:$B$604))))</f>
        <v>0</v>
      </c>
      <c r="AE223" s="34">
        <f>IF(A223="","",IFERROR(AVERAGEIFS(Jobs!$AK$5:$AK$604,Jobs!$J$5:$J$604,A223,Jobs!$AK$5:$AK$604,"&gt;0"),""))</f>
        <v>0</v>
      </c>
      <c r="AF223" s="34">
        <f>IF(OR(AE223="",X223=""),"",AE223-X223)</f>
        <v>0</v>
      </c>
      <c r="AG223" s="21">
        <f>IF(A223="","",SUMIFS(Jobs!$AJ$5:$AJ$604,Jobs!$J$5:$J$604,A223,Jobs!$P$5:$P$604,"Invoiced")+SUMIFS(Jobs!$AJ$5:$AJ$604,Jobs!$J$5:$J$604,A223,Jobs!$P$5:$P$604,"Completed"))</f>
        <v>0</v>
      </c>
      <c r="AH223" s="39">
        <f>IF(B223="","",IF(C223="","Add - no client linked",IF(IFERROR(INDEX(Clients!$B$5:$B$204,MATCH(C223,Clients!$A$5:$A$204,0)),"")="","Check - client ID not found",IF(AND(G223="",H223=""),"Add - size needed to price it",IF(AND(AF223&lt;&gt;"",AF223&gt;0.5),"Check - runs over the estimate",IF(N223="","Add - how do we get in?","OK"))))))</f>
        <v>0</v>
      </c>
    </row>
    <row r="224" spans="1:34">
      <c r="A224" s="43">
        <f>IF(B224="","",PropertyPrefix&amp;TEXT(ROW()-4,"0000"))</f>
        <v>0</v>
      </c>
      <c r="D224" s="23">
        <f>IF(C224="","",IFERROR(INDEX(Clients!$B$5:$B$204,MATCH(C224,Clients!$A$5:$A$204,0)),"Not found"))</f>
        <v>0</v>
      </c>
      <c r="W224" s="34">
        <f>IF(B224="","",MAX(IF(H224="",0,H224)*0.45+IF(I224="",0,I224)*0.6+IF(J224="",0,J224)*0.3,IF(G224="",0,G224)/650))</f>
        <v>0</v>
      </c>
      <c r="X224" s="34">
        <f>IF(B224="","",ROUND(MAX(1,W224)*IFERROR(INDEX(ConditionFactors,MATCH(L224,ConditionNames,0)),1),2))</f>
        <v>0</v>
      </c>
      <c r="Y224" s="34">
        <f>IF(B224="","",ROUND(X224/MAX(1,CleanersPerJob),2))</f>
        <v>0</v>
      </c>
      <c r="Z224" s="21">
        <f>IF(B224="","",MAX(MinimumCharge,ROUND(X224*IF(IFERROR(INDEX(Clients!$O$5:$O$204,MATCH(C224,Clients!$A$5:$A$204,0)),0)&gt;0,INDEX(Clients!$O$5:$O$204,MATCH(C224,Clients!$A$5:$A$204,0)),HourlyRate)+IF(M224="",0,IF(M224="None",0,PetSurcharge)),2)))</f>
        <v>0</v>
      </c>
      <c r="AA224" s="21">
        <f>IF(B224="","",ROUND(X224*CostPerHour,2))</f>
        <v>0</v>
      </c>
      <c r="AB224" s="38">
        <f>IF(B224="","",IF(Z224=0,"",(Z224-AA224-X224*SuppliesPerHour)/Z224))</f>
        <v>0</v>
      </c>
      <c r="AC224" s="31">
        <f>IF(A224="","",COUNTIFS(Jobs!$J$5:$J$604,A224))</f>
        <v>0</v>
      </c>
      <c r="AD224" s="18">
        <f>IF(A224="","",IF(SUMPRODUCT(MAX((Jobs!$J$5:$J$604=A224)*((Jobs!$P$5:$P$604="Completed")+(Jobs!$P$5:$P$604="Invoiced"))*Jobs!$B$5:$B$604))=0,"",SUMPRODUCT(MAX((Jobs!$J$5:$J$604=A224)*((Jobs!$P$5:$P$604="Completed")+(Jobs!$P$5:$P$604="Invoiced"))*Jobs!$B$5:$B$604))))</f>
        <v>0</v>
      </c>
      <c r="AE224" s="34">
        <f>IF(A224="","",IFERROR(AVERAGEIFS(Jobs!$AK$5:$AK$604,Jobs!$J$5:$J$604,A224,Jobs!$AK$5:$AK$604,"&gt;0"),""))</f>
        <v>0</v>
      </c>
      <c r="AF224" s="34">
        <f>IF(OR(AE224="",X224=""),"",AE224-X224)</f>
        <v>0</v>
      </c>
      <c r="AG224" s="21">
        <f>IF(A224="","",SUMIFS(Jobs!$AJ$5:$AJ$604,Jobs!$J$5:$J$604,A224,Jobs!$P$5:$P$604,"Invoiced")+SUMIFS(Jobs!$AJ$5:$AJ$604,Jobs!$J$5:$J$604,A224,Jobs!$P$5:$P$604,"Completed"))</f>
        <v>0</v>
      </c>
      <c r="AH224" s="39">
        <f>IF(B224="","",IF(C224="","Add - no client linked",IF(IFERROR(INDEX(Clients!$B$5:$B$204,MATCH(C224,Clients!$A$5:$A$204,0)),"")="","Check - client ID not found",IF(AND(G224="",H224=""),"Add - size needed to price it",IF(AND(AF224&lt;&gt;"",AF224&gt;0.5),"Check - runs over the estimate",IF(N224="","Add - how do we get in?","OK"))))))</f>
        <v>0</v>
      </c>
    </row>
    <row r="225" spans="1:34">
      <c r="A225" s="43">
        <f>IF(B225="","",PropertyPrefix&amp;TEXT(ROW()-4,"0000"))</f>
        <v>0</v>
      </c>
      <c r="D225" s="23">
        <f>IF(C225="","",IFERROR(INDEX(Clients!$B$5:$B$204,MATCH(C225,Clients!$A$5:$A$204,0)),"Not found"))</f>
        <v>0</v>
      </c>
      <c r="W225" s="34">
        <f>IF(B225="","",MAX(IF(H225="",0,H225)*0.45+IF(I225="",0,I225)*0.6+IF(J225="",0,J225)*0.3,IF(G225="",0,G225)/650))</f>
        <v>0</v>
      </c>
      <c r="X225" s="34">
        <f>IF(B225="","",ROUND(MAX(1,W225)*IFERROR(INDEX(ConditionFactors,MATCH(L225,ConditionNames,0)),1),2))</f>
        <v>0</v>
      </c>
      <c r="Y225" s="34">
        <f>IF(B225="","",ROUND(X225/MAX(1,CleanersPerJob),2))</f>
        <v>0</v>
      </c>
      <c r="Z225" s="21">
        <f>IF(B225="","",MAX(MinimumCharge,ROUND(X225*IF(IFERROR(INDEX(Clients!$O$5:$O$204,MATCH(C225,Clients!$A$5:$A$204,0)),0)&gt;0,INDEX(Clients!$O$5:$O$204,MATCH(C225,Clients!$A$5:$A$204,0)),HourlyRate)+IF(M225="",0,IF(M225="None",0,PetSurcharge)),2)))</f>
        <v>0</v>
      </c>
      <c r="AA225" s="21">
        <f>IF(B225="","",ROUND(X225*CostPerHour,2))</f>
        <v>0</v>
      </c>
      <c r="AB225" s="38">
        <f>IF(B225="","",IF(Z225=0,"",(Z225-AA225-X225*SuppliesPerHour)/Z225))</f>
        <v>0</v>
      </c>
      <c r="AC225" s="31">
        <f>IF(A225="","",COUNTIFS(Jobs!$J$5:$J$604,A225))</f>
        <v>0</v>
      </c>
      <c r="AD225" s="18">
        <f>IF(A225="","",IF(SUMPRODUCT(MAX((Jobs!$J$5:$J$604=A225)*((Jobs!$P$5:$P$604="Completed")+(Jobs!$P$5:$P$604="Invoiced"))*Jobs!$B$5:$B$604))=0,"",SUMPRODUCT(MAX((Jobs!$J$5:$J$604=A225)*((Jobs!$P$5:$P$604="Completed")+(Jobs!$P$5:$P$604="Invoiced"))*Jobs!$B$5:$B$604))))</f>
        <v>0</v>
      </c>
      <c r="AE225" s="34">
        <f>IF(A225="","",IFERROR(AVERAGEIFS(Jobs!$AK$5:$AK$604,Jobs!$J$5:$J$604,A225,Jobs!$AK$5:$AK$604,"&gt;0"),""))</f>
        <v>0</v>
      </c>
      <c r="AF225" s="34">
        <f>IF(OR(AE225="",X225=""),"",AE225-X225)</f>
        <v>0</v>
      </c>
      <c r="AG225" s="21">
        <f>IF(A225="","",SUMIFS(Jobs!$AJ$5:$AJ$604,Jobs!$J$5:$J$604,A225,Jobs!$P$5:$P$604,"Invoiced")+SUMIFS(Jobs!$AJ$5:$AJ$604,Jobs!$J$5:$J$604,A225,Jobs!$P$5:$P$604,"Completed"))</f>
        <v>0</v>
      </c>
      <c r="AH225" s="39">
        <f>IF(B225="","",IF(C225="","Add - no client linked",IF(IFERROR(INDEX(Clients!$B$5:$B$204,MATCH(C225,Clients!$A$5:$A$204,0)),"")="","Check - client ID not found",IF(AND(G225="",H225=""),"Add - size needed to price it",IF(AND(AF225&lt;&gt;"",AF225&gt;0.5),"Check - runs over the estimate",IF(N225="","Add - how do we get in?","OK"))))))</f>
        <v>0</v>
      </c>
    </row>
    <row r="226" spans="1:34">
      <c r="A226" s="43">
        <f>IF(B226="","",PropertyPrefix&amp;TEXT(ROW()-4,"0000"))</f>
        <v>0</v>
      </c>
      <c r="D226" s="23">
        <f>IF(C226="","",IFERROR(INDEX(Clients!$B$5:$B$204,MATCH(C226,Clients!$A$5:$A$204,0)),"Not found"))</f>
        <v>0</v>
      </c>
      <c r="W226" s="34">
        <f>IF(B226="","",MAX(IF(H226="",0,H226)*0.45+IF(I226="",0,I226)*0.6+IF(J226="",0,J226)*0.3,IF(G226="",0,G226)/650))</f>
        <v>0</v>
      </c>
      <c r="X226" s="34">
        <f>IF(B226="","",ROUND(MAX(1,W226)*IFERROR(INDEX(ConditionFactors,MATCH(L226,ConditionNames,0)),1),2))</f>
        <v>0</v>
      </c>
      <c r="Y226" s="34">
        <f>IF(B226="","",ROUND(X226/MAX(1,CleanersPerJob),2))</f>
        <v>0</v>
      </c>
      <c r="Z226" s="21">
        <f>IF(B226="","",MAX(MinimumCharge,ROUND(X226*IF(IFERROR(INDEX(Clients!$O$5:$O$204,MATCH(C226,Clients!$A$5:$A$204,0)),0)&gt;0,INDEX(Clients!$O$5:$O$204,MATCH(C226,Clients!$A$5:$A$204,0)),HourlyRate)+IF(M226="",0,IF(M226="None",0,PetSurcharge)),2)))</f>
        <v>0</v>
      </c>
      <c r="AA226" s="21">
        <f>IF(B226="","",ROUND(X226*CostPerHour,2))</f>
        <v>0</v>
      </c>
      <c r="AB226" s="38">
        <f>IF(B226="","",IF(Z226=0,"",(Z226-AA226-X226*SuppliesPerHour)/Z226))</f>
        <v>0</v>
      </c>
      <c r="AC226" s="31">
        <f>IF(A226="","",COUNTIFS(Jobs!$J$5:$J$604,A226))</f>
        <v>0</v>
      </c>
      <c r="AD226" s="18">
        <f>IF(A226="","",IF(SUMPRODUCT(MAX((Jobs!$J$5:$J$604=A226)*((Jobs!$P$5:$P$604="Completed")+(Jobs!$P$5:$P$604="Invoiced"))*Jobs!$B$5:$B$604))=0,"",SUMPRODUCT(MAX((Jobs!$J$5:$J$604=A226)*((Jobs!$P$5:$P$604="Completed")+(Jobs!$P$5:$P$604="Invoiced"))*Jobs!$B$5:$B$604))))</f>
        <v>0</v>
      </c>
      <c r="AE226" s="34">
        <f>IF(A226="","",IFERROR(AVERAGEIFS(Jobs!$AK$5:$AK$604,Jobs!$J$5:$J$604,A226,Jobs!$AK$5:$AK$604,"&gt;0"),""))</f>
        <v>0</v>
      </c>
      <c r="AF226" s="34">
        <f>IF(OR(AE226="",X226=""),"",AE226-X226)</f>
        <v>0</v>
      </c>
      <c r="AG226" s="21">
        <f>IF(A226="","",SUMIFS(Jobs!$AJ$5:$AJ$604,Jobs!$J$5:$J$604,A226,Jobs!$P$5:$P$604,"Invoiced")+SUMIFS(Jobs!$AJ$5:$AJ$604,Jobs!$J$5:$J$604,A226,Jobs!$P$5:$P$604,"Completed"))</f>
        <v>0</v>
      </c>
      <c r="AH226" s="39">
        <f>IF(B226="","",IF(C226="","Add - no client linked",IF(IFERROR(INDEX(Clients!$B$5:$B$204,MATCH(C226,Clients!$A$5:$A$204,0)),"")="","Check - client ID not found",IF(AND(G226="",H226=""),"Add - size needed to price it",IF(AND(AF226&lt;&gt;"",AF226&gt;0.5),"Check - runs over the estimate",IF(N226="","Add - how do we get in?","OK"))))))</f>
        <v>0</v>
      </c>
    </row>
    <row r="227" spans="1:34">
      <c r="A227" s="43">
        <f>IF(B227="","",PropertyPrefix&amp;TEXT(ROW()-4,"0000"))</f>
        <v>0</v>
      </c>
      <c r="D227" s="23">
        <f>IF(C227="","",IFERROR(INDEX(Clients!$B$5:$B$204,MATCH(C227,Clients!$A$5:$A$204,0)),"Not found"))</f>
        <v>0</v>
      </c>
      <c r="W227" s="34">
        <f>IF(B227="","",MAX(IF(H227="",0,H227)*0.45+IF(I227="",0,I227)*0.6+IF(J227="",0,J227)*0.3,IF(G227="",0,G227)/650))</f>
        <v>0</v>
      </c>
      <c r="X227" s="34">
        <f>IF(B227="","",ROUND(MAX(1,W227)*IFERROR(INDEX(ConditionFactors,MATCH(L227,ConditionNames,0)),1),2))</f>
        <v>0</v>
      </c>
      <c r="Y227" s="34">
        <f>IF(B227="","",ROUND(X227/MAX(1,CleanersPerJob),2))</f>
        <v>0</v>
      </c>
      <c r="Z227" s="21">
        <f>IF(B227="","",MAX(MinimumCharge,ROUND(X227*IF(IFERROR(INDEX(Clients!$O$5:$O$204,MATCH(C227,Clients!$A$5:$A$204,0)),0)&gt;0,INDEX(Clients!$O$5:$O$204,MATCH(C227,Clients!$A$5:$A$204,0)),HourlyRate)+IF(M227="",0,IF(M227="None",0,PetSurcharge)),2)))</f>
        <v>0</v>
      </c>
      <c r="AA227" s="21">
        <f>IF(B227="","",ROUND(X227*CostPerHour,2))</f>
        <v>0</v>
      </c>
      <c r="AB227" s="38">
        <f>IF(B227="","",IF(Z227=0,"",(Z227-AA227-X227*SuppliesPerHour)/Z227))</f>
        <v>0</v>
      </c>
      <c r="AC227" s="31">
        <f>IF(A227="","",COUNTIFS(Jobs!$J$5:$J$604,A227))</f>
        <v>0</v>
      </c>
      <c r="AD227" s="18">
        <f>IF(A227="","",IF(SUMPRODUCT(MAX((Jobs!$J$5:$J$604=A227)*((Jobs!$P$5:$P$604="Completed")+(Jobs!$P$5:$P$604="Invoiced"))*Jobs!$B$5:$B$604))=0,"",SUMPRODUCT(MAX((Jobs!$J$5:$J$604=A227)*((Jobs!$P$5:$P$604="Completed")+(Jobs!$P$5:$P$604="Invoiced"))*Jobs!$B$5:$B$604))))</f>
        <v>0</v>
      </c>
      <c r="AE227" s="34">
        <f>IF(A227="","",IFERROR(AVERAGEIFS(Jobs!$AK$5:$AK$604,Jobs!$J$5:$J$604,A227,Jobs!$AK$5:$AK$604,"&gt;0"),""))</f>
        <v>0</v>
      </c>
      <c r="AF227" s="34">
        <f>IF(OR(AE227="",X227=""),"",AE227-X227)</f>
        <v>0</v>
      </c>
      <c r="AG227" s="21">
        <f>IF(A227="","",SUMIFS(Jobs!$AJ$5:$AJ$604,Jobs!$J$5:$J$604,A227,Jobs!$P$5:$P$604,"Invoiced")+SUMIFS(Jobs!$AJ$5:$AJ$604,Jobs!$J$5:$J$604,A227,Jobs!$P$5:$P$604,"Completed"))</f>
        <v>0</v>
      </c>
      <c r="AH227" s="39">
        <f>IF(B227="","",IF(C227="","Add - no client linked",IF(IFERROR(INDEX(Clients!$B$5:$B$204,MATCH(C227,Clients!$A$5:$A$204,0)),"")="","Check - client ID not found",IF(AND(G227="",H227=""),"Add - size needed to price it",IF(AND(AF227&lt;&gt;"",AF227&gt;0.5),"Check - runs over the estimate",IF(N227="","Add - how do we get in?","OK"))))))</f>
        <v>0</v>
      </c>
    </row>
    <row r="228" spans="1:34">
      <c r="A228" s="43">
        <f>IF(B228="","",PropertyPrefix&amp;TEXT(ROW()-4,"0000"))</f>
        <v>0</v>
      </c>
      <c r="D228" s="23">
        <f>IF(C228="","",IFERROR(INDEX(Clients!$B$5:$B$204,MATCH(C228,Clients!$A$5:$A$204,0)),"Not found"))</f>
        <v>0</v>
      </c>
      <c r="W228" s="34">
        <f>IF(B228="","",MAX(IF(H228="",0,H228)*0.45+IF(I228="",0,I228)*0.6+IF(J228="",0,J228)*0.3,IF(G228="",0,G228)/650))</f>
        <v>0</v>
      </c>
      <c r="X228" s="34">
        <f>IF(B228="","",ROUND(MAX(1,W228)*IFERROR(INDEX(ConditionFactors,MATCH(L228,ConditionNames,0)),1),2))</f>
        <v>0</v>
      </c>
      <c r="Y228" s="34">
        <f>IF(B228="","",ROUND(X228/MAX(1,CleanersPerJob),2))</f>
        <v>0</v>
      </c>
      <c r="Z228" s="21">
        <f>IF(B228="","",MAX(MinimumCharge,ROUND(X228*IF(IFERROR(INDEX(Clients!$O$5:$O$204,MATCH(C228,Clients!$A$5:$A$204,0)),0)&gt;0,INDEX(Clients!$O$5:$O$204,MATCH(C228,Clients!$A$5:$A$204,0)),HourlyRate)+IF(M228="",0,IF(M228="None",0,PetSurcharge)),2)))</f>
        <v>0</v>
      </c>
      <c r="AA228" s="21">
        <f>IF(B228="","",ROUND(X228*CostPerHour,2))</f>
        <v>0</v>
      </c>
      <c r="AB228" s="38">
        <f>IF(B228="","",IF(Z228=0,"",(Z228-AA228-X228*SuppliesPerHour)/Z228))</f>
        <v>0</v>
      </c>
      <c r="AC228" s="31">
        <f>IF(A228="","",COUNTIFS(Jobs!$J$5:$J$604,A228))</f>
        <v>0</v>
      </c>
      <c r="AD228" s="18">
        <f>IF(A228="","",IF(SUMPRODUCT(MAX((Jobs!$J$5:$J$604=A228)*((Jobs!$P$5:$P$604="Completed")+(Jobs!$P$5:$P$604="Invoiced"))*Jobs!$B$5:$B$604))=0,"",SUMPRODUCT(MAX((Jobs!$J$5:$J$604=A228)*((Jobs!$P$5:$P$604="Completed")+(Jobs!$P$5:$P$604="Invoiced"))*Jobs!$B$5:$B$604))))</f>
        <v>0</v>
      </c>
      <c r="AE228" s="34">
        <f>IF(A228="","",IFERROR(AVERAGEIFS(Jobs!$AK$5:$AK$604,Jobs!$J$5:$J$604,A228,Jobs!$AK$5:$AK$604,"&gt;0"),""))</f>
        <v>0</v>
      </c>
      <c r="AF228" s="34">
        <f>IF(OR(AE228="",X228=""),"",AE228-X228)</f>
        <v>0</v>
      </c>
      <c r="AG228" s="21">
        <f>IF(A228="","",SUMIFS(Jobs!$AJ$5:$AJ$604,Jobs!$J$5:$J$604,A228,Jobs!$P$5:$P$604,"Invoiced")+SUMIFS(Jobs!$AJ$5:$AJ$604,Jobs!$J$5:$J$604,A228,Jobs!$P$5:$P$604,"Completed"))</f>
        <v>0</v>
      </c>
      <c r="AH228" s="39">
        <f>IF(B228="","",IF(C228="","Add - no client linked",IF(IFERROR(INDEX(Clients!$B$5:$B$204,MATCH(C228,Clients!$A$5:$A$204,0)),"")="","Check - client ID not found",IF(AND(G228="",H228=""),"Add - size needed to price it",IF(AND(AF228&lt;&gt;"",AF228&gt;0.5),"Check - runs over the estimate",IF(N228="","Add - how do we get in?","OK"))))))</f>
        <v>0</v>
      </c>
    </row>
    <row r="229" spans="1:34">
      <c r="A229" s="43">
        <f>IF(B229="","",PropertyPrefix&amp;TEXT(ROW()-4,"0000"))</f>
        <v>0</v>
      </c>
      <c r="D229" s="23">
        <f>IF(C229="","",IFERROR(INDEX(Clients!$B$5:$B$204,MATCH(C229,Clients!$A$5:$A$204,0)),"Not found"))</f>
        <v>0</v>
      </c>
      <c r="W229" s="34">
        <f>IF(B229="","",MAX(IF(H229="",0,H229)*0.45+IF(I229="",0,I229)*0.6+IF(J229="",0,J229)*0.3,IF(G229="",0,G229)/650))</f>
        <v>0</v>
      </c>
      <c r="X229" s="34">
        <f>IF(B229="","",ROUND(MAX(1,W229)*IFERROR(INDEX(ConditionFactors,MATCH(L229,ConditionNames,0)),1),2))</f>
        <v>0</v>
      </c>
      <c r="Y229" s="34">
        <f>IF(B229="","",ROUND(X229/MAX(1,CleanersPerJob),2))</f>
        <v>0</v>
      </c>
      <c r="Z229" s="21">
        <f>IF(B229="","",MAX(MinimumCharge,ROUND(X229*IF(IFERROR(INDEX(Clients!$O$5:$O$204,MATCH(C229,Clients!$A$5:$A$204,0)),0)&gt;0,INDEX(Clients!$O$5:$O$204,MATCH(C229,Clients!$A$5:$A$204,0)),HourlyRate)+IF(M229="",0,IF(M229="None",0,PetSurcharge)),2)))</f>
        <v>0</v>
      </c>
      <c r="AA229" s="21">
        <f>IF(B229="","",ROUND(X229*CostPerHour,2))</f>
        <v>0</v>
      </c>
      <c r="AB229" s="38">
        <f>IF(B229="","",IF(Z229=0,"",(Z229-AA229-X229*SuppliesPerHour)/Z229))</f>
        <v>0</v>
      </c>
      <c r="AC229" s="31">
        <f>IF(A229="","",COUNTIFS(Jobs!$J$5:$J$604,A229))</f>
        <v>0</v>
      </c>
      <c r="AD229" s="18">
        <f>IF(A229="","",IF(SUMPRODUCT(MAX((Jobs!$J$5:$J$604=A229)*((Jobs!$P$5:$P$604="Completed")+(Jobs!$P$5:$P$604="Invoiced"))*Jobs!$B$5:$B$604))=0,"",SUMPRODUCT(MAX((Jobs!$J$5:$J$604=A229)*((Jobs!$P$5:$P$604="Completed")+(Jobs!$P$5:$P$604="Invoiced"))*Jobs!$B$5:$B$604))))</f>
        <v>0</v>
      </c>
      <c r="AE229" s="34">
        <f>IF(A229="","",IFERROR(AVERAGEIFS(Jobs!$AK$5:$AK$604,Jobs!$J$5:$J$604,A229,Jobs!$AK$5:$AK$604,"&gt;0"),""))</f>
        <v>0</v>
      </c>
      <c r="AF229" s="34">
        <f>IF(OR(AE229="",X229=""),"",AE229-X229)</f>
        <v>0</v>
      </c>
      <c r="AG229" s="21">
        <f>IF(A229="","",SUMIFS(Jobs!$AJ$5:$AJ$604,Jobs!$J$5:$J$604,A229,Jobs!$P$5:$P$604,"Invoiced")+SUMIFS(Jobs!$AJ$5:$AJ$604,Jobs!$J$5:$J$604,A229,Jobs!$P$5:$P$604,"Completed"))</f>
        <v>0</v>
      </c>
      <c r="AH229" s="39">
        <f>IF(B229="","",IF(C229="","Add - no client linked",IF(IFERROR(INDEX(Clients!$B$5:$B$204,MATCH(C229,Clients!$A$5:$A$204,0)),"")="","Check - client ID not found",IF(AND(G229="",H229=""),"Add - size needed to price it",IF(AND(AF229&lt;&gt;"",AF229&gt;0.5),"Check - runs over the estimate",IF(N229="","Add - how do we get in?","OK"))))))</f>
        <v>0</v>
      </c>
    </row>
    <row r="230" spans="1:34">
      <c r="A230" s="43">
        <f>IF(B230="","",PropertyPrefix&amp;TEXT(ROW()-4,"0000"))</f>
        <v>0</v>
      </c>
      <c r="D230" s="23">
        <f>IF(C230="","",IFERROR(INDEX(Clients!$B$5:$B$204,MATCH(C230,Clients!$A$5:$A$204,0)),"Not found"))</f>
        <v>0</v>
      </c>
      <c r="W230" s="34">
        <f>IF(B230="","",MAX(IF(H230="",0,H230)*0.45+IF(I230="",0,I230)*0.6+IF(J230="",0,J230)*0.3,IF(G230="",0,G230)/650))</f>
        <v>0</v>
      </c>
      <c r="X230" s="34">
        <f>IF(B230="","",ROUND(MAX(1,W230)*IFERROR(INDEX(ConditionFactors,MATCH(L230,ConditionNames,0)),1),2))</f>
        <v>0</v>
      </c>
      <c r="Y230" s="34">
        <f>IF(B230="","",ROUND(X230/MAX(1,CleanersPerJob),2))</f>
        <v>0</v>
      </c>
      <c r="Z230" s="21">
        <f>IF(B230="","",MAX(MinimumCharge,ROUND(X230*IF(IFERROR(INDEX(Clients!$O$5:$O$204,MATCH(C230,Clients!$A$5:$A$204,0)),0)&gt;0,INDEX(Clients!$O$5:$O$204,MATCH(C230,Clients!$A$5:$A$204,0)),HourlyRate)+IF(M230="",0,IF(M230="None",0,PetSurcharge)),2)))</f>
        <v>0</v>
      </c>
      <c r="AA230" s="21">
        <f>IF(B230="","",ROUND(X230*CostPerHour,2))</f>
        <v>0</v>
      </c>
      <c r="AB230" s="38">
        <f>IF(B230="","",IF(Z230=0,"",(Z230-AA230-X230*SuppliesPerHour)/Z230))</f>
        <v>0</v>
      </c>
      <c r="AC230" s="31">
        <f>IF(A230="","",COUNTIFS(Jobs!$J$5:$J$604,A230))</f>
        <v>0</v>
      </c>
      <c r="AD230" s="18">
        <f>IF(A230="","",IF(SUMPRODUCT(MAX((Jobs!$J$5:$J$604=A230)*((Jobs!$P$5:$P$604="Completed")+(Jobs!$P$5:$P$604="Invoiced"))*Jobs!$B$5:$B$604))=0,"",SUMPRODUCT(MAX((Jobs!$J$5:$J$604=A230)*((Jobs!$P$5:$P$604="Completed")+(Jobs!$P$5:$P$604="Invoiced"))*Jobs!$B$5:$B$604))))</f>
        <v>0</v>
      </c>
      <c r="AE230" s="34">
        <f>IF(A230="","",IFERROR(AVERAGEIFS(Jobs!$AK$5:$AK$604,Jobs!$J$5:$J$604,A230,Jobs!$AK$5:$AK$604,"&gt;0"),""))</f>
        <v>0</v>
      </c>
      <c r="AF230" s="34">
        <f>IF(OR(AE230="",X230=""),"",AE230-X230)</f>
        <v>0</v>
      </c>
      <c r="AG230" s="21">
        <f>IF(A230="","",SUMIFS(Jobs!$AJ$5:$AJ$604,Jobs!$J$5:$J$604,A230,Jobs!$P$5:$P$604,"Invoiced")+SUMIFS(Jobs!$AJ$5:$AJ$604,Jobs!$J$5:$J$604,A230,Jobs!$P$5:$P$604,"Completed"))</f>
        <v>0</v>
      </c>
      <c r="AH230" s="39">
        <f>IF(B230="","",IF(C230="","Add - no client linked",IF(IFERROR(INDEX(Clients!$B$5:$B$204,MATCH(C230,Clients!$A$5:$A$204,0)),"")="","Check - client ID not found",IF(AND(G230="",H230=""),"Add - size needed to price it",IF(AND(AF230&lt;&gt;"",AF230&gt;0.5),"Check - runs over the estimate",IF(N230="","Add - how do we get in?","OK"))))))</f>
        <v>0</v>
      </c>
    </row>
    <row r="231" spans="1:34">
      <c r="A231" s="43">
        <f>IF(B231="","",PropertyPrefix&amp;TEXT(ROW()-4,"0000"))</f>
        <v>0</v>
      </c>
      <c r="D231" s="23">
        <f>IF(C231="","",IFERROR(INDEX(Clients!$B$5:$B$204,MATCH(C231,Clients!$A$5:$A$204,0)),"Not found"))</f>
        <v>0</v>
      </c>
      <c r="W231" s="34">
        <f>IF(B231="","",MAX(IF(H231="",0,H231)*0.45+IF(I231="",0,I231)*0.6+IF(J231="",0,J231)*0.3,IF(G231="",0,G231)/650))</f>
        <v>0</v>
      </c>
      <c r="X231" s="34">
        <f>IF(B231="","",ROUND(MAX(1,W231)*IFERROR(INDEX(ConditionFactors,MATCH(L231,ConditionNames,0)),1),2))</f>
        <v>0</v>
      </c>
      <c r="Y231" s="34">
        <f>IF(B231="","",ROUND(X231/MAX(1,CleanersPerJob),2))</f>
        <v>0</v>
      </c>
      <c r="Z231" s="21">
        <f>IF(B231="","",MAX(MinimumCharge,ROUND(X231*IF(IFERROR(INDEX(Clients!$O$5:$O$204,MATCH(C231,Clients!$A$5:$A$204,0)),0)&gt;0,INDEX(Clients!$O$5:$O$204,MATCH(C231,Clients!$A$5:$A$204,0)),HourlyRate)+IF(M231="",0,IF(M231="None",0,PetSurcharge)),2)))</f>
        <v>0</v>
      </c>
      <c r="AA231" s="21">
        <f>IF(B231="","",ROUND(X231*CostPerHour,2))</f>
        <v>0</v>
      </c>
      <c r="AB231" s="38">
        <f>IF(B231="","",IF(Z231=0,"",(Z231-AA231-X231*SuppliesPerHour)/Z231))</f>
        <v>0</v>
      </c>
      <c r="AC231" s="31">
        <f>IF(A231="","",COUNTIFS(Jobs!$J$5:$J$604,A231))</f>
        <v>0</v>
      </c>
      <c r="AD231" s="18">
        <f>IF(A231="","",IF(SUMPRODUCT(MAX((Jobs!$J$5:$J$604=A231)*((Jobs!$P$5:$P$604="Completed")+(Jobs!$P$5:$P$604="Invoiced"))*Jobs!$B$5:$B$604))=0,"",SUMPRODUCT(MAX((Jobs!$J$5:$J$604=A231)*((Jobs!$P$5:$P$604="Completed")+(Jobs!$P$5:$P$604="Invoiced"))*Jobs!$B$5:$B$604))))</f>
        <v>0</v>
      </c>
      <c r="AE231" s="34">
        <f>IF(A231="","",IFERROR(AVERAGEIFS(Jobs!$AK$5:$AK$604,Jobs!$J$5:$J$604,A231,Jobs!$AK$5:$AK$604,"&gt;0"),""))</f>
        <v>0</v>
      </c>
      <c r="AF231" s="34">
        <f>IF(OR(AE231="",X231=""),"",AE231-X231)</f>
        <v>0</v>
      </c>
      <c r="AG231" s="21">
        <f>IF(A231="","",SUMIFS(Jobs!$AJ$5:$AJ$604,Jobs!$J$5:$J$604,A231,Jobs!$P$5:$P$604,"Invoiced")+SUMIFS(Jobs!$AJ$5:$AJ$604,Jobs!$J$5:$J$604,A231,Jobs!$P$5:$P$604,"Completed"))</f>
        <v>0</v>
      </c>
      <c r="AH231" s="39">
        <f>IF(B231="","",IF(C231="","Add - no client linked",IF(IFERROR(INDEX(Clients!$B$5:$B$204,MATCH(C231,Clients!$A$5:$A$204,0)),"")="","Check - client ID not found",IF(AND(G231="",H231=""),"Add - size needed to price it",IF(AND(AF231&lt;&gt;"",AF231&gt;0.5),"Check - runs over the estimate",IF(N231="","Add - how do we get in?","OK"))))))</f>
        <v>0</v>
      </c>
    </row>
    <row r="232" spans="1:34">
      <c r="A232" s="43">
        <f>IF(B232="","",PropertyPrefix&amp;TEXT(ROW()-4,"0000"))</f>
        <v>0</v>
      </c>
      <c r="D232" s="23">
        <f>IF(C232="","",IFERROR(INDEX(Clients!$B$5:$B$204,MATCH(C232,Clients!$A$5:$A$204,0)),"Not found"))</f>
        <v>0</v>
      </c>
      <c r="W232" s="34">
        <f>IF(B232="","",MAX(IF(H232="",0,H232)*0.45+IF(I232="",0,I232)*0.6+IF(J232="",0,J232)*0.3,IF(G232="",0,G232)/650))</f>
        <v>0</v>
      </c>
      <c r="X232" s="34">
        <f>IF(B232="","",ROUND(MAX(1,W232)*IFERROR(INDEX(ConditionFactors,MATCH(L232,ConditionNames,0)),1),2))</f>
        <v>0</v>
      </c>
      <c r="Y232" s="34">
        <f>IF(B232="","",ROUND(X232/MAX(1,CleanersPerJob),2))</f>
        <v>0</v>
      </c>
      <c r="Z232" s="21">
        <f>IF(B232="","",MAX(MinimumCharge,ROUND(X232*IF(IFERROR(INDEX(Clients!$O$5:$O$204,MATCH(C232,Clients!$A$5:$A$204,0)),0)&gt;0,INDEX(Clients!$O$5:$O$204,MATCH(C232,Clients!$A$5:$A$204,0)),HourlyRate)+IF(M232="",0,IF(M232="None",0,PetSurcharge)),2)))</f>
        <v>0</v>
      </c>
      <c r="AA232" s="21">
        <f>IF(B232="","",ROUND(X232*CostPerHour,2))</f>
        <v>0</v>
      </c>
      <c r="AB232" s="38">
        <f>IF(B232="","",IF(Z232=0,"",(Z232-AA232-X232*SuppliesPerHour)/Z232))</f>
        <v>0</v>
      </c>
      <c r="AC232" s="31">
        <f>IF(A232="","",COUNTIFS(Jobs!$J$5:$J$604,A232))</f>
        <v>0</v>
      </c>
      <c r="AD232" s="18">
        <f>IF(A232="","",IF(SUMPRODUCT(MAX((Jobs!$J$5:$J$604=A232)*((Jobs!$P$5:$P$604="Completed")+(Jobs!$P$5:$P$604="Invoiced"))*Jobs!$B$5:$B$604))=0,"",SUMPRODUCT(MAX((Jobs!$J$5:$J$604=A232)*((Jobs!$P$5:$P$604="Completed")+(Jobs!$P$5:$P$604="Invoiced"))*Jobs!$B$5:$B$604))))</f>
        <v>0</v>
      </c>
      <c r="AE232" s="34">
        <f>IF(A232="","",IFERROR(AVERAGEIFS(Jobs!$AK$5:$AK$604,Jobs!$J$5:$J$604,A232,Jobs!$AK$5:$AK$604,"&gt;0"),""))</f>
        <v>0</v>
      </c>
      <c r="AF232" s="34">
        <f>IF(OR(AE232="",X232=""),"",AE232-X232)</f>
        <v>0</v>
      </c>
      <c r="AG232" s="21">
        <f>IF(A232="","",SUMIFS(Jobs!$AJ$5:$AJ$604,Jobs!$J$5:$J$604,A232,Jobs!$P$5:$P$604,"Invoiced")+SUMIFS(Jobs!$AJ$5:$AJ$604,Jobs!$J$5:$J$604,A232,Jobs!$P$5:$P$604,"Completed"))</f>
        <v>0</v>
      </c>
      <c r="AH232" s="39">
        <f>IF(B232="","",IF(C232="","Add - no client linked",IF(IFERROR(INDEX(Clients!$B$5:$B$204,MATCH(C232,Clients!$A$5:$A$204,0)),"")="","Check - client ID not found",IF(AND(G232="",H232=""),"Add - size needed to price it",IF(AND(AF232&lt;&gt;"",AF232&gt;0.5),"Check - runs over the estimate",IF(N232="","Add - how do we get in?","OK"))))))</f>
        <v>0</v>
      </c>
    </row>
    <row r="233" spans="1:34">
      <c r="A233" s="43">
        <f>IF(B233="","",PropertyPrefix&amp;TEXT(ROW()-4,"0000"))</f>
        <v>0</v>
      </c>
      <c r="D233" s="23">
        <f>IF(C233="","",IFERROR(INDEX(Clients!$B$5:$B$204,MATCH(C233,Clients!$A$5:$A$204,0)),"Not found"))</f>
        <v>0</v>
      </c>
      <c r="W233" s="34">
        <f>IF(B233="","",MAX(IF(H233="",0,H233)*0.45+IF(I233="",0,I233)*0.6+IF(J233="",0,J233)*0.3,IF(G233="",0,G233)/650))</f>
        <v>0</v>
      </c>
      <c r="X233" s="34">
        <f>IF(B233="","",ROUND(MAX(1,W233)*IFERROR(INDEX(ConditionFactors,MATCH(L233,ConditionNames,0)),1),2))</f>
        <v>0</v>
      </c>
      <c r="Y233" s="34">
        <f>IF(B233="","",ROUND(X233/MAX(1,CleanersPerJob),2))</f>
        <v>0</v>
      </c>
      <c r="Z233" s="21">
        <f>IF(B233="","",MAX(MinimumCharge,ROUND(X233*IF(IFERROR(INDEX(Clients!$O$5:$O$204,MATCH(C233,Clients!$A$5:$A$204,0)),0)&gt;0,INDEX(Clients!$O$5:$O$204,MATCH(C233,Clients!$A$5:$A$204,0)),HourlyRate)+IF(M233="",0,IF(M233="None",0,PetSurcharge)),2)))</f>
        <v>0</v>
      </c>
      <c r="AA233" s="21">
        <f>IF(B233="","",ROUND(X233*CostPerHour,2))</f>
        <v>0</v>
      </c>
      <c r="AB233" s="38">
        <f>IF(B233="","",IF(Z233=0,"",(Z233-AA233-X233*SuppliesPerHour)/Z233))</f>
        <v>0</v>
      </c>
      <c r="AC233" s="31">
        <f>IF(A233="","",COUNTIFS(Jobs!$J$5:$J$604,A233))</f>
        <v>0</v>
      </c>
      <c r="AD233" s="18">
        <f>IF(A233="","",IF(SUMPRODUCT(MAX((Jobs!$J$5:$J$604=A233)*((Jobs!$P$5:$P$604="Completed")+(Jobs!$P$5:$P$604="Invoiced"))*Jobs!$B$5:$B$604))=0,"",SUMPRODUCT(MAX((Jobs!$J$5:$J$604=A233)*((Jobs!$P$5:$P$604="Completed")+(Jobs!$P$5:$P$604="Invoiced"))*Jobs!$B$5:$B$604))))</f>
        <v>0</v>
      </c>
      <c r="AE233" s="34">
        <f>IF(A233="","",IFERROR(AVERAGEIFS(Jobs!$AK$5:$AK$604,Jobs!$J$5:$J$604,A233,Jobs!$AK$5:$AK$604,"&gt;0"),""))</f>
        <v>0</v>
      </c>
      <c r="AF233" s="34">
        <f>IF(OR(AE233="",X233=""),"",AE233-X233)</f>
        <v>0</v>
      </c>
      <c r="AG233" s="21">
        <f>IF(A233="","",SUMIFS(Jobs!$AJ$5:$AJ$604,Jobs!$J$5:$J$604,A233,Jobs!$P$5:$P$604,"Invoiced")+SUMIFS(Jobs!$AJ$5:$AJ$604,Jobs!$J$5:$J$604,A233,Jobs!$P$5:$P$604,"Completed"))</f>
        <v>0</v>
      </c>
      <c r="AH233" s="39">
        <f>IF(B233="","",IF(C233="","Add - no client linked",IF(IFERROR(INDEX(Clients!$B$5:$B$204,MATCH(C233,Clients!$A$5:$A$204,0)),"")="","Check - client ID not found",IF(AND(G233="",H233=""),"Add - size needed to price it",IF(AND(AF233&lt;&gt;"",AF233&gt;0.5),"Check - runs over the estimate",IF(N233="","Add - how do we get in?","OK"))))))</f>
        <v>0</v>
      </c>
    </row>
    <row r="234" spans="1:34">
      <c r="A234" s="43">
        <f>IF(B234="","",PropertyPrefix&amp;TEXT(ROW()-4,"0000"))</f>
        <v>0</v>
      </c>
      <c r="D234" s="23">
        <f>IF(C234="","",IFERROR(INDEX(Clients!$B$5:$B$204,MATCH(C234,Clients!$A$5:$A$204,0)),"Not found"))</f>
        <v>0</v>
      </c>
      <c r="W234" s="34">
        <f>IF(B234="","",MAX(IF(H234="",0,H234)*0.45+IF(I234="",0,I234)*0.6+IF(J234="",0,J234)*0.3,IF(G234="",0,G234)/650))</f>
        <v>0</v>
      </c>
      <c r="X234" s="34">
        <f>IF(B234="","",ROUND(MAX(1,W234)*IFERROR(INDEX(ConditionFactors,MATCH(L234,ConditionNames,0)),1),2))</f>
        <v>0</v>
      </c>
      <c r="Y234" s="34">
        <f>IF(B234="","",ROUND(X234/MAX(1,CleanersPerJob),2))</f>
        <v>0</v>
      </c>
      <c r="Z234" s="21">
        <f>IF(B234="","",MAX(MinimumCharge,ROUND(X234*IF(IFERROR(INDEX(Clients!$O$5:$O$204,MATCH(C234,Clients!$A$5:$A$204,0)),0)&gt;0,INDEX(Clients!$O$5:$O$204,MATCH(C234,Clients!$A$5:$A$204,0)),HourlyRate)+IF(M234="",0,IF(M234="None",0,PetSurcharge)),2)))</f>
        <v>0</v>
      </c>
      <c r="AA234" s="21">
        <f>IF(B234="","",ROUND(X234*CostPerHour,2))</f>
        <v>0</v>
      </c>
      <c r="AB234" s="38">
        <f>IF(B234="","",IF(Z234=0,"",(Z234-AA234-X234*SuppliesPerHour)/Z234))</f>
        <v>0</v>
      </c>
      <c r="AC234" s="31">
        <f>IF(A234="","",COUNTIFS(Jobs!$J$5:$J$604,A234))</f>
        <v>0</v>
      </c>
      <c r="AD234" s="18">
        <f>IF(A234="","",IF(SUMPRODUCT(MAX((Jobs!$J$5:$J$604=A234)*((Jobs!$P$5:$P$604="Completed")+(Jobs!$P$5:$P$604="Invoiced"))*Jobs!$B$5:$B$604))=0,"",SUMPRODUCT(MAX((Jobs!$J$5:$J$604=A234)*((Jobs!$P$5:$P$604="Completed")+(Jobs!$P$5:$P$604="Invoiced"))*Jobs!$B$5:$B$604))))</f>
        <v>0</v>
      </c>
      <c r="AE234" s="34">
        <f>IF(A234="","",IFERROR(AVERAGEIFS(Jobs!$AK$5:$AK$604,Jobs!$J$5:$J$604,A234,Jobs!$AK$5:$AK$604,"&gt;0"),""))</f>
        <v>0</v>
      </c>
      <c r="AF234" s="34">
        <f>IF(OR(AE234="",X234=""),"",AE234-X234)</f>
        <v>0</v>
      </c>
      <c r="AG234" s="21">
        <f>IF(A234="","",SUMIFS(Jobs!$AJ$5:$AJ$604,Jobs!$J$5:$J$604,A234,Jobs!$P$5:$P$604,"Invoiced")+SUMIFS(Jobs!$AJ$5:$AJ$604,Jobs!$J$5:$J$604,A234,Jobs!$P$5:$P$604,"Completed"))</f>
        <v>0</v>
      </c>
      <c r="AH234" s="39">
        <f>IF(B234="","",IF(C234="","Add - no client linked",IF(IFERROR(INDEX(Clients!$B$5:$B$204,MATCH(C234,Clients!$A$5:$A$204,0)),"")="","Check - client ID not found",IF(AND(G234="",H234=""),"Add - size needed to price it",IF(AND(AF234&lt;&gt;"",AF234&gt;0.5),"Check - runs over the estimate",IF(N234="","Add - how do we get in?","OK"))))))</f>
        <v>0</v>
      </c>
    </row>
    <row r="235" spans="1:34">
      <c r="A235" s="43">
        <f>IF(B235="","",PropertyPrefix&amp;TEXT(ROW()-4,"0000"))</f>
        <v>0</v>
      </c>
      <c r="D235" s="23">
        <f>IF(C235="","",IFERROR(INDEX(Clients!$B$5:$B$204,MATCH(C235,Clients!$A$5:$A$204,0)),"Not found"))</f>
        <v>0</v>
      </c>
      <c r="W235" s="34">
        <f>IF(B235="","",MAX(IF(H235="",0,H235)*0.45+IF(I235="",0,I235)*0.6+IF(J235="",0,J235)*0.3,IF(G235="",0,G235)/650))</f>
        <v>0</v>
      </c>
      <c r="X235" s="34">
        <f>IF(B235="","",ROUND(MAX(1,W235)*IFERROR(INDEX(ConditionFactors,MATCH(L235,ConditionNames,0)),1),2))</f>
        <v>0</v>
      </c>
      <c r="Y235" s="34">
        <f>IF(B235="","",ROUND(X235/MAX(1,CleanersPerJob),2))</f>
        <v>0</v>
      </c>
      <c r="Z235" s="21">
        <f>IF(B235="","",MAX(MinimumCharge,ROUND(X235*IF(IFERROR(INDEX(Clients!$O$5:$O$204,MATCH(C235,Clients!$A$5:$A$204,0)),0)&gt;0,INDEX(Clients!$O$5:$O$204,MATCH(C235,Clients!$A$5:$A$204,0)),HourlyRate)+IF(M235="",0,IF(M235="None",0,PetSurcharge)),2)))</f>
        <v>0</v>
      </c>
      <c r="AA235" s="21">
        <f>IF(B235="","",ROUND(X235*CostPerHour,2))</f>
        <v>0</v>
      </c>
      <c r="AB235" s="38">
        <f>IF(B235="","",IF(Z235=0,"",(Z235-AA235-X235*SuppliesPerHour)/Z235))</f>
        <v>0</v>
      </c>
      <c r="AC235" s="31">
        <f>IF(A235="","",COUNTIFS(Jobs!$J$5:$J$604,A235))</f>
        <v>0</v>
      </c>
      <c r="AD235" s="18">
        <f>IF(A235="","",IF(SUMPRODUCT(MAX((Jobs!$J$5:$J$604=A235)*((Jobs!$P$5:$P$604="Completed")+(Jobs!$P$5:$P$604="Invoiced"))*Jobs!$B$5:$B$604))=0,"",SUMPRODUCT(MAX((Jobs!$J$5:$J$604=A235)*((Jobs!$P$5:$P$604="Completed")+(Jobs!$P$5:$P$604="Invoiced"))*Jobs!$B$5:$B$604))))</f>
        <v>0</v>
      </c>
      <c r="AE235" s="34">
        <f>IF(A235="","",IFERROR(AVERAGEIFS(Jobs!$AK$5:$AK$604,Jobs!$J$5:$J$604,A235,Jobs!$AK$5:$AK$604,"&gt;0"),""))</f>
        <v>0</v>
      </c>
      <c r="AF235" s="34">
        <f>IF(OR(AE235="",X235=""),"",AE235-X235)</f>
        <v>0</v>
      </c>
      <c r="AG235" s="21">
        <f>IF(A235="","",SUMIFS(Jobs!$AJ$5:$AJ$604,Jobs!$J$5:$J$604,A235,Jobs!$P$5:$P$604,"Invoiced")+SUMIFS(Jobs!$AJ$5:$AJ$604,Jobs!$J$5:$J$604,A235,Jobs!$P$5:$P$604,"Completed"))</f>
        <v>0</v>
      </c>
      <c r="AH235" s="39">
        <f>IF(B235="","",IF(C235="","Add - no client linked",IF(IFERROR(INDEX(Clients!$B$5:$B$204,MATCH(C235,Clients!$A$5:$A$204,0)),"")="","Check - client ID not found",IF(AND(G235="",H235=""),"Add - size needed to price it",IF(AND(AF235&lt;&gt;"",AF235&gt;0.5),"Check - runs over the estimate",IF(N235="","Add - how do we get in?","OK"))))))</f>
        <v>0</v>
      </c>
    </row>
    <row r="236" spans="1:34">
      <c r="A236" s="43">
        <f>IF(B236="","",PropertyPrefix&amp;TEXT(ROW()-4,"0000"))</f>
        <v>0</v>
      </c>
      <c r="D236" s="23">
        <f>IF(C236="","",IFERROR(INDEX(Clients!$B$5:$B$204,MATCH(C236,Clients!$A$5:$A$204,0)),"Not found"))</f>
        <v>0</v>
      </c>
      <c r="W236" s="34">
        <f>IF(B236="","",MAX(IF(H236="",0,H236)*0.45+IF(I236="",0,I236)*0.6+IF(J236="",0,J236)*0.3,IF(G236="",0,G236)/650))</f>
        <v>0</v>
      </c>
      <c r="X236" s="34">
        <f>IF(B236="","",ROUND(MAX(1,W236)*IFERROR(INDEX(ConditionFactors,MATCH(L236,ConditionNames,0)),1),2))</f>
        <v>0</v>
      </c>
      <c r="Y236" s="34">
        <f>IF(B236="","",ROUND(X236/MAX(1,CleanersPerJob),2))</f>
        <v>0</v>
      </c>
      <c r="Z236" s="21">
        <f>IF(B236="","",MAX(MinimumCharge,ROUND(X236*IF(IFERROR(INDEX(Clients!$O$5:$O$204,MATCH(C236,Clients!$A$5:$A$204,0)),0)&gt;0,INDEX(Clients!$O$5:$O$204,MATCH(C236,Clients!$A$5:$A$204,0)),HourlyRate)+IF(M236="",0,IF(M236="None",0,PetSurcharge)),2)))</f>
        <v>0</v>
      </c>
      <c r="AA236" s="21">
        <f>IF(B236="","",ROUND(X236*CostPerHour,2))</f>
        <v>0</v>
      </c>
      <c r="AB236" s="38">
        <f>IF(B236="","",IF(Z236=0,"",(Z236-AA236-X236*SuppliesPerHour)/Z236))</f>
        <v>0</v>
      </c>
      <c r="AC236" s="31">
        <f>IF(A236="","",COUNTIFS(Jobs!$J$5:$J$604,A236))</f>
        <v>0</v>
      </c>
      <c r="AD236" s="18">
        <f>IF(A236="","",IF(SUMPRODUCT(MAX((Jobs!$J$5:$J$604=A236)*((Jobs!$P$5:$P$604="Completed")+(Jobs!$P$5:$P$604="Invoiced"))*Jobs!$B$5:$B$604))=0,"",SUMPRODUCT(MAX((Jobs!$J$5:$J$604=A236)*((Jobs!$P$5:$P$604="Completed")+(Jobs!$P$5:$P$604="Invoiced"))*Jobs!$B$5:$B$604))))</f>
        <v>0</v>
      </c>
      <c r="AE236" s="34">
        <f>IF(A236="","",IFERROR(AVERAGEIFS(Jobs!$AK$5:$AK$604,Jobs!$J$5:$J$604,A236,Jobs!$AK$5:$AK$604,"&gt;0"),""))</f>
        <v>0</v>
      </c>
      <c r="AF236" s="34">
        <f>IF(OR(AE236="",X236=""),"",AE236-X236)</f>
        <v>0</v>
      </c>
      <c r="AG236" s="21">
        <f>IF(A236="","",SUMIFS(Jobs!$AJ$5:$AJ$604,Jobs!$J$5:$J$604,A236,Jobs!$P$5:$P$604,"Invoiced")+SUMIFS(Jobs!$AJ$5:$AJ$604,Jobs!$J$5:$J$604,A236,Jobs!$P$5:$P$604,"Completed"))</f>
        <v>0</v>
      </c>
      <c r="AH236" s="39">
        <f>IF(B236="","",IF(C236="","Add - no client linked",IF(IFERROR(INDEX(Clients!$B$5:$B$204,MATCH(C236,Clients!$A$5:$A$204,0)),"")="","Check - client ID not found",IF(AND(G236="",H236=""),"Add - size needed to price it",IF(AND(AF236&lt;&gt;"",AF236&gt;0.5),"Check - runs over the estimate",IF(N236="","Add - how do we get in?","OK"))))))</f>
        <v>0</v>
      </c>
    </row>
    <row r="237" spans="1:34">
      <c r="A237" s="43">
        <f>IF(B237="","",PropertyPrefix&amp;TEXT(ROW()-4,"0000"))</f>
        <v>0</v>
      </c>
      <c r="D237" s="23">
        <f>IF(C237="","",IFERROR(INDEX(Clients!$B$5:$B$204,MATCH(C237,Clients!$A$5:$A$204,0)),"Not found"))</f>
        <v>0</v>
      </c>
      <c r="W237" s="34">
        <f>IF(B237="","",MAX(IF(H237="",0,H237)*0.45+IF(I237="",0,I237)*0.6+IF(J237="",0,J237)*0.3,IF(G237="",0,G237)/650))</f>
        <v>0</v>
      </c>
      <c r="X237" s="34">
        <f>IF(B237="","",ROUND(MAX(1,W237)*IFERROR(INDEX(ConditionFactors,MATCH(L237,ConditionNames,0)),1),2))</f>
        <v>0</v>
      </c>
      <c r="Y237" s="34">
        <f>IF(B237="","",ROUND(X237/MAX(1,CleanersPerJob),2))</f>
        <v>0</v>
      </c>
      <c r="Z237" s="21">
        <f>IF(B237="","",MAX(MinimumCharge,ROUND(X237*IF(IFERROR(INDEX(Clients!$O$5:$O$204,MATCH(C237,Clients!$A$5:$A$204,0)),0)&gt;0,INDEX(Clients!$O$5:$O$204,MATCH(C237,Clients!$A$5:$A$204,0)),HourlyRate)+IF(M237="",0,IF(M237="None",0,PetSurcharge)),2)))</f>
        <v>0</v>
      </c>
      <c r="AA237" s="21">
        <f>IF(B237="","",ROUND(X237*CostPerHour,2))</f>
        <v>0</v>
      </c>
      <c r="AB237" s="38">
        <f>IF(B237="","",IF(Z237=0,"",(Z237-AA237-X237*SuppliesPerHour)/Z237))</f>
        <v>0</v>
      </c>
      <c r="AC237" s="31">
        <f>IF(A237="","",COUNTIFS(Jobs!$J$5:$J$604,A237))</f>
        <v>0</v>
      </c>
      <c r="AD237" s="18">
        <f>IF(A237="","",IF(SUMPRODUCT(MAX((Jobs!$J$5:$J$604=A237)*((Jobs!$P$5:$P$604="Completed")+(Jobs!$P$5:$P$604="Invoiced"))*Jobs!$B$5:$B$604))=0,"",SUMPRODUCT(MAX((Jobs!$J$5:$J$604=A237)*((Jobs!$P$5:$P$604="Completed")+(Jobs!$P$5:$P$604="Invoiced"))*Jobs!$B$5:$B$604))))</f>
        <v>0</v>
      </c>
      <c r="AE237" s="34">
        <f>IF(A237="","",IFERROR(AVERAGEIFS(Jobs!$AK$5:$AK$604,Jobs!$J$5:$J$604,A237,Jobs!$AK$5:$AK$604,"&gt;0"),""))</f>
        <v>0</v>
      </c>
      <c r="AF237" s="34">
        <f>IF(OR(AE237="",X237=""),"",AE237-X237)</f>
        <v>0</v>
      </c>
      <c r="AG237" s="21">
        <f>IF(A237="","",SUMIFS(Jobs!$AJ$5:$AJ$604,Jobs!$J$5:$J$604,A237,Jobs!$P$5:$P$604,"Invoiced")+SUMIFS(Jobs!$AJ$5:$AJ$604,Jobs!$J$5:$J$604,A237,Jobs!$P$5:$P$604,"Completed"))</f>
        <v>0</v>
      </c>
      <c r="AH237" s="39">
        <f>IF(B237="","",IF(C237="","Add - no client linked",IF(IFERROR(INDEX(Clients!$B$5:$B$204,MATCH(C237,Clients!$A$5:$A$204,0)),"")="","Check - client ID not found",IF(AND(G237="",H237=""),"Add - size needed to price it",IF(AND(AF237&lt;&gt;"",AF237&gt;0.5),"Check - runs over the estimate",IF(N237="","Add - how do we get in?","OK"))))))</f>
        <v>0</v>
      </c>
    </row>
    <row r="238" spans="1:34">
      <c r="A238" s="43">
        <f>IF(B238="","",PropertyPrefix&amp;TEXT(ROW()-4,"0000"))</f>
        <v>0</v>
      </c>
      <c r="D238" s="23">
        <f>IF(C238="","",IFERROR(INDEX(Clients!$B$5:$B$204,MATCH(C238,Clients!$A$5:$A$204,0)),"Not found"))</f>
        <v>0</v>
      </c>
      <c r="W238" s="34">
        <f>IF(B238="","",MAX(IF(H238="",0,H238)*0.45+IF(I238="",0,I238)*0.6+IF(J238="",0,J238)*0.3,IF(G238="",0,G238)/650))</f>
        <v>0</v>
      </c>
      <c r="X238" s="34">
        <f>IF(B238="","",ROUND(MAX(1,W238)*IFERROR(INDEX(ConditionFactors,MATCH(L238,ConditionNames,0)),1),2))</f>
        <v>0</v>
      </c>
      <c r="Y238" s="34">
        <f>IF(B238="","",ROUND(X238/MAX(1,CleanersPerJob),2))</f>
        <v>0</v>
      </c>
      <c r="Z238" s="21">
        <f>IF(B238="","",MAX(MinimumCharge,ROUND(X238*IF(IFERROR(INDEX(Clients!$O$5:$O$204,MATCH(C238,Clients!$A$5:$A$204,0)),0)&gt;0,INDEX(Clients!$O$5:$O$204,MATCH(C238,Clients!$A$5:$A$204,0)),HourlyRate)+IF(M238="",0,IF(M238="None",0,PetSurcharge)),2)))</f>
        <v>0</v>
      </c>
      <c r="AA238" s="21">
        <f>IF(B238="","",ROUND(X238*CostPerHour,2))</f>
        <v>0</v>
      </c>
      <c r="AB238" s="38">
        <f>IF(B238="","",IF(Z238=0,"",(Z238-AA238-X238*SuppliesPerHour)/Z238))</f>
        <v>0</v>
      </c>
      <c r="AC238" s="31">
        <f>IF(A238="","",COUNTIFS(Jobs!$J$5:$J$604,A238))</f>
        <v>0</v>
      </c>
      <c r="AD238" s="18">
        <f>IF(A238="","",IF(SUMPRODUCT(MAX((Jobs!$J$5:$J$604=A238)*((Jobs!$P$5:$P$604="Completed")+(Jobs!$P$5:$P$604="Invoiced"))*Jobs!$B$5:$B$604))=0,"",SUMPRODUCT(MAX((Jobs!$J$5:$J$604=A238)*((Jobs!$P$5:$P$604="Completed")+(Jobs!$P$5:$P$604="Invoiced"))*Jobs!$B$5:$B$604))))</f>
        <v>0</v>
      </c>
      <c r="AE238" s="34">
        <f>IF(A238="","",IFERROR(AVERAGEIFS(Jobs!$AK$5:$AK$604,Jobs!$J$5:$J$604,A238,Jobs!$AK$5:$AK$604,"&gt;0"),""))</f>
        <v>0</v>
      </c>
      <c r="AF238" s="34">
        <f>IF(OR(AE238="",X238=""),"",AE238-X238)</f>
        <v>0</v>
      </c>
      <c r="AG238" s="21">
        <f>IF(A238="","",SUMIFS(Jobs!$AJ$5:$AJ$604,Jobs!$J$5:$J$604,A238,Jobs!$P$5:$P$604,"Invoiced")+SUMIFS(Jobs!$AJ$5:$AJ$604,Jobs!$J$5:$J$604,A238,Jobs!$P$5:$P$604,"Completed"))</f>
        <v>0</v>
      </c>
      <c r="AH238" s="39">
        <f>IF(B238="","",IF(C238="","Add - no client linked",IF(IFERROR(INDEX(Clients!$B$5:$B$204,MATCH(C238,Clients!$A$5:$A$204,0)),"")="","Check - client ID not found",IF(AND(G238="",H238=""),"Add - size needed to price it",IF(AND(AF238&lt;&gt;"",AF238&gt;0.5),"Check - runs over the estimate",IF(N238="","Add - how do we get in?","OK"))))))</f>
        <v>0</v>
      </c>
    </row>
    <row r="239" spans="1:34">
      <c r="A239" s="43">
        <f>IF(B239="","",PropertyPrefix&amp;TEXT(ROW()-4,"0000"))</f>
        <v>0</v>
      </c>
      <c r="D239" s="23">
        <f>IF(C239="","",IFERROR(INDEX(Clients!$B$5:$B$204,MATCH(C239,Clients!$A$5:$A$204,0)),"Not found"))</f>
        <v>0</v>
      </c>
      <c r="W239" s="34">
        <f>IF(B239="","",MAX(IF(H239="",0,H239)*0.45+IF(I239="",0,I239)*0.6+IF(J239="",0,J239)*0.3,IF(G239="",0,G239)/650))</f>
        <v>0</v>
      </c>
      <c r="X239" s="34">
        <f>IF(B239="","",ROUND(MAX(1,W239)*IFERROR(INDEX(ConditionFactors,MATCH(L239,ConditionNames,0)),1),2))</f>
        <v>0</v>
      </c>
      <c r="Y239" s="34">
        <f>IF(B239="","",ROUND(X239/MAX(1,CleanersPerJob),2))</f>
        <v>0</v>
      </c>
      <c r="Z239" s="21">
        <f>IF(B239="","",MAX(MinimumCharge,ROUND(X239*IF(IFERROR(INDEX(Clients!$O$5:$O$204,MATCH(C239,Clients!$A$5:$A$204,0)),0)&gt;0,INDEX(Clients!$O$5:$O$204,MATCH(C239,Clients!$A$5:$A$204,0)),HourlyRate)+IF(M239="",0,IF(M239="None",0,PetSurcharge)),2)))</f>
        <v>0</v>
      </c>
      <c r="AA239" s="21">
        <f>IF(B239="","",ROUND(X239*CostPerHour,2))</f>
        <v>0</v>
      </c>
      <c r="AB239" s="38">
        <f>IF(B239="","",IF(Z239=0,"",(Z239-AA239-X239*SuppliesPerHour)/Z239))</f>
        <v>0</v>
      </c>
      <c r="AC239" s="31">
        <f>IF(A239="","",COUNTIFS(Jobs!$J$5:$J$604,A239))</f>
        <v>0</v>
      </c>
      <c r="AD239" s="18">
        <f>IF(A239="","",IF(SUMPRODUCT(MAX((Jobs!$J$5:$J$604=A239)*((Jobs!$P$5:$P$604="Completed")+(Jobs!$P$5:$P$604="Invoiced"))*Jobs!$B$5:$B$604))=0,"",SUMPRODUCT(MAX((Jobs!$J$5:$J$604=A239)*((Jobs!$P$5:$P$604="Completed")+(Jobs!$P$5:$P$604="Invoiced"))*Jobs!$B$5:$B$604))))</f>
        <v>0</v>
      </c>
      <c r="AE239" s="34">
        <f>IF(A239="","",IFERROR(AVERAGEIFS(Jobs!$AK$5:$AK$604,Jobs!$J$5:$J$604,A239,Jobs!$AK$5:$AK$604,"&gt;0"),""))</f>
        <v>0</v>
      </c>
      <c r="AF239" s="34">
        <f>IF(OR(AE239="",X239=""),"",AE239-X239)</f>
        <v>0</v>
      </c>
      <c r="AG239" s="21">
        <f>IF(A239="","",SUMIFS(Jobs!$AJ$5:$AJ$604,Jobs!$J$5:$J$604,A239,Jobs!$P$5:$P$604,"Invoiced")+SUMIFS(Jobs!$AJ$5:$AJ$604,Jobs!$J$5:$J$604,A239,Jobs!$P$5:$P$604,"Completed"))</f>
        <v>0</v>
      </c>
      <c r="AH239" s="39">
        <f>IF(B239="","",IF(C239="","Add - no client linked",IF(IFERROR(INDEX(Clients!$B$5:$B$204,MATCH(C239,Clients!$A$5:$A$204,0)),"")="","Check - client ID not found",IF(AND(G239="",H239=""),"Add - size needed to price it",IF(AND(AF239&lt;&gt;"",AF239&gt;0.5),"Check - runs over the estimate",IF(N239="","Add - how do we get in?","OK"))))))</f>
        <v>0</v>
      </c>
    </row>
    <row r="240" spans="1:34">
      <c r="A240" s="43">
        <f>IF(B240="","",PropertyPrefix&amp;TEXT(ROW()-4,"0000"))</f>
        <v>0</v>
      </c>
      <c r="D240" s="23">
        <f>IF(C240="","",IFERROR(INDEX(Clients!$B$5:$B$204,MATCH(C240,Clients!$A$5:$A$204,0)),"Not found"))</f>
        <v>0</v>
      </c>
      <c r="W240" s="34">
        <f>IF(B240="","",MAX(IF(H240="",0,H240)*0.45+IF(I240="",0,I240)*0.6+IF(J240="",0,J240)*0.3,IF(G240="",0,G240)/650))</f>
        <v>0</v>
      </c>
      <c r="X240" s="34">
        <f>IF(B240="","",ROUND(MAX(1,W240)*IFERROR(INDEX(ConditionFactors,MATCH(L240,ConditionNames,0)),1),2))</f>
        <v>0</v>
      </c>
      <c r="Y240" s="34">
        <f>IF(B240="","",ROUND(X240/MAX(1,CleanersPerJob),2))</f>
        <v>0</v>
      </c>
      <c r="Z240" s="21">
        <f>IF(B240="","",MAX(MinimumCharge,ROUND(X240*IF(IFERROR(INDEX(Clients!$O$5:$O$204,MATCH(C240,Clients!$A$5:$A$204,0)),0)&gt;0,INDEX(Clients!$O$5:$O$204,MATCH(C240,Clients!$A$5:$A$204,0)),HourlyRate)+IF(M240="",0,IF(M240="None",0,PetSurcharge)),2)))</f>
        <v>0</v>
      </c>
      <c r="AA240" s="21">
        <f>IF(B240="","",ROUND(X240*CostPerHour,2))</f>
        <v>0</v>
      </c>
      <c r="AB240" s="38">
        <f>IF(B240="","",IF(Z240=0,"",(Z240-AA240-X240*SuppliesPerHour)/Z240))</f>
        <v>0</v>
      </c>
      <c r="AC240" s="31">
        <f>IF(A240="","",COUNTIFS(Jobs!$J$5:$J$604,A240))</f>
        <v>0</v>
      </c>
      <c r="AD240" s="18">
        <f>IF(A240="","",IF(SUMPRODUCT(MAX((Jobs!$J$5:$J$604=A240)*((Jobs!$P$5:$P$604="Completed")+(Jobs!$P$5:$P$604="Invoiced"))*Jobs!$B$5:$B$604))=0,"",SUMPRODUCT(MAX((Jobs!$J$5:$J$604=A240)*((Jobs!$P$5:$P$604="Completed")+(Jobs!$P$5:$P$604="Invoiced"))*Jobs!$B$5:$B$604))))</f>
        <v>0</v>
      </c>
      <c r="AE240" s="34">
        <f>IF(A240="","",IFERROR(AVERAGEIFS(Jobs!$AK$5:$AK$604,Jobs!$J$5:$J$604,A240,Jobs!$AK$5:$AK$604,"&gt;0"),""))</f>
        <v>0</v>
      </c>
      <c r="AF240" s="34">
        <f>IF(OR(AE240="",X240=""),"",AE240-X240)</f>
        <v>0</v>
      </c>
      <c r="AG240" s="21">
        <f>IF(A240="","",SUMIFS(Jobs!$AJ$5:$AJ$604,Jobs!$J$5:$J$604,A240,Jobs!$P$5:$P$604,"Invoiced")+SUMIFS(Jobs!$AJ$5:$AJ$604,Jobs!$J$5:$J$604,A240,Jobs!$P$5:$P$604,"Completed"))</f>
        <v>0</v>
      </c>
      <c r="AH240" s="39">
        <f>IF(B240="","",IF(C240="","Add - no client linked",IF(IFERROR(INDEX(Clients!$B$5:$B$204,MATCH(C240,Clients!$A$5:$A$204,0)),"")="","Check - client ID not found",IF(AND(G240="",H240=""),"Add - size needed to price it",IF(AND(AF240&lt;&gt;"",AF240&gt;0.5),"Check - runs over the estimate",IF(N240="","Add - how do we get in?","OK"))))))</f>
        <v>0</v>
      </c>
    </row>
    <row r="241" spans="1:34">
      <c r="A241" s="43">
        <f>IF(B241="","",PropertyPrefix&amp;TEXT(ROW()-4,"0000"))</f>
        <v>0</v>
      </c>
      <c r="D241" s="23">
        <f>IF(C241="","",IFERROR(INDEX(Clients!$B$5:$B$204,MATCH(C241,Clients!$A$5:$A$204,0)),"Not found"))</f>
        <v>0</v>
      </c>
      <c r="W241" s="34">
        <f>IF(B241="","",MAX(IF(H241="",0,H241)*0.45+IF(I241="",0,I241)*0.6+IF(J241="",0,J241)*0.3,IF(G241="",0,G241)/650))</f>
        <v>0</v>
      </c>
      <c r="X241" s="34">
        <f>IF(B241="","",ROUND(MAX(1,W241)*IFERROR(INDEX(ConditionFactors,MATCH(L241,ConditionNames,0)),1),2))</f>
        <v>0</v>
      </c>
      <c r="Y241" s="34">
        <f>IF(B241="","",ROUND(X241/MAX(1,CleanersPerJob),2))</f>
        <v>0</v>
      </c>
      <c r="Z241" s="21">
        <f>IF(B241="","",MAX(MinimumCharge,ROUND(X241*IF(IFERROR(INDEX(Clients!$O$5:$O$204,MATCH(C241,Clients!$A$5:$A$204,0)),0)&gt;0,INDEX(Clients!$O$5:$O$204,MATCH(C241,Clients!$A$5:$A$204,0)),HourlyRate)+IF(M241="",0,IF(M241="None",0,PetSurcharge)),2)))</f>
        <v>0</v>
      </c>
      <c r="AA241" s="21">
        <f>IF(B241="","",ROUND(X241*CostPerHour,2))</f>
        <v>0</v>
      </c>
      <c r="AB241" s="38">
        <f>IF(B241="","",IF(Z241=0,"",(Z241-AA241-X241*SuppliesPerHour)/Z241))</f>
        <v>0</v>
      </c>
      <c r="AC241" s="31">
        <f>IF(A241="","",COUNTIFS(Jobs!$J$5:$J$604,A241))</f>
        <v>0</v>
      </c>
      <c r="AD241" s="18">
        <f>IF(A241="","",IF(SUMPRODUCT(MAX((Jobs!$J$5:$J$604=A241)*((Jobs!$P$5:$P$604="Completed")+(Jobs!$P$5:$P$604="Invoiced"))*Jobs!$B$5:$B$604))=0,"",SUMPRODUCT(MAX((Jobs!$J$5:$J$604=A241)*((Jobs!$P$5:$P$604="Completed")+(Jobs!$P$5:$P$604="Invoiced"))*Jobs!$B$5:$B$604))))</f>
        <v>0</v>
      </c>
      <c r="AE241" s="34">
        <f>IF(A241="","",IFERROR(AVERAGEIFS(Jobs!$AK$5:$AK$604,Jobs!$J$5:$J$604,A241,Jobs!$AK$5:$AK$604,"&gt;0"),""))</f>
        <v>0</v>
      </c>
      <c r="AF241" s="34">
        <f>IF(OR(AE241="",X241=""),"",AE241-X241)</f>
        <v>0</v>
      </c>
      <c r="AG241" s="21">
        <f>IF(A241="","",SUMIFS(Jobs!$AJ$5:$AJ$604,Jobs!$J$5:$J$604,A241,Jobs!$P$5:$P$604,"Invoiced")+SUMIFS(Jobs!$AJ$5:$AJ$604,Jobs!$J$5:$J$604,A241,Jobs!$P$5:$P$604,"Completed"))</f>
        <v>0</v>
      </c>
      <c r="AH241" s="39">
        <f>IF(B241="","",IF(C241="","Add - no client linked",IF(IFERROR(INDEX(Clients!$B$5:$B$204,MATCH(C241,Clients!$A$5:$A$204,0)),"")="","Check - client ID not found",IF(AND(G241="",H241=""),"Add - size needed to price it",IF(AND(AF241&lt;&gt;"",AF241&gt;0.5),"Check - runs over the estimate",IF(N241="","Add - how do we get in?","OK"))))))</f>
        <v>0</v>
      </c>
    </row>
    <row r="242" spans="1:34">
      <c r="A242" s="43">
        <f>IF(B242="","",PropertyPrefix&amp;TEXT(ROW()-4,"0000"))</f>
        <v>0</v>
      </c>
      <c r="D242" s="23">
        <f>IF(C242="","",IFERROR(INDEX(Clients!$B$5:$B$204,MATCH(C242,Clients!$A$5:$A$204,0)),"Not found"))</f>
        <v>0</v>
      </c>
      <c r="W242" s="34">
        <f>IF(B242="","",MAX(IF(H242="",0,H242)*0.45+IF(I242="",0,I242)*0.6+IF(J242="",0,J242)*0.3,IF(G242="",0,G242)/650))</f>
        <v>0</v>
      </c>
      <c r="X242" s="34">
        <f>IF(B242="","",ROUND(MAX(1,W242)*IFERROR(INDEX(ConditionFactors,MATCH(L242,ConditionNames,0)),1),2))</f>
        <v>0</v>
      </c>
      <c r="Y242" s="34">
        <f>IF(B242="","",ROUND(X242/MAX(1,CleanersPerJob),2))</f>
        <v>0</v>
      </c>
      <c r="Z242" s="21">
        <f>IF(B242="","",MAX(MinimumCharge,ROUND(X242*IF(IFERROR(INDEX(Clients!$O$5:$O$204,MATCH(C242,Clients!$A$5:$A$204,0)),0)&gt;0,INDEX(Clients!$O$5:$O$204,MATCH(C242,Clients!$A$5:$A$204,0)),HourlyRate)+IF(M242="",0,IF(M242="None",0,PetSurcharge)),2)))</f>
        <v>0</v>
      </c>
      <c r="AA242" s="21">
        <f>IF(B242="","",ROUND(X242*CostPerHour,2))</f>
        <v>0</v>
      </c>
      <c r="AB242" s="38">
        <f>IF(B242="","",IF(Z242=0,"",(Z242-AA242-X242*SuppliesPerHour)/Z242))</f>
        <v>0</v>
      </c>
      <c r="AC242" s="31">
        <f>IF(A242="","",COUNTIFS(Jobs!$J$5:$J$604,A242))</f>
        <v>0</v>
      </c>
      <c r="AD242" s="18">
        <f>IF(A242="","",IF(SUMPRODUCT(MAX((Jobs!$J$5:$J$604=A242)*((Jobs!$P$5:$P$604="Completed")+(Jobs!$P$5:$P$604="Invoiced"))*Jobs!$B$5:$B$604))=0,"",SUMPRODUCT(MAX((Jobs!$J$5:$J$604=A242)*((Jobs!$P$5:$P$604="Completed")+(Jobs!$P$5:$P$604="Invoiced"))*Jobs!$B$5:$B$604))))</f>
        <v>0</v>
      </c>
      <c r="AE242" s="34">
        <f>IF(A242="","",IFERROR(AVERAGEIFS(Jobs!$AK$5:$AK$604,Jobs!$J$5:$J$604,A242,Jobs!$AK$5:$AK$604,"&gt;0"),""))</f>
        <v>0</v>
      </c>
      <c r="AF242" s="34">
        <f>IF(OR(AE242="",X242=""),"",AE242-X242)</f>
        <v>0</v>
      </c>
      <c r="AG242" s="21">
        <f>IF(A242="","",SUMIFS(Jobs!$AJ$5:$AJ$604,Jobs!$J$5:$J$604,A242,Jobs!$P$5:$P$604,"Invoiced")+SUMIFS(Jobs!$AJ$5:$AJ$604,Jobs!$J$5:$J$604,A242,Jobs!$P$5:$P$604,"Completed"))</f>
        <v>0</v>
      </c>
      <c r="AH242" s="39">
        <f>IF(B242="","",IF(C242="","Add - no client linked",IF(IFERROR(INDEX(Clients!$B$5:$B$204,MATCH(C242,Clients!$A$5:$A$204,0)),"")="","Check - client ID not found",IF(AND(G242="",H242=""),"Add - size needed to price it",IF(AND(AF242&lt;&gt;"",AF242&gt;0.5),"Check - runs over the estimate",IF(N242="","Add - how do we get in?","OK"))))))</f>
        <v>0</v>
      </c>
    </row>
    <row r="243" spans="1:34">
      <c r="A243" s="43">
        <f>IF(B243="","",PropertyPrefix&amp;TEXT(ROW()-4,"0000"))</f>
        <v>0</v>
      </c>
      <c r="D243" s="23">
        <f>IF(C243="","",IFERROR(INDEX(Clients!$B$5:$B$204,MATCH(C243,Clients!$A$5:$A$204,0)),"Not found"))</f>
        <v>0</v>
      </c>
      <c r="W243" s="34">
        <f>IF(B243="","",MAX(IF(H243="",0,H243)*0.45+IF(I243="",0,I243)*0.6+IF(J243="",0,J243)*0.3,IF(G243="",0,G243)/650))</f>
        <v>0</v>
      </c>
      <c r="X243" s="34">
        <f>IF(B243="","",ROUND(MAX(1,W243)*IFERROR(INDEX(ConditionFactors,MATCH(L243,ConditionNames,0)),1),2))</f>
        <v>0</v>
      </c>
      <c r="Y243" s="34">
        <f>IF(B243="","",ROUND(X243/MAX(1,CleanersPerJob),2))</f>
        <v>0</v>
      </c>
      <c r="Z243" s="21">
        <f>IF(B243="","",MAX(MinimumCharge,ROUND(X243*IF(IFERROR(INDEX(Clients!$O$5:$O$204,MATCH(C243,Clients!$A$5:$A$204,0)),0)&gt;0,INDEX(Clients!$O$5:$O$204,MATCH(C243,Clients!$A$5:$A$204,0)),HourlyRate)+IF(M243="",0,IF(M243="None",0,PetSurcharge)),2)))</f>
        <v>0</v>
      </c>
      <c r="AA243" s="21">
        <f>IF(B243="","",ROUND(X243*CostPerHour,2))</f>
        <v>0</v>
      </c>
      <c r="AB243" s="38">
        <f>IF(B243="","",IF(Z243=0,"",(Z243-AA243-X243*SuppliesPerHour)/Z243))</f>
        <v>0</v>
      </c>
      <c r="AC243" s="31">
        <f>IF(A243="","",COUNTIFS(Jobs!$J$5:$J$604,A243))</f>
        <v>0</v>
      </c>
      <c r="AD243" s="18">
        <f>IF(A243="","",IF(SUMPRODUCT(MAX((Jobs!$J$5:$J$604=A243)*((Jobs!$P$5:$P$604="Completed")+(Jobs!$P$5:$P$604="Invoiced"))*Jobs!$B$5:$B$604))=0,"",SUMPRODUCT(MAX((Jobs!$J$5:$J$604=A243)*((Jobs!$P$5:$P$604="Completed")+(Jobs!$P$5:$P$604="Invoiced"))*Jobs!$B$5:$B$604))))</f>
        <v>0</v>
      </c>
      <c r="AE243" s="34">
        <f>IF(A243="","",IFERROR(AVERAGEIFS(Jobs!$AK$5:$AK$604,Jobs!$J$5:$J$604,A243,Jobs!$AK$5:$AK$604,"&gt;0"),""))</f>
        <v>0</v>
      </c>
      <c r="AF243" s="34">
        <f>IF(OR(AE243="",X243=""),"",AE243-X243)</f>
        <v>0</v>
      </c>
      <c r="AG243" s="21">
        <f>IF(A243="","",SUMIFS(Jobs!$AJ$5:$AJ$604,Jobs!$J$5:$J$604,A243,Jobs!$P$5:$P$604,"Invoiced")+SUMIFS(Jobs!$AJ$5:$AJ$604,Jobs!$J$5:$J$604,A243,Jobs!$P$5:$P$604,"Completed"))</f>
        <v>0</v>
      </c>
      <c r="AH243" s="39">
        <f>IF(B243="","",IF(C243="","Add - no client linked",IF(IFERROR(INDEX(Clients!$B$5:$B$204,MATCH(C243,Clients!$A$5:$A$204,0)),"")="","Check - client ID not found",IF(AND(G243="",H243=""),"Add - size needed to price it",IF(AND(AF243&lt;&gt;"",AF243&gt;0.5),"Check - runs over the estimate",IF(N243="","Add - how do we get in?","OK"))))))</f>
        <v>0</v>
      </c>
    </row>
    <row r="244" spans="1:34">
      <c r="A244" s="43">
        <f>IF(B244="","",PropertyPrefix&amp;TEXT(ROW()-4,"0000"))</f>
        <v>0</v>
      </c>
      <c r="D244" s="23">
        <f>IF(C244="","",IFERROR(INDEX(Clients!$B$5:$B$204,MATCH(C244,Clients!$A$5:$A$204,0)),"Not found"))</f>
        <v>0</v>
      </c>
      <c r="W244" s="34">
        <f>IF(B244="","",MAX(IF(H244="",0,H244)*0.45+IF(I244="",0,I244)*0.6+IF(J244="",0,J244)*0.3,IF(G244="",0,G244)/650))</f>
        <v>0</v>
      </c>
      <c r="X244" s="34">
        <f>IF(B244="","",ROUND(MAX(1,W244)*IFERROR(INDEX(ConditionFactors,MATCH(L244,ConditionNames,0)),1),2))</f>
        <v>0</v>
      </c>
      <c r="Y244" s="34">
        <f>IF(B244="","",ROUND(X244/MAX(1,CleanersPerJob),2))</f>
        <v>0</v>
      </c>
      <c r="Z244" s="21">
        <f>IF(B244="","",MAX(MinimumCharge,ROUND(X244*IF(IFERROR(INDEX(Clients!$O$5:$O$204,MATCH(C244,Clients!$A$5:$A$204,0)),0)&gt;0,INDEX(Clients!$O$5:$O$204,MATCH(C244,Clients!$A$5:$A$204,0)),HourlyRate)+IF(M244="",0,IF(M244="None",0,PetSurcharge)),2)))</f>
        <v>0</v>
      </c>
      <c r="AA244" s="21">
        <f>IF(B244="","",ROUND(X244*CostPerHour,2))</f>
        <v>0</v>
      </c>
      <c r="AB244" s="38">
        <f>IF(B244="","",IF(Z244=0,"",(Z244-AA244-X244*SuppliesPerHour)/Z244))</f>
        <v>0</v>
      </c>
      <c r="AC244" s="31">
        <f>IF(A244="","",COUNTIFS(Jobs!$J$5:$J$604,A244))</f>
        <v>0</v>
      </c>
      <c r="AD244" s="18">
        <f>IF(A244="","",IF(SUMPRODUCT(MAX((Jobs!$J$5:$J$604=A244)*((Jobs!$P$5:$P$604="Completed")+(Jobs!$P$5:$P$604="Invoiced"))*Jobs!$B$5:$B$604))=0,"",SUMPRODUCT(MAX((Jobs!$J$5:$J$604=A244)*((Jobs!$P$5:$P$604="Completed")+(Jobs!$P$5:$P$604="Invoiced"))*Jobs!$B$5:$B$604))))</f>
        <v>0</v>
      </c>
      <c r="AE244" s="34">
        <f>IF(A244="","",IFERROR(AVERAGEIFS(Jobs!$AK$5:$AK$604,Jobs!$J$5:$J$604,A244,Jobs!$AK$5:$AK$604,"&gt;0"),""))</f>
        <v>0</v>
      </c>
      <c r="AF244" s="34">
        <f>IF(OR(AE244="",X244=""),"",AE244-X244)</f>
        <v>0</v>
      </c>
      <c r="AG244" s="21">
        <f>IF(A244="","",SUMIFS(Jobs!$AJ$5:$AJ$604,Jobs!$J$5:$J$604,A244,Jobs!$P$5:$P$604,"Invoiced")+SUMIFS(Jobs!$AJ$5:$AJ$604,Jobs!$J$5:$J$604,A244,Jobs!$P$5:$P$604,"Completed"))</f>
        <v>0</v>
      </c>
      <c r="AH244" s="39">
        <f>IF(B244="","",IF(C244="","Add - no client linked",IF(IFERROR(INDEX(Clients!$B$5:$B$204,MATCH(C244,Clients!$A$5:$A$204,0)),"")="","Check - client ID not found",IF(AND(G244="",H244=""),"Add - size needed to price it",IF(AND(AF244&lt;&gt;"",AF244&gt;0.5),"Check - runs over the estimate",IF(N244="","Add - how do we get in?","OK"))))))</f>
        <v>0</v>
      </c>
    </row>
    <row r="245" spans="1:34">
      <c r="A245" s="43">
        <f>IF(B245="","",PropertyPrefix&amp;TEXT(ROW()-4,"0000"))</f>
        <v>0</v>
      </c>
      <c r="D245" s="23">
        <f>IF(C245="","",IFERROR(INDEX(Clients!$B$5:$B$204,MATCH(C245,Clients!$A$5:$A$204,0)),"Not found"))</f>
        <v>0</v>
      </c>
      <c r="W245" s="34">
        <f>IF(B245="","",MAX(IF(H245="",0,H245)*0.45+IF(I245="",0,I245)*0.6+IF(J245="",0,J245)*0.3,IF(G245="",0,G245)/650))</f>
        <v>0</v>
      </c>
      <c r="X245" s="34">
        <f>IF(B245="","",ROUND(MAX(1,W245)*IFERROR(INDEX(ConditionFactors,MATCH(L245,ConditionNames,0)),1),2))</f>
        <v>0</v>
      </c>
      <c r="Y245" s="34">
        <f>IF(B245="","",ROUND(X245/MAX(1,CleanersPerJob),2))</f>
        <v>0</v>
      </c>
      <c r="Z245" s="21">
        <f>IF(B245="","",MAX(MinimumCharge,ROUND(X245*IF(IFERROR(INDEX(Clients!$O$5:$O$204,MATCH(C245,Clients!$A$5:$A$204,0)),0)&gt;0,INDEX(Clients!$O$5:$O$204,MATCH(C245,Clients!$A$5:$A$204,0)),HourlyRate)+IF(M245="",0,IF(M245="None",0,PetSurcharge)),2)))</f>
        <v>0</v>
      </c>
      <c r="AA245" s="21">
        <f>IF(B245="","",ROUND(X245*CostPerHour,2))</f>
        <v>0</v>
      </c>
      <c r="AB245" s="38">
        <f>IF(B245="","",IF(Z245=0,"",(Z245-AA245-X245*SuppliesPerHour)/Z245))</f>
        <v>0</v>
      </c>
      <c r="AC245" s="31">
        <f>IF(A245="","",COUNTIFS(Jobs!$J$5:$J$604,A245))</f>
        <v>0</v>
      </c>
      <c r="AD245" s="18">
        <f>IF(A245="","",IF(SUMPRODUCT(MAX((Jobs!$J$5:$J$604=A245)*((Jobs!$P$5:$P$604="Completed")+(Jobs!$P$5:$P$604="Invoiced"))*Jobs!$B$5:$B$604))=0,"",SUMPRODUCT(MAX((Jobs!$J$5:$J$604=A245)*((Jobs!$P$5:$P$604="Completed")+(Jobs!$P$5:$P$604="Invoiced"))*Jobs!$B$5:$B$604))))</f>
        <v>0</v>
      </c>
      <c r="AE245" s="34">
        <f>IF(A245="","",IFERROR(AVERAGEIFS(Jobs!$AK$5:$AK$604,Jobs!$J$5:$J$604,A245,Jobs!$AK$5:$AK$604,"&gt;0"),""))</f>
        <v>0</v>
      </c>
      <c r="AF245" s="34">
        <f>IF(OR(AE245="",X245=""),"",AE245-X245)</f>
        <v>0</v>
      </c>
      <c r="AG245" s="21">
        <f>IF(A245="","",SUMIFS(Jobs!$AJ$5:$AJ$604,Jobs!$J$5:$J$604,A245,Jobs!$P$5:$P$604,"Invoiced")+SUMIFS(Jobs!$AJ$5:$AJ$604,Jobs!$J$5:$J$604,A245,Jobs!$P$5:$P$604,"Completed"))</f>
        <v>0</v>
      </c>
      <c r="AH245" s="39">
        <f>IF(B245="","",IF(C245="","Add - no client linked",IF(IFERROR(INDEX(Clients!$B$5:$B$204,MATCH(C245,Clients!$A$5:$A$204,0)),"")="","Check - client ID not found",IF(AND(G245="",H245=""),"Add - size needed to price it",IF(AND(AF245&lt;&gt;"",AF245&gt;0.5),"Check - runs over the estimate",IF(N245="","Add - how do we get in?","OK"))))))</f>
        <v>0</v>
      </c>
    </row>
    <row r="246" spans="1:34">
      <c r="A246" s="43">
        <f>IF(B246="","",PropertyPrefix&amp;TEXT(ROW()-4,"0000"))</f>
        <v>0</v>
      </c>
      <c r="D246" s="23">
        <f>IF(C246="","",IFERROR(INDEX(Clients!$B$5:$B$204,MATCH(C246,Clients!$A$5:$A$204,0)),"Not found"))</f>
        <v>0</v>
      </c>
      <c r="W246" s="34">
        <f>IF(B246="","",MAX(IF(H246="",0,H246)*0.45+IF(I246="",0,I246)*0.6+IF(J246="",0,J246)*0.3,IF(G246="",0,G246)/650))</f>
        <v>0</v>
      </c>
      <c r="X246" s="34">
        <f>IF(B246="","",ROUND(MAX(1,W246)*IFERROR(INDEX(ConditionFactors,MATCH(L246,ConditionNames,0)),1),2))</f>
        <v>0</v>
      </c>
      <c r="Y246" s="34">
        <f>IF(B246="","",ROUND(X246/MAX(1,CleanersPerJob),2))</f>
        <v>0</v>
      </c>
      <c r="Z246" s="21">
        <f>IF(B246="","",MAX(MinimumCharge,ROUND(X246*IF(IFERROR(INDEX(Clients!$O$5:$O$204,MATCH(C246,Clients!$A$5:$A$204,0)),0)&gt;0,INDEX(Clients!$O$5:$O$204,MATCH(C246,Clients!$A$5:$A$204,0)),HourlyRate)+IF(M246="",0,IF(M246="None",0,PetSurcharge)),2)))</f>
        <v>0</v>
      </c>
      <c r="AA246" s="21">
        <f>IF(B246="","",ROUND(X246*CostPerHour,2))</f>
        <v>0</v>
      </c>
      <c r="AB246" s="38">
        <f>IF(B246="","",IF(Z246=0,"",(Z246-AA246-X246*SuppliesPerHour)/Z246))</f>
        <v>0</v>
      </c>
      <c r="AC246" s="31">
        <f>IF(A246="","",COUNTIFS(Jobs!$J$5:$J$604,A246))</f>
        <v>0</v>
      </c>
      <c r="AD246" s="18">
        <f>IF(A246="","",IF(SUMPRODUCT(MAX((Jobs!$J$5:$J$604=A246)*((Jobs!$P$5:$P$604="Completed")+(Jobs!$P$5:$P$604="Invoiced"))*Jobs!$B$5:$B$604))=0,"",SUMPRODUCT(MAX((Jobs!$J$5:$J$604=A246)*((Jobs!$P$5:$P$604="Completed")+(Jobs!$P$5:$P$604="Invoiced"))*Jobs!$B$5:$B$604))))</f>
        <v>0</v>
      </c>
      <c r="AE246" s="34">
        <f>IF(A246="","",IFERROR(AVERAGEIFS(Jobs!$AK$5:$AK$604,Jobs!$J$5:$J$604,A246,Jobs!$AK$5:$AK$604,"&gt;0"),""))</f>
        <v>0</v>
      </c>
      <c r="AF246" s="34">
        <f>IF(OR(AE246="",X246=""),"",AE246-X246)</f>
        <v>0</v>
      </c>
      <c r="AG246" s="21">
        <f>IF(A246="","",SUMIFS(Jobs!$AJ$5:$AJ$604,Jobs!$J$5:$J$604,A246,Jobs!$P$5:$P$604,"Invoiced")+SUMIFS(Jobs!$AJ$5:$AJ$604,Jobs!$J$5:$J$604,A246,Jobs!$P$5:$P$604,"Completed"))</f>
        <v>0</v>
      </c>
      <c r="AH246" s="39">
        <f>IF(B246="","",IF(C246="","Add - no client linked",IF(IFERROR(INDEX(Clients!$B$5:$B$204,MATCH(C246,Clients!$A$5:$A$204,0)),"")="","Check - client ID not found",IF(AND(G246="",H246=""),"Add - size needed to price it",IF(AND(AF246&lt;&gt;"",AF246&gt;0.5),"Check - runs over the estimate",IF(N246="","Add - how do we get in?","OK"))))))</f>
        <v>0</v>
      </c>
    </row>
    <row r="247" spans="1:34">
      <c r="A247" s="43">
        <f>IF(B247="","",PropertyPrefix&amp;TEXT(ROW()-4,"0000"))</f>
        <v>0</v>
      </c>
      <c r="D247" s="23">
        <f>IF(C247="","",IFERROR(INDEX(Clients!$B$5:$B$204,MATCH(C247,Clients!$A$5:$A$204,0)),"Not found"))</f>
        <v>0</v>
      </c>
      <c r="W247" s="34">
        <f>IF(B247="","",MAX(IF(H247="",0,H247)*0.45+IF(I247="",0,I247)*0.6+IF(J247="",0,J247)*0.3,IF(G247="",0,G247)/650))</f>
        <v>0</v>
      </c>
      <c r="X247" s="34">
        <f>IF(B247="","",ROUND(MAX(1,W247)*IFERROR(INDEX(ConditionFactors,MATCH(L247,ConditionNames,0)),1),2))</f>
        <v>0</v>
      </c>
      <c r="Y247" s="34">
        <f>IF(B247="","",ROUND(X247/MAX(1,CleanersPerJob),2))</f>
        <v>0</v>
      </c>
      <c r="Z247" s="21">
        <f>IF(B247="","",MAX(MinimumCharge,ROUND(X247*IF(IFERROR(INDEX(Clients!$O$5:$O$204,MATCH(C247,Clients!$A$5:$A$204,0)),0)&gt;0,INDEX(Clients!$O$5:$O$204,MATCH(C247,Clients!$A$5:$A$204,0)),HourlyRate)+IF(M247="",0,IF(M247="None",0,PetSurcharge)),2)))</f>
        <v>0</v>
      </c>
      <c r="AA247" s="21">
        <f>IF(B247="","",ROUND(X247*CostPerHour,2))</f>
        <v>0</v>
      </c>
      <c r="AB247" s="38">
        <f>IF(B247="","",IF(Z247=0,"",(Z247-AA247-X247*SuppliesPerHour)/Z247))</f>
        <v>0</v>
      </c>
      <c r="AC247" s="31">
        <f>IF(A247="","",COUNTIFS(Jobs!$J$5:$J$604,A247))</f>
        <v>0</v>
      </c>
      <c r="AD247" s="18">
        <f>IF(A247="","",IF(SUMPRODUCT(MAX((Jobs!$J$5:$J$604=A247)*((Jobs!$P$5:$P$604="Completed")+(Jobs!$P$5:$P$604="Invoiced"))*Jobs!$B$5:$B$604))=0,"",SUMPRODUCT(MAX((Jobs!$J$5:$J$604=A247)*((Jobs!$P$5:$P$604="Completed")+(Jobs!$P$5:$P$604="Invoiced"))*Jobs!$B$5:$B$604))))</f>
        <v>0</v>
      </c>
      <c r="AE247" s="34">
        <f>IF(A247="","",IFERROR(AVERAGEIFS(Jobs!$AK$5:$AK$604,Jobs!$J$5:$J$604,A247,Jobs!$AK$5:$AK$604,"&gt;0"),""))</f>
        <v>0</v>
      </c>
      <c r="AF247" s="34">
        <f>IF(OR(AE247="",X247=""),"",AE247-X247)</f>
        <v>0</v>
      </c>
      <c r="AG247" s="21">
        <f>IF(A247="","",SUMIFS(Jobs!$AJ$5:$AJ$604,Jobs!$J$5:$J$604,A247,Jobs!$P$5:$P$604,"Invoiced")+SUMIFS(Jobs!$AJ$5:$AJ$604,Jobs!$J$5:$J$604,A247,Jobs!$P$5:$P$604,"Completed"))</f>
        <v>0</v>
      </c>
      <c r="AH247" s="39">
        <f>IF(B247="","",IF(C247="","Add - no client linked",IF(IFERROR(INDEX(Clients!$B$5:$B$204,MATCH(C247,Clients!$A$5:$A$204,0)),"")="","Check - client ID not found",IF(AND(G247="",H247=""),"Add - size needed to price it",IF(AND(AF247&lt;&gt;"",AF247&gt;0.5),"Check - runs over the estimate",IF(N247="","Add - how do we get in?","OK"))))))</f>
        <v>0</v>
      </c>
    </row>
    <row r="248" spans="1:34">
      <c r="A248" s="43">
        <f>IF(B248="","",PropertyPrefix&amp;TEXT(ROW()-4,"0000"))</f>
        <v>0</v>
      </c>
      <c r="D248" s="23">
        <f>IF(C248="","",IFERROR(INDEX(Clients!$B$5:$B$204,MATCH(C248,Clients!$A$5:$A$204,0)),"Not found"))</f>
        <v>0</v>
      </c>
      <c r="W248" s="34">
        <f>IF(B248="","",MAX(IF(H248="",0,H248)*0.45+IF(I248="",0,I248)*0.6+IF(J248="",0,J248)*0.3,IF(G248="",0,G248)/650))</f>
        <v>0</v>
      </c>
      <c r="X248" s="34">
        <f>IF(B248="","",ROUND(MAX(1,W248)*IFERROR(INDEX(ConditionFactors,MATCH(L248,ConditionNames,0)),1),2))</f>
        <v>0</v>
      </c>
      <c r="Y248" s="34">
        <f>IF(B248="","",ROUND(X248/MAX(1,CleanersPerJob),2))</f>
        <v>0</v>
      </c>
      <c r="Z248" s="21">
        <f>IF(B248="","",MAX(MinimumCharge,ROUND(X248*IF(IFERROR(INDEX(Clients!$O$5:$O$204,MATCH(C248,Clients!$A$5:$A$204,0)),0)&gt;0,INDEX(Clients!$O$5:$O$204,MATCH(C248,Clients!$A$5:$A$204,0)),HourlyRate)+IF(M248="",0,IF(M248="None",0,PetSurcharge)),2)))</f>
        <v>0</v>
      </c>
      <c r="AA248" s="21">
        <f>IF(B248="","",ROUND(X248*CostPerHour,2))</f>
        <v>0</v>
      </c>
      <c r="AB248" s="38">
        <f>IF(B248="","",IF(Z248=0,"",(Z248-AA248-X248*SuppliesPerHour)/Z248))</f>
        <v>0</v>
      </c>
      <c r="AC248" s="31">
        <f>IF(A248="","",COUNTIFS(Jobs!$J$5:$J$604,A248))</f>
        <v>0</v>
      </c>
      <c r="AD248" s="18">
        <f>IF(A248="","",IF(SUMPRODUCT(MAX((Jobs!$J$5:$J$604=A248)*((Jobs!$P$5:$P$604="Completed")+(Jobs!$P$5:$P$604="Invoiced"))*Jobs!$B$5:$B$604))=0,"",SUMPRODUCT(MAX((Jobs!$J$5:$J$604=A248)*((Jobs!$P$5:$P$604="Completed")+(Jobs!$P$5:$P$604="Invoiced"))*Jobs!$B$5:$B$604))))</f>
        <v>0</v>
      </c>
      <c r="AE248" s="34">
        <f>IF(A248="","",IFERROR(AVERAGEIFS(Jobs!$AK$5:$AK$604,Jobs!$J$5:$J$604,A248,Jobs!$AK$5:$AK$604,"&gt;0"),""))</f>
        <v>0</v>
      </c>
      <c r="AF248" s="34">
        <f>IF(OR(AE248="",X248=""),"",AE248-X248)</f>
        <v>0</v>
      </c>
      <c r="AG248" s="21">
        <f>IF(A248="","",SUMIFS(Jobs!$AJ$5:$AJ$604,Jobs!$J$5:$J$604,A248,Jobs!$P$5:$P$604,"Invoiced")+SUMIFS(Jobs!$AJ$5:$AJ$604,Jobs!$J$5:$J$604,A248,Jobs!$P$5:$P$604,"Completed"))</f>
        <v>0</v>
      </c>
      <c r="AH248" s="39">
        <f>IF(B248="","",IF(C248="","Add - no client linked",IF(IFERROR(INDEX(Clients!$B$5:$B$204,MATCH(C248,Clients!$A$5:$A$204,0)),"")="","Check - client ID not found",IF(AND(G248="",H248=""),"Add - size needed to price it",IF(AND(AF248&lt;&gt;"",AF248&gt;0.5),"Check - runs over the estimate",IF(N248="","Add - how do we get in?","OK"))))))</f>
        <v>0</v>
      </c>
    </row>
    <row r="249" spans="1:34">
      <c r="A249" s="43">
        <f>IF(B249="","",PropertyPrefix&amp;TEXT(ROW()-4,"0000"))</f>
        <v>0</v>
      </c>
      <c r="D249" s="23">
        <f>IF(C249="","",IFERROR(INDEX(Clients!$B$5:$B$204,MATCH(C249,Clients!$A$5:$A$204,0)),"Not found"))</f>
        <v>0</v>
      </c>
      <c r="W249" s="34">
        <f>IF(B249="","",MAX(IF(H249="",0,H249)*0.45+IF(I249="",0,I249)*0.6+IF(J249="",0,J249)*0.3,IF(G249="",0,G249)/650))</f>
        <v>0</v>
      </c>
      <c r="X249" s="34">
        <f>IF(B249="","",ROUND(MAX(1,W249)*IFERROR(INDEX(ConditionFactors,MATCH(L249,ConditionNames,0)),1),2))</f>
        <v>0</v>
      </c>
      <c r="Y249" s="34">
        <f>IF(B249="","",ROUND(X249/MAX(1,CleanersPerJob),2))</f>
        <v>0</v>
      </c>
      <c r="Z249" s="21">
        <f>IF(B249="","",MAX(MinimumCharge,ROUND(X249*IF(IFERROR(INDEX(Clients!$O$5:$O$204,MATCH(C249,Clients!$A$5:$A$204,0)),0)&gt;0,INDEX(Clients!$O$5:$O$204,MATCH(C249,Clients!$A$5:$A$204,0)),HourlyRate)+IF(M249="",0,IF(M249="None",0,PetSurcharge)),2)))</f>
        <v>0</v>
      </c>
      <c r="AA249" s="21">
        <f>IF(B249="","",ROUND(X249*CostPerHour,2))</f>
        <v>0</v>
      </c>
      <c r="AB249" s="38">
        <f>IF(B249="","",IF(Z249=0,"",(Z249-AA249-X249*SuppliesPerHour)/Z249))</f>
        <v>0</v>
      </c>
      <c r="AC249" s="31">
        <f>IF(A249="","",COUNTIFS(Jobs!$J$5:$J$604,A249))</f>
        <v>0</v>
      </c>
      <c r="AD249" s="18">
        <f>IF(A249="","",IF(SUMPRODUCT(MAX((Jobs!$J$5:$J$604=A249)*((Jobs!$P$5:$P$604="Completed")+(Jobs!$P$5:$P$604="Invoiced"))*Jobs!$B$5:$B$604))=0,"",SUMPRODUCT(MAX((Jobs!$J$5:$J$604=A249)*((Jobs!$P$5:$P$604="Completed")+(Jobs!$P$5:$P$604="Invoiced"))*Jobs!$B$5:$B$604))))</f>
        <v>0</v>
      </c>
      <c r="AE249" s="34">
        <f>IF(A249="","",IFERROR(AVERAGEIFS(Jobs!$AK$5:$AK$604,Jobs!$J$5:$J$604,A249,Jobs!$AK$5:$AK$604,"&gt;0"),""))</f>
        <v>0</v>
      </c>
      <c r="AF249" s="34">
        <f>IF(OR(AE249="",X249=""),"",AE249-X249)</f>
        <v>0</v>
      </c>
      <c r="AG249" s="21">
        <f>IF(A249="","",SUMIFS(Jobs!$AJ$5:$AJ$604,Jobs!$J$5:$J$604,A249,Jobs!$P$5:$P$604,"Invoiced")+SUMIFS(Jobs!$AJ$5:$AJ$604,Jobs!$J$5:$J$604,A249,Jobs!$P$5:$P$604,"Completed"))</f>
        <v>0</v>
      </c>
      <c r="AH249" s="39">
        <f>IF(B249="","",IF(C249="","Add - no client linked",IF(IFERROR(INDEX(Clients!$B$5:$B$204,MATCH(C249,Clients!$A$5:$A$204,0)),"")="","Check - client ID not found",IF(AND(G249="",H249=""),"Add - size needed to price it",IF(AND(AF249&lt;&gt;"",AF249&gt;0.5),"Check - runs over the estimate",IF(N249="","Add - how do we get in?","OK"))))))</f>
        <v>0</v>
      </c>
    </row>
    <row r="250" spans="1:34">
      <c r="A250" s="43">
        <f>IF(B250="","",PropertyPrefix&amp;TEXT(ROW()-4,"0000"))</f>
        <v>0</v>
      </c>
      <c r="D250" s="23">
        <f>IF(C250="","",IFERROR(INDEX(Clients!$B$5:$B$204,MATCH(C250,Clients!$A$5:$A$204,0)),"Not found"))</f>
        <v>0</v>
      </c>
      <c r="W250" s="34">
        <f>IF(B250="","",MAX(IF(H250="",0,H250)*0.45+IF(I250="",0,I250)*0.6+IF(J250="",0,J250)*0.3,IF(G250="",0,G250)/650))</f>
        <v>0</v>
      </c>
      <c r="X250" s="34">
        <f>IF(B250="","",ROUND(MAX(1,W250)*IFERROR(INDEX(ConditionFactors,MATCH(L250,ConditionNames,0)),1),2))</f>
        <v>0</v>
      </c>
      <c r="Y250" s="34">
        <f>IF(B250="","",ROUND(X250/MAX(1,CleanersPerJob),2))</f>
        <v>0</v>
      </c>
      <c r="Z250" s="21">
        <f>IF(B250="","",MAX(MinimumCharge,ROUND(X250*IF(IFERROR(INDEX(Clients!$O$5:$O$204,MATCH(C250,Clients!$A$5:$A$204,0)),0)&gt;0,INDEX(Clients!$O$5:$O$204,MATCH(C250,Clients!$A$5:$A$204,0)),HourlyRate)+IF(M250="",0,IF(M250="None",0,PetSurcharge)),2)))</f>
        <v>0</v>
      </c>
      <c r="AA250" s="21">
        <f>IF(B250="","",ROUND(X250*CostPerHour,2))</f>
        <v>0</v>
      </c>
      <c r="AB250" s="38">
        <f>IF(B250="","",IF(Z250=0,"",(Z250-AA250-X250*SuppliesPerHour)/Z250))</f>
        <v>0</v>
      </c>
      <c r="AC250" s="31">
        <f>IF(A250="","",COUNTIFS(Jobs!$J$5:$J$604,A250))</f>
        <v>0</v>
      </c>
      <c r="AD250" s="18">
        <f>IF(A250="","",IF(SUMPRODUCT(MAX((Jobs!$J$5:$J$604=A250)*((Jobs!$P$5:$P$604="Completed")+(Jobs!$P$5:$P$604="Invoiced"))*Jobs!$B$5:$B$604))=0,"",SUMPRODUCT(MAX((Jobs!$J$5:$J$604=A250)*((Jobs!$P$5:$P$604="Completed")+(Jobs!$P$5:$P$604="Invoiced"))*Jobs!$B$5:$B$604))))</f>
        <v>0</v>
      </c>
      <c r="AE250" s="34">
        <f>IF(A250="","",IFERROR(AVERAGEIFS(Jobs!$AK$5:$AK$604,Jobs!$J$5:$J$604,A250,Jobs!$AK$5:$AK$604,"&gt;0"),""))</f>
        <v>0</v>
      </c>
      <c r="AF250" s="34">
        <f>IF(OR(AE250="",X250=""),"",AE250-X250)</f>
        <v>0</v>
      </c>
      <c r="AG250" s="21">
        <f>IF(A250="","",SUMIFS(Jobs!$AJ$5:$AJ$604,Jobs!$J$5:$J$604,A250,Jobs!$P$5:$P$604,"Invoiced")+SUMIFS(Jobs!$AJ$5:$AJ$604,Jobs!$J$5:$J$604,A250,Jobs!$P$5:$P$604,"Completed"))</f>
        <v>0</v>
      </c>
      <c r="AH250" s="39">
        <f>IF(B250="","",IF(C250="","Add - no client linked",IF(IFERROR(INDEX(Clients!$B$5:$B$204,MATCH(C250,Clients!$A$5:$A$204,0)),"")="","Check - client ID not found",IF(AND(G250="",H250=""),"Add - size needed to price it",IF(AND(AF250&lt;&gt;"",AF250&gt;0.5),"Check - runs over the estimate",IF(N250="","Add - how do we get in?","OK"))))))</f>
        <v>0</v>
      </c>
    </row>
    <row r="251" spans="1:34">
      <c r="A251" s="43">
        <f>IF(B251="","",PropertyPrefix&amp;TEXT(ROW()-4,"0000"))</f>
        <v>0</v>
      </c>
      <c r="D251" s="23">
        <f>IF(C251="","",IFERROR(INDEX(Clients!$B$5:$B$204,MATCH(C251,Clients!$A$5:$A$204,0)),"Not found"))</f>
        <v>0</v>
      </c>
      <c r="W251" s="34">
        <f>IF(B251="","",MAX(IF(H251="",0,H251)*0.45+IF(I251="",0,I251)*0.6+IF(J251="",0,J251)*0.3,IF(G251="",0,G251)/650))</f>
        <v>0</v>
      </c>
      <c r="X251" s="34">
        <f>IF(B251="","",ROUND(MAX(1,W251)*IFERROR(INDEX(ConditionFactors,MATCH(L251,ConditionNames,0)),1),2))</f>
        <v>0</v>
      </c>
      <c r="Y251" s="34">
        <f>IF(B251="","",ROUND(X251/MAX(1,CleanersPerJob),2))</f>
        <v>0</v>
      </c>
      <c r="Z251" s="21">
        <f>IF(B251="","",MAX(MinimumCharge,ROUND(X251*IF(IFERROR(INDEX(Clients!$O$5:$O$204,MATCH(C251,Clients!$A$5:$A$204,0)),0)&gt;0,INDEX(Clients!$O$5:$O$204,MATCH(C251,Clients!$A$5:$A$204,0)),HourlyRate)+IF(M251="",0,IF(M251="None",0,PetSurcharge)),2)))</f>
        <v>0</v>
      </c>
      <c r="AA251" s="21">
        <f>IF(B251="","",ROUND(X251*CostPerHour,2))</f>
        <v>0</v>
      </c>
      <c r="AB251" s="38">
        <f>IF(B251="","",IF(Z251=0,"",(Z251-AA251-X251*SuppliesPerHour)/Z251))</f>
        <v>0</v>
      </c>
      <c r="AC251" s="31">
        <f>IF(A251="","",COUNTIFS(Jobs!$J$5:$J$604,A251))</f>
        <v>0</v>
      </c>
      <c r="AD251" s="18">
        <f>IF(A251="","",IF(SUMPRODUCT(MAX((Jobs!$J$5:$J$604=A251)*((Jobs!$P$5:$P$604="Completed")+(Jobs!$P$5:$P$604="Invoiced"))*Jobs!$B$5:$B$604))=0,"",SUMPRODUCT(MAX((Jobs!$J$5:$J$604=A251)*((Jobs!$P$5:$P$604="Completed")+(Jobs!$P$5:$P$604="Invoiced"))*Jobs!$B$5:$B$604))))</f>
        <v>0</v>
      </c>
      <c r="AE251" s="34">
        <f>IF(A251="","",IFERROR(AVERAGEIFS(Jobs!$AK$5:$AK$604,Jobs!$J$5:$J$604,A251,Jobs!$AK$5:$AK$604,"&gt;0"),""))</f>
        <v>0</v>
      </c>
      <c r="AF251" s="34">
        <f>IF(OR(AE251="",X251=""),"",AE251-X251)</f>
        <v>0</v>
      </c>
      <c r="AG251" s="21">
        <f>IF(A251="","",SUMIFS(Jobs!$AJ$5:$AJ$604,Jobs!$J$5:$J$604,A251,Jobs!$P$5:$P$604,"Invoiced")+SUMIFS(Jobs!$AJ$5:$AJ$604,Jobs!$J$5:$J$604,A251,Jobs!$P$5:$P$604,"Completed"))</f>
        <v>0</v>
      </c>
      <c r="AH251" s="39">
        <f>IF(B251="","",IF(C251="","Add - no client linked",IF(IFERROR(INDEX(Clients!$B$5:$B$204,MATCH(C251,Clients!$A$5:$A$204,0)),"")="","Check - client ID not found",IF(AND(G251="",H251=""),"Add - size needed to price it",IF(AND(AF251&lt;&gt;"",AF251&gt;0.5),"Check - runs over the estimate",IF(N251="","Add - how do we get in?","OK"))))))</f>
        <v>0</v>
      </c>
    </row>
    <row r="252" spans="1:34">
      <c r="A252" s="43">
        <f>IF(B252="","",PropertyPrefix&amp;TEXT(ROW()-4,"0000"))</f>
        <v>0</v>
      </c>
      <c r="D252" s="23">
        <f>IF(C252="","",IFERROR(INDEX(Clients!$B$5:$B$204,MATCH(C252,Clients!$A$5:$A$204,0)),"Not found"))</f>
        <v>0</v>
      </c>
      <c r="W252" s="34">
        <f>IF(B252="","",MAX(IF(H252="",0,H252)*0.45+IF(I252="",0,I252)*0.6+IF(J252="",0,J252)*0.3,IF(G252="",0,G252)/650))</f>
        <v>0</v>
      </c>
      <c r="X252" s="34">
        <f>IF(B252="","",ROUND(MAX(1,W252)*IFERROR(INDEX(ConditionFactors,MATCH(L252,ConditionNames,0)),1),2))</f>
        <v>0</v>
      </c>
      <c r="Y252" s="34">
        <f>IF(B252="","",ROUND(X252/MAX(1,CleanersPerJob),2))</f>
        <v>0</v>
      </c>
      <c r="Z252" s="21">
        <f>IF(B252="","",MAX(MinimumCharge,ROUND(X252*IF(IFERROR(INDEX(Clients!$O$5:$O$204,MATCH(C252,Clients!$A$5:$A$204,0)),0)&gt;0,INDEX(Clients!$O$5:$O$204,MATCH(C252,Clients!$A$5:$A$204,0)),HourlyRate)+IF(M252="",0,IF(M252="None",0,PetSurcharge)),2)))</f>
        <v>0</v>
      </c>
      <c r="AA252" s="21">
        <f>IF(B252="","",ROUND(X252*CostPerHour,2))</f>
        <v>0</v>
      </c>
      <c r="AB252" s="38">
        <f>IF(B252="","",IF(Z252=0,"",(Z252-AA252-X252*SuppliesPerHour)/Z252))</f>
        <v>0</v>
      </c>
      <c r="AC252" s="31">
        <f>IF(A252="","",COUNTIFS(Jobs!$J$5:$J$604,A252))</f>
        <v>0</v>
      </c>
      <c r="AD252" s="18">
        <f>IF(A252="","",IF(SUMPRODUCT(MAX((Jobs!$J$5:$J$604=A252)*((Jobs!$P$5:$P$604="Completed")+(Jobs!$P$5:$P$604="Invoiced"))*Jobs!$B$5:$B$604))=0,"",SUMPRODUCT(MAX((Jobs!$J$5:$J$604=A252)*((Jobs!$P$5:$P$604="Completed")+(Jobs!$P$5:$P$604="Invoiced"))*Jobs!$B$5:$B$604))))</f>
        <v>0</v>
      </c>
      <c r="AE252" s="34">
        <f>IF(A252="","",IFERROR(AVERAGEIFS(Jobs!$AK$5:$AK$604,Jobs!$J$5:$J$604,A252,Jobs!$AK$5:$AK$604,"&gt;0"),""))</f>
        <v>0</v>
      </c>
      <c r="AF252" s="34">
        <f>IF(OR(AE252="",X252=""),"",AE252-X252)</f>
        <v>0</v>
      </c>
      <c r="AG252" s="21">
        <f>IF(A252="","",SUMIFS(Jobs!$AJ$5:$AJ$604,Jobs!$J$5:$J$604,A252,Jobs!$P$5:$P$604,"Invoiced")+SUMIFS(Jobs!$AJ$5:$AJ$604,Jobs!$J$5:$J$604,A252,Jobs!$P$5:$P$604,"Completed"))</f>
        <v>0</v>
      </c>
      <c r="AH252" s="39">
        <f>IF(B252="","",IF(C252="","Add - no client linked",IF(IFERROR(INDEX(Clients!$B$5:$B$204,MATCH(C252,Clients!$A$5:$A$204,0)),"")="","Check - client ID not found",IF(AND(G252="",H252=""),"Add - size needed to price it",IF(AND(AF252&lt;&gt;"",AF252&gt;0.5),"Check - runs over the estimate",IF(N252="","Add - how do we get in?","OK"))))))</f>
        <v>0</v>
      </c>
    </row>
    <row r="253" spans="1:34">
      <c r="A253" s="43">
        <f>IF(B253="","",PropertyPrefix&amp;TEXT(ROW()-4,"0000"))</f>
        <v>0</v>
      </c>
      <c r="D253" s="23">
        <f>IF(C253="","",IFERROR(INDEX(Clients!$B$5:$B$204,MATCH(C253,Clients!$A$5:$A$204,0)),"Not found"))</f>
        <v>0</v>
      </c>
      <c r="W253" s="34">
        <f>IF(B253="","",MAX(IF(H253="",0,H253)*0.45+IF(I253="",0,I253)*0.6+IF(J253="",0,J253)*0.3,IF(G253="",0,G253)/650))</f>
        <v>0</v>
      </c>
      <c r="X253" s="34">
        <f>IF(B253="","",ROUND(MAX(1,W253)*IFERROR(INDEX(ConditionFactors,MATCH(L253,ConditionNames,0)),1),2))</f>
        <v>0</v>
      </c>
      <c r="Y253" s="34">
        <f>IF(B253="","",ROUND(X253/MAX(1,CleanersPerJob),2))</f>
        <v>0</v>
      </c>
      <c r="Z253" s="21">
        <f>IF(B253="","",MAX(MinimumCharge,ROUND(X253*IF(IFERROR(INDEX(Clients!$O$5:$O$204,MATCH(C253,Clients!$A$5:$A$204,0)),0)&gt;0,INDEX(Clients!$O$5:$O$204,MATCH(C253,Clients!$A$5:$A$204,0)),HourlyRate)+IF(M253="",0,IF(M253="None",0,PetSurcharge)),2)))</f>
        <v>0</v>
      </c>
      <c r="AA253" s="21">
        <f>IF(B253="","",ROUND(X253*CostPerHour,2))</f>
        <v>0</v>
      </c>
      <c r="AB253" s="38">
        <f>IF(B253="","",IF(Z253=0,"",(Z253-AA253-X253*SuppliesPerHour)/Z253))</f>
        <v>0</v>
      </c>
      <c r="AC253" s="31">
        <f>IF(A253="","",COUNTIFS(Jobs!$J$5:$J$604,A253))</f>
        <v>0</v>
      </c>
      <c r="AD253" s="18">
        <f>IF(A253="","",IF(SUMPRODUCT(MAX((Jobs!$J$5:$J$604=A253)*((Jobs!$P$5:$P$604="Completed")+(Jobs!$P$5:$P$604="Invoiced"))*Jobs!$B$5:$B$604))=0,"",SUMPRODUCT(MAX((Jobs!$J$5:$J$604=A253)*((Jobs!$P$5:$P$604="Completed")+(Jobs!$P$5:$P$604="Invoiced"))*Jobs!$B$5:$B$604))))</f>
        <v>0</v>
      </c>
      <c r="AE253" s="34">
        <f>IF(A253="","",IFERROR(AVERAGEIFS(Jobs!$AK$5:$AK$604,Jobs!$J$5:$J$604,A253,Jobs!$AK$5:$AK$604,"&gt;0"),""))</f>
        <v>0</v>
      </c>
      <c r="AF253" s="34">
        <f>IF(OR(AE253="",X253=""),"",AE253-X253)</f>
        <v>0</v>
      </c>
      <c r="AG253" s="21">
        <f>IF(A253="","",SUMIFS(Jobs!$AJ$5:$AJ$604,Jobs!$J$5:$J$604,A253,Jobs!$P$5:$P$604,"Invoiced")+SUMIFS(Jobs!$AJ$5:$AJ$604,Jobs!$J$5:$J$604,A253,Jobs!$P$5:$P$604,"Completed"))</f>
        <v>0</v>
      </c>
      <c r="AH253" s="39">
        <f>IF(B253="","",IF(C253="","Add - no client linked",IF(IFERROR(INDEX(Clients!$B$5:$B$204,MATCH(C253,Clients!$A$5:$A$204,0)),"")="","Check - client ID not found",IF(AND(G253="",H253=""),"Add - size needed to price it",IF(AND(AF253&lt;&gt;"",AF253&gt;0.5),"Check - runs over the estimate",IF(N253="","Add - how do we get in?","OK"))))))</f>
        <v>0</v>
      </c>
    </row>
    <row r="254" spans="1:34">
      <c r="A254" s="43">
        <f>IF(B254="","",PropertyPrefix&amp;TEXT(ROW()-4,"0000"))</f>
        <v>0</v>
      </c>
      <c r="D254" s="23">
        <f>IF(C254="","",IFERROR(INDEX(Clients!$B$5:$B$204,MATCH(C254,Clients!$A$5:$A$204,0)),"Not found"))</f>
        <v>0</v>
      </c>
      <c r="W254" s="34">
        <f>IF(B254="","",MAX(IF(H254="",0,H254)*0.45+IF(I254="",0,I254)*0.6+IF(J254="",0,J254)*0.3,IF(G254="",0,G254)/650))</f>
        <v>0</v>
      </c>
      <c r="X254" s="34">
        <f>IF(B254="","",ROUND(MAX(1,W254)*IFERROR(INDEX(ConditionFactors,MATCH(L254,ConditionNames,0)),1),2))</f>
        <v>0</v>
      </c>
      <c r="Y254" s="34">
        <f>IF(B254="","",ROUND(X254/MAX(1,CleanersPerJob),2))</f>
        <v>0</v>
      </c>
      <c r="Z254" s="21">
        <f>IF(B254="","",MAX(MinimumCharge,ROUND(X254*IF(IFERROR(INDEX(Clients!$O$5:$O$204,MATCH(C254,Clients!$A$5:$A$204,0)),0)&gt;0,INDEX(Clients!$O$5:$O$204,MATCH(C254,Clients!$A$5:$A$204,0)),HourlyRate)+IF(M254="",0,IF(M254="None",0,PetSurcharge)),2)))</f>
        <v>0</v>
      </c>
      <c r="AA254" s="21">
        <f>IF(B254="","",ROUND(X254*CostPerHour,2))</f>
        <v>0</v>
      </c>
      <c r="AB254" s="38">
        <f>IF(B254="","",IF(Z254=0,"",(Z254-AA254-X254*SuppliesPerHour)/Z254))</f>
        <v>0</v>
      </c>
      <c r="AC254" s="31">
        <f>IF(A254="","",COUNTIFS(Jobs!$J$5:$J$604,A254))</f>
        <v>0</v>
      </c>
      <c r="AD254" s="18">
        <f>IF(A254="","",IF(SUMPRODUCT(MAX((Jobs!$J$5:$J$604=A254)*((Jobs!$P$5:$P$604="Completed")+(Jobs!$P$5:$P$604="Invoiced"))*Jobs!$B$5:$B$604))=0,"",SUMPRODUCT(MAX((Jobs!$J$5:$J$604=A254)*((Jobs!$P$5:$P$604="Completed")+(Jobs!$P$5:$P$604="Invoiced"))*Jobs!$B$5:$B$604))))</f>
        <v>0</v>
      </c>
      <c r="AE254" s="34">
        <f>IF(A254="","",IFERROR(AVERAGEIFS(Jobs!$AK$5:$AK$604,Jobs!$J$5:$J$604,A254,Jobs!$AK$5:$AK$604,"&gt;0"),""))</f>
        <v>0</v>
      </c>
      <c r="AF254" s="34">
        <f>IF(OR(AE254="",X254=""),"",AE254-X254)</f>
        <v>0</v>
      </c>
      <c r="AG254" s="21">
        <f>IF(A254="","",SUMIFS(Jobs!$AJ$5:$AJ$604,Jobs!$J$5:$J$604,A254,Jobs!$P$5:$P$604,"Invoiced")+SUMIFS(Jobs!$AJ$5:$AJ$604,Jobs!$J$5:$J$604,A254,Jobs!$P$5:$P$604,"Completed"))</f>
        <v>0</v>
      </c>
      <c r="AH254" s="39">
        <f>IF(B254="","",IF(C254="","Add - no client linked",IF(IFERROR(INDEX(Clients!$B$5:$B$204,MATCH(C254,Clients!$A$5:$A$204,0)),"")="","Check - client ID not found",IF(AND(G254="",H254=""),"Add - size needed to price it",IF(AND(AF254&lt;&gt;"",AF254&gt;0.5),"Check - runs over the estimate",IF(N254="","Add - how do we get in?","OK"))))))</f>
        <v>0</v>
      </c>
    </row>
  </sheetData>
  <sheetProtection password="EC7C" sheet="1" objects="1" scenarios="1" formatCells="0" formatColumns="0" formatRows="0" insertRows="0" insertHyperlinks="0" deleteRows="0" autoFilter="0"/>
  <autoFilter ref="A4:AH254"/>
  <mergeCells count="13">
    <mergeCell ref="A1:AE1"/>
    <mergeCell ref="AF1:AH1"/>
    <mergeCell ref="A2:AH2"/>
    <mergeCell ref="A3:B3"/>
    <mergeCell ref="C3:D3"/>
    <mergeCell ref="E3:F3"/>
    <mergeCell ref="G3:H3"/>
    <mergeCell ref="I3:J3"/>
    <mergeCell ref="K3:L3"/>
    <mergeCell ref="M3:N3"/>
    <mergeCell ref="O3:P3"/>
    <mergeCell ref="Q3:R3"/>
    <mergeCell ref="S3:AH3"/>
  </mergeCells>
  <conditionalFormatting sqref="AB5:AB254">
    <cfRule type="cellIs" dxfId="2" priority="46" operator="lessThan">
      <formula>MarginFloor</formula>
    </cfRule>
    <cfRule type="cellIs" dxfId="1" priority="47" operator="greaterThanOrEqual">
      <formula>TargetMargin</formula>
    </cfRule>
  </conditionalFormatting>
  <conditionalFormatting sqref="AF5:AF254">
    <cfRule type="cellIs" dxfId="2" priority="48" operator="greaterThan">
      <formula>0.5</formula>
    </cfRule>
    <cfRule type="cellIs" dxfId="1" priority="49" operator="lessThanOrEqual">
      <formula>0</formula>
    </cfRule>
  </conditionalFormatting>
  <conditionalFormatting sqref="AH5:AH254">
    <cfRule type="beginsWith" dxfId="1" priority="50" operator="beginsWith" text="OK">
      <formula>LEFT(AH5,2)="OK"</formula>
    </cfRule>
    <cfRule type="containsText" dxfId="2" priority="51" operator="containsText" text="Overdue">
      <formula>NOT(ISERROR(SEARCH("Overdue",AH5)))</formula>
    </cfRule>
    <cfRule type="containsText" dxfId="2" priority="52" operator="containsText" text="Late">
      <formula>NOT(ISERROR(SEARCH("Late",AH5)))</formula>
    </cfRule>
    <cfRule type="containsText" dxfId="2" priority="53" operator="containsText" text="Missing">
      <formula>NOT(ISERROR(SEARCH("Missing",AH5)))</formula>
    </cfRule>
    <cfRule type="containsText" dxfId="2" priority="54" operator="containsText" text="Conflict">
      <formula>NOT(ISERROR(SEARCH("Conflict",AH5)))</formula>
    </cfRule>
    <cfRule type="containsText" dxfId="2" priority="55" operator="containsText" text="Clash">
      <formula>NOT(ISERROR(SEARCH("Clash",AH5)))</formula>
    </cfRule>
    <cfRule type="containsText" dxfId="2" priority="56" operator="containsText" text="Expired">
      <formula>NOT(ISERROR(SEARCH("Expired",AH5)))</formula>
    </cfRule>
    <cfRule type="containsText" dxfId="2" priority="57" operator="containsText" text="Duplicate">
      <formula>NOT(ISERROR(SEARCH("Duplicate",AH5)))</formula>
    </cfRule>
    <cfRule type="containsText" dxfId="2" priority="58" operator="containsText" text="Unpaid">
      <formula>NOT(ISERROR(SEARCH("Unpaid",AH5)))</formula>
    </cfRule>
    <cfRule type="containsText" dxfId="2" priority="59" operator="containsText" text="Loss">
      <formula>NOT(ISERROR(SEARCH("Loss",AH5)))</formula>
    </cfRule>
    <cfRule type="containsText" dxfId="2" priority="60" operator="containsText" text="Below">
      <formula>NOT(ISERROR(SEARCH("Below",AH5)))</formula>
    </cfRule>
    <cfRule type="containsText" dxfId="0" priority="61" operator="containsText" text="Action">
      <formula>NOT(ISERROR(SEARCH("Action",AH5)))</formula>
    </cfRule>
    <cfRule type="containsText" dxfId="0" priority="62" operator="containsText" text="Due">
      <formula>NOT(ISERROR(SEARCH("Due",AH5)))</formula>
    </cfRule>
    <cfRule type="containsText" dxfId="0" priority="63" operator="containsText" text="Check">
      <formula>NOT(ISERROR(SEARCH("Check",AH5)))</formula>
    </cfRule>
    <cfRule type="containsText" dxfId="0" priority="64" operator="containsText" text="Chase">
      <formula>NOT(ISERROR(SEARCH("Chase",AH5)))</formula>
    </cfRule>
    <cfRule type="containsText" dxfId="0" priority="65" operator="containsText" text="Assign">
      <formula>NOT(ISERROR(SEARCH("Assign",AH5)))</formula>
    </cfRule>
    <cfRule type="containsText" dxfId="0" priority="66" operator="containsText" text="Confirm">
      <formula>NOT(ISERROR(SEARCH("Confirm",AH5)))</formula>
    </cfRule>
    <cfRule type="containsText" dxfId="0" priority="67" operator="containsText" text="Order">
      <formula>NOT(ISERROR(SEARCH("Order",AH5)))</formula>
    </cfRule>
    <cfRule type="containsText" dxfId="3" priority="68" operator="containsText" text="Today">
      <formula>NOT(ISERROR(SEARCH("Today",AH5)))</formula>
    </cfRule>
    <cfRule type="containsText" dxfId="3" priority="69" operator="containsText" text="Upcoming">
      <formula>NOT(ISERROR(SEARCH("Upcoming",AH5)))</formula>
    </cfRule>
    <cfRule type="containsText" dxfId="3" priority="70" operator="containsText" text="Tomorrow">
      <formula>NOT(ISERROR(SEARCH("Tomorrow",AH5)))</formula>
    </cfRule>
  </conditionalFormatting>
  <conditionalFormatting sqref="O5:O254">
    <cfRule type="containsText" dxfId="1" priority="1" operator="containsText" text="Completed">
      <formula>NOT(ISERROR(SEARCH("Completed",O5)))</formula>
    </cfRule>
    <cfRule type="containsText" dxfId="1" priority="2" operator="containsText" text="Complete">
      <formula>NOT(ISERROR(SEARCH("Complete",O5)))</formula>
    </cfRule>
    <cfRule type="containsText" dxfId="1" priority="3" operator="containsText" text="Done">
      <formula>NOT(ISERROR(SEARCH("Done",O5)))</formula>
    </cfRule>
    <cfRule type="containsText" dxfId="1" priority="4" operator="containsText" text="Paid">
      <formula>NOT(ISERROR(SEARCH("Paid",O5)))</formula>
    </cfRule>
    <cfRule type="containsText" dxfId="1" priority="5" operator="containsText" text="Accepted">
      <formula>NOT(ISERROR(SEARCH("Accepted",O5)))</formula>
    </cfRule>
    <cfRule type="containsText" dxfId="1" priority="6" operator="containsText" text="Won">
      <formula>NOT(ISERROR(SEARCH("Won",O5)))</formula>
    </cfRule>
    <cfRule type="containsText" dxfId="1" priority="7" operator="containsText" text="Active">
      <formula>NOT(ISERROR(SEARCH("Active",O5)))</formula>
    </cfRule>
    <cfRule type="containsText" dxfId="1" priority="8" operator="containsText" text="In stock">
      <formula>NOT(ISERROR(SEARCH("In stock",O5)))</formula>
    </cfRule>
    <cfRule type="containsText" dxfId="1" priority="9" operator="containsText" text="Resolved">
      <formula>NOT(ISERROR(SEARCH("Resolved",O5)))</formula>
    </cfRule>
    <cfRule type="containsText" dxfId="1" priority="10" operator="containsText" text="Signed">
      <formula>NOT(ISERROR(SEARCH("Signed",O5)))</formula>
    </cfRule>
    <cfRule type="containsText" dxfId="1" priority="11" operator="containsText" text="Yes">
      <formula>NOT(ISERROR(SEARCH("Yes",O5)))</formula>
    </cfRule>
    <cfRule type="containsText" dxfId="3" priority="12" operator="containsText" text="Booked">
      <formula>NOT(ISERROR(SEARCH("Booked",O5)))</formula>
    </cfRule>
    <cfRule type="containsText" dxfId="3" priority="13" operator="containsText" text="Confirmed">
      <formula>NOT(ISERROR(SEARCH("Confirmed",O5)))</formula>
    </cfRule>
    <cfRule type="containsText" dxfId="3" priority="14" operator="containsText" text="Scheduled">
      <formula>NOT(ISERROR(SEARCH("Scheduled",O5)))</formula>
    </cfRule>
    <cfRule type="containsText" dxfId="3" priority="15" operator="containsText" text="In progress">
      <formula>NOT(ISERROR(SEARCH("In progress",O5)))</formula>
    </cfRule>
    <cfRule type="containsText" dxfId="3" priority="16" operator="containsText" text="Sent">
      <formula>NOT(ISERROR(SEARCH("Sent",O5)))</formula>
    </cfRule>
    <cfRule type="containsText" dxfId="3" priority="17" operator="containsText" text="Invoiced">
      <formula>NOT(ISERROR(SEARCH("Invoiced",O5)))</formula>
    </cfRule>
    <cfRule type="containsText" dxfId="3" priority="18" operator="containsText" text="Quoted">
      <formula>NOT(ISERROR(SEARCH("Quoted",O5)))</formula>
    </cfRule>
    <cfRule type="containsText" dxfId="3" priority="19" operator="containsText" text="Prospect">
      <formula>NOT(ISERROR(SEARCH("Prospect",O5)))</formula>
    </cfRule>
    <cfRule type="containsText" dxfId="0" priority="20" operator="containsText" text="Draft">
      <formula>NOT(ISERROR(SEARCH("Draft",O5)))</formula>
    </cfRule>
    <cfRule type="containsText" dxfId="0" priority="21" operator="containsText" text="Enquiry">
      <formula>NOT(ISERROR(SEARCH("Enquiry",O5)))</formula>
    </cfRule>
    <cfRule type="containsText" dxfId="0" priority="22" operator="containsText" text="Pending">
      <formula>NOT(ISERROR(SEARCH("Pending",O5)))</formula>
    </cfRule>
    <cfRule type="containsText" dxfId="0" priority="23" operator="containsText" text="Part paid">
      <formula>NOT(ISERROR(SEARCH("Part paid",O5)))</formula>
    </cfRule>
    <cfRule type="containsText" dxfId="0" priority="24" operator="containsText" text="Followed up">
      <formula>NOT(ISERROR(SEARCH("Followed up",O5)))</formula>
    </cfRule>
    <cfRule type="containsText" dxfId="0" priority="25" operator="containsText" text="Low stock">
      <formula>NOT(ISERROR(SEARCH("Low stock",O5)))</formula>
    </cfRule>
    <cfRule type="containsText" dxfId="0" priority="26" operator="containsText" text="Due soon">
      <formula>NOT(ISERROR(SEARCH("Due soon",O5)))</formula>
    </cfRule>
    <cfRule type="containsText" dxfId="0" priority="27" operator="containsText" text="On hold">
      <formula>NOT(ISERROR(SEARCH("On hold",O5)))</formula>
    </cfRule>
    <cfRule type="containsText" dxfId="0" priority="28" operator="containsText" text="Unassigned">
      <formula>NOT(ISERROR(SEARCH("Unassigned",O5)))</formula>
    </cfRule>
    <cfRule type="containsText" dxfId="2" priority="29" operator="containsText" text="Overdue">
      <formula>NOT(ISERROR(SEARCH("Overdue",O5)))</formula>
    </cfRule>
    <cfRule type="containsText" dxfId="2" priority="30" operator="containsText" text="Cancelled">
      <formula>NOT(ISERROR(SEARCH("Cancelled",O5)))</formula>
    </cfRule>
    <cfRule type="containsText" dxfId="2" priority="31" operator="containsText" text="Declined">
      <formula>NOT(ISERROR(SEARCH("Declined",O5)))</formula>
    </cfRule>
    <cfRule type="containsText" dxfId="2" priority="32" operator="containsText" text="Lost">
      <formula>NOT(ISERROR(SEARCH("Lost",O5)))</formula>
    </cfRule>
    <cfRule type="containsText" dxfId="2" priority="33" operator="containsText" text="No access">
      <formula>NOT(ISERROR(SEARCH("No access",O5)))</formula>
    </cfRule>
    <cfRule type="containsText" dxfId="2" priority="34" operator="containsText" text="Out of stock">
      <formula>NOT(ISERROR(SEARCH("Out of stock",O5)))</formula>
    </cfRule>
    <cfRule type="containsText" dxfId="2" priority="35" operator="containsText" text="Written off">
      <formula>NOT(ISERROR(SEARCH("Written off",O5)))</formula>
    </cfRule>
    <cfRule type="containsText" dxfId="2" priority="36" operator="containsText" text="Expired">
      <formula>NOT(ISERROR(SEARCH("Expired",O5)))</formula>
    </cfRule>
    <cfRule type="containsText" dxfId="4" priority="37" operator="containsText" text="Inactive">
      <formula>NOT(ISERROR(SEARCH("Inactive",O5)))</formula>
    </cfRule>
    <cfRule type="containsText" dxfId="4" priority="38" operator="containsText" text="Archived">
      <formula>NOT(ISERROR(SEARCH("Archived",O5)))</formula>
    </cfRule>
    <cfRule type="containsText" dxfId="4" priority="39" operator="containsText" text="Not needed">
      <formula>NOT(ISERROR(SEARCH("Not needed",O5)))</formula>
    </cfRule>
  </conditionalFormatting>
  <conditionalFormatting sqref="T5:T254">
    <cfRule type="containsText" dxfId="0" priority="40" operator="containsText" text="No">
      <formula>NOT(ISERROR(SEARCH("No",T5)))</formula>
    </cfRule>
    <cfRule type="containsText" dxfId="1" priority="41" operator="containsText" text="Yes">
      <formula>NOT(ISERROR(SEARCH("Yes",T5)))</formula>
    </cfRule>
  </conditionalFormatting>
  <conditionalFormatting sqref="U5:U254">
    <cfRule type="containsText" dxfId="0" priority="42" operator="containsText" text="No">
      <formula>NOT(ISERROR(SEARCH("No",U5)))</formula>
    </cfRule>
    <cfRule type="containsText" dxfId="1" priority="43" operator="containsText" text="Yes">
      <formula>NOT(ISERROR(SEARCH("Yes",U5)))</formula>
    </cfRule>
  </conditionalFormatting>
  <conditionalFormatting sqref="X5:X254">
    <cfRule type="dataBar" priority="44">
      <dataBar>
        <cfvo type="min" val="0"/>
        <cfvo type="max" val="0"/>
        <color rgb="FF2F8F9D"/>
      </dataBar>
    </cfRule>
  </conditionalFormatting>
  <conditionalFormatting sqref="Z5:Z254">
    <cfRule type="dataBar" priority="45">
      <dataBar>
        <cfvo type="min" val="0"/>
        <cfvo type="max" val="0"/>
        <color rgb="FFE8A33D"/>
      </dataBar>
    </cfRule>
  </conditionalFormatting>
  <dataValidations count="14">
    <dataValidation type="list" allowBlank="1" showInputMessage="1" showErrorMessage="1" promptTitle="Client ID" prompt="Pick the client from the drop down. Everything else about them is pulled through." sqref="C5:C254">
      <formula1>ClientIDs</formula1>
    </dataValidation>
    <dataValidation type="list" allowBlank="1" showInputMessage="1" showErrorMessage="1" sqref="E5:E254">
      <formula1>PropertyTypeList</formula1>
    </dataValidation>
    <dataValidation type="decimal" allowBlank="1" showInputMessage="1" showErrorMessage="1" errorTitle="Check the value" error="Enter a number between 0 and 1000000." promptTitle="Area (sq ft)" prompt="Rough floor area. Used by the area based pricing method - pace it out once and write it down." sqref="G5:G254">
      <formula1>0</formula1>
      <formula2>1000000</formula2>
    </dataValidation>
    <dataValidation type="whole" allowBlank="1" showInputMessage="1" showErrorMessage="1" errorTitle="Check the value" error="Enter a number between 0 and 50." sqref="H5:H254">
      <formula1>0</formula1>
      <formula2>50</formula2>
    </dataValidation>
    <dataValidation type="whole" allowBlank="1" showInputMessage="1" showErrorMessage="1" errorTitle="Check the value" error="Enter a number between 0 and 50." promptTitle="Bathrooms" prompt="Bathrooms and kitchens are where the time goes." sqref="I5:I254">
      <formula1>0</formula1>
      <formula2>50</formula2>
    </dataValidation>
    <dataValidation type="whole" allowBlank="1" showInputMessage="1" showErrorMessage="1" errorTitle="Check the value" error="Enter a number between 0 and 200." sqref="J5:J254">
      <formula1>0</formula1>
      <formula2>200</formula2>
    </dataValidation>
    <dataValidation type="list" allowBlank="1" showInputMessage="1" showErrorMessage="1" promptTitle="Condition" prompt="The honest answer. It multiplies the estimated hours - the factors are on the Lists tab." sqref="L5:L254">
      <formula1>ConditionList</formula1>
    </dataValidation>
    <dataValidation type="list" allowBlank="1" showInputMessage="1" showErrorMessage="1" sqref="N5:N254">
      <formula1>AccessList</formula1>
    </dataValidation>
    <dataValidation type="list" allowBlank="1" showInputMessage="1" showErrorMessage="1" promptTitle="Key" prompt="If you hold keys, keep this up to date. It is the first thing anyone asks when a key goes missing." sqref="O5:O254">
      <formula1>KeyStatusList</formula1>
    </dataValidation>
    <dataValidation type="list" allowBlank="1" showInputMessage="1" showErrorMessage="1" promptTitle="Parking" prompt="Nothing wastes a morning like a permit you did not know about." sqref="Q5:Q254">
      <formula1>ParkingList</formula1>
    </dataValidation>
    <dataValidation type="decimal" allowBlank="1" showInputMessage="1" showErrorMessage="1" errorTitle="Check the value" error="Enter a number between 0 and 10000." promptTitle="Distance (miles)" prompt="One way, from your base. The travel cost on a quote doubles it for the round trip." sqref="R5:R254">
      <formula1>0</formula1>
      <formula2>10000</formula2>
    </dataValidation>
    <dataValidation type="list" allowBlank="1" showInputMessage="1" showErrorMessage="1" promptTitle="Checklist" prompt="Which checklist the cleaner should work through at this property. Set up on the Checklists tab." sqref="S5:S254">
      <formula1>ServiceNames</formula1>
    </dataValidation>
    <dataValidation type="list" allowBlank="1" showInputMessage="1" showErrorMessage="1" promptTitle="Client supplies?" prompt="Yes if the client provides the products - it comes off the job cost." sqref="T5:T254">
      <formula1>YesNoList</formula1>
    </dataValidation>
    <dataValidation type="list" allowBlank="1" showInputMessage="1" showErrorMessage="1" sqref="U5:U254">
      <formula1>YesNoList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&amp;L&amp;"Calibri,Bold"&amp;12&amp;C&amp;"Calibri,Bold"&amp;11Properties&amp;R&amp;"Calibri,Italic"&amp;9Cleaning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7.xml><?xml version="1.0" encoding="utf-8"?>
<worksheet xmlns="http://schemas.openxmlformats.org/spreadsheetml/2006/main" xmlns:r="http://schemas.openxmlformats.org/officeDocument/2006/relationships">
  <sheetPr>
    <tabColor rgb="FFE8A33D"/>
    <pageSetUpPr fitToPage="1"/>
  </sheetPr>
  <dimension ref="A1:Z15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12.7109375" style="46" customWidth="1"/>
    <col min="3" max="3" width="24.7109375" style="15" customWidth="1"/>
    <col min="4" max="4" width="15.7109375" style="15" customWidth="1"/>
    <col min="5" max="5" width="24.7109375" style="15" customWidth="1"/>
    <col min="6" max="6" width="28.7109375" style="44" customWidth="1"/>
    <col min="7" max="7" width="16.7109375" style="15" customWidth="1"/>
    <col min="8" max="8" width="17.7109375" style="15" customWidth="1"/>
    <col min="9" max="9" width="22.7109375" style="15" customWidth="1"/>
    <col min="10" max="10" width="14.7109375" style="15" customWidth="1"/>
    <col min="11" max="11" width="14.7109375" style="45" customWidth="1"/>
    <col min="12" max="12" width="13.7109375" style="19" customWidth="1"/>
    <col min="13" max="13" width="11.7109375" style="49" customWidth="1"/>
    <col min="14" max="14" width="11.7109375" style="46" customWidth="1"/>
    <col min="15" max="15" width="12.7109375" style="46" customWidth="1"/>
    <col min="16" max="16" width="24.7109375" style="15" customWidth="1"/>
    <col min="17" max="17" width="12.7109375" style="46" customWidth="1"/>
    <col min="18" max="18" width="11.7109375" style="49" customWidth="1"/>
    <col min="19" max="19" width="20.7109375" style="15" customWidth="1"/>
    <col min="20" max="20" width="36.7109375" style="44" customWidth="1"/>
    <col min="21" max="21" width="10.7109375" style="31" customWidth="1"/>
    <col min="22" max="22" width="11.7109375" style="31" hidden="1" customWidth="1"/>
    <col min="23" max="23" width="12.7109375" style="21" customWidth="1"/>
    <col min="24" max="24" width="13.7109375" style="39" customWidth="1"/>
    <col min="25" max="25" width="8.7109375" style="50" hidden="1" customWidth="1"/>
    <col min="26" max="26" width="30.7109375" style="39" customWidth="1"/>
  </cols>
  <sheetData>
    <row r="1" spans="1:26" ht="34" customHeight="1">
      <c r="A1" s="2" t="s">
        <v>28</v>
      </c>
      <c r="B1" s="2"/>
      <c r="C1" s="2"/>
      <c r="D1" s="2"/>
      <c r="E1" s="2"/>
      <c r="F1" s="2"/>
      <c r="G1" s="2"/>
      <c r="H1" s="2"/>
      <c r="I1" s="2"/>
      <c r="J1" s="2"/>
      <c r="K1" s="2"/>
      <c r="L1" s="2"/>
      <c r="M1" s="2"/>
      <c r="N1" s="2"/>
      <c r="O1" s="2"/>
      <c r="P1" s="2"/>
      <c r="Q1" s="2"/>
      <c r="R1" s="2"/>
      <c r="S1" s="2"/>
      <c r="T1" s="2"/>
      <c r="U1" s="2"/>
      <c r="V1" s="2"/>
      <c r="W1" s="2"/>
      <c r="X1" s="3" t="s">
        <v>1</v>
      </c>
      <c r="Y1" s="3"/>
      <c r="Z1" s="3"/>
    </row>
    <row r="2" spans="1:26" ht="18" customHeight="1">
      <c r="A2" s="4" t="s">
        <v>853</v>
      </c>
      <c r="B2" s="4"/>
      <c r="C2" s="4"/>
      <c r="D2" s="4"/>
      <c r="E2" s="4"/>
      <c r="F2" s="4"/>
      <c r="G2" s="4"/>
      <c r="H2" s="4"/>
      <c r="I2" s="4"/>
      <c r="J2" s="4"/>
      <c r="K2" s="4"/>
      <c r="L2" s="4"/>
      <c r="M2" s="4"/>
      <c r="N2" s="4"/>
      <c r="O2" s="4"/>
      <c r="P2" s="4"/>
      <c r="Q2" s="4"/>
      <c r="R2" s="4"/>
      <c r="S2" s="4"/>
      <c r="T2" s="4"/>
      <c r="U2" s="4"/>
      <c r="V2" s="4"/>
      <c r="W2" s="4"/>
      <c r="X2" s="4"/>
      <c r="Y2" s="4"/>
      <c r="Z2" s="4"/>
    </row>
    <row r="3" spans="1:26"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854</v>
      </c>
      <c r="T3" s="48"/>
      <c r="U3" s="48"/>
      <c r="V3" s="48"/>
      <c r="W3" s="48"/>
      <c r="X3" s="48"/>
      <c r="Y3" s="48"/>
      <c r="Z3" s="48"/>
    </row>
    <row r="4" spans="1:26" ht="30" customHeight="1">
      <c r="A4" s="8" t="s">
        <v>545</v>
      </c>
      <c r="B4" s="8" t="s">
        <v>855</v>
      </c>
      <c r="C4" s="9" t="s">
        <v>856</v>
      </c>
      <c r="D4" s="9" t="s">
        <v>181</v>
      </c>
      <c r="E4" s="9" t="s">
        <v>179</v>
      </c>
      <c r="F4" s="9" t="s">
        <v>857</v>
      </c>
      <c r="G4" s="9" t="s">
        <v>439</v>
      </c>
      <c r="H4" s="9" t="s">
        <v>549</v>
      </c>
      <c r="I4" s="9" t="s">
        <v>858</v>
      </c>
      <c r="J4" s="9" t="s">
        <v>859</v>
      </c>
      <c r="K4" s="9" t="s">
        <v>420</v>
      </c>
      <c r="L4" s="9" t="s">
        <v>860</v>
      </c>
      <c r="M4" s="9" t="s">
        <v>861</v>
      </c>
      <c r="N4" s="9" t="s">
        <v>862</v>
      </c>
      <c r="O4" s="9" t="s">
        <v>863</v>
      </c>
      <c r="P4" s="9" t="s">
        <v>864</v>
      </c>
      <c r="Q4" s="9" t="s">
        <v>865</v>
      </c>
      <c r="R4" s="9" t="s">
        <v>866</v>
      </c>
      <c r="S4" s="9" t="s">
        <v>867</v>
      </c>
      <c r="T4" s="9" t="s">
        <v>421</v>
      </c>
      <c r="U4" s="9" t="s">
        <v>868</v>
      </c>
      <c r="V4" s="9" t="s">
        <v>869</v>
      </c>
      <c r="W4" s="9" t="s">
        <v>870</v>
      </c>
      <c r="X4" s="9" t="s">
        <v>871</v>
      </c>
      <c r="Y4" s="9" t="s">
        <v>872</v>
      </c>
      <c r="Z4" s="9" t="s">
        <v>574</v>
      </c>
    </row>
    <row r="5" spans="1:26">
      <c r="A5" s="43">
        <f>IF(C5="","",LeadPrefix&amp;TEXT(ROW()-4,"0000"))</f>
        <v>0</v>
      </c>
      <c r="B5" s="46">
        <v>46311</v>
      </c>
      <c r="C5" s="15" t="s">
        <v>873</v>
      </c>
      <c r="D5" s="15" t="s">
        <v>874</v>
      </c>
      <c r="E5" s="15" t="s">
        <v>875</v>
      </c>
      <c r="F5" s="44" t="s">
        <v>876</v>
      </c>
      <c r="G5" s="15" t="s">
        <v>440</v>
      </c>
      <c r="H5" s="15" t="s">
        <v>581</v>
      </c>
      <c r="I5" s="15" t="s">
        <v>437</v>
      </c>
      <c r="J5" s="15" t="s">
        <v>593</v>
      </c>
      <c r="K5" s="45" t="s">
        <v>877</v>
      </c>
      <c r="L5" s="19">
        <v>150</v>
      </c>
      <c r="M5" s="49" t="s">
        <v>172</v>
      </c>
      <c r="O5" s="46" t="s">
        <v>457</v>
      </c>
      <c r="P5" s="15" t="s">
        <v>878</v>
      </c>
      <c r="Q5" s="46">
        <v>46314</v>
      </c>
      <c r="R5" s="49" t="s">
        <v>172</v>
      </c>
      <c r="S5" s="15" t="s">
        <v>172</v>
      </c>
      <c r="T5" s="44" t="s">
        <v>879</v>
      </c>
      <c r="U5" s="31">
        <f>IF(OR(C5="",B5=""),"",IF(OR(K5="Won",K5="Lost",K5="Not a fit"),"",TodayDate-B5))</f>
        <v>0</v>
      </c>
      <c r="V5" s="31">
        <f>IF(C5="","",TodayDate-MAX(IF(B5="",0,B5),IF(N5="",0,N5),IF(Q5="",0,IF(Q5&gt;TodayDate,0,Q5)),IF(M5="",0,IFERROR(INDEX(Quotes!$L$5:$L$204,MATCH(M5,Quotes!$A$5:$A$204,0)),0))))</f>
        <v>0</v>
      </c>
      <c r="W5" s="21">
        <f>IF(M5="","",IFERROR(INDEX(Quotes!$AB$5:$AB$204,MATCH(M5,Quotes!$A$5:$A$204,0)),""))</f>
        <v>0</v>
      </c>
      <c r="X5" s="39">
        <f>IF(M5="","",IFERROR(INDEX(Quotes!$K$5:$K$204,MATCH(M5,Quotes!$A$5:$A$204,0)),""))</f>
        <v>0</v>
      </c>
      <c r="Y5" s="50">
        <f>IF(C5="","",IF(K5="Won","Yes",IF(K5="Lost","No","")))</f>
        <v>0</v>
      </c>
      <c r="Z5" s="39">
        <f>IF(C5="","",IF(K5="Won","OK - won",IF(OR(K5="Lost",K5="Not a fit"),"Closed",IF(AND(Q5&lt;&gt;"",Q5&lt;TodayDate),"Overdue - action was due "&amp;TEXT(Q5,"d mmm"),IF(AND(Q5&lt;&gt;"",Q5=TodayDate),"Today - "&amp;P5,IF(AND(M5&lt;&gt;"",V5&lt;&gt;"",V5&gt;=QuoteFollowupDays),"Chase - quote sent, no answer",IF(AND(M5="",U5&lt;&gt;"",U5&gt;=2),"Action - no quote sent yet","OK")))))))</f>
        <v>0</v>
      </c>
    </row>
    <row r="6" spans="1:26">
      <c r="A6" s="43">
        <f>IF(C6="","",LeadPrefix&amp;TEXT(ROW()-4,"0000"))</f>
        <v>0</v>
      </c>
      <c r="B6" s="46">
        <v>46310</v>
      </c>
      <c r="C6" s="15" t="s">
        <v>880</v>
      </c>
      <c r="D6" s="15" t="s">
        <v>881</v>
      </c>
      <c r="E6" s="15" t="s">
        <v>882</v>
      </c>
      <c r="F6" s="44" t="s">
        <v>883</v>
      </c>
      <c r="G6" s="15" t="s">
        <v>440</v>
      </c>
      <c r="H6" s="15" t="s">
        <v>592</v>
      </c>
      <c r="I6" s="15" t="s">
        <v>437</v>
      </c>
      <c r="J6" s="15" t="s">
        <v>451</v>
      </c>
      <c r="K6" s="45" t="s">
        <v>884</v>
      </c>
      <c r="L6" s="19">
        <v>220</v>
      </c>
      <c r="M6" s="49" t="s">
        <v>172</v>
      </c>
      <c r="O6" s="46" t="s">
        <v>454</v>
      </c>
      <c r="P6" s="15" t="s">
        <v>885</v>
      </c>
      <c r="Q6" s="46">
        <v>46314</v>
      </c>
      <c r="R6" s="49" t="s">
        <v>172</v>
      </c>
      <c r="S6" s="15" t="s">
        <v>172</v>
      </c>
      <c r="T6" s="44" t="s">
        <v>886</v>
      </c>
      <c r="U6" s="31">
        <f>IF(OR(C6="",B6=""),"",IF(OR(K6="Won",K6="Lost",K6="Not a fit"),"",TodayDate-B6))</f>
        <v>0</v>
      </c>
      <c r="V6" s="31">
        <f>IF(C6="","",TodayDate-MAX(IF(B6="",0,B6),IF(N6="",0,N6),IF(Q6="",0,IF(Q6&gt;TodayDate,0,Q6)),IF(M6="",0,IFERROR(INDEX(Quotes!$L$5:$L$204,MATCH(M6,Quotes!$A$5:$A$204,0)),0))))</f>
        <v>0</v>
      </c>
      <c r="W6" s="21">
        <f>IF(M6="","",IFERROR(INDEX(Quotes!$AB$5:$AB$204,MATCH(M6,Quotes!$A$5:$A$204,0)),""))</f>
        <v>0</v>
      </c>
      <c r="X6" s="39">
        <f>IF(M6="","",IFERROR(INDEX(Quotes!$K$5:$K$204,MATCH(M6,Quotes!$A$5:$A$204,0)),""))</f>
        <v>0</v>
      </c>
      <c r="Y6" s="50">
        <f>IF(C6="","",IF(K6="Won","Yes",IF(K6="Lost","No","")))</f>
        <v>0</v>
      </c>
      <c r="Z6" s="39">
        <f>IF(C6="","",IF(K6="Won","OK - won",IF(OR(K6="Lost",K6="Not a fit"),"Closed",IF(AND(Q6&lt;&gt;"",Q6&lt;TodayDate),"Overdue - action was due "&amp;TEXT(Q6,"d mmm"),IF(AND(Q6&lt;&gt;"",Q6=TodayDate),"Today - "&amp;P6,IF(AND(M6&lt;&gt;"",V6&lt;&gt;"",V6&gt;=QuoteFollowupDays),"Chase - quote sent, no answer",IF(AND(M6="",U6&lt;&gt;"",U6&gt;=2),"Action - no quote sent yet","OK")))))))</f>
        <v>0</v>
      </c>
    </row>
    <row r="7" spans="1:26">
      <c r="A7" s="43">
        <f>IF(C7="","",LeadPrefix&amp;TEXT(ROW()-4,"0000"))</f>
        <v>0</v>
      </c>
      <c r="B7" s="46">
        <v>46307</v>
      </c>
      <c r="C7" s="15" t="s">
        <v>887</v>
      </c>
      <c r="D7" s="15" t="s">
        <v>888</v>
      </c>
      <c r="E7" s="15" t="s">
        <v>889</v>
      </c>
      <c r="F7" s="44" t="s">
        <v>890</v>
      </c>
      <c r="G7" s="15" t="s">
        <v>599</v>
      </c>
      <c r="H7" s="15" t="s">
        <v>706</v>
      </c>
      <c r="I7" s="15" t="s">
        <v>770</v>
      </c>
      <c r="J7" s="15" t="s">
        <v>451</v>
      </c>
      <c r="K7" s="45" t="s">
        <v>862</v>
      </c>
      <c r="L7" s="19">
        <v>480</v>
      </c>
      <c r="M7" s="49" t="s">
        <v>172</v>
      </c>
      <c r="N7" s="46">
        <v>46315</v>
      </c>
      <c r="O7" s="46" t="s">
        <v>454</v>
      </c>
      <c r="P7" s="15" t="s">
        <v>891</v>
      </c>
      <c r="Q7" s="46">
        <v>46315</v>
      </c>
      <c r="R7" s="49" t="s">
        <v>172</v>
      </c>
      <c r="S7" s="15" t="s">
        <v>172</v>
      </c>
      <c r="T7" s="44" t="s">
        <v>892</v>
      </c>
      <c r="U7" s="31">
        <f>IF(OR(C7="",B7=""),"",IF(OR(K7="Won",K7="Lost",K7="Not a fit"),"",TodayDate-B7))</f>
        <v>0</v>
      </c>
      <c r="V7" s="31">
        <f>IF(C7="","",TodayDate-MAX(IF(B7="",0,B7),IF(N7="",0,N7),IF(Q7="",0,IF(Q7&gt;TodayDate,0,Q7)),IF(M7="",0,IFERROR(INDEX(Quotes!$L$5:$L$204,MATCH(M7,Quotes!$A$5:$A$204,0)),0))))</f>
        <v>0</v>
      </c>
      <c r="W7" s="21">
        <f>IF(M7="","",IFERROR(INDEX(Quotes!$AB$5:$AB$204,MATCH(M7,Quotes!$A$5:$A$204,0)),""))</f>
        <v>0</v>
      </c>
      <c r="X7" s="39">
        <f>IF(M7="","",IFERROR(INDEX(Quotes!$K$5:$K$204,MATCH(M7,Quotes!$A$5:$A$204,0)),""))</f>
        <v>0</v>
      </c>
      <c r="Y7" s="50">
        <f>IF(C7="","",IF(K7="Won","Yes",IF(K7="Lost","No","")))</f>
        <v>0</v>
      </c>
      <c r="Z7" s="39">
        <f>IF(C7="","",IF(K7="Won","OK - won",IF(OR(K7="Lost",K7="Not a fit"),"Closed",IF(AND(Q7&lt;&gt;"",Q7&lt;TodayDate),"Overdue - action was due "&amp;TEXT(Q7,"d mmm"),IF(AND(Q7&lt;&gt;"",Q7=TodayDate),"Today - "&amp;P7,IF(AND(M7&lt;&gt;"",V7&lt;&gt;"",V7&gt;=QuoteFollowupDays),"Chase - quote sent, no answer",IF(AND(M7="",U7&lt;&gt;"",U7&gt;=2),"Action - no quote sent yet","OK")))))))</f>
        <v>0</v>
      </c>
    </row>
    <row r="8" spans="1:26">
      <c r="A8" s="43">
        <f>IF(C8="","",LeadPrefix&amp;TEXT(ROW()-4,"0000"))</f>
        <v>0</v>
      </c>
      <c r="B8" s="46">
        <v>46304</v>
      </c>
      <c r="C8" s="15" t="s">
        <v>893</v>
      </c>
      <c r="D8" s="15" t="s">
        <v>894</v>
      </c>
      <c r="E8" s="15" t="s">
        <v>895</v>
      </c>
      <c r="F8" s="44" t="s">
        <v>896</v>
      </c>
      <c r="G8" s="15" t="s">
        <v>897</v>
      </c>
      <c r="H8" s="15" t="s">
        <v>698</v>
      </c>
      <c r="I8" s="15" t="s">
        <v>790</v>
      </c>
      <c r="J8" s="15" t="s">
        <v>625</v>
      </c>
      <c r="K8" s="45" t="s">
        <v>861</v>
      </c>
      <c r="L8" s="19">
        <v>395</v>
      </c>
      <c r="M8" s="49" t="s">
        <v>898</v>
      </c>
      <c r="O8" s="46" t="s">
        <v>454</v>
      </c>
      <c r="P8" s="15" t="s">
        <v>899</v>
      </c>
      <c r="Q8" s="46">
        <v>46313</v>
      </c>
      <c r="R8" s="49" t="s">
        <v>172</v>
      </c>
      <c r="S8" s="15" t="s">
        <v>172</v>
      </c>
      <c r="T8" s="44" t="s">
        <v>900</v>
      </c>
      <c r="U8" s="31">
        <f>IF(OR(C8="",B8=""),"",IF(OR(K8="Won",K8="Lost",K8="Not a fit"),"",TodayDate-B8))</f>
        <v>0</v>
      </c>
      <c r="V8" s="31">
        <f>IF(C8="","",TodayDate-MAX(IF(B8="",0,B8),IF(N8="",0,N8),IF(Q8="",0,IF(Q8&gt;TodayDate,0,Q8)),IF(M8="",0,IFERROR(INDEX(Quotes!$L$5:$L$204,MATCH(M8,Quotes!$A$5:$A$204,0)),0))))</f>
        <v>0</v>
      </c>
      <c r="W8" s="21">
        <f>IF(M8="","",IFERROR(INDEX(Quotes!$AB$5:$AB$204,MATCH(M8,Quotes!$A$5:$A$204,0)),""))</f>
        <v>0</v>
      </c>
      <c r="X8" s="39">
        <f>IF(M8="","",IFERROR(INDEX(Quotes!$K$5:$K$204,MATCH(M8,Quotes!$A$5:$A$204,0)),""))</f>
        <v>0</v>
      </c>
      <c r="Y8" s="50">
        <f>IF(C8="","",IF(K8="Won","Yes",IF(K8="Lost","No","")))</f>
        <v>0</v>
      </c>
      <c r="Z8" s="39">
        <f>IF(C8="","",IF(K8="Won","OK - won",IF(OR(K8="Lost",K8="Not a fit"),"Closed",IF(AND(Q8&lt;&gt;"",Q8&lt;TodayDate),"Overdue - action was due "&amp;TEXT(Q8,"d mmm"),IF(AND(Q8&lt;&gt;"",Q8=TodayDate),"Today - "&amp;P8,IF(AND(M8&lt;&gt;"",V8&lt;&gt;"",V8&gt;=QuoteFollowupDays),"Chase - quote sent, no answer",IF(AND(M8="",U8&lt;&gt;"",U8&gt;=2),"Action - no quote sent yet","OK")))))))</f>
        <v>0</v>
      </c>
    </row>
    <row r="9" spans="1:26">
      <c r="A9" s="43">
        <f>IF(C9="","",LeadPrefix&amp;TEXT(ROW()-4,"0000"))</f>
        <v>0</v>
      </c>
      <c r="B9" s="46">
        <v>46299</v>
      </c>
      <c r="C9" s="15" t="s">
        <v>901</v>
      </c>
      <c r="D9" s="15" t="s">
        <v>902</v>
      </c>
      <c r="E9" s="15" t="s">
        <v>903</v>
      </c>
      <c r="F9" s="44" t="s">
        <v>904</v>
      </c>
      <c r="G9" s="15" t="s">
        <v>612</v>
      </c>
      <c r="H9" s="15" t="s">
        <v>672</v>
      </c>
      <c r="I9" s="15" t="s">
        <v>905</v>
      </c>
      <c r="J9" s="15" t="s">
        <v>617</v>
      </c>
      <c r="K9" s="45" t="s">
        <v>906</v>
      </c>
      <c r="L9" s="19">
        <v>1240</v>
      </c>
      <c r="M9" s="49" t="s">
        <v>907</v>
      </c>
      <c r="N9" s="46">
        <v>46305</v>
      </c>
      <c r="O9" s="46" t="s">
        <v>454</v>
      </c>
      <c r="P9" s="15" t="s">
        <v>908</v>
      </c>
      <c r="Q9" s="46">
        <v>46312</v>
      </c>
      <c r="R9" s="49" t="s">
        <v>172</v>
      </c>
      <c r="S9" s="15" t="s">
        <v>172</v>
      </c>
      <c r="T9" s="44" t="s">
        <v>909</v>
      </c>
      <c r="U9" s="31">
        <f>IF(OR(C9="",B9=""),"",IF(OR(K9="Won",K9="Lost",K9="Not a fit"),"",TodayDate-B9))</f>
        <v>0</v>
      </c>
      <c r="V9" s="31">
        <f>IF(C9="","",TodayDate-MAX(IF(B9="",0,B9),IF(N9="",0,N9),IF(Q9="",0,IF(Q9&gt;TodayDate,0,Q9)),IF(M9="",0,IFERROR(INDEX(Quotes!$L$5:$L$204,MATCH(M9,Quotes!$A$5:$A$204,0)),0))))</f>
        <v>0</v>
      </c>
      <c r="W9" s="21">
        <f>IF(M9="","",IFERROR(INDEX(Quotes!$AB$5:$AB$204,MATCH(M9,Quotes!$A$5:$A$204,0)),""))</f>
        <v>0</v>
      </c>
      <c r="X9" s="39">
        <f>IF(M9="","",IFERROR(INDEX(Quotes!$K$5:$K$204,MATCH(M9,Quotes!$A$5:$A$204,0)),""))</f>
        <v>0</v>
      </c>
      <c r="Y9" s="50">
        <f>IF(C9="","",IF(K9="Won","Yes",IF(K9="Lost","No","")))</f>
        <v>0</v>
      </c>
      <c r="Z9" s="39">
        <f>IF(C9="","",IF(K9="Won","OK - won",IF(OR(K9="Lost",K9="Not a fit"),"Closed",IF(AND(Q9&lt;&gt;"",Q9&lt;TodayDate),"Overdue - action was due "&amp;TEXT(Q9,"d mmm"),IF(AND(Q9&lt;&gt;"",Q9=TodayDate),"Today - "&amp;P9,IF(AND(M9&lt;&gt;"",V9&lt;&gt;"",V9&gt;=QuoteFollowupDays),"Chase - quote sent, no answer",IF(AND(M9="",U9&lt;&gt;"",U9&gt;=2),"Action - no quote sent yet","OK")))))))</f>
        <v>0</v>
      </c>
    </row>
    <row r="10" spans="1:26">
      <c r="A10" s="43">
        <f>IF(C10="","",LeadPrefix&amp;TEXT(ROW()-4,"0000"))</f>
        <v>0</v>
      </c>
      <c r="B10" s="46">
        <v>46292</v>
      </c>
      <c r="C10" s="15" t="s">
        <v>910</v>
      </c>
      <c r="D10" s="15" t="s">
        <v>911</v>
      </c>
      <c r="E10" s="15" t="s">
        <v>912</v>
      </c>
      <c r="F10" s="44" t="s">
        <v>913</v>
      </c>
      <c r="G10" s="15" t="s">
        <v>440</v>
      </c>
      <c r="H10" s="15" t="s">
        <v>654</v>
      </c>
      <c r="I10" s="15" t="s">
        <v>914</v>
      </c>
      <c r="J10" s="15" t="s">
        <v>625</v>
      </c>
      <c r="K10" s="45" t="s">
        <v>915</v>
      </c>
      <c r="L10" s="19">
        <v>320</v>
      </c>
      <c r="M10" s="49" t="s">
        <v>916</v>
      </c>
      <c r="N10" s="46">
        <v>46295</v>
      </c>
      <c r="O10" s="46" t="s">
        <v>454</v>
      </c>
      <c r="P10" s="15" t="s">
        <v>917</v>
      </c>
      <c r="R10" s="49" t="s">
        <v>172</v>
      </c>
      <c r="S10" s="15" t="s">
        <v>172</v>
      </c>
      <c r="T10" s="44" t="s">
        <v>918</v>
      </c>
      <c r="U10" s="31">
        <f>IF(OR(C10="",B10=""),"",IF(OR(K10="Won",K10="Lost",K10="Not a fit"),"",TodayDate-B10))</f>
        <v>0</v>
      </c>
      <c r="V10" s="31">
        <f>IF(C10="","",TodayDate-MAX(IF(B10="",0,B10),IF(N10="",0,N10),IF(Q10="",0,IF(Q10&gt;TodayDate,0,Q10)),IF(M10="",0,IFERROR(INDEX(Quotes!$L$5:$L$204,MATCH(M10,Quotes!$A$5:$A$204,0)),0))))</f>
        <v>0</v>
      </c>
      <c r="W10" s="21">
        <f>IF(M10="","",IFERROR(INDEX(Quotes!$AB$5:$AB$204,MATCH(M10,Quotes!$A$5:$A$204,0)),""))</f>
        <v>0</v>
      </c>
      <c r="X10" s="39">
        <f>IF(M10="","",IFERROR(INDEX(Quotes!$K$5:$K$204,MATCH(M10,Quotes!$A$5:$A$204,0)),""))</f>
        <v>0</v>
      </c>
      <c r="Y10" s="50">
        <f>IF(C10="","",IF(K10="Won","Yes",IF(K10="Lost","No","")))</f>
        <v>0</v>
      </c>
      <c r="Z10" s="39">
        <f>IF(C10="","",IF(K10="Won","OK - won",IF(OR(K10="Lost",K10="Not a fit"),"Closed",IF(AND(Q10&lt;&gt;"",Q10&lt;TodayDate),"Overdue - action was due "&amp;TEXT(Q10,"d mmm"),IF(AND(Q10&lt;&gt;"",Q10=TodayDate),"Today - "&amp;P10,IF(AND(M10&lt;&gt;"",V10&lt;&gt;"",V10&gt;=QuoteFollowupDays),"Chase - quote sent, no answer",IF(AND(M10="",U10&lt;&gt;"",U10&gt;=2),"Action - no quote sent yet","OK")))))))</f>
        <v>0</v>
      </c>
    </row>
    <row r="11" spans="1:26">
      <c r="A11" s="43">
        <f>IF(C11="","",LeadPrefix&amp;TEXT(ROW()-4,"0000"))</f>
        <v>0</v>
      </c>
      <c r="B11" s="46">
        <v>46287</v>
      </c>
      <c r="C11" s="15" t="s">
        <v>919</v>
      </c>
      <c r="D11" s="15" t="s">
        <v>920</v>
      </c>
      <c r="E11" s="15" t="s">
        <v>921</v>
      </c>
      <c r="F11" s="44" t="s">
        <v>922</v>
      </c>
      <c r="G11" s="15" t="s">
        <v>685</v>
      </c>
      <c r="H11" s="15" t="s">
        <v>690</v>
      </c>
      <c r="I11" s="15" t="s">
        <v>839</v>
      </c>
      <c r="J11" s="15" t="s">
        <v>124</v>
      </c>
      <c r="K11" s="45" t="s">
        <v>923</v>
      </c>
      <c r="L11" s="19">
        <v>320</v>
      </c>
      <c r="M11" s="49" t="s">
        <v>924</v>
      </c>
      <c r="N11" s="46">
        <v>46291</v>
      </c>
      <c r="O11" s="46" t="s">
        <v>454</v>
      </c>
      <c r="P11" s="15" t="s">
        <v>172</v>
      </c>
      <c r="R11" s="49" t="s">
        <v>172</v>
      </c>
      <c r="S11" s="15" t="s">
        <v>925</v>
      </c>
      <c r="T11" s="44" t="s">
        <v>926</v>
      </c>
      <c r="U11" s="31">
        <f>IF(OR(C11="",B11=""),"",IF(OR(K11="Won",K11="Lost",K11="Not a fit"),"",TodayDate-B11))</f>
        <v>0</v>
      </c>
      <c r="V11" s="31">
        <f>IF(C11="","",TodayDate-MAX(IF(B11="",0,B11),IF(N11="",0,N11),IF(Q11="",0,IF(Q11&gt;TodayDate,0,Q11)),IF(M11="",0,IFERROR(INDEX(Quotes!$L$5:$L$204,MATCH(M11,Quotes!$A$5:$A$204,0)),0))))</f>
        <v>0</v>
      </c>
      <c r="W11" s="21">
        <f>IF(M11="","",IFERROR(INDEX(Quotes!$AB$5:$AB$204,MATCH(M11,Quotes!$A$5:$A$204,0)),""))</f>
        <v>0</v>
      </c>
      <c r="X11" s="39">
        <f>IF(M11="","",IFERROR(INDEX(Quotes!$K$5:$K$204,MATCH(M11,Quotes!$A$5:$A$204,0)),""))</f>
        <v>0</v>
      </c>
      <c r="Y11" s="50">
        <f>IF(C11="","",IF(K11="Won","Yes",IF(K11="Lost","No","")))</f>
        <v>0</v>
      </c>
      <c r="Z11" s="39">
        <f>IF(C11="","",IF(K11="Won","OK - won",IF(OR(K11="Lost",K11="Not a fit"),"Closed",IF(AND(Q11&lt;&gt;"",Q11&lt;TodayDate),"Overdue - action was due "&amp;TEXT(Q11,"d mmm"),IF(AND(Q11&lt;&gt;"",Q11=TodayDate),"Today - "&amp;P11,IF(AND(M11&lt;&gt;"",V11&lt;&gt;"",V11&gt;=QuoteFollowupDays),"Chase - quote sent, no answer",IF(AND(M11="",U11&lt;&gt;"",U11&gt;=2),"Action - no quote sent yet","OK")))))))</f>
        <v>0</v>
      </c>
    </row>
    <row r="12" spans="1:26">
      <c r="A12" s="43">
        <f>IF(C12="","",LeadPrefix&amp;TEXT(ROW()-4,"0000"))</f>
        <v>0</v>
      </c>
      <c r="B12" s="46">
        <v>46281</v>
      </c>
      <c r="C12" s="15" t="s">
        <v>927</v>
      </c>
      <c r="D12" s="15" t="s">
        <v>928</v>
      </c>
      <c r="E12" s="15" t="s">
        <v>929</v>
      </c>
      <c r="F12" s="44" t="s">
        <v>930</v>
      </c>
      <c r="G12" s="15" t="s">
        <v>440</v>
      </c>
      <c r="H12" s="15" t="s">
        <v>714</v>
      </c>
      <c r="I12" s="15" t="s">
        <v>437</v>
      </c>
      <c r="J12" s="15" t="s">
        <v>124</v>
      </c>
      <c r="K12" s="45" t="s">
        <v>923</v>
      </c>
      <c r="L12" s="19">
        <v>110</v>
      </c>
      <c r="M12" s="49" t="s">
        <v>172</v>
      </c>
      <c r="O12" s="46" t="s">
        <v>454</v>
      </c>
      <c r="P12" s="15" t="s">
        <v>172</v>
      </c>
      <c r="R12" s="49" t="s">
        <v>172</v>
      </c>
      <c r="S12" s="15" t="s">
        <v>931</v>
      </c>
      <c r="T12" s="44" t="s">
        <v>932</v>
      </c>
      <c r="U12" s="31">
        <f>IF(OR(C12="",B12=""),"",IF(OR(K12="Won",K12="Lost",K12="Not a fit"),"",TodayDate-B12))</f>
        <v>0</v>
      </c>
      <c r="V12" s="31">
        <f>IF(C12="","",TodayDate-MAX(IF(B12="",0,B12),IF(N12="",0,N12),IF(Q12="",0,IF(Q12&gt;TodayDate,0,Q12)),IF(M12="",0,IFERROR(INDEX(Quotes!$L$5:$L$204,MATCH(M12,Quotes!$A$5:$A$204,0)),0))))</f>
        <v>0</v>
      </c>
      <c r="W12" s="21">
        <f>IF(M12="","",IFERROR(INDEX(Quotes!$AB$5:$AB$204,MATCH(M12,Quotes!$A$5:$A$204,0)),""))</f>
        <v>0</v>
      </c>
      <c r="X12" s="39">
        <f>IF(M12="","",IFERROR(INDEX(Quotes!$K$5:$K$204,MATCH(M12,Quotes!$A$5:$A$204,0)),""))</f>
        <v>0</v>
      </c>
      <c r="Y12" s="50">
        <f>IF(C12="","",IF(K12="Won","Yes",IF(K12="Lost","No","")))</f>
        <v>0</v>
      </c>
      <c r="Z12" s="39">
        <f>IF(C12="","",IF(K12="Won","OK - won",IF(OR(K12="Lost",K12="Not a fit"),"Closed",IF(AND(Q12&lt;&gt;"",Q12&lt;TodayDate),"Overdue - action was due "&amp;TEXT(Q12,"d mmm"),IF(AND(Q12&lt;&gt;"",Q12=TodayDate),"Today - "&amp;P12,IF(AND(M12&lt;&gt;"",V12&lt;&gt;"",V12&gt;=QuoteFollowupDays),"Chase - quote sent, no answer",IF(AND(M12="",U12&lt;&gt;"",U12&gt;=2),"Action - no quote sent yet","OK")))))))</f>
        <v>0</v>
      </c>
    </row>
    <row r="13" spans="1:26">
      <c r="A13" s="43">
        <f>IF(C13="","",LeadPrefix&amp;TEXT(ROW()-4,"0000"))</f>
        <v>0</v>
      </c>
      <c r="B13" s="46">
        <v>46308</v>
      </c>
      <c r="C13" s="15" t="s">
        <v>933</v>
      </c>
      <c r="D13" s="15" t="s">
        <v>934</v>
      </c>
      <c r="E13" s="15" t="s">
        <v>935</v>
      </c>
      <c r="F13" s="44" t="s">
        <v>936</v>
      </c>
      <c r="G13" s="15" t="s">
        <v>440</v>
      </c>
      <c r="H13" s="15" t="s">
        <v>663</v>
      </c>
      <c r="I13" s="15" t="s">
        <v>473</v>
      </c>
      <c r="J13" s="15" t="s">
        <v>625</v>
      </c>
      <c r="K13" s="45" t="s">
        <v>877</v>
      </c>
      <c r="L13" s="19">
        <v>85</v>
      </c>
      <c r="M13" s="49" t="s">
        <v>172</v>
      </c>
      <c r="O13" s="46" t="s">
        <v>457</v>
      </c>
      <c r="P13" s="15" t="s">
        <v>937</v>
      </c>
      <c r="Q13" s="46">
        <v>46313</v>
      </c>
      <c r="R13" s="49" t="s">
        <v>172</v>
      </c>
      <c r="S13" s="15" t="s">
        <v>172</v>
      </c>
      <c r="T13" s="44" t="s">
        <v>938</v>
      </c>
      <c r="U13" s="31">
        <f>IF(OR(C13="",B13=""),"",IF(OR(K13="Won",K13="Lost",K13="Not a fit"),"",TodayDate-B13))</f>
        <v>0</v>
      </c>
      <c r="V13" s="31">
        <f>IF(C13="","",TodayDate-MAX(IF(B13="",0,B13),IF(N13="",0,N13),IF(Q13="",0,IF(Q13&gt;TodayDate,0,Q13)),IF(M13="",0,IFERROR(INDEX(Quotes!$L$5:$L$204,MATCH(M13,Quotes!$A$5:$A$204,0)),0))))</f>
        <v>0</v>
      </c>
      <c r="W13" s="21">
        <f>IF(M13="","",IFERROR(INDEX(Quotes!$AB$5:$AB$204,MATCH(M13,Quotes!$A$5:$A$204,0)),""))</f>
        <v>0</v>
      </c>
      <c r="X13" s="39">
        <f>IF(M13="","",IFERROR(INDEX(Quotes!$K$5:$K$204,MATCH(M13,Quotes!$A$5:$A$204,0)),""))</f>
        <v>0</v>
      </c>
      <c r="Y13" s="50">
        <f>IF(C13="","",IF(K13="Won","Yes",IF(K13="Lost","No","")))</f>
        <v>0</v>
      </c>
      <c r="Z13" s="39">
        <f>IF(C13="","",IF(K13="Won","OK - won",IF(OR(K13="Lost",K13="Not a fit"),"Closed",IF(AND(Q13&lt;&gt;"",Q13&lt;TodayDate),"Overdue - action was due "&amp;TEXT(Q13,"d mmm"),IF(AND(Q13&lt;&gt;"",Q13=TodayDate),"Today - "&amp;P13,IF(AND(M13&lt;&gt;"",V13&lt;&gt;"",V13&gt;=QuoteFollowupDays),"Chase - quote sent, no answer",IF(AND(M13="",U13&lt;&gt;"",U13&gt;=2),"Action - no quote sent yet","OK")))))))</f>
        <v>0</v>
      </c>
    </row>
    <row r="14" spans="1:26">
      <c r="A14" s="43">
        <f>IF(C14="","",LeadPrefix&amp;TEXT(ROW()-4,"0000"))</f>
        <v>0</v>
      </c>
      <c r="B14" s="46">
        <v>46302</v>
      </c>
      <c r="C14" s="15" t="s">
        <v>939</v>
      </c>
      <c r="D14" s="15" t="s">
        <v>940</v>
      </c>
      <c r="E14" s="15" t="s">
        <v>941</v>
      </c>
      <c r="F14" s="44" t="s">
        <v>942</v>
      </c>
      <c r="G14" s="15" t="s">
        <v>599</v>
      </c>
      <c r="H14" s="15" t="s">
        <v>605</v>
      </c>
      <c r="I14" s="15" t="s">
        <v>770</v>
      </c>
      <c r="J14" s="15" t="s">
        <v>617</v>
      </c>
      <c r="K14" s="45" t="s">
        <v>943</v>
      </c>
      <c r="L14" s="19">
        <v>620</v>
      </c>
      <c r="M14" s="49" t="s">
        <v>944</v>
      </c>
      <c r="N14" s="46">
        <v>46306</v>
      </c>
      <c r="O14" s="46" t="s">
        <v>454</v>
      </c>
      <c r="P14" s="15" t="s">
        <v>945</v>
      </c>
      <c r="Q14" s="46">
        <v>46315</v>
      </c>
      <c r="R14" s="49" t="s">
        <v>172</v>
      </c>
      <c r="S14" s="15" t="s">
        <v>172</v>
      </c>
      <c r="T14" s="44" t="s">
        <v>946</v>
      </c>
      <c r="U14" s="31">
        <f>IF(OR(C14="",B14=""),"",IF(OR(K14="Won",K14="Lost",K14="Not a fit"),"",TodayDate-B14))</f>
        <v>0</v>
      </c>
      <c r="V14" s="31">
        <f>IF(C14="","",TodayDate-MAX(IF(B14="",0,B14),IF(N14="",0,N14),IF(Q14="",0,IF(Q14&gt;TodayDate,0,Q14)),IF(M14="",0,IFERROR(INDEX(Quotes!$L$5:$L$204,MATCH(M14,Quotes!$A$5:$A$204,0)),0))))</f>
        <v>0</v>
      </c>
      <c r="W14" s="21">
        <f>IF(M14="","",IFERROR(INDEX(Quotes!$AB$5:$AB$204,MATCH(M14,Quotes!$A$5:$A$204,0)),""))</f>
        <v>0</v>
      </c>
      <c r="X14" s="39">
        <f>IF(M14="","",IFERROR(INDEX(Quotes!$K$5:$K$204,MATCH(M14,Quotes!$A$5:$A$204,0)),""))</f>
        <v>0</v>
      </c>
      <c r="Y14" s="50">
        <f>IF(C14="","",IF(K14="Won","Yes",IF(K14="Lost","No","")))</f>
        <v>0</v>
      </c>
      <c r="Z14" s="39">
        <f>IF(C14="","",IF(K14="Won","OK - won",IF(OR(K14="Lost",K14="Not a fit"),"Closed",IF(AND(Q14&lt;&gt;"",Q14&lt;TodayDate),"Overdue - action was due "&amp;TEXT(Q14,"d mmm"),IF(AND(Q14&lt;&gt;"",Q14=TodayDate),"Today - "&amp;P14,IF(AND(M14&lt;&gt;"",V14&lt;&gt;"",V14&gt;=QuoteFollowupDays),"Chase - quote sent, no answer",IF(AND(M14="",U14&lt;&gt;"",U14&gt;=2),"Action - no quote sent yet","OK")))))))</f>
        <v>0</v>
      </c>
    </row>
    <row r="15" spans="1:26">
      <c r="A15" s="43">
        <f>IF(C15="","",LeadPrefix&amp;TEXT(ROW()-4,"0000"))</f>
        <v>0</v>
      </c>
      <c r="U15" s="31">
        <f>IF(OR(C15="",B15=""),"",IF(OR(K15="Won",K15="Lost",K15="Not a fit"),"",TodayDate-B15))</f>
        <v>0</v>
      </c>
      <c r="V15" s="31">
        <f>IF(C15="","",TodayDate-MAX(IF(B15="",0,B15),IF(N15="",0,N15),IF(Q15="",0,IF(Q15&gt;TodayDate,0,Q15)),IF(M15="",0,IFERROR(INDEX(Quotes!$L$5:$L$204,MATCH(M15,Quotes!$A$5:$A$204,0)),0))))</f>
        <v>0</v>
      </c>
      <c r="W15" s="21">
        <f>IF(M15="","",IFERROR(INDEX(Quotes!$AB$5:$AB$204,MATCH(M15,Quotes!$A$5:$A$204,0)),""))</f>
        <v>0</v>
      </c>
      <c r="X15" s="39">
        <f>IF(M15="","",IFERROR(INDEX(Quotes!$K$5:$K$204,MATCH(M15,Quotes!$A$5:$A$204,0)),""))</f>
        <v>0</v>
      </c>
      <c r="Y15" s="50">
        <f>IF(C15="","",IF(K15="Won","Yes",IF(K15="Lost","No","")))</f>
        <v>0</v>
      </c>
      <c r="Z15" s="39">
        <f>IF(C15="","",IF(K15="Won","OK - won",IF(OR(K15="Lost",K15="Not a fit"),"Closed",IF(AND(Q15&lt;&gt;"",Q15&lt;TodayDate),"Overdue - action was due "&amp;TEXT(Q15,"d mmm"),IF(AND(Q15&lt;&gt;"",Q15=TodayDate),"Today - "&amp;P15,IF(AND(M15&lt;&gt;"",V15&lt;&gt;"",V15&gt;=QuoteFollowupDays),"Chase - quote sent, no answer",IF(AND(M15="",U15&lt;&gt;"",U15&gt;=2),"Action - no quote sent yet","OK")))))))</f>
        <v>0</v>
      </c>
    </row>
    <row r="16" spans="1:26">
      <c r="A16" s="43">
        <f>IF(C16="","",LeadPrefix&amp;TEXT(ROW()-4,"0000"))</f>
        <v>0</v>
      </c>
      <c r="U16" s="31">
        <f>IF(OR(C16="",B16=""),"",IF(OR(K16="Won",K16="Lost",K16="Not a fit"),"",TodayDate-B16))</f>
        <v>0</v>
      </c>
      <c r="V16" s="31">
        <f>IF(C16="","",TodayDate-MAX(IF(B16="",0,B16),IF(N16="",0,N16),IF(Q16="",0,IF(Q16&gt;TodayDate,0,Q16)),IF(M16="",0,IFERROR(INDEX(Quotes!$L$5:$L$204,MATCH(M16,Quotes!$A$5:$A$204,0)),0))))</f>
        <v>0</v>
      </c>
      <c r="W16" s="21">
        <f>IF(M16="","",IFERROR(INDEX(Quotes!$AB$5:$AB$204,MATCH(M16,Quotes!$A$5:$A$204,0)),""))</f>
        <v>0</v>
      </c>
      <c r="X16" s="39">
        <f>IF(M16="","",IFERROR(INDEX(Quotes!$K$5:$K$204,MATCH(M16,Quotes!$A$5:$A$204,0)),""))</f>
        <v>0</v>
      </c>
      <c r="Y16" s="50">
        <f>IF(C16="","",IF(K16="Won","Yes",IF(K16="Lost","No","")))</f>
        <v>0</v>
      </c>
      <c r="Z16" s="39">
        <f>IF(C16="","",IF(K16="Won","OK - won",IF(OR(K16="Lost",K16="Not a fit"),"Closed",IF(AND(Q16&lt;&gt;"",Q16&lt;TodayDate),"Overdue - action was due "&amp;TEXT(Q16,"d mmm"),IF(AND(Q16&lt;&gt;"",Q16=TodayDate),"Today - "&amp;P16,IF(AND(M16&lt;&gt;"",V16&lt;&gt;"",V16&gt;=QuoteFollowupDays),"Chase - quote sent, no answer",IF(AND(M16="",U16&lt;&gt;"",U16&gt;=2),"Action - no quote sent yet","OK")))))))</f>
        <v>0</v>
      </c>
    </row>
    <row r="17" spans="1:26">
      <c r="A17" s="43">
        <f>IF(C17="","",LeadPrefix&amp;TEXT(ROW()-4,"0000"))</f>
        <v>0</v>
      </c>
      <c r="U17" s="31">
        <f>IF(OR(C17="",B17=""),"",IF(OR(K17="Won",K17="Lost",K17="Not a fit"),"",TodayDate-B17))</f>
        <v>0</v>
      </c>
      <c r="V17" s="31">
        <f>IF(C17="","",TodayDate-MAX(IF(B17="",0,B17),IF(N17="",0,N17),IF(Q17="",0,IF(Q17&gt;TodayDate,0,Q17)),IF(M17="",0,IFERROR(INDEX(Quotes!$L$5:$L$204,MATCH(M17,Quotes!$A$5:$A$204,0)),0))))</f>
        <v>0</v>
      </c>
      <c r="W17" s="21">
        <f>IF(M17="","",IFERROR(INDEX(Quotes!$AB$5:$AB$204,MATCH(M17,Quotes!$A$5:$A$204,0)),""))</f>
        <v>0</v>
      </c>
      <c r="X17" s="39">
        <f>IF(M17="","",IFERROR(INDEX(Quotes!$K$5:$K$204,MATCH(M17,Quotes!$A$5:$A$204,0)),""))</f>
        <v>0</v>
      </c>
      <c r="Y17" s="50">
        <f>IF(C17="","",IF(K17="Won","Yes",IF(K17="Lost","No","")))</f>
        <v>0</v>
      </c>
      <c r="Z17" s="39">
        <f>IF(C17="","",IF(K17="Won","OK - won",IF(OR(K17="Lost",K17="Not a fit"),"Closed",IF(AND(Q17&lt;&gt;"",Q17&lt;TodayDate),"Overdue - action was due "&amp;TEXT(Q17,"d mmm"),IF(AND(Q17&lt;&gt;"",Q17=TodayDate),"Today - "&amp;P17,IF(AND(M17&lt;&gt;"",V17&lt;&gt;"",V17&gt;=QuoteFollowupDays),"Chase - quote sent, no answer",IF(AND(M17="",U17&lt;&gt;"",U17&gt;=2),"Action - no quote sent yet","OK")))))))</f>
        <v>0</v>
      </c>
    </row>
    <row r="18" spans="1:26">
      <c r="A18" s="43">
        <f>IF(C18="","",LeadPrefix&amp;TEXT(ROW()-4,"0000"))</f>
        <v>0</v>
      </c>
      <c r="U18" s="31">
        <f>IF(OR(C18="",B18=""),"",IF(OR(K18="Won",K18="Lost",K18="Not a fit"),"",TodayDate-B18))</f>
        <v>0</v>
      </c>
      <c r="V18" s="31">
        <f>IF(C18="","",TodayDate-MAX(IF(B18="",0,B18),IF(N18="",0,N18),IF(Q18="",0,IF(Q18&gt;TodayDate,0,Q18)),IF(M18="",0,IFERROR(INDEX(Quotes!$L$5:$L$204,MATCH(M18,Quotes!$A$5:$A$204,0)),0))))</f>
        <v>0</v>
      </c>
      <c r="W18" s="21">
        <f>IF(M18="","",IFERROR(INDEX(Quotes!$AB$5:$AB$204,MATCH(M18,Quotes!$A$5:$A$204,0)),""))</f>
        <v>0</v>
      </c>
      <c r="X18" s="39">
        <f>IF(M18="","",IFERROR(INDEX(Quotes!$K$5:$K$204,MATCH(M18,Quotes!$A$5:$A$204,0)),""))</f>
        <v>0</v>
      </c>
      <c r="Y18" s="50">
        <f>IF(C18="","",IF(K18="Won","Yes",IF(K18="Lost","No","")))</f>
        <v>0</v>
      </c>
      <c r="Z18" s="39">
        <f>IF(C18="","",IF(K18="Won","OK - won",IF(OR(K18="Lost",K18="Not a fit"),"Closed",IF(AND(Q18&lt;&gt;"",Q18&lt;TodayDate),"Overdue - action was due "&amp;TEXT(Q18,"d mmm"),IF(AND(Q18&lt;&gt;"",Q18=TodayDate),"Today - "&amp;P18,IF(AND(M18&lt;&gt;"",V18&lt;&gt;"",V18&gt;=QuoteFollowupDays),"Chase - quote sent, no answer",IF(AND(M18="",U18&lt;&gt;"",U18&gt;=2),"Action - no quote sent yet","OK")))))))</f>
        <v>0</v>
      </c>
    </row>
    <row r="19" spans="1:26">
      <c r="A19" s="43">
        <f>IF(C19="","",LeadPrefix&amp;TEXT(ROW()-4,"0000"))</f>
        <v>0</v>
      </c>
      <c r="U19" s="31">
        <f>IF(OR(C19="",B19=""),"",IF(OR(K19="Won",K19="Lost",K19="Not a fit"),"",TodayDate-B19))</f>
        <v>0</v>
      </c>
      <c r="V19" s="31">
        <f>IF(C19="","",TodayDate-MAX(IF(B19="",0,B19),IF(N19="",0,N19),IF(Q19="",0,IF(Q19&gt;TodayDate,0,Q19)),IF(M19="",0,IFERROR(INDEX(Quotes!$L$5:$L$204,MATCH(M19,Quotes!$A$5:$A$204,0)),0))))</f>
        <v>0</v>
      </c>
      <c r="W19" s="21">
        <f>IF(M19="","",IFERROR(INDEX(Quotes!$AB$5:$AB$204,MATCH(M19,Quotes!$A$5:$A$204,0)),""))</f>
        <v>0</v>
      </c>
      <c r="X19" s="39">
        <f>IF(M19="","",IFERROR(INDEX(Quotes!$K$5:$K$204,MATCH(M19,Quotes!$A$5:$A$204,0)),""))</f>
        <v>0</v>
      </c>
      <c r="Y19" s="50">
        <f>IF(C19="","",IF(K19="Won","Yes",IF(K19="Lost","No","")))</f>
        <v>0</v>
      </c>
      <c r="Z19" s="39">
        <f>IF(C19="","",IF(K19="Won","OK - won",IF(OR(K19="Lost",K19="Not a fit"),"Closed",IF(AND(Q19&lt;&gt;"",Q19&lt;TodayDate),"Overdue - action was due "&amp;TEXT(Q19,"d mmm"),IF(AND(Q19&lt;&gt;"",Q19=TodayDate),"Today - "&amp;P19,IF(AND(M19&lt;&gt;"",V19&lt;&gt;"",V19&gt;=QuoteFollowupDays),"Chase - quote sent, no answer",IF(AND(M19="",U19&lt;&gt;"",U19&gt;=2),"Action - no quote sent yet","OK")))))))</f>
        <v>0</v>
      </c>
    </row>
    <row r="20" spans="1:26">
      <c r="A20" s="43">
        <f>IF(C20="","",LeadPrefix&amp;TEXT(ROW()-4,"0000"))</f>
        <v>0</v>
      </c>
      <c r="U20" s="31">
        <f>IF(OR(C20="",B20=""),"",IF(OR(K20="Won",K20="Lost",K20="Not a fit"),"",TodayDate-B20))</f>
        <v>0</v>
      </c>
      <c r="V20" s="31">
        <f>IF(C20="","",TodayDate-MAX(IF(B20="",0,B20),IF(N20="",0,N20),IF(Q20="",0,IF(Q20&gt;TodayDate,0,Q20)),IF(M20="",0,IFERROR(INDEX(Quotes!$L$5:$L$204,MATCH(M20,Quotes!$A$5:$A$204,0)),0))))</f>
        <v>0</v>
      </c>
      <c r="W20" s="21">
        <f>IF(M20="","",IFERROR(INDEX(Quotes!$AB$5:$AB$204,MATCH(M20,Quotes!$A$5:$A$204,0)),""))</f>
        <v>0</v>
      </c>
      <c r="X20" s="39">
        <f>IF(M20="","",IFERROR(INDEX(Quotes!$K$5:$K$204,MATCH(M20,Quotes!$A$5:$A$204,0)),""))</f>
        <v>0</v>
      </c>
      <c r="Y20" s="50">
        <f>IF(C20="","",IF(K20="Won","Yes",IF(K20="Lost","No","")))</f>
        <v>0</v>
      </c>
      <c r="Z20" s="39">
        <f>IF(C20="","",IF(K20="Won","OK - won",IF(OR(K20="Lost",K20="Not a fit"),"Closed",IF(AND(Q20&lt;&gt;"",Q20&lt;TodayDate),"Overdue - action was due "&amp;TEXT(Q20,"d mmm"),IF(AND(Q20&lt;&gt;"",Q20=TodayDate),"Today - "&amp;P20,IF(AND(M20&lt;&gt;"",V20&lt;&gt;"",V20&gt;=QuoteFollowupDays),"Chase - quote sent, no answer",IF(AND(M20="",U20&lt;&gt;"",U20&gt;=2),"Action - no quote sent yet","OK")))))))</f>
        <v>0</v>
      </c>
    </row>
    <row r="21" spans="1:26">
      <c r="A21" s="43">
        <f>IF(C21="","",LeadPrefix&amp;TEXT(ROW()-4,"0000"))</f>
        <v>0</v>
      </c>
      <c r="U21" s="31">
        <f>IF(OR(C21="",B21=""),"",IF(OR(K21="Won",K21="Lost",K21="Not a fit"),"",TodayDate-B21))</f>
        <v>0</v>
      </c>
      <c r="V21" s="31">
        <f>IF(C21="","",TodayDate-MAX(IF(B21="",0,B21),IF(N21="",0,N21),IF(Q21="",0,IF(Q21&gt;TodayDate,0,Q21)),IF(M21="",0,IFERROR(INDEX(Quotes!$L$5:$L$204,MATCH(M21,Quotes!$A$5:$A$204,0)),0))))</f>
        <v>0</v>
      </c>
      <c r="W21" s="21">
        <f>IF(M21="","",IFERROR(INDEX(Quotes!$AB$5:$AB$204,MATCH(M21,Quotes!$A$5:$A$204,0)),""))</f>
        <v>0</v>
      </c>
      <c r="X21" s="39">
        <f>IF(M21="","",IFERROR(INDEX(Quotes!$K$5:$K$204,MATCH(M21,Quotes!$A$5:$A$204,0)),""))</f>
        <v>0</v>
      </c>
      <c r="Y21" s="50">
        <f>IF(C21="","",IF(K21="Won","Yes",IF(K21="Lost","No","")))</f>
        <v>0</v>
      </c>
      <c r="Z21" s="39">
        <f>IF(C21="","",IF(K21="Won","OK - won",IF(OR(K21="Lost",K21="Not a fit"),"Closed",IF(AND(Q21&lt;&gt;"",Q21&lt;TodayDate),"Overdue - action was due "&amp;TEXT(Q21,"d mmm"),IF(AND(Q21&lt;&gt;"",Q21=TodayDate),"Today - "&amp;P21,IF(AND(M21&lt;&gt;"",V21&lt;&gt;"",V21&gt;=QuoteFollowupDays),"Chase - quote sent, no answer",IF(AND(M21="",U21&lt;&gt;"",U21&gt;=2),"Action - no quote sent yet","OK")))))))</f>
        <v>0</v>
      </c>
    </row>
    <row r="22" spans="1:26">
      <c r="A22" s="43">
        <f>IF(C22="","",LeadPrefix&amp;TEXT(ROW()-4,"0000"))</f>
        <v>0</v>
      </c>
      <c r="U22" s="31">
        <f>IF(OR(C22="",B22=""),"",IF(OR(K22="Won",K22="Lost",K22="Not a fit"),"",TodayDate-B22))</f>
        <v>0</v>
      </c>
      <c r="V22" s="31">
        <f>IF(C22="","",TodayDate-MAX(IF(B22="",0,B22),IF(N22="",0,N22),IF(Q22="",0,IF(Q22&gt;TodayDate,0,Q22)),IF(M22="",0,IFERROR(INDEX(Quotes!$L$5:$L$204,MATCH(M22,Quotes!$A$5:$A$204,0)),0))))</f>
        <v>0</v>
      </c>
      <c r="W22" s="21">
        <f>IF(M22="","",IFERROR(INDEX(Quotes!$AB$5:$AB$204,MATCH(M22,Quotes!$A$5:$A$204,0)),""))</f>
        <v>0</v>
      </c>
      <c r="X22" s="39">
        <f>IF(M22="","",IFERROR(INDEX(Quotes!$K$5:$K$204,MATCH(M22,Quotes!$A$5:$A$204,0)),""))</f>
        <v>0</v>
      </c>
      <c r="Y22" s="50">
        <f>IF(C22="","",IF(K22="Won","Yes",IF(K22="Lost","No","")))</f>
        <v>0</v>
      </c>
      <c r="Z22" s="39">
        <f>IF(C22="","",IF(K22="Won","OK - won",IF(OR(K22="Lost",K22="Not a fit"),"Closed",IF(AND(Q22&lt;&gt;"",Q22&lt;TodayDate),"Overdue - action was due "&amp;TEXT(Q22,"d mmm"),IF(AND(Q22&lt;&gt;"",Q22=TodayDate),"Today - "&amp;P22,IF(AND(M22&lt;&gt;"",V22&lt;&gt;"",V22&gt;=QuoteFollowupDays),"Chase - quote sent, no answer",IF(AND(M22="",U22&lt;&gt;"",U22&gt;=2),"Action - no quote sent yet","OK")))))))</f>
        <v>0</v>
      </c>
    </row>
    <row r="23" spans="1:26">
      <c r="A23" s="43">
        <f>IF(C23="","",LeadPrefix&amp;TEXT(ROW()-4,"0000"))</f>
        <v>0</v>
      </c>
      <c r="U23" s="31">
        <f>IF(OR(C23="",B23=""),"",IF(OR(K23="Won",K23="Lost",K23="Not a fit"),"",TodayDate-B23))</f>
        <v>0</v>
      </c>
      <c r="V23" s="31">
        <f>IF(C23="","",TodayDate-MAX(IF(B23="",0,B23),IF(N23="",0,N23),IF(Q23="",0,IF(Q23&gt;TodayDate,0,Q23)),IF(M23="",0,IFERROR(INDEX(Quotes!$L$5:$L$204,MATCH(M23,Quotes!$A$5:$A$204,0)),0))))</f>
        <v>0</v>
      </c>
      <c r="W23" s="21">
        <f>IF(M23="","",IFERROR(INDEX(Quotes!$AB$5:$AB$204,MATCH(M23,Quotes!$A$5:$A$204,0)),""))</f>
        <v>0</v>
      </c>
      <c r="X23" s="39">
        <f>IF(M23="","",IFERROR(INDEX(Quotes!$K$5:$K$204,MATCH(M23,Quotes!$A$5:$A$204,0)),""))</f>
        <v>0</v>
      </c>
      <c r="Y23" s="50">
        <f>IF(C23="","",IF(K23="Won","Yes",IF(K23="Lost","No","")))</f>
        <v>0</v>
      </c>
      <c r="Z23" s="39">
        <f>IF(C23="","",IF(K23="Won","OK - won",IF(OR(K23="Lost",K23="Not a fit"),"Closed",IF(AND(Q23&lt;&gt;"",Q23&lt;TodayDate),"Overdue - action was due "&amp;TEXT(Q23,"d mmm"),IF(AND(Q23&lt;&gt;"",Q23=TodayDate),"Today - "&amp;P23,IF(AND(M23&lt;&gt;"",V23&lt;&gt;"",V23&gt;=QuoteFollowupDays),"Chase - quote sent, no answer",IF(AND(M23="",U23&lt;&gt;"",U23&gt;=2),"Action - no quote sent yet","OK")))))))</f>
        <v>0</v>
      </c>
    </row>
    <row r="24" spans="1:26">
      <c r="A24" s="43">
        <f>IF(C24="","",LeadPrefix&amp;TEXT(ROW()-4,"0000"))</f>
        <v>0</v>
      </c>
      <c r="U24" s="31">
        <f>IF(OR(C24="",B24=""),"",IF(OR(K24="Won",K24="Lost",K24="Not a fit"),"",TodayDate-B24))</f>
        <v>0</v>
      </c>
      <c r="V24" s="31">
        <f>IF(C24="","",TodayDate-MAX(IF(B24="",0,B24),IF(N24="",0,N24),IF(Q24="",0,IF(Q24&gt;TodayDate,0,Q24)),IF(M24="",0,IFERROR(INDEX(Quotes!$L$5:$L$204,MATCH(M24,Quotes!$A$5:$A$204,0)),0))))</f>
        <v>0</v>
      </c>
      <c r="W24" s="21">
        <f>IF(M24="","",IFERROR(INDEX(Quotes!$AB$5:$AB$204,MATCH(M24,Quotes!$A$5:$A$204,0)),""))</f>
        <v>0</v>
      </c>
      <c r="X24" s="39">
        <f>IF(M24="","",IFERROR(INDEX(Quotes!$K$5:$K$204,MATCH(M24,Quotes!$A$5:$A$204,0)),""))</f>
        <v>0</v>
      </c>
      <c r="Y24" s="50">
        <f>IF(C24="","",IF(K24="Won","Yes",IF(K24="Lost","No","")))</f>
        <v>0</v>
      </c>
      <c r="Z24" s="39">
        <f>IF(C24="","",IF(K24="Won","OK - won",IF(OR(K24="Lost",K24="Not a fit"),"Closed",IF(AND(Q24&lt;&gt;"",Q24&lt;TodayDate),"Overdue - action was due "&amp;TEXT(Q24,"d mmm"),IF(AND(Q24&lt;&gt;"",Q24=TodayDate),"Today - "&amp;P24,IF(AND(M24&lt;&gt;"",V24&lt;&gt;"",V24&gt;=QuoteFollowupDays),"Chase - quote sent, no answer",IF(AND(M24="",U24&lt;&gt;"",U24&gt;=2),"Action - no quote sent yet","OK")))))))</f>
        <v>0</v>
      </c>
    </row>
    <row r="25" spans="1:26">
      <c r="A25" s="43">
        <f>IF(C25="","",LeadPrefix&amp;TEXT(ROW()-4,"0000"))</f>
        <v>0</v>
      </c>
      <c r="U25" s="31">
        <f>IF(OR(C25="",B25=""),"",IF(OR(K25="Won",K25="Lost",K25="Not a fit"),"",TodayDate-B25))</f>
        <v>0</v>
      </c>
      <c r="V25" s="31">
        <f>IF(C25="","",TodayDate-MAX(IF(B25="",0,B25),IF(N25="",0,N25),IF(Q25="",0,IF(Q25&gt;TodayDate,0,Q25)),IF(M25="",0,IFERROR(INDEX(Quotes!$L$5:$L$204,MATCH(M25,Quotes!$A$5:$A$204,0)),0))))</f>
        <v>0</v>
      </c>
      <c r="W25" s="21">
        <f>IF(M25="","",IFERROR(INDEX(Quotes!$AB$5:$AB$204,MATCH(M25,Quotes!$A$5:$A$204,0)),""))</f>
        <v>0</v>
      </c>
      <c r="X25" s="39">
        <f>IF(M25="","",IFERROR(INDEX(Quotes!$K$5:$K$204,MATCH(M25,Quotes!$A$5:$A$204,0)),""))</f>
        <v>0</v>
      </c>
      <c r="Y25" s="50">
        <f>IF(C25="","",IF(K25="Won","Yes",IF(K25="Lost","No","")))</f>
        <v>0</v>
      </c>
      <c r="Z25" s="39">
        <f>IF(C25="","",IF(K25="Won","OK - won",IF(OR(K25="Lost",K25="Not a fit"),"Closed",IF(AND(Q25&lt;&gt;"",Q25&lt;TodayDate),"Overdue - action was due "&amp;TEXT(Q25,"d mmm"),IF(AND(Q25&lt;&gt;"",Q25=TodayDate),"Today - "&amp;P25,IF(AND(M25&lt;&gt;"",V25&lt;&gt;"",V25&gt;=QuoteFollowupDays),"Chase - quote sent, no answer",IF(AND(M25="",U25&lt;&gt;"",U25&gt;=2),"Action - no quote sent yet","OK")))))))</f>
        <v>0</v>
      </c>
    </row>
    <row r="26" spans="1:26">
      <c r="A26" s="43">
        <f>IF(C26="","",LeadPrefix&amp;TEXT(ROW()-4,"0000"))</f>
        <v>0</v>
      </c>
      <c r="U26" s="31">
        <f>IF(OR(C26="",B26=""),"",IF(OR(K26="Won",K26="Lost",K26="Not a fit"),"",TodayDate-B26))</f>
        <v>0</v>
      </c>
      <c r="V26" s="31">
        <f>IF(C26="","",TodayDate-MAX(IF(B26="",0,B26),IF(N26="",0,N26),IF(Q26="",0,IF(Q26&gt;TodayDate,0,Q26)),IF(M26="",0,IFERROR(INDEX(Quotes!$L$5:$L$204,MATCH(M26,Quotes!$A$5:$A$204,0)),0))))</f>
        <v>0</v>
      </c>
      <c r="W26" s="21">
        <f>IF(M26="","",IFERROR(INDEX(Quotes!$AB$5:$AB$204,MATCH(M26,Quotes!$A$5:$A$204,0)),""))</f>
        <v>0</v>
      </c>
      <c r="X26" s="39">
        <f>IF(M26="","",IFERROR(INDEX(Quotes!$K$5:$K$204,MATCH(M26,Quotes!$A$5:$A$204,0)),""))</f>
        <v>0</v>
      </c>
      <c r="Y26" s="50">
        <f>IF(C26="","",IF(K26="Won","Yes",IF(K26="Lost","No","")))</f>
        <v>0</v>
      </c>
      <c r="Z26" s="39">
        <f>IF(C26="","",IF(K26="Won","OK - won",IF(OR(K26="Lost",K26="Not a fit"),"Closed",IF(AND(Q26&lt;&gt;"",Q26&lt;TodayDate),"Overdue - action was due "&amp;TEXT(Q26,"d mmm"),IF(AND(Q26&lt;&gt;"",Q26=TodayDate),"Today - "&amp;P26,IF(AND(M26&lt;&gt;"",V26&lt;&gt;"",V26&gt;=QuoteFollowupDays),"Chase - quote sent, no answer",IF(AND(M26="",U26&lt;&gt;"",U26&gt;=2),"Action - no quote sent yet","OK")))))))</f>
        <v>0</v>
      </c>
    </row>
    <row r="27" spans="1:26">
      <c r="A27" s="43">
        <f>IF(C27="","",LeadPrefix&amp;TEXT(ROW()-4,"0000"))</f>
        <v>0</v>
      </c>
      <c r="U27" s="31">
        <f>IF(OR(C27="",B27=""),"",IF(OR(K27="Won",K27="Lost",K27="Not a fit"),"",TodayDate-B27))</f>
        <v>0</v>
      </c>
      <c r="V27" s="31">
        <f>IF(C27="","",TodayDate-MAX(IF(B27="",0,B27),IF(N27="",0,N27),IF(Q27="",0,IF(Q27&gt;TodayDate,0,Q27)),IF(M27="",0,IFERROR(INDEX(Quotes!$L$5:$L$204,MATCH(M27,Quotes!$A$5:$A$204,0)),0))))</f>
        <v>0</v>
      </c>
      <c r="W27" s="21">
        <f>IF(M27="","",IFERROR(INDEX(Quotes!$AB$5:$AB$204,MATCH(M27,Quotes!$A$5:$A$204,0)),""))</f>
        <v>0</v>
      </c>
      <c r="X27" s="39">
        <f>IF(M27="","",IFERROR(INDEX(Quotes!$K$5:$K$204,MATCH(M27,Quotes!$A$5:$A$204,0)),""))</f>
        <v>0</v>
      </c>
      <c r="Y27" s="50">
        <f>IF(C27="","",IF(K27="Won","Yes",IF(K27="Lost","No","")))</f>
        <v>0</v>
      </c>
      <c r="Z27" s="39">
        <f>IF(C27="","",IF(K27="Won","OK - won",IF(OR(K27="Lost",K27="Not a fit"),"Closed",IF(AND(Q27&lt;&gt;"",Q27&lt;TodayDate),"Overdue - action was due "&amp;TEXT(Q27,"d mmm"),IF(AND(Q27&lt;&gt;"",Q27=TodayDate),"Today - "&amp;P27,IF(AND(M27&lt;&gt;"",V27&lt;&gt;"",V27&gt;=QuoteFollowupDays),"Chase - quote sent, no answer",IF(AND(M27="",U27&lt;&gt;"",U27&gt;=2),"Action - no quote sent yet","OK")))))))</f>
        <v>0</v>
      </c>
    </row>
    <row r="28" spans="1:26">
      <c r="A28" s="43">
        <f>IF(C28="","",LeadPrefix&amp;TEXT(ROW()-4,"0000"))</f>
        <v>0</v>
      </c>
      <c r="U28" s="31">
        <f>IF(OR(C28="",B28=""),"",IF(OR(K28="Won",K28="Lost",K28="Not a fit"),"",TodayDate-B28))</f>
        <v>0</v>
      </c>
      <c r="V28" s="31">
        <f>IF(C28="","",TodayDate-MAX(IF(B28="",0,B28),IF(N28="",0,N28),IF(Q28="",0,IF(Q28&gt;TodayDate,0,Q28)),IF(M28="",0,IFERROR(INDEX(Quotes!$L$5:$L$204,MATCH(M28,Quotes!$A$5:$A$204,0)),0))))</f>
        <v>0</v>
      </c>
      <c r="W28" s="21">
        <f>IF(M28="","",IFERROR(INDEX(Quotes!$AB$5:$AB$204,MATCH(M28,Quotes!$A$5:$A$204,0)),""))</f>
        <v>0</v>
      </c>
      <c r="X28" s="39">
        <f>IF(M28="","",IFERROR(INDEX(Quotes!$K$5:$K$204,MATCH(M28,Quotes!$A$5:$A$204,0)),""))</f>
        <v>0</v>
      </c>
      <c r="Y28" s="50">
        <f>IF(C28="","",IF(K28="Won","Yes",IF(K28="Lost","No","")))</f>
        <v>0</v>
      </c>
      <c r="Z28" s="39">
        <f>IF(C28="","",IF(K28="Won","OK - won",IF(OR(K28="Lost",K28="Not a fit"),"Closed",IF(AND(Q28&lt;&gt;"",Q28&lt;TodayDate),"Overdue - action was due "&amp;TEXT(Q28,"d mmm"),IF(AND(Q28&lt;&gt;"",Q28=TodayDate),"Today - "&amp;P28,IF(AND(M28&lt;&gt;"",V28&lt;&gt;"",V28&gt;=QuoteFollowupDays),"Chase - quote sent, no answer",IF(AND(M28="",U28&lt;&gt;"",U28&gt;=2),"Action - no quote sent yet","OK")))))))</f>
        <v>0</v>
      </c>
    </row>
    <row r="29" spans="1:26">
      <c r="A29" s="43">
        <f>IF(C29="","",LeadPrefix&amp;TEXT(ROW()-4,"0000"))</f>
        <v>0</v>
      </c>
      <c r="U29" s="31">
        <f>IF(OR(C29="",B29=""),"",IF(OR(K29="Won",K29="Lost",K29="Not a fit"),"",TodayDate-B29))</f>
        <v>0</v>
      </c>
      <c r="V29" s="31">
        <f>IF(C29="","",TodayDate-MAX(IF(B29="",0,B29),IF(N29="",0,N29),IF(Q29="",0,IF(Q29&gt;TodayDate,0,Q29)),IF(M29="",0,IFERROR(INDEX(Quotes!$L$5:$L$204,MATCH(M29,Quotes!$A$5:$A$204,0)),0))))</f>
        <v>0</v>
      </c>
      <c r="W29" s="21">
        <f>IF(M29="","",IFERROR(INDEX(Quotes!$AB$5:$AB$204,MATCH(M29,Quotes!$A$5:$A$204,0)),""))</f>
        <v>0</v>
      </c>
      <c r="X29" s="39">
        <f>IF(M29="","",IFERROR(INDEX(Quotes!$K$5:$K$204,MATCH(M29,Quotes!$A$5:$A$204,0)),""))</f>
        <v>0</v>
      </c>
      <c r="Y29" s="50">
        <f>IF(C29="","",IF(K29="Won","Yes",IF(K29="Lost","No","")))</f>
        <v>0</v>
      </c>
      <c r="Z29" s="39">
        <f>IF(C29="","",IF(K29="Won","OK - won",IF(OR(K29="Lost",K29="Not a fit"),"Closed",IF(AND(Q29&lt;&gt;"",Q29&lt;TodayDate),"Overdue - action was due "&amp;TEXT(Q29,"d mmm"),IF(AND(Q29&lt;&gt;"",Q29=TodayDate),"Today - "&amp;P29,IF(AND(M29&lt;&gt;"",V29&lt;&gt;"",V29&gt;=QuoteFollowupDays),"Chase - quote sent, no answer",IF(AND(M29="",U29&lt;&gt;"",U29&gt;=2),"Action - no quote sent yet","OK")))))))</f>
        <v>0</v>
      </c>
    </row>
    <row r="30" spans="1:26">
      <c r="A30" s="43">
        <f>IF(C30="","",LeadPrefix&amp;TEXT(ROW()-4,"0000"))</f>
        <v>0</v>
      </c>
      <c r="U30" s="31">
        <f>IF(OR(C30="",B30=""),"",IF(OR(K30="Won",K30="Lost",K30="Not a fit"),"",TodayDate-B30))</f>
        <v>0</v>
      </c>
      <c r="V30" s="31">
        <f>IF(C30="","",TodayDate-MAX(IF(B30="",0,B30),IF(N30="",0,N30),IF(Q30="",0,IF(Q30&gt;TodayDate,0,Q30)),IF(M30="",0,IFERROR(INDEX(Quotes!$L$5:$L$204,MATCH(M30,Quotes!$A$5:$A$204,0)),0))))</f>
        <v>0</v>
      </c>
      <c r="W30" s="21">
        <f>IF(M30="","",IFERROR(INDEX(Quotes!$AB$5:$AB$204,MATCH(M30,Quotes!$A$5:$A$204,0)),""))</f>
        <v>0</v>
      </c>
      <c r="X30" s="39">
        <f>IF(M30="","",IFERROR(INDEX(Quotes!$K$5:$K$204,MATCH(M30,Quotes!$A$5:$A$204,0)),""))</f>
        <v>0</v>
      </c>
      <c r="Y30" s="50">
        <f>IF(C30="","",IF(K30="Won","Yes",IF(K30="Lost","No","")))</f>
        <v>0</v>
      </c>
      <c r="Z30" s="39">
        <f>IF(C30="","",IF(K30="Won","OK - won",IF(OR(K30="Lost",K30="Not a fit"),"Closed",IF(AND(Q30&lt;&gt;"",Q30&lt;TodayDate),"Overdue - action was due "&amp;TEXT(Q30,"d mmm"),IF(AND(Q30&lt;&gt;"",Q30=TodayDate),"Today - "&amp;P30,IF(AND(M30&lt;&gt;"",V30&lt;&gt;"",V30&gt;=QuoteFollowupDays),"Chase - quote sent, no answer",IF(AND(M30="",U30&lt;&gt;"",U30&gt;=2),"Action - no quote sent yet","OK")))))))</f>
        <v>0</v>
      </c>
    </row>
    <row r="31" spans="1:26">
      <c r="A31" s="43">
        <f>IF(C31="","",LeadPrefix&amp;TEXT(ROW()-4,"0000"))</f>
        <v>0</v>
      </c>
      <c r="U31" s="31">
        <f>IF(OR(C31="",B31=""),"",IF(OR(K31="Won",K31="Lost",K31="Not a fit"),"",TodayDate-B31))</f>
        <v>0</v>
      </c>
      <c r="V31" s="31">
        <f>IF(C31="","",TodayDate-MAX(IF(B31="",0,B31),IF(N31="",0,N31),IF(Q31="",0,IF(Q31&gt;TodayDate,0,Q31)),IF(M31="",0,IFERROR(INDEX(Quotes!$L$5:$L$204,MATCH(M31,Quotes!$A$5:$A$204,0)),0))))</f>
        <v>0</v>
      </c>
      <c r="W31" s="21">
        <f>IF(M31="","",IFERROR(INDEX(Quotes!$AB$5:$AB$204,MATCH(M31,Quotes!$A$5:$A$204,0)),""))</f>
        <v>0</v>
      </c>
      <c r="X31" s="39">
        <f>IF(M31="","",IFERROR(INDEX(Quotes!$K$5:$K$204,MATCH(M31,Quotes!$A$5:$A$204,0)),""))</f>
        <v>0</v>
      </c>
      <c r="Y31" s="50">
        <f>IF(C31="","",IF(K31="Won","Yes",IF(K31="Lost","No","")))</f>
        <v>0</v>
      </c>
      <c r="Z31" s="39">
        <f>IF(C31="","",IF(K31="Won","OK - won",IF(OR(K31="Lost",K31="Not a fit"),"Closed",IF(AND(Q31&lt;&gt;"",Q31&lt;TodayDate),"Overdue - action was due "&amp;TEXT(Q31,"d mmm"),IF(AND(Q31&lt;&gt;"",Q31=TodayDate),"Today - "&amp;P31,IF(AND(M31&lt;&gt;"",V31&lt;&gt;"",V31&gt;=QuoteFollowupDays),"Chase - quote sent, no answer",IF(AND(M31="",U31&lt;&gt;"",U31&gt;=2),"Action - no quote sent yet","OK")))))))</f>
        <v>0</v>
      </c>
    </row>
    <row r="32" spans="1:26">
      <c r="A32" s="43">
        <f>IF(C32="","",LeadPrefix&amp;TEXT(ROW()-4,"0000"))</f>
        <v>0</v>
      </c>
      <c r="U32" s="31">
        <f>IF(OR(C32="",B32=""),"",IF(OR(K32="Won",K32="Lost",K32="Not a fit"),"",TodayDate-B32))</f>
        <v>0</v>
      </c>
      <c r="V32" s="31">
        <f>IF(C32="","",TodayDate-MAX(IF(B32="",0,B32),IF(N32="",0,N32),IF(Q32="",0,IF(Q32&gt;TodayDate,0,Q32)),IF(M32="",0,IFERROR(INDEX(Quotes!$L$5:$L$204,MATCH(M32,Quotes!$A$5:$A$204,0)),0))))</f>
        <v>0</v>
      </c>
      <c r="W32" s="21">
        <f>IF(M32="","",IFERROR(INDEX(Quotes!$AB$5:$AB$204,MATCH(M32,Quotes!$A$5:$A$204,0)),""))</f>
        <v>0</v>
      </c>
      <c r="X32" s="39">
        <f>IF(M32="","",IFERROR(INDEX(Quotes!$K$5:$K$204,MATCH(M32,Quotes!$A$5:$A$204,0)),""))</f>
        <v>0</v>
      </c>
      <c r="Y32" s="50">
        <f>IF(C32="","",IF(K32="Won","Yes",IF(K32="Lost","No","")))</f>
        <v>0</v>
      </c>
      <c r="Z32" s="39">
        <f>IF(C32="","",IF(K32="Won","OK - won",IF(OR(K32="Lost",K32="Not a fit"),"Closed",IF(AND(Q32&lt;&gt;"",Q32&lt;TodayDate),"Overdue - action was due "&amp;TEXT(Q32,"d mmm"),IF(AND(Q32&lt;&gt;"",Q32=TodayDate),"Today - "&amp;P32,IF(AND(M32&lt;&gt;"",V32&lt;&gt;"",V32&gt;=QuoteFollowupDays),"Chase - quote sent, no answer",IF(AND(M32="",U32&lt;&gt;"",U32&gt;=2),"Action - no quote sent yet","OK")))))))</f>
        <v>0</v>
      </c>
    </row>
    <row r="33" spans="1:26">
      <c r="A33" s="43">
        <f>IF(C33="","",LeadPrefix&amp;TEXT(ROW()-4,"0000"))</f>
        <v>0</v>
      </c>
      <c r="U33" s="31">
        <f>IF(OR(C33="",B33=""),"",IF(OR(K33="Won",K33="Lost",K33="Not a fit"),"",TodayDate-B33))</f>
        <v>0</v>
      </c>
      <c r="V33" s="31">
        <f>IF(C33="","",TodayDate-MAX(IF(B33="",0,B33),IF(N33="",0,N33),IF(Q33="",0,IF(Q33&gt;TodayDate,0,Q33)),IF(M33="",0,IFERROR(INDEX(Quotes!$L$5:$L$204,MATCH(M33,Quotes!$A$5:$A$204,0)),0))))</f>
        <v>0</v>
      </c>
      <c r="W33" s="21">
        <f>IF(M33="","",IFERROR(INDEX(Quotes!$AB$5:$AB$204,MATCH(M33,Quotes!$A$5:$A$204,0)),""))</f>
        <v>0</v>
      </c>
      <c r="X33" s="39">
        <f>IF(M33="","",IFERROR(INDEX(Quotes!$K$5:$K$204,MATCH(M33,Quotes!$A$5:$A$204,0)),""))</f>
        <v>0</v>
      </c>
      <c r="Y33" s="50">
        <f>IF(C33="","",IF(K33="Won","Yes",IF(K33="Lost","No","")))</f>
        <v>0</v>
      </c>
      <c r="Z33" s="39">
        <f>IF(C33="","",IF(K33="Won","OK - won",IF(OR(K33="Lost",K33="Not a fit"),"Closed",IF(AND(Q33&lt;&gt;"",Q33&lt;TodayDate),"Overdue - action was due "&amp;TEXT(Q33,"d mmm"),IF(AND(Q33&lt;&gt;"",Q33=TodayDate),"Today - "&amp;P33,IF(AND(M33&lt;&gt;"",V33&lt;&gt;"",V33&gt;=QuoteFollowupDays),"Chase - quote sent, no answer",IF(AND(M33="",U33&lt;&gt;"",U33&gt;=2),"Action - no quote sent yet","OK")))))))</f>
        <v>0</v>
      </c>
    </row>
    <row r="34" spans="1:26">
      <c r="A34" s="43">
        <f>IF(C34="","",LeadPrefix&amp;TEXT(ROW()-4,"0000"))</f>
        <v>0</v>
      </c>
      <c r="U34" s="31">
        <f>IF(OR(C34="",B34=""),"",IF(OR(K34="Won",K34="Lost",K34="Not a fit"),"",TodayDate-B34))</f>
        <v>0</v>
      </c>
      <c r="V34" s="31">
        <f>IF(C34="","",TodayDate-MAX(IF(B34="",0,B34),IF(N34="",0,N34),IF(Q34="",0,IF(Q34&gt;TodayDate,0,Q34)),IF(M34="",0,IFERROR(INDEX(Quotes!$L$5:$L$204,MATCH(M34,Quotes!$A$5:$A$204,0)),0))))</f>
        <v>0</v>
      </c>
      <c r="W34" s="21">
        <f>IF(M34="","",IFERROR(INDEX(Quotes!$AB$5:$AB$204,MATCH(M34,Quotes!$A$5:$A$204,0)),""))</f>
        <v>0</v>
      </c>
      <c r="X34" s="39">
        <f>IF(M34="","",IFERROR(INDEX(Quotes!$K$5:$K$204,MATCH(M34,Quotes!$A$5:$A$204,0)),""))</f>
        <v>0</v>
      </c>
      <c r="Y34" s="50">
        <f>IF(C34="","",IF(K34="Won","Yes",IF(K34="Lost","No","")))</f>
        <v>0</v>
      </c>
      <c r="Z34" s="39">
        <f>IF(C34="","",IF(K34="Won","OK - won",IF(OR(K34="Lost",K34="Not a fit"),"Closed",IF(AND(Q34&lt;&gt;"",Q34&lt;TodayDate),"Overdue - action was due "&amp;TEXT(Q34,"d mmm"),IF(AND(Q34&lt;&gt;"",Q34=TodayDate),"Today - "&amp;P34,IF(AND(M34&lt;&gt;"",V34&lt;&gt;"",V34&gt;=QuoteFollowupDays),"Chase - quote sent, no answer",IF(AND(M34="",U34&lt;&gt;"",U34&gt;=2),"Action - no quote sent yet","OK")))))))</f>
        <v>0</v>
      </c>
    </row>
    <row r="35" spans="1:26">
      <c r="A35" s="43">
        <f>IF(C35="","",LeadPrefix&amp;TEXT(ROW()-4,"0000"))</f>
        <v>0</v>
      </c>
      <c r="U35" s="31">
        <f>IF(OR(C35="",B35=""),"",IF(OR(K35="Won",K35="Lost",K35="Not a fit"),"",TodayDate-B35))</f>
        <v>0</v>
      </c>
      <c r="V35" s="31">
        <f>IF(C35="","",TodayDate-MAX(IF(B35="",0,B35),IF(N35="",0,N35),IF(Q35="",0,IF(Q35&gt;TodayDate,0,Q35)),IF(M35="",0,IFERROR(INDEX(Quotes!$L$5:$L$204,MATCH(M35,Quotes!$A$5:$A$204,0)),0))))</f>
        <v>0</v>
      </c>
      <c r="W35" s="21">
        <f>IF(M35="","",IFERROR(INDEX(Quotes!$AB$5:$AB$204,MATCH(M35,Quotes!$A$5:$A$204,0)),""))</f>
        <v>0</v>
      </c>
      <c r="X35" s="39">
        <f>IF(M35="","",IFERROR(INDEX(Quotes!$K$5:$K$204,MATCH(M35,Quotes!$A$5:$A$204,0)),""))</f>
        <v>0</v>
      </c>
      <c r="Y35" s="50">
        <f>IF(C35="","",IF(K35="Won","Yes",IF(K35="Lost","No","")))</f>
        <v>0</v>
      </c>
      <c r="Z35" s="39">
        <f>IF(C35="","",IF(K35="Won","OK - won",IF(OR(K35="Lost",K35="Not a fit"),"Closed",IF(AND(Q35&lt;&gt;"",Q35&lt;TodayDate),"Overdue - action was due "&amp;TEXT(Q35,"d mmm"),IF(AND(Q35&lt;&gt;"",Q35=TodayDate),"Today - "&amp;P35,IF(AND(M35&lt;&gt;"",V35&lt;&gt;"",V35&gt;=QuoteFollowupDays),"Chase - quote sent, no answer",IF(AND(M35="",U35&lt;&gt;"",U35&gt;=2),"Action - no quote sent yet","OK")))))))</f>
        <v>0</v>
      </c>
    </row>
    <row r="36" spans="1:26">
      <c r="A36" s="43">
        <f>IF(C36="","",LeadPrefix&amp;TEXT(ROW()-4,"0000"))</f>
        <v>0</v>
      </c>
      <c r="U36" s="31">
        <f>IF(OR(C36="",B36=""),"",IF(OR(K36="Won",K36="Lost",K36="Not a fit"),"",TodayDate-B36))</f>
        <v>0</v>
      </c>
      <c r="V36" s="31">
        <f>IF(C36="","",TodayDate-MAX(IF(B36="",0,B36),IF(N36="",0,N36),IF(Q36="",0,IF(Q36&gt;TodayDate,0,Q36)),IF(M36="",0,IFERROR(INDEX(Quotes!$L$5:$L$204,MATCH(M36,Quotes!$A$5:$A$204,0)),0))))</f>
        <v>0</v>
      </c>
      <c r="W36" s="21">
        <f>IF(M36="","",IFERROR(INDEX(Quotes!$AB$5:$AB$204,MATCH(M36,Quotes!$A$5:$A$204,0)),""))</f>
        <v>0</v>
      </c>
      <c r="X36" s="39">
        <f>IF(M36="","",IFERROR(INDEX(Quotes!$K$5:$K$204,MATCH(M36,Quotes!$A$5:$A$204,0)),""))</f>
        <v>0</v>
      </c>
      <c r="Y36" s="50">
        <f>IF(C36="","",IF(K36="Won","Yes",IF(K36="Lost","No","")))</f>
        <v>0</v>
      </c>
      <c r="Z36" s="39">
        <f>IF(C36="","",IF(K36="Won","OK - won",IF(OR(K36="Lost",K36="Not a fit"),"Closed",IF(AND(Q36&lt;&gt;"",Q36&lt;TodayDate),"Overdue - action was due "&amp;TEXT(Q36,"d mmm"),IF(AND(Q36&lt;&gt;"",Q36=TodayDate),"Today - "&amp;P36,IF(AND(M36&lt;&gt;"",V36&lt;&gt;"",V36&gt;=QuoteFollowupDays),"Chase - quote sent, no answer",IF(AND(M36="",U36&lt;&gt;"",U36&gt;=2),"Action - no quote sent yet","OK")))))))</f>
        <v>0</v>
      </c>
    </row>
    <row r="37" spans="1:26">
      <c r="A37" s="43">
        <f>IF(C37="","",LeadPrefix&amp;TEXT(ROW()-4,"0000"))</f>
        <v>0</v>
      </c>
      <c r="U37" s="31">
        <f>IF(OR(C37="",B37=""),"",IF(OR(K37="Won",K37="Lost",K37="Not a fit"),"",TodayDate-B37))</f>
        <v>0</v>
      </c>
      <c r="V37" s="31">
        <f>IF(C37="","",TodayDate-MAX(IF(B37="",0,B37),IF(N37="",0,N37),IF(Q37="",0,IF(Q37&gt;TodayDate,0,Q37)),IF(M37="",0,IFERROR(INDEX(Quotes!$L$5:$L$204,MATCH(M37,Quotes!$A$5:$A$204,0)),0))))</f>
        <v>0</v>
      </c>
      <c r="W37" s="21">
        <f>IF(M37="","",IFERROR(INDEX(Quotes!$AB$5:$AB$204,MATCH(M37,Quotes!$A$5:$A$204,0)),""))</f>
        <v>0</v>
      </c>
      <c r="X37" s="39">
        <f>IF(M37="","",IFERROR(INDEX(Quotes!$K$5:$K$204,MATCH(M37,Quotes!$A$5:$A$204,0)),""))</f>
        <v>0</v>
      </c>
      <c r="Y37" s="50">
        <f>IF(C37="","",IF(K37="Won","Yes",IF(K37="Lost","No","")))</f>
        <v>0</v>
      </c>
      <c r="Z37" s="39">
        <f>IF(C37="","",IF(K37="Won","OK - won",IF(OR(K37="Lost",K37="Not a fit"),"Closed",IF(AND(Q37&lt;&gt;"",Q37&lt;TodayDate),"Overdue - action was due "&amp;TEXT(Q37,"d mmm"),IF(AND(Q37&lt;&gt;"",Q37=TodayDate),"Today - "&amp;P37,IF(AND(M37&lt;&gt;"",V37&lt;&gt;"",V37&gt;=QuoteFollowupDays),"Chase - quote sent, no answer",IF(AND(M37="",U37&lt;&gt;"",U37&gt;=2),"Action - no quote sent yet","OK")))))))</f>
        <v>0</v>
      </c>
    </row>
    <row r="38" spans="1:26">
      <c r="A38" s="43">
        <f>IF(C38="","",LeadPrefix&amp;TEXT(ROW()-4,"0000"))</f>
        <v>0</v>
      </c>
      <c r="U38" s="31">
        <f>IF(OR(C38="",B38=""),"",IF(OR(K38="Won",K38="Lost",K38="Not a fit"),"",TodayDate-B38))</f>
        <v>0</v>
      </c>
      <c r="V38" s="31">
        <f>IF(C38="","",TodayDate-MAX(IF(B38="",0,B38),IF(N38="",0,N38),IF(Q38="",0,IF(Q38&gt;TodayDate,0,Q38)),IF(M38="",0,IFERROR(INDEX(Quotes!$L$5:$L$204,MATCH(M38,Quotes!$A$5:$A$204,0)),0))))</f>
        <v>0</v>
      </c>
      <c r="W38" s="21">
        <f>IF(M38="","",IFERROR(INDEX(Quotes!$AB$5:$AB$204,MATCH(M38,Quotes!$A$5:$A$204,0)),""))</f>
        <v>0</v>
      </c>
      <c r="X38" s="39">
        <f>IF(M38="","",IFERROR(INDEX(Quotes!$K$5:$K$204,MATCH(M38,Quotes!$A$5:$A$204,0)),""))</f>
        <v>0</v>
      </c>
      <c r="Y38" s="50">
        <f>IF(C38="","",IF(K38="Won","Yes",IF(K38="Lost","No","")))</f>
        <v>0</v>
      </c>
      <c r="Z38" s="39">
        <f>IF(C38="","",IF(K38="Won","OK - won",IF(OR(K38="Lost",K38="Not a fit"),"Closed",IF(AND(Q38&lt;&gt;"",Q38&lt;TodayDate),"Overdue - action was due "&amp;TEXT(Q38,"d mmm"),IF(AND(Q38&lt;&gt;"",Q38=TodayDate),"Today - "&amp;P38,IF(AND(M38&lt;&gt;"",V38&lt;&gt;"",V38&gt;=QuoteFollowupDays),"Chase - quote sent, no answer",IF(AND(M38="",U38&lt;&gt;"",U38&gt;=2),"Action - no quote sent yet","OK")))))))</f>
        <v>0</v>
      </c>
    </row>
    <row r="39" spans="1:26">
      <c r="A39" s="43">
        <f>IF(C39="","",LeadPrefix&amp;TEXT(ROW()-4,"0000"))</f>
        <v>0</v>
      </c>
      <c r="U39" s="31">
        <f>IF(OR(C39="",B39=""),"",IF(OR(K39="Won",K39="Lost",K39="Not a fit"),"",TodayDate-B39))</f>
        <v>0</v>
      </c>
      <c r="V39" s="31">
        <f>IF(C39="","",TodayDate-MAX(IF(B39="",0,B39),IF(N39="",0,N39),IF(Q39="",0,IF(Q39&gt;TodayDate,0,Q39)),IF(M39="",0,IFERROR(INDEX(Quotes!$L$5:$L$204,MATCH(M39,Quotes!$A$5:$A$204,0)),0))))</f>
        <v>0</v>
      </c>
      <c r="W39" s="21">
        <f>IF(M39="","",IFERROR(INDEX(Quotes!$AB$5:$AB$204,MATCH(M39,Quotes!$A$5:$A$204,0)),""))</f>
        <v>0</v>
      </c>
      <c r="X39" s="39">
        <f>IF(M39="","",IFERROR(INDEX(Quotes!$K$5:$K$204,MATCH(M39,Quotes!$A$5:$A$204,0)),""))</f>
        <v>0</v>
      </c>
      <c r="Y39" s="50">
        <f>IF(C39="","",IF(K39="Won","Yes",IF(K39="Lost","No","")))</f>
        <v>0</v>
      </c>
      <c r="Z39" s="39">
        <f>IF(C39="","",IF(K39="Won","OK - won",IF(OR(K39="Lost",K39="Not a fit"),"Closed",IF(AND(Q39&lt;&gt;"",Q39&lt;TodayDate),"Overdue - action was due "&amp;TEXT(Q39,"d mmm"),IF(AND(Q39&lt;&gt;"",Q39=TodayDate),"Today - "&amp;P39,IF(AND(M39&lt;&gt;"",V39&lt;&gt;"",V39&gt;=QuoteFollowupDays),"Chase - quote sent, no answer",IF(AND(M39="",U39&lt;&gt;"",U39&gt;=2),"Action - no quote sent yet","OK")))))))</f>
        <v>0</v>
      </c>
    </row>
    <row r="40" spans="1:26">
      <c r="A40" s="43">
        <f>IF(C40="","",LeadPrefix&amp;TEXT(ROW()-4,"0000"))</f>
        <v>0</v>
      </c>
      <c r="U40" s="31">
        <f>IF(OR(C40="",B40=""),"",IF(OR(K40="Won",K40="Lost",K40="Not a fit"),"",TodayDate-B40))</f>
        <v>0</v>
      </c>
      <c r="V40" s="31">
        <f>IF(C40="","",TodayDate-MAX(IF(B40="",0,B40),IF(N40="",0,N40),IF(Q40="",0,IF(Q40&gt;TodayDate,0,Q40)),IF(M40="",0,IFERROR(INDEX(Quotes!$L$5:$L$204,MATCH(M40,Quotes!$A$5:$A$204,0)),0))))</f>
        <v>0</v>
      </c>
      <c r="W40" s="21">
        <f>IF(M40="","",IFERROR(INDEX(Quotes!$AB$5:$AB$204,MATCH(M40,Quotes!$A$5:$A$204,0)),""))</f>
        <v>0</v>
      </c>
      <c r="X40" s="39">
        <f>IF(M40="","",IFERROR(INDEX(Quotes!$K$5:$K$204,MATCH(M40,Quotes!$A$5:$A$204,0)),""))</f>
        <v>0</v>
      </c>
      <c r="Y40" s="50">
        <f>IF(C40="","",IF(K40="Won","Yes",IF(K40="Lost","No","")))</f>
        <v>0</v>
      </c>
      <c r="Z40" s="39">
        <f>IF(C40="","",IF(K40="Won","OK - won",IF(OR(K40="Lost",K40="Not a fit"),"Closed",IF(AND(Q40&lt;&gt;"",Q40&lt;TodayDate),"Overdue - action was due "&amp;TEXT(Q40,"d mmm"),IF(AND(Q40&lt;&gt;"",Q40=TodayDate),"Today - "&amp;P40,IF(AND(M40&lt;&gt;"",V40&lt;&gt;"",V40&gt;=QuoteFollowupDays),"Chase - quote sent, no answer",IF(AND(M40="",U40&lt;&gt;"",U40&gt;=2),"Action - no quote sent yet","OK")))))))</f>
        <v>0</v>
      </c>
    </row>
    <row r="41" spans="1:26">
      <c r="A41" s="43">
        <f>IF(C41="","",LeadPrefix&amp;TEXT(ROW()-4,"0000"))</f>
        <v>0</v>
      </c>
      <c r="U41" s="31">
        <f>IF(OR(C41="",B41=""),"",IF(OR(K41="Won",K41="Lost",K41="Not a fit"),"",TodayDate-B41))</f>
        <v>0</v>
      </c>
      <c r="V41" s="31">
        <f>IF(C41="","",TodayDate-MAX(IF(B41="",0,B41),IF(N41="",0,N41),IF(Q41="",0,IF(Q41&gt;TodayDate,0,Q41)),IF(M41="",0,IFERROR(INDEX(Quotes!$L$5:$L$204,MATCH(M41,Quotes!$A$5:$A$204,0)),0))))</f>
        <v>0</v>
      </c>
      <c r="W41" s="21">
        <f>IF(M41="","",IFERROR(INDEX(Quotes!$AB$5:$AB$204,MATCH(M41,Quotes!$A$5:$A$204,0)),""))</f>
        <v>0</v>
      </c>
      <c r="X41" s="39">
        <f>IF(M41="","",IFERROR(INDEX(Quotes!$K$5:$K$204,MATCH(M41,Quotes!$A$5:$A$204,0)),""))</f>
        <v>0</v>
      </c>
      <c r="Y41" s="50">
        <f>IF(C41="","",IF(K41="Won","Yes",IF(K41="Lost","No","")))</f>
        <v>0</v>
      </c>
      <c r="Z41" s="39">
        <f>IF(C41="","",IF(K41="Won","OK - won",IF(OR(K41="Lost",K41="Not a fit"),"Closed",IF(AND(Q41&lt;&gt;"",Q41&lt;TodayDate),"Overdue - action was due "&amp;TEXT(Q41,"d mmm"),IF(AND(Q41&lt;&gt;"",Q41=TodayDate),"Today - "&amp;P41,IF(AND(M41&lt;&gt;"",V41&lt;&gt;"",V41&gt;=QuoteFollowupDays),"Chase - quote sent, no answer",IF(AND(M41="",U41&lt;&gt;"",U41&gt;=2),"Action - no quote sent yet","OK")))))))</f>
        <v>0</v>
      </c>
    </row>
    <row r="42" spans="1:26">
      <c r="A42" s="43">
        <f>IF(C42="","",LeadPrefix&amp;TEXT(ROW()-4,"0000"))</f>
        <v>0</v>
      </c>
      <c r="U42" s="31">
        <f>IF(OR(C42="",B42=""),"",IF(OR(K42="Won",K42="Lost",K42="Not a fit"),"",TodayDate-B42))</f>
        <v>0</v>
      </c>
      <c r="V42" s="31">
        <f>IF(C42="","",TodayDate-MAX(IF(B42="",0,B42),IF(N42="",0,N42),IF(Q42="",0,IF(Q42&gt;TodayDate,0,Q42)),IF(M42="",0,IFERROR(INDEX(Quotes!$L$5:$L$204,MATCH(M42,Quotes!$A$5:$A$204,0)),0))))</f>
        <v>0</v>
      </c>
      <c r="W42" s="21">
        <f>IF(M42="","",IFERROR(INDEX(Quotes!$AB$5:$AB$204,MATCH(M42,Quotes!$A$5:$A$204,0)),""))</f>
        <v>0</v>
      </c>
      <c r="X42" s="39">
        <f>IF(M42="","",IFERROR(INDEX(Quotes!$K$5:$K$204,MATCH(M42,Quotes!$A$5:$A$204,0)),""))</f>
        <v>0</v>
      </c>
      <c r="Y42" s="50">
        <f>IF(C42="","",IF(K42="Won","Yes",IF(K42="Lost","No","")))</f>
        <v>0</v>
      </c>
      <c r="Z42" s="39">
        <f>IF(C42="","",IF(K42="Won","OK - won",IF(OR(K42="Lost",K42="Not a fit"),"Closed",IF(AND(Q42&lt;&gt;"",Q42&lt;TodayDate),"Overdue - action was due "&amp;TEXT(Q42,"d mmm"),IF(AND(Q42&lt;&gt;"",Q42=TodayDate),"Today - "&amp;P42,IF(AND(M42&lt;&gt;"",V42&lt;&gt;"",V42&gt;=QuoteFollowupDays),"Chase - quote sent, no answer",IF(AND(M42="",U42&lt;&gt;"",U42&gt;=2),"Action - no quote sent yet","OK")))))))</f>
        <v>0</v>
      </c>
    </row>
    <row r="43" spans="1:26">
      <c r="A43" s="43">
        <f>IF(C43="","",LeadPrefix&amp;TEXT(ROW()-4,"0000"))</f>
        <v>0</v>
      </c>
      <c r="U43" s="31">
        <f>IF(OR(C43="",B43=""),"",IF(OR(K43="Won",K43="Lost",K43="Not a fit"),"",TodayDate-B43))</f>
        <v>0</v>
      </c>
      <c r="V43" s="31">
        <f>IF(C43="","",TodayDate-MAX(IF(B43="",0,B43),IF(N43="",0,N43),IF(Q43="",0,IF(Q43&gt;TodayDate,0,Q43)),IF(M43="",0,IFERROR(INDEX(Quotes!$L$5:$L$204,MATCH(M43,Quotes!$A$5:$A$204,0)),0))))</f>
        <v>0</v>
      </c>
      <c r="W43" s="21">
        <f>IF(M43="","",IFERROR(INDEX(Quotes!$AB$5:$AB$204,MATCH(M43,Quotes!$A$5:$A$204,0)),""))</f>
        <v>0</v>
      </c>
      <c r="X43" s="39">
        <f>IF(M43="","",IFERROR(INDEX(Quotes!$K$5:$K$204,MATCH(M43,Quotes!$A$5:$A$204,0)),""))</f>
        <v>0</v>
      </c>
      <c r="Y43" s="50">
        <f>IF(C43="","",IF(K43="Won","Yes",IF(K43="Lost","No","")))</f>
        <v>0</v>
      </c>
      <c r="Z43" s="39">
        <f>IF(C43="","",IF(K43="Won","OK - won",IF(OR(K43="Lost",K43="Not a fit"),"Closed",IF(AND(Q43&lt;&gt;"",Q43&lt;TodayDate),"Overdue - action was due "&amp;TEXT(Q43,"d mmm"),IF(AND(Q43&lt;&gt;"",Q43=TodayDate),"Today - "&amp;P43,IF(AND(M43&lt;&gt;"",V43&lt;&gt;"",V43&gt;=QuoteFollowupDays),"Chase - quote sent, no answer",IF(AND(M43="",U43&lt;&gt;"",U43&gt;=2),"Action - no quote sent yet","OK")))))))</f>
        <v>0</v>
      </c>
    </row>
    <row r="44" spans="1:26">
      <c r="A44" s="43">
        <f>IF(C44="","",LeadPrefix&amp;TEXT(ROW()-4,"0000"))</f>
        <v>0</v>
      </c>
      <c r="U44" s="31">
        <f>IF(OR(C44="",B44=""),"",IF(OR(K44="Won",K44="Lost",K44="Not a fit"),"",TodayDate-B44))</f>
        <v>0</v>
      </c>
      <c r="V44" s="31">
        <f>IF(C44="","",TodayDate-MAX(IF(B44="",0,B44),IF(N44="",0,N44),IF(Q44="",0,IF(Q44&gt;TodayDate,0,Q44)),IF(M44="",0,IFERROR(INDEX(Quotes!$L$5:$L$204,MATCH(M44,Quotes!$A$5:$A$204,0)),0))))</f>
        <v>0</v>
      </c>
      <c r="W44" s="21">
        <f>IF(M44="","",IFERROR(INDEX(Quotes!$AB$5:$AB$204,MATCH(M44,Quotes!$A$5:$A$204,0)),""))</f>
        <v>0</v>
      </c>
      <c r="X44" s="39">
        <f>IF(M44="","",IFERROR(INDEX(Quotes!$K$5:$K$204,MATCH(M44,Quotes!$A$5:$A$204,0)),""))</f>
        <v>0</v>
      </c>
      <c r="Y44" s="50">
        <f>IF(C44="","",IF(K44="Won","Yes",IF(K44="Lost","No","")))</f>
        <v>0</v>
      </c>
      <c r="Z44" s="39">
        <f>IF(C44="","",IF(K44="Won","OK - won",IF(OR(K44="Lost",K44="Not a fit"),"Closed",IF(AND(Q44&lt;&gt;"",Q44&lt;TodayDate),"Overdue - action was due "&amp;TEXT(Q44,"d mmm"),IF(AND(Q44&lt;&gt;"",Q44=TodayDate),"Today - "&amp;P44,IF(AND(M44&lt;&gt;"",V44&lt;&gt;"",V44&gt;=QuoteFollowupDays),"Chase - quote sent, no answer",IF(AND(M44="",U44&lt;&gt;"",U44&gt;=2),"Action - no quote sent yet","OK")))))))</f>
        <v>0</v>
      </c>
    </row>
    <row r="45" spans="1:26">
      <c r="A45" s="43">
        <f>IF(C45="","",LeadPrefix&amp;TEXT(ROW()-4,"0000"))</f>
        <v>0</v>
      </c>
      <c r="U45" s="31">
        <f>IF(OR(C45="",B45=""),"",IF(OR(K45="Won",K45="Lost",K45="Not a fit"),"",TodayDate-B45))</f>
        <v>0</v>
      </c>
      <c r="V45" s="31">
        <f>IF(C45="","",TodayDate-MAX(IF(B45="",0,B45),IF(N45="",0,N45),IF(Q45="",0,IF(Q45&gt;TodayDate,0,Q45)),IF(M45="",0,IFERROR(INDEX(Quotes!$L$5:$L$204,MATCH(M45,Quotes!$A$5:$A$204,0)),0))))</f>
        <v>0</v>
      </c>
      <c r="W45" s="21">
        <f>IF(M45="","",IFERROR(INDEX(Quotes!$AB$5:$AB$204,MATCH(M45,Quotes!$A$5:$A$204,0)),""))</f>
        <v>0</v>
      </c>
      <c r="X45" s="39">
        <f>IF(M45="","",IFERROR(INDEX(Quotes!$K$5:$K$204,MATCH(M45,Quotes!$A$5:$A$204,0)),""))</f>
        <v>0</v>
      </c>
      <c r="Y45" s="50">
        <f>IF(C45="","",IF(K45="Won","Yes",IF(K45="Lost","No","")))</f>
        <v>0</v>
      </c>
      <c r="Z45" s="39">
        <f>IF(C45="","",IF(K45="Won","OK - won",IF(OR(K45="Lost",K45="Not a fit"),"Closed",IF(AND(Q45&lt;&gt;"",Q45&lt;TodayDate),"Overdue - action was due "&amp;TEXT(Q45,"d mmm"),IF(AND(Q45&lt;&gt;"",Q45=TodayDate),"Today - "&amp;P45,IF(AND(M45&lt;&gt;"",V45&lt;&gt;"",V45&gt;=QuoteFollowupDays),"Chase - quote sent, no answer",IF(AND(M45="",U45&lt;&gt;"",U45&gt;=2),"Action - no quote sent yet","OK")))))))</f>
        <v>0</v>
      </c>
    </row>
    <row r="46" spans="1:26">
      <c r="A46" s="43">
        <f>IF(C46="","",LeadPrefix&amp;TEXT(ROW()-4,"0000"))</f>
        <v>0</v>
      </c>
      <c r="U46" s="31">
        <f>IF(OR(C46="",B46=""),"",IF(OR(K46="Won",K46="Lost",K46="Not a fit"),"",TodayDate-B46))</f>
        <v>0</v>
      </c>
      <c r="V46" s="31">
        <f>IF(C46="","",TodayDate-MAX(IF(B46="",0,B46),IF(N46="",0,N46),IF(Q46="",0,IF(Q46&gt;TodayDate,0,Q46)),IF(M46="",0,IFERROR(INDEX(Quotes!$L$5:$L$204,MATCH(M46,Quotes!$A$5:$A$204,0)),0))))</f>
        <v>0</v>
      </c>
      <c r="W46" s="21">
        <f>IF(M46="","",IFERROR(INDEX(Quotes!$AB$5:$AB$204,MATCH(M46,Quotes!$A$5:$A$204,0)),""))</f>
        <v>0</v>
      </c>
      <c r="X46" s="39">
        <f>IF(M46="","",IFERROR(INDEX(Quotes!$K$5:$K$204,MATCH(M46,Quotes!$A$5:$A$204,0)),""))</f>
        <v>0</v>
      </c>
      <c r="Y46" s="50">
        <f>IF(C46="","",IF(K46="Won","Yes",IF(K46="Lost","No","")))</f>
        <v>0</v>
      </c>
      <c r="Z46" s="39">
        <f>IF(C46="","",IF(K46="Won","OK - won",IF(OR(K46="Lost",K46="Not a fit"),"Closed",IF(AND(Q46&lt;&gt;"",Q46&lt;TodayDate),"Overdue - action was due "&amp;TEXT(Q46,"d mmm"),IF(AND(Q46&lt;&gt;"",Q46=TodayDate),"Today - "&amp;P46,IF(AND(M46&lt;&gt;"",V46&lt;&gt;"",V46&gt;=QuoteFollowupDays),"Chase - quote sent, no answer",IF(AND(M46="",U46&lt;&gt;"",U46&gt;=2),"Action - no quote sent yet","OK")))))))</f>
        <v>0</v>
      </c>
    </row>
    <row r="47" spans="1:26">
      <c r="A47" s="43">
        <f>IF(C47="","",LeadPrefix&amp;TEXT(ROW()-4,"0000"))</f>
        <v>0</v>
      </c>
      <c r="U47" s="31">
        <f>IF(OR(C47="",B47=""),"",IF(OR(K47="Won",K47="Lost",K47="Not a fit"),"",TodayDate-B47))</f>
        <v>0</v>
      </c>
      <c r="V47" s="31">
        <f>IF(C47="","",TodayDate-MAX(IF(B47="",0,B47),IF(N47="",0,N47),IF(Q47="",0,IF(Q47&gt;TodayDate,0,Q47)),IF(M47="",0,IFERROR(INDEX(Quotes!$L$5:$L$204,MATCH(M47,Quotes!$A$5:$A$204,0)),0))))</f>
        <v>0</v>
      </c>
      <c r="W47" s="21">
        <f>IF(M47="","",IFERROR(INDEX(Quotes!$AB$5:$AB$204,MATCH(M47,Quotes!$A$5:$A$204,0)),""))</f>
        <v>0</v>
      </c>
      <c r="X47" s="39">
        <f>IF(M47="","",IFERROR(INDEX(Quotes!$K$5:$K$204,MATCH(M47,Quotes!$A$5:$A$204,0)),""))</f>
        <v>0</v>
      </c>
      <c r="Y47" s="50">
        <f>IF(C47="","",IF(K47="Won","Yes",IF(K47="Lost","No","")))</f>
        <v>0</v>
      </c>
      <c r="Z47" s="39">
        <f>IF(C47="","",IF(K47="Won","OK - won",IF(OR(K47="Lost",K47="Not a fit"),"Closed",IF(AND(Q47&lt;&gt;"",Q47&lt;TodayDate),"Overdue - action was due "&amp;TEXT(Q47,"d mmm"),IF(AND(Q47&lt;&gt;"",Q47=TodayDate),"Today - "&amp;P47,IF(AND(M47&lt;&gt;"",V47&lt;&gt;"",V47&gt;=QuoteFollowupDays),"Chase - quote sent, no answer",IF(AND(M47="",U47&lt;&gt;"",U47&gt;=2),"Action - no quote sent yet","OK")))))))</f>
        <v>0</v>
      </c>
    </row>
    <row r="48" spans="1:26">
      <c r="A48" s="43">
        <f>IF(C48="","",LeadPrefix&amp;TEXT(ROW()-4,"0000"))</f>
        <v>0</v>
      </c>
      <c r="U48" s="31">
        <f>IF(OR(C48="",B48=""),"",IF(OR(K48="Won",K48="Lost",K48="Not a fit"),"",TodayDate-B48))</f>
        <v>0</v>
      </c>
      <c r="V48" s="31">
        <f>IF(C48="","",TodayDate-MAX(IF(B48="",0,B48),IF(N48="",0,N48),IF(Q48="",0,IF(Q48&gt;TodayDate,0,Q48)),IF(M48="",0,IFERROR(INDEX(Quotes!$L$5:$L$204,MATCH(M48,Quotes!$A$5:$A$204,0)),0))))</f>
        <v>0</v>
      </c>
      <c r="W48" s="21">
        <f>IF(M48="","",IFERROR(INDEX(Quotes!$AB$5:$AB$204,MATCH(M48,Quotes!$A$5:$A$204,0)),""))</f>
        <v>0</v>
      </c>
      <c r="X48" s="39">
        <f>IF(M48="","",IFERROR(INDEX(Quotes!$K$5:$K$204,MATCH(M48,Quotes!$A$5:$A$204,0)),""))</f>
        <v>0</v>
      </c>
      <c r="Y48" s="50">
        <f>IF(C48="","",IF(K48="Won","Yes",IF(K48="Lost","No","")))</f>
        <v>0</v>
      </c>
      <c r="Z48" s="39">
        <f>IF(C48="","",IF(K48="Won","OK - won",IF(OR(K48="Lost",K48="Not a fit"),"Closed",IF(AND(Q48&lt;&gt;"",Q48&lt;TodayDate),"Overdue - action was due "&amp;TEXT(Q48,"d mmm"),IF(AND(Q48&lt;&gt;"",Q48=TodayDate),"Today - "&amp;P48,IF(AND(M48&lt;&gt;"",V48&lt;&gt;"",V48&gt;=QuoteFollowupDays),"Chase - quote sent, no answer",IF(AND(M48="",U48&lt;&gt;"",U48&gt;=2),"Action - no quote sent yet","OK")))))))</f>
        <v>0</v>
      </c>
    </row>
    <row r="49" spans="1:26">
      <c r="A49" s="43">
        <f>IF(C49="","",LeadPrefix&amp;TEXT(ROW()-4,"0000"))</f>
        <v>0</v>
      </c>
      <c r="U49" s="31">
        <f>IF(OR(C49="",B49=""),"",IF(OR(K49="Won",K49="Lost",K49="Not a fit"),"",TodayDate-B49))</f>
        <v>0</v>
      </c>
      <c r="V49" s="31">
        <f>IF(C49="","",TodayDate-MAX(IF(B49="",0,B49),IF(N49="",0,N49),IF(Q49="",0,IF(Q49&gt;TodayDate,0,Q49)),IF(M49="",0,IFERROR(INDEX(Quotes!$L$5:$L$204,MATCH(M49,Quotes!$A$5:$A$204,0)),0))))</f>
        <v>0</v>
      </c>
      <c r="W49" s="21">
        <f>IF(M49="","",IFERROR(INDEX(Quotes!$AB$5:$AB$204,MATCH(M49,Quotes!$A$5:$A$204,0)),""))</f>
        <v>0</v>
      </c>
      <c r="X49" s="39">
        <f>IF(M49="","",IFERROR(INDEX(Quotes!$K$5:$K$204,MATCH(M49,Quotes!$A$5:$A$204,0)),""))</f>
        <v>0</v>
      </c>
      <c r="Y49" s="50">
        <f>IF(C49="","",IF(K49="Won","Yes",IF(K49="Lost","No","")))</f>
        <v>0</v>
      </c>
      <c r="Z49" s="39">
        <f>IF(C49="","",IF(K49="Won","OK - won",IF(OR(K49="Lost",K49="Not a fit"),"Closed",IF(AND(Q49&lt;&gt;"",Q49&lt;TodayDate),"Overdue - action was due "&amp;TEXT(Q49,"d mmm"),IF(AND(Q49&lt;&gt;"",Q49=TodayDate),"Today - "&amp;P49,IF(AND(M49&lt;&gt;"",V49&lt;&gt;"",V49&gt;=QuoteFollowupDays),"Chase - quote sent, no answer",IF(AND(M49="",U49&lt;&gt;"",U49&gt;=2),"Action - no quote sent yet","OK")))))))</f>
        <v>0</v>
      </c>
    </row>
    <row r="50" spans="1:26">
      <c r="A50" s="43">
        <f>IF(C50="","",LeadPrefix&amp;TEXT(ROW()-4,"0000"))</f>
        <v>0</v>
      </c>
      <c r="U50" s="31">
        <f>IF(OR(C50="",B50=""),"",IF(OR(K50="Won",K50="Lost",K50="Not a fit"),"",TodayDate-B50))</f>
        <v>0</v>
      </c>
      <c r="V50" s="31">
        <f>IF(C50="","",TodayDate-MAX(IF(B50="",0,B50),IF(N50="",0,N50),IF(Q50="",0,IF(Q50&gt;TodayDate,0,Q50)),IF(M50="",0,IFERROR(INDEX(Quotes!$L$5:$L$204,MATCH(M50,Quotes!$A$5:$A$204,0)),0))))</f>
        <v>0</v>
      </c>
      <c r="W50" s="21">
        <f>IF(M50="","",IFERROR(INDEX(Quotes!$AB$5:$AB$204,MATCH(M50,Quotes!$A$5:$A$204,0)),""))</f>
        <v>0</v>
      </c>
      <c r="X50" s="39">
        <f>IF(M50="","",IFERROR(INDEX(Quotes!$K$5:$K$204,MATCH(M50,Quotes!$A$5:$A$204,0)),""))</f>
        <v>0</v>
      </c>
      <c r="Y50" s="50">
        <f>IF(C50="","",IF(K50="Won","Yes",IF(K50="Lost","No","")))</f>
        <v>0</v>
      </c>
      <c r="Z50" s="39">
        <f>IF(C50="","",IF(K50="Won","OK - won",IF(OR(K50="Lost",K50="Not a fit"),"Closed",IF(AND(Q50&lt;&gt;"",Q50&lt;TodayDate),"Overdue - action was due "&amp;TEXT(Q50,"d mmm"),IF(AND(Q50&lt;&gt;"",Q50=TodayDate),"Today - "&amp;P50,IF(AND(M50&lt;&gt;"",V50&lt;&gt;"",V50&gt;=QuoteFollowupDays),"Chase - quote sent, no answer",IF(AND(M50="",U50&lt;&gt;"",U50&gt;=2),"Action - no quote sent yet","OK")))))))</f>
        <v>0</v>
      </c>
    </row>
    <row r="51" spans="1:26">
      <c r="A51" s="43">
        <f>IF(C51="","",LeadPrefix&amp;TEXT(ROW()-4,"0000"))</f>
        <v>0</v>
      </c>
      <c r="U51" s="31">
        <f>IF(OR(C51="",B51=""),"",IF(OR(K51="Won",K51="Lost",K51="Not a fit"),"",TodayDate-B51))</f>
        <v>0</v>
      </c>
      <c r="V51" s="31">
        <f>IF(C51="","",TodayDate-MAX(IF(B51="",0,B51),IF(N51="",0,N51),IF(Q51="",0,IF(Q51&gt;TodayDate,0,Q51)),IF(M51="",0,IFERROR(INDEX(Quotes!$L$5:$L$204,MATCH(M51,Quotes!$A$5:$A$204,0)),0))))</f>
        <v>0</v>
      </c>
      <c r="W51" s="21">
        <f>IF(M51="","",IFERROR(INDEX(Quotes!$AB$5:$AB$204,MATCH(M51,Quotes!$A$5:$A$204,0)),""))</f>
        <v>0</v>
      </c>
      <c r="X51" s="39">
        <f>IF(M51="","",IFERROR(INDEX(Quotes!$K$5:$K$204,MATCH(M51,Quotes!$A$5:$A$204,0)),""))</f>
        <v>0</v>
      </c>
      <c r="Y51" s="50">
        <f>IF(C51="","",IF(K51="Won","Yes",IF(K51="Lost","No","")))</f>
        <v>0</v>
      </c>
      <c r="Z51" s="39">
        <f>IF(C51="","",IF(K51="Won","OK - won",IF(OR(K51="Lost",K51="Not a fit"),"Closed",IF(AND(Q51&lt;&gt;"",Q51&lt;TodayDate),"Overdue - action was due "&amp;TEXT(Q51,"d mmm"),IF(AND(Q51&lt;&gt;"",Q51=TodayDate),"Today - "&amp;P51,IF(AND(M51&lt;&gt;"",V51&lt;&gt;"",V51&gt;=QuoteFollowupDays),"Chase - quote sent, no answer",IF(AND(M51="",U51&lt;&gt;"",U51&gt;=2),"Action - no quote sent yet","OK")))))))</f>
        <v>0</v>
      </c>
    </row>
    <row r="52" spans="1:26">
      <c r="A52" s="43">
        <f>IF(C52="","",LeadPrefix&amp;TEXT(ROW()-4,"0000"))</f>
        <v>0</v>
      </c>
      <c r="U52" s="31">
        <f>IF(OR(C52="",B52=""),"",IF(OR(K52="Won",K52="Lost",K52="Not a fit"),"",TodayDate-B52))</f>
        <v>0</v>
      </c>
      <c r="V52" s="31">
        <f>IF(C52="","",TodayDate-MAX(IF(B52="",0,B52),IF(N52="",0,N52),IF(Q52="",0,IF(Q52&gt;TodayDate,0,Q52)),IF(M52="",0,IFERROR(INDEX(Quotes!$L$5:$L$204,MATCH(M52,Quotes!$A$5:$A$204,0)),0))))</f>
        <v>0</v>
      </c>
      <c r="W52" s="21">
        <f>IF(M52="","",IFERROR(INDEX(Quotes!$AB$5:$AB$204,MATCH(M52,Quotes!$A$5:$A$204,0)),""))</f>
        <v>0</v>
      </c>
      <c r="X52" s="39">
        <f>IF(M52="","",IFERROR(INDEX(Quotes!$K$5:$K$204,MATCH(M52,Quotes!$A$5:$A$204,0)),""))</f>
        <v>0</v>
      </c>
      <c r="Y52" s="50">
        <f>IF(C52="","",IF(K52="Won","Yes",IF(K52="Lost","No","")))</f>
        <v>0</v>
      </c>
      <c r="Z52" s="39">
        <f>IF(C52="","",IF(K52="Won","OK - won",IF(OR(K52="Lost",K52="Not a fit"),"Closed",IF(AND(Q52&lt;&gt;"",Q52&lt;TodayDate),"Overdue - action was due "&amp;TEXT(Q52,"d mmm"),IF(AND(Q52&lt;&gt;"",Q52=TodayDate),"Today - "&amp;P52,IF(AND(M52&lt;&gt;"",V52&lt;&gt;"",V52&gt;=QuoteFollowupDays),"Chase - quote sent, no answer",IF(AND(M52="",U52&lt;&gt;"",U52&gt;=2),"Action - no quote sent yet","OK")))))))</f>
        <v>0</v>
      </c>
    </row>
    <row r="53" spans="1:26">
      <c r="A53" s="43">
        <f>IF(C53="","",LeadPrefix&amp;TEXT(ROW()-4,"0000"))</f>
        <v>0</v>
      </c>
      <c r="U53" s="31">
        <f>IF(OR(C53="",B53=""),"",IF(OR(K53="Won",K53="Lost",K53="Not a fit"),"",TodayDate-B53))</f>
        <v>0</v>
      </c>
      <c r="V53" s="31">
        <f>IF(C53="","",TodayDate-MAX(IF(B53="",0,B53),IF(N53="",0,N53),IF(Q53="",0,IF(Q53&gt;TodayDate,0,Q53)),IF(M53="",0,IFERROR(INDEX(Quotes!$L$5:$L$204,MATCH(M53,Quotes!$A$5:$A$204,0)),0))))</f>
        <v>0</v>
      </c>
      <c r="W53" s="21">
        <f>IF(M53="","",IFERROR(INDEX(Quotes!$AB$5:$AB$204,MATCH(M53,Quotes!$A$5:$A$204,0)),""))</f>
        <v>0</v>
      </c>
      <c r="X53" s="39">
        <f>IF(M53="","",IFERROR(INDEX(Quotes!$K$5:$K$204,MATCH(M53,Quotes!$A$5:$A$204,0)),""))</f>
        <v>0</v>
      </c>
      <c r="Y53" s="50">
        <f>IF(C53="","",IF(K53="Won","Yes",IF(K53="Lost","No","")))</f>
        <v>0</v>
      </c>
      <c r="Z53" s="39">
        <f>IF(C53="","",IF(K53="Won","OK - won",IF(OR(K53="Lost",K53="Not a fit"),"Closed",IF(AND(Q53&lt;&gt;"",Q53&lt;TodayDate),"Overdue - action was due "&amp;TEXT(Q53,"d mmm"),IF(AND(Q53&lt;&gt;"",Q53=TodayDate),"Today - "&amp;P53,IF(AND(M53&lt;&gt;"",V53&lt;&gt;"",V53&gt;=QuoteFollowupDays),"Chase - quote sent, no answer",IF(AND(M53="",U53&lt;&gt;"",U53&gt;=2),"Action - no quote sent yet","OK")))))))</f>
        <v>0</v>
      </c>
    </row>
    <row r="54" spans="1:26">
      <c r="A54" s="43">
        <f>IF(C54="","",LeadPrefix&amp;TEXT(ROW()-4,"0000"))</f>
        <v>0</v>
      </c>
      <c r="U54" s="31">
        <f>IF(OR(C54="",B54=""),"",IF(OR(K54="Won",K54="Lost",K54="Not a fit"),"",TodayDate-B54))</f>
        <v>0</v>
      </c>
      <c r="V54" s="31">
        <f>IF(C54="","",TodayDate-MAX(IF(B54="",0,B54),IF(N54="",0,N54),IF(Q54="",0,IF(Q54&gt;TodayDate,0,Q54)),IF(M54="",0,IFERROR(INDEX(Quotes!$L$5:$L$204,MATCH(M54,Quotes!$A$5:$A$204,0)),0))))</f>
        <v>0</v>
      </c>
      <c r="W54" s="21">
        <f>IF(M54="","",IFERROR(INDEX(Quotes!$AB$5:$AB$204,MATCH(M54,Quotes!$A$5:$A$204,0)),""))</f>
        <v>0</v>
      </c>
      <c r="X54" s="39">
        <f>IF(M54="","",IFERROR(INDEX(Quotes!$K$5:$K$204,MATCH(M54,Quotes!$A$5:$A$204,0)),""))</f>
        <v>0</v>
      </c>
      <c r="Y54" s="50">
        <f>IF(C54="","",IF(K54="Won","Yes",IF(K54="Lost","No","")))</f>
        <v>0</v>
      </c>
      <c r="Z54" s="39">
        <f>IF(C54="","",IF(K54="Won","OK - won",IF(OR(K54="Lost",K54="Not a fit"),"Closed",IF(AND(Q54&lt;&gt;"",Q54&lt;TodayDate),"Overdue - action was due "&amp;TEXT(Q54,"d mmm"),IF(AND(Q54&lt;&gt;"",Q54=TodayDate),"Today - "&amp;P54,IF(AND(M54&lt;&gt;"",V54&lt;&gt;"",V54&gt;=QuoteFollowupDays),"Chase - quote sent, no answer",IF(AND(M54="",U54&lt;&gt;"",U54&gt;=2),"Action - no quote sent yet","OK")))))))</f>
        <v>0</v>
      </c>
    </row>
    <row r="55" spans="1:26">
      <c r="A55" s="43">
        <f>IF(C55="","",LeadPrefix&amp;TEXT(ROW()-4,"0000"))</f>
        <v>0</v>
      </c>
      <c r="U55" s="31">
        <f>IF(OR(C55="",B55=""),"",IF(OR(K55="Won",K55="Lost",K55="Not a fit"),"",TodayDate-B55))</f>
        <v>0</v>
      </c>
      <c r="V55" s="31">
        <f>IF(C55="","",TodayDate-MAX(IF(B55="",0,B55),IF(N55="",0,N55),IF(Q55="",0,IF(Q55&gt;TodayDate,0,Q55)),IF(M55="",0,IFERROR(INDEX(Quotes!$L$5:$L$204,MATCH(M55,Quotes!$A$5:$A$204,0)),0))))</f>
        <v>0</v>
      </c>
      <c r="W55" s="21">
        <f>IF(M55="","",IFERROR(INDEX(Quotes!$AB$5:$AB$204,MATCH(M55,Quotes!$A$5:$A$204,0)),""))</f>
        <v>0</v>
      </c>
      <c r="X55" s="39">
        <f>IF(M55="","",IFERROR(INDEX(Quotes!$K$5:$K$204,MATCH(M55,Quotes!$A$5:$A$204,0)),""))</f>
        <v>0</v>
      </c>
      <c r="Y55" s="50">
        <f>IF(C55="","",IF(K55="Won","Yes",IF(K55="Lost","No","")))</f>
        <v>0</v>
      </c>
      <c r="Z55" s="39">
        <f>IF(C55="","",IF(K55="Won","OK - won",IF(OR(K55="Lost",K55="Not a fit"),"Closed",IF(AND(Q55&lt;&gt;"",Q55&lt;TodayDate),"Overdue - action was due "&amp;TEXT(Q55,"d mmm"),IF(AND(Q55&lt;&gt;"",Q55=TodayDate),"Today - "&amp;P55,IF(AND(M55&lt;&gt;"",V55&lt;&gt;"",V55&gt;=QuoteFollowupDays),"Chase - quote sent, no answer",IF(AND(M55="",U55&lt;&gt;"",U55&gt;=2),"Action - no quote sent yet","OK")))))))</f>
        <v>0</v>
      </c>
    </row>
    <row r="56" spans="1:26">
      <c r="A56" s="43">
        <f>IF(C56="","",LeadPrefix&amp;TEXT(ROW()-4,"0000"))</f>
        <v>0</v>
      </c>
      <c r="U56" s="31">
        <f>IF(OR(C56="",B56=""),"",IF(OR(K56="Won",K56="Lost",K56="Not a fit"),"",TodayDate-B56))</f>
        <v>0</v>
      </c>
      <c r="V56" s="31">
        <f>IF(C56="","",TodayDate-MAX(IF(B56="",0,B56),IF(N56="",0,N56),IF(Q56="",0,IF(Q56&gt;TodayDate,0,Q56)),IF(M56="",0,IFERROR(INDEX(Quotes!$L$5:$L$204,MATCH(M56,Quotes!$A$5:$A$204,0)),0))))</f>
        <v>0</v>
      </c>
      <c r="W56" s="21">
        <f>IF(M56="","",IFERROR(INDEX(Quotes!$AB$5:$AB$204,MATCH(M56,Quotes!$A$5:$A$204,0)),""))</f>
        <v>0</v>
      </c>
      <c r="X56" s="39">
        <f>IF(M56="","",IFERROR(INDEX(Quotes!$K$5:$K$204,MATCH(M56,Quotes!$A$5:$A$204,0)),""))</f>
        <v>0</v>
      </c>
      <c r="Y56" s="50">
        <f>IF(C56="","",IF(K56="Won","Yes",IF(K56="Lost","No","")))</f>
        <v>0</v>
      </c>
      <c r="Z56" s="39">
        <f>IF(C56="","",IF(K56="Won","OK - won",IF(OR(K56="Lost",K56="Not a fit"),"Closed",IF(AND(Q56&lt;&gt;"",Q56&lt;TodayDate),"Overdue - action was due "&amp;TEXT(Q56,"d mmm"),IF(AND(Q56&lt;&gt;"",Q56=TodayDate),"Today - "&amp;P56,IF(AND(M56&lt;&gt;"",V56&lt;&gt;"",V56&gt;=QuoteFollowupDays),"Chase - quote sent, no answer",IF(AND(M56="",U56&lt;&gt;"",U56&gt;=2),"Action - no quote sent yet","OK")))))))</f>
        <v>0</v>
      </c>
    </row>
    <row r="57" spans="1:26">
      <c r="A57" s="43">
        <f>IF(C57="","",LeadPrefix&amp;TEXT(ROW()-4,"0000"))</f>
        <v>0</v>
      </c>
      <c r="U57" s="31">
        <f>IF(OR(C57="",B57=""),"",IF(OR(K57="Won",K57="Lost",K57="Not a fit"),"",TodayDate-B57))</f>
        <v>0</v>
      </c>
      <c r="V57" s="31">
        <f>IF(C57="","",TodayDate-MAX(IF(B57="",0,B57),IF(N57="",0,N57),IF(Q57="",0,IF(Q57&gt;TodayDate,0,Q57)),IF(M57="",0,IFERROR(INDEX(Quotes!$L$5:$L$204,MATCH(M57,Quotes!$A$5:$A$204,0)),0))))</f>
        <v>0</v>
      </c>
      <c r="W57" s="21">
        <f>IF(M57="","",IFERROR(INDEX(Quotes!$AB$5:$AB$204,MATCH(M57,Quotes!$A$5:$A$204,0)),""))</f>
        <v>0</v>
      </c>
      <c r="X57" s="39">
        <f>IF(M57="","",IFERROR(INDEX(Quotes!$K$5:$K$204,MATCH(M57,Quotes!$A$5:$A$204,0)),""))</f>
        <v>0</v>
      </c>
      <c r="Y57" s="50">
        <f>IF(C57="","",IF(K57="Won","Yes",IF(K57="Lost","No","")))</f>
        <v>0</v>
      </c>
      <c r="Z57" s="39">
        <f>IF(C57="","",IF(K57="Won","OK - won",IF(OR(K57="Lost",K57="Not a fit"),"Closed",IF(AND(Q57&lt;&gt;"",Q57&lt;TodayDate),"Overdue - action was due "&amp;TEXT(Q57,"d mmm"),IF(AND(Q57&lt;&gt;"",Q57=TodayDate),"Today - "&amp;P57,IF(AND(M57&lt;&gt;"",V57&lt;&gt;"",V57&gt;=QuoteFollowupDays),"Chase - quote sent, no answer",IF(AND(M57="",U57&lt;&gt;"",U57&gt;=2),"Action - no quote sent yet","OK")))))))</f>
        <v>0</v>
      </c>
    </row>
    <row r="58" spans="1:26">
      <c r="A58" s="43">
        <f>IF(C58="","",LeadPrefix&amp;TEXT(ROW()-4,"0000"))</f>
        <v>0</v>
      </c>
      <c r="U58" s="31">
        <f>IF(OR(C58="",B58=""),"",IF(OR(K58="Won",K58="Lost",K58="Not a fit"),"",TodayDate-B58))</f>
        <v>0</v>
      </c>
      <c r="V58" s="31">
        <f>IF(C58="","",TodayDate-MAX(IF(B58="",0,B58),IF(N58="",0,N58),IF(Q58="",0,IF(Q58&gt;TodayDate,0,Q58)),IF(M58="",0,IFERROR(INDEX(Quotes!$L$5:$L$204,MATCH(M58,Quotes!$A$5:$A$204,0)),0))))</f>
        <v>0</v>
      </c>
      <c r="W58" s="21">
        <f>IF(M58="","",IFERROR(INDEX(Quotes!$AB$5:$AB$204,MATCH(M58,Quotes!$A$5:$A$204,0)),""))</f>
        <v>0</v>
      </c>
      <c r="X58" s="39">
        <f>IF(M58="","",IFERROR(INDEX(Quotes!$K$5:$K$204,MATCH(M58,Quotes!$A$5:$A$204,0)),""))</f>
        <v>0</v>
      </c>
      <c r="Y58" s="50">
        <f>IF(C58="","",IF(K58="Won","Yes",IF(K58="Lost","No","")))</f>
        <v>0</v>
      </c>
      <c r="Z58" s="39">
        <f>IF(C58="","",IF(K58="Won","OK - won",IF(OR(K58="Lost",K58="Not a fit"),"Closed",IF(AND(Q58&lt;&gt;"",Q58&lt;TodayDate),"Overdue - action was due "&amp;TEXT(Q58,"d mmm"),IF(AND(Q58&lt;&gt;"",Q58=TodayDate),"Today - "&amp;P58,IF(AND(M58&lt;&gt;"",V58&lt;&gt;"",V58&gt;=QuoteFollowupDays),"Chase - quote sent, no answer",IF(AND(M58="",U58&lt;&gt;"",U58&gt;=2),"Action - no quote sent yet","OK")))))))</f>
        <v>0</v>
      </c>
    </row>
    <row r="59" spans="1:26">
      <c r="A59" s="43">
        <f>IF(C59="","",LeadPrefix&amp;TEXT(ROW()-4,"0000"))</f>
        <v>0</v>
      </c>
      <c r="U59" s="31">
        <f>IF(OR(C59="",B59=""),"",IF(OR(K59="Won",K59="Lost",K59="Not a fit"),"",TodayDate-B59))</f>
        <v>0</v>
      </c>
      <c r="V59" s="31">
        <f>IF(C59="","",TodayDate-MAX(IF(B59="",0,B59),IF(N59="",0,N59),IF(Q59="",0,IF(Q59&gt;TodayDate,0,Q59)),IF(M59="",0,IFERROR(INDEX(Quotes!$L$5:$L$204,MATCH(M59,Quotes!$A$5:$A$204,0)),0))))</f>
        <v>0</v>
      </c>
      <c r="W59" s="21">
        <f>IF(M59="","",IFERROR(INDEX(Quotes!$AB$5:$AB$204,MATCH(M59,Quotes!$A$5:$A$204,0)),""))</f>
        <v>0</v>
      </c>
      <c r="X59" s="39">
        <f>IF(M59="","",IFERROR(INDEX(Quotes!$K$5:$K$204,MATCH(M59,Quotes!$A$5:$A$204,0)),""))</f>
        <v>0</v>
      </c>
      <c r="Y59" s="50">
        <f>IF(C59="","",IF(K59="Won","Yes",IF(K59="Lost","No","")))</f>
        <v>0</v>
      </c>
      <c r="Z59" s="39">
        <f>IF(C59="","",IF(K59="Won","OK - won",IF(OR(K59="Lost",K59="Not a fit"),"Closed",IF(AND(Q59&lt;&gt;"",Q59&lt;TodayDate),"Overdue - action was due "&amp;TEXT(Q59,"d mmm"),IF(AND(Q59&lt;&gt;"",Q59=TodayDate),"Today - "&amp;P59,IF(AND(M59&lt;&gt;"",V59&lt;&gt;"",V59&gt;=QuoteFollowupDays),"Chase - quote sent, no answer",IF(AND(M59="",U59&lt;&gt;"",U59&gt;=2),"Action - no quote sent yet","OK")))))))</f>
        <v>0</v>
      </c>
    </row>
    <row r="60" spans="1:26">
      <c r="A60" s="43">
        <f>IF(C60="","",LeadPrefix&amp;TEXT(ROW()-4,"0000"))</f>
        <v>0</v>
      </c>
      <c r="U60" s="31">
        <f>IF(OR(C60="",B60=""),"",IF(OR(K60="Won",K60="Lost",K60="Not a fit"),"",TodayDate-B60))</f>
        <v>0</v>
      </c>
      <c r="V60" s="31">
        <f>IF(C60="","",TodayDate-MAX(IF(B60="",0,B60),IF(N60="",0,N60),IF(Q60="",0,IF(Q60&gt;TodayDate,0,Q60)),IF(M60="",0,IFERROR(INDEX(Quotes!$L$5:$L$204,MATCH(M60,Quotes!$A$5:$A$204,0)),0))))</f>
        <v>0</v>
      </c>
      <c r="W60" s="21">
        <f>IF(M60="","",IFERROR(INDEX(Quotes!$AB$5:$AB$204,MATCH(M60,Quotes!$A$5:$A$204,0)),""))</f>
        <v>0</v>
      </c>
      <c r="X60" s="39">
        <f>IF(M60="","",IFERROR(INDEX(Quotes!$K$5:$K$204,MATCH(M60,Quotes!$A$5:$A$204,0)),""))</f>
        <v>0</v>
      </c>
      <c r="Y60" s="50">
        <f>IF(C60="","",IF(K60="Won","Yes",IF(K60="Lost","No","")))</f>
        <v>0</v>
      </c>
      <c r="Z60" s="39">
        <f>IF(C60="","",IF(K60="Won","OK - won",IF(OR(K60="Lost",K60="Not a fit"),"Closed",IF(AND(Q60&lt;&gt;"",Q60&lt;TodayDate),"Overdue - action was due "&amp;TEXT(Q60,"d mmm"),IF(AND(Q60&lt;&gt;"",Q60=TodayDate),"Today - "&amp;P60,IF(AND(M60&lt;&gt;"",V60&lt;&gt;"",V60&gt;=QuoteFollowupDays),"Chase - quote sent, no answer",IF(AND(M60="",U60&lt;&gt;"",U60&gt;=2),"Action - no quote sent yet","OK")))))))</f>
        <v>0</v>
      </c>
    </row>
    <row r="61" spans="1:26">
      <c r="A61" s="43">
        <f>IF(C61="","",LeadPrefix&amp;TEXT(ROW()-4,"0000"))</f>
        <v>0</v>
      </c>
      <c r="U61" s="31">
        <f>IF(OR(C61="",B61=""),"",IF(OR(K61="Won",K61="Lost",K61="Not a fit"),"",TodayDate-B61))</f>
        <v>0</v>
      </c>
      <c r="V61" s="31">
        <f>IF(C61="","",TodayDate-MAX(IF(B61="",0,B61),IF(N61="",0,N61),IF(Q61="",0,IF(Q61&gt;TodayDate,0,Q61)),IF(M61="",0,IFERROR(INDEX(Quotes!$L$5:$L$204,MATCH(M61,Quotes!$A$5:$A$204,0)),0))))</f>
        <v>0</v>
      </c>
      <c r="W61" s="21">
        <f>IF(M61="","",IFERROR(INDEX(Quotes!$AB$5:$AB$204,MATCH(M61,Quotes!$A$5:$A$204,0)),""))</f>
        <v>0</v>
      </c>
      <c r="X61" s="39">
        <f>IF(M61="","",IFERROR(INDEX(Quotes!$K$5:$K$204,MATCH(M61,Quotes!$A$5:$A$204,0)),""))</f>
        <v>0</v>
      </c>
      <c r="Y61" s="50">
        <f>IF(C61="","",IF(K61="Won","Yes",IF(K61="Lost","No","")))</f>
        <v>0</v>
      </c>
      <c r="Z61" s="39">
        <f>IF(C61="","",IF(K61="Won","OK - won",IF(OR(K61="Lost",K61="Not a fit"),"Closed",IF(AND(Q61&lt;&gt;"",Q61&lt;TodayDate),"Overdue - action was due "&amp;TEXT(Q61,"d mmm"),IF(AND(Q61&lt;&gt;"",Q61=TodayDate),"Today - "&amp;P61,IF(AND(M61&lt;&gt;"",V61&lt;&gt;"",V61&gt;=QuoteFollowupDays),"Chase - quote sent, no answer",IF(AND(M61="",U61&lt;&gt;"",U61&gt;=2),"Action - no quote sent yet","OK")))))))</f>
        <v>0</v>
      </c>
    </row>
    <row r="62" spans="1:26">
      <c r="A62" s="43">
        <f>IF(C62="","",LeadPrefix&amp;TEXT(ROW()-4,"0000"))</f>
        <v>0</v>
      </c>
      <c r="U62" s="31">
        <f>IF(OR(C62="",B62=""),"",IF(OR(K62="Won",K62="Lost",K62="Not a fit"),"",TodayDate-B62))</f>
        <v>0</v>
      </c>
      <c r="V62" s="31">
        <f>IF(C62="","",TodayDate-MAX(IF(B62="",0,B62),IF(N62="",0,N62),IF(Q62="",0,IF(Q62&gt;TodayDate,0,Q62)),IF(M62="",0,IFERROR(INDEX(Quotes!$L$5:$L$204,MATCH(M62,Quotes!$A$5:$A$204,0)),0))))</f>
        <v>0</v>
      </c>
      <c r="W62" s="21">
        <f>IF(M62="","",IFERROR(INDEX(Quotes!$AB$5:$AB$204,MATCH(M62,Quotes!$A$5:$A$204,0)),""))</f>
        <v>0</v>
      </c>
      <c r="X62" s="39">
        <f>IF(M62="","",IFERROR(INDEX(Quotes!$K$5:$K$204,MATCH(M62,Quotes!$A$5:$A$204,0)),""))</f>
        <v>0</v>
      </c>
      <c r="Y62" s="50">
        <f>IF(C62="","",IF(K62="Won","Yes",IF(K62="Lost","No","")))</f>
        <v>0</v>
      </c>
      <c r="Z62" s="39">
        <f>IF(C62="","",IF(K62="Won","OK - won",IF(OR(K62="Lost",K62="Not a fit"),"Closed",IF(AND(Q62&lt;&gt;"",Q62&lt;TodayDate),"Overdue - action was due "&amp;TEXT(Q62,"d mmm"),IF(AND(Q62&lt;&gt;"",Q62=TodayDate),"Today - "&amp;P62,IF(AND(M62&lt;&gt;"",V62&lt;&gt;"",V62&gt;=QuoteFollowupDays),"Chase - quote sent, no answer",IF(AND(M62="",U62&lt;&gt;"",U62&gt;=2),"Action - no quote sent yet","OK")))))))</f>
        <v>0</v>
      </c>
    </row>
    <row r="63" spans="1:26">
      <c r="A63" s="43">
        <f>IF(C63="","",LeadPrefix&amp;TEXT(ROW()-4,"0000"))</f>
        <v>0</v>
      </c>
      <c r="U63" s="31">
        <f>IF(OR(C63="",B63=""),"",IF(OR(K63="Won",K63="Lost",K63="Not a fit"),"",TodayDate-B63))</f>
        <v>0</v>
      </c>
      <c r="V63" s="31">
        <f>IF(C63="","",TodayDate-MAX(IF(B63="",0,B63),IF(N63="",0,N63),IF(Q63="",0,IF(Q63&gt;TodayDate,0,Q63)),IF(M63="",0,IFERROR(INDEX(Quotes!$L$5:$L$204,MATCH(M63,Quotes!$A$5:$A$204,0)),0))))</f>
        <v>0</v>
      </c>
      <c r="W63" s="21">
        <f>IF(M63="","",IFERROR(INDEX(Quotes!$AB$5:$AB$204,MATCH(M63,Quotes!$A$5:$A$204,0)),""))</f>
        <v>0</v>
      </c>
      <c r="X63" s="39">
        <f>IF(M63="","",IFERROR(INDEX(Quotes!$K$5:$K$204,MATCH(M63,Quotes!$A$5:$A$204,0)),""))</f>
        <v>0</v>
      </c>
      <c r="Y63" s="50">
        <f>IF(C63="","",IF(K63="Won","Yes",IF(K63="Lost","No","")))</f>
        <v>0</v>
      </c>
      <c r="Z63" s="39">
        <f>IF(C63="","",IF(K63="Won","OK - won",IF(OR(K63="Lost",K63="Not a fit"),"Closed",IF(AND(Q63&lt;&gt;"",Q63&lt;TodayDate),"Overdue - action was due "&amp;TEXT(Q63,"d mmm"),IF(AND(Q63&lt;&gt;"",Q63=TodayDate),"Today - "&amp;P63,IF(AND(M63&lt;&gt;"",V63&lt;&gt;"",V63&gt;=QuoteFollowupDays),"Chase - quote sent, no answer",IF(AND(M63="",U63&lt;&gt;"",U63&gt;=2),"Action - no quote sent yet","OK")))))))</f>
        <v>0</v>
      </c>
    </row>
    <row r="64" spans="1:26">
      <c r="A64" s="43">
        <f>IF(C64="","",LeadPrefix&amp;TEXT(ROW()-4,"0000"))</f>
        <v>0</v>
      </c>
      <c r="U64" s="31">
        <f>IF(OR(C64="",B64=""),"",IF(OR(K64="Won",K64="Lost",K64="Not a fit"),"",TodayDate-B64))</f>
        <v>0</v>
      </c>
      <c r="V64" s="31">
        <f>IF(C64="","",TodayDate-MAX(IF(B64="",0,B64),IF(N64="",0,N64),IF(Q64="",0,IF(Q64&gt;TodayDate,0,Q64)),IF(M64="",0,IFERROR(INDEX(Quotes!$L$5:$L$204,MATCH(M64,Quotes!$A$5:$A$204,0)),0))))</f>
        <v>0</v>
      </c>
      <c r="W64" s="21">
        <f>IF(M64="","",IFERROR(INDEX(Quotes!$AB$5:$AB$204,MATCH(M64,Quotes!$A$5:$A$204,0)),""))</f>
        <v>0</v>
      </c>
      <c r="X64" s="39">
        <f>IF(M64="","",IFERROR(INDEX(Quotes!$K$5:$K$204,MATCH(M64,Quotes!$A$5:$A$204,0)),""))</f>
        <v>0</v>
      </c>
      <c r="Y64" s="50">
        <f>IF(C64="","",IF(K64="Won","Yes",IF(K64="Lost","No","")))</f>
        <v>0</v>
      </c>
      <c r="Z64" s="39">
        <f>IF(C64="","",IF(K64="Won","OK - won",IF(OR(K64="Lost",K64="Not a fit"),"Closed",IF(AND(Q64&lt;&gt;"",Q64&lt;TodayDate),"Overdue - action was due "&amp;TEXT(Q64,"d mmm"),IF(AND(Q64&lt;&gt;"",Q64=TodayDate),"Today - "&amp;P64,IF(AND(M64&lt;&gt;"",V64&lt;&gt;"",V64&gt;=QuoteFollowupDays),"Chase - quote sent, no answer",IF(AND(M64="",U64&lt;&gt;"",U64&gt;=2),"Action - no quote sent yet","OK")))))))</f>
        <v>0</v>
      </c>
    </row>
    <row r="65" spans="1:26">
      <c r="A65" s="43">
        <f>IF(C65="","",LeadPrefix&amp;TEXT(ROW()-4,"0000"))</f>
        <v>0</v>
      </c>
      <c r="U65" s="31">
        <f>IF(OR(C65="",B65=""),"",IF(OR(K65="Won",K65="Lost",K65="Not a fit"),"",TodayDate-B65))</f>
        <v>0</v>
      </c>
      <c r="V65" s="31">
        <f>IF(C65="","",TodayDate-MAX(IF(B65="",0,B65),IF(N65="",0,N65),IF(Q65="",0,IF(Q65&gt;TodayDate,0,Q65)),IF(M65="",0,IFERROR(INDEX(Quotes!$L$5:$L$204,MATCH(M65,Quotes!$A$5:$A$204,0)),0))))</f>
        <v>0</v>
      </c>
      <c r="W65" s="21">
        <f>IF(M65="","",IFERROR(INDEX(Quotes!$AB$5:$AB$204,MATCH(M65,Quotes!$A$5:$A$204,0)),""))</f>
        <v>0</v>
      </c>
      <c r="X65" s="39">
        <f>IF(M65="","",IFERROR(INDEX(Quotes!$K$5:$K$204,MATCH(M65,Quotes!$A$5:$A$204,0)),""))</f>
        <v>0</v>
      </c>
      <c r="Y65" s="50">
        <f>IF(C65="","",IF(K65="Won","Yes",IF(K65="Lost","No","")))</f>
        <v>0</v>
      </c>
      <c r="Z65" s="39">
        <f>IF(C65="","",IF(K65="Won","OK - won",IF(OR(K65="Lost",K65="Not a fit"),"Closed",IF(AND(Q65&lt;&gt;"",Q65&lt;TodayDate),"Overdue - action was due "&amp;TEXT(Q65,"d mmm"),IF(AND(Q65&lt;&gt;"",Q65=TodayDate),"Today - "&amp;P65,IF(AND(M65&lt;&gt;"",V65&lt;&gt;"",V65&gt;=QuoteFollowupDays),"Chase - quote sent, no answer",IF(AND(M65="",U65&lt;&gt;"",U65&gt;=2),"Action - no quote sent yet","OK")))))))</f>
        <v>0</v>
      </c>
    </row>
    <row r="66" spans="1:26">
      <c r="A66" s="43">
        <f>IF(C66="","",LeadPrefix&amp;TEXT(ROW()-4,"0000"))</f>
        <v>0</v>
      </c>
      <c r="U66" s="31">
        <f>IF(OR(C66="",B66=""),"",IF(OR(K66="Won",K66="Lost",K66="Not a fit"),"",TodayDate-B66))</f>
        <v>0</v>
      </c>
      <c r="V66" s="31">
        <f>IF(C66="","",TodayDate-MAX(IF(B66="",0,B66),IF(N66="",0,N66),IF(Q66="",0,IF(Q66&gt;TodayDate,0,Q66)),IF(M66="",0,IFERROR(INDEX(Quotes!$L$5:$L$204,MATCH(M66,Quotes!$A$5:$A$204,0)),0))))</f>
        <v>0</v>
      </c>
      <c r="W66" s="21">
        <f>IF(M66="","",IFERROR(INDEX(Quotes!$AB$5:$AB$204,MATCH(M66,Quotes!$A$5:$A$204,0)),""))</f>
        <v>0</v>
      </c>
      <c r="X66" s="39">
        <f>IF(M66="","",IFERROR(INDEX(Quotes!$K$5:$K$204,MATCH(M66,Quotes!$A$5:$A$204,0)),""))</f>
        <v>0</v>
      </c>
      <c r="Y66" s="50">
        <f>IF(C66="","",IF(K66="Won","Yes",IF(K66="Lost","No","")))</f>
        <v>0</v>
      </c>
      <c r="Z66" s="39">
        <f>IF(C66="","",IF(K66="Won","OK - won",IF(OR(K66="Lost",K66="Not a fit"),"Closed",IF(AND(Q66&lt;&gt;"",Q66&lt;TodayDate),"Overdue - action was due "&amp;TEXT(Q66,"d mmm"),IF(AND(Q66&lt;&gt;"",Q66=TodayDate),"Today - "&amp;P66,IF(AND(M66&lt;&gt;"",V66&lt;&gt;"",V66&gt;=QuoteFollowupDays),"Chase - quote sent, no answer",IF(AND(M66="",U66&lt;&gt;"",U66&gt;=2),"Action - no quote sent yet","OK")))))))</f>
        <v>0</v>
      </c>
    </row>
    <row r="67" spans="1:26">
      <c r="A67" s="43">
        <f>IF(C67="","",LeadPrefix&amp;TEXT(ROW()-4,"0000"))</f>
        <v>0</v>
      </c>
      <c r="U67" s="31">
        <f>IF(OR(C67="",B67=""),"",IF(OR(K67="Won",K67="Lost",K67="Not a fit"),"",TodayDate-B67))</f>
        <v>0</v>
      </c>
      <c r="V67" s="31">
        <f>IF(C67="","",TodayDate-MAX(IF(B67="",0,B67),IF(N67="",0,N67),IF(Q67="",0,IF(Q67&gt;TodayDate,0,Q67)),IF(M67="",0,IFERROR(INDEX(Quotes!$L$5:$L$204,MATCH(M67,Quotes!$A$5:$A$204,0)),0))))</f>
        <v>0</v>
      </c>
      <c r="W67" s="21">
        <f>IF(M67="","",IFERROR(INDEX(Quotes!$AB$5:$AB$204,MATCH(M67,Quotes!$A$5:$A$204,0)),""))</f>
        <v>0</v>
      </c>
      <c r="X67" s="39">
        <f>IF(M67="","",IFERROR(INDEX(Quotes!$K$5:$K$204,MATCH(M67,Quotes!$A$5:$A$204,0)),""))</f>
        <v>0</v>
      </c>
      <c r="Y67" s="50">
        <f>IF(C67="","",IF(K67="Won","Yes",IF(K67="Lost","No","")))</f>
        <v>0</v>
      </c>
      <c r="Z67" s="39">
        <f>IF(C67="","",IF(K67="Won","OK - won",IF(OR(K67="Lost",K67="Not a fit"),"Closed",IF(AND(Q67&lt;&gt;"",Q67&lt;TodayDate),"Overdue - action was due "&amp;TEXT(Q67,"d mmm"),IF(AND(Q67&lt;&gt;"",Q67=TodayDate),"Today - "&amp;P67,IF(AND(M67&lt;&gt;"",V67&lt;&gt;"",V67&gt;=QuoteFollowupDays),"Chase - quote sent, no answer",IF(AND(M67="",U67&lt;&gt;"",U67&gt;=2),"Action - no quote sent yet","OK")))))))</f>
        <v>0</v>
      </c>
    </row>
    <row r="68" spans="1:26">
      <c r="A68" s="43">
        <f>IF(C68="","",LeadPrefix&amp;TEXT(ROW()-4,"0000"))</f>
        <v>0</v>
      </c>
      <c r="U68" s="31">
        <f>IF(OR(C68="",B68=""),"",IF(OR(K68="Won",K68="Lost",K68="Not a fit"),"",TodayDate-B68))</f>
        <v>0</v>
      </c>
      <c r="V68" s="31">
        <f>IF(C68="","",TodayDate-MAX(IF(B68="",0,B68),IF(N68="",0,N68),IF(Q68="",0,IF(Q68&gt;TodayDate,0,Q68)),IF(M68="",0,IFERROR(INDEX(Quotes!$L$5:$L$204,MATCH(M68,Quotes!$A$5:$A$204,0)),0))))</f>
        <v>0</v>
      </c>
      <c r="W68" s="21">
        <f>IF(M68="","",IFERROR(INDEX(Quotes!$AB$5:$AB$204,MATCH(M68,Quotes!$A$5:$A$204,0)),""))</f>
        <v>0</v>
      </c>
      <c r="X68" s="39">
        <f>IF(M68="","",IFERROR(INDEX(Quotes!$K$5:$K$204,MATCH(M68,Quotes!$A$5:$A$204,0)),""))</f>
        <v>0</v>
      </c>
      <c r="Y68" s="50">
        <f>IF(C68="","",IF(K68="Won","Yes",IF(K68="Lost","No","")))</f>
        <v>0</v>
      </c>
      <c r="Z68" s="39">
        <f>IF(C68="","",IF(K68="Won","OK - won",IF(OR(K68="Lost",K68="Not a fit"),"Closed",IF(AND(Q68&lt;&gt;"",Q68&lt;TodayDate),"Overdue - action was due "&amp;TEXT(Q68,"d mmm"),IF(AND(Q68&lt;&gt;"",Q68=TodayDate),"Today - "&amp;P68,IF(AND(M68&lt;&gt;"",V68&lt;&gt;"",V68&gt;=QuoteFollowupDays),"Chase - quote sent, no answer",IF(AND(M68="",U68&lt;&gt;"",U68&gt;=2),"Action - no quote sent yet","OK")))))))</f>
        <v>0</v>
      </c>
    </row>
    <row r="69" spans="1:26">
      <c r="A69" s="43">
        <f>IF(C69="","",LeadPrefix&amp;TEXT(ROW()-4,"0000"))</f>
        <v>0</v>
      </c>
      <c r="U69" s="31">
        <f>IF(OR(C69="",B69=""),"",IF(OR(K69="Won",K69="Lost",K69="Not a fit"),"",TodayDate-B69))</f>
        <v>0</v>
      </c>
      <c r="V69" s="31">
        <f>IF(C69="","",TodayDate-MAX(IF(B69="",0,B69),IF(N69="",0,N69),IF(Q69="",0,IF(Q69&gt;TodayDate,0,Q69)),IF(M69="",0,IFERROR(INDEX(Quotes!$L$5:$L$204,MATCH(M69,Quotes!$A$5:$A$204,0)),0))))</f>
        <v>0</v>
      </c>
      <c r="W69" s="21">
        <f>IF(M69="","",IFERROR(INDEX(Quotes!$AB$5:$AB$204,MATCH(M69,Quotes!$A$5:$A$204,0)),""))</f>
        <v>0</v>
      </c>
      <c r="X69" s="39">
        <f>IF(M69="","",IFERROR(INDEX(Quotes!$K$5:$K$204,MATCH(M69,Quotes!$A$5:$A$204,0)),""))</f>
        <v>0</v>
      </c>
      <c r="Y69" s="50">
        <f>IF(C69="","",IF(K69="Won","Yes",IF(K69="Lost","No","")))</f>
        <v>0</v>
      </c>
      <c r="Z69" s="39">
        <f>IF(C69="","",IF(K69="Won","OK - won",IF(OR(K69="Lost",K69="Not a fit"),"Closed",IF(AND(Q69&lt;&gt;"",Q69&lt;TodayDate),"Overdue - action was due "&amp;TEXT(Q69,"d mmm"),IF(AND(Q69&lt;&gt;"",Q69=TodayDate),"Today - "&amp;P69,IF(AND(M69&lt;&gt;"",V69&lt;&gt;"",V69&gt;=QuoteFollowupDays),"Chase - quote sent, no answer",IF(AND(M69="",U69&lt;&gt;"",U69&gt;=2),"Action - no quote sent yet","OK")))))))</f>
        <v>0</v>
      </c>
    </row>
    <row r="70" spans="1:26">
      <c r="A70" s="43">
        <f>IF(C70="","",LeadPrefix&amp;TEXT(ROW()-4,"0000"))</f>
        <v>0</v>
      </c>
      <c r="U70" s="31">
        <f>IF(OR(C70="",B70=""),"",IF(OR(K70="Won",K70="Lost",K70="Not a fit"),"",TodayDate-B70))</f>
        <v>0</v>
      </c>
      <c r="V70" s="31">
        <f>IF(C70="","",TodayDate-MAX(IF(B70="",0,B70),IF(N70="",0,N70),IF(Q70="",0,IF(Q70&gt;TodayDate,0,Q70)),IF(M70="",0,IFERROR(INDEX(Quotes!$L$5:$L$204,MATCH(M70,Quotes!$A$5:$A$204,0)),0))))</f>
        <v>0</v>
      </c>
      <c r="W70" s="21">
        <f>IF(M70="","",IFERROR(INDEX(Quotes!$AB$5:$AB$204,MATCH(M70,Quotes!$A$5:$A$204,0)),""))</f>
        <v>0</v>
      </c>
      <c r="X70" s="39">
        <f>IF(M70="","",IFERROR(INDEX(Quotes!$K$5:$K$204,MATCH(M70,Quotes!$A$5:$A$204,0)),""))</f>
        <v>0</v>
      </c>
      <c r="Y70" s="50">
        <f>IF(C70="","",IF(K70="Won","Yes",IF(K70="Lost","No","")))</f>
        <v>0</v>
      </c>
      <c r="Z70" s="39">
        <f>IF(C70="","",IF(K70="Won","OK - won",IF(OR(K70="Lost",K70="Not a fit"),"Closed",IF(AND(Q70&lt;&gt;"",Q70&lt;TodayDate),"Overdue - action was due "&amp;TEXT(Q70,"d mmm"),IF(AND(Q70&lt;&gt;"",Q70=TodayDate),"Today - "&amp;P70,IF(AND(M70&lt;&gt;"",V70&lt;&gt;"",V70&gt;=QuoteFollowupDays),"Chase - quote sent, no answer",IF(AND(M70="",U70&lt;&gt;"",U70&gt;=2),"Action - no quote sent yet","OK")))))))</f>
        <v>0</v>
      </c>
    </row>
    <row r="71" spans="1:26">
      <c r="A71" s="43">
        <f>IF(C71="","",LeadPrefix&amp;TEXT(ROW()-4,"0000"))</f>
        <v>0</v>
      </c>
      <c r="U71" s="31">
        <f>IF(OR(C71="",B71=""),"",IF(OR(K71="Won",K71="Lost",K71="Not a fit"),"",TodayDate-B71))</f>
        <v>0</v>
      </c>
      <c r="V71" s="31">
        <f>IF(C71="","",TodayDate-MAX(IF(B71="",0,B71),IF(N71="",0,N71),IF(Q71="",0,IF(Q71&gt;TodayDate,0,Q71)),IF(M71="",0,IFERROR(INDEX(Quotes!$L$5:$L$204,MATCH(M71,Quotes!$A$5:$A$204,0)),0))))</f>
        <v>0</v>
      </c>
      <c r="W71" s="21">
        <f>IF(M71="","",IFERROR(INDEX(Quotes!$AB$5:$AB$204,MATCH(M71,Quotes!$A$5:$A$204,0)),""))</f>
        <v>0</v>
      </c>
      <c r="X71" s="39">
        <f>IF(M71="","",IFERROR(INDEX(Quotes!$K$5:$K$204,MATCH(M71,Quotes!$A$5:$A$204,0)),""))</f>
        <v>0</v>
      </c>
      <c r="Y71" s="50">
        <f>IF(C71="","",IF(K71="Won","Yes",IF(K71="Lost","No","")))</f>
        <v>0</v>
      </c>
      <c r="Z71" s="39">
        <f>IF(C71="","",IF(K71="Won","OK - won",IF(OR(K71="Lost",K71="Not a fit"),"Closed",IF(AND(Q71&lt;&gt;"",Q71&lt;TodayDate),"Overdue - action was due "&amp;TEXT(Q71,"d mmm"),IF(AND(Q71&lt;&gt;"",Q71=TodayDate),"Today - "&amp;P71,IF(AND(M71&lt;&gt;"",V71&lt;&gt;"",V71&gt;=QuoteFollowupDays),"Chase - quote sent, no answer",IF(AND(M71="",U71&lt;&gt;"",U71&gt;=2),"Action - no quote sent yet","OK")))))))</f>
        <v>0</v>
      </c>
    </row>
    <row r="72" spans="1:26">
      <c r="A72" s="43">
        <f>IF(C72="","",LeadPrefix&amp;TEXT(ROW()-4,"0000"))</f>
        <v>0</v>
      </c>
      <c r="U72" s="31">
        <f>IF(OR(C72="",B72=""),"",IF(OR(K72="Won",K72="Lost",K72="Not a fit"),"",TodayDate-B72))</f>
        <v>0</v>
      </c>
      <c r="V72" s="31">
        <f>IF(C72="","",TodayDate-MAX(IF(B72="",0,B72),IF(N72="",0,N72),IF(Q72="",0,IF(Q72&gt;TodayDate,0,Q72)),IF(M72="",0,IFERROR(INDEX(Quotes!$L$5:$L$204,MATCH(M72,Quotes!$A$5:$A$204,0)),0))))</f>
        <v>0</v>
      </c>
      <c r="W72" s="21">
        <f>IF(M72="","",IFERROR(INDEX(Quotes!$AB$5:$AB$204,MATCH(M72,Quotes!$A$5:$A$204,0)),""))</f>
        <v>0</v>
      </c>
      <c r="X72" s="39">
        <f>IF(M72="","",IFERROR(INDEX(Quotes!$K$5:$K$204,MATCH(M72,Quotes!$A$5:$A$204,0)),""))</f>
        <v>0</v>
      </c>
      <c r="Y72" s="50">
        <f>IF(C72="","",IF(K72="Won","Yes",IF(K72="Lost","No","")))</f>
        <v>0</v>
      </c>
      <c r="Z72" s="39">
        <f>IF(C72="","",IF(K72="Won","OK - won",IF(OR(K72="Lost",K72="Not a fit"),"Closed",IF(AND(Q72&lt;&gt;"",Q72&lt;TodayDate),"Overdue - action was due "&amp;TEXT(Q72,"d mmm"),IF(AND(Q72&lt;&gt;"",Q72=TodayDate),"Today - "&amp;P72,IF(AND(M72&lt;&gt;"",V72&lt;&gt;"",V72&gt;=QuoteFollowupDays),"Chase - quote sent, no answer",IF(AND(M72="",U72&lt;&gt;"",U72&gt;=2),"Action - no quote sent yet","OK")))))))</f>
        <v>0</v>
      </c>
    </row>
    <row r="73" spans="1:26">
      <c r="A73" s="43">
        <f>IF(C73="","",LeadPrefix&amp;TEXT(ROW()-4,"0000"))</f>
        <v>0</v>
      </c>
      <c r="U73" s="31">
        <f>IF(OR(C73="",B73=""),"",IF(OR(K73="Won",K73="Lost",K73="Not a fit"),"",TodayDate-B73))</f>
        <v>0</v>
      </c>
      <c r="V73" s="31">
        <f>IF(C73="","",TodayDate-MAX(IF(B73="",0,B73),IF(N73="",0,N73),IF(Q73="",0,IF(Q73&gt;TodayDate,0,Q73)),IF(M73="",0,IFERROR(INDEX(Quotes!$L$5:$L$204,MATCH(M73,Quotes!$A$5:$A$204,0)),0))))</f>
        <v>0</v>
      </c>
      <c r="W73" s="21">
        <f>IF(M73="","",IFERROR(INDEX(Quotes!$AB$5:$AB$204,MATCH(M73,Quotes!$A$5:$A$204,0)),""))</f>
        <v>0</v>
      </c>
      <c r="X73" s="39">
        <f>IF(M73="","",IFERROR(INDEX(Quotes!$K$5:$K$204,MATCH(M73,Quotes!$A$5:$A$204,0)),""))</f>
        <v>0</v>
      </c>
      <c r="Y73" s="50">
        <f>IF(C73="","",IF(K73="Won","Yes",IF(K73="Lost","No","")))</f>
        <v>0</v>
      </c>
      <c r="Z73" s="39">
        <f>IF(C73="","",IF(K73="Won","OK - won",IF(OR(K73="Lost",K73="Not a fit"),"Closed",IF(AND(Q73&lt;&gt;"",Q73&lt;TodayDate),"Overdue - action was due "&amp;TEXT(Q73,"d mmm"),IF(AND(Q73&lt;&gt;"",Q73=TodayDate),"Today - "&amp;P73,IF(AND(M73&lt;&gt;"",V73&lt;&gt;"",V73&gt;=QuoteFollowupDays),"Chase - quote sent, no answer",IF(AND(M73="",U73&lt;&gt;"",U73&gt;=2),"Action - no quote sent yet","OK")))))))</f>
        <v>0</v>
      </c>
    </row>
    <row r="74" spans="1:26">
      <c r="A74" s="43">
        <f>IF(C74="","",LeadPrefix&amp;TEXT(ROW()-4,"0000"))</f>
        <v>0</v>
      </c>
      <c r="U74" s="31">
        <f>IF(OR(C74="",B74=""),"",IF(OR(K74="Won",K74="Lost",K74="Not a fit"),"",TodayDate-B74))</f>
        <v>0</v>
      </c>
      <c r="V74" s="31">
        <f>IF(C74="","",TodayDate-MAX(IF(B74="",0,B74),IF(N74="",0,N74),IF(Q74="",0,IF(Q74&gt;TodayDate,0,Q74)),IF(M74="",0,IFERROR(INDEX(Quotes!$L$5:$L$204,MATCH(M74,Quotes!$A$5:$A$204,0)),0))))</f>
        <v>0</v>
      </c>
      <c r="W74" s="21">
        <f>IF(M74="","",IFERROR(INDEX(Quotes!$AB$5:$AB$204,MATCH(M74,Quotes!$A$5:$A$204,0)),""))</f>
        <v>0</v>
      </c>
      <c r="X74" s="39">
        <f>IF(M74="","",IFERROR(INDEX(Quotes!$K$5:$K$204,MATCH(M74,Quotes!$A$5:$A$204,0)),""))</f>
        <v>0</v>
      </c>
      <c r="Y74" s="50">
        <f>IF(C74="","",IF(K74="Won","Yes",IF(K74="Lost","No","")))</f>
        <v>0</v>
      </c>
      <c r="Z74" s="39">
        <f>IF(C74="","",IF(K74="Won","OK - won",IF(OR(K74="Lost",K74="Not a fit"),"Closed",IF(AND(Q74&lt;&gt;"",Q74&lt;TodayDate),"Overdue - action was due "&amp;TEXT(Q74,"d mmm"),IF(AND(Q74&lt;&gt;"",Q74=TodayDate),"Today - "&amp;P74,IF(AND(M74&lt;&gt;"",V74&lt;&gt;"",V74&gt;=QuoteFollowupDays),"Chase - quote sent, no answer",IF(AND(M74="",U74&lt;&gt;"",U74&gt;=2),"Action - no quote sent yet","OK")))))))</f>
        <v>0</v>
      </c>
    </row>
    <row r="75" spans="1:26">
      <c r="A75" s="43">
        <f>IF(C75="","",LeadPrefix&amp;TEXT(ROW()-4,"0000"))</f>
        <v>0</v>
      </c>
      <c r="U75" s="31">
        <f>IF(OR(C75="",B75=""),"",IF(OR(K75="Won",K75="Lost",K75="Not a fit"),"",TodayDate-B75))</f>
        <v>0</v>
      </c>
      <c r="V75" s="31">
        <f>IF(C75="","",TodayDate-MAX(IF(B75="",0,B75),IF(N75="",0,N75),IF(Q75="",0,IF(Q75&gt;TodayDate,0,Q75)),IF(M75="",0,IFERROR(INDEX(Quotes!$L$5:$L$204,MATCH(M75,Quotes!$A$5:$A$204,0)),0))))</f>
        <v>0</v>
      </c>
      <c r="W75" s="21">
        <f>IF(M75="","",IFERROR(INDEX(Quotes!$AB$5:$AB$204,MATCH(M75,Quotes!$A$5:$A$204,0)),""))</f>
        <v>0</v>
      </c>
      <c r="X75" s="39">
        <f>IF(M75="","",IFERROR(INDEX(Quotes!$K$5:$K$204,MATCH(M75,Quotes!$A$5:$A$204,0)),""))</f>
        <v>0</v>
      </c>
      <c r="Y75" s="50">
        <f>IF(C75="","",IF(K75="Won","Yes",IF(K75="Lost","No","")))</f>
        <v>0</v>
      </c>
      <c r="Z75" s="39">
        <f>IF(C75="","",IF(K75="Won","OK - won",IF(OR(K75="Lost",K75="Not a fit"),"Closed",IF(AND(Q75&lt;&gt;"",Q75&lt;TodayDate),"Overdue - action was due "&amp;TEXT(Q75,"d mmm"),IF(AND(Q75&lt;&gt;"",Q75=TodayDate),"Today - "&amp;P75,IF(AND(M75&lt;&gt;"",V75&lt;&gt;"",V75&gt;=QuoteFollowupDays),"Chase - quote sent, no answer",IF(AND(M75="",U75&lt;&gt;"",U75&gt;=2),"Action - no quote sent yet","OK")))))))</f>
        <v>0</v>
      </c>
    </row>
    <row r="76" spans="1:26">
      <c r="A76" s="43">
        <f>IF(C76="","",LeadPrefix&amp;TEXT(ROW()-4,"0000"))</f>
        <v>0</v>
      </c>
      <c r="U76" s="31">
        <f>IF(OR(C76="",B76=""),"",IF(OR(K76="Won",K76="Lost",K76="Not a fit"),"",TodayDate-B76))</f>
        <v>0</v>
      </c>
      <c r="V76" s="31">
        <f>IF(C76="","",TodayDate-MAX(IF(B76="",0,B76),IF(N76="",0,N76),IF(Q76="",0,IF(Q76&gt;TodayDate,0,Q76)),IF(M76="",0,IFERROR(INDEX(Quotes!$L$5:$L$204,MATCH(M76,Quotes!$A$5:$A$204,0)),0))))</f>
        <v>0</v>
      </c>
      <c r="W76" s="21">
        <f>IF(M76="","",IFERROR(INDEX(Quotes!$AB$5:$AB$204,MATCH(M76,Quotes!$A$5:$A$204,0)),""))</f>
        <v>0</v>
      </c>
      <c r="X76" s="39">
        <f>IF(M76="","",IFERROR(INDEX(Quotes!$K$5:$K$204,MATCH(M76,Quotes!$A$5:$A$204,0)),""))</f>
        <v>0</v>
      </c>
      <c r="Y76" s="50">
        <f>IF(C76="","",IF(K76="Won","Yes",IF(K76="Lost","No","")))</f>
        <v>0</v>
      </c>
      <c r="Z76" s="39">
        <f>IF(C76="","",IF(K76="Won","OK - won",IF(OR(K76="Lost",K76="Not a fit"),"Closed",IF(AND(Q76&lt;&gt;"",Q76&lt;TodayDate),"Overdue - action was due "&amp;TEXT(Q76,"d mmm"),IF(AND(Q76&lt;&gt;"",Q76=TodayDate),"Today - "&amp;P76,IF(AND(M76&lt;&gt;"",V76&lt;&gt;"",V76&gt;=QuoteFollowupDays),"Chase - quote sent, no answer",IF(AND(M76="",U76&lt;&gt;"",U76&gt;=2),"Action - no quote sent yet","OK")))))))</f>
        <v>0</v>
      </c>
    </row>
    <row r="77" spans="1:26">
      <c r="A77" s="43">
        <f>IF(C77="","",LeadPrefix&amp;TEXT(ROW()-4,"0000"))</f>
        <v>0</v>
      </c>
      <c r="U77" s="31">
        <f>IF(OR(C77="",B77=""),"",IF(OR(K77="Won",K77="Lost",K77="Not a fit"),"",TodayDate-B77))</f>
        <v>0</v>
      </c>
      <c r="V77" s="31">
        <f>IF(C77="","",TodayDate-MAX(IF(B77="",0,B77),IF(N77="",0,N77),IF(Q77="",0,IF(Q77&gt;TodayDate,0,Q77)),IF(M77="",0,IFERROR(INDEX(Quotes!$L$5:$L$204,MATCH(M77,Quotes!$A$5:$A$204,0)),0))))</f>
        <v>0</v>
      </c>
      <c r="W77" s="21">
        <f>IF(M77="","",IFERROR(INDEX(Quotes!$AB$5:$AB$204,MATCH(M77,Quotes!$A$5:$A$204,0)),""))</f>
        <v>0</v>
      </c>
      <c r="X77" s="39">
        <f>IF(M77="","",IFERROR(INDEX(Quotes!$K$5:$K$204,MATCH(M77,Quotes!$A$5:$A$204,0)),""))</f>
        <v>0</v>
      </c>
      <c r="Y77" s="50">
        <f>IF(C77="","",IF(K77="Won","Yes",IF(K77="Lost","No","")))</f>
        <v>0</v>
      </c>
      <c r="Z77" s="39">
        <f>IF(C77="","",IF(K77="Won","OK - won",IF(OR(K77="Lost",K77="Not a fit"),"Closed",IF(AND(Q77&lt;&gt;"",Q77&lt;TodayDate),"Overdue - action was due "&amp;TEXT(Q77,"d mmm"),IF(AND(Q77&lt;&gt;"",Q77=TodayDate),"Today - "&amp;P77,IF(AND(M77&lt;&gt;"",V77&lt;&gt;"",V77&gt;=QuoteFollowupDays),"Chase - quote sent, no answer",IF(AND(M77="",U77&lt;&gt;"",U77&gt;=2),"Action - no quote sent yet","OK")))))))</f>
        <v>0</v>
      </c>
    </row>
    <row r="78" spans="1:26">
      <c r="A78" s="43">
        <f>IF(C78="","",LeadPrefix&amp;TEXT(ROW()-4,"0000"))</f>
        <v>0</v>
      </c>
      <c r="U78" s="31">
        <f>IF(OR(C78="",B78=""),"",IF(OR(K78="Won",K78="Lost",K78="Not a fit"),"",TodayDate-B78))</f>
        <v>0</v>
      </c>
      <c r="V78" s="31">
        <f>IF(C78="","",TodayDate-MAX(IF(B78="",0,B78),IF(N78="",0,N78),IF(Q78="",0,IF(Q78&gt;TodayDate,0,Q78)),IF(M78="",0,IFERROR(INDEX(Quotes!$L$5:$L$204,MATCH(M78,Quotes!$A$5:$A$204,0)),0))))</f>
        <v>0</v>
      </c>
      <c r="W78" s="21">
        <f>IF(M78="","",IFERROR(INDEX(Quotes!$AB$5:$AB$204,MATCH(M78,Quotes!$A$5:$A$204,0)),""))</f>
        <v>0</v>
      </c>
      <c r="X78" s="39">
        <f>IF(M78="","",IFERROR(INDEX(Quotes!$K$5:$K$204,MATCH(M78,Quotes!$A$5:$A$204,0)),""))</f>
        <v>0</v>
      </c>
      <c r="Y78" s="50">
        <f>IF(C78="","",IF(K78="Won","Yes",IF(K78="Lost","No","")))</f>
        <v>0</v>
      </c>
      <c r="Z78" s="39">
        <f>IF(C78="","",IF(K78="Won","OK - won",IF(OR(K78="Lost",K78="Not a fit"),"Closed",IF(AND(Q78&lt;&gt;"",Q78&lt;TodayDate),"Overdue - action was due "&amp;TEXT(Q78,"d mmm"),IF(AND(Q78&lt;&gt;"",Q78=TodayDate),"Today - "&amp;P78,IF(AND(M78&lt;&gt;"",V78&lt;&gt;"",V78&gt;=QuoteFollowupDays),"Chase - quote sent, no answer",IF(AND(M78="",U78&lt;&gt;"",U78&gt;=2),"Action - no quote sent yet","OK")))))))</f>
        <v>0</v>
      </c>
    </row>
    <row r="79" spans="1:26">
      <c r="A79" s="43">
        <f>IF(C79="","",LeadPrefix&amp;TEXT(ROW()-4,"0000"))</f>
        <v>0</v>
      </c>
      <c r="U79" s="31">
        <f>IF(OR(C79="",B79=""),"",IF(OR(K79="Won",K79="Lost",K79="Not a fit"),"",TodayDate-B79))</f>
        <v>0</v>
      </c>
      <c r="V79" s="31">
        <f>IF(C79="","",TodayDate-MAX(IF(B79="",0,B79),IF(N79="",0,N79),IF(Q79="",0,IF(Q79&gt;TodayDate,0,Q79)),IF(M79="",0,IFERROR(INDEX(Quotes!$L$5:$L$204,MATCH(M79,Quotes!$A$5:$A$204,0)),0))))</f>
        <v>0</v>
      </c>
      <c r="W79" s="21">
        <f>IF(M79="","",IFERROR(INDEX(Quotes!$AB$5:$AB$204,MATCH(M79,Quotes!$A$5:$A$204,0)),""))</f>
        <v>0</v>
      </c>
      <c r="X79" s="39">
        <f>IF(M79="","",IFERROR(INDEX(Quotes!$K$5:$K$204,MATCH(M79,Quotes!$A$5:$A$204,0)),""))</f>
        <v>0</v>
      </c>
      <c r="Y79" s="50">
        <f>IF(C79="","",IF(K79="Won","Yes",IF(K79="Lost","No","")))</f>
        <v>0</v>
      </c>
      <c r="Z79" s="39">
        <f>IF(C79="","",IF(K79="Won","OK - won",IF(OR(K79="Lost",K79="Not a fit"),"Closed",IF(AND(Q79&lt;&gt;"",Q79&lt;TodayDate),"Overdue - action was due "&amp;TEXT(Q79,"d mmm"),IF(AND(Q79&lt;&gt;"",Q79=TodayDate),"Today - "&amp;P79,IF(AND(M79&lt;&gt;"",V79&lt;&gt;"",V79&gt;=QuoteFollowupDays),"Chase - quote sent, no answer",IF(AND(M79="",U79&lt;&gt;"",U79&gt;=2),"Action - no quote sent yet","OK")))))))</f>
        <v>0</v>
      </c>
    </row>
    <row r="80" spans="1:26">
      <c r="A80" s="43">
        <f>IF(C80="","",LeadPrefix&amp;TEXT(ROW()-4,"0000"))</f>
        <v>0</v>
      </c>
      <c r="U80" s="31">
        <f>IF(OR(C80="",B80=""),"",IF(OR(K80="Won",K80="Lost",K80="Not a fit"),"",TodayDate-B80))</f>
        <v>0</v>
      </c>
      <c r="V80" s="31">
        <f>IF(C80="","",TodayDate-MAX(IF(B80="",0,B80),IF(N80="",0,N80),IF(Q80="",0,IF(Q80&gt;TodayDate,0,Q80)),IF(M80="",0,IFERROR(INDEX(Quotes!$L$5:$L$204,MATCH(M80,Quotes!$A$5:$A$204,0)),0))))</f>
        <v>0</v>
      </c>
      <c r="W80" s="21">
        <f>IF(M80="","",IFERROR(INDEX(Quotes!$AB$5:$AB$204,MATCH(M80,Quotes!$A$5:$A$204,0)),""))</f>
        <v>0</v>
      </c>
      <c r="X80" s="39">
        <f>IF(M80="","",IFERROR(INDEX(Quotes!$K$5:$K$204,MATCH(M80,Quotes!$A$5:$A$204,0)),""))</f>
        <v>0</v>
      </c>
      <c r="Y80" s="50">
        <f>IF(C80="","",IF(K80="Won","Yes",IF(K80="Lost","No","")))</f>
        <v>0</v>
      </c>
      <c r="Z80" s="39">
        <f>IF(C80="","",IF(K80="Won","OK - won",IF(OR(K80="Lost",K80="Not a fit"),"Closed",IF(AND(Q80&lt;&gt;"",Q80&lt;TodayDate),"Overdue - action was due "&amp;TEXT(Q80,"d mmm"),IF(AND(Q80&lt;&gt;"",Q80=TodayDate),"Today - "&amp;P80,IF(AND(M80&lt;&gt;"",V80&lt;&gt;"",V80&gt;=QuoteFollowupDays),"Chase - quote sent, no answer",IF(AND(M80="",U80&lt;&gt;"",U80&gt;=2),"Action - no quote sent yet","OK")))))))</f>
        <v>0</v>
      </c>
    </row>
    <row r="81" spans="1:26">
      <c r="A81" s="43">
        <f>IF(C81="","",LeadPrefix&amp;TEXT(ROW()-4,"0000"))</f>
        <v>0</v>
      </c>
      <c r="U81" s="31">
        <f>IF(OR(C81="",B81=""),"",IF(OR(K81="Won",K81="Lost",K81="Not a fit"),"",TodayDate-B81))</f>
        <v>0</v>
      </c>
      <c r="V81" s="31">
        <f>IF(C81="","",TodayDate-MAX(IF(B81="",0,B81),IF(N81="",0,N81),IF(Q81="",0,IF(Q81&gt;TodayDate,0,Q81)),IF(M81="",0,IFERROR(INDEX(Quotes!$L$5:$L$204,MATCH(M81,Quotes!$A$5:$A$204,0)),0))))</f>
        <v>0</v>
      </c>
      <c r="W81" s="21">
        <f>IF(M81="","",IFERROR(INDEX(Quotes!$AB$5:$AB$204,MATCH(M81,Quotes!$A$5:$A$204,0)),""))</f>
        <v>0</v>
      </c>
      <c r="X81" s="39">
        <f>IF(M81="","",IFERROR(INDEX(Quotes!$K$5:$K$204,MATCH(M81,Quotes!$A$5:$A$204,0)),""))</f>
        <v>0</v>
      </c>
      <c r="Y81" s="50">
        <f>IF(C81="","",IF(K81="Won","Yes",IF(K81="Lost","No","")))</f>
        <v>0</v>
      </c>
      <c r="Z81" s="39">
        <f>IF(C81="","",IF(K81="Won","OK - won",IF(OR(K81="Lost",K81="Not a fit"),"Closed",IF(AND(Q81&lt;&gt;"",Q81&lt;TodayDate),"Overdue - action was due "&amp;TEXT(Q81,"d mmm"),IF(AND(Q81&lt;&gt;"",Q81=TodayDate),"Today - "&amp;P81,IF(AND(M81&lt;&gt;"",V81&lt;&gt;"",V81&gt;=QuoteFollowupDays),"Chase - quote sent, no answer",IF(AND(M81="",U81&lt;&gt;"",U81&gt;=2),"Action - no quote sent yet","OK")))))))</f>
        <v>0</v>
      </c>
    </row>
    <row r="82" spans="1:26">
      <c r="A82" s="43">
        <f>IF(C82="","",LeadPrefix&amp;TEXT(ROW()-4,"0000"))</f>
        <v>0</v>
      </c>
      <c r="U82" s="31">
        <f>IF(OR(C82="",B82=""),"",IF(OR(K82="Won",K82="Lost",K82="Not a fit"),"",TodayDate-B82))</f>
        <v>0</v>
      </c>
      <c r="V82" s="31">
        <f>IF(C82="","",TodayDate-MAX(IF(B82="",0,B82),IF(N82="",0,N82),IF(Q82="",0,IF(Q82&gt;TodayDate,0,Q82)),IF(M82="",0,IFERROR(INDEX(Quotes!$L$5:$L$204,MATCH(M82,Quotes!$A$5:$A$204,0)),0))))</f>
        <v>0</v>
      </c>
      <c r="W82" s="21">
        <f>IF(M82="","",IFERROR(INDEX(Quotes!$AB$5:$AB$204,MATCH(M82,Quotes!$A$5:$A$204,0)),""))</f>
        <v>0</v>
      </c>
      <c r="X82" s="39">
        <f>IF(M82="","",IFERROR(INDEX(Quotes!$K$5:$K$204,MATCH(M82,Quotes!$A$5:$A$204,0)),""))</f>
        <v>0</v>
      </c>
      <c r="Y82" s="50">
        <f>IF(C82="","",IF(K82="Won","Yes",IF(K82="Lost","No","")))</f>
        <v>0</v>
      </c>
      <c r="Z82" s="39">
        <f>IF(C82="","",IF(K82="Won","OK - won",IF(OR(K82="Lost",K82="Not a fit"),"Closed",IF(AND(Q82&lt;&gt;"",Q82&lt;TodayDate),"Overdue - action was due "&amp;TEXT(Q82,"d mmm"),IF(AND(Q82&lt;&gt;"",Q82=TodayDate),"Today - "&amp;P82,IF(AND(M82&lt;&gt;"",V82&lt;&gt;"",V82&gt;=QuoteFollowupDays),"Chase - quote sent, no answer",IF(AND(M82="",U82&lt;&gt;"",U82&gt;=2),"Action - no quote sent yet","OK")))))))</f>
        <v>0</v>
      </c>
    </row>
    <row r="83" spans="1:26">
      <c r="A83" s="43">
        <f>IF(C83="","",LeadPrefix&amp;TEXT(ROW()-4,"0000"))</f>
        <v>0</v>
      </c>
      <c r="U83" s="31">
        <f>IF(OR(C83="",B83=""),"",IF(OR(K83="Won",K83="Lost",K83="Not a fit"),"",TodayDate-B83))</f>
        <v>0</v>
      </c>
      <c r="V83" s="31">
        <f>IF(C83="","",TodayDate-MAX(IF(B83="",0,B83),IF(N83="",0,N83),IF(Q83="",0,IF(Q83&gt;TodayDate,0,Q83)),IF(M83="",0,IFERROR(INDEX(Quotes!$L$5:$L$204,MATCH(M83,Quotes!$A$5:$A$204,0)),0))))</f>
        <v>0</v>
      </c>
      <c r="W83" s="21">
        <f>IF(M83="","",IFERROR(INDEX(Quotes!$AB$5:$AB$204,MATCH(M83,Quotes!$A$5:$A$204,0)),""))</f>
        <v>0</v>
      </c>
      <c r="X83" s="39">
        <f>IF(M83="","",IFERROR(INDEX(Quotes!$K$5:$K$204,MATCH(M83,Quotes!$A$5:$A$204,0)),""))</f>
        <v>0</v>
      </c>
      <c r="Y83" s="50">
        <f>IF(C83="","",IF(K83="Won","Yes",IF(K83="Lost","No","")))</f>
        <v>0</v>
      </c>
      <c r="Z83" s="39">
        <f>IF(C83="","",IF(K83="Won","OK - won",IF(OR(K83="Lost",K83="Not a fit"),"Closed",IF(AND(Q83&lt;&gt;"",Q83&lt;TodayDate),"Overdue - action was due "&amp;TEXT(Q83,"d mmm"),IF(AND(Q83&lt;&gt;"",Q83=TodayDate),"Today - "&amp;P83,IF(AND(M83&lt;&gt;"",V83&lt;&gt;"",V83&gt;=QuoteFollowupDays),"Chase - quote sent, no answer",IF(AND(M83="",U83&lt;&gt;"",U83&gt;=2),"Action - no quote sent yet","OK")))))))</f>
        <v>0</v>
      </c>
    </row>
    <row r="84" spans="1:26">
      <c r="A84" s="43">
        <f>IF(C84="","",LeadPrefix&amp;TEXT(ROW()-4,"0000"))</f>
        <v>0</v>
      </c>
      <c r="U84" s="31">
        <f>IF(OR(C84="",B84=""),"",IF(OR(K84="Won",K84="Lost",K84="Not a fit"),"",TodayDate-B84))</f>
        <v>0</v>
      </c>
      <c r="V84" s="31">
        <f>IF(C84="","",TodayDate-MAX(IF(B84="",0,B84),IF(N84="",0,N84),IF(Q84="",0,IF(Q84&gt;TodayDate,0,Q84)),IF(M84="",0,IFERROR(INDEX(Quotes!$L$5:$L$204,MATCH(M84,Quotes!$A$5:$A$204,0)),0))))</f>
        <v>0</v>
      </c>
      <c r="W84" s="21">
        <f>IF(M84="","",IFERROR(INDEX(Quotes!$AB$5:$AB$204,MATCH(M84,Quotes!$A$5:$A$204,0)),""))</f>
        <v>0</v>
      </c>
      <c r="X84" s="39">
        <f>IF(M84="","",IFERROR(INDEX(Quotes!$K$5:$K$204,MATCH(M84,Quotes!$A$5:$A$204,0)),""))</f>
        <v>0</v>
      </c>
      <c r="Y84" s="50">
        <f>IF(C84="","",IF(K84="Won","Yes",IF(K84="Lost","No","")))</f>
        <v>0</v>
      </c>
      <c r="Z84" s="39">
        <f>IF(C84="","",IF(K84="Won","OK - won",IF(OR(K84="Lost",K84="Not a fit"),"Closed",IF(AND(Q84&lt;&gt;"",Q84&lt;TodayDate),"Overdue - action was due "&amp;TEXT(Q84,"d mmm"),IF(AND(Q84&lt;&gt;"",Q84=TodayDate),"Today - "&amp;P84,IF(AND(M84&lt;&gt;"",V84&lt;&gt;"",V84&gt;=QuoteFollowupDays),"Chase - quote sent, no answer",IF(AND(M84="",U84&lt;&gt;"",U84&gt;=2),"Action - no quote sent yet","OK")))))))</f>
        <v>0</v>
      </c>
    </row>
    <row r="85" spans="1:26">
      <c r="A85" s="43">
        <f>IF(C85="","",LeadPrefix&amp;TEXT(ROW()-4,"0000"))</f>
        <v>0</v>
      </c>
      <c r="U85" s="31">
        <f>IF(OR(C85="",B85=""),"",IF(OR(K85="Won",K85="Lost",K85="Not a fit"),"",TodayDate-B85))</f>
        <v>0</v>
      </c>
      <c r="V85" s="31">
        <f>IF(C85="","",TodayDate-MAX(IF(B85="",0,B85),IF(N85="",0,N85),IF(Q85="",0,IF(Q85&gt;TodayDate,0,Q85)),IF(M85="",0,IFERROR(INDEX(Quotes!$L$5:$L$204,MATCH(M85,Quotes!$A$5:$A$204,0)),0))))</f>
        <v>0</v>
      </c>
      <c r="W85" s="21">
        <f>IF(M85="","",IFERROR(INDEX(Quotes!$AB$5:$AB$204,MATCH(M85,Quotes!$A$5:$A$204,0)),""))</f>
        <v>0</v>
      </c>
      <c r="X85" s="39">
        <f>IF(M85="","",IFERROR(INDEX(Quotes!$K$5:$K$204,MATCH(M85,Quotes!$A$5:$A$204,0)),""))</f>
        <v>0</v>
      </c>
      <c r="Y85" s="50">
        <f>IF(C85="","",IF(K85="Won","Yes",IF(K85="Lost","No","")))</f>
        <v>0</v>
      </c>
      <c r="Z85" s="39">
        <f>IF(C85="","",IF(K85="Won","OK - won",IF(OR(K85="Lost",K85="Not a fit"),"Closed",IF(AND(Q85&lt;&gt;"",Q85&lt;TodayDate),"Overdue - action was due "&amp;TEXT(Q85,"d mmm"),IF(AND(Q85&lt;&gt;"",Q85=TodayDate),"Today - "&amp;P85,IF(AND(M85&lt;&gt;"",V85&lt;&gt;"",V85&gt;=QuoteFollowupDays),"Chase - quote sent, no answer",IF(AND(M85="",U85&lt;&gt;"",U85&gt;=2),"Action - no quote sent yet","OK")))))))</f>
        <v>0</v>
      </c>
    </row>
    <row r="86" spans="1:26">
      <c r="A86" s="43">
        <f>IF(C86="","",LeadPrefix&amp;TEXT(ROW()-4,"0000"))</f>
        <v>0</v>
      </c>
      <c r="U86" s="31">
        <f>IF(OR(C86="",B86=""),"",IF(OR(K86="Won",K86="Lost",K86="Not a fit"),"",TodayDate-B86))</f>
        <v>0</v>
      </c>
      <c r="V86" s="31">
        <f>IF(C86="","",TodayDate-MAX(IF(B86="",0,B86),IF(N86="",0,N86),IF(Q86="",0,IF(Q86&gt;TodayDate,0,Q86)),IF(M86="",0,IFERROR(INDEX(Quotes!$L$5:$L$204,MATCH(M86,Quotes!$A$5:$A$204,0)),0))))</f>
        <v>0</v>
      </c>
      <c r="W86" s="21">
        <f>IF(M86="","",IFERROR(INDEX(Quotes!$AB$5:$AB$204,MATCH(M86,Quotes!$A$5:$A$204,0)),""))</f>
        <v>0</v>
      </c>
      <c r="X86" s="39">
        <f>IF(M86="","",IFERROR(INDEX(Quotes!$K$5:$K$204,MATCH(M86,Quotes!$A$5:$A$204,0)),""))</f>
        <v>0</v>
      </c>
      <c r="Y86" s="50">
        <f>IF(C86="","",IF(K86="Won","Yes",IF(K86="Lost","No","")))</f>
        <v>0</v>
      </c>
      <c r="Z86" s="39">
        <f>IF(C86="","",IF(K86="Won","OK - won",IF(OR(K86="Lost",K86="Not a fit"),"Closed",IF(AND(Q86&lt;&gt;"",Q86&lt;TodayDate),"Overdue - action was due "&amp;TEXT(Q86,"d mmm"),IF(AND(Q86&lt;&gt;"",Q86=TodayDate),"Today - "&amp;P86,IF(AND(M86&lt;&gt;"",V86&lt;&gt;"",V86&gt;=QuoteFollowupDays),"Chase - quote sent, no answer",IF(AND(M86="",U86&lt;&gt;"",U86&gt;=2),"Action - no quote sent yet","OK")))))))</f>
        <v>0</v>
      </c>
    </row>
    <row r="87" spans="1:26">
      <c r="A87" s="43">
        <f>IF(C87="","",LeadPrefix&amp;TEXT(ROW()-4,"0000"))</f>
        <v>0</v>
      </c>
      <c r="U87" s="31">
        <f>IF(OR(C87="",B87=""),"",IF(OR(K87="Won",K87="Lost",K87="Not a fit"),"",TodayDate-B87))</f>
        <v>0</v>
      </c>
      <c r="V87" s="31">
        <f>IF(C87="","",TodayDate-MAX(IF(B87="",0,B87),IF(N87="",0,N87),IF(Q87="",0,IF(Q87&gt;TodayDate,0,Q87)),IF(M87="",0,IFERROR(INDEX(Quotes!$L$5:$L$204,MATCH(M87,Quotes!$A$5:$A$204,0)),0))))</f>
        <v>0</v>
      </c>
      <c r="W87" s="21">
        <f>IF(M87="","",IFERROR(INDEX(Quotes!$AB$5:$AB$204,MATCH(M87,Quotes!$A$5:$A$204,0)),""))</f>
        <v>0</v>
      </c>
      <c r="X87" s="39">
        <f>IF(M87="","",IFERROR(INDEX(Quotes!$K$5:$K$204,MATCH(M87,Quotes!$A$5:$A$204,0)),""))</f>
        <v>0</v>
      </c>
      <c r="Y87" s="50">
        <f>IF(C87="","",IF(K87="Won","Yes",IF(K87="Lost","No","")))</f>
        <v>0</v>
      </c>
      <c r="Z87" s="39">
        <f>IF(C87="","",IF(K87="Won","OK - won",IF(OR(K87="Lost",K87="Not a fit"),"Closed",IF(AND(Q87&lt;&gt;"",Q87&lt;TodayDate),"Overdue - action was due "&amp;TEXT(Q87,"d mmm"),IF(AND(Q87&lt;&gt;"",Q87=TodayDate),"Today - "&amp;P87,IF(AND(M87&lt;&gt;"",V87&lt;&gt;"",V87&gt;=QuoteFollowupDays),"Chase - quote sent, no answer",IF(AND(M87="",U87&lt;&gt;"",U87&gt;=2),"Action - no quote sent yet","OK")))))))</f>
        <v>0</v>
      </c>
    </row>
    <row r="88" spans="1:26">
      <c r="A88" s="43">
        <f>IF(C88="","",LeadPrefix&amp;TEXT(ROW()-4,"0000"))</f>
        <v>0</v>
      </c>
      <c r="U88" s="31">
        <f>IF(OR(C88="",B88=""),"",IF(OR(K88="Won",K88="Lost",K88="Not a fit"),"",TodayDate-B88))</f>
        <v>0</v>
      </c>
      <c r="V88" s="31">
        <f>IF(C88="","",TodayDate-MAX(IF(B88="",0,B88),IF(N88="",0,N88),IF(Q88="",0,IF(Q88&gt;TodayDate,0,Q88)),IF(M88="",0,IFERROR(INDEX(Quotes!$L$5:$L$204,MATCH(M88,Quotes!$A$5:$A$204,0)),0))))</f>
        <v>0</v>
      </c>
      <c r="W88" s="21">
        <f>IF(M88="","",IFERROR(INDEX(Quotes!$AB$5:$AB$204,MATCH(M88,Quotes!$A$5:$A$204,0)),""))</f>
        <v>0</v>
      </c>
      <c r="X88" s="39">
        <f>IF(M88="","",IFERROR(INDEX(Quotes!$K$5:$K$204,MATCH(M88,Quotes!$A$5:$A$204,0)),""))</f>
        <v>0</v>
      </c>
      <c r="Y88" s="50">
        <f>IF(C88="","",IF(K88="Won","Yes",IF(K88="Lost","No","")))</f>
        <v>0</v>
      </c>
      <c r="Z88" s="39">
        <f>IF(C88="","",IF(K88="Won","OK - won",IF(OR(K88="Lost",K88="Not a fit"),"Closed",IF(AND(Q88&lt;&gt;"",Q88&lt;TodayDate),"Overdue - action was due "&amp;TEXT(Q88,"d mmm"),IF(AND(Q88&lt;&gt;"",Q88=TodayDate),"Today - "&amp;P88,IF(AND(M88&lt;&gt;"",V88&lt;&gt;"",V88&gt;=QuoteFollowupDays),"Chase - quote sent, no answer",IF(AND(M88="",U88&lt;&gt;"",U88&gt;=2),"Action - no quote sent yet","OK")))))))</f>
        <v>0</v>
      </c>
    </row>
    <row r="89" spans="1:26">
      <c r="A89" s="43">
        <f>IF(C89="","",LeadPrefix&amp;TEXT(ROW()-4,"0000"))</f>
        <v>0</v>
      </c>
      <c r="U89" s="31">
        <f>IF(OR(C89="",B89=""),"",IF(OR(K89="Won",K89="Lost",K89="Not a fit"),"",TodayDate-B89))</f>
        <v>0</v>
      </c>
      <c r="V89" s="31">
        <f>IF(C89="","",TodayDate-MAX(IF(B89="",0,B89),IF(N89="",0,N89),IF(Q89="",0,IF(Q89&gt;TodayDate,0,Q89)),IF(M89="",0,IFERROR(INDEX(Quotes!$L$5:$L$204,MATCH(M89,Quotes!$A$5:$A$204,0)),0))))</f>
        <v>0</v>
      </c>
      <c r="W89" s="21">
        <f>IF(M89="","",IFERROR(INDEX(Quotes!$AB$5:$AB$204,MATCH(M89,Quotes!$A$5:$A$204,0)),""))</f>
        <v>0</v>
      </c>
      <c r="X89" s="39">
        <f>IF(M89="","",IFERROR(INDEX(Quotes!$K$5:$K$204,MATCH(M89,Quotes!$A$5:$A$204,0)),""))</f>
        <v>0</v>
      </c>
      <c r="Y89" s="50">
        <f>IF(C89="","",IF(K89="Won","Yes",IF(K89="Lost","No","")))</f>
        <v>0</v>
      </c>
      <c r="Z89" s="39">
        <f>IF(C89="","",IF(K89="Won","OK - won",IF(OR(K89="Lost",K89="Not a fit"),"Closed",IF(AND(Q89&lt;&gt;"",Q89&lt;TodayDate),"Overdue - action was due "&amp;TEXT(Q89,"d mmm"),IF(AND(Q89&lt;&gt;"",Q89=TodayDate),"Today - "&amp;P89,IF(AND(M89&lt;&gt;"",V89&lt;&gt;"",V89&gt;=QuoteFollowupDays),"Chase - quote sent, no answer",IF(AND(M89="",U89&lt;&gt;"",U89&gt;=2),"Action - no quote sent yet","OK")))))))</f>
        <v>0</v>
      </c>
    </row>
    <row r="90" spans="1:26">
      <c r="A90" s="43">
        <f>IF(C90="","",LeadPrefix&amp;TEXT(ROW()-4,"0000"))</f>
        <v>0</v>
      </c>
      <c r="U90" s="31">
        <f>IF(OR(C90="",B90=""),"",IF(OR(K90="Won",K90="Lost",K90="Not a fit"),"",TodayDate-B90))</f>
        <v>0</v>
      </c>
      <c r="V90" s="31">
        <f>IF(C90="","",TodayDate-MAX(IF(B90="",0,B90),IF(N90="",0,N90),IF(Q90="",0,IF(Q90&gt;TodayDate,0,Q90)),IF(M90="",0,IFERROR(INDEX(Quotes!$L$5:$L$204,MATCH(M90,Quotes!$A$5:$A$204,0)),0))))</f>
        <v>0</v>
      </c>
      <c r="W90" s="21">
        <f>IF(M90="","",IFERROR(INDEX(Quotes!$AB$5:$AB$204,MATCH(M90,Quotes!$A$5:$A$204,0)),""))</f>
        <v>0</v>
      </c>
      <c r="X90" s="39">
        <f>IF(M90="","",IFERROR(INDEX(Quotes!$K$5:$K$204,MATCH(M90,Quotes!$A$5:$A$204,0)),""))</f>
        <v>0</v>
      </c>
      <c r="Y90" s="50">
        <f>IF(C90="","",IF(K90="Won","Yes",IF(K90="Lost","No","")))</f>
        <v>0</v>
      </c>
      <c r="Z90" s="39">
        <f>IF(C90="","",IF(K90="Won","OK - won",IF(OR(K90="Lost",K90="Not a fit"),"Closed",IF(AND(Q90&lt;&gt;"",Q90&lt;TodayDate),"Overdue - action was due "&amp;TEXT(Q90,"d mmm"),IF(AND(Q90&lt;&gt;"",Q90=TodayDate),"Today - "&amp;P90,IF(AND(M90&lt;&gt;"",V90&lt;&gt;"",V90&gt;=QuoteFollowupDays),"Chase - quote sent, no answer",IF(AND(M90="",U90&lt;&gt;"",U90&gt;=2),"Action - no quote sent yet","OK")))))))</f>
        <v>0</v>
      </c>
    </row>
    <row r="91" spans="1:26">
      <c r="A91" s="43">
        <f>IF(C91="","",LeadPrefix&amp;TEXT(ROW()-4,"0000"))</f>
        <v>0</v>
      </c>
      <c r="U91" s="31">
        <f>IF(OR(C91="",B91=""),"",IF(OR(K91="Won",K91="Lost",K91="Not a fit"),"",TodayDate-B91))</f>
        <v>0</v>
      </c>
      <c r="V91" s="31">
        <f>IF(C91="","",TodayDate-MAX(IF(B91="",0,B91),IF(N91="",0,N91),IF(Q91="",0,IF(Q91&gt;TodayDate,0,Q91)),IF(M91="",0,IFERROR(INDEX(Quotes!$L$5:$L$204,MATCH(M91,Quotes!$A$5:$A$204,0)),0))))</f>
        <v>0</v>
      </c>
      <c r="W91" s="21">
        <f>IF(M91="","",IFERROR(INDEX(Quotes!$AB$5:$AB$204,MATCH(M91,Quotes!$A$5:$A$204,0)),""))</f>
        <v>0</v>
      </c>
      <c r="X91" s="39">
        <f>IF(M91="","",IFERROR(INDEX(Quotes!$K$5:$K$204,MATCH(M91,Quotes!$A$5:$A$204,0)),""))</f>
        <v>0</v>
      </c>
      <c r="Y91" s="50">
        <f>IF(C91="","",IF(K91="Won","Yes",IF(K91="Lost","No","")))</f>
        <v>0</v>
      </c>
      <c r="Z91" s="39">
        <f>IF(C91="","",IF(K91="Won","OK - won",IF(OR(K91="Lost",K91="Not a fit"),"Closed",IF(AND(Q91&lt;&gt;"",Q91&lt;TodayDate),"Overdue - action was due "&amp;TEXT(Q91,"d mmm"),IF(AND(Q91&lt;&gt;"",Q91=TodayDate),"Today - "&amp;P91,IF(AND(M91&lt;&gt;"",V91&lt;&gt;"",V91&gt;=QuoteFollowupDays),"Chase - quote sent, no answer",IF(AND(M91="",U91&lt;&gt;"",U91&gt;=2),"Action - no quote sent yet","OK")))))))</f>
        <v>0</v>
      </c>
    </row>
    <row r="92" spans="1:26">
      <c r="A92" s="43">
        <f>IF(C92="","",LeadPrefix&amp;TEXT(ROW()-4,"0000"))</f>
        <v>0</v>
      </c>
      <c r="U92" s="31">
        <f>IF(OR(C92="",B92=""),"",IF(OR(K92="Won",K92="Lost",K92="Not a fit"),"",TodayDate-B92))</f>
        <v>0</v>
      </c>
      <c r="V92" s="31">
        <f>IF(C92="","",TodayDate-MAX(IF(B92="",0,B92),IF(N92="",0,N92),IF(Q92="",0,IF(Q92&gt;TodayDate,0,Q92)),IF(M92="",0,IFERROR(INDEX(Quotes!$L$5:$L$204,MATCH(M92,Quotes!$A$5:$A$204,0)),0))))</f>
        <v>0</v>
      </c>
      <c r="W92" s="21">
        <f>IF(M92="","",IFERROR(INDEX(Quotes!$AB$5:$AB$204,MATCH(M92,Quotes!$A$5:$A$204,0)),""))</f>
        <v>0</v>
      </c>
      <c r="X92" s="39">
        <f>IF(M92="","",IFERROR(INDEX(Quotes!$K$5:$K$204,MATCH(M92,Quotes!$A$5:$A$204,0)),""))</f>
        <v>0</v>
      </c>
      <c r="Y92" s="50">
        <f>IF(C92="","",IF(K92="Won","Yes",IF(K92="Lost","No","")))</f>
        <v>0</v>
      </c>
      <c r="Z92" s="39">
        <f>IF(C92="","",IF(K92="Won","OK - won",IF(OR(K92="Lost",K92="Not a fit"),"Closed",IF(AND(Q92&lt;&gt;"",Q92&lt;TodayDate),"Overdue - action was due "&amp;TEXT(Q92,"d mmm"),IF(AND(Q92&lt;&gt;"",Q92=TodayDate),"Today - "&amp;P92,IF(AND(M92&lt;&gt;"",V92&lt;&gt;"",V92&gt;=QuoteFollowupDays),"Chase - quote sent, no answer",IF(AND(M92="",U92&lt;&gt;"",U92&gt;=2),"Action - no quote sent yet","OK")))))))</f>
        <v>0</v>
      </c>
    </row>
    <row r="93" spans="1:26">
      <c r="A93" s="43">
        <f>IF(C93="","",LeadPrefix&amp;TEXT(ROW()-4,"0000"))</f>
        <v>0</v>
      </c>
      <c r="U93" s="31">
        <f>IF(OR(C93="",B93=""),"",IF(OR(K93="Won",K93="Lost",K93="Not a fit"),"",TodayDate-B93))</f>
        <v>0</v>
      </c>
      <c r="V93" s="31">
        <f>IF(C93="","",TodayDate-MAX(IF(B93="",0,B93),IF(N93="",0,N93),IF(Q93="",0,IF(Q93&gt;TodayDate,0,Q93)),IF(M93="",0,IFERROR(INDEX(Quotes!$L$5:$L$204,MATCH(M93,Quotes!$A$5:$A$204,0)),0))))</f>
        <v>0</v>
      </c>
      <c r="W93" s="21">
        <f>IF(M93="","",IFERROR(INDEX(Quotes!$AB$5:$AB$204,MATCH(M93,Quotes!$A$5:$A$204,0)),""))</f>
        <v>0</v>
      </c>
      <c r="X93" s="39">
        <f>IF(M93="","",IFERROR(INDEX(Quotes!$K$5:$K$204,MATCH(M93,Quotes!$A$5:$A$204,0)),""))</f>
        <v>0</v>
      </c>
      <c r="Y93" s="50">
        <f>IF(C93="","",IF(K93="Won","Yes",IF(K93="Lost","No","")))</f>
        <v>0</v>
      </c>
      <c r="Z93" s="39">
        <f>IF(C93="","",IF(K93="Won","OK - won",IF(OR(K93="Lost",K93="Not a fit"),"Closed",IF(AND(Q93&lt;&gt;"",Q93&lt;TodayDate),"Overdue - action was due "&amp;TEXT(Q93,"d mmm"),IF(AND(Q93&lt;&gt;"",Q93=TodayDate),"Today - "&amp;P93,IF(AND(M93&lt;&gt;"",V93&lt;&gt;"",V93&gt;=QuoteFollowupDays),"Chase - quote sent, no answer",IF(AND(M93="",U93&lt;&gt;"",U93&gt;=2),"Action - no quote sent yet","OK")))))))</f>
        <v>0</v>
      </c>
    </row>
    <row r="94" spans="1:26">
      <c r="A94" s="43">
        <f>IF(C94="","",LeadPrefix&amp;TEXT(ROW()-4,"0000"))</f>
        <v>0</v>
      </c>
      <c r="U94" s="31">
        <f>IF(OR(C94="",B94=""),"",IF(OR(K94="Won",K94="Lost",K94="Not a fit"),"",TodayDate-B94))</f>
        <v>0</v>
      </c>
      <c r="V94" s="31">
        <f>IF(C94="","",TodayDate-MAX(IF(B94="",0,B94),IF(N94="",0,N94),IF(Q94="",0,IF(Q94&gt;TodayDate,0,Q94)),IF(M94="",0,IFERROR(INDEX(Quotes!$L$5:$L$204,MATCH(M94,Quotes!$A$5:$A$204,0)),0))))</f>
        <v>0</v>
      </c>
      <c r="W94" s="21">
        <f>IF(M94="","",IFERROR(INDEX(Quotes!$AB$5:$AB$204,MATCH(M94,Quotes!$A$5:$A$204,0)),""))</f>
        <v>0</v>
      </c>
      <c r="X94" s="39">
        <f>IF(M94="","",IFERROR(INDEX(Quotes!$K$5:$K$204,MATCH(M94,Quotes!$A$5:$A$204,0)),""))</f>
        <v>0</v>
      </c>
      <c r="Y94" s="50">
        <f>IF(C94="","",IF(K94="Won","Yes",IF(K94="Lost","No","")))</f>
        <v>0</v>
      </c>
      <c r="Z94" s="39">
        <f>IF(C94="","",IF(K94="Won","OK - won",IF(OR(K94="Lost",K94="Not a fit"),"Closed",IF(AND(Q94&lt;&gt;"",Q94&lt;TodayDate),"Overdue - action was due "&amp;TEXT(Q94,"d mmm"),IF(AND(Q94&lt;&gt;"",Q94=TodayDate),"Today - "&amp;P94,IF(AND(M94&lt;&gt;"",V94&lt;&gt;"",V94&gt;=QuoteFollowupDays),"Chase - quote sent, no answer",IF(AND(M94="",U94&lt;&gt;"",U94&gt;=2),"Action - no quote sent yet","OK")))))))</f>
        <v>0</v>
      </c>
    </row>
    <row r="95" spans="1:26">
      <c r="A95" s="43">
        <f>IF(C95="","",LeadPrefix&amp;TEXT(ROW()-4,"0000"))</f>
        <v>0</v>
      </c>
      <c r="U95" s="31">
        <f>IF(OR(C95="",B95=""),"",IF(OR(K95="Won",K95="Lost",K95="Not a fit"),"",TodayDate-B95))</f>
        <v>0</v>
      </c>
      <c r="V95" s="31">
        <f>IF(C95="","",TodayDate-MAX(IF(B95="",0,B95),IF(N95="",0,N95),IF(Q95="",0,IF(Q95&gt;TodayDate,0,Q95)),IF(M95="",0,IFERROR(INDEX(Quotes!$L$5:$L$204,MATCH(M95,Quotes!$A$5:$A$204,0)),0))))</f>
        <v>0</v>
      </c>
      <c r="W95" s="21">
        <f>IF(M95="","",IFERROR(INDEX(Quotes!$AB$5:$AB$204,MATCH(M95,Quotes!$A$5:$A$204,0)),""))</f>
        <v>0</v>
      </c>
      <c r="X95" s="39">
        <f>IF(M95="","",IFERROR(INDEX(Quotes!$K$5:$K$204,MATCH(M95,Quotes!$A$5:$A$204,0)),""))</f>
        <v>0</v>
      </c>
      <c r="Y95" s="50">
        <f>IF(C95="","",IF(K95="Won","Yes",IF(K95="Lost","No","")))</f>
        <v>0</v>
      </c>
      <c r="Z95" s="39">
        <f>IF(C95="","",IF(K95="Won","OK - won",IF(OR(K95="Lost",K95="Not a fit"),"Closed",IF(AND(Q95&lt;&gt;"",Q95&lt;TodayDate),"Overdue - action was due "&amp;TEXT(Q95,"d mmm"),IF(AND(Q95&lt;&gt;"",Q95=TodayDate),"Today - "&amp;P95,IF(AND(M95&lt;&gt;"",V95&lt;&gt;"",V95&gt;=QuoteFollowupDays),"Chase - quote sent, no answer",IF(AND(M95="",U95&lt;&gt;"",U95&gt;=2),"Action - no quote sent yet","OK")))))))</f>
        <v>0</v>
      </c>
    </row>
    <row r="96" spans="1:26">
      <c r="A96" s="43">
        <f>IF(C96="","",LeadPrefix&amp;TEXT(ROW()-4,"0000"))</f>
        <v>0</v>
      </c>
      <c r="U96" s="31">
        <f>IF(OR(C96="",B96=""),"",IF(OR(K96="Won",K96="Lost",K96="Not a fit"),"",TodayDate-B96))</f>
        <v>0</v>
      </c>
      <c r="V96" s="31">
        <f>IF(C96="","",TodayDate-MAX(IF(B96="",0,B96),IF(N96="",0,N96),IF(Q96="",0,IF(Q96&gt;TodayDate,0,Q96)),IF(M96="",0,IFERROR(INDEX(Quotes!$L$5:$L$204,MATCH(M96,Quotes!$A$5:$A$204,0)),0))))</f>
        <v>0</v>
      </c>
      <c r="W96" s="21">
        <f>IF(M96="","",IFERROR(INDEX(Quotes!$AB$5:$AB$204,MATCH(M96,Quotes!$A$5:$A$204,0)),""))</f>
        <v>0</v>
      </c>
      <c r="X96" s="39">
        <f>IF(M96="","",IFERROR(INDEX(Quotes!$K$5:$K$204,MATCH(M96,Quotes!$A$5:$A$204,0)),""))</f>
        <v>0</v>
      </c>
      <c r="Y96" s="50">
        <f>IF(C96="","",IF(K96="Won","Yes",IF(K96="Lost","No","")))</f>
        <v>0</v>
      </c>
      <c r="Z96" s="39">
        <f>IF(C96="","",IF(K96="Won","OK - won",IF(OR(K96="Lost",K96="Not a fit"),"Closed",IF(AND(Q96&lt;&gt;"",Q96&lt;TodayDate),"Overdue - action was due "&amp;TEXT(Q96,"d mmm"),IF(AND(Q96&lt;&gt;"",Q96=TodayDate),"Today - "&amp;P96,IF(AND(M96&lt;&gt;"",V96&lt;&gt;"",V96&gt;=QuoteFollowupDays),"Chase - quote sent, no answer",IF(AND(M96="",U96&lt;&gt;"",U96&gt;=2),"Action - no quote sent yet","OK")))))))</f>
        <v>0</v>
      </c>
    </row>
    <row r="97" spans="1:26">
      <c r="A97" s="43">
        <f>IF(C97="","",LeadPrefix&amp;TEXT(ROW()-4,"0000"))</f>
        <v>0</v>
      </c>
      <c r="U97" s="31">
        <f>IF(OR(C97="",B97=""),"",IF(OR(K97="Won",K97="Lost",K97="Not a fit"),"",TodayDate-B97))</f>
        <v>0</v>
      </c>
      <c r="V97" s="31">
        <f>IF(C97="","",TodayDate-MAX(IF(B97="",0,B97),IF(N97="",0,N97),IF(Q97="",0,IF(Q97&gt;TodayDate,0,Q97)),IF(M97="",0,IFERROR(INDEX(Quotes!$L$5:$L$204,MATCH(M97,Quotes!$A$5:$A$204,0)),0))))</f>
        <v>0</v>
      </c>
      <c r="W97" s="21">
        <f>IF(M97="","",IFERROR(INDEX(Quotes!$AB$5:$AB$204,MATCH(M97,Quotes!$A$5:$A$204,0)),""))</f>
        <v>0</v>
      </c>
      <c r="X97" s="39">
        <f>IF(M97="","",IFERROR(INDEX(Quotes!$K$5:$K$204,MATCH(M97,Quotes!$A$5:$A$204,0)),""))</f>
        <v>0</v>
      </c>
      <c r="Y97" s="50">
        <f>IF(C97="","",IF(K97="Won","Yes",IF(K97="Lost","No","")))</f>
        <v>0</v>
      </c>
      <c r="Z97" s="39">
        <f>IF(C97="","",IF(K97="Won","OK - won",IF(OR(K97="Lost",K97="Not a fit"),"Closed",IF(AND(Q97&lt;&gt;"",Q97&lt;TodayDate),"Overdue - action was due "&amp;TEXT(Q97,"d mmm"),IF(AND(Q97&lt;&gt;"",Q97=TodayDate),"Today - "&amp;P97,IF(AND(M97&lt;&gt;"",V97&lt;&gt;"",V97&gt;=QuoteFollowupDays),"Chase - quote sent, no answer",IF(AND(M97="",U97&lt;&gt;"",U97&gt;=2),"Action - no quote sent yet","OK")))))))</f>
        <v>0</v>
      </c>
    </row>
    <row r="98" spans="1:26">
      <c r="A98" s="43">
        <f>IF(C98="","",LeadPrefix&amp;TEXT(ROW()-4,"0000"))</f>
        <v>0</v>
      </c>
      <c r="U98" s="31">
        <f>IF(OR(C98="",B98=""),"",IF(OR(K98="Won",K98="Lost",K98="Not a fit"),"",TodayDate-B98))</f>
        <v>0</v>
      </c>
      <c r="V98" s="31">
        <f>IF(C98="","",TodayDate-MAX(IF(B98="",0,B98),IF(N98="",0,N98),IF(Q98="",0,IF(Q98&gt;TodayDate,0,Q98)),IF(M98="",0,IFERROR(INDEX(Quotes!$L$5:$L$204,MATCH(M98,Quotes!$A$5:$A$204,0)),0))))</f>
        <v>0</v>
      </c>
      <c r="W98" s="21">
        <f>IF(M98="","",IFERROR(INDEX(Quotes!$AB$5:$AB$204,MATCH(M98,Quotes!$A$5:$A$204,0)),""))</f>
        <v>0</v>
      </c>
      <c r="X98" s="39">
        <f>IF(M98="","",IFERROR(INDEX(Quotes!$K$5:$K$204,MATCH(M98,Quotes!$A$5:$A$204,0)),""))</f>
        <v>0</v>
      </c>
      <c r="Y98" s="50">
        <f>IF(C98="","",IF(K98="Won","Yes",IF(K98="Lost","No","")))</f>
        <v>0</v>
      </c>
      <c r="Z98" s="39">
        <f>IF(C98="","",IF(K98="Won","OK - won",IF(OR(K98="Lost",K98="Not a fit"),"Closed",IF(AND(Q98&lt;&gt;"",Q98&lt;TodayDate),"Overdue - action was due "&amp;TEXT(Q98,"d mmm"),IF(AND(Q98&lt;&gt;"",Q98=TodayDate),"Today - "&amp;P98,IF(AND(M98&lt;&gt;"",V98&lt;&gt;"",V98&gt;=QuoteFollowupDays),"Chase - quote sent, no answer",IF(AND(M98="",U98&lt;&gt;"",U98&gt;=2),"Action - no quote sent yet","OK")))))))</f>
        <v>0</v>
      </c>
    </row>
    <row r="99" spans="1:26">
      <c r="A99" s="43">
        <f>IF(C99="","",LeadPrefix&amp;TEXT(ROW()-4,"0000"))</f>
        <v>0</v>
      </c>
      <c r="U99" s="31">
        <f>IF(OR(C99="",B99=""),"",IF(OR(K99="Won",K99="Lost",K99="Not a fit"),"",TodayDate-B99))</f>
        <v>0</v>
      </c>
      <c r="V99" s="31">
        <f>IF(C99="","",TodayDate-MAX(IF(B99="",0,B99),IF(N99="",0,N99),IF(Q99="",0,IF(Q99&gt;TodayDate,0,Q99)),IF(M99="",0,IFERROR(INDEX(Quotes!$L$5:$L$204,MATCH(M99,Quotes!$A$5:$A$204,0)),0))))</f>
        <v>0</v>
      </c>
      <c r="W99" s="21">
        <f>IF(M99="","",IFERROR(INDEX(Quotes!$AB$5:$AB$204,MATCH(M99,Quotes!$A$5:$A$204,0)),""))</f>
        <v>0</v>
      </c>
      <c r="X99" s="39">
        <f>IF(M99="","",IFERROR(INDEX(Quotes!$K$5:$K$204,MATCH(M99,Quotes!$A$5:$A$204,0)),""))</f>
        <v>0</v>
      </c>
      <c r="Y99" s="50">
        <f>IF(C99="","",IF(K99="Won","Yes",IF(K99="Lost","No","")))</f>
        <v>0</v>
      </c>
      <c r="Z99" s="39">
        <f>IF(C99="","",IF(K99="Won","OK - won",IF(OR(K99="Lost",K99="Not a fit"),"Closed",IF(AND(Q99&lt;&gt;"",Q99&lt;TodayDate),"Overdue - action was due "&amp;TEXT(Q99,"d mmm"),IF(AND(Q99&lt;&gt;"",Q99=TodayDate),"Today - "&amp;P99,IF(AND(M99&lt;&gt;"",V99&lt;&gt;"",V99&gt;=QuoteFollowupDays),"Chase - quote sent, no answer",IF(AND(M99="",U99&lt;&gt;"",U99&gt;=2),"Action - no quote sent yet","OK")))))))</f>
        <v>0</v>
      </c>
    </row>
    <row r="100" spans="1:26">
      <c r="A100" s="43">
        <f>IF(C100="","",LeadPrefix&amp;TEXT(ROW()-4,"0000"))</f>
        <v>0</v>
      </c>
      <c r="U100" s="31">
        <f>IF(OR(C100="",B100=""),"",IF(OR(K100="Won",K100="Lost",K100="Not a fit"),"",TodayDate-B100))</f>
        <v>0</v>
      </c>
      <c r="V100" s="31">
        <f>IF(C100="","",TodayDate-MAX(IF(B100="",0,B100),IF(N100="",0,N100),IF(Q100="",0,IF(Q100&gt;TodayDate,0,Q100)),IF(M100="",0,IFERROR(INDEX(Quotes!$L$5:$L$204,MATCH(M100,Quotes!$A$5:$A$204,0)),0))))</f>
        <v>0</v>
      </c>
      <c r="W100" s="21">
        <f>IF(M100="","",IFERROR(INDEX(Quotes!$AB$5:$AB$204,MATCH(M100,Quotes!$A$5:$A$204,0)),""))</f>
        <v>0</v>
      </c>
      <c r="X100" s="39">
        <f>IF(M100="","",IFERROR(INDEX(Quotes!$K$5:$K$204,MATCH(M100,Quotes!$A$5:$A$204,0)),""))</f>
        <v>0</v>
      </c>
      <c r="Y100" s="50">
        <f>IF(C100="","",IF(K100="Won","Yes",IF(K100="Lost","No","")))</f>
        <v>0</v>
      </c>
      <c r="Z100" s="39">
        <f>IF(C100="","",IF(K100="Won","OK - won",IF(OR(K100="Lost",K100="Not a fit"),"Closed",IF(AND(Q100&lt;&gt;"",Q100&lt;TodayDate),"Overdue - action was due "&amp;TEXT(Q100,"d mmm"),IF(AND(Q100&lt;&gt;"",Q100=TodayDate),"Today - "&amp;P100,IF(AND(M100&lt;&gt;"",V100&lt;&gt;"",V100&gt;=QuoteFollowupDays),"Chase - quote sent, no answer",IF(AND(M100="",U100&lt;&gt;"",U100&gt;=2),"Action - no quote sent yet","OK")))))))</f>
        <v>0</v>
      </c>
    </row>
    <row r="101" spans="1:26">
      <c r="A101" s="43">
        <f>IF(C101="","",LeadPrefix&amp;TEXT(ROW()-4,"0000"))</f>
        <v>0</v>
      </c>
      <c r="U101" s="31">
        <f>IF(OR(C101="",B101=""),"",IF(OR(K101="Won",K101="Lost",K101="Not a fit"),"",TodayDate-B101))</f>
        <v>0</v>
      </c>
      <c r="V101" s="31">
        <f>IF(C101="","",TodayDate-MAX(IF(B101="",0,B101),IF(N101="",0,N101),IF(Q101="",0,IF(Q101&gt;TodayDate,0,Q101)),IF(M101="",0,IFERROR(INDEX(Quotes!$L$5:$L$204,MATCH(M101,Quotes!$A$5:$A$204,0)),0))))</f>
        <v>0</v>
      </c>
      <c r="W101" s="21">
        <f>IF(M101="","",IFERROR(INDEX(Quotes!$AB$5:$AB$204,MATCH(M101,Quotes!$A$5:$A$204,0)),""))</f>
        <v>0</v>
      </c>
      <c r="X101" s="39">
        <f>IF(M101="","",IFERROR(INDEX(Quotes!$K$5:$K$204,MATCH(M101,Quotes!$A$5:$A$204,0)),""))</f>
        <v>0</v>
      </c>
      <c r="Y101" s="50">
        <f>IF(C101="","",IF(K101="Won","Yes",IF(K101="Lost","No","")))</f>
        <v>0</v>
      </c>
      <c r="Z101" s="39">
        <f>IF(C101="","",IF(K101="Won","OK - won",IF(OR(K101="Lost",K101="Not a fit"),"Closed",IF(AND(Q101&lt;&gt;"",Q101&lt;TodayDate),"Overdue - action was due "&amp;TEXT(Q101,"d mmm"),IF(AND(Q101&lt;&gt;"",Q101=TodayDate),"Today - "&amp;P101,IF(AND(M101&lt;&gt;"",V101&lt;&gt;"",V101&gt;=QuoteFollowupDays),"Chase - quote sent, no answer",IF(AND(M101="",U101&lt;&gt;"",U101&gt;=2),"Action - no quote sent yet","OK")))))))</f>
        <v>0</v>
      </c>
    </row>
    <row r="102" spans="1:26">
      <c r="A102" s="43">
        <f>IF(C102="","",LeadPrefix&amp;TEXT(ROW()-4,"0000"))</f>
        <v>0</v>
      </c>
      <c r="U102" s="31">
        <f>IF(OR(C102="",B102=""),"",IF(OR(K102="Won",K102="Lost",K102="Not a fit"),"",TodayDate-B102))</f>
        <v>0</v>
      </c>
      <c r="V102" s="31">
        <f>IF(C102="","",TodayDate-MAX(IF(B102="",0,B102),IF(N102="",0,N102),IF(Q102="",0,IF(Q102&gt;TodayDate,0,Q102)),IF(M102="",0,IFERROR(INDEX(Quotes!$L$5:$L$204,MATCH(M102,Quotes!$A$5:$A$204,0)),0))))</f>
        <v>0</v>
      </c>
      <c r="W102" s="21">
        <f>IF(M102="","",IFERROR(INDEX(Quotes!$AB$5:$AB$204,MATCH(M102,Quotes!$A$5:$A$204,0)),""))</f>
        <v>0</v>
      </c>
      <c r="X102" s="39">
        <f>IF(M102="","",IFERROR(INDEX(Quotes!$K$5:$K$204,MATCH(M102,Quotes!$A$5:$A$204,0)),""))</f>
        <v>0</v>
      </c>
      <c r="Y102" s="50">
        <f>IF(C102="","",IF(K102="Won","Yes",IF(K102="Lost","No","")))</f>
        <v>0</v>
      </c>
      <c r="Z102" s="39">
        <f>IF(C102="","",IF(K102="Won","OK - won",IF(OR(K102="Lost",K102="Not a fit"),"Closed",IF(AND(Q102&lt;&gt;"",Q102&lt;TodayDate),"Overdue - action was due "&amp;TEXT(Q102,"d mmm"),IF(AND(Q102&lt;&gt;"",Q102=TodayDate),"Today - "&amp;P102,IF(AND(M102&lt;&gt;"",V102&lt;&gt;"",V102&gt;=QuoteFollowupDays),"Chase - quote sent, no answer",IF(AND(M102="",U102&lt;&gt;"",U102&gt;=2),"Action - no quote sent yet","OK")))))))</f>
        <v>0</v>
      </c>
    </row>
    <row r="103" spans="1:26">
      <c r="A103" s="43">
        <f>IF(C103="","",LeadPrefix&amp;TEXT(ROW()-4,"0000"))</f>
        <v>0</v>
      </c>
      <c r="U103" s="31">
        <f>IF(OR(C103="",B103=""),"",IF(OR(K103="Won",K103="Lost",K103="Not a fit"),"",TodayDate-B103))</f>
        <v>0</v>
      </c>
      <c r="V103" s="31">
        <f>IF(C103="","",TodayDate-MAX(IF(B103="",0,B103),IF(N103="",0,N103),IF(Q103="",0,IF(Q103&gt;TodayDate,0,Q103)),IF(M103="",0,IFERROR(INDEX(Quotes!$L$5:$L$204,MATCH(M103,Quotes!$A$5:$A$204,0)),0))))</f>
        <v>0</v>
      </c>
      <c r="W103" s="21">
        <f>IF(M103="","",IFERROR(INDEX(Quotes!$AB$5:$AB$204,MATCH(M103,Quotes!$A$5:$A$204,0)),""))</f>
        <v>0</v>
      </c>
      <c r="X103" s="39">
        <f>IF(M103="","",IFERROR(INDEX(Quotes!$K$5:$K$204,MATCH(M103,Quotes!$A$5:$A$204,0)),""))</f>
        <v>0</v>
      </c>
      <c r="Y103" s="50">
        <f>IF(C103="","",IF(K103="Won","Yes",IF(K103="Lost","No","")))</f>
        <v>0</v>
      </c>
      <c r="Z103" s="39">
        <f>IF(C103="","",IF(K103="Won","OK - won",IF(OR(K103="Lost",K103="Not a fit"),"Closed",IF(AND(Q103&lt;&gt;"",Q103&lt;TodayDate),"Overdue - action was due "&amp;TEXT(Q103,"d mmm"),IF(AND(Q103&lt;&gt;"",Q103=TodayDate),"Today - "&amp;P103,IF(AND(M103&lt;&gt;"",V103&lt;&gt;"",V103&gt;=QuoteFollowupDays),"Chase - quote sent, no answer",IF(AND(M103="",U103&lt;&gt;"",U103&gt;=2),"Action - no quote sent yet","OK")))))))</f>
        <v>0</v>
      </c>
    </row>
    <row r="104" spans="1:26">
      <c r="A104" s="43">
        <f>IF(C104="","",LeadPrefix&amp;TEXT(ROW()-4,"0000"))</f>
        <v>0</v>
      </c>
      <c r="U104" s="31">
        <f>IF(OR(C104="",B104=""),"",IF(OR(K104="Won",K104="Lost",K104="Not a fit"),"",TodayDate-B104))</f>
        <v>0</v>
      </c>
      <c r="V104" s="31">
        <f>IF(C104="","",TodayDate-MAX(IF(B104="",0,B104),IF(N104="",0,N104),IF(Q104="",0,IF(Q104&gt;TodayDate,0,Q104)),IF(M104="",0,IFERROR(INDEX(Quotes!$L$5:$L$204,MATCH(M104,Quotes!$A$5:$A$204,0)),0))))</f>
        <v>0</v>
      </c>
      <c r="W104" s="21">
        <f>IF(M104="","",IFERROR(INDEX(Quotes!$AB$5:$AB$204,MATCH(M104,Quotes!$A$5:$A$204,0)),""))</f>
        <v>0</v>
      </c>
      <c r="X104" s="39">
        <f>IF(M104="","",IFERROR(INDEX(Quotes!$K$5:$K$204,MATCH(M104,Quotes!$A$5:$A$204,0)),""))</f>
        <v>0</v>
      </c>
      <c r="Y104" s="50">
        <f>IF(C104="","",IF(K104="Won","Yes",IF(K104="Lost","No","")))</f>
        <v>0</v>
      </c>
      <c r="Z104" s="39">
        <f>IF(C104="","",IF(K104="Won","OK - won",IF(OR(K104="Lost",K104="Not a fit"),"Closed",IF(AND(Q104&lt;&gt;"",Q104&lt;TodayDate),"Overdue - action was due "&amp;TEXT(Q104,"d mmm"),IF(AND(Q104&lt;&gt;"",Q104=TodayDate),"Today - "&amp;P104,IF(AND(M104&lt;&gt;"",V104&lt;&gt;"",V104&gt;=QuoteFollowupDays),"Chase - quote sent, no answer",IF(AND(M104="",U104&lt;&gt;"",U104&gt;=2),"Action - no quote sent yet","OK")))))))</f>
        <v>0</v>
      </c>
    </row>
    <row r="105" spans="1:26">
      <c r="A105" s="43">
        <f>IF(C105="","",LeadPrefix&amp;TEXT(ROW()-4,"0000"))</f>
        <v>0</v>
      </c>
      <c r="U105" s="31">
        <f>IF(OR(C105="",B105=""),"",IF(OR(K105="Won",K105="Lost",K105="Not a fit"),"",TodayDate-B105))</f>
        <v>0</v>
      </c>
      <c r="V105" s="31">
        <f>IF(C105="","",TodayDate-MAX(IF(B105="",0,B105),IF(N105="",0,N105),IF(Q105="",0,IF(Q105&gt;TodayDate,0,Q105)),IF(M105="",0,IFERROR(INDEX(Quotes!$L$5:$L$204,MATCH(M105,Quotes!$A$5:$A$204,0)),0))))</f>
        <v>0</v>
      </c>
      <c r="W105" s="21">
        <f>IF(M105="","",IFERROR(INDEX(Quotes!$AB$5:$AB$204,MATCH(M105,Quotes!$A$5:$A$204,0)),""))</f>
        <v>0</v>
      </c>
      <c r="X105" s="39">
        <f>IF(M105="","",IFERROR(INDEX(Quotes!$K$5:$K$204,MATCH(M105,Quotes!$A$5:$A$204,0)),""))</f>
        <v>0</v>
      </c>
      <c r="Y105" s="50">
        <f>IF(C105="","",IF(K105="Won","Yes",IF(K105="Lost","No","")))</f>
        <v>0</v>
      </c>
      <c r="Z105" s="39">
        <f>IF(C105="","",IF(K105="Won","OK - won",IF(OR(K105="Lost",K105="Not a fit"),"Closed",IF(AND(Q105&lt;&gt;"",Q105&lt;TodayDate),"Overdue - action was due "&amp;TEXT(Q105,"d mmm"),IF(AND(Q105&lt;&gt;"",Q105=TodayDate),"Today - "&amp;P105,IF(AND(M105&lt;&gt;"",V105&lt;&gt;"",V105&gt;=QuoteFollowupDays),"Chase - quote sent, no answer",IF(AND(M105="",U105&lt;&gt;"",U105&gt;=2),"Action - no quote sent yet","OK")))))))</f>
        <v>0</v>
      </c>
    </row>
    <row r="106" spans="1:26">
      <c r="A106" s="43">
        <f>IF(C106="","",LeadPrefix&amp;TEXT(ROW()-4,"0000"))</f>
        <v>0</v>
      </c>
      <c r="U106" s="31">
        <f>IF(OR(C106="",B106=""),"",IF(OR(K106="Won",K106="Lost",K106="Not a fit"),"",TodayDate-B106))</f>
        <v>0</v>
      </c>
      <c r="V106" s="31">
        <f>IF(C106="","",TodayDate-MAX(IF(B106="",0,B106),IF(N106="",0,N106),IF(Q106="",0,IF(Q106&gt;TodayDate,0,Q106)),IF(M106="",0,IFERROR(INDEX(Quotes!$L$5:$L$204,MATCH(M106,Quotes!$A$5:$A$204,0)),0))))</f>
        <v>0</v>
      </c>
      <c r="W106" s="21">
        <f>IF(M106="","",IFERROR(INDEX(Quotes!$AB$5:$AB$204,MATCH(M106,Quotes!$A$5:$A$204,0)),""))</f>
        <v>0</v>
      </c>
      <c r="X106" s="39">
        <f>IF(M106="","",IFERROR(INDEX(Quotes!$K$5:$K$204,MATCH(M106,Quotes!$A$5:$A$204,0)),""))</f>
        <v>0</v>
      </c>
      <c r="Y106" s="50">
        <f>IF(C106="","",IF(K106="Won","Yes",IF(K106="Lost","No","")))</f>
        <v>0</v>
      </c>
      <c r="Z106" s="39">
        <f>IF(C106="","",IF(K106="Won","OK - won",IF(OR(K106="Lost",K106="Not a fit"),"Closed",IF(AND(Q106&lt;&gt;"",Q106&lt;TodayDate),"Overdue - action was due "&amp;TEXT(Q106,"d mmm"),IF(AND(Q106&lt;&gt;"",Q106=TodayDate),"Today - "&amp;P106,IF(AND(M106&lt;&gt;"",V106&lt;&gt;"",V106&gt;=QuoteFollowupDays),"Chase - quote sent, no answer",IF(AND(M106="",U106&lt;&gt;"",U106&gt;=2),"Action - no quote sent yet","OK")))))))</f>
        <v>0</v>
      </c>
    </row>
    <row r="107" spans="1:26">
      <c r="A107" s="43">
        <f>IF(C107="","",LeadPrefix&amp;TEXT(ROW()-4,"0000"))</f>
        <v>0</v>
      </c>
      <c r="U107" s="31">
        <f>IF(OR(C107="",B107=""),"",IF(OR(K107="Won",K107="Lost",K107="Not a fit"),"",TodayDate-B107))</f>
        <v>0</v>
      </c>
      <c r="V107" s="31">
        <f>IF(C107="","",TodayDate-MAX(IF(B107="",0,B107),IF(N107="",0,N107),IF(Q107="",0,IF(Q107&gt;TodayDate,0,Q107)),IF(M107="",0,IFERROR(INDEX(Quotes!$L$5:$L$204,MATCH(M107,Quotes!$A$5:$A$204,0)),0))))</f>
        <v>0</v>
      </c>
      <c r="W107" s="21">
        <f>IF(M107="","",IFERROR(INDEX(Quotes!$AB$5:$AB$204,MATCH(M107,Quotes!$A$5:$A$204,0)),""))</f>
        <v>0</v>
      </c>
      <c r="X107" s="39">
        <f>IF(M107="","",IFERROR(INDEX(Quotes!$K$5:$K$204,MATCH(M107,Quotes!$A$5:$A$204,0)),""))</f>
        <v>0</v>
      </c>
      <c r="Y107" s="50">
        <f>IF(C107="","",IF(K107="Won","Yes",IF(K107="Lost","No","")))</f>
        <v>0</v>
      </c>
      <c r="Z107" s="39">
        <f>IF(C107="","",IF(K107="Won","OK - won",IF(OR(K107="Lost",K107="Not a fit"),"Closed",IF(AND(Q107&lt;&gt;"",Q107&lt;TodayDate),"Overdue - action was due "&amp;TEXT(Q107,"d mmm"),IF(AND(Q107&lt;&gt;"",Q107=TodayDate),"Today - "&amp;P107,IF(AND(M107&lt;&gt;"",V107&lt;&gt;"",V107&gt;=QuoteFollowupDays),"Chase - quote sent, no answer",IF(AND(M107="",U107&lt;&gt;"",U107&gt;=2),"Action - no quote sent yet","OK")))))))</f>
        <v>0</v>
      </c>
    </row>
    <row r="108" spans="1:26">
      <c r="A108" s="43">
        <f>IF(C108="","",LeadPrefix&amp;TEXT(ROW()-4,"0000"))</f>
        <v>0</v>
      </c>
      <c r="U108" s="31">
        <f>IF(OR(C108="",B108=""),"",IF(OR(K108="Won",K108="Lost",K108="Not a fit"),"",TodayDate-B108))</f>
        <v>0</v>
      </c>
      <c r="V108" s="31">
        <f>IF(C108="","",TodayDate-MAX(IF(B108="",0,B108),IF(N108="",0,N108),IF(Q108="",0,IF(Q108&gt;TodayDate,0,Q108)),IF(M108="",0,IFERROR(INDEX(Quotes!$L$5:$L$204,MATCH(M108,Quotes!$A$5:$A$204,0)),0))))</f>
        <v>0</v>
      </c>
      <c r="W108" s="21">
        <f>IF(M108="","",IFERROR(INDEX(Quotes!$AB$5:$AB$204,MATCH(M108,Quotes!$A$5:$A$204,0)),""))</f>
        <v>0</v>
      </c>
      <c r="X108" s="39">
        <f>IF(M108="","",IFERROR(INDEX(Quotes!$K$5:$K$204,MATCH(M108,Quotes!$A$5:$A$204,0)),""))</f>
        <v>0</v>
      </c>
      <c r="Y108" s="50">
        <f>IF(C108="","",IF(K108="Won","Yes",IF(K108="Lost","No","")))</f>
        <v>0</v>
      </c>
      <c r="Z108" s="39">
        <f>IF(C108="","",IF(K108="Won","OK - won",IF(OR(K108="Lost",K108="Not a fit"),"Closed",IF(AND(Q108&lt;&gt;"",Q108&lt;TodayDate),"Overdue - action was due "&amp;TEXT(Q108,"d mmm"),IF(AND(Q108&lt;&gt;"",Q108=TodayDate),"Today - "&amp;P108,IF(AND(M108&lt;&gt;"",V108&lt;&gt;"",V108&gt;=QuoteFollowupDays),"Chase - quote sent, no answer",IF(AND(M108="",U108&lt;&gt;"",U108&gt;=2),"Action - no quote sent yet","OK")))))))</f>
        <v>0</v>
      </c>
    </row>
    <row r="109" spans="1:26">
      <c r="A109" s="43">
        <f>IF(C109="","",LeadPrefix&amp;TEXT(ROW()-4,"0000"))</f>
        <v>0</v>
      </c>
      <c r="U109" s="31">
        <f>IF(OR(C109="",B109=""),"",IF(OR(K109="Won",K109="Lost",K109="Not a fit"),"",TodayDate-B109))</f>
        <v>0</v>
      </c>
      <c r="V109" s="31">
        <f>IF(C109="","",TodayDate-MAX(IF(B109="",0,B109),IF(N109="",0,N109),IF(Q109="",0,IF(Q109&gt;TodayDate,0,Q109)),IF(M109="",0,IFERROR(INDEX(Quotes!$L$5:$L$204,MATCH(M109,Quotes!$A$5:$A$204,0)),0))))</f>
        <v>0</v>
      </c>
      <c r="W109" s="21">
        <f>IF(M109="","",IFERROR(INDEX(Quotes!$AB$5:$AB$204,MATCH(M109,Quotes!$A$5:$A$204,0)),""))</f>
        <v>0</v>
      </c>
      <c r="X109" s="39">
        <f>IF(M109="","",IFERROR(INDEX(Quotes!$K$5:$K$204,MATCH(M109,Quotes!$A$5:$A$204,0)),""))</f>
        <v>0</v>
      </c>
      <c r="Y109" s="50">
        <f>IF(C109="","",IF(K109="Won","Yes",IF(K109="Lost","No","")))</f>
        <v>0</v>
      </c>
      <c r="Z109" s="39">
        <f>IF(C109="","",IF(K109="Won","OK - won",IF(OR(K109="Lost",K109="Not a fit"),"Closed",IF(AND(Q109&lt;&gt;"",Q109&lt;TodayDate),"Overdue - action was due "&amp;TEXT(Q109,"d mmm"),IF(AND(Q109&lt;&gt;"",Q109=TodayDate),"Today - "&amp;P109,IF(AND(M109&lt;&gt;"",V109&lt;&gt;"",V109&gt;=QuoteFollowupDays),"Chase - quote sent, no answer",IF(AND(M109="",U109&lt;&gt;"",U109&gt;=2),"Action - no quote sent yet","OK")))))))</f>
        <v>0</v>
      </c>
    </row>
    <row r="110" spans="1:26">
      <c r="A110" s="43">
        <f>IF(C110="","",LeadPrefix&amp;TEXT(ROW()-4,"0000"))</f>
        <v>0</v>
      </c>
      <c r="U110" s="31">
        <f>IF(OR(C110="",B110=""),"",IF(OR(K110="Won",K110="Lost",K110="Not a fit"),"",TodayDate-B110))</f>
        <v>0</v>
      </c>
      <c r="V110" s="31">
        <f>IF(C110="","",TodayDate-MAX(IF(B110="",0,B110),IF(N110="",0,N110),IF(Q110="",0,IF(Q110&gt;TodayDate,0,Q110)),IF(M110="",0,IFERROR(INDEX(Quotes!$L$5:$L$204,MATCH(M110,Quotes!$A$5:$A$204,0)),0))))</f>
        <v>0</v>
      </c>
      <c r="W110" s="21">
        <f>IF(M110="","",IFERROR(INDEX(Quotes!$AB$5:$AB$204,MATCH(M110,Quotes!$A$5:$A$204,0)),""))</f>
        <v>0</v>
      </c>
      <c r="X110" s="39">
        <f>IF(M110="","",IFERROR(INDEX(Quotes!$K$5:$K$204,MATCH(M110,Quotes!$A$5:$A$204,0)),""))</f>
        <v>0</v>
      </c>
      <c r="Y110" s="50">
        <f>IF(C110="","",IF(K110="Won","Yes",IF(K110="Lost","No","")))</f>
        <v>0</v>
      </c>
      <c r="Z110" s="39">
        <f>IF(C110="","",IF(K110="Won","OK - won",IF(OR(K110="Lost",K110="Not a fit"),"Closed",IF(AND(Q110&lt;&gt;"",Q110&lt;TodayDate),"Overdue - action was due "&amp;TEXT(Q110,"d mmm"),IF(AND(Q110&lt;&gt;"",Q110=TodayDate),"Today - "&amp;P110,IF(AND(M110&lt;&gt;"",V110&lt;&gt;"",V110&gt;=QuoteFollowupDays),"Chase - quote sent, no answer",IF(AND(M110="",U110&lt;&gt;"",U110&gt;=2),"Action - no quote sent yet","OK")))))))</f>
        <v>0</v>
      </c>
    </row>
    <row r="111" spans="1:26">
      <c r="A111" s="43">
        <f>IF(C111="","",LeadPrefix&amp;TEXT(ROW()-4,"0000"))</f>
        <v>0</v>
      </c>
      <c r="U111" s="31">
        <f>IF(OR(C111="",B111=""),"",IF(OR(K111="Won",K111="Lost",K111="Not a fit"),"",TodayDate-B111))</f>
        <v>0</v>
      </c>
      <c r="V111" s="31">
        <f>IF(C111="","",TodayDate-MAX(IF(B111="",0,B111),IF(N111="",0,N111),IF(Q111="",0,IF(Q111&gt;TodayDate,0,Q111)),IF(M111="",0,IFERROR(INDEX(Quotes!$L$5:$L$204,MATCH(M111,Quotes!$A$5:$A$204,0)),0))))</f>
        <v>0</v>
      </c>
      <c r="W111" s="21">
        <f>IF(M111="","",IFERROR(INDEX(Quotes!$AB$5:$AB$204,MATCH(M111,Quotes!$A$5:$A$204,0)),""))</f>
        <v>0</v>
      </c>
      <c r="X111" s="39">
        <f>IF(M111="","",IFERROR(INDEX(Quotes!$K$5:$K$204,MATCH(M111,Quotes!$A$5:$A$204,0)),""))</f>
        <v>0</v>
      </c>
      <c r="Y111" s="50">
        <f>IF(C111="","",IF(K111="Won","Yes",IF(K111="Lost","No","")))</f>
        <v>0</v>
      </c>
      <c r="Z111" s="39">
        <f>IF(C111="","",IF(K111="Won","OK - won",IF(OR(K111="Lost",K111="Not a fit"),"Closed",IF(AND(Q111&lt;&gt;"",Q111&lt;TodayDate),"Overdue - action was due "&amp;TEXT(Q111,"d mmm"),IF(AND(Q111&lt;&gt;"",Q111=TodayDate),"Today - "&amp;P111,IF(AND(M111&lt;&gt;"",V111&lt;&gt;"",V111&gt;=QuoteFollowupDays),"Chase - quote sent, no answer",IF(AND(M111="",U111&lt;&gt;"",U111&gt;=2),"Action - no quote sent yet","OK")))))))</f>
        <v>0</v>
      </c>
    </row>
    <row r="112" spans="1:26">
      <c r="A112" s="43">
        <f>IF(C112="","",LeadPrefix&amp;TEXT(ROW()-4,"0000"))</f>
        <v>0</v>
      </c>
      <c r="U112" s="31">
        <f>IF(OR(C112="",B112=""),"",IF(OR(K112="Won",K112="Lost",K112="Not a fit"),"",TodayDate-B112))</f>
        <v>0</v>
      </c>
      <c r="V112" s="31">
        <f>IF(C112="","",TodayDate-MAX(IF(B112="",0,B112),IF(N112="",0,N112),IF(Q112="",0,IF(Q112&gt;TodayDate,0,Q112)),IF(M112="",0,IFERROR(INDEX(Quotes!$L$5:$L$204,MATCH(M112,Quotes!$A$5:$A$204,0)),0))))</f>
        <v>0</v>
      </c>
      <c r="W112" s="21">
        <f>IF(M112="","",IFERROR(INDEX(Quotes!$AB$5:$AB$204,MATCH(M112,Quotes!$A$5:$A$204,0)),""))</f>
        <v>0</v>
      </c>
      <c r="X112" s="39">
        <f>IF(M112="","",IFERROR(INDEX(Quotes!$K$5:$K$204,MATCH(M112,Quotes!$A$5:$A$204,0)),""))</f>
        <v>0</v>
      </c>
      <c r="Y112" s="50">
        <f>IF(C112="","",IF(K112="Won","Yes",IF(K112="Lost","No","")))</f>
        <v>0</v>
      </c>
      <c r="Z112" s="39">
        <f>IF(C112="","",IF(K112="Won","OK - won",IF(OR(K112="Lost",K112="Not a fit"),"Closed",IF(AND(Q112&lt;&gt;"",Q112&lt;TodayDate),"Overdue - action was due "&amp;TEXT(Q112,"d mmm"),IF(AND(Q112&lt;&gt;"",Q112=TodayDate),"Today - "&amp;P112,IF(AND(M112&lt;&gt;"",V112&lt;&gt;"",V112&gt;=QuoteFollowupDays),"Chase - quote sent, no answer",IF(AND(M112="",U112&lt;&gt;"",U112&gt;=2),"Action - no quote sent yet","OK")))))))</f>
        <v>0</v>
      </c>
    </row>
    <row r="113" spans="1:26">
      <c r="A113" s="43">
        <f>IF(C113="","",LeadPrefix&amp;TEXT(ROW()-4,"0000"))</f>
        <v>0</v>
      </c>
      <c r="U113" s="31">
        <f>IF(OR(C113="",B113=""),"",IF(OR(K113="Won",K113="Lost",K113="Not a fit"),"",TodayDate-B113))</f>
        <v>0</v>
      </c>
      <c r="V113" s="31">
        <f>IF(C113="","",TodayDate-MAX(IF(B113="",0,B113),IF(N113="",0,N113),IF(Q113="",0,IF(Q113&gt;TodayDate,0,Q113)),IF(M113="",0,IFERROR(INDEX(Quotes!$L$5:$L$204,MATCH(M113,Quotes!$A$5:$A$204,0)),0))))</f>
        <v>0</v>
      </c>
      <c r="W113" s="21">
        <f>IF(M113="","",IFERROR(INDEX(Quotes!$AB$5:$AB$204,MATCH(M113,Quotes!$A$5:$A$204,0)),""))</f>
        <v>0</v>
      </c>
      <c r="X113" s="39">
        <f>IF(M113="","",IFERROR(INDEX(Quotes!$K$5:$K$204,MATCH(M113,Quotes!$A$5:$A$204,0)),""))</f>
        <v>0</v>
      </c>
      <c r="Y113" s="50">
        <f>IF(C113="","",IF(K113="Won","Yes",IF(K113="Lost","No","")))</f>
        <v>0</v>
      </c>
      <c r="Z113" s="39">
        <f>IF(C113="","",IF(K113="Won","OK - won",IF(OR(K113="Lost",K113="Not a fit"),"Closed",IF(AND(Q113&lt;&gt;"",Q113&lt;TodayDate),"Overdue - action was due "&amp;TEXT(Q113,"d mmm"),IF(AND(Q113&lt;&gt;"",Q113=TodayDate),"Today - "&amp;P113,IF(AND(M113&lt;&gt;"",V113&lt;&gt;"",V113&gt;=QuoteFollowupDays),"Chase - quote sent, no answer",IF(AND(M113="",U113&lt;&gt;"",U113&gt;=2),"Action - no quote sent yet","OK")))))))</f>
        <v>0</v>
      </c>
    </row>
    <row r="114" spans="1:26">
      <c r="A114" s="43">
        <f>IF(C114="","",LeadPrefix&amp;TEXT(ROW()-4,"0000"))</f>
        <v>0</v>
      </c>
      <c r="U114" s="31">
        <f>IF(OR(C114="",B114=""),"",IF(OR(K114="Won",K114="Lost",K114="Not a fit"),"",TodayDate-B114))</f>
        <v>0</v>
      </c>
      <c r="V114" s="31">
        <f>IF(C114="","",TodayDate-MAX(IF(B114="",0,B114),IF(N114="",0,N114),IF(Q114="",0,IF(Q114&gt;TodayDate,0,Q114)),IF(M114="",0,IFERROR(INDEX(Quotes!$L$5:$L$204,MATCH(M114,Quotes!$A$5:$A$204,0)),0))))</f>
        <v>0</v>
      </c>
      <c r="W114" s="21">
        <f>IF(M114="","",IFERROR(INDEX(Quotes!$AB$5:$AB$204,MATCH(M114,Quotes!$A$5:$A$204,0)),""))</f>
        <v>0</v>
      </c>
      <c r="X114" s="39">
        <f>IF(M114="","",IFERROR(INDEX(Quotes!$K$5:$K$204,MATCH(M114,Quotes!$A$5:$A$204,0)),""))</f>
        <v>0</v>
      </c>
      <c r="Y114" s="50">
        <f>IF(C114="","",IF(K114="Won","Yes",IF(K114="Lost","No","")))</f>
        <v>0</v>
      </c>
      <c r="Z114" s="39">
        <f>IF(C114="","",IF(K114="Won","OK - won",IF(OR(K114="Lost",K114="Not a fit"),"Closed",IF(AND(Q114&lt;&gt;"",Q114&lt;TodayDate),"Overdue - action was due "&amp;TEXT(Q114,"d mmm"),IF(AND(Q114&lt;&gt;"",Q114=TodayDate),"Today - "&amp;P114,IF(AND(M114&lt;&gt;"",V114&lt;&gt;"",V114&gt;=QuoteFollowupDays),"Chase - quote sent, no answer",IF(AND(M114="",U114&lt;&gt;"",U114&gt;=2),"Action - no quote sent yet","OK")))))))</f>
        <v>0</v>
      </c>
    </row>
    <row r="115" spans="1:26">
      <c r="A115" s="43">
        <f>IF(C115="","",LeadPrefix&amp;TEXT(ROW()-4,"0000"))</f>
        <v>0</v>
      </c>
      <c r="U115" s="31">
        <f>IF(OR(C115="",B115=""),"",IF(OR(K115="Won",K115="Lost",K115="Not a fit"),"",TodayDate-B115))</f>
        <v>0</v>
      </c>
      <c r="V115" s="31">
        <f>IF(C115="","",TodayDate-MAX(IF(B115="",0,B115),IF(N115="",0,N115),IF(Q115="",0,IF(Q115&gt;TodayDate,0,Q115)),IF(M115="",0,IFERROR(INDEX(Quotes!$L$5:$L$204,MATCH(M115,Quotes!$A$5:$A$204,0)),0))))</f>
        <v>0</v>
      </c>
      <c r="W115" s="21">
        <f>IF(M115="","",IFERROR(INDEX(Quotes!$AB$5:$AB$204,MATCH(M115,Quotes!$A$5:$A$204,0)),""))</f>
        <v>0</v>
      </c>
      <c r="X115" s="39">
        <f>IF(M115="","",IFERROR(INDEX(Quotes!$K$5:$K$204,MATCH(M115,Quotes!$A$5:$A$204,0)),""))</f>
        <v>0</v>
      </c>
      <c r="Y115" s="50">
        <f>IF(C115="","",IF(K115="Won","Yes",IF(K115="Lost","No","")))</f>
        <v>0</v>
      </c>
      <c r="Z115" s="39">
        <f>IF(C115="","",IF(K115="Won","OK - won",IF(OR(K115="Lost",K115="Not a fit"),"Closed",IF(AND(Q115&lt;&gt;"",Q115&lt;TodayDate),"Overdue - action was due "&amp;TEXT(Q115,"d mmm"),IF(AND(Q115&lt;&gt;"",Q115=TodayDate),"Today - "&amp;P115,IF(AND(M115&lt;&gt;"",V115&lt;&gt;"",V115&gt;=QuoteFollowupDays),"Chase - quote sent, no answer",IF(AND(M115="",U115&lt;&gt;"",U115&gt;=2),"Action - no quote sent yet","OK")))))))</f>
        <v>0</v>
      </c>
    </row>
    <row r="116" spans="1:26">
      <c r="A116" s="43">
        <f>IF(C116="","",LeadPrefix&amp;TEXT(ROW()-4,"0000"))</f>
        <v>0</v>
      </c>
      <c r="U116" s="31">
        <f>IF(OR(C116="",B116=""),"",IF(OR(K116="Won",K116="Lost",K116="Not a fit"),"",TodayDate-B116))</f>
        <v>0</v>
      </c>
      <c r="V116" s="31">
        <f>IF(C116="","",TodayDate-MAX(IF(B116="",0,B116),IF(N116="",0,N116),IF(Q116="",0,IF(Q116&gt;TodayDate,0,Q116)),IF(M116="",0,IFERROR(INDEX(Quotes!$L$5:$L$204,MATCH(M116,Quotes!$A$5:$A$204,0)),0))))</f>
        <v>0</v>
      </c>
      <c r="W116" s="21">
        <f>IF(M116="","",IFERROR(INDEX(Quotes!$AB$5:$AB$204,MATCH(M116,Quotes!$A$5:$A$204,0)),""))</f>
        <v>0</v>
      </c>
      <c r="X116" s="39">
        <f>IF(M116="","",IFERROR(INDEX(Quotes!$K$5:$K$204,MATCH(M116,Quotes!$A$5:$A$204,0)),""))</f>
        <v>0</v>
      </c>
      <c r="Y116" s="50">
        <f>IF(C116="","",IF(K116="Won","Yes",IF(K116="Lost","No","")))</f>
        <v>0</v>
      </c>
      <c r="Z116" s="39">
        <f>IF(C116="","",IF(K116="Won","OK - won",IF(OR(K116="Lost",K116="Not a fit"),"Closed",IF(AND(Q116&lt;&gt;"",Q116&lt;TodayDate),"Overdue - action was due "&amp;TEXT(Q116,"d mmm"),IF(AND(Q116&lt;&gt;"",Q116=TodayDate),"Today - "&amp;P116,IF(AND(M116&lt;&gt;"",V116&lt;&gt;"",V116&gt;=QuoteFollowupDays),"Chase - quote sent, no answer",IF(AND(M116="",U116&lt;&gt;"",U116&gt;=2),"Action - no quote sent yet","OK")))))))</f>
        <v>0</v>
      </c>
    </row>
    <row r="117" spans="1:26">
      <c r="A117" s="43">
        <f>IF(C117="","",LeadPrefix&amp;TEXT(ROW()-4,"0000"))</f>
        <v>0</v>
      </c>
      <c r="U117" s="31">
        <f>IF(OR(C117="",B117=""),"",IF(OR(K117="Won",K117="Lost",K117="Not a fit"),"",TodayDate-B117))</f>
        <v>0</v>
      </c>
      <c r="V117" s="31">
        <f>IF(C117="","",TodayDate-MAX(IF(B117="",0,B117),IF(N117="",0,N117),IF(Q117="",0,IF(Q117&gt;TodayDate,0,Q117)),IF(M117="",0,IFERROR(INDEX(Quotes!$L$5:$L$204,MATCH(M117,Quotes!$A$5:$A$204,0)),0))))</f>
        <v>0</v>
      </c>
      <c r="W117" s="21">
        <f>IF(M117="","",IFERROR(INDEX(Quotes!$AB$5:$AB$204,MATCH(M117,Quotes!$A$5:$A$204,0)),""))</f>
        <v>0</v>
      </c>
      <c r="X117" s="39">
        <f>IF(M117="","",IFERROR(INDEX(Quotes!$K$5:$K$204,MATCH(M117,Quotes!$A$5:$A$204,0)),""))</f>
        <v>0</v>
      </c>
      <c r="Y117" s="50">
        <f>IF(C117="","",IF(K117="Won","Yes",IF(K117="Lost","No","")))</f>
        <v>0</v>
      </c>
      <c r="Z117" s="39">
        <f>IF(C117="","",IF(K117="Won","OK - won",IF(OR(K117="Lost",K117="Not a fit"),"Closed",IF(AND(Q117&lt;&gt;"",Q117&lt;TodayDate),"Overdue - action was due "&amp;TEXT(Q117,"d mmm"),IF(AND(Q117&lt;&gt;"",Q117=TodayDate),"Today - "&amp;P117,IF(AND(M117&lt;&gt;"",V117&lt;&gt;"",V117&gt;=QuoteFollowupDays),"Chase - quote sent, no answer",IF(AND(M117="",U117&lt;&gt;"",U117&gt;=2),"Action - no quote sent yet","OK")))))))</f>
        <v>0</v>
      </c>
    </row>
    <row r="118" spans="1:26">
      <c r="A118" s="43">
        <f>IF(C118="","",LeadPrefix&amp;TEXT(ROW()-4,"0000"))</f>
        <v>0</v>
      </c>
      <c r="U118" s="31">
        <f>IF(OR(C118="",B118=""),"",IF(OR(K118="Won",K118="Lost",K118="Not a fit"),"",TodayDate-B118))</f>
        <v>0</v>
      </c>
      <c r="V118" s="31">
        <f>IF(C118="","",TodayDate-MAX(IF(B118="",0,B118),IF(N118="",0,N118),IF(Q118="",0,IF(Q118&gt;TodayDate,0,Q118)),IF(M118="",0,IFERROR(INDEX(Quotes!$L$5:$L$204,MATCH(M118,Quotes!$A$5:$A$204,0)),0))))</f>
        <v>0</v>
      </c>
      <c r="W118" s="21">
        <f>IF(M118="","",IFERROR(INDEX(Quotes!$AB$5:$AB$204,MATCH(M118,Quotes!$A$5:$A$204,0)),""))</f>
        <v>0</v>
      </c>
      <c r="X118" s="39">
        <f>IF(M118="","",IFERROR(INDEX(Quotes!$K$5:$K$204,MATCH(M118,Quotes!$A$5:$A$204,0)),""))</f>
        <v>0</v>
      </c>
      <c r="Y118" s="50">
        <f>IF(C118="","",IF(K118="Won","Yes",IF(K118="Lost","No","")))</f>
        <v>0</v>
      </c>
      <c r="Z118" s="39">
        <f>IF(C118="","",IF(K118="Won","OK - won",IF(OR(K118="Lost",K118="Not a fit"),"Closed",IF(AND(Q118&lt;&gt;"",Q118&lt;TodayDate),"Overdue - action was due "&amp;TEXT(Q118,"d mmm"),IF(AND(Q118&lt;&gt;"",Q118=TodayDate),"Today - "&amp;P118,IF(AND(M118&lt;&gt;"",V118&lt;&gt;"",V118&gt;=QuoteFollowupDays),"Chase - quote sent, no answer",IF(AND(M118="",U118&lt;&gt;"",U118&gt;=2),"Action - no quote sent yet","OK")))))))</f>
        <v>0</v>
      </c>
    </row>
    <row r="119" spans="1:26">
      <c r="A119" s="43">
        <f>IF(C119="","",LeadPrefix&amp;TEXT(ROW()-4,"0000"))</f>
        <v>0</v>
      </c>
      <c r="U119" s="31">
        <f>IF(OR(C119="",B119=""),"",IF(OR(K119="Won",K119="Lost",K119="Not a fit"),"",TodayDate-B119))</f>
        <v>0</v>
      </c>
      <c r="V119" s="31">
        <f>IF(C119="","",TodayDate-MAX(IF(B119="",0,B119),IF(N119="",0,N119),IF(Q119="",0,IF(Q119&gt;TodayDate,0,Q119)),IF(M119="",0,IFERROR(INDEX(Quotes!$L$5:$L$204,MATCH(M119,Quotes!$A$5:$A$204,0)),0))))</f>
        <v>0</v>
      </c>
      <c r="W119" s="21">
        <f>IF(M119="","",IFERROR(INDEX(Quotes!$AB$5:$AB$204,MATCH(M119,Quotes!$A$5:$A$204,0)),""))</f>
        <v>0</v>
      </c>
      <c r="X119" s="39">
        <f>IF(M119="","",IFERROR(INDEX(Quotes!$K$5:$K$204,MATCH(M119,Quotes!$A$5:$A$204,0)),""))</f>
        <v>0</v>
      </c>
      <c r="Y119" s="50">
        <f>IF(C119="","",IF(K119="Won","Yes",IF(K119="Lost","No","")))</f>
        <v>0</v>
      </c>
      <c r="Z119" s="39">
        <f>IF(C119="","",IF(K119="Won","OK - won",IF(OR(K119="Lost",K119="Not a fit"),"Closed",IF(AND(Q119&lt;&gt;"",Q119&lt;TodayDate),"Overdue - action was due "&amp;TEXT(Q119,"d mmm"),IF(AND(Q119&lt;&gt;"",Q119=TodayDate),"Today - "&amp;P119,IF(AND(M119&lt;&gt;"",V119&lt;&gt;"",V119&gt;=QuoteFollowupDays),"Chase - quote sent, no answer",IF(AND(M119="",U119&lt;&gt;"",U119&gt;=2),"Action - no quote sent yet","OK")))))))</f>
        <v>0</v>
      </c>
    </row>
    <row r="120" spans="1:26">
      <c r="A120" s="43">
        <f>IF(C120="","",LeadPrefix&amp;TEXT(ROW()-4,"0000"))</f>
        <v>0</v>
      </c>
      <c r="U120" s="31">
        <f>IF(OR(C120="",B120=""),"",IF(OR(K120="Won",K120="Lost",K120="Not a fit"),"",TodayDate-B120))</f>
        <v>0</v>
      </c>
      <c r="V120" s="31">
        <f>IF(C120="","",TodayDate-MAX(IF(B120="",0,B120),IF(N120="",0,N120),IF(Q120="",0,IF(Q120&gt;TodayDate,0,Q120)),IF(M120="",0,IFERROR(INDEX(Quotes!$L$5:$L$204,MATCH(M120,Quotes!$A$5:$A$204,0)),0))))</f>
        <v>0</v>
      </c>
      <c r="W120" s="21">
        <f>IF(M120="","",IFERROR(INDEX(Quotes!$AB$5:$AB$204,MATCH(M120,Quotes!$A$5:$A$204,0)),""))</f>
        <v>0</v>
      </c>
      <c r="X120" s="39">
        <f>IF(M120="","",IFERROR(INDEX(Quotes!$K$5:$K$204,MATCH(M120,Quotes!$A$5:$A$204,0)),""))</f>
        <v>0</v>
      </c>
      <c r="Y120" s="50">
        <f>IF(C120="","",IF(K120="Won","Yes",IF(K120="Lost","No","")))</f>
        <v>0</v>
      </c>
      <c r="Z120" s="39">
        <f>IF(C120="","",IF(K120="Won","OK - won",IF(OR(K120="Lost",K120="Not a fit"),"Closed",IF(AND(Q120&lt;&gt;"",Q120&lt;TodayDate),"Overdue - action was due "&amp;TEXT(Q120,"d mmm"),IF(AND(Q120&lt;&gt;"",Q120=TodayDate),"Today - "&amp;P120,IF(AND(M120&lt;&gt;"",V120&lt;&gt;"",V120&gt;=QuoteFollowupDays),"Chase - quote sent, no answer",IF(AND(M120="",U120&lt;&gt;"",U120&gt;=2),"Action - no quote sent yet","OK")))))))</f>
        <v>0</v>
      </c>
    </row>
    <row r="121" spans="1:26">
      <c r="A121" s="43">
        <f>IF(C121="","",LeadPrefix&amp;TEXT(ROW()-4,"0000"))</f>
        <v>0</v>
      </c>
      <c r="U121" s="31">
        <f>IF(OR(C121="",B121=""),"",IF(OR(K121="Won",K121="Lost",K121="Not a fit"),"",TodayDate-B121))</f>
        <v>0</v>
      </c>
      <c r="V121" s="31">
        <f>IF(C121="","",TodayDate-MAX(IF(B121="",0,B121),IF(N121="",0,N121),IF(Q121="",0,IF(Q121&gt;TodayDate,0,Q121)),IF(M121="",0,IFERROR(INDEX(Quotes!$L$5:$L$204,MATCH(M121,Quotes!$A$5:$A$204,0)),0))))</f>
        <v>0</v>
      </c>
      <c r="W121" s="21">
        <f>IF(M121="","",IFERROR(INDEX(Quotes!$AB$5:$AB$204,MATCH(M121,Quotes!$A$5:$A$204,0)),""))</f>
        <v>0</v>
      </c>
      <c r="X121" s="39">
        <f>IF(M121="","",IFERROR(INDEX(Quotes!$K$5:$K$204,MATCH(M121,Quotes!$A$5:$A$204,0)),""))</f>
        <v>0</v>
      </c>
      <c r="Y121" s="50">
        <f>IF(C121="","",IF(K121="Won","Yes",IF(K121="Lost","No","")))</f>
        <v>0</v>
      </c>
      <c r="Z121" s="39">
        <f>IF(C121="","",IF(K121="Won","OK - won",IF(OR(K121="Lost",K121="Not a fit"),"Closed",IF(AND(Q121&lt;&gt;"",Q121&lt;TodayDate),"Overdue - action was due "&amp;TEXT(Q121,"d mmm"),IF(AND(Q121&lt;&gt;"",Q121=TodayDate),"Today - "&amp;P121,IF(AND(M121&lt;&gt;"",V121&lt;&gt;"",V121&gt;=QuoteFollowupDays),"Chase - quote sent, no answer",IF(AND(M121="",U121&lt;&gt;"",U121&gt;=2),"Action - no quote sent yet","OK")))))))</f>
        <v>0</v>
      </c>
    </row>
    <row r="122" spans="1:26">
      <c r="A122" s="43">
        <f>IF(C122="","",LeadPrefix&amp;TEXT(ROW()-4,"0000"))</f>
        <v>0</v>
      </c>
      <c r="U122" s="31">
        <f>IF(OR(C122="",B122=""),"",IF(OR(K122="Won",K122="Lost",K122="Not a fit"),"",TodayDate-B122))</f>
        <v>0</v>
      </c>
      <c r="V122" s="31">
        <f>IF(C122="","",TodayDate-MAX(IF(B122="",0,B122),IF(N122="",0,N122),IF(Q122="",0,IF(Q122&gt;TodayDate,0,Q122)),IF(M122="",0,IFERROR(INDEX(Quotes!$L$5:$L$204,MATCH(M122,Quotes!$A$5:$A$204,0)),0))))</f>
        <v>0</v>
      </c>
      <c r="W122" s="21">
        <f>IF(M122="","",IFERROR(INDEX(Quotes!$AB$5:$AB$204,MATCH(M122,Quotes!$A$5:$A$204,0)),""))</f>
        <v>0</v>
      </c>
      <c r="X122" s="39">
        <f>IF(M122="","",IFERROR(INDEX(Quotes!$K$5:$K$204,MATCH(M122,Quotes!$A$5:$A$204,0)),""))</f>
        <v>0</v>
      </c>
      <c r="Y122" s="50">
        <f>IF(C122="","",IF(K122="Won","Yes",IF(K122="Lost","No","")))</f>
        <v>0</v>
      </c>
      <c r="Z122" s="39">
        <f>IF(C122="","",IF(K122="Won","OK - won",IF(OR(K122="Lost",K122="Not a fit"),"Closed",IF(AND(Q122&lt;&gt;"",Q122&lt;TodayDate),"Overdue - action was due "&amp;TEXT(Q122,"d mmm"),IF(AND(Q122&lt;&gt;"",Q122=TodayDate),"Today - "&amp;P122,IF(AND(M122&lt;&gt;"",V122&lt;&gt;"",V122&gt;=QuoteFollowupDays),"Chase - quote sent, no answer",IF(AND(M122="",U122&lt;&gt;"",U122&gt;=2),"Action - no quote sent yet","OK")))))))</f>
        <v>0</v>
      </c>
    </row>
    <row r="123" spans="1:26">
      <c r="A123" s="43">
        <f>IF(C123="","",LeadPrefix&amp;TEXT(ROW()-4,"0000"))</f>
        <v>0</v>
      </c>
      <c r="U123" s="31">
        <f>IF(OR(C123="",B123=""),"",IF(OR(K123="Won",K123="Lost",K123="Not a fit"),"",TodayDate-B123))</f>
        <v>0</v>
      </c>
      <c r="V123" s="31">
        <f>IF(C123="","",TodayDate-MAX(IF(B123="",0,B123),IF(N123="",0,N123),IF(Q123="",0,IF(Q123&gt;TodayDate,0,Q123)),IF(M123="",0,IFERROR(INDEX(Quotes!$L$5:$L$204,MATCH(M123,Quotes!$A$5:$A$204,0)),0))))</f>
        <v>0</v>
      </c>
      <c r="W123" s="21">
        <f>IF(M123="","",IFERROR(INDEX(Quotes!$AB$5:$AB$204,MATCH(M123,Quotes!$A$5:$A$204,0)),""))</f>
        <v>0</v>
      </c>
      <c r="X123" s="39">
        <f>IF(M123="","",IFERROR(INDEX(Quotes!$K$5:$K$204,MATCH(M123,Quotes!$A$5:$A$204,0)),""))</f>
        <v>0</v>
      </c>
      <c r="Y123" s="50">
        <f>IF(C123="","",IF(K123="Won","Yes",IF(K123="Lost","No","")))</f>
        <v>0</v>
      </c>
      <c r="Z123" s="39">
        <f>IF(C123="","",IF(K123="Won","OK - won",IF(OR(K123="Lost",K123="Not a fit"),"Closed",IF(AND(Q123&lt;&gt;"",Q123&lt;TodayDate),"Overdue - action was due "&amp;TEXT(Q123,"d mmm"),IF(AND(Q123&lt;&gt;"",Q123=TodayDate),"Today - "&amp;P123,IF(AND(M123&lt;&gt;"",V123&lt;&gt;"",V123&gt;=QuoteFollowupDays),"Chase - quote sent, no answer",IF(AND(M123="",U123&lt;&gt;"",U123&gt;=2),"Action - no quote sent yet","OK")))))))</f>
        <v>0</v>
      </c>
    </row>
    <row r="124" spans="1:26">
      <c r="A124" s="43">
        <f>IF(C124="","",LeadPrefix&amp;TEXT(ROW()-4,"0000"))</f>
        <v>0</v>
      </c>
      <c r="U124" s="31">
        <f>IF(OR(C124="",B124=""),"",IF(OR(K124="Won",K124="Lost",K124="Not a fit"),"",TodayDate-B124))</f>
        <v>0</v>
      </c>
      <c r="V124" s="31">
        <f>IF(C124="","",TodayDate-MAX(IF(B124="",0,B124),IF(N124="",0,N124),IF(Q124="",0,IF(Q124&gt;TodayDate,0,Q124)),IF(M124="",0,IFERROR(INDEX(Quotes!$L$5:$L$204,MATCH(M124,Quotes!$A$5:$A$204,0)),0))))</f>
        <v>0</v>
      </c>
      <c r="W124" s="21">
        <f>IF(M124="","",IFERROR(INDEX(Quotes!$AB$5:$AB$204,MATCH(M124,Quotes!$A$5:$A$204,0)),""))</f>
        <v>0</v>
      </c>
      <c r="X124" s="39">
        <f>IF(M124="","",IFERROR(INDEX(Quotes!$K$5:$K$204,MATCH(M124,Quotes!$A$5:$A$204,0)),""))</f>
        <v>0</v>
      </c>
      <c r="Y124" s="50">
        <f>IF(C124="","",IF(K124="Won","Yes",IF(K124="Lost","No","")))</f>
        <v>0</v>
      </c>
      <c r="Z124" s="39">
        <f>IF(C124="","",IF(K124="Won","OK - won",IF(OR(K124="Lost",K124="Not a fit"),"Closed",IF(AND(Q124&lt;&gt;"",Q124&lt;TodayDate),"Overdue - action was due "&amp;TEXT(Q124,"d mmm"),IF(AND(Q124&lt;&gt;"",Q124=TodayDate),"Today - "&amp;P124,IF(AND(M124&lt;&gt;"",V124&lt;&gt;"",V124&gt;=QuoteFollowupDays),"Chase - quote sent, no answer",IF(AND(M124="",U124&lt;&gt;"",U124&gt;=2),"Action - no quote sent yet","OK")))))))</f>
        <v>0</v>
      </c>
    </row>
    <row r="125" spans="1:26">
      <c r="A125" s="43">
        <f>IF(C125="","",LeadPrefix&amp;TEXT(ROW()-4,"0000"))</f>
        <v>0</v>
      </c>
      <c r="U125" s="31">
        <f>IF(OR(C125="",B125=""),"",IF(OR(K125="Won",K125="Lost",K125="Not a fit"),"",TodayDate-B125))</f>
        <v>0</v>
      </c>
      <c r="V125" s="31">
        <f>IF(C125="","",TodayDate-MAX(IF(B125="",0,B125),IF(N125="",0,N125),IF(Q125="",0,IF(Q125&gt;TodayDate,0,Q125)),IF(M125="",0,IFERROR(INDEX(Quotes!$L$5:$L$204,MATCH(M125,Quotes!$A$5:$A$204,0)),0))))</f>
        <v>0</v>
      </c>
      <c r="W125" s="21">
        <f>IF(M125="","",IFERROR(INDEX(Quotes!$AB$5:$AB$204,MATCH(M125,Quotes!$A$5:$A$204,0)),""))</f>
        <v>0</v>
      </c>
      <c r="X125" s="39">
        <f>IF(M125="","",IFERROR(INDEX(Quotes!$K$5:$K$204,MATCH(M125,Quotes!$A$5:$A$204,0)),""))</f>
        <v>0</v>
      </c>
      <c r="Y125" s="50">
        <f>IF(C125="","",IF(K125="Won","Yes",IF(K125="Lost","No","")))</f>
        <v>0</v>
      </c>
      <c r="Z125" s="39">
        <f>IF(C125="","",IF(K125="Won","OK - won",IF(OR(K125="Lost",K125="Not a fit"),"Closed",IF(AND(Q125&lt;&gt;"",Q125&lt;TodayDate),"Overdue - action was due "&amp;TEXT(Q125,"d mmm"),IF(AND(Q125&lt;&gt;"",Q125=TodayDate),"Today - "&amp;P125,IF(AND(M125&lt;&gt;"",V125&lt;&gt;"",V125&gt;=QuoteFollowupDays),"Chase - quote sent, no answer",IF(AND(M125="",U125&lt;&gt;"",U125&gt;=2),"Action - no quote sent yet","OK")))))))</f>
        <v>0</v>
      </c>
    </row>
    <row r="126" spans="1:26">
      <c r="A126" s="43">
        <f>IF(C126="","",LeadPrefix&amp;TEXT(ROW()-4,"0000"))</f>
        <v>0</v>
      </c>
      <c r="U126" s="31">
        <f>IF(OR(C126="",B126=""),"",IF(OR(K126="Won",K126="Lost",K126="Not a fit"),"",TodayDate-B126))</f>
        <v>0</v>
      </c>
      <c r="V126" s="31">
        <f>IF(C126="","",TodayDate-MAX(IF(B126="",0,B126),IF(N126="",0,N126),IF(Q126="",0,IF(Q126&gt;TodayDate,0,Q126)),IF(M126="",0,IFERROR(INDEX(Quotes!$L$5:$L$204,MATCH(M126,Quotes!$A$5:$A$204,0)),0))))</f>
        <v>0</v>
      </c>
      <c r="W126" s="21">
        <f>IF(M126="","",IFERROR(INDEX(Quotes!$AB$5:$AB$204,MATCH(M126,Quotes!$A$5:$A$204,0)),""))</f>
        <v>0</v>
      </c>
      <c r="X126" s="39">
        <f>IF(M126="","",IFERROR(INDEX(Quotes!$K$5:$K$204,MATCH(M126,Quotes!$A$5:$A$204,0)),""))</f>
        <v>0</v>
      </c>
      <c r="Y126" s="50">
        <f>IF(C126="","",IF(K126="Won","Yes",IF(K126="Lost","No","")))</f>
        <v>0</v>
      </c>
      <c r="Z126" s="39">
        <f>IF(C126="","",IF(K126="Won","OK - won",IF(OR(K126="Lost",K126="Not a fit"),"Closed",IF(AND(Q126&lt;&gt;"",Q126&lt;TodayDate),"Overdue - action was due "&amp;TEXT(Q126,"d mmm"),IF(AND(Q126&lt;&gt;"",Q126=TodayDate),"Today - "&amp;P126,IF(AND(M126&lt;&gt;"",V126&lt;&gt;"",V126&gt;=QuoteFollowupDays),"Chase - quote sent, no answer",IF(AND(M126="",U126&lt;&gt;"",U126&gt;=2),"Action - no quote sent yet","OK")))))))</f>
        <v>0</v>
      </c>
    </row>
    <row r="127" spans="1:26">
      <c r="A127" s="43">
        <f>IF(C127="","",LeadPrefix&amp;TEXT(ROW()-4,"0000"))</f>
        <v>0</v>
      </c>
      <c r="U127" s="31">
        <f>IF(OR(C127="",B127=""),"",IF(OR(K127="Won",K127="Lost",K127="Not a fit"),"",TodayDate-B127))</f>
        <v>0</v>
      </c>
      <c r="V127" s="31">
        <f>IF(C127="","",TodayDate-MAX(IF(B127="",0,B127),IF(N127="",0,N127),IF(Q127="",0,IF(Q127&gt;TodayDate,0,Q127)),IF(M127="",0,IFERROR(INDEX(Quotes!$L$5:$L$204,MATCH(M127,Quotes!$A$5:$A$204,0)),0))))</f>
        <v>0</v>
      </c>
      <c r="W127" s="21">
        <f>IF(M127="","",IFERROR(INDEX(Quotes!$AB$5:$AB$204,MATCH(M127,Quotes!$A$5:$A$204,0)),""))</f>
        <v>0</v>
      </c>
      <c r="X127" s="39">
        <f>IF(M127="","",IFERROR(INDEX(Quotes!$K$5:$K$204,MATCH(M127,Quotes!$A$5:$A$204,0)),""))</f>
        <v>0</v>
      </c>
      <c r="Y127" s="50">
        <f>IF(C127="","",IF(K127="Won","Yes",IF(K127="Lost","No","")))</f>
        <v>0</v>
      </c>
      <c r="Z127" s="39">
        <f>IF(C127="","",IF(K127="Won","OK - won",IF(OR(K127="Lost",K127="Not a fit"),"Closed",IF(AND(Q127&lt;&gt;"",Q127&lt;TodayDate),"Overdue - action was due "&amp;TEXT(Q127,"d mmm"),IF(AND(Q127&lt;&gt;"",Q127=TodayDate),"Today - "&amp;P127,IF(AND(M127&lt;&gt;"",V127&lt;&gt;"",V127&gt;=QuoteFollowupDays),"Chase - quote sent, no answer",IF(AND(M127="",U127&lt;&gt;"",U127&gt;=2),"Action - no quote sent yet","OK")))))))</f>
        <v>0</v>
      </c>
    </row>
    <row r="128" spans="1:26">
      <c r="A128" s="43">
        <f>IF(C128="","",LeadPrefix&amp;TEXT(ROW()-4,"0000"))</f>
        <v>0</v>
      </c>
      <c r="U128" s="31">
        <f>IF(OR(C128="",B128=""),"",IF(OR(K128="Won",K128="Lost",K128="Not a fit"),"",TodayDate-B128))</f>
        <v>0</v>
      </c>
      <c r="V128" s="31">
        <f>IF(C128="","",TodayDate-MAX(IF(B128="",0,B128),IF(N128="",0,N128),IF(Q128="",0,IF(Q128&gt;TodayDate,0,Q128)),IF(M128="",0,IFERROR(INDEX(Quotes!$L$5:$L$204,MATCH(M128,Quotes!$A$5:$A$204,0)),0))))</f>
        <v>0</v>
      </c>
      <c r="W128" s="21">
        <f>IF(M128="","",IFERROR(INDEX(Quotes!$AB$5:$AB$204,MATCH(M128,Quotes!$A$5:$A$204,0)),""))</f>
        <v>0</v>
      </c>
      <c r="X128" s="39">
        <f>IF(M128="","",IFERROR(INDEX(Quotes!$K$5:$K$204,MATCH(M128,Quotes!$A$5:$A$204,0)),""))</f>
        <v>0</v>
      </c>
      <c r="Y128" s="50">
        <f>IF(C128="","",IF(K128="Won","Yes",IF(K128="Lost","No","")))</f>
        <v>0</v>
      </c>
      <c r="Z128" s="39">
        <f>IF(C128="","",IF(K128="Won","OK - won",IF(OR(K128="Lost",K128="Not a fit"),"Closed",IF(AND(Q128&lt;&gt;"",Q128&lt;TodayDate),"Overdue - action was due "&amp;TEXT(Q128,"d mmm"),IF(AND(Q128&lt;&gt;"",Q128=TodayDate),"Today - "&amp;P128,IF(AND(M128&lt;&gt;"",V128&lt;&gt;"",V128&gt;=QuoteFollowupDays),"Chase - quote sent, no answer",IF(AND(M128="",U128&lt;&gt;"",U128&gt;=2),"Action - no quote sent yet","OK")))))))</f>
        <v>0</v>
      </c>
    </row>
    <row r="129" spans="1:26">
      <c r="A129" s="43">
        <f>IF(C129="","",LeadPrefix&amp;TEXT(ROW()-4,"0000"))</f>
        <v>0</v>
      </c>
      <c r="U129" s="31">
        <f>IF(OR(C129="",B129=""),"",IF(OR(K129="Won",K129="Lost",K129="Not a fit"),"",TodayDate-B129))</f>
        <v>0</v>
      </c>
      <c r="V129" s="31">
        <f>IF(C129="","",TodayDate-MAX(IF(B129="",0,B129),IF(N129="",0,N129),IF(Q129="",0,IF(Q129&gt;TodayDate,0,Q129)),IF(M129="",0,IFERROR(INDEX(Quotes!$L$5:$L$204,MATCH(M129,Quotes!$A$5:$A$204,0)),0))))</f>
        <v>0</v>
      </c>
      <c r="W129" s="21">
        <f>IF(M129="","",IFERROR(INDEX(Quotes!$AB$5:$AB$204,MATCH(M129,Quotes!$A$5:$A$204,0)),""))</f>
        <v>0</v>
      </c>
      <c r="X129" s="39">
        <f>IF(M129="","",IFERROR(INDEX(Quotes!$K$5:$K$204,MATCH(M129,Quotes!$A$5:$A$204,0)),""))</f>
        <v>0</v>
      </c>
      <c r="Y129" s="50">
        <f>IF(C129="","",IF(K129="Won","Yes",IF(K129="Lost","No","")))</f>
        <v>0</v>
      </c>
      <c r="Z129" s="39">
        <f>IF(C129="","",IF(K129="Won","OK - won",IF(OR(K129="Lost",K129="Not a fit"),"Closed",IF(AND(Q129&lt;&gt;"",Q129&lt;TodayDate),"Overdue - action was due "&amp;TEXT(Q129,"d mmm"),IF(AND(Q129&lt;&gt;"",Q129=TodayDate),"Today - "&amp;P129,IF(AND(M129&lt;&gt;"",V129&lt;&gt;"",V129&gt;=QuoteFollowupDays),"Chase - quote sent, no answer",IF(AND(M129="",U129&lt;&gt;"",U129&gt;=2),"Action - no quote sent yet","OK")))))))</f>
        <v>0</v>
      </c>
    </row>
    <row r="130" spans="1:26">
      <c r="A130" s="43">
        <f>IF(C130="","",LeadPrefix&amp;TEXT(ROW()-4,"0000"))</f>
        <v>0</v>
      </c>
      <c r="U130" s="31">
        <f>IF(OR(C130="",B130=""),"",IF(OR(K130="Won",K130="Lost",K130="Not a fit"),"",TodayDate-B130))</f>
        <v>0</v>
      </c>
      <c r="V130" s="31">
        <f>IF(C130="","",TodayDate-MAX(IF(B130="",0,B130),IF(N130="",0,N130),IF(Q130="",0,IF(Q130&gt;TodayDate,0,Q130)),IF(M130="",0,IFERROR(INDEX(Quotes!$L$5:$L$204,MATCH(M130,Quotes!$A$5:$A$204,0)),0))))</f>
        <v>0</v>
      </c>
      <c r="W130" s="21">
        <f>IF(M130="","",IFERROR(INDEX(Quotes!$AB$5:$AB$204,MATCH(M130,Quotes!$A$5:$A$204,0)),""))</f>
        <v>0</v>
      </c>
      <c r="X130" s="39">
        <f>IF(M130="","",IFERROR(INDEX(Quotes!$K$5:$K$204,MATCH(M130,Quotes!$A$5:$A$204,0)),""))</f>
        <v>0</v>
      </c>
      <c r="Y130" s="50">
        <f>IF(C130="","",IF(K130="Won","Yes",IF(K130="Lost","No","")))</f>
        <v>0</v>
      </c>
      <c r="Z130" s="39">
        <f>IF(C130="","",IF(K130="Won","OK - won",IF(OR(K130="Lost",K130="Not a fit"),"Closed",IF(AND(Q130&lt;&gt;"",Q130&lt;TodayDate),"Overdue - action was due "&amp;TEXT(Q130,"d mmm"),IF(AND(Q130&lt;&gt;"",Q130=TodayDate),"Today - "&amp;P130,IF(AND(M130&lt;&gt;"",V130&lt;&gt;"",V130&gt;=QuoteFollowupDays),"Chase - quote sent, no answer",IF(AND(M130="",U130&lt;&gt;"",U130&gt;=2),"Action - no quote sent yet","OK")))))))</f>
        <v>0</v>
      </c>
    </row>
    <row r="131" spans="1:26">
      <c r="A131" s="43">
        <f>IF(C131="","",LeadPrefix&amp;TEXT(ROW()-4,"0000"))</f>
        <v>0</v>
      </c>
      <c r="U131" s="31">
        <f>IF(OR(C131="",B131=""),"",IF(OR(K131="Won",K131="Lost",K131="Not a fit"),"",TodayDate-B131))</f>
        <v>0</v>
      </c>
      <c r="V131" s="31">
        <f>IF(C131="","",TodayDate-MAX(IF(B131="",0,B131),IF(N131="",0,N131),IF(Q131="",0,IF(Q131&gt;TodayDate,0,Q131)),IF(M131="",0,IFERROR(INDEX(Quotes!$L$5:$L$204,MATCH(M131,Quotes!$A$5:$A$204,0)),0))))</f>
        <v>0</v>
      </c>
      <c r="W131" s="21">
        <f>IF(M131="","",IFERROR(INDEX(Quotes!$AB$5:$AB$204,MATCH(M131,Quotes!$A$5:$A$204,0)),""))</f>
        <v>0</v>
      </c>
      <c r="X131" s="39">
        <f>IF(M131="","",IFERROR(INDEX(Quotes!$K$5:$K$204,MATCH(M131,Quotes!$A$5:$A$204,0)),""))</f>
        <v>0</v>
      </c>
      <c r="Y131" s="50">
        <f>IF(C131="","",IF(K131="Won","Yes",IF(K131="Lost","No","")))</f>
        <v>0</v>
      </c>
      <c r="Z131" s="39">
        <f>IF(C131="","",IF(K131="Won","OK - won",IF(OR(K131="Lost",K131="Not a fit"),"Closed",IF(AND(Q131&lt;&gt;"",Q131&lt;TodayDate),"Overdue - action was due "&amp;TEXT(Q131,"d mmm"),IF(AND(Q131&lt;&gt;"",Q131=TodayDate),"Today - "&amp;P131,IF(AND(M131&lt;&gt;"",V131&lt;&gt;"",V131&gt;=QuoteFollowupDays),"Chase - quote sent, no answer",IF(AND(M131="",U131&lt;&gt;"",U131&gt;=2),"Action - no quote sent yet","OK")))))))</f>
        <v>0</v>
      </c>
    </row>
    <row r="132" spans="1:26">
      <c r="A132" s="43">
        <f>IF(C132="","",LeadPrefix&amp;TEXT(ROW()-4,"0000"))</f>
        <v>0</v>
      </c>
      <c r="U132" s="31">
        <f>IF(OR(C132="",B132=""),"",IF(OR(K132="Won",K132="Lost",K132="Not a fit"),"",TodayDate-B132))</f>
        <v>0</v>
      </c>
      <c r="V132" s="31">
        <f>IF(C132="","",TodayDate-MAX(IF(B132="",0,B132),IF(N132="",0,N132),IF(Q132="",0,IF(Q132&gt;TodayDate,0,Q132)),IF(M132="",0,IFERROR(INDEX(Quotes!$L$5:$L$204,MATCH(M132,Quotes!$A$5:$A$204,0)),0))))</f>
        <v>0</v>
      </c>
      <c r="W132" s="21">
        <f>IF(M132="","",IFERROR(INDEX(Quotes!$AB$5:$AB$204,MATCH(M132,Quotes!$A$5:$A$204,0)),""))</f>
        <v>0</v>
      </c>
      <c r="X132" s="39">
        <f>IF(M132="","",IFERROR(INDEX(Quotes!$K$5:$K$204,MATCH(M132,Quotes!$A$5:$A$204,0)),""))</f>
        <v>0</v>
      </c>
      <c r="Y132" s="50">
        <f>IF(C132="","",IF(K132="Won","Yes",IF(K132="Lost","No","")))</f>
        <v>0</v>
      </c>
      <c r="Z132" s="39">
        <f>IF(C132="","",IF(K132="Won","OK - won",IF(OR(K132="Lost",K132="Not a fit"),"Closed",IF(AND(Q132&lt;&gt;"",Q132&lt;TodayDate),"Overdue - action was due "&amp;TEXT(Q132,"d mmm"),IF(AND(Q132&lt;&gt;"",Q132=TodayDate),"Today - "&amp;P132,IF(AND(M132&lt;&gt;"",V132&lt;&gt;"",V132&gt;=QuoteFollowupDays),"Chase - quote sent, no answer",IF(AND(M132="",U132&lt;&gt;"",U132&gt;=2),"Action - no quote sent yet","OK")))))))</f>
        <v>0</v>
      </c>
    </row>
    <row r="133" spans="1:26">
      <c r="A133" s="43">
        <f>IF(C133="","",LeadPrefix&amp;TEXT(ROW()-4,"0000"))</f>
        <v>0</v>
      </c>
      <c r="U133" s="31">
        <f>IF(OR(C133="",B133=""),"",IF(OR(K133="Won",K133="Lost",K133="Not a fit"),"",TodayDate-B133))</f>
        <v>0</v>
      </c>
      <c r="V133" s="31">
        <f>IF(C133="","",TodayDate-MAX(IF(B133="",0,B133),IF(N133="",0,N133),IF(Q133="",0,IF(Q133&gt;TodayDate,0,Q133)),IF(M133="",0,IFERROR(INDEX(Quotes!$L$5:$L$204,MATCH(M133,Quotes!$A$5:$A$204,0)),0))))</f>
        <v>0</v>
      </c>
      <c r="W133" s="21">
        <f>IF(M133="","",IFERROR(INDEX(Quotes!$AB$5:$AB$204,MATCH(M133,Quotes!$A$5:$A$204,0)),""))</f>
        <v>0</v>
      </c>
      <c r="X133" s="39">
        <f>IF(M133="","",IFERROR(INDEX(Quotes!$K$5:$K$204,MATCH(M133,Quotes!$A$5:$A$204,0)),""))</f>
        <v>0</v>
      </c>
      <c r="Y133" s="50">
        <f>IF(C133="","",IF(K133="Won","Yes",IF(K133="Lost","No","")))</f>
        <v>0</v>
      </c>
      <c r="Z133" s="39">
        <f>IF(C133="","",IF(K133="Won","OK - won",IF(OR(K133="Lost",K133="Not a fit"),"Closed",IF(AND(Q133&lt;&gt;"",Q133&lt;TodayDate),"Overdue - action was due "&amp;TEXT(Q133,"d mmm"),IF(AND(Q133&lt;&gt;"",Q133=TodayDate),"Today - "&amp;P133,IF(AND(M133&lt;&gt;"",V133&lt;&gt;"",V133&gt;=QuoteFollowupDays),"Chase - quote sent, no answer",IF(AND(M133="",U133&lt;&gt;"",U133&gt;=2),"Action - no quote sent yet","OK")))))))</f>
        <v>0</v>
      </c>
    </row>
    <row r="134" spans="1:26">
      <c r="A134" s="43">
        <f>IF(C134="","",LeadPrefix&amp;TEXT(ROW()-4,"0000"))</f>
        <v>0</v>
      </c>
      <c r="U134" s="31">
        <f>IF(OR(C134="",B134=""),"",IF(OR(K134="Won",K134="Lost",K134="Not a fit"),"",TodayDate-B134))</f>
        <v>0</v>
      </c>
      <c r="V134" s="31">
        <f>IF(C134="","",TodayDate-MAX(IF(B134="",0,B134),IF(N134="",0,N134),IF(Q134="",0,IF(Q134&gt;TodayDate,0,Q134)),IF(M134="",0,IFERROR(INDEX(Quotes!$L$5:$L$204,MATCH(M134,Quotes!$A$5:$A$204,0)),0))))</f>
        <v>0</v>
      </c>
      <c r="W134" s="21">
        <f>IF(M134="","",IFERROR(INDEX(Quotes!$AB$5:$AB$204,MATCH(M134,Quotes!$A$5:$A$204,0)),""))</f>
        <v>0</v>
      </c>
      <c r="X134" s="39">
        <f>IF(M134="","",IFERROR(INDEX(Quotes!$K$5:$K$204,MATCH(M134,Quotes!$A$5:$A$204,0)),""))</f>
        <v>0</v>
      </c>
      <c r="Y134" s="50">
        <f>IF(C134="","",IF(K134="Won","Yes",IF(K134="Lost","No","")))</f>
        <v>0</v>
      </c>
      <c r="Z134" s="39">
        <f>IF(C134="","",IF(K134="Won","OK - won",IF(OR(K134="Lost",K134="Not a fit"),"Closed",IF(AND(Q134&lt;&gt;"",Q134&lt;TodayDate),"Overdue - action was due "&amp;TEXT(Q134,"d mmm"),IF(AND(Q134&lt;&gt;"",Q134=TodayDate),"Today - "&amp;P134,IF(AND(M134&lt;&gt;"",V134&lt;&gt;"",V134&gt;=QuoteFollowupDays),"Chase - quote sent, no answer",IF(AND(M134="",U134&lt;&gt;"",U134&gt;=2),"Action - no quote sent yet","OK")))))))</f>
        <v>0</v>
      </c>
    </row>
    <row r="135" spans="1:26">
      <c r="A135" s="43">
        <f>IF(C135="","",LeadPrefix&amp;TEXT(ROW()-4,"0000"))</f>
        <v>0</v>
      </c>
      <c r="U135" s="31">
        <f>IF(OR(C135="",B135=""),"",IF(OR(K135="Won",K135="Lost",K135="Not a fit"),"",TodayDate-B135))</f>
        <v>0</v>
      </c>
      <c r="V135" s="31">
        <f>IF(C135="","",TodayDate-MAX(IF(B135="",0,B135),IF(N135="",0,N135),IF(Q135="",0,IF(Q135&gt;TodayDate,0,Q135)),IF(M135="",0,IFERROR(INDEX(Quotes!$L$5:$L$204,MATCH(M135,Quotes!$A$5:$A$204,0)),0))))</f>
        <v>0</v>
      </c>
      <c r="W135" s="21">
        <f>IF(M135="","",IFERROR(INDEX(Quotes!$AB$5:$AB$204,MATCH(M135,Quotes!$A$5:$A$204,0)),""))</f>
        <v>0</v>
      </c>
      <c r="X135" s="39">
        <f>IF(M135="","",IFERROR(INDEX(Quotes!$K$5:$K$204,MATCH(M135,Quotes!$A$5:$A$204,0)),""))</f>
        <v>0</v>
      </c>
      <c r="Y135" s="50">
        <f>IF(C135="","",IF(K135="Won","Yes",IF(K135="Lost","No","")))</f>
        <v>0</v>
      </c>
      <c r="Z135" s="39">
        <f>IF(C135="","",IF(K135="Won","OK - won",IF(OR(K135="Lost",K135="Not a fit"),"Closed",IF(AND(Q135&lt;&gt;"",Q135&lt;TodayDate),"Overdue - action was due "&amp;TEXT(Q135,"d mmm"),IF(AND(Q135&lt;&gt;"",Q135=TodayDate),"Today - "&amp;P135,IF(AND(M135&lt;&gt;"",V135&lt;&gt;"",V135&gt;=QuoteFollowupDays),"Chase - quote sent, no answer",IF(AND(M135="",U135&lt;&gt;"",U135&gt;=2),"Action - no quote sent yet","OK")))))))</f>
        <v>0</v>
      </c>
    </row>
    <row r="136" spans="1:26">
      <c r="A136" s="43">
        <f>IF(C136="","",LeadPrefix&amp;TEXT(ROW()-4,"0000"))</f>
        <v>0</v>
      </c>
      <c r="U136" s="31">
        <f>IF(OR(C136="",B136=""),"",IF(OR(K136="Won",K136="Lost",K136="Not a fit"),"",TodayDate-B136))</f>
        <v>0</v>
      </c>
      <c r="V136" s="31">
        <f>IF(C136="","",TodayDate-MAX(IF(B136="",0,B136),IF(N136="",0,N136),IF(Q136="",0,IF(Q136&gt;TodayDate,0,Q136)),IF(M136="",0,IFERROR(INDEX(Quotes!$L$5:$L$204,MATCH(M136,Quotes!$A$5:$A$204,0)),0))))</f>
        <v>0</v>
      </c>
      <c r="W136" s="21">
        <f>IF(M136="","",IFERROR(INDEX(Quotes!$AB$5:$AB$204,MATCH(M136,Quotes!$A$5:$A$204,0)),""))</f>
        <v>0</v>
      </c>
      <c r="X136" s="39">
        <f>IF(M136="","",IFERROR(INDEX(Quotes!$K$5:$K$204,MATCH(M136,Quotes!$A$5:$A$204,0)),""))</f>
        <v>0</v>
      </c>
      <c r="Y136" s="50">
        <f>IF(C136="","",IF(K136="Won","Yes",IF(K136="Lost","No","")))</f>
        <v>0</v>
      </c>
      <c r="Z136" s="39">
        <f>IF(C136="","",IF(K136="Won","OK - won",IF(OR(K136="Lost",K136="Not a fit"),"Closed",IF(AND(Q136&lt;&gt;"",Q136&lt;TodayDate),"Overdue - action was due "&amp;TEXT(Q136,"d mmm"),IF(AND(Q136&lt;&gt;"",Q136=TodayDate),"Today - "&amp;P136,IF(AND(M136&lt;&gt;"",V136&lt;&gt;"",V136&gt;=QuoteFollowupDays),"Chase - quote sent, no answer",IF(AND(M136="",U136&lt;&gt;"",U136&gt;=2),"Action - no quote sent yet","OK")))))))</f>
        <v>0</v>
      </c>
    </row>
    <row r="137" spans="1:26">
      <c r="A137" s="43">
        <f>IF(C137="","",LeadPrefix&amp;TEXT(ROW()-4,"0000"))</f>
        <v>0</v>
      </c>
      <c r="U137" s="31">
        <f>IF(OR(C137="",B137=""),"",IF(OR(K137="Won",K137="Lost",K137="Not a fit"),"",TodayDate-B137))</f>
        <v>0</v>
      </c>
      <c r="V137" s="31">
        <f>IF(C137="","",TodayDate-MAX(IF(B137="",0,B137),IF(N137="",0,N137),IF(Q137="",0,IF(Q137&gt;TodayDate,0,Q137)),IF(M137="",0,IFERROR(INDEX(Quotes!$L$5:$L$204,MATCH(M137,Quotes!$A$5:$A$204,0)),0))))</f>
        <v>0</v>
      </c>
      <c r="W137" s="21">
        <f>IF(M137="","",IFERROR(INDEX(Quotes!$AB$5:$AB$204,MATCH(M137,Quotes!$A$5:$A$204,0)),""))</f>
        <v>0</v>
      </c>
      <c r="X137" s="39">
        <f>IF(M137="","",IFERROR(INDEX(Quotes!$K$5:$K$204,MATCH(M137,Quotes!$A$5:$A$204,0)),""))</f>
        <v>0</v>
      </c>
      <c r="Y137" s="50">
        <f>IF(C137="","",IF(K137="Won","Yes",IF(K137="Lost","No","")))</f>
        <v>0</v>
      </c>
      <c r="Z137" s="39">
        <f>IF(C137="","",IF(K137="Won","OK - won",IF(OR(K137="Lost",K137="Not a fit"),"Closed",IF(AND(Q137&lt;&gt;"",Q137&lt;TodayDate),"Overdue - action was due "&amp;TEXT(Q137,"d mmm"),IF(AND(Q137&lt;&gt;"",Q137=TodayDate),"Today - "&amp;P137,IF(AND(M137&lt;&gt;"",V137&lt;&gt;"",V137&gt;=QuoteFollowupDays),"Chase - quote sent, no answer",IF(AND(M137="",U137&lt;&gt;"",U137&gt;=2),"Action - no quote sent yet","OK")))))))</f>
        <v>0</v>
      </c>
    </row>
    <row r="138" spans="1:26">
      <c r="A138" s="43">
        <f>IF(C138="","",LeadPrefix&amp;TEXT(ROW()-4,"0000"))</f>
        <v>0</v>
      </c>
      <c r="U138" s="31">
        <f>IF(OR(C138="",B138=""),"",IF(OR(K138="Won",K138="Lost",K138="Not a fit"),"",TodayDate-B138))</f>
        <v>0</v>
      </c>
      <c r="V138" s="31">
        <f>IF(C138="","",TodayDate-MAX(IF(B138="",0,B138),IF(N138="",0,N138),IF(Q138="",0,IF(Q138&gt;TodayDate,0,Q138)),IF(M138="",0,IFERROR(INDEX(Quotes!$L$5:$L$204,MATCH(M138,Quotes!$A$5:$A$204,0)),0))))</f>
        <v>0</v>
      </c>
      <c r="W138" s="21">
        <f>IF(M138="","",IFERROR(INDEX(Quotes!$AB$5:$AB$204,MATCH(M138,Quotes!$A$5:$A$204,0)),""))</f>
        <v>0</v>
      </c>
      <c r="X138" s="39">
        <f>IF(M138="","",IFERROR(INDEX(Quotes!$K$5:$K$204,MATCH(M138,Quotes!$A$5:$A$204,0)),""))</f>
        <v>0</v>
      </c>
      <c r="Y138" s="50">
        <f>IF(C138="","",IF(K138="Won","Yes",IF(K138="Lost","No","")))</f>
        <v>0</v>
      </c>
      <c r="Z138" s="39">
        <f>IF(C138="","",IF(K138="Won","OK - won",IF(OR(K138="Lost",K138="Not a fit"),"Closed",IF(AND(Q138&lt;&gt;"",Q138&lt;TodayDate),"Overdue - action was due "&amp;TEXT(Q138,"d mmm"),IF(AND(Q138&lt;&gt;"",Q138=TodayDate),"Today - "&amp;P138,IF(AND(M138&lt;&gt;"",V138&lt;&gt;"",V138&gt;=QuoteFollowupDays),"Chase - quote sent, no answer",IF(AND(M138="",U138&lt;&gt;"",U138&gt;=2),"Action - no quote sent yet","OK")))))))</f>
        <v>0</v>
      </c>
    </row>
    <row r="139" spans="1:26">
      <c r="A139" s="43">
        <f>IF(C139="","",LeadPrefix&amp;TEXT(ROW()-4,"0000"))</f>
        <v>0</v>
      </c>
      <c r="U139" s="31">
        <f>IF(OR(C139="",B139=""),"",IF(OR(K139="Won",K139="Lost",K139="Not a fit"),"",TodayDate-B139))</f>
        <v>0</v>
      </c>
      <c r="V139" s="31">
        <f>IF(C139="","",TodayDate-MAX(IF(B139="",0,B139),IF(N139="",0,N139),IF(Q139="",0,IF(Q139&gt;TodayDate,0,Q139)),IF(M139="",0,IFERROR(INDEX(Quotes!$L$5:$L$204,MATCH(M139,Quotes!$A$5:$A$204,0)),0))))</f>
        <v>0</v>
      </c>
      <c r="W139" s="21">
        <f>IF(M139="","",IFERROR(INDEX(Quotes!$AB$5:$AB$204,MATCH(M139,Quotes!$A$5:$A$204,0)),""))</f>
        <v>0</v>
      </c>
      <c r="X139" s="39">
        <f>IF(M139="","",IFERROR(INDEX(Quotes!$K$5:$K$204,MATCH(M139,Quotes!$A$5:$A$204,0)),""))</f>
        <v>0</v>
      </c>
      <c r="Y139" s="50">
        <f>IF(C139="","",IF(K139="Won","Yes",IF(K139="Lost","No","")))</f>
        <v>0</v>
      </c>
      <c r="Z139" s="39">
        <f>IF(C139="","",IF(K139="Won","OK - won",IF(OR(K139="Lost",K139="Not a fit"),"Closed",IF(AND(Q139&lt;&gt;"",Q139&lt;TodayDate),"Overdue - action was due "&amp;TEXT(Q139,"d mmm"),IF(AND(Q139&lt;&gt;"",Q139=TodayDate),"Today - "&amp;P139,IF(AND(M139&lt;&gt;"",V139&lt;&gt;"",V139&gt;=QuoteFollowupDays),"Chase - quote sent, no answer",IF(AND(M139="",U139&lt;&gt;"",U139&gt;=2),"Action - no quote sent yet","OK")))))))</f>
        <v>0</v>
      </c>
    </row>
    <row r="140" spans="1:26">
      <c r="A140" s="43">
        <f>IF(C140="","",LeadPrefix&amp;TEXT(ROW()-4,"0000"))</f>
        <v>0</v>
      </c>
      <c r="U140" s="31">
        <f>IF(OR(C140="",B140=""),"",IF(OR(K140="Won",K140="Lost",K140="Not a fit"),"",TodayDate-B140))</f>
        <v>0</v>
      </c>
      <c r="V140" s="31">
        <f>IF(C140="","",TodayDate-MAX(IF(B140="",0,B140),IF(N140="",0,N140),IF(Q140="",0,IF(Q140&gt;TodayDate,0,Q140)),IF(M140="",0,IFERROR(INDEX(Quotes!$L$5:$L$204,MATCH(M140,Quotes!$A$5:$A$204,0)),0))))</f>
        <v>0</v>
      </c>
      <c r="W140" s="21">
        <f>IF(M140="","",IFERROR(INDEX(Quotes!$AB$5:$AB$204,MATCH(M140,Quotes!$A$5:$A$204,0)),""))</f>
        <v>0</v>
      </c>
      <c r="X140" s="39">
        <f>IF(M140="","",IFERROR(INDEX(Quotes!$K$5:$K$204,MATCH(M140,Quotes!$A$5:$A$204,0)),""))</f>
        <v>0</v>
      </c>
      <c r="Y140" s="50">
        <f>IF(C140="","",IF(K140="Won","Yes",IF(K140="Lost","No","")))</f>
        <v>0</v>
      </c>
      <c r="Z140" s="39">
        <f>IF(C140="","",IF(K140="Won","OK - won",IF(OR(K140="Lost",K140="Not a fit"),"Closed",IF(AND(Q140&lt;&gt;"",Q140&lt;TodayDate),"Overdue - action was due "&amp;TEXT(Q140,"d mmm"),IF(AND(Q140&lt;&gt;"",Q140=TodayDate),"Today - "&amp;P140,IF(AND(M140&lt;&gt;"",V140&lt;&gt;"",V140&gt;=QuoteFollowupDays),"Chase - quote sent, no answer",IF(AND(M140="",U140&lt;&gt;"",U140&gt;=2),"Action - no quote sent yet","OK")))))))</f>
        <v>0</v>
      </c>
    </row>
    <row r="141" spans="1:26">
      <c r="A141" s="43">
        <f>IF(C141="","",LeadPrefix&amp;TEXT(ROW()-4,"0000"))</f>
        <v>0</v>
      </c>
      <c r="U141" s="31">
        <f>IF(OR(C141="",B141=""),"",IF(OR(K141="Won",K141="Lost",K141="Not a fit"),"",TodayDate-B141))</f>
        <v>0</v>
      </c>
      <c r="V141" s="31">
        <f>IF(C141="","",TodayDate-MAX(IF(B141="",0,B141),IF(N141="",0,N141),IF(Q141="",0,IF(Q141&gt;TodayDate,0,Q141)),IF(M141="",0,IFERROR(INDEX(Quotes!$L$5:$L$204,MATCH(M141,Quotes!$A$5:$A$204,0)),0))))</f>
        <v>0</v>
      </c>
      <c r="W141" s="21">
        <f>IF(M141="","",IFERROR(INDEX(Quotes!$AB$5:$AB$204,MATCH(M141,Quotes!$A$5:$A$204,0)),""))</f>
        <v>0</v>
      </c>
      <c r="X141" s="39">
        <f>IF(M141="","",IFERROR(INDEX(Quotes!$K$5:$K$204,MATCH(M141,Quotes!$A$5:$A$204,0)),""))</f>
        <v>0</v>
      </c>
      <c r="Y141" s="50">
        <f>IF(C141="","",IF(K141="Won","Yes",IF(K141="Lost","No","")))</f>
        <v>0</v>
      </c>
      <c r="Z141" s="39">
        <f>IF(C141="","",IF(K141="Won","OK - won",IF(OR(K141="Lost",K141="Not a fit"),"Closed",IF(AND(Q141&lt;&gt;"",Q141&lt;TodayDate),"Overdue - action was due "&amp;TEXT(Q141,"d mmm"),IF(AND(Q141&lt;&gt;"",Q141=TodayDate),"Today - "&amp;P141,IF(AND(M141&lt;&gt;"",V141&lt;&gt;"",V141&gt;=QuoteFollowupDays),"Chase - quote sent, no answer",IF(AND(M141="",U141&lt;&gt;"",U141&gt;=2),"Action - no quote sent yet","OK")))))))</f>
        <v>0</v>
      </c>
    </row>
    <row r="142" spans="1:26">
      <c r="A142" s="43">
        <f>IF(C142="","",LeadPrefix&amp;TEXT(ROW()-4,"0000"))</f>
        <v>0</v>
      </c>
      <c r="U142" s="31">
        <f>IF(OR(C142="",B142=""),"",IF(OR(K142="Won",K142="Lost",K142="Not a fit"),"",TodayDate-B142))</f>
        <v>0</v>
      </c>
      <c r="V142" s="31">
        <f>IF(C142="","",TodayDate-MAX(IF(B142="",0,B142),IF(N142="",0,N142),IF(Q142="",0,IF(Q142&gt;TodayDate,0,Q142)),IF(M142="",0,IFERROR(INDEX(Quotes!$L$5:$L$204,MATCH(M142,Quotes!$A$5:$A$204,0)),0))))</f>
        <v>0</v>
      </c>
      <c r="W142" s="21">
        <f>IF(M142="","",IFERROR(INDEX(Quotes!$AB$5:$AB$204,MATCH(M142,Quotes!$A$5:$A$204,0)),""))</f>
        <v>0</v>
      </c>
      <c r="X142" s="39">
        <f>IF(M142="","",IFERROR(INDEX(Quotes!$K$5:$K$204,MATCH(M142,Quotes!$A$5:$A$204,0)),""))</f>
        <v>0</v>
      </c>
      <c r="Y142" s="50">
        <f>IF(C142="","",IF(K142="Won","Yes",IF(K142="Lost","No","")))</f>
        <v>0</v>
      </c>
      <c r="Z142" s="39">
        <f>IF(C142="","",IF(K142="Won","OK - won",IF(OR(K142="Lost",K142="Not a fit"),"Closed",IF(AND(Q142&lt;&gt;"",Q142&lt;TodayDate),"Overdue - action was due "&amp;TEXT(Q142,"d mmm"),IF(AND(Q142&lt;&gt;"",Q142=TodayDate),"Today - "&amp;P142,IF(AND(M142&lt;&gt;"",V142&lt;&gt;"",V142&gt;=QuoteFollowupDays),"Chase - quote sent, no answer",IF(AND(M142="",U142&lt;&gt;"",U142&gt;=2),"Action - no quote sent yet","OK")))))))</f>
        <v>0</v>
      </c>
    </row>
    <row r="143" spans="1:26">
      <c r="A143" s="43">
        <f>IF(C143="","",LeadPrefix&amp;TEXT(ROW()-4,"0000"))</f>
        <v>0</v>
      </c>
      <c r="U143" s="31">
        <f>IF(OR(C143="",B143=""),"",IF(OR(K143="Won",K143="Lost",K143="Not a fit"),"",TodayDate-B143))</f>
        <v>0</v>
      </c>
      <c r="V143" s="31">
        <f>IF(C143="","",TodayDate-MAX(IF(B143="",0,B143),IF(N143="",0,N143),IF(Q143="",0,IF(Q143&gt;TodayDate,0,Q143)),IF(M143="",0,IFERROR(INDEX(Quotes!$L$5:$L$204,MATCH(M143,Quotes!$A$5:$A$204,0)),0))))</f>
        <v>0</v>
      </c>
      <c r="W143" s="21">
        <f>IF(M143="","",IFERROR(INDEX(Quotes!$AB$5:$AB$204,MATCH(M143,Quotes!$A$5:$A$204,0)),""))</f>
        <v>0</v>
      </c>
      <c r="X143" s="39">
        <f>IF(M143="","",IFERROR(INDEX(Quotes!$K$5:$K$204,MATCH(M143,Quotes!$A$5:$A$204,0)),""))</f>
        <v>0</v>
      </c>
      <c r="Y143" s="50">
        <f>IF(C143="","",IF(K143="Won","Yes",IF(K143="Lost","No","")))</f>
        <v>0</v>
      </c>
      <c r="Z143" s="39">
        <f>IF(C143="","",IF(K143="Won","OK - won",IF(OR(K143="Lost",K143="Not a fit"),"Closed",IF(AND(Q143&lt;&gt;"",Q143&lt;TodayDate),"Overdue - action was due "&amp;TEXT(Q143,"d mmm"),IF(AND(Q143&lt;&gt;"",Q143=TodayDate),"Today - "&amp;P143,IF(AND(M143&lt;&gt;"",V143&lt;&gt;"",V143&gt;=QuoteFollowupDays),"Chase - quote sent, no answer",IF(AND(M143="",U143&lt;&gt;"",U143&gt;=2),"Action - no quote sent yet","OK")))))))</f>
        <v>0</v>
      </c>
    </row>
    <row r="144" spans="1:26">
      <c r="A144" s="43">
        <f>IF(C144="","",LeadPrefix&amp;TEXT(ROW()-4,"0000"))</f>
        <v>0</v>
      </c>
      <c r="U144" s="31">
        <f>IF(OR(C144="",B144=""),"",IF(OR(K144="Won",K144="Lost",K144="Not a fit"),"",TodayDate-B144))</f>
        <v>0</v>
      </c>
      <c r="V144" s="31">
        <f>IF(C144="","",TodayDate-MAX(IF(B144="",0,B144),IF(N144="",0,N144),IF(Q144="",0,IF(Q144&gt;TodayDate,0,Q144)),IF(M144="",0,IFERROR(INDEX(Quotes!$L$5:$L$204,MATCH(M144,Quotes!$A$5:$A$204,0)),0))))</f>
        <v>0</v>
      </c>
      <c r="W144" s="21">
        <f>IF(M144="","",IFERROR(INDEX(Quotes!$AB$5:$AB$204,MATCH(M144,Quotes!$A$5:$A$204,0)),""))</f>
        <v>0</v>
      </c>
      <c r="X144" s="39">
        <f>IF(M144="","",IFERROR(INDEX(Quotes!$K$5:$K$204,MATCH(M144,Quotes!$A$5:$A$204,0)),""))</f>
        <v>0</v>
      </c>
      <c r="Y144" s="50">
        <f>IF(C144="","",IF(K144="Won","Yes",IF(K144="Lost","No","")))</f>
        <v>0</v>
      </c>
      <c r="Z144" s="39">
        <f>IF(C144="","",IF(K144="Won","OK - won",IF(OR(K144="Lost",K144="Not a fit"),"Closed",IF(AND(Q144&lt;&gt;"",Q144&lt;TodayDate),"Overdue - action was due "&amp;TEXT(Q144,"d mmm"),IF(AND(Q144&lt;&gt;"",Q144=TodayDate),"Today - "&amp;P144,IF(AND(M144&lt;&gt;"",V144&lt;&gt;"",V144&gt;=QuoteFollowupDays),"Chase - quote sent, no answer",IF(AND(M144="",U144&lt;&gt;"",U144&gt;=2),"Action - no quote sent yet","OK")))))))</f>
        <v>0</v>
      </c>
    </row>
    <row r="145" spans="1:26">
      <c r="A145" s="43">
        <f>IF(C145="","",LeadPrefix&amp;TEXT(ROW()-4,"0000"))</f>
        <v>0</v>
      </c>
      <c r="U145" s="31">
        <f>IF(OR(C145="",B145=""),"",IF(OR(K145="Won",K145="Lost",K145="Not a fit"),"",TodayDate-B145))</f>
        <v>0</v>
      </c>
      <c r="V145" s="31">
        <f>IF(C145="","",TodayDate-MAX(IF(B145="",0,B145),IF(N145="",0,N145),IF(Q145="",0,IF(Q145&gt;TodayDate,0,Q145)),IF(M145="",0,IFERROR(INDEX(Quotes!$L$5:$L$204,MATCH(M145,Quotes!$A$5:$A$204,0)),0))))</f>
        <v>0</v>
      </c>
      <c r="W145" s="21">
        <f>IF(M145="","",IFERROR(INDEX(Quotes!$AB$5:$AB$204,MATCH(M145,Quotes!$A$5:$A$204,0)),""))</f>
        <v>0</v>
      </c>
      <c r="X145" s="39">
        <f>IF(M145="","",IFERROR(INDEX(Quotes!$K$5:$K$204,MATCH(M145,Quotes!$A$5:$A$204,0)),""))</f>
        <v>0</v>
      </c>
      <c r="Y145" s="50">
        <f>IF(C145="","",IF(K145="Won","Yes",IF(K145="Lost","No","")))</f>
        <v>0</v>
      </c>
      <c r="Z145" s="39">
        <f>IF(C145="","",IF(K145="Won","OK - won",IF(OR(K145="Lost",K145="Not a fit"),"Closed",IF(AND(Q145&lt;&gt;"",Q145&lt;TodayDate),"Overdue - action was due "&amp;TEXT(Q145,"d mmm"),IF(AND(Q145&lt;&gt;"",Q145=TodayDate),"Today - "&amp;P145,IF(AND(M145&lt;&gt;"",V145&lt;&gt;"",V145&gt;=QuoteFollowupDays),"Chase - quote sent, no answer",IF(AND(M145="",U145&lt;&gt;"",U145&gt;=2),"Action - no quote sent yet","OK")))))))</f>
        <v>0</v>
      </c>
    </row>
    <row r="146" spans="1:26">
      <c r="A146" s="43">
        <f>IF(C146="","",LeadPrefix&amp;TEXT(ROW()-4,"0000"))</f>
        <v>0</v>
      </c>
      <c r="U146" s="31">
        <f>IF(OR(C146="",B146=""),"",IF(OR(K146="Won",K146="Lost",K146="Not a fit"),"",TodayDate-B146))</f>
        <v>0</v>
      </c>
      <c r="V146" s="31">
        <f>IF(C146="","",TodayDate-MAX(IF(B146="",0,B146),IF(N146="",0,N146),IF(Q146="",0,IF(Q146&gt;TodayDate,0,Q146)),IF(M146="",0,IFERROR(INDEX(Quotes!$L$5:$L$204,MATCH(M146,Quotes!$A$5:$A$204,0)),0))))</f>
        <v>0</v>
      </c>
      <c r="W146" s="21">
        <f>IF(M146="","",IFERROR(INDEX(Quotes!$AB$5:$AB$204,MATCH(M146,Quotes!$A$5:$A$204,0)),""))</f>
        <v>0</v>
      </c>
      <c r="X146" s="39">
        <f>IF(M146="","",IFERROR(INDEX(Quotes!$K$5:$K$204,MATCH(M146,Quotes!$A$5:$A$204,0)),""))</f>
        <v>0</v>
      </c>
      <c r="Y146" s="50">
        <f>IF(C146="","",IF(K146="Won","Yes",IF(K146="Lost","No","")))</f>
        <v>0</v>
      </c>
      <c r="Z146" s="39">
        <f>IF(C146="","",IF(K146="Won","OK - won",IF(OR(K146="Lost",K146="Not a fit"),"Closed",IF(AND(Q146&lt;&gt;"",Q146&lt;TodayDate),"Overdue - action was due "&amp;TEXT(Q146,"d mmm"),IF(AND(Q146&lt;&gt;"",Q146=TodayDate),"Today - "&amp;P146,IF(AND(M146&lt;&gt;"",V146&lt;&gt;"",V146&gt;=QuoteFollowupDays),"Chase - quote sent, no answer",IF(AND(M146="",U146&lt;&gt;"",U146&gt;=2),"Action - no quote sent yet","OK")))))))</f>
        <v>0</v>
      </c>
    </row>
    <row r="147" spans="1:26">
      <c r="A147" s="43">
        <f>IF(C147="","",LeadPrefix&amp;TEXT(ROW()-4,"0000"))</f>
        <v>0</v>
      </c>
      <c r="U147" s="31">
        <f>IF(OR(C147="",B147=""),"",IF(OR(K147="Won",K147="Lost",K147="Not a fit"),"",TodayDate-B147))</f>
        <v>0</v>
      </c>
      <c r="V147" s="31">
        <f>IF(C147="","",TodayDate-MAX(IF(B147="",0,B147),IF(N147="",0,N147),IF(Q147="",0,IF(Q147&gt;TodayDate,0,Q147)),IF(M147="",0,IFERROR(INDEX(Quotes!$L$5:$L$204,MATCH(M147,Quotes!$A$5:$A$204,0)),0))))</f>
        <v>0</v>
      </c>
      <c r="W147" s="21">
        <f>IF(M147="","",IFERROR(INDEX(Quotes!$AB$5:$AB$204,MATCH(M147,Quotes!$A$5:$A$204,0)),""))</f>
        <v>0</v>
      </c>
      <c r="X147" s="39">
        <f>IF(M147="","",IFERROR(INDEX(Quotes!$K$5:$K$204,MATCH(M147,Quotes!$A$5:$A$204,0)),""))</f>
        <v>0</v>
      </c>
      <c r="Y147" s="50">
        <f>IF(C147="","",IF(K147="Won","Yes",IF(K147="Lost","No","")))</f>
        <v>0</v>
      </c>
      <c r="Z147" s="39">
        <f>IF(C147="","",IF(K147="Won","OK - won",IF(OR(K147="Lost",K147="Not a fit"),"Closed",IF(AND(Q147&lt;&gt;"",Q147&lt;TodayDate),"Overdue - action was due "&amp;TEXT(Q147,"d mmm"),IF(AND(Q147&lt;&gt;"",Q147=TodayDate),"Today - "&amp;P147,IF(AND(M147&lt;&gt;"",V147&lt;&gt;"",V147&gt;=QuoteFollowupDays),"Chase - quote sent, no answer",IF(AND(M147="",U147&lt;&gt;"",U147&gt;=2),"Action - no quote sent yet","OK")))))))</f>
        <v>0</v>
      </c>
    </row>
    <row r="148" spans="1:26">
      <c r="A148" s="43">
        <f>IF(C148="","",LeadPrefix&amp;TEXT(ROW()-4,"0000"))</f>
        <v>0</v>
      </c>
      <c r="U148" s="31">
        <f>IF(OR(C148="",B148=""),"",IF(OR(K148="Won",K148="Lost",K148="Not a fit"),"",TodayDate-B148))</f>
        <v>0</v>
      </c>
      <c r="V148" s="31">
        <f>IF(C148="","",TodayDate-MAX(IF(B148="",0,B148),IF(N148="",0,N148),IF(Q148="",0,IF(Q148&gt;TodayDate,0,Q148)),IF(M148="",0,IFERROR(INDEX(Quotes!$L$5:$L$204,MATCH(M148,Quotes!$A$5:$A$204,0)),0))))</f>
        <v>0</v>
      </c>
      <c r="W148" s="21">
        <f>IF(M148="","",IFERROR(INDEX(Quotes!$AB$5:$AB$204,MATCH(M148,Quotes!$A$5:$A$204,0)),""))</f>
        <v>0</v>
      </c>
      <c r="X148" s="39">
        <f>IF(M148="","",IFERROR(INDEX(Quotes!$K$5:$K$204,MATCH(M148,Quotes!$A$5:$A$204,0)),""))</f>
        <v>0</v>
      </c>
      <c r="Y148" s="50">
        <f>IF(C148="","",IF(K148="Won","Yes",IF(K148="Lost","No","")))</f>
        <v>0</v>
      </c>
      <c r="Z148" s="39">
        <f>IF(C148="","",IF(K148="Won","OK - won",IF(OR(K148="Lost",K148="Not a fit"),"Closed",IF(AND(Q148&lt;&gt;"",Q148&lt;TodayDate),"Overdue - action was due "&amp;TEXT(Q148,"d mmm"),IF(AND(Q148&lt;&gt;"",Q148=TodayDate),"Today - "&amp;P148,IF(AND(M148&lt;&gt;"",V148&lt;&gt;"",V148&gt;=QuoteFollowupDays),"Chase - quote sent, no answer",IF(AND(M148="",U148&lt;&gt;"",U148&gt;=2),"Action - no quote sent yet","OK")))))))</f>
        <v>0</v>
      </c>
    </row>
    <row r="149" spans="1:26">
      <c r="A149" s="43">
        <f>IF(C149="","",LeadPrefix&amp;TEXT(ROW()-4,"0000"))</f>
        <v>0</v>
      </c>
      <c r="U149" s="31">
        <f>IF(OR(C149="",B149=""),"",IF(OR(K149="Won",K149="Lost",K149="Not a fit"),"",TodayDate-B149))</f>
        <v>0</v>
      </c>
      <c r="V149" s="31">
        <f>IF(C149="","",TodayDate-MAX(IF(B149="",0,B149),IF(N149="",0,N149),IF(Q149="",0,IF(Q149&gt;TodayDate,0,Q149)),IF(M149="",0,IFERROR(INDEX(Quotes!$L$5:$L$204,MATCH(M149,Quotes!$A$5:$A$204,0)),0))))</f>
        <v>0</v>
      </c>
      <c r="W149" s="21">
        <f>IF(M149="","",IFERROR(INDEX(Quotes!$AB$5:$AB$204,MATCH(M149,Quotes!$A$5:$A$204,0)),""))</f>
        <v>0</v>
      </c>
      <c r="X149" s="39">
        <f>IF(M149="","",IFERROR(INDEX(Quotes!$K$5:$K$204,MATCH(M149,Quotes!$A$5:$A$204,0)),""))</f>
        <v>0</v>
      </c>
      <c r="Y149" s="50">
        <f>IF(C149="","",IF(K149="Won","Yes",IF(K149="Lost","No","")))</f>
        <v>0</v>
      </c>
      <c r="Z149" s="39">
        <f>IF(C149="","",IF(K149="Won","OK - won",IF(OR(K149="Lost",K149="Not a fit"),"Closed",IF(AND(Q149&lt;&gt;"",Q149&lt;TodayDate),"Overdue - action was due "&amp;TEXT(Q149,"d mmm"),IF(AND(Q149&lt;&gt;"",Q149=TodayDate),"Today - "&amp;P149,IF(AND(M149&lt;&gt;"",V149&lt;&gt;"",V149&gt;=QuoteFollowupDays),"Chase - quote sent, no answer",IF(AND(M149="",U149&lt;&gt;"",U149&gt;=2),"Action - no quote sent yet","OK")))))))</f>
        <v>0</v>
      </c>
    </row>
    <row r="150" spans="1:26">
      <c r="A150" s="43">
        <f>IF(C150="","",LeadPrefix&amp;TEXT(ROW()-4,"0000"))</f>
        <v>0</v>
      </c>
      <c r="U150" s="31">
        <f>IF(OR(C150="",B150=""),"",IF(OR(K150="Won",K150="Lost",K150="Not a fit"),"",TodayDate-B150))</f>
        <v>0</v>
      </c>
      <c r="V150" s="31">
        <f>IF(C150="","",TodayDate-MAX(IF(B150="",0,B150),IF(N150="",0,N150),IF(Q150="",0,IF(Q150&gt;TodayDate,0,Q150)),IF(M150="",0,IFERROR(INDEX(Quotes!$L$5:$L$204,MATCH(M150,Quotes!$A$5:$A$204,0)),0))))</f>
        <v>0</v>
      </c>
      <c r="W150" s="21">
        <f>IF(M150="","",IFERROR(INDEX(Quotes!$AB$5:$AB$204,MATCH(M150,Quotes!$A$5:$A$204,0)),""))</f>
        <v>0</v>
      </c>
      <c r="X150" s="39">
        <f>IF(M150="","",IFERROR(INDEX(Quotes!$K$5:$K$204,MATCH(M150,Quotes!$A$5:$A$204,0)),""))</f>
        <v>0</v>
      </c>
      <c r="Y150" s="50">
        <f>IF(C150="","",IF(K150="Won","Yes",IF(K150="Lost","No","")))</f>
        <v>0</v>
      </c>
      <c r="Z150" s="39">
        <f>IF(C150="","",IF(K150="Won","OK - won",IF(OR(K150="Lost",K150="Not a fit"),"Closed",IF(AND(Q150&lt;&gt;"",Q150&lt;TodayDate),"Overdue - action was due "&amp;TEXT(Q150,"d mmm"),IF(AND(Q150&lt;&gt;"",Q150=TodayDate),"Today - "&amp;P150,IF(AND(M150&lt;&gt;"",V150&lt;&gt;"",V150&gt;=QuoteFollowupDays),"Chase - quote sent, no answer",IF(AND(M150="",U150&lt;&gt;"",U150&gt;=2),"Action - no quote sent yet","OK")))))))</f>
        <v>0</v>
      </c>
    </row>
    <row r="151" spans="1:26">
      <c r="A151" s="43">
        <f>IF(C151="","",LeadPrefix&amp;TEXT(ROW()-4,"0000"))</f>
        <v>0</v>
      </c>
      <c r="U151" s="31">
        <f>IF(OR(C151="",B151=""),"",IF(OR(K151="Won",K151="Lost",K151="Not a fit"),"",TodayDate-B151))</f>
        <v>0</v>
      </c>
      <c r="V151" s="31">
        <f>IF(C151="","",TodayDate-MAX(IF(B151="",0,B151),IF(N151="",0,N151),IF(Q151="",0,IF(Q151&gt;TodayDate,0,Q151)),IF(M151="",0,IFERROR(INDEX(Quotes!$L$5:$L$204,MATCH(M151,Quotes!$A$5:$A$204,0)),0))))</f>
        <v>0</v>
      </c>
      <c r="W151" s="21">
        <f>IF(M151="","",IFERROR(INDEX(Quotes!$AB$5:$AB$204,MATCH(M151,Quotes!$A$5:$A$204,0)),""))</f>
        <v>0</v>
      </c>
      <c r="X151" s="39">
        <f>IF(M151="","",IFERROR(INDEX(Quotes!$K$5:$K$204,MATCH(M151,Quotes!$A$5:$A$204,0)),""))</f>
        <v>0</v>
      </c>
      <c r="Y151" s="50">
        <f>IF(C151="","",IF(K151="Won","Yes",IF(K151="Lost","No","")))</f>
        <v>0</v>
      </c>
      <c r="Z151" s="39">
        <f>IF(C151="","",IF(K151="Won","OK - won",IF(OR(K151="Lost",K151="Not a fit"),"Closed",IF(AND(Q151&lt;&gt;"",Q151&lt;TodayDate),"Overdue - action was due "&amp;TEXT(Q151,"d mmm"),IF(AND(Q151&lt;&gt;"",Q151=TodayDate),"Today - "&amp;P151,IF(AND(M151&lt;&gt;"",V151&lt;&gt;"",V151&gt;=QuoteFollowupDays),"Chase - quote sent, no answer",IF(AND(M151="",U151&lt;&gt;"",U151&gt;=2),"Action - no quote sent yet","OK")))))))</f>
        <v>0</v>
      </c>
    </row>
    <row r="152" spans="1:26">
      <c r="A152" s="43">
        <f>IF(C152="","",LeadPrefix&amp;TEXT(ROW()-4,"0000"))</f>
        <v>0</v>
      </c>
      <c r="U152" s="31">
        <f>IF(OR(C152="",B152=""),"",IF(OR(K152="Won",K152="Lost",K152="Not a fit"),"",TodayDate-B152))</f>
        <v>0</v>
      </c>
      <c r="V152" s="31">
        <f>IF(C152="","",TodayDate-MAX(IF(B152="",0,B152),IF(N152="",0,N152),IF(Q152="",0,IF(Q152&gt;TodayDate,0,Q152)),IF(M152="",0,IFERROR(INDEX(Quotes!$L$5:$L$204,MATCH(M152,Quotes!$A$5:$A$204,0)),0))))</f>
        <v>0</v>
      </c>
      <c r="W152" s="21">
        <f>IF(M152="","",IFERROR(INDEX(Quotes!$AB$5:$AB$204,MATCH(M152,Quotes!$A$5:$A$204,0)),""))</f>
        <v>0</v>
      </c>
      <c r="X152" s="39">
        <f>IF(M152="","",IFERROR(INDEX(Quotes!$K$5:$K$204,MATCH(M152,Quotes!$A$5:$A$204,0)),""))</f>
        <v>0</v>
      </c>
      <c r="Y152" s="50">
        <f>IF(C152="","",IF(K152="Won","Yes",IF(K152="Lost","No","")))</f>
        <v>0</v>
      </c>
      <c r="Z152" s="39">
        <f>IF(C152="","",IF(K152="Won","OK - won",IF(OR(K152="Lost",K152="Not a fit"),"Closed",IF(AND(Q152&lt;&gt;"",Q152&lt;TodayDate),"Overdue - action was due "&amp;TEXT(Q152,"d mmm"),IF(AND(Q152&lt;&gt;"",Q152=TodayDate),"Today - "&amp;P152,IF(AND(M152&lt;&gt;"",V152&lt;&gt;"",V152&gt;=QuoteFollowupDays),"Chase - quote sent, no answer",IF(AND(M152="",U152&lt;&gt;"",U152&gt;=2),"Action - no quote sent yet","OK")))))))</f>
        <v>0</v>
      </c>
    </row>
    <row r="153" spans="1:26">
      <c r="A153" s="43">
        <f>IF(C153="","",LeadPrefix&amp;TEXT(ROW()-4,"0000"))</f>
        <v>0</v>
      </c>
      <c r="U153" s="31">
        <f>IF(OR(C153="",B153=""),"",IF(OR(K153="Won",K153="Lost",K153="Not a fit"),"",TodayDate-B153))</f>
        <v>0</v>
      </c>
      <c r="V153" s="31">
        <f>IF(C153="","",TodayDate-MAX(IF(B153="",0,B153),IF(N153="",0,N153),IF(Q153="",0,IF(Q153&gt;TodayDate,0,Q153)),IF(M153="",0,IFERROR(INDEX(Quotes!$L$5:$L$204,MATCH(M153,Quotes!$A$5:$A$204,0)),0))))</f>
        <v>0</v>
      </c>
      <c r="W153" s="21">
        <f>IF(M153="","",IFERROR(INDEX(Quotes!$AB$5:$AB$204,MATCH(M153,Quotes!$A$5:$A$204,0)),""))</f>
        <v>0</v>
      </c>
      <c r="X153" s="39">
        <f>IF(M153="","",IFERROR(INDEX(Quotes!$K$5:$K$204,MATCH(M153,Quotes!$A$5:$A$204,0)),""))</f>
        <v>0</v>
      </c>
      <c r="Y153" s="50">
        <f>IF(C153="","",IF(K153="Won","Yes",IF(K153="Lost","No","")))</f>
        <v>0</v>
      </c>
      <c r="Z153" s="39">
        <f>IF(C153="","",IF(K153="Won","OK - won",IF(OR(K153="Lost",K153="Not a fit"),"Closed",IF(AND(Q153&lt;&gt;"",Q153&lt;TodayDate),"Overdue - action was due "&amp;TEXT(Q153,"d mmm"),IF(AND(Q153&lt;&gt;"",Q153=TodayDate),"Today - "&amp;P153,IF(AND(M153&lt;&gt;"",V153&lt;&gt;"",V153&gt;=QuoteFollowupDays),"Chase - quote sent, no answer",IF(AND(M153="",U153&lt;&gt;"",U153&gt;=2),"Action - no quote sent yet","OK")))))))</f>
        <v>0</v>
      </c>
    </row>
    <row r="154" spans="1:26">
      <c r="A154" s="43">
        <f>IF(C154="","",LeadPrefix&amp;TEXT(ROW()-4,"0000"))</f>
        <v>0</v>
      </c>
      <c r="U154" s="31">
        <f>IF(OR(C154="",B154=""),"",IF(OR(K154="Won",K154="Lost",K154="Not a fit"),"",TodayDate-B154))</f>
        <v>0</v>
      </c>
      <c r="V154" s="31">
        <f>IF(C154="","",TodayDate-MAX(IF(B154="",0,B154),IF(N154="",0,N154),IF(Q154="",0,IF(Q154&gt;TodayDate,0,Q154)),IF(M154="",0,IFERROR(INDEX(Quotes!$L$5:$L$204,MATCH(M154,Quotes!$A$5:$A$204,0)),0))))</f>
        <v>0</v>
      </c>
      <c r="W154" s="21">
        <f>IF(M154="","",IFERROR(INDEX(Quotes!$AB$5:$AB$204,MATCH(M154,Quotes!$A$5:$A$204,0)),""))</f>
        <v>0</v>
      </c>
      <c r="X154" s="39">
        <f>IF(M154="","",IFERROR(INDEX(Quotes!$K$5:$K$204,MATCH(M154,Quotes!$A$5:$A$204,0)),""))</f>
        <v>0</v>
      </c>
      <c r="Y154" s="50">
        <f>IF(C154="","",IF(K154="Won","Yes",IF(K154="Lost","No","")))</f>
        <v>0</v>
      </c>
      <c r="Z154" s="39">
        <f>IF(C154="","",IF(K154="Won","OK - won",IF(OR(K154="Lost",K154="Not a fit"),"Closed",IF(AND(Q154&lt;&gt;"",Q154&lt;TodayDate),"Overdue - action was due "&amp;TEXT(Q154,"d mmm"),IF(AND(Q154&lt;&gt;"",Q154=TodayDate),"Today - "&amp;P154,IF(AND(M154&lt;&gt;"",V154&lt;&gt;"",V154&gt;=QuoteFollowupDays),"Chase - quote sent, no answer",IF(AND(M154="",U154&lt;&gt;"",U154&gt;=2),"Action - no quote sent yet","OK")))))))</f>
        <v>0</v>
      </c>
    </row>
  </sheetData>
  <sheetProtection password="EC7C" sheet="1" objects="1" scenarios="1" formatCells="0" formatColumns="0" formatRows="0" insertRows="0" insertHyperlinks="0" deleteRows="0" autoFilter="0"/>
  <autoFilter ref="A4:Z154"/>
  <mergeCells count="13">
    <mergeCell ref="A1:W1"/>
    <mergeCell ref="X1:Z1"/>
    <mergeCell ref="A2:Z2"/>
    <mergeCell ref="A3:B3"/>
    <mergeCell ref="C3:D3"/>
    <mergeCell ref="E3:F3"/>
    <mergeCell ref="G3:H3"/>
    <mergeCell ref="I3:J3"/>
    <mergeCell ref="K3:L3"/>
    <mergeCell ref="M3:N3"/>
    <mergeCell ref="O3:P3"/>
    <mergeCell ref="Q3:R3"/>
    <mergeCell ref="S3:Z3"/>
  </mergeCells>
  <conditionalFormatting sqref="K5:K154">
    <cfRule type="containsText" dxfId="1" priority="1" operator="containsText" text="Completed">
      <formula>NOT(ISERROR(SEARCH("Completed",K5)))</formula>
    </cfRule>
    <cfRule type="containsText" dxfId="1" priority="2" operator="containsText" text="Complete">
      <formula>NOT(ISERROR(SEARCH("Complete",K5)))</formula>
    </cfRule>
    <cfRule type="containsText" dxfId="1" priority="3" operator="containsText" text="Done">
      <formula>NOT(ISERROR(SEARCH("Done",K5)))</formula>
    </cfRule>
    <cfRule type="containsText" dxfId="1" priority="4" operator="containsText" text="Paid">
      <formula>NOT(ISERROR(SEARCH("Paid",K5)))</formula>
    </cfRule>
    <cfRule type="containsText" dxfId="1" priority="5" operator="containsText" text="Accepted">
      <formula>NOT(ISERROR(SEARCH("Accepted",K5)))</formula>
    </cfRule>
    <cfRule type="containsText" dxfId="1" priority="6" operator="containsText" text="Won">
      <formula>NOT(ISERROR(SEARCH("Won",K5)))</formula>
    </cfRule>
    <cfRule type="containsText" dxfId="1" priority="7" operator="containsText" text="Active">
      <formula>NOT(ISERROR(SEARCH("Active",K5)))</formula>
    </cfRule>
    <cfRule type="containsText" dxfId="1" priority="8" operator="containsText" text="In stock">
      <formula>NOT(ISERROR(SEARCH("In stock",K5)))</formula>
    </cfRule>
    <cfRule type="containsText" dxfId="1" priority="9" operator="containsText" text="Resolved">
      <formula>NOT(ISERROR(SEARCH("Resolved",K5)))</formula>
    </cfRule>
    <cfRule type="containsText" dxfId="1" priority="10" operator="containsText" text="Signed">
      <formula>NOT(ISERROR(SEARCH("Signed",K5)))</formula>
    </cfRule>
    <cfRule type="containsText" dxfId="1" priority="11" operator="containsText" text="Yes">
      <formula>NOT(ISERROR(SEARCH("Yes",K5)))</formula>
    </cfRule>
    <cfRule type="containsText" dxfId="3" priority="12" operator="containsText" text="Booked">
      <formula>NOT(ISERROR(SEARCH("Booked",K5)))</formula>
    </cfRule>
    <cfRule type="containsText" dxfId="3" priority="13" operator="containsText" text="Confirmed">
      <formula>NOT(ISERROR(SEARCH("Confirmed",K5)))</formula>
    </cfRule>
    <cfRule type="containsText" dxfId="3" priority="14" operator="containsText" text="Scheduled">
      <formula>NOT(ISERROR(SEARCH("Scheduled",K5)))</formula>
    </cfRule>
    <cfRule type="containsText" dxfId="3" priority="15" operator="containsText" text="In progress">
      <formula>NOT(ISERROR(SEARCH("In progress",K5)))</formula>
    </cfRule>
    <cfRule type="containsText" dxfId="3" priority="16" operator="containsText" text="Sent">
      <formula>NOT(ISERROR(SEARCH("Sent",K5)))</formula>
    </cfRule>
    <cfRule type="containsText" dxfId="3" priority="17" operator="containsText" text="Invoiced">
      <formula>NOT(ISERROR(SEARCH("Invoiced",K5)))</formula>
    </cfRule>
    <cfRule type="containsText" dxfId="3" priority="18" operator="containsText" text="Quoted">
      <formula>NOT(ISERROR(SEARCH("Quoted",K5)))</formula>
    </cfRule>
    <cfRule type="containsText" dxfId="3" priority="19" operator="containsText" text="Prospect">
      <formula>NOT(ISERROR(SEARCH("Prospect",K5)))</formula>
    </cfRule>
    <cfRule type="containsText" dxfId="0" priority="20" operator="containsText" text="Draft">
      <formula>NOT(ISERROR(SEARCH("Draft",K5)))</formula>
    </cfRule>
    <cfRule type="containsText" dxfId="0" priority="21" operator="containsText" text="Enquiry">
      <formula>NOT(ISERROR(SEARCH("Enquiry",K5)))</formula>
    </cfRule>
    <cfRule type="containsText" dxfId="0" priority="22" operator="containsText" text="Pending">
      <formula>NOT(ISERROR(SEARCH("Pending",K5)))</formula>
    </cfRule>
    <cfRule type="containsText" dxfId="0" priority="23" operator="containsText" text="Part paid">
      <formula>NOT(ISERROR(SEARCH("Part paid",K5)))</formula>
    </cfRule>
    <cfRule type="containsText" dxfId="0" priority="24" operator="containsText" text="Followed up">
      <formula>NOT(ISERROR(SEARCH("Followed up",K5)))</formula>
    </cfRule>
    <cfRule type="containsText" dxfId="0" priority="25" operator="containsText" text="Low stock">
      <formula>NOT(ISERROR(SEARCH("Low stock",K5)))</formula>
    </cfRule>
    <cfRule type="containsText" dxfId="0" priority="26" operator="containsText" text="Due soon">
      <formula>NOT(ISERROR(SEARCH("Due soon",K5)))</formula>
    </cfRule>
    <cfRule type="containsText" dxfId="0" priority="27" operator="containsText" text="On hold">
      <formula>NOT(ISERROR(SEARCH("On hold",K5)))</formula>
    </cfRule>
    <cfRule type="containsText" dxfId="0" priority="28" operator="containsText" text="Unassigned">
      <formula>NOT(ISERROR(SEARCH("Unassigned",K5)))</formula>
    </cfRule>
    <cfRule type="containsText" dxfId="2" priority="29" operator="containsText" text="Overdue">
      <formula>NOT(ISERROR(SEARCH("Overdue",K5)))</formula>
    </cfRule>
    <cfRule type="containsText" dxfId="2" priority="30" operator="containsText" text="Cancelled">
      <formula>NOT(ISERROR(SEARCH("Cancelled",K5)))</formula>
    </cfRule>
    <cfRule type="containsText" dxfId="2" priority="31" operator="containsText" text="Declined">
      <formula>NOT(ISERROR(SEARCH("Declined",K5)))</formula>
    </cfRule>
    <cfRule type="containsText" dxfId="2" priority="32" operator="containsText" text="Lost">
      <formula>NOT(ISERROR(SEARCH("Lost",K5)))</formula>
    </cfRule>
    <cfRule type="containsText" dxfId="2" priority="33" operator="containsText" text="No access">
      <formula>NOT(ISERROR(SEARCH("No access",K5)))</formula>
    </cfRule>
    <cfRule type="containsText" dxfId="2" priority="34" operator="containsText" text="Out of stock">
      <formula>NOT(ISERROR(SEARCH("Out of stock",K5)))</formula>
    </cfRule>
    <cfRule type="containsText" dxfId="2" priority="35" operator="containsText" text="Written off">
      <formula>NOT(ISERROR(SEARCH("Written off",K5)))</formula>
    </cfRule>
    <cfRule type="containsText" dxfId="2" priority="36" operator="containsText" text="Expired">
      <formula>NOT(ISERROR(SEARCH("Expired",K5)))</formula>
    </cfRule>
    <cfRule type="containsText" dxfId="4" priority="37" operator="containsText" text="Inactive">
      <formula>NOT(ISERROR(SEARCH("Inactive",K5)))</formula>
    </cfRule>
    <cfRule type="containsText" dxfId="4" priority="38" operator="containsText" text="Archived">
      <formula>NOT(ISERROR(SEARCH("Archived",K5)))</formula>
    </cfRule>
    <cfRule type="containsText" dxfId="4" priority="39" operator="containsText" text="Not needed">
      <formula>NOT(ISERROR(SEARCH("Not needed",K5)))</formula>
    </cfRule>
  </conditionalFormatting>
  <conditionalFormatting sqref="U5:U154">
    <cfRule type="cellIs" dxfId="2" priority="40" operator="greaterThan">
      <formula>14</formula>
    </cfRule>
    <cfRule type="cellIs" dxfId="0" priority="41" operator="greaterThan">
      <formula>7</formula>
    </cfRule>
  </conditionalFormatting>
  <conditionalFormatting sqref="X5:X154">
    <cfRule type="containsText" dxfId="1" priority="42" operator="containsText" text="Completed">
      <formula>NOT(ISERROR(SEARCH("Completed",X5)))</formula>
    </cfRule>
    <cfRule type="containsText" dxfId="1" priority="43" operator="containsText" text="Complete">
      <formula>NOT(ISERROR(SEARCH("Complete",X5)))</formula>
    </cfRule>
    <cfRule type="containsText" dxfId="1" priority="44" operator="containsText" text="Done">
      <formula>NOT(ISERROR(SEARCH("Done",X5)))</formula>
    </cfRule>
    <cfRule type="containsText" dxfId="1" priority="45" operator="containsText" text="Paid">
      <formula>NOT(ISERROR(SEARCH("Paid",X5)))</formula>
    </cfRule>
    <cfRule type="containsText" dxfId="1" priority="46" operator="containsText" text="Accepted">
      <formula>NOT(ISERROR(SEARCH("Accepted",X5)))</formula>
    </cfRule>
    <cfRule type="containsText" dxfId="1" priority="47" operator="containsText" text="Won">
      <formula>NOT(ISERROR(SEARCH("Won",X5)))</formula>
    </cfRule>
    <cfRule type="containsText" dxfId="1" priority="48" operator="containsText" text="Active">
      <formula>NOT(ISERROR(SEARCH("Active",X5)))</formula>
    </cfRule>
    <cfRule type="containsText" dxfId="1" priority="49" operator="containsText" text="In stock">
      <formula>NOT(ISERROR(SEARCH("In stock",X5)))</formula>
    </cfRule>
    <cfRule type="containsText" dxfId="1" priority="50" operator="containsText" text="Resolved">
      <formula>NOT(ISERROR(SEARCH("Resolved",X5)))</formula>
    </cfRule>
    <cfRule type="containsText" dxfId="1" priority="51" operator="containsText" text="Signed">
      <formula>NOT(ISERROR(SEARCH("Signed",X5)))</formula>
    </cfRule>
    <cfRule type="containsText" dxfId="1" priority="52" operator="containsText" text="Yes">
      <formula>NOT(ISERROR(SEARCH("Yes",X5)))</formula>
    </cfRule>
    <cfRule type="containsText" dxfId="3" priority="53" operator="containsText" text="Booked">
      <formula>NOT(ISERROR(SEARCH("Booked",X5)))</formula>
    </cfRule>
    <cfRule type="containsText" dxfId="3" priority="54" operator="containsText" text="Confirmed">
      <formula>NOT(ISERROR(SEARCH("Confirmed",X5)))</formula>
    </cfRule>
    <cfRule type="containsText" dxfId="3" priority="55" operator="containsText" text="Scheduled">
      <formula>NOT(ISERROR(SEARCH("Scheduled",X5)))</formula>
    </cfRule>
    <cfRule type="containsText" dxfId="3" priority="56" operator="containsText" text="In progress">
      <formula>NOT(ISERROR(SEARCH("In progress",X5)))</formula>
    </cfRule>
    <cfRule type="containsText" dxfId="3" priority="57" operator="containsText" text="Sent">
      <formula>NOT(ISERROR(SEARCH("Sent",X5)))</formula>
    </cfRule>
    <cfRule type="containsText" dxfId="3" priority="58" operator="containsText" text="Invoiced">
      <formula>NOT(ISERROR(SEARCH("Invoiced",X5)))</formula>
    </cfRule>
    <cfRule type="containsText" dxfId="3" priority="59" operator="containsText" text="Quoted">
      <formula>NOT(ISERROR(SEARCH("Quoted",X5)))</formula>
    </cfRule>
    <cfRule type="containsText" dxfId="3" priority="60" operator="containsText" text="Prospect">
      <formula>NOT(ISERROR(SEARCH("Prospect",X5)))</formula>
    </cfRule>
    <cfRule type="containsText" dxfId="0" priority="61" operator="containsText" text="Draft">
      <formula>NOT(ISERROR(SEARCH("Draft",X5)))</formula>
    </cfRule>
    <cfRule type="containsText" dxfId="0" priority="62" operator="containsText" text="Enquiry">
      <formula>NOT(ISERROR(SEARCH("Enquiry",X5)))</formula>
    </cfRule>
    <cfRule type="containsText" dxfId="0" priority="63" operator="containsText" text="Pending">
      <formula>NOT(ISERROR(SEARCH("Pending",X5)))</formula>
    </cfRule>
    <cfRule type="containsText" dxfId="0" priority="64" operator="containsText" text="Part paid">
      <formula>NOT(ISERROR(SEARCH("Part paid",X5)))</formula>
    </cfRule>
    <cfRule type="containsText" dxfId="0" priority="65" operator="containsText" text="Followed up">
      <formula>NOT(ISERROR(SEARCH("Followed up",X5)))</formula>
    </cfRule>
    <cfRule type="containsText" dxfId="0" priority="66" operator="containsText" text="Low stock">
      <formula>NOT(ISERROR(SEARCH("Low stock",X5)))</formula>
    </cfRule>
    <cfRule type="containsText" dxfId="0" priority="67" operator="containsText" text="Due soon">
      <formula>NOT(ISERROR(SEARCH("Due soon",X5)))</formula>
    </cfRule>
    <cfRule type="containsText" dxfId="0" priority="68" operator="containsText" text="On hold">
      <formula>NOT(ISERROR(SEARCH("On hold",X5)))</formula>
    </cfRule>
    <cfRule type="containsText" dxfId="0" priority="69" operator="containsText" text="Unassigned">
      <formula>NOT(ISERROR(SEARCH("Unassigned",X5)))</formula>
    </cfRule>
    <cfRule type="containsText" dxfId="2" priority="70" operator="containsText" text="Overdue">
      <formula>NOT(ISERROR(SEARCH("Overdue",X5)))</formula>
    </cfRule>
    <cfRule type="containsText" dxfId="2" priority="71" operator="containsText" text="Cancelled">
      <formula>NOT(ISERROR(SEARCH("Cancelled",X5)))</formula>
    </cfRule>
    <cfRule type="containsText" dxfId="2" priority="72" operator="containsText" text="Declined">
      <formula>NOT(ISERROR(SEARCH("Declined",X5)))</formula>
    </cfRule>
    <cfRule type="containsText" dxfId="2" priority="73" operator="containsText" text="Lost">
      <formula>NOT(ISERROR(SEARCH("Lost",X5)))</formula>
    </cfRule>
    <cfRule type="containsText" dxfId="2" priority="74" operator="containsText" text="No access">
      <formula>NOT(ISERROR(SEARCH("No access",X5)))</formula>
    </cfRule>
    <cfRule type="containsText" dxfId="2" priority="75" operator="containsText" text="Out of stock">
      <formula>NOT(ISERROR(SEARCH("Out of stock",X5)))</formula>
    </cfRule>
    <cfRule type="containsText" dxfId="2" priority="76" operator="containsText" text="Written off">
      <formula>NOT(ISERROR(SEARCH("Written off",X5)))</formula>
    </cfRule>
    <cfRule type="containsText" dxfId="2" priority="77" operator="containsText" text="Expired">
      <formula>NOT(ISERROR(SEARCH("Expired",X5)))</formula>
    </cfRule>
    <cfRule type="containsText" dxfId="4" priority="78" operator="containsText" text="Inactive">
      <formula>NOT(ISERROR(SEARCH("Inactive",X5)))</formula>
    </cfRule>
    <cfRule type="containsText" dxfId="4" priority="79" operator="containsText" text="Archived">
      <formula>NOT(ISERROR(SEARCH("Archived",X5)))</formula>
    </cfRule>
    <cfRule type="containsText" dxfId="4" priority="80" operator="containsText" text="Not needed">
      <formula>NOT(ISERROR(SEARCH("Not needed",X5)))</formula>
    </cfRule>
  </conditionalFormatting>
  <conditionalFormatting sqref="Z5:Z154">
    <cfRule type="beginsWith" dxfId="1" priority="81" operator="beginsWith" text="OK">
      <formula>LEFT(Z5,2)="OK"</formula>
    </cfRule>
    <cfRule type="containsText" dxfId="2" priority="82" operator="containsText" text="Overdue">
      <formula>NOT(ISERROR(SEARCH("Overdue",Z5)))</formula>
    </cfRule>
    <cfRule type="containsText" dxfId="2" priority="83" operator="containsText" text="Late">
      <formula>NOT(ISERROR(SEARCH("Late",Z5)))</formula>
    </cfRule>
    <cfRule type="containsText" dxfId="2" priority="84" operator="containsText" text="Missing">
      <formula>NOT(ISERROR(SEARCH("Missing",Z5)))</formula>
    </cfRule>
    <cfRule type="containsText" dxfId="2" priority="85" operator="containsText" text="Conflict">
      <formula>NOT(ISERROR(SEARCH("Conflict",Z5)))</formula>
    </cfRule>
    <cfRule type="containsText" dxfId="2" priority="86" operator="containsText" text="Clash">
      <formula>NOT(ISERROR(SEARCH("Clash",Z5)))</formula>
    </cfRule>
    <cfRule type="containsText" dxfId="2" priority="87" operator="containsText" text="Expired">
      <formula>NOT(ISERROR(SEARCH("Expired",Z5)))</formula>
    </cfRule>
    <cfRule type="containsText" dxfId="2" priority="88" operator="containsText" text="Duplicate">
      <formula>NOT(ISERROR(SEARCH("Duplicate",Z5)))</formula>
    </cfRule>
    <cfRule type="containsText" dxfId="2" priority="89" operator="containsText" text="Unpaid">
      <formula>NOT(ISERROR(SEARCH("Unpaid",Z5)))</formula>
    </cfRule>
    <cfRule type="containsText" dxfId="2" priority="90" operator="containsText" text="Loss">
      <formula>NOT(ISERROR(SEARCH("Loss",Z5)))</formula>
    </cfRule>
    <cfRule type="containsText" dxfId="2" priority="91" operator="containsText" text="Below">
      <formula>NOT(ISERROR(SEARCH("Below",Z5)))</formula>
    </cfRule>
    <cfRule type="containsText" dxfId="0" priority="92" operator="containsText" text="Action">
      <formula>NOT(ISERROR(SEARCH("Action",Z5)))</formula>
    </cfRule>
    <cfRule type="containsText" dxfId="0" priority="93" operator="containsText" text="Due">
      <formula>NOT(ISERROR(SEARCH("Due",Z5)))</formula>
    </cfRule>
    <cfRule type="containsText" dxfId="0" priority="94" operator="containsText" text="Check">
      <formula>NOT(ISERROR(SEARCH("Check",Z5)))</formula>
    </cfRule>
    <cfRule type="containsText" dxfId="0" priority="95" operator="containsText" text="Chase">
      <formula>NOT(ISERROR(SEARCH("Chase",Z5)))</formula>
    </cfRule>
    <cfRule type="containsText" dxfId="0" priority="96" operator="containsText" text="Assign">
      <formula>NOT(ISERROR(SEARCH("Assign",Z5)))</formula>
    </cfRule>
    <cfRule type="containsText" dxfId="0" priority="97" operator="containsText" text="Confirm">
      <formula>NOT(ISERROR(SEARCH("Confirm",Z5)))</formula>
    </cfRule>
    <cfRule type="containsText" dxfId="0" priority="98" operator="containsText" text="Order">
      <formula>NOT(ISERROR(SEARCH("Order",Z5)))</formula>
    </cfRule>
    <cfRule type="containsText" dxfId="3" priority="99" operator="containsText" text="Today">
      <formula>NOT(ISERROR(SEARCH("Today",Z5)))</formula>
    </cfRule>
    <cfRule type="containsText" dxfId="3" priority="100" operator="containsText" text="Upcoming">
      <formula>NOT(ISERROR(SEARCH("Upcoming",Z5)))</formula>
    </cfRule>
    <cfRule type="containsText" dxfId="3" priority="101" operator="containsText" text="Tomorrow">
      <formula>NOT(ISERROR(SEARCH("Tomorrow",Z5)))</formula>
    </cfRule>
  </conditionalFormatting>
  <dataValidations count="13">
    <dataValidation type="date" allowBlank="1" showInputMessage="1" showErrorMessage="1" errorTitle="Check the date" error="Enter a real date between 2000 and 2100." promptTitle="Enquiry date" prompt="The day they got in touch. The clock starts here." sqref="B5:B154">
      <formula1>36526</formula1>
      <formula2>73415</formula2>
    </dataValidation>
    <dataValidation type="list" allowBlank="1" showInputMessage="1" showErrorMessage="1" sqref="G5:G154">
      <formula1>ClientTypeList</formula1>
    </dataValidation>
    <dataValidation type="list" allowBlank="1" showInputMessage="1" showErrorMessage="1" promptTitle="Came from" prompt="Fill this in every single time. It is the only way to find out which advertising actually works." sqref="H5:H154">
      <formula1>LeadSourceList</formula1>
    </dataValidation>
    <dataValidation type="list" allowBlank="1" showInputMessage="1" showErrorMessage="1" sqref="I5:I154">
      <formula1>ServiceNames</formula1>
    </dataValidation>
    <dataValidation type="list" allowBlank="1" showInputMessage="1" showErrorMessage="1" sqref="J5:J154">
      <formula1>FrequencyList</formula1>
    </dataValidation>
    <dataValidation type="list" allowBlank="1" showInputMessage="1" showErrorMessage="1" promptTitle="Stage" prompt="Move it along as you go. Won creates a client; Lost wants a reason in the next column." sqref="K5:K154">
      <formula1>LeadStageList</formula1>
    </dataValidation>
    <dataValidation type="decimal" allowBlank="1" showInputMessage="1" showErrorMessage="1" errorTitle="Check the value" error="Enter a number between 0 and 1000000." promptTitle="Estimated value a year" prompt="Rough annual value. Sort on it to decide who to chase first." sqref="L5:L154">
      <formula1>0</formula1>
      <formula2>1000000</formula2>
    </dataValidation>
    <dataValidation type="list" allowBlank="1" showInputMessage="1" showErrorMessage="1" promptTitle="Quote sent" prompt="Link the quote once you have raised it on the Quotes tab." sqref="M5:M154">
      <formula1>QuoteIDs</formula1>
    </dataValidation>
    <dataValidation type="date" allowBlank="1" showInputMessage="1" showErrorMessage="1" errorTitle="Check the date" error="Enter a real date between 2000 and 2100." sqref="N5:N154">
      <formula1>36526</formula1>
      <formula2>73415</formula2>
    </dataValidation>
    <dataValidation type="date" allowBlank="1" showInputMessage="1" showErrorMessage="1" errorTitle="Check the date" error="Enter a real date between 2000 and 2100." promptTitle="Last contacted" prompt="Update it every time you speak to them. The chase list counts from this date." sqref="O5:O154">
      <formula1>36526</formula1>
      <formula2>73415</formula2>
    </dataValidation>
    <dataValidation type="date" allowBlank="1" showInputMessage="1" showErrorMessage="1" errorTitle="Check the date" error="Enter a real date between 2000 and 2100." sqref="Q5:Q154">
      <formula1>36526</formula1>
      <formula2>73415</formula2>
    </dataValidation>
    <dataValidation type="list" allowBlank="1" showInputMessage="1" showErrorMessage="1" promptTitle="Became client" prompt="Once they book, add them to the Clients tab and put their ID here." sqref="R5:R154">
      <formula1>ClientIDs</formula1>
    </dataValidation>
    <dataValidation type="list" allowBlank="1" showInputMessage="1" showErrorMessage="1" promptTitle="If lost, why" prompt="Be honest with yourself here. Three 'price too high' in a row is information." sqref="S5:S154">
      <formula1>LostReasonList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&amp;L&amp;"Calibri,Bold"&amp;12&amp;C&amp;"Calibri,Bold"&amp;11Leads&amp;R&amp;"Calibri,Italic"&amp;9Cleaning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8.xml><?xml version="1.0" encoding="utf-8"?>
<worksheet xmlns="http://schemas.openxmlformats.org/spreadsheetml/2006/main" xmlns:r="http://schemas.openxmlformats.org/officeDocument/2006/relationships">
  <sheetPr>
    <tabColor rgb="FF2F8F9D"/>
    <pageSetUpPr fitToPage="1"/>
  </sheetPr>
  <dimension ref="A1:AC6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3" customWidth="1"/>
    <col min="2" max="2" width="26.7109375" style="15" customWidth="1"/>
    <col min="3" max="3" width="20.7109375" style="15" customWidth="1"/>
    <col min="4" max="4" width="18.7109375" style="15" customWidth="1"/>
    <col min="5" max="5" width="10.7109375" style="15" customWidth="1"/>
    <col min="6" max="6" width="12.7109375" style="19" customWidth="1"/>
    <col min="7" max="7" width="12.7109375" style="17" customWidth="1"/>
    <col min="8" max="8" width="9.7109375" style="20" customWidth="1"/>
    <col min="9" max="9" width="11.7109375" style="19" customWidth="1"/>
    <col min="10" max="10" width="12.7109375" style="19" customWidth="1"/>
    <col min="11" max="11" width="9.7109375" style="47" customWidth="1"/>
    <col min="12" max="12" width="9.7109375" style="47" customWidth="1"/>
    <col min="13" max="13" width="20.7109375" style="15" customWidth="1"/>
    <col min="14" max="14" width="20.7109375" style="15" customWidth="1"/>
    <col min="15" max="15" width="46.7109375" style="44" customWidth="1"/>
    <col min="16" max="16" width="13.7109375" style="21" customWidth="1"/>
    <col min="17" max="17" width="11.7109375" style="21" customWidth="1"/>
    <col min="18" max="18" width="11.7109375" style="21" hidden="1" customWidth="1"/>
    <col min="19" max="19" width="12.7109375" style="21" customWidth="1"/>
    <col min="20" max="20" width="11.7109375" style="21" customWidth="1"/>
    <col min="21" max="21" width="9.7109375" style="38" customWidth="1"/>
    <col min="22" max="22" width="11.7109375" style="21" customWidth="1"/>
    <col min="23" max="23" width="13.7109375" style="21" customWidth="1"/>
    <col min="24" max="24" width="11.7109375" style="31" customWidth="1"/>
    <col min="25" max="25" width="11.7109375" style="31" customWidth="1"/>
    <col min="26" max="26" width="12.7109375" style="21" customWidth="1"/>
    <col min="27" max="27" width="9.7109375" style="31" hidden="1" customWidth="1"/>
    <col min="28" max="28" width="9.7109375" style="31" hidden="1" customWidth="1"/>
    <col min="29" max="29" width="26.7109375" style="39" customWidth="1"/>
  </cols>
  <sheetData>
    <row r="1" spans="1:29" ht="34" customHeight="1">
      <c r="A1" s="2" t="s">
        <v>947</v>
      </c>
      <c r="B1" s="2"/>
      <c r="C1" s="2"/>
      <c r="D1" s="2"/>
      <c r="E1" s="2"/>
      <c r="F1" s="2"/>
      <c r="G1" s="2"/>
      <c r="H1" s="2"/>
      <c r="I1" s="2"/>
      <c r="J1" s="2"/>
      <c r="K1" s="2"/>
      <c r="L1" s="2"/>
      <c r="M1" s="2"/>
      <c r="N1" s="2"/>
      <c r="O1" s="2"/>
      <c r="P1" s="2"/>
      <c r="Q1" s="2"/>
      <c r="R1" s="2"/>
      <c r="S1" s="2"/>
      <c r="T1" s="2"/>
      <c r="U1" s="2"/>
      <c r="V1" s="2"/>
      <c r="W1" s="2"/>
      <c r="X1" s="2"/>
      <c r="Y1" s="2"/>
      <c r="Z1" s="2"/>
      <c r="AA1" s="3" t="s">
        <v>1</v>
      </c>
      <c r="AB1" s="3"/>
      <c r="AC1" s="3"/>
    </row>
    <row r="2" spans="1:29" ht="18" customHeight="1">
      <c r="A2" s="4" t="s">
        <v>948</v>
      </c>
      <c r="B2" s="4"/>
      <c r="C2" s="4"/>
      <c r="D2" s="4"/>
      <c r="E2" s="4"/>
      <c r="F2" s="4"/>
      <c r="G2" s="4"/>
      <c r="H2" s="4"/>
      <c r="I2" s="4"/>
      <c r="J2" s="4"/>
      <c r="K2" s="4"/>
      <c r="L2" s="4"/>
      <c r="M2" s="4"/>
      <c r="N2" s="4"/>
      <c r="O2" s="4"/>
      <c r="P2" s="4"/>
      <c r="Q2" s="4"/>
      <c r="R2" s="4"/>
      <c r="S2" s="4"/>
      <c r="T2" s="4"/>
      <c r="U2" s="4"/>
      <c r="V2" s="4"/>
      <c r="W2" s="4"/>
      <c r="X2" s="4"/>
      <c r="Y2" s="4"/>
      <c r="Z2" s="4"/>
      <c r="AA2" s="4"/>
      <c r="AB2" s="4"/>
      <c r="AC2" s="4"/>
    </row>
    <row r="3" spans="1:29"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949</v>
      </c>
      <c r="T3" s="48"/>
      <c r="U3" s="48"/>
      <c r="V3" s="48"/>
      <c r="W3" s="48"/>
      <c r="X3" s="48"/>
      <c r="Y3" s="48"/>
      <c r="Z3" s="48"/>
      <c r="AA3" s="48"/>
      <c r="AB3" s="48"/>
      <c r="AC3" s="48"/>
    </row>
    <row r="4" spans="1:29" ht="30" customHeight="1">
      <c r="A4" s="8" t="s">
        <v>545</v>
      </c>
      <c r="B4" s="8" t="s">
        <v>436</v>
      </c>
      <c r="C4" s="9" t="s">
        <v>950</v>
      </c>
      <c r="D4" s="9" t="s">
        <v>951</v>
      </c>
      <c r="E4" s="9" t="s">
        <v>952</v>
      </c>
      <c r="F4" s="9" t="s">
        <v>953</v>
      </c>
      <c r="G4" s="9" t="s">
        <v>954</v>
      </c>
      <c r="H4" s="9" t="s">
        <v>955</v>
      </c>
      <c r="I4" s="9" t="s">
        <v>956</v>
      </c>
      <c r="J4" s="9" t="s">
        <v>957</v>
      </c>
      <c r="K4" s="9" t="s">
        <v>958</v>
      </c>
      <c r="L4" s="9" t="s">
        <v>959</v>
      </c>
      <c r="M4" s="9" t="s">
        <v>960</v>
      </c>
      <c r="N4" s="9" t="s">
        <v>961</v>
      </c>
      <c r="O4" s="9" t="s">
        <v>962</v>
      </c>
      <c r="P4" s="9" t="s">
        <v>963</v>
      </c>
      <c r="Q4" s="9" t="s">
        <v>735</v>
      </c>
      <c r="R4" s="9" t="s">
        <v>964</v>
      </c>
      <c r="S4" s="9" t="s">
        <v>965</v>
      </c>
      <c r="T4" s="9" t="s">
        <v>407</v>
      </c>
      <c r="U4" s="9" t="s">
        <v>408</v>
      </c>
      <c r="V4" s="9" t="s">
        <v>966</v>
      </c>
      <c r="W4" s="9" t="s">
        <v>967</v>
      </c>
      <c r="X4" s="9" t="s">
        <v>968</v>
      </c>
      <c r="Y4" s="9" t="s">
        <v>969</v>
      </c>
      <c r="Z4" s="9" t="s">
        <v>413</v>
      </c>
      <c r="AA4" s="9" t="s">
        <v>571</v>
      </c>
      <c r="AB4" s="9" t="s">
        <v>571</v>
      </c>
      <c r="AC4" s="9" t="s">
        <v>970</v>
      </c>
    </row>
    <row r="5" spans="1:29">
      <c r="A5" s="43">
        <f>IF(B5="","",ServicePrefix&amp;TEXT(ROW()-4,"000"))</f>
        <v>0</v>
      </c>
      <c r="B5" s="15" t="s">
        <v>437</v>
      </c>
      <c r="C5" s="15" t="s">
        <v>971</v>
      </c>
      <c r="D5" s="15" t="s">
        <v>972</v>
      </c>
      <c r="E5" s="15" t="s">
        <v>973</v>
      </c>
      <c r="F5" s="19">
        <v>45</v>
      </c>
      <c r="G5" s="17">
        <v>3</v>
      </c>
      <c r="H5" s="20">
        <v>0</v>
      </c>
      <c r="I5" s="19">
        <v>7.5</v>
      </c>
      <c r="K5" s="47" t="s">
        <v>454</v>
      </c>
      <c r="L5" s="47" t="s">
        <v>454</v>
      </c>
      <c r="O5" s="44" t="s">
        <v>974</v>
      </c>
      <c r="P5" s="21">
        <f>IF(B5="","",ROUND(IF(D5="Per hour",IF(F5="",HourlyRate,F5)*IF(G5="",1,G5),IF(F5="",0,F5))*(1+IF(H5="",0,H5)),2))</f>
        <v>0</v>
      </c>
      <c r="Q5" s="21">
        <f>IF(B5="","",ROUND(IF(G5="",0,G5)*CostPerHour,2))</f>
        <v>0</v>
      </c>
      <c r="R5" s="21">
        <f>IF(B5="","",ROUND(IF(I5="",IF(G5="",0,G5)*SuppliesPerHour,I5),2))</f>
        <v>0</v>
      </c>
      <c r="S5" s="21">
        <f>IF(B5="","",Q5+R5)</f>
        <v>0</v>
      </c>
      <c r="T5" s="21">
        <f>IF(B5="","",P5-S5)</f>
        <v>0</v>
      </c>
      <c r="U5" s="38">
        <f>IF(OR(B5="",P5=0),"",T5/P5)</f>
        <v>0</v>
      </c>
      <c r="V5" s="21">
        <f>IF(OR(B5="",G5="",G5=0),"",T5/G5)</f>
        <v>0</v>
      </c>
      <c r="W5" s="21">
        <f>IF(OR(B5="",TargetMargin&gt;=1),"",ROUND(S5/(1-TargetMargin),2))</f>
        <v>0</v>
      </c>
      <c r="X5" s="31">
        <f>IF(B5="","",COUNTIFS('Quote Lines'!$C$5:$C$604,B5))</f>
        <v>0</v>
      </c>
      <c r="Y5" s="31">
        <f>IF(B5="","",COUNTIFS(Jobs!$M$5:$M$604,B5))</f>
        <v>0</v>
      </c>
      <c r="Z5" s="21">
        <f>IF(B5="","",SUMIFS(Jobs!$AJ$5:$AJ$604,Jobs!$M$5:$M$604,B5,Jobs!$P$5:$P$604,"Completed")+SUMIFS(Jobs!$AJ$5:$AJ$604,Jobs!$M$5:$M$604,B5,Jobs!$P$5:$P$604,"Invoiced"))</f>
        <v>0</v>
      </c>
      <c r="AA5" s="31">
        <f>IF(B5="","",COUNTIFS($Z$5:$Z$64,"&gt;"&amp;Z5)+COUNTIFS($Z$5:Z5,Z5))</f>
        <v>0</v>
      </c>
      <c r="AB5" s="31">
        <f>IF(B5="","",COUNTIFS($V$5:$V$64,"&gt;"&amp;V5)+COUNTIFS($V$5:V5,V5))</f>
        <v>0</v>
      </c>
      <c r="AC5" s="39">
        <f>IF(B5="","",IF(AND(D5&lt;&gt;"Per hour",F5=""),"Add - no price set",IF(G5="","Add - how long does it take?",IF(AND(U5&lt;&gt;"",U5&lt;MarginFloor),"Below - margin under the floor",IF(AND(U5&lt;&gt;"",U5&lt;TargetMargin),"Check - under target margin",IF(L5="No","Not offered","OK"))))))</f>
        <v>0</v>
      </c>
    </row>
    <row r="6" spans="1:29">
      <c r="A6" s="43">
        <f>IF(B6="","",ServicePrefix&amp;TEXT(ROW()-4,"000"))</f>
        <v>0</v>
      </c>
      <c r="B6" s="15" t="s">
        <v>914</v>
      </c>
      <c r="C6" s="15" t="s">
        <v>975</v>
      </c>
      <c r="D6" s="15" t="s">
        <v>972</v>
      </c>
      <c r="E6" s="15" t="s">
        <v>973</v>
      </c>
      <c r="F6" s="19">
        <v>45</v>
      </c>
      <c r="G6" s="17">
        <v>6</v>
      </c>
      <c r="H6" s="20">
        <v>0.45</v>
      </c>
      <c r="I6" s="19">
        <v>18</v>
      </c>
      <c r="K6" s="47" t="s">
        <v>454</v>
      </c>
      <c r="L6" s="47" t="s">
        <v>454</v>
      </c>
      <c r="O6" s="44" t="s">
        <v>976</v>
      </c>
      <c r="P6" s="21">
        <f>IF(B6="","",ROUND(IF(D6="Per hour",IF(F6="",HourlyRate,F6)*IF(G6="",1,G6),IF(F6="",0,F6))*(1+IF(H6="",0,H6)),2))</f>
        <v>0</v>
      </c>
      <c r="Q6" s="21">
        <f>IF(B6="","",ROUND(IF(G6="",0,G6)*CostPerHour,2))</f>
        <v>0</v>
      </c>
      <c r="R6" s="21">
        <f>IF(B6="","",ROUND(IF(I6="",IF(G6="",0,G6)*SuppliesPerHour,I6),2))</f>
        <v>0</v>
      </c>
      <c r="S6" s="21">
        <f>IF(B6="","",Q6+R6)</f>
        <v>0</v>
      </c>
      <c r="T6" s="21">
        <f>IF(B6="","",P6-S6)</f>
        <v>0</v>
      </c>
      <c r="U6" s="38">
        <f>IF(OR(B6="",P6=0),"",T6/P6)</f>
        <v>0</v>
      </c>
      <c r="V6" s="21">
        <f>IF(OR(B6="",G6="",G6=0),"",T6/G6)</f>
        <v>0</v>
      </c>
      <c r="W6" s="21">
        <f>IF(OR(B6="",TargetMargin&gt;=1),"",ROUND(S6/(1-TargetMargin),2))</f>
        <v>0</v>
      </c>
      <c r="X6" s="31">
        <f>IF(B6="","",COUNTIFS('Quote Lines'!$C$5:$C$604,B6))</f>
        <v>0</v>
      </c>
      <c r="Y6" s="31">
        <f>IF(B6="","",COUNTIFS(Jobs!$M$5:$M$604,B6))</f>
        <v>0</v>
      </c>
      <c r="Z6" s="21">
        <f>IF(B6="","",SUMIFS(Jobs!$AJ$5:$AJ$604,Jobs!$M$5:$M$604,B6,Jobs!$P$5:$P$604,"Completed")+SUMIFS(Jobs!$AJ$5:$AJ$604,Jobs!$M$5:$M$604,B6,Jobs!$P$5:$P$604,"Invoiced"))</f>
        <v>0</v>
      </c>
      <c r="AA6" s="31">
        <f>IF(B6="","",COUNTIFS($Z$5:$Z$64,"&gt;"&amp;Z6)+COUNTIFS($Z$5:Z6,Z6))</f>
        <v>0</v>
      </c>
      <c r="AB6" s="31">
        <f>IF(B6="","",COUNTIFS($V$5:$V$64,"&gt;"&amp;V6)+COUNTIFS($V$5:V6,V6))</f>
        <v>0</v>
      </c>
      <c r="AC6" s="39">
        <f>IF(B6="","",IF(AND(D6&lt;&gt;"Per hour",F6=""),"Add - no price set",IF(G6="","Add - how long does it take?",IF(AND(U6&lt;&gt;"",U6&lt;MarginFloor),"Below - margin under the floor",IF(AND(U6&lt;&gt;"",U6&lt;TargetMargin),"Check - under target margin",IF(L6="No","Not offered","OK"))))))</f>
        <v>0</v>
      </c>
    </row>
    <row r="7" spans="1:29">
      <c r="A7" s="43">
        <f>IF(B7="","",ServicePrefix&amp;TEXT(ROW()-4,"000"))</f>
        <v>0</v>
      </c>
      <c r="B7" s="15" t="s">
        <v>790</v>
      </c>
      <c r="C7" s="15" t="s">
        <v>977</v>
      </c>
      <c r="D7" s="15" t="s">
        <v>978</v>
      </c>
      <c r="E7" s="15" t="s">
        <v>210</v>
      </c>
      <c r="F7" s="19">
        <v>0.09</v>
      </c>
      <c r="G7" s="17">
        <v>6</v>
      </c>
      <c r="H7" s="20">
        <v>0.35</v>
      </c>
      <c r="I7" s="19">
        <v>24</v>
      </c>
      <c r="K7" s="47" t="s">
        <v>454</v>
      </c>
      <c r="L7" s="47" t="s">
        <v>454</v>
      </c>
      <c r="O7" s="44" t="s">
        <v>979</v>
      </c>
      <c r="P7" s="21">
        <f>IF(B7="","",ROUND(IF(D7="Per hour",IF(F7="",HourlyRate,F7)*IF(G7="",1,G7),IF(F7="",0,F7))*(1+IF(H7="",0,H7)),2))</f>
        <v>0</v>
      </c>
      <c r="Q7" s="21">
        <f>IF(B7="","",ROUND(IF(G7="",0,G7)*CostPerHour,2))</f>
        <v>0</v>
      </c>
      <c r="R7" s="21">
        <f>IF(B7="","",ROUND(IF(I7="",IF(G7="",0,G7)*SuppliesPerHour,I7),2))</f>
        <v>0</v>
      </c>
      <c r="S7" s="21">
        <f>IF(B7="","",Q7+R7)</f>
        <v>0</v>
      </c>
      <c r="T7" s="21">
        <f>IF(B7="","",P7-S7)</f>
        <v>0</v>
      </c>
      <c r="U7" s="38">
        <f>IF(OR(B7="",P7=0),"",T7/P7)</f>
        <v>0</v>
      </c>
      <c r="V7" s="21">
        <f>IF(OR(B7="",G7="",G7=0),"",T7/G7)</f>
        <v>0</v>
      </c>
      <c r="W7" s="21">
        <f>IF(OR(B7="",TargetMargin&gt;=1),"",ROUND(S7/(1-TargetMargin),2))</f>
        <v>0</v>
      </c>
      <c r="X7" s="31">
        <f>IF(B7="","",COUNTIFS('Quote Lines'!$C$5:$C$604,B7))</f>
        <v>0</v>
      </c>
      <c r="Y7" s="31">
        <f>IF(B7="","",COUNTIFS(Jobs!$M$5:$M$604,B7))</f>
        <v>0</v>
      </c>
      <c r="Z7" s="21">
        <f>IF(B7="","",SUMIFS(Jobs!$AJ$5:$AJ$604,Jobs!$M$5:$M$604,B7,Jobs!$P$5:$P$604,"Completed")+SUMIFS(Jobs!$AJ$5:$AJ$604,Jobs!$M$5:$M$604,B7,Jobs!$P$5:$P$604,"Invoiced"))</f>
        <v>0</v>
      </c>
      <c r="AA7" s="31">
        <f>IF(B7="","",COUNTIFS($Z$5:$Z$64,"&gt;"&amp;Z7)+COUNTIFS($Z$5:Z7,Z7))</f>
        <v>0</v>
      </c>
      <c r="AB7" s="31">
        <f>IF(B7="","",COUNTIFS($V$5:$V$64,"&gt;"&amp;V7)+COUNTIFS($V$5:V7,V7))</f>
        <v>0</v>
      </c>
      <c r="AC7" s="39">
        <f>IF(B7="","",IF(AND(D7&lt;&gt;"Per hour",F7=""),"Add - no price set",IF(G7="","Add - how long does it take?",IF(AND(U7&lt;&gt;"",U7&lt;MarginFloor),"Below - margin under the floor",IF(AND(U7&lt;&gt;"",U7&lt;TargetMargin),"Check - under target margin",IF(L7="No","Not offered","OK"))))))</f>
        <v>0</v>
      </c>
    </row>
    <row r="8" spans="1:29">
      <c r="A8" s="43">
        <f>IF(B8="","",ServicePrefix&amp;TEXT(ROW()-4,"000"))</f>
        <v>0</v>
      </c>
      <c r="B8" s="15" t="s">
        <v>980</v>
      </c>
      <c r="C8" s="15" t="s">
        <v>981</v>
      </c>
      <c r="D8" s="15" t="s">
        <v>978</v>
      </c>
      <c r="E8" s="15" t="s">
        <v>210</v>
      </c>
      <c r="F8" s="19">
        <v>0.08</v>
      </c>
      <c r="G8" s="17">
        <v>5</v>
      </c>
      <c r="H8" s="20">
        <v>0.35</v>
      </c>
      <c r="I8" s="19">
        <v>20</v>
      </c>
      <c r="K8" s="47" t="s">
        <v>457</v>
      </c>
      <c r="L8" s="47" t="s">
        <v>454</v>
      </c>
      <c r="O8" s="44" t="s">
        <v>982</v>
      </c>
      <c r="P8" s="21">
        <f>IF(B8="","",ROUND(IF(D8="Per hour",IF(F8="",HourlyRate,F8)*IF(G8="",1,G8),IF(F8="",0,F8))*(1+IF(H8="",0,H8)),2))</f>
        <v>0</v>
      </c>
      <c r="Q8" s="21">
        <f>IF(B8="","",ROUND(IF(G8="",0,G8)*CostPerHour,2))</f>
        <v>0</v>
      </c>
      <c r="R8" s="21">
        <f>IF(B8="","",ROUND(IF(I8="",IF(G8="",0,G8)*SuppliesPerHour,I8),2))</f>
        <v>0</v>
      </c>
      <c r="S8" s="21">
        <f>IF(B8="","",Q8+R8)</f>
        <v>0</v>
      </c>
      <c r="T8" s="21">
        <f>IF(B8="","",P8-S8)</f>
        <v>0</v>
      </c>
      <c r="U8" s="38">
        <f>IF(OR(B8="",P8=0),"",T8/P8)</f>
        <v>0</v>
      </c>
      <c r="V8" s="21">
        <f>IF(OR(B8="",G8="",G8=0),"",T8/G8)</f>
        <v>0</v>
      </c>
      <c r="W8" s="21">
        <f>IF(OR(B8="",TargetMargin&gt;=1),"",ROUND(S8/(1-TargetMargin),2))</f>
        <v>0</v>
      </c>
      <c r="X8" s="31">
        <f>IF(B8="","",COUNTIFS('Quote Lines'!$C$5:$C$604,B8))</f>
        <v>0</v>
      </c>
      <c r="Y8" s="31">
        <f>IF(B8="","",COUNTIFS(Jobs!$M$5:$M$604,B8))</f>
        <v>0</v>
      </c>
      <c r="Z8" s="21">
        <f>IF(B8="","",SUMIFS(Jobs!$AJ$5:$AJ$604,Jobs!$M$5:$M$604,B8,Jobs!$P$5:$P$604,"Completed")+SUMIFS(Jobs!$AJ$5:$AJ$604,Jobs!$M$5:$M$604,B8,Jobs!$P$5:$P$604,"Invoiced"))</f>
        <v>0</v>
      </c>
      <c r="AA8" s="31">
        <f>IF(B8="","",COUNTIFS($Z$5:$Z$64,"&gt;"&amp;Z8)+COUNTIFS($Z$5:Z8,Z8))</f>
        <v>0</v>
      </c>
      <c r="AB8" s="31">
        <f>IF(B8="","",COUNTIFS($V$5:$V$64,"&gt;"&amp;V8)+COUNTIFS($V$5:V8,V8))</f>
        <v>0</v>
      </c>
      <c r="AC8" s="39">
        <f>IF(B8="","",IF(AND(D8&lt;&gt;"Per hour",F8=""),"Add - no price set",IF(G8="","Add - how long does it take?",IF(AND(U8&lt;&gt;"",U8&lt;MarginFloor),"Below - margin under the floor",IF(AND(U8&lt;&gt;"",U8&lt;TargetMargin),"Check - under target margin",IF(L8="No","Not offered","OK"))))))</f>
        <v>0</v>
      </c>
    </row>
    <row r="9" spans="1:29">
      <c r="A9" s="43">
        <f>IF(B9="","",ServicePrefix&amp;TEXT(ROW()-4,"000"))</f>
        <v>0</v>
      </c>
      <c r="B9" s="15" t="s">
        <v>770</v>
      </c>
      <c r="C9" s="15" t="s">
        <v>983</v>
      </c>
      <c r="D9" s="15" t="s">
        <v>984</v>
      </c>
      <c r="E9" s="15" t="s">
        <v>985</v>
      </c>
      <c r="F9" s="19">
        <v>110</v>
      </c>
      <c r="G9" s="17">
        <v>2</v>
      </c>
      <c r="H9" s="20">
        <v>0</v>
      </c>
      <c r="I9" s="19">
        <v>6</v>
      </c>
      <c r="K9" s="47" t="s">
        <v>454</v>
      </c>
      <c r="L9" s="47" t="s">
        <v>454</v>
      </c>
      <c r="O9" s="44" t="s">
        <v>986</v>
      </c>
      <c r="P9" s="21">
        <f>IF(B9="","",ROUND(IF(D9="Per hour",IF(F9="",HourlyRate,F9)*IF(G9="",1,G9),IF(F9="",0,F9))*(1+IF(H9="",0,H9)),2))</f>
        <v>0</v>
      </c>
      <c r="Q9" s="21">
        <f>IF(B9="","",ROUND(IF(G9="",0,G9)*CostPerHour,2))</f>
        <v>0</v>
      </c>
      <c r="R9" s="21">
        <f>IF(B9="","",ROUND(IF(I9="",IF(G9="",0,G9)*SuppliesPerHour,I9),2))</f>
        <v>0</v>
      </c>
      <c r="S9" s="21">
        <f>IF(B9="","",Q9+R9)</f>
        <v>0</v>
      </c>
      <c r="T9" s="21">
        <f>IF(B9="","",P9-S9)</f>
        <v>0</v>
      </c>
      <c r="U9" s="38">
        <f>IF(OR(B9="",P9=0),"",T9/P9)</f>
        <v>0</v>
      </c>
      <c r="V9" s="21">
        <f>IF(OR(B9="",G9="",G9=0),"",T9/G9)</f>
        <v>0</v>
      </c>
      <c r="W9" s="21">
        <f>IF(OR(B9="",TargetMargin&gt;=1),"",ROUND(S9/(1-TargetMargin),2))</f>
        <v>0</v>
      </c>
      <c r="X9" s="31">
        <f>IF(B9="","",COUNTIFS('Quote Lines'!$C$5:$C$604,B9))</f>
        <v>0</v>
      </c>
      <c r="Y9" s="31">
        <f>IF(B9="","",COUNTIFS(Jobs!$M$5:$M$604,B9))</f>
        <v>0</v>
      </c>
      <c r="Z9" s="21">
        <f>IF(B9="","",SUMIFS(Jobs!$AJ$5:$AJ$604,Jobs!$M$5:$M$604,B9,Jobs!$P$5:$P$604,"Completed")+SUMIFS(Jobs!$AJ$5:$AJ$604,Jobs!$M$5:$M$604,B9,Jobs!$P$5:$P$604,"Invoiced"))</f>
        <v>0</v>
      </c>
      <c r="AA9" s="31">
        <f>IF(B9="","",COUNTIFS($Z$5:$Z$64,"&gt;"&amp;Z9)+COUNTIFS($Z$5:Z9,Z9))</f>
        <v>0</v>
      </c>
      <c r="AB9" s="31">
        <f>IF(B9="","",COUNTIFS($V$5:$V$64,"&gt;"&amp;V9)+COUNTIFS($V$5:V9,V9))</f>
        <v>0</v>
      </c>
      <c r="AC9" s="39">
        <f>IF(B9="","",IF(AND(D9&lt;&gt;"Per hour",F9=""),"Add - no price set",IF(G9="","Add - how long does it take?",IF(AND(U9&lt;&gt;"",U9&lt;MarginFloor),"Below - margin under the floor",IF(AND(U9&lt;&gt;"",U9&lt;TargetMargin),"Check - under target margin",IF(L9="No","Not offered","OK"))))))</f>
        <v>0</v>
      </c>
    </row>
    <row r="10" spans="1:29">
      <c r="A10" s="43">
        <f>IF(B10="","",ServicePrefix&amp;TEXT(ROW()-4,"000"))</f>
        <v>0</v>
      </c>
      <c r="B10" s="15" t="s">
        <v>905</v>
      </c>
      <c r="C10" s="15" t="s">
        <v>983</v>
      </c>
      <c r="D10" s="15" t="s">
        <v>984</v>
      </c>
      <c r="E10" s="15" t="s">
        <v>985</v>
      </c>
      <c r="F10" s="19">
        <v>185</v>
      </c>
      <c r="G10" s="17">
        <v>3.5</v>
      </c>
      <c r="H10" s="20">
        <v>0</v>
      </c>
      <c r="I10" s="19">
        <v>10</v>
      </c>
      <c r="K10" s="47" t="s">
        <v>457</v>
      </c>
      <c r="L10" s="47" t="s">
        <v>454</v>
      </c>
      <c r="O10" s="44" t="s">
        <v>987</v>
      </c>
      <c r="P10" s="21">
        <f>IF(B10="","",ROUND(IF(D10="Per hour",IF(F10="",HourlyRate,F10)*IF(G10="",1,G10),IF(F10="",0,F10))*(1+IF(H10="",0,H10)),2))</f>
        <v>0</v>
      </c>
      <c r="Q10" s="21">
        <f>IF(B10="","",ROUND(IF(G10="",0,G10)*CostPerHour,2))</f>
        <v>0</v>
      </c>
      <c r="R10" s="21">
        <f>IF(B10="","",ROUND(IF(I10="",IF(G10="",0,G10)*SuppliesPerHour,I10),2))</f>
        <v>0</v>
      </c>
      <c r="S10" s="21">
        <f>IF(B10="","",Q10+R10)</f>
        <v>0</v>
      </c>
      <c r="T10" s="21">
        <f>IF(B10="","",P10-S10)</f>
        <v>0</v>
      </c>
      <c r="U10" s="38">
        <f>IF(OR(B10="",P10=0),"",T10/P10)</f>
        <v>0</v>
      </c>
      <c r="V10" s="21">
        <f>IF(OR(B10="",G10="",G10=0),"",T10/G10)</f>
        <v>0</v>
      </c>
      <c r="W10" s="21">
        <f>IF(OR(B10="",TargetMargin&gt;=1),"",ROUND(S10/(1-TargetMargin),2))</f>
        <v>0</v>
      </c>
      <c r="X10" s="31">
        <f>IF(B10="","",COUNTIFS('Quote Lines'!$C$5:$C$604,B10))</f>
        <v>0</v>
      </c>
      <c r="Y10" s="31">
        <f>IF(B10="","",COUNTIFS(Jobs!$M$5:$M$604,B10))</f>
        <v>0</v>
      </c>
      <c r="Z10" s="21">
        <f>IF(B10="","",SUMIFS(Jobs!$AJ$5:$AJ$604,Jobs!$M$5:$M$604,B10,Jobs!$P$5:$P$604,"Completed")+SUMIFS(Jobs!$AJ$5:$AJ$604,Jobs!$M$5:$M$604,B10,Jobs!$P$5:$P$604,"Invoiced"))</f>
        <v>0</v>
      </c>
      <c r="AA10" s="31">
        <f>IF(B10="","",COUNTIFS($Z$5:$Z$64,"&gt;"&amp;Z10)+COUNTIFS($Z$5:Z10,Z10))</f>
        <v>0</v>
      </c>
      <c r="AB10" s="31">
        <f>IF(B10="","",COUNTIFS($V$5:$V$64,"&gt;"&amp;V10)+COUNTIFS($V$5:V10,V10))</f>
        <v>0</v>
      </c>
      <c r="AC10" s="39">
        <f>IF(B10="","",IF(AND(D10&lt;&gt;"Per hour",F10=""),"Add - no price set",IF(G10="","Add - how long does it take?",IF(AND(U10&lt;&gt;"",U10&lt;MarginFloor),"Below - margin under the floor",IF(AND(U10&lt;&gt;"",U10&lt;TargetMargin),"Check - under target margin",IF(L10="No","Not offered","OK"))))))</f>
        <v>0</v>
      </c>
    </row>
    <row r="11" spans="1:29">
      <c r="A11" s="43">
        <f>IF(B11="","",ServicePrefix&amp;TEXT(ROW()-4,"000"))</f>
        <v>0</v>
      </c>
      <c r="B11" s="15" t="s">
        <v>821</v>
      </c>
      <c r="C11" s="15" t="s">
        <v>821</v>
      </c>
      <c r="D11" s="15" t="s">
        <v>984</v>
      </c>
      <c r="E11" s="15" t="s">
        <v>985</v>
      </c>
      <c r="F11" s="19">
        <v>95</v>
      </c>
      <c r="G11" s="17">
        <v>2</v>
      </c>
      <c r="H11" s="20">
        <v>0</v>
      </c>
      <c r="I11" s="19">
        <v>8</v>
      </c>
      <c r="K11" s="47" t="s">
        <v>454</v>
      </c>
      <c r="L11" s="47" t="s">
        <v>454</v>
      </c>
      <c r="O11" s="44" t="s">
        <v>988</v>
      </c>
      <c r="P11" s="21">
        <f>IF(B11="","",ROUND(IF(D11="Per hour",IF(F11="",HourlyRate,F11)*IF(G11="",1,G11),IF(F11="",0,F11))*(1+IF(H11="",0,H11)),2))</f>
        <v>0</v>
      </c>
      <c r="Q11" s="21">
        <f>IF(B11="","",ROUND(IF(G11="",0,G11)*CostPerHour,2))</f>
        <v>0</v>
      </c>
      <c r="R11" s="21">
        <f>IF(B11="","",ROUND(IF(I11="",IF(G11="",0,G11)*SuppliesPerHour,I11),2))</f>
        <v>0</v>
      </c>
      <c r="S11" s="21">
        <f>IF(B11="","",Q11+R11)</f>
        <v>0</v>
      </c>
      <c r="T11" s="21">
        <f>IF(B11="","",P11-S11)</f>
        <v>0</v>
      </c>
      <c r="U11" s="38">
        <f>IF(OR(B11="",P11=0),"",T11/P11)</f>
        <v>0</v>
      </c>
      <c r="V11" s="21">
        <f>IF(OR(B11="",G11="",G11=0),"",T11/G11)</f>
        <v>0</v>
      </c>
      <c r="W11" s="21">
        <f>IF(OR(B11="",TargetMargin&gt;=1),"",ROUND(S11/(1-TargetMargin),2))</f>
        <v>0</v>
      </c>
      <c r="X11" s="31">
        <f>IF(B11="","",COUNTIFS('Quote Lines'!$C$5:$C$604,B11))</f>
        <v>0</v>
      </c>
      <c r="Y11" s="31">
        <f>IF(B11="","",COUNTIFS(Jobs!$M$5:$M$604,B11))</f>
        <v>0</v>
      </c>
      <c r="Z11" s="21">
        <f>IF(B11="","",SUMIFS(Jobs!$AJ$5:$AJ$604,Jobs!$M$5:$M$604,B11,Jobs!$P$5:$P$604,"Completed")+SUMIFS(Jobs!$AJ$5:$AJ$604,Jobs!$M$5:$M$604,B11,Jobs!$P$5:$P$604,"Invoiced"))</f>
        <v>0</v>
      </c>
      <c r="AA11" s="31">
        <f>IF(B11="","",COUNTIFS($Z$5:$Z$64,"&gt;"&amp;Z11)+COUNTIFS($Z$5:Z11,Z11))</f>
        <v>0</v>
      </c>
      <c r="AB11" s="31">
        <f>IF(B11="","",COUNTIFS($V$5:$V$64,"&gt;"&amp;V11)+COUNTIFS($V$5:V11,V11))</f>
        <v>0</v>
      </c>
      <c r="AC11" s="39">
        <f>IF(B11="","",IF(AND(D11&lt;&gt;"Per hour",F11=""),"Add - no price set",IF(G11="","Add - how long does it take?",IF(AND(U11&lt;&gt;"",U11&lt;MarginFloor),"Below - margin under the floor",IF(AND(U11&lt;&gt;"",U11&lt;TargetMargin),"Check - under target margin",IF(L11="No","Not offered","OK"))))))</f>
        <v>0</v>
      </c>
    </row>
    <row r="12" spans="1:29">
      <c r="A12" s="43">
        <f>IF(B12="","",ServicePrefix&amp;TEXT(ROW()-4,"000"))</f>
        <v>0</v>
      </c>
      <c r="B12" s="15" t="s">
        <v>839</v>
      </c>
      <c r="C12" s="15" t="s">
        <v>983</v>
      </c>
      <c r="D12" s="15" t="s">
        <v>984</v>
      </c>
      <c r="E12" s="15" t="s">
        <v>985</v>
      </c>
      <c r="F12" s="19">
        <v>75</v>
      </c>
      <c r="G12" s="17">
        <v>1.5</v>
      </c>
      <c r="H12" s="20">
        <v>0</v>
      </c>
      <c r="I12" s="19">
        <v>4.5</v>
      </c>
      <c r="K12" s="47" t="s">
        <v>457</v>
      </c>
      <c r="L12" s="47" t="s">
        <v>454</v>
      </c>
      <c r="O12" s="44" t="s">
        <v>989</v>
      </c>
      <c r="P12" s="21">
        <f>IF(B12="","",ROUND(IF(D12="Per hour",IF(F12="",HourlyRate,F12)*IF(G12="",1,G12),IF(F12="",0,F12))*(1+IF(H12="",0,H12)),2))</f>
        <v>0</v>
      </c>
      <c r="Q12" s="21">
        <f>IF(B12="","",ROUND(IF(G12="",0,G12)*CostPerHour,2))</f>
        <v>0</v>
      </c>
      <c r="R12" s="21">
        <f>IF(B12="","",ROUND(IF(I12="",IF(G12="",0,G12)*SuppliesPerHour,I12),2))</f>
        <v>0</v>
      </c>
      <c r="S12" s="21">
        <f>IF(B12="","",Q12+R12)</f>
        <v>0</v>
      </c>
      <c r="T12" s="21">
        <f>IF(B12="","",P12-S12)</f>
        <v>0</v>
      </c>
      <c r="U12" s="38">
        <f>IF(OR(B12="",P12=0),"",T12/P12)</f>
        <v>0</v>
      </c>
      <c r="V12" s="21">
        <f>IF(OR(B12="",G12="",G12=0),"",T12/G12)</f>
        <v>0</v>
      </c>
      <c r="W12" s="21">
        <f>IF(OR(B12="",TargetMargin&gt;=1),"",ROUND(S12/(1-TargetMargin),2))</f>
        <v>0</v>
      </c>
      <c r="X12" s="31">
        <f>IF(B12="","",COUNTIFS('Quote Lines'!$C$5:$C$604,B12))</f>
        <v>0</v>
      </c>
      <c r="Y12" s="31">
        <f>IF(B12="","",COUNTIFS(Jobs!$M$5:$M$604,B12))</f>
        <v>0</v>
      </c>
      <c r="Z12" s="21">
        <f>IF(B12="","",SUMIFS(Jobs!$AJ$5:$AJ$604,Jobs!$M$5:$M$604,B12,Jobs!$P$5:$P$604,"Completed")+SUMIFS(Jobs!$AJ$5:$AJ$604,Jobs!$M$5:$M$604,B12,Jobs!$P$5:$P$604,"Invoiced"))</f>
        <v>0</v>
      </c>
      <c r="AA12" s="31">
        <f>IF(B12="","",COUNTIFS($Z$5:$Z$64,"&gt;"&amp;Z12)+COUNTIFS($Z$5:Z12,Z12))</f>
        <v>0</v>
      </c>
      <c r="AB12" s="31">
        <f>IF(B12="","",COUNTIFS($V$5:$V$64,"&gt;"&amp;V12)+COUNTIFS($V$5:V12,V12))</f>
        <v>0</v>
      </c>
      <c r="AC12" s="39">
        <f>IF(B12="","",IF(AND(D12&lt;&gt;"Per hour",F12=""),"Add - no price set",IF(G12="","Add - how long does it take?",IF(AND(U12&lt;&gt;"",U12&lt;MarginFloor),"Below - margin under the floor",IF(AND(U12&lt;&gt;"",U12&lt;TargetMargin),"Check - under target margin",IF(L12="No","Not offered","OK"))))))</f>
        <v>0</v>
      </c>
    </row>
    <row r="13" spans="1:29">
      <c r="A13" s="43">
        <f>IF(B13="","",ServicePrefix&amp;TEXT(ROW()-4,"000"))</f>
        <v>0</v>
      </c>
      <c r="B13" s="15" t="s">
        <v>803</v>
      </c>
      <c r="C13" s="15" t="s">
        <v>983</v>
      </c>
      <c r="D13" s="15" t="s">
        <v>984</v>
      </c>
      <c r="E13" s="15" t="s">
        <v>985</v>
      </c>
      <c r="F13" s="19">
        <v>175</v>
      </c>
      <c r="G13" s="17">
        <v>3.5</v>
      </c>
      <c r="H13" s="20">
        <v>0</v>
      </c>
      <c r="I13" s="19">
        <v>11</v>
      </c>
      <c r="K13" s="47" t="s">
        <v>457</v>
      </c>
      <c r="L13" s="47" t="s">
        <v>454</v>
      </c>
      <c r="O13" s="44" t="s">
        <v>990</v>
      </c>
      <c r="P13" s="21">
        <f>IF(B13="","",ROUND(IF(D13="Per hour",IF(F13="",HourlyRate,F13)*IF(G13="",1,G13),IF(F13="",0,F13))*(1+IF(H13="",0,H13)),2))</f>
        <v>0</v>
      </c>
      <c r="Q13" s="21">
        <f>IF(B13="","",ROUND(IF(G13="",0,G13)*CostPerHour,2))</f>
        <v>0</v>
      </c>
      <c r="R13" s="21">
        <f>IF(B13="","",ROUND(IF(I13="",IF(G13="",0,G13)*SuppliesPerHour,I13),2))</f>
        <v>0</v>
      </c>
      <c r="S13" s="21">
        <f>IF(B13="","",Q13+R13)</f>
        <v>0</v>
      </c>
      <c r="T13" s="21">
        <f>IF(B13="","",P13-S13)</f>
        <v>0</v>
      </c>
      <c r="U13" s="38">
        <f>IF(OR(B13="",P13=0),"",T13/P13)</f>
        <v>0</v>
      </c>
      <c r="V13" s="21">
        <f>IF(OR(B13="",G13="",G13=0),"",T13/G13)</f>
        <v>0</v>
      </c>
      <c r="W13" s="21">
        <f>IF(OR(B13="",TargetMargin&gt;=1),"",ROUND(S13/(1-TargetMargin),2))</f>
        <v>0</v>
      </c>
      <c r="X13" s="31">
        <f>IF(B13="","",COUNTIFS('Quote Lines'!$C$5:$C$604,B13))</f>
        <v>0</v>
      </c>
      <c r="Y13" s="31">
        <f>IF(B13="","",COUNTIFS(Jobs!$M$5:$M$604,B13))</f>
        <v>0</v>
      </c>
      <c r="Z13" s="21">
        <f>IF(B13="","",SUMIFS(Jobs!$AJ$5:$AJ$604,Jobs!$M$5:$M$604,B13,Jobs!$P$5:$P$604,"Completed")+SUMIFS(Jobs!$AJ$5:$AJ$604,Jobs!$M$5:$M$604,B13,Jobs!$P$5:$P$604,"Invoiced"))</f>
        <v>0</v>
      </c>
      <c r="AA13" s="31">
        <f>IF(B13="","",COUNTIFS($Z$5:$Z$64,"&gt;"&amp;Z13)+COUNTIFS($Z$5:Z13,Z13))</f>
        <v>0</v>
      </c>
      <c r="AB13" s="31">
        <f>IF(B13="","",COUNTIFS($V$5:$V$64,"&gt;"&amp;V13)+COUNTIFS($V$5:V13,V13))</f>
        <v>0</v>
      </c>
      <c r="AC13" s="39">
        <f>IF(B13="","",IF(AND(D13&lt;&gt;"Per hour",F13=""),"Add - no price set",IF(G13="","Add - how long does it take?",IF(AND(U13&lt;&gt;"",U13&lt;MarginFloor),"Below - margin under the floor",IF(AND(U13&lt;&gt;"",U13&lt;TargetMargin),"Check - under target margin",IF(L13="No","Not offered","OK"))))))</f>
        <v>0</v>
      </c>
    </row>
    <row r="14" spans="1:29">
      <c r="A14" s="43">
        <f>IF(B14="","",ServicePrefix&amp;TEXT(ROW()-4,"000"))</f>
        <v>0</v>
      </c>
      <c r="B14" s="15" t="s">
        <v>797</v>
      </c>
      <c r="C14" s="15" t="s">
        <v>983</v>
      </c>
      <c r="D14" s="15" t="s">
        <v>984</v>
      </c>
      <c r="E14" s="15" t="s">
        <v>985</v>
      </c>
      <c r="F14" s="19">
        <v>125</v>
      </c>
      <c r="G14" s="17">
        <v>2</v>
      </c>
      <c r="H14" s="20">
        <v>0</v>
      </c>
      <c r="I14" s="19">
        <v>8</v>
      </c>
      <c r="K14" s="47" t="s">
        <v>457</v>
      </c>
      <c r="L14" s="47" t="s">
        <v>454</v>
      </c>
      <c r="O14" s="44" t="s">
        <v>991</v>
      </c>
      <c r="P14" s="21">
        <f>IF(B14="","",ROUND(IF(D14="Per hour",IF(F14="",HourlyRate,F14)*IF(G14="",1,G14),IF(F14="",0,F14))*(1+IF(H14="",0,H14)),2))</f>
        <v>0</v>
      </c>
      <c r="Q14" s="21">
        <f>IF(B14="","",ROUND(IF(G14="",0,G14)*CostPerHour,2))</f>
        <v>0</v>
      </c>
      <c r="R14" s="21">
        <f>IF(B14="","",ROUND(IF(I14="",IF(G14="",0,G14)*SuppliesPerHour,I14),2))</f>
        <v>0</v>
      </c>
      <c r="S14" s="21">
        <f>IF(B14="","",Q14+R14)</f>
        <v>0</v>
      </c>
      <c r="T14" s="21">
        <f>IF(B14="","",P14-S14)</f>
        <v>0</v>
      </c>
      <c r="U14" s="38">
        <f>IF(OR(B14="",P14=0),"",T14/P14)</f>
        <v>0</v>
      </c>
      <c r="V14" s="21">
        <f>IF(OR(B14="",G14="",G14=0),"",T14/G14)</f>
        <v>0</v>
      </c>
      <c r="W14" s="21">
        <f>IF(OR(B14="",TargetMargin&gt;=1),"",ROUND(S14/(1-TargetMargin),2))</f>
        <v>0</v>
      </c>
      <c r="X14" s="31">
        <f>IF(B14="","",COUNTIFS('Quote Lines'!$C$5:$C$604,B14))</f>
        <v>0</v>
      </c>
      <c r="Y14" s="31">
        <f>IF(B14="","",COUNTIFS(Jobs!$M$5:$M$604,B14))</f>
        <v>0</v>
      </c>
      <c r="Z14" s="21">
        <f>IF(B14="","",SUMIFS(Jobs!$AJ$5:$AJ$604,Jobs!$M$5:$M$604,B14,Jobs!$P$5:$P$604,"Completed")+SUMIFS(Jobs!$AJ$5:$AJ$604,Jobs!$M$5:$M$604,B14,Jobs!$P$5:$P$604,"Invoiced"))</f>
        <v>0</v>
      </c>
      <c r="AA14" s="31">
        <f>IF(B14="","",COUNTIFS($Z$5:$Z$64,"&gt;"&amp;Z14)+COUNTIFS($Z$5:Z14,Z14))</f>
        <v>0</v>
      </c>
      <c r="AB14" s="31">
        <f>IF(B14="","",COUNTIFS($V$5:$V$64,"&gt;"&amp;V14)+COUNTIFS($V$5:V14,V14))</f>
        <v>0</v>
      </c>
      <c r="AC14" s="39">
        <f>IF(B14="","",IF(AND(D14&lt;&gt;"Per hour",F14=""),"Add - no price set",IF(G14="","Add - how long does it take?",IF(AND(U14&lt;&gt;"",U14&lt;MarginFloor),"Below - margin under the floor",IF(AND(U14&lt;&gt;"",U14&lt;TargetMargin),"Check - under target margin",IF(L14="No","Not offered","OK"))))))</f>
        <v>0</v>
      </c>
    </row>
    <row r="15" spans="1:29">
      <c r="A15" s="43">
        <f>IF(B15="","",ServicePrefix&amp;TEXT(ROW()-4,"000"))</f>
        <v>0</v>
      </c>
      <c r="B15" s="15" t="s">
        <v>473</v>
      </c>
      <c r="C15" s="15" t="s">
        <v>992</v>
      </c>
      <c r="D15" s="15" t="s">
        <v>993</v>
      </c>
      <c r="E15" s="15" t="s">
        <v>994</v>
      </c>
      <c r="F15" s="19">
        <v>85</v>
      </c>
      <c r="G15" s="17">
        <v>1.5</v>
      </c>
      <c r="H15" s="20">
        <v>0</v>
      </c>
      <c r="I15" s="19">
        <v>9</v>
      </c>
      <c r="K15" s="47" t="s">
        <v>454</v>
      </c>
      <c r="L15" s="47" t="s">
        <v>454</v>
      </c>
      <c r="O15" s="44" t="s">
        <v>995</v>
      </c>
      <c r="P15" s="21">
        <f>IF(B15="","",ROUND(IF(D15="Per hour",IF(F15="",HourlyRate,F15)*IF(G15="",1,G15),IF(F15="",0,F15))*(1+IF(H15="",0,H15)),2))</f>
        <v>0</v>
      </c>
      <c r="Q15" s="21">
        <f>IF(B15="","",ROUND(IF(G15="",0,G15)*CostPerHour,2))</f>
        <v>0</v>
      </c>
      <c r="R15" s="21">
        <f>IF(B15="","",ROUND(IF(I15="",IF(G15="",0,G15)*SuppliesPerHour,I15),2))</f>
        <v>0</v>
      </c>
      <c r="S15" s="21">
        <f>IF(B15="","",Q15+R15)</f>
        <v>0</v>
      </c>
      <c r="T15" s="21">
        <f>IF(B15="","",P15-S15)</f>
        <v>0</v>
      </c>
      <c r="U15" s="38">
        <f>IF(OR(B15="",P15=0),"",T15/P15)</f>
        <v>0</v>
      </c>
      <c r="V15" s="21">
        <f>IF(OR(B15="",G15="",G15=0),"",T15/G15)</f>
        <v>0</v>
      </c>
      <c r="W15" s="21">
        <f>IF(OR(B15="",TargetMargin&gt;=1),"",ROUND(S15/(1-TargetMargin),2))</f>
        <v>0</v>
      </c>
      <c r="X15" s="31">
        <f>IF(B15="","",COUNTIFS('Quote Lines'!$C$5:$C$604,B15))</f>
        <v>0</v>
      </c>
      <c r="Y15" s="31">
        <f>IF(B15="","",COUNTIFS(Jobs!$M$5:$M$604,B15))</f>
        <v>0</v>
      </c>
      <c r="Z15" s="21">
        <f>IF(B15="","",SUMIFS(Jobs!$AJ$5:$AJ$604,Jobs!$M$5:$M$604,B15,Jobs!$P$5:$P$604,"Completed")+SUMIFS(Jobs!$AJ$5:$AJ$604,Jobs!$M$5:$M$604,B15,Jobs!$P$5:$P$604,"Invoiced"))</f>
        <v>0</v>
      </c>
      <c r="AA15" s="31">
        <f>IF(B15="","",COUNTIFS($Z$5:$Z$64,"&gt;"&amp;Z15)+COUNTIFS($Z$5:Z15,Z15))</f>
        <v>0</v>
      </c>
      <c r="AB15" s="31">
        <f>IF(B15="","",COUNTIFS($V$5:$V$64,"&gt;"&amp;V15)+COUNTIFS($V$5:V15,V15))</f>
        <v>0</v>
      </c>
      <c r="AC15" s="39">
        <f>IF(B15="","",IF(AND(D15&lt;&gt;"Per hour",F15=""),"Add - no price set",IF(G15="","Add - how long does it take?",IF(AND(U15&lt;&gt;"",U15&lt;MarginFloor),"Below - margin under the floor",IF(AND(U15&lt;&gt;"",U15&lt;TargetMargin),"Check - under target margin",IF(L15="No","Not offered","OK"))))))</f>
        <v>0</v>
      </c>
    </row>
    <row r="16" spans="1:29">
      <c r="A16" s="43">
        <f>IF(B16="","",ServicePrefix&amp;TEXT(ROW()-4,"000"))</f>
        <v>0</v>
      </c>
      <c r="B16" s="15" t="s">
        <v>996</v>
      </c>
      <c r="C16" s="15" t="s">
        <v>992</v>
      </c>
      <c r="D16" s="15" t="s">
        <v>993</v>
      </c>
      <c r="E16" s="15" t="s">
        <v>997</v>
      </c>
      <c r="F16" s="19">
        <v>45</v>
      </c>
      <c r="G16" s="17">
        <v>0.75</v>
      </c>
      <c r="H16" s="20">
        <v>0</v>
      </c>
      <c r="I16" s="19">
        <v>3</v>
      </c>
      <c r="K16" s="47" t="s">
        <v>457</v>
      </c>
      <c r="L16" s="47" t="s">
        <v>454</v>
      </c>
      <c r="O16" s="44" t="s">
        <v>998</v>
      </c>
      <c r="P16" s="21">
        <f>IF(B16="","",ROUND(IF(D16="Per hour",IF(F16="",HourlyRate,F16)*IF(G16="",1,G16),IF(F16="",0,F16))*(1+IF(H16="",0,H16)),2))</f>
        <v>0</v>
      </c>
      <c r="Q16" s="21">
        <f>IF(B16="","",ROUND(IF(G16="",0,G16)*CostPerHour,2))</f>
        <v>0</v>
      </c>
      <c r="R16" s="21">
        <f>IF(B16="","",ROUND(IF(I16="",IF(G16="",0,G16)*SuppliesPerHour,I16),2))</f>
        <v>0</v>
      </c>
      <c r="S16" s="21">
        <f>IF(B16="","",Q16+R16)</f>
        <v>0</v>
      </c>
      <c r="T16" s="21">
        <f>IF(B16="","",P16-S16)</f>
        <v>0</v>
      </c>
      <c r="U16" s="38">
        <f>IF(OR(B16="",P16=0),"",T16/P16)</f>
        <v>0</v>
      </c>
      <c r="V16" s="21">
        <f>IF(OR(B16="",G16="",G16=0),"",T16/G16)</f>
        <v>0</v>
      </c>
      <c r="W16" s="21">
        <f>IF(OR(B16="",TargetMargin&gt;=1),"",ROUND(S16/(1-TargetMargin),2))</f>
        <v>0</v>
      </c>
      <c r="X16" s="31">
        <f>IF(B16="","",COUNTIFS('Quote Lines'!$C$5:$C$604,B16))</f>
        <v>0</v>
      </c>
      <c r="Y16" s="31">
        <f>IF(B16="","",COUNTIFS(Jobs!$M$5:$M$604,B16))</f>
        <v>0</v>
      </c>
      <c r="Z16" s="21">
        <f>IF(B16="","",SUMIFS(Jobs!$AJ$5:$AJ$604,Jobs!$M$5:$M$604,B16,Jobs!$P$5:$P$604,"Completed")+SUMIFS(Jobs!$AJ$5:$AJ$604,Jobs!$M$5:$M$604,B16,Jobs!$P$5:$P$604,"Invoiced"))</f>
        <v>0</v>
      </c>
      <c r="AA16" s="31">
        <f>IF(B16="","",COUNTIFS($Z$5:$Z$64,"&gt;"&amp;Z16)+COUNTIFS($Z$5:Z16,Z16))</f>
        <v>0</v>
      </c>
      <c r="AB16" s="31">
        <f>IF(B16="","",COUNTIFS($V$5:$V$64,"&gt;"&amp;V16)+COUNTIFS($V$5:V16,V16))</f>
        <v>0</v>
      </c>
      <c r="AC16" s="39">
        <f>IF(B16="","",IF(AND(D16&lt;&gt;"Per hour",F16=""),"Add - no price set",IF(G16="","Add - how long does it take?",IF(AND(U16&lt;&gt;"",U16&lt;MarginFloor),"Below - margin under the floor",IF(AND(U16&lt;&gt;"",U16&lt;TargetMargin),"Check - under target margin",IF(L16="No","Not offered","OK"))))))</f>
        <v>0</v>
      </c>
    </row>
    <row r="17" spans="1:29">
      <c r="A17" s="43">
        <f>IF(B17="","",ServicePrefix&amp;TEXT(ROW()-4,"000"))</f>
        <v>0</v>
      </c>
      <c r="B17" s="15" t="s">
        <v>999</v>
      </c>
      <c r="C17" s="15" t="s">
        <v>1000</v>
      </c>
      <c r="D17" s="15" t="s">
        <v>993</v>
      </c>
      <c r="E17" s="15" t="s">
        <v>997</v>
      </c>
      <c r="F17" s="19">
        <v>60</v>
      </c>
      <c r="G17" s="17">
        <v>1</v>
      </c>
      <c r="H17" s="20">
        <v>0</v>
      </c>
      <c r="I17" s="19">
        <v>2</v>
      </c>
      <c r="K17" s="47" t="s">
        <v>457</v>
      </c>
      <c r="L17" s="47" t="s">
        <v>454</v>
      </c>
      <c r="O17" s="44" t="s">
        <v>1001</v>
      </c>
      <c r="P17" s="21">
        <f>IF(B17="","",ROUND(IF(D17="Per hour",IF(F17="",HourlyRate,F17)*IF(G17="",1,G17),IF(F17="",0,F17))*(1+IF(H17="",0,H17)),2))</f>
        <v>0</v>
      </c>
      <c r="Q17" s="21">
        <f>IF(B17="","",ROUND(IF(G17="",0,G17)*CostPerHour,2))</f>
        <v>0</v>
      </c>
      <c r="R17" s="21">
        <f>IF(B17="","",ROUND(IF(I17="",IF(G17="",0,G17)*SuppliesPerHour,I17),2))</f>
        <v>0</v>
      </c>
      <c r="S17" s="21">
        <f>IF(B17="","",Q17+R17)</f>
        <v>0</v>
      </c>
      <c r="T17" s="21">
        <f>IF(B17="","",P17-S17)</f>
        <v>0</v>
      </c>
      <c r="U17" s="38">
        <f>IF(OR(B17="",P17=0),"",T17/P17)</f>
        <v>0</v>
      </c>
      <c r="V17" s="21">
        <f>IF(OR(B17="",G17="",G17=0),"",T17/G17)</f>
        <v>0</v>
      </c>
      <c r="W17" s="21">
        <f>IF(OR(B17="",TargetMargin&gt;=1),"",ROUND(S17/(1-TargetMargin),2))</f>
        <v>0</v>
      </c>
      <c r="X17" s="31">
        <f>IF(B17="","",COUNTIFS('Quote Lines'!$C$5:$C$604,B17))</f>
        <v>0</v>
      </c>
      <c r="Y17" s="31">
        <f>IF(B17="","",COUNTIFS(Jobs!$M$5:$M$604,B17))</f>
        <v>0</v>
      </c>
      <c r="Z17" s="21">
        <f>IF(B17="","",SUMIFS(Jobs!$AJ$5:$AJ$604,Jobs!$M$5:$M$604,B17,Jobs!$P$5:$P$604,"Completed")+SUMIFS(Jobs!$AJ$5:$AJ$604,Jobs!$M$5:$M$604,B17,Jobs!$P$5:$P$604,"Invoiced"))</f>
        <v>0</v>
      </c>
      <c r="AA17" s="31">
        <f>IF(B17="","",COUNTIFS($Z$5:$Z$64,"&gt;"&amp;Z17)+COUNTIFS($Z$5:Z17,Z17))</f>
        <v>0</v>
      </c>
      <c r="AB17" s="31">
        <f>IF(B17="","",COUNTIFS($V$5:$V$64,"&gt;"&amp;V17)+COUNTIFS($V$5:V17,V17))</f>
        <v>0</v>
      </c>
      <c r="AC17" s="39">
        <f>IF(B17="","",IF(AND(D17&lt;&gt;"Per hour",F17=""),"Add - no price set",IF(G17="","Add - how long does it take?",IF(AND(U17&lt;&gt;"",U17&lt;MarginFloor),"Below - margin under the floor",IF(AND(U17&lt;&gt;"",U17&lt;TargetMargin),"Check - under target margin",IF(L17="No","Not offered","OK"))))))</f>
        <v>0</v>
      </c>
    </row>
    <row r="18" spans="1:29">
      <c r="A18" s="43">
        <f>IF(B18="","",ServicePrefix&amp;TEXT(ROW()-4,"000"))</f>
        <v>0</v>
      </c>
      <c r="B18" s="15" t="s">
        <v>1002</v>
      </c>
      <c r="C18" s="15" t="s">
        <v>1003</v>
      </c>
      <c r="D18" s="15" t="s">
        <v>1004</v>
      </c>
      <c r="E18" s="15" t="s">
        <v>1005</v>
      </c>
      <c r="F18" s="19">
        <v>55</v>
      </c>
      <c r="G18" s="17">
        <v>1</v>
      </c>
      <c r="H18" s="20">
        <v>0</v>
      </c>
      <c r="I18" s="19">
        <v>7</v>
      </c>
      <c r="K18" s="47" t="s">
        <v>457</v>
      </c>
      <c r="L18" s="47" t="s">
        <v>454</v>
      </c>
      <c r="O18" s="44" t="s">
        <v>1006</v>
      </c>
      <c r="P18" s="21">
        <f>IF(B18="","",ROUND(IF(D18="Per hour",IF(F18="",HourlyRate,F18)*IF(G18="",1,G18),IF(F18="",0,F18))*(1+IF(H18="",0,H18)),2))</f>
        <v>0</v>
      </c>
      <c r="Q18" s="21">
        <f>IF(B18="","",ROUND(IF(G18="",0,G18)*CostPerHour,2))</f>
        <v>0</v>
      </c>
      <c r="R18" s="21">
        <f>IF(B18="","",ROUND(IF(I18="",IF(G18="",0,G18)*SuppliesPerHour,I18),2))</f>
        <v>0</v>
      </c>
      <c r="S18" s="21">
        <f>IF(B18="","",Q18+R18)</f>
        <v>0</v>
      </c>
      <c r="T18" s="21">
        <f>IF(B18="","",P18-S18)</f>
        <v>0</v>
      </c>
      <c r="U18" s="38">
        <f>IF(OR(B18="",P18=0),"",T18/P18)</f>
        <v>0</v>
      </c>
      <c r="V18" s="21">
        <f>IF(OR(B18="",G18="",G18=0),"",T18/G18)</f>
        <v>0</v>
      </c>
      <c r="W18" s="21">
        <f>IF(OR(B18="",TargetMargin&gt;=1),"",ROUND(S18/(1-TargetMargin),2))</f>
        <v>0</v>
      </c>
      <c r="X18" s="31">
        <f>IF(B18="","",COUNTIFS('Quote Lines'!$C$5:$C$604,B18))</f>
        <v>0</v>
      </c>
      <c r="Y18" s="31">
        <f>IF(B18="","",COUNTIFS(Jobs!$M$5:$M$604,B18))</f>
        <v>0</v>
      </c>
      <c r="Z18" s="21">
        <f>IF(B18="","",SUMIFS(Jobs!$AJ$5:$AJ$604,Jobs!$M$5:$M$604,B18,Jobs!$P$5:$P$604,"Completed")+SUMIFS(Jobs!$AJ$5:$AJ$604,Jobs!$M$5:$M$604,B18,Jobs!$P$5:$P$604,"Invoiced"))</f>
        <v>0</v>
      </c>
      <c r="AA18" s="31">
        <f>IF(B18="","",COUNTIFS($Z$5:$Z$64,"&gt;"&amp;Z18)+COUNTIFS($Z$5:Z18,Z18))</f>
        <v>0</v>
      </c>
      <c r="AB18" s="31">
        <f>IF(B18="","",COUNTIFS($V$5:$V$64,"&gt;"&amp;V18)+COUNTIFS($V$5:V18,V18))</f>
        <v>0</v>
      </c>
      <c r="AC18" s="39">
        <f>IF(B18="","",IF(AND(D18&lt;&gt;"Per hour",F18=""),"Add - no price set",IF(G18="","Add - how long does it take?",IF(AND(U18&lt;&gt;"",U18&lt;MarginFloor),"Below - margin under the floor",IF(AND(U18&lt;&gt;"",U18&lt;TargetMargin),"Check - under target margin",IF(L18="No","Not offered","OK"))))))</f>
        <v>0</v>
      </c>
    </row>
    <row r="19" spans="1:29">
      <c r="A19" s="43">
        <f>IF(B19="","",ServicePrefix&amp;TEXT(ROW()-4,"000"))</f>
        <v>0</v>
      </c>
      <c r="B19" s="15" t="s">
        <v>1007</v>
      </c>
      <c r="C19" s="15" t="s">
        <v>1003</v>
      </c>
      <c r="D19" s="15" t="s">
        <v>993</v>
      </c>
      <c r="E19" s="15" t="s">
        <v>1008</v>
      </c>
      <c r="F19" s="19">
        <v>65</v>
      </c>
      <c r="G19" s="17">
        <v>1</v>
      </c>
      <c r="H19" s="20">
        <v>0</v>
      </c>
      <c r="I19" s="19">
        <v>6</v>
      </c>
      <c r="K19" s="47" t="s">
        <v>457</v>
      </c>
      <c r="L19" s="47" t="s">
        <v>454</v>
      </c>
      <c r="O19" s="44" t="s">
        <v>1009</v>
      </c>
      <c r="P19" s="21">
        <f>IF(B19="","",ROUND(IF(D19="Per hour",IF(F19="",HourlyRate,F19)*IF(G19="",1,G19),IF(F19="",0,F19))*(1+IF(H19="",0,H19)),2))</f>
        <v>0</v>
      </c>
      <c r="Q19" s="21">
        <f>IF(B19="","",ROUND(IF(G19="",0,G19)*CostPerHour,2))</f>
        <v>0</v>
      </c>
      <c r="R19" s="21">
        <f>IF(B19="","",ROUND(IF(I19="",IF(G19="",0,G19)*SuppliesPerHour,I19),2))</f>
        <v>0</v>
      </c>
      <c r="S19" s="21">
        <f>IF(B19="","",Q19+R19)</f>
        <v>0</v>
      </c>
      <c r="T19" s="21">
        <f>IF(B19="","",P19-S19)</f>
        <v>0</v>
      </c>
      <c r="U19" s="38">
        <f>IF(OR(B19="",P19=0),"",T19/P19)</f>
        <v>0</v>
      </c>
      <c r="V19" s="21">
        <f>IF(OR(B19="",G19="",G19=0),"",T19/G19)</f>
        <v>0</v>
      </c>
      <c r="W19" s="21">
        <f>IF(OR(B19="",TargetMargin&gt;=1),"",ROUND(S19/(1-TargetMargin),2))</f>
        <v>0</v>
      </c>
      <c r="X19" s="31">
        <f>IF(B19="","",COUNTIFS('Quote Lines'!$C$5:$C$604,B19))</f>
        <v>0</v>
      </c>
      <c r="Y19" s="31">
        <f>IF(B19="","",COUNTIFS(Jobs!$M$5:$M$604,B19))</f>
        <v>0</v>
      </c>
      <c r="Z19" s="21">
        <f>IF(B19="","",SUMIFS(Jobs!$AJ$5:$AJ$604,Jobs!$M$5:$M$604,B19,Jobs!$P$5:$P$604,"Completed")+SUMIFS(Jobs!$AJ$5:$AJ$604,Jobs!$M$5:$M$604,B19,Jobs!$P$5:$P$604,"Invoiced"))</f>
        <v>0</v>
      </c>
      <c r="AA19" s="31">
        <f>IF(B19="","",COUNTIFS($Z$5:$Z$64,"&gt;"&amp;Z19)+COUNTIFS($Z$5:Z19,Z19))</f>
        <v>0</v>
      </c>
      <c r="AB19" s="31">
        <f>IF(B19="","",COUNTIFS($V$5:$V$64,"&gt;"&amp;V19)+COUNTIFS($V$5:V19,V19))</f>
        <v>0</v>
      </c>
      <c r="AC19" s="39">
        <f>IF(B19="","",IF(AND(D19&lt;&gt;"Per hour",F19=""),"Add - no price set",IF(G19="","Add - how long does it take?",IF(AND(U19&lt;&gt;"",U19&lt;MarginFloor),"Below - margin under the floor",IF(AND(U19&lt;&gt;"",U19&lt;TargetMargin),"Check - under target margin",IF(L19="No","Not offered","OK"))))))</f>
        <v>0</v>
      </c>
    </row>
    <row r="20" spans="1:29">
      <c r="A20" s="43">
        <f>IF(B20="","",ServicePrefix&amp;TEXT(ROW()-4,"000"))</f>
        <v>0</v>
      </c>
      <c r="B20" s="15" t="s">
        <v>1010</v>
      </c>
      <c r="C20" s="15" t="s">
        <v>992</v>
      </c>
      <c r="D20" s="15" t="s">
        <v>993</v>
      </c>
      <c r="E20" s="15" t="s">
        <v>1008</v>
      </c>
      <c r="F20" s="19">
        <v>30</v>
      </c>
      <c r="G20" s="17">
        <v>0.5</v>
      </c>
      <c r="H20" s="20">
        <v>0</v>
      </c>
      <c r="I20" s="19">
        <v>2.5</v>
      </c>
      <c r="K20" s="47" t="s">
        <v>457</v>
      </c>
      <c r="L20" s="47" t="s">
        <v>454</v>
      </c>
      <c r="O20" s="44" t="s">
        <v>1011</v>
      </c>
      <c r="P20" s="21">
        <f>IF(B20="","",ROUND(IF(D20="Per hour",IF(F20="",HourlyRate,F20)*IF(G20="",1,G20),IF(F20="",0,F20))*(1+IF(H20="",0,H20)),2))</f>
        <v>0</v>
      </c>
      <c r="Q20" s="21">
        <f>IF(B20="","",ROUND(IF(G20="",0,G20)*CostPerHour,2))</f>
        <v>0</v>
      </c>
      <c r="R20" s="21">
        <f>IF(B20="","",ROUND(IF(I20="",IF(G20="",0,G20)*SuppliesPerHour,I20),2))</f>
        <v>0</v>
      </c>
      <c r="S20" s="21">
        <f>IF(B20="","",Q20+R20)</f>
        <v>0</v>
      </c>
      <c r="T20" s="21">
        <f>IF(B20="","",P20-S20)</f>
        <v>0</v>
      </c>
      <c r="U20" s="38">
        <f>IF(OR(B20="",P20=0),"",T20/P20)</f>
        <v>0</v>
      </c>
      <c r="V20" s="21">
        <f>IF(OR(B20="",G20="",G20=0),"",T20/G20)</f>
        <v>0</v>
      </c>
      <c r="W20" s="21">
        <f>IF(OR(B20="",TargetMargin&gt;=1),"",ROUND(S20/(1-TargetMargin),2))</f>
        <v>0</v>
      </c>
      <c r="X20" s="31">
        <f>IF(B20="","",COUNTIFS('Quote Lines'!$C$5:$C$604,B20))</f>
        <v>0</v>
      </c>
      <c r="Y20" s="31">
        <f>IF(B20="","",COUNTIFS(Jobs!$M$5:$M$604,B20))</f>
        <v>0</v>
      </c>
      <c r="Z20" s="21">
        <f>IF(B20="","",SUMIFS(Jobs!$AJ$5:$AJ$604,Jobs!$M$5:$M$604,B20,Jobs!$P$5:$P$604,"Completed")+SUMIFS(Jobs!$AJ$5:$AJ$604,Jobs!$M$5:$M$604,B20,Jobs!$P$5:$P$604,"Invoiced"))</f>
        <v>0</v>
      </c>
      <c r="AA20" s="31">
        <f>IF(B20="","",COUNTIFS($Z$5:$Z$64,"&gt;"&amp;Z20)+COUNTIFS($Z$5:Z20,Z20))</f>
        <v>0</v>
      </c>
      <c r="AB20" s="31">
        <f>IF(B20="","",COUNTIFS($V$5:$V$64,"&gt;"&amp;V20)+COUNTIFS($V$5:V20,V20))</f>
        <v>0</v>
      </c>
      <c r="AC20" s="39">
        <f>IF(B20="","",IF(AND(D20&lt;&gt;"Per hour",F20=""),"Add - no price set",IF(G20="","Add - how long does it take?",IF(AND(U20&lt;&gt;"",U20&lt;MarginFloor),"Below - margin under the floor",IF(AND(U20&lt;&gt;"",U20&lt;TargetMargin),"Check - under target margin",IF(L20="No","Not offered","OK"))))))</f>
        <v>0</v>
      </c>
    </row>
    <row r="21" spans="1:29">
      <c r="A21" s="43">
        <f>IF(B21="","",ServicePrefix&amp;TEXT(ROW()-4,"000"))</f>
        <v>0</v>
      </c>
      <c r="B21" s="15" t="s">
        <v>1012</v>
      </c>
      <c r="C21" s="15" t="s">
        <v>992</v>
      </c>
      <c r="D21" s="15" t="s">
        <v>993</v>
      </c>
      <c r="E21" s="15" t="s">
        <v>1013</v>
      </c>
      <c r="F21" s="19">
        <v>45</v>
      </c>
      <c r="G21" s="17">
        <v>1</v>
      </c>
      <c r="H21" s="20">
        <v>0</v>
      </c>
      <c r="I21" s="19">
        <v>3.5</v>
      </c>
      <c r="K21" s="47" t="s">
        <v>457</v>
      </c>
      <c r="L21" s="47" t="s">
        <v>454</v>
      </c>
      <c r="O21" s="44" t="s">
        <v>1014</v>
      </c>
      <c r="P21" s="21">
        <f>IF(B21="","",ROUND(IF(D21="Per hour",IF(F21="",HourlyRate,F21)*IF(G21="",1,G21),IF(F21="",0,F21))*(1+IF(H21="",0,H21)),2))</f>
        <v>0</v>
      </c>
      <c r="Q21" s="21">
        <f>IF(B21="","",ROUND(IF(G21="",0,G21)*CostPerHour,2))</f>
        <v>0</v>
      </c>
      <c r="R21" s="21">
        <f>IF(B21="","",ROUND(IF(I21="",IF(G21="",0,G21)*SuppliesPerHour,I21),2))</f>
        <v>0</v>
      </c>
      <c r="S21" s="21">
        <f>IF(B21="","",Q21+R21)</f>
        <v>0</v>
      </c>
      <c r="T21" s="21">
        <f>IF(B21="","",P21-S21)</f>
        <v>0</v>
      </c>
      <c r="U21" s="38">
        <f>IF(OR(B21="",P21=0),"",T21/P21)</f>
        <v>0</v>
      </c>
      <c r="V21" s="21">
        <f>IF(OR(B21="",G21="",G21=0),"",T21/G21)</f>
        <v>0</v>
      </c>
      <c r="W21" s="21">
        <f>IF(OR(B21="",TargetMargin&gt;=1),"",ROUND(S21/(1-TargetMargin),2))</f>
        <v>0</v>
      </c>
      <c r="X21" s="31">
        <f>IF(B21="","",COUNTIFS('Quote Lines'!$C$5:$C$604,B21))</f>
        <v>0</v>
      </c>
      <c r="Y21" s="31">
        <f>IF(B21="","",COUNTIFS(Jobs!$M$5:$M$604,B21))</f>
        <v>0</v>
      </c>
      <c r="Z21" s="21">
        <f>IF(B21="","",SUMIFS(Jobs!$AJ$5:$AJ$604,Jobs!$M$5:$M$604,B21,Jobs!$P$5:$P$604,"Completed")+SUMIFS(Jobs!$AJ$5:$AJ$604,Jobs!$M$5:$M$604,B21,Jobs!$P$5:$P$604,"Invoiced"))</f>
        <v>0</v>
      </c>
      <c r="AA21" s="31">
        <f>IF(B21="","",COUNTIFS($Z$5:$Z$64,"&gt;"&amp;Z21)+COUNTIFS($Z$5:Z21,Z21))</f>
        <v>0</v>
      </c>
      <c r="AB21" s="31">
        <f>IF(B21="","",COUNTIFS($V$5:$V$64,"&gt;"&amp;V21)+COUNTIFS($V$5:V21,V21))</f>
        <v>0</v>
      </c>
      <c r="AC21" s="39">
        <f>IF(B21="","",IF(AND(D21&lt;&gt;"Per hour",F21=""),"Add - no price set",IF(G21="","Add - how long does it take?",IF(AND(U21&lt;&gt;"",U21&lt;MarginFloor),"Below - margin under the floor",IF(AND(U21&lt;&gt;"",U21&lt;TargetMargin),"Check - under target margin",IF(L21="No","Not offered","OK"))))))</f>
        <v>0</v>
      </c>
    </row>
    <row r="22" spans="1:29">
      <c r="A22" s="43">
        <f>IF(B22="","",ServicePrefix&amp;TEXT(ROW()-4,"000"))</f>
        <v>0</v>
      </c>
      <c r="B22" s="15" t="s">
        <v>1015</v>
      </c>
      <c r="C22" s="15" t="s">
        <v>1015</v>
      </c>
      <c r="D22" s="15" t="s">
        <v>972</v>
      </c>
      <c r="E22" s="15" t="s">
        <v>973</v>
      </c>
      <c r="F22" s="19">
        <v>45</v>
      </c>
      <c r="G22" s="17">
        <v>5</v>
      </c>
      <c r="H22" s="20">
        <v>0.25</v>
      </c>
      <c r="I22" s="19">
        <v>14</v>
      </c>
      <c r="K22" s="47" t="s">
        <v>457</v>
      </c>
      <c r="L22" s="47" t="s">
        <v>454</v>
      </c>
      <c r="O22" s="44" t="s">
        <v>1016</v>
      </c>
      <c r="P22" s="21">
        <f>IF(B22="","",ROUND(IF(D22="Per hour",IF(F22="",HourlyRate,F22)*IF(G22="",1,G22),IF(F22="",0,F22))*(1+IF(H22="",0,H22)),2))</f>
        <v>0</v>
      </c>
      <c r="Q22" s="21">
        <f>IF(B22="","",ROUND(IF(G22="",0,G22)*CostPerHour,2))</f>
        <v>0</v>
      </c>
      <c r="R22" s="21">
        <f>IF(B22="","",ROUND(IF(I22="",IF(G22="",0,G22)*SuppliesPerHour,I22),2))</f>
        <v>0</v>
      </c>
      <c r="S22" s="21">
        <f>IF(B22="","",Q22+R22)</f>
        <v>0</v>
      </c>
      <c r="T22" s="21">
        <f>IF(B22="","",P22-S22)</f>
        <v>0</v>
      </c>
      <c r="U22" s="38">
        <f>IF(OR(B22="",P22=0),"",T22/P22)</f>
        <v>0</v>
      </c>
      <c r="V22" s="21">
        <f>IF(OR(B22="",G22="",G22=0),"",T22/G22)</f>
        <v>0</v>
      </c>
      <c r="W22" s="21">
        <f>IF(OR(B22="",TargetMargin&gt;=1),"",ROUND(S22/(1-TargetMargin),2))</f>
        <v>0</v>
      </c>
      <c r="X22" s="31">
        <f>IF(B22="","",COUNTIFS('Quote Lines'!$C$5:$C$604,B22))</f>
        <v>0</v>
      </c>
      <c r="Y22" s="31">
        <f>IF(B22="","",COUNTIFS(Jobs!$M$5:$M$604,B22))</f>
        <v>0</v>
      </c>
      <c r="Z22" s="21">
        <f>IF(B22="","",SUMIFS(Jobs!$AJ$5:$AJ$604,Jobs!$M$5:$M$604,B22,Jobs!$P$5:$P$604,"Completed")+SUMIFS(Jobs!$AJ$5:$AJ$604,Jobs!$M$5:$M$604,B22,Jobs!$P$5:$P$604,"Invoiced"))</f>
        <v>0</v>
      </c>
      <c r="AA22" s="31">
        <f>IF(B22="","",COUNTIFS($Z$5:$Z$64,"&gt;"&amp;Z22)+COUNTIFS($Z$5:Z22,Z22))</f>
        <v>0</v>
      </c>
      <c r="AB22" s="31">
        <f>IF(B22="","",COUNTIFS($V$5:$V$64,"&gt;"&amp;V22)+COUNTIFS($V$5:V22,V22))</f>
        <v>0</v>
      </c>
      <c r="AC22" s="39">
        <f>IF(B22="","",IF(AND(D22&lt;&gt;"Per hour",F22=""),"Add - no price set",IF(G22="","Add - how long does it take?",IF(AND(U22&lt;&gt;"",U22&lt;MarginFloor),"Below - margin under the floor",IF(AND(U22&lt;&gt;"",U22&lt;TargetMargin),"Check - under target margin",IF(L22="No","Not offered","OK"))))))</f>
        <v>0</v>
      </c>
    </row>
    <row r="23" spans="1:29">
      <c r="A23" s="43">
        <f>IF(B23="","",ServicePrefix&amp;TEXT(ROW()-4,"000"))</f>
        <v>0</v>
      </c>
      <c r="B23" s="15" t="s">
        <v>1017</v>
      </c>
      <c r="C23" s="15" t="s">
        <v>1018</v>
      </c>
      <c r="D23" s="15" t="s">
        <v>978</v>
      </c>
      <c r="E23" s="15" t="s">
        <v>210</v>
      </c>
      <c r="F23" s="19">
        <v>0.14</v>
      </c>
      <c r="G23" s="17">
        <v>8</v>
      </c>
      <c r="H23" s="20">
        <v>0.35</v>
      </c>
      <c r="I23" s="19">
        <v>32</v>
      </c>
      <c r="K23" s="47" t="s">
        <v>457</v>
      </c>
      <c r="L23" s="47" t="s">
        <v>454</v>
      </c>
      <c r="O23" s="44" t="s">
        <v>1019</v>
      </c>
      <c r="P23" s="21">
        <f>IF(B23="","",ROUND(IF(D23="Per hour",IF(F23="",HourlyRate,F23)*IF(G23="",1,G23),IF(F23="",0,F23))*(1+IF(H23="",0,H23)),2))</f>
        <v>0</v>
      </c>
      <c r="Q23" s="21">
        <f>IF(B23="","",ROUND(IF(G23="",0,G23)*CostPerHour,2))</f>
        <v>0</v>
      </c>
      <c r="R23" s="21">
        <f>IF(B23="","",ROUND(IF(I23="",IF(G23="",0,G23)*SuppliesPerHour,I23),2))</f>
        <v>0</v>
      </c>
      <c r="S23" s="21">
        <f>IF(B23="","",Q23+R23)</f>
        <v>0</v>
      </c>
      <c r="T23" s="21">
        <f>IF(B23="","",P23-S23)</f>
        <v>0</v>
      </c>
      <c r="U23" s="38">
        <f>IF(OR(B23="",P23=0),"",T23/P23)</f>
        <v>0</v>
      </c>
      <c r="V23" s="21">
        <f>IF(OR(B23="",G23="",G23=0),"",T23/G23)</f>
        <v>0</v>
      </c>
      <c r="W23" s="21">
        <f>IF(OR(B23="",TargetMargin&gt;=1),"",ROUND(S23/(1-TargetMargin),2))</f>
        <v>0</v>
      </c>
      <c r="X23" s="31">
        <f>IF(B23="","",COUNTIFS('Quote Lines'!$C$5:$C$604,B23))</f>
        <v>0</v>
      </c>
      <c r="Y23" s="31">
        <f>IF(B23="","",COUNTIFS(Jobs!$M$5:$M$604,B23))</f>
        <v>0</v>
      </c>
      <c r="Z23" s="21">
        <f>IF(B23="","",SUMIFS(Jobs!$AJ$5:$AJ$604,Jobs!$M$5:$M$604,B23,Jobs!$P$5:$P$604,"Completed")+SUMIFS(Jobs!$AJ$5:$AJ$604,Jobs!$M$5:$M$604,B23,Jobs!$P$5:$P$604,"Invoiced"))</f>
        <v>0</v>
      </c>
      <c r="AA23" s="31">
        <f>IF(B23="","",COUNTIFS($Z$5:$Z$64,"&gt;"&amp;Z23)+COUNTIFS($Z$5:Z23,Z23))</f>
        <v>0</v>
      </c>
      <c r="AB23" s="31">
        <f>IF(B23="","",COUNTIFS($V$5:$V$64,"&gt;"&amp;V23)+COUNTIFS($V$5:V23,V23))</f>
        <v>0</v>
      </c>
      <c r="AC23" s="39">
        <f>IF(B23="","",IF(AND(D23&lt;&gt;"Per hour",F23=""),"Add - no price set",IF(G23="","Add - how long does it take?",IF(AND(U23&lt;&gt;"",U23&lt;MarginFloor),"Below - margin under the floor",IF(AND(U23&lt;&gt;"",U23&lt;TargetMargin),"Check - under target margin",IF(L23="No","Not offered","OK"))))))</f>
        <v>0</v>
      </c>
    </row>
    <row r="24" spans="1:29">
      <c r="A24" s="43">
        <f>IF(B24="","",ServicePrefix&amp;TEXT(ROW()-4,"000"))</f>
        <v>0</v>
      </c>
      <c r="B24" s="15" t="s">
        <v>1020</v>
      </c>
      <c r="C24" s="15" t="s">
        <v>1021</v>
      </c>
      <c r="D24" s="15" t="s">
        <v>978</v>
      </c>
      <c r="E24" s="15" t="s">
        <v>210</v>
      </c>
      <c r="F24" s="19">
        <v>0.35</v>
      </c>
      <c r="G24" s="17">
        <v>2</v>
      </c>
      <c r="H24" s="20">
        <v>0</v>
      </c>
      <c r="I24" s="19">
        <v>4</v>
      </c>
      <c r="K24" s="47" t="s">
        <v>457</v>
      </c>
      <c r="L24" s="47" t="s">
        <v>454</v>
      </c>
      <c r="O24" s="44" t="s">
        <v>1022</v>
      </c>
      <c r="P24" s="21">
        <f>IF(B24="","",ROUND(IF(D24="Per hour",IF(F24="",HourlyRate,F24)*IF(G24="",1,G24),IF(F24="",0,F24))*(1+IF(H24="",0,H24)),2))</f>
        <v>0</v>
      </c>
      <c r="Q24" s="21">
        <f>IF(B24="","",ROUND(IF(G24="",0,G24)*CostPerHour,2))</f>
        <v>0</v>
      </c>
      <c r="R24" s="21">
        <f>IF(B24="","",ROUND(IF(I24="",IF(G24="",0,G24)*SuppliesPerHour,I24),2))</f>
        <v>0</v>
      </c>
      <c r="S24" s="21">
        <f>IF(B24="","",Q24+R24)</f>
        <v>0</v>
      </c>
      <c r="T24" s="21">
        <f>IF(B24="","",P24-S24)</f>
        <v>0</v>
      </c>
      <c r="U24" s="38">
        <f>IF(OR(B24="",P24=0),"",T24/P24)</f>
        <v>0</v>
      </c>
      <c r="V24" s="21">
        <f>IF(OR(B24="",G24="",G24=0),"",T24/G24)</f>
        <v>0</v>
      </c>
      <c r="W24" s="21">
        <f>IF(OR(B24="",TargetMargin&gt;=1),"",ROUND(S24/(1-TargetMargin),2))</f>
        <v>0</v>
      </c>
      <c r="X24" s="31">
        <f>IF(B24="","",COUNTIFS('Quote Lines'!$C$5:$C$604,B24))</f>
        <v>0</v>
      </c>
      <c r="Y24" s="31">
        <f>IF(B24="","",COUNTIFS(Jobs!$M$5:$M$604,B24))</f>
        <v>0</v>
      </c>
      <c r="Z24" s="21">
        <f>IF(B24="","",SUMIFS(Jobs!$AJ$5:$AJ$604,Jobs!$M$5:$M$604,B24,Jobs!$P$5:$P$604,"Completed")+SUMIFS(Jobs!$AJ$5:$AJ$604,Jobs!$M$5:$M$604,B24,Jobs!$P$5:$P$604,"Invoiced"))</f>
        <v>0</v>
      </c>
      <c r="AA24" s="31">
        <f>IF(B24="","",COUNTIFS($Z$5:$Z$64,"&gt;"&amp;Z24)+COUNTIFS($Z$5:Z24,Z24))</f>
        <v>0</v>
      </c>
      <c r="AB24" s="31">
        <f>IF(B24="","",COUNTIFS($V$5:$V$64,"&gt;"&amp;V24)+COUNTIFS($V$5:V24,V24))</f>
        <v>0</v>
      </c>
      <c r="AC24" s="39">
        <f>IF(B24="","",IF(AND(D24&lt;&gt;"Per hour",F24=""),"Add - no price set",IF(G24="","Add - how long does it take?",IF(AND(U24&lt;&gt;"",U24&lt;MarginFloor),"Below - margin under the floor",IF(AND(U24&lt;&gt;"",U24&lt;TargetMargin),"Check - under target margin",IF(L24="No","Not offered","OK"))))))</f>
        <v>0</v>
      </c>
    </row>
    <row r="25" spans="1:29">
      <c r="A25" s="43">
        <f>IF(B25="","",ServicePrefix&amp;TEXT(ROW()-4,"000"))</f>
        <v>0</v>
      </c>
      <c r="B25" s="15" t="s">
        <v>1023</v>
      </c>
      <c r="C25" s="15" t="s">
        <v>992</v>
      </c>
      <c r="D25" s="15" t="s">
        <v>972</v>
      </c>
      <c r="E25" s="15" t="s">
        <v>973</v>
      </c>
      <c r="F25" s="19">
        <v>38</v>
      </c>
      <c r="G25" s="17">
        <v>1</v>
      </c>
      <c r="H25" s="20">
        <v>0</v>
      </c>
      <c r="I25" s="19">
        <v>1.5</v>
      </c>
      <c r="K25" s="47" t="s">
        <v>457</v>
      </c>
      <c r="L25" s="47" t="s">
        <v>454</v>
      </c>
      <c r="O25" s="44" t="s">
        <v>1024</v>
      </c>
      <c r="P25" s="21">
        <f>IF(B25="","",ROUND(IF(D25="Per hour",IF(F25="",HourlyRate,F25)*IF(G25="",1,G25),IF(F25="",0,F25))*(1+IF(H25="",0,H25)),2))</f>
        <v>0</v>
      </c>
      <c r="Q25" s="21">
        <f>IF(B25="","",ROUND(IF(G25="",0,G25)*CostPerHour,2))</f>
        <v>0</v>
      </c>
      <c r="R25" s="21">
        <f>IF(B25="","",ROUND(IF(I25="",IF(G25="",0,G25)*SuppliesPerHour,I25),2))</f>
        <v>0</v>
      </c>
      <c r="S25" s="21">
        <f>IF(B25="","",Q25+R25)</f>
        <v>0</v>
      </c>
      <c r="T25" s="21">
        <f>IF(B25="","",P25-S25)</f>
        <v>0</v>
      </c>
      <c r="U25" s="38">
        <f>IF(OR(B25="",P25=0),"",T25/P25)</f>
        <v>0</v>
      </c>
      <c r="V25" s="21">
        <f>IF(OR(B25="",G25="",G25=0),"",T25/G25)</f>
        <v>0</v>
      </c>
      <c r="W25" s="21">
        <f>IF(OR(B25="",TargetMargin&gt;=1),"",ROUND(S25/(1-TargetMargin),2))</f>
        <v>0</v>
      </c>
      <c r="X25" s="31">
        <f>IF(B25="","",COUNTIFS('Quote Lines'!$C$5:$C$604,B25))</f>
        <v>0</v>
      </c>
      <c r="Y25" s="31">
        <f>IF(B25="","",COUNTIFS(Jobs!$M$5:$M$604,B25))</f>
        <v>0</v>
      </c>
      <c r="Z25" s="21">
        <f>IF(B25="","",SUMIFS(Jobs!$AJ$5:$AJ$604,Jobs!$M$5:$M$604,B25,Jobs!$P$5:$P$604,"Completed")+SUMIFS(Jobs!$AJ$5:$AJ$604,Jobs!$M$5:$M$604,B25,Jobs!$P$5:$P$604,"Invoiced"))</f>
        <v>0</v>
      </c>
      <c r="AA25" s="31">
        <f>IF(B25="","",COUNTIFS($Z$5:$Z$64,"&gt;"&amp;Z25)+COUNTIFS($Z$5:Z25,Z25))</f>
        <v>0</v>
      </c>
      <c r="AB25" s="31">
        <f>IF(B25="","",COUNTIFS($V$5:$V$64,"&gt;"&amp;V25)+COUNTIFS($V$5:V25,V25))</f>
        <v>0</v>
      </c>
      <c r="AC25" s="39">
        <f>IF(B25="","",IF(AND(D25&lt;&gt;"Per hour",F25=""),"Add - no price set",IF(G25="","Add - how long does it take?",IF(AND(U25&lt;&gt;"",U25&lt;MarginFloor),"Below - margin under the floor",IF(AND(U25&lt;&gt;"",U25&lt;TargetMargin),"Check - under target margin",IF(L25="No","Not offered","OK"))))))</f>
        <v>0</v>
      </c>
    </row>
    <row r="26" spans="1:29">
      <c r="A26" s="43">
        <f>IF(B26="","",ServicePrefix&amp;TEXT(ROW()-4,"000"))</f>
        <v>0</v>
      </c>
      <c r="P26" s="21">
        <f>IF(B26="","",ROUND(IF(D26="Per hour",IF(F26="",HourlyRate,F26)*IF(G26="",1,G26),IF(F26="",0,F26))*(1+IF(H26="",0,H26)),2))</f>
        <v>0</v>
      </c>
      <c r="Q26" s="21">
        <f>IF(B26="","",ROUND(IF(G26="",0,G26)*CostPerHour,2))</f>
        <v>0</v>
      </c>
      <c r="R26" s="21">
        <f>IF(B26="","",ROUND(IF(I26="",IF(G26="",0,G26)*SuppliesPerHour,I26),2))</f>
        <v>0</v>
      </c>
      <c r="S26" s="21">
        <f>IF(B26="","",Q26+R26)</f>
        <v>0</v>
      </c>
      <c r="T26" s="21">
        <f>IF(B26="","",P26-S26)</f>
        <v>0</v>
      </c>
      <c r="U26" s="38">
        <f>IF(OR(B26="",P26=0),"",T26/P26)</f>
        <v>0</v>
      </c>
      <c r="V26" s="21">
        <f>IF(OR(B26="",G26="",G26=0),"",T26/G26)</f>
        <v>0</v>
      </c>
      <c r="W26" s="21">
        <f>IF(OR(B26="",TargetMargin&gt;=1),"",ROUND(S26/(1-TargetMargin),2))</f>
        <v>0</v>
      </c>
      <c r="X26" s="31">
        <f>IF(B26="","",COUNTIFS('Quote Lines'!$C$5:$C$604,B26))</f>
        <v>0</v>
      </c>
      <c r="Y26" s="31">
        <f>IF(B26="","",COUNTIFS(Jobs!$M$5:$M$604,B26))</f>
        <v>0</v>
      </c>
      <c r="Z26" s="21">
        <f>IF(B26="","",SUMIFS(Jobs!$AJ$5:$AJ$604,Jobs!$M$5:$M$604,B26,Jobs!$P$5:$P$604,"Completed")+SUMIFS(Jobs!$AJ$5:$AJ$604,Jobs!$M$5:$M$604,B26,Jobs!$P$5:$P$604,"Invoiced"))</f>
        <v>0</v>
      </c>
      <c r="AA26" s="31">
        <f>IF(B26="","",COUNTIFS($Z$5:$Z$64,"&gt;"&amp;Z26)+COUNTIFS($Z$5:Z26,Z26))</f>
        <v>0</v>
      </c>
      <c r="AB26" s="31">
        <f>IF(B26="","",COUNTIFS($V$5:$V$64,"&gt;"&amp;V26)+COUNTIFS($V$5:V26,V26))</f>
        <v>0</v>
      </c>
      <c r="AC26" s="39">
        <f>IF(B26="","",IF(AND(D26&lt;&gt;"Per hour",F26=""),"Add - no price set",IF(G26="","Add - how long does it take?",IF(AND(U26&lt;&gt;"",U26&lt;MarginFloor),"Below - margin under the floor",IF(AND(U26&lt;&gt;"",U26&lt;TargetMargin),"Check - under target margin",IF(L26="No","Not offered","OK"))))))</f>
        <v>0</v>
      </c>
    </row>
    <row r="27" spans="1:29">
      <c r="A27" s="43">
        <f>IF(B27="","",ServicePrefix&amp;TEXT(ROW()-4,"000"))</f>
        <v>0</v>
      </c>
      <c r="P27" s="21">
        <f>IF(B27="","",ROUND(IF(D27="Per hour",IF(F27="",HourlyRate,F27)*IF(G27="",1,G27),IF(F27="",0,F27))*(1+IF(H27="",0,H27)),2))</f>
        <v>0</v>
      </c>
      <c r="Q27" s="21">
        <f>IF(B27="","",ROUND(IF(G27="",0,G27)*CostPerHour,2))</f>
        <v>0</v>
      </c>
      <c r="R27" s="21">
        <f>IF(B27="","",ROUND(IF(I27="",IF(G27="",0,G27)*SuppliesPerHour,I27),2))</f>
        <v>0</v>
      </c>
      <c r="S27" s="21">
        <f>IF(B27="","",Q27+R27)</f>
        <v>0</v>
      </c>
      <c r="T27" s="21">
        <f>IF(B27="","",P27-S27)</f>
        <v>0</v>
      </c>
      <c r="U27" s="38">
        <f>IF(OR(B27="",P27=0),"",T27/P27)</f>
        <v>0</v>
      </c>
      <c r="V27" s="21">
        <f>IF(OR(B27="",G27="",G27=0),"",T27/G27)</f>
        <v>0</v>
      </c>
      <c r="W27" s="21">
        <f>IF(OR(B27="",TargetMargin&gt;=1),"",ROUND(S27/(1-TargetMargin),2))</f>
        <v>0</v>
      </c>
      <c r="X27" s="31">
        <f>IF(B27="","",COUNTIFS('Quote Lines'!$C$5:$C$604,B27))</f>
        <v>0</v>
      </c>
      <c r="Y27" s="31">
        <f>IF(B27="","",COUNTIFS(Jobs!$M$5:$M$604,B27))</f>
        <v>0</v>
      </c>
      <c r="Z27" s="21">
        <f>IF(B27="","",SUMIFS(Jobs!$AJ$5:$AJ$604,Jobs!$M$5:$M$604,B27,Jobs!$P$5:$P$604,"Completed")+SUMIFS(Jobs!$AJ$5:$AJ$604,Jobs!$M$5:$M$604,B27,Jobs!$P$5:$P$604,"Invoiced"))</f>
        <v>0</v>
      </c>
      <c r="AA27" s="31">
        <f>IF(B27="","",COUNTIFS($Z$5:$Z$64,"&gt;"&amp;Z27)+COUNTIFS($Z$5:Z27,Z27))</f>
        <v>0</v>
      </c>
      <c r="AB27" s="31">
        <f>IF(B27="","",COUNTIFS($V$5:$V$64,"&gt;"&amp;V27)+COUNTIFS($V$5:V27,V27))</f>
        <v>0</v>
      </c>
      <c r="AC27" s="39">
        <f>IF(B27="","",IF(AND(D27&lt;&gt;"Per hour",F27=""),"Add - no price set",IF(G27="","Add - how long does it take?",IF(AND(U27&lt;&gt;"",U27&lt;MarginFloor),"Below - margin under the floor",IF(AND(U27&lt;&gt;"",U27&lt;TargetMargin),"Check - under target margin",IF(L27="No","Not offered","OK"))))))</f>
        <v>0</v>
      </c>
    </row>
    <row r="28" spans="1:29">
      <c r="A28" s="43">
        <f>IF(B28="","",ServicePrefix&amp;TEXT(ROW()-4,"000"))</f>
        <v>0</v>
      </c>
      <c r="P28" s="21">
        <f>IF(B28="","",ROUND(IF(D28="Per hour",IF(F28="",HourlyRate,F28)*IF(G28="",1,G28),IF(F28="",0,F28))*(1+IF(H28="",0,H28)),2))</f>
        <v>0</v>
      </c>
      <c r="Q28" s="21">
        <f>IF(B28="","",ROUND(IF(G28="",0,G28)*CostPerHour,2))</f>
        <v>0</v>
      </c>
      <c r="R28" s="21">
        <f>IF(B28="","",ROUND(IF(I28="",IF(G28="",0,G28)*SuppliesPerHour,I28),2))</f>
        <v>0</v>
      </c>
      <c r="S28" s="21">
        <f>IF(B28="","",Q28+R28)</f>
        <v>0</v>
      </c>
      <c r="T28" s="21">
        <f>IF(B28="","",P28-S28)</f>
        <v>0</v>
      </c>
      <c r="U28" s="38">
        <f>IF(OR(B28="",P28=0),"",T28/P28)</f>
        <v>0</v>
      </c>
      <c r="V28" s="21">
        <f>IF(OR(B28="",G28="",G28=0),"",T28/G28)</f>
        <v>0</v>
      </c>
      <c r="W28" s="21">
        <f>IF(OR(B28="",TargetMargin&gt;=1),"",ROUND(S28/(1-TargetMargin),2))</f>
        <v>0</v>
      </c>
      <c r="X28" s="31">
        <f>IF(B28="","",COUNTIFS('Quote Lines'!$C$5:$C$604,B28))</f>
        <v>0</v>
      </c>
      <c r="Y28" s="31">
        <f>IF(B28="","",COUNTIFS(Jobs!$M$5:$M$604,B28))</f>
        <v>0</v>
      </c>
      <c r="Z28" s="21">
        <f>IF(B28="","",SUMIFS(Jobs!$AJ$5:$AJ$604,Jobs!$M$5:$M$604,B28,Jobs!$P$5:$P$604,"Completed")+SUMIFS(Jobs!$AJ$5:$AJ$604,Jobs!$M$5:$M$604,B28,Jobs!$P$5:$P$604,"Invoiced"))</f>
        <v>0</v>
      </c>
      <c r="AA28" s="31">
        <f>IF(B28="","",COUNTIFS($Z$5:$Z$64,"&gt;"&amp;Z28)+COUNTIFS($Z$5:Z28,Z28))</f>
        <v>0</v>
      </c>
      <c r="AB28" s="31">
        <f>IF(B28="","",COUNTIFS($V$5:$V$64,"&gt;"&amp;V28)+COUNTIFS($V$5:V28,V28))</f>
        <v>0</v>
      </c>
      <c r="AC28" s="39">
        <f>IF(B28="","",IF(AND(D28&lt;&gt;"Per hour",F28=""),"Add - no price set",IF(G28="","Add - how long does it take?",IF(AND(U28&lt;&gt;"",U28&lt;MarginFloor),"Below - margin under the floor",IF(AND(U28&lt;&gt;"",U28&lt;TargetMargin),"Check - under target margin",IF(L28="No","Not offered","OK"))))))</f>
        <v>0</v>
      </c>
    </row>
    <row r="29" spans="1:29">
      <c r="A29" s="43">
        <f>IF(B29="","",ServicePrefix&amp;TEXT(ROW()-4,"000"))</f>
        <v>0</v>
      </c>
      <c r="P29" s="21">
        <f>IF(B29="","",ROUND(IF(D29="Per hour",IF(F29="",HourlyRate,F29)*IF(G29="",1,G29),IF(F29="",0,F29))*(1+IF(H29="",0,H29)),2))</f>
        <v>0</v>
      </c>
      <c r="Q29" s="21">
        <f>IF(B29="","",ROUND(IF(G29="",0,G29)*CostPerHour,2))</f>
        <v>0</v>
      </c>
      <c r="R29" s="21">
        <f>IF(B29="","",ROUND(IF(I29="",IF(G29="",0,G29)*SuppliesPerHour,I29),2))</f>
        <v>0</v>
      </c>
      <c r="S29" s="21">
        <f>IF(B29="","",Q29+R29)</f>
        <v>0</v>
      </c>
      <c r="T29" s="21">
        <f>IF(B29="","",P29-S29)</f>
        <v>0</v>
      </c>
      <c r="U29" s="38">
        <f>IF(OR(B29="",P29=0),"",T29/P29)</f>
        <v>0</v>
      </c>
      <c r="V29" s="21">
        <f>IF(OR(B29="",G29="",G29=0),"",T29/G29)</f>
        <v>0</v>
      </c>
      <c r="W29" s="21">
        <f>IF(OR(B29="",TargetMargin&gt;=1),"",ROUND(S29/(1-TargetMargin),2))</f>
        <v>0</v>
      </c>
      <c r="X29" s="31">
        <f>IF(B29="","",COUNTIFS('Quote Lines'!$C$5:$C$604,B29))</f>
        <v>0</v>
      </c>
      <c r="Y29" s="31">
        <f>IF(B29="","",COUNTIFS(Jobs!$M$5:$M$604,B29))</f>
        <v>0</v>
      </c>
      <c r="Z29" s="21">
        <f>IF(B29="","",SUMIFS(Jobs!$AJ$5:$AJ$604,Jobs!$M$5:$M$604,B29,Jobs!$P$5:$P$604,"Completed")+SUMIFS(Jobs!$AJ$5:$AJ$604,Jobs!$M$5:$M$604,B29,Jobs!$P$5:$P$604,"Invoiced"))</f>
        <v>0</v>
      </c>
      <c r="AA29" s="31">
        <f>IF(B29="","",COUNTIFS($Z$5:$Z$64,"&gt;"&amp;Z29)+COUNTIFS($Z$5:Z29,Z29))</f>
        <v>0</v>
      </c>
      <c r="AB29" s="31">
        <f>IF(B29="","",COUNTIFS($V$5:$V$64,"&gt;"&amp;V29)+COUNTIFS($V$5:V29,V29))</f>
        <v>0</v>
      </c>
      <c r="AC29" s="39">
        <f>IF(B29="","",IF(AND(D29&lt;&gt;"Per hour",F29=""),"Add - no price set",IF(G29="","Add - how long does it take?",IF(AND(U29&lt;&gt;"",U29&lt;MarginFloor),"Below - margin under the floor",IF(AND(U29&lt;&gt;"",U29&lt;TargetMargin),"Check - under target margin",IF(L29="No","Not offered","OK"))))))</f>
        <v>0</v>
      </c>
    </row>
    <row r="30" spans="1:29">
      <c r="A30" s="43">
        <f>IF(B30="","",ServicePrefix&amp;TEXT(ROW()-4,"000"))</f>
        <v>0</v>
      </c>
      <c r="P30" s="21">
        <f>IF(B30="","",ROUND(IF(D30="Per hour",IF(F30="",HourlyRate,F30)*IF(G30="",1,G30),IF(F30="",0,F30))*(1+IF(H30="",0,H30)),2))</f>
        <v>0</v>
      </c>
      <c r="Q30" s="21">
        <f>IF(B30="","",ROUND(IF(G30="",0,G30)*CostPerHour,2))</f>
        <v>0</v>
      </c>
      <c r="R30" s="21">
        <f>IF(B30="","",ROUND(IF(I30="",IF(G30="",0,G30)*SuppliesPerHour,I30),2))</f>
        <v>0</v>
      </c>
      <c r="S30" s="21">
        <f>IF(B30="","",Q30+R30)</f>
        <v>0</v>
      </c>
      <c r="T30" s="21">
        <f>IF(B30="","",P30-S30)</f>
        <v>0</v>
      </c>
      <c r="U30" s="38">
        <f>IF(OR(B30="",P30=0),"",T30/P30)</f>
        <v>0</v>
      </c>
      <c r="V30" s="21">
        <f>IF(OR(B30="",G30="",G30=0),"",T30/G30)</f>
        <v>0</v>
      </c>
      <c r="W30" s="21">
        <f>IF(OR(B30="",TargetMargin&gt;=1),"",ROUND(S30/(1-TargetMargin),2))</f>
        <v>0</v>
      </c>
      <c r="X30" s="31">
        <f>IF(B30="","",COUNTIFS('Quote Lines'!$C$5:$C$604,B30))</f>
        <v>0</v>
      </c>
      <c r="Y30" s="31">
        <f>IF(B30="","",COUNTIFS(Jobs!$M$5:$M$604,B30))</f>
        <v>0</v>
      </c>
      <c r="Z30" s="21">
        <f>IF(B30="","",SUMIFS(Jobs!$AJ$5:$AJ$604,Jobs!$M$5:$M$604,B30,Jobs!$P$5:$P$604,"Completed")+SUMIFS(Jobs!$AJ$5:$AJ$604,Jobs!$M$5:$M$604,B30,Jobs!$P$5:$P$604,"Invoiced"))</f>
        <v>0</v>
      </c>
      <c r="AA30" s="31">
        <f>IF(B30="","",COUNTIFS($Z$5:$Z$64,"&gt;"&amp;Z30)+COUNTIFS($Z$5:Z30,Z30))</f>
        <v>0</v>
      </c>
      <c r="AB30" s="31">
        <f>IF(B30="","",COUNTIFS($V$5:$V$64,"&gt;"&amp;V30)+COUNTIFS($V$5:V30,V30))</f>
        <v>0</v>
      </c>
      <c r="AC30" s="39">
        <f>IF(B30="","",IF(AND(D30&lt;&gt;"Per hour",F30=""),"Add - no price set",IF(G30="","Add - how long does it take?",IF(AND(U30&lt;&gt;"",U30&lt;MarginFloor),"Below - margin under the floor",IF(AND(U30&lt;&gt;"",U30&lt;TargetMargin),"Check - under target margin",IF(L30="No","Not offered","OK"))))))</f>
        <v>0</v>
      </c>
    </row>
    <row r="31" spans="1:29">
      <c r="A31" s="43">
        <f>IF(B31="","",ServicePrefix&amp;TEXT(ROW()-4,"000"))</f>
        <v>0</v>
      </c>
      <c r="P31" s="21">
        <f>IF(B31="","",ROUND(IF(D31="Per hour",IF(F31="",HourlyRate,F31)*IF(G31="",1,G31),IF(F31="",0,F31))*(1+IF(H31="",0,H31)),2))</f>
        <v>0</v>
      </c>
      <c r="Q31" s="21">
        <f>IF(B31="","",ROUND(IF(G31="",0,G31)*CostPerHour,2))</f>
        <v>0</v>
      </c>
      <c r="R31" s="21">
        <f>IF(B31="","",ROUND(IF(I31="",IF(G31="",0,G31)*SuppliesPerHour,I31),2))</f>
        <v>0</v>
      </c>
      <c r="S31" s="21">
        <f>IF(B31="","",Q31+R31)</f>
        <v>0</v>
      </c>
      <c r="T31" s="21">
        <f>IF(B31="","",P31-S31)</f>
        <v>0</v>
      </c>
      <c r="U31" s="38">
        <f>IF(OR(B31="",P31=0),"",T31/P31)</f>
        <v>0</v>
      </c>
      <c r="V31" s="21">
        <f>IF(OR(B31="",G31="",G31=0),"",T31/G31)</f>
        <v>0</v>
      </c>
      <c r="W31" s="21">
        <f>IF(OR(B31="",TargetMargin&gt;=1),"",ROUND(S31/(1-TargetMargin),2))</f>
        <v>0</v>
      </c>
      <c r="X31" s="31">
        <f>IF(B31="","",COUNTIFS('Quote Lines'!$C$5:$C$604,B31))</f>
        <v>0</v>
      </c>
      <c r="Y31" s="31">
        <f>IF(B31="","",COUNTIFS(Jobs!$M$5:$M$604,B31))</f>
        <v>0</v>
      </c>
      <c r="Z31" s="21">
        <f>IF(B31="","",SUMIFS(Jobs!$AJ$5:$AJ$604,Jobs!$M$5:$M$604,B31,Jobs!$P$5:$P$604,"Completed")+SUMIFS(Jobs!$AJ$5:$AJ$604,Jobs!$M$5:$M$604,B31,Jobs!$P$5:$P$604,"Invoiced"))</f>
        <v>0</v>
      </c>
      <c r="AA31" s="31">
        <f>IF(B31="","",COUNTIFS($Z$5:$Z$64,"&gt;"&amp;Z31)+COUNTIFS($Z$5:Z31,Z31))</f>
        <v>0</v>
      </c>
      <c r="AB31" s="31">
        <f>IF(B31="","",COUNTIFS($V$5:$V$64,"&gt;"&amp;V31)+COUNTIFS($V$5:V31,V31))</f>
        <v>0</v>
      </c>
      <c r="AC31" s="39">
        <f>IF(B31="","",IF(AND(D31&lt;&gt;"Per hour",F31=""),"Add - no price set",IF(G31="","Add - how long does it take?",IF(AND(U31&lt;&gt;"",U31&lt;MarginFloor),"Below - margin under the floor",IF(AND(U31&lt;&gt;"",U31&lt;TargetMargin),"Check - under target margin",IF(L31="No","Not offered","OK"))))))</f>
        <v>0</v>
      </c>
    </row>
    <row r="32" spans="1:29">
      <c r="A32" s="43">
        <f>IF(B32="","",ServicePrefix&amp;TEXT(ROW()-4,"000"))</f>
        <v>0</v>
      </c>
      <c r="P32" s="21">
        <f>IF(B32="","",ROUND(IF(D32="Per hour",IF(F32="",HourlyRate,F32)*IF(G32="",1,G32),IF(F32="",0,F32))*(1+IF(H32="",0,H32)),2))</f>
        <v>0</v>
      </c>
      <c r="Q32" s="21">
        <f>IF(B32="","",ROUND(IF(G32="",0,G32)*CostPerHour,2))</f>
        <v>0</v>
      </c>
      <c r="R32" s="21">
        <f>IF(B32="","",ROUND(IF(I32="",IF(G32="",0,G32)*SuppliesPerHour,I32),2))</f>
        <v>0</v>
      </c>
      <c r="S32" s="21">
        <f>IF(B32="","",Q32+R32)</f>
        <v>0</v>
      </c>
      <c r="T32" s="21">
        <f>IF(B32="","",P32-S32)</f>
        <v>0</v>
      </c>
      <c r="U32" s="38">
        <f>IF(OR(B32="",P32=0),"",T32/P32)</f>
        <v>0</v>
      </c>
      <c r="V32" s="21">
        <f>IF(OR(B32="",G32="",G32=0),"",T32/G32)</f>
        <v>0</v>
      </c>
      <c r="W32" s="21">
        <f>IF(OR(B32="",TargetMargin&gt;=1),"",ROUND(S32/(1-TargetMargin),2))</f>
        <v>0</v>
      </c>
      <c r="X32" s="31">
        <f>IF(B32="","",COUNTIFS('Quote Lines'!$C$5:$C$604,B32))</f>
        <v>0</v>
      </c>
      <c r="Y32" s="31">
        <f>IF(B32="","",COUNTIFS(Jobs!$M$5:$M$604,B32))</f>
        <v>0</v>
      </c>
      <c r="Z32" s="21">
        <f>IF(B32="","",SUMIFS(Jobs!$AJ$5:$AJ$604,Jobs!$M$5:$M$604,B32,Jobs!$P$5:$P$604,"Completed")+SUMIFS(Jobs!$AJ$5:$AJ$604,Jobs!$M$5:$M$604,B32,Jobs!$P$5:$P$604,"Invoiced"))</f>
        <v>0</v>
      </c>
      <c r="AA32" s="31">
        <f>IF(B32="","",COUNTIFS($Z$5:$Z$64,"&gt;"&amp;Z32)+COUNTIFS($Z$5:Z32,Z32))</f>
        <v>0</v>
      </c>
      <c r="AB32" s="31">
        <f>IF(B32="","",COUNTIFS($V$5:$V$64,"&gt;"&amp;V32)+COUNTIFS($V$5:V32,V32))</f>
        <v>0</v>
      </c>
      <c r="AC32" s="39">
        <f>IF(B32="","",IF(AND(D32&lt;&gt;"Per hour",F32=""),"Add - no price set",IF(G32="","Add - how long does it take?",IF(AND(U32&lt;&gt;"",U32&lt;MarginFloor),"Below - margin under the floor",IF(AND(U32&lt;&gt;"",U32&lt;TargetMargin),"Check - under target margin",IF(L32="No","Not offered","OK"))))))</f>
        <v>0</v>
      </c>
    </row>
    <row r="33" spans="1:29">
      <c r="A33" s="43">
        <f>IF(B33="","",ServicePrefix&amp;TEXT(ROW()-4,"000"))</f>
        <v>0</v>
      </c>
      <c r="P33" s="21">
        <f>IF(B33="","",ROUND(IF(D33="Per hour",IF(F33="",HourlyRate,F33)*IF(G33="",1,G33),IF(F33="",0,F33))*(1+IF(H33="",0,H33)),2))</f>
        <v>0</v>
      </c>
      <c r="Q33" s="21">
        <f>IF(B33="","",ROUND(IF(G33="",0,G33)*CostPerHour,2))</f>
        <v>0</v>
      </c>
      <c r="R33" s="21">
        <f>IF(B33="","",ROUND(IF(I33="",IF(G33="",0,G33)*SuppliesPerHour,I33),2))</f>
        <v>0</v>
      </c>
      <c r="S33" s="21">
        <f>IF(B33="","",Q33+R33)</f>
        <v>0</v>
      </c>
      <c r="T33" s="21">
        <f>IF(B33="","",P33-S33)</f>
        <v>0</v>
      </c>
      <c r="U33" s="38">
        <f>IF(OR(B33="",P33=0),"",T33/P33)</f>
        <v>0</v>
      </c>
      <c r="V33" s="21">
        <f>IF(OR(B33="",G33="",G33=0),"",T33/G33)</f>
        <v>0</v>
      </c>
      <c r="W33" s="21">
        <f>IF(OR(B33="",TargetMargin&gt;=1),"",ROUND(S33/(1-TargetMargin),2))</f>
        <v>0</v>
      </c>
      <c r="X33" s="31">
        <f>IF(B33="","",COUNTIFS('Quote Lines'!$C$5:$C$604,B33))</f>
        <v>0</v>
      </c>
      <c r="Y33" s="31">
        <f>IF(B33="","",COUNTIFS(Jobs!$M$5:$M$604,B33))</f>
        <v>0</v>
      </c>
      <c r="Z33" s="21">
        <f>IF(B33="","",SUMIFS(Jobs!$AJ$5:$AJ$604,Jobs!$M$5:$M$604,B33,Jobs!$P$5:$P$604,"Completed")+SUMIFS(Jobs!$AJ$5:$AJ$604,Jobs!$M$5:$M$604,B33,Jobs!$P$5:$P$604,"Invoiced"))</f>
        <v>0</v>
      </c>
      <c r="AA33" s="31">
        <f>IF(B33="","",COUNTIFS($Z$5:$Z$64,"&gt;"&amp;Z33)+COUNTIFS($Z$5:Z33,Z33))</f>
        <v>0</v>
      </c>
      <c r="AB33" s="31">
        <f>IF(B33="","",COUNTIFS($V$5:$V$64,"&gt;"&amp;V33)+COUNTIFS($V$5:V33,V33))</f>
        <v>0</v>
      </c>
      <c r="AC33" s="39">
        <f>IF(B33="","",IF(AND(D33&lt;&gt;"Per hour",F33=""),"Add - no price set",IF(G33="","Add - how long does it take?",IF(AND(U33&lt;&gt;"",U33&lt;MarginFloor),"Below - margin under the floor",IF(AND(U33&lt;&gt;"",U33&lt;TargetMargin),"Check - under target margin",IF(L33="No","Not offered","OK"))))))</f>
        <v>0</v>
      </c>
    </row>
    <row r="34" spans="1:29">
      <c r="A34" s="43">
        <f>IF(B34="","",ServicePrefix&amp;TEXT(ROW()-4,"000"))</f>
        <v>0</v>
      </c>
      <c r="P34" s="21">
        <f>IF(B34="","",ROUND(IF(D34="Per hour",IF(F34="",HourlyRate,F34)*IF(G34="",1,G34),IF(F34="",0,F34))*(1+IF(H34="",0,H34)),2))</f>
        <v>0</v>
      </c>
      <c r="Q34" s="21">
        <f>IF(B34="","",ROUND(IF(G34="",0,G34)*CostPerHour,2))</f>
        <v>0</v>
      </c>
      <c r="R34" s="21">
        <f>IF(B34="","",ROUND(IF(I34="",IF(G34="",0,G34)*SuppliesPerHour,I34),2))</f>
        <v>0</v>
      </c>
      <c r="S34" s="21">
        <f>IF(B34="","",Q34+R34)</f>
        <v>0</v>
      </c>
      <c r="T34" s="21">
        <f>IF(B34="","",P34-S34)</f>
        <v>0</v>
      </c>
      <c r="U34" s="38">
        <f>IF(OR(B34="",P34=0),"",T34/P34)</f>
        <v>0</v>
      </c>
      <c r="V34" s="21">
        <f>IF(OR(B34="",G34="",G34=0),"",T34/G34)</f>
        <v>0</v>
      </c>
      <c r="W34" s="21">
        <f>IF(OR(B34="",TargetMargin&gt;=1),"",ROUND(S34/(1-TargetMargin),2))</f>
        <v>0</v>
      </c>
      <c r="X34" s="31">
        <f>IF(B34="","",COUNTIFS('Quote Lines'!$C$5:$C$604,B34))</f>
        <v>0</v>
      </c>
      <c r="Y34" s="31">
        <f>IF(B34="","",COUNTIFS(Jobs!$M$5:$M$604,B34))</f>
        <v>0</v>
      </c>
      <c r="Z34" s="21">
        <f>IF(B34="","",SUMIFS(Jobs!$AJ$5:$AJ$604,Jobs!$M$5:$M$604,B34,Jobs!$P$5:$P$604,"Completed")+SUMIFS(Jobs!$AJ$5:$AJ$604,Jobs!$M$5:$M$604,B34,Jobs!$P$5:$P$604,"Invoiced"))</f>
        <v>0</v>
      </c>
      <c r="AA34" s="31">
        <f>IF(B34="","",COUNTIFS($Z$5:$Z$64,"&gt;"&amp;Z34)+COUNTIFS($Z$5:Z34,Z34))</f>
        <v>0</v>
      </c>
      <c r="AB34" s="31">
        <f>IF(B34="","",COUNTIFS($V$5:$V$64,"&gt;"&amp;V34)+COUNTIFS($V$5:V34,V34))</f>
        <v>0</v>
      </c>
      <c r="AC34" s="39">
        <f>IF(B34="","",IF(AND(D34&lt;&gt;"Per hour",F34=""),"Add - no price set",IF(G34="","Add - how long does it take?",IF(AND(U34&lt;&gt;"",U34&lt;MarginFloor),"Below - margin under the floor",IF(AND(U34&lt;&gt;"",U34&lt;TargetMargin),"Check - under target margin",IF(L34="No","Not offered","OK"))))))</f>
        <v>0</v>
      </c>
    </row>
    <row r="35" spans="1:29">
      <c r="A35" s="43">
        <f>IF(B35="","",ServicePrefix&amp;TEXT(ROW()-4,"000"))</f>
        <v>0</v>
      </c>
      <c r="P35" s="21">
        <f>IF(B35="","",ROUND(IF(D35="Per hour",IF(F35="",HourlyRate,F35)*IF(G35="",1,G35),IF(F35="",0,F35))*(1+IF(H35="",0,H35)),2))</f>
        <v>0</v>
      </c>
      <c r="Q35" s="21">
        <f>IF(B35="","",ROUND(IF(G35="",0,G35)*CostPerHour,2))</f>
        <v>0</v>
      </c>
      <c r="R35" s="21">
        <f>IF(B35="","",ROUND(IF(I35="",IF(G35="",0,G35)*SuppliesPerHour,I35),2))</f>
        <v>0</v>
      </c>
      <c r="S35" s="21">
        <f>IF(B35="","",Q35+R35)</f>
        <v>0</v>
      </c>
      <c r="T35" s="21">
        <f>IF(B35="","",P35-S35)</f>
        <v>0</v>
      </c>
      <c r="U35" s="38">
        <f>IF(OR(B35="",P35=0),"",T35/P35)</f>
        <v>0</v>
      </c>
      <c r="V35" s="21">
        <f>IF(OR(B35="",G35="",G35=0),"",T35/G35)</f>
        <v>0</v>
      </c>
      <c r="W35" s="21">
        <f>IF(OR(B35="",TargetMargin&gt;=1),"",ROUND(S35/(1-TargetMargin),2))</f>
        <v>0</v>
      </c>
      <c r="X35" s="31">
        <f>IF(B35="","",COUNTIFS('Quote Lines'!$C$5:$C$604,B35))</f>
        <v>0</v>
      </c>
      <c r="Y35" s="31">
        <f>IF(B35="","",COUNTIFS(Jobs!$M$5:$M$604,B35))</f>
        <v>0</v>
      </c>
      <c r="Z35" s="21">
        <f>IF(B35="","",SUMIFS(Jobs!$AJ$5:$AJ$604,Jobs!$M$5:$M$604,B35,Jobs!$P$5:$P$604,"Completed")+SUMIFS(Jobs!$AJ$5:$AJ$604,Jobs!$M$5:$M$604,B35,Jobs!$P$5:$P$604,"Invoiced"))</f>
        <v>0</v>
      </c>
      <c r="AA35" s="31">
        <f>IF(B35="","",COUNTIFS($Z$5:$Z$64,"&gt;"&amp;Z35)+COUNTIFS($Z$5:Z35,Z35))</f>
        <v>0</v>
      </c>
      <c r="AB35" s="31">
        <f>IF(B35="","",COUNTIFS($V$5:$V$64,"&gt;"&amp;V35)+COUNTIFS($V$5:V35,V35))</f>
        <v>0</v>
      </c>
      <c r="AC35" s="39">
        <f>IF(B35="","",IF(AND(D35&lt;&gt;"Per hour",F35=""),"Add - no price set",IF(G35="","Add - how long does it take?",IF(AND(U35&lt;&gt;"",U35&lt;MarginFloor),"Below - margin under the floor",IF(AND(U35&lt;&gt;"",U35&lt;TargetMargin),"Check - under target margin",IF(L35="No","Not offered","OK"))))))</f>
        <v>0</v>
      </c>
    </row>
    <row r="36" spans="1:29">
      <c r="A36" s="43">
        <f>IF(B36="","",ServicePrefix&amp;TEXT(ROW()-4,"000"))</f>
        <v>0</v>
      </c>
      <c r="P36" s="21">
        <f>IF(B36="","",ROUND(IF(D36="Per hour",IF(F36="",HourlyRate,F36)*IF(G36="",1,G36),IF(F36="",0,F36))*(1+IF(H36="",0,H36)),2))</f>
        <v>0</v>
      </c>
      <c r="Q36" s="21">
        <f>IF(B36="","",ROUND(IF(G36="",0,G36)*CostPerHour,2))</f>
        <v>0</v>
      </c>
      <c r="R36" s="21">
        <f>IF(B36="","",ROUND(IF(I36="",IF(G36="",0,G36)*SuppliesPerHour,I36),2))</f>
        <v>0</v>
      </c>
      <c r="S36" s="21">
        <f>IF(B36="","",Q36+R36)</f>
        <v>0</v>
      </c>
      <c r="T36" s="21">
        <f>IF(B36="","",P36-S36)</f>
        <v>0</v>
      </c>
      <c r="U36" s="38">
        <f>IF(OR(B36="",P36=0),"",T36/P36)</f>
        <v>0</v>
      </c>
      <c r="V36" s="21">
        <f>IF(OR(B36="",G36="",G36=0),"",T36/G36)</f>
        <v>0</v>
      </c>
      <c r="W36" s="21">
        <f>IF(OR(B36="",TargetMargin&gt;=1),"",ROUND(S36/(1-TargetMargin),2))</f>
        <v>0</v>
      </c>
      <c r="X36" s="31">
        <f>IF(B36="","",COUNTIFS('Quote Lines'!$C$5:$C$604,B36))</f>
        <v>0</v>
      </c>
      <c r="Y36" s="31">
        <f>IF(B36="","",COUNTIFS(Jobs!$M$5:$M$604,B36))</f>
        <v>0</v>
      </c>
      <c r="Z36" s="21">
        <f>IF(B36="","",SUMIFS(Jobs!$AJ$5:$AJ$604,Jobs!$M$5:$M$604,B36,Jobs!$P$5:$P$604,"Completed")+SUMIFS(Jobs!$AJ$5:$AJ$604,Jobs!$M$5:$M$604,B36,Jobs!$P$5:$P$604,"Invoiced"))</f>
        <v>0</v>
      </c>
      <c r="AA36" s="31">
        <f>IF(B36="","",COUNTIFS($Z$5:$Z$64,"&gt;"&amp;Z36)+COUNTIFS($Z$5:Z36,Z36))</f>
        <v>0</v>
      </c>
      <c r="AB36" s="31">
        <f>IF(B36="","",COUNTIFS($V$5:$V$64,"&gt;"&amp;V36)+COUNTIFS($V$5:V36,V36))</f>
        <v>0</v>
      </c>
      <c r="AC36" s="39">
        <f>IF(B36="","",IF(AND(D36&lt;&gt;"Per hour",F36=""),"Add - no price set",IF(G36="","Add - how long does it take?",IF(AND(U36&lt;&gt;"",U36&lt;MarginFloor),"Below - margin under the floor",IF(AND(U36&lt;&gt;"",U36&lt;TargetMargin),"Check - under target margin",IF(L36="No","Not offered","OK"))))))</f>
        <v>0</v>
      </c>
    </row>
    <row r="37" spans="1:29">
      <c r="A37" s="43">
        <f>IF(B37="","",ServicePrefix&amp;TEXT(ROW()-4,"000"))</f>
        <v>0</v>
      </c>
      <c r="P37" s="21">
        <f>IF(B37="","",ROUND(IF(D37="Per hour",IF(F37="",HourlyRate,F37)*IF(G37="",1,G37),IF(F37="",0,F37))*(1+IF(H37="",0,H37)),2))</f>
        <v>0</v>
      </c>
      <c r="Q37" s="21">
        <f>IF(B37="","",ROUND(IF(G37="",0,G37)*CostPerHour,2))</f>
        <v>0</v>
      </c>
      <c r="R37" s="21">
        <f>IF(B37="","",ROUND(IF(I37="",IF(G37="",0,G37)*SuppliesPerHour,I37),2))</f>
        <v>0</v>
      </c>
      <c r="S37" s="21">
        <f>IF(B37="","",Q37+R37)</f>
        <v>0</v>
      </c>
      <c r="T37" s="21">
        <f>IF(B37="","",P37-S37)</f>
        <v>0</v>
      </c>
      <c r="U37" s="38">
        <f>IF(OR(B37="",P37=0),"",T37/P37)</f>
        <v>0</v>
      </c>
      <c r="V37" s="21">
        <f>IF(OR(B37="",G37="",G37=0),"",T37/G37)</f>
        <v>0</v>
      </c>
      <c r="W37" s="21">
        <f>IF(OR(B37="",TargetMargin&gt;=1),"",ROUND(S37/(1-TargetMargin),2))</f>
        <v>0</v>
      </c>
      <c r="X37" s="31">
        <f>IF(B37="","",COUNTIFS('Quote Lines'!$C$5:$C$604,B37))</f>
        <v>0</v>
      </c>
      <c r="Y37" s="31">
        <f>IF(B37="","",COUNTIFS(Jobs!$M$5:$M$604,B37))</f>
        <v>0</v>
      </c>
      <c r="Z37" s="21">
        <f>IF(B37="","",SUMIFS(Jobs!$AJ$5:$AJ$604,Jobs!$M$5:$M$604,B37,Jobs!$P$5:$P$604,"Completed")+SUMIFS(Jobs!$AJ$5:$AJ$604,Jobs!$M$5:$M$604,B37,Jobs!$P$5:$P$604,"Invoiced"))</f>
        <v>0</v>
      </c>
      <c r="AA37" s="31">
        <f>IF(B37="","",COUNTIFS($Z$5:$Z$64,"&gt;"&amp;Z37)+COUNTIFS($Z$5:Z37,Z37))</f>
        <v>0</v>
      </c>
      <c r="AB37" s="31">
        <f>IF(B37="","",COUNTIFS($V$5:$V$64,"&gt;"&amp;V37)+COUNTIFS($V$5:V37,V37))</f>
        <v>0</v>
      </c>
      <c r="AC37" s="39">
        <f>IF(B37="","",IF(AND(D37&lt;&gt;"Per hour",F37=""),"Add - no price set",IF(G37="","Add - how long does it take?",IF(AND(U37&lt;&gt;"",U37&lt;MarginFloor),"Below - margin under the floor",IF(AND(U37&lt;&gt;"",U37&lt;TargetMargin),"Check - under target margin",IF(L37="No","Not offered","OK"))))))</f>
        <v>0</v>
      </c>
    </row>
    <row r="38" spans="1:29">
      <c r="A38" s="43">
        <f>IF(B38="","",ServicePrefix&amp;TEXT(ROW()-4,"000"))</f>
        <v>0</v>
      </c>
      <c r="P38" s="21">
        <f>IF(B38="","",ROUND(IF(D38="Per hour",IF(F38="",HourlyRate,F38)*IF(G38="",1,G38),IF(F38="",0,F38))*(1+IF(H38="",0,H38)),2))</f>
        <v>0</v>
      </c>
      <c r="Q38" s="21">
        <f>IF(B38="","",ROUND(IF(G38="",0,G38)*CostPerHour,2))</f>
        <v>0</v>
      </c>
      <c r="R38" s="21">
        <f>IF(B38="","",ROUND(IF(I38="",IF(G38="",0,G38)*SuppliesPerHour,I38),2))</f>
        <v>0</v>
      </c>
      <c r="S38" s="21">
        <f>IF(B38="","",Q38+R38)</f>
        <v>0</v>
      </c>
      <c r="T38" s="21">
        <f>IF(B38="","",P38-S38)</f>
        <v>0</v>
      </c>
      <c r="U38" s="38">
        <f>IF(OR(B38="",P38=0),"",T38/P38)</f>
        <v>0</v>
      </c>
      <c r="V38" s="21">
        <f>IF(OR(B38="",G38="",G38=0),"",T38/G38)</f>
        <v>0</v>
      </c>
      <c r="W38" s="21">
        <f>IF(OR(B38="",TargetMargin&gt;=1),"",ROUND(S38/(1-TargetMargin),2))</f>
        <v>0</v>
      </c>
      <c r="X38" s="31">
        <f>IF(B38="","",COUNTIFS('Quote Lines'!$C$5:$C$604,B38))</f>
        <v>0</v>
      </c>
      <c r="Y38" s="31">
        <f>IF(B38="","",COUNTIFS(Jobs!$M$5:$M$604,B38))</f>
        <v>0</v>
      </c>
      <c r="Z38" s="21">
        <f>IF(B38="","",SUMIFS(Jobs!$AJ$5:$AJ$604,Jobs!$M$5:$M$604,B38,Jobs!$P$5:$P$604,"Completed")+SUMIFS(Jobs!$AJ$5:$AJ$604,Jobs!$M$5:$M$604,B38,Jobs!$P$5:$P$604,"Invoiced"))</f>
        <v>0</v>
      </c>
      <c r="AA38" s="31">
        <f>IF(B38="","",COUNTIFS($Z$5:$Z$64,"&gt;"&amp;Z38)+COUNTIFS($Z$5:Z38,Z38))</f>
        <v>0</v>
      </c>
      <c r="AB38" s="31">
        <f>IF(B38="","",COUNTIFS($V$5:$V$64,"&gt;"&amp;V38)+COUNTIFS($V$5:V38,V38))</f>
        <v>0</v>
      </c>
      <c r="AC38" s="39">
        <f>IF(B38="","",IF(AND(D38&lt;&gt;"Per hour",F38=""),"Add - no price set",IF(G38="","Add - how long does it take?",IF(AND(U38&lt;&gt;"",U38&lt;MarginFloor),"Below - margin under the floor",IF(AND(U38&lt;&gt;"",U38&lt;TargetMargin),"Check - under target margin",IF(L38="No","Not offered","OK"))))))</f>
        <v>0</v>
      </c>
    </row>
    <row r="39" spans="1:29">
      <c r="A39" s="43">
        <f>IF(B39="","",ServicePrefix&amp;TEXT(ROW()-4,"000"))</f>
        <v>0</v>
      </c>
      <c r="P39" s="21">
        <f>IF(B39="","",ROUND(IF(D39="Per hour",IF(F39="",HourlyRate,F39)*IF(G39="",1,G39),IF(F39="",0,F39))*(1+IF(H39="",0,H39)),2))</f>
        <v>0</v>
      </c>
      <c r="Q39" s="21">
        <f>IF(B39="","",ROUND(IF(G39="",0,G39)*CostPerHour,2))</f>
        <v>0</v>
      </c>
      <c r="R39" s="21">
        <f>IF(B39="","",ROUND(IF(I39="",IF(G39="",0,G39)*SuppliesPerHour,I39),2))</f>
        <v>0</v>
      </c>
      <c r="S39" s="21">
        <f>IF(B39="","",Q39+R39)</f>
        <v>0</v>
      </c>
      <c r="T39" s="21">
        <f>IF(B39="","",P39-S39)</f>
        <v>0</v>
      </c>
      <c r="U39" s="38">
        <f>IF(OR(B39="",P39=0),"",T39/P39)</f>
        <v>0</v>
      </c>
      <c r="V39" s="21">
        <f>IF(OR(B39="",G39="",G39=0),"",T39/G39)</f>
        <v>0</v>
      </c>
      <c r="W39" s="21">
        <f>IF(OR(B39="",TargetMargin&gt;=1),"",ROUND(S39/(1-TargetMargin),2))</f>
        <v>0</v>
      </c>
      <c r="X39" s="31">
        <f>IF(B39="","",COUNTIFS('Quote Lines'!$C$5:$C$604,B39))</f>
        <v>0</v>
      </c>
      <c r="Y39" s="31">
        <f>IF(B39="","",COUNTIFS(Jobs!$M$5:$M$604,B39))</f>
        <v>0</v>
      </c>
      <c r="Z39" s="21">
        <f>IF(B39="","",SUMIFS(Jobs!$AJ$5:$AJ$604,Jobs!$M$5:$M$604,B39,Jobs!$P$5:$P$604,"Completed")+SUMIFS(Jobs!$AJ$5:$AJ$604,Jobs!$M$5:$M$604,B39,Jobs!$P$5:$P$604,"Invoiced"))</f>
        <v>0</v>
      </c>
      <c r="AA39" s="31">
        <f>IF(B39="","",COUNTIFS($Z$5:$Z$64,"&gt;"&amp;Z39)+COUNTIFS($Z$5:Z39,Z39))</f>
        <v>0</v>
      </c>
      <c r="AB39" s="31">
        <f>IF(B39="","",COUNTIFS($V$5:$V$64,"&gt;"&amp;V39)+COUNTIFS($V$5:V39,V39))</f>
        <v>0</v>
      </c>
      <c r="AC39" s="39">
        <f>IF(B39="","",IF(AND(D39&lt;&gt;"Per hour",F39=""),"Add - no price set",IF(G39="","Add - how long does it take?",IF(AND(U39&lt;&gt;"",U39&lt;MarginFloor),"Below - margin under the floor",IF(AND(U39&lt;&gt;"",U39&lt;TargetMargin),"Check - under target margin",IF(L39="No","Not offered","OK"))))))</f>
        <v>0</v>
      </c>
    </row>
    <row r="40" spans="1:29">
      <c r="A40" s="43">
        <f>IF(B40="","",ServicePrefix&amp;TEXT(ROW()-4,"000"))</f>
        <v>0</v>
      </c>
      <c r="P40" s="21">
        <f>IF(B40="","",ROUND(IF(D40="Per hour",IF(F40="",HourlyRate,F40)*IF(G40="",1,G40),IF(F40="",0,F40))*(1+IF(H40="",0,H40)),2))</f>
        <v>0</v>
      </c>
      <c r="Q40" s="21">
        <f>IF(B40="","",ROUND(IF(G40="",0,G40)*CostPerHour,2))</f>
        <v>0</v>
      </c>
      <c r="R40" s="21">
        <f>IF(B40="","",ROUND(IF(I40="",IF(G40="",0,G40)*SuppliesPerHour,I40),2))</f>
        <v>0</v>
      </c>
      <c r="S40" s="21">
        <f>IF(B40="","",Q40+R40)</f>
        <v>0</v>
      </c>
      <c r="T40" s="21">
        <f>IF(B40="","",P40-S40)</f>
        <v>0</v>
      </c>
      <c r="U40" s="38">
        <f>IF(OR(B40="",P40=0),"",T40/P40)</f>
        <v>0</v>
      </c>
      <c r="V40" s="21">
        <f>IF(OR(B40="",G40="",G40=0),"",T40/G40)</f>
        <v>0</v>
      </c>
      <c r="W40" s="21">
        <f>IF(OR(B40="",TargetMargin&gt;=1),"",ROUND(S40/(1-TargetMargin),2))</f>
        <v>0</v>
      </c>
      <c r="X40" s="31">
        <f>IF(B40="","",COUNTIFS('Quote Lines'!$C$5:$C$604,B40))</f>
        <v>0</v>
      </c>
      <c r="Y40" s="31">
        <f>IF(B40="","",COUNTIFS(Jobs!$M$5:$M$604,B40))</f>
        <v>0</v>
      </c>
      <c r="Z40" s="21">
        <f>IF(B40="","",SUMIFS(Jobs!$AJ$5:$AJ$604,Jobs!$M$5:$M$604,B40,Jobs!$P$5:$P$604,"Completed")+SUMIFS(Jobs!$AJ$5:$AJ$604,Jobs!$M$5:$M$604,B40,Jobs!$P$5:$P$604,"Invoiced"))</f>
        <v>0</v>
      </c>
      <c r="AA40" s="31">
        <f>IF(B40="","",COUNTIFS($Z$5:$Z$64,"&gt;"&amp;Z40)+COUNTIFS($Z$5:Z40,Z40))</f>
        <v>0</v>
      </c>
      <c r="AB40" s="31">
        <f>IF(B40="","",COUNTIFS($V$5:$V$64,"&gt;"&amp;V40)+COUNTIFS($V$5:V40,V40))</f>
        <v>0</v>
      </c>
      <c r="AC40" s="39">
        <f>IF(B40="","",IF(AND(D40&lt;&gt;"Per hour",F40=""),"Add - no price set",IF(G40="","Add - how long does it take?",IF(AND(U40&lt;&gt;"",U40&lt;MarginFloor),"Below - margin under the floor",IF(AND(U40&lt;&gt;"",U40&lt;TargetMargin),"Check - under target margin",IF(L40="No","Not offered","OK"))))))</f>
        <v>0</v>
      </c>
    </row>
    <row r="41" spans="1:29">
      <c r="A41" s="43">
        <f>IF(B41="","",ServicePrefix&amp;TEXT(ROW()-4,"000"))</f>
        <v>0</v>
      </c>
      <c r="P41" s="21">
        <f>IF(B41="","",ROUND(IF(D41="Per hour",IF(F41="",HourlyRate,F41)*IF(G41="",1,G41),IF(F41="",0,F41))*(1+IF(H41="",0,H41)),2))</f>
        <v>0</v>
      </c>
      <c r="Q41" s="21">
        <f>IF(B41="","",ROUND(IF(G41="",0,G41)*CostPerHour,2))</f>
        <v>0</v>
      </c>
      <c r="R41" s="21">
        <f>IF(B41="","",ROUND(IF(I41="",IF(G41="",0,G41)*SuppliesPerHour,I41),2))</f>
        <v>0</v>
      </c>
      <c r="S41" s="21">
        <f>IF(B41="","",Q41+R41)</f>
        <v>0</v>
      </c>
      <c r="T41" s="21">
        <f>IF(B41="","",P41-S41)</f>
        <v>0</v>
      </c>
      <c r="U41" s="38">
        <f>IF(OR(B41="",P41=0),"",T41/P41)</f>
        <v>0</v>
      </c>
      <c r="V41" s="21">
        <f>IF(OR(B41="",G41="",G41=0),"",T41/G41)</f>
        <v>0</v>
      </c>
      <c r="W41" s="21">
        <f>IF(OR(B41="",TargetMargin&gt;=1),"",ROUND(S41/(1-TargetMargin),2))</f>
        <v>0</v>
      </c>
      <c r="X41" s="31">
        <f>IF(B41="","",COUNTIFS('Quote Lines'!$C$5:$C$604,B41))</f>
        <v>0</v>
      </c>
      <c r="Y41" s="31">
        <f>IF(B41="","",COUNTIFS(Jobs!$M$5:$M$604,B41))</f>
        <v>0</v>
      </c>
      <c r="Z41" s="21">
        <f>IF(B41="","",SUMIFS(Jobs!$AJ$5:$AJ$604,Jobs!$M$5:$M$604,B41,Jobs!$P$5:$P$604,"Completed")+SUMIFS(Jobs!$AJ$5:$AJ$604,Jobs!$M$5:$M$604,B41,Jobs!$P$5:$P$604,"Invoiced"))</f>
        <v>0</v>
      </c>
      <c r="AA41" s="31">
        <f>IF(B41="","",COUNTIFS($Z$5:$Z$64,"&gt;"&amp;Z41)+COUNTIFS($Z$5:Z41,Z41))</f>
        <v>0</v>
      </c>
      <c r="AB41" s="31">
        <f>IF(B41="","",COUNTIFS($V$5:$V$64,"&gt;"&amp;V41)+COUNTIFS($V$5:V41,V41))</f>
        <v>0</v>
      </c>
      <c r="AC41" s="39">
        <f>IF(B41="","",IF(AND(D41&lt;&gt;"Per hour",F41=""),"Add - no price set",IF(G41="","Add - how long does it take?",IF(AND(U41&lt;&gt;"",U41&lt;MarginFloor),"Below - margin under the floor",IF(AND(U41&lt;&gt;"",U41&lt;TargetMargin),"Check - under target margin",IF(L41="No","Not offered","OK"))))))</f>
        <v>0</v>
      </c>
    </row>
    <row r="42" spans="1:29">
      <c r="A42" s="43">
        <f>IF(B42="","",ServicePrefix&amp;TEXT(ROW()-4,"000"))</f>
        <v>0</v>
      </c>
      <c r="P42" s="21">
        <f>IF(B42="","",ROUND(IF(D42="Per hour",IF(F42="",HourlyRate,F42)*IF(G42="",1,G42),IF(F42="",0,F42))*(1+IF(H42="",0,H42)),2))</f>
        <v>0</v>
      </c>
      <c r="Q42" s="21">
        <f>IF(B42="","",ROUND(IF(G42="",0,G42)*CostPerHour,2))</f>
        <v>0</v>
      </c>
      <c r="R42" s="21">
        <f>IF(B42="","",ROUND(IF(I42="",IF(G42="",0,G42)*SuppliesPerHour,I42),2))</f>
        <v>0</v>
      </c>
      <c r="S42" s="21">
        <f>IF(B42="","",Q42+R42)</f>
        <v>0</v>
      </c>
      <c r="T42" s="21">
        <f>IF(B42="","",P42-S42)</f>
        <v>0</v>
      </c>
      <c r="U42" s="38">
        <f>IF(OR(B42="",P42=0),"",T42/P42)</f>
        <v>0</v>
      </c>
      <c r="V42" s="21">
        <f>IF(OR(B42="",G42="",G42=0),"",T42/G42)</f>
        <v>0</v>
      </c>
      <c r="W42" s="21">
        <f>IF(OR(B42="",TargetMargin&gt;=1),"",ROUND(S42/(1-TargetMargin),2))</f>
        <v>0</v>
      </c>
      <c r="X42" s="31">
        <f>IF(B42="","",COUNTIFS('Quote Lines'!$C$5:$C$604,B42))</f>
        <v>0</v>
      </c>
      <c r="Y42" s="31">
        <f>IF(B42="","",COUNTIFS(Jobs!$M$5:$M$604,B42))</f>
        <v>0</v>
      </c>
      <c r="Z42" s="21">
        <f>IF(B42="","",SUMIFS(Jobs!$AJ$5:$AJ$604,Jobs!$M$5:$M$604,B42,Jobs!$P$5:$P$604,"Completed")+SUMIFS(Jobs!$AJ$5:$AJ$604,Jobs!$M$5:$M$604,B42,Jobs!$P$5:$P$604,"Invoiced"))</f>
        <v>0</v>
      </c>
      <c r="AA42" s="31">
        <f>IF(B42="","",COUNTIFS($Z$5:$Z$64,"&gt;"&amp;Z42)+COUNTIFS($Z$5:Z42,Z42))</f>
        <v>0</v>
      </c>
      <c r="AB42" s="31">
        <f>IF(B42="","",COUNTIFS($V$5:$V$64,"&gt;"&amp;V42)+COUNTIFS($V$5:V42,V42))</f>
        <v>0</v>
      </c>
      <c r="AC42" s="39">
        <f>IF(B42="","",IF(AND(D42&lt;&gt;"Per hour",F42=""),"Add - no price set",IF(G42="","Add - how long does it take?",IF(AND(U42&lt;&gt;"",U42&lt;MarginFloor),"Below - margin under the floor",IF(AND(U42&lt;&gt;"",U42&lt;TargetMargin),"Check - under target margin",IF(L42="No","Not offered","OK"))))))</f>
        <v>0</v>
      </c>
    </row>
    <row r="43" spans="1:29">
      <c r="A43" s="43">
        <f>IF(B43="","",ServicePrefix&amp;TEXT(ROW()-4,"000"))</f>
        <v>0</v>
      </c>
      <c r="P43" s="21">
        <f>IF(B43="","",ROUND(IF(D43="Per hour",IF(F43="",HourlyRate,F43)*IF(G43="",1,G43),IF(F43="",0,F43))*(1+IF(H43="",0,H43)),2))</f>
        <v>0</v>
      </c>
      <c r="Q43" s="21">
        <f>IF(B43="","",ROUND(IF(G43="",0,G43)*CostPerHour,2))</f>
        <v>0</v>
      </c>
      <c r="R43" s="21">
        <f>IF(B43="","",ROUND(IF(I43="",IF(G43="",0,G43)*SuppliesPerHour,I43),2))</f>
        <v>0</v>
      </c>
      <c r="S43" s="21">
        <f>IF(B43="","",Q43+R43)</f>
        <v>0</v>
      </c>
      <c r="T43" s="21">
        <f>IF(B43="","",P43-S43)</f>
        <v>0</v>
      </c>
      <c r="U43" s="38">
        <f>IF(OR(B43="",P43=0),"",T43/P43)</f>
        <v>0</v>
      </c>
      <c r="V43" s="21">
        <f>IF(OR(B43="",G43="",G43=0),"",T43/G43)</f>
        <v>0</v>
      </c>
      <c r="W43" s="21">
        <f>IF(OR(B43="",TargetMargin&gt;=1),"",ROUND(S43/(1-TargetMargin),2))</f>
        <v>0</v>
      </c>
      <c r="X43" s="31">
        <f>IF(B43="","",COUNTIFS('Quote Lines'!$C$5:$C$604,B43))</f>
        <v>0</v>
      </c>
      <c r="Y43" s="31">
        <f>IF(B43="","",COUNTIFS(Jobs!$M$5:$M$604,B43))</f>
        <v>0</v>
      </c>
      <c r="Z43" s="21">
        <f>IF(B43="","",SUMIFS(Jobs!$AJ$5:$AJ$604,Jobs!$M$5:$M$604,B43,Jobs!$P$5:$P$604,"Completed")+SUMIFS(Jobs!$AJ$5:$AJ$604,Jobs!$M$5:$M$604,B43,Jobs!$P$5:$P$604,"Invoiced"))</f>
        <v>0</v>
      </c>
      <c r="AA43" s="31">
        <f>IF(B43="","",COUNTIFS($Z$5:$Z$64,"&gt;"&amp;Z43)+COUNTIFS($Z$5:Z43,Z43))</f>
        <v>0</v>
      </c>
      <c r="AB43" s="31">
        <f>IF(B43="","",COUNTIFS($V$5:$V$64,"&gt;"&amp;V43)+COUNTIFS($V$5:V43,V43))</f>
        <v>0</v>
      </c>
      <c r="AC43" s="39">
        <f>IF(B43="","",IF(AND(D43&lt;&gt;"Per hour",F43=""),"Add - no price set",IF(G43="","Add - how long does it take?",IF(AND(U43&lt;&gt;"",U43&lt;MarginFloor),"Below - margin under the floor",IF(AND(U43&lt;&gt;"",U43&lt;TargetMargin),"Check - under target margin",IF(L43="No","Not offered","OK"))))))</f>
        <v>0</v>
      </c>
    </row>
    <row r="44" spans="1:29">
      <c r="A44" s="43">
        <f>IF(B44="","",ServicePrefix&amp;TEXT(ROW()-4,"000"))</f>
        <v>0</v>
      </c>
      <c r="P44" s="21">
        <f>IF(B44="","",ROUND(IF(D44="Per hour",IF(F44="",HourlyRate,F44)*IF(G44="",1,G44),IF(F44="",0,F44))*(1+IF(H44="",0,H44)),2))</f>
        <v>0</v>
      </c>
      <c r="Q44" s="21">
        <f>IF(B44="","",ROUND(IF(G44="",0,G44)*CostPerHour,2))</f>
        <v>0</v>
      </c>
      <c r="R44" s="21">
        <f>IF(B44="","",ROUND(IF(I44="",IF(G44="",0,G44)*SuppliesPerHour,I44),2))</f>
        <v>0</v>
      </c>
      <c r="S44" s="21">
        <f>IF(B44="","",Q44+R44)</f>
        <v>0</v>
      </c>
      <c r="T44" s="21">
        <f>IF(B44="","",P44-S44)</f>
        <v>0</v>
      </c>
      <c r="U44" s="38">
        <f>IF(OR(B44="",P44=0),"",T44/P44)</f>
        <v>0</v>
      </c>
      <c r="V44" s="21">
        <f>IF(OR(B44="",G44="",G44=0),"",T44/G44)</f>
        <v>0</v>
      </c>
      <c r="W44" s="21">
        <f>IF(OR(B44="",TargetMargin&gt;=1),"",ROUND(S44/(1-TargetMargin),2))</f>
        <v>0</v>
      </c>
      <c r="X44" s="31">
        <f>IF(B44="","",COUNTIFS('Quote Lines'!$C$5:$C$604,B44))</f>
        <v>0</v>
      </c>
      <c r="Y44" s="31">
        <f>IF(B44="","",COUNTIFS(Jobs!$M$5:$M$604,B44))</f>
        <v>0</v>
      </c>
      <c r="Z44" s="21">
        <f>IF(B44="","",SUMIFS(Jobs!$AJ$5:$AJ$604,Jobs!$M$5:$M$604,B44,Jobs!$P$5:$P$604,"Completed")+SUMIFS(Jobs!$AJ$5:$AJ$604,Jobs!$M$5:$M$604,B44,Jobs!$P$5:$P$604,"Invoiced"))</f>
        <v>0</v>
      </c>
      <c r="AA44" s="31">
        <f>IF(B44="","",COUNTIFS($Z$5:$Z$64,"&gt;"&amp;Z44)+COUNTIFS($Z$5:Z44,Z44))</f>
        <v>0</v>
      </c>
      <c r="AB44" s="31">
        <f>IF(B44="","",COUNTIFS($V$5:$V$64,"&gt;"&amp;V44)+COUNTIFS($V$5:V44,V44))</f>
        <v>0</v>
      </c>
      <c r="AC44" s="39">
        <f>IF(B44="","",IF(AND(D44&lt;&gt;"Per hour",F44=""),"Add - no price set",IF(G44="","Add - how long does it take?",IF(AND(U44&lt;&gt;"",U44&lt;MarginFloor),"Below - margin under the floor",IF(AND(U44&lt;&gt;"",U44&lt;TargetMargin),"Check - under target margin",IF(L44="No","Not offered","OK"))))))</f>
        <v>0</v>
      </c>
    </row>
    <row r="45" spans="1:29">
      <c r="A45" s="43">
        <f>IF(B45="","",ServicePrefix&amp;TEXT(ROW()-4,"000"))</f>
        <v>0</v>
      </c>
      <c r="P45" s="21">
        <f>IF(B45="","",ROUND(IF(D45="Per hour",IF(F45="",HourlyRate,F45)*IF(G45="",1,G45),IF(F45="",0,F45))*(1+IF(H45="",0,H45)),2))</f>
        <v>0</v>
      </c>
      <c r="Q45" s="21">
        <f>IF(B45="","",ROUND(IF(G45="",0,G45)*CostPerHour,2))</f>
        <v>0</v>
      </c>
      <c r="R45" s="21">
        <f>IF(B45="","",ROUND(IF(I45="",IF(G45="",0,G45)*SuppliesPerHour,I45),2))</f>
        <v>0</v>
      </c>
      <c r="S45" s="21">
        <f>IF(B45="","",Q45+R45)</f>
        <v>0</v>
      </c>
      <c r="T45" s="21">
        <f>IF(B45="","",P45-S45)</f>
        <v>0</v>
      </c>
      <c r="U45" s="38">
        <f>IF(OR(B45="",P45=0),"",T45/P45)</f>
        <v>0</v>
      </c>
      <c r="V45" s="21">
        <f>IF(OR(B45="",G45="",G45=0),"",T45/G45)</f>
        <v>0</v>
      </c>
      <c r="W45" s="21">
        <f>IF(OR(B45="",TargetMargin&gt;=1),"",ROUND(S45/(1-TargetMargin),2))</f>
        <v>0</v>
      </c>
      <c r="X45" s="31">
        <f>IF(B45="","",COUNTIFS('Quote Lines'!$C$5:$C$604,B45))</f>
        <v>0</v>
      </c>
      <c r="Y45" s="31">
        <f>IF(B45="","",COUNTIFS(Jobs!$M$5:$M$604,B45))</f>
        <v>0</v>
      </c>
      <c r="Z45" s="21">
        <f>IF(B45="","",SUMIFS(Jobs!$AJ$5:$AJ$604,Jobs!$M$5:$M$604,B45,Jobs!$P$5:$P$604,"Completed")+SUMIFS(Jobs!$AJ$5:$AJ$604,Jobs!$M$5:$M$604,B45,Jobs!$P$5:$P$604,"Invoiced"))</f>
        <v>0</v>
      </c>
      <c r="AA45" s="31">
        <f>IF(B45="","",COUNTIFS($Z$5:$Z$64,"&gt;"&amp;Z45)+COUNTIFS($Z$5:Z45,Z45))</f>
        <v>0</v>
      </c>
      <c r="AB45" s="31">
        <f>IF(B45="","",COUNTIFS($V$5:$V$64,"&gt;"&amp;V45)+COUNTIFS($V$5:V45,V45))</f>
        <v>0</v>
      </c>
      <c r="AC45" s="39">
        <f>IF(B45="","",IF(AND(D45&lt;&gt;"Per hour",F45=""),"Add - no price set",IF(G45="","Add - how long does it take?",IF(AND(U45&lt;&gt;"",U45&lt;MarginFloor),"Below - margin under the floor",IF(AND(U45&lt;&gt;"",U45&lt;TargetMargin),"Check - under target margin",IF(L45="No","Not offered","OK"))))))</f>
        <v>0</v>
      </c>
    </row>
    <row r="46" spans="1:29">
      <c r="A46" s="43">
        <f>IF(B46="","",ServicePrefix&amp;TEXT(ROW()-4,"000"))</f>
        <v>0</v>
      </c>
      <c r="P46" s="21">
        <f>IF(B46="","",ROUND(IF(D46="Per hour",IF(F46="",HourlyRate,F46)*IF(G46="",1,G46),IF(F46="",0,F46))*(1+IF(H46="",0,H46)),2))</f>
        <v>0</v>
      </c>
      <c r="Q46" s="21">
        <f>IF(B46="","",ROUND(IF(G46="",0,G46)*CostPerHour,2))</f>
        <v>0</v>
      </c>
      <c r="R46" s="21">
        <f>IF(B46="","",ROUND(IF(I46="",IF(G46="",0,G46)*SuppliesPerHour,I46),2))</f>
        <v>0</v>
      </c>
      <c r="S46" s="21">
        <f>IF(B46="","",Q46+R46)</f>
        <v>0</v>
      </c>
      <c r="T46" s="21">
        <f>IF(B46="","",P46-S46)</f>
        <v>0</v>
      </c>
      <c r="U46" s="38">
        <f>IF(OR(B46="",P46=0),"",T46/P46)</f>
        <v>0</v>
      </c>
      <c r="V46" s="21">
        <f>IF(OR(B46="",G46="",G46=0),"",T46/G46)</f>
        <v>0</v>
      </c>
      <c r="W46" s="21">
        <f>IF(OR(B46="",TargetMargin&gt;=1),"",ROUND(S46/(1-TargetMargin),2))</f>
        <v>0</v>
      </c>
      <c r="X46" s="31">
        <f>IF(B46="","",COUNTIFS('Quote Lines'!$C$5:$C$604,B46))</f>
        <v>0</v>
      </c>
      <c r="Y46" s="31">
        <f>IF(B46="","",COUNTIFS(Jobs!$M$5:$M$604,B46))</f>
        <v>0</v>
      </c>
      <c r="Z46" s="21">
        <f>IF(B46="","",SUMIFS(Jobs!$AJ$5:$AJ$604,Jobs!$M$5:$M$604,B46,Jobs!$P$5:$P$604,"Completed")+SUMIFS(Jobs!$AJ$5:$AJ$604,Jobs!$M$5:$M$604,B46,Jobs!$P$5:$P$604,"Invoiced"))</f>
        <v>0</v>
      </c>
      <c r="AA46" s="31">
        <f>IF(B46="","",COUNTIFS($Z$5:$Z$64,"&gt;"&amp;Z46)+COUNTIFS($Z$5:Z46,Z46))</f>
        <v>0</v>
      </c>
      <c r="AB46" s="31">
        <f>IF(B46="","",COUNTIFS($V$5:$V$64,"&gt;"&amp;V46)+COUNTIFS($V$5:V46,V46))</f>
        <v>0</v>
      </c>
      <c r="AC46" s="39">
        <f>IF(B46="","",IF(AND(D46&lt;&gt;"Per hour",F46=""),"Add - no price set",IF(G46="","Add - how long does it take?",IF(AND(U46&lt;&gt;"",U46&lt;MarginFloor),"Below - margin under the floor",IF(AND(U46&lt;&gt;"",U46&lt;TargetMargin),"Check - under target margin",IF(L46="No","Not offered","OK"))))))</f>
        <v>0</v>
      </c>
    </row>
    <row r="47" spans="1:29">
      <c r="A47" s="43">
        <f>IF(B47="","",ServicePrefix&amp;TEXT(ROW()-4,"000"))</f>
        <v>0</v>
      </c>
      <c r="P47" s="21">
        <f>IF(B47="","",ROUND(IF(D47="Per hour",IF(F47="",HourlyRate,F47)*IF(G47="",1,G47),IF(F47="",0,F47))*(1+IF(H47="",0,H47)),2))</f>
        <v>0</v>
      </c>
      <c r="Q47" s="21">
        <f>IF(B47="","",ROUND(IF(G47="",0,G47)*CostPerHour,2))</f>
        <v>0</v>
      </c>
      <c r="R47" s="21">
        <f>IF(B47="","",ROUND(IF(I47="",IF(G47="",0,G47)*SuppliesPerHour,I47),2))</f>
        <v>0</v>
      </c>
      <c r="S47" s="21">
        <f>IF(B47="","",Q47+R47)</f>
        <v>0</v>
      </c>
      <c r="T47" s="21">
        <f>IF(B47="","",P47-S47)</f>
        <v>0</v>
      </c>
      <c r="U47" s="38">
        <f>IF(OR(B47="",P47=0),"",T47/P47)</f>
        <v>0</v>
      </c>
      <c r="V47" s="21">
        <f>IF(OR(B47="",G47="",G47=0),"",T47/G47)</f>
        <v>0</v>
      </c>
      <c r="W47" s="21">
        <f>IF(OR(B47="",TargetMargin&gt;=1),"",ROUND(S47/(1-TargetMargin),2))</f>
        <v>0</v>
      </c>
      <c r="X47" s="31">
        <f>IF(B47="","",COUNTIFS('Quote Lines'!$C$5:$C$604,B47))</f>
        <v>0</v>
      </c>
      <c r="Y47" s="31">
        <f>IF(B47="","",COUNTIFS(Jobs!$M$5:$M$604,B47))</f>
        <v>0</v>
      </c>
      <c r="Z47" s="21">
        <f>IF(B47="","",SUMIFS(Jobs!$AJ$5:$AJ$604,Jobs!$M$5:$M$604,B47,Jobs!$P$5:$P$604,"Completed")+SUMIFS(Jobs!$AJ$5:$AJ$604,Jobs!$M$5:$M$604,B47,Jobs!$P$5:$P$604,"Invoiced"))</f>
        <v>0</v>
      </c>
      <c r="AA47" s="31">
        <f>IF(B47="","",COUNTIFS($Z$5:$Z$64,"&gt;"&amp;Z47)+COUNTIFS($Z$5:Z47,Z47))</f>
        <v>0</v>
      </c>
      <c r="AB47" s="31">
        <f>IF(B47="","",COUNTIFS($V$5:$V$64,"&gt;"&amp;V47)+COUNTIFS($V$5:V47,V47))</f>
        <v>0</v>
      </c>
      <c r="AC47" s="39">
        <f>IF(B47="","",IF(AND(D47&lt;&gt;"Per hour",F47=""),"Add - no price set",IF(G47="","Add - how long does it take?",IF(AND(U47&lt;&gt;"",U47&lt;MarginFloor),"Below - margin under the floor",IF(AND(U47&lt;&gt;"",U47&lt;TargetMargin),"Check - under target margin",IF(L47="No","Not offered","OK"))))))</f>
        <v>0</v>
      </c>
    </row>
    <row r="48" spans="1:29">
      <c r="A48" s="43">
        <f>IF(B48="","",ServicePrefix&amp;TEXT(ROW()-4,"000"))</f>
        <v>0</v>
      </c>
      <c r="P48" s="21">
        <f>IF(B48="","",ROUND(IF(D48="Per hour",IF(F48="",HourlyRate,F48)*IF(G48="",1,G48),IF(F48="",0,F48))*(1+IF(H48="",0,H48)),2))</f>
        <v>0</v>
      </c>
      <c r="Q48" s="21">
        <f>IF(B48="","",ROUND(IF(G48="",0,G48)*CostPerHour,2))</f>
        <v>0</v>
      </c>
      <c r="R48" s="21">
        <f>IF(B48="","",ROUND(IF(I48="",IF(G48="",0,G48)*SuppliesPerHour,I48),2))</f>
        <v>0</v>
      </c>
      <c r="S48" s="21">
        <f>IF(B48="","",Q48+R48)</f>
        <v>0</v>
      </c>
      <c r="T48" s="21">
        <f>IF(B48="","",P48-S48)</f>
        <v>0</v>
      </c>
      <c r="U48" s="38">
        <f>IF(OR(B48="",P48=0),"",T48/P48)</f>
        <v>0</v>
      </c>
      <c r="V48" s="21">
        <f>IF(OR(B48="",G48="",G48=0),"",T48/G48)</f>
        <v>0</v>
      </c>
      <c r="W48" s="21">
        <f>IF(OR(B48="",TargetMargin&gt;=1),"",ROUND(S48/(1-TargetMargin),2))</f>
        <v>0</v>
      </c>
      <c r="X48" s="31">
        <f>IF(B48="","",COUNTIFS('Quote Lines'!$C$5:$C$604,B48))</f>
        <v>0</v>
      </c>
      <c r="Y48" s="31">
        <f>IF(B48="","",COUNTIFS(Jobs!$M$5:$M$604,B48))</f>
        <v>0</v>
      </c>
      <c r="Z48" s="21">
        <f>IF(B48="","",SUMIFS(Jobs!$AJ$5:$AJ$604,Jobs!$M$5:$M$604,B48,Jobs!$P$5:$P$604,"Completed")+SUMIFS(Jobs!$AJ$5:$AJ$604,Jobs!$M$5:$M$604,B48,Jobs!$P$5:$P$604,"Invoiced"))</f>
        <v>0</v>
      </c>
      <c r="AA48" s="31">
        <f>IF(B48="","",COUNTIFS($Z$5:$Z$64,"&gt;"&amp;Z48)+COUNTIFS($Z$5:Z48,Z48))</f>
        <v>0</v>
      </c>
      <c r="AB48" s="31">
        <f>IF(B48="","",COUNTIFS($V$5:$V$64,"&gt;"&amp;V48)+COUNTIFS($V$5:V48,V48))</f>
        <v>0</v>
      </c>
      <c r="AC48" s="39">
        <f>IF(B48="","",IF(AND(D48&lt;&gt;"Per hour",F48=""),"Add - no price set",IF(G48="","Add - how long does it take?",IF(AND(U48&lt;&gt;"",U48&lt;MarginFloor),"Below - margin under the floor",IF(AND(U48&lt;&gt;"",U48&lt;TargetMargin),"Check - under target margin",IF(L48="No","Not offered","OK"))))))</f>
        <v>0</v>
      </c>
    </row>
    <row r="49" spans="1:29">
      <c r="A49" s="43">
        <f>IF(B49="","",ServicePrefix&amp;TEXT(ROW()-4,"000"))</f>
        <v>0</v>
      </c>
      <c r="P49" s="21">
        <f>IF(B49="","",ROUND(IF(D49="Per hour",IF(F49="",HourlyRate,F49)*IF(G49="",1,G49),IF(F49="",0,F49))*(1+IF(H49="",0,H49)),2))</f>
        <v>0</v>
      </c>
      <c r="Q49" s="21">
        <f>IF(B49="","",ROUND(IF(G49="",0,G49)*CostPerHour,2))</f>
        <v>0</v>
      </c>
      <c r="R49" s="21">
        <f>IF(B49="","",ROUND(IF(I49="",IF(G49="",0,G49)*SuppliesPerHour,I49),2))</f>
        <v>0</v>
      </c>
      <c r="S49" s="21">
        <f>IF(B49="","",Q49+R49)</f>
        <v>0</v>
      </c>
      <c r="T49" s="21">
        <f>IF(B49="","",P49-S49)</f>
        <v>0</v>
      </c>
      <c r="U49" s="38">
        <f>IF(OR(B49="",P49=0),"",T49/P49)</f>
        <v>0</v>
      </c>
      <c r="V49" s="21">
        <f>IF(OR(B49="",G49="",G49=0),"",T49/G49)</f>
        <v>0</v>
      </c>
      <c r="W49" s="21">
        <f>IF(OR(B49="",TargetMargin&gt;=1),"",ROUND(S49/(1-TargetMargin),2))</f>
        <v>0</v>
      </c>
      <c r="X49" s="31">
        <f>IF(B49="","",COUNTIFS('Quote Lines'!$C$5:$C$604,B49))</f>
        <v>0</v>
      </c>
      <c r="Y49" s="31">
        <f>IF(B49="","",COUNTIFS(Jobs!$M$5:$M$604,B49))</f>
        <v>0</v>
      </c>
      <c r="Z49" s="21">
        <f>IF(B49="","",SUMIFS(Jobs!$AJ$5:$AJ$604,Jobs!$M$5:$M$604,B49,Jobs!$P$5:$P$604,"Completed")+SUMIFS(Jobs!$AJ$5:$AJ$604,Jobs!$M$5:$M$604,B49,Jobs!$P$5:$P$604,"Invoiced"))</f>
        <v>0</v>
      </c>
      <c r="AA49" s="31">
        <f>IF(B49="","",COUNTIFS($Z$5:$Z$64,"&gt;"&amp;Z49)+COUNTIFS($Z$5:Z49,Z49))</f>
        <v>0</v>
      </c>
      <c r="AB49" s="31">
        <f>IF(B49="","",COUNTIFS($V$5:$V$64,"&gt;"&amp;V49)+COUNTIFS($V$5:V49,V49))</f>
        <v>0</v>
      </c>
      <c r="AC49" s="39">
        <f>IF(B49="","",IF(AND(D49&lt;&gt;"Per hour",F49=""),"Add - no price set",IF(G49="","Add - how long does it take?",IF(AND(U49&lt;&gt;"",U49&lt;MarginFloor),"Below - margin under the floor",IF(AND(U49&lt;&gt;"",U49&lt;TargetMargin),"Check - under target margin",IF(L49="No","Not offered","OK"))))))</f>
        <v>0</v>
      </c>
    </row>
    <row r="50" spans="1:29">
      <c r="A50" s="43">
        <f>IF(B50="","",ServicePrefix&amp;TEXT(ROW()-4,"000"))</f>
        <v>0</v>
      </c>
      <c r="P50" s="21">
        <f>IF(B50="","",ROUND(IF(D50="Per hour",IF(F50="",HourlyRate,F50)*IF(G50="",1,G50),IF(F50="",0,F50))*(1+IF(H50="",0,H50)),2))</f>
        <v>0</v>
      </c>
      <c r="Q50" s="21">
        <f>IF(B50="","",ROUND(IF(G50="",0,G50)*CostPerHour,2))</f>
        <v>0</v>
      </c>
      <c r="R50" s="21">
        <f>IF(B50="","",ROUND(IF(I50="",IF(G50="",0,G50)*SuppliesPerHour,I50),2))</f>
        <v>0</v>
      </c>
      <c r="S50" s="21">
        <f>IF(B50="","",Q50+R50)</f>
        <v>0</v>
      </c>
      <c r="T50" s="21">
        <f>IF(B50="","",P50-S50)</f>
        <v>0</v>
      </c>
      <c r="U50" s="38">
        <f>IF(OR(B50="",P50=0),"",T50/P50)</f>
        <v>0</v>
      </c>
      <c r="V50" s="21">
        <f>IF(OR(B50="",G50="",G50=0),"",T50/G50)</f>
        <v>0</v>
      </c>
      <c r="W50" s="21">
        <f>IF(OR(B50="",TargetMargin&gt;=1),"",ROUND(S50/(1-TargetMargin),2))</f>
        <v>0</v>
      </c>
      <c r="X50" s="31">
        <f>IF(B50="","",COUNTIFS('Quote Lines'!$C$5:$C$604,B50))</f>
        <v>0</v>
      </c>
      <c r="Y50" s="31">
        <f>IF(B50="","",COUNTIFS(Jobs!$M$5:$M$604,B50))</f>
        <v>0</v>
      </c>
      <c r="Z50" s="21">
        <f>IF(B50="","",SUMIFS(Jobs!$AJ$5:$AJ$604,Jobs!$M$5:$M$604,B50,Jobs!$P$5:$P$604,"Completed")+SUMIFS(Jobs!$AJ$5:$AJ$604,Jobs!$M$5:$M$604,B50,Jobs!$P$5:$P$604,"Invoiced"))</f>
        <v>0</v>
      </c>
      <c r="AA50" s="31">
        <f>IF(B50="","",COUNTIFS($Z$5:$Z$64,"&gt;"&amp;Z50)+COUNTIFS($Z$5:Z50,Z50))</f>
        <v>0</v>
      </c>
      <c r="AB50" s="31">
        <f>IF(B50="","",COUNTIFS($V$5:$V$64,"&gt;"&amp;V50)+COUNTIFS($V$5:V50,V50))</f>
        <v>0</v>
      </c>
      <c r="AC50" s="39">
        <f>IF(B50="","",IF(AND(D50&lt;&gt;"Per hour",F50=""),"Add - no price set",IF(G50="","Add - how long does it take?",IF(AND(U50&lt;&gt;"",U50&lt;MarginFloor),"Below - margin under the floor",IF(AND(U50&lt;&gt;"",U50&lt;TargetMargin),"Check - under target margin",IF(L50="No","Not offered","OK"))))))</f>
        <v>0</v>
      </c>
    </row>
    <row r="51" spans="1:29">
      <c r="A51" s="43">
        <f>IF(B51="","",ServicePrefix&amp;TEXT(ROW()-4,"000"))</f>
        <v>0</v>
      </c>
      <c r="P51" s="21">
        <f>IF(B51="","",ROUND(IF(D51="Per hour",IF(F51="",HourlyRate,F51)*IF(G51="",1,G51),IF(F51="",0,F51))*(1+IF(H51="",0,H51)),2))</f>
        <v>0</v>
      </c>
      <c r="Q51" s="21">
        <f>IF(B51="","",ROUND(IF(G51="",0,G51)*CostPerHour,2))</f>
        <v>0</v>
      </c>
      <c r="R51" s="21">
        <f>IF(B51="","",ROUND(IF(I51="",IF(G51="",0,G51)*SuppliesPerHour,I51),2))</f>
        <v>0</v>
      </c>
      <c r="S51" s="21">
        <f>IF(B51="","",Q51+R51)</f>
        <v>0</v>
      </c>
      <c r="T51" s="21">
        <f>IF(B51="","",P51-S51)</f>
        <v>0</v>
      </c>
      <c r="U51" s="38">
        <f>IF(OR(B51="",P51=0),"",T51/P51)</f>
        <v>0</v>
      </c>
      <c r="V51" s="21">
        <f>IF(OR(B51="",G51="",G51=0),"",T51/G51)</f>
        <v>0</v>
      </c>
      <c r="W51" s="21">
        <f>IF(OR(B51="",TargetMargin&gt;=1),"",ROUND(S51/(1-TargetMargin),2))</f>
        <v>0</v>
      </c>
      <c r="X51" s="31">
        <f>IF(B51="","",COUNTIFS('Quote Lines'!$C$5:$C$604,B51))</f>
        <v>0</v>
      </c>
      <c r="Y51" s="31">
        <f>IF(B51="","",COUNTIFS(Jobs!$M$5:$M$604,B51))</f>
        <v>0</v>
      </c>
      <c r="Z51" s="21">
        <f>IF(B51="","",SUMIFS(Jobs!$AJ$5:$AJ$604,Jobs!$M$5:$M$604,B51,Jobs!$P$5:$P$604,"Completed")+SUMIFS(Jobs!$AJ$5:$AJ$604,Jobs!$M$5:$M$604,B51,Jobs!$P$5:$P$604,"Invoiced"))</f>
        <v>0</v>
      </c>
      <c r="AA51" s="31">
        <f>IF(B51="","",COUNTIFS($Z$5:$Z$64,"&gt;"&amp;Z51)+COUNTIFS($Z$5:Z51,Z51))</f>
        <v>0</v>
      </c>
      <c r="AB51" s="31">
        <f>IF(B51="","",COUNTIFS($V$5:$V$64,"&gt;"&amp;V51)+COUNTIFS($V$5:V51,V51))</f>
        <v>0</v>
      </c>
      <c r="AC51" s="39">
        <f>IF(B51="","",IF(AND(D51&lt;&gt;"Per hour",F51=""),"Add - no price set",IF(G51="","Add - how long does it take?",IF(AND(U51&lt;&gt;"",U51&lt;MarginFloor),"Below - margin under the floor",IF(AND(U51&lt;&gt;"",U51&lt;TargetMargin),"Check - under target margin",IF(L51="No","Not offered","OK"))))))</f>
        <v>0</v>
      </c>
    </row>
    <row r="52" spans="1:29">
      <c r="A52" s="43">
        <f>IF(B52="","",ServicePrefix&amp;TEXT(ROW()-4,"000"))</f>
        <v>0</v>
      </c>
      <c r="P52" s="21">
        <f>IF(B52="","",ROUND(IF(D52="Per hour",IF(F52="",HourlyRate,F52)*IF(G52="",1,G52),IF(F52="",0,F52))*(1+IF(H52="",0,H52)),2))</f>
        <v>0</v>
      </c>
      <c r="Q52" s="21">
        <f>IF(B52="","",ROUND(IF(G52="",0,G52)*CostPerHour,2))</f>
        <v>0</v>
      </c>
      <c r="R52" s="21">
        <f>IF(B52="","",ROUND(IF(I52="",IF(G52="",0,G52)*SuppliesPerHour,I52),2))</f>
        <v>0</v>
      </c>
      <c r="S52" s="21">
        <f>IF(B52="","",Q52+R52)</f>
        <v>0</v>
      </c>
      <c r="T52" s="21">
        <f>IF(B52="","",P52-S52)</f>
        <v>0</v>
      </c>
      <c r="U52" s="38">
        <f>IF(OR(B52="",P52=0),"",T52/P52)</f>
        <v>0</v>
      </c>
      <c r="V52" s="21">
        <f>IF(OR(B52="",G52="",G52=0),"",T52/G52)</f>
        <v>0</v>
      </c>
      <c r="W52" s="21">
        <f>IF(OR(B52="",TargetMargin&gt;=1),"",ROUND(S52/(1-TargetMargin),2))</f>
        <v>0</v>
      </c>
      <c r="X52" s="31">
        <f>IF(B52="","",COUNTIFS('Quote Lines'!$C$5:$C$604,B52))</f>
        <v>0</v>
      </c>
      <c r="Y52" s="31">
        <f>IF(B52="","",COUNTIFS(Jobs!$M$5:$M$604,B52))</f>
        <v>0</v>
      </c>
      <c r="Z52" s="21">
        <f>IF(B52="","",SUMIFS(Jobs!$AJ$5:$AJ$604,Jobs!$M$5:$M$604,B52,Jobs!$P$5:$P$604,"Completed")+SUMIFS(Jobs!$AJ$5:$AJ$604,Jobs!$M$5:$M$604,B52,Jobs!$P$5:$P$604,"Invoiced"))</f>
        <v>0</v>
      </c>
      <c r="AA52" s="31">
        <f>IF(B52="","",COUNTIFS($Z$5:$Z$64,"&gt;"&amp;Z52)+COUNTIFS($Z$5:Z52,Z52))</f>
        <v>0</v>
      </c>
      <c r="AB52" s="31">
        <f>IF(B52="","",COUNTIFS($V$5:$V$64,"&gt;"&amp;V52)+COUNTIFS($V$5:V52,V52))</f>
        <v>0</v>
      </c>
      <c r="AC52" s="39">
        <f>IF(B52="","",IF(AND(D52&lt;&gt;"Per hour",F52=""),"Add - no price set",IF(G52="","Add - how long does it take?",IF(AND(U52&lt;&gt;"",U52&lt;MarginFloor),"Below - margin under the floor",IF(AND(U52&lt;&gt;"",U52&lt;TargetMargin),"Check - under target margin",IF(L52="No","Not offered","OK"))))))</f>
        <v>0</v>
      </c>
    </row>
    <row r="53" spans="1:29">
      <c r="A53" s="43">
        <f>IF(B53="","",ServicePrefix&amp;TEXT(ROW()-4,"000"))</f>
        <v>0</v>
      </c>
      <c r="P53" s="21">
        <f>IF(B53="","",ROUND(IF(D53="Per hour",IF(F53="",HourlyRate,F53)*IF(G53="",1,G53),IF(F53="",0,F53))*(1+IF(H53="",0,H53)),2))</f>
        <v>0</v>
      </c>
      <c r="Q53" s="21">
        <f>IF(B53="","",ROUND(IF(G53="",0,G53)*CostPerHour,2))</f>
        <v>0</v>
      </c>
      <c r="R53" s="21">
        <f>IF(B53="","",ROUND(IF(I53="",IF(G53="",0,G53)*SuppliesPerHour,I53),2))</f>
        <v>0</v>
      </c>
      <c r="S53" s="21">
        <f>IF(B53="","",Q53+R53)</f>
        <v>0</v>
      </c>
      <c r="T53" s="21">
        <f>IF(B53="","",P53-S53)</f>
        <v>0</v>
      </c>
      <c r="U53" s="38">
        <f>IF(OR(B53="",P53=0),"",T53/P53)</f>
        <v>0</v>
      </c>
      <c r="V53" s="21">
        <f>IF(OR(B53="",G53="",G53=0),"",T53/G53)</f>
        <v>0</v>
      </c>
      <c r="W53" s="21">
        <f>IF(OR(B53="",TargetMargin&gt;=1),"",ROUND(S53/(1-TargetMargin),2))</f>
        <v>0</v>
      </c>
      <c r="X53" s="31">
        <f>IF(B53="","",COUNTIFS('Quote Lines'!$C$5:$C$604,B53))</f>
        <v>0</v>
      </c>
      <c r="Y53" s="31">
        <f>IF(B53="","",COUNTIFS(Jobs!$M$5:$M$604,B53))</f>
        <v>0</v>
      </c>
      <c r="Z53" s="21">
        <f>IF(B53="","",SUMIFS(Jobs!$AJ$5:$AJ$604,Jobs!$M$5:$M$604,B53,Jobs!$P$5:$P$604,"Completed")+SUMIFS(Jobs!$AJ$5:$AJ$604,Jobs!$M$5:$M$604,B53,Jobs!$P$5:$P$604,"Invoiced"))</f>
        <v>0</v>
      </c>
      <c r="AA53" s="31">
        <f>IF(B53="","",COUNTIFS($Z$5:$Z$64,"&gt;"&amp;Z53)+COUNTIFS($Z$5:Z53,Z53))</f>
        <v>0</v>
      </c>
      <c r="AB53" s="31">
        <f>IF(B53="","",COUNTIFS($V$5:$V$64,"&gt;"&amp;V53)+COUNTIFS($V$5:V53,V53))</f>
        <v>0</v>
      </c>
      <c r="AC53" s="39">
        <f>IF(B53="","",IF(AND(D53&lt;&gt;"Per hour",F53=""),"Add - no price set",IF(G53="","Add - how long does it take?",IF(AND(U53&lt;&gt;"",U53&lt;MarginFloor),"Below - margin under the floor",IF(AND(U53&lt;&gt;"",U53&lt;TargetMargin),"Check - under target margin",IF(L53="No","Not offered","OK"))))))</f>
        <v>0</v>
      </c>
    </row>
    <row r="54" spans="1:29">
      <c r="A54" s="43">
        <f>IF(B54="","",ServicePrefix&amp;TEXT(ROW()-4,"000"))</f>
        <v>0</v>
      </c>
      <c r="P54" s="21">
        <f>IF(B54="","",ROUND(IF(D54="Per hour",IF(F54="",HourlyRate,F54)*IF(G54="",1,G54),IF(F54="",0,F54))*(1+IF(H54="",0,H54)),2))</f>
        <v>0</v>
      </c>
      <c r="Q54" s="21">
        <f>IF(B54="","",ROUND(IF(G54="",0,G54)*CostPerHour,2))</f>
        <v>0</v>
      </c>
      <c r="R54" s="21">
        <f>IF(B54="","",ROUND(IF(I54="",IF(G54="",0,G54)*SuppliesPerHour,I54),2))</f>
        <v>0</v>
      </c>
      <c r="S54" s="21">
        <f>IF(B54="","",Q54+R54)</f>
        <v>0</v>
      </c>
      <c r="T54" s="21">
        <f>IF(B54="","",P54-S54)</f>
        <v>0</v>
      </c>
      <c r="U54" s="38">
        <f>IF(OR(B54="",P54=0),"",T54/P54)</f>
        <v>0</v>
      </c>
      <c r="V54" s="21">
        <f>IF(OR(B54="",G54="",G54=0),"",T54/G54)</f>
        <v>0</v>
      </c>
      <c r="W54" s="21">
        <f>IF(OR(B54="",TargetMargin&gt;=1),"",ROUND(S54/(1-TargetMargin),2))</f>
        <v>0</v>
      </c>
      <c r="X54" s="31">
        <f>IF(B54="","",COUNTIFS('Quote Lines'!$C$5:$C$604,B54))</f>
        <v>0</v>
      </c>
      <c r="Y54" s="31">
        <f>IF(B54="","",COUNTIFS(Jobs!$M$5:$M$604,B54))</f>
        <v>0</v>
      </c>
      <c r="Z54" s="21">
        <f>IF(B54="","",SUMIFS(Jobs!$AJ$5:$AJ$604,Jobs!$M$5:$M$604,B54,Jobs!$P$5:$P$604,"Completed")+SUMIFS(Jobs!$AJ$5:$AJ$604,Jobs!$M$5:$M$604,B54,Jobs!$P$5:$P$604,"Invoiced"))</f>
        <v>0</v>
      </c>
      <c r="AA54" s="31">
        <f>IF(B54="","",COUNTIFS($Z$5:$Z$64,"&gt;"&amp;Z54)+COUNTIFS($Z$5:Z54,Z54))</f>
        <v>0</v>
      </c>
      <c r="AB54" s="31">
        <f>IF(B54="","",COUNTIFS($V$5:$V$64,"&gt;"&amp;V54)+COUNTIFS($V$5:V54,V54))</f>
        <v>0</v>
      </c>
      <c r="AC54" s="39">
        <f>IF(B54="","",IF(AND(D54&lt;&gt;"Per hour",F54=""),"Add - no price set",IF(G54="","Add - how long does it take?",IF(AND(U54&lt;&gt;"",U54&lt;MarginFloor),"Below - margin under the floor",IF(AND(U54&lt;&gt;"",U54&lt;TargetMargin),"Check - under target margin",IF(L54="No","Not offered","OK"))))))</f>
        <v>0</v>
      </c>
    </row>
    <row r="55" spans="1:29">
      <c r="A55" s="43">
        <f>IF(B55="","",ServicePrefix&amp;TEXT(ROW()-4,"000"))</f>
        <v>0</v>
      </c>
      <c r="P55" s="21">
        <f>IF(B55="","",ROUND(IF(D55="Per hour",IF(F55="",HourlyRate,F55)*IF(G55="",1,G55),IF(F55="",0,F55))*(1+IF(H55="",0,H55)),2))</f>
        <v>0</v>
      </c>
      <c r="Q55" s="21">
        <f>IF(B55="","",ROUND(IF(G55="",0,G55)*CostPerHour,2))</f>
        <v>0</v>
      </c>
      <c r="R55" s="21">
        <f>IF(B55="","",ROUND(IF(I55="",IF(G55="",0,G55)*SuppliesPerHour,I55),2))</f>
        <v>0</v>
      </c>
      <c r="S55" s="21">
        <f>IF(B55="","",Q55+R55)</f>
        <v>0</v>
      </c>
      <c r="T55" s="21">
        <f>IF(B55="","",P55-S55)</f>
        <v>0</v>
      </c>
      <c r="U55" s="38">
        <f>IF(OR(B55="",P55=0),"",T55/P55)</f>
        <v>0</v>
      </c>
      <c r="V55" s="21">
        <f>IF(OR(B55="",G55="",G55=0),"",T55/G55)</f>
        <v>0</v>
      </c>
      <c r="W55" s="21">
        <f>IF(OR(B55="",TargetMargin&gt;=1),"",ROUND(S55/(1-TargetMargin),2))</f>
        <v>0</v>
      </c>
      <c r="X55" s="31">
        <f>IF(B55="","",COUNTIFS('Quote Lines'!$C$5:$C$604,B55))</f>
        <v>0</v>
      </c>
      <c r="Y55" s="31">
        <f>IF(B55="","",COUNTIFS(Jobs!$M$5:$M$604,B55))</f>
        <v>0</v>
      </c>
      <c r="Z55" s="21">
        <f>IF(B55="","",SUMIFS(Jobs!$AJ$5:$AJ$604,Jobs!$M$5:$M$604,B55,Jobs!$P$5:$P$604,"Completed")+SUMIFS(Jobs!$AJ$5:$AJ$604,Jobs!$M$5:$M$604,B55,Jobs!$P$5:$P$604,"Invoiced"))</f>
        <v>0</v>
      </c>
      <c r="AA55" s="31">
        <f>IF(B55="","",COUNTIFS($Z$5:$Z$64,"&gt;"&amp;Z55)+COUNTIFS($Z$5:Z55,Z55))</f>
        <v>0</v>
      </c>
      <c r="AB55" s="31">
        <f>IF(B55="","",COUNTIFS($V$5:$V$64,"&gt;"&amp;V55)+COUNTIFS($V$5:V55,V55))</f>
        <v>0</v>
      </c>
      <c r="AC55" s="39">
        <f>IF(B55="","",IF(AND(D55&lt;&gt;"Per hour",F55=""),"Add - no price set",IF(G55="","Add - how long does it take?",IF(AND(U55&lt;&gt;"",U55&lt;MarginFloor),"Below - margin under the floor",IF(AND(U55&lt;&gt;"",U55&lt;TargetMargin),"Check - under target margin",IF(L55="No","Not offered","OK"))))))</f>
        <v>0</v>
      </c>
    </row>
    <row r="56" spans="1:29">
      <c r="A56" s="43">
        <f>IF(B56="","",ServicePrefix&amp;TEXT(ROW()-4,"000"))</f>
        <v>0</v>
      </c>
      <c r="P56" s="21">
        <f>IF(B56="","",ROUND(IF(D56="Per hour",IF(F56="",HourlyRate,F56)*IF(G56="",1,G56),IF(F56="",0,F56))*(1+IF(H56="",0,H56)),2))</f>
        <v>0</v>
      </c>
      <c r="Q56" s="21">
        <f>IF(B56="","",ROUND(IF(G56="",0,G56)*CostPerHour,2))</f>
        <v>0</v>
      </c>
      <c r="R56" s="21">
        <f>IF(B56="","",ROUND(IF(I56="",IF(G56="",0,G56)*SuppliesPerHour,I56),2))</f>
        <v>0</v>
      </c>
      <c r="S56" s="21">
        <f>IF(B56="","",Q56+R56)</f>
        <v>0</v>
      </c>
      <c r="T56" s="21">
        <f>IF(B56="","",P56-S56)</f>
        <v>0</v>
      </c>
      <c r="U56" s="38">
        <f>IF(OR(B56="",P56=0),"",T56/P56)</f>
        <v>0</v>
      </c>
      <c r="V56" s="21">
        <f>IF(OR(B56="",G56="",G56=0),"",T56/G56)</f>
        <v>0</v>
      </c>
      <c r="W56" s="21">
        <f>IF(OR(B56="",TargetMargin&gt;=1),"",ROUND(S56/(1-TargetMargin),2))</f>
        <v>0</v>
      </c>
      <c r="X56" s="31">
        <f>IF(B56="","",COUNTIFS('Quote Lines'!$C$5:$C$604,B56))</f>
        <v>0</v>
      </c>
      <c r="Y56" s="31">
        <f>IF(B56="","",COUNTIFS(Jobs!$M$5:$M$604,B56))</f>
        <v>0</v>
      </c>
      <c r="Z56" s="21">
        <f>IF(B56="","",SUMIFS(Jobs!$AJ$5:$AJ$604,Jobs!$M$5:$M$604,B56,Jobs!$P$5:$P$604,"Completed")+SUMIFS(Jobs!$AJ$5:$AJ$604,Jobs!$M$5:$M$604,B56,Jobs!$P$5:$P$604,"Invoiced"))</f>
        <v>0</v>
      </c>
      <c r="AA56" s="31">
        <f>IF(B56="","",COUNTIFS($Z$5:$Z$64,"&gt;"&amp;Z56)+COUNTIFS($Z$5:Z56,Z56))</f>
        <v>0</v>
      </c>
      <c r="AB56" s="31">
        <f>IF(B56="","",COUNTIFS($V$5:$V$64,"&gt;"&amp;V56)+COUNTIFS($V$5:V56,V56))</f>
        <v>0</v>
      </c>
      <c r="AC56" s="39">
        <f>IF(B56="","",IF(AND(D56&lt;&gt;"Per hour",F56=""),"Add - no price set",IF(G56="","Add - how long does it take?",IF(AND(U56&lt;&gt;"",U56&lt;MarginFloor),"Below - margin under the floor",IF(AND(U56&lt;&gt;"",U56&lt;TargetMargin),"Check - under target margin",IF(L56="No","Not offered","OK"))))))</f>
        <v>0</v>
      </c>
    </row>
    <row r="57" spans="1:29">
      <c r="A57" s="43">
        <f>IF(B57="","",ServicePrefix&amp;TEXT(ROW()-4,"000"))</f>
        <v>0</v>
      </c>
      <c r="P57" s="21">
        <f>IF(B57="","",ROUND(IF(D57="Per hour",IF(F57="",HourlyRate,F57)*IF(G57="",1,G57),IF(F57="",0,F57))*(1+IF(H57="",0,H57)),2))</f>
        <v>0</v>
      </c>
      <c r="Q57" s="21">
        <f>IF(B57="","",ROUND(IF(G57="",0,G57)*CostPerHour,2))</f>
        <v>0</v>
      </c>
      <c r="R57" s="21">
        <f>IF(B57="","",ROUND(IF(I57="",IF(G57="",0,G57)*SuppliesPerHour,I57),2))</f>
        <v>0</v>
      </c>
      <c r="S57" s="21">
        <f>IF(B57="","",Q57+R57)</f>
        <v>0</v>
      </c>
      <c r="T57" s="21">
        <f>IF(B57="","",P57-S57)</f>
        <v>0</v>
      </c>
      <c r="U57" s="38">
        <f>IF(OR(B57="",P57=0),"",T57/P57)</f>
        <v>0</v>
      </c>
      <c r="V57" s="21">
        <f>IF(OR(B57="",G57="",G57=0),"",T57/G57)</f>
        <v>0</v>
      </c>
      <c r="W57" s="21">
        <f>IF(OR(B57="",TargetMargin&gt;=1),"",ROUND(S57/(1-TargetMargin),2))</f>
        <v>0</v>
      </c>
      <c r="X57" s="31">
        <f>IF(B57="","",COUNTIFS('Quote Lines'!$C$5:$C$604,B57))</f>
        <v>0</v>
      </c>
      <c r="Y57" s="31">
        <f>IF(B57="","",COUNTIFS(Jobs!$M$5:$M$604,B57))</f>
        <v>0</v>
      </c>
      <c r="Z57" s="21">
        <f>IF(B57="","",SUMIFS(Jobs!$AJ$5:$AJ$604,Jobs!$M$5:$M$604,B57,Jobs!$P$5:$P$604,"Completed")+SUMIFS(Jobs!$AJ$5:$AJ$604,Jobs!$M$5:$M$604,B57,Jobs!$P$5:$P$604,"Invoiced"))</f>
        <v>0</v>
      </c>
      <c r="AA57" s="31">
        <f>IF(B57="","",COUNTIFS($Z$5:$Z$64,"&gt;"&amp;Z57)+COUNTIFS($Z$5:Z57,Z57))</f>
        <v>0</v>
      </c>
      <c r="AB57" s="31">
        <f>IF(B57="","",COUNTIFS($V$5:$V$64,"&gt;"&amp;V57)+COUNTIFS($V$5:V57,V57))</f>
        <v>0</v>
      </c>
      <c r="AC57" s="39">
        <f>IF(B57="","",IF(AND(D57&lt;&gt;"Per hour",F57=""),"Add - no price set",IF(G57="","Add - how long does it take?",IF(AND(U57&lt;&gt;"",U57&lt;MarginFloor),"Below - margin under the floor",IF(AND(U57&lt;&gt;"",U57&lt;TargetMargin),"Check - under target margin",IF(L57="No","Not offered","OK"))))))</f>
        <v>0</v>
      </c>
    </row>
    <row r="58" spans="1:29">
      <c r="A58" s="43">
        <f>IF(B58="","",ServicePrefix&amp;TEXT(ROW()-4,"000"))</f>
        <v>0</v>
      </c>
      <c r="P58" s="21">
        <f>IF(B58="","",ROUND(IF(D58="Per hour",IF(F58="",HourlyRate,F58)*IF(G58="",1,G58),IF(F58="",0,F58))*(1+IF(H58="",0,H58)),2))</f>
        <v>0</v>
      </c>
      <c r="Q58" s="21">
        <f>IF(B58="","",ROUND(IF(G58="",0,G58)*CostPerHour,2))</f>
        <v>0</v>
      </c>
      <c r="R58" s="21">
        <f>IF(B58="","",ROUND(IF(I58="",IF(G58="",0,G58)*SuppliesPerHour,I58),2))</f>
        <v>0</v>
      </c>
      <c r="S58" s="21">
        <f>IF(B58="","",Q58+R58)</f>
        <v>0</v>
      </c>
      <c r="T58" s="21">
        <f>IF(B58="","",P58-S58)</f>
        <v>0</v>
      </c>
      <c r="U58" s="38">
        <f>IF(OR(B58="",P58=0),"",T58/P58)</f>
        <v>0</v>
      </c>
      <c r="V58" s="21">
        <f>IF(OR(B58="",G58="",G58=0),"",T58/G58)</f>
        <v>0</v>
      </c>
      <c r="W58" s="21">
        <f>IF(OR(B58="",TargetMargin&gt;=1),"",ROUND(S58/(1-TargetMargin),2))</f>
        <v>0</v>
      </c>
      <c r="X58" s="31">
        <f>IF(B58="","",COUNTIFS('Quote Lines'!$C$5:$C$604,B58))</f>
        <v>0</v>
      </c>
      <c r="Y58" s="31">
        <f>IF(B58="","",COUNTIFS(Jobs!$M$5:$M$604,B58))</f>
        <v>0</v>
      </c>
      <c r="Z58" s="21">
        <f>IF(B58="","",SUMIFS(Jobs!$AJ$5:$AJ$604,Jobs!$M$5:$M$604,B58,Jobs!$P$5:$P$604,"Completed")+SUMIFS(Jobs!$AJ$5:$AJ$604,Jobs!$M$5:$M$604,B58,Jobs!$P$5:$P$604,"Invoiced"))</f>
        <v>0</v>
      </c>
      <c r="AA58" s="31">
        <f>IF(B58="","",COUNTIFS($Z$5:$Z$64,"&gt;"&amp;Z58)+COUNTIFS($Z$5:Z58,Z58))</f>
        <v>0</v>
      </c>
      <c r="AB58" s="31">
        <f>IF(B58="","",COUNTIFS($V$5:$V$64,"&gt;"&amp;V58)+COUNTIFS($V$5:V58,V58))</f>
        <v>0</v>
      </c>
      <c r="AC58" s="39">
        <f>IF(B58="","",IF(AND(D58&lt;&gt;"Per hour",F58=""),"Add - no price set",IF(G58="","Add - how long does it take?",IF(AND(U58&lt;&gt;"",U58&lt;MarginFloor),"Below - margin under the floor",IF(AND(U58&lt;&gt;"",U58&lt;TargetMargin),"Check - under target margin",IF(L58="No","Not offered","OK"))))))</f>
        <v>0</v>
      </c>
    </row>
    <row r="59" spans="1:29">
      <c r="A59" s="43">
        <f>IF(B59="","",ServicePrefix&amp;TEXT(ROW()-4,"000"))</f>
        <v>0</v>
      </c>
      <c r="P59" s="21">
        <f>IF(B59="","",ROUND(IF(D59="Per hour",IF(F59="",HourlyRate,F59)*IF(G59="",1,G59),IF(F59="",0,F59))*(1+IF(H59="",0,H59)),2))</f>
        <v>0</v>
      </c>
      <c r="Q59" s="21">
        <f>IF(B59="","",ROUND(IF(G59="",0,G59)*CostPerHour,2))</f>
        <v>0</v>
      </c>
      <c r="R59" s="21">
        <f>IF(B59="","",ROUND(IF(I59="",IF(G59="",0,G59)*SuppliesPerHour,I59),2))</f>
        <v>0</v>
      </c>
      <c r="S59" s="21">
        <f>IF(B59="","",Q59+R59)</f>
        <v>0</v>
      </c>
      <c r="T59" s="21">
        <f>IF(B59="","",P59-S59)</f>
        <v>0</v>
      </c>
      <c r="U59" s="38">
        <f>IF(OR(B59="",P59=0),"",T59/P59)</f>
        <v>0</v>
      </c>
      <c r="V59" s="21">
        <f>IF(OR(B59="",G59="",G59=0),"",T59/G59)</f>
        <v>0</v>
      </c>
      <c r="W59" s="21">
        <f>IF(OR(B59="",TargetMargin&gt;=1),"",ROUND(S59/(1-TargetMargin),2))</f>
        <v>0</v>
      </c>
      <c r="X59" s="31">
        <f>IF(B59="","",COUNTIFS('Quote Lines'!$C$5:$C$604,B59))</f>
        <v>0</v>
      </c>
      <c r="Y59" s="31">
        <f>IF(B59="","",COUNTIFS(Jobs!$M$5:$M$604,B59))</f>
        <v>0</v>
      </c>
      <c r="Z59" s="21">
        <f>IF(B59="","",SUMIFS(Jobs!$AJ$5:$AJ$604,Jobs!$M$5:$M$604,B59,Jobs!$P$5:$P$604,"Completed")+SUMIFS(Jobs!$AJ$5:$AJ$604,Jobs!$M$5:$M$604,B59,Jobs!$P$5:$P$604,"Invoiced"))</f>
        <v>0</v>
      </c>
      <c r="AA59" s="31">
        <f>IF(B59="","",COUNTIFS($Z$5:$Z$64,"&gt;"&amp;Z59)+COUNTIFS($Z$5:Z59,Z59))</f>
        <v>0</v>
      </c>
      <c r="AB59" s="31">
        <f>IF(B59="","",COUNTIFS($V$5:$V$64,"&gt;"&amp;V59)+COUNTIFS($V$5:V59,V59))</f>
        <v>0</v>
      </c>
      <c r="AC59" s="39">
        <f>IF(B59="","",IF(AND(D59&lt;&gt;"Per hour",F59=""),"Add - no price set",IF(G59="","Add - how long does it take?",IF(AND(U59&lt;&gt;"",U59&lt;MarginFloor),"Below - margin under the floor",IF(AND(U59&lt;&gt;"",U59&lt;TargetMargin),"Check - under target margin",IF(L59="No","Not offered","OK"))))))</f>
        <v>0</v>
      </c>
    </row>
    <row r="60" spans="1:29">
      <c r="A60" s="43">
        <f>IF(B60="","",ServicePrefix&amp;TEXT(ROW()-4,"000"))</f>
        <v>0</v>
      </c>
      <c r="P60" s="21">
        <f>IF(B60="","",ROUND(IF(D60="Per hour",IF(F60="",HourlyRate,F60)*IF(G60="",1,G60),IF(F60="",0,F60))*(1+IF(H60="",0,H60)),2))</f>
        <v>0</v>
      </c>
      <c r="Q60" s="21">
        <f>IF(B60="","",ROUND(IF(G60="",0,G60)*CostPerHour,2))</f>
        <v>0</v>
      </c>
      <c r="R60" s="21">
        <f>IF(B60="","",ROUND(IF(I60="",IF(G60="",0,G60)*SuppliesPerHour,I60),2))</f>
        <v>0</v>
      </c>
      <c r="S60" s="21">
        <f>IF(B60="","",Q60+R60)</f>
        <v>0</v>
      </c>
      <c r="T60" s="21">
        <f>IF(B60="","",P60-S60)</f>
        <v>0</v>
      </c>
      <c r="U60" s="38">
        <f>IF(OR(B60="",P60=0),"",T60/P60)</f>
        <v>0</v>
      </c>
      <c r="V60" s="21">
        <f>IF(OR(B60="",G60="",G60=0),"",T60/G60)</f>
        <v>0</v>
      </c>
      <c r="W60" s="21">
        <f>IF(OR(B60="",TargetMargin&gt;=1),"",ROUND(S60/(1-TargetMargin),2))</f>
        <v>0</v>
      </c>
      <c r="X60" s="31">
        <f>IF(B60="","",COUNTIFS('Quote Lines'!$C$5:$C$604,B60))</f>
        <v>0</v>
      </c>
      <c r="Y60" s="31">
        <f>IF(B60="","",COUNTIFS(Jobs!$M$5:$M$604,B60))</f>
        <v>0</v>
      </c>
      <c r="Z60" s="21">
        <f>IF(B60="","",SUMIFS(Jobs!$AJ$5:$AJ$604,Jobs!$M$5:$M$604,B60,Jobs!$P$5:$P$604,"Completed")+SUMIFS(Jobs!$AJ$5:$AJ$604,Jobs!$M$5:$M$604,B60,Jobs!$P$5:$P$604,"Invoiced"))</f>
        <v>0</v>
      </c>
      <c r="AA60" s="31">
        <f>IF(B60="","",COUNTIFS($Z$5:$Z$64,"&gt;"&amp;Z60)+COUNTIFS($Z$5:Z60,Z60))</f>
        <v>0</v>
      </c>
      <c r="AB60" s="31">
        <f>IF(B60="","",COUNTIFS($V$5:$V$64,"&gt;"&amp;V60)+COUNTIFS($V$5:V60,V60))</f>
        <v>0</v>
      </c>
      <c r="AC60" s="39">
        <f>IF(B60="","",IF(AND(D60&lt;&gt;"Per hour",F60=""),"Add - no price set",IF(G60="","Add - how long does it take?",IF(AND(U60&lt;&gt;"",U60&lt;MarginFloor),"Below - margin under the floor",IF(AND(U60&lt;&gt;"",U60&lt;TargetMargin),"Check - under target margin",IF(L60="No","Not offered","OK"))))))</f>
        <v>0</v>
      </c>
    </row>
    <row r="61" spans="1:29">
      <c r="A61" s="43">
        <f>IF(B61="","",ServicePrefix&amp;TEXT(ROW()-4,"000"))</f>
        <v>0</v>
      </c>
      <c r="P61" s="21">
        <f>IF(B61="","",ROUND(IF(D61="Per hour",IF(F61="",HourlyRate,F61)*IF(G61="",1,G61),IF(F61="",0,F61))*(1+IF(H61="",0,H61)),2))</f>
        <v>0</v>
      </c>
      <c r="Q61" s="21">
        <f>IF(B61="","",ROUND(IF(G61="",0,G61)*CostPerHour,2))</f>
        <v>0</v>
      </c>
      <c r="R61" s="21">
        <f>IF(B61="","",ROUND(IF(I61="",IF(G61="",0,G61)*SuppliesPerHour,I61),2))</f>
        <v>0</v>
      </c>
      <c r="S61" s="21">
        <f>IF(B61="","",Q61+R61)</f>
        <v>0</v>
      </c>
      <c r="T61" s="21">
        <f>IF(B61="","",P61-S61)</f>
        <v>0</v>
      </c>
      <c r="U61" s="38">
        <f>IF(OR(B61="",P61=0),"",T61/P61)</f>
        <v>0</v>
      </c>
      <c r="V61" s="21">
        <f>IF(OR(B61="",G61="",G61=0),"",T61/G61)</f>
        <v>0</v>
      </c>
      <c r="W61" s="21">
        <f>IF(OR(B61="",TargetMargin&gt;=1),"",ROUND(S61/(1-TargetMargin),2))</f>
        <v>0</v>
      </c>
      <c r="X61" s="31">
        <f>IF(B61="","",COUNTIFS('Quote Lines'!$C$5:$C$604,B61))</f>
        <v>0</v>
      </c>
      <c r="Y61" s="31">
        <f>IF(B61="","",COUNTIFS(Jobs!$M$5:$M$604,B61))</f>
        <v>0</v>
      </c>
      <c r="Z61" s="21">
        <f>IF(B61="","",SUMIFS(Jobs!$AJ$5:$AJ$604,Jobs!$M$5:$M$604,B61,Jobs!$P$5:$P$604,"Completed")+SUMIFS(Jobs!$AJ$5:$AJ$604,Jobs!$M$5:$M$604,B61,Jobs!$P$5:$P$604,"Invoiced"))</f>
        <v>0</v>
      </c>
      <c r="AA61" s="31">
        <f>IF(B61="","",COUNTIFS($Z$5:$Z$64,"&gt;"&amp;Z61)+COUNTIFS($Z$5:Z61,Z61))</f>
        <v>0</v>
      </c>
      <c r="AB61" s="31">
        <f>IF(B61="","",COUNTIFS($V$5:$V$64,"&gt;"&amp;V61)+COUNTIFS($V$5:V61,V61))</f>
        <v>0</v>
      </c>
      <c r="AC61" s="39">
        <f>IF(B61="","",IF(AND(D61&lt;&gt;"Per hour",F61=""),"Add - no price set",IF(G61="","Add - how long does it take?",IF(AND(U61&lt;&gt;"",U61&lt;MarginFloor),"Below - margin under the floor",IF(AND(U61&lt;&gt;"",U61&lt;TargetMargin),"Check - under target margin",IF(L61="No","Not offered","OK"))))))</f>
        <v>0</v>
      </c>
    </row>
    <row r="62" spans="1:29">
      <c r="A62" s="43">
        <f>IF(B62="","",ServicePrefix&amp;TEXT(ROW()-4,"000"))</f>
        <v>0</v>
      </c>
      <c r="P62" s="21">
        <f>IF(B62="","",ROUND(IF(D62="Per hour",IF(F62="",HourlyRate,F62)*IF(G62="",1,G62),IF(F62="",0,F62))*(1+IF(H62="",0,H62)),2))</f>
        <v>0</v>
      </c>
      <c r="Q62" s="21">
        <f>IF(B62="","",ROUND(IF(G62="",0,G62)*CostPerHour,2))</f>
        <v>0</v>
      </c>
      <c r="R62" s="21">
        <f>IF(B62="","",ROUND(IF(I62="",IF(G62="",0,G62)*SuppliesPerHour,I62),2))</f>
        <v>0</v>
      </c>
      <c r="S62" s="21">
        <f>IF(B62="","",Q62+R62)</f>
        <v>0</v>
      </c>
      <c r="T62" s="21">
        <f>IF(B62="","",P62-S62)</f>
        <v>0</v>
      </c>
      <c r="U62" s="38">
        <f>IF(OR(B62="",P62=0),"",T62/P62)</f>
        <v>0</v>
      </c>
      <c r="V62" s="21">
        <f>IF(OR(B62="",G62="",G62=0),"",T62/G62)</f>
        <v>0</v>
      </c>
      <c r="W62" s="21">
        <f>IF(OR(B62="",TargetMargin&gt;=1),"",ROUND(S62/(1-TargetMargin),2))</f>
        <v>0</v>
      </c>
      <c r="X62" s="31">
        <f>IF(B62="","",COUNTIFS('Quote Lines'!$C$5:$C$604,B62))</f>
        <v>0</v>
      </c>
      <c r="Y62" s="31">
        <f>IF(B62="","",COUNTIFS(Jobs!$M$5:$M$604,B62))</f>
        <v>0</v>
      </c>
      <c r="Z62" s="21">
        <f>IF(B62="","",SUMIFS(Jobs!$AJ$5:$AJ$604,Jobs!$M$5:$M$604,B62,Jobs!$P$5:$P$604,"Completed")+SUMIFS(Jobs!$AJ$5:$AJ$604,Jobs!$M$5:$M$604,B62,Jobs!$P$5:$P$604,"Invoiced"))</f>
        <v>0</v>
      </c>
      <c r="AA62" s="31">
        <f>IF(B62="","",COUNTIFS($Z$5:$Z$64,"&gt;"&amp;Z62)+COUNTIFS($Z$5:Z62,Z62))</f>
        <v>0</v>
      </c>
      <c r="AB62" s="31">
        <f>IF(B62="","",COUNTIFS($V$5:$V$64,"&gt;"&amp;V62)+COUNTIFS($V$5:V62,V62))</f>
        <v>0</v>
      </c>
      <c r="AC62" s="39">
        <f>IF(B62="","",IF(AND(D62&lt;&gt;"Per hour",F62=""),"Add - no price set",IF(G62="","Add - how long does it take?",IF(AND(U62&lt;&gt;"",U62&lt;MarginFloor),"Below - margin under the floor",IF(AND(U62&lt;&gt;"",U62&lt;TargetMargin),"Check - under target margin",IF(L62="No","Not offered","OK"))))))</f>
        <v>0</v>
      </c>
    </row>
    <row r="63" spans="1:29">
      <c r="A63" s="43">
        <f>IF(B63="","",ServicePrefix&amp;TEXT(ROW()-4,"000"))</f>
        <v>0</v>
      </c>
      <c r="P63" s="21">
        <f>IF(B63="","",ROUND(IF(D63="Per hour",IF(F63="",HourlyRate,F63)*IF(G63="",1,G63),IF(F63="",0,F63))*(1+IF(H63="",0,H63)),2))</f>
        <v>0</v>
      </c>
      <c r="Q63" s="21">
        <f>IF(B63="","",ROUND(IF(G63="",0,G63)*CostPerHour,2))</f>
        <v>0</v>
      </c>
      <c r="R63" s="21">
        <f>IF(B63="","",ROUND(IF(I63="",IF(G63="",0,G63)*SuppliesPerHour,I63),2))</f>
        <v>0</v>
      </c>
      <c r="S63" s="21">
        <f>IF(B63="","",Q63+R63)</f>
        <v>0</v>
      </c>
      <c r="T63" s="21">
        <f>IF(B63="","",P63-S63)</f>
        <v>0</v>
      </c>
      <c r="U63" s="38">
        <f>IF(OR(B63="",P63=0),"",T63/P63)</f>
        <v>0</v>
      </c>
      <c r="V63" s="21">
        <f>IF(OR(B63="",G63="",G63=0),"",T63/G63)</f>
        <v>0</v>
      </c>
      <c r="W63" s="21">
        <f>IF(OR(B63="",TargetMargin&gt;=1),"",ROUND(S63/(1-TargetMargin),2))</f>
        <v>0</v>
      </c>
      <c r="X63" s="31">
        <f>IF(B63="","",COUNTIFS('Quote Lines'!$C$5:$C$604,B63))</f>
        <v>0</v>
      </c>
      <c r="Y63" s="31">
        <f>IF(B63="","",COUNTIFS(Jobs!$M$5:$M$604,B63))</f>
        <v>0</v>
      </c>
      <c r="Z63" s="21">
        <f>IF(B63="","",SUMIFS(Jobs!$AJ$5:$AJ$604,Jobs!$M$5:$M$604,B63,Jobs!$P$5:$P$604,"Completed")+SUMIFS(Jobs!$AJ$5:$AJ$604,Jobs!$M$5:$M$604,B63,Jobs!$P$5:$P$604,"Invoiced"))</f>
        <v>0</v>
      </c>
      <c r="AA63" s="31">
        <f>IF(B63="","",COUNTIFS($Z$5:$Z$64,"&gt;"&amp;Z63)+COUNTIFS($Z$5:Z63,Z63))</f>
        <v>0</v>
      </c>
      <c r="AB63" s="31">
        <f>IF(B63="","",COUNTIFS($V$5:$V$64,"&gt;"&amp;V63)+COUNTIFS($V$5:V63,V63))</f>
        <v>0</v>
      </c>
      <c r="AC63" s="39">
        <f>IF(B63="","",IF(AND(D63&lt;&gt;"Per hour",F63=""),"Add - no price set",IF(G63="","Add - how long does it take?",IF(AND(U63&lt;&gt;"",U63&lt;MarginFloor),"Below - margin under the floor",IF(AND(U63&lt;&gt;"",U63&lt;TargetMargin),"Check - under target margin",IF(L63="No","Not offered","OK"))))))</f>
        <v>0</v>
      </c>
    </row>
    <row r="64" spans="1:29">
      <c r="A64" s="43">
        <f>IF(B64="","",ServicePrefix&amp;TEXT(ROW()-4,"000"))</f>
        <v>0</v>
      </c>
      <c r="P64" s="21">
        <f>IF(B64="","",ROUND(IF(D64="Per hour",IF(F64="",HourlyRate,F64)*IF(G64="",1,G64),IF(F64="",0,F64))*(1+IF(H64="",0,H64)),2))</f>
        <v>0</v>
      </c>
      <c r="Q64" s="21">
        <f>IF(B64="","",ROUND(IF(G64="",0,G64)*CostPerHour,2))</f>
        <v>0</v>
      </c>
      <c r="R64" s="21">
        <f>IF(B64="","",ROUND(IF(I64="",IF(G64="",0,G64)*SuppliesPerHour,I64),2))</f>
        <v>0</v>
      </c>
      <c r="S64" s="21">
        <f>IF(B64="","",Q64+R64)</f>
        <v>0</v>
      </c>
      <c r="T64" s="21">
        <f>IF(B64="","",P64-S64)</f>
        <v>0</v>
      </c>
      <c r="U64" s="38">
        <f>IF(OR(B64="",P64=0),"",T64/P64)</f>
        <v>0</v>
      </c>
      <c r="V64" s="21">
        <f>IF(OR(B64="",G64="",G64=0),"",T64/G64)</f>
        <v>0</v>
      </c>
      <c r="W64" s="21">
        <f>IF(OR(B64="",TargetMargin&gt;=1),"",ROUND(S64/(1-TargetMargin),2))</f>
        <v>0</v>
      </c>
      <c r="X64" s="31">
        <f>IF(B64="","",COUNTIFS('Quote Lines'!$C$5:$C$604,B64))</f>
        <v>0</v>
      </c>
      <c r="Y64" s="31">
        <f>IF(B64="","",COUNTIFS(Jobs!$M$5:$M$604,B64))</f>
        <v>0</v>
      </c>
      <c r="Z64" s="21">
        <f>IF(B64="","",SUMIFS(Jobs!$AJ$5:$AJ$604,Jobs!$M$5:$M$604,B64,Jobs!$P$5:$P$604,"Completed")+SUMIFS(Jobs!$AJ$5:$AJ$604,Jobs!$M$5:$M$604,B64,Jobs!$P$5:$P$604,"Invoiced"))</f>
        <v>0</v>
      </c>
      <c r="AA64" s="31">
        <f>IF(B64="","",COUNTIFS($Z$5:$Z$64,"&gt;"&amp;Z64)+COUNTIFS($Z$5:Z64,Z64))</f>
        <v>0</v>
      </c>
      <c r="AB64" s="31">
        <f>IF(B64="","",COUNTIFS($V$5:$V$64,"&gt;"&amp;V64)+COUNTIFS($V$5:V64,V64))</f>
        <v>0</v>
      </c>
      <c r="AC64" s="39">
        <f>IF(B64="","",IF(AND(D64&lt;&gt;"Per hour",F64=""),"Add - no price set",IF(G64="","Add - how long does it take?",IF(AND(U64&lt;&gt;"",U64&lt;MarginFloor),"Below - margin under the floor",IF(AND(U64&lt;&gt;"",U64&lt;TargetMargin),"Check - under target margin",IF(L64="No","Not offered","OK"))))))</f>
        <v>0</v>
      </c>
    </row>
  </sheetData>
  <sheetProtection password="EC7C" sheet="1" objects="1" scenarios="1" formatCells="0" formatColumns="0" formatRows="0" insertRows="0" insertHyperlinks="0" deleteRows="0" autoFilter="0"/>
  <autoFilter ref="A4:AC64"/>
  <mergeCells count="13">
    <mergeCell ref="A1:Z1"/>
    <mergeCell ref="AA1:AC1"/>
    <mergeCell ref="A2:AC2"/>
    <mergeCell ref="A3:B3"/>
    <mergeCell ref="C3:D3"/>
    <mergeCell ref="E3:F3"/>
    <mergeCell ref="G3:H3"/>
    <mergeCell ref="I3:J3"/>
    <mergeCell ref="K3:L3"/>
    <mergeCell ref="M3:N3"/>
    <mergeCell ref="O3:P3"/>
    <mergeCell ref="Q3:R3"/>
    <mergeCell ref="S3:AC3"/>
  </mergeCells>
  <conditionalFormatting sqref="AC5:AC64">
    <cfRule type="beginsWith" dxfId="1" priority="11" operator="beginsWith" text="OK">
      <formula>LEFT(AC5,2)="OK"</formula>
    </cfRule>
    <cfRule type="containsText" dxfId="2" priority="12" operator="containsText" text="Overdue">
      <formula>NOT(ISERROR(SEARCH("Overdue",AC5)))</formula>
    </cfRule>
    <cfRule type="containsText" dxfId="2" priority="13" operator="containsText" text="Late">
      <formula>NOT(ISERROR(SEARCH("Late",AC5)))</formula>
    </cfRule>
    <cfRule type="containsText" dxfId="2" priority="14" operator="containsText" text="Missing">
      <formula>NOT(ISERROR(SEARCH("Missing",AC5)))</formula>
    </cfRule>
    <cfRule type="containsText" dxfId="2" priority="15" operator="containsText" text="Conflict">
      <formula>NOT(ISERROR(SEARCH("Conflict",AC5)))</formula>
    </cfRule>
    <cfRule type="containsText" dxfId="2" priority="16" operator="containsText" text="Clash">
      <formula>NOT(ISERROR(SEARCH("Clash",AC5)))</formula>
    </cfRule>
    <cfRule type="containsText" dxfId="2" priority="17" operator="containsText" text="Expired">
      <formula>NOT(ISERROR(SEARCH("Expired",AC5)))</formula>
    </cfRule>
    <cfRule type="containsText" dxfId="2" priority="18" operator="containsText" text="Duplicate">
      <formula>NOT(ISERROR(SEARCH("Duplicate",AC5)))</formula>
    </cfRule>
    <cfRule type="containsText" dxfId="2" priority="19" operator="containsText" text="Unpaid">
      <formula>NOT(ISERROR(SEARCH("Unpaid",AC5)))</formula>
    </cfRule>
    <cfRule type="containsText" dxfId="2" priority="20" operator="containsText" text="Loss">
      <formula>NOT(ISERROR(SEARCH("Loss",AC5)))</formula>
    </cfRule>
    <cfRule type="containsText" dxfId="2" priority="21" operator="containsText" text="Below">
      <formula>NOT(ISERROR(SEARCH("Below",AC5)))</formula>
    </cfRule>
    <cfRule type="containsText" dxfId="0" priority="22" operator="containsText" text="Action">
      <formula>NOT(ISERROR(SEARCH("Action",AC5)))</formula>
    </cfRule>
    <cfRule type="containsText" dxfId="0" priority="23" operator="containsText" text="Due">
      <formula>NOT(ISERROR(SEARCH("Due",AC5)))</formula>
    </cfRule>
    <cfRule type="containsText" dxfId="0" priority="24" operator="containsText" text="Check">
      <formula>NOT(ISERROR(SEARCH("Check",AC5)))</formula>
    </cfRule>
    <cfRule type="containsText" dxfId="0" priority="25" operator="containsText" text="Chase">
      <formula>NOT(ISERROR(SEARCH("Chase",AC5)))</formula>
    </cfRule>
    <cfRule type="containsText" dxfId="0" priority="26" operator="containsText" text="Assign">
      <formula>NOT(ISERROR(SEARCH("Assign",AC5)))</formula>
    </cfRule>
    <cfRule type="containsText" dxfId="0" priority="27" operator="containsText" text="Confirm">
      <formula>NOT(ISERROR(SEARCH("Confirm",AC5)))</formula>
    </cfRule>
    <cfRule type="containsText" dxfId="0" priority="28" operator="containsText" text="Order">
      <formula>NOT(ISERROR(SEARCH("Order",AC5)))</formula>
    </cfRule>
    <cfRule type="containsText" dxfId="3" priority="29" operator="containsText" text="Today">
      <formula>NOT(ISERROR(SEARCH("Today",AC5)))</formula>
    </cfRule>
    <cfRule type="containsText" dxfId="3" priority="30" operator="containsText" text="Upcoming">
      <formula>NOT(ISERROR(SEARCH("Upcoming",AC5)))</formula>
    </cfRule>
    <cfRule type="containsText" dxfId="3" priority="31" operator="containsText" text="Tomorrow">
      <formula>NOT(ISERROR(SEARCH("Tomorrow",AC5)))</formula>
    </cfRule>
  </conditionalFormatting>
  <conditionalFormatting sqref="K5:K64">
    <cfRule type="containsText" dxfId="0" priority="1" operator="containsText" text="No">
      <formula>NOT(ISERROR(SEARCH("No",K5)))</formula>
    </cfRule>
    <cfRule type="containsText" dxfId="1" priority="2" operator="containsText" text="Yes">
      <formula>NOT(ISERROR(SEARCH("Yes",K5)))</formula>
    </cfRule>
  </conditionalFormatting>
  <conditionalFormatting sqref="L5:L64">
    <cfRule type="containsText" dxfId="0" priority="3" operator="containsText" text="No">
      <formula>NOT(ISERROR(SEARCH("No",L5)))</formula>
    </cfRule>
    <cfRule type="containsText" dxfId="1" priority="4" operator="containsText" text="Yes">
      <formula>NOT(ISERROR(SEARCH("Yes",L5)))</formula>
    </cfRule>
  </conditionalFormatting>
  <conditionalFormatting sqref="P5:P64">
    <cfRule type="dataBar" priority="5">
      <dataBar>
        <cfvo type="min" val="0"/>
        <cfvo type="max" val="0"/>
        <color rgb="FF2F8F9D"/>
      </dataBar>
    </cfRule>
  </conditionalFormatting>
  <conditionalFormatting sqref="T5:T64">
    <cfRule type="cellIs" dxfId="2" priority="6" operator="lessThan">
      <formula>0</formula>
    </cfRule>
    <cfRule type="cellIs" dxfId="1" priority="7" operator="greaterThan">
      <formula>0</formula>
    </cfRule>
  </conditionalFormatting>
  <conditionalFormatting sqref="U5:U64">
    <cfRule type="cellIs" dxfId="2" priority="8" operator="lessThan">
      <formula>MarginFloor</formula>
    </cfRule>
    <cfRule type="cellIs" dxfId="1" priority="9" operator="greaterThanOrEqual">
      <formula>TargetMargin</formula>
    </cfRule>
  </conditionalFormatting>
  <conditionalFormatting sqref="V5:V64">
    <cfRule type="colorScale" priority="10">
      <colorScale>
        <cfvo type="min" val="0"/>
        <cfvo type="percentile" val="50"/>
        <cfvo type="max" val="0"/>
        <color rgb="FFFBD9DD"/>
        <color rgb="FFFFF0CE"/>
        <color rgb="FFD7F2E3"/>
      </colorScale>
    </cfRule>
  </conditionalFormatting>
  <dataValidations count="9">
    <dataValidation type="list" allowBlank="1" showInputMessage="1" showErrorMessage="1" sqref="C5:C64">
      <formula1>ServiceCategoryList</formula1>
    </dataValidation>
    <dataValidation type="list" allowBlank="1" showInputMessage="1" showErrorMessage="1" promptTitle="Priced by" prompt="How this service is priced. The quote calculator asks for a different number for each model." sqref="D5:D64">
      <formula1>PricingModelList</formula1>
    </dataValidation>
    <dataValidation type="decimal" allowBlank="1" showInputMessage="1" showErrorMessage="1" errorTitle="Check the value" error="Enter a number between 0 and 1000000." promptTitle="Price per unit" prompt="Leave blank on an hourly service to use the standard rate from the Settings tab." sqref="F5:F64">
      <formula1>0</formula1>
      <formula2>1000000</formula2>
    </dataValidation>
    <dataValidation type="decimal" allowBlank="1" showInputMessage="1" showErrorMessage="1" errorTitle="Check the value" error="Enter a number between 0 and 200." promptTitle="Hours (one cleaner)" prompt="Typical time for one cleaner. Used to cost the job and to block the diary out." sqref="G5:G64">
      <formula1>0</formula1>
      <formula2>200</formula2>
    </dataValidation>
    <dataValidation type="decimal" allowBlank="1" showInputMessage="1" showErrorMessage="1" errorTitle="Check the value" error="Enter a number between 0 and 5." promptTitle="Uplift" prompt="Extra percentage for the harder jobs - deep cleans and end of tenancy work." sqref="H5:H64">
      <formula1>0</formula1>
      <formula2>5</formula2>
    </dataValidation>
    <dataValidation type="decimal" allowBlank="1" showInputMessage="1" showErrorMessage="1" errorTitle="Check the value" error="Enter a number between 0 and 100000." promptTitle="Supplies cost" prompt="What the products for this service cost you. Blank falls back to the per hour figure on Settings." sqref="I5:I64">
      <formula1>0</formula1>
      <formula2>100000</formula2>
    </dataValidation>
    <dataValidation type="decimal" allowBlank="1" showInputMessage="1" showErrorMessage="1" errorTitle="Check the value" error="Enter a number between 0 and 100000." promptTitle="Minimum charge" prompt="Blank uses the business minimum from Settings." sqref="J5:J64">
      <formula1>0</formula1>
      <formula2>100000</formula2>
    </dataValidation>
    <dataValidation type="list" allowBlank="1" showInputMessage="1" showErrorMessage="1" promptTitle="Popular?" prompt="Shows up first on the quote calculator's list of ideas." sqref="K5:K64">
      <formula1>YesNoList</formula1>
    </dataValidation>
    <dataValidation type="list" allowBlank="1" showInputMessage="1" showErrorMessage="1" promptTitle="Offered?" prompt="Set to No to retire a service without losing its history." sqref="L5:L64">
      <formula1>YesNoList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&amp;L&amp;"Calibri,Bold"&amp;12&amp;C&amp;"Calibri,Bold"&amp;11Services&amp;R&amp;"Calibri,Italic"&amp;9Cleaning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9.xml><?xml version="1.0" encoding="utf-8"?>
<worksheet xmlns="http://schemas.openxmlformats.org/spreadsheetml/2006/main" xmlns:r="http://schemas.openxmlformats.org/officeDocument/2006/relationships">
  <sheetPr>
    <tabColor rgb="FFE8A33D"/>
    <pageSetUpPr fitToPage="1"/>
  </sheetPr>
  <dimension ref="A1:AK2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11.7109375" style="46" customWidth="1"/>
    <col min="3" max="3" width="10.7109375" style="23" customWidth="1"/>
    <col min="4" max="4" width="11.7109375" style="49" customWidth="1"/>
    <col min="5" max="5" width="22.7109375" style="23" customWidth="1"/>
    <col min="6" max="6" width="20.7109375" style="15" customWidth="1"/>
    <col min="7" max="7" width="11.7109375" style="49" customWidth="1"/>
    <col min="8" max="8" width="30.7109375" style="44" customWidth="1"/>
    <col min="9" max="9" width="22.7109375" style="15" customWidth="1"/>
    <col min="10" max="10" width="14.7109375" style="15" customWidth="1"/>
    <col min="11" max="11" width="13.7109375" style="45" customWidth="1"/>
    <col min="12" max="12" width="11.7109375" style="46" customWidth="1"/>
    <col min="13" max="13" width="12.7109375" style="46" customWidth="1"/>
    <col min="14" max="14" width="12.7109375" style="46" customWidth="1"/>
    <col min="15" max="15" width="10.7109375" style="20" customWidth="1"/>
    <col min="16" max="16" width="11.7109375" style="19" customWidth="1"/>
    <col min="17" max="17" width="11.7109375" style="46" customWidth="1"/>
    <col min="18" max="18" width="11.7109375" style="49" customWidth="1"/>
    <col min="19" max="19" width="18.7109375" style="15" customWidth="1"/>
    <col min="20" max="20" width="34.7109375" style="44" customWidth="1"/>
    <col min="21" max="21" width="34.7109375" style="44" customWidth="1"/>
    <col min="22" max="22" width="8.7109375" style="31" hidden="1" customWidth="1"/>
    <col min="23" max="23" width="11.7109375" style="34" customWidth="1"/>
    <col min="24" max="24" width="12.7109375" style="21" customWidth="1"/>
    <col min="25" max="25" width="11.7109375" style="21" customWidth="1"/>
    <col min="26" max="26" width="12.7109375" style="21" customWidth="1"/>
    <col min="27" max="27" width="10.7109375" style="21" customWidth="1"/>
    <col min="28" max="28" width="12.7109375" style="21" customWidth="1"/>
    <col min="29" max="29" width="11.7109375" style="21" customWidth="1"/>
    <col min="30" max="30" width="12.7109375" style="21" hidden="1" customWidth="1"/>
    <col min="31" max="31" width="11.7109375" style="21" customWidth="1"/>
    <col min="32" max="32" width="9.7109375" style="38" customWidth="1"/>
    <col min="33" max="33" width="11.7109375" style="18" customWidth="1"/>
    <col min="34" max="34" width="11.7109375" style="31" customWidth="1"/>
    <col min="35" max="35" width="9.7109375" style="50" hidden="1" customWidth="1"/>
    <col min="36" max="36" width="8.7109375" style="50" hidden="1" customWidth="1"/>
    <col min="37" max="37" width="30.7109375" style="39" customWidth="1"/>
  </cols>
  <sheetData>
    <row r="1" spans="1:37" ht="34" customHeight="1">
      <c r="A1" s="2" t="s">
        <v>34</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3" t="s">
        <v>1</v>
      </c>
      <c r="AJ1" s="3"/>
      <c r="AK1" s="3"/>
    </row>
    <row r="2" spans="1:37" ht="18" customHeight="1">
      <c r="A2" s="4" t="s">
        <v>1025</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1026</v>
      </c>
      <c r="T3" s="48"/>
      <c r="U3" s="48"/>
      <c r="V3" s="48"/>
      <c r="W3" s="48"/>
      <c r="X3" s="48"/>
      <c r="Y3" s="48"/>
      <c r="Z3" s="48"/>
      <c r="AA3" s="48"/>
      <c r="AB3" s="48"/>
      <c r="AC3" s="48"/>
      <c r="AD3" s="48"/>
      <c r="AE3" s="48"/>
      <c r="AF3" s="48"/>
      <c r="AG3" s="48"/>
      <c r="AH3" s="48"/>
      <c r="AI3" s="48"/>
      <c r="AJ3" s="48"/>
      <c r="AK3" s="48"/>
    </row>
    <row r="4" spans="1:37" ht="30" customHeight="1">
      <c r="A4" s="8" t="s">
        <v>545</v>
      </c>
      <c r="B4" s="8" t="s">
        <v>1027</v>
      </c>
      <c r="C4" s="9" t="s">
        <v>340</v>
      </c>
      <c r="D4" s="9" t="s">
        <v>719</v>
      </c>
      <c r="E4" s="9" t="s">
        <v>403</v>
      </c>
      <c r="F4" s="9" t="s">
        <v>1028</v>
      </c>
      <c r="G4" s="9" t="s">
        <v>1029</v>
      </c>
      <c r="H4" s="9" t="s">
        <v>183</v>
      </c>
      <c r="I4" s="9" t="s">
        <v>1030</v>
      </c>
      <c r="J4" s="9" t="s">
        <v>532</v>
      </c>
      <c r="K4" s="9" t="s">
        <v>548</v>
      </c>
      <c r="L4" s="9" t="s">
        <v>1031</v>
      </c>
      <c r="M4" s="9" t="s">
        <v>1032</v>
      </c>
      <c r="N4" s="9" t="s">
        <v>1033</v>
      </c>
      <c r="O4" s="9" t="s">
        <v>464</v>
      </c>
      <c r="P4" s="9" t="s">
        <v>1034</v>
      </c>
      <c r="Q4" s="9" t="s">
        <v>1035</v>
      </c>
      <c r="R4" s="9" t="s">
        <v>1036</v>
      </c>
      <c r="S4" s="9" t="s">
        <v>1037</v>
      </c>
      <c r="T4" s="9" t="s">
        <v>421</v>
      </c>
      <c r="U4" s="9" t="s">
        <v>1038</v>
      </c>
      <c r="V4" s="9" t="s">
        <v>1039</v>
      </c>
      <c r="W4" s="9" t="s">
        <v>1040</v>
      </c>
      <c r="X4" s="9" t="s">
        <v>1041</v>
      </c>
      <c r="Y4" s="9" t="s">
        <v>1042</v>
      </c>
      <c r="Z4" s="9" t="s">
        <v>1043</v>
      </c>
      <c r="AA4" s="9" t="s">
        <v>1044</v>
      </c>
      <c r="AB4" s="9" t="s">
        <v>471</v>
      </c>
      <c r="AC4" s="9" t="s">
        <v>1045</v>
      </c>
      <c r="AD4" s="9" t="s">
        <v>965</v>
      </c>
      <c r="AE4" s="9" t="s">
        <v>407</v>
      </c>
      <c r="AF4" s="9" t="s">
        <v>408</v>
      </c>
      <c r="AG4" s="9" t="s">
        <v>1046</v>
      </c>
      <c r="AH4" s="9" t="s">
        <v>1047</v>
      </c>
      <c r="AI4" s="9" t="s">
        <v>1048</v>
      </c>
      <c r="AJ4" s="9" t="s">
        <v>872</v>
      </c>
      <c r="AK4" s="9" t="s">
        <v>574</v>
      </c>
    </row>
    <row r="5" spans="1:37">
      <c r="A5" s="43">
        <f>IF(B5="","",QuotePrefix&amp;TEXT(ROW()-4,"0000"))</f>
        <v>0</v>
      </c>
      <c r="B5" s="46">
        <v>46279</v>
      </c>
      <c r="C5" s="23">
        <f>IF(B5="","",TEXT(B5,"yyyy-mm"))</f>
        <v>0</v>
      </c>
      <c r="D5" s="49" t="s">
        <v>845</v>
      </c>
      <c r="E5" s="23">
        <f>IF(D5&lt;&gt;"",IFERROR(INDEX(Clients!$B$5:$B$204,MATCH(D5,Clients!$A$5:$A$204,0)),F5),F5)</f>
        <v>0</v>
      </c>
      <c r="F5" s="15" t="s">
        <v>172</v>
      </c>
      <c r="G5" s="49" t="s">
        <v>1049</v>
      </c>
      <c r="H5" s="44" t="s">
        <v>172</v>
      </c>
      <c r="I5" s="15" t="s">
        <v>437</v>
      </c>
      <c r="J5" s="15" t="s">
        <v>593</v>
      </c>
      <c r="K5" s="45" t="s">
        <v>1050</v>
      </c>
      <c r="L5" s="46">
        <v>46279</v>
      </c>
      <c r="N5" s="46">
        <v>46282</v>
      </c>
      <c r="R5" s="49" t="s">
        <v>172</v>
      </c>
      <c r="S5" s="15" t="s">
        <v>172</v>
      </c>
      <c r="T5" s="44" t="s">
        <v>1051</v>
      </c>
      <c r="U5" s="44" t="s">
        <v>172</v>
      </c>
      <c r="V5" s="31">
        <f>IF(A5="","",COUNTIFS('Quote Lines'!$B$5:$B$604,A5))</f>
        <v>0</v>
      </c>
      <c r="W5" s="34">
        <f>IF(A5="","",SUMIFS('Quote Lines'!$N$5:$N$604,'Quote Lines'!$B$5:$B$604,A5))</f>
        <v>0</v>
      </c>
      <c r="X5" s="21">
        <f>IF(A5="","",SUMIFS('Quote Lines'!$P$5:$P$604,'Quote Lines'!$B$5:$B$604,A5))</f>
        <v>0</v>
      </c>
      <c r="Y5" s="21">
        <f>IF(A5="","",ROUND(X5*IF(O5="",0,O5),2))</f>
        <v>0</v>
      </c>
      <c r="Z5" s="21">
        <f>IF(A5="","",X5-Y5)</f>
        <v>0</v>
      </c>
      <c r="AA5" s="21">
        <f>IF(A5="","",ROUND(Z5*TaxRate,2))</f>
        <v>0</v>
      </c>
      <c r="AB5" s="21">
        <f>IF(A5="","",Z5+AA5)</f>
        <v>0</v>
      </c>
      <c r="AC5" s="21">
        <f>IF(A5="","",IF(P5&lt;&gt;"",P5,ROUND(AB5*DepositPercent,2)))</f>
        <v>0</v>
      </c>
      <c r="AD5" s="21">
        <f>IF(A5="","",SUMIFS('Quote Lines'!$Q$5:$Q$604,'Quote Lines'!$B$5:$B$604,A5))</f>
        <v>0</v>
      </c>
      <c r="AE5" s="21">
        <f>IF(A5="","",Z5-AD5)</f>
        <v>0</v>
      </c>
      <c r="AF5" s="38">
        <f>IF(OR(A5="",Z5=0),"",AE5/Z5)</f>
        <v>0</v>
      </c>
      <c r="AG5" s="18">
        <f>IF(OR(A5="",B5=""),"",IF(Q5&lt;&gt;"",Q5,B5+QuoteValidDays))</f>
        <v>0</v>
      </c>
      <c r="AH5" s="31">
        <f>IF(OR(A5="",L5=""),"",IF(OR(K5="Accepted",K5="Declined"),"",TodayDate-L5))</f>
        <v>0</v>
      </c>
      <c r="AI5" s="50">
        <f>IF(OR(A5="",AG5=""),"",IF(AND(AG5&lt;TodayDate,K5&lt;&gt;"Accepted",K5&lt;&gt;"Declined"),"Yes","No"))</f>
        <v>0</v>
      </c>
      <c r="AJ5" s="50">
        <f>IF(B5="","",IF(K5="Accepted","Yes",IF(K5="Declined","No","")))</f>
        <v>0</v>
      </c>
      <c r="AK5" s="39">
        <f>IF(B5="","",IF(K5="Accepted",IF(R5="","Action - accepted, book the job","OK - won"),IF(K5="Declined","Closed",IF(V5=0,"Add - no lines on this quote yet",IF(K5="Draft","Draft - not sent",IF(AI5="Yes","Expired - re-quote or close",IF(AND(AH5&lt;&gt;"",AH5&gt;=QuoteFollowupDays),"Chase - "&amp;AH5&amp;" days with no answer","OK")))))))</f>
        <v>0</v>
      </c>
    </row>
    <row r="6" spans="1:37">
      <c r="A6" s="43">
        <f>IF(B6="","",QuotePrefix&amp;TEXT(ROW()-4,"0000"))</f>
        <v>0</v>
      </c>
      <c r="B6" s="46">
        <v>46285</v>
      </c>
      <c r="C6" s="23">
        <f>IF(B6="","",TEXT(B6,"yyyy-mm"))</f>
        <v>0</v>
      </c>
      <c r="D6" s="49" t="s">
        <v>813</v>
      </c>
      <c r="E6" s="23">
        <f>IF(D6&lt;&gt;"",IFERROR(INDEX(Clients!$B$5:$B$204,MATCH(D6,Clients!$A$5:$A$204,0)),F6),F6)</f>
        <v>0</v>
      </c>
      <c r="F6" s="15" t="s">
        <v>172</v>
      </c>
      <c r="G6" s="49" t="s">
        <v>1052</v>
      </c>
      <c r="H6" s="44" t="s">
        <v>172</v>
      </c>
      <c r="I6" s="15" t="s">
        <v>770</v>
      </c>
      <c r="J6" s="15" t="s">
        <v>617</v>
      </c>
      <c r="K6" s="45" t="s">
        <v>1050</v>
      </c>
      <c r="L6" s="46">
        <v>46285</v>
      </c>
      <c r="N6" s="46">
        <v>46289</v>
      </c>
      <c r="O6" s="20">
        <v>0.05</v>
      </c>
      <c r="R6" s="49" t="s">
        <v>172</v>
      </c>
      <c r="S6" s="15" t="s">
        <v>172</v>
      </c>
      <c r="T6" s="44" t="s">
        <v>1053</v>
      </c>
      <c r="U6" s="44" t="s">
        <v>172</v>
      </c>
      <c r="V6" s="31">
        <f>IF(A6="","",COUNTIFS('Quote Lines'!$B$5:$B$604,A6))</f>
        <v>0</v>
      </c>
      <c r="W6" s="34">
        <f>IF(A6="","",SUMIFS('Quote Lines'!$N$5:$N$604,'Quote Lines'!$B$5:$B$604,A6))</f>
        <v>0</v>
      </c>
      <c r="X6" s="21">
        <f>IF(A6="","",SUMIFS('Quote Lines'!$P$5:$P$604,'Quote Lines'!$B$5:$B$604,A6))</f>
        <v>0</v>
      </c>
      <c r="Y6" s="21">
        <f>IF(A6="","",ROUND(X6*IF(O6="",0,O6),2))</f>
        <v>0</v>
      </c>
      <c r="Z6" s="21">
        <f>IF(A6="","",X6-Y6)</f>
        <v>0</v>
      </c>
      <c r="AA6" s="21">
        <f>IF(A6="","",ROUND(Z6*TaxRate,2))</f>
        <v>0</v>
      </c>
      <c r="AB6" s="21">
        <f>IF(A6="","",Z6+AA6)</f>
        <v>0</v>
      </c>
      <c r="AC6" s="21">
        <f>IF(A6="","",IF(P6&lt;&gt;"",P6,ROUND(AB6*DepositPercent,2)))</f>
        <v>0</v>
      </c>
      <c r="AD6" s="21">
        <f>IF(A6="","",SUMIFS('Quote Lines'!$Q$5:$Q$604,'Quote Lines'!$B$5:$B$604,A6))</f>
        <v>0</v>
      </c>
      <c r="AE6" s="21">
        <f>IF(A6="","",Z6-AD6)</f>
        <v>0</v>
      </c>
      <c r="AF6" s="38">
        <f>IF(OR(A6="",Z6=0),"",AE6/Z6)</f>
        <v>0</v>
      </c>
      <c r="AG6" s="18">
        <f>IF(OR(A6="",B6=""),"",IF(Q6&lt;&gt;"",Q6,B6+QuoteValidDays))</f>
        <v>0</v>
      </c>
      <c r="AH6" s="31">
        <f>IF(OR(A6="",L6=""),"",IF(OR(K6="Accepted",K6="Declined"),"",TodayDate-L6))</f>
        <v>0</v>
      </c>
      <c r="AI6" s="50">
        <f>IF(OR(A6="",AG6=""),"",IF(AND(AG6&lt;TodayDate,K6&lt;&gt;"Accepted",K6&lt;&gt;"Declined"),"Yes","No"))</f>
        <v>0</v>
      </c>
      <c r="AJ6" s="50">
        <f>IF(B6="","",IF(K6="Accepted","Yes",IF(K6="Declined","No","")))</f>
        <v>0</v>
      </c>
      <c r="AK6" s="39">
        <f>IF(B6="","",IF(K6="Accepted",IF(R6="","Action - accepted, book the job","OK - won"),IF(K6="Declined","Closed",IF(V6=0,"Add - no lines on this quote yet",IF(K6="Draft","Draft - not sent",IF(AI6="Yes","Expired - re-quote or close",IF(AND(AH6&lt;&gt;"",AH6&gt;=QuoteFollowupDays),"Chase - "&amp;AH6&amp;" days with no answer","OK")))))))</f>
        <v>0</v>
      </c>
    </row>
    <row r="7" spans="1:37">
      <c r="A7" s="43">
        <f>IF(B7="","",QuotePrefix&amp;TEXT(ROW()-4,"0000"))</f>
        <v>0</v>
      </c>
      <c r="B7" s="46">
        <v>46292</v>
      </c>
      <c r="C7" s="23">
        <f>IF(B7="","",TEXT(B7,"yyyy-mm"))</f>
        <v>0</v>
      </c>
      <c r="D7" s="49" t="s">
        <v>172</v>
      </c>
      <c r="E7" s="23">
        <f>IF(D7&lt;&gt;"",IFERROR(INDEX(Clients!$B$5:$B$204,MATCH(D7,Clients!$A$5:$A$204,0)),F7),F7)</f>
        <v>0</v>
      </c>
      <c r="F7" s="15" t="s">
        <v>910</v>
      </c>
      <c r="G7" s="49" t="s">
        <v>172</v>
      </c>
      <c r="H7" s="44" t="s">
        <v>913</v>
      </c>
      <c r="I7" s="15" t="s">
        <v>914</v>
      </c>
      <c r="J7" s="15" t="s">
        <v>625</v>
      </c>
      <c r="K7" s="45" t="s">
        <v>1050</v>
      </c>
      <c r="L7" s="46">
        <v>46292</v>
      </c>
      <c r="M7" s="46">
        <v>46294</v>
      </c>
      <c r="N7" s="46">
        <v>46295</v>
      </c>
      <c r="R7" s="49" t="s">
        <v>172</v>
      </c>
      <c r="S7" s="15" t="s">
        <v>172</v>
      </c>
      <c r="T7" s="44" t="s">
        <v>1054</v>
      </c>
      <c r="U7" s="44" t="s">
        <v>172</v>
      </c>
      <c r="V7" s="31">
        <f>IF(A7="","",COUNTIFS('Quote Lines'!$B$5:$B$604,A7))</f>
        <v>0</v>
      </c>
      <c r="W7" s="34">
        <f>IF(A7="","",SUMIFS('Quote Lines'!$N$5:$N$604,'Quote Lines'!$B$5:$B$604,A7))</f>
        <v>0</v>
      </c>
      <c r="X7" s="21">
        <f>IF(A7="","",SUMIFS('Quote Lines'!$P$5:$P$604,'Quote Lines'!$B$5:$B$604,A7))</f>
        <v>0</v>
      </c>
      <c r="Y7" s="21">
        <f>IF(A7="","",ROUND(X7*IF(O7="",0,O7),2))</f>
        <v>0</v>
      </c>
      <c r="Z7" s="21">
        <f>IF(A7="","",X7-Y7)</f>
        <v>0</v>
      </c>
      <c r="AA7" s="21">
        <f>IF(A7="","",ROUND(Z7*TaxRate,2))</f>
        <v>0</v>
      </c>
      <c r="AB7" s="21">
        <f>IF(A7="","",Z7+AA7)</f>
        <v>0</v>
      </c>
      <c r="AC7" s="21">
        <f>IF(A7="","",IF(P7&lt;&gt;"",P7,ROUND(AB7*DepositPercent,2)))</f>
        <v>0</v>
      </c>
      <c r="AD7" s="21">
        <f>IF(A7="","",SUMIFS('Quote Lines'!$Q$5:$Q$604,'Quote Lines'!$B$5:$B$604,A7))</f>
        <v>0</v>
      </c>
      <c r="AE7" s="21">
        <f>IF(A7="","",Z7-AD7)</f>
        <v>0</v>
      </c>
      <c r="AF7" s="38">
        <f>IF(OR(A7="",Z7=0),"",AE7/Z7)</f>
        <v>0</v>
      </c>
      <c r="AG7" s="18">
        <f>IF(OR(A7="",B7=""),"",IF(Q7&lt;&gt;"",Q7,B7+QuoteValidDays))</f>
        <v>0</v>
      </c>
      <c r="AH7" s="31">
        <f>IF(OR(A7="",L7=""),"",IF(OR(K7="Accepted",K7="Declined"),"",TodayDate-L7))</f>
        <v>0</v>
      </c>
      <c r="AI7" s="50">
        <f>IF(OR(A7="",AG7=""),"",IF(AND(AG7&lt;TodayDate,K7&lt;&gt;"Accepted",K7&lt;&gt;"Declined"),"Yes","No"))</f>
        <v>0</v>
      </c>
      <c r="AJ7" s="50">
        <f>IF(B7="","",IF(K7="Accepted","Yes",IF(K7="Declined","No","")))</f>
        <v>0</v>
      </c>
      <c r="AK7" s="39">
        <f>IF(B7="","",IF(K7="Accepted",IF(R7="","Action - accepted, book the job","OK - won"),IF(K7="Declined","Closed",IF(V7=0,"Add - no lines on this quote yet",IF(K7="Draft","Draft - not sent",IF(AI7="Yes","Expired - re-quote or close",IF(AND(AH7&lt;&gt;"",AH7&gt;=QuoteFollowupDays),"Chase - "&amp;AH7&amp;" days with no answer","OK")))))))</f>
        <v>0</v>
      </c>
    </row>
    <row r="8" spans="1:37">
      <c r="A8" s="43">
        <f>IF(B8="","",QuotePrefix&amp;TEXT(ROW()-4,"0000"))</f>
        <v>0</v>
      </c>
      <c r="B8" s="46">
        <v>46304</v>
      </c>
      <c r="C8" s="23">
        <f>IF(B8="","",TEXT(B8,"yyyy-mm"))</f>
        <v>0</v>
      </c>
      <c r="D8" s="49" t="s">
        <v>172</v>
      </c>
      <c r="E8" s="23">
        <f>IF(D8&lt;&gt;"",IFERROR(INDEX(Clients!$B$5:$B$204,MATCH(D8,Clients!$A$5:$A$204,0)),F8),F8)</f>
        <v>0</v>
      </c>
      <c r="F8" s="15" t="s">
        <v>893</v>
      </c>
      <c r="G8" s="49" t="s">
        <v>172</v>
      </c>
      <c r="H8" s="44" t="s">
        <v>896</v>
      </c>
      <c r="I8" s="15" t="s">
        <v>790</v>
      </c>
      <c r="J8" s="15" t="s">
        <v>625</v>
      </c>
      <c r="K8" s="45" t="s">
        <v>1055</v>
      </c>
      <c r="L8" s="46">
        <v>46304</v>
      </c>
      <c r="R8" s="49" t="s">
        <v>172</v>
      </c>
      <c r="S8" s="15" t="s">
        <v>172</v>
      </c>
      <c r="T8" s="44" t="s">
        <v>1056</v>
      </c>
      <c r="U8" s="44" t="s">
        <v>172</v>
      </c>
      <c r="V8" s="31">
        <f>IF(A8="","",COUNTIFS('Quote Lines'!$B$5:$B$604,A8))</f>
        <v>0</v>
      </c>
      <c r="W8" s="34">
        <f>IF(A8="","",SUMIFS('Quote Lines'!$N$5:$N$604,'Quote Lines'!$B$5:$B$604,A8))</f>
        <v>0</v>
      </c>
      <c r="X8" s="21">
        <f>IF(A8="","",SUMIFS('Quote Lines'!$P$5:$P$604,'Quote Lines'!$B$5:$B$604,A8))</f>
        <v>0</v>
      </c>
      <c r="Y8" s="21">
        <f>IF(A8="","",ROUND(X8*IF(O8="",0,O8),2))</f>
        <v>0</v>
      </c>
      <c r="Z8" s="21">
        <f>IF(A8="","",X8-Y8)</f>
        <v>0</v>
      </c>
      <c r="AA8" s="21">
        <f>IF(A8="","",ROUND(Z8*TaxRate,2))</f>
        <v>0</v>
      </c>
      <c r="AB8" s="21">
        <f>IF(A8="","",Z8+AA8)</f>
        <v>0</v>
      </c>
      <c r="AC8" s="21">
        <f>IF(A8="","",IF(P8&lt;&gt;"",P8,ROUND(AB8*DepositPercent,2)))</f>
        <v>0</v>
      </c>
      <c r="AD8" s="21">
        <f>IF(A8="","",SUMIFS('Quote Lines'!$Q$5:$Q$604,'Quote Lines'!$B$5:$B$604,A8))</f>
        <v>0</v>
      </c>
      <c r="AE8" s="21">
        <f>IF(A8="","",Z8-AD8)</f>
        <v>0</v>
      </c>
      <c r="AF8" s="38">
        <f>IF(OR(A8="",Z8=0),"",AE8/Z8)</f>
        <v>0</v>
      </c>
      <c r="AG8" s="18">
        <f>IF(OR(A8="",B8=""),"",IF(Q8&lt;&gt;"",Q8,B8+QuoteValidDays))</f>
        <v>0</v>
      </c>
      <c r="AH8" s="31">
        <f>IF(OR(A8="",L8=""),"",IF(OR(K8="Accepted",K8="Declined"),"",TodayDate-L8))</f>
        <v>0</v>
      </c>
      <c r="AI8" s="50">
        <f>IF(OR(A8="",AG8=""),"",IF(AND(AG8&lt;TodayDate,K8&lt;&gt;"Accepted",K8&lt;&gt;"Declined"),"Yes","No"))</f>
        <v>0</v>
      </c>
      <c r="AJ8" s="50">
        <f>IF(B8="","",IF(K8="Accepted","Yes",IF(K8="Declined","No","")))</f>
        <v>0</v>
      </c>
      <c r="AK8" s="39">
        <f>IF(B8="","",IF(K8="Accepted",IF(R8="","Action - accepted, book the job","OK - won"),IF(K8="Declined","Closed",IF(V8=0,"Add - no lines on this quote yet",IF(K8="Draft","Draft - not sent",IF(AI8="Yes","Expired - re-quote or close",IF(AND(AH8&lt;&gt;"",AH8&gt;=QuoteFollowupDays),"Chase - "&amp;AH8&amp;" days with no answer","OK")))))))</f>
        <v>0</v>
      </c>
    </row>
    <row r="9" spans="1:37">
      <c r="A9" s="43">
        <f>IF(B9="","",QuotePrefix&amp;TEXT(ROW()-4,"0000"))</f>
        <v>0</v>
      </c>
      <c r="B9" s="46">
        <v>46299</v>
      </c>
      <c r="C9" s="23">
        <f>IF(B9="","",TEXT(B9,"yyyy-mm"))</f>
        <v>0</v>
      </c>
      <c r="D9" s="49" t="s">
        <v>172</v>
      </c>
      <c r="E9" s="23">
        <f>IF(D9&lt;&gt;"",IFERROR(INDEX(Clients!$B$5:$B$204,MATCH(D9,Clients!$A$5:$A$204,0)),F9),F9)</f>
        <v>0</v>
      </c>
      <c r="F9" s="15" t="s">
        <v>901</v>
      </c>
      <c r="G9" s="49" t="s">
        <v>172</v>
      </c>
      <c r="H9" s="44" t="s">
        <v>904</v>
      </c>
      <c r="I9" s="15" t="s">
        <v>905</v>
      </c>
      <c r="J9" s="15" t="s">
        <v>617</v>
      </c>
      <c r="K9" s="45" t="s">
        <v>1057</v>
      </c>
      <c r="L9" s="46">
        <v>46299</v>
      </c>
      <c r="M9" s="46">
        <v>46307</v>
      </c>
      <c r="R9" s="49" t="s">
        <v>172</v>
      </c>
      <c r="S9" s="15" t="s">
        <v>172</v>
      </c>
      <c r="T9" s="44" t="s">
        <v>1058</v>
      </c>
      <c r="U9" s="44" t="s">
        <v>172</v>
      </c>
      <c r="V9" s="31">
        <f>IF(A9="","",COUNTIFS('Quote Lines'!$B$5:$B$604,A9))</f>
        <v>0</v>
      </c>
      <c r="W9" s="34">
        <f>IF(A9="","",SUMIFS('Quote Lines'!$N$5:$N$604,'Quote Lines'!$B$5:$B$604,A9))</f>
        <v>0</v>
      </c>
      <c r="X9" s="21">
        <f>IF(A9="","",SUMIFS('Quote Lines'!$P$5:$P$604,'Quote Lines'!$B$5:$B$604,A9))</f>
        <v>0</v>
      </c>
      <c r="Y9" s="21">
        <f>IF(A9="","",ROUND(X9*IF(O9="",0,O9),2))</f>
        <v>0</v>
      </c>
      <c r="Z9" s="21">
        <f>IF(A9="","",X9-Y9)</f>
        <v>0</v>
      </c>
      <c r="AA9" s="21">
        <f>IF(A9="","",ROUND(Z9*TaxRate,2))</f>
        <v>0</v>
      </c>
      <c r="AB9" s="21">
        <f>IF(A9="","",Z9+AA9)</f>
        <v>0</v>
      </c>
      <c r="AC9" s="21">
        <f>IF(A9="","",IF(P9&lt;&gt;"",P9,ROUND(AB9*DepositPercent,2)))</f>
        <v>0</v>
      </c>
      <c r="AD9" s="21">
        <f>IF(A9="","",SUMIFS('Quote Lines'!$Q$5:$Q$604,'Quote Lines'!$B$5:$B$604,A9))</f>
        <v>0</v>
      </c>
      <c r="AE9" s="21">
        <f>IF(A9="","",Z9-AD9)</f>
        <v>0</v>
      </c>
      <c r="AF9" s="38">
        <f>IF(OR(A9="",Z9=0),"",AE9/Z9)</f>
        <v>0</v>
      </c>
      <c r="AG9" s="18">
        <f>IF(OR(A9="",B9=""),"",IF(Q9&lt;&gt;"",Q9,B9+QuoteValidDays))</f>
        <v>0</v>
      </c>
      <c r="AH9" s="31">
        <f>IF(OR(A9="",L9=""),"",IF(OR(K9="Accepted",K9="Declined"),"",TodayDate-L9))</f>
        <v>0</v>
      </c>
      <c r="AI9" s="50">
        <f>IF(OR(A9="",AG9=""),"",IF(AND(AG9&lt;TodayDate,K9&lt;&gt;"Accepted",K9&lt;&gt;"Declined"),"Yes","No"))</f>
        <v>0</v>
      </c>
      <c r="AJ9" s="50">
        <f>IF(B9="","",IF(K9="Accepted","Yes",IF(K9="Declined","No","")))</f>
        <v>0</v>
      </c>
      <c r="AK9" s="39">
        <f>IF(B9="","",IF(K9="Accepted",IF(R9="","Action - accepted, book the job","OK - won"),IF(K9="Declined","Closed",IF(V9=0,"Add - no lines on this quote yet",IF(K9="Draft","Draft - not sent",IF(AI9="Yes","Expired - re-quote or close",IF(AND(AH9&lt;&gt;"",AH9&gt;=QuoteFollowupDays),"Chase - "&amp;AH9&amp;" days with no answer","OK")))))))</f>
        <v>0</v>
      </c>
    </row>
    <row r="10" spans="1:37">
      <c r="A10" s="43">
        <f>IF(B10="","",QuotePrefix&amp;TEXT(ROW()-4,"0000"))</f>
        <v>0</v>
      </c>
      <c r="B10" s="46">
        <v>46287</v>
      </c>
      <c r="C10" s="23">
        <f>IF(B10="","",TEXT(B10,"yyyy-mm"))</f>
        <v>0</v>
      </c>
      <c r="D10" s="49" t="s">
        <v>172</v>
      </c>
      <c r="E10" s="23">
        <f>IF(D10&lt;&gt;"",IFERROR(INDEX(Clients!$B$5:$B$204,MATCH(D10,Clients!$A$5:$A$204,0)),F10),F10)</f>
        <v>0</v>
      </c>
      <c r="F10" s="15" t="s">
        <v>919</v>
      </c>
      <c r="G10" s="49" t="s">
        <v>172</v>
      </c>
      <c r="H10" s="44" t="s">
        <v>922</v>
      </c>
      <c r="I10" s="15" t="s">
        <v>839</v>
      </c>
      <c r="J10" s="15" t="s">
        <v>124</v>
      </c>
      <c r="K10" s="45" t="s">
        <v>1059</v>
      </c>
      <c r="L10" s="46">
        <v>46287</v>
      </c>
      <c r="M10" s="46">
        <v>46293</v>
      </c>
      <c r="N10" s="46">
        <v>46295</v>
      </c>
      <c r="R10" s="49" t="s">
        <v>172</v>
      </c>
      <c r="S10" s="15" t="s">
        <v>925</v>
      </c>
      <c r="T10" s="44" t="s">
        <v>1060</v>
      </c>
      <c r="U10" s="44" t="s">
        <v>172</v>
      </c>
      <c r="V10" s="31">
        <f>IF(A10="","",COUNTIFS('Quote Lines'!$B$5:$B$604,A10))</f>
        <v>0</v>
      </c>
      <c r="W10" s="34">
        <f>IF(A10="","",SUMIFS('Quote Lines'!$N$5:$N$604,'Quote Lines'!$B$5:$B$604,A10))</f>
        <v>0</v>
      </c>
      <c r="X10" s="21">
        <f>IF(A10="","",SUMIFS('Quote Lines'!$P$5:$P$604,'Quote Lines'!$B$5:$B$604,A10))</f>
        <v>0</v>
      </c>
      <c r="Y10" s="21">
        <f>IF(A10="","",ROUND(X10*IF(O10="",0,O10),2))</f>
        <v>0</v>
      </c>
      <c r="Z10" s="21">
        <f>IF(A10="","",X10-Y10)</f>
        <v>0</v>
      </c>
      <c r="AA10" s="21">
        <f>IF(A10="","",ROUND(Z10*TaxRate,2))</f>
        <v>0</v>
      </c>
      <c r="AB10" s="21">
        <f>IF(A10="","",Z10+AA10)</f>
        <v>0</v>
      </c>
      <c r="AC10" s="21">
        <f>IF(A10="","",IF(P10&lt;&gt;"",P10,ROUND(AB10*DepositPercent,2)))</f>
        <v>0</v>
      </c>
      <c r="AD10" s="21">
        <f>IF(A10="","",SUMIFS('Quote Lines'!$Q$5:$Q$604,'Quote Lines'!$B$5:$B$604,A10))</f>
        <v>0</v>
      </c>
      <c r="AE10" s="21">
        <f>IF(A10="","",Z10-AD10)</f>
        <v>0</v>
      </c>
      <c r="AF10" s="38">
        <f>IF(OR(A10="",Z10=0),"",AE10/Z10)</f>
        <v>0</v>
      </c>
      <c r="AG10" s="18">
        <f>IF(OR(A10="",B10=""),"",IF(Q10&lt;&gt;"",Q10,B10+QuoteValidDays))</f>
        <v>0</v>
      </c>
      <c r="AH10" s="31">
        <f>IF(OR(A10="",L10=""),"",IF(OR(K10="Accepted",K10="Declined"),"",TodayDate-L10))</f>
        <v>0</v>
      </c>
      <c r="AI10" s="50">
        <f>IF(OR(A10="",AG10=""),"",IF(AND(AG10&lt;TodayDate,K10&lt;&gt;"Accepted",K10&lt;&gt;"Declined"),"Yes","No"))</f>
        <v>0</v>
      </c>
      <c r="AJ10" s="50">
        <f>IF(B10="","",IF(K10="Accepted","Yes",IF(K10="Declined","No","")))</f>
        <v>0</v>
      </c>
      <c r="AK10" s="39">
        <f>IF(B10="","",IF(K10="Accepted",IF(R10="","Action - accepted, book the job","OK - won"),IF(K10="Declined","Closed",IF(V10=0,"Add - no lines on this quote yet",IF(K10="Draft","Draft - not sent",IF(AI10="Yes","Expired - re-quote or close",IF(AND(AH10&lt;&gt;"",AH10&gt;=QuoteFollowupDays),"Chase - "&amp;AH10&amp;" days with no answer","OK")))))))</f>
        <v>0</v>
      </c>
    </row>
    <row r="11" spans="1:37">
      <c r="A11" s="43">
        <f>IF(B11="","",QuotePrefix&amp;TEXT(ROW()-4,"0000"))</f>
        <v>0</v>
      </c>
      <c r="B11" s="46">
        <v>46302</v>
      </c>
      <c r="C11" s="23">
        <f>IF(B11="","",TEXT(B11,"yyyy-mm"))</f>
        <v>0</v>
      </c>
      <c r="D11" s="49" t="s">
        <v>172</v>
      </c>
      <c r="E11" s="23">
        <f>IF(D11&lt;&gt;"",IFERROR(INDEX(Clients!$B$5:$B$204,MATCH(D11,Clients!$A$5:$A$204,0)),F11),F11)</f>
        <v>0</v>
      </c>
      <c r="F11" s="15" t="s">
        <v>939</v>
      </c>
      <c r="G11" s="49" t="s">
        <v>172</v>
      </c>
      <c r="H11" s="44" t="s">
        <v>942</v>
      </c>
      <c r="I11" s="15" t="s">
        <v>770</v>
      </c>
      <c r="J11" s="15" t="s">
        <v>617</v>
      </c>
      <c r="K11" s="45" t="s">
        <v>1055</v>
      </c>
      <c r="L11" s="46">
        <v>46302</v>
      </c>
      <c r="M11" s="46">
        <v>46309</v>
      </c>
      <c r="O11" s="20">
        <v>0.05</v>
      </c>
      <c r="R11" s="49" t="s">
        <v>172</v>
      </c>
      <c r="S11" s="15" t="s">
        <v>172</v>
      </c>
      <c r="T11" s="44" t="s">
        <v>1061</v>
      </c>
      <c r="U11" s="44" t="s">
        <v>172</v>
      </c>
      <c r="V11" s="31">
        <f>IF(A11="","",COUNTIFS('Quote Lines'!$B$5:$B$604,A11))</f>
        <v>0</v>
      </c>
      <c r="W11" s="34">
        <f>IF(A11="","",SUMIFS('Quote Lines'!$N$5:$N$604,'Quote Lines'!$B$5:$B$604,A11))</f>
        <v>0</v>
      </c>
      <c r="X11" s="21">
        <f>IF(A11="","",SUMIFS('Quote Lines'!$P$5:$P$604,'Quote Lines'!$B$5:$B$604,A11))</f>
        <v>0</v>
      </c>
      <c r="Y11" s="21">
        <f>IF(A11="","",ROUND(X11*IF(O11="",0,O11),2))</f>
        <v>0</v>
      </c>
      <c r="Z11" s="21">
        <f>IF(A11="","",X11-Y11)</f>
        <v>0</v>
      </c>
      <c r="AA11" s="21">
        <f>IF(A11="","",ROUND(Z11*TaxRate,2))</f>
        <v>0</v>
      </c>
      <c r="AB11" s="21">
        <f>IF(A11="","",Z11+AA11)</f>
        <v>0</v>
      </c>
      <c r="AC11" s="21">
        <f>IF(A11="","",IF(P11&lt;&gt;"",P11,ROUND(AB11*DepositPercent,2)))</f>
        <v>0</v>
      </c>
      <c r="AD11" s="21">
        <f>IF(A11="","",SUMIFS('Quote Lines'!$Q$5:$Q$604,'Quote Lines'!$B$5:$B$604,A11))</f>
        <v>0</v>
      </c>
      <c r="AE11" s="21">
        <f>IF(A11="","",Z11-AD11)</f>
        <v>0</v>
      </c>
      <c r="AF11" s="38">
        <f>IF(OR(A11="",Z11=0),"",AE11/Z11)</f>
        <v>0</v>
      </c>
      <c r="AG11" s="18">
        <f>IF(OR(A11="",B11=""),"",IF(Q11&lt;&gt;"",Q11,B11+QuoteValidDays))</f>
        <v>0</v>
      </c>
      <c r="AH11" s="31">
        <f>IF(OR(A11="",L11=""),"",IF(OR(K11="Accepted",K11="Declined"),"",TodayDate-L11))</f>
        <v>0</v>
      </c>
      <c r="AI11" s="50">
        <f>IF(OR(A11="",AG11=""),"",IF(AND(AG11&lt;TodayDate,K11&lt;&gt;"Accepted",K11&lt;&gt;"Declined"),"Yes","No"))</f>
        <v>0</v>
      </c>
      <c r="AJ11" s="50">
        <f>IF(B11="","",IF(K11="Accepted","Yes",IF(K11="Declined","No","")))</f>
        <v>0</v>
      </c>
      <c r="AK11" s="39">
        <f>IF(B11="","",IF(K11="Accepted",IF(R11="","Action - accepted, book the job","OK - won"),IF(K11="Declined","Closed",IF(V11=0,"Add - no lines on this quote yet",IF(K11="Draft","Draft - not sent",IF(AI11="Yes","Expired - re-quote or close",IF(AND(AH11&lt;&gt;"",AH11&gt;=QuoteFollowupDays),"Chase - "&amp;AH11&amp;" days with no answer","OK")))))))</f>
        <v>0</v>
      </c>
    </row>
    <row r="12" spans="1:37">
      <c r="A12" s="43">
        <f>IF(B12="","",QuotePrefix&amp;TEXT(ROW()-4,"0000"))</f>
        <v>0</v>
      </c>
      <c r="B12" s="46">
        <v>46268</v>
      </c>
      <c r="C12" s="23">
        <f>IF(B12="","",TEXT(B12,"yyyy-mm"))</f>
        <v>0</v>
      </c>
      <c r="D12" s="49" t="s">
        <v>782</v>
      </c>
      <c r="E12" s="23">
        <f>IF(D12&lt;&gt;"",IFERROR(INDEX(Clients!$B$5:$B$204,MATCH(D12,Clients!$A$5:$A$204,0)),F12),F12)</f>
        <v>0</v>
      </c>
      <c r="F12" s="15" t="s">
        <v>172</v>
      </c>
      <c r="G12" s="49" t="s">
        <v>1062</v>
      </c>
      <c r="H12" s="44" t="s">
        <v>172</v>
      </c>
      <c r="I12" s="15" t="s">
        <v>790</v>
      </c>
      <c r="J12" s="15" t="s">
        <v>625</v>
      </c>
      <c r="K12" s="45" t="s">
        <v>1063</v>
      </c>
      <c r="L12" s="46">
        <v>46268</v>
      </c>
      <c r="M12" s="46">
        <v>46275</v>
      </c>
      <c r="R12" s="49" t="s">
        <v>172</v>
      </c>
      <c r="S12" s="15" t="s">
        <v>172</v>
      </c>
      <c r="T12" s="44" t="s">
        <v>1064</v>
      </c>
      <c r="U12" s="44" t="s">
        <v>172</v>
      </c>
      <c r="V12" s="31">
        <f>IF(A12="","",COUNTIFS('Quote Lines'!$B$5:$B$604,A12))</f>
        <v>0</v>
      </c>
      <c r="W12" s="34">
        <f>IF(A12="","",SUMIFS('Quote Lines'!$N$5:$N$604,'Quote Lines'!$B$5:$B$604,A12))</f>
        <v>0</v>
      </c>
      <c r="X12" s="21">
        <f>IF(A12="","",SUMIFS('Quote Lines'!$P$5:$P$604,'Quote Lines'!$B$5:$B$604,A12))</f>
        <v>0</v>
      </c>
      <c r="Y12" s="21">
        <f>IF(A12="","",ROUND(X12*IF(O12="",0,O12),2))</f>
        <v>0</v>
      </c>
      <c r="Z12" s="21">
        <f>IF(A12="","",X12-Y12)</f>
        <v>0</v>
      </c>
      <c r="AA12" s="21">
        <f>IF(A12="","",ROUND(Z12*TaxRate,2))</f>
        <v>0</v>
      </c>
      <c r="AB12" s="21">
        <f>IF(A12="","",Z12+AA12)</f>
        <v>0</v>
      </c>
      <c r="AC12" s="21">
        <f>IF(A12="","",IF(P12&lt;&gt;"",P12,ROUND(AB12*DepositPercent,2)))</f>
        <v>0</v>
      </c>
      <c r="AD12" s="21">
        <f>IF(A12="","",SUMIFS('Quote Lines'!$Q$5:$Q$604,'Quote Lines'!$B$5:$B$604,A12))</f>
        <v>0</v>
      </c>
      <c r="AE12" s="21">
        <f>IF(A12="","",Z12-AD12)</f>
        <v>0</v>
      </c>
      <c r="AF12" s="38">
        <f>IF(OR(A12="",Z12=0),"",AE12/Z12)</f>
        <v>0</v>
      </c>
      <c r="AG12" s="18">
        <f>IF(OR(A12="",B12=""),"",IF(Q12&lt;&gt;"",Q12,B12+QuoteValidDays))</f>
        <v>0</v>
      </c>
      <c r="AH12" s="31">
        <f>IF(OR(A12="",L12=""),"",IF(OR(K12="Accepted",K12="Declined"),"",TodayDate-L12))</f>
        <v>0</v>
      </c>
      <c r="AI12" s="50">
        <f>IF(OR(A12="",AG12=""),"",IF(AND(AG12&lt;TodayDate,K12&lt;&gt;"Accepted",K12&lt;&gt;"Declined"),"Yes","No"))</f>
        <v>0</v>
      </c>
      <c r="AJ12" s="50">
        <f>IF(B12="","",IF(K12="Accepted","Yes",IF(K12="Declined","No","")))</f>
        <v>0</v>
      </c>
      <c r="AK12" s="39">
        <f>IF(B12="","",IF(K12="Accepted",IF(R12="","Action - accepted, book the job","OK - won"),IF(K12="Declined","Closed",IF(V12=0,"Add - no lines on this quote yet",IF(K12="Draft","Draft - not sent",IF(AI12="Yes","Expired - re-quote or close",IF(AND(AH12&lt;&gt;"",AH12&gt;=QuoteFollowupDays),"Chase - "&amp;AH12&amp;" days with no answer","OK")))))))</f>
        <v>0</v>
      </c>
    </row>
    <row r="13" spans="1:37">
      <c r="A13" s="43">
        <f>IF(B13="","",QuotePrefix&amp;TEXT(ROW()-4,"0000"))</f>
        <v>0</v>
      </c>
      <c r="C13" s="23">
        <f>IF(B13="","",TEXT(B13,"yyyy-mm"))</f>
        <v>0</v>
      </c>
      <c r="E13" s="23">
        <f>IF(D13&lt;&gt;"",IFERROR(INDEX(Clients!$B$5:$B$204,MATCH(D13,Clients!$A$5:$A$204,0)),F13),F13)</f>
        <v>0</v>
      </c>
      <c r="V13" s="31">
        <f>IF(A13="","",COUNTIFS('Quote Lines'!$B$5:$B$604,A13))</f>
        <v>0</v>
      </c>
      <c r="W13" s="34">
        <f>IF(A13="","",SUMIFS('Quote Lines'!$N$5:$N$604,'Quote Lines'!$B$5:$B$604,A13))</f>
        <v>0</v>
      </c>
      <c r="X13" s="21">
        <f>IF(A13="","",SUMIFS('Quote Lines'!$P$5:$P$604,'Quote Lines'!$B$5:$B$604,A13))</f>
        <v>0</v>
      </c>
      <c r="Y13" s="21">
        <f>IF(A13="","",ROUND(X13*IF(O13="",0,O13),2))</f>
        <v>0</v>
      </c>
      <c r="Z13" s="21">
        <f>IF(A13="","",X13-Y13)</f>
        <v>0</v>
      </c>
      <c r="AA13" s="21">
        <f>IF(A13="","",ROUND(Z13*TaxRate,2))</f>
        <v>0</v>
      </c>
      <c r="AB13" s="21">
        <f>IF(A13="","",Z13+AA13)</f>
        <v>0</v>
      </c>
      <c r="AC13" s="21">
        <f>IF(A13="","",IF(P13&lt;&gt;"",P13,ROUND(AB13*DepositPercent,2)))</f>
        <v>0</v>
      </c>
      <c r="AD13" s="21">
        <f>IF(A13="","",SUMIFS('Quote Lines'!$Q$5:$Q$604,'Quote Lines'!$B$5:$B$604,A13))</f>
        <v>0</v>
      </c>
      <c r="AE13" s="21">
        <f>IF(A13="","",Z13-AD13)</f>
        <v>0</v>
      </c>
      <c r="AF13" s="38">
        <f>IF(OR(A13="",Z13=0),"",AE13/Z13)</f>
        <v>0</v>
      </c>
      <c r="AG13" s="18">
        <f>IF(OR(A13="",B13=""),"",IF(Q13&lt;&gt;"",Q13,B13+QuoteValidDays))</f>
        <v>0</v>
      </c>
      <c r="AH13" s="31">
        <f>IF(OR(A13="",L13=""),"",IF(OR(K13="Accepted",K13="Declined"),"",TodayDate-L13))</f>
        <v>0</v>
      </c>
      <c r="AI13" s="50">
        <f>IF(OR(A13="",AG13=""),"",IF(AND(AG13&lt;TodayDate,K13&lt;&gt;"Accepted",K13&lt;&gt;"Declined"),"Yes","No"))</f>
        <v>0</v>
      </c>
      <c r="AJ13" s="50">
        <f>IF(B13="","",IF(K13="Accepted","Yes",IF(K13="Declined","No","")))</f>
        <v>0</v>
      </c>
      <c r="AK13" s="39">
        <f>IF(B13="","",IF(K13="Accepted",IF(R13="","Action - accepted, book the job","OK - won"),IF(K13="Declined","Closed",IF(V13=0,"Add - no lines on this quote yet",IF(K13="Draft","Draft - not sent",IF(AI13="Yes","Expired - re-quote or close",IF(AND(AH13&lt;&gt;"",AH13&gt;=QuoteFollowupDays),"Chase - "&amp;AH13&amp;" days with no answer","OK")))))))</f>
        <v>0</v>
      </c>
    </row>
    <row r="14" spans="1:37">
      <c r="A14" s="43">
        <f>IF(B14="","",QuotePrefix&amp;TEXT(ROW()-4,"0000"))</f>
        <v>0</v>
      </c>
      <c r="C14" s="23">
        <f>IF(B14="","",TEXT(B14,"yyyy-mm"))</f>
        <v>0</v>
      </c>
      <c r="E14" s="23">
        <f>IF(D14&lt;&gt;"",IFERROR(INDEX(Clients!$B$5:$B$204,MATCH(D14,Clients!$A$5:$A$204,0)),F14),F14)</f>
        <v>0</v>
      </c>
      <c r="V14" s="31">
        <f>IF(A14="","",COUNTIFS('Quote Lines'!$B$5:$B$604,A14))</f>
        <v>0</v>
      </c>
      <c r="W14" s="34">
        <f>IF(A14="","",SUMIFS('Quote Lines'!$N$5:$N$604,'Quote Lines'!$B$5:$B$604,A14))</f>
        <v>0</v>
      </c>
      <c r="X14" s="21">
        <f>IF(A14="","",SUMIFS('Quote Lines'!$P$5:$P$604,'Quote Lines'!$B$5:$B$604,A14))</f>
        <v>0</v>
      </c>
      <c r="Y14" s="21">
        <f>IF(A14="","",ROUND(X14*IF(O14="",0,O14),2))</f>
        <v>0</v>
      </c>
      <c r="Z14" s="21">
        <f>IF(A14="","",X14-Y14)</f>
        <v>0</v>
      </c>
      <c r="AA14" s="21">
        <f>IF(A14="","",ROUND(Z14*TaxRate,2))</f>
        <v>0</v>
      </c>
      <c r="AB14" s="21">
        <f>IF(A14="","",Z14+AA14)</f>
        <v>0</v>
      </c>
      <c r="AC14" s="21">
        <f>IF(A14="","",IF(P14&lt;&gt;"",P14,ROUND(AB14*DepositPercent,2)))</f>
        <v>0</v>
      </c>
      <c r="AD14" s="21">
        <f>IF(A14="","",SUMIFS('Quote Lines'!$Q$5:$Q$604,'Quote Lines'!$B$5:$B$604,A14))</f>
        <v>0</v>
      </c>
      <c r="AE14" s="21">
        <f>IF(A14="","",Z14-AD14)</f>
        <v>0</v>
      </c>
      <c r="AF14" s="38">
        <f>IF(OR(A14="",Z14=0),"",AE14/Z14)</f>
        <v>0</v>
      </c>
      <c r="AG14" s="18">
        <f>IF(OR(A14="",B14=""),"",IF(Q14&lt;&gt;"",Q14,B14+QuoteValidDays))</f>
        <v>0</v>
      </c>
      <c r="AH14" s="31">
        <f>IF(OR(A14="",L14=""),"",IF(OR(K14="Accepted",K14="Declined"),"",TodayDate-L14))</f>
        <v>0</v>
      </c>
      <c r="AI14" s="50">
        <f>IF(OR(A14="",AG14=""),"",IF(AND(AG14&lt;TodayDate,K14&lt;&gt;"Accepted",K14&lt;&gt;"Declined"),"Yes","No"))</f>
        <v>0</v>
      </c>
      <c r="AJ14" s="50">
        <f>IF(B14="","",IF(K14="Accepted","Yes",IF(K14="Declined","No","")))</f>
        <v>0</v>
      </c>
      <c r="AK14" s="39">
        <f>IF(B14="","",IF(K14="Accepted",IF(R14="","Action - accepted, book the job","OK - won"),IF(K14="Declined","Closed",IF(V14=0,"Add - no lines on this quote yet",IF(K14="Draft","Draft - not sent",IF(AI14="Yes","Expired - re-quote or close",IF(AND(AH14&lt;&gt;"",AH14&gt;=QuoteFollowupDays),"Chase - "&amp;AH14&amp;" days with no answer","OK")))))))</f>
        <v>0</v>
      </c>
    </row>
    <row r="15" spans="1:37">
      <c r="A15" s="43">
        <f>IF(B15="","",QuotePrefix&amp;TEXT(ROW()-4,"0000"))</f>
        <v>0</v>
      </c>
      <c r="C15" s="23">
        <f>IF(B15="","",TEXT(B15,"yyyy-mm"))</f>
        <v>0</v>
      </c>
      <c r="E15" s="23">
        <f>IF(D15&lt;&gt;"",IFERROR(INDEX(Clients!$B$5:$B$204,MATCH(D15,Clients!$A$5:$A$204,0)),F15),F15)</f>
        <v>0</v>
      </c>
      <c r="V15" s="31">
        <f>IF(A15="","",COUNTIFS('Quote Lines'!$B$5:$B$604,A15))</f>
        <v>0</v>
      </c>
      <c r="W15" s="34">
        <f>IF(A15="","",SUMIFS('Quote Lines'!$N$5:$N$604,'Quote Lines'!$B$5:$B$604,A15))</f>
        <v>0</v>
      </c>
      <c r="X15" s="21">
        <f>IF(A15="","",SUMIFS('Quote Lines'!$P$5:$P$604,'Quote Lines'!$B$5:$B$604,A15))</f>
        <v>0</v>
      </c>
      <c r="Y15" s="21">
        <f>IF(A15="","",ROUND(X15*IF(O15="",0,O15),2))</f>
        <v>0</v>
      </c>
      <c r="Z15" s="21">
        <f>IF(A15="","",X15-Y15)</f>
        <v>0</v>
      </c>
      <c r="AA15" s="21">
        <f>IF(A15="","",ROUND(Z15*TaxRate,2))</f>
        <v>0</v>
      </c>
      <c r="AB15" s="21">
        <f>IF(A15="","",Z15+AA15)</f>
        <v>0</v>
      </c>
      <c r="AC15" s="21">
        <f>IF(A15="","",IF(P15&lt;&gt;"",P15,ROUND(AB15*DepositPercent,2)))</f>
        <v>0</v>
      </c>
      <c r="AD15" s="21">
        <f>IF(A15="","",SUMIFS('Quote Lines'!$Q$5:$Q$604,'Quote Lines'!$B$5:$B$604,A15))</f>
        <v>0</v>
      </c>
      <c r="AE15" s="21">
        <f>IF(A15="","",Z15-AD15)</f>
        <v>0</v>
      </c>
      <c r="AF15" s="38">
        <f>IF(OR(A15="",Z15=0),"",AE15/Z15)</f>
        <v>0</v>
      </c>
      <c r="AG15" s="18">
        <f>IF(OR(A15="",B15=""),"",IF(Q15&lt;&gt;"",Q15,B15+QuoteValidDays))</f>
        <v>0</v>
      </c>
      <c r="AH15" s="31">
        <f>IF(OR(A15="",L15=""),"",IF(OR(K15="Accepted",K15="Declined"),"",TodayDate-L15))</f>
        <v>0</v>
      </c>
      <c r="AI15" s="50">
        <f>IF(OR(A15="",AG15=""),"",IF(AND(AG15&lt;TodayDate,K15&lt;&gt;"Accepted",K15&lt;&gt;"Declined"),"Yes","No"))</f>
        <v>0</v>
      </c>
      <c r="AJ15" s="50">
        <f>IF(B15="","",IF(K15="Accepted","Yes",IF(K15="Declined","No","")))</f>
        <v>0</v>
      </c>
      <c r="AK15" s="39">
        <f>IF(B15="","",IF(K15="Accepted",IF(R15="","Action - accepted, book the job","OK - won"),IF(K15="Declined","Closed",IF(V15=0,"Add - no lines on this quote yet",IF(K15="Draft","Draft - not sent",IF(AI15="Yes","Expired - re-quote or close",IF(AND(AH15&lt;&gt;"",AH15&gt;=QuoteFollowupDays),"Chase - "&amp;AH15&amp;" days with no answer","OK")))))))</f>
        <v>0</v>
      </c>
    </row>
    <row r="16" spans="1:37">
      <c r="A16" s="43">
        <f>IF(B16="","",QuotePrefix&amp;TEXT(ROW()-4,"0000"))</f>
        <v>0</v>
      </c>
      <c r="C16" s="23">
        <f>IF(B16="","",TEXT(B16,"yyyy-mm"))</f>
        <v>0</v>
      </c>
      <c r="E16" s="23">
        <f>IF(D16&lt;&gt;"",IFERROR(INDEX(Clients!$B$5:$B$204,MATCH(D16,Clients!$A$5:$A$204,0)),F16),F16)</f>
        <v>0</v>
      </c>
      <c r="V16" s="31">
        <f>IF(A16="","",COUNTIFS('Quote Lines'!$B$5:$B$604,A16))</f>
        <v>0</v>
      </c>
      <c r="W16" s="34">
        <f>IF(A16="","",SUMIFS('Quote Lines'!$N$5:$N$604,'Quote Lines'!$B$5:$B$604,A16))</f>
        <v>0</v>
      </c>
      <c r="X16" s="21">
        <f>IF(A16="","",SUMIFS('Quote Lines'!$P$5:$P$604,'Quote Lines'!$B$5:$B$604,A16))</f>
        <v>0</v>
      </c>
      <c r="Y16" s="21">
        <f>IF(A16="","",ROUND(X16*IF(O16="",0,O16),2))</f>
        <v>0</v>
      </c>
      <c r="Z16" s="21">
        <f>IF(A16="","",X16-Y16)</f>
        <v>0</v>
      </c>
      <c r="AA16" s="21">
        <f>IF(A16="","",ROUND(Z16*TaxRate,2))</f>
        <v>0</v>
      </c>
      <c r="AB16" s="21">
        <f>IF(A16="","",Z16+AA16)</f>
        <v>0</v>
      </c>
      <c r="AC16" s="21">
        <f>IF(A16="","",IF(P16&lt;&gt;"",P16,ROUND(AB16*DepositPercent,2)))</f>
        <v>0</v>
      </c>
      <c r="AD16" s="21">
        <f>IF(A16="","",SUMIFS('Quote Lines'!$Q$5:$Q$604,'Quote Lines'!$B$5:$B$604,A16))</f>
        <v>0</v>
      </c>
      <c r="AE16" s="21">
        <f>IF(A16="","",Z16-AD16)</f>
        <v>0</v>
      </c>
      <c r="AF16" s="38">
        <f>IF(OR(A16="",Z16=0),"",AE16/Z16)</f>
        <v>0</v>
      </c>
      <c r="AG16" s="18">
        <f>IF(OR(A16="",B16=""),"",IF(Q16&lt;&gt;"",Q16,B16+QuoteValidDays))</f>
        <v>0</v>
      </c>
      <c r="AH16" s="31">
        <f>IF(OR(A16="",L16=""),"",IF(OR(K16="Accepted",K16="Declined"),"",TodayDate-L16))</f>
        <v>0</v>
      </c>
      <c r="AI16" s="50">
        <f>IF(OR(A16="",AG16=""),"",IF(AND(AG16&lt;TodayDate,K16&lt;&gt;"Accepted",K16&lt;&gt;"Declined"),"Yes","No"))</f>
        <v>0</v>
      </c>
      <c r="AJ16" s="50">
        <f>IF(B16="","",IF(K16="Accepted","Yes",IF(K16="Declined","No","")))</f>
        <v>0</v>
      </c>
      <c r="AK16" s="39">
        <f>IF(B16="","",IF(K16="Accepted",IF(R16="","Action - accepted, book the job","OK - won"),IF(K16="Declined","Closed",IF(V16=0,"Add - no lines on this quote yet",IF(K16="Draft","Draft - not sent",IF(AI16="Yes","Expired - re-quote or close",IF(AND(AH16&lt;&gt;"",AH16&gt;=QuoteFollowupDays),"Chase - "&amp;AH16&amp;" days with no answer","OK")))))))</f>
        <v>0</v>
      </c>
    </row>
    <row r="17" spans="1:37">
      <c r="A17" s="43">
        <f>IF(B17="","",QuotePrefix&amp;TEXT(ROW()-4,"0000"))</f>
        <v>0</v>
      </c>
      <c r="C17" s="23">
        <f>IF(B17="","",TEXT(B17,"yyyy-mm"))</f>
        <v>0</v>
      </c>
      <c r="E17" s="23">
        <f>IF(D17&lt;&gt;"",IFERROR(INDEX(Clients!$B$5:$B$204,MATCH(D17,Clients!$A$5:$A$204,0)),F17),F17)</f>
        <v>0</v>
      </c>
      <c r="V17" s="31">
        <f>IF(A17="","",COUNTIFS('Quote Lines'!$B$5:$B$604,A17))</f>
        <v>0</v>
      </c>
      <c r="W17" s="34">
        <f>IF(A17="","",SUMIFS('Quote Lines'!$N$5:$N$604,'Quote Lines'!$B$5:$B$604,A17))</f>
        <v>0</v>
      </c>
      <c r="X17" s="21">
        <f>IF(A17="","",SUMIFS('Quote Lines'!$P$5:$P$604,'Quote Lines'!$B$5:$B$604,A17))</f>
        <v>0</v>
      </c>
      <c r="Y17" s="21">
        <f>IF(A17="","",ROUND(X17*IF(O17="",0,O17),2))</f>
        <v>0</v>
      </c>
      <c r="Z17" s="21">
        <f>IF(A17="","",X17-Y17)</f>
        <v>0</v>
      </c>
      <c r="AA17" s="21">
        <f>IF(A17="","",ROUND(Z17*TaxRate,2))</f>
        <v>0</v>
      </c>
      <c r="AB17" s="21">
        <f>IF(A17="","",Z17+AA17)</f>
        <v>0</v>
      </c>
      <c r="AC17" s="21">
        <f>IF(A17="","",IF(P17&lt;&gt;"",P17,ROUND(AB17*DepositPercent,2)))</f>
        <v>0</v>
      </c>
      <c r="AD17" s="21">
        <f>IF(A17="","",SUMIFS('Quote Lines'!$Q$5:$Q$604,'Quote Lines'!$B$5:$B$604,A17))</f>
        <v>0</v>
      </c>
      <c r="AE17" s="21">
        <f>IF(A17="","",Z17-AD17)</f>
        <v>0</v>
      </c>
      <c r="AF17" s="38">
        <f>IF(OR(A17="",Z17=0),"",AE17/Z17)</f>
        <v>0</v>
      </c>
      <c r="AG17" s="18">
        <f>IF(OR(A17="",B17=""),"",IF(Q17&lt;&gt;"",Q17,B17+QuoteValidDays))</f>
        <v>0</v>
      </c>
      <c r="AH17" s="31">
        <f>IF(OR(A17="",L17=""),"",IF(OR(K17="Accepted",K17="Declined"),"",TodayDate-L17))</f>
        <v>0</v>
      </c>
      <c r="AI17" s="50">
        <f>IF(OR(A17="",AG17=""),"",IF(AND(AG17&lt;TodayDate,K17&lt;&gt;"Accepted",K17&lt;&gt;"Declined"),"Yes","No"))</f>
        <v>0</v>
      </c>
      <c r="AJ17" s="50">
        <f>IF(B17="","",IF(K17="Accepted","Yes",IF(K17="Declined","No","")))</f>
        <v>0</v>
      </c>
      <c r="AK17" s="39">
        <f>IF(B17="","",IF(K17="Accepted",IF(R17="","Action - accepted, book the job","OK - won"),IF(K17="Declined","Closed",IF(V17=0,"Add - no lines on this quote yet",IF(K17="Draft","Draft - not sent",IF(AI17="Yes","Expired - re-quote or close",IF(AND(AH17&lt;&gt;"",AH17&gt;=QuoteFollowupDays),"Chase - "&amp;AH17&amp;" days with no answer","OK")))))))</f>
        <v>0</v>
      </c>
    </row>
    <row r="18" spans="1:37">
      <c r="A18" s="43">
        <f>IF(B18="","",QuotePrefix&amp;TEXT(ROW()-4,"0000"))</f>
        <v>0</v>
      </c>
      <c r="C18" s="23">
        <f>IF(B18="","",TEXT(B18,"yyyy-mm"))</f>
        <v>0</v>
      </c>
      <c r="E18" s="23">
        <f>IF(D18&lt;&gt;"",IFERROR(INDEX(Clients!$B$5:$B$204,MATCH(D18,Clients!$A$5:$A$204,0)),F18),F18)</f>
        <v>0</v>
      </c>
      <c r="V18" s="31">
        <f>IF(A18="","",COUNTIFS('Quote Lines'!$B$5:$B$604,A18))</f>
        <v>0</v>
      </c>
      <c r="W18" s="34">
        <f>IF(A18="","",SUMIFS('Quote Lines'!$N$5:$N$604,'Quote Lines'!$B$5:$B$604,A18))</f>
        <v>0</v>
      </c>
      <c r="X18" s="21">
        <f>IF(A18="","",SUMIFS('Quote Lines'!$P$5:$P$604,'Quote Lines'!$B$5:$B$604,A18))</f>
        <v>0</v>
      </c>
      <c r="Y18" s="21">
        <f>IF(A18="","",ROUND(X18*IF(O18="",0,O18),2))</f>
        <v>0</v>
      </c>
      <c r="Z18" s="21">
        <f>IF(A18="","",X18-Y18)</f>
        <v>0</v>
      </c>
      <c r="AA18" s="21">
        <f>IF(A18="","",ROUND(Z18*TaxRate,2))</f>
        <v>0</v>
      </c>
      <c r="AB18" s="21">
        <f>IF(A18="","",Z18+AA18)</f>
        <v>0</v>
      </c>
      <c r="AC18" s="21">
        <f>IF(A18="","",IF(P18&lt;&gt;"",P18,ROUND(AB18*DepositPercent,2)))</f>
        <v>0</v>
      </c>
      <c r="AD18" s="21">
        <f>IF(A18="","",SUMIFS('Quote Lines'!$Q$5:$Q$604,'Quote Lines'!$B$5:$B$604,A18))</f>
        <v>0</v>
      </c>
      <c r="AE18" s="21">
        <f>IF(A18="","",Z18-AD18)</f>
        <v>0</v>
      </c>
      <c r="AF18" s="38">
        <f>IF(OR(A18="",Z18=0),"",AE18/Z18)</f>
        <v>0</v>
      </c>
      <c r="AG18" s="18">
        <f>IF(OR(A18="",B18=""),"",IF(Q18&lt;&gt;"",Q18,B18+QuoteValidDays))</f>
        <v>0</v>
      </c>
      <c r="AH18" s="31">
        <f>IF(OR(A18="",L18=""),"",IF(OR(K18="Accepted",K18="Declined"),"",TodayDate-L18))</f>
        <v>0</v>
      </c>
      <c r="AI18" s="50">
        <f>IF(OR(A18="",AG18=""),"",IF(AND(AG18&lt;TodayDate,K18&lt;&gt;"Accepted",K18&lt;&gt;"Declined"),"Yes","No"))</f>
        <v>0</v>
      </c>
      <c r="AJ18" s="50">
        <f>IF(B18="","",IF(K18="Accepted","Yes",IF(K18="Declined","No","")))</f>
        <v>0</v>
      </c>
      <c r="AK18" s="39">
        <f>IF(B18="","",IF(K18="Accepted",IF(R18="","Action - accepted, book the job","OK - won"),IF(K18="Declined","Closed",IF(V18=0,"Add - no lines on this quote yet",IF(K18="Draft","Draft - not sent",IF(AI18="Yes","Expired - re-quote or close",IF(AND(AH18&lt;&gt;"",AH18&gt;=QuoteFollowupDays),"Chase - "&amp;AH18&amp;" days with no answer","OK")))))))</f>
        <v>0</v>
      </c>
    </row>
    <row r="19" spans="1:37">
      <c r="A19" s="43">
        <f>IF(B19="","",QuotePrefix&amp;TEXT(ROW()-4,"0000"))</f>
        <v>0</v>
      </c>
      <c r="C19" s="23">
        <f>IF(B19="","",TEXT(B19,"yyyy-mm"))</f>
        <v>0</v>
      </c>
      <c r="E19" s="23">
        <f>IF(D19&lt;&gt;"",IFERROR(INDEX(Clients!$B$5:$B$204,MATCH(D19,Clients!$A$5:$A$204,0)),F19),F19)</f>
        <v>0</v>
      </c>
      <c r="V19" s="31">
        <f>IF(A19="","",COUNTIFS('Quote Lines'!$B$5:$B$604,A19))</f>
        <v>0</v>
      </c>
      <c r="W19" s="34">
        <f>IF(A19="","",SUMIFS('Quote Lines'!$N$5:$N$604,'Quote Lines'!$B$5:$B$604,A19))</f>
        <v>0</v>
      </c>
      <c r="X19" s="21">
        <f>IF(A19="","",SUMIFS('Quote Lines'!$P$5:$P$604,'Quote Lines'!$B$5:$B$604,A19))</f>
        <v>0</v>
      </c>
      <c r="Y19" s="21">
        <f>IF(A19="","",ROUND(X19*IF(O19="",0,O19),2))</f>
        <v>0</v>
      </c>
      <c r="Z19" s="21">
        <f>IF(A19="","",X19-Y19)</f>
        <v>0</v>
      </c>
      <c r="AA19" s="21">
        <f>IF(A19="","",ROUND(Z19*TaxRate,2))</f>
        <v>0</v>
      </c>
      <c r="AB19" s="21">
        <f>IF(A19="","",Z19+AA19)</f>
        <v>0</v>
      </c>
      <c r="AC19" s="21">
        <f>IF(A19="","",IF(P19&lt;&gt;"",P19,ROUND(AB19*DepositPercent,2)))</f>
        <v>0</v>
      </c>
      <c r="AD19" s="21">
        <f>IF(A19="","",SUMIFS('Quote Lines'!$Q$5:$Q$604,'Quote Lines'!$B$5:$B$604,A19))</f>
        <v>0</v>
      </c>
      <c r="AE19" s="21">
        <f>IF(A19="","",Z19-AD19)</f>
        <v>0</v>
      </c>
      <c r="AF19" s="38">
        <f>IF(OR(A19="",Z19=0),"",AE19/Z19)</f>
        <v>0</v>
      </c>
      <c r="AG19" s="18">
        <f>IF(OR(A19="",B19=""),"",IF(Q19&lt;&gt;"",Q19,B19+QuoteValidDays))</f>
        <v>0</v>
      </c>
      <c r="AH19" s="31">
        <f>IF(OR(A19="",L19=""),"",IF(OR(K19="Accepted",K19="Declined"),"",TodayDate-L19))</f>
        <v>0</v>
      </c>
      <c r="AI19" s="50">
        <f>IF(OR(A19="",AG19=""),"",IF(AND(AG19&lt;TodayDate,K19&lt;&gt;"Accepted",K19&lt;&gt;"Declined"),"Yes","No"))</f>
        <v>0</v>
      </c>
      <c r="AJ19" s="50">
        <f>IF(B19="","",IF(K19="Accepted","Yes",IF(K19="Declined","No","")))</f>
        <v>0</v>
      </c>
      <c r="AK19" s="39">
        <f>IF(B19="","",IF(K19="Accepted",IF(R19="","Action - accepted, book the job","OK - won"),IF(K19="Declined","Closed",IF(V19=0,"Add - no lines on this quote yet",IF(K19="Draft","Draft - not sent",IF(AI19="Yes","Expired - re-quote or close",IF(AND(AH19&lt;&gt;"",AH19&gt;=QuoteFollowupDays),"Chase - "&amp;AH19&amp;" days with no answer","OK")))))))</f>
        <v>0</v>
      </c>
    </row>
    <row r="20" spans="1:37">
      <c r="A20" s="43">
        <f>IF(B20="","",QuotePrefix&amp;TEXT(ROW()-4,"0000"))</f>
        <v>0</v>
      </c>
      <c r="C20" s="23">
        <f>IF(B20="","",TEXT(B20,"yyyy-mm"))</f>
        <v>0</v>
      </c>
      <c r="E20" s="23">
        <f>IF(D20&lt;&gt;"",IFERROR(INDEX(Clients!$B$5:$B$204,MATCH(D20,Clients!$A$5:$A$204,0)),F20),F20)</f>
        <v>0</v>
      </c>
      <c r="V20" s="31">
        <f>IF(A20="","",COUNTIFS('Quote Lines'!$B$5:$B$604,A20))</f>
        <v>0</v>
      </c>
      <c r="W20" s="34">
        <f>IF(A20="","",SUMIFS('Quote Lines'!$N$5:$N$604,'Quote Lines'!$B$5:$B$604,A20))</f>
        <v>0</v>
      </c>
      <c r="X20" s="21">
        <f>IF(A20="","",SUMIFS('Quote Lines'!$P$5:$P$604,'Quote Lines'!$B$5:$B$604,A20))</f>
        <v>0</v>
      </c>
      <c r="Y20" s="21">
        <f>IF(A20="","",ROUND(X20*IF(O20="",0,O20),2))</f>
        <v>0</v>
      </c>
      <c r="Z20" s="21">
        <f>IF(A20="","",X20-Y20)</f>
        <v>0</v>
      </c>
      <c r="AA20" s="21">
        <f>IF(A20="","",ROUND(Z20*TaxRate,2))</f>
        <v>0</v>
      </c>
      <c r="AB20" s="21">
        <f>IF(A20="","",Z20+AA20)</f>
        <v>0</v>
      </c>
      <c r="AC20" s="21">
        <f>IF(A20="","",IF(P20&lt;&gt;"",P20,ROUND(AB20*DepositPercent,2)))</f>
        <v>0</v>
      </c>
      <c r="AD20" s="21">
        <f>IF(A20="","",SUMIFS('Quote Lines'!$Q$5:$Q$604,'Quote Lines'!$B$5:$B$604,A20))</f>
        <v>0</v>
      </c>
      <c r="AE20" s="21">
        <f>IF(A20="","",Z20-AD20)</f>
        <v>0</v>
      </c>
      <c r="AF20" s="38">
        <f>IF(OR(A20="",Z20=0),"",AE20/Z20)</f>
        <v>0</v>
      </c>
      <c r="AG20" s="18">
        <f>IF(OR(A20="",B20=""),"",IF(Q20&lt;&gt;"",Q20,B20+QuoteValidDays))</f>
        <v>0</v>
      </c>
      <c r="AH20" s="31">
        <f>IF(OR(A20="",L20=""),"",IF(OR(K20="Accepted",K20="Declined"),"",TodayDate-L20))</f>
        <v>0</v>
      </c>
      <c r="AI20" s="50">
        <f>IF(OR(A20="",AG20=""),"",IF(AND(AG20&lt;TodayDate,K20&lt;&gt;"Accepted",K20&lt;&gt;"Declined"),"Yes","No"))</f>
        <v>0</v>
      </c>
      <c r="AJ20" s="50">
        <f>IF(B20="","",IF(K20="Accepted","Yes",IF(K20="Declined","No","")))</f>
        <v>0</v>
      </c>
      <c r="AK20" s="39">
        <f>IF(B20="","",IF(K20="Accepted",IF(R20="","Action - accepted, book the job","OK - won"),IF(K20="Declined","Closed",IF(V20=0,"Add - no lines on this quote yet",IF(K20="Draft","Draft - not sent",IF(AI20="Yes","Expired - re-quote or close",IF(AND(AH20&lt;&gt;"",AH20&gt;=QuoteFollowupDays),"Chase - "&amp;AH20&amp;" days with no answer","OK")))))))</f>
        <v>0</v>
      </c>
    </row>
    <row r="21" spans="1:37">
      <c r="A21" s="43">
        <f>IF(B21="","",QuotePrefix&amp;TEXT(ROW()-4,"0000"))</f>
        <v>0</v>
      </c>
      <c r="C21" s="23">
        <f>IF(B21="","",TEXT(B21,"yyyy-mm"))</f>
        <v>0</v>
      </c>
      <c r="E21" s="23">
        <f>IF(D21&lt;&gt;"",IFERROR(INDEX(Clients!$B$5:$B$204,MATCH(D21,Clients!$A$5:$A$204,0)),F21),F21)</f>
        <v>0</v>
      </c>
      <c r="V21" s="31">
        <f>IF(A21="","",COUNTIFS('Quote Lines'!$B$5:$B$604,A21))</f>
        <v>0</v>
      </c>
      <c r="W21" s="34">
        <f>IF(A21="","",SUMIFS('Quote Lines'!$N$5:$N$604,'Quote Lines'!$B$5:$B$604,A21))</f>
        <v>0</v>
      </c>
      <c r="X21" s="21">
        <f>IF(A21="","",SUMIFS('Quote Lines'!$P$5:$P$604,'Quote Lines'!$B$5:$B$604,A21))</f>
        <v>0</v>
      </c>
      <c r="Y21" s="21">
        <f>IF(A21="","",ROUND(X21*IF(O21="",0,O21),2))</f>
        <v>0</v>
      </c>
      <c r="Z21" s="21">
        <f>IF(A21="","",X21-Y21)</f>
        <v>0</v>
      </c>
      <c r="AA21" s="21">
        <f>IF(A21="","",ROUND(Z21*TaxRate,2))</f>
        <v>0</v>
      </c>
      <c r="AB21" s="21">
        <f>IF(A21="","",Z21+AA21)</f>
        <v>0</v>
      </c>
      <c r="AC21" s="21">
        <f>IF(A21="","",IF(P21&lt;&gt;"",P21,ROUND(AB21*DepositPercent,2)))</f>
        <v>0</v>
      </c>
      <c r="AD21" s="21">
        <f>IF(A21="","",SUMIFS('Quote Lines'!$Q$5:$Q$604,'Quote Lines'!$B$5:$B$604,A21))</f>
        <v>0</v>
      </c>
      <c r="AE21" s="21">
        <f>IF(A21="","",Z21-AD21)</f>
        <v>0</v>
      </c>
      <c r="AF21" s="38">
        <f>IF(OR(A21="",Z21=0),"",AE21/Z21)</f>
        <v>0</v>
      </c>
      <c r="AG21" s="18">
        <f>IF(OR(A21="",B21=""),"",IF(Q21&lt;&gt;"",Q21,B21+QuoteValidDays))</f>
        <v>0</v>
      </c>
      <c r="AH21" s="31">
        <f>IF(OR(A21="",L21=""),"",IF(OR(K21="Accepted",K21="Declined"),"",TodayDate-L21))</f>
        <v>0</v>
      </c>
      <c r="AI21" s="50">
        <f>IF(OR(A21="",AG21=""),"",IF(AND(AG21&lt;TodayDate,K21&lt;&gt;"Accepted",K21&lt;&gt;"Declined"),"Yes","No"))</f>
        <v>0</v>
      </c>
      <c r="AJ21" s="50">
        <f>IF(B21="","",IF(K21="Accepted","Yes",IF(K21="Declined","No","")))</f>
        <v>0</v>
      </c>
      <c r="AK21" s="39">
        <f>IF(B21="","",IF(K21="Accepted",IF(R21="","Action - accepted, book the job","OK - won"),IF(K21="Declined","Closed",IF(V21=0,"Add - no lines on this quote yet",IF(K21="Draft","Draft - not sent",IF(AI21="Yes","Expired - re-quote or close",IF(AND(AH21&lt;&gt;"",AH21&gt;=QuoteFollowupDays),"Chase - "&amp;AH21&amp;" days with no answer","OK")))))))</f>
        <v>0</v>
      </c>
    </row>
    <row r="22" spans="1:37">
      <c r="A22" s="43">
        <f>IF(B22="","",QuotePrefix&amp;TEXT(ROW()-4,"0000"))</f>
        <v>0</v>
      </c>
      <c r="C22" s="23">
        <f>IF(B22="","",TEXT(B22,"yyyy-mm"))</f>
        <v>0</v>
      </c>
      <c r="E22" s="23">
        <f>IF(D22&lt;&gt;"",IFERROR(INDEX(Clients!$B$5:$B$204,MATCH(D22,Clients!$A$5:$A$204,0)),F22),F22)</f>
        <v>0</v>
      </c>
      <c r="V22" s="31">
        <f>IF(A22="","",COUNTIFS('Quote Lines'!$B$5:$B$604,A22))</f>
        <v>0</v>
      </c>
      <c r="W22" s="34">
        <f>IF(A22="","",SUMIFS('Quote Lines'!$N$5:$N$604,'Quote Lines'!$B$5:$B$604,A22))</f>
        <v>0</v>
      </c>
      <c r="X22" s="21">
        <f>IF(A22="","",SUMIFS('Quote Lines'!$P$5:$P$604,'Quote Lines'!$B$5:$B$604,A22))</f>
        <v>0</v>
      </c>
      <c r="Y22" s="21">
        <f>IF(A22="","",ROUND(X22*IF(O22="",0,O22),2))</f>
        <v>0</v>
      </c>
      <c r="Z22" s="21">
        <f>IF(A22="","",X22-Y22)</f>
        <v>0</v>
      </c>
      <c r="AA22" s="21">
        <f>IF(A22="","",ROUND(Z22*TaxRate,2))</f>
        <v>0</v>
      </c>
      <c r="AB22" s="21">
        <f>IF(A22="","",Z22+AA22)</f>
        <v>0</v>
      </c>
      <c r="AC22" s="21">
        <f>IF(A22="","",IF(P22&lt;&gt;"",P22,ROUND(AB22*DepositPercent,2)))</f>
        <v>0</v>
      </c>
      <c r="AD22" s="21">
        <f>IF(A22="","",SUMIFS('Quote Lines'!$Q$5:$Q$604,'Quote Lines'!$B$5:$B$604,A22))</f>
        <v>0</v>
      </c>
      <c r="AE22" s="21">
        <f>IF(A22="","",Z22-AD22)</f>
        <v>0</v>
      </c>
      <c r="AF22" s="38">
        <f>IF(OR(A22="",Z22=0),"",AE22/Z22)</f>
        <v>0</v>
      </c>
      <c r="AG22" s="18">
        <f>IF(OR(A22="",B22=""),"",IF(Q22&lt;&gt;"",Q22,B22+QuoteValidDays))</f>
        <v>0</v>
      </c>
      <c r="AH22" s="31">
        <f>IF(OR(A22="",L22=""),"",IF(OR(K22="Accepted",K22="Declined"),"",TodayDate-L22))</f>
        <v>0</v>
      </c>
      <c r="AI22" s="50">
        <f>IF(OR(A22="",AG22=""),"",IF(AND(AG22&lt;TodayDate,K22&lt;&gt;"Accepted",K22&lt;&gt;"Declined"),"Yes","No"))</f>
        <v>0</v>
      </c>
      <c r="AJ22" s="50">
        <f>IF(B22="","",IF(K22="Accepted","Yes",IF(K22="Declined","No","")))</f>
        <v>0</v>
      </c>
      <c r="AK22" s="39">
        <f>IF(B22="","",IF(K22="Accepted",IF(R22="","Action - accepted, book the job","OK - won"),IF(K22="Declined","Closed",IF(V22=0,"Add - no lines on this quote yet",IF(K22="Draft","Draft - not sent",IF(AI22="Yes","Expired - re-quote or close",IF(AND(AH22&lt;&gt;"",AH22&gt;=QuoteFollowupDays),"Chase - "&amp;AH22&amp;" days with no answer","OK")))))))</f>
        <v>0</v>
      </c>
    </row>
    <row r="23" spans="1:37">
      <c r="A23" s="43">
        <f>IF(B23="","",QuotePrefix&amp;TEXT(ROW()-4,"0000"))</f>
        <v>0</v>
      </c>
      <c r="C23" s="23">
        <f>IF(B23="","",TEXT(B23,"yyyy-mm"))</f>
        <v>0</v>
      </c>
      <c r="E23" s="23">
        <f>IF(D23&lt;&gt;"",IFERROR(INDEX(Clients!$B$5:$B$204,MATCH(D23,Clients!$A$5:$A$204,0)),F23),F23)</f>
        <v>0</v>
      </c>
      <c r="V23" s="31">
        <f>IF(A23="","",COUNTIFS('Quote Lines'!$B$5:$B$604,A23))</f>
        <v>0</v>
      </c>
      <c r="W23" s="34">
        <f>IF(A23="","",SUMIFS('Quote Lines'!$N$5:$N$604,'Quote Lines'!$B$5:$B$604,A23))</f>
        <v>0</v>
      </c>
      <c r="X23" s="21">
        <f>IF(A23="","",SUMIFS('Quote Lines'!$P$5:$P$604,'Quote Lines'!$B$5:$B$604,A23))</f>
        <v>0</v>
      </c>
      <c r="Y23" s="21">
        <f>IF(A23="","",ROUND(X23*IF(O23="",0,O23),2))</f>
        <v>0</v>
      </c>
      <c r="Z23" s="21">
        <f>IF(A23="","",X23-Y23)</f>
        <v>0</v>
      </c>
      <c r="AA23" s="21">
        <f>IF(A23="","",ROUND(Z23*TaxRate,2))</f>
        <v>0</v>
      </c>
      <c r="AB23" s="21">
        <f>IF(A23="","",Z23+AA23)</f>
        <v>0</v>
      </c>
      <c r="AC23" s="21">
        <f>IF(A23="","",IF(P23&lt;&gt;"",P23,ROUND(AB23*DepositPercent,2)))</f>
        <v>0</v>
      </c>
      <c r="AD23" s="21">
        <f>IF(A23="","",SUMIFS('Quote Lines'!$Q$5:$Q$604,'Quote Lines'!$B$5:$B$604,A23))</f>
        <v>0</v>
      </c>
      <c r="AE23" s="21">
        <f>IF(A23="","",Z23-AD23)</f>
        <v>0</v>
      </c>
      <c r="AF23" s="38">
        <f>IF(OR(A23="",Z23=0),"",AE23/Z23)</f>
        <v>0</v>
      </c>
      <c r="AG23" s="18">
        <f>IF(OR(A23="",B23=""),"",IF(Q23&lt;&gt;"",Q23,B23+QuoteValidDays))</f>
        <v>0</v>
      </c>
      <c r="AH23" s="31">
        <f>IF(OR(A23="",L23=""),"",IF(OR(K23="Accepted",K23="Declined"),"",TodayDate-L23))</f>
        <v>0</v>
      </c>
      <c r="AI23" s="50">
        <f>IF(OR(A23="",AG23=""),"",IF(AND(AG23&lt;TodayDate,K23&lt;&gt;"Accepted",K23&lt;&gt;"Declined"),"Yes","No"))</f>
        <v>0</v>
      </c>
      <c r="AJ23" s="50">
        <f>IF(B23="","",IF(K23="Accepted","Yes",IF(K23="Declined","No","")))</f>
        <v>0</v>
      </c>
      <c r="AK23" s="39">
        <f>IF(B23="","",IF(K23="Accepted",IF(R23="","Action - accepted, book the job","OK - won"),IF(K23="Declined","Closed",IF(V23=0,"Add - no lines on this quote yet",IF(K23="Draft","Draft - not sent",IF(AI23="Yes","Expired - re-quote or close",IF(AND(AH23&lt;&gt;"",AH23&gt;=QuoteFollowupDays),"Chase - "&amp;AH23&amp;" days with no answer","OK")))))))</f>
        <v>0</v>
      </c>
    </row>
    <row r="24" spans="1:37">
      <c r="A24" s="43">
        <f>IF(B24="","",QuotePrefix&amp;TEXT(ROW()-4,"0000"))</f>
        <v>0</v>
      </c>
      <c r="C24" s="23">
        <f>IF(B24="","",TEXT(B24,"yyyy-mm"))</f>
        <v>0</v>
      </c>
      <c r="E24" s="23">
        <f>IF(D24&lt;&gt;"",IFERROR(INDEX(Clients!$B$5:$B$204,MATCH(D24,Clients!$A$5:$A$204,0)),F24),F24)</f>
        <v>0</v>
      </c>
      <c r="V24" s="31">
        <f>IF(A24="","",COUNTIFS('Quote Lines'!$B$5:$B$604,A24))</f>
        <v>0</v>
      </c>
      <c r="W24" s="34">
        <f>IF(A24="","",SUMIFS('Quote Lines'!$N$5:$N$604,'Quote Lines'!$B$5:$B$604,A24))</f>
        <v>0</v>
      </c>
      <c r="X24" s="21">
        <f>IF(A24="","",SUMIFS('Quote Lines'!$P$5:$P$604,'Quote Lines'!$B$5:$B$604,A24))</f>
        <v>0</v>
      </c>
      <c r="Y24" s="21">
        <f>IF(A24="","",ROUND(X24*IF(O24="",0,O24),2))</f>
        <v>0</v>
      </c>
      <c r="Z24" s="21">
        <f>IF(A24="","",X24-Y24)</f>
        <v>0</v>
      </c>
      <c r="AA24" s="21">
        <f>IF(A24="","",ROUND(Z24*TaxRate,2))</f>
        <v>0</v>
      </c>
      <c r="AB24" s="21">
        <f>IF(A24="","",Z24+AA24)</f>
        <v>0</v>
      </c>
      <c r="AC24" s="21">
        <f>IF(A24="","",IF(P24&lt;&gt;"",P24,ROUND(AB24*DepositPercent,2)))</f>
        <v>0</v>
      </c>
      <c r="AD24" s="21">
        <f>IF(A24="","",SUMIFS('Quote Lines'!$Q$5:$Q$604,'Quote Lines'!$B$5:$B$604,A24))</f>
        <v>0</v>
      </c>
      <c r="AE24" s="21">
        <f>IF(A24="","",Z24-AD24)</f>
        <v>0</v>
      </c>
      <c r="AF24" s="38">
        <f>IF(OR(A24="",Z24=0),"",AE24/Z24)</f>
        <v>0</v>
      </c>
      <c r="AG24" s="18">
        <f>IF(OR(A24="",B24=""),"",IF(Q24&lt;&gt;"",Q24,B24+QuoteValidDays))</f>
        <v>0</v>
      </c>
      <c r="AH24" s="31">
        <f>IF(OR(A24="",L24=""),"",IF(OR(K24="Accepted",K24="Declined"),"",TodayDate-L24))</f>
        <v>0</v>
      </c>
      <c r="AI24" s="50">
        <f>IF(OR(A24="",AG24=""),"",IF(AND(AG24&lt;TodayDate,K24&lt;&gt;"Accepted",K24&lt;&gt;"Declined"),"Yes","No"))</f>
        <v>0</v>
      </c>
      <c r="AJ24" s="50">
        <f>IF(B24="","",IF(K24="Accepted","Yes",IF(K24="Declined","No","")))</f>
        <v>0</v>
      </c>
      <c r="AK24" s="39">
        <f>IF(B24="","",IF(K24="Accepted",IF(R24="","Action - accepted, book the job","OK - won"),IF(K24="Declined","Closed",IF(V24=0,"Add - no lines on this quote yet",IF(K24="Draft","Draft - not sent",IF(AI24="Yes","Expired - re-quote or close",IF(AND(AH24&lt;&gt;"",AH24&gt;=QuoteFollowupDays),"Chase - "&amp;AH24&amp;" days with no answer","OK")))))))</f>
        <v>0</v>
      </c>
    </row>
    <row r="25" spans="1:37">
      <c r="A25" s="43">
        <f>IF(B25="","",QuotePrefix&amp;TEXT(ROW()-4,"0000"))</f>
        <v>0</v>
      </c>
      <c r="C25" s="23">
        <f>IF(B25="","",TEXT(B25,"yyyy-mm"))</f>
        <v>0</v>
      </c>
      <c r="E25" s="23">
        <f>IF(D25&lt;&gt;"",IFERROR(INDEX(Clients!$B$5:$B$204,MATCH(D25,Clients!$A$5:$A$204,0)),F25),F25)</f>
        <v>0</v>
      </c>
      <c r="V25" s="31">
        <f>IF(A25="","",COUNTIFS('Quote Lines'!$B$5:$B$604,A25))</f>
        <v>0</v>
      </c>
      <c r="W25" s="34">
        <f>IF(A25="","",SUMIFS('Quote Lines'!$N$5:$N$604,'Quote Lines'!$B$5:$B$604,A25))</f>
        <v>0</v>
      </c>
      <c r="X25" s="21">
        <f>IF(A25="","",SUMIFS('Quote Lines'!$P$5:$P$604,'Quote Lines'!$B$5:$B$604,A25))</f>
        <v>0</v>
      </c>
      <c r="Y25" s="21">
        <f>IF(A25="","",ROUND(X25*IF(O25="",0,O25),2))</f>
        <v>0</v>
      </c>
      <c r="Z25" s="21">
        <f>IF(A25="","",X25-Y25)</f>
        <v>0</v>
      </c>
      <c r="AA25" s="21">
        <f>IF(A25="","",ROUND(Z25*TaxRate,2))</f>
        <v>0</v>
      </c>
      <c r="AB25" s="21">
        <f>IF(A25="","",Z25+AA25)</f>
        <v>0</v>
      </c>
      <c r="AC25" s="21">
        <f>IF(A25="","",IF(P25&lt;&gt;"",P25,ROUND(AB25*DepositPercent,2)))</f>
        <v>0</v>
      </c>
      <c r="AD25" s="21">
        <f>IF(A25="","",SUMIFS('Quote Lines'!$Q$5:$Q$604,'Quote Lines'!$B$5:$B$604,A25))</f>
        <v>0</v>
      </c>
      <c r="AE25" s="21">
        <f>IF(A25="","",Z25-AD25)</f>
        <v>0</v>
      </c>
      <c r="AF25" s="38">
        <f>IF(OR(A25="",Z25=0),"",AE25/Z25)</f>
        <v>0</v>
      </c>
      <c r="AG25" s="18">
        <f>IF(OR(A25="",B25=""),"",IF(Q25&lt;&gt;"",Q25,B25+QuoteValidDays))</f>
        <v>0</v>
      </c>
      <c r="AH25" s="31">
        <f>IF(OR(A25="",L25=""),"",IF(OR(K25="Accepted",K25="Declined"),"",TodayDate-L25))</f>
        <v>0</v>
      </c>
      <c r="AI25" s="50">
        <f>IF(OR(A25="",AG25=""),"",IF(AND(AG25&lt;TodayDate,K25&lt;&gt;"Accepted",K25&lt;&gt;"Declined"),"Yes","No"))</f>
        <v>0</v>
      </c>
      <c r="AJ25" s="50">
        <f>IF(B25="","",IF(K25="Accepted","Yes",IF(K25="Declined","No","")))</f>
        <v>0</v>
      </c>
      <c r="AK25" s="39">
        <f>IF(B25="","",IF(K25="Accepted",IF(R25="","Action - accepted, book the job","OK - won"),IF(K25="Declined","Closed",IF(V25=0,"Add - no lines on this quote yet",IF(K25="Draft","Draft - not sent",IF(AI25="Yes","Expired - re-quote or close",IF(AND(AH25&lt;&gt;"",AH25&gt;=QuoteFollowupDays),"Chase - "&amp;AH25&amp;" days with no answer","OK")))))))</f>
        <v>0</v>
      </c>
    </row>
    <row r="26" spans="1:37">
      <c r="A26" s="43">
        <f>IF(B26="","",QuotePrefix&amp;TEXT(ROW()-4,"0000"))</f>
        <v>0</v>
      </c>
      <c r="C26" s="23">
        <f>IF(B26="","",TEXT(B26,"yyyy-mm"))</f>
        <v>0</v>
      </c>
      <c r="E26" s="23">
        <f>IF(D26&lt;&gt;"",IFERROR(INDEX(Clients!$B$5:$B$204,MATCH(D26,Clients!$A$5:$A$204,0)),F26),F26)</f>
        <v>0</v>
      </c>
      <c r="V26" s="31">
        <f>IF(A26="","",COUNTIFS('Quote Lines'!$B$5:$B$604,A26))</f>
        <v>0</v>
      </c>
      <c r="W26" s="34">
        <f>IF(A26="","",SUMIFS('Quote Lines'!$N$5:$N$604,'Quote Lines'!$B$5:$B$604,A26))</f>
        <v>0</v>
      </c>
      <c r="X26" s="21">
        <f>IF(A26="","",SUMIFS('Quote Lines'!$P$5:$P$604,'Quote Lines'!$B$5:$B$604,A26))</f>
        <v>0</v>
      </c>
      <c r="Y26" s="21">
        <f>IF(A26="","",ROUND(X26*IF(O26="",0,O26),2))</f>
        <v>0</v>
      </c>
      <c r="Z26" s="21">
        <f>IF(A26="","",X26-Y26)</f>
        <v>0</v>
      </c>
      <c r="AA26" s="21">
        <f>IF(A26="","",ROUND(Z26*TaxRate,2))</f>
        <v>0</v>
      </c>
      <c r="AB26" s="21">
        <f>IF(A26="","",Z26+AA26)</f>
        <v>0</v>
      </c>
      <c r="AC26" s="21">
        <f>IF(A26="","",IF(P26&lt;&gt;"",P26,ROUND(AB26*DepositPercent,2)))</f>
        <v>0</v>
      </c>
      <c r="AD26" s="21">
        <f>IF(A26="","",SUMIFS('Quote Lines'!$Q$5:$Q$604,'Quote Lines'!$B$5:$B$604,A26))</f>
        <v>0</v>
      </c>
      <c r="AE26" s="21">
        <f>IF(A26="","",Z26-AD26)</f>
        <v>0</v>
      </c>
      <c r="AF26" s="38">
        <f>IF(OR(A26="",Z26=0),"",AE26/Z26)</f>
        <v>0</v>
      </c>
      <c r="AG26" s="18">
        <f>IF(OR(A26="",B26=""),"",IF(Q26&lt;&gt;"",Q26,B26+QuoteValidDays))</f>
        <v>0</v>
      </c>
      <c r="AH26" s="31">
        <f>IF(OR(A26="",L26=""),"",IF(OR(K26="Accepted",K26="Declined"),"",TodayDate-L26))</f>
        <v>0</v>
      </c>
      <c r="AI26" s="50">
        <f>IF(OR(A26="",AG26=""),"",IF(AND(AG26&lt;TodayDate,K26&lt;&gt;"Accepted",K26&lt;&gt;"Declined"),"Yes","No"))</f>
        <v>0</v>
      </c>
      <c r="AJ26" s="50">
        <f>IF(B26="","",IF(K26="Accepted","Yes",IF(K26="Declined","No","")))</f>
        <v>0</v>
      </c>
      <c r="AK26" s="39">
        <f>IF(B26="","",IF(K26="Accepted",IF(R26="","Action - accepted, book the job","OK - won"),IF(K26="Declined","Closed",IF(V26=0,"Add - no lines on this quote yet",IF(K26="Draft","Draft - not sent",IF(AI26="Yes","Expired - re-quote or close",IF(AND(AH26&lt;&gt;"",AH26&gt;=QuoteFollowupDays),"Chase - "&amp;AH26&amp;" days with no answer","OK")))))))</f>
        <v>0</v>
      </c>
    </row>
    <row r="27" spans="1:37">
      <c r="A27" s="43">
        <f>IF(B27="","",QuotePrefix&amp;TEXT(ROW()-4,"0000"))</f>
        <v>0</v>
      </c>
      <c r="C27" s="23">
        <f>IF(B27="","",TEXT(B27,"yyyy-mm"))</f>
        <v>0</v>
      </c>
      <c r="E27" s="23">
        <f>IF(D27&lt;&gt;"",IFERROR(INDEX(Clients!$B$5:$B$204,MATCH(D27,Clients!$A$5:$A$204,0)),F27),F27)</f>
        <v>0</v>
      </c>
      <c r="V27" s="31">
        <f>IF(A27="","",COUNTIFS('Quote Lines'!$B$5:$B$604,A27))</f>
        <v>0</v>
      </c>
      <c r="W27" s="34">
        <f>IF(A27="","",SUMIFS('Quote Lines'!$N$5:$N$604,'Quote Lines'!$B$5:$B$604,A27))</f>
        <v>0</v>
      </c>
      <c r="X27" s="21">
        <f>IF(A27="","",SUMIFS('Quote Lines'!$P$5:$P$604,'Quote Lines'!$B$5:$B$604,A27))</f>
        <v>0</v>
      </c>
      <c r="Y27" s="21">
        <f>IF(A27="","",ROUND(X27*IF(O27="",0,O27),2))</f>
        <v>0</v>
      </c>
      <c r="Z27" s="21">
        <f>IF(A27="","",X27-Y27)</f>
        <v>0</v>
      </c>
      <c r="AA27" s="21">
        <f>IF(A27="","",ROUND(Z27*TaxRate,2))</f>
        <v>0</v>
      </c>
      <c r="AB27" s="21">
        <f>IF(A27="","",Z27+AA27)</f>
        <v>0</v>
      </c>
      <c r="AC27" s="21">
        <f>IF(A27="","",IF(P27&lt;&gt;"",P27,ROUND(AB27*DepositPercent,2)))</f>
        <v>0</v>
      </c>
      <c r="AD27" s="21">
        <f>IF(A27="","",SUMIFS('Quote Lines'!$Q$5:$Q$604,'Quote Lines'!$B$5:$B$604,A27))</f>
        <v>0</v>
      </c>
      <c r="AE27" s="21">
        <f>IF(A27="","",Z27-AD27)</f>
        <v>0</v>
      </c>
      <c r="AF27" s="38">
        <f>IF(OR(A27="",Z27=0),"",AE27/Z27)</f>
        <v>0</v>
      </c>
      <c r="AG27" s="18">
        <f>IF(OR(A27="",B27=""),"",IF(Q27&lt;&gt;"",Q27,B27+QuoteValidDays))</f>
        <v>0</v>
      </c>
      <c r="AH27" s="31">
        <f>IF(OR(A27="",L27=""),"",IF(OR(K27="Accepted",K27="Declined"),"",TodayDate-L27))</f>
        <v>0</v>
      </c>
      <c r="AI27" s="50">
        <f>IF(OR(A27="",AG27=""),"",IF(AND(AG27&lt;TodayDate,K27&lt;&gt;"Accepted",K27&lt;&gt;"Declined"),"Yes","No"))</f>
        <v>0</v>
      </c>
      <c r="AJ27" s="50">
        <f>IF(B27="","",IF(K27="Accepted","Yes",IF(K27="Declined","No","")))</f>
        <v>0</v>
      </c>
      <c r="AK27" s="39">
        <f>IF(B27="","",IF(K27="Accepted",IF(R27="","Action - accepted, book the job","OK - won"),IF(K27="Declined","Closed",IF(V27=0,"Add - no lines on this quote yet",IF(K27="Draft","Draft - not sent",IF(AI27="Yes","Expired - re-quote or close",IF(AND(AH27&lt;&gt;"",AH27&gt;=QuoteFollowupDays),"Chase - "&amp;AH27&amp;" days with no answer","OK")))))))</f>
        <v>0</v>
      </c>
    </row>
    <row r="28" spans="1:37">
      <c r="A28" s="43">
        <f>IF(B28="","",QuotePrefix&amp;TEXT(ROW()-4,"0000"))</f>
        <v>0</v>
      </c>
      <c r="C28" s="23">
        <f>IF(B28="","",TEXT(B28,"yyyy-mm"))</f>
        <v>0</v>
      </c>
      <c r="E28" s="23">
        <f>IF(D28&lt;&gt;"",IFERROR(INDEX(Clients!$B$5:$B$204,MATCH(D28,Clients!$A$5:$A$204,0)),F28),F28)</f>
        <v>0</v>
      </c>
      <c r="V28" s="31">
        <f>IF(A28="","",COUNTIFS('Quote Lines'!$B$5:$B$604,A28))</f>
        <v>0</v>
      </c>
      <c r="W28" s="34">
        <f>IF(A28="","",SUMIFS('Quote Lines'!$N$5:$N$604,'Quote Lines'!$B$5:$B$604,A28))</f>
        <v>0</v>
      </c>
      <c r="X28" s="21">
        <f>IF(A28="","",SUMIFS('Quote Lines'!$P$5:$P$604,'Quote Lines'!$B$5:$B$604,A28))</f>
        <v>0</v>
      </c>
      <c r="Y28" s="21">
        <f>IF(A28="","",ROUND(X28*IF(O28="",0,O28),2))</f>
        <v>0</v>
      </c>
      <c r="Z28" s="21">
        <f>IF(A28="","",X28-Y28)</f>
        <v>0</v>
      </c>
      <c r="AA28" s="21">
        <f>IF(A28="","",ROUND(Z28*TaxRate,2))</f>
        <v>0</v>
      </c>
      <c r="AB28" s="21">
        <f>IF(A28="","",Z28+AA28)</f>
        <v>0</v>
      </c>
      <c r="AC28" s="21">
        <f>IF(A28="","",IF(P28&lt;&gt;"",P28,ROUND(AB28*DepositPercent,2)))</f>
        <v>0</v>
      </c>
      <c r="AD28" s="21">
        <f>IF(A28="","",SUMIFS('Quote Lines'!$Q$5:$Q$604,'Quote Lines'!$B$5:$B$604,A28))</f>
        <v>0</v>
      </c>
      <c r="AE28" s="21">
        <f>IF(A28="","",Z28-AD28)</f>
        <v>0</v>
      </c>
      <c r="AF28" s="38">
        <f>IF(OR(A28="",Z28=0),"",AE28/Z28)</f>
        <v>0</v>
      </c>
      <c r="AG28" s="18">
        <f>IF(OR(A28="",B28=""),"",IF(Q28&lt;&gt;"",Q28,B28+QuoteValidDays))</f>
        <v>0</v>
      </c>
      <c r="AH28" s="31">
        <f>IF(OR(A28="",L28=""),"",IF(OR(K28="Accepted",K28="Declined"),"",TodayDate-L28))</f>
        <v>0</v>
      </c>
      <c r="AI28" s="50">
        <f>IF(OR(A28="",AG28=""),"",IF(AND(AG28&lt;TodayDate,K28&lt;&gt;"Accepted",K28&lt;&gt;"Declined"),"Yes","No"))</f>
        <v>0</v>
      </c>
      <c r="AJ28" s="50">
        <f>IF(B28="","",IF(K28="Accepted","Yes",IF(K28="Declined","No","")))</f>
        <v>0</v>
      </c>
      <c r="AK28" s="39">
        <f>IF(B28="","",IF(K28="Accepted",IF(R28="","Action - accepted, book the job","OK - won"),IF(K28="Declined","Closed",IF(V28=0,"Add - no lines on this quote yet",IF(K28="Draft","Draft - not sent",IF(AI28="Yes","Expired - re-quote or close",IF(AND(AH28&lt;&gt;"",AH28&gt;=QuoteFollowupDays),"Chase - "&amp;AH28&amp;" days with no answer","OK")))))))</f>
        <v>0</v>
      </c>
    </row>
    <row r="29" spans="1:37">
      <c r="A29" s="43">
        <f>IF(B29="","",QuotePrefix&amp;TEXT(ROW()-4,"0000"))</f>
        <v>0</v>
      </c>
      <c r="C29" s="23">
        <f>IF(B29="","",TEXT(B29,"yyyy-mm"))</f>
        <v>0</v>
      </c>
      <c r="E29" s="23">
        <f>IF(D29&lt;&gt;"",IFERROR(INDEX(Clients!$B$5:$B$204,MATCH(D29,Clients!$A$5:$A$204,0)),F29),F29)</f>
        <v>0</v>
      </c>
      <c r="V29" s="31">
        <f>IF(A29="","",COUNTIFS('Quote Lines'!$B$5:$B$604,A29))</f>
        <v>0</v>
      </c>
      <c r="W29" s="34">
        <f>IF(A29="","",SUMIFS('Quote Lines'!$N$5:$N$604,'Quote Lines'!$B$5:$B$604,A29))</f>
        <v>0</v>
      </c>
      <c r="X29" s="21">
        <f>IF(A29="","",SUMIFS('Quote Lines'!$P$5:$P$604,'Quote Lines'!$B$5:$B$604,A29))</f>
        <v>0</v>
      </c>
      <c r="Y29" s="21">
        <f>IF(A29="","",ROUND(X29*IF(O29="",0,O29),2))</f>
        <v>0</v>
      </c>
      <c r="Z29" s="21">
        <f>IF(A29="","",X29-Y29)</f>
        <v>0</v>
      </c>
      <c r="AA29" s="21">
        <f>IF(A29="","",ROUND(Z29*TaxRate,2))</f>
        <v>0</v>
      </c>
      <c r="AB29" s="21">
        <f>IF(A29="","",Z29+AA29)</f>
        <v>0</v>
      </c>
      <c r="AC29" s="21">
        <f>IF(A29="","",IF(P29&lt;&gt;"",P29,ROUND(AB29*DepositPercent,2)))</f>
        <v>0</v>
      </c>
      <c r="AD29" s="21">
        <f>IF(A29="","",SUMIFS('Quote Lines'!$Q$5:$Q$604,'Quote Lines'!$B$5:$B$604,A29))</f>
        <v>0</v>
      </c>
      <c r="AE29" s="21">
        <f>IF(A29="","",Z29-AD29)</f>
        <v>0</v>
      </c>
      <c r="AF29" s="38">
        <f>IF(OR(A29="",Z29=0),"",AE29/Z29)</f>
        <v>0</v>
      </c>
      <c r="AG29" s="18">
        <f>IF(OR(A29="",B29=""),"",IF(Q29&lt;&gt;"",Q29,B29+QuoteValidDays))</f>
        <v>0</v>
      </c>
      <c r="AH29" s="31">
        <f>IF(OR(A29="",L29=""),"",IF(OR(K29="Accepted",K29="Declined"),"",TodayDate-L29))</f>
        <v>0</v>
      </c>
      <c r="AI29" s="50">
        <f>IF(OR(A29="",AG29=""),"",IF(AND(AG29&lt;TodayDate,K29&lt;&gt;"Accepted",K29&lt;&gt;"Declined"),"Yes","No"))</f>
        <v>0</v>
      </c>
      <c r="AJ29" s="50">
        <f>IF(B29="","",IF(K29="Accepted","Yes",IF(K29="Declined","No","")))</f>
        <v>0</v>
      </c>
      <c r="AK29" s="39">
        <f>IF(B29="","",IF(K29="Accepted",IF(R29="","Action - accepted, book the job","OK - won"),IF(K29="Declined","Closed",IF(V29=0,"Add - no lines on this quote yet",IF(K29="Draft","Draft - not sent",IF(AI29="Yes","Expired - re-quote or close",IF(AND(AH29&lt;&gt;"",AH29&gt;=QuoteFollowupDays),"Chase - "&amp;AH29&amp;" days with no answer","OK")))))))</f>
        <v>0</v>
      </c>
    </row>
    <row r="30" spans="1:37">
      <c r="A30" s="43">
        <f>IF(B30="","",QuotePrefix&amp;TEXT(ROW()-4,"0000"))</f>
        <v>0</v>
      </c>
      <c r="C30" s="23">
        <f>IF(B30="","",TEXT(B30,"yyyy-mm"))</f>
        <v>0</v>
      </c>
      <c r="E30" s="23">
        <f>IF(D30&lt;&gt;"",IFERROR(INDEX(Clients!$B$5:$B$204,MATCH(D30,Clients!$A$5:$A$204,0)),F30),F30)</f>
        <v>0</v>
      </c>
      <c r="V30" s="31">
        <f>IF(A30="","",COUNTIFS('Quote Lines'!$B$5:$B$604,A30))</f>
        <v>0</v>
      </c>
      <c r="W30" s="34">
        <f>IF(A30="","",SUMIFS('Quote Lines'!$N$5:$N$604,'Quote Lines'!$B$5:$B$604,A30))</f>
        <v>0</v>
      </c>
      <c r="X30" s="21">
        <f>IF(A30="","",SUMIFS('Quote Lines'!$P$5:$P$604,'Quote Lines'!$B$5:$B$604,A30))</f>
        <v>0</v>
      </c>
      <c r="Y30" s="21">
        <f>IF(A30="","",ROUND(X30*IF(O30="",0,O30),2))</f>
        <v>0</v>
      </c>
      <c r="Z30" s="21">
        <f>IF(A30="","",X30-Y30)</f>
        <v>0</v>
      </c>
      <c r="AA30" s="21">
        <f>IF(A30="","",ROUND(Z30*TaxRate,2))</f>
        <v>0</v>
      </c>
      <c r="AB30" s="21">
        <f>IF(A30="","",Z30+AA30)</f>
        <v>0</v>
      </c>
      <c r="AC30" s="21">
        <f>IF(A30="","",IF(P30&lt;&gt;"",P30,ROUND(AB30*DepositPercent,2)))</f>
        <v>0</v>
      </c>
      <c r="AD30" s="21">
        <f>IF(A30="","",SUMIFS('Quote Lines'!$Q$5:$Q$604,'Quote Lines'!$B$5:$B$604,A30))</f>
        <v>0</v>
      </c>
      <c r="AE30" s="21">
        <f>IF(A30="","",Z30-AD30)</f>
        <v>0</v>
      </c>
      <c r="AF30" s="38">
        <f>IF(OR(A30="",Z30=0),"",AE30/Z30)</f>
        <v>0</v>
      </c>
      <c r="AG30" s="18">
        <f>IF(OR(A30="",B30=""),"",IF(Q30&lt;&gt;"",Q30,B30+QuoteValidDays))</f>
        <v>0</v>
      </c>
      <c r="AH30" s="31">
        <f>IF(OR(A30="",L30=""),"",IF(OR(K30="Accepted",K30="Declined"),"",TodayDate-L30))</f>
        <v>0</v>
      </c>
      <c r="AI30" s="50">
        <f>IF(OR(A30="",AG30=""),"",IF(AND(AG30&lt;TodayDate,K30&lt;&gt;"Accepted",K30&lt;&gt;"Declined"),"Yes","No"))</f>
        <v>0</v>
      </c>
      <c r="AJ30" s="50">
        <f>IF(B30="","",IF(K30="Accepted","Yes",IF(K30="Declined","No","")))</f>
        <v>0</v>
      </c>
      <c r="AK30" s="39">
        <f>IF(B30="","",IF(K30="Accepted",IF(R30="","Action - accepted, book the job","OK - won"),IF(K30="Declined","Closed",IF(V30=0,"Add - no lines on this quote yet",IF(K30="Draft","Draft - not sent",IF(AI30="Yes","Expired - re-quote or close",IF(AND(AH30&lt;&gt;"",AH30&gt;=QuoteFollowupDays),"Chase - "&amp;AH30&amp;" days with no answer","OK")))))))</f>
        <v>0</v>
      </c>
    </row>
    <row r="31" spans="1:37">
      <c r="A31" s="43">
        <f>IF(B31="","",QuotePrefix&amp;TEXT(ROW()-4,"0000"))</f>
        <v>0</v>
      </c>
      <c r="C31" s="23">
        <f>IF(B31="","",TEXT(B31,"yyyy-mm"))</f>
        <v>0</v>
      </c>
      <c r="E31" s="23">
        <f>IF(D31&lt;&gt;"",IFERROR(INDEX(Clients!$B$5:$B$204,MATCH(D31,Clients!$A$5:$A$204,0)),F31),F31)</f>
        <v>0</v>
      </c>
      <c r="V31" s="31">
        <f>IF(A31="","",COUNTIFS('Quote Lines'!$B$5:$B$604,A31))</f>
        <v>0</v>
      </c>
      <c r="W31" s="34">
        <f>IF(A31="","",SUMIFS('Quote Lines'!$N$5:$N$604,'Quote Lines'!$B$5:$B$604,A31))</f>
        <v>0</v>
      </c>
      <c r="X31" s="21">
        <f>IF(A31="","",SUMIFS('Quote Lines'!$P$5:$P$604,'Quote Lines'!$B$5:$B$604,A31))</f>
        <v>0</v>
      </c>
      <c r="Y31" s="21">
        <f>IF(A31="","",ROUND(X31*IF(O31="",0,O31),2))</f>
        <v>0</v>
      </c>
      <c r="Z31" s="21">
        <f>IF(A31="","",X31-Y31)</f>
        <v>0</v>
      </c>
      <c r="AA31" s="21">
        <f>IF(A31="","",ROUND(Z31*TaxRate,2))</f>
        <v>0</v>
      </c>
      <c r="AB31" s="21">
        <f>IF(A31="","",Z31+AA31)</f>
        <v>0</v>
      </c>
      <c r="AC31" s="21">
        <f>IF(A31="","",IF(P31&lt;&gt;"",P31,ROUND(AB31*DepositPercent,2)))</f>
        <v>0</v>
      </c>
      <c r="AD31" s="21">
        <f>IF(A31="","",SUMIFS('Quote Lines'!$Q$5:$Q$604,'Quote Lines'!$B$5:$B$604,A31))</f>
        <v>0</v>
      </c>
      <c r="AE31" s="21">
        <f>IF(A31="","",Z31-AD31)</f>
        <v>0</v>
      </c>
      <c r="AF31" s="38">
        <f>IF(OR(A31="",Z31=0),"",AE31/Z31)</f>
        <v>0</v>
      </c>
      <c r="AG31" s="18">
        <f>IF(OR(A31="",B31=""),"",IF(Q31&lt;&gt;"",Q31,B31+QuoteValidDays))</f>
        <v>0</v>
      </c>
      <c r="AH31" s="31">
        <f>IF(OR(A31="",L31=""),"",IF(OR(K31="Accepted",K31="Declined"),"",TodayDate-L31))</f>
        <v>0</v>
      </c>
      <c r="AI31" s="50">
        <f>IF(OR(A31="",AG31=""),"",IF(AND(AG31&lt;TodayDate,K31&lt;&gt;"Accepted",K31&lt;&gt;"Declined"),"Yes","No"))</f>
        <v>0</v>
      </c>
      <c r="AJ31" s="50">
        <f>IF(B31="","",IF(K31="Accepted","Yes",IF(K31="Declined","No","")))</f>
        <v>0</v>
      </c>
      <c r="AK31" s="39">
        <f>IF(B31="","",IF(K31="Accepted",IF(R31="","Action - accepted, book the job","OK - won"),IF(K31="Declined","Closed",IF(V31=0,"Add - no lines on this quote yet",IF(K31="Draft","Draft - not sent",IF(AI31="Yes","Expired - re-quote or close",IF(AND(AH31&lt;&gt;"",AH31&gt;=QuoteFollowupDays),"Chase - "&amp;AH31&amp;" days with no answer","OK")))))))</f>
        <v>0</v>
      </c>
    </row>
    <row r="32" spans="1:37">
      <c r="A32" s="43">
        <f>IF(B32="","",QuotePrefix&amp;TEXT(ROW()-4,"0000"))</f>
        <v>0</v>
      </c>
      <c r="C32" s="23">
        <f>IF(B32="","",TEXT(B32,"yyyy-mm"))</f>
        <v>0</v>
      </c>
      <c r="E32" s="23">
        <f>IF(D32&lt;&gt;"",IFERROR(INDEX(Clients!$B$5:$B$204,MATCH(D32,Clients!$A$5:$A$204,0)),F32),F32)</f>
        <v>0</v>
      </c>
      <c r="V32" s="31">
        <f>IF(A32="","",COUNTIFS('Quote Lines'!$B$5:$B$604,A32))</f>
        <v>0</v>
      </c>
      <c r="W32" s="34">
        <f>IF(A32="","",SUMIFS('Quote Lines'!$N$5:$N$604,'Quote Lines'!$B$5:$B$604,A32))</f>
        <v>0</v>
      </c>
      <c r="X32" s="21">
        <f>IF(A32="","",SUMIFS('Quote Lines'!$P$5:$P$604,'Quote Lines'!$B$5:$B$604,A32))</f>
        <v>0</v>
      </c>
      <c r="Y32" s="21">
        <f>IF(A32="","",ROUND(X32*IF(O32="",0,O32),2))</f>
        <v>0</v>
      </c>
      <c r="Z32" s="21">
        <f>IF(A32="","",X32-Y32)</f>
        <v>0</v>
      </c>
      <c r="AA32" s="21">
        <f>IF(A32="","",ROUND(Z32*TaxRate,2))</f>
        <v>0</v>
      </c>
      <c r="AB32" s="21">
        <f>IF(A32="","",Z32+AA32)</f>
        <v>0</v>
      </c>
      <c r="AC32" s="21">
        <f>IF(A32="","",IF(P32&lt;&gt;"",P32,ROUND(AB32*DepositPercent,2)))</f>
        <v>0</v>
      </c>
      <c r="AD32" s="21">
        <f>IF(A32="","",SUMIFS('Quote Lines'!$Q$5:$Q$604,'Quote Lines'!$B$5:$B$604,A32))</f>
        <v>0</v>
      </c>
      <c r="AE32" s="21">
        <f>IF(A32="","",Z32-AD32)</f>
        <v>0</v>
      </c>
      <c r="AF32" s="38">
        <f>IF(OR(A32="",Z32=0),"",AE32/Z32)</f>
        <v>0</v>
      </c>
      <c r="AG32" s="18">
        <f>IF(OR(A32="",B32=""),"",IF(Q32&lt;&gt;"",Q32,B32+QuoteValidDays))</f>
        <v>0</v>
      </c>
      <c r="AH32" s="31">
        <f>IF(OR(A32="",L32=""),"",IF(OR(K32="Accepted",K32="Declined"),"",TodayDate-L32))</f>
        <v>0</v>
      </c>
      <c r="AI32" s="50">
        <f>IF(OR(A32="",AG32=""),"",IF(AND(AG32&lt;TodayDate,K32&lt;&gt;"Accepted",K32&lt;&gt;"Declined"),"Yes","No"))</f>
        <v>0</v>
      </c>
      <c r="AJ32" s="50">
        <f>IF(B32="","",IF(K32="Accepted","Yes",IF(K32="Declined","No","")))</f>
        <v>0</v>
      </c>
      <c r="AK32" s="39">
        <f>IF(B32="","",IF(K32="Accepted",IF(R32="","Action - accepted, book the job","OK - won"),IF(K32="Declined","Closed",IF(V32=0,"Add - no lines on this quote yet",IF(K32="Draft","Draft - not sent",IF(AI32="Yes","Expired - re-quote or close",IF(AND(AH32&lt;&gt;"",AH32&gt;=QuoteFollowupDays),"Chase - "&amp;AH32&amp;" days with no answer","OK")))))))</f>
        <v>0</v>
      </c>
    </row>
    <row r="33" spans="1:37">
      <c r="A33" s="43">
        <f>IF(B33="","",QuotePrefix&amp;TEXT(ROW()-4,"0000"))</f>
        <v>0</v>
      </c>
      <c r="C33" s="23">
        <f>IF(B33="","",TEXT(B33,"yyyy-mm"))</f>
        <v>0</v>
      </c>
      <c r="E33" s="23">
        <f>IF(D33&lt;&gt;"",IFERROR(INDEX(Clients!$B$5:$B$204,MATCH(D33,Clients!$A$5:$A$204,0)),F33),F33)</f>
        <v>0</v>
      </c>
      <c r="V33" s="31">
        <f>IF(A33="","",COUNTIFS('Quote Lines'!$B$5:$B$604,A33))</f>
        <v>0</v>
      </c>
      <c r="W33" s="34">
        <f>IF(A33="","",SUMIFS('Quote Lines'!$N$5:$N$604,'Quote Lines'!$B$5:$B$604,A33))</f>
        <v>0</v>
      </c>
      <c r="X33" s="21">
        <f>IF(A33="","",SUMIFS('Quote Lines'!$P$5:$P$604,'Quote Lines'!$B$5:$B$604,A33))</f>
        <v>0</v>
      </c>
      <c r="Y33" s="21">
        <f>IF(A33="","",ROUND(X33*IF(O33="",0,O33),2))</f>
        <v>0</v>
      </c>
      <c r="Z33" s="21">
        <f>IF(A33="","",X33-Y33)</f>
        <v>0</v>
      </c>
      <c r="AA33" s="21">
        <f>IF(A33="","",ROUND(Z33*TaxRate,2))</f>
        <v>0</v>
      </c>
      <c r="AB33" s="21">
        <f>IF(A33="","",Z33+AA33)</f>
        <v>0</v>
      </c>
      <c r="AC33" s="21">
        <f>IF(A33="","",IF(P33&lt;&gt;"",P33,ROUND(AB33*DepositPercent,2)))</f>
        <v>0</v>
      </c>
      <c r="AD33" s="21">
        <f>IF(A33="","",SUMIFS('Quote Lines'!$Q$5:$Q$604,'Quote Lines'!$B$5:$B$604,A33))</f>
        <v>0</v>
      </c>
      <c r="AE33" s="21">
        <f>IF(A33="","",Z33-AD33)</f>
        <v>0</v>
      </c>
      <c r="AF33" s="38">
        <f>IF(OR(A33="",Z33=0),"",AE33/Z33)</f>
        <v>0</v>
      </c>
      <c r="AG33" s="18">
        <f>IF(OR(A33="",B33=""),"",IF(Q33&lt;&gt;"",Q33,B33+QuoteValidDays))</f>
        <v>0</v>
      </c>
      <c r="AH33" s="31">
        <f>IF(OR(A33="",L33=""),"",IF(OR(K33="Accepted",K33="Declined"),"",TodayDate-L33))</f>
        <v>0</v>
      </c>
      <c r="AI33" s="50">
        <f>IF(OR(A33="",AG33=""),"",IF(AND(AG33&lt;TodayDate,K33&lt;&gt;"Accepted",K33&lt;&gt;"Declined"),"Yes","No"))</f>
        <v>0</v>
      </c>
      <c r="AJ33" s="50">
        <f>IF(B33="","",IF(K33="Accepted","Yes",IF(K33="Declined","No","")))</f>
        <v>0</v>
      </c>
      <c r="AK33" s="39">
        <f>IF(B33="","",IF(K33="Accepted",IF(R33="","Action - accepted, book the job","OK - won"),IF(K33="Declined","Closed",IF(V33=0,"Add - no lines on this quote yet",IF(K33="Draft","Draft - not sent",IF(AI33="Yes","Expired - re-quote or close",IF(AND(AH33&lt;&gt;"",AH33&gt;=QuoteFollowupDays),"Chase - "&amp;AH33&amp;" days with no answer","OK")))))))</f>
        <v>0</v>
      </c>
    </row>
    <row r="34" spans="1:37">
      <c r="A34" s="43">
        <f>IF(B34="","",QuotePrefix&amp;TEXT(ROW()-4,"0000"))</f>
        <v>0</v>
      </c>
      <c r="C34" s="23">
        <f>IF(B34="","",TEXT(B34,"yyyy-mm"))</f>
        <v>0</v>
      </c>
      <c r="E34" s="23">
        <f>IF(D34&lt;&gt;"",IFERROR(INDEX(Clients!$B$5:$B$204,MATCH(D34,Clients!$A$5:$A$204,0)),F34),F34)</f>
        <v>0</v>
      </c>
      <c r="V34" s="31">
        <f>IF(A34="","",COUNTIFS('Quote Lines'!$B$5:$B$604,A34))</f>
        <v>0</v>
      </c>
      <c r="W34" s="34">
        <f>IF(A34="","",SUMIFS('Quote Lines'!$N$5:$N$604,'Quote Lines'!$B$5:$B$604,A34))</f>
        <v>0</v>
      </c>
      <c r="X34" s="21">
        <f>IF(A34="","",SUMIFS('Quote Lines'!$P$5:$P$604,'Quote Lines'!$B$5:$B$604,A34))</f>
        <v>0</v>
      </c>
      <c r="Y34" s="21">
        <f>IF(A34="","",ROUND(X34*IF(O34="",0,O34),2))</f>
        <v>0</v>
      </c>
      <c r="Z34" s="21">
        <f>IF(A34="","",X34-Y34)</f>
        <v>0</v>
      </c>
      <c r="AA34" s="21">
        <f>IF(A34="","",ROUND(Z34*TaxRate,2))</f>
        <v>0</v>
      </c>
      <c r="AB34" s="21">
        <f>IF(A34="","",Z34+AA34)</f>
        <v>0</v>
      </c>
      <c r="AC34" s="21">
        <f>IF(A34="","",IF(P34&lt;&gt;"",P34,ROUND(AB34*DepositPercent,2)))</f>
        <v>0</v>
      </c>
      <c r="AD34" s="21">
        <f>IF(A34="","",SUMIFS('Quote Lines'!$Q$5:$Q$604,'Quote Lines'!$B$5:$B$604,A34))</f>
        <v>0</v>
      </c>
      <c r="AE34" s="21">
        <f>IF(A34="","",Z34-AD34)</f>
        <v>0</v>
      </c>
      <c r="AF34" s="38">
        <f>IF(OR(A34="",Z34=0),"",AE34/Z34)</f>
        <v>0</v>
      </c>
      <c r="AG34" s="18">
        <f>IF(OR(A34="",B34=""),"",IF(Q34&lt;&gt;"",Q34,B34+QuoteValidDays))</f>
        <v>0</v>
      </c>
      <c r="AH34" s="31">
        <f>IF(OR(A34="",L34=""),"",IF(OR(K34="Accepted",K34="Declined"),"",TodayDate-L34))</f>
        <v>0</v>
      </c>
      <c r="AI34" s="50">
        <f>IF(OR(A34="",AG34=""),"",IF(AND(AG34&lt;TodayDate,K34&lt;&gt;"Accepted",K34&lt;&gt;"Declined"),"Yes","No"))</f>
        <v>0</v>
      </c>
      <c r="AJ34" s="50">
        <f>IF(B34="","",IF(K34="Accepted","Yes",IF(K34="Declined","No","")))</f>
        <v>0</v>
      </c>
      <c r="AK34" s="39">
        <f>IF(B34="","",IF(K34="Accepted",IF(R34="","Action - accepted, book the job","OK - won"),IF(K34="Declined","Closed",IF(V34=0,"Add - no lines on this quote yet",IF(K34="Draft","Draft - not sent",IF(AI34="Yes","Expired - re-quote or close",IF(AND(AH34&lt;&gt;"",AH34&gt;=QuoteFollowupDays),"Chase - "&amp;AH34&amp;" days with no answer","OK")))))))</f>
        <v>0</v>
      </c>
    </row>
    <row r="35" spans="1:37">
      <c r="A35" s="43">
        <f>IF(B35="","",QuotePrefix&amp;TEXT(ROW()-4,"0000"))</f>
        <v>0</v>
      </c>
      <c r="C35" s="23">
        <f>IF(B35="","",TEXT(B35,"yyyy-mm"))</f>
        <v>0</v>
      </c>
      <c r="E35" s="23">
        <f>IF(D35&lt;&gt;"",IFERROR(INDEX(Clients!$B$5:$B$204,MATCH(D35,Clients!$A$5:$A$204,0)),F35),F35)</f>
        <v>0</v>
      </c>
      <c r="V35" s="31">
        <f>IF(A35="","",COUNTIFS('Quote Lines'!$B$5:$B$604,A35))</f>
        <v>0</v>
      </c>
      <c r="W35" s="34">
        <f>IF(A35="","",SUMIFS('Quote Lines'!$N$5:$N$604,'Quote Lines'!$B$5:$B$604,A35))</f>
        <v>0</v>
      </c>
      <c r="X35" s="21">
        <f>IF(A35="","",SUMIFS('Quote Lines'!$P$5:$P$604,'Quote Lines'!$B$5:$B$604,A35))</f>
        <v>0</v>
      </c>
      <c r="Y35" s="21">
        <f>IF(A35="","",ROUND(X35*IF(O35="",0,O35),2))</f>
        <v>0</v>
      </c>
      <c r="Z35" s="21">
        <f>IF(A35="","",X35-Y35)</f>
        <v>0</v>
      </c>
      <c r="AA35" s="21">
        <f>IF(A35="","",ROUND(Z35*TaxRate,2))</f>
        <v>0</v>
      </c>
      <c r="AB35" s="21">
        <f>IF(A35="","",Z35+AA35)</f>
        <v>0</v>
      </c>
      <c r="AC35" s="21">
        <f>IF(A35="","",IF(P35&lt;&gt;"",P35,ROUND(AB35*DepositPercent,2)))</f>
        <v>0</v>
      </c>
      <c r="AD35" s="21">
        <f>IF(A35="","",SUMIFS('Quote Lines'!$Q$5:$Q$604,'Quote Lines'!$B$5:$B$604,A35))</f>
        <v>0</v>
      </c>
      <c r="AE35" s="21">
        <f>IF(A35="","",Z35-AD35)</f>
        <v>0</v>
      </c>
      <c r="AF35" s="38">
        <f>IF(OR(A35="",Z35=0),"",AE35/Z35)</f>
        <v>0</v>
      </c>
      <c r="AG35" s="18">
        <f>IF(OR(A35="",B35=""),"",IF(Q35&lt;&gt;"",Q35,B35+QuoteValidDays))</f>
        <v>0</v>
      </c>
      <c r="AH35" s="31">
        <f>IF(OR(A35="",L35=""),"",IF(OR(K35="Accepted",K35="Declined"),"",TodayDate-L35))</f>
        <v>0</v>
      </c>
      <c r="AI35" s="50">
        <f>IF(OR(A35="",AG35=""),"",IF(AND(AG35&lt;TodayDate,K35&lt;&gt;"Accepted",K35&lt;&gt;"Declined"),"Yes","No"))</f>
        <v>0</v>
      </c>
      <c r="AJ35" s="50">
        <f>IF(B35="","",IF(K35="Accepted","Yes",IF(K35="Declined","No","")))</f>
        <v>0</v>
      </c>
      <c r="AK35" s="39">
        <f>IF(B35="","",IF(K35="Accepted",IF(R35="","Action - accepted, book the job","OK - won"),IF(K35="Declined","Closed",IF(V35=0,"Add - no lines on this quote yet",IF(K35="Draft","Draft - not sent",IF(AI35="Yes","Expired - re-quote or close",IF(AND(AH35&lt;&gt;"",AH35&gt;=QuoteFollowupDays),"Chase - "&amp;AH35&amp;" days with no answer","OK")))))))</f>
        <v>0</v>
      </c>
    </row>
    <row r="36" spans="1:37">
      <c r="A36" s="43">
        <f>IF(B36="","",QuotePrefix&amp;TEXT(ROW()-4,"0000"))</f>
        <v>0</v>
      </c>
      <c r="C36" s="23">
        <f>IF(B36="","",TEXT(B36,"yyyy-mm"))</f>
        <v>0</v>
      </c>
      <c r="E36" s="23">
        <f>IF(D36&lt;&gt;"",IFERROR(INDEX(Clients!$B$5:$B$204,MATCH(D36,Clients!$A$5:$A$204,0)),F36),F36)</f>
        <v>0</v>
      </c>
      <c r="V36" s="31">
        <f>IF(A36="","",COUNTIFS('Quote Lines'!$B$5:$B$604,A36))</f>
        <v>0</v>
      </c>
      <c r="W36" s="34">
        <f>IF(A36="","",SUMIFS('Quote Lines'!$N$5:$N$604,'Quote Lines'!$B$5:$B$604,A36))</f>
        <v>0</v>
      </c>
      <c r="X36" s="21">
        <f>IF(A36="","",SUMIFS('Quote Lines'!$P$5:$P$604,'Quote Lines'!$B$5:$B$604,A36))</f>
        <v>0</v>
      </c>
      <c r="Y36" s="21">
        <f>IF(A36="","",ROUND(X36*IF(O36="",0,O36),2))</f>
        <v>0</v>
      </c>
      <c r="Z36" s="21">
        <f>IF(A36="","",X36-Y36)</f>
        <v>0</v>
      </c>
      <c r="AA36" s="21">
        <f>IF(A36="","",ROUND(Z36*TaxRate,2))</f>
        <v>0</v>
      </c>
      <c r="AB36" s="21">
        <f>IF(A36="","",Z36+AA36)</f>
        <v>0</v>
      </c>
      <c r="AC36" s="21">
        <f>IF(A36="","",IF(P36&lt;&gt;"",P36,ROUND(AB36*DepositPercent,2)))</f>
        <v>0</v>
      </c>
      <c r="AD36" s="21">
        <f>IF(A36="","",SUMIFS('Quote Lines'!$Q$5:$Q$604,'Quote Lines'!$B$5:$B$604,A36))</f>
        <v>0</v>
      </c>
      <c r="AE36" s="21">
        <f>IF(A36="","",Z36-AD36)</f>
        <v>0</v>
      </c>
      <c r="AF36" s="38">
        <f>IF(OR(A36="",Z36=0),"",AE36/Z36)</f>
        <v>0</v>
      </c>
      <c r="AG36" s="18">
        <f>IF(OR(A36="",B36=""),"",IF(Q36&lt;&gt;"",Q36,B36+QuoteValidDays))</f>
        <v>0</v>
      </c>
      <c r="AH36" s="31">
        <f>IF(OR(A36="",L36=""),"",IF(OR(K36="Accepted",K36="Declined"),"",TodayDate-L36))</f>
        <v>0</v>
      </c>
      <c r="AI36" s="50">
        <f>IF(OR(A36="",AG36=""),"",IF(AND(AG36&lt;TodayDate,K36&lt;&gt;"Accepted",K36&lt;&gt;"Declined"),"Yes","No"))</f>
        <v>0</v>
      </c>
      <c r="AJ36" s="50">
        <f>IF(B36="","",IF(K36="Accepted","Yes",IF(K36="Declined","No","")))</f>
        <v>0</v>
      </c>
      <c r="AK36" s="39">
        <f>IF(B36="","",IF(K36="Accepted",IF(R36="","Action - accepted, book the job","OK - won"),IF(K36="Declined","Closed",IF(V36=0,"Add - no lines on this quote yet",IF(K36="Draft","Draft - not sent",IF(AI36="Yes","Expired - re-quote or close",IF(AND(AH36&lt;&gt;"",AH36&gt;=QuoteFollowupDays),"Chase - "&amp;AH36&amp;" days with no answer","OK")))))))</f>
        <v>0</v>
      </c>
    </row>
    <row r="37" spans="1:37">
      <c r="A37" s="43">
        <f>IF(B37="","",QuotePrefix&amp;TEXT(ROW()-4,"0000"))</f>
        <v>0</v>
      </c>
      <c r="C37" s="23">
        <f>IF(B37="","",TEXT(B37,"yyyy-mm"))</f>
        <v>0</v>
      </c>
      <c r="E37" s="23">
        <f>IF(D37&lt;&gt;"",IFERROR(INDEX(Clients!$B$5:$B$204,MATCH(D37,Clients!$A$5:$A$204,0)),F37),F37)</f>
        <v>0</v>
      </c>
      <c r="V37" s="31">
        <f>IF(A37="","",COUNTIFS('Quote Lines'!$B$5:$B$604,A37))</f>
        <v>0</v>
      </c>
      <c r="W37" s="34">
        <f>IF(A37="","",SUMIFS('Quote Lines'!$N$5:$N$604,'Quote Lines'!$B$5:$B$604,A37))</f>
        <v>0</v>
      </c>
      <c r="X37" s="21">
        <f>IF(A37="","",SUMIFS('Quote Lines'!$P$5:$P$604,'Quote Lines'!$B$5:$B$604,A37))</f>
        <v>0</v>
      </c>
      <c r="Y37" s="21">
        <f>IF(A37="","",ROUND(X37*IF(O37="",0,O37),2))</f>
        <v>0</v>
      </c>
      <c r="Z37" s="21">
        <f>IF(A37="","",X37-Y37)</f>
        <v>0</v>
      </c>
      <c r="AA37" s="21">
        <f>IF(A37="","",ROUND(Z37*TaxRate,2))</f>
        <v>0</v>
      </c>
      <c r="AB37" s="21">
        <f>IF(A37="","",Z37+AA37)</f>
        <v>0</v>
      </c>
      <c r="AC37" s="21">
        <f>IF(A37="","",IF(P37&lt;&gt;"",P37,ROUND(AB37*DepositPercent,2)))</f>
        <v>0</v>
      </c>
      <c r="AD37" s="21">
        <f>IF(A37="","",SUMIFS('Quote Lines'!$Q$5:$Q$604,'Quote Lines'!$B$5:$B$604,A37))</f>
        <v>0</v>
      </c>
      <c r="AE37" s="21">
        <f>IF(A37="","",Z37-AD37)</f>
        <v>0</v>
      </c>
      <c r="AF37" s="38">
        <f>IF(OR(A37="",Z37=0),"",AE37/Z37)</f>
        <v>0</v>
      </c>
      <c r="AG37" s="18">
        <f>IF(OR(A37="",B37=""),"",IF(Q37&lt;&gt;"",Q37,B37+QuoteValidDays))</f>
        <v>0</v>
      </c>
      <c r="AH37" s="31">
        <f>IF(OR(A37="",L37=""),"",IF(OR(K37="Accepted",K37="Declined"),"",TodayDate-L37))</f>
        <v>0</v>
      </c>
      <c r="AI37" s="50">
        <f>IF(OR(A37="",AG37=""),"",IF(AND(AG37&lt;TodayDate,K37&lt;&gt;"Accepted",K37&lt;&gt;"Declined"),"Yes","No"))</f>
        <v>0</v>
      </c>
      <c r="AJ37" s="50">
        <f>IF(B37="","",IF(K37="Accepted","Yes",IF(K37="Declined","No","")))</f>
        <v>0</v>
      </c>
      <c r="AK37" s="39">
        <f>IF(B37="","",IF(K37="Accepted",IF(R37="","Action - accepted, book the job","OK - won"),IF(K37="Declined","Closed",IF(V37=0,"Add - no lines on this quote yet",IF(K37="Draft","Draft - not sent",IF(AI37="Yes","Expired - re-quote or close",IF(AND(AH37&lt;&gt;"",AH37&gt;=QuoteFollowupDays),"Chase - "&amp;AH37&amp;" days with no answer","OK")))))))</f>
        <v>0</v>
      </c>
    </row>
    <row r="38" spans="1:37">
      <c r="A38" s="43">
        <f>IF(B38="","",QuotePrefix&amp;TEXT(ROW()-4,"0000"))</f>
        <v>0</v>
      </c>
      <c r="C38" s="23">
        <f>IF(B38="","",TEXT(B38,"yyyy-mm"))</f>
        <v>0</v>
      </c>
      <c r="E38" s="23">
        <f>IF(D38&lt;&gt;"",IFERROR(INDEX(Clients!$B$5:$B$204,MATCH(D38,Clients!$A$5:$A$204,0)),F38),F38)</f>
        <v>0</v>
      </c>
      <c r="V38" s="31">
        <f>IF(A38="","",COUNTIFS('Quote Lines'!$B$5:$B$604,A38))</f>
        <v>0</v>
      </c>
      <c r="W38" s="34">
        <f>IF(A38="","",SUMIFS('Quote Lines'!$N$5:$N$604,'Quote Lines'!$B$5:$B$604,A38))</f>
        <v>0</v>
      </c>
      <c r="X38" s="21">
        <f>IF(A38="","",SUMIFS('Quote Lines'!$P$5:$P$604,'Quote Lines'!$B$5:$B$604,A38))</f>
        <v>0</v>
      </c>
      <c r="Y38" s="21">
        <f>IF(A38="","",ROUND(X38*IF(O38="",0,O38),2))</f>
        <v>0</v>
      </c>
      <c r="Z38" s="21">
        <f>IF(A38="","",X38-Y38)</f>
        <v>0</v>
      </c>
      <c r="AA38" s="21">
        <f>IF(A38="","",ROUND(Z38*TaxRate,2))</f>
        <v>0</v>
      </c>
      <c r="AB38" s="21">
        <f>IF(A38="","",Z38+AA38)</f>
        <v>0</v>
      </c>
      <c r="AC38" s="21">
        <f>IF(A38="","",IF(P38&lt;&gt;"",P38,ROUND(AB38*DepositPercent,2)))</f>
        <v>0</v>
      </c>
      <c r="AD38" s="21">
        <f>IF(A38="","",SUMIFS('Quote Lines'!$Q$5:$Q$604,'Quote Lines'!$B$5:$B$604,A38))</f>
        <v>0</v>
      </c>
      <c r="AE38" s="21">
        <f>IF(A38="","",Z38-AD38)</f>
        <v>0</v>
      </c>
      <c r="AF38" s="38">
        <f>IF(OR(A38="",Z38=0),"",AE38/Z38)</f>
        <v>0</v>
      </c>
      <c r="AG38" s="18">
        <f>IF(OR(A38="",B38=""),"",IF(Q38&lt;&gt;"",Q38,B38+QuoteValidDays))</f>
        <v>0</v>
      </c>
      <c r="AH38" s="31">
        <f>IF(OR(A38="",L38=""),"",IF(OR(K38="Accepted",K38="Declined"),"",TodayDate-L38))</f>
        <v>0</v>
      </c>
      <c r="AI38" s="50">
        <f>IF(OR(A38="",AG38=""),"",IF(AND(AG38&lt;TodayDate,K38&lt;&gt;"Accepted",K38&lt;&gt;"Declined"),"Yes","No"))</f>
        <v>0</v>
      </c>
      <c r="AJ38" s="50">
        <f>IF(B38="","",IF(K38="Accepted","Yes",IF(K38="Declined","No","")))</f>
        <v>0</v>
      </c>
      <c r="AK38" s="39">
        <f>IF(B38="","",IF(K38="Accepted",IF(R38="","Action - accepted, book the job","OK - won"),IF(K38="Declined","Closed",IF(V38=0,"Add - no lines on this quote yet",IF(K38="Draft","Draft - not sent",IF(AI38="Yes","Expired - re-quote or close",IF(AND(AH38&lt;&gt;"",AH38&gt;=QuoteFollowupDays),"Chase - "&amp;AH38&amp;" days with no answer","OK")))))))</f>
        <v>0</v>
      </c>
    </row>
    <row r="39" spans="1:37">
      <c r="A39" s="43">
        <f>IF(B39="","",QuotePrefix&amp;TEXT(ROW()-4,"0000"))</f>
        <v>0</v>
      </c>
      <c r="C39" s="23">
        <f>IF(B39="","",TEXT(B39,"yyyy-mm"))</f>
        <v>0</v>
      </c>
      <c r="E39" s="23">
        <f>IF(D39&lt;&gt;"",IFERROR(INDEX(Clients!$B$5:$B$204,MATCH(D39,Clients!$A$5:$A$204,0)),F39),F39)</f>
        <v>0</v>
      </c>
      <c r="V39" s="31">
        <f>IF(A39="","",COUNTIFS('Quote Lines'!$B$5:$B$604,A39))</f>
        <v>0</v>
      </c>
      <c r="W39" s="34">
        <f>IF(A39="","",SUMIFS('Quote Lines'!$N$5:$N$604,'Quote Lines'!$B$5:$B$604,A39))</f>
        <v>0</v>
      </c>
      <c r="X39" s="21">
        <f>IF(A39="","",SUMIFS('Quote Lines'!$P$5:$P$604,'Quote Lines'!$B$5:$B$604,A39))</f>
        <v>0</v>
      </c>
      <c r="Y39" s="21">
        <f>IF(A39="","",ROUND(X39*IF(O39="",0,O39),2))</f>
        <v>0</v>
      </c>
      <c r="Z39" s="21">
        <f>IF(A39="","",X39-Y39)</f>
        <v>0</v>
      </c>
      <c r="AA39" s="21">
        <f>IF(A39="","",ROUND(Z39*TaxRate,2))</f>
        <v>0</v>
      </c>
      <c r="AB39" s="21">
        <f>IF(A39="","",Z39+AA39)</f>
        <v>0</v>
      </c>
      <c r="AC39" s="21">
        <f>IF(A39="","",IF(P39&lt;&gt;"",P39,ROUND(AB39*DepositPercent,2)))</f>
        <v>0</v>
      </c>
      <c r="AD39" s="21">
        <f>IF(A39="","",SUMIFS('Quote Lines'!$Q$5:$Q$604,'Quote Lines'!$B$5:$B$604,A39))</f>
        <v>0</v>
      </c>
      <c r="AE39" s="21">
        <f>IF(A39="","",Z39-AD39)</f>
        <v>0</v>
      </c>
      <c r="AF39" s="38">
        <f>IF(OR(A39="",Z39=0),"",AE39/Z39)</f>
        <v>0</v>
      </c>
      <c r="AG39" s="18">
        <f>IF(OR(A39="",B39=""),"",IF(Q39&lt;&gt;"",Q39,B39+QuoteValidDays))</f>
        <v>0</v>
      </c>
      <c r="AH39" s="31">
        <f>IF(OR(A39="",L39=""),"",IF(OR(K39="Accepted",K39="Declined"),"",TodayDate-L39))</f>
        <v>0</v>
      </c>
      <c r="AI39" s="50">
        <f>IF(OR(A39="",AG39=""),"",IF(AND(AG39&lt;TodayDate,K39&lt;&gt;"Accepted",K39&lt;&gt;"Declined"),"Yes","No"))</f>
        <v>0</v>
      </c>
      <c r="AJ39" s="50">
        <f>IF(B39="","",IF(K39="Accepted","Yes",IF(K39="Declined","No","")))</f>
        <v>0</v>
      </c>
      <c r="AK39" s="39">
        <f>IF(B39="","",IF(K39="Accepted",IF(R39="","Action - accepted, book the job","OK - won"),IF(K39="Declined","Closed",IF(V39=0,"Add - no lines on this quote yet",IF(K39="Draft","Draft - not sent",IF(AI39="Yes","Expired - re-quote or close",IF(AND(AH39&lt;&gt;"",AH39&gt;=QuoteFollowupDays),"Chase - "&amp;AH39&amp;" days with no answer","OK")))))))</f>
        <v>0</v>
      </c>
    </row>
    <row r="40" spans="1:37">
      <c r="A40" s="43">
        <f>IF(B40="","",QuotePrefix&amp;TEXT(ROW()-4,"0000"))</f>
        <v>0</v>
      </c>
      <c r="C40" s="23">
        <f>IF(B40="","",TEXT(B40,"yyyy-mm"))</f>
        <v>0</v>
      </c>
      <c r="E40" s="23">
        <f>IF(D40&lt;&gt;"",IFERROR(INDEX(Clients!$B$5:$B$204,MATCH(D40,Clients!$A$5:$A$204,0)),F40),F40)</f>
        <v>0</v>
      </c>
      <c r="V40" s="31">
        <f>IF(A40="","",COUNTIFS('Quote Lines'!$B$5:$B$604,A40))</f>
        <v>0</v>
      </c>
      <c r="W40" s="34">
        <f>IF(A40="","",SUMIFS('Quote Lines'!$N$5:$N$604,'Quote Lines'!$B$5:$B$604,A40))</f>
        <v>0</v>
      </c>
      <c r="X40" s="21">
        <f>IF(A40="","",SUMIFS('Quote Lines'!$P$5:$P$604,'Quote Lines'!$B$5:$B$604,A40))</f>
        <v>0</v>
      </c>
      <c r="Y40" s="21">
        <f>IF(A40="","",ROUND(X40*IF(O40="",0,O40),2))</f>
        <v>0</v>
      </c>
      <c r="Z40" s="21">
        <f>IF(A40="","",X40-Y40)</f>
        <v>0</v>
      </c>
      <c r="AA40" s="21">
        <f>IF(A40="","",ROUND(Z40*TaxRate,2))</f>
        <v>0</v>
      </c>
      <c r="AB40" s="21">
        <f>IF(A40="","",Z40+AA40)</f>
        <v>0</v>
      </c>
      <c r="AC40" s="21">
        <f>IF(A40="","",IF(P40&lt;&gt;"",P40,ROUND(AB40*DepositPercent,2)))</f>
        <v>0</v>
      </c>
      <c r="AD40" s="21">
        <f>IF(A40="","",SUMIFS('Quote Lines'!$Q$5:$Q$604,'Quote Lines'!$B$5:$B$604,A40))</f>
        <v>0</v>
      </c>
      <c r="AE40" s="21">
        <f>IF(A40="","",Z40-AD40)</f>
        <v>0</v>
      </c>
      <c r="AF40" s="38">
        <f>IF(OR(A40="",Z40=0),"",AE40/Z40)</f>
        <v>0</v>
      </c>
      <c r="AG40" s="18">
        <f>IF(OR(A40="",B40=""),"",IF(Q40&lt;&gt;"",Q40,B40+QuoteValidDays))</f>
        <v>0</v>
      </c>
      <c r="AH40" s="31">
        <f>IF(OR(A40="",L40=""),"",IF(OR(K40="Accepted",K40="Declined"),"",TodayDate-L40))</f>
        <v>0</v>
      </c>
      <c r="AI40" s="50">
        <f>IF(OR(A40="",AG40=""),"",IF(AND(AG40&lt;TodayDate,K40&lt;&gt;"Accepted",K40&lt;&gt;"Declined"),"Yes","No"))</f>
        <v>0</v>
      </c>
      <c r="AJ40" s="50">
        <f>IF(B40="","",IF(K40="Accepted","Yes",IF(K40="Declined","No","")))</f>
        <v>0</v>
      </c>
      <c r="AK40" s="39">
        <f>IF(B40="","",IF(K40="Accepted",IF(R40="","Action - accepted, book the job","OK - won"),IF(K40="Declined","Closed",IF(V40=0,"Add - no lines on this quote yet",IF(K40="Draft","Draft - not sent",IF(AI40="Yes","Expired - re-quote or close",IF(AND(AH40&lt;&gt;"",AH40&gt;=QuoteFollowupDays),"Chase - "&amp;AH40&amp;" days with no answer","OK")))))))</f>
        <v>0</v>
      </c>
    </row>
    <row r="41" spans="1:37">
      <c r="A41" s="43">
        <f>IF(B41="","",QuotePrefix&amp;TEXT(ROW()-4,"0000"))</f>
        <v>0</v>
      </c>
      <c r="C41" s="23">
        <f>IF(B41="","",TEXT(B41,"yyyy-mm"))</f>
        <v>0</v>
      </c>
      <c r="E41" s="23">
        <f>IF(D41&lt;&gt;"",IFERROR(INDEX(Clients!$B$5:$B$204,MATCH(D41,Clients!$A$5:$A$204,0)),F41),F41)</f>
        <v>0</v>
      </c>
      <c r="V41" s="31">
        <f>IF(A41="","",COUNTIFS('Quote Lines'!$B$5:$B$604,A41))</f>
        <v>0</v>
      </c>
      <c r="W41" s="34">
        <f>IF(A41="","",SUMIFS('Quote Lines'!$N$5:$N$604,'Quote Lines'!$B$5:$B$604,A41))</f>
        <v>0</v>
      </c>
      <c r="X41" s="21">
        <f>IF(A41="","",SUMIFS('Quote Lines'!$P$5:$P$604,'Quote Lines'!$B$5:$B$604,A41))</f>
        <v>0</v>
      </c>
      <c r="Y41" s="21">
        <f>IF(A41="","",ROUND(X41*IF(O41="",0,O41),2))</f>
        <v>0</v>
      </c>
      <c r="Z41" s="21">
        <f>IF(A41="","",X41-Y41)</f>
        <v>0</v>
      </c>
      <c r="AA41" s="21">
        <f>IF(A41="","",ROUND(Z41*TaxRate,2))</f>
        <v>0</v>
      </c>
      <c r="AB41" s="21">
        <f>IF(A41="","",Z41+AA41)</f>
        <v>0</v>
      </c>
      <c r="AC41" s="21">
        <f>IF(A41="","",IF(P41&lt;&gt;"",P41,ROUND(AB41*DepositPercent,2)))</f>
        <v>0</v>
      </c>
      <c r="AD41" s="21">
        <f>IF(A41="","",SUMIFS('Quote Lines'!$Q$5:$Q$604,'Quote Lines'!$B$5:$B$604,A41))</f>
        <v>0</v>
      </c>
      <c r="AE41" s="21">
        <f>IF(A41="","",Z41-AD41)</f>
        <v>0</v>
      </c>
      <c r="AF41" s="38">
        <f>IF(OR(A41="",Z41=0),"",AE41/Z41)</f>
        <v>0</v>
      </c>
      <c r="AG41" s="18">
        <f>IF(OR(A41="",B41=""),"",IF(Q41&lt;&gt;"",Q41,B41+QuoteValidDays))</f>
        <v>0</v>
      </c>
      <c r="AH41" s="31">
        <f>IF(OR(A41="",L41=""),"",IF(OR(K41="Accepted",K41="Declined"),"",TodayDate-L41))</f>
        <v>0</v>
      </c>
      <c r="AI41" s="50">
        <f>IF(OR(A41="",AG41=""),"",IF(AND(AG41&lt;TodayDate,K41&lt;&gt;"Accepted",K41&lt;&gt;"Declined"),"Yes","No"))</f>
        <v>0</v>
      </c>
      <c r="AJ41" s="50">
        <f>IF(B41="","",IF(K41="Accepted","Yes",IF(K41="Declined","No","")))</f>
        <v>0</v>
      </c>
      <c r="AK41" s="39">
        <f>IF(B41="","",IF(K41="Accepted",IF(R41="","Action - accepted, book the job","OK - won"),IF(K41="Declined","Closed",IF(V41=0,"Add - no lines on this quote yet",IF(K41="Draft","Draft - not sent",IF(AI41="Yes","Expired - re-quote or close",IF(AND(AH41&lt;&gt;"",AH41&gt;=QuoteFollowupDays),"Chase - "&amp;AH41&amp;" days with no answer","OK")))))))</f>
        <v>0</v>
      </c>
    </row>
    <row r="42" spans="1:37">
      <c r="A42" s="43">
        <f>IF(B42="","",QuotePrefix&amp;TEXT(ROW()-4,"0000"))</f>
        <v>0</v>
      </c>
      <c r="C42" s="23">
        <f>IF(B42="","",TEXT(B42,"yyyy-mm"))</f>
        <v>0</v>
      </c>
      <c r="E42" s="23">
        <f>IF(D42&lt;&gt;"",IFERROR(INDEX(Clients!$B$5:$B$204,MATCH(D42,Clients!$A$5:$A$204,0)),F42),F42)</f>
        <v>0</v>
      </c>
      <c r="V42" s="31">
        <f>IF(A42="","",COUNTIFS('Quote Lines'!$B$5:$B$604,A42))</f>
        <v>0</v>
      </c>
      <c r="W42" s="34">
        <f>IF(A42="","",SUMIFS('Quote Lines'!$N$5:$N$604,'Quote Lines'!$B$5:$B$604,A42))</f>
        <v>0</v>
      </c>
      <c r="X42" s="21">
        <f>IF(A42="","",SUMIFS('Quote Lines'!$P$5:$P$604,'Quote Lines'!$B$5:$B$604,A42))</f>
        <v>0</v>
      </c>
      <c r="Y42" s="21">
        <f>IF(A42="","",ROUND(X42*IF(O42="",0,O42),2))</f>
        <v>0</v>
      </c>
      <c r="Z42" s="21">
        <f>IF(A42="","",X42-Y42)</f>
        <v>0</v>
      </c>
      <c r="AA42" s="21">
        <f>IF(A42="","",ROUND(Z42*TaxRate,2))</f>
        <v>0</v>
      </c>
      <c r="AB42" s="21">
        <f>IF(A42="","",Z42+AA42)</f>
        <v>0</v>
      </c>
      <c r="AC42" s="21">
        <f>IF(A42="","",IF(P42&lt;&gt;"",P42,ROUND(AB42*DepositPercent,2)))</f>
        <v>0</v>
      </c>
      <c r="AD42" s="21">
        <f>IF(A42="","",SUMIFS('Quote Lines'!$Q$5:$Q$604,'Quote Lines'!$B$5:$B$604,A42))</f>
        <v>0</v>
      </c>
      <c r="AE42" s="21">
        <f>IF(A42="","",Z42-AD42)</f>
        <v>0</v>
      </c>
      <c r="AF42" s="38">
        <f>IF(OR(A42="",Z42=0),"",AE42/Z42)</f>
        <v>0</v>
      </c>
      <c r="AG42" s="18">
        <f>IF(OR(A42="",B42=""),"",IF(Q42&lt;&gt;"",Q42,B42+QuoteValidDays))</f>
        <v>0</v>
      </c>
      <c r="AH42" s="31">
        <f>IF(OR(A42="",L42=""),"",IF(OR(K42="Accepted",K42="Declined"),"",TodayDate-L42))</f>
        <v>0</v>
      </c>
      <c r="AI42" s="50">
        <f>IF(OR(A42="",AG42=""),"",IF(AND(AG42&lt;TodayDate,K42&lt;&gt;"Accepted",K42&lt;&gt;"Declined"),"Yes","No"))</f>
        <v>0</v>
      </c>
      <c r="AJ42" s="50">
        <f>IF(B42="","",IF(K42="Accepted","Yes",IF(K42="Declined","No","")))</f>
        <v>0</v>
      </c>
      <c r="AK42" s="39">
        <f>IF(B42="","",IF(K42="Accepted",IF(R42="","Action - accepted, book the job","OK - won"),IF(K42="Declined","Closed",IF(V42=0,"Add - no lines on this quote yet",IF(K42="Draft","Draft - not sent",IF(AI42="Yes","Expired - re-quote or close",IF(AND(AH42&lt;&gt;"",AH42&gt;=QuoteFollowupDays),"Chase - "&amp;AH42&amp;" days with no answer","OK")))))))</f>
        <v>0</v>
      </c>
    </row>
    <row r="43" spans="1:37">
      <c r="A43" s="43">
        <f>IF(B43="","",QuotePrefix&amp;TEXT(ROW()-4,"0000"))</f>
        <v>0</v>
      </c>
      <c r="C43" s="23">
        <f>IF(B43="","",TEXT(B43,"yyyy-mm"))</f>
        <v>0</v>
      </c>
      <c r="E43" s="23">
        <f>IF(D43&lt;&gt;"",IFERROR(INDEX(Clients!$B$5:$B$204,MATCH(D43,Clients!$A$5:$A$204,0)),F43),F43)</f>
        <v>0</v>
      </c>
      <c r="V43" s="31">
        <f>IF(A43="","",COUNTIFS('Quote Lines'!$B$5:$B$604,A43))</f>
        <v>0</v>
      </c>
      <c r="W43" s="34">
        <f>IF(A43="","",SUMIFS('Quote Lines'!$N$5:$N$604,'Quote Lines'!$B$5:$B$604,A43))</f>
        <v>0</v>
      </c>
      <c r="X43" s="21">
        <f>IF(A43="","",SUMIFS('Quote Lines'!$P$5:$P$604,'Quote Lines'!$B$5:$B$604,A43))</f>
        <v>0</v>
      </c>
      <c r="Y43" s="21">
        <f>IF(A43="","",ROUND(X43*IF(O43="",0,O43),2))</f>
        <v>0</v>
      </c>
      <c r="Z43" s="21">
        <f>IF(A43="","",X43-Y43)</f>
        <v>0</v>
      </c>
      <c r="AA43" s="21">
        <f>IF(A43="","",ROUND(Z43*TaxRate,2))</f>
        <v>0</v>
      </c>
      <c r="AB43" s="21">
        <f>IF(A43="","",Z43+AA43)</f>
        <v>0</v>
      </c>
      <c r="AC43" s="21">
        <f>IF(A43="","",IF(P43&lt;&gt;"",P43,ROUND(AB43*DepositPercent,2)))</f>
        <v>0</v>
      </c>
      <c r="AD43" s="21">
        <f>IF(A43="","",SUMIFS('Quote Lines'!$Q$5:$Q$604,'Quote Lines'!$B$5:$B$604,A43))</f>
        <v>0</v>
      </c>
      <c r="AE43" s="21">
        <f>IF(A43="","",Z43-AD43)</f>
        <v>0</v>
      </c>
      <c r="AF43" s="38">
        <f>IF(OR(A43="",Z43=0),"",AE43/Z43)</f>
        <v>0</v>
      </c>
      <c r="AG43" s="18">
        <f>IF(OR(A43="",B43=""),"",IF(Q43&lt;&gt;"",Q43,B43+QuoteValidDays))</f>
        <v>0</v>
      </c>
      <c r="AH43" s="31">
        <f>IF(OR(A43="",L43=""),"",IF(OR(K43="Accepted",K43="Declined"),"",TodayDate-L43))</f>
        <v>0</v>
      </c>
      <c r="AI43" s="50">
        <f>IF(OR(A43="",AG43=""),"",IF(AND(AG43&lt;TodayDate,K43&lt;&gt;"Accepted",K43&lt;&gt;"Declined"),"Yes","No"))</f>
        <v>0</v>
      </c>
      <c r="AJ43" s="50">
        <f>IF(B43="","",IF(K43="Accepted","Yes",IF(K43="Declined","No","")))</f>
        <v>0</v>
      </c>
      <c r="AK43" s="39">
        <f>IF(B43="","",IF(K43="Accepted",IF(R43="","Action - accepted, book the job","OK - won"),IF(K43="Declined","Closed",IF(V43=0,"Add - no lines on this quote yet",IF(K43="Draft","Draft - not sent",IF(AI43="Yes","Expired - re-quote or close",IF(AND(AH43&lt;&gt;"",AH43&gt;=QuoteFollowupDays),"Chase - "&amp;AH43&amp;" days with no answer","OK")))))))</f>
        <v>0</v>
      </c>
    </row>
    <row r="44" spans="1:37">
      <c r="A44" s="43">
        <f>IF(B44="","",QuotePrefix&amp;TEXT(ROW()-4,"0000"))</f>
        <v>0</v>
      </c>
      <c r="C44" s="23">
        <f>IF(B44="","",TEXT(B44,"yyyy-mm"))</f>
        <v>0</v>
      </c>
      <c r="E44" s="23">
        <f>IF(D44&lt;&gt;"",IFERROR(INDEX(Clients!$B$5:$B$204,MATCH(D44,Clients!$A$5:$A$204,0)),F44),F44)</f>
        <v>0</v>
      </c>
      <c r="V44" s="31">
        <f>IF(A44="","",COUNTIFS('Quote Lines'!$B$5:$B$604,A44))</f>
        <v>0</v>
      </c>
      <c r="W44" s="34">
        <f>IF(A44="","",SUMIFS('Quote Lines'!$N$5:$N$604,'Quote Lines'!$B$5:$B$604,A44))</f>
        <v>0</v>
      </c>
      <c r="X44" s="21">
        <f>IF(A44="","",SUMIFS('Quote Lines'!$P$5:$P$604,'Quote Lines'!$B$5:$B$604,A44))</f>
        <v>0</v>
      </c>
      <c r="Y44" s="21">
        <f>IF(A44="","",ROUND(X44*IF(O44="",0,O44),2))</f>
        <v>0</v>
      </c>
      <c r="Z44" s="21">
        <f>IF(A44="","",X44-Y44)</f>
        <v>0</v>
      </c>
      <c r="AA44" s="21">
        <f>IF(A44="","",ROUND(Z44*TaxRate,2))</f>
        <v>0</v>
      </c>
      <c r="AB44" s="21">
        <f>IF(A44="","",Z44+AA44)</f>
        <v>0</v>
      </c>
      <c r="AC44" s="21">
        <f>IF(A44="","",IF(P44&lt;&gt;"",P44,ROUND(AB44*DepositPercent,2)))</f>
        <v>0</v>
      </c>
      <c r="AD44" s="21">
        <f>IF(A44="","",SUMIFS('Quote Lines'!$Q$5:$Q$604,'Quote Lines'!$B$5:$B$604,A44))</f>
        <v>0</v>
      </c>
      <c r="AE44" s="21">
        <f>IF(A44="","",Z44-AD44)</f>
        <v>0</v>
      </c>
      <c r="AF44" s="38">
        <f>IF(OR(A44="",Z44=0),"",AE44/Z44)</f>
        <v>0</v>
      </c>
      <c r="AG44" s="18">
        <f>IF(OR(A44="",B44=""),"",IF(Q44&lt;&gt;"",Q44,B44+QuoteValidDays))</f>
        <v>0</v>
      </c>
      <c r="AH44" s="31">
        <f>IF(OR(A44="",L44=""),"",IF(OR(K44="Accepted",K44="Declined"),"",TodayDate-L44))</f>
        <v>0</v>
      </c>
      <c r="AI44" s="50">
        <f>IF(OR(A44="",AG44=""),"",IF(AND(AG44&lt;TodayDate,K44&lt;&gt;"Accepted",K44&lt;&gt;"Declined"),"Yes","No"))</f>
        <v>0</v>
      </c>
      <c r="AJ44" s="50">
        <f>IF(B44="","",IF(K44="Accepted","Yes",IF(K44="Declined","No","")))</f>
        <v>0</v>
      </c>
      <c r="AK44" s="39">
        <f>IF(B44="","",IF(K44="Accepted",IF(R44="","Action - accepted, book the job","OK - won"),IF(K44="Declined","Closed",IF(V44=0,"Add - no lines on this quote yet",IF(K44="Draft","Draft - not sent",IF(AI44="Yes","Expired - re-quote or close",IF(AND(AH44&lt;&gt;"",AH44&gt;=QuoteFollowupDays),"Chase - "&amp;AH44&amp;" days with no answer","OK")))))))</f>
        <v>0</v>
      </c>
    </row>
    <row r="45" spans="1:37">
      <c r="A45" s="43">
        <f>IF(B45="","",QuotePrefix&amp;TEXT(ROW()-4,"0000"))</f>
        <v>0</v>
      </c>
      <c r="C45" s="23">
        <f>IF(B45="","",TEXT(B45,"yyyy-mm"))</f>
        <v>0</v>
      </c>
      <c r="E45" s="23">
        <f>IF(D45&lt;&gt;"",IFERROR(INDEX(Clients!$B$5:$B$204,MATCH(D45,Clients!$A$5:$A$204,0)),F45),F45)</f>
        <v>0</v>
      </c>
      <c r="V45" s="31">
        <f>IF(A45="","",COUNTIFS('Quote Lines'!$B$5:$B$604,A45))</f>
        <v>0</v>
      </c>
      <c r="W45" s="34">
        <f>IF(A45="","",SUMIFS('Quote Lines'!$N$5:$N$604,'Quote Lines'!$B$5:$B$604,A45))</f>
        <v>0</v>
      </c>
      <c r="X45" s="21">
        <f>IF(A45="","",SUMIFS('Quote Lines'!$P$5:$P$604,'Quote Lines'!$B$5:$B$604,A45))</f>
        <v>0</v>
      </c>
      <c r="Y45" s="21">
        <f>IF(A45="","",ROUND(X45*IF(O45="",0,O45),2))</f>
        <v>0</v>
      </c>
      <c r="Z45" s="21">
        <f>IF(A45="","",X45-Y45)</f>
        <v>0</v>
      </c>
      <c r="AA45" s="21">
        <f>IF(A45="","",ROUND(Z45*TaxRate,2))</f>
        <v>0</v>
      </c>
      <c r="AB45" s="21">
        <f>IF(A45="","",Z45+AA45)</f>
        <v>0</v>
      </c>
      <c r="AC45" s="21">
        <f>IF(A45="","",IF(P45&lt;&gt;"",P45,ROUND(AB45*DepositPercent,2)))</f>
        <v>0</v>
      </c>
      <c r="AD45" s="21">
        <f>IF(A45="","",SUMIFS('Quote Lines'!$Q$5:$Q$604,'Quote Lines'!$B$5:$B$604,A45))</f>
        <v>0</v>
      </c>
      <c r="AE45" s="21">
        <f>IF(A45="","",Z45-AD45)</f>
        <v>0</v>
      </c>
      <c r="AF45" s="38">
        <f>IF(OR(A45="",Z45=0),"",AE45/Z45)</f>
        <v>0</v>
      </c>
      <c r="AG45" s="18">
        <f>IF(OR(A45="",B45=""),"",IF(Q45&lt;&gt;"",Q45,B45+QuoteValidDays))</f>
        <v>0</v>
      </c>
      <c r="AH45" s="31">
        <f>IF(OR(A45="",L45=""),"",IF(OR(K45="Accepted",K45="Declined"),"",TodayDate-L45))</f>
        <v>0</v>
      </c>
      <c r="AI45" s="50">
        <f>IF(OR(A45="",AG45=""),"",IF(AND(AG45&lt;TodayDate,K45&lt;&gt;"Accepted",K45&lt;&gt;"Declined"),"Yes","No"))</f>
        <v>0</v>
      </c>
      <c r="AJ45" s="50">
        <f>IF(B45="","",IF(K45="Accepted","Yes",IF(K45="Declined","No","")))</f>
        <v>0</v>
      </c>
      <c r="AK45" s="39">
        <f>IF(B45="","",IF(K45="Accepted",IF(R45="","Action - accepted, book the job","OK - won"),IF(K45="Declined","Closed",IF(V45=0,"Add - no lines on this quote yet",IF(K45="Draft","Draft - not sent",IF(AI45="Yes","Expired - re-quote or close",IF(AND(AH45&lt;&gt;"",AH45&gt;=QuoteFollowupDays),"Chase - "&amp;AH45&amp;" days with no answer","OK")))))))</f>
        <v>0</v>
      </c>
    </row>
    <row r="46" spans="1:37">
      <c r="A46" s="43">
        <f>IF(B46="","",QuotePrefix&amp;TEXT(ROW()-4,"0000"))</f>
        <v>0</v>
      </c>
      <c r="C46" s="23">
        <f>IF(B46="","",TEXT(B46,"yyyy-mm"))</f>
        <v>0</v>
      </c>
      <c r="E46" s="23">
        <f>IF(D46&lt;&gt;"",IFERROR(INDEX(Clients!$B$5:$B$204,MATCH(D46,Clients!$A$5:$A$204,0)),F46),F46)</f>
        <v>0</v>
      </c>
      <c r="V46" s="31">
        <f>IF(A46="","",COUNTIFS('Quote Lines'!$B$5:$B$604,A46))</f>
        <v>0</v>
      </c>
      <c r="W46" s="34">
        <f>IF(A46="","",SUMIFS('Quote Lines'!$N$5:$N$604,'Quote Lines'!$B$5:$B$604,A46))</f>
        <v>0</v>
      </c>
      <c r="X46" s="21">
        <f>IF(A46="","",SUMIFS('Quote Lines'!$P$5:$P$604,'Quote Lines'!$B$5:$B$604,A46))</f>
        <v>0</v>
      </c>
      <c r="Y46" s="21">
        <f>IF(A46="","",ROUND(X46*IF(O46="",0,O46),2))</f>
        <v>0</v>
      </c>
      <c r="Z46" s="21">
        <f>IF(A46="","",X46-Y46)</f>
        <v>0</v>
      </c>
      <c r="AA46" s="21">
        <f>IF(A46="","",ROUND(Z46*TaxRate,2))</f>
        <v>0</v>
      </c>
      <c r="AB46" s="21">
        <f>IF(A46="","",Z46+AA46)</f>
        <v>0</v>
      </c>
      <c r="AC46" s="21">
        <f>IF(A46="","",IF(P46&lt;&gt;"",P46,ROUND(AB46*DepositPercent,2)))</f>
        <v>0</v>
      </c>
      <c r="AD46" s="21">
        <f>IF(A46="","",SUMIFS('Quote Lines'!$Q$5:$Q$604,'Quote Lines'!$B$5:$B$604,A46))</f>
        <v>0</v>
      </c>
      <c r="AE46" s="21">
        <f>IF(A46="","",Z46-AD46)</f>
        <v>0</v>
      </c>
      <c r="AF46" s="38">
        <f>IF(OR(A46="",Z46=0),"",AE46/Z46)</f>
        <v>0</v>
      </c>
      <c r="AG46" s="18">
        <f>IF(OR(A46="",B46=""),"",IF(Q46&lt;&gt;"",Q46,B46+QuoteValidDays))</f>
        <v>0</v>
      </c>
      <c r="AH46" s="31">
        <f>IF(OR(A46="",L46=""),"",IF(OR(K46="Accepted",K46="Declined"),"",TodayDate-L46))</f>
        <v>0</v>
      </c>
      <c r="AI46" s="50">
        <f>IF(OR(A46="",AG46=""),"",IF(AND(AG46&lt;TodayDate,K46&lt;&gt;"Accepted",K46&lt;&gt;"Declined"),"Yes","No"))</f>
        <v>0</v>
      </c>
      <c r="AJ46" s="50">
        <f>IF(B46="","",IF(K46="Accepted","Yes",IF(K46="Declined","No","")))</f>
        <v>0</v>
      </c>
      <c r="AK46" s="39">
        <f>IF(B46="","",IF(K46="Accepted",IF(R46="","Action - accepted, book the job","OK - won"),IF(K46="Declined","Closed",IF(V46=0,"Add - no lines on this quote yet",IF(K46="Draft","Draft - not sent",IF(AI46="Yes","Expired - re-quote or close",IF(AND(AH46&lt;&gt;"",AH46&gt;=QuoteFollowupDays),"Chase - "&amp;AH46&amp;" days with no answer","OK")))))))</f>
        <v>0</v>
      </c>
    </row>
    <row r="47" spans="1:37">
      <c r="A47" s="43">
        <f>IF(B47="","",QuotePrefix&amp;TEXT(ROW()-4,"0000"))</f>
        <v>0</v>
      </c>
      <c r="C47" s="23">
        <f>IF(B47="","",TEXT(B47,"yyyy-mm"))</f>
        <v>0</v>
      </c>
      <c r="E47" s="23">
        <f>IF(D47&lt;&gt;"",IFERROR(INDEX(Clients!$B$5:$B$204,MATCH(D47,Clients!$A$5:$A$204,0)),F47),F47)</f>
        <v>0</v>
      </c>
      <c r="V47" s="31">
        <f>IF(A47="","",COUNTIFS('Quote Lines'!$B$5:$B$604,A47))</f>
        <v>0</v>
      </c>
      <c r="W47" s="34">
        <f>IF(A47="","",SUMIFS('Quote Lines'!$N$5:$N$604,'Quote Lines'!$B$5:$B$604,A47))</f>
        <v>0</v>
      </c>
      <c r="X47" s="21">
        <f>IF(A47="","",SUMIFS('Quote Lines'!$P$5:$P$604,'Quote Lines'!$B$5:$B$604,A47))</f>
        <v>0</v>
      </c>
      <c r="Y47" s="21">
        <f>IF(A47="","",ROUND(X47*IF(O47="",0,O47),2))</f>
        <v>0</v>
      </c>
      <c r="Z47" s="21">
        <f>IF(A47="","",X47-Y47)</f>
        <v>0</v>
      </c>
      <c r="AA47" s="21">
        <f>IF(A47="","",ROUND(Z47*TaxRate,2))</f>
        <v>0</v>
      </c>
      <c r="AB47" s="21">
        <f>IF(A47="","",Z47+AA47)</f>
        <v>0</v>
      </c>
      <c r="AC47" s="21">
        <f>IF(A47="","",IF(P47&lt;&gt;"",P47,ROUND(AB47*DepositPercent,2)))</f>
        <v>0</v>
      </c>
      <c r="AD47" s="21">
        <f>IF(A47="","",SUMIFS('Quote Lines'!$Q$5:$Q$604,'Quote Lines'!$B$5:$B$604,A47))</f>
        <v>0</v>
      </c>
      <c r="AE47" s="21">
        <f>IF(A47="","",Z47-AD47)</f>
        <v>0</v>
      </c>
      <c r="AF47" s="38">
        <f>IF(OR(A47="",Z47=0),"",AE47/Z47)</f>
        <v>0</v>
      </c>
      <c r="AG47" s="18">
        <f>IF(OR(A47="",B47=""),"",IF(Q47&lt;&gt;"",Q47,B47+QuoteValidDays))</f>
        <v>0</v>
      </c>
      <c r="AH47" s="31">
        <f>IF(OR(A47="",L47=""),"",IF(OR(K47="Accepted",K47="Declined"),"",TodayDate-L47))</f>
        <v>0</v>
      </c>
      <c r="AI47" s="50">
        <f>IF(OR(A47="",AG47=""),"",IF(AND(AG47&lt;TodayDate,K47&lt;&gt;"Accepted",K47&lt;&gt;"Declined"),"Yes","No"))</f>
        <v>0</v>
      </c>
      <c r="AJ47" s="50">
        <f>IF(B47="","",IF(K47="Accepted","Yes",IF(K47="Declined","No","")))</f>
        <v>0</v>
      </c>
      <c r="AK47" s="39">
        <f>IF(B47="","",IF(K47="Accepted",IF(R47="","Action - accepted, book the job","OK - won"),IF(K47="Declined","Closed",IF(V47=0,"Add - no lines on this quote yet",IF(K47="Draft","Draft - not sent",IF(AI47="Yes","Expired - re-quote or close",IF(AND(AH47&lt;&gt;"",AH47&gt;=QuoteFollowupDays),"Chase - "&amp;AH47&amp;" days with no answer","OK")))))))</f>
        <v>0</v>
      </c>
    </row>
    <row r="48" spans="1:37">
      <c r="A48" s="43">
        <f>IF(B48="","",QuotePrefix&amp;TEXT(ROW()-4,"0000"))</f>
        <v>0</v>
      </c>
      <c r="C48" s="23">
        <f>IF(B48="","",TEXT(B48,"yyyy-mm"))</f>
        <v>0</v>
      </c>
      <c r="E48" s="23">
        <f>IF(D48&lt;&gt;"",IFERROR(INDEX(Clients!$B$5:$B$204,MATCH(D48,Clients!$A$5:$A$204,0)),F48),F48)</f>
        <v>0</v>
      </c>
      <c r="V48" s="31">
        <f>IF(A48="","",COUNTIFS('Quote Lines'!$B$5:$B$604,A48))</f>
        <v>0</v>
      </c>
      <c r="W48" s="34">
        <f>IF(A48="","",SUMIFS('Quote Lines'!$N$5:$N$604,'Quote Lines'!$B$5:$B$604,A48))</f>
        <v>0</v>
      </c>
      <c r="X48" s="21">
        <f>IF(A48="","",SUMIFS('Quote Lines'!$P$5:$P$604,'Quote Lines'!$B$5:$B$604,A48))</f>
        <v>0</v>
      </c>
      <c r="Y48" s="21">
        <f>IF(A48="","",ROUND(X48*IF(O48="",0,O48),2))</f>
        <v>0</v>
      </c>
      <c r="Z48" s="21">
        <f>IF(A48="","",X48-Y48)</f>
        <v>0</v>
      </c>
      <c r="AA48" s="21">
        <f>IF(A48="","",ROUND(Z48*TaxRate,2))</f>
        <v>0</v>
      </c>
      <c r="AB48" s="21">
        <f>IF(A48="","",Z48+AA48)</f>
        <v>0</v>
      </c>
      <c r="AC48" s="21">
        <f>IF(A48="","",IF(P48&lt;&gt;"",P48,ROUND(AB48*DepositPercent,2)))</f>
        <v>0</v>
      </c>
      <c r="AD48" s="21">
        <f>IF(A48="","",SUMIFS('Quote Lines'!$Q$5:$Q$604,'Quote Lines'!$B$5:$B$604,A48))</f>
        <v>0</v>
      </c>
      <c r="AE48" s="21">
        <f>IF(A48="","",Z48-AD48)</f>
        <v>0</v>
      </c>
      <c r="AF48" s="38">
        <f>IF(OR(A48="",Z48=0),"",AE48/Z48)</f>
        <v>0</v>
      </c>
      <c r="AG48" s="18">
        <f>IF(OR(A48="",B48=""),"",IF(Q48&lt;&gt;"",Q48,B48+QuoteValidDays))</f>
        <v>0</v>
      </c>
      <c r="AH48" s="31">
        <f>IF(OR(A48="",L48=""),"",IF(OR(K48="Accepted",K48="Declined"),"",TodayDate-L48))</f>
        <v>0</v>
      </c>
      <c r="AI48" s="50">
        <f>IF(OR(A48="",AG48=""),"",IF(AND(AG48&lt;TodayDate,K48&lt;&gt;"Accepted",K48&lt;&gt;"Declined"),"Yes","No"))</f>
        <v>0</v>
      </c>
      <c r="AJ48" s="50">
        <f>IF(B48="","",IF(K48="Accepted","Yes",IF(K48="Declined","No","")))</f>
        <v>0</v>
      </c>
      <c r="AK48" s="39">
        <f>IF(B48="","",IF(K48="Accepted",IF(R48="","Action - accepted, book the job","OK - won"),IF(K48="Declined","Closed",IF(V48=0,"Add - no lines on this quote yet",IF(K48="Draft","Draft - not sent",IF(AI48="Yes","Expired - re-quote or close",IF(AND(AH48&lt;&gt;"",AH48&gt;=QuoteFollowupDays),"Chase - "&amp;AH48&amp;" days with no answer","OK")))))))</f>
        <v>0</v>
      </c>
    </row>
    <row r="49" spans="1:37">
      <c r="A49" s="43">
        <f>IF(B49="","",QuotePrefix&amp;TEXT(ROW()-4,"0000"))</f>
        <v>0</v>
      </c>
      <c r="C49" s="23">
        <f>IF(B49="","",TEXT(B49,"yyyy-mm"))</f>
        <v>0</v>
      </c>
      <c r="E49" s="23">
        <f>IF(D49&lt;&gt;"",IFERROR(INDEX(Clients!$B$5:$B$204,MATCH(D49,Clients!$A$5:$A$204,0)),F49),F49)</f>
        <v>0</v>
      </c>
      <c r="V49" s="31">
        <f>IF(A49="","",COUNTIFS('Quote Lines'!$B$5:$B$604,A49))</f>
        <v>0</v>
      </c>
      <c r="W49" s="34">
        <f>IF(A49="","",SUMIFS('Quote Lines'!$N$5:$N$604,'Quote Lines'!$B$5:$B$604,A49))</f>
        <v>0</v>
      </c>
      <c r="X49" s="21">
        <f>IF(A49="","",SUMIFS('Quote Lines'!$P$5:$P$604,'Quote Lines'!$B$5:$B$604,A49))</f>
        <v>0</v>
      </c>
      <c r="Y49" s="21">
        <f>IF(A49="","",ROUND(X49*IF(O49="",0,O49),2))</f>
        <v>0</v>
      </c>
      <c r="Z49" s="21">
        <f>IF(A49="","",X49-Y49)</f>
        <v>0</v>
      </c>
      <c r="AA49" s="21">
        <f>IF(A49="","",ROUND(Z49*TaxRate,2))</f>
        <v>0</v>
      </c>
      <c r="AB49" s="21">
        <f>IF(A49="","",Z49+AA49)</f>
        <v>0</v>
      </c>
      <c r="AC49" s="21">
        <f>IF(A49="","",IF(P49&lt;&gt;"",P49,ROUND(AB49*DepositPercent,2)))</f>
        <v>0</v>
      </c>
      <c r="AD49" s="21">
        <f>IF(A49="","",SUMIFS('Quote Lines'!$Q$5:$Q$604,'Quote Lines'!$B$5:$B$604,A49))</f>
        <v>0</v>
      </c>
      <c r="AE49" s="21">
        <f>IF(A49="","",Z49-AD49)</f>
        <v>0</v>
      </c>
      <c r="AF49" s="38">
        <f>IF(OR(A49="",Z49=0),"",AE49/Z49)</f>
        <v>0</v>
      </c>
      <c r="AG49" s="18">
        <f>IF(OR(A49="",B49=""),"",IF(Q49&lt;&gt;"",Q49,B49+QuoteValidDays))</f>
        <v>0</v>
      </c>
      <c r="AH49" s="31">
        <f>IF(OR(A49="",L49=""),"",IF(OR(K49="Accepted",K49="Declined"),"",TodayDate-L49))</f>
        <v>0</v>
      </c>
      <c r="AI49" s="50">
        <f>IF(OR(A49="",AG49=""),"",IF(AND(AG49&lt;TodayDate,K49&lt;&gt;"Accepted",K49&lt;&gt;"Declined"),"Yes","No"))</f>
        <v>0</v>
      </c>
      <c r="AJ49" s="50">
        <f>IF(B49="","",IF(K49="Accepted","Yes",IF(K49="Declined","No","")))</f>
        <v>0</v>
      </c>
      <c r="AK49" s="39">
        <f>IF(B49="","",IF(K49="Accepted",IF(R49="","Action - accepted, book the job","OK - won"),IF(K49="Declined","Closed",IF(V49=0,"Add - no lines on this quote yet",IF(K49="Draft","Draft - not sent",IF(AI49="Yes","Expired - re-quote or close",IF(AND(AH49&lt;&gt;"",AH49&gt;=QuoteFollowupDays),"Chase - "&amp;AH49&amp;" days with no answer","OK")))))))</f>
        <v>0</v>
      </c>
    </row>
    <row r="50" spans="1:37">
      <c r="A50" s="43">
        <f>IF(B50="","",QuotePrefix&amp;TEXT(ROW()-4,"0000"))</f>
        <v>0</v>
      </c>
      <c r="C50" s="23">
        <f>IF(B50="","",TEXT(B50,"yyyy-mm"))</f>
        <v>0</v>
      </c>
      <c r="E50" s="23">
        <f>IF(D50&lt;&gt;"",IFERROR(INDEX(Clients!$B$5:$B$204,MATCH(D50,Clients!$A$5:$A$204,0)),F50),F50)</f>
        <v>0</v>
      </c>
      <c r="V50" s="31">
        <f>IF(A50="","",COUNTIFS('Quote Lines'!$B$5:$B$604,A50))</f>
        <v>0</v>
      </c>
      <c r="W50" s="34">
        <f>IF(A50="","",SUMIFS('Quote Lines'!$N$5:$N$604,'Quote Lines'!$B$5:$B$604,A50))</f>
        <v>0</v>
      </c>
      <c r="X50" s="21">
        <f>IF(A50="","",SUMIFS('Quote Lines'!$P$5:$P$604,'Quote Lines'!$B$5:$B$604,A50))</f>
        <v>0</v>
      </c>
      <c r="Y50" s="21">
        <f>IF(A50="","",ROUND(X50*IF(O50="",0,O50),2))</f>
        <v>0</v>
      </c>
      <c r="Z50" s="21">
        <f>IF(A50="","",X50-Y50)</f>
        <v>0</v>
      </c>
      <c r="AA50" s="21">
        <f>IF(A50="","",ROUND(Z50*TaxRate,2))</f>
        <v>0</v>
      </c>
      <c r="AB50" s="21">
        <f>IF(A50="","",Z50+AA50)</f>
        <v>0</v>
      </c>
      <c r="AC50" s="21">
        <f>IF(A50="","",IF(P50&lt;&gt;"",P50,ROUND(AB50*DepositPercent,2)))</f>
        <v>0</v>
      </c>
      <c r="AD50" s="21">
        <f>IF(A50="","",SUMIFS('Quote Lines'!$Q$5:$Q$604,'Quote Lines'!$B$5:$B$604,A50))</f>
        <v>0</v>
      </c>
      <c r="AE50" s="21">
        <f>IF(A50="","",Z50-AD50)</f>
        <v>0</v>
      </c>
      <c r="AF50" s="38">
        <f>IF(OR(A50="",Z50=0),"",AE50/Z50)</f>
        <v>0</v>
      </c>
      <c r="AG50" s="18">
        <f>IF(OR(A50="",B50=""),"",IF(Q50&lt;&gt;"",Q50,B50+QuoteValidDays))</f>
        <v>0</v>
      </c>
      <c r="AH50" s="31">
        <f>IF(OR(A50="",L50=""),"",IF(OR(K50="Accepted",K50="Declined"),"",TodayDate-L50))</f>
        <v>0</v>
      </c>
      <c r="AI50" s="50">
        <f>IF(OR(A50="",AG50=""),"",IF(AND(AG50&lt;TodayDate,K50&lt;&gt;"Accepted",K50&lt;&gt;"Declined"),"Yes","No"))</f>
        <v>0</v>
      </c>
      <c r="AJ50" s="50">
        <f>IF(B50="","",IF(K50="Accepted","Yes",IF(K50="Declined","No","")))</f>
        <v>0</v>
      </c>
      <c r="AK50" s="39">
        <f>IF(B50="","",IF(K50="Accepted",IF(R50="","Action - accepted, book the job","OK - won"),IF(K50="Declined","Closed",IF(V50=0,"Add - no lines on this quote yet",IF(K50="Draft","Draft - not sent",IF(AI50="Yes","Expired - re-quote or close",IF(AND(AH50&lt;&gt;"",AH50&gt;=QuoteFollowupDays),"Chase - "&amp;AH50&amp;" days with no answer","OK")))))))</f>
        <v>0</v>
      </c>
    </row>
    <row r="51" spans="1:37">
      <c r="A51" s="43">
        <f>IF(B51="","",QuotePrefix&amp;TEXT(ROW()-4,"0000"))</f>
        <v>0</v>
      </c>
      <c r="C51" s="23">
        <f>IF(B51="","",TEXT(B51,"yyyy-mm"))</f>
        <v>0</v>
      </c>
      <c r="E51" s="23">
        <f>IF(D51&lt;&gt;"",IFERROR(INDEX(Clients!$B$5:$B$204,MATCH(D51,Clients!$A$5:$A$204,0)),F51),F51)</f>
        <v>0</v>
      </c>
      <c r="V51" s="31">
        <f>IF(A51="","",COUNTIFS('Quote Lines'!$B$5:$B$604,A51))</f>
        <v>0</v>
      </c>
      <c r="W51" s="34">
        <f>IF(A51="","",SUMIFS('Quote Lines'!$N$5:$N$604,'Quote Lines'!$B$5:$B$604,A51))</f>
        <v>0</v>
      </c>
      <c r="X51" s="21">
        <f>IF(A51="","",SUMIFS('Quote Lines'!$P$5:$P$604,'Quote Lines'!$B$5:$B$604,A51))</f>
        <v>0</v>
      </c>
      <c r="Y51" s="21">
        <f>IF(A51="","",ROUND(X51*IF(O51="",0,O51),2))</f>
        <v>0</v>
      </c>
      <c r="Z51" s="21">
        <f>IF(A51="","",X51-Y51)</f>
        <v>0</v>
      </c>
      <c r="AA51" s="21">
        <f>IF(A51="","",ROUND(Z51*TaxRate,2))</f>
        <v>0</v>
      </c>
      <c r="AB51" s="21">
        <f>IF(A51="","",Z51+AA51)</f>
        <v>0</v>
      </c>
      <c r="AC51" s="21">
        <f>IF(A51="","",IF(P51&lt;&gt;"",P51,ROUND(AB51*DepositPercent,2)))</f>
        <v>0</v>
      </c>
      <c r="AD51" s="21">
        <f>IF(A51="","",SUMIFS('Quote Lines'!$Q$5:$Q$604,'Quote Lines'!$B$5:$B$604,A51))</f>
        <v>0</v>
      </c>
      <c r="AE51" s="21">
        <f>IF(A51="","",Z51-AD51)</f>
        <v>0</v>
      </c>
      <c r="AF51" s="38">
        <f>IF(OR(A51="",Z51=0),"",AE51/Z51)</f>
        <v>0</v>
      </c>
      <c r="AG51" s="18">
        <f>IF(OR(A51="",B51=""),"",IF(Q51&lt;&gt;"",Q51,B51+QuoteValidDays))</f>
        <v>0</v>
      </c>
      <c r="AH51" s="31">
        <f>IF(OR(A51="",L51=""),"",IF(OR(K51="Accepted",K51="Declined"),"",TodayDate-L51))</f>
        <v>0</v>
      </c>
      <c r="AI51" s="50">
        <f>IF(OR(A51="",AG51=""),"",IF(AND(AG51&lt;TodayDate,K51&lt;&gt;"Accepted",K51&lt;&gt;"Declined"),"Yes","No"))</f>
        <v>0</v>
      </c>
      <c r="AJ51" s="50">
        <f>IF(B51="","",IF(K51="Accepted","Yes",IF(K51="Declined","No","")))</f>
        <v>0</v>
      </c>
      <c r="AK51" s="39">
        <f>IF(B51="","",IF(K51="Accepted",IF(R51="","Action - accepted, book the job","OK - won"),IF(K51="Declined","Closed",IF(V51=0,"Add - no lines on this quote yet",IF(K51="Draft","Draft - not sent",IF(AI51="Yes","Expired - re-quote or close",IF(AND(AH51&lt;&gt;"",AH51&gt;=QuoteFollowupDays),"Chase - "&amp;AH51&amp;" days with no answer","OK")))))))</f>
        <v>0</v>
      </c>
    </row>
    <row r="52" spans="1:37">
      <c r="A52" s="43">
        <f>IF(B52="","",QuotePrefix&amp;TEXT(ROW()-4,"0000"))</f>
        <v>0</v>
      </c>
      <c r="C52" s="23">
        <f>IF(B52="","",TEXT(B52,"yyyy-mm"))</f>
        <v>0</v>
      </c>
      <c r="E52" s="23">
        <f>IF(D52&lt;&gt;"",IFERROR(INDEX(Clients!$B$5:$B$204,MATCH(D52,Clients!$A$5:$A$204,0)),F52),F52)</f>
        <v>0</v>
      </c>
      <c r="V52" s="31">
        <f>IF(A52="","",COUNTIFS('Quote Lines'!$B$5:$B$604,A52))</f>
        <v>0</v>
      </c>
      <c r="W52" s="34">
        <f>IF(A52="","",SUMIFS('Quote Lines'!$N$5:$N$604,'Quote Lines'!$B$5:$B$604,A52))</f>
        <v>0</v>
      </c>
      <c r="X52" s="21">
        <f>IF(A52="","",SUMIFS('Quote Lines'!$P$5:$P$604,'Quote Lines'!$B$5:$B$604,A52))</f>
        <v>0</v>
      </c>
      <c r="Y52" s="21">
        <f>IF(A52="","",ROUND(X52*IF(O52="",0,O52),2))</f>
        <v>0</v>
      </c>
      <c r="Z52" s="21">
        <f>IF(A52="","",X52-Y52)</f>
        <v>0</v>
      </c>
      <c r="AA52" s="21">
        <f>IF(A52="","",ROUND(Z52*TaxRate,2))</f>
        <v>0</v>
      </c>
      <c r="AB52" s="21">
        <f>IF(A52="","",Z52+AA52)</f>
        <v>0</v>
      </c>
      <c r="AC52" s="21">
        <f>IF(A52="","",IF(P52&lt;&gt;"",P52,ROUND(AB52*DepositPercent,2)))</f>
        <v>0</v>
      </c>
      <c r="AD52" s="21">
        <f>IF(A52="","",SUMIFS('Quote Lines'!$Q$5:$Q$604,'Quote Lines'!$B$5:$B$604,A52))</f>
        <v>0</v>
      </c>
      <c r="AE52" s="21">
        <f>IF(A52="","",Z52-AD52)</f>
        <v>0</v>
      </c>
      <c r="AF52" s="38">
        <f>IF(OR(A52="",Z52=0),"",AE52/Z52)</f>
        <v>0</v>
      </c>
      <c r="AG52" s="18">
        <f>IF(OR(A52="",B52=""),"",IF(Q52&lt;&gt;"",Q52,B52+QuoteValidDays))</f>
        <v>0</v>
      </c>
      <c r="AH52" s="31">
        <f>IF(OR(A52="",L52=""),"",IF(OR(K52="Accepted",K52="Declined"),"",TodayDate-L52))</f>
        <v>0</v>
      </c>
      <c r="AI52" s="50">
        <f>IF(OR(A52="",AG52=""),"",IF(AND(AG52&lt;TodayDate,K52&lt;&gt;"Accepted",K52&lt;&gt;"Declined"),"Yes","No"))</f>
        <v>0</v>
      </c>
      <c r="AJ52" s="50">
        <f>IF(B52="","",IF(K52="Accepted","Yes",IF(K52="Declined","No","")))</f>
        <v>0</v>
      </c>
      <c r="AK52" s="39">
        <f>IF(B52="","",IF(K52="Accepted",IF(R52="","Action - accepted, book the job","OK - won"),IF(K52="Declined","Closed",IF(V52=0,"Add - no lines on this quote yet",IF(K52="Draft","Draft - not sent",IF(AI52="Yes","Expired - re-quote or close",IF(AND(AH52&lt;&gt;"",AH52&gt;=QuoteFollowupDays),"Chase - "&amp;AH52&amp;" days with no answer","OK")))))))</f>
        <v>0</v>
      </c>
    </row>
    <row r="53" spans="1:37">
      <c r="A53" s="43">
        <f>IF(B53="","",QuotePrefix&amp;TEXT(ROW()-4,"0000"))</f>
        <v>0</v>
      </c>
      <c r="C53" s="23">
        <f>IF(B53="","",TEXT(B53,"yyyy-mm"))</f>
        <v>0</v>
      </c>
      <c r="E53" s="23">
        <f>IF(D53&lt;&gt;"",IFERROR(INDEX(Clients!$B$5:$B$204,MATCH(D53,Clients!$A$5:$A$204,0)),F53),F53)</f>
        <v>0</v>
      </c>
      <c r="V53" s="31">
        <f>IF(A53="","",COUNTIFS('Quote Lines'!$B$5:$B$604,A53))</f>
        <v>0</v>
      </c>
      <c r="W53" s="34">
        <f>IF(A53="","",SUMIFS('Quote Lines'!$N$5:$N$604,'Quote Lines'!$B$5:$B$604,A53))</f>
        <v>0</v>
      </c>
      <c r="X53" s="21">
        <f>IF(A53="","",SUMIFS('Quote Lines'!$P$5:$P$604,'Quote Lines'!$B$5:$B$604,A53))</f>
        <v>0</v>
      </c>
      <c r="Y53" s="21">
        <f>IF(A53="","",ROUND(X53*IF(O53="",0,O53),2))</f>
        <v>0</v>
      </c>
      <c r="Z53" s="21">
        <f>IF(A53="","",X53-Y53)</f>
        <v>0</v>
      </c>
      <c r="AA53" s="21">
        <f>IF(A53="","",ROUND(Z53*TaxRate,2))</f>
        <v>0</v>
      </c>
      <c r="AB53" s="21">
        <f>IF(A53="","",Z53+AA53)</f>
        <v>0</v>
      </c>
      <c r="AC53" s="21">
        <f>IF(A53="","",IF(P53&lt;&gt;"",P53,ROUND(AB53*DepositPercent,2)))</f>
        <v>0</v>
      </c>
      <c r="AD53" s="21">
        <f>IF(A53="","",SUMIFS('Quote Lines'!$Q$5:$Q$604,'Quote Lines'!$B$5:$B$604,A53))</f>
        <v>0</v>
      </c>
      <c r="AE53" s="21">
        <f>IF(A53="","",Z53-AD53)</f>
        <v>0</v>
      </c>
      <c r="AF53" s="38">
        <f>IF(OR(A53="",Z53=0),"",AE53/Z53)</f>
        <v>0</v>
      </c>
      <c r="AG53" s="18">
        <f>IF(OR(A53="",B53=""),"",IF(Q53&lt;&gt;"",Q53,B53+QuoteValidDays))</f>
        <v>0</v>
      </c>
      <c r="AH53" s="31">
        <f>IF(OR(A53="",L53=""),"",IF(OR(K53="Accepted",K53="Declined"),"",TodayDate-L53))</f>
        <v>0</v>
      </c>
      <c r="AI53" s="50">
        <f>IF(OR(A53="",AG53=""),"",IF(AND(AG53&lt;TodayDate,K53&lt;&gt;"Accepted",K53&lt;&gt;"Declined"),"Yes","No"))</f>
        <v>0</v>
      </c>
      <c r="AJ53" s="50">
        <f>IF(B53="","",IF(K53="Accepted","Yes",IF(K53="Declined","No","")))</f>
        <v>0</v>
      </c>
      <c r="AK53" s="39">
        <f>IF(B53="","",IF(K53="Accepted",IF(R53="","Action - accepted, book the job","OK - won"),IF(K53="Declined","Closed",IF(V53=0,"Add - no lines on this quote yet",IF(K53="Draft","Draft - not sent",IF(AI53="Yes","Expired - re-quote or close",IF(AND(AH53&lt;&gt;"",AH53&gt;=QuoteFollowupDays),"Chase - "&amp;AH53&amp;" days with no answer","OK")))))))</f>
        <v>0</v>
      </c>
    </row>
    <row r="54" spans="1:37">
      <c r="A54" s="43">
        <f>IF(B54="","",QuotePrefix&amp;TEXT(ROW()-4,"0000"))</f>
        <v>0</v>
      </c>
      <c r="C54" s="23">
        <f>IF(B54="","",TEXT(B54,"yyyy-mm"))</f>
        <v>0</v>
      </c>
      <c r="E54" s="23">
        <f>IF(D54&lt;&gt;"",IFERROR(INDEX(Clients!$B$5:$B$204,MATCH(D54,Clients!$A$5:$A$204,0)),F54),F54)</f>
        <v>0</v>
      </c>
      <c r="V54" s="31">
        <f>IF(A54="","",COUNTIFS('Quote Lines'!$B$5:$B$604,A54))</f>
        <v>0</v>
      </c>
      <c r="W54" s="34">
        <f>IF(A54="","",SUMIFS('Quote Lines'!$N$5:$N$604,'Quote Lines'!$B$5:$B$604,A54))</f>
        <v>0</v>
      </c>
      <c r="X54" s="21">
        <f>IF(A54="","",SUMIFS('Quote Lines'!$P$5:$P$604,'Quote Lines'!$B$5:$B$604,A54))</f>
        <v>0</v>
      </c>
      <c r="Y54" s="21">
        <f>IF(A54="","",ROUND(X54*IF(O54="",0,O54),2))</f>
        <v>0</v>
      </c>
      <c r="Z54" s="21">
        <f>IF(A54="","",X54-Y54)</f>
        <v>0</v>
      </c>
      <c r="AA54" s="21">
        <f>IF(A54="","",ROUND(Z54*TaxRate,2))</f>
        <v>0</v>
      </c>
      <c r="AB54" s="21">
        <f>IF(A54="","",Z54+AA54)</f>
        <v>0</v>
      </c>
      <c r="AC54" s="21">
        <f>IF(A54="","",IF(P54&lt;&gt;"",P54,ROUND(AB54*DepositPercent,2)))</f>
        <v>0</v>
      </c>
      <c r="AD54" s="21">
        <f>IF(A54="","",SUMIFS('Quote Lines'!$Q$5:$Q$604,'Quote Lines'!$B$5:$B$604,A54))</f>
        <v>0</v>
      </c>
      <c r="AE54" s="21">
        <f>IF(A54="","",Z54-AD54)</f>
        <v>0</v>
      </c>
      <c r="AF54" s="38">
        <f>IF(OR(A54="",Z54=0),"",AE54/Z54)</f>
        <v>0</v>
      </c>
      <c r="AG54" s="18">
        <f>IF(OR(A54="",B54=""),"",IF(Q54&lt;&gt;"",Q54,B54+QuoteValidDays))</f>
        <v>0</v>
      </c>
      <c r="AH54" s="31">
        <f>IF(OR(A54="",L54=""),"",IF(OR(K54="Accepted",K54="Declined"),"",TodayDate-L54))</f>
        <v>0</v>
      </c>
      <c r="AI54" s="50">
        <f>IF(OR(A54="",AG54=""),"",IF(AND(AG54&lt;TodayDate,K54&lt;&gt;"Accepted",K54&lt;&gt;"Declined"),"Yes","No"))</f>
        <v>0</v>
      </c>
      <c r="AJ54" s="50">
        <f>IF(B54="","",IF(K54="Accepted","Yes",IF(K54="Declined","No","")))</f>
        <v>0</v>
      </c>
      <c r="AK54" s="39">
        <f>IF(B54="","",IF(K54="Accepted",IF(R54="","Action - accepted, book the job","OK - won"),IF(K54="Declined","Closed",IF(V54=0,"Add - no lines on this quote yet",IF(K54="Draft","Draft - not sent",IF(AI54="Yes","Expired - re-quote or close",IF(AND(AH54&lt;&gt;"",AH54&gt;=QuoteFollowupDays),"Chase - "&amp;AH54&amp;" days with no answer","OK")))))))</f>
        <v>0</v>
      </c>
    </row>
    <row r="55" spans="1:37">
      <c r="A55" s="43">
        <f>IF(B55="","",QuotePrefix&amp;TEXT(ROW()-4,"0000"))</f>
        <v>0</v>
      </c>
      <c r="C55" s="23">
        <f>IF(B55="","",TEXT(B55,"yyyy-mm"))</f>
        <v>0</v>
      </c>
      <c r="E55" s="23">
        <f>IF(D55&lt;&gt;"",IFERROR(INDEX(Clients!$B$5:$B$204,MATCH(D55,Clients!$A$5:$A$204,0)),F55),F55)</f>
        <v>0</v>
      </c>
      <c r="V55" s="31">
        <f>IF(A55="","",COUNTIFS('Quote Lines'!$B$5:$B$604,A55))</f>
        <v>0</v>
      </c>
      <c r="W55" s="34">
        <f>IF(A55="","",SUMIFS('Quote Lines'!$N$5:$N$604,'Quote Lines'!$B$5:$B$604,A55))</f>
        <v>0</v>
      </c>
      <c r="X55" s="21">
        <f>IF(A55="","",SUMIFS('Quote Lines'!$P$5:$P$604,'Quote Lines'!$B$5:$B$604,A55))</f>
        <v>0</v>
      </c>
      <c r="Y55" s="21">
        <f>IF(A55="","",ROUND(X55*IF(O55="",0,O55),2))</f>
        <v>0</v>
      </c>
      <c r="Z55" s="21">
        <f>IF(A55="","",X55-Y55)</f>
        <v>0</v>
      </c>
      <c r="AA55" s="21">
        <f>IF(A55="","",ROUND(Z55*TaxRate,2))</f>
        <v>0</v>
      </c>
      <c r="AB55" s="21">
        <f>IF(A55="","",Z55+AA55)</f>
        <v>0</v>
      </c>
      <c r="AC55" s="21">
        <f>IF(A55="","",IF(P55&lt;&gt;"",P55,ROUND(AB55*DepositPercent,2)))</f>
        <v>0</v>
      </c>
      <c r="AD55" s="21">
        <f>IF(A55="","",SUMIFS('Quote Lines'!$Q$5:$Q$604,'Quote Lines'!$B$5:$B$604,A55))</f>
        <v>0</v>
      </c>
      <c r="AE55" s="21">
        <f>IF(A55="","",Z55-AD55)</f>
        <v>0</v>
      </c>
      <c r="AF55" s="38">
        <f>IF(OR(A55="",Z55=0),"",AE55/Z55)</f>
        <v>0</v>
      </c>
      <c r="AG55" s="18">
        <f>IF(OR(A55="",B55=""),"",IF(Q55&lt;&gt;"",Q55,B55+QuoteValidDays))</f>
        <v>0</v>
      </c>
      <c r="AH55" s="31">
        <f>IF(OR(A55="",L55=""),"",IF(OR(K55="Accepted",K55="Declined"),"",TodayDate-L55))</f>
        <v>0</v>
      </c>
      <c r="AI55" s="50">
        <f>IF(OR(A55="",AG55=""),"",IF(AND(AG55&lt;TodayDate,K55&lt;&gt;"Accepted",K55&lt;&gt;"Declined"),"Yes","No"))</f>
        <v>0</v>
      </c>
      <c r="AJ55" s="50">
        <f>IF(B55="","",IF(K55="Accepted","Yes",IF(K55="Declined","No","")))</f>
        <v>0</v>
      </c>
      <c r="AK55" s="39">
        <f>IF(B55="","",IF(K55="Accepted",IF(R55="","Action - accepted, book the job","OK - won"),IF(K55="Declined","Closed",IF(V55=0,"Add - no lines on this quote yet",IF(K55="Draft","Draft - not sent",IF(AI55="Yes","Expired - re-quote or close",IF(AND(AH55&lt;&gt;"",AH55&gt;=QuoteFollowupDays),"Chase - "&amp;AH55&amp;" days with no answer","OK")))))))</f>
        <v>0</v>
      </c>
    </row>
    <row r="56" spans="1:37">
      <c r="A56" s="43">
        <f>IF(B56="","",QuotePrefix&amp;TEXT(ROW()-4,"0000"))</f>
        <v>0</v>
      </c>
      <c r="C56" s="23">
        <f>IF(B56="","",TEXT(B56,"yyyy-mm"))</f>
        <v>0</v>
      </c>
      <c r="E56" s="23">
        <f>IF(D56&lt;&gt;"",IFERROR(INDEX(Clients!$B$5:$B$204,MATCH(D56,Clients!$A$5:$A$204,0)),F56),F56)</f>
        <v>0</v>
      </c>
      <c r="V56" s="31">
        <f>IF(A56="","",COUNTIFS('Quote Lines'!$B$5:$B$604,A56))</f>
        <v>0</v>
      </c>
      <c r="W56" s="34">
        <f>IF(A56="","",SUMIFS('Quote Lines'!$N$5:$N$604,'Quote Lines'!$B$5:$B$604,A56))</f>
        <v>0</v>
      </c>
      <c r="X56" s="21">
        <f>IF(A56="","",SUMIFS('Quote Lines'!$P$5:$P$604,'Quote Lines'!$B$5:$B$604,A56))</f>
        <v>0</v>
      </c>
      <c r="Y56" s="21">
        <f>IF(A56="","",ROUND(X56*IF(O56="",0,O56),2))</f>
        <v>0</v>
      </c>
      <c r="Z56" s="21">
        <f>IF(A56="","",X56-Y56)</f>
        <v>0</v>
      </c>
      <c r="AA56" s="21">
        <f>IF(A56="","",ROUND(Z56*TaxRate,2))</f>
        <v>0</v>
      </c>
      <c r="AB56" s="21">
        <f>IF(A56="","",Z56+AA56)</f>
        <v>0</v>
      </c>
      <c r="AC56" s="21">
        <f>IF(A56="","",IF(P56&lt;&gt;"",P56,ROUND(AB56*DepositPercent,2)))</f>
        <v>0</v>
      </c>
      <c r="AD56" s="21">
        <f>IF(A56="","",SUMIFS('Quote Lines'!$Q$5:$Q$604,'Quote Lines'!$B$5:$B$604,A56))</f>
        <v>0</v>
      </c>
      <c r="AE56" s="21">
        <f>IF(A56="","",Z56-AD56)</f>
        <v>0</v>
      </c>
      <c r="AF56" s="38">
        <f>IF(OR(A56="",Z56=0),"",AE56/Z56)</f>
        <v>0</v>
      </c>
      <c r="AG56" s="18">
        <f>IF(OR(A56="",B56=""),"",IF(Q56&lt;&gt;"",Q56,B56+QuoteValidDays))</f>
        <v>0</v>
      </c>
      <c r="AH56" s="31">
        <f>IF(OR(A56="",L56=""),"",IF(OR(K56="Accepted",K56="Declined"),"",TodayDate-L56))</f>
        <v>0</v>
      </c>
      <c r="AI56" s="50">
        <f>IF(OR(A56="",AG56=""),"",IF(AND(AG56&lt;TodayDate,K56&lt;&gt;"Accepted",K56&lt;&gt;"Declined"),"Yes","No"))</f>
        <v>0</v>
      </c>
      <c r="AJ56" s="50">
        <f>IF(B56="","",IF(K56="Accepted","Yes",IF(K56="Declined","No","")))</f>
        <v>0</v>
      </c>
      <c r="AK56" s="39">
        <f>IF(B56="","",IF(K56="Accepted",IF(R56="","Action - accepted, book the job","OK - won"),IF(K56="Declined","Closed",IF(V56=0,"Add - no lines on this quote yet",IF(K56="Draft","Draft - not sent",IF(AI56="Yes","Expired - re-quote or close",IF(AND(AH56&lt;&gt;"",AH56&gt;=QuoteFollowupDays),"Chase - "&amp;AH56&amp;" days with no answer","OK")))))))</f>
        <v>0</v>
      </c>
    </row>
    <row r="57" spans="1:37">
      <c r="A57" s="43">
        <f>IF(B57="","",QuotePrefix&amp;TEXT(ROW()-4,"0000"))</f>
        <v>0</v>
      </c>
      <c r="C57" s="23">
        <f>IF(B57="","",TEXT(B57,"yyyy-mm"))</f>
        <v>0</v>
      </c>
      <c r="E57" s="23">
        <f>IF(D57&lt;&gt;"",IFERROR(INDEX(Clients!$B$5:$B$204,MATCH(D57,Clients!$A$5:$A$204,0)),F57),F57)</f>
        <v>0</v>
      </c>
      <c r="V57" s="31">
        <f>IF(A57="","",COUNTIFS('Quote Lines'!$B$5:$B$604,A57))</f>
        <v>0</v>
      </c>
      <c r="W57" s="34">
        <f>IF(A57="","",SUMIFS('Quote Lines'!$N$5:$N$604,'Quote Lines'!$B$5:$B$604,A57))</f>
        <v>0</v>
      </c>
      <c r="X57" s="21">
        <f>IF(A57="","",SUMIFS('Quote Lines'!$P$5:$P$604,'Quote Lines'!$B$5:$B$604,A57))</f>
        <v>0</v>
      </c>
      <c r="Y57" s="21">
        <f>IF(A57="","",ROUND(X57*IF(O57="",0,O57),2))</f>
        <v>0</v>
      </c>
      <c r="Z57" s="21">
        <f>IF(A57="","",X57-Y57)</f>
        <v>0</v>
      </c>
      <c r="AA57" s="21">
        <f>IF(A57="","",ROUND(Z57*TaxRate,2))</f>
        <v>0</v>
      </c>
      <c r="AB57" s="21">
        <f>IF(A57="","",Z57+AA57)</f>
        <v>0</v>
      </c>
      <c r="AC57" s="21">
        <f>IF(A57="","",IF(P57&lt;&gt;"",P57,ROUND(AB57*DepositPercent,2)))</f>
        <v>0</v>
      </c>
      <c r="AD57" s="21">
        <f>IF(A57="","",SUMIFS('Quote Lines'!$Q$5:$Q$604,'Quote Lines'!$B$5:$B$604,A57))</f>
        <v>0</v>
      </c>
      <c r="AE57" s="21">
        <f>IF(A57="","",Z57-AD57)</f>
        <v>0</v>
      </c>
      <c r="AF57" s="38">
        <f>IF(OR(A57="",Z57=0),"",AE57/Z57)</f>
        <v>0</v>
      </c>
      <c r="AG57" s="18">
        <f>IF(OR(A57="",B57=""),"",IF(Q57&lt;&gt;"",Q57,B57+QuoteValidDays))</f>
        <v>0</v>
      </c>
      <c r="AH57" s="31">
        <f>IF(OR(A57="",L57=""),"",IF(OR(K57="Accepted",K57="Declined"),"",TodayDate-L57))</f>
        <v>0</v>
      </c>
      <c r="AI57" s="50">
        <f>IF(OR(A57="",AG57=""),"",IF(AND(AG57&lt;TodayDate,K57&lt;&gt;"Accepted",K57&lt;&gt;"Declined"),"Yes","No"))</f>
        <v>0</v>
      </c>
      <c r="AJ57" s="50">
        <f>IF(B57="","",IF(K57="Accepted","Yes",IF(K57="Declined","No","")))</f>
        <v>0</v>
      </c>
      <c r="AK57" s="39">
        <f>IF(B57="","",IF(K57="Accepted",IF(R57="","Action - accepted, book the job","OK - won"),IF(K57="Declined","Closed",IF(V57=0,"Add - no lines on this quote yet",IF(K57="Draft","Draft - not sent",IF(AI57="Yes","Expired - re-quote or close",IF(AND(AH57&lt;&gt;"",AH57&gt;=QuoteFollowupDays),"Chase - "&amp;AH57&amp;" days with no answer","OK")))))))</f>
        <v>0</v>
      </c>
    </row>
    <row r="58" spans="1:37">
      <c r="A58" s="43">
        <f>IF(B58="","",QuotePrefix&amp;TEXT(ROW()-4,"0000"))</f>
        <v>0</v>
      </c>
      <c r="C58" s="23">
        <f>IF(B58="","",TEXT(B58,"yyyy-mm"))</f>
        <v>0</v>
      </c>
      <c r="E58" s="23">
        <f>IF(D58&lt;&gt;"",IFERROR(INDEX(Clients!$B$5:$B$204,MATCH(D58,Clients!$A$5:$A$204,0)),F58),F58)</f>
        <v>0</v>
      </c>
      <c r="V58" s="31">
        <f>IF(A58="","",COUNTIFS('Quote Lines'!$B$5:$B$604,A58))</f>
        <v>0</v>
      </c>
      <c r="W58" s="34">
        <f>IF(A58="","",SUMIFS('Quote Lines'!$N$5:$N$604,'Quote Lines'!$B$5:$B$604,A58))</f>
        <v>0</v>
      </c>
      <c r="X58" s="21">
        <f>IF(A58="","",SUMIFS('Quote Lines'!$P$5:$P$604,'Quote Lines'!$B$5:$B$604,A58))</f>
        <v>0</v>
      </c>
      <c r="Y58" s="21">
        <f>IF(A58="","",ROUND(X58*IF(O58="",0,O58),2))</f>
        <v>0</v>
      </c>
      <c r="Z58" s="21">
        <f>IF(A58="","",X58-Y58)</f>
        <v>0</v>
      </c>
      <c r="AA58" s="21">
        <f>IF(A58="","",ROUND(Z58*TaxRate,2))</f>
        <v>0</v>
      </c>
      <c r="AB58" s="21">
        <f>IF(A58="","",Z58+AA58)</f>
        <v>0</v>
      </c>
      <c r="AC58" s="21">
        <f>IF(A58="","",IF(P58&lt;&gt;"",P58,ROUND(AB58*DepositPercent,2)))</f>
        <v>0</v>
      </c>
      <c r="AD58" s="21">
        <f>IF(A58="","",SUMIFS('Quote Lines'!$Q$5:$Q$604,'Quote Lines'!$B$5:$B$604,A58))</f>
        <v>0</v>
      </c>
      <c r="AE58" s="21">
        <f>IF(A58="","",Z58-AD58)</f>
        <v>0</v>
      </c>
      <c r="AF58" s="38">
        <f>IF(OR(A58="",Z58=0),"",AE58/Z58)</f>
        <v>0</v>
      </c>
      <c r="AG58" s="18">
        <f>IF(OR(A58="",B58=""),"",IF(Q58&lt;&gt;"",Q58,B58+QuoteValidDays))</f>
        <v>0</v>
      </c>
      <c r="AH58" s="31">
        <f>IF(OR(A58="",L58=""),"",IF(OR(K58="Accepted",K58="Declined"),"",TodayDate-L58))</f>
        <v>0</v>
      </c>
      <c r="AI58" s="50">
        <f>IF(OR(A58="",AG58=""),"",IF(AND(AG58&lt;TodayDate,K58&lt;&gt;"Accepted",K58&lt;&gt;"Declined"),"Yes","No"))</f>
        <v>0</v>
      </c>
      <c r="AJ58" s="50">
        <f>IF(B58="","",IF(K58="Accepted","Yes",IF(K58="Declined","No","")))</f>
        <v>0</v>
      </c>
      <c r="AK58" s="39">
        <f>IF(B58="","",IF(K58="Accepted",IF(R58="","Action - accepted, book the job","OK - won"),IF(K58="Declined","Closed",IF(V58=0,"Add - no lines on this quote yet",IF(K58="Draft","Draft - not sent",IF(AI58="Yes","Expired - re-quote or close",IF(AND(AH58&lt;&gt;"",AH58&gt;=QuoteFollowupDays),"Chase - "&amp;AH58&amp;" days with no answer","OK")))))))</f>
        <v>0</v>
      </c>
    </row>
    <row r="59" spans="1:37">
      <c r="A59" s="43">
        <f>IF(B59="","",QuotePrefix&amp;TEXT(ROW()-4,"0000"))</f>
        <v>0</v>
      </c>
      <c r="C59" s="23">
        <f>IF(B59="","",TEXT(B59,"yyyy-mm"))</f>
        <v>0</v>
      </c>
      <c r="E59" s="23">
        <f>IF(D59&lt;&gt;"",IFERROR(INDEX(Clients!$B$5:$B$204,MATCH(D59,Clients!$A$5:$A$204,0)),F59),F59)</f>
        <v>0</v>
      </c>
      <c r="V59" s="31">
        <f>IF(A59="","",COUNTIFS('Quote Lines'!$B$5:$B$604,A59))</f>
        <v>0</v>
      </c>
      <c r="W59" s="34">
        <f>IF(A59="","",SUMIFS('Quote Lines'!$N$5:$N$604,'Quote Lines'!$B$5:$B$604,A59))</f>
        <v>0</v>
      </c>
      <c r="X59" s="21">
        <f>IF(A59="","",SUMIFS('Quote Lines'!$P$5:$P$604,'Quote Lines'!$B$5:$B$604,A59))</f>
        <v>0</v>
      </c>
      <c r="Y59" s="21">
        <f>IF(A59="","",ROUND(X59*IF(O59="",0,O59),2))</f>
        <v>0</v>
      </c>
      <c r="Z59" s="21">
        <f>IF(A59="","",X59-Y59)</f>
        <v>0</v>
      </c>
      <c r="AA59" s="21">
        <f>IF(A59="","",ROUND(Z59*TaxRate,2))</f>
        <v>0</v>
      </c>
      <c r="AB59" s="21">
        <f>IF(A59="","",Z59+AA59)</f>
        <v>0</v>
      </c>
      <c r="AC59" s="21">
        <f>IF(A59="","",IF(P59&lt;&gt;"",P59,ROUND(AB59*DepositPercent,2)))</f>
        <v>0</v>
      </c>
      <c r="AD59" s="21">
        <f>IF(A59="","",SUMIFS('Quote Lines'!$Q$5:$Q$604,'Quote Lines'!$B$5:$B$604,A59))</f>
        <v>0</v>
      </c>
      <c r="AE59" s="21">
        <f>IF(A59="","",Z59-AD59)</f>
        <v>0</v>
      </c>
      <c r="AF59" s="38">
        <f>IF(OR(A59="",Z59=0),"",AE59/Z59)</f>
        <v>0</v>
      </c>
      <c r="AG59" s="18">
        <f>IF(OR(A59="",B59=""),"",IF(Q59&lt;&gt;"",Q59,B59+QuoteValidDays))</f>
        <v>0</v>
      </c>
      <c r="AH59" s="31">
        <f>IF(OR(A59="",L59=""),"",IF(OR(K59="Accepted",K59="Declined"),"",TodayDate-L59))</f>
        <v>0</v>
      </c>
      <c r="AI59" s="50">
        <f>IF(OR(A59="",AG59=""),"",IF(AND(AG59&lt;TodayDate,K59&lt;&gt;"Accepted",K59&lt;&gt;"Declined"),"Yes","No"))</f>
        <v>0</v>
      </c>
      <c r="AJ59" s="50">
        <f>IF(B59="","",IF(K59="Accepted","Yes",IF(K59="Declined","No","")))</f>
        <v>0</v>
      </c>
      <c r="AK59" s="39">
        <f>IF(B59="","",IF(K59="Accepted",IF(R59="","Action - accepted, book the job","OK - won"),IF(K59="Declined","Closed",IF(V59=0,"Add - no lines on this quote yet",IF(K59="Draft","Draft - not sent",IF(AI59="Yes","Expired - re-quote or close",IF(AND(AH59&lt;&gt;"",AH59&gt;=QuoteFollowupDays),"Chase - "&amp;AH59&amp;" days with no answer","OK")))))))</f>
        <v>0</v>
      </c>
    </row>
    <row r="60" spans="1:37">
      <c r="A60" s="43">
        <f>IF(B60="","",QuotePrefix&amp;TEXT(ROW()-4,"0000"))</f>
        <v>0</v>
      </c>
      <c r="C60" s="23">
        <f>IF(B60="","",TEXT(B60,"yyyy-mm"))</f>
        <v>0</v>
      </c>
      <c r="E60" s="23">
        <f>IF(D60&lt;&gt;"",IFERROR(INDEX(Clients!$B$5:$B$204,MATCH(D60,Clients!$A$5:$A$204,0)),F60),F60)</f>
        <v>0</v>
      </c>
      <c r="V60" s="31">
        <f>IF(A60="","",COUNTIFS('Quote Lines'!$B$5:$B$604,A60))</f>
        <v>0</v>
      </c>
      <c r="W60" s="34">
        <f>IF(A60="","",SUMIFS('Quote Lines'!$N$5:$N$604,'Quote Lines'!$B$5:$B$604,A60))</f>
        <v>0</v>
      </c>
      <c r="X60" s="21">
        <f>IF(A60="","",SUMIFS('Quote Lines'!$P$5:$P$604,'Quote Lines'!$B$5:$B$604,A60))</f>
        <v>0</v>
      </c>
      <c r="Y60" s="21">
        <f>IF(A60="","",ROUND(X60*IF(O60="",0,O60),2))</f>
        <v>0</v>
      </c>
      <c r="Z60" s="21">
        <f>IF(A60="","",X60-Y60)</f>
        <v>0</v>
      </c>
      <c r="AA60" s="21">
        <f>IF(A60="","",ROUND(Z60*TaxRate,2))</f>
        <v>0</v>
      </c>
      <c r="AB60" s="21">
        <f>IF(A60="","",Z60+AA60)</f>
        <v>0</v>
      </c>
      <c r="AC60" s="21">
        <f>IF(A60="","",IF(P60&lt;&gt;"",P60,ROUND(AB60*DepositPercent,2)))</f>
        <v>0</v>
      </c>
      <c r="AD60" s="21">
        <f>IF(A60="","",SUMIFS('Quote Lines'!$Q$5:$Q$604,'Quote Lines'!$B$5:$B$604,A60))</f>
        <v>0</v>
      </c>
      <c r="AE60" s="21">
        <f>IF(A60="","",Z60-AD60)</f>
        <v>0</v>
      </c>
      <c r="AF60" s="38">
        <f>IF(OR(A60="",Z60=0),"",AE60/Z60)</f>
        <v>0</v>
      </c>
      <c r="AG60" s="18">
        <f>IF(OR(A60="",B60=""),"",IF(Q60&lt;&gt;"",Q60,B60+QuoteValidDays))</f>
        <v>0</v>
      </c>
      <c r="AH60" s="31">
        <f>IF(OR(A60="",L60=""),"",IF(OR(K60="Accepted",K60="Declined"),"",TodayDate-L60))</f>
        <v>0</v>
      </c>
      <c r="AI60" s="50">
        <f>IF(OR(A60="",AG60=""),"",IF(AND(AG60&lt;TodayDate,K60&lt;&gt;"Accepted",K60&lt;&gt;"Declined"),"Yes","No"))</f>
        <v>0</v>
      </c>
      <c r="AJ60" s="50">
        <f>IF(B60="","",IF(K60="Accepted","Yes",IF(K60="Declined","No","")))</f>
        <v>0</v>
      </c>
      <c r="AK60" s="39">
        <f>IF(B60="","",IF(K60="Accepted",IF(R60="","Action - accepted, book the job","OK - won"),IF(K60="Declined","Closed",IF(V60=0,"Add - no lines on this quote yet",IF(K60="Draft","Draft - not sent",IF(AI60="Yes","Expired - re-quote or close",IF(AND(AH60&lt;&gt;"",AH60&gt;=QuoteFollowupDays),"Chase - "&amp;AH60&amp;" days with no answer","OK")))))))</f>
        <v>0</v>
      </c>
    </row>
    <row r="61" spans="1:37">
      <c r="A61" s="43">
        <f>IF(B61="","",QuotePrefix&amp;TEXT(ROW()-4,"0000"))</f>
        <v>0</v>
      </c>
      <c r="C61" s="23">
        <f>IF(B61="","",TEXT(B61,"yyyy-mm"))</f>
        <v>0</v>
      </c>
      <c r="E61" s="23">
        <f>IF(D61&lt;&gt;"",IFERROR(INDEX(Clients!$B$5:$B$204,MATCH(D61,Clients!$A$5:$A$204,0)),F61),F61)</f>
        <v>0</v>
      </c>
      <c r="V61" s="31">
        <f>IF(A61="","",COUNTIFS('Quote Lines'!$B$5:$B$604,A61))</f>
        <v>0</v>
      </c>
      <c r="W61" s="34">
        <f>IF(A61="","",SUMIFS('Quote Lines'!$N$5:$N$604,'Quote Lines'!$B$5:$B$604,A61))</f>
        <v>0</v>
      </c>
      <c r="X61" s="21">
        <f>IF(A61="","",SUMIFS('Quote Lines'!$P$5:$P$604,'Quote Lines'!$B$5:$B$604,A61))</f>
        <v>0</v>
      </c>
      <c r="Y61" s="21">
        <f>IF(A61="","",ROUND(X61*IF(O61="",0,O61),2))</f>
        <v>0</v>
      </c>
      <c r="Z61" s="21">
        <f>IF(A61="","",X61-Y61)</f>
        <v>0</v>
      </c>
      <c r="AA61" s="21">
        <f>IF(A61="","",ROUND(Z61*TaxRate,2))</f>
        <v>0</v>
      </c>
      <c r="AB61" s="21">
        <f>IF(A61="","",Z61+AA61)</f>
        <v>0</v>
      </c>
      <c r="AC61" s="21">
        <f>IF(A61="","",IF(P61&lt;&gt;"",P61,ROUND(AB61*DepositPercent,2)))</f>
        <v>0</v>
      </c>
      <c r="AD61" s="21">
        <f>IF(A61="","",SUMIFS('Quote Lines'!$Q$5:$Q$604,'Quote Lines'!$B$5:$B$604,A61))</f>
        <v>0</v>
      </c>
      <c r="AE61" s="21">
        <f>IF(A61="","",Z61-AD61)</f>
        <v>0</v>
      </c>
      <c r="AF61" s="38">
        <f>IF(OR(A61="",Z61=0),"",AE61/Z61)</f>
        <v>0</v>
      </c>
      <c r="AG61" s="18">
        <f>IF(OR(A61="",B61=""),"",IF(Q61&lt;&gt;"",Q61,B61+QuoteValidDays))</f>
        <v>0</v>
      </c>
      <c r="AH61" s="31">
        <f>IF(OR(A61="",L61=""),"",IF(OR(K61="Accepted",K61="Declined"),"",TodayDate-L61))</f>
        <v>0</v>
      </c>
      <c r="AI61" s="50">
        <f>IF(OR(A61="",AG61=""),"",IF(AND(AG61&lt;TodayDate,K61&lt;&gt;"Accepted",K61&lt;&gt;"Declined"),"Yes","No"))</f>
        <v>0</v>
      </c>
      <c r="AJ61" s="50">
        <f>IF(B61="","",IF(K61="Accepted","Yes",IF(K61="Declined","No","")))</f>
        <v>0</v>
      </c>
      <c r="AK61" s="39">
        <f>IF(B61="","",IF(K61="Accepted",IF(R61="","Action - accepted, book the job","OK - won"),IF(K61="Declined","Closed",IF(V61=0,"Add - no lines on this quote yet",IF(K61="Draft","Draft - not sent",IF(AI61="Yes","Expired - re-quote or close",IF(AND(AH61&lt;&gt;"",AH61&gt;=QuoteFollowupDays),"Chase - "&amp;AH61&amp;" days with no answer","OK")))))))</f>
        <v>0</v>
      </c>
    </row>
    <row r="62" spans="1:37">
      <c r="A62" s="43">
        <f>IF(B62="","",QuotePrefix&amp;TEXT(ROW()-4,"0000"))</f>
        <v>0</v>
      </c>
      <c r="C62" s="23">
        <f>IF(B62="","",TEXT(B62,"yyyy-mm"))</f>
        <v>0</v>
      </c>
      <c r="E62" s="23">
        <f>IF(D62&lt;&gt;"",IFERROR(INDEX(Clients!$B$5:$B$204,MATCH(D62,Clients!$A$5:$A$204,0)),F62),F62)</f>
        <v>0</v>
      </c>
      <c r="V62" s="31">
        <f>IF(A62="","",COUNTIFS('Quote Lines'!$B$5:$B$604,A62))</f>
        <v>0</v>
      </c>
      <c r="W62" s="34">
        <f>IF(A62="","",SUMIFS('Quote Lines'!$N$5:$N$604,'Quote Lines'!$B$5:$B$604,A62))</f>
        <v>0</v>
      </c>
      <c r="X62" s="21">
        <f>IF(A62="","",SUMIFS('Quote Lines'!$P$5:$P$604,'Quote Lines'!$B$5:$B$604,A62))</f>
        <v>0</v>
      </c>
      <c r="Y62" s="21">
        <f>IF(A62="","",ROUND(X62*IF(O62="",0,O62),2))</f>
        <v>0</v>
      </c>
      <c r="Z62" s="21">
        <f>IF(A62="","",X62-Y62)</f>
        <v>0</v>
      </c>
      <c r="AA62" s="21">
        <f>IF(A62="","",ROUND(Z62*TaxRate,2))</f>
        <v>0</v>
      </c>
      <c r="AB62" s="21">
        <f>IF(A62="","",Z62+AA62)</f>
        <v>0</v>
      </c>
      <c r="AC62" s="21">
        <f>IF(A62="","",IF(P62&lt;&gt;"",P62,ROUND(AB62*DepositPercent,2)))</f>
        <v>0</v>
      </c>
      <c r="AD62" s="21">
        <f>IF(A62="","",SUMIFS('Quote Lines'!$Q$5:$Q$604,'Quote Lines'!$B$5:$B$604,A62))</f>
        <v>0</v>
      </c>
      <c r="AE62" s="21">
        <f>IF(A62="","",Z62-AD62)</f>
        <v>0</v>
      </c>
      <c r="AF62" s="38">
        <f>IF(OR(A62="",Z62=0),"",AE62/Z62)</f>
        <v>0</v>
      </c>
      <c r="AG62" s="18">
        <f>IF(OR(A62="",B62=""),"",IF(Q62&lt;&gt;"",Q62,B62+QuoteValidDays))</f>
        <v>0</v>
      </c>
      <c r="AH62" s="31">
        <f>IF(OR(A62="",L62=""),"",IF(OR(K62="Accepted",K62="Declined"),"",TodayDate-L62))</f>
        <v>0</v>
      </c>
      <c r="AI62" s="50">
        <f>IF(OR(A62="",AG62=""),"",IF(AND(AG62&lt;TodayDate,K62&lt;&gt;"Accepted",K62&lt;&gt;"Declined"),"Yes","No"))</f>
        <v>0</v>
      </c>
      <c r="AJ62" s="50">
        <f>IF(B62="","",IF(K62="Accepted","Yes",IF(K62="Declined","No","")))</f>
        <v>0</v>
      </c>
      <c r="AK62" s="39">
        <f>IF(B62="","",IF(K62="Accepted",IF(R62="","Action - accepted, book the job","OK - won"),IF(K62="Declined","Closed",IF(V62=0,"Add - no lines on this quote yet",IF(K62="Draft","Draft - not sent",IF(AI62="Yes","Expired - re-quote or close",IF(AND(AH62&lt;&gt;"",AH62&gt;=QuoteFollowupDays),"Chase - "&amp;AH62&amp;" days with no answer","OK")))))))</f>
        <v>0</v>
      </c>
    </row>
    <row r="63" spans="1:37">
      <c r="A63" s="43">
        <f>IF(B63="","",QuotePrefix&amp;TEXT(ROW()-4,"0000"))</f>
        <v>0</v>
      </c>
      <c r="C63" s="23">
        <f>IF(B63="","",TEXT(B63,"yyyy-mm"))</f>
        <v>0</v>
      </c>
      <c r="E63" s="23">
        <f>IF(D63&lt;&gt;"",IFERROR(INDEX(Clients!$B$5:$B$204,MATCH(D63,Clients!$A$5:$A$204,0)),F63),F63)</f>
        <v>0</v>
      </c>
      <c r="V63" s="31">
        <f>IF(A63="","",COUNTIFS('Quote Lines'!$B$5:$B$604,A63))</f>
        <v>0</v>
      </c>
      <c r="W63" s="34">
        <f>IF(A63="","",SUMIFS('Quote Lines'!$N$5:$N$604,'Quote Lines'!$B$5:$B$604,A63))</f>
        <v>0</v>
      </c>
      <c r="X63" s="21">
        <f>IF(A63="","",SUMIFS('Quote Lines'!$P$5:$P$604,'Quote Lines'!$B$5:$B$604,A63))</f>
        <v>0</v>
      </c>
      <c r="Y63" s="21">
        <f>IF(A63="","",ROUND(X63*IF(O63="",0,O63),2))</f>
        <v>0</v>
      </c>
      <c r="Z63" s="21">
        <f>IF(A63="","",X63-Y63)</f>
        <v>0</v>
      </c>
      <c r="AA63" s="21">
        <f>IF(A63="","",ROUND(Z63*TaxRate,2))</f>
        <v>0</v>
      </c>
      <c r="AB63" s="21">
        <f>IF(A63="","",Z63+AA63)</f>
        <v>0</v>
      </c>
      <c r="AC63" s="21">
        <f>IF(A63="","",IF(P63&lt;&gt;"",P63,ROUND(AB63*DepositPercent,2)))</f>
        <v>0</v>
      </c>
      <c r="AD63" s="21">
        <f>IF(A63="","",SUMIFS('Quote Lines'!$Q$5:$Q$604,'Quote Lines'!$B$5:$B$604,A63))</f>
        <v>0</v>
      </c>
      <c r="AE63" s="21">
        <f>IF(A63="","",Z63-AD63)</f>
        <v>0</v>
      </c>
      <c r="AF63" s="38">
        <f>IF(OR(A63="",Z63=0),"",AE63/Z63)</f>
        <v>0</v>
      </c>
      <c r="AG63" s="18">
        <f>IF(OR(A63="",B63=""),"",IF(Q63&lt;&gt;"",Q63,B63+QuoteValidDays))</f>
        <v>0</v>
      </c>
      <c r="AH63" s="31">
        <f>IF(OR(A63="",L63=""),"",IF(OR(K63="Accepted",K63="Declined"),"",TodayDate-L63))</f>
        <v>0</v>
      </c>
      <c r="AI63" s="50">
        <f>IF(OR(A63="",AG63=""),"",IF(AND(AG63&lt;TodayDate,K63&lt;&gt;"Accepted",K63&lt;&gt;"Declined"),"Yes","No"))</f>
        <v>0</v>
      </c>
      <c r="AJ63" s="50">
        <f>IF(B63="","",IF(K63="Accepted","Yes",IF(K63="Declined","No","")))</f>
        <v>0</v>
      </c>
      <c r="AK63" s="39">
        <f>IF(B63="","",IF(K63="Accepted",IF(R63="","Action - accepted, book the job","OK - won"),IF(K63="Declined","Closed",IF(V63=0,"Add - no lines on this quote yet",IF(K63="Draft","Draft - not sent",IF(AI63="Yes","Expired - re-quote or close",IF(AND(AH63&lt;&gt;"",AH63&gt;=QuoteFollowupDays),"Chase - "&amp;AH63&amp;" days with no answer","OK")))))))</f>
        <v>0</v>
      </c>
    </row>
    <row r="64" spans="1:37">
      <c r="A64" s="43">
        <f>IF(B64="","",QuotePrefix&amp;TEXT(ROW()-4,"0000"))</f>
        <v>0</v>
      </c>
      <c r="C64" s="23">
        <f>IF(B64="","",TEXT(B64,"yyyy-mm"))</f>
        <v>0</v>
      </c>
      <c r="E64" s="23">
        <f>IF(D64&lt;&gt;"",IFERROR(INDEX(Clients!$B$5:$B$204,MATCH(D64,Clients!$A$5:$A$204,0)),F64),F64)</f>
        <v>0</v>
      </c>
      <c r="V64" s="31">
        <f>IF(A64="","",COUNTIFS('Quote Lines'!$B$5:$B$604,A64))</f>
        <v>0</v>
      </c>
      <c r="W64" s="34">
        <f>IF(A64="","",SUMIFS('Quote Lines'!$N$5:$N$604,'Quote Lines'!$B$5:$B$604,A64))</f>
        <v>0</v>
      </c>
      <c r="X64" s="21">
        <f>IF(A64="","",SUMIFS('Quote Lines'!$P$5:$P$604,'Quote Lines'!$B$5:$B$604,A64))</f>
        <v>0</v>
      </c>
      <c r="Y64" s="21">
        <f>IF(A64="","",ROUND(X64*IF(O64="",0,O64),2))</f>
        <v>0</v>
      </c>
      <c r="Z64" s="21">
        <f>IF(A64="","",X64-Y64)</f>
        <v>0</v>
      </c>
      <c r="AA64" s="21">
        <f>IF(A64="","",ROUND(Z64*TaxRate,2))</f>
        <v>0</v>
      </c>
      <c r="AB64" s="21">
        <f>IF(A64="","",Z64+AA64)</f>
        <v>0</v>
      </c>
      <c r="AC64" s="21">
        <f>IF(A64="","",IF(P64&lt;&gt;"",P64,ROUND(AB64*DepositPercent,2)))</f>
        <v>0</v>
      </c>
      <c r="AD64" s="21">
        <f>IF(A64="","",SUMIFS('Quote Lines'!$Q$5:$Q$604,'Quote Lines'!$B$5:$B$604,A64))</f>
        <v>0</v>
      </c>
      <c r="AE64" s="21">
        <f>IF(A64="","",Z64-AD64)</f>
        <v>0</v>
      </c>
      <c r="AF64" s="38">
        <f>IF(OR(A64="",Z64=0),"",AE64/Z64)</f>
        <v>0</v>
      </c>
      <c r="AG64" s="18">
        <f>IF(OR(A64="",B64=""),"",IF(Q64&lt;&gt;"",Q64,B64+QuoteValidDays))</f>
        <v>0</v>
      </c>
      <c r="AH64" s="31">
        <f>IF(OR(A64="",L64=""),"",IF(OR(K64="Accepted",K64="Declined"),"",TodayDate-L64))</f>
        <v>0</v>
      </c>
      <c r="AI64" s="50">
        <f>IF(OR(A64="",AG64=""),"",IF(AND(AG64&lt;TodayDate,K64&lt;&gt;"Accepted",K64&lt;&gt;"Declined"),"Yes","No"))</f>
        <v>0</v>
      </c>
      <c r="AJ64" s="50">
        <f>IF(B64="","",IF(K64="Accepted","Yes",IF(K64="Declined","No","")))</f>
        <v>0</v>
      </c>
      <c r="AK64" s="39">
        <f>IF(B64="","",IF(K64="Accepted",IF(R64="","Action - accepted, book the job","OK - won"),IF(K64="Declined","Closed",IF(V64=0,"Add - no lines on this quote yet",IF(K64="Draft","Draft - not sent",IF(AI64="Yes","Expired - re-quote or close",IF(AND(AH64&lt;&gt;"",AH64&gt;=QuoteFollowupDays),"Chase - "&amp;AH64&amp;" days with no answer","OK")))))))</f>
        <v>0</v>
      </c>
    </row>
    <row r="65" spans="1:37">
      <c r="A65" s="43">
        <f>IF(B65="","",QuotePrefix&amp;TEXT(ROW()-4,"0000"))</f>
        <v>0</v>
      </c>
      <c r="C65" s="23">
        <f>IF(B65="","",TEXT(B65,"yyyy-mm"))</f>
        <v>0</v>
      </c>
      <c r="E65" s="23">
        <f>IF(D65&lt;&gt;"",IFERROR(INDEX(Clients!$B$5:$B$204,MATCH(D65,Clients!$A$5:$A$204,0)),F65),F65)</f>
        <v>0</v>
      </c>
      <c r="V65" s="31">
        <f>IF(A65="","",COUNTIFS('Quote Lines'!$B$5:$B$604,A65))</f>
        <v>0</v>
      </c>
      <c r="W65" s="34">
        <f>IF(A65="","",SUMIFS('Quote Lines'!$N$5:$N$604,'Quote Lines'!$B$5:$B$604,A65))</f>
        <v>0</v>
      </c>
      <c r="X65" s="21">
        <f>IF(A65="","",SUMIFS('Quote Lines'!$P$5:$P$604,'Quote Lines'!$B$5:$B$604,A65))</f>
        <v>0</v>
      </c>
      <c r="Y65" s="21">
        <f>IF(A65="","",ROUND(X65*IF(O65="",0,O65),2))</f>
        <v>0</v>
      </c>
      <c r="Z65" s="21">
        <f>IF(A65="","",X65-Y65)</f>
        <v>0</v>
      </c>
      <c r="AA65" s="21">
        <f>IF(A65="","",ROUND(Z65*TaxRate,2))</f>
        <v>0</v>
      </c>
      <c r="AB65" s="21">
        <f>IF(A65="","",Z65+AA65)</f>
        <v>0</v>
      </c>
      <c r="AC65" s="21">
        <f>IF(A65="","",IF(P65&lt;&gt;"",P65,ROUND(AB65*DepositPercent,2)))</f>
        <v>0</v>
      </c>
      <c r="AD65" s="21">
        <f>IF(A65="","",SUMIFS('Quote Lines'!$Q$5:$Q$604,'Quote Lines'!$B$5:$B$604,A65))</f>
        <v>0</v>
      </c>
      <c r="AE65" s="21">
        <f>IF(A65="","",Z65-AD65)</f>
        <v>0</v>
      </c>
      <c r="AF65" s="38">
        <f>IF(OR(A65="",Z65=0),"",AE65/Z65)</f>
        <v>0</v>
      </c>
      <c r="AG65" s="18">
        <f>IF(OR(A65="",B65=""),"",IF(Q65&lt;&gt;"",Q65,B65+QuoteValidDays))</f>
        <v>0</v>
      </c>
      <c r="AH65" s="31">
        <f>IF(OR(A65="",L65=""),"",IF(OR(K65="Accepted",K65="Declined"),"",TodayDate-L65))</f>
        <v>0</v>
      </c>
      <c r="AI65" s="50">
        <f>IF(OR(A65="",AG65=""),"",IF(AND(AG65&lt;TodayDate,K65&lt;&gt;"Accepted",K65&lt;&gt;"Declined"),"Yes","No"))</f>
        <v>0</v>
      </c>
      <c r="AJ65" s="50">
        <f>IF(B65="","",IF(K65="Accepted","Yes",IF(K65="Declined","No","")))</f>
        <v>0</v>
      </c>
      <c r="AK65" s="39">
        <f>IF(B65="","",IF(K65="Accepted",IF(R65="","Action - accepted, book the job","OK - won"),IF(K65="Declined","Closed",IF(V65=0,"Add - no lines on this quote yet",IF(K65="Draft","Draft - not sent",IF(AI65="Yes","Expired - re-quote or close",IF(AND(AH65&lt;&gt;"",AH65&gt;=QuoteFollowupDays),"Chase - "&amp;AH65&amp;" days with no answer","OK")))))))</f>
        <v>0</v>
      </c>
    </row>
    <row r="66" spans="1:37">
      <c r="A66" s="43">
        <f>IF(B66="","",QuotePrefix&amp;TEXT(ROW()-4,"0000"))</f>
        <v>0</v>
      </c>
      <c r="C66" s="23">
        <f>IF(B66="","",TEXT(B66,"yyyy-mm"))</f>
        <v>0</v>
      </c>
      <c r="E66" s="23">
        <f>IF(D66&lt;&gt;"",IFERROR(INDEX(Clients!$B$5:$B$204,MATCH(D66,Clients!$A$5:$A$204,0)),F66),F66)</f>
        <v>0</v>
      </c>
      <c r="V66" s="31">
        <f>IF(A66="","",COUNTIFS('Quote Lines'!$B$5:$B$604,A66))</f>
        <v>0</v>
      </c>
      <c r="W66" s="34">
        <f>IF(A66="","",SUMIFS('Quote Lines'!$N$5:$N$604,'Quote Lines'!$B$5:$B$604,A66))</f>
        <v>0</v>
      </c>
      <c r="X66" s="21">
        <f>IF(A66="","",SUMIFS('Quote Lines'!$P$5:$P$604,'Quote Lines'!$B$5:$B$604,A66))</f>
        <v>0</v>
      </c>
      <c r="Y66" s="21">
        <f>IF(A66="","",ROUND(X66*IF(O66="",0,O66),2))</f>
        <v>0</v>
      </c>
      <c r="Z66" s="21">
        <f>IF(A66="","",X66-Y66)</f>
        <v>0</v>
      </c>
      <c r="AA66" s="21">
        <f>IF(A66="","",ROUND(Z66*TaxRate,2))</f>
        <v>0</v>
      </c>
      <c r="AB66" s="21">
        <f>IF(A66="","",Z66+AA66)</f>
        <v>0</v>
      </c>
      <c r="AC66" s="21">
        <f>IF(A66="","",IF(P66&lt;&gt;"",P66,ROUND(AB66*DepositPercent,2)))</f>
        <v>0</v>
      </c>
      <c r="AD66" s="21">
        <f>IF(A66="","",SUMIFS('Quote Lines'!$Q$5:$Q$604,'Quote Lines'!$B$5:$B$604,A66))</f>
        <v>0</v>
      </c>
      <c r="AE66" s="21">
        <f>IF(A66="","",Z66-AD66)</f>
        <v>0</v>
      </c>
      <c r="AF66" s="38">
        <f>IF(OR(A66="",Z66=0),"",AE66/Z66)</f>
        <v>0</v>
      </c>
      <c r="AG66" s="18">
        <f>IF(OR(A66="",B66=""),"",IF(Q66&lt;&gt;"",Q66,B66+QuoteValidDays))</f>
        <v>0</v>
      </c>
      <c r="AH66" s="31">
        <f>IF(OR(A66="",L66=""),"",IF(OR(K66="Accepted",K66="Declined"),"",TodayDate-L66))</f>
        <v>0</v>
      </c>
      <c r="AI66" s="50">
        <f>IF(OR(A66="",AG66=""),"",IF(AND(AG66&lt;TodayDate,K66&lt;&gt;"Accepted",K66&lt;&gt;"Declined"),"Yes","No"))</f>
        <v>0</v>
      </c>
      <c r="AJ66" s="50">
        <f>IF(B66="","",IF(K66="Accepted","Yes",IF(K66="Declined","No","")))</f>
        <v>0</v>
      </c>
      <c r="AK66" s="39">
        <f>IF(B66="","",IF(K66="Accepted",IF(R66="","Action - accepted, book the job","OK - won"),IF(K66="Declined","Closed",IF(V66=0,"Add - no lines on this quote yet",IF(K66="Draft","Draft - not sent",IF(AI66="Yes","Expired - re-quote or close",IF(AND(AH66&lt;&gt;"",AH66&gt;=QuoteFollowupDays),"Chase - "&amp;AH66&amp;" days with no answer","OK")))))))</f>
        <v>0</v>
      </c>
    </row>
    <row r="67" spans="1:37">
      <c r="A67" s="43">
        <f>IF(B67="","",QuotePrefix&amp;TEXT(ROW()-4,"0000"))</f>
        <v>0</v>
      </c>
      <c r="C67" s="23">
        <f>IF(B67="","",TEXT(B67,"yyyy-mm"))</f>
        <v>0</v>
      </c>
      <c r="E67" s="23">
        <f>IF(D67&lt;&gt;"",IFERROR(INDEX(Clients!$B$5:$B$204,MATCH(D67,Clients!$A$5:$A$204,0)),F67),F67)</f>
        <v>0</v>
      </c>
      <c r="V67" s="31">
        <f>IF(A67="","",COUNTIFS('Quote Lines'!$B$5:$B$604,A67))</f>
        <v>0</v>
      </c>
      <c r="W67" s="34">
        <f>IF(A67="","",SUMIFS('Quote Lines'!$N$5:$N$604,'Quote Lines'!$B$5:$B$604,A67))</f>
        <v>0</v>
      </c>
      <c r="X67" s="21">
        <f>IF(A67="","",SUMIFS('Quote Lines'!$P$5:$P$604,'Quote Lines'!$B$5:$B$604,A67))</f>
        <v>0</v>
      </c>
      <c r="Y67" s="21">
        <f>IF(A67="","",ROUND(X67*IF(O67="",0,O67),2))</f>
        <v>0</v>
      </c>
      <c r="Z67" s="21">
        <f>IF(A67="","",X67-Y67)</f>
        <v>0</v>
      </c>
      <c r="AA67" s="21">
        <f>IF(A67="","",ROUND(Z67*TaxRate,2))</f>
        <v>0</v>
      </c>
      <c r="AB67" s="21">
        <f>IF(A67="","",Z67+AA67)</f>
        <v>0</v>
      </c>
      <c r="AC67" s="21">
        <f>IF(A67="","",IF(P67&lt;&gt;"",P67,ROUND(AB67*DepositPercent,2)))</f>
        <v>0</v>
      </c>
      <c r="AD67" s="21">
        <f>IF(A67="","",SUMIFS('Quote Lines'!$Q$5:$Q$604,'Quote Lines'!$B$5:$B$604,A67))</f>
        <v>0</v>
      </c>
      <c r="AE67" s="21">
        <f>IF(A67="","",Z67-AD67)</f>
        <v>0</v>
      </c>
      <c r="AF67" s="38">
        <f>IF(OR(A67="",Z67=0),"",AE67/Z67)</f>
        <v>0</v>
      </c>
      <c r="AG67" s="18">
        <f>IF(OR(A67="",B67=""),"",IF(Q67&lt;&gt;"",Q67,B67+QuoteValidDays))</f>
        <v>0</v>
      </c>
      <c r="AH67" s="31">
        <f>IF(OR(A67="",L67=""),"",IF(OR(K67="Accepted",K67="Declined"),"",TodayDate-L67))</f>
        <v>0</v>
      </c>
      <c r="AI67" s="50">
        <f>IF(OR(A67="",AG67=""),"",IF(AND(AG67&lt;TodayDate,K67&lt;&gt;"Accepted",K67&lt;&gt;"Declined"),"Yes","No"))</f>
        <v>0</v>
      </c>
      <c r="AJ67" s="50">
        <f>IF(B67="","",IF(K67="Accepted","Yes",IF(K67="Declined","No","")))</f>
        <v>0</v>
      </c>
      <c r="AK67" s="39">
        <f>IF(B67="","",IF(K67="Accepted",IF(R67="","Action - accepted, book the job","OK - won"),IF(K67="Declined","Closed",IF(V67=0,"Add - no lines on this quote yet",IF(K67="Draft","Draft - not sent",IF(AI67="Yes","Expired - re-quote or close",IF(AND(AH67&lt;&gt;"",AH67&gt;=QuoteFollowupDays),"Chase - "&amp;AH67&amp;" days with no answer","OK")))))))</f>
        <v>0</v>
      </c>
    </row>
    <row r="68" spans="1:37">
      <c r="A68" s="43">
        <f>IF(B68="","",QuotePrefix&amp;TEXT(ROW()-4,"0000"))</f>
        <v>0</v>
      </c>
      <c r="C68" s="23">
        <f>IF(B68="","",TEXT(B68,"yyyy-mm"))</f>
        <v>0</v>
      </c>
      <c r="E68" s="23">
        <f>IF(D68&lt;&gt;"",IFERROR(INDEX(Clients!$B$5:$B$204,MATCH(D68,Clients!$A$5:$A$204,0)),F68),F68)</f>
        <v>0</v>
      </c>
      <c r="V68" s="31">
        <f>IF(A68="","",COUNTIFS('Quote Lines'!$B$5:$B$604,A68))</f>
        <v>0</v>
      </c>
      <c r="W68" s="34">
        <f>IF(A68="","",SUMIFS('Quote Lines'!$N$5:$N$604,'Quote Lines'!$B$5:$B$604,A68))</f>
        <v>0</v>
      </c>
      <c r="X68" s="21">
        <f>IF(A68="","",SUMIFS('Quote Lines'!$P$5:$P$604,'Quote Lines'!$B$5:$B$604,A68))</f>
        <v>0</v>
      </c>
      <c r="Y68" s="21">
        <f>IF(A68="","",ROUND(X68*IF(O68="",0,O68),2))</f>
        <v>0</v>
      </c>
      <c r="Z68" s="21">
        <f>IF(A68="","",X68-Y68)</f>
        <v>0</v>
      </c>
      <c r="AA68" s="21">
        <f>IF(A68="","",ROUND(Z68*TaxRate,2))</f>
        <v>0</v>
      </c>
      <c r="AB68" s="21">
        <f>IF(A68="","",Z68+AA68)</f>
        <v>0</v>
      </c>
      <c r="AC68" s="21">
        <f>IF(A68="","",IF(P68&lt;&gt;"",P68,ROUND(AB68*DepositPercent,2)))</f>
        <v>0</v>
      </c>
      <c r="AD68" s="21">
        <f>IF(A68="","",SUMIFS('Quote Lines'!$Q$5:$Q$604,'Quote Lines'!$B$5:$B$604,A68))</f>
        <v>0</v>
      </c>
      <c r="AE68" s="21">
        <f>IF(A68="","",Z68-AD68)</f>
        <v>0</v>
      </c>
      <c r="AF68" s="38">
        <f>IF(OR(A68="",Z68=0),"",AE68/Z68)</f>
        <v>0</v>
      </c>
      <c r="AG68" s="18">
        <f>IF(OR(A68="",B68=""),"",IF(Q68&lt;&gt;"",Q68,B68+QuoteValidDays))</f>
        <v>0</v>
      </c>
      <c r="AH68" s="31">
        <f>IF(OR(A68="",L68=""),"",IF(OR(K68="Accepted",K68="Declined"),"",TodayDate-L68))</f>
        <v>0</v>
      </c>
      <c r="AI68" s="50">
        <f>IF(OR(A68="",AG68=""),"",IF(AND(AG68&lt;TodayDate,K68&lt;&gt;"Accepted",K68&lt;&gt;"Declined"),"Yes","No"))</f>
        <v>0</v>
      </c>
      <c r="AJ68" s="50">
        <f>IF(B68="","",IF(K68="Accepted","Yes",IF(K68="Declined","No","")))</f>
        <v>0</v>
      </c>
      <c r="AK68" s="39">
        <f>IF(B68="","",IF(K68="Accepted",IF(R68="","Action - accepted, book the job","OK - won"),IF(K68="Declined","Closed",IF(V68=0,"Add - no lines on this quote yet",IF(K68="Draft","Draft - not sent",IF(AI68="Yes","Expired - re-quote or close",IF(AND(AH68&lt;&gt;"",AH68&gt;=QuoteFollowupDays),"Chase - "&amp;AH68&amp;" days with no answer","OK")))))))</f>
        <v>0</v>
      </c>
    </row>
    <row r="69" spans="1:37">
      <c r="A69" s="43">
        <f>IF(B69="","",QuotePrefix&amp;TEXT(ROW()-4,"0000"))</f>
        <v>0</v>
      </c>
      <c r="C69" s="23">
        <f>IF(B69="","",TEXT(B69,"yyyy-mm"))</f>
        <v>0</v>
      </c>
      <c r="E69" s="23">
        <f>IF(D69&lt;&gt;"",IFERROR(INDEX(Clients!$B$5:$B$204,MATCH(D69,Clients!$A$5:$A$204,0)),F69),F69)</f>
        <v>0</v>
      </c>
      <c r="V69" s="31">
        <f>IF(A69="","",COUNTIFS('Quote Lines'!$B$5:$B$604,A69))</f>
        <v>0</v>
      </c>
      <c r="W69" s="34">
        <f>IF(A69="","",SUMIFS('Quote Lines'!$N$5:$N$604,'Quote Lines'!$B$5:$B$604,A69))</f>
        <v>0</v>
      </c>
      <c r="X69" s="21">
        <f>IF(A69="","",SUMIFS('Quote Lines'!$P$5:$P$604,'Quote Lines'!$B$5:$B$604,A69))</f>
        <v>0</v>
      </c>
      <c r="Y69" s="21">
        <f>IF(A69="","",ROUND(X69*IF(O69="",0,O69),2))</f>
        <v>0</v>
      </c>
      <c r="Z69" s="21">
        <f>IF(A69="","",X69-Y69)</f>
        <v>0</v>
      </c>
      <c r="AA69" s="21">
        <f>IF(A69="","",ROUND(Z69*TaxRate,2))</f>
        <v>0</v>
      </c>
      <c r="AB69" s="21">
        <f>IF(A69="","",Z69+AA69)</f>
        <v>0</v>
      </c>
      <c r="AC69" s="21">
        <f>IF(A69="","",IF(P69&lt;&gt;"",P69,ROUND(AB69*DepositPercent,2)))</f>
        <v>0</v>
      </c>
      <c r="AD69" s="21">
        <f>IF(A69="","",SUMIFS('Quote Lines'!$Q$5:$Q$604,'Quote Lines'!$B$5:$B$604,A69))</f>
        <v>0</v>
      </c>
      <c r="AE69" s="21">
        <f>IF(A69="","",Z69-AD69)</f>
        <v>0</v>
      </c>
      <c r="AF69" s="38">
        <f>IF(OR(A69="",Z69=0),"",AE69/Z69)</f>
        <v>0</v>
      </c>
      <c r="AG69" s="18">
        <f>IF(OR(A69="",B69=""),"",IF(Q69&lt;&gt;"",Q69,B69+QuoteValidDays))</f>
        <v>0</v>
      </c>
      <c r="AH69" s="31">
        <f>IF(OR(A69="",L69=""),"",IF(OR(K69="Accepted",K69="Declined"),"",TodayDate-L69))</f>
        <v>0</v>
      </c>
      <c r="AI69" s="50">
        <f>IF(OR(A69="",AG69=""),"",IF(AND(AG69&lt;TodayDate,K69&lt;&gt;"Accepted",K69&lt;&gt;"Declined"),"Yes","No"))</f>
        <v>0</v>
      </c>
      <c r="AJ69" s="50">
        <f>IF(B69="","",IF(K69="Accepted","Yes",IF(K69="Declined","No","")))</f>
        <v>0</v>
      </c>
      <c r="AK69" s="39">
        <f>IF(B69="","",IF(K69="Accepted",IF(R69="","Action - accepted, book the job","OK - won"),IF(K69="Declined","Closed",IF(V69=0,"Add - no lines on this quote yet",IF(K69="Draft","Draft - not sent",IF(AI69="Yes","Expired - re-quote or close",IF(AND(AH69&lt;&gt;"",AH69&gt;=QuoteFollowupDays),"Chase - "&amp;AH69&amp;" days with no answer","OK")))))))</f>
        <v>0</v>
      </c>
    </row>
    <row r="70" spans="1:37">
      <c r="A70" s="43">
        <f>IF(B70="","",QuotePrefix&amp;TEXT(ROW()-4,"0000"))</f>
        <v>0</v>
      </c>
      <c r="C70" s="23">
        <f>IF(B70="","",TEXT(B70,"yyyy-mm"))</f>
        <v>0</v>
      </c>
      <c r="E70" s="23">
        <f>IF(D70&lt;&gt;"",IFERROR(INDEX(Clients!$B$5:$B$204,MATCH(D70,Clients!$A$5:$A$204,0)),F70),F70)</f>
        <v>0</v>
      </c>
      <c r="V70" s="31">
        <f>IF(A70="","",COUNTIFS('Quote Lines'!$B$5:$B$604,A70))</f>
        <v>0</v>
      </c>
      <c r="W70" s="34">
        <f>IF(A70="","",SUMIFS('Quote Lines'!$N$5:$N$604,'Quote Lines'!$B$5:$B$604,A70))</f>
        <v>0</v>
      </c>
      <c r="X70" s="21">
        <f>IF(A70="","",SUMIFS('Quote Lines'!$P$5:$P$604,'Quote Lines'!$B$5:$B$604,A70))</f>
        <v>0</v>
      </c>
      <c r="Y70" s="21">
        <f>IF(A70="","",ROUND(X70*IF(O70="",0,O70),2))</f>
        <v>0</v>
      </c>
      <c r="Z70" s="21">
        <f>IF(A70="","",X70-Y70)</f>
        <v>0</v>
      </c>
      <c r="AA70" s="21">
        <f>IF(A70="","",ROUND(Z70*TaxRate,2))</f>
        <v>0</v>
      </c>
      <c r="AB70" s="21">
        <f>IF(A70="","",Z70+AA70)</f>
        <v>0</v>
      </c>
      <c r="AC70" s="21">
        <f>IF(A70="","",IF(P70&lt;&gt;"",P70,ROUND(AB70*DepositPercent,2)))</f>
        <v>0</v>
      </c>
      <c r="AD70" s="21">
        <f>IF(A70="","",SUMIFS('Quote Lines'!$Q$5:$Q$604,'Quote Lines'!$B$5:$B$604,A70))</f>
        <v>0</v>
      </c>
      <c r="AE70" s="21">
        <f>IF(A70="","",Z70-AD70)</f>
        <v>0</v>
      </c>
      <c r="AF70" s="38">
        <f>IF(OR(A70="",Z70=0),"",AE70/Z70)</f>
        <v>0</v>
      </c>
      <c r="AG70" s="18">
        <f>IF(OR(A70="",B70=""),"",IF(Q70&lt;&gt;"",Q70,B70+QuoteValidDays))</f>
        <v>0</v>
      </c>
      <c r="AH70" s="31">
        <f>IF(OR(A70="",L70=""),"",IF(OR(K70="Accepted",K70="Declined"),"",TodayDate-L70))</f>
        <v>0</v>
      </c>
      <c r="AI70" s="50">
        <f>IF(OR(A70="",AG70=""),"",IF(AND(AG70&lt;TodayDate,K70&lt;&gt;"Accepted",K70&lt;&gt;"Declined"),"Yes","No"))</f>
        <v>0</v>
      </c>
      <c r="AJ70" s="50">
        <f>IF(B70="","",IF(K70="Accepted","Yes",IF(K70="Declined","No","")))</f>
        <v>0</v>
      </c>
      <c r="AK70" s="39">
        <f>IF(B70="","",IF(K70="Accepted",IF(R70="","Action - accepted, book the job","OK - won"),IF(K70="Declined","Closed",IF(V70=0,"Add - no lines on this quote yet",IF(K70="Draft","Draft - not sent",IF(AI70="Yes","Expired - re-quote or close",IF(AND(AH70&lt;&gt;"",AH70&gt;=QuoteFollowupDays),"Chase - "&amp;AH70&amp;" days with no answer","OK")))))))</f>
        <v>0</v>
      </c>
    </row>
    <row r="71" spans="1:37">
      <c r="A71" s="43">
        <f>IF(B71="","",QuotePrefix&amp;TEXT(ROW()-4,"0000"))</f>
        <v>0</v>
      </c>
      <c r="C71" s="23">
        <f>IF(B71="","",TEXT(B71,"yyyy-mm"))</f>
        <v>0</v>
      </c>
      <c r="E71" s="23">
        <f>IF(D71&lt;&gt;"",IFERROR(INDEX(Clients!$B$5:$B$204,MATCH(D71,Clients!$A$5:$A$204,0)),F71),F71)</f>
        <v>0</v>
      </c>
      <c r="V71" s="31">
        <f>IF(A71="","",COUNTIFS('Quote Lines'!$B$5:$B$604,A71))</f>
        <v>0</v>
      </c>
      <c r="W71" s="34">
        <f>IF(A71="","",SUMIFS('Quote Lines'!$N$5:$N$604,'Quote Lines'!$B$5:$B$604,A71))</f>
        <v>0</v>
      </c>
      <c r="X71" s="21">
        <f>IF(A71="","",SUMIFS('Quote Lines'!$P$5:$P$604,'Quote Lines'!$B$5:$B$604,A71))</f>
        <v>0</v>
      </c>
      <c r="Y71" s="21">
        <f>IF(A71="","",ROUND(X71*IF(O71="",0,O71),2))</f>
        <v>0</v>
      </c>
      <c r="Z71" s="21">
        <f>IF(A71="","",X71-Y71)</f>
        <v>0</v>
      </c>
      <c r="AA71" s="21">
        <f>IF(A71="","",ROUND(Z71*TaxRate,2))</f>
        <v>0</v>
      </c>
      <c r="AB71" s="21">
        <f>IF(A71="","",Z71+AA71)</f>
        <v>0</v>
      </c>
      <c r="AC71" s="21">
        <f>IF(A71="","",IF(P71&lt;&gt;"",P71,ROUND(AB71*DepositPercent,2)))</f>
        <v>0</v>
      </c>
      <c r="AD71" s="21">
        <f>IF(A71="","",SUMIFS('Quote Lines'!$Q$5:$Q$604,'Quote Lines'!$B$5:$B$604,A71))</f>
        <v>0</v>
      </c>
      <c r="AE71" s="21">
        <f>IF(A71="","",Z71-AD71)</f>
        <v>0</v>
      </c>
      <c r="AF71" s="38">
        <f>IF(OR(A71="",Z71=0),"",AE71/Z71)</f>
        <v>0</v>
      </c>
      <c r="AG71" s="18">
        <f>IF(OR(A71="",B71=""),"",IF(Q71&lt;&gt;"",Q71,B71+QuoteValidDays))</f>
        <v>0</v>
      </c>
      <c r="AH71" s="31">
        <f>IF(OR(A71="",L71=""),"",IF(OR(K71="Accepted",K71="Declined"),"",TodayDate-L71))</f>
        <v>0</v>
      </c>
      <c r="AI71" s="50">
        <f>IF(OR(A71="",AG71=""),"",IF(AND(AG71&lt;TodayDate,K71&lt;&gt;"Accepted",K71&lt;&gt;"Declined"),"Yes","No"))</f>
        <v>0</v>
      </c>
      <c r="AJ71" s="50">
        <f>IF(B71="","",IF(K71="Accepted","Yes",IF(K71="Declined","No","")))</f>
        <v>0</v>
      </c>
      <c r="AK71" s="39">
        <f>IF(B71="","",IF(K71="Accepted",IF(R71="","Action - accepted, book the job","OK - won"),IF(K71="Declined","Closed",IF(V71=0,"Add - no lines on this quote yet",IF(K71="Draft","Draft - not sent",IF(AI71="Yes","Expired - re-quote or close",IF(AND(AH71&lt;&gt;"",AH71&gt;=QuoteFollowupDays),"Chase - "&amp;AH71&amp;" days with no answer","OK")))))))</f>
        <v>0</v>
      </c>
    </row>
    <row r="72" spans="1:37">
      <c r="A72" s="43">
        <f>IF(B72="","",QuotePrefix&amp;TEXT(ROW()-4,"0000"))</f>
        <v>0</v>
      </c>
      <c r="C72" s="23">
        <f>IF(B72="","",TEXT(B72,"yyyy-mm"))</f>
        <v>0</v>
      </c>
      <c r="E72" s="23">
        <f>IF(D72&lt;&gt;"",IFERROR(INDEX(Clients!$B$5:$B$204,MATCH(D72,Clients!$A$5:$A$204,0)),F72),F72)</f>
        <v>0</v>
      </c>
      <c r="V72" s="31">
        <f>IF(A72="","",COUNTIFS('Quote Lines'!$B$5:$B$604,A72))</f>
        <v>0</v>
      </c>
      <c r="W72" s="34">
        <f>IF(A72="","",SUMIFS('Quote Lines'!$N$5:$N$604,'Quote Lines'!$B$5:$B$604,A72))</f>
        <v>0</v>
      </c>
      <c r="X72" s="21">
        <f>IF(A72="","",SUMIFS('Quote Lines'!$P$5:$P$604,'Quote Lines'!$B$5:$B$604,A72))</f>
        <v>0</v>
      </c>
      <c r="Y72" s="21">
        <f>IF(A72="","",ROUND(X72*IF(O72="",0,O72),2))</f>
        <v>0</v>
      </c>
      <c r="Z72" s="21">
        <f>IF(A72="","",X72-Y72)</f>
        <v>0</v>
      </c>
      <c r="AA72" s="21">
        <f>IF(A72="","",ROUND(Z72*TaxRate,2))</f>
        <v>0</v>
      </c>
      <c r="AB72" s="21">
        <f>IF(A72="","",Z72+AA72)</f>
        <v>0</v>
      </c>
      <c r="AC72" s="21">
        <f>IF(A72="","",IF(P72&lt;&gt;"",P72,ROUND(AB72*DepositPercent,2)))</f>
        <v>0</v>
      </c>
      <c r="AD72" s="21">
        <f>IF(A72="","",SUMIFS('Quote Lines'!$Q$5:$Q$604,'Quote Lines'!$B$5:$B$604,A72))</f>
        <v>0</v>
      </c>
      <c r="AE72" s="21">
        <f>IF(A72="","",Z72-AD72)</f>
        <v>0</v>
      </c>
      <c r="AF72" s="38">
        <f>IF(OR(A72="",Z72=0),"",AE72/Z72)</f>
        <v>0</v>
      </c>
      <c r="AG72" s="18">
        <f>IF(OR(A72="",B72=""),"",IF(Q72&lt;&gt;"",Q72,B72+QuoteValidDays))</f>
        <v>0</v>
      </c>
      <c r="AH72" s="31">
        <f>IF(OR(A72="",L72=""),"",IF(OR(K72="Accepted",K72="Declined"),"",TodayDate-L72))</f>
        <v>0</v>
      </c>
      <c r="AI72" s="50">
        <f>IF(OR(A72="",AG72=""),"",IF(AND(AG72&lt;TodayDate,K72&lt;&gt;"Accepted",K72&lt;&gt;"Declined"),"Yes","No"))</f>
        <v>0</v>
      </c>
      <c r="AJ72" s="50">
        <f>IF(B72="","",IF(K72="Accepted","Yes",IF(K72="Declined","No","")))</f>
        <v>0</v>
      </c>
      <c r="AK72" s="39">
        <f>IF(B72="","",IF(K72="Accepted",IF(R72="","Action - accepted, book the job","OK - won"),IF(K72="Declined","Closed",IF(V72=0,"Add - no lines on this quote yet",IF(K72="Draft","Draft - not sent",IF(AI72="Yes","Expired - re-quote or close",IF(AND(AH72&lt;&gt;"",AH72&gt;=QuoteFollowupDays),"Chase - "&amp;AH72&amp;" days with no answer","OK")))))))</f>
        <v>0</v>
      </c>
    </row>
    <row r="73" spans="1:37">
      <c r="A73" s="43">
        <f>IF(B73="","",QuotePrefix&amp;TEXT(ROW()-4,"0000"))</f>
        <v>0</v>
      </c>
      <c r="C73" s="23">
        <f>IF(B73="","",TEXT(B73,"yyyy-mm"))</f>
        <v>0</v>
      </c>
      <c r="E73" s="23">
        <f>IF(D73&lt;&gt;"",IFERROR(INDEX(Clients!$B$5:$B$204,MATCH(D73,Clients!$A$5:$A$204,0)),F73),F73)</f>
        <v>0</v>
      </c>
      <c r="V73" s="31">
        <f>IF(A73="","",COUNTIFS('Quote Lines'!$B$5:$B$604,A73))</f>
        <v>0</v>
      </c>
      <c r="W73" s="34">
        <f>IF(A73="","",SUMIFS('Quote Lines'!$N$5:$N$604,'Quote Lines'!$B$5:$B$604,A73))</f>
        <v>0</v>
      </c>
      <c r="X73" s="21">
        <f>IF(A73="","",SUMIFS('Quote Lines'!$P$5:$P$604,'Quote Lines'!$B$5:$B$604,A73))</f>
        <v>0</v>
      </c>
      <c r="Y73" s="21">
        <f>IF(A73="","",ROUND(X73*IF(O73="",0,O73),2))</f>
        <v>0</v>
      </c>
      <c r="Z73" s="21">
        <f>IF(A73="","",X73-Y73)</f>
        <v>0</v>
      </c>
      <c r="AA73" s="21">
        <f>IF(A73="","",ROUND(Z73*TaxRate,2))</f>
        <v>0</v>
      </c>
      <c r="AB73" s="21">
        <f>IF(A73="","",Z73+AA73)</f>
        <v>0</v>
      </c>
      <c r="AC73" s="21">
        <f>IF(A73="","",IF(P73&lt;&gt;"",P73,ROUND(AB73*DepositPercent,2)))</f>
        <v>0</v>
      </c>
      <c r="AD73" s="21">
        <f>IF(A73="","",SUMIFS('Quote Lines'!$Q$5:$Q$604,'Quote Lines'!$B$5:$B$604,A73))</f>
        <v>0</v>
      </c>
      <c r="AE73" s="21">
        <f>IF(A73="","",Z73-AD73)</f>
        <v>0</v>
      </c>
      <c r="AF73" s="38">
        <f>IF(OR(A73="",Z73=0),"",AE73/Z73)</f>
        <v>0</v>
      </c>
      <c r="AG73" s="18">
        <f>IF(OR(A73="",B73=""),"",IF(Q73&lt;&gt;"",Q73,B73+QuoteValidDays))</f>
        <v>0</v>
      </c>
      <c r="AH73" s="31">
        <f>IF(OR(A73="",L73=""),"",IF(OR(K73="Accepted",K73="Declined"),"",TodayDate-L73))</f>
        <v>0</v>
      </c>
      <c r="AI73" s="50">
        <f>IF(OR(A73="",AG73=""),"",IF(AND(AG73&lt;TodayDate,K73&lt;&gt;"Accepted",K73&lt;&gt;"Declined"),"Yes","No"))</f>
        <v>0</v>
      </c>
      <c r="AJ73" s="50">
        <f>IF(B73="","",IF(K73="Accepted","Yes",IF(K73="Declined","No","")))</f>
        <v>0</v>
      </c>
      <c r="AK73" s="39">
        <f>IF(B73="","",IF(K73="Accepted",IF(R73="","Action - accepted, book the job","OK - won"),IF(K73="Declined","Closed",IF(V73=0,"Add - no lines on this quote yet",IF(K73="Draft","Draft - not sent",IF(AI73="Yes","Expired - re-quote or close",IF(AND(AH73&lt;&gt;"",AH73&gt;=QuoteFollowupDays),"Chase - "&amp;AH73&amp;" days with no answer","OK")))))))</f>
        <v>0</v>
      </c>
    </row>
    <row r="74" spans="1:37">
      <c r="A74" s="43">
        <f>IF(B74="","",QuotePrefix&amp;TEXT(ROW()-4,"0000"))</f>
        <v>0</v>
      </c>
      <c r="C74" s="23">
        <f>IF(B74="","",TEXT(B74,"yyyy-mm"))</f>
        <v>0</v>
      </c>
      <c r="E74" s="23">
        <f>IF(D74&lt;&gt;"",IFERROR(INDEX(Clients!$B$5:$B$204,MATCH(D74,Clients!$A$5:$A$204,0)),F74),F74)</f>
        <v>0</v>
      </c>
      <c r="V74" s="31">
        <f>IF(A74="","",COUNTIFS('Quote Lines'!$B$5:$B$604,A74))</f>
        <v>0</v>
      </c>
      <c r="W74" s="34">
        <f>IF(A74="","",SUMIFS('Quote Lines'!$N$5:$N$604,'Quote Lines'!$B$5:$B$604,A74))</f>
        <v>0</v>
      </c>
      <c r="X74" s="21">
        <f>IF(A74="","",SUMIFS('Quote Lines'!$P$5:$P$604,'Quote Lines'!$B$5:$B$604,A74))</f>
        <v>0</v>
      </c>
      <c r="Y74" s="21">
        <f>IF(A74="","",ROUND(X74*IF(O74="",0,O74),2))</f>
        <v>0</v>
      </c>
      <c r="Z74" s="21">
        <f>IF(A74="","",X74-Y74)</f>
        <v>0</v>
      </c>
      <c r="AA74" s="21">
        <f>IF(A74="","",ROUND(Z74*TaxRate,2))</f>
        <v>0</v>
      </c>
      <c r="AB74" s="21">
        <f>IF(A74="","",Z74+AA74)</f>
        <v>0</v>
      </c>
      <c r="AC74" s="21">
        <f>IF(A74="","",IF(P74&lt;&gt;"",P74,ROUND(AB74*DepositPercent,2)))</f>
        <v>0</v>
      </c>
      <c r="AD74" s="21">
        <f>IF(A74="","",SUMIFS('Quote Lines'!$Q$5:$Q$604,'Quote Lines'!$B$5:$B$604,A74))</f>
        <v>0</v>
      </c>
      <c r="AE74" s="21">
        <f>IF(A74="","",Z74-AD74)</f>
        <v>0</v>
      </c>
      <c r="AF74" s="38">
        <f>IF(OR(A74="",Z74=0),"",AE74/Z74)</f>
        <v>0</v>
      </c>
      <c r="AG74" s="18">
        <f>IF(OR(A74="",B74=""),"",IF(Q74&lt;&gt;"",Q74,B74+QuoteValidDays))</f>
        <v>0</v>
      </c>
      <c r="AH74" s="31">
        <f>IF(OR(A74="",L74=""),"",IF(OR(K74="Accepted",K74="Declined"),"",TodayDate-L74))</f>
        <v>0</v>
      </c>
      <c r="AI74" s="50">
        <f>IF(OR(A74="",AG74=""),"",IF(AND(AG74&lt;TodayDate,K74&lt;&gt;"Accepted",K74&lt;&gt;"Declined"),"Yes","No"))</f>
        <v>0</v>
      </c>
      <c r="AJ74" s="50">
        <f>IF(B74="","",IF(K74="Accepted","Yes",IF(K74="Declined","No","")))</f>
        <v>0</v>
      </c>
      <c r="AK74" s="39">
        <f>IF(B74="","",IF(K74="Accepted",IF(R74="","Action - accepted, book the job","OK - won"),IF(K74="Declined","Closed",IF(V74=0,"Add - no lines on this quote yet",IF(K74="Draft","Draft - not sent",IF(AI74="Yes","Expired - re-quote or close",IF(AND(AH74&lt;&gt;"",AH74&gt;=QuoteFollowupDays),"Chase - "&amp;AH74&amp;" days with no answer","OK")))))))</f>
        <v>0</v>
      </c>
    </row>
    <row r="75" spans="1:37">
      <c r="A75" s="43">
        <f>IF(B75="","",QuotePrefix&amp;TEXT(ROW()-4,"0000"))</f>
        <v>0</v>
      </c>
      <c r="C75" s="23">
        <f>IF(B75="","",TEXT(B75,"yyyy-mm"))</f>
        <v>0</v>
      </c>
      <c r="E75" s="23">
        <f>IF(D75&lt;&gt;"",IFERROR(INDEX(Clients!$B$5:$B$204,MATCH(D75,Clients!$A$5:$A$204,0)),F75),F75)</f>
        <v>0</v>
      </c>
      <c r="V75" s="31">
        <f>IF(A75="","",COUNTIFS('Quote Lines'!$B$5:$B$604,A75))</f>
        <v>0</v>
      </c>
      <c r="W75" s="34">
        <f>IF(A75="","",SUMIFS('Quote Lines'!$N$5:$N$604,'Quote Lines'!$B$5:$B$604,A75))</f>
        <v>0</v>
      </c>
      <c r="X75" s="21">
        <f>IF(A75="","",SUMIFS('Quote Lines'!$P$5:$P$604,'Quote Lines'!$B$5:$B$604,A75))</f>
        <v>0</v>
      </c>
      <c r="Y75" s="21">
        <f>IF(A75="","",ROUND(X75*IF(O75="",0,O75),2))</f>
        <v>0</v>
      </c>
      <c r="Z75" s="21">
        <f>IF(A75="","",X75-Y75)</f>
        <v>0</v>
      </c>
      <c r="AA75" s="21">
        <f>IF(A75="","",ROUND(Z75*TaxRate,2))</f>
        <v>0</v>
      </c>
      <c r="AB75" s="21">
        <f>IF(A75="","",Z75+AA75)</f>
        <v>0</v>
      </c>
      <c r="AC75" s="21">
        <f>IF(A75="","",IF(P75&lt;&gt;"",P75,ROUND(AB75*DepositPercent,2)))</f>
        <v>0</v>
      </c>
      <c r="AD75" s="21">
        <f>IF(A75="","",SUMIFS('Quote Lines'!$Q$5:$Q$604,'Quote Lines'!$B$5:$B$604,A75))</f>
        <v>0</v>
      </c>
      <c r="AE75" s="21">
        <f>IF(A75="","",Z75-AD75)</f>
        <v>0</v>
      </c>
      <c r="AF75" s="38">
        <f>IF(OR(A75="",Z75=0),"",AE75/Z75)</f>
        <v>0</v>
      </c>
      <c r="AG75" s="18">
        <f>IF(OR(A75="",B75=""),"",IF(Q75&lt;&gt;"",Q75,B75+QuoteValidDays))</f>
        <v>0</v>
      </c>
      <c r="AH75" s="31">
        <f>IF(OR(A75="",L75=""),"",IF(OR(K75="Accepted",K75="Declined"),"",TodayDate-L75))</f>
        <v>0</v>
      </c>
      <c r="AI75" s="50">
        <f>IF(OR(A75="",AG75=""),"",IF(AND(AG75&lt;TodayDate,K75&lt;&gt;"Accepted",K75&lt;&gt;"Declined"),"Yes","No"))</f>
        <v>0</v>
      </c>
      <c r="AJ75" s="50">
        <f>IF(B75="","",IF(K75="Accepted","Yes",IF(K75="Declined","No","")))</f>
        <v>0</v>
      </c>
      <c r="AK75" s="39">
        <f>IF(B75="","",IF(K75="Accepted",IF(R75="","Action - accepted, book the job","OK - won"),IF(K75="Declined","Closed",IF(V75=0,"Add - no lines on this quote yet",IF(K75="Draft","Draft - not sent",IF(AI75="Yes","Expired - re-quote or close",IF(AND(AH75&lt;&gt;"",AH75&gt;=QuoteFollowupDays),"Chase - "&amp;AH75&amp;" days with no answer","OK")))))))</f>
        <v>0</v>
      </c>
    </row>
    <row r="76" spans="1:37">
      <c r="A76" s="43">
        <f>IF(B76="","",QuotePrefix&amp;TEXT(ROW()-4,"0000"))</f>
        <v>0</v>
      </c>
      <c r="C76" s="23">
        <f>IF(B76="","",TEXT(B76,"yyyy-mm"))</f>
        <v>0</v>
      </c>
      <c r="E76" s="23">
        <f>IF(D76&lt;&gt;"",IFERROR(INDEX(Clients!$B$5:$B$204,MATCH(D76,Clients!$A$5:$A$204,0)),F76),F76)</f>
        <v>0</v>
      </c>
      <c r="V76" s="31">
        <f>IF(A76="","",COUNTIFS('Quote Lines'!$B$5:$B$604,A76))</f>
        <v>0</v>
      </c>
      <c r="W76" s="34">
        <f>IF(A76="","",SUMIFS('Quote Lines'!$N$5:$N$604,'Quote Lines'!$B$5:$B$604,A76))</f>
        <v>0</v>
      </c>
      <c r="X76" s="21">
        <f>IF(A76="","",SUMIFS('Quote Lines'!$P$5:$P$604,'Quote Lines'!$B$5:$B$604,A76))</f>
        <v>0</v>
      </c>
      <c r="Y76" s="21">
        <f>IF(A76="","",ROUND(X76*IF(O76="",0,O76),2))</f>
        <v>0</v>
      </c>
      <c r="Z76" s="21">
        <f>IF(A76="","",X76-Y76)</f>
        <v>0</v>
      </c>
      <c r="AA76" s="21">
        <f>IF(A76="","",ROUND(Z76*TaxRate,2))</f>
        <v>0</v>
      </c>
      <c r="AB76" s="21">
        <f>IF(A76="","",Z76+AA76)</f>
        <v>0</v>
      </c>
      <c r="AC76" s="21">
        <f>IF(A76="","",IF(P76&lt;&gt;"",P76,ROUND(AB76*DepositPercent,2)))</f>
        <v>0</v>
      </c>
      <c r="AD76" s="21">
        <f>IF(A76="","",SUMIFS('Quote Lines'!$Q$5:$Q$604,'Quote Lines'!$B$5:$B$604,A76))</f>
        <v>0</v>
      </c>
      <c r="AE76" s="21">
        <f>IF(A76="","",Z76-AD76)</f>
        <v>0</v>
      </c>
      <c r="AF76" s="38">
        <f>IF(OR(A76="",Z76=0),"",AE76/Z76)</f>
        <v>0</v>
      </c>
      <c r="AG76" s="18">
        <f>IF(OR(A76="",B76=""),"",IF(Q76&lt;&gt;"",Q76,B76+QuoteValidDays))</f>
        <v>0</v>
      </c>
      <c r="AH76" s="31">
        <f>IF(OR(A76="",L76=""),"",IF(OR(K76="Accepted",K76="Declined"),"",TodayDate-L76))</f>
        <v>0</v>
      </c>
      <c r="AI76" s="50">
        <f>IF(OR(A76="",AG76=""),"",IF(AND(AG76&lt;TodayDate,K76&lt;&gt;"Accepted",K76&lt;&gt;"Declined"),"Yes","No"))</f>
        <v>0</v>
      </c>
      <c r="AJ76" s="50">
        <f>IF(B76="","",IF(K76="Accepted","Yes",IF(K76="Declined","No","")))</f>
        <v>0</v>
      </c>
      <c r="AK76" s="39">
        <f>IF(B76="","",IF(K76="Accepted",IF(R76="","Action - accepted, book the job","OK - won"),IF(K76="Declined","Closed",IF(V76=0,"Add - no lines on this quote yet",IF(K76="Draft","Draft - not sent",IF(AI76="Yes","Expired - re-quote or close",IF(AND(AH76&lt;&gt;"",AH76&gt;=QuoteFollowupDays),"Chase - "&amp;AH76&amp;" days with no answer","OK")))))))</f>
        <v>0</v>
      </c>
    </row>
    <row r="77" spans="1:37">
      <c r="A77" s="43">
        <f>IF(B77="","",QuotePrefix&amp;TEXT(ROW()-4,"0000"))</f>
        <v>0</v>
      </c>
      <c r="C77" s="23">
        <f>IF(B77="","",TEXT(B77,"yyyy-mm"))</f>
        <v>0</v>
      </c>
      <c r="E77" s="23">
        <f>IF(D77&lt;&gt;"",IFERROR(INDEX(Clients!$B$5:$B$204,MATCH(D77,Clients!$A$5:$A$204,0)),F77),F77)</f>
        <v>0</v>
      </c>
      <c r="V77" s="31">
        <f>IF(A77="","",COUNTIFS('Quote Lines'!$B$5:$B$604,A77))</f>
        <v>0</v>
      </c>
      <c r="W77" s="34">
        <f>IF(A77="","",SUMIFS('Quote Lines'!$N$5:$N$604,'Quote Lines'!$B$5:$B$604,A77))</f>
        <v>0</v>
      </c>
      <c r="X77" s="21">
        <f>IF(A77="","",SUMIFS('Quote Lines'!$P$5:$P$604,'Quote Lines'!$B$5:$B$604,A77))</f>
        <v>0</v>
      </c>
      <c r="Y77" s="21">
        <f>IF(A77="","",ROUND(X77*IF(O77="",0,O77),2))</f>
        <v>0</v>
      </c>
      <c r="Z77" s="21">
        <f>IF(A77="","",X77-Y77)</f>
        <v>0</v>
      </c>
      <c r="AA77" s="21">
        <f>IF(A77="","",ROUND(Z77*TaxRate,2))</f>
        <v>0</v>
      </c>
      <c r="AB77" s="21">
        <f>IF(A77="","",Z77+AA77)</f>
        <v>0</v>
      </c>
      <c r="AC77" s="21">
        <f>IF(A77="","",IF(P77&lt;&gt;"",P77,ROUND(AB77*DepositPercent,2)))</f>
        <v>0</v>
      </c>
      <c r="AD77" s="21">
        <f>IF(A77="","",SUMIFS('Quote Lines'!$Q$5:$Q$604,'Quote Lines'!$B$5:$B$604,A77))</f>
        <v>0</v>
      </c>
      <c r="AE77" s="21">
        <f>IF(A77="","",Z77-AD77)</f>
        <v>0</v>
      </c>
      <c r="AF77" s="38">
        <f>IF(OR(A77="",Z77=0),"",AE77/Z77)</f>
        <v>0</v>
      </c>
      <c r="AG77" s="18">
        <f>IF(OR(A77="",B77=""),"",IF(Q77&lt;&gt;"",Q77,B77+QuoteValidDays))</f>
        <v>0</v>
      </c>
      <c r="AH77" s="31">
        <f>IF(OR(A77="",L77=""),"",IF(OR(K77="Accepted",K77="Declined"),"",TodayDate-L77))</f>
        <v>0</v>
      </c>
      <c r="AI77" s="50">
        <f>IF(OR(A77="",AG77=""),"",IF(AND(AG77&lt;TodayDate,K77&lt;&gt;"Accepted",K77&lt;&gt;"Declined"),"Yes","No"))</f>
        <v>0</v>
      </c>
      <c r="AJ77" s="50">
        <f>IF(B77="","",IF(K77="Accepted","Yes",IF(K77="Declined","No","")))</f>
        <v>0</v>
      </c>
      <c r="AK77" s="39">
        <f>IF(B77="","",IF(K77="Accepted",IF(R77="","Action - accepted, book the job","OK - won"),IF(K77="Declined","Closed",IF(V77=0,"Add - no lines on this quote yet",IF(K77="Draft","Draft - not sent",IF(AI77="Yes","Expired - re-quote or close",IF(AND(AH77&lt;&gt;"",AH77&gt;=QuoteFollowupDays),"Chase - "&amp;AH77&amp;" days with no answer","OK")))))))</f>
        <v>0</v>
      </c>
    </row>
    <row r="78" spans="1:37">
      <c r="A78" s="43">
        <f>IF(B78="","",QuotePrefix&amp;TEXT(ROW()-4,"0000"))</f>
        <v>0</v>
      </c>
      <c r="C78" s="23">
        <f>IF(B78="","",TEXT(B78,"yyyy-mm"))</f>
        <v>0</v>
      </c>
      <c r="E78" s="23">
        <f>IF(D78&lt;&gt;"",IFERROR(INDEX(Clients!$B$5:$B$204,MATCH(D78,Clients!$A$5:$A$204,0)),F78),F78)</f>
        <v>0</v>
      </c>
      <c r="V78" s="31">
        <f>IF(A78="","",COUNTIFS('Quote Lines'!$B$5:$B$604,A78))</f>
        <v>0</v>
      </c>
      <c r="W78" s="34">
        <f>IF(A78="","",SUMIFS('Quote Lines'!$N$5:$N$604,'Quote Lines'!$B$5:$B$604,A78))</f>
        <v>0</v>
      </c>
      <c r="X78" s="21">
        <f>IF(A78="","",SUMIFS('Quote Lines'!$P$5:$P$604,'Quote Lines'!$B$5:$B$604,A78))</f>
        <v>0</v>
      </c>
      <c r="Y78" s="21">
        <f>IF(A78="","",ROUND(X78*IF(O78="",0,O78),2))</f>
        <v>0</v>
      </c>
      <c r="Z78" s="21">
        <f>IF(A78="","",X78-Y78)</f>
        <v>0</v>
      </c>
      <c r="AA78" s="21">
        <f>IF(A78="","",ROUND(Z78*TaxRate,2))</f>
        <v>0</v>
      </c>
      <c r="AB78" s="21">
        <f>IF(A78="","",Z78+AA78)</f>
        <v>0</v>
      </c>
      <c r="AC78" s="21">
        <f>IF(A78="","",IF(P78&lt;&gt;"",P78,ROUND(AB78*DepositPercent,2)))</f>
        <v>0</v>
      </c>
      <c r="AD78" s="21">
        <f>IF(A78="","",SUMIFS('Quote Lines'!$Q$5:$Q$604,'Quote Lines'!$B$5:$B$604,A78))</f>
        <v>0</v>
      </c>
      <c r="AE78" s="21">
        <f>IF(A78="","",Z78-AD78)</f>
        <v>0</v>
      </c>
      <c r="AF78" s="38">
        <f>IF(OR(A78="",Z78=0),"",AE78/Z78)</f>
        <v>0</v>
      </c>
      <c r="AG78" s="18">
        <f>IF(OR(A78="",B78=""),"",IF(Q78&lt;&gt;"",Q78,B78+QuoteValidDays))</f>
        <v>0</v>
      </c>
      <c r="AH78" s="31">
        <f>IF(OR(A78="",L78=""),"",IF(OR(K78="Accepted",K78="Declined"),"",TodayDate-L78))</f>
        <v>0</v>
      </c>
      <c r="AI78" s="50">
        <f>IF(OR(A78="",AG78=""),"",IF(AND(AG78&lt;TodayDate,K78&lt;&gt;"Accepted",K78&lt;&gt;"Declined"),"Yes","No"))</f>
        <v>0</v>
      </c>
      <c r="AJ78" s="50">
        <f>IF(B78="","",IF(K78="Accepted","Yes",IF(K78="Declined","No","")))</f>
        <v>0</v>
      </c>
      <c r="AK78" s="39">
        <f>IF(B78="","",IF(K78="Accepted",IF(R78="","Action - accepted, book the job","OK - won"),IF(K78="Declined","Closed",IF(V78=0,"Add - no lines on this quote yet",IF(K78="Draft","Draft - not sent",IF(AI78="Yes","Expired - re-quote or close",IF(AND(AH78&lt;&gt;"",AH78&gt;=QuoteFollowupDays),"Chase - "&amp;AH78&amp;" days with no answer","OK")))))))</f>
        <v>0</v>
      </c>
    </row>
    <row r="79" spans="1:37">
      <c r="A79" s="43">
        <f>IF(B79="","",QuotePrefix&amp;TEXT(ROW()-4,"0000"))</f>
        <v>0</v>
      </c>
      <c r="C79" s="23">
        <f>IF(B79="","",TEXT(B79,"yyyy-mm"))</f>
        <v>0</v>
      </c>
      <c r="E79" s="23">
        <f>IF(D79&lt;&gt;"",IFERROR(INDEX(Clients!$B$5:$B$204,MATCH(D79,Clients!$A$5:$A$204,0)),F79),F79)</f>
        <v>0</v>
      </c>
      <c r="V79" s="31">
        <f>IF(A79="","",COUNTIFS('Quote Lines'!$B$5:$B$604,A79))</f>
        <v>0</v>
      </c>
      <c r="W79" s="34">
        <f>IF(A79="","",SUMIFS('Quote Lines'!$N$5:$N$604,'Quote Lines'!$B$5:$B$604,A79))</f>
        <v>0</v>
      </c>
      <c r="X79" s="21">
        <f>IF(A79="","",SUMIFS('Quote Lines'!$P$5:$P$604,'Quote Lines'!$B$5:$B$604,A79))</f>
        <v>0</v>
      </c>
      <c r="Y79" s="21">
        <f>IF(A79="","",ROUND(X79*IF(O79="",0,O79),2))</f>
        <v>0</v>
      </c>
      <c r="Z79" s="21">
        <f>IF(A79="","",X79-Y79)</f>
        <v>0</v>
      </c>
      <c r="AA79" s="21">
        <f>IF(A79="","",ROUND(Z79*TaxRate,2))</f>
        <v>0</v>
      </c>
      <c r="AB79" s="21">
        <f>IF(A79="","",Z79+AA79)</f>
        <v>0</v>
      </c>
      <c r="AC79" s="21">
        <f>IF(A79="","",IF(P79&lt;&gt;"",P79,ROUND(AB79*DepositPercent,2)))</f>
        <v>0</v>
      </c>
      <c r="AD79" s="21">
        <f>IF(A79="","",SUMIFS('Quote Lines'!$Q$5:$Q$604,'Quote Lines'!$B$5:$B$604,A79))</f>
        <v>0</v>
      </c>
      <c r="AE79" s="21">
        <f>IF(A79="","",Z79-AD79)</f>
        <v>0</v>
      </c>
      <c r="AF79" s="38">
        <f>IF(OR(A79="",Z79=0),"",AE79/Z79)</f>
        <v>0</v>
      </c>
      <c r="AG79" s="18">
        <f>IF(OR(A79="",B79=""),"",IF(Q79&lt;&gt;"",Q79,B79+QuoteValidDays))</f>
        <v>0</v>
      </c>
      <c r="AH79" s="31">
        <f>IF(OR(A79="",L79=""),"",IF(OR(K79="Accepted",K79="Declined"),"",TodayDate-L79))</f>
        <v>0</v>
      </c>
      <c r="AI79" s="50">
        <f>IF(OR(A79="",AG79=""),"",IF(AND(AG79&lt;TodayDate,K79&lt;&gt;"Accepted",K79&lt;&gt;"Declined"),"Yes","No"))</f>
        <v>0</v>
      </c>
      <c r="AJ79" s="50">
        <f>IF(B79="","",IF(K79="Accepted","Yes",IF(K79="Declined","No","")))</f>
        <v>0</v>
      </c>
      <c r="AK79" s="39">
        <f>IF(B79="","",IF(K79="Accepted",IF(R79="","Action - accepted, book the job","OK - won"),IF(K79="Declined","Closed",IF(V79=0,"Add - no lines on this quote yet",IF(K79="Draft","Draft - not sent",IF(AI79="Yes","Expired - re-quote or close",IF(AND(AH79&lt;&gt;"",AH79&gt;=QuoteFollowupDays),"Chase - "&amp;AH79&amp;" days with no answer","OK")))))))</f>
        <v>0</v>
      </c>
    </row>
    <row r="80" spans="1:37">
      <c r="A80" s="43">
        <f>IF(B80="","",QuotePrefix&amp;TEXT(ROW()-4,"0000"))</f>
        <v>0</v>
      </c>
      <c r="C80" s="23">
        <f>IF(B80="","",TEXT(B80,"yyyy-mm"))</f>
        <v>0</v>
      </c>
      <c r="E80" s="23">
        <f>IF(D80&lt;&gt;"",IFERROR(INDEX(Clients!$B$5:$B$204,MATCH(D80,Clients!$A$5:$A$204,0)),F80),F80)</f>
        <v>0</v>
      </c>
      <c r="V80" s="31">
        <f>IF(A80="","",COUNTIFS('Quote Lines'!$B$5:$B$604,A80))</f>
        <v>0</v>
      </c>
      <c r="W80" s="34">
        <f>IF(A80="","",SUMIFS('Quote Lines'!$N$5:$N$604,'Quote Lines'!$B$5:$B$604,A80))</f>
        <v>0</v>
      </c>
      <c r="X80" s="21">
        <f>IF(A80="","",SUMIFS('Quote Lines'!$P$5:$P$604,'Quote Lines'!$B$5:$B$604,A80))</f>
        <v>0</v>
      </c>
      <c r="Y80" s="21">
        <f>IF(A80="","",ROUND(X80*IF(O80="",0,O80),2))</f>
        <v>0</v>
      </c>
      <c r="Z80" s="21">
        <f>IF(A80="","",X80-Y80)</f>
        <v>0</v>
      </c>
      <c r="AA80" s="21">
        <f>IF(A80="","",ROUND(Z80*TaxRate,2))</f>
        <v>0</v>
      </c>
      <c r="AB80" s="21">
        <f>IF(A80="","",Z80+AA80)</f>
        <v>0</v>
      </c>
      <c r="AC80" s="21">
        <f>IF(A80="","",IF(P80&lt;&gt;"",P80,ROUND(AB80*DepositPercent,2)))</f>
        <v>0</v>
      </c>
      <c r="AD80" s="21">
        <f>IF(A80="","",SUMIFS('Quote Lines'!$Q$5:$Q$604,'Quote Lines'!$B$5:$B$604,A80))</f>
        <v>0</v>
      </c>
      <c r="AE80" s="21">
        <f>IF(A80="","",Z80-AD80)</f>
        <v>0</v>
      </c>
      <c r="AF80" s="38">
        <f>IF(OR(A80="",Z80=0),"",AE80/Z80)</f>
        <v>0</v>
      </c>
      <c r="AG80" s="18">
        <f>IF(OR(A80="",B80=""),"",IF(Q80&lt;&gt;"",Q80,B80+QuoteValidDays))</f>
        <v>0</v>
      </c>
      <c r="AH80" s="31">
        <f>IF(OR(A80="",L80=""),"",IF(OR(K80="Accepted",K80="Declined"),"",TodayDate-L80))</f>
        <v>0</v>
      </c>
      <c r="AI80" s="50">
        <f>IF(OR(A80="",AG80=""),"",IF(AND(AG80&lt;TodayDate,K80&lt;&gt;"Accepted",K80&lt;&gt;"Declined"),"Yes","No"))</f>
        <v>0</v>
      </c>
      <c r="AJ80" s="50">
        <f>IF(B80="","",IF(K80="Accepted","Yes",IF(K80="Declined","No","")))</f>
        <v>0</v>
      </c>
      <c r="AK80" s="39">
        <f>IF(B80="","",IF(K80="Accepted",IF(R80="","Action - accepted, book the job","OK - won"),IF(K80="Declined","Closed",IF(V80=0,"Add - no lines on this quote yet",IF(K80="Draft","Draft - not sent",IF(AI80="Yes","Expired - re-quote or close",IF(AND(AH80&lt;&gt;"",AH80&gt;=QuoteFollowupDays),"Chase - "&amp;AH80&amp;" days with no answer","OK")))))))</f>
        <v>0</v>
      </c>
    </row>
    <row r="81" spans="1:37">
      <c r="A81" s="43">
        <f>IF(B81="","",QuotePrefix&amp;TEXT(ROW()-4,"0000"))</f>
        <v>0</v>
      </c>
      <c r="C81" s="23">
        <f>IF(B81="","",TEXT(B81,"yyyy-mm"))</f>
        <v>0</v>
      </c>
      <c r="E81" s="23">
        <f>IF(D81&lt;&gt;"",IFERROR(INDEX(Clients!$B$5:$B$204,MATCH(D81,Clients!$A$5:$A$204,0)),F81),F81)</f>
        <v>0</v>
      </c>
      <c r="V81" s="31">
        <f>IF(A81="","",COUNTIFS('Quote Lines'!$B$5:$B$604,A81))</f>
        <v>0</v>
      </c>
      <c r="W81" s="34">
        <f>IF(A81="","",SUMIFS('Quote Lines'!$N$5:$N$604,'Quote Lines'!$B$5:$B$604,A81))</f>
        <v>0</v>
      </c>
      <c r="X81" s="21">
        <f>IF(A81="","",SUMIFS('Quote Lines'!$P$5:$P$604,'Quote Lines'!$B$5:$B$604,A81))</f>
        <v>0</v>
      </c>
      <c r="Y81" s="21">
        <f>IF(A81="","",ROUND(X81*IF(O81="",0,O81),2))</f>
        <v>0</v>
      </c>
      <c r="Z81" s="21">
        <f>IF(A81="","",X81-Y81)</f>
        <v>0</v>
      </c>
      <c r="AA81" s="21">
        <f>IF(A81="","",ROUND(Z81*TaxRate,2))</f>
        <v>0</v>
      </c>
      <c r="AB81" s="21">
        <f>IF(A81="","",Z81+AA81)</f>
        <v>0</v>
      </c>
      <c r="AC81" s="21">
        <f>IF(A81="","",IF(P81&lt;&gt;"",P81,ROUND(AB81*DepositPercent,2)))</f>
        <v>0</v>
      </c>
      <c r="AD81" s="21">
        <f>IF(A81="","",SUMIFS('Quote Lines'!$Q$5:$Q$604,'Quote Lines'!$B$5:$B$604,A81))</f>
        <v>0</v>
      </c>
      <c r="AE81" s="21">
        <f>IF(A81="","",Z81-AD81)</f>
        <v>0</v>
      </c>
      <c r="AF81" s="38">
        <f>IF(OR(A81="",Z81=0),"",AE81/Z81)</f>
        <v>0</v>
      </c>
      <c r="AG81" s="18">
        <f>IF(OR(A81="",B81=""),"",IF(Q81&lt;&gt;"",Q81,B81+QuoteValidDays))</f>
        <v>0</v>
      </c>
      <c r="AH81" s="31">
        <f>IF(OR(A81="",L81=""),"",IF(OR(K81="Accepted",K81="Declined"),"",TodayDate-L81))</f>
        <v>0</v>
      </c>
      <c r="AI81" s="50">
        <f>IF(OR(A81="",AG81=""),"",IF(AND(AG81&lt;TodayDate,K81&lt;&gt;"Accepted",K81&lt;&gt;"Declined"),"Yes","No"))</f>
        <v>0</v>
      </c>
      <c r="AJ81" s="50">
        <f>IF(B81="","",IF(K81="Accepted","Yes",IF(K81="Declined","No","")))</f>
        <v>0</v>
      </c>
      <c r="AK81" s="39">
        <f>IF(B81="","",IF(K81="Accepted",IF(R81="","Action - accepted, book the job","OK - won"),IF(K81="Declined","Closed",IF(V81=0,"Add - no lines on this quote yet",IF(K81="Draft","Draft - not sent",IF(AI81="Yes","Expired - re-quote or close",IF(AND(AH81&lt;&gt;"",AH81&gt;=QuoteFollowupDays),"Chase - "&amp;AH81&amp;" days with no answer","OK")))))))</f>
        <v>0</v>
      </c>
    </row>
    <row r="82" spans="1:37">
      <c r="A82" s="43">
        <f>IF(B82="","",QuotePrefix&amp;TEXT(ROW()-4,"0000"))</f>
        <v>0</v>
      </c>
      <c r="C82" s="23">
        <f>IF(B82="","",TEXT(B82,"yyyy-mm"))</f>
        <v>0</v>
      </c>
      <c r="E82" s="23">
        <f>IF(D82&lt;&gt;"",IFERROR(INDEX(Clients!$B$5:$B$204,MATCH(D82,Clients!$A$5:$A$204,0)),F82),F82)</f>
        <v>0</v>
      </c>
      <c r="V82" s="31">
        <f>IF(A82="","",COUNTIFS('Quote Lines'!$B$5:$B$604,A82))</f>
        <v>0</v>
      </c>
      <c r="W82" s="34">
        <f>IF(A82="","",SUMIFS('Quote Lines'!$N$5:$N$604,'Quote Lines'!$B$5:$B$604,A82))</f>
        <v>0</v>
      </c>
      <c r="X82" s="21">
        <f>IF(A82="","",SUMIFS('Quote Lines'!$P$5:$P$604,'Quote Lines'!$B$5:$B$604,A82))</f>
        <v>0</v>
      </c>
      <c r="Y82" s="21">
        <f>IF(A82="","",ROUND(X82*IF(O82="",0,O82),2))</f>
        <v>0</v>
      </c>
      <c r="Z82" s="21">
        <f>IF(A82="","",X82-Y82)</f>
        <v>0</v>
      </c>
      <c r="AA82" s="21">
        <f>IF(A82="","",ROUND(Z82*TaxRate,2))</f>
        <v>0</v>
      </c>
      <c r="AB82" s="21">
        <f>IF(A82="","",Z82+AA82)</f>
        <v>0</v>
      </c>
      <c r="AC82" s="21">
        <f>IF(A82="","",IF(P82&lt;&gt;"",P82,ROUND(AB82*DepositPercent,2)))</f>
        <v>0</v>
      </c>
      <c r="AD82" s="21">
        <f>IF(A82="","",SUMIFS('Quote Lines'!$Q$5:$Q$604,'Quote Lines'!$B$5:$B$604,A82))</f>
        <v>0</v>
      </c>
      <c r="AE82" s="21">
        <f>IF(A82="","",Z82-AD82)</f>
        <v>0</v>
      </c>
      <c r="AF82" s="38">
        <f>IF(OR(A82="",Z82=0),"",AE82/Z82)</f>
        <v>0</v>
      </c>
      <c r="AG82" s="18">
        <f>IF(OR(A82="",B82=""),"",IF(Q82&lt;&gt;"",Q82,B82+QuoteValidDays))</f>
        <v>0</v>
      </c>
      <c r="AH82" s="31">
        <f>IF(OR(A82="",L82=""),"",IF(OR(K82="Accepted",K82="Declined"),"",TodayDate-L82))</f>
        <v>0</v>
      </c>
      <c r="AI82" s="50">
        <f>IF(OR(A82="",AG82=""),"",IF(AND(AG82&lt;TodayDate,K82&lt;&gt;"Accepted",K82&lt;&gt;"Declined"),"Yes","No"))</f>
        <v>0</v>
      </c>
      <c r="AJ82" s="50">
        <f>IF(B82="","",IF(K82="Accepted","Yes",IF(K82="Declined","No","")))</f>
        <v>0</v>
      </c>
      <c r="AK82" s="39">
        <f>IF(B82="","",IF(K82="Accepted",IF(R82="","Action - accepted, book the job","OK - won"),IF(K82="Declined","Closed",IF(V82=0,"Add - no lines on this quote yet",IF(K82="Draft","Draft - not sent",IF(AI82="Yes","Expired - re-quote or close",IF(AND(AH82&lt;&gt;"",AH82&gt;=QuoteFollowupDays),"Chase - "&amp;AH82&amp;" days with no answer","OK")))))))</f>
        <v>0</v>
      </c>
    </row>
    <row r="83" spans="1:37">
      <c r="A83" s="43">
        <f>IF(B83="","",QuotePrefix&amp;TEXT(ROW()-4,"0000"))</f>
        <v>0</v>
      </c>
      <c r="C83" s="23">
        <f>IF(B83="","",TEXT(B83,"yyyy-mm"))</f>
        <v>0</v>
      </c>
      <c r="E83" s="23">
        <f>IF(D83&lt;&gt;"",IFERROR(INDEX(Clients!$B$5:$B$204,MATCH(D83,Clients!$A$5:$A$204,0)),F83),F83)</f>
        <v>0</v>
      </c>
      <c r="V83" s="31">
        <f>IF(A83="","",COUNTIFS('Quote Lines'!$B$5:$B$604,A83))</f>
        <v>0</v>
      </c>
      <c r="W83" s="34">
        <f>IF(A83="","",SUMIFS('Quote Lines'!$N$5:$N$604,'Quote Lines'!$B$5:$B$604,A83))</f>
        <v>0</v>
      </c>
      <c r="X83" s="21">
        <f>IF(A83="","",SUMIFS('Quote Lines'!$P$5:$P$604,'Quote Lines'!$B$5:$B$604,A83))</f>
        <v>0</v>
      </c>
      <c r="Y83" s="21">
        <f>IF(A83="","",ROUND(X83*IF(O83="",0,O83),2))</f>
        <v>0</v>
      </c>
      <c r="Z83" s="21">
        <f>IF(A83="","",X83-Y83)</f>
        <v>0</v>
      </c>
      <c r="AA83" s="21">
        <f>IF(A83="","",ROUND(Z83*TaxRate,2))</f>
        <v>0</v>
      </c>
      <c r="AB83" s="21">
        <f>IF(A83="","",Z83+AA83)</f>
        <v>0</v>
      </c>
      <c r="AC83" s="21">
        <f>IF(A83="","",IF(P83&lt;&gt;"",P83,ROUND(AB83*DepositPercent,2)))</f>
        <v>0</v>
      </c>
      <c r="AD83" s="21">
        <f>IF(A83="","",SUMIFS('Quote Lines'!$Q$5:$Q$604,'Quote Lines'!$B$5:$B$604,A83))</f>
        <v>0</v>
      </c>
      <c r="AE83" s="21">
        <f>IF(A83="","",Z83-AD83)</f>
        <v>0</v>
      </c>
      <c r="AF83" s="38">
        <f>IF(OR(A83="",Z83=0),"",AE83/Z83)</f>
        <v>0</v>
      </c>
      <c r="AG83" s="18">
        <f>IF(OR(A83="",B83=""),"",IF(Q83&lt;&gt;"",Q83,B83+QuoteValidDays))</f>
        <v>0</v>
      </c>
      <c r="AH83" s="31">
        <f>IF(OR(A83="",L83=""),"",IF(OR(K83="Accepted",K83="Declined"),"",TodayDate-L83))</f>
        <v>0</v>
      </c>
      <c r="AI83" s="50">
        <f>IF(OR(A83="",AG83=""),"",IF(AND(AG83&lt;TodayDate,K83&lt;&gt;"Accepted",K83&lt;&gt;"Declined"),"Yes","No"))</f>
        <v>0</v>
      </c>
      <c r="AJ83" s="50">
        <f>IF(B83="","",IF(K83="Accepted","Yes",IF(K83="Declined","No","")))</f>
        <v>0</v>
      </c>
      <c r="AK83" s="39">
        <f>IF(B83="","",IF(K83="Accepted",IF(R83="","Action - accepted, book the job","OK - won"),IF(K83="Declined","Closed",IF(V83=0,"Add - no lines on this quote yet",IF(K83="Draft","Draft - not sent",IF(AI83="Yes","Expired - re-quote or close",IF(AND(AH83&lt;&gt;"",AH83&gt;=QuoteFollowupDays),"Chase - "&amp;AH83&amp;" days with no answer","OK")))))))</f>
        <v>0</v>
      </c>
    </row>
    <row r="84" spans="1:37">
      <c r="A84" s="43">
        <f>IF(B84="","",QuotePrefix&amp;TEXT(ROW()-4,"0000"))</f>
        <v>0</v>
      </c>
      <c r="C84" s="23">
        <f>IF(B84="","",TEXT(B84,"yyyy-mm"))</f>
        <v>0</v>
      </c>
      <c r="E84" s="23">
        <f>IF(D84&lt;&gt;"",IFERROR(INDEX(Clients!$B$5:$B$204,MATCH(D84,Clients!$A$5:$A$204,0)),F84),F84)</f>
        <v>0</v>
      </c>
      <c r="V84" s="31">
        <f>IF(A84="","",COUNTIFS('Quote Lines'!$B$5:$B$604,A84))</f>
        <v>0</v>
      </c>
      <c r="W84" s="34">
        <f>IF(A84="","",SUMIFS('Quote Lines'!$N$5:$N$604,'Quote Lines'!$B$5:$B$604,A84))</f>
        <v>0</v>
      </c>
      <c r="X84" s="21">
        <f>IF(A84="","",SUMIFS('Quote Lines'!$P$5:$P$604,'Quote Lines'!$B$5:$B$604,A84))</f>
        <v>0</v>
      </c>
      <c r="Y84" s="21">
        <f>IF(A84="","",ROUND(X84*IF(O84="",0,O84),2))</f>
        <v>0</v>
      </c>
      <c r="Z84" s="21">
        <f>IF(A84="","",X84-Y84)</f>
        <v>0</v>
      </c>
      <c r="AA84" s="21">
        <f>IF(A84="","",ROUND(Z84*TaxRate,2))</f>
        <v>0</v>
      </c>
      <c r="AB84" s="21">
        <f>IF(A84="","",Z84+AA84)</f>
        <v>0</v>
      </c>
      <c r="AC84" s="21">
        <f>IF(A84="","",IF(P84&lt;&gt;"",P84,ROUND(AB84*DepositPercent,2)))</f>
        <v>0</v>
      </c>
      <c r="AD84" s="21">
        <f>IF(A84="","",SUMIFS('Quote Lines'!$Q$5:$Q$604,'Quote Lines'!$B$5:$B$604,A84))</f>
        <v>0</v>
      </c>
      <c r="AE84" s="21">
        <f>IF(A84="","",Z84-AD84)</f>
        <v>0</v>
      </c>
      <c r="AF84" s="38">
        <f>IF(OR(A84="",Z84=0),"",AE84/Z84)</f>
        <v>0</v>
      </c>
      <c r="AG84" s="18">
        <f>IF(OR(A84="",B84=""),"",IF(Q84&lt;&gt;"",Q84,B84+QuoteValidDays))</f>
        <v>0</v>
      </c>
      <c r="AH84" s="31">
        <f>IF(OR(A84="",L84=""),"",IF(OR(K84="Accepted",K84="Declined"),"",TodayDate-L84))</f>
        <v>0</v>
      </c>
      <c r="AI84" s="50">
        <f>IF(OR(A84="",AG84=""),"",IF(AND(AG84&lt;TodayDate,K84&lt;&gt;"Accepted",K84&lt;&gt;"Declined"),"Yes","No"))</f>
        <v>0</v>
      </c>
      <c r="AJ84" s="50">
        <f>IF(B84="","",IF(K84="Accepted","Yes",IF(K84="Declined","No","")))</f>
        <v>0</v>
      </c>
      <c r="AK84" s="39">
        <f>IF(B84="","",IF(K84="Accepted",IF(R84="","Action - accepted, book the job","OK - won"),IF(K84="Declined","Closed",IF(V84=0,"Add - no lines on this quote yet",IF(K84="Draft","Draft - not sent",IF(AI84="Yes","Expired - re-quote or close",IF(AND(AH84&lt;&gt;"",AH84&gt;=QuoteFollowupDays),"Chase - "&amp;AH84&amp;" days with no answer","OK")))))))</f>
        <v>0</v>
      </c>
    </row>
    <row r="85" spans="1:37">
      <c r="A85" s="43">
        <f>IF(B85="","",QuotePrefix&amp;TEXT(ROW()-4,"0000"))</f>
        <v>0</v>
      </c>
      <c r="C85" s="23">
        <f>IF(B85="","",TEXT(B85,"yyyy-mm"))</f>
        <v>0</v>
      </c>
      <c r="E85" s="23">
        <f>IF(D85&lt;&gt;"",IFERROR(INDEX(Clients!$B$5:$B$204,MATCH(D85,Clients!$A$5:$A$204,0)),F85),F85)</f>
        <v>0</v>
      </c>
      <c r="V85" s="31">
        <f>IF(A85="","",COUNTIFS('Quote Lines'!$B$5:$B$604,A85))</f>
        <v>0</v>
      </c>
      <c r="W85" s="34">
        <f>IF(A85="","",SUMIFS('Quote Lines'!$N$5:$N$604,'Quote Lines'!$B$5:$B$604,A85))</f>
        <v>0</v>
      </c>
      <c r="X85" s="21">
        <f>IF(A85="","",SUMIFS('Quote Lines'!$P$5:$P$604,'Quote Lines'!$B$5:$B$604,A85))</f>
        <v>0</v>
      </c>
      <c r="Y85" s="21">
        <f>IF(A85="","",ROUND(X85*IF(O85="",0,O85),2))</f>
        <v>0</v>
      </c>
      <c r="Z85" s="21">
        <f>IF(A85="","",X85-Y85)</f>
        <v>0</v>
      </c>
      <c r="AA85" s="21">
        <f>IF(A85="","",ROUND(Z85*TaxRate,2))</f>
        <v>0</v>
      </c>
      <c r="AB85" s="21">
        <f>IF(A85="","",Z85+AA85)</f>
        <v>0</v>
      </c>
      <c r="AC85" s="21">
        <f>IF(A85="","",IF(P85&lt;&gt;"",P85,ROUND(AB85*DepositPercent,2)))</f>
        <v>0</v>
      </c>
      <c r="AD85" s="21">
        <f>IF(A85="","",SUMIFS('Quote Lines'!$Q$5:$Q$604,'Quote Lines'!$B$5:$B$604,A85))</f>
        <v>0</v>
      </c>
      <c r="AE85" s="21">
        <f>IF(A85="","",Z85-AD85)</f>
        <v>0</v>
      </c>
      <c r="AF85" s="38">
        <f>IF(OR(A85="",Z85=0),"",AE85/Z85)</f>
        <v>0</v>
      </c>
      <c r="AG85" s="18">
        <f>IF(OR(A85="",B85=""),"",IF(Q85&lt;&gt;"",Q85,B85+QuoteValidDays))</f>
        <v>0</v>
      </c>
      <c r="AH85" s="31">
        <f>IF(OR(A85="",L85=""),"",IF(OR(K85="Accepted",K85="Declined"),"",TodayDate-L85))</f>
        <v>0</v>
      </c>
      <c r="AI85" s="50">
        <f>IF(OR(A85="",AG85=""),"",IF(AND(AG85&lt;TodayDate,K85&lt;&gt;"Accepted",K85&lt;&gt;"Declined"),"Yes","No"))</f>
        <v>0</v>
      </c>
      <c r="AJ85" s="50">
        <f>IF(B85="","",IF(K85="Accepted","Yes",IF(K85="Declined","No","")))</f>
        <v>0</v>
      </c>
      <c r="AK85" s="39">
        <f>IF(B85="","",IF(K85="Accepted",IF(R85="","Action - accepted, book the job","OK - won"),IF(K85="Declined","Closed",IF(V85=0,"Add - no lines on this quote yet",IF(K85="Draft","Draft - not sent",IF(AI85="Yes","Expired - re-quote or close",IF(AND(AH85&lt;&gt;"",AH85&gt;=QuoteFollowupDays),"Chase - "&amp;AH85&amp;" days with no answer","OK")))))))</f>
        <v>0</v>
      </c>
    </row>
    <row r="86" spans="1:37">
      <c r="A86" s="43">
        <f>IF(B86="","",QuotePrefix&amp;TEXT(ROW()-4,"0000"))</f>
        <v>0</v>
      </c>
      <c r="C86" s="23">
        <f>IF(B86="","",TEXT(B86,"yyyy-mm"))</f>
        <v>0</v>
      </c>
      <c r="E86" s="23">
        <f>IF(D86&lt;&gt;"",IFERROR(INDEX(Clients!$B$5:$B$204,MATCH(D86,Clients!$A$5:$A$204,0)),F86),F86)</f>
        <v>0</v>
      </c>
      <c r="V86" s="31">
        <f>IF(A86="","",COUNTIFS('Quote Lines'!$B$5:$B$604,A86))</f>
        <v>0</v>
      </c>
      <c r="W86" s="34">
        <f>IF(A86="","",SUMIFS('Quote Lines'!$N$5:$N$604,'Quote Lines'!$B$5:$B$604,A86))</f>
        <v>0</v>
      </c>
      <c r="X86" s="21">
        <f>IF(A86="","",SUMIFS('Quote Lines'!$P$5:$P$604,'Quote Lines'!$B$5:$B$604,A86))</f>
        <v>0</v>
      </c>
      <c r="Y86" s="21">
        <f>IF(A86="","",ROUND(X86*IF(O86="",0,O86),2))</f>
        <v>0</v>
      </c>
      <c r="Z86" s="21">
        <f>IF(A86="","",X86-Y86)</f>
        <v>0</v>
      </c>
      <c r="AA86" s="21">
        <f>IF(A86="","",ROUND(Z86*TaxRate,2))</f>
        <v>0</v>
      </c>
      <c r="AB86" s="21">
        <f>IF(A86="","",Z86+AA86)</f>
        <v>0</v>
      </c>
      <c r="AC86" s="21">
        <f>IF(A86="","",IF(P86&lt;&gt;"",P86,ROUND(AB86*DepositPercent,2)))</f>
        <v>0</v>
      </c>
      <c r="AD86" s="21">
        <f>IF(A86="","",SUMIFS('Quote Lines'!$Q$5:$Q$604,'Quote Lines'!$B$5:$B$604,A86))</f>
        <v>0</v>
      </c>
      <c r="AE86" s="21">
        <f>IF(A86="","",Z86-AD86)</f>
        <v>0</v>
      </c>
      <c r="AF86" s="38">
        <f>IF(OR(A86="",Z86=0),"",AE86/Z86)</f>
        <v>0</v>
      </c>
      <c r="AG86" s="18">
        <f>IF(OR(A86="",B86=""),"",IF(Q86&lt;&gt;"",Q86,B86+QuoteValidDays))</f>
        <v>0</v>
      </c>
      <c r="AH86" s="31">
        <f>IF(OR(A86="",L86=""),"",IF(OR(K86="Accepted",K86="Declined"),"",TodayDate-L86))</f>
        <v>0</v>
      </c>
      <c r="AI86" s="50">
        <f>IF(OR(A86="",AG86=""),"",IF(AND(AG86&lt;TodayDate,K86&lt;&gt;"Accepted",K86&lt;&gt;"Declined"),"Yes","No"))</f>
        <v>0</v>
      </c>
      <c r="AJ86" s="50">
        <f>IF(B86="","",IF(K86="Accepted","Yes",IF(K86="Declined","No","")))</f>
        <v>0</v>
      </c>
      <c r="AK86" s="39">
        <f>IF(B86="","",IF(K86="Accepted",IF(R86="","Action - accepted, book the job","OK - won"),IF(K86="Declined","Closed",IF(V86=0,"Add - no lines on this quote yet",IF(K86="Draft","Draft - not sent",IF(AI86="Yes","Expired - re-quote or close",IF(AND(AH86&lt;&gt;"",AH86&gt;=QuoteFollowupDays),"Chase - "&amp;AH86&amp;" days with no answer","OK")))))))</f>
        <v>0</v>
      </c>
    </row>
    <row r="87" spans="1:37">
      <c r="A87" s="43">
        <f>IF(B87="","",QuotePrefix&amp;TEXT(ROW()-4,"0000"))</f>
        <v>0</v>
      </c>
      <c r="C87" s="23">
        <f>IF(B87="","",TEXT(B87,"yyyy-mm"))</f>
        <v>0</v>
      </c>
      <c r="E87" s="23">
        <f>IF(D87&lt;&gt;"",IFERROR(INDEX(Clients!$B$5:$B$204,MATCH(D87,Clients!$A$5:$A$204,0)),F87),F87)</f>
        <v>0</v>
      </c>
      <c r="V87" s="31">
        <f>IF(A87="","",COUNTIFS('Quote Lines'!$B$5:$B$604,A87))</f>
        <v>0</v>
      </c>
      <c r="W87" s="34">
        <f>IF(A87="","",SUMIFS('Quote Lines'!$N$5:$N$604,'Quote Lines'!$B$5:$B$604,A87))</f>
        <v>0</v>
      </c>
      <c r="X87" s="21">
        <f>IF(A87="","",SUMIFS('Quote Lines'!$P$5:$P$604,'Quote Lines'!$B$5:$B$604,A87))</f>
        <v>0</v>
      </c>
      <c r="Y87" s="21">
        <f>IF(A87="","",ROUND(X87*IF(O87="",0,O87),2))</f>
        <v>0</v>
      </c>
      <c r="Z87" s="21">
        <f>IF(A87="","",X87-Y87)</f>
        <v>0</v>
      </c>
      <c r="AA87" s="21">
        <f>IF(A87="","",ROUND(Z87*TaxRate,2))</f>
        <v>0</v>
      </c>
      <c r="AB87" s="21">
        <f>IF(A87="","",Z87+AA87)</f>
        <v>0</v>
      </c>
      <c r="AC87" s="21">
        <f>IF(A87="","",IF(P87&lt;&gt;"",P87,ROUND(AB87*DepositPercent,2)))</f>
        <v>0</v>
      </c>
      <c r="AD87" s="21">
        <f>IF(A87="","",SUMIFS('Quote Lines'!$Q$5:$Q$604,'Quote Lines'!$B$5:$B$604,A87))</f>
        <v>0</v>
      </c>
      <c r="AE87" s="21">
        <f>IF(A87="","",Z87-AD87)</f>
        <v>0</v>
      </c>
      <c r="AF87" s="38">
        <f>IF(OR(A87="",Z87=0),"",AE87/Z87)</f>
        <v>0</v>
      </c>
      <c r="AG87" s="18">
        <f>IF(OR(A87="",B87=""),"",IF(Q87&lt;&gt;"",Q87,B87+QuoteValidDays))</f>
        <v>0</v>
      </c>
      <c r="AH87" s="31">
        <f>IF(OR(A87="",L87=""),"",IF(OR(K87="Accepted",K87="Declined"),"",TodayDate-L87))</f>
        <v>0</v>
      </c>
      <c r="AI87" s="50">
        <f>IF(OR(A87="",AG87=""),"",IF(AND(AG87&lt;TodayDate,K87&lt;&gt;"Accepted",K87&lt;&gt;"Declined"),"Yes","No"))</f>
        <v>0</v>
      </c>
      <c r="AJ87" s="50">
        <f>IF(B87="","",IF(K87="Accepted","Yes",IF(K87="Declined","No","")))</f>
        <v>0</v>
      </c>
      <c r="AK87" s="39">
        <f>IF(B87="","",IF(K87="Accepted",IF(R87="","Action - accepted, book the job","OK - won"),IF(K87="Declined","Closed",IF(V87=0,"Add - no lines on this quote yet",IF(K87="Draft","Draft - not sent",IF(AI87="Yes","Expired - re-quote or close",IF(AND(AH87&lt;&gt;"",AH87&gt;=QuoteFollowupDays),"Chase - "&amp;AH87&amp;" days with no answer","OK")))))))</f>
        <v>0</v>
      </c>
    </row>
    <row r="88" spans="1:37">
      <c r="A88" s="43">
        <f>IF(B88="","",QuotePrefix&amp;TEXT(ROW()-4,"0000"))</f>
        <v>0</v>
      </c>
      <c r="C88" s="23">
        <f>IF(B88="","",TEXT(B88,"yyyy-mm"))</f>
        <v>0</v>
      </c>
      <c r="E88" s="23">
        <f>IF(D88&lt;&gt;"",IFERROR(INDEX(Clients!$B$5:$B$204,MATCH(D88,Clients!$A$5:$A$204,0)),F88),F88)</f>
        <v>0</v>
      </c>
      <c r="V88" s="31">
        <f>IF(A88="","",COUNTIFS('Quote Lines'!$B$5:$B$604,A88))</f>
        <v>0</v>
      </c>
      <c r="W88" s="34">
        <f>IF(A88="","",SUMIFS('Quote Lines'!$N$5:$N$604,'Quote Lines'!$B$5:$B$604,A88))</f>
        <v>0</v>
      </c>
      <c r="X88" s="21">
        <f>IF(A88="","",SUMIFS('Quote Lines'!$P$5:$P$604,'Quote Lines'!$B$5:$B$604,A88))</f>
        <v>0</v>
      </c>
      <c r="Y88" s="21">
        <f>IF(A88="","",ROUND(X88*IF(O88="",0,O88),2))</f>
        <v>0</v>
      </c>
      <c r="Z88" s="21">
        <f>IF(A88="","",X88-Y88)</f>
        <v>0</v>
      </c>
      <c r="AA88" s="21">
        <f>IF(A88="","",ROUND(Z88*TaxRate,2))</f>
        <v>0</v>
      </c>
      <c r="AB88" s="21">
        <f>IF(A88="","",Z88+AA88)</f>
        <v>0</v>
      </c>
      <c r="AC88" s="21">
        <f>IF(A88="","",IF(P88&lt;&gt;"",P88,ROUND(AB88*DepositPercent,2)))</f>
        <v>0</v>
      </c>
      <c r="AD88" s="21">
        <f>IF(A88="","",SUMIFS('Quote Lines'!$Q$5:$Q$604,'Quote Lines'!$B$5:$B$604,A88))</f>
        <v>0</v>
      </c>
      <c r="AE88" s="21">
        <f>IF(A88="","",Z88-AD88)</f>
        <v>0</v>
      </c>
      <c r="AF88" s="38">
        <f>IF(OR(A88="",Z88=0),"",AE88/Z88)</f>
        <v>0</v>
      </c>
      <c r="AG88" s="18">
        <f>IF(OR(A88="",B88=""),"",IF(Q88&lt;&gt;"",Q88,B88+QuoteValidDays))</f>
        <v>0</v>
      </c>
      <c r="AH88" s="31">
        <f>IF(OR(A88="",L88=""),"",IF(OR(K88="Accepted",K88="Declined"),"",TodayDate-L88))</f>
        <v>0</v>
      </c>
      <c r="AI88" s="50">
        <f>IF(OR(A88="",AG88=""),"",IF(AND(AG88&lt;TodayDate,K88&lt;&gt;"Accepted",K88&lt;&gt;"Declined"),"Yes","No"))</f>
        <v>0</v>
      </c>
      <c r="AJ88" s="50">
        <f>IF(B88="","",IF(K88="Accepted","Yes",IF(K88="Declined","No","")))</f>
        <v>0</v>
      </c>
      <c r="AK88" s="39">
        <f>IF(B88="","",IF(K88="Accepted",IF(R88="","Action - accepted, book the job","OK - won"),IF(K88="Declined","Closed",IF(V88=0,"Add - no lines on this quote yet",IF(K88="Draft","Draft - not sent",IF(AI88="Yes","Expired - re-quote or close",IF(AND(AH88&lt;&gt;"",AH88&gt;=QuoteFollowupDays),"Chase - "&amp;AH88&amp;" days with no answer","OK")))))))</f>
        <v>0</v>
      </c>
    </row>
    <row r="89" spans="1:37">
      <c r="A89" s="43">
        <f>IF(B89="","",QuotePrefix&amp;TEXT(ROW()-4,"0000"))</f>
        <v>0</v>
      </c>
      <c r="C89" s="23">
        <f>IF(B89="","",TEXT(B89,"yyyy-mm"))</f>
        <v>0</v>
      </c>
      <c r="E89" s="23">
        <f>IF(D89&lt;&gt;"",IFERROR(INDEX(Clients!$B$5:$B$204,MATCH(D89,Clients!$A$5:$A$204,0)),F89),F89)</f>
        <v>0</v>
      </c>
      <c r="V89" s="31">
        <f>IF(A89="","",COUNTIFS('Quote Lines'!$B$5:$B$604,A89))</f>
        <v>0</v>
      </c>
      <c r="W89" s="34">
        <f>IF(A89="","",SUMIFS('Quote Lines'!$N$5:$N$604,'Quote Lines'!$B$5:$B$604,A89))</f>
        <v>0</v>
      </c>
      <c r="X89" s="21">
        <f>IF(A89="","",SUMIFS('Quote Lines'!$P$5:$P$604,'Quote Lines'!$B$5:$B$604,A89))</f>
        <v>0</v>
      </c>
      <c r="Y89" s="21">
        <f>IF(A89="","",ROUND(X89*IF(O89="",0,O89),2))</f>
        <v>0</v>
      </c>
      <c r="Z89" s="21">
        <f>IF(A89="","",X89-Y89)</f>
        <v>0</v>
      </c>
      <c r="AA89" s="21">
        <f>IF(A89="","",ROUND(Z89*TaxRate,2))</f>
        <v>0</v>
      </c>
      <c r="AB89" s="21">
        <f>IF(A89="","",Z89+AA89)</f>
        <v>0</v>
      </c>
      <c r="AC89" s="21">
        <f>IF(A89="","",IF(P89&lt;&gt;"",P89,ROUND(AB89*DepositPercent,2)))</f>
        <v>0</v>
      </c>
      <c r="AD89" s="21">
        <f>IF(A89="","",SUMIFS('Quote Lines'!$Q$5:$Q$604,'Quote Lines'!$B$5:$B$604,A89))</f>
        <v>0</v>
      </c>
      <c r="AE89" s="21">
        <f>IF(A89="","",Z89-AD89)</f>
        <v>0</v>
      </c>
      <c r="AF89" s="38">
        <f>IF(OR(A89="",Z89=0),"",AE89/Z89)</f>
        <v>0</v>
      </c>
      <c r="AG89" s="18">
        <f>IF(OR(A89="",B89=""),"",IF(Q89&lt;&gt;"",Q89,B89+QuoteValidDays))</f>
        <v>0</v>
      </c>
      <c r="AH89" s="31">
        <f>IF(OR(A89="",L89=""),"",IF(OR(K89="Accepted",K89="Declined"),"",TodayDate-L89))</f>
        <v>0</v>
      </c>
      <c r="AI89" s="50">
        <f>IF(OR(A89="",AG89=""),"",IF(AND(AG89&lt;TodayDate,K89&lt;&gt;"Accepted",K89&lt;&gt;"Declined"),"Yes","No"))</f>
        <v>0</v>
      </c>
      <c r="AJ89" s="50">
        <f>IF(B89="","",IF(K89="Accepted","Yes",IF(K89="Declined","No","")))</f>
        <v>0</v>
      </c>
      <c r="AK89" s="39">
        <f>IF(B89="","",IF(K89="Accepted",IF(R89="","Action - accepted, book the job","OK - won"),IF(K89="Declined","Closed",IF(V89=0,"Add - no lines on this quote yet",IF(K89="Draft","Draft - not sent",IF(AI89="Yes","Expired - re-quote or close",IF(AND(AH89&lt;&gt;"",AH89&gt;=QuoteFollowupDays),"Chase - "&amp;AH89&amp;" days with no answer","OK")))))))</f>
        <v>0</v>
      </c>
    </row>
    <row r="90" spans="1:37">
      <c r="A90" s="43">
        <f>IF(B90="","",QuotePrefix&amp;TEXT(ROW()-4,"0000"))</f>
        <v>0</v>
      </c>
      <c r="C90" s="23">
        <f>IF(B90="","",TEXT(B90,"yyyy-mm"))</f>
        <v>0</v>
      </c>
      <c r="E90" s="23">
        <f>IF(D90&lt;&gt;"",IFERROR(INDEX(Clients!$B$5:$B$204,MATCH(D90,Clients!$A$5:$A$204,0)),F90),F90)</f>
        <v>0</v>
      </c>
      <c r="V90" s="31">
        <f>IF(A90="","",COUNTIFS('Quote Lines'!$B$5:$B$604,A90))</f>
        <v>0</v>
      </c>
      <c r="W90" s="34">
        <f>IF(A90="","",SUMIFS('Quote Lines'!$N$5:$N$604,'Quote Lines'!$B$5:$B$604,A90))</f>
        <v>0</v>
      </c>
      <c r="X90" s="21">
        <f>IF(A90="","",SUMIFS('Quote Lines'!$P$5:$P$604,'Quote Lines'!$B$5:$B$604,A90))</f>
        <v>0</v>
      </c>
      <c r="Y90" s="21">
        <f>IF(A90="","",ROUND(X90*IF(O90="",0,O90),2))</f>
        <v>0</v>
      </c>
      <c r="Z90" s="21">
        <f>IF(A90="","",X90-Y90)</f>
        <v>0</v>
      </c>
      <c r="AA90" s="21">
        <f>IF(A90="","",ROUND(Z90*TaxRate,2))</f>
        <v>0</v>
      </c>
      <c r="AB90" s="21">
        <f>IF(A90="","",Z90+AA90)</f>
        <v>0</v>
      </c>
      <c r="AC90" s="21">
        <f>IF(A90="","",IF(P90&lt;&gt;"",P90,ROUND(AB90*DepositPercent,2)))</f>
        <v>0</v>
      </c>
      <c r="AD90" s="21">
        <f>IF(A90="","",SUMIFS('Quote Lines'!$Q$5:$Q$604,'Quote Lines'!$B$5:$B$604,A90))</f>
        <v>0</v>
      </c>
      <c r="AE90" s="21">
        <f>IF(A90="","",Z90-AD90)</f>
        <v>0</v>
      </c>
      <c r="AF90" s="38">
        <f>IF(OR(A90="",Z90=0),"",AE90/Z90)</f>
        <v>0</v>
      </c>
      <c r="AG90" s="18">
        <f>IF(OR(A90="",B90=""),"",IF(Q90&lt;&gt;"",Q90,B90+QuoteValidDays))</f>
        <v>0</v>
      </c>
      <c r="AH90" s="31">
        <f>IF(OR(A90="",L90=""),"",IF(OR(K90="Accepted",K90="Declined"),"",TodayDate-L90))</f>
        <v>0</v>
      </c>
      <c r="AI90" s="50">
        <f>IF(OR(A90="",AG90=""),"",IF(AND(AG90&lt;TodayDate,K90&lt;&gt;"Accepted",K90&lt;&gt;"Declined"),"Yes","No"))</f>
        <v>0</v>
      </c>
      <c r="AJ90" s="50">
        <f>IF(B90="","",IF(K90="Accepted","Yes",IF(K90="Declined","No","")))</f>
        <v>0</v>
      </c>
      <c r="AK90" s="39">
        <f>IF(B90="","",IF(K90="Accepted",IF(R90="","Action - accepted, book the job","OK - won"),IF(K90="Declined","Closed",IF(V90=0,"Add - no lines on this quote yet",IF(K90="Draft","Draft - not sent",IF(AI90="Yes","Expired - re-quote or close",IF(AND(AH90&lt;&gt;"",AH90&gt;=QuoteFollowupDays),"Chase - "&amp;AH90&amp;" days with no answer","OK")))))))</f>
        <v>0</v>
      </c>
    </row>
    <row r="91" spans="1:37">
      <c r="A91" s="43">
        <f>IF(B91="","",QuotePrefix&amp;TEXT(ROW()-4,"0000"))</f>
        <v>0</v>
      </c>
      <c r="C91" s="23">
        <f>IF(B91="","",TEXT(B91,"yyyy-mm"))</f>
        <v>0</v>
      </c>
      <c r="E91" s="23">
        <f>IF(D91&lt;&gt;"",IFERROR(INDEX(Clients!$B$5:$B$204,MATCH(D91,Clients!$A$5:$A$204,0)),F91),F91)</f>
        <v>0</v>
      </c>
      <c r="V91" s="31">
        <f>IF(A91="","",COUNTIFS('Quote Lines'!$B$5:$B$604,A91))</f>
        <v>0</v>
      </c>
      <c r="W91" s="34">
        <f>IF(A91="","",SUMIFS('Quote Lines'!$N$5:$N$604,'Quote Lines'!$B$5:$B$604,A91))</f>
        <v>0</v>
      </c>
      <c r="X91" s="21">
        <f>IF(A91="","",SUMIFS('Quote Lines'!$P$5:$P$604,'Quote Lines'!$B$5:$B$604,A91))</f>
        <v>0</v>
      </c>
      <c r="Y91" s="21">
        <f>IF(A91="","",ROUND(X91*IF(O91="",0,O91),2))</f>
        <v>0</v>
      </c>
      <c r="Z91" s="21">
        <f>IF(A91="","",X91-Y91)</f>
        <v>0</v>
      </c>
      <c r="AA91" s="21">
        <f>IF(A91="","",ROUND(Z91*TaxRate,2))</f>
        <v>0</v>
      </c>
      <c r="AB91" s="21">
        <f>IF(A91="","",Z91+AA91)</f>
        <v>0</v>
      </c>
      <c r="AC91" s="21">
        <f>IF(A91="","",IF(P91&lt;&gt;"",P91,ROUND(AB91*DepositPercent,2)))</f>
        <v>0</v>
      </c>
      <c r="AD91" s="21">
        <f>IF(A91="","",SUMIFS('Quote Lines'!$Q$5:$Q$604,'Quote Lines'!$B$5:$B$604,A91))</f>
        <v>0</v>
      </c>
      <c r="AE91" s="21">
        <f>IF(A91="","",Z91-AD91)</f>
        <v>0</v>
      </c>
      <c r="AF91" s="38">
        <f>IF(OR(A91="",Z91=0),"",AE91/Z91)</f>
        <v>0</v>
      </c>
      <c r="AG91" s="18">
        <f>IF(OR(A91="",B91=""),"",IF(Q91&lt;&gt;"",Q91,B91+QuoteValidDays))</f>
        <v>0</v>
      </c>
      <c r="AH91" s="31">
        <f>IF(OR(A91="",L91=""),"",IF(OR(K91="Accepted",K91="Declined"),"",TodayDate-L91))</f>
        <v>0</v>
      </c>
      <c r="AI91" s="50">
        <f>IF(OR(A91="",AG91=""),"",IF(AND(AG91&lt;TodayDate,K91&lt;&gt;"Accepted",K91&lt;&gt;"Declined"),"Yes","No"))</f>
        <v>0</v>
      </c>
      <c r="AJ91" s="50">
        <f>IF(B91="","",IF(K91="Accepted","Yes",IF(K91="Declined","No","")))</f>
        <v>0</v>
      </c>
      <c r="AK91" s="39">
        <f>IF(B91="","",IF(K91="Accepted",IF(R91="","Action - accepted, book the job","OK - won"),IF(K91="Declined","Closed",IF(V91=0,"Add - no lines on this quote yet",IF(K91="Draft","Draft - not sent",IF(AI91="Yes","Expired - re-quote or close",IF(AND(AH91&lt;&gt;"",AH91&gt;=QuoteFollowupDays),"Chase - "&amp;AH91&amp;" days with no answer","OK")))))))</f>
        <v>0</v>
      </c>
    </row>
    <row r="92" spans="1:37">
      <c r="A92" s="43">
        <f>IF(B92="","",QuotePrefix&amp;TEXT(ROW()-4,"0000"))</f>
        <v>0</v>
      </c>
      <c r="C92" s="23">
        <f>IF(B92="","",TEXT(B92,"yyyy-mm"))</f>
        <v>0</v>
      </c>
      <c r="E92" s="23">
        <f>IF(D92&lt;&gt;"",IFERROR(INDEX(Clients!$B$5:$B$204,MATCH(D92,Clients!$A$5:$A$204,0)),F92),F92)</f>
        <v>0</v>
      </c>
      <c r="V92" s="31">
        <f>IF(A92="","",COUNTIFS('Quote Lines'!$B$5:$B$604,A92))</f>
        <v>0</v>
      </c>
      <c r="W92" s="34">
        <f>IF(A92="","",SUMIFS('Quote Lines'!$N$5:$N$604,'Quote Lines'!$B$5:$B$604,A92))</f>
        <v>0</v>
      </c>
      <c r="X92" s="21">
        <f>IF(A92="","",SUMIFS('Quote Lines'!$P$5:$P$604,'Quote Lines'!$B$5:$B$604,A92))</f>
        <v>0</v>
      </c>
      <c r="Y92" s="21">
        <f>IF(A92="","",ROUND(X92*IF(O92="",0,O92),2))</f>
        <v>0</v>
      </c>
      <c r="Z92" s="21">
        <f>IF(A92="","",X92-Y92)</f>
        <v>0</v>
      </c>
      <c r="AA92" s="21">
        <f>IF(A92="","",ROUND(Z92*TaxRate,2))</f>
        <v>0</v>
      </c>
      <c r="AB92" s="21">
        <f>IF(A92="","",Z92+AA92)</f>
        <v>0</v>
      </c>
      <c r="AC92" s="21">
        <f>IF(A92="","",IF(P92&lt;&gt;"",P92,ROUND(AB92*DepositPercent,2)))</f>
        <v>0</v>
      </c>
      <c r="AD92" s="21">
        <f>IF(A92="","",SUMIFS('Quote Lines'!$Q$5:$Q$604,'Quote Lines'!$B$5:$B$604,A92))</f>
        <v>0</v>
      </c>
      <c r="AE92" s="21">
        <f>IF(A92="","",Z92-AD92)</f>
        <v>0</v>
      </c>
      <c r="AF92" s="38">
        <f>IF(OR(A92="",Z92=0),"",AE92/Z92)</f>
        <v>0</v>
      </c>
      <c r="AG92" s="18">
        <f>IF(OR(A92="",B92=""),"",IF(Q92&lt;&gt;"",Q92,B92+QuoteValidDays))</f>
        <v>0</v>
      </c>
      <c r="AH92" s="31">
        <f>IF(OR(A92="",L92=""),"",IF(OR(K92="Accepted",K92="Declined"),"",TodayDate-L92))</f>
        <v>0</v>
      </c>
      <c r="AI92" s="50">
        <f>IF(OR(A92="",AG92=""),"",IF(AND(AG92&lt;TodayDate,K92&lt;&gt;"Accepted",K92&lt;&gt;"Declined"),"Yes","No"))</f>
        <v>0</v>
      </c>
      <c r="AJ92" s="50">
        <f>IF(B92="","",IF(K92="Accepted","Yes",IF(K92="Declined","No","")))</f>
        <v>0</v>
      </c>
      <c r="AK92" s="39">
        <f>IF(B92="","",IF(K92="Accepted",IF(R92="","Action - accepted, book the job","OK - won"),IF(K92="Declined","Closed",IF(V92=0,"Add - no lines on this quote yet",IF(K92="Draft","Draft - not sent",IF(AI92="Yes","Expired - re-quote or close",IF(AND(AH92&lt;&gt;"",AH92&gt;=QuoteFollowupDays),"Chase - "&amp;AH92&amp;" days with no answer","OK")))))))</f>
        <v>0</v>
      </c>
    </row>
    <row r="93" spans="1:37">
      <c r="A93" s="43">
        <f>IF(B93="","",QuotePrefix&amp;TEXT(ROW()-4,"0000"))</f>
        <v>0</v>
      </c>
      <c r="C93" s="23">
        <f>IF(B93="","",TEXT(B93,"yyyy-mm"))</f>
        <v>0</v>
      </c>
      <c r="E93" s="23">
        <f>IF(D93&lt;&gt;"",IFERROR(INDEX(Clients!$B$5:$B$204,MATCH(D93,Clients!$A$5:$A$204,0)),F93),F93)</f>
        <v>0</v>
      </c>
      <c r="V93" s="31">
        <f>IF(A93="","",COUNTIFS('Quote Lines'!$B$5:$B$604,A93))</f>
        <v>0</v>
      </c>
      <c r="W93" s="34">
        <f>IF(A93="","",SUMIFS('Quote Lines'!$N$5:$N$604,'Quote Lines'!$B$5:$B$604,A93))</f>
        <v>0</v>
      </c>
      <c r="X93" s="21">
        <f>IF(A93="","",SUMIFS('Quote Lines'!$P$5:$P$604,'Quote Lines'!$B$5:$B$604,A93))</f>
        <v>0</v>
      </c>
      <c r="Y93" s="21">
        <f>IF(A93="","",ROUND(X93*IF(O93="",0,O93),2))</f>
        <v>0</v>
      </c>
      <c r="Z93" s="21">
        <f>IF(A93="","",X93-Y93)</f>
        <v>0</v>
      </c>
      <c r="AA93" s="21">
        <f>IF(A93="","",ROUND(Z93*TaxRate,2))</f>
        <v>0</v>
      </c>
      <c r="AB93" s="21">
        <f>IF(A93="","",Z93+AA93)</f>
        <v>0</v>
      </c>
      <c r="AC93" s="21">
        <f>IF(A93="","",IF(P93&lt;&gt;"",P93,ROUND(AB93*DepositPercent,2)))</f>
        <v>0</v>
      </c>
      <c r="AD93" s="21">
        <f>IF(A93="","",SUMIFS('Quote Lines'!$Q$5:$Q$604,'Quote Lines'!$B$5:$B$604,A93))</f>
        <v>0</v>
      </c>
      <c r="AE93" s="21">
        <f>IF(A93="","",Z93-AD93)</f>
        <v>0</v>
      </c>
      <c r="AF93" s="38">
        <f>IF(OR(A93="",Z93=0),"",AE93/Z93)</f>
        <v>0</v>
      </c>
      <c r="AG93" s="18">
        <f>IF(OR(A93="",B93=""),"",IF(Q93&lt;&gt;"",Q93,B93+QuoteValidDays))</f>
        <v>0</v>
      </c>
      <c r="AH93" s="31">
        <f>IF(OR(A93="",L93=""),"",IF(OR(K93="Accepted",K93="Declined"),"",TodayDate-L93))</f>
        <v>0</v>
      </c>
      <c r="AI93" s="50">
        <f>IF(OR(A93="",AG93=""),"",IF(AND(AG93&lt;TodayDate,K93&lt;&gt;"Accepted",K93&lt;&gt;"Declined"),"Yes","No"))</f>
        <v>0</v>
      </c>
      <c r="AJ93" s="50">
        <f>IF(B93="","",IF(K93="Accepted","Yes",IF(K93="Declined","No","")))</f>
        <v>0</v>
      </c>
      <c r="AK93" s="39">
        <f>IF(B93="","",IF(K93="Accepted",IF(R93="","Action - accepted, book the job","OK - won"),IF(K93="Declined","Closed",IF(V93=0,"Add - no lines on this quote yet",IF(K93="Draft","Draft - not sent",IF(AI93="Yes","Expired - re-quote or close",IF(AND(AH93&lt;&gt;"",AH93&gt;=QuoteFollowupDays),"Chase - "&amp;AH93&amp;" days with no answer","OK")))))))</f>
        <v>0</v>
      </c>
    </row>
    <row r="94" spans="1:37">
      <c r="A94" s="43">
        <f>IF(B94="","",QuotePrefix&amp;TEXT(ROW()-4,"0000"))</f>
        <v>0</v>
      </c>
      <c r="C94" s="23">
        <f>IF(B94="","",TEXT(B94,"yyyy-mm"))</f>
        <v>0</v>
      </c>
      <c r="E94" s="23">
        <f>IF(D94&lt;&gt;"",IFERROR(INDEX(Clients!$B$5:$B$204,MATCH(D94,Clients!$A$5:$A$204,0)),F94),F94)</f>
        <v>0</v>
      </c>
      <c r="V94" s="31">
        <f>IF(A94="","",COUNTIFS('Quote Lines'!$B$5:$B$604,A94))</f>
        <v>0</v>
      </c>
      <c r="W94" s="34">
        <f>IF(A94="","",SUMIFS('Quote Lines'!$N$5:$N$604,'Quote Lines'!$B$5:$B$604,A94))</f>
        <v>0</v>
      </c>
      <c r="X94" s="21">
        <f>IF(A94="","",SUMIFS('Quote Lines'!$P$5:$P$604,'Quote Lines'!$B$5:$B$604,A94))</f>
        <v>0</v>
      </c>
      <c r="Y94" s="21">
        <f>IF(A94="","",ROUND(X94*IF(O94="",0,O94),2))</f>
        <v>0</v>
      </c>
      <c r="Z94" s="21">
        <f>IF(A94="","",X94-Y94)</f>
        <v>0</v>
      </c>
      <c r="AA94" s="21">
        <f>IF(A94="","",ROUND(Z94*TaxRate,2))</f>
        <v>0</v>
      </c>
      <c r="AB94" s="21">
        <f>IF(A94="","",Z94+AA94)</f>
        <v>0</v>
      </c>
      <c r="AC94" s="21">
        <f>IF(A94="","",IF(P94&lt;&gt;"",P94,ROUND(AB94*DepositPercent,2)))</f>
        <v>0</v>
      </c>
      <c r="AD94" s="21">
        <f>IF(A94="","",SUMIFS('Quote Lines'!$Q$5:$Q$604,'Quote Lines'!$B$5:$B$604,A94))</f>
        <v>0</v>
      </c>
      <c r="AE94" s="21">
        <f>IF(A94="","",Z94-AD94)</f>
        <v>0</v>
      </c>
      <c r="AF94" s="38">
        <f>IF(OR(A94="",Z94=0),"",AE94/Z94)</f>
        <v>0</v>
      </c>
      <c r="AG94" s="18">
        <f>IF(OR(A94="",B94=""),"",IF(Q94&lt;&gt;"",Q94,B94+QuoteValidDays))</f>
        <v>0</v>
      </c>
      <c r="AH94" s="31">
        <f>IF(OR(A94="",L94=""),"",IF(OR(K94="Accepted",K94="Declined"),"",TodayDate-L94))</f>
        <v>0</v>
      </c>
      <c r="AI94" s="50">
        <f>IF(OR(A94="",AG94=""),"",IF(AND(AG94&lt;TodayDate,K94&lt;&gt;"Accepted",K94&lt;&gt;"Declined"),"Yes","No"))</f>
        <v>0</v>
      </c>
      <c r="AJ94" s="50">
        <f>IF(B94="","",IF(K94="Accepted","Yes",IF(K94="Declined","No","")))</f>
        <v>0</v>
      </c>
      <c r="AK94" s="39">
        <f>IF(B94="","",IF(K94="Accepted",IF(R94="","Action - accepted, book the job","OK - won"),IF(K94="Declined","Closed",IF(V94=0,"Add - no lines on this quote yet",IF(K94="Draft","Draft - not sent",IF(AI94="Yes","Expired - re-quote or close",IF(AND(AH94&lt;&gt;"",AH94&gt;=QuoteFollowupDays),"Chase - "&amp;AH94&amp;" days with no answer","OK")))))))</f>
        <v>0</v>
      </c>
    </row>
    <row r="95" spans="1:37">
      <c r="A95" s="43">
        <f>IF(B95="","",QuotePrefix&amp;TEXT(ROW()-4,"0000"))</f>
        <v>0</v>
      </c>
      <c r="C95" s="23">
        <f>IF(B95="","",TEXT(B95,"yyyy-mm"))</f>
        <v>0</v>
      </c>
      <c r="E95" s="23">
        <f>IF(D95&lt;&gt;"",IFERROR(INDEX(Clients!$B$5:$B$204,MATCH(D95,Clients!$A$5:$A$204,0)),F95),F95)</f>
        <v>0</v>
      </c>
      <c r="V95" s="31">
        <f>IF(A95="","",COUNTIFS('Quote Lines'!$B$5:$B$604,A95))</f>
        <v>0</v>
      </c>
      <c r="W95" s="34">
        <f>IF(A95="","",SUMIFS('Quote Lines'!$N$5:$N$604,'Quote Lines'!$B$5:$B$604,A95))</f>
        <v>0</v>
      </c>
      <c r="X95" s="21">
        <f>IF(A95="","",SUMIFS('Quote Lines'!$P$5:$P$604,'Quote Lines'!$B$5:$B$604,A95))</f>
        <v>0</v>
      </c>
      <c r="Y95" s="21">
        <f>IF(A95="","",ROUND(X95*IF(O95="",0,O95),2))</f>
        <v>0</v>
      </c>
      <c r="Z95" s="21">
        <f>IF(A95="","",X95-Y95)</f>
        <v>0</v>
      </c>
      <c r="AA95" s="21">
        <f>IF(A95="","",ROUND(Z95*TaxRate,2))</f>
        <v>0</v>
      </c>
      <c r="AB95" s="21">
        <f>IF(A95="","",Z95+AA95)</f>
        <v>0</v>
      </c>
      <c r="AC95" s="21">
        <f>IF(A95="","",IF(P95&lt;&gt;"",P95,ROUND(AB95*DepositPercent,2)))</f>
        <v>0</v>
      </c>
      <c r="AD95" s="21">
        <f>IF(A95="","",SUMIFS('Quote Lines'!$Q$5:$Q$604,'Quote Lines'!$B$5:$B$604,A95))</f>
        <v>0</v>
      </c>
      <c r="AE95" s="21">
        <f>IF(A95="","",Z95-AD95)</f>
        <v>0</v>
      </c>
      <c r="AF95" s="38">
        <f>IF(OR(A95="",Z95=0),"",AE95/Z95)</f>
        <v>0</v>
      </c>
      <c r="AG95" s="18">
        <f>IF(OR(A95="",B95=""),"",IF(Q95&lt;&gt;"",Q95,B95+QuoteValidDays))</f>
        <v>0</v>
      </c>
      <c r="AH95" s="31">
        <f>IF(OR(A95="",L95=""),"",IF(OR(K95="Accepted",K95="Declined"),"",TodayDate-L95))</f>
        <v>0</v>
      </c>
      <c r="AI95" s="50">
        <f>IF(OR(A95="",AG95=""),"",IF(AND(AG95&lt;TodayDate,K95&lt;&gt;"Accepted",K95&lt;&gt;"Declined"),"Yes","No"))</f>
        <v>0</v>
      </c>
      <c r="AJ95" s="50">
        <f>IF(B95="","",IF(K95="Accepted","Yes",IF(K95="Declined","No","")))</f>
        <v>0</v>
      </c>
      <c r="AK95" s="39">
        <f>IF(B95="","",IF(K95="Accepted",IF(R95="","Action - accepted, book the job","OK - won"),IF(K95="Declined","Closed",IF(V95=0,"Add - no lines on this quote yet",IF(K95="Draft","Draft - not sent",IF(AI95="Yes","Expired - re-quote or close",IF(AND(AH95&lt;&gt;"",AH95&gt;=QuoteFollowupDays),"Chase - "&amp;AH95&amp;" days with no answer","OK")))))))</f>
        <v>0</v>
      </c>
    </row>
    <row r="96" spans="1:37">
      <c r="A96" s="43">
        <f>IF(B96="","",QuotePrefix&amp;TEXT(ROW()-4,"0000"))</f>
        <v>0</v>
      </c>
      <c r="C96" s="23">
        <f>IF(B96="","",TEXT(B96,"yyyy-mm"))</f>
        <v>0</v>
      </c>
      <c r="E96" s="23">
        <f>IF(D96&lt;&gt;"",IFERROR(INDEX(Clients!$B$5:$B$204,MATCH(D96,Clients!$A$5:$A$204,0)),F96),F96)</f>
        <v>0</v>
      </c>
      <c r="V96" s="31">
        <f>IF(A96="","",COUNTIFS('Quote Lines'!$B$5:$B$604,A96))</f>
        <v>0</v>
      </c>
      <c r="W96" s="34">
        <f>IF(A96="","",SUMIFS('Quote Lines'!$N$5:$N$604,'Quote Lines'!$B$5:$B$604,A96))</f>
        <v>0</v>
      </c>
      <c r="X96" s="21">
        <f>IF(A96="","",SUMIFS('Quote Lines'!$P$5:$P$604,'Quote Lines'!$B$5:$B$604,A96))</f>
        <v>0</v>
      </c>
      <c r="Y96" s="21">
        <f>IF(A96="","",ROUND(X96*IF(O96="",0,O96),2))</f>
        <v>0</v>
      </c>
      <c r="Z96" s="21">
        <f>IF(A96="","",X96-Y96)</f>
        <v>0</v>
      </c>
      <c r="AA96" s="21">
        <f>IF(A96="","",ROUND(Z96*TaxRate,2))</f>
        <v>0</v>
      </c>
      <c r="AB96" s="21">
        <f>IF(A96="","",Z96+AA96)</f>
        <v>0</v>
      </c>
      <c r="AC96" s="21">
        <f>IF(A96="","",IF(P96&lt;&gt;"",P96,ROUND(AB96*DepositPercent,2)))</f>
        <v>0</v>
      </c>
      <c r="AD96" s="21">
        <f>IF(A96="","",SUMIFS('Quote Lines'!$Q$5:$Q$604,'Quote Lines'!$B$5:$B$604,A96))</f>
        <v>0</v>
      </c>
      <c r="AE96" s="21">
        <f>IF(A96="","",Z96-AD96)</f>
        <v>0</v>
      </c>
      <c r="AF96" s="38">
        <f>IF(OR(A96="",Z96=0),"",AE96/Z96)</f>
        <v>0</v>
      </c>
      <c r="AG96" s="18">
        <f>IF(OR(A96="",B96=""),"",IF(Q96&lt;&gt;"",Q96,B96+QuoteValidDays))</f>
        <v>0</v>
      </c>
      <c r="AH96" s="31">
        <f>IF(OR(A96="",L96=""),"",IF(OR(K96="Accepted",K96="Declined"),"",TodayDate-L96))</f>
        <v>0</v>
      </c>
      <c r="AI96" s="50">
        <f>IF(OR(A96="",AG96=""),"",IF(AND(AG96&lt;TodayDate,K96&lt;&gt;"Accepted",K96&lt;&gt;"Declined"),"Yes","No"))</f>
        <v>0</v>
      </c>
      <c r="AJ96" s="50">
        <f>IF(B96="","",IF(K96="Accepted","Yes",IF(K96="Declined","No","")))</f>
        <v>0</v>
      </c>
      <c r="AK96" s="39">
        <f>IF(B96="","",IF(K96="Accepted",IF(R96="","Action - accepted, book the job","OK - won"),IF(K96="Declined","Closed",IF(V96=0,"Add - no lines on this quote yet",IF(K96="Draft","Draft - not sent",IF(AI96="Yes","Expired - re-quote or close",IF(AND(AH96&lt;&gt;"",AH96&gt;=QuoteFollowupDays),"Chase - "&amp;AH96&amp;" days with no answer","OK")))))))</f>
        <v>0</v>
      </c>
    </row>
    <row r="97" spans="1:37">
      <c r="A97" s="43">
        <f>IF(B97="","",QuotePrefix&amp;TEXT(ROW()-4,"0000"))</f>
        <v>0</v>
      </c>
      <c r="C97" s="23">
        <f>IF(B97="","",TEXT(B97,"yyyy-mm"))</f>
        <v>0</v>
      </c>
      <c r="E97" s="23">
        <f>IF(D97&lt;&gt;"",IFERROR(INDEX(Clients!$B$5:$B$204,MATCH(D97,Clients!$A$5:$A$204,0)),F97),F97)</f>
        <v>0</v>
      </c>
      <c r="V97" s="31">
        <f>IF(A97="","",COUNTIFS('Quote Lines'!$B$5:$B$604,A97))</f>
        <v>0</v>
      </c>
      <c r="W97" s="34">
        <f>IF(A97="","",SUMIFS('Quote Lines'!$N$5:$N$604,'Quote Lines'!$B$5:$B$604,A97))</f>
        <v>0</v>
      </c>
      <c r="X97" s="21">
        <f>IF(A97="","",SUMIFS('Quote Lines'!$P$5:$P$604,'Quote Lines'!$B$5:$B$604,A97))</f>
        <v>0</v>
      </c>
      <c r="Y97" s="21">
        <f>IF(A97="","",ROUND(X97*IF(O97="",0,O97),2))</f>
        <v>0</v>
      </c>
      <c r="Z97" s="21">
        <f>IF(A97="","",X97-Y97)</f>
        <v>0</v>
      </c>
      <c r="AA97" s="21">
        <f>IF(A97="","",ROUND(Z97*TaxRate,2))</f>
        <v>0</v>
      </c>
      <c r="AB97" s="21">
        <f>IF(A97="","",Z97+AA97)</f>
        <v>0</v>
      </c>
      <c r="AC97" s="21">
        <f>IF(A97="","",IF(P97&lt;&gt;"",P97,ROUND(AB97*DepositPercent,2)))</f>
        <v>0</v>
      </c>
      <c r="AD97" s="21">
        <f>IF(A97="","",SUMIFS('Quote Lines'!$Q$5:$Q$604,'Quote Lines'!$B$5:$B$604,A97))</f>
        <v>0</v>
      </c>
      <c r="AE97" s="21">
        <f>IF(A97="","",Z97-AD97)</f>
        <v>0</v>
      </c>
      <c r="AF97" s="38">
        <f>IF(OR(A97="",Z97=0),"",AE97/Z97)</f>
        <v>0</v>
      </c>
      <c r="AG97" s="18">
        <f>IF(OR(A97="",B97=""),"",IF(Q97&lt;&gt;"",Q97,B97+QuoteValidDays))</f>
        <v>0</v>
      </c>
      <c r="AH97" s="31">
        <f>IF(OR(A97="",L97=""),"",IF(OR(K97="Accepted",K97="Declined"),"",TodayDate-L97))</f>
        <v>0</v>
      </c>
      <c r="AI97" s="50">
        <f>IF(OR(A97="",AG97=""),"",IF(AND(AG97&lt;TodayDate,K97&lt;&gt;"Accepted",K97&lt;&gt;"Declined"),"Yes","No"))</f>
        <v>0</v>
      </c>
      <c r="AJ97" s="50">
        <f>IF(B97="","",IF(K97="Accepted","Yes",IF(K97="Declined","No","")))</f>
        <v>0</v>
      </c>
      <c r="AK97" s="39">
        <f>IF(B97="","",IF(K97="Accepted",IF(R97="","Action - accepted, book the job","OK - won"),IF(K97="Declined","Closed",IF(V97=0,"Add - no lines on this quote yet",IF(K97="Draft","Draft - not sent",IF(AI97="Yes","Expired - re-quote or close",IF(AND(AH97&lt;&gt;"",AH97&gt;=QuoteFollowupDays),"Chase - "&amp;AH97&amp;" days with no answer","OK")))))))</f>
        <v>0</v>
      </c>
    </row>
    <row r="98" spans="1:37">
      <c r="A98" s="43">
        <f>IF(B98="","",QuotePrefix&amp;TEXT(ROW()-4,"0000"))</f>
        <v>0</v>
      </c>
      <c r="C98" s="23">
        <f>IF(B98="","",TEXT(B98,"yyyy-mm"))</f>
        <v>0</v>
      </c>
      <c r="E98" s="23">
        <f>IF(D98&lt;&gt;"",IFERROR(INDEX(Clients!$B$5:$B$204,MATCH(D98,Clients!$A$5:$A$204,0)),F98),F98)</f>
        <v>0</v>
      </c>
      <c r="V98" s="31">
        <f>IF(A98="","",COUNTIFS('Quote Lines'!$B$5:$B$604,A98))</f>
        <v>0</v>
      </c>
      <c r="W98" s="34">
        <f>IF(A98="","",SUMIFS('Quote Lines'!$N$5:$N$604,'Quote Lines'!$B$5:$B$604,A98))</f>
        <v>0</v>
      </c>
      <c r="X98" s="21">
        <f>IF(A98="","",SUMIFS('Quote Lines'!$P$5:$P$604,'Quote Lines'!$B$5:$B$604,A98))</f>
        <v>0</v>
      </c>
      <c r="Y98" s="21">
        <f>IF(A98="","",ROUND(X98*IF(O98="",0,O98),2))</f>
        <v>0</v>
      </c>
      <c r="Z98" s="21">
        <f>IF(A98="","",X98-Y98)</f>
        <v>0</v>
      </c>
      <c r="AA98" s="21">
        <f>IF(A98="","",ROUND(Z98*TaxRate,2))</f>
        <v>0</v>
      </c>
      <c r="AB98" s="21">
        <f>IF(A98="","",Z98+AA98)</f>
        <v>0</v>
      </c>
      <c r="AC98" s="21">
        <f>IF(A98="","",IF(P98&lt;&gt;"",P98,ROUND(AB98*DepositPercent,2)))</f>
        <v>0</v>
      </c>
      <c r="AD98" s="21">
        <f>IF(A98="","",SUMIFS('Quote Lines'!$Q$5:$Q$604,'Quote Lines'!$B$5:$B$604,A98))</f>
        <v>0</v>
      </c>
      <c r="AE98" s="21">
        <f>IF(A98="","",Z98-AD98)</f>
        <v>0</v>
      </c>
      <c r="AF98" s="38">
        <f>IF(OR(A98="",Z98=0),"",AE98/Z98)</f>
        <v>0</v>
      </c>
      <c r="AG98" s="18">
        <f>IF(OR(A98="",B98=""),"",IF(Q98&lt;&gt;"",Q98,B98+QuoteValidDays))</f>
        <v>0</v>
      </c>
      <c r="AH98" s="31">
        <f>IF(OR(A98="",L98=""),"",IF(OR(K98="Accepted",K98="Declined"),"",TodayDate-L98))</f>
        <v>0</v>
      </c>
      <c r="AI98" s="50">
        <f>IF(OR(A98="",AG98=""),"",IF(AND(AG98&lt;TodayDate,K98&lt;&gt;"Accepted",K98&lt;&gt;"Declined"),"Yes","No"))</f>
        <v>0</v>
      </c>
      <c r="AJ98" s="50">
        <f>IF(B98="","",IF(K98="Accepted","Yes",IF(K98="Declined","No","")))</f>
        <v>0</v>
      </c>
      <c r="AK98" s="39">
        <f>IF(B98="","",IF(K98="Accepted",IF(R98="","Action - accepted, book the job","OK - won"),IF(K98="Declined","Closed",IF(V98=0,"Add - no lines on this quote yet",IF(K98="Draft","Draft - not sent",IF(AI98="Yes","Expired - re-quote or close",IF(AND(AH98&lt;&gt;"",AH98&gt;=QuoteFollowupDays),"Chase - "&amp;AH98&amp;" days with no answer","OK")))))))</f>
        <v>0</v>
      </c>
    </row>
    <row r="99" spans="1:37">
      <c r="A99" s="43">
        <f>IF(B99="","",QuotePrefix&amp;TEXT(ROW()-4,"0000"))</f>
        <v>0</v>
      </c>
      <c r="C99" s="23">
        <f>IF(B99="","",TEXT(B99,"yyyy-mm"))</f>
        <v>0</v>
      </c>
      <c r="E99" s="23">
        <f>IF(D99&lt;&gt;"",IFERROR(INDEX(Clients!$B$5:$B$204,MATCH(D99,Clients!$A$5:$A$204,0)),F99),F99)</f>
        <v>0</v>
      </c>
      <c r="V99" s="31">
        <f>IF(A99="","",COUNTIFS('Quote Lines'!$B$5:$B$604,A99))</f>
        <v>0</v>
      </c>
      <c r="W99" s="34">
        <f>IF(A99="","",SUMIFS('Quote Lines'!$N$5:$N$604,'Quote Lines'!$B$5:$B$604,A99))</f>
        <v>0</v>
      </c>
      <c r="X99" s="21">
        <f>IF(A99="","",SUMIFS('Quote Lines'!$P$5:$P$604,'Quote Lines'!$B$5:$B$604,A99))</f>
        <v>0</v>
      </c>
      <c r="Y99" s="21">
        <f>IF(A99="","",ROUND(X99*IF(O99="",0,O99),2))</f>
        <v>0</v>
      </c>
      <c r="Z99" s="21">
        <f>IF(A99="","",X99-Y99)</f>
        <v>0</v>
      </c>
      <c r="AA99" s="21">
        <f>IF(A99="","",ROUND(Z99*TaxRate,2))</f>
        <v>0</v>
      </c>
      <c r="AB99" s="21">
        <f>IF(A99="","",Z99+AA99)</f>
        <v>0</v>
      </c>
      <c r="AC99" s="21">
        <f>IF(A99="","",IF(P99&lt;&gt;"",P99,ROUND(AB99*DepositPercent,2)))</f>
        <v>0</v>
      </c>
      <c r="AD99" s="21">
        <f>IF(A99="","",SUMIFS('Quote Lines'!$Q$5:$Q$604,'Quote Lines'!$B$5:$B$604,A99))</f>
        <v>0</v>
      </c>
      <c r="AE99" s="21">
        <f>IF(A99="","",Z99-AD99)</f>
        <v>0</v>
      </c>
      <c r="AF99" s="38">
        <f>IF(OR(A99="",Z99=0),"",AE99/Z99)</f>
        <v>0</v>
      </c>
      <c r="AG99" s="18">
        <f>IF(OR(A99="",B99=""),"",IF(Q99&lt;&gt;"",Q99,B99+QuoteValidDays))</f>
        <v>0</v>
      </c>
      <c r="AH99" s="31">
        <f>IF(OR(A99="",L99=""),"",IF(OR(K99="Accepted",K99="Declined"),"",TodayDate-L99))</f>
        <v>0</v>
      </c>
      <c r="AI99" s="50">
        <f>IF(OR(A99="",AG99=""),"",IF(AND(AG99&lt;TodayDate,K99&lt;&gt;"Accepted",K99&lt;&gt;"Declined"),"Yes","No"))</f>
        <v>0</v>
      </c>
      <c r="AJ99" s="50">
        <f>IF(B99="","",IF(K99="Accepted","Yes",IF(K99="Declined","No","")))</f>
        <v>0</v>
      </c>
      <c r="AK99" s="39">
        <f>IF(B99="","",IF(K99="Accepted",IF(R99="","Action - accepted, book the job","OK - won"),IF(K99="Declined","Closed",IF(V99=0,"Add - no lines on this quote yet",IF(K99="Draft","Draft - not sent",IF(AI99="Yes","Expired - re-quote or close",IF(AND(AH99&lt;&gt;"",AH99&gt;=QuoteFollowupDays),"Chase - "&amp;AH99&amp;" days with no answer","OK")))))))</f>
        <v>0</v>
      </c>
    </row>
    <row r="100" spans="1:37">
      <c r="A100" s="43">
        <f>IF(B100="","",QuotePrefix&amp;TEXT(ROW()-4,"0000"))</f>
        <v>0</v>
      </c>
      <c r="C100" s="23">
        <f>IF(B100="","",TEXT(B100,"yyyy-mm"))</f>
        <v>0</v>
      </c>
      <c r="E100" s="23">
        <f>IF(D100&lt;&gt;"",IFERROR(INDEX(Clients!$B$5:$B$204,MATCH(D100,Clients!$A$5:$A$204,0)),F100),F100)</f>
        <v>0</v>
      </c>
      <c r="V100" s="31">
        <f>IF(A100="","",COUNTIFS('Quote Lines'!$B$5:$B$604,A100))</f>
        <v>0</v>
      </c>
      <c r="W100" s="34">
        <f>IF(A100="","",SUMIFS('Quote Lines'!$N$5:$N$604,'Quote Lines'!$B$5:$B$604,A100))</f>
        <v>0</v>
      </c>
      <c r="X100" s="21">
        <f>IF(A100="","",SUMIFS('Quote Lines'!$P$5:$P$604,'Quote Lines'!$B$5:$B$604,A100))</f>
        <v>0</v>
      </c>
      <c r="Y100" s="21">
        <f>IF(A100="","",ROUND(X100*IF(O100="",0,O100),2))</f>
        <v>0</v>
      </c>
      <c r="Z100" s="21">
        <f>IF(A100="","",X100-Y100)</f>
        <v>0</v>
      </c>
      <c r="AA100" s="21">
        <f>IF(A100="","",ROUND(Z100*TaxRate,2))</f>
        <v>0</v>
      </c>
      <c r="AB100" s="21">
        <f>IF(A100="","",Z100+AA100)</f>
        <v>0</v>
      </c>
      <c r="AC100" s="21">
        <f>IF(A100="","",IF(P100&lt;&gt;"",P100,ROUND(AB100*DepositPercent,2)))</f>
        <v>0</v>
      </c>
      <c r="AD100" s="21">
        <f>IF(A100="","",SUMIFS('Quote Lines'!$Q$5:$Q$604,'Quote Lines'!$B$5:$B$604,A100))</f>
        <v>0</v>
      </c>
      <c r="AE100" s="21">
        <f>IF(A100="","",Z100-AD100)</f>
        <v>0</v>
      </c>
      <c r="AF100" s="38">
        <f>IF(OR(A100="",Z100=0),"",AE100/Z100)</f>
        <v>0</v>
      </c>
      <c r="AG100" s="18">
        <f>IF(OR(A100="",B100=""),"",IF(Q100&lt;&gt;"",Q100,B100+QuoteValidDays))</f>
        <v>0</v>
      </c>
      <c r="AH100" s="31">
        <f>IF(OR(A100="",L100=""),"",IF(OR(K100="Accepted",K100="Declined"),"",TodayDate-L100))</f>
        <v>0</v>
      </c>
      <c r="AI100" s="50">
        <f>IF(OR(A100="",AG100=""),"",IF(AND(AG100&lt;TodayDate,K100&lt;&gt;"Accepted",K100&lt;&gt;"Declined"),"Yes","No"))</f>
        <v>0</v>
      </c>
      <c r="AJ100" s="50">
        <f>IF(B100="","",IF(K100="Accepted","Yes",IF(K100="Declined","No","")))</f>
        <v>0</v>
      </c>
      <c r="AK100" s="39">
        <f>IF(B100="","",IF(K100="Accepted",IF(R100="","Action - accepted, book the job","OK - won"),IF(K100="Declined","Closed",IF(V100=0,"Add - no lines on this quote yet",IF(K100="Draft","Draft - not sent",IF(AI100="Yes","Expired - re-quote or close",IF(AND(AH100&lt;&gt;"",AH100&gt;=QuoteFollowupDays),"Chase - "&amp;AH100&amp;" days with no answer","OK")))))))</f>
        <v>0</v>
      </c>
    </row>
    <row r="101" spans="1:37">
      <c r="A101" s="43">
        <f>IF(B101="","",QuotePrefix&amp;TEXT(ROW()-4,"0000"))</f>
        <v>0</v>
      </c>
      <c r="C101" s="23">
        <f>IF(B101="","",TEXT(B101,"yyyy-mm"))</f>
        <v>0</v>
      </c>
      <c r="E101" s="23">
        <f>IF(D101&lt;&gt;"",IFERROR(INDEX(Clients!$B$5:$B$204,MATCH(D101,Clients!$A$5:$A$204,0)),F101),F101)</f>
        <v>0</v>
      </c>
      <c r="V101" s="31">
        <f>IF(A101="","",COUNTIFS('Quote Lines'!$B$5:$B$604,A101))</f>
        <v>0</v>
      </c>
      <c r="W101" s="34">
        <f>IF(A101="","",SUMIFS('Quote Lines'!$N$5:$N$604,'Quote Lines'!$B$5:$B$604,A101))</f>
        <v>0</v>
      </c>
      <c r="X101" s="21">
        <f>IF(A101="","",SUMIFS('Quote Lines'!$P$5:$P$604,'Quote Lines'!$B$5:$B$604,A101))</f>
        <v>0</v>
      </c>
      <c r="Y101" s="21">
        <f>IF(A101="","",ROUND(X101*IF(O101="",0,O101),2))</f>
        <v>0</v>
      </c>
      <c r="Z101" s="21">
        <f>IF(A101="","",X101-Y101)</f>
        <v>0</v>
      </c>
      <c r="AA101" s="21">
        <f>IF(A101="","",ROUND(Z101*TaxRate,2))</f>
        <v>0</v>
      </c>
      <c r="AB101" s="21">
        <f>IF(A101="","",Z101+AA101)</f>
        <v>0</v>
      </c>
      <c r="AC101" s="21">
        <f>IF(A101="","",IF(P101&lt;&gt;"",P101,ROUND(AB101*DepositPercent,2)))</f>
        <v>0</v>
      </c>
      <c r="AD101" s="21">
        <f>IF(A101="","",SUMIFS('Quote Lines'!$Q$5:$Q$604,'Quote Lines'!$B$5:$B$604,A101))</f>
        <v>0</v>
      </c>
      <c r="AE101" s="21">
        <f>IF(A101="","",Z101-AD101)</f>
        <v>0</v>
      </c>
      <c r="AF101" s="38">
        <f>IF(OR(A101="",Z101=0),"",AE101/Z101)</f>
        <v>0</v>
      </c>
      <c r="AG101" s="18">
        <f>IF(OR(A101="",B101=""),"",IF(Q101&lt;&gt;"",Q101,B101+QuoteValidDays))</f>
        <v>0</v>
      </c>
      <c r="AH101" s="31">
        <f>IF(OR(A101="",L101=""),"",IF(OR(K101="Accepted",K101="Declined"),"",TodayDate-L101))</f>
        <v>0</v>
      </c>
      <c r="AI101" s="50">
        <f>IF(OR(A101="",AG101=""),"",IF(AND(AG101&lt;TodayDate,K101&lt;&gt;"Accepted",K101&lt;&gt;"Declined"),"Yes","No"))</f>
        <v>0</v>
      </c>
      <c r="AJ101" s="50">
        <f>IF(B101="","",IF(K101="Accepted","Yes",IF(K101="Declined","No","")))</f>
        <v>0</v>
      </c>
      <c r="AK101" s="39">
        <f>IF(B101="","",IF(K101="Accepted",IF(R101="","Action - accepted, book the job","OK - won"),IF(K101="Declined","Closed",IF(V101=0,"Add - no lines on this quote yet",IF(K101="Draft","Draft - not sent",IF(AI101="Yes","Expired - re-quote or close",IF(AND(AH101&lt;&gt;"",AH101&gt;=QuoteFollowupDays),"Chase - "&amp;AH101&amp;" days with no answer","OK")))))))</f>
        <v>0</v>
      </c>
    </row>
    <row r="102" spans="1:37">
      <c r="A102" s="43">
        <f>IF(B102="","",QuotePrefix&amp;TEXT(ROW()-4,"0000"))</f>
        <v>0</v>
      </c>
      <c r="C102" s="23">
        <f>IF(B102="","",TEXT(B102,"yyyy-mm"))</f>
        <v>0</v>
      </c>
      <c r="E102" s="23">
        <f>IF(D102&lt;&gt;"",IFERROR(INDEX(Clients!$B$5:$B$204,MATCH(D102,Clients!$A$5:$A$204,0)),F102),F102)</f>
        <v>0</v>
      </c>
      <c r="V102" s="31">
        <f>IF(A102="","",COUNTIFS('Quote Lines'!$B$5:$B$604,A102))</f>
        <v>0</v>
      </c>
      <c r="W102" s="34">
        <f>IF(A102="","",SUMIFS('Quote Lines'!$N$5:$N$604,'Quote Lines'!$B$5:$B$604,A102))</f>
        <v>0</v>
      </c>
      <c r="X102" s="21">
        <f>IF(A102="","",SUMIFS('Quote Lines'!$P$5:$P$604,'Quote Lines'!$B$5:$B$604,A102))</f>
        <v>0</v>
      </c>
      <c r="Y102" s="21">
        <f>IF(A102="","",ROUND(X102*IF(O102="",0,O102),2))</f>
        <v>0</v>
      </c>
      <c r="Z102" s="21">
        <f>IF(A102="","",X102-Y102)</f>
        <v>0</v>
      </c>
      <c r="AA102" s="21">
        <f>IF(A102="","",ROUND(Z102*TaxRate,2))</f>
        <v>0</v>
      </c>
      <c r="AB102" s="21">
        <f>IF(A102="","",Z102+AA102)</f>
        <v>0</v>
      </c>
      <c r="AC102" s="21">
        <f>IF(A102="","",IF(P102&lt;&gt;"",P102,ROUND(AB102*DepositPercent,2)))</f>
        <v>0</v>
      </c>
      <c r="AD102" s="21">
        <f>IF(A102="","",SUMIFS('Quote Lines'!$Q$5:$Q$604,'Quote Lines'!$B$5:$B$604,A102))</f>
        <v>0</v>
      </c>
      <c r="AE102" s="21">
        <f>IF(A102="","",Z102-AD102)</f>
        <v>0</v>
      </c>
      <c r="AF102" s="38">
        <f>IF(OR(A102="",Z102=0),"",AE102/Z102)</f>
        <v>0</v>
      </c>
      <c r="AG102" s="18">
        <f>IF(OR(A102="",B102=""),"",IF(Q102&lt;&gt;"",Q102,B102+QuoteValidDays))</f>
        <v>0</v>
      </c>
      <c r="AH102" s="31">
        <f>IF(OR(A102="",L102=""),"",IF(OR(K102="Accepted",K102="Declined"),"",TodayDate-L102))</f>
        <v>0</v>
      </c>
      <c r="AI102" s="50">
        <f>IF(OR(A102="",AG102=""),"",IF(AND(AG102&lt;TodayDate,K102&lt;&gt;"Accepted",K102&lt;&gt;"Declined"),"Yes","No"))</f>
        <v>0</v>
      </c>
      <c r="AJ102" s="50">
        <f>IF(B102="","",IF(K102="Accepted","Yes",IF(K102="Declined","No","")))</f>
        <v>0</v>
      </c>
      <c r="AK102" s="39">
        <f>IF(B102="","",IF(K102="Accepted",IF(R102="","Action - accepted, book the job","OK - won"),IF(K102="Declined","Closed",IF(V102=0,"Add - no lines on this quote yet",IF(K102="Draft","Draft - not sent",IF(AI102="Yes","Expired - re-quote or close",IF(AND(AH102&lt;&gt;"",AH102&gt;=QuoteFollowupDays),"Chase - "&amp;AH102&amp;" days with no answer","OK")))))))</f>
        <v>0</v>
      </c>
    </row>
    <row r="103" spans="1:37">
      <c r="A103" s="43">
        <f>IF(B103="","",QuotePrefix&amp;TEXT(ROW()-4,"0000"))</f>
        <v>0</v>
      </c>
      <c r="C103" s="23">
        <f>IF(B103="","",TEXT(B103,"yyyy-mm"))</f>
        <v>0</v>
      </c>
      <c r="E103" s="23">
        <f>IF(D103&lt;&gt;"",IFERROR(INDEX(Clients!$B$5:$B$204,MATCH(D103,Clients!$A$5:$A$204,0)),F103),F103)</f>
        <v>0</v>
      </c>
      <c r="V103" s="31">
        <f>IF(A103="","",COUNTIFS('Quote Lines'!$B$5:$B$604,A103))</f>
        <v>0</v>
      </c>
      <c r="W103" s="34">
        <f>IF(A103="","",SUMIFS('Quote Lines'!$N$5:$N$604,'Quote Lines'!$B$5:$B$604,A103))</f>
        <v>0</v>
      </c>
      <c r="X103" s="21">
        <f>IF(A103="","",SUMIFS('Quote Lines'!$P$5:$P$604,'Quote Lines'!$B$5:$B$604,A103))</f>
        <v>0</v>
      </c>
      <c r="Y103" s="21">
        <f>IF(A103="","",ROUND(X103*IF(O103="",0,O103),2))</f>
        <v>0</v>
      </c>
      <c r="Z103" s="21">
        <f>IF(A103="","",X103-Y103)</f>
        <v>0</v>
      </c>
      <c r="AA103" s="21">
        <f>IF(A103="","",ROUND(Z103*TaxRate,2))</f>
        <v>0</v>
      </c>
      <c r="AB103" s="21">
        <f>IF(A103="","",Z103+AA103)</f>
        <v>0</v>
      </c>
      <c r="AC103" s="21">
        <f>IF(A103="","",IF(P103&lt;&gt;"",P103,ROUND(AB103*DepositPercent,2)))</f>
        <v>0</v>
      </c>
      <c r="AD103" s="21">
        <f>IF(A103="","",SUMIFS('Quote Lines'!$Q$5:$Q$604,'Quote Lines'!$B$5:$B$604,A103))</f>
        <v>0</v>
      </c>
      <c r="AE103" s="21">
        <f>IF(A103="","",Z103-AD103)</f>
        <v>0</v>
      </c>
      <c r="AF103" s="38">
        <f>IF(OR(A103="",Z103=0),"",AE103/Z103)</f>
        <v>0</v>
      </c>
      <c r="AG103" s="18">
        <f>IF(OR(A103="",B103=""),"",IF(Q103&lt;&gt;"",Q103,B103+QuoteValidDays))</f>
        <v>0</v>
      </c>
      <c r="AH103" s="31">
        <f>IF(OR(A103="",L103=""),"",IF(OR(K103="Accepted",K103="Declined"),"",TodayDate-L103))</f>
        <v>0</v>
      </c>
      <c r="AI103" s="50">
        <f>IF(OR(A103="",AG103=""),"",IF(AND(AG103&lt;TodayDate,K103&lt;&gt;"Accepted",K103&lt;&gt;"Declined"),"Yes","No"))</f>
        <v>0</v>
      </c>
      <c r="AJ103" s="50">
        <f>IF(B103="","",IF(K103="Accepted","Yes",IF(K103="Declined","No","")))</f>
        <v>0</v>
      </c>
      <c r="AK103" s="39">
        <f>IF(B103="","",IF(K103="Accepted",IF(R103="","Action - accepted, book the job","OK - won"),IF(K103="Declined","Closed",IF(V103=0,"Add - no lines on this quote yet",IF(K103="Draft","Draft - not sent",IF(AI103="Yes","Expired - re-quote or close",IF(AND(AH103&lt;&gt;"",AH103&gt;=QuoteFollowupDays),"Chase - "&amp;AH103&amp;" days with no answer","OK")))))))</f>
        <v>0</v>
      </c>
    </row>
    <row r="104" spans="1:37">
      <c r="A104" s="43">
        <f>IF(B104="","",QuotePrefix&amp;TEXT(ROW()-4,"0000"))</f>
        <v>0</v>
      </c>
      <c r="C104" s="23">
        <f>IF(B104="","",TEXT(B104,"yyyy-mm"))</f>
        <v>0</v>
      </c>
      <c r="E104" s="23">
        <f>IF(D104&lt;&gt;"",IFERROR(INDEX(Clients!$B$5:$B$204,MATCH(D104,Clients!$A$5:$A$204,0)),F104),F104)</f>
        <v>0</v>
      </c>
      <c r="V104" s="31">
        <f>IF(A104="","",COUNTIFS('Quote Lines'!$B$5:$B$604,A104))</f>
        <v>0</v>
      </c>
      <c r="W104" s="34">
        <f>IF(A104="","",SUMIFS('Quote Lines'!$N$5:$N$604,'Quote Lines'!$B$5:$B$604,A104))</f>
        <v>0</v>
      </c>
      <c r="X104" s="21">
        <f>IF(A104="","",SUMIFS('Quote Lines'!$P$5:$P$604,'Quote Lines'!$B$5:$B$604,A104))</f>
        <v>0</v>
      </c>
      <c r="Y104" s="21">
        <f>IF(A104="","",ROUND(X104*IF(O104="",0,O104),2))</f>
        <v>0</v>
      </c>
      <c r="Z104" s="21">
        <f>IF(A104="","",X104-Y104)</f>
        <v>0</v>
      </c>
      <c r="AA104" s="21">
        <f>IF(A104="","",ROUND(Z104*TaxRate,2))</f>
        <v>0</v>
      </c>
      <c r="AB104" s="21">
        <f>IF(A104="","",Z104+AA104)</f>
        <v>0</v>
      </c>
      <c r="AC104" s="21">
        <f>IF(A104="","",IF(P104&lt;&gt;"",P104,ROUND(AB104*DepositPercent,2)))</f>
        <v>0</v>
      </c>
      <c r="AD104" s="21">
        <f>IF(A104="","",SUMIFS('Quote Lines'!$Q$5:$Q$604,'Quote Lines'!$B$5:$B$604,A104))</f>
        <v>0</v>
      </c>
      <c r="AE104" s="21">
        <f>IF(A104="","",Z104-AD104)</f>
        <v>0</v>
      </c>
      <c r="AF104" s="38">
        <f>IF(OR(A104="",Z104=0),"",AE104/Z104)</f>
        <v>0</v>
      </c>
      <c r="AG104" s="18">
        <f>IF(OR(A104="",B104=""),"",IF(Q104&lt;&gt;"",Q104,B104+QuoteValidDays))</f>
        <v>0</v>
      </c>
      <c r="AH104" s="31">
        <f>IF(OR(A104="",L104=""),"",IF(OR(K104="Accepted",K104="Declined"),"",TodayDate-L104))</f>
        <v>0</v>
      </c>
      <c r="AI104" s="50">
        <f>IF(OR(A104="",AG104=""),"",IF(AND(AG104&lt;TodayDate,K104&lt;&gt;"Accepted",K104&lt;&gt;"Declined"),"Yes","No"))</f>
        <v>0</v>
      </c>
      <c r="AJ104" s="50">
        <f>IF(B104="","",IF(K104="Accepted","Yes",IF(K104="Declined","No","")))</f>
        <v>0</v>
      </c>
      <c r="AK104" s="39">
        <f>IF(B104="","",IF(K104="Accepted",IF(R104="","Action - accepted, book the job","OK - won"),IF(K104="Declined","Closed",IF(V104=0,"Add - no lines on this quote yet",IF(K104="Draft","Draft - not sent",IF(AI104="Yes","Expired - re-quote or close",IF(AND(AH104&lt;&gt;"",AH104&gt;=QuoteFollowupDays),"Chase - "&amp;AH104&amp;" days with no answer","OK")))))))</f>
        <v>0</v>
      </c>
    </row>
    <row r="105" spans="1:37">
      <c r="A105" s="43">
        <f>IF(B105="","",QuotePrefix&amp;TEXT(ROW()-4,"0000"))</f>
        <v>0</v>
      </c>
      <c r="C105" s="23">
        <f>IF(B105="","",TEXT(B105,"yyyy-mm"))</f>
        <v>0</v>
      </c>
      <c r="E105" s="23">
        <f>IF(D105&lt;&gt;"",IFERROR(INDEX(Clients!$B$5:$B$204,MATCH(D105,Clients!$A$5:$A$204,0)),F105),F105)</f>
        <v>0</v>
      </c>
      <c r="V105" s="31">
        <f>IF(A105="","",COUNTIFS('Quote Lines'!$B$5:$B$604,A105))</f>
        <v>0</v>
      </c>
      <c r="W105" s="34">
        <f>IF(A105="","",SUMIFS('Quote Lines'!$N$5:$N$604,'Quote Lines'!$B$5:$B$604,A105))</f>
        <v>0</v>
      </c>
      <c r="X105" s="21">
        <f>IF(A105="","",SUMIFS('Quote Lines'!$P$5:$P$604,'Quote Lines'!$B$5:$B$604,A105))</f>
        <v>0</v>
      </c>
      <c r="Y105" s="21">
        <f>IF(A105="","",ROUND(X105*IF(O105="",0,O105),2))</f>
        <v>0</v>
      </c>
      <c r="Z105" s="21">
        <f>IF(A105="","",X105-Y105)</f>
        <v>0</v>
      </c>
      <c r="AA105" s="21">
        <f>IF(A105="","",ROUND(Z105*TaxRate,2))</f>
        <v>0</v>
      </c>
      <c r="AB105" s="21">
        <f>IF(A105="","",Z105+AA105)</f>
        <v>0</v>
      </c>
      <c r="AC105" s="21">
        <f>IF(A105="","",IF(P105&lt;&gt;"",P105,ROUND(AB105*DepositPercent,2)))</f>
        <v>0</v>
      </c>
      <c r="AD105" s="21">
        <f>IF(A105="","",SUMIFS('Quote Lines'!$Q$5:$Q$604,'Quote Lines'!$B$5:$B$604,A105))</f>
        <v>0</v>
      </c>
      <c r="AE105" s="21">
        <f>IF(A105="","",Z105-AD105)</f>
        <v>0</v>
      </c>
      <c r="AF105" s="38">
        <f>IF(OR(A105="",Z105=0),"",AE105/Z105)</f>
        <v>0</v>
      </c>
      <c r="AG105" s="18">
        <f>IF(OR(A105="",B105=""),"",IF(Q105&lt;&gt;"",Q105,B105+QuoteValidDays))</f>
        <v>0</v>
      </c>
      <c r="AH105" s="31">
        <f>IF(OR(A105="",L105=""),"",IF(OR(K105="Accepted",K105="Declined"),"",TodayDate-L105))</f>
        <v>0</v>
      </c>
      <c r="AI105" s="50">
        <f>IF(OR(A105="",AG105=""),"",IF(AND(AG105&lt;TodayDate,K105&lt;&gt;"Accepted",K105&lt;&gt;"Declined"),"Yes","No"))</f>
        <v>0</v>
      </c>
      <c r="AJ105" s="50">
        <f>IF(B105="","",IF(K105="Accepted","Yes",IF(K105="Declined","No","")))</f>
        <v>0</v>
      </c>
      <c r="AK105" s="39">
        <f>IF(B105="","",IF(K105="Accepted",IF(R105="","Action - accepted, book the job","OK - won"),IF(K105="Declined","Closed",IF(V105=0,"Add - no lines on this quote yet",IF(K105="Draft","Draft - not sent",IF(AI105="Yes","Expired - re-quote or close",IF(AND(AH105&lt;&gt;"",AH105&gt;=QuoteFollowupDays),"Chase - "&amp;AH105&amp;" days with no answer","OK")))))))</f>
        <v>0</v>
      </c>
    </row>
    <row r="106" spans="1:37">
      <c r="A106" s="43">
        <f>IF(B106="","",QuotePrefix&amp;TEXT(ROW()-4,"0000"))</f>
        <v>0</v>
      </c>
      <c r="C106" s="23">
        <f>IF(B106="","",TEXT(B106,"yyyy-mm"))</f>
        <v>0</v>
      </c>
      <c r="E106" s="23">
        <f>IF(D106&lt;&gt;"",IFERROR(INDEX(Clients!$B$5:$B$204,MATCH(D106,Clients!$A$5:$A$204,0)),F106),F106)</f>
        <v>0</v>
      </c>
      <c r="V106" s="31">
        <f>IF(A106="","",COUNTIFS('Quote Lines'!$B$5:$B$604,A106))</f>
        <v>0</v>
      </c>
      <c r="W106" s="34">
        <f>IF(A106="","",SUMIFS('Quote Lines'!$N$5:$N$604,'Quote Lines'!$B$5:$B$604,A106))</f>
        <v>0</v>
      </c>
      <c r="X106" s="21">
        <f>IF(A106="","",SUMIFS('Quote Lines'!$P$5:$P$604,'Quote Lines'!$B$5:$B$604,A106))</f>
        <v>0</v>
      </c>
      <c r="Y106" s="21">
        <f>IF(A106="","",ROUND(X106*IF(O106="",0,O106),2))</f>
        <v>0</v>
      </c>
      <c r="Z106" s="21">
        <f>IF(A106="","",X106-Y106)</f>
        <v>0</v>
      </c>
      <c r="AA106" s="21">
        <f>IF(A106="","",ROUND(Z106*TaxRate,2))</f>
        <v>0</v>
      </c>
      <c r="AB106" s="21">
        <f>IF(A106="","",Z106+AA106)</f>
        <v>0</v>
      </c>
      <c r="AC106" s="21">
        <f>IF(A106="","",IF(P106&lt;&gt;"",P106,ROUND(AB106*DepositPercent,2)))</f>
        <v>0</v>
      </c>
      <c r="AD106" s="21">
        <f>IF(A106="","",SUMIFS('Quote Lines'!$Q$5:$Q$604,'Quote Lines'!$B$5:$B$604,A106))</f>
        <v>0</v>
      </c>
      <c r="AE106" s="21">
        <f>IF(A106="","",Z106-AD106)</f>
        <v>0</v>
      </c>
      <c r="AF106" s="38">
        <f>IF(OR(A106="",Z106=0),"",AE106/Z106)</f>
        <v>0</v>
      </c>
      <c r="AG106" s="18">
        <f>IF(OR(A106="",B106=""),"",IF(Q106&lt;&gt;"",Q106,B106+QuoteValidDays))</f>
        <v>0</v>
      </c>
      <c r="AH106" s="31">
        <f>IF(OR(A106="",L106=""),"",IF(OR(K106="Accepted",K106="Declined"),"",TodayDate-L106))</f>
        <v>0</v>
      </c>
      <c r="AI106" s="50">
        <f>IF(OR(A106="",AG106=""),"",IF(AND(AG106&lt;TodayDate,K106&lt;&gt;"Accepted",K106&lt;&gt;"Declined"),"Yes","No"))</f>
        <v>0</v>
      </c>
      <c r="AJ106" s="50">
        <f>IF(B106="","",IF(K106="Accepted","Yes",IF(K106="Declined","No","")))</f>
        <v>0</v>
      </c>
      <c r="AK106" s="39">
        <f>IF(B106="","",IF(K106="Accepted",IF(R106="","Action - accepted, book the job","OK - won"),IF(K106="Declined","Closed",IF(V106=0,"Add - no lines on this quote yet",IF(K106="Draft","Draft - not sent",IF(AI106="Yes","Expired - re-quote or close",IF(AND(AH106&lt;&gt;"",AH106&gt;=QuoteFollowupDays),"Chase - "&amp;AH106&amp;" days with no answer","OK")))))))</f>
        <v>0</v>
      </c>
    </row>
    <row r="107" spans="1:37">
      <c r="A107" s="43">
        <f>IF(B107="","",QuotePrefix&amp;TEXT(ROW()-4,"0000"))</f>
        <v>0</v>
      </c>
      <c r="C107" s="23">
        <f>IF(B107="","",TEXT(B107,"yyyy-mm"))</f>
        <v>0</v>
      </c>
      <c r="E107" s="23">
        <f>IF(D107&lt;&gt;"",IFERROR(INDEX(Clients!$B$5:$B$204,MATCH(D107,Clients!$A$5:$A$204,0)),F107),F107)</f>
        <v>0</v>
      </c>
      <c r="V107" s="31">
        <f>IF(A107="","",COUNTIFS('Quote Lines'!$B$5:$B$604,A107))</f>
        <v>0</v>
      </c>
      <c r="W107" s="34">
        <f>IF(A107="","",SUMIFS('Quote Lines'!$N$5:$N$604,'Quote Lines'!$B$5:$B$604,A107))</f>
        <v>0</v>
      </c>
      <c r="X107" s="21">
        <f>IF(A107="","",SUMIFS('Quote Lines'!$P$5:$P$604,'Quote Lines'!$B$5:$B$604,A107))</f>
        <v>0</v>
      </c>
      <c r="Y107" s="21">
        <f>IF(A107="","",ROUND(X107*IF(O107="",0,O107),2))</f>
        <v>0</v>
      </c>
      <c r="Z107" s="21">
        <f>IF(A107="","",X107-Y107)</f>
        <v>0</v>
      </c>
      <c r="AA107" s="21">
        <f>IF(A107="","",ROUND(Z107*TaxRate,2))</f>
        <v>0</v>
      </c>
      <c r="AB107" s="21">
        <f>IF(A107="","",Z107+AA107)</f>
        <v>0</v>
      </c>
      <c r="AC107" s="21">
        <f>IF(A107="","",IF(P107&lt;&gt;"",P107,ROUND(AB107*DepositPercent,2)))</f>
        <v>0</v>
      </c>
      <c r="AD107" s="21">
        <f>IF(A107="","",SUMIFS('Quote Lines'!$Q$5:$Q$604,'Quote Lines'!$B$5:$B$604,A107))</f>
        <v>0</v>
      </c>
      <c r="AE107" s="21">
        <f>IF(A107="","",Z107-AD107)</f>
        <v>0</v>
      </c>
      <c r="AF107" s="38">
        <f>IF(OR(A107="",Z107=0),"",AE107/Z107)</f>
        <v>0</v>
      </c>
      <c r="AG107" s="18">
        <f>IF(OR(A107="",B107=""),"",IF(Q107&lt;&gt;"",Q107,B107+QuoteValidDays))</f>
        <v>0</v>
      </c>
      <c r="AH107" s="31">
        <f>IF(OR(A107="",L107=""),"",IF(OR(K107="Accepted",K107="Declined"),"",TodayDate-L107))</f>
        <v>0</v>
      </c>
      <c r="AI107" s="50">
        <f>IF(OR(A107="",AG107=""),"",IF(AND(AG107&lt;TodayDate,K107&lt;&gt;"Accepted",K107&lt;&gt;"Declined"),"Yes","No"))</f>
        <v>0</v>
      </c>
      <c r="AJ107" s="50">
        <f>IF(B107="","",IF(K107="Accepted","Yes",IF(K107="Declined","No","")))</f>
        <v>0</v>
      </c>
      <c r="AK107" s="39">
        <f>IF(B107="","",IF(K107="Accepted",IF(R107="","Action - accepted, book the job","OK - won"),IF(K107="Declined","Closed",IF(V107=0,"Add - no lines on this quote yet",IF(K107="Draft","Draft - not sent",IF(AI107="Yes","Expired - re-quote or close",IF(AND(AH107&lt;&gt;"",AH107&gt;=QuoteFollowupDays),"Chase - "&amp;AH107&amp;" days with no answer","OK")))))))</f>
        <v>0</v>
      </c>
    </row>
    <row r="108" spans="1:37">
      <c r="A108" s="43">
        <f>IF(B108="","",QuotePrefix&amp;TEXT(ROW()-4,"0000"))</f>
        <v>0</v>
      </c>
      <c r="C108" s="23">
        <f>IF(B108="","",TEXT(B108,"yyyy-mm"))</f>
        <v>0</v>
      </c>
      <c r="E108" s="23">
        <f>IF(D108&lt;&gt;"",IFERROR(INDEX(Clients!$B$5:$B$204,MATCH(D108,Clients!$A$5:$A$204,0)),F108),F108)</f>
        <v>0</v>
      </c>
      <c r="V108" s="31">
        <f>IF(A108="","",COUNTIFS('Quote Lines'!$B$5:$B$604,A108))</f>
        <v>0</v>
      </c>
      <c r="W108" s="34">
        <f>IF(A108="","",SUMIFS('Quote Lines'!$N$5:$N$604,'Quote Lines'!$B$5:$B$604,A108))</f>
        <v>0</v>
      </c>
      <c r="X108" s="21">
        <f>IF(A108="","",SUMIFS('Quote Lines'!$P$5:$P$604,'Quote Lines'!$B$5:$B$604,A108))</f>
        <v>0</v>
      </c>
      <c r="Y108" s="21">
        <f>IF(A108="","",ROUND(X108*IF(O108="",0,O108),2))</f>
        <v>0</v>
      </c>
      <c r="Z108" s="21">
        <f>IF(A108="","",X108-Y108)</f>
        <v>0</v>
      </c>
      <c r="AA108" s="21">
        <f>IF(A108="","",ROUND(Z108*TaxRate,2))</f>
        <v>0</v>
      </c>
      <c r="AB108" s="21">
        <f>IF(A108="","",Z108+AA108)</f>
        <v>0</v>
      </c>
      <c r="AC108" s="21">
        <f>IF(A108="","",IF(P108&lt;&gt;"",P108,ROUND(AB108*DepositPercent,2)))</f>
        <v>0</v>
      </c>
      <c r="AD108" s="21">
        <f>IF(A108="","",SUMIFS('Quote Lines'!$Q$5:$Q$604,'Quote Lines'!$B$5:$B$604,A108))</f>
        <v>0</v>
      </c>
      <c r="AE108" s="21">
        <f>IF(A108="","",Z108-AD108)</f>
        <v>0</v>
      </c>
      <c r="AF108" s="38">
        <f>IF(OR(A108="",Z108=0),"",AE108/Z108)</f>
        <v>0</v>
      </c>
      <c r="AG108" s="18">
        <f>IF(OR(A108="",B108=""),"",IF(Q108&lt;&gt;"",Q108,B108+QuoteValidDays))</f>
        <v>0</v>
      </c>
      <c r="AH108" s="31">
        <f>IF(OR(A108="",L108=""),"",IF(OR(K108="Accepted",K108="Declined"),"",TodayDate-L108))</f>
        <v>0</v>
      </c>
      <c r="AI108" s="50">
        <f>IF(OR(A108="",AG108=""),"",IF(AND(AG108&lt;TodayDate,K108&lt;&gt;"Accepted",K108&lt;&gt;"Declined"),"Yes","No"))</f>
        <v>0</v>
      </c>
      <c r="AJ108" s="50">
        <f>IF(B108="","",IF(K108="Accepted","Yes",IF(K108="Declined","No","")))</f>
        <v>0</v>
      </c>
      <c r="AK108" s="39">
        <f>IF(B108="","",IF(K108="Accepted",IF(R108="","Action - accepted, book the job","OK - won"),IF(K108="Declined","Closed",IF(V108=0,"Add - no lines on this quote yet",IF(K108="Draft","Draft - not sent",IF(AI108="Yes","Expired - re-quote or close",IF(AND(AH108&lt;&gt;"",AH108&gt;=QuoteFollowupDays),"Chase - "&amp;AH108&amp;" days with no answer","OK")))))))</f>
        <v>0</v>
      </c>
    </row>
    <row r="109" spans="1:37">
      <c r="A109" s="43">
        <f>IF(B109="","",QuotePrefix&amp;TEXT(ROW()-4,"0000"))</f>
        <v>0</v>
      </c>
      <c r="C109" s="23">
        <f>IF(B109="","",TEXT(B109,"yyyy-mm"))</f>
        <v>0</v>
      </c>
      <c r="E109" s="23">
        <f>IF(D109&lt;&gt;"",IFERROR(INDEX(Clients!$B$5:$B$204,MATCH(D109,Clients!$A$5:$A$204,0)),F109),F109)</f>
        <v>0</v>
      </c>
      <c r="V109" s="31">
        <f>IF(A109="","",COUNTIFS('Quote Lines'!$B$5:$B$604,A109))</f>
        <v>0</v>
      </c>
      <c r="W109" s="34">
        <f>IF(A109="","",SUMIFS('Quote Lines'!$N$5:$N$604,'Quote Lines'!$B$5:$B$604,A109))</f>
        <v>0</v>
      </c>
      <c r="X109" s="21">
        <f>IF(A109="","",SUMIFS('Quote Lines'!$P$5:$P$604,'Quote Lines'!$B$5:$B$604,A109))</f>
        <v>0</v>
      </c>
      <c r="Y109" s="21">
        <f>IF(A109="","",ROUND(X109*IF(O109="",0,O109),2))</f>
        <v>0</v>
      </c>
      <c r="Z109" s="21">
        <f>IF(A109="","",X109-Y109)</f>
        <v>0</v>
      </c>
      <c r="AA109" s="21">
        <f>IF(A109="","",ROUND(Z109*TaxRate,2))</f>
        <v>0</v>
      </c>
      <c r="AB109" s="21">
        <f>IF(A109="","",Z109+AA109)</f>
        <v>0</v>
      </c>
      <c r="AC109" s="21">
        <f>IF(A109="","",IF(P109&lt;&gt;"",P109,ROUND(AB109*DepositPercent,2)))</f>
        <v>0</v>
      </c>
      <c r="AD109" s="21">
        <f>IF(A109="","",SUMIFS('Quote Lines'!$Q$5:$Q$604,'Quote Lines'!$B$5:$B$604,A109))</f>
        <v>0</v>
      </c>
      <c r="AE109" s="21">
        <f>IF(A109="","",Z109-AD109)</f>
        <v>0</v>
      </c>
      <c r="AF109" s="38">
        <f>IF(OR(A109="",Z109=0),"",AE109/Z109)</f>
        <v>0</v>
      </c>
      <c r="AG109" s="18">
        <f>IF(OR(A109="",B109=""),"",IF(Q109&lt;&gt;"",Q109,B109+QuoteValidDays))</f>
        <v>0</v>
      </c>
      <c r="AH109" s="31">
        <f>IF(OR(A109="",L109=""),"",IF(OR(K109="Accepted",K109="Declined"),"",TodayDate-L109))</f>
        <v>0</v>
      </c>
      <c r="AI109" s="50">
        <f>IF(OR(A109="",AG109=""),"",IF(AND(AG109&lt;TodayDate,K109&lt;&gt;"Accepted",K109&lt;&gt;"Declined"),"Yes","No"))</f>
        <v>0</v>
      </c>
      <c r="AJ109" s="50">
        <f>IF(B109="","",IF(K109="Accepted","Yes",IF(K109="Declined","No","")))</f>
        <v>0</v>
      </c>
      <c r="AK109" s="39">
        <f>IF(B109="","",IF(K109="Accepted",IF(R109="","Action - accepted, book the job","OK - won"),IF(K109="Declined","Closed",IF(V109=0,"Add - no lines on this quote yet",IF(K109="Draft","Draft - not sent",IF(AI109="Yes","Expired - re-quote or close",IF(AND(AH109&lt;&gt;"",AH109&gt;=QuoteFollowupDays),"Chase - "&amp;AH109&amp;" days with no answer","OK")))))))</f>
        <v>0</v>
      </c>
    </row>
    <row r="110" spans="1:37">
      <c r="A110" s="43">
        <f>IF(B110="","",QuotePrefix&amp;TEXT(ROW()-4,"0000"))</f>
        <v>0</v>
      </c>
      <c r="C110" s="23">
        <f>IF(B110="","",TEXT(B110,"yyyy-mm"))</f>
        <v>0</v>
      </c>
      <c r="E110" s="23">
        <f>IF(D110&lt;&gt;"",IFERROR(INDEX(Clients!$B$5:$B$204,MATCH(D110,Clients!$A$5:$A$204,0)),F110),F110)</f>
        <v>0</v>
      </c>
      <c r="V110" s="31">
        <f>IF(A110="","",COUNTIFS('Quote Lines'!$B$5:$B$604,A110))</f>
        <v>0</v>
      </c>
      <c r="W110" s="34">
        <f>IF(A110="","",SUMIFS('Quote Lines'!$N$5:$N$604,'Quote Lines'!$B$5:$B$604,A110))</f>
        <v>0</v>
      </c>
      <c r="X110" s="21">
        <f>IF(A110="","",SUMIFS('Quote Lines'!$P$5:$P$604,'Quote Lines'!$B$5:$B$604,A110))</f>
        <v>0</v>
      </c>
      <c r="Y110" s="21">
        <f>IF(A110="","",ROUND(X110*IF(O110="",0,O110),2))</f>
        <v>0</v>
      </c>
      <c r="Z110" s="21">
        <f>IF(A110="","",X110-Y110)</f>
        <v>0</v>
      </c>
      <c r="AA110" s="21">
        <f>IF(A110="","",ROUND(Z110*TaxRate,2))</f>
        <v>0</v>
      </c>
      <c r="AB110" s="21">
        <f>IF(A110="","",Z110+AA110)</f>
        <v>0</v>
      </c>
      <c r="AC110" s="21">
        <f>IF(A110="","",IF(P110&lt;&gt;"",P110,ROUND(AB110*DepositPercent,2)))</f>
        <v>0</v>
      </c>
      <c r="AD110" s="21">
        <f>IF(A110="","",SUMIFS('Quote Lines'!$Q$5:$Q$604,'Quote Lines'!$B$5:$B$604,A110))</f>
        <v>0</v>
      </c>
      <c r="AE110" s="21">
        <f>IF(A110="","",Z110-AD110)</f>
        <v>0</v>
      </c>
      <c r="AF110" s="38">
        <f>IF(OR(A110="",Z110=0),"",AE110/Z110)</f>
        <v>0</v>
      </c>
      <c r="AG110" s="18">
        <f>IF(OR(A110="",B110=""),"",IF(Q110&lt;&gt;"",Q110,B110+QuoteValidDays))</f>
        <v>0</v>
      </c>
      <c r="AH110" s="31">
        <f>IF(OR(A110="",L110=""),"",IF(OR(K110="Accepted",K110="Declined"),"",TodayDate-L110))</f>
        <v>0</v>
      </c>
      <c r="AI110" s="50">
        <f>IF(OR(A110="",AG110=""),"",IF(AND(AG110&lt;TodayDate,K110&lt;&gt;"Accepted",K110&lt;&gt;"Declined"),"Yes","No"))</f>
        <v>0</v>
      </c>
      <c r="AJ110" s="50">
        <f>IF(B110="","",IF(K110="Accepted","Yes",IF(K110="Declined","No","")))</f>
        <v>0</v>
      </c>
      <c r="AK110" s="39">
        <f>IF(B110="","",IF(K110="Accepted",IF(R110="","Action - accepted, book the job","OK - won"),IF(K110="Declined","Closed",IF(V110=0,"Add - no lines on this quote yet",IF(K110="Draft","Draft - not sent",IF(AI110="Yes","Expired - re-quote or close",IF(AND(AH110&lt;&gt;"",AH110&gt;=QuoteFollowupDays),"Chase - "&amp;AH110&amp;" days with no answer","OK")))))))</f>
        <v>0</v>
      </c>
    </row>
    <row r="111" spans="1:37">
      <c r="A111" s="43">
        <f>IF(B111="","",QuotePrefix&amp;TEXT(ROW()-4,"0000"))</f>
        <v>0</v>
      </c>
      <c r="C111" s="23">
        <f>IF(B111="","",TEXT(B111,"yyyy-mm"))</f>
        <v>0</v>
      </c>
      <c r="E111" s="23">
        <f>IF(D111&lt;&gt;"",IFERROR(INDEX(Clients!$B$5:$B$204,MATCH(D111,Clients!$A$5:$A$204,0)),F111),F111)</f>
        <v>0</v>
      </c>
      <c r="V111" s="31">
        <f>IF(A111="","",COUNTIFS('Quote Lines'!$B$5:$B$604,A111))</f>
        <v>0</v>
      </c>
      <c r="W111" s="34">
        <f>IF(A111="","",SUMIFS('Quote Lines'!$N$5:$N$604,'Quote Lines'!$B$5:$B$604,A111))</f>
        <v>0</v>
      </c>
      <c r="X111" s="21">
        <f>IF(A111="","",SUMIFS('Quote Lines'!$P$5:$P$604,'Quote Lines'!$B$5:$B$604,A111))</f>
        <v>0</v>
      </c>
      <c r="Y111" s="21">
        <f>IF(A111="","",ROUND(X111*IF(O111="",0,O111),2))</f>
        <v>0</v>
      </c>
      <c r="Z111" s="21">
        <f>IF(A111="","",X111-Y111)</f>
        <v>0</v>
      </c>
      <c r="AA111" s="21">
        <f>IF(A111="","",ROUND(Z111*TaxRate,2))</f>
        <v>0</v>
      </c>
      <c r="AB111" s="21">
        <f>IF(A111="","",Z111+AA111)</f>
        <v>0</v>
      </c>
      <c r="AC111" s="21">
        <f>IF(A111="","",IF(P111&lt;&gt;"",P111,ROUND(AB111*DepositPercent,2)))</f>
        <v>0</v>
      </c>
      <c r="AD111" s="21">
        <f>IF(A111="","",SUMIFS('Quote Lines'!$Q$5:$Q$604,'Quote Lines'!$B$5:$B$604,A111))</f>
        <v>0</v>
      </c>
      <c r="AE111" s="21">
        <f>IF(A111="","",Z111-AD111)</f>
        <v>0</v>
      </c>
      <c r="AF111" s="38">
        <f>IF(OR(A111="",Z111=0),"",AE111/Z111)</f>
        <v>0</v>
      </c>
      <c r="AG111" s="18">
        <f>IF(OR(A111="",B111=""),"",IF(Q111&lt;&gt;"",Q111,B111+QuoteValidDays))</f>
        <v>0</v>
      </c>
      <c r="AH111" s="31">
        <f>IF(OR(A111="",L111=""),"",IF(OR(K111="Accepted",K111="Declined"),"",TodayDate-L111))</f>
        <v>0</v>
      </c>
      <c r="AI111" s="50">
        <f>IF(OR(A111="",AG111=""),"",IF(AND(AG111&lt;TodayDate,K111&lt;&gt;"Accepted",K111&lt;&gt;"Declined"),"Yes","No"))</f>
        <v>0</v>
      </c>
      <c r="AJ111" s="50">
        <f>IF(B111="","",IF(K111="Accepted","Yes",IF(K111="Declined","No","")))</f>
        <v>0</v>
      </c>
      <c r="AK111" s="39">
        <f>IF(B111="","",IF(K111="Accepted",IF(R111="","Action - accepted, book the job","OK - won"),IF(K111="Declined","Closed",IF(V111=0,"Add - no lines on this quote yet",IF(K111="Draft","Draft - not sent",IF(AI111="Yes","Expired - re-quote or close",IF(AND(AH111&lt;&gt;"",AH111&gt;=QuoteFollowupDays),"Chase - "&amp;AH111&amp;" days with no answer","OK")))))))</f>
        <v>0</v>
      </c>
    </row>
    <row r="112" spans="1:37">
      <c r="A112" s="43">
        <f>IF(B112="","",QuotePrefix&amp;TEXT(ROW()-4,"0000"))</f>
        <v>0</v>
      </c>
      <c r="C112" s="23">
        <f>IF(B112="","",TEXT(B112,"yyyy-mm"))</f>
        <v>0</v>
      </c>
      <c r="E112" s="23">
        <f>IF(D112&lt;&gt;"",IFERROR(INDEX(Clients!$B$5:$B$204,MATCH(D112,Clients!$A$5:$A$204,0)),F112),F112)</f>
        <v>0</v>
      </c>
      <c r="V112" s="31">
        <f>IF(A112="","",COUNTIFS('Quote Lines'!$B$5:$B$604,A112))</f>
        <v>0</v>
      </c>
      <c r="W112" s="34">
        <f>IF(A112="","",SUMIFS('Quote Lines'!$N$5:$N$604,'Quote Lines'!$B$5:$B$604,A112))</f>
        <v>0</v>
      </c>
      <c r="X112" s="21">
        <f>IF(A112="","",SUMIFS('Quote Lines'!$P$5:$P$604,'Quote Lines'!$B$5:$B$604,A112))</f>
        <v>0</v>
      </c>
      <c r="Y112" s="21">
        <f>IF(A112="","",ROUND(X112*IF(O112="",0,O112),2))</f>
        <v>0</v>
      </c>
      <c r="Z112" s="21">
        <f>IF(A112="","",X112-Y112)</f>
        <v>0</v>
      </c>
      <c r="AA112" s="21">
        <f>IF(A112="","",ROUND(Z112*TaxRate,2))</f>
        <v>0</v>
      </c>
      <c r="AB112" s="21">
        <f>IF(A112="","",Z112+AA112)</f>
        <v>0</v>
      </c>
      <c r="AC112" s="21">
        <f>IF(A112="","",IF(P112&lt;&gt;"",P112,ROUND(AB112*DepositPercent,2)))</f>
        <v>0</v>
      </c>
      <c r="AD112" s="21">
        <f>IF(A112="","",SUMIFS('Quote Lines'!$Q$5:$Q$604,'Quote Lines'!$B$5:$B$604,A112))</f>
        <v>0</v>
      </c>
      <c r="AE112" s="21">
        <f>IF(A112="","",Z112-AD112)</f>
        <v>0</v>
      </c>
      <c r="AF112" s="38">
        <f>IF(OR(A112="",Z112=0),"",AE112/Z112)</f>
        <v>0</v>
      </c>
      <c r="AG112" s="18">
        <f>IF(OR(A112="",B112=""),"",IF(Q112&lt;&gt;"",Q112,B112+QuoteValidDays))</f>
        <v>0</v>
      </c>
      <c r="AH112" s="31">
        <f>IF(OR(A112="",L112=""),"",IF(OR(K112="Accepted",K112="Declined"),"",TodayDate-L112))</f>
        <v>0</v>
      </c>
      <c r="AI112" s="50">
        <f>IF(OR(A112="",AG112=""),"",IF(AND(AG112&lt;TodayDate,K112&lt;&gt;"Accepted",K112&lt;&gt;"Declined"),"Yes","No"))</f>
        <v>0</v>
      </c>
      <c r="AJ112" s="50">
        <f>IF(B112="","",IF(K112="Accepted","Yes",IF(K112="Declined","No","")))</f>
        <v>0</v>
      </c>
      <c r="AK112" s="39">
        <f>IF(B112="","",IF(K112="Accepted",IF(R112="","Action - accepted, book the job","OK - won"),IF(K112="Declined","Closed",IF(V112=0,"Add - no lines on this quote yet",IF(K112="Draft","Draft - not sent",IF(AI112="Yes","Expired - re-quote or close",IF(AND(AH112&lt;&gt;"",AH112&gt;=QuoteFollowupDays),"Chase - "&amp;AH112&amp;" days with no answer","OK")))))))</f>
        <v>0</v>
      </c>
    </row>
    <row r="113" spans="1:37">
      <c r="A113" s="43">
        <f>IF(B113="","",QuotePrefix&amp;TEXT(ROW()-4,"0000"))</f>
        <v>0</v>
      </c>
      <c r="C113" s="23">
        <f>IF(B113="","",TEXT(B113,"yyyy-mm"))</f>
        <v>0</v>
      </c>
      <c r="E113" s="23">
        <f>IF(D113&lt;&gt;"",IFERROR(INDEX(Clients!$B$5:$B$204,MATCH(D113,Clients!$A$5:$A$204,0)),F113),F113)</f>
        <v>0</v>
      </c>
      <c r="V113" s="31">
        <f>IF(A113="","",COUNTIFS('Quote Lines'!$B$5:$B$604,A113))</f>
        <v>0</v>
      </c>
      <c r="W113" s="34">
        <f>IF(A113="","",SUMIFS('Quote Lines'!$N$5:$N$604,'Quote Lines'!$B$5:$B$604,A113))</f>
        <v>0</v>
      </c>
      <c r="X113" s="21">
        <f>IF(A113="","",SUMIFS('Quote Lines'!$P$5:$P$604,'Quote Lines'!$B$5:$B$604,A113))</f>
        <v>0</v>
      </c>
      <c r="Y113" s="21">
        <f>IF(A113="","",ROUND(X113*IF(O113="",0,O113),2))</f>
        <v>0</v>
      </c>
      <c r="Z113" s="21">
        <f>IF(A113="","",X113-Y113)</f>
        <v>0</v>
      </c>
      <c r="AA113" s="21">
        <f>IF(A113="","",ROUND(Z113*TaxRate,2))</f>
        <v>0</v>
      </c>
      <c r="AB113" s="21">
        <f>IF(A113="","",Z113+AA113)</f>
        <v>0</v>
      </c>
      <c r="AC113" s="21">
        <f>IF(A113="","",IF(P113&lt;&gt;"",P113,ROUND(AB113*DepositPercent,2)))</f>
        <v>0</v>
      </c>
      <c r="AD113" s="21">
        <f>IF(A113="","",SUMIFS('Quote Lines'!$Q$5:$Q$604,'Quote Lines'!$B$5:$B$604,A113))</f>
        <v>0</v>
      </c>
      <c r="AE113" s="21">
        <f>IF(A113="","",Z113-AD113)</f>
        <v>0</v>
      </c>
      <c r="AF113" s="38">
        <f>IF(OR(A113="",Z113=0),"",AE113/Z113)</f>
        <v>0</v>
      </c>
      <c r="AG113" s="18">
        <f>IF(OR(A113="",B113=""),"",IF(Q113&lt;&gt;"",Q113,B113+QuoteValidDays))</f>
        <v>0</v>
      </c>
      <c r="AH113" s="31">
        <f>IF(OR(A113="",L113=""),"",IF(OR(K113="Accepted",K113="Declined"),"",TodayDate-L113))</f>
        <v>0</v>
      </c>
      <c r="AI113" s="50">
        <f>IF(OR(A113="",AG113=""),"",IF(AND(AG113&lt;TodayDate,K113&lt;&gt;"Accepted",K113&lt;&gt;"Declined"),"Yes","No"))</f>
        <v>0</v>
      </c>
      <c r="AJ113" s="50">
        <f>IF(B113="","",IF(K113="Accepted","Yes",IF(K113="Declined","No","")))</f>
        <v>0</v>
      </c>
      <c r="AK113" s="39">
        <f>IF(B113="","",IF(K113="Accepted",IF(R113="","Action - accepted, book the job","OK - won"),IF(K113="Declined","Closed",IF(V113=0,"Add - no lines on this quote yet",IF(K113="Draft","Draft - not sent",IF(AI113="Yes","Expired - re-quote or close",IF(AND(AH113&lt;&gt;"",AH113&gt;=QuoteFollowupDays),"Chase - "&amp;AH113&amp;" days with no answer","OK")))))))</f>
        <v>0</v>
      </c>
    </row>
    <row r="114" spans="1:37">
      <c r="A114" s="43">
        <f>IF(B114="","",QuotePrefix&amp;TEXT(ROW()-4,"0000"))</f>
        <v>0</v>
      </c>
      <c r="C114" s="23">
        <f>IF(B114="","",TEXT(B114,"yyyy-mm"))</f>
        <v>0</v>
      </c>
      <c r="E114" s="23">
        <f>IF(D114&lt;&gt;"",IFERROR(INDEX(Clients!$B$5:$B$204,MATCH(D114,Clients!$A$5:$A$204,0)),F114),F114)</f>
        <v>0</v>
      </c>
      <c r="V114" s="31">
        <f>IF(A114="","",COUNTIFS('Quote Lines'!$B$5:$B$604,A114))</f>
        <v>0</v>
      </c>
      <c r="W114" s="34">
        <f>IF(A114="","",SUMIFS('Quote Lines'!$N$5:$N$604,'Quote Lines'!$B$5:$B$604,A114))</f>
        <v>0</v>
      </c>
      <c r="X114" s="21">
        <f>IF(A114="","",SUMIFS('Quote Lines'!$P$5:$P$604,'Quote Lines'!$B$5:$B$604,A114))</f>
        <v>0</v>
      </c>
      <c r="Y114" s="21">
        <f>IF(A114="","",ROUND(X114*IF(O114="",0,O114),2))</f>
        <v>0</v>
      </c>
      <c r="Z114" s="21">
        <f>IF(A114="","",X114-Y114)</f>
        <v>0</v>
      </c>
      <c r="AA114" s="21">
        <f>IF(A114="","",ROUND(Z114*TaxRate,2))</f>
        <v>0</v>
      </c>
      <c r="AB114" s="21">
        <f>IF(A114="","",Z114+AA114)</f>
        <v>0</v>
      </c>
      <c r="AC114" s="21">
        <f>IF(A114="","",IF(P114&lt;&gt;"",P114,ROUND(AB114*DepositPercent,2)))</f>
        <v>0</v>
      </c>
      <c r="AD114" s="21">
        <f>IF(A114="","",SUMIFS('Quote Lines'!$Q$5:$Q$604,'Quote Lines'!$B$5:$B$604,A114))</f>
        <v>0</v>
      </c>
      <c r="AE114" s="21">
        <f>IF(A114="","",Z114-AD114)</f>
        <v>0</v>
      </c>
      <c r="AF114" s="38">
        <f>IF(OR(A114="",Z114=0),"",AE114/Z114)</f>
        <v>0</v>
      </c>
      <c r="AG114" s="18">
        <f>IF(OR(A114="",B114=""),"",IF(Q114&lt;&gt;"",Q114,B114+QuoteValidDays))</f>
        <v>0</v>
      </c>
      <c r="AH114" s="31">
        <f>IF(OR(A114="",L114=""),"",IF(OR(K114="Accepted",K114="Declined"),"",TodayDate-L114))</f>
        <v>0</v>
      </c>
      <c r="AI114" s="50">
        <f>IF(OR(A114="",AG114=""),"",IF(AND(AG114&lt;TodayDate,K114&lt;&gt;"Accepted",K114&lt;&gt;"Declined"),"Yes","No"))</f>
        <v>0</v>
      </c>
      <c r="AJ114" s="50">
        <f>IF(B114="","",IF(K114="Accepted","Yes",IF(K114="Declined","No","")))</f>
        <v>0</v>
      </c>
      <c r="AK114" s="39">
        <f>IF(B114="","",IF(K114="Accepted",IF(R114="","Action - accepted, book the job","OK - won"),IF(K114="Declined","Closed",IF(V114=0,"Add - no lines on this quote yet",IF(K114="Draft","Draft - not sent",IF(AI114="Yes","Expired - re-quote or close",IF(AND(AH114&lt;&gt;"",AH114&gt;=QuoteFollowupDays),"Chase - "&amp;AH114&amp;" days with no answer","OK")))))))</f>
        <v>0</v>
      </c>
    </row>
    <row r="115" spans="1:37">
      <c r="A115" s="43">
        <f>IF(B115="","",QuotePrefix&amp;TEXT(ROW()-4,"0000"))</f>
        <v>0</v>
      </c>
      <c r="C115" s="23">
        <f>IF(B115="","",TEXT(B115,"yyyy-mm"))</f>
        <v>0</v>
      </c>
      <c r="E115" s="23">
        <f>IF(D115&lt;&gt;"",IFERROR(INDEX(Clients!$B$5:$B$204,MATCH(D115,Clients!$A$5:$A$204,0)),F115),F115)</f>
        <v>0</v>
      </c>
      <c r="V115" s="31">
        <f>IF(A115="","",COUNTIFS('Quote Lines'!$B$5:$B$604,A115))</f>
        <v>0</v>
      </c>
      <c r="W115" s="34">
        <f>IF(A115="","",SUMIFS('Quote Lines'!$N$5:$N$604,'Quote Lines'!$B$5:$B$604,A115))</f>
        <v>0</v>
      </c>
      <c r="X115" s="21">
        <f>IF(A115="","",SUMIFS('Quote Lines'!$P$5:$P$604,'Quote Lines'!$B$5:$B$604,A115))</f>
        <v>0</v>
      </c>
      <c r="Y115" s="21">
        <f>IF(A115="","",ROUND(X115*IF(O115="",0,O115),2))</f>
        <v>0</v>
      </c>
      <c r="Z115" s="21">
        <f>IF(A115="","",X115-Y115)</f>
        <v>0</v>
      </c>
      <c r="AA115" s="21">
        <f>IF(A115="","",ROUND(Z115*TaxRate,2))</f>
        <v>0</v>
      </c>
      <c r="AB115" s="21">
        <f>IF(A115="","",Z115+AA115)</f>
        <v>0</v>
      </c>
      <c r="AC115" s="21">
        <f>IF(A115="","",IF(P115&lt;&gt;"",P115,ROUND(AB115*DepositPercent,2)))</f>
        <v>0</v>
      </c>
      <c r="AD115" s="21">
        <f>IF(A115="","",SUMIFS('Quote Lines'!$Q$5:$Q$604,'Quote Lines'!$B$5:$B$604,A115))</f>
        <v>0</v>
      </c>
      <c r="AE115" s="21">
        <f>IF(A115="","",Z115-AD115)</f>
        <v>0</v>
      </c>
      <c r="AF115" s="38">
        <f>IF(OR(A115="",Z115=0),"",AE115/Z115)</f>
        <v>0</v>
      </c>
      <c r="AG115" s="18">
        <f>IF(OR(A115="",B115=""),"",IF(Q115&lt;&gt;"",Q115,B115+QuoteValidDays))</f>
        <v>0</v>
      </c>
      <c r="AH115" s="31">
        <f>IF(OR(A115="",L115=""),"",IF(OR(K115="Accepted",K115="Declined"),"",TodayDate-L115))</f>
        <v>0</v>
      </c>
      <c r="AI115" s="50">
        <f>IF(OR(A115="",AG115=""),"",IF(AND(AG115&lt;TodayDate,K115&lt;&gt;"Accepted",K115&lt;&gt;"Declined"),"Yes","No"))</f>
        <v>0</v>
      </c>
      <c r="AJ115" s="50">
        <f>IF(B115="","",IF(K115="Accepted","Yes",IF(K115="Declined","No","")))</f>
        <v>0</v>
      </c>
      <c r="AK115" s="39">
        <f>IF(B115="","",IF(K115="Accepted",IF(R115="","Action - accepted, book the job","OK - won"),IF(K115="Declined","Closed",IF(V115=0,"Add - no lines on this quote yet",IF(K115="Draft","Draft - not sent",IF(AI115="Yes","Expired - re-quote or close",IF(AND(AH115&lt;&gt;"",AH115&gt;=QuoteFollowupDays),"Chase - "&amp;AH115&amp;" days with no answer","OK")))))))</f>
        <v>0</v>
      </c>
    </row>
    <row r="116" spans="1:37">
      <c r="A116" s="43">
        <f>IF(B116="","",QuotePrefix&amp;TEXT(ROW()-4,"0000"))</f>
        <v>0</v>
      </c>
      <c r="C116" s="23">
        <f>IF(B116="","",TEXT(B116,"yyyy-mm"))</f>
        <v>0</v>
      </c>
      <c r="E116" s="23">
        <f>IF(D116&lt;&gt;"",IFERROR(INDEX(Clients!$B$5:$B$204,MATCH(D116,Clients!$A$5:$A$204,0)),F116),F116)</f>
        <v>0</v>
      </c>
      <c r="V116" s="31">
        <f>IF(A116="","",COUNTIFS('Quote Lines'!$B$5:$B$604,A116))</f>
        <v>0</v>
      </c>
      <c r="W116" s="34">
        <f>IF(A116="","",SUMIFS('Quote Lines'!$N$5:$N$604,'Quote Lines'!$B$5:$B$604,A116))</f>
        <v>0</v>
      </c>
      <c r="X116" s="21">
        <f>IF(A116="","",SUMIFS('Quote Lines'!$P$5:$P$604,'Quote Lines'!$B$5:$B$604,A116))</f>
        <v>0</v>
      </c>
      <c r="Y116" s="21">
        <f>IF(A116="","",ROUND(X116*IF(O116="",0,O116),2))</f>
        <v>0</v>
      </c>
      <c r="Z116" s="21">
        <f>IF(A116="","",X116-Y116)</f>
        <v>0</v>
      </c>
      <c r="AA116" s="21">
        <f>IF(A116="","",ROUND(Z116*TaxRate,2))</f>
        <v>0</v>
      </c>
      <c r="AB116" s="21">
        <f>IF(A116="","",Z116+AA116)</f>
        <v>0</v>
      </c>
      <c r="AC116" s="21">
        <f>IF(A116="","",IF(P116&lt;&gt;"",P116,ROUND(AB116*DepositPercent,2)))</f>
        <v>0</v>
      </c>
      <c r="AD116" s="21">
        <f>IF(A116="","",SUMIFS('Quote Lines'!$Q$5:$Q$604,'Quote Lines'!$B$5:$B$604,A116))</f>
        <v>0</v>
      </c>
      <c r="AE116" s="21">
        <f>IF(A116="","",Z116-AD116)</f>
        <v>0</v>
      </c>
      <c r="AF116" s="38">
        <f>IF(OR(A116="",Z116=0),"",AE116/Z116)</f>
        <v>0</v>
      </c>
      <c r="AG116" s="18">
        <f>IF(OR(A116="",B116=""),"",IF(Q116&lt;&gt;"",Q116,B116+QuoteValidDays))</f>
        <v>0</v>
      </c>
      <c r="AH116" s="31">
        <f>IF(OR(A116="",L116=""),"",IF(OR(K116="Accepted",K116="Declined"),"",TodayDate-L116))</f>
        <v>0</v>
      </c>
      <c r="AI116" s="50">
        <f>IF(OR(A116="",AG116=""),"",IF(AND(AG116&lt;TodayDate,K116&lt;&gt;"Accepted",K116&lt;&gt;"Declined"),"Yes","No"))</f>
        <v>0</v>
      </c>
      <c r="AJ116" s="50">
        <f>IF(B116="","",IF(K116="Accepted","Yes",IF(K116="Declined","No","")))</f>
        <v>0</v>
      </c>
      <c r="AK116" s="39">
        <f>IF(B116="","",IF(K116="Accepted",IF(R116="","Action - accepted, book the job","OK - won"),IF(K116="Declined","Closed",IF(V116=0,"Add - no lines on this quote yet",IF(K116="Draft","Draft - not sent",IF(AI116="Yes","Expired - re-quote or close",IF(AND(AH116&lt;&gt;"",AH116&gt;=QuoteFollowupDays),"Chase - "&amp;AH116&amp;" days with no answer","OK")))))))</f>
        <v>0</v>
      </c>
    </row>
    <row r="117" spans="1:37">
      <c r="A117" s="43">
        <f>IF(B117="","",QuotePrefix&amp;TEXT(ROW()-4,"0000"))</f>
        <v>0</v>
      </c>
      <c r="C117" s="23">
        <f>IF(B117="","",TEXT(B117,"yyyy-mm"))</f>
        <v>0</v>
      </c>
      <c r="E117" s="23">
        <f>IF(D117&lt;&gt;"",IFERROR(INDEX(Clients!$B$5:$B$204,MATCH(D117,Clients!$A$5:$A$204,0)),F117),F117)</f>
        <v>0</v>
      </c>
      <c r="V117" s="31">
        <f>IF(A117="","",COUNTIFS('Quote Lines'!$B$5:$B$604,A117))</f>
        <v>0</v>
      </c>
      <c r="W117" s="34">
        <f>IF(A117="","",SUMIFS('Quote Lines'!$N$5:$N$604,'Quote Lines'!$B$5:$B$604,A117))</f>
        <v>0</v>
      </c>
      <c r="X117" s="21">
        <f>IF(A117="","",SUMIFS('Quote Lines'!$P$5:$P$604,'Quote Lines'!$B$5:$B$604,A117))</f>
        <v>0</v>
      </c>
      <c r="Y117" s="21">
        <f>IF(A117="","",ROUND(X117*IF(O117="",0,O117),2))</f>
        <v>0</v>
      </c>
      <c r="Z117" s="21">
        <f>IF(A117="","",X117-Y117)</f>
        <v>0</v>
      </c>
      <c r="AA117" s="21">
        <f>IF(A117="","",ROUND(Z117*TaxRate,2))</f>
        <v>0</v>
      </c>
      <c r="AB117" s="21">
        <f>IF(A117="","",Z117+AA117)</f>
        <v>0</v>
      </c>
      <c r="AC117" s="21">
        <f>IF(A117="","",IF(P117&lt;&gt;"",P117,ROUND(AB117*DepositPercent,2)))</f>
        <v>0</v>
      </c>
      <c r="AD117" s="21">
        <f>IF(A117="","",SUMIFS('Quote Lines'!$Q$5:$Q$604,'Quote Lines'!$B$5:$B$604,A117))</f>
        <v>0</v>
      </c>
      <c r="AE117" s="21">
        <f>IF(A117="","",Z117-AD117)</f>
        <v>0</v>
      </c>
      <c r="AF117" s="38">
        <f>IF(OR(A117="",Z117=0),"",AE117/Z117)</f>
        <v>0</v>
      </c>
      <c r="AG117" s="18">
        <f>IF(OR(A117="",B117=""),"",IF(Q117&lt;&gt;"",Q117,B117+QuoteValidDays))</f>
        <v>0</v>
      </c>
      <c r="AH117" s="31">
        <f>IF(OR(A117="",L117=""),"",IF(OR(K117="Accepted",K117="Declined"),"",TodayDate-L117))</f>
        <v>0</v>
      </c>
      <c r="AI117" s="50">
        <f>IF(OR(A117="",AG117=""),"",IF(AND(AG117&lt;TodayDate,K117&lt;&gt;"Accepted",K117&lt;&gt;"Declined"),"Yes","No"))</f>
        <v>0</v>
      </c>
      <c r="AJ117" s="50">
        <f>IF(B117="","",IF(K117="Accepted","Yes",IF(K117="Declined","No","")))</f>
        <v>0</v>
      </c>
      <c r="AK117" s="39">
        <f>IF(B117="","",IF(K117="Accepted",IF(R117="","Action - accepted, book the job","OK - won"),IF(K117="Declined","Closed",IF(V117=0,"Add - no lines on this quote yet",IF(K117="Draft","Draft - not sent",IF(AI117="Yes","Expired - re-quote or close",IF(AND(AH117&lt;&gt;"",AH117&gt;=QuoteFollowupDays),"Chase - "&amp;AH117&amp;" days with no answer","OK")))))))</f>
        <v>0</v>
      </c>
    </row>
    <row r="118" spans="1:37">
      <c r="A118" s="43">
        <f>IF(B118="","",QuotePrefix&amp;TEXT(ROW()-4,"0000"))</f>
        <v>0</v>
      </c>
      <c r="C118" s="23">
        <f>IF(B118="","",TEXT(B118,"yyyy-mm"))</f>
        <v>0</v>
      </c>
      <c r="E118" s="23">
        <f>IF(D118&lt;&gt;"",IFERROR(INDEX(Clients!$B$5:$B$204,MATCH(D118,Clients!$A$5:$A$204,0)),F118),F118)</f>
        <v>0</v>
      </c>
      <c r="V118" s="31">
        <f>IF(A118="","",COUNTIFS('Quote Lines'!$B$5:$B$604,A118))</f>
        <v>0</v>
      </c>
      <c r="W118" s="34">
        <f>IF(A118="","",SUMIFS('Quote Lines'!$N$5:$N$604,'Quote Lines'!$B$5:$B$604,A118))</f>
        <v>0</v>
      </c>
      <c r="X118" s="21">
        <f>IF(A118="","",SUMIFS('Quote Lines'!$P$5:$P$604,'Quote Lines'!$B$5:$B$604,A118))</f>
        <v>0</v>
      </c>
      <c r="Y118" s="21">
        <f>IF(A118="","",ROUND(X118*IF(O118="",0,O118),2))</f>
        <v>0</v>
      </c>
      <c r="Z118" s="21">
        <f>IF(A118="","",X118-Y118)</f>
        <v>0</v>
      </c>
      <c r="AA118" s="21">
        <f>IF(A118="","",ROUND(Z118*TaxRate,2))</f>
        <v>0</v>
      </c>
      <c r="AB118" s="21">
        <f>IF(A118="","",Z118+AA118)</f>
        <v>0</v>
      </c>
      <c r="AC118" s="21">
        <f>IF(A118="","",IF(P118&lt;&gt;"",P118,ROUND(AB118*DepositPercent,2)))</f>
        <v>0</v>
      </c>
      <c r="AD118" s="21">
        <f>IF(A118="","",SUMIFS('Quote Lines'!$Q$5:$Q$604,'Quote Lines'!$B$5:$B$604,A118))</f>
        <v>0</v>
      </c>
      <c r="AE118" s="21">
        <f>IF(A118="","",Z118-AD118)</f>
        <v>0</v>
      </c>
      <c r="AF118" s="38">
        <f>IF(OR(A118="",Z118=0),"",AE118/Z118)</f>
        <v>0</v>
      </c>
      <c r="AG118" s="18">
        <f>IF(OR(A118="",B118=""),"",IF(Q118&lt;&gt;"",Q118,B118+QuoteValidDays))</f>
        <v>0</v>
      </c>
      <c r="AH118" s="31">
        <f>IF(OR(A118="",L118=""),"",IF(OR(K118="Accepted",K118="Declined"),"",TodayDate-L118))</f>
        <v>0</v>
      </c>
      <c r="AI118" s="50">
        <f>IF(OR(A118="",AG118=""),"",IF(AND(AG118&lt;TodayDate,K118&lt;&gt;"Accepted",K118&lt;&gt;"Declined"),"Yes","No"))</f>
        <v>0</v>
      </c>
      <c r="AJ118" s="50">
        <f>IF(B118="","",IF(K118="Accepted","Yes",IF(K118="Declined","No","")))</f>
        <v>0</v>
      </c>
      <c r="AK118" s="39">
        <f>IF(B118="","",IF(K118="Accepted",IF(R118="","Action - accepted, book the job","OK - won"),IF(K118="Declined","Closed",IF(V118=0,"Add - no lines on this quote yet",IF(K118="Draft","Draft - not sent",IF(AI118="Yes","Expired - re-quote or close",IF(AND(AH118&lt;&gt;"",AH118&gt;=QuoteFollowupDays),"Chase - "&amp;AH118&amp;" days with no answer","OK")))))))</f>
        <v>0</v>
      </c>
    </row>
    <row r="119" spans="1:37">
      <c r="A119" s="43">
        <f>IF(B119="","",QuotePrefix&amp;TEXT(ROW()-4,"0000"))</f>
        <v>0</v>
      </c>
      <c r="C119" s="23">
        <f>IF(B119="","",TEXT(B119,"yyyy-mm"))</f>
        <v>0</v>
      </c>
      <c r="E119" s="23">
        <f>IF(D119&lt;&gt;"",IFERROR(INDEX(Clients!$B$5:$B$204,MATCH(D119,Clients!$A$5:$A$204,0)),F119),F119)</f>
        <v>0</v>
      </c>
      <c r="V119" s="31">
        <f>IF(A119="","",COUNTIFS('Quote Lines'!$B$5:$B$604,A119))</f>
        <v>0</v>
      </c>
      <c r="W119" s="34">
        <f>IF(A119="","",SUMIFS('Quote Lines'!$N$5:$N$604,'Quote Lines'!$B$5:$B$604,A119))</f>
        <v>0</v>
      </c>
      <c r="X119" s="21">
        <f>IF(A119="","",SUMIFS('Quote Lines'!$P$5:$P$604,'Quote Lines'!$B$5:$B$604,A119))</f>
        <v>0</v>
      </c>
      <c r="Y119" s="21">
        <f>IF(A119="","",ROUND(X119*IF(O119="",0,O119),2))</f>
        <v>0</v>
      </c>
      <c r="Z119" s="21">
        <f>IF(A119="","",X119-Y119)</f>
        <v>0</v>
      </c>
      <c r="AA119" s="21">
        <f>IF(A119="","",ROUND(Z119*TaxRate,2))</f>
        <v>0</v>
      </c>
      <c r="AB119" s="21">
        <f>IF(A119="","",Z119+AA119)</f>
        <v>0</v>
      </c>
      <c r="AC119" s="21">
        <f>IF(A119="","",IF(P119&lt;&gt;"",P119,ROUND(AB119*DepositPercent,2)))</f>
        <v>0</v>
      </c>
      <c r="AD119" s="21">
        <f>IF(A119="","",SUMIFS('Quote Lines'!$Q$5:$Q$604,'Quote Lines'!$B$5:$B$604,A119))</f>
        <v>0</v>
      </c>
      <c r="AE119" s="21">
        <f>IF(A119="","",Z119-AD119)</f>
        <v>0</v>
      </c>
      <c r="AF119" s="38">
        <f>IF(OR(A119="",Z119=0),"",AE119/Z119)</f>
        <v>0</v>
      </c>
      <c r="AG119" s="18">
        <f>IF(OR(A119="",B119=""),"",IF(Q119&lt;&gt;"",Q119,B119+QuoteValidDays))</f>
        <v>0</v>
      </c>
      <c r="AH119" s="31">
        <f>IF(OR(A119="",L119=""),"",IF(OR(K119="Accepted",K119="Declined"),"",TodayDate-L119))</f>
        <v>0</v>
      </c>
      <c r="AI119" s="50">
        <f>IF(OR(A119="",AG119=""),"",IF(AND(AG119&lt;TodayDate,K119&lt;&gt;"Accepted",K119&lt;&gt;"Declined"),"Yes","No"))</f>
        <v>0</v>
      </c>
      <c r="AJ119" s="50">
        <f>IF(B119="","",IF(K119="Accepted","Yes",IF(K119="Declined","No","")))</f>
        <v>0</v>
      </c>
      <c r="AK119" s="39">
        <f>IF(B119="","",IF(K119="Accepted",IF(R119="","Action - accepted, book the job","OK - won"),IF(K119="Declined","Closed",IF(V119=0,"Add - no lines on this quote yet",IF(K119="Draft","Draft - not sent",IF(AI119="Yes","Expired - re-quote or close",IF(AND(AH119&lt;&gt;"",AH119&gt;=QuoteFollowupDays),"Chase - "&amp;AH119&amp;" days with no answer","OK")))))))</f>
        <v>0</v>
      </c>
    </row>
    <row r="120" spans="1:37">
      <c r="A120" s="43">
        <f>IF(B120="","",QuotePrefix&amp;TEXT(ROW()-4,"0000"))</f>
        <v>0</v>
      </c>
      <c r="C120" s="23">
        <f>IF(B120="","",TEXT(B120,"yyyy-mm"))</f>
        <v>0</v>
      </c>
      <c r="E120" s="23">
        <f>IF(D120&lt;&gt;"",IFERROR(INDEX(Clients!$B$5:$B$204,MATCH(D120,Clients!$A$5:$A$204,0)),F120),F120)</f>
        <v>0</v>
      </c>
      <c r="V120" s="31">
        <f>IF(A120="","",COUNTIFS('Quote Lines'!$B$5:$B$604,A120))</f>
        <v>0</v>
      </c>
      <c r="W120" s="34">
        <f>IF(A120="","",SUMIFS('Quote Lines'!$N$5:$N$604,'Quote Lines'!$B$5:$B$604,A120))</f>
        <v>0</v>
      </c>
      <c r="X120" s="21">
        <f>IF(A120="","",SUMIFS('Quote Lines'!$P$5:$P$604,'Quote Lines'!$B$5:$B$604,A120))</f>
        <v>0</v>
      </c>
      <c r="Y120" s="21">
        <f>IF(A120="","",ROUND(X120*IF(O120="",0,O120),2))</f>
        <v>0</v>
      </c>
      <c r="Z120" s="21">
        <f>IF(A120="","",X120-Y120)</f>
        <v>0</v>
      </c>
      <c r="AA120" s="21">
        <f>IF(A120="","",ROUND(Z120*TaxRate,2))</f>
        <v>0</v>
      </c>
      <c r="AB120" s="21">
        <f>IF(A120="","",Z120+AA120)</f>
        <v>0</v>
      </c>
      <c r="AC120" s="21">
        <f>IF(A120="","",IF(P120&lt;&gt;"",P120,ROUND(AB120*DepositPercent,2)))</f>
        <v>0</v>
      </c>
      <c r="AD120" s="21">
        <f>IF(A120="","",SUMIFS('Quote Lines'!$Q$5:$Q$604,'Quote Lines'!$B$5:$B$604,A120))</f>
        <v>0</v>
      </c>
      <c r="AE120" s="21">
        <f>IF(A120="","",Z120-AD120)</f>
        <v>0</v>
      </c>
      <c r="AF120" s="38">
        <f>IF(OR(A120="",Z120=0),"",AE120/Z120)</f>
        <v>0</v>
      </c>
      <c r="AG120" s="18">
        <f>IF(OR(A120="",B120=""),"",IF(Q120&lt;&gt;"",Q120,B120+QuoteValidDays))</f>
        <v>0</v>
      </c>
      <c r="AH120" s="31">
        <f>IF(OR(A120="",L120=""),"",IF(OR(K120="Accepted",K120="Declined"),"",TodayDate-L120))</f>
        <v>0</v>
      </c>
      <c r="AI120" s="50">
        <f>IF(OR(A120="",AG120=""),"",IF(AND(AG120&lt;TodayDate,K120&lt;&gt;"Accepted",K120&lt;&gt;"Declined"),"Yes","No"))</f>
        <v>0</v>
      </c>
      <c r="AJ120" s="50">
        <f>IF(B120="","",IF(K120="Accepted","Yes",IF(K120="Declined","No","")))</f>
        <v>0</v>
      </c>
      <c r="AK120" s="39">
        <f>IF(B120="","",IF(K120="Accepted",IF(R120="","Action - accepted, book the job","OK - won"),IF(K120="Declined","Closed",IF(V120=0,"Add - no lines on this quote yet",IF(K120="Draft","Draft - not sent",IF(AI120="Yes","Expired - re-quote or close",IF(AND(AH120&lt;&gt;"",AH120&gt;=QuoteFollowupDays),"Chase - "&amp;AH120&amp;" days with no answer","OK")))))))</f>
        <v>0</v>
      </c>
    </row>
    <row r="121" spans="1:37">
      <c r="A121" s="43">
        <f>IF(B121="","",QuotePrefix&amp;TEXT(ROW()-4,"0000"))</f>
        <v>0</v>
      </c>
      <c r="C121" s="23">
        <f>IF(B121="","",TEXT(B121,"yyyy-mm"))</f>
        <v>0</v>
      </c>
      <c r="E121" s="23">
        <f>IF(D121&lt;&gt;"",IFERROR(INDEX(Clients!$B$5:$B$204,MATCH(D121,Clients!$A$5:$A$204,0)),F121),F121)</f>
        <v>0</v>
      </c>
      <c r="V121" s="31">
        <f>IF(A121="","",COUNTIFS('Quote Lines'!$B$5:$B$604,A121))</f>
        <v>0</v>
      </c>
      <c r="W121" s="34">
        <f>IF(A121="","",SUMIFS('Quote Lines'!$N$5:$N$604,'Quote Lines'!$B$5:$B$604,A121))</f>
        <v>0</v>
      </c>
      <c r="X121" s="21">
        <f>IF(A121="","",SUMIFS('Quote Lines'!$P$5:$P$604,'Quote Lines'!$B$5:$B$604,A121))</f>
        <v>0</v>
      </c>
      <c r="Y121" s="21">
        <f>IF(A121="","",ROUND(X121*IF(O121="",0,O121),2))</f>
        <v>0</v>
      </c>
      <c r="Z121" s="21">
        <f>IF(A121="","",X121-Y121)</f>
        <v>0</v>
      </c>
      <c r="AA121" s="21">
        <f>IF(A121="","",ROUND(Z121*TaxRate,2))</f>
        <v>0</v>
      </c>
      <c r="AB121" s="21">
        <f>IF(A121="","",Z121+AA121)</f>
        <v>0</v>
      </c>
      <c r="AC121" s="21">
        <f>IF(A121="","",IF(P121&lt;&gt;"",P121,ROUND(AB121*DepositPercent,2)))</f>
        <v>0</v>
      </c>
      <c r="AD121" s="21">
        <f>IF(A121="","",SUMIFS('Quote Lines'!$Q$5:$Q$604,'Quote Lines'!$B$5:$B$604,A121))</f>
        <v>0</v>
      </c>
      <c r="AE121" s="21">
        <f>IF(A121="","",Z121-AD121)</f>
        <v>0</v>
      </c>
      <c r="AF121" s="38">
        <f>IF(OR(A121="",Z121=0),"",AE121/Z121)</f>
        <v>0</v>
      </c>
      <c r="AG121" s="18">
        <f>IF(OR(A121="",B121=""),"",IF(Q121&lt;&gt;"",Q121,B121+QuoteValidDays))</f>
        <v>0</v>
      </c>
      <c r="AH121" s="31">
        <f>IF(OR(A121="",L121=""),"",IF(OR(K121="Accepted",K121="Declined"),"",TodayDate-L121))</f>
        <v>0</v>
      </c>
      <c r="AI121" s="50">
        <f>IF(OR(A121="",AG121=""),"",IF(AND(AG121&lt;TodayDate,K121&lt;&gt;"Accepted",K121&lt;&gt;"Declined"),"Yes","No"))</f>
        <v>0</v>
      </c>
      <c r="AJ121" s="50">
        <f>IF(B121="","",IF(K121="Accepted","Yes",IF(K121="Declined","No","")))</f>
        <v>0</v>
      </c>
      <c r="AK121" s="39">
        <f>IF(B121="","",IF(K121="Accepted",IF(R121="","Action - accepted, book the job","OK - won"),IF(K121="Declined","Closed",IF(V121=0,"Add - no lines on this quote yet",IF(K121="Draft","Draft - not sent",IF(AI121="Yes","Expired - re-quote or close",IF(AND(AH121&lt;&gt;"",AH121&gt;=QuoteFollowupDays),"Chase - "&amp;AH121&amp;" days with no answer","OK")))))))</f>
        <v>0</v>
      </c>
    </row>
    <row r="122" spans="1:37">
      <c r="A122" s="43">
        <f>IF(B122="","",QuotePrefix&amp;TEXT(ROW()-4,"0000"))</f>
        <v>0</v>
      </c>
      <c r="C122" s="23">
        <f>IF(B122="","",TEXT(B122,"yyyy-mm"))</f>
        <v>0</v>
      </c>
      <c r="E122" s="23">
        <f>IF(D122&lt;&gt;"",IFERROR(INDEX(Clients!$B$5:$B$204,MATCH(D122,Clients!$A$5:$A$204,0)),F122),F122)</f>
        <v>0</v>
      </c>
      <c r="V122" s="31">
        <f>IF(A122="","",COUNTIFS('Quote Lines'!$B$5:$B$604,A122))</f>
        <v>0</v>
      </c>
      <c r="W122" s="34">
        <f>IF(A122="","",SUMIFS('Quote Lines'!$N$5:$N$604,'Quote Lines'!$B$5:$B$604,A122))</f>
        <v>0</v>
      </c>
      <c r="X122" s="21">
        <f>IF(A122="","",SUMIFS('Quote Lines'!$P$5:$P$604,'Quote Lines'!$B$5:$B$604,A122))</f>
        <v>0</v>
      </c>
      <c r="Y122" s="21">
        <f>IF(A122="","",ROUND(X122*IF(O122="",0,O122),2))</f>
        <v>0</v>
      </c>
      <c r="Z122" s="21">
        <f>IF(A122="","",X122-Y122)</f>
        <v>0</v>
      </c>
      <c r="AA122" s="21">
        <f>IF(A122="","",ROUND(Z122*TaxRate,2))</f>
        <v>0</v>
      </c>
      <c r="AB122" s="21">
        <f>IF(A122="","",Z122+AA122)</f>
        <v>0</v>
      </c>
      <c r="AC122" s="21">
        <f>IF(A122="","",IF(P122&lt;&gt;"",P122,ROUND(AB122*DepositPercent,2)))</f>
        <v>0</v>
      </c>
      <c r="AD122" s="21">
        <f>IF(A122="","",SUMIFS('Quote Lines'!$Q$5:$Q$604,'Quote Lines'!$B$5:$B$604,A122))</f>
        <v>0</v>
      </c>
      <c r="AE122" s="21">
        <f>IF(A122="","",Z122-AD122)</f>
        <v>0</v>
      </c>
      <c r="AF122" s="38">
        <f>IF(OR(A122="",Z122=0),"",AE122/Z122)</f>
        <v>0</v>
      </c>
      <c r="AG122" s="18">
        <f>IF(OR(A122="",B122=""),"",IF(Q122&lt;&gt;"",Q122,B122+QuoteValidDays))</f>
        <v>0</v>
      </c>
      <c r="AH122" s="31">
        <f>IF(OR(A122="",L122=""),"",IF(OR(K122="Accepted",K122="Declined"),"",TodayDate-L122))</f>
        <v>0</v>
      </c>
      <c r="AI122" s="50">
        <f>IF(OR(A122="",AG122=""),"",IF(AND(AG122&lt;TodayDate,K122&lt;&gt;"Accepted",K122&lt;&gt;"Declined"),"Yes","No"))</f>
        <v>0</v>
      </c>
      <c r="AJ122" s="50">
        <f>IF(B122="","",IF(K122="Accepted","Yes",IF(K122="Declined","No","")))</f>
        <v>0</v>
      </c>
      <c r="AK122" s="39">
        <f>IF(B122="","",IF(K122="Accepted",IF(R122="","Action - accepted, book the job","OK - won"),IF(K122="Declined","Closed",IF(V122=0,"Add - no lines on this quote yet",IF(K122="Draft","Draft - not sent",IF(AI122="Yes","Expired - re-quote or close",IF(AND(AH122&lt;&gt;"",AH122&gt;=QuoteFollowupDays),"Chase - "&amp;AH122&amp;" days with no answer","OK")))))))</f>
        <v>0</v>
      </c>
    </row>
    <row r="123" spans="1:37">
      <c r="A123" s="43">
        <f>IF(B123="","",QuotePrefix&amp;TEXT(ROW()-4,"0000"))</f>
        <v>0</v>
      </c>
      <c r="C123" s="23">
        <f>IF(B123="","",TEXT(B123,"yyyy-mm"))</f>
        <v>0</v>
      </c>
      <c r="E123" s="23">
        <f>IF(D123&lt;&gt;"",IFERROR(INDEX(Clients!$B$5:$B$204,MATCH(D123,Clients!$A$5:$A$204,0)),F123),F123)</f>
        <v>0</v>
      </c>
      <c r="V123" s="31">
        <f>IF(A123="","",COUNTIFS('Quote Lines'!$B$5:$B$604,A123))</f>
        <v>0</v>
      </c>
      <c r="W123" s="34">
        <f>IF(A123="","",SUMIFS('Quote Lines'!$N$5:$N$604,'Quote Lines'!$B$5:$B$604,A123))</f>
        <v>0</v>
      </c>
      <c r="X123" s="21">
        <f>IF(A123="","",SUMIFS('Quote Lines'!$P$5:$P$604,'Quote Lines'!$B$5:$B$604,A123))</f>
        <v>0</v>
      </c>
      <c r="Y123" s="21">
        <f>IF(A123="","",ROUND(X123*IF(O123="",0,O123),2))</f>
        <v>0</v>
      </c>
      <c r="Z123" s="21">
        <f>IF(A123="","",X123-Y123)</f>
        <v>0</v>
      </c>
      <c r="AA123" s="21">
        <f>IF(A123="","",ROUND(Z123*TaxRate,2))</f>
        <v>0</v>
      </c>
      <c r="AB123" s="21">
        <f>IF(A123="","",Z123+AA123)</f>
        <v>0</v>
      </c>
      <c r="AC123" s="21">
        <f>IF(A123="","",IF(P123&lt;&gt;"",P123,ROUND(AB123*DepositPercent,2)))</f>
        <v>0</v>
      </c>
      <c r="AD123" s="21">
        <f>IF(A123="","",SUMIFS('Quote Lines'!$Q$5:$Q$604,'Quote Lines'!$B$5:$B$604,A123))</f>
        <v>0</v>
      </c>
      <c r="AE123" s="21">
        <f>IF(A123="","",Z123-AD123)</f>
        <v>0</v>
      </c>
      <c r="AF123" s="38">
        <f>IF(OR(A123="",Z123=0),"",AE123/Z123)</f>
        <v>0</v>
      </c>
      <c r="AG123" s="18">
        <f>IF(OR(A123="",B123=""),"",IF(Q123&lt;&gt;"",Q123,B123+QuoteValidDays))</f>
        <v>0</v>
      </c>
      <c r="AH123" s="31">
        <f>IF(OR(A123="",L123=""),"",IF(OR(K123="Accepted",K123="Declined"),"",TodayDate-L123))</f>
        <v>0</v>
      </c>
      <c r="AI123" s="50">
        <f>IF(OR(A123="",AG123=""),"",IF(AND(AG123&lt;TodayDate,K123&lt;&gt;"Accepted",K123&lt;&gt;"Declined"),"Yes","No"))</f>
        <v>0</v>
      </c>
      <c r="AJ123" s="50">
        <f>IF(B123="","",IF(K123="Accepted","Yes",IF(K123="Declined","No","")))</f>
        <v>0</v>
      </c>
      <c r="AK123" s="39">
        <f>IF(B123="","",IF(K123="Accepted",IF(R123="","Action - accepted, book the job","OK - won"),IF(K123="Declined","Closed",IF(V123=0,"Add - no lines on this quote yet",IF(K123="Draft","Draft - not sent",IF(AI123="Yes","Expired - re-quote or close",IF(AND(AH123&lt;&gt;"",AH123&gt;=QuoteFollowupDays),"Chase - "&amp;AH123&amp;" days with no answer","OK")))))))</f>
        <v>0</v>
      </c>
    </row>
    <row r="124" spans="1:37">
      <c r="A124" s="43">
        <f>IF(B124="","",QuotePrefix&amp;TEXT(ROW()-4,"0000"))</f>
        <v>0</v>
      </c>
      <c r="C124" s="23">
        <f>IF(B124="","",TEXT(B124,"yyyy-mm"))</f>
        <v>0</v>
      </c>
      <c r="E124" s="23">
        <f>IF(D124&lt;&gt;"",IFERROR(INDEX(Clients!$B$5:$B$204,MATCH(D124,Clients!$A$5:$A$204,0)),F124),F124)</f>
        <v>0</v>
      </c>
      <c r="V124" s="31">
        <f>IF(A124="","",COUNTIFS('Quote Lines'!$B$5:$B$604,A124))</f>
        <v>0</v>
      </c>
      <c r="W124" s="34">
        <f>IF(A124="","",SUMIFS('Quote Lines'!$N$5:$N$604,'Quote Lines'!$B$5:$B$604,A124))</f>
        <v>0</v>
      </c>
      <c r="X124" s="21">
        <f>IF(A124="","",SUMIFS('Quote Lines'!$P$5:$P$604,'Quote Lines'!$B$5:$B$604,A124))</f>
        <v>0</v>
      </c>
      <c r="Y124" s="21">
        <f>IF(A124="","",ROUND(X124*IF(O124="",0,O124),2))</f>
        <v>0</v>
      </c>
      <c r="Z124" s="21">
        <f>IF(A124="","",X124-Y124)</f>
        <v>0</v>
      </c>
      <c r="AA124" s="21">
        <f>IF(A124="","",ROUND(Z124*TaxRate,2))</f>
        <v>0</v>
      </c>
      <c r="AB124" s="21">
        <f>IF(A124="","",Z124+AA124)</f>
        <v>0</v>
      </c>
      <c r="AC124" s="21">
        <f>IF(A124="","",IF(P124&lt;&gt;"",P124,ROUND(AB124*DepositPercent,2)))</f>
        <v>0</v>
      </c>
      <c r="AD124" s="21">
        <f>IF(A124="","",SUMIFS('Quote Lines'!$Q$5:$Q$604,'Quote Lines'!$B$5:$B$604,A124))</f>
        <v>0</v>
      </c>
      <c r="AE124" s="21">
        <f>IF(A124="","",Z124-AD124)</f>
        <v>0</v>
      </c>
      <c r="AF124" s="38">
        <f>IF(OR(A124="",Z124=0),"",AE124/Z124)</f>
        <v>0</v>
      </c>
      <c r="AG124" s="18">
        <f>IF(OR(A124="",B124=""),"",IF(Q124&lt;&gt;"",Q124,B124+QuoteValidDays))</f>
        <v>0</v>
      </c>
      <c r="AH124" s="31">
        <f>IF(OR(A124="",L124=""),"",IF(OR(K124="Accepted",K124="Declined"),"",TodayDate-L124))</f>
        <v>0</v>
      </c>
      <c r="AI124" s="50">
        <f>IF(OR(A124="",AG124=""),"",IF(AND(AG124&lt;TodayDate,K124&lt;&gt;"Accepted",K124&lt;&gt;"Declined"),"Yes","No"))</f>
        <v>0</v>
      </c>
      <c r="AJ124" s="50">
        <f>IF(B124="","",IF(K124="Accepted","Yes",IF(K124="Declined","No","")))</f>
        <v>0</v>
      </c>
      <c r="AK124" s="39">
        <f>IF(B124="","",IF(K124="Accepted",IF(R124="","Action - accepted, book the job","OK - won"),IF(K124="Declined","Closed",IF(V124=0,"Add - no lines on this quote yet",IF(K124="Draft","Draft - not sent",IF(AI124="Yes","Expired - re-quote or close",IF(AND(AH124&lt;&gt;"",AH124&gt;=QuoteFollowupDays),"Chase - "&amp;AH124&amp;" days with no answer","OK")))))))</f>
        <v>0</v>
      </c>
    </row>
    <row r="125" spans="1:37">
      <c r="A125" s="43">
        <f>IF(B125="","",QuotePrefix&amp;TEXT(ROW()-4,"0000"))</f>
        <v>0</v>
      </c>
      <c r="C125" s="23">
        <f>IF(B125="","",TEXT(B125,"yyyy-mm"))</f>
        <v>0</v>
      </c>
      <c r="E125" s="23">
        <f>IF(D125&lt;&gt;"",IFERROR(INDEX(Clients!$B$5:$B$204,MATCH(D125,Clients!$A$5:$A$204,0)),F125),F125)</f>
        <v>0</v>
      </c>
      <c r="V125" s="31">
        <f>IF(A125="","",COUNTIFS('Quote Lines'!$B$5:$B$604,A125))</f>
        <v>0</v>
      </c>
      <c r="W125" s="34">
        <f>IF(A125="","",SUMIFS('Quote Lines'!$N$5:$N$604,'Quote Lines'!$B$5:$B$604,A125))</f>
        <v>0</v>
      </c>
      <c r="X125" s="21">
        <f>IF(A125="","",SUMIFS('Quote Lines'!$P$5:$P$604,'Quote Lines'!$B$5:$B$604,A125))</f>
        <v>0</v>
      </c>
      <c r="Y125" s="21">
        <f>IF(A125="","",ROUND(X125*IF(O125="",0,O125),2))</f>
        <v>0</v>
      </c>
      <c r="Z125" s="21">
        <f>IF(A125="","",X125-Y125)</f>
        <v>0</v>
      </c>
      <c r="AA125" s="21">
        <f>IF(A125="","",ROUND(Z125*TaxRate,2))</f>
        <v>0</v>
      </c>
      <c r="AB125" s="21">
        <f>IF(A125="","",Z125+AA125)</f>
        <v>0</v>
      </c>
      <c r="AC125" s="21">
        <f>IF(A125="","",IF(P125&lt;&gt;"",P125,ROUND(AB125*DepositPercent,2)))</f>
        <v>0</v>
      </c>
      <c r="AD125" s="21">
        <f>IF(A125="","",SUMIFS('Quote Lines'!$Q$5:$Q$604,'Quote Lines'!$B$5:$B$604,A125))</f>
        <v>0</v>
      </c>
      <c r="AE125" s="21">
        <f>IF(A125="","",Z125-AD125)</f>
        <v>0</v>
      </c>
      <c r="AF125" s="38">
        <f>IF(OR(A125="",Z125=0),"",AE125/Z125)</f>
        <v>0</v>
      </c>
      <c r="AG125" s="18">
        <f>IF(OR(A125="",B125=""),"",IF(Q125&lt;&gt;"",Q125,B125+QuoteValidDays))</f>
        <v>0</v>
      </c>
      <c r="AH125" s="31">
        <f>IF(OR(A125="",L125=""),"",IF(OR(K125="Accepted",K125="Declined"),"",TodayDate-L125))</f>
        <v>0</v>
      </c>
      <c r="AI125" s="50">
        <f>IF(OR(A125="",AG125=""),"",IF(AND(AG125&lt;TodayDate,K125&lt;&gt;"Accepted",K125&lt;&gt;"Declined"),"Yes","No"))</f>
        <v>0</v>
      </c>
      <c r="AJ125" s="50">
        <f>IF(B125="","",IF(K125="Accepted","Yes",IF(K125="Declined","No","")))</f>
        <v>0</v>
      </c>
      <c r="AK125" s="39">
        <f>IF(B125="","",IF(K125="Accepted",IF(R125="","Action - accepted, book the job","OK - won"),IF(K125="Declined","Closed",IF(V125=0,"Add - no lines on this quote yet",IF(K125="Draft","Draft - not sent",IF(AI125="Yes","Expired - re-quote or close",IF(AND(AH125&lt;&gt;"",AH125&gt;=QuoteFollowupDays),"Chase - "&amp;AH125&amp;" days with no answer","OK")))))))</f>
        <v>0</v>
      </c>
    </row>
    <row r="126" spans="1:37">
      <c r="A126" s="43">
        <f>IF(B126="","",QuotePrefix&amp;TEXT(ROW()-4,"0000"))</f>
        <v>0</v>
      </c>
      <c r="C126" s="23">
        <f>IF(B126="","",TEXT(B126,"yyyy-mm"))</f>
        <v>0</v>
      </c>
      <c r="E126" s="23">
        <f>IF(D126&lt;&gt;"",IFERROR(INDEX(Clients!$B$5:$B$204,MATCH(D126,Clients!$A$5:$A$204,0)),F126),F126)</f>
        <v>0</v>
      </c>
      <c r="V126" s="31">
        <f>IF(A126="","",COUNTIFS('Quote Lines'!$B$5:$B$604,A126))</f>
        <v>0</v>
      </c>
      <c r="W126" s="34">
        <f>IF(A126="","",SUMIFS('Quote Lines'!$N$5:$N$604,'Quote Lines'!$B$5:$B$604,A126))</f>
        <v>0</v>
      </c>
      <c r="X126" s="21">
        <f>IF(A126="","",SUMIFS('Quote Lines'!$P$5:$P$604,'Quote Lines'!$B$5:$B$604,A126))</f>
        <v>0</v>
      </c>
      <c r="Y126" s="21">
        <f>IF(A126="","",ROUND(X126*IF(O126="",0,O126),2))</f>
        <v>0</v>
      </c>
      <c r="Z126" s="21">
        <f>IF(A126="","",X126-Y126)</f>
        <v>0</v>
      </c>
      <c r="AA126" s="21">
        <f>IF(A126="","",ROUND(Z126*TaxRate,2))</f>
        <v>0</v>
      </c>
      <c r="AB126" s="21">
        <f>IF(A126="","",Z126+AA126)</f>
        <v>0</v>
      </c>
      <c r="AC126" s="21">
        <f>IF(A126="","",IF(P126&lt;&gt;"",P126,ROUND(AB126*DepositPercent,2)))</f>
        <v>0</v>
      </c>
      <c r="AD126" s="21">
        <f>IF(A126="","",SUMIFS('Quote Lines'!$Q$5:$Q$604,'Quote Lines'!$B$5:$B$604,A126))</f>
        <v>0</v>
      </c>
      <c r="AE126" s="21">
        <f>IF(A126="","",Z126-AD126)</f>
        <v>0</v>
      </c>
      <c r="AF126" s="38">
        <f>IF(OR(A126="",Z126=0),"",AE126/Z126)</f>
        <v>0</v>
      </c>
      <c r="AG126" s="18">
        <f>IF(OR(A126="",B126=""),"",IF(Q126&lt;&gt;"",Q126,B126+QuoteValidDays))</f>
        <v>0</v>
      </c>
      <c r="AH126" s="31">
        <f>IF(OR(A126="",L126=""),"",IF(OR(K126="Accepted",K126="Declined"),"",TodayDate-L126))</f>
        <v>0</v>
      </c>
      <c r="AI126" s="50">
        <f>IF(OR(A126="",AG126=""),"",IF(AND(AG126&lt;TodayDate,K126&lt;&gt;"Accepted",K126&lt;&gt;"Declined"),"Yes","No"))</f>
        <v>0</v>
      </c>
      <c r="AJ126" s="50">
        <f>IF(B126="","",IF(K126="Accepted","Yes",IF(K126="Declined","No","")))</f>
        <v>0</v>
      </c>
      <c r="AK126" s="39">
        <f>IF(B126="","",IF(K126="Accepted",IF(R126="","Action - accepted, book the job","OK - won"),IF(K126="Declined","Closed",IF(V126=0,"Add - no lines on this quote yet",IF(K126="Draft","Draft - not sent",IF(AI126="Yes","Expired - re-quote or close",IF(AND(AH126&lt;&gt;"",AH126&gt;=QuoteFollowupDays),"Chase - "&amp;AH126&amp;" days with no answer","OK")))))))</f>
        <v>0</v>
      </c>
    </row>
    <row r="127" spans="1:37">
      <c r="A127" s="43">
        <f>IF(B127="","",QuotePrefix&amp;TEXT(ROW()-4,"0000"))</f>
        <v>0</v>
      </c>
      <c r="C127" s="23">
        <f>IF(B127="","",TEXT(B127,"yyyy-mm"))</f>
        <v>0</v>
      </c>
      <c r="E127" s="23">
        <f>IF(D127&lt;&gt;"",IFERROR(INDEX(Clients!$B$5:$B$204,MATCH(D127,Clients!$A$5:$A$204,0)),F127),F127)</f>
        <v>0</v>
      </c>
      <c r="V127" s="31">
        <f>IF(A127="","",COUNTIFS('Quote Lines'!$B$5:$B$604,A127))</f>
        <v>0</v>
      </c>
      <c r="W127" s="34">
        <f>IF(A127="","",SUMIFS('Quote Lines'!$N$5:$N$604,'Quote Lines'!$B$5:$B$604,A127))</f>
        <v>0</v>
      </c>
      <c r="X127" s="21">
        <f>IF(A127="","",SUMIFS('Quote Lines'!$P$5:$P$604,'Quote Lines'!$B$5:$B$604,A127))</f>
        <v>0</v>
      </c>
      <c r="Y127" s="21">
        <f>IF(A127="","",ROUND(X127*IF(O127="",0,O127),2))</f>
        <v>0</v>
      </c>
      <c r="Z127" s="21">
        <f>IF(A127="","",X127-Y127)</f>
        <v>0</v>
      </c>
      <c r="AA127" s="21">
        <f>IF(A127="","",ROUND(Z127*TaxRate,2))</f>
        <v>0</v>
      </c>
      <c r="AB127" s="21">
        <f>IF(A127="","",Z127+AA127)</f>
        <v>0</v>
      </c>
      <c r="AC127" s="21">
        <f>IF(A127="","",IF(P127&lt;&gt;"",P127,ROUND(AB127*DepositPercent,2)))</f>
        <v>0</v>
      </c>
      <c r="AD127" s="21">
        <f>IF(A127="","",SUMIFS('Quote Lines'!$Q$5:$Q$604,'Quote Lines'!$B$5:$B$604,A127))</f>
        <v>0</v>
      </c>
      <c r="AE127" s="21">
        <f>IF(A127="","",Z127-AD127)</f>
        <v>0</v>
      </c>
      <c r="AF127" s="38">
        <f>IF(OR(A127="",Z127=0),"",AE127/Z127)</f>
        <v>0</v>
      </c>
      <c r="AG127" s="18">
        <f>IF(OR(A127="",B127=""),"",IF(Q127&lt;&gt;"",Q127,B127+QuoteValidDays))</f>
        <v>0</v>
      </c>
      <c r="AH127" s="31">
        <f>IF(OR(A127="",L127=""),"",IF(OR(K127="Accepted",K127="Declined"),"",TodayDate-L127))</f>
        <v>0</v>
      </c>
      <c r="AI127" s="50">
        <f>IF(OR(A127="",AG127=""),"",IF(AND(AG127&lt;TodayDate,K127&lt;&gt;"Accepted",K127&lt;&gt;"Declined"),"Yes","No"))</f>
        <v>0</v>
      </c>
      <c r="AJ127" s="50">
        <f>IF(B127="","",IF(K127="Accepted","Yes",IF(K127="Declined","No","")))</f>
        <v>0</v>
      </c>
      <c r="AK127" s="39">
        <f>IF(B127="","",IF(K127="Accepted",IF(R127="","Action - accepted, book the job","OK - won"),IF(K127="Declined","Closed",IF(V127=0,"Add - no lines on this quote yet",IF(K127="Draft","Draft - not sent",IF(AI127="Yes","Expired - re-quote or close",IF(AND(AH127&lt;&gt;"",AH127&gt;=QuoteFollowupDays),"Chase - "&amp;AH127&amp;" days with no answer","OK")))))))</f>
        <v>0</v>
      </c>
    </row>
    <row r="128" spans="1:37">
      <c r="A128" s="43">
        <f>IF(B128="","",QuotePrefix&amp;TEXT(ROW()-4,"0000"))</f>
        <v>0</v>
      </c>
      <c r="C128" s="23">
        <f>IF(B128="","",TEXT(B128,"yyyy-mm"))</f>
        <v>0</v>
      </c>
      <c r="E128" s="23">
        <f>IF(D128&lt;&gt;"",IFERROR(INDEX(Clients!$B$5:$B$204,MATCH(D128,Clients!$A$5:$A$204,0)),F128),F128)</f>
        <v>0</v>
      </c>
      <c r="V128" s="31">
        <f>IF(A128="","",COUNTIFS('Quote Lines'!$B$5:$B$604,A128))</f>
        <v>0</v>
      </c>
      <c r="W128" s="34">
        <f>IF(A128="","",SUMIFS('Quote Lines'!$N$5:$N$604,'Quote Lines'!$B$5:$B$604,A128))</f>
        <v>0</v>
      </c>
      <c r="X128" s="21">
        <f>IF(A128="","",SUMIFS('Quote Lines'!$P$5:$P$604,'Quote Lines'!$B$5:$B$604,A128))</f>
        <v>0</v>
      </c>
      <c r="Y128" s="21">
        <f>IF(A128="","",ROUND(X128*IF(O128="",0,O128),2))</f>
        <v>0</v>
      </c>
      <c r="Z128" s="21">
        <f>IF(A128="","",X128-Y128)</f>
        <v>0</v>
      </c>
      <c r="AA128" s="21">
        <f>IF(A128="","",ROUND(Z128*TaxRate,2))</f>
        <v>0</v>
      </c>
      <c r="AB128" s="21">
        <f>IF(A128="","",Z128+AA128)</f>
        <v>0</v>
      </c>
      <c r="AC128" s="21">
        <f>IF(A128="","",IF(P128&lt;&gt;"",P128,ROUND(AB128*DepositPercent,2)))</f>
        <v>0</v>
      </c>
      <c r="AD128" s="21">
        <f>IF(A128="","",SUMIFS('Quote Lines'!$Q$5:$Q$604,'Quote Lines'!$B$5:$B$604,A128))</f>
        <v>0</v>
      </c>
      <c r="AE128" s="21">
        <f>IF(A128="","",Z128-AD128)</f>
        <v>0</v>
      </c>
      <c r="AF128" s="38">
        <f>IF(OR(A128="",Z128=0),"",AE128/Z128)</f>
        <v>0</v>
      </c>
      <c r="AG128" s="18">
        <f>IF(OR(A128="",B128=""),"",IF(Q128&lt;&gt;"",Q128,B128+QuoteValidDays))</f>
        <v>0</v>
      </c>
      <c r="AH128" s="31">
        <f>IF(OR(A128="",L128=""),"",IF(OR(K128="Accepted",K128="Declined"),"",TodayDate-L128))</f>
        <v>0</v>
      </c>
      <c r="AI128" s="50">
        <f>IF(OR(A128="",AG128=""),"",IF(AND(AG128&lt;TodayDate,K128&lt;&gt;"Accepted",K128&lt;&gt;"Declined"),"Yes","No"))</f>
        <v>0</v>
      </c>
      <c r="AJ128" s="50">
        <f>IF(B128="","",IF(K128="Accepted","Yes",IF(K128="Declined","No","")))</f>
        <v>0</v>
      </c>
      <c r="AK128" s="39">
        <f>IF(B128="","",IF(K128="Accepted",IF(R128="","Action - accepted, book the job","OK - won"),IF(K128="Declined","Closed",IF(V128=0,"Add - no lines on this quote yet",IF(K128="Draft","Draft - not sent",IF(AI128="Yes","Expired - re-quote or close",IF(AND(AH128&lt;&gt;"",AH128&gt;=QuoteFollowupDays),"Chase - "&amp;AH128&amp;" days with no answer","OK")))))))</f>
        <v>0</v>
      </c>
    </row>
    <row r="129" spans="1:37">
      <c r="A129" s="43">
        <f>IF(B129="","",QuotePrefix&amp;TEXT(ROW()-4,"0000"))</f>
        <v>0</v>
      </c>
      <c r="C129" s="23">
        <f>IF(B129="","",TEXT(B129,"yyyy-mm"))</f>
        <v>0</v>
      </c>
      <c r="E129" s="23">
        <f>IF(D129&lt;&gt;"",IFERROR(INDEX(Clients!$B$5:$B$204,MATCH(D129,Clients!$A$5:$A$204,0)),F129),F129)</f>
        <v>0</v>
      </c>
      <c r="V129" s="31">
        <f>IF(A129="","",COUNTIFS('Quote Lines'!$B$5:$B$604,A129))</f>
        <v>0</v>
      </c>
      <c r="W129" s="34">
        <f>IF(A129="","",SUMIFS('Quote Lines'!$N$5:$N$604,'Quote Lines'!$B$5:$B$604,A129))</f>
        <v>0</v>
      </c>
      <c r="X129" s="21">
        <f>IF(A129="","",SUMIFS('Quote Lines'!$P$5:$P$604,'Quote Lines'!$B$5:$B$604,A129))</f>
        <v>0</v>
      </c>
      <c r="Y129" s="21">
        <f>IF(A129="","",ROUND(X129*IF(O129="",0,O129),2))</f>
        <v>0</v>
      </c>
      <c r="Z129" s="21">
        <f>IF(A129="","",X129-Y129)</f>
        <v>0</v>
      </c>
      <c r="AA129" s="21">
        <f>IF(A129="","",ROUND(Z129*TaxRate,2))</f>
        <v>0</v>
      </c>
      <c r="AB129" s="21">
        <f>IF(A129="","",Z129+AA129)</f>
        <v>0</v>
      </c>
      <c r="AC129" s="21">
        <f>IF(A129="","",IF(P129&lt;&gt;"",P129,ROUND(AB129*DepositPercent,2)))</f>
        <v>0</v>
      </c>
      <c r="AD129" s="21">
        <f>IF(A129="","",SUMIFS('Quote Lines'!$Q$5:$Q$604,'Quote Lines'!$B$5:$B$604,A129))</f>
        <v>0</v>
      </c>
      <c r="AE129" s="21">
        <f>IF(A129="","",Z129-AD129)</f>
        <v>0</v>
      </c>
      <c r="AF129" s="38">
        <f>IF(OR(A129="",Z129=0),"",AE129/Z129)</f>
        <v>0</v>
      </c>
      <c r="AG129" s="18">
        <f>IF(OR(A129="",B129=""),"",IF(Q129&lt;&gt;"",Q129,B129+QuoteValidDays))</f>
        <v>0</v>
      </c>
      <c r="AH129" s="31">
        <f>IF(OR(A129="",L129=""),"",IF(OR(K129="Accepted",K129="Declined"),"",TodayDate-L129))</f>
        <v>0</v>
      </c>
      <c r="AI129" s="50">
        <f>IF(OR(A129="",AG129=""),"",IF(AND(AG129&lt;TodayDate,K129&lt;&gt;"Accepted",K129&lt;&gt;"Declined"),"Yes","No"))</f>
        <v>0</v>
      </c>
      <c r="AJ129" s="50">
        <f>IF(B129="","",IF(K129="Accepted","Yes",IF(K129="Declined","No","")))</f>
        <v>0</v>
      </c>
      <c r="AK129" s="39">
        <f>IF(B129="","",IF(K129="Accepted",IF(R129="","Action - accepted, book the job","OK - won"),IF(K129="Declined","Closed",IF(V129=0,"Add - no lines on this quote yet",IF(K129="Draft","Draft - not sent",IF(AI129="Yes","Expired - re-quote or close",IF(AND(AH129&lt;&gt;"",AH129&gt;=QuoteFollowupDays),"Chase - "&amp;AH129&amp;" days with no answer","OK")))))))</f>
        <v>0</v>
      </c>
    </row>
    <row r="130" spans="1:37">
      <c r="A130" s="43">
        <f>IF(B130="","",QuotePrefix&amp;TEXT(ROW()-4,"0000"))</f>
        <v>0</v>
      </c>
      <c r="C130" s="23">
        <f>IF(B130="","",TEXT(B130,"yyyy-mm"))</f>
        <v>0</v>
      </c>
      <c r="E130" s="23">
        <f>IF(D130&lt;&gt;"",IFERROR(INDEX(Clients!$B$5:$B$204,MATCH(D130,Clients!$A$5:$A$204,0)),F130),F130)</f>
        <v>0</v>
      </c>
      <c r="V130" s="31">
        <f>IF(A130="","",COUNTIFS('Quote Lines'!$B$5:$B$604,A130))</f>
        <v>0</v>
      </c>
      <c r="W130" s="34">
        <f>IF(A130="","",SUMIFS('Quote Lines'!$N$5:$N$604,'Quote Lines'!$B$5:$B$604,A130))</f>
        <v>0</v>
      </c>
      <c r="X130" s="21">
        <f>IF(A130="","",SUMIFS('Quote Lines'!$P$5:$P$604,'Quote Lines'!$B$5:$B$604,A130))</f>
        <v>0</v>
      </c>
      <c r="Y130" s="21">
        <f>IF(A130="","",ROUND(X130*IF(O130="",0,O130),2))</f>
        <v>0</v>
      </c>
      <c r="Z130" s="21">
        <f>IF(A130="","",X130-Y130)</f>
        <v>0</v>
      </c>
      <c r="AA130" s="21">
        <f>IF(A130="","",ROUND(Z130*TaxRate,2))</f>
        <v>0</v>
      </c>
      <c r="AB130" s="21">
        <f>IF(A130="","",Z130+AA130)</f>
        <v>0</v>
      </c>
      <c r="AC130" s="21">
        <f>IF(A130="","",IF(P130&lt;&gt;"",P130,ROUND(AB130*DepositPercent,2)))</f>
        <v>0</v>
      </c>
      <c r="AD130" s="21">
        <f>IF(A130="","",SUMIFS('Quote Lines'!$Q$5:$Q$604,'Quote Lines'!$B$5:$B$604,A130))</f>
        <v>0</v>
      </c>
      <c r="AE130" s="21">
        <f>IF(A130="","",Z130-AD130)</f>
        <v>0</v>
      </c>
      <c r="AF130" s="38">
        <f>IF(OR(A130="",Z130=0),"",AE130/Z130)</f>
        <v>0</v>
      </c>
      <c r="AG130" s="18">
        <f>IF(OR(A130="",B130=""),"",IF(Q130&lt;&gt;"",Q130,B130+QuoteValidDays))</f>
        <v>0</v>
      </c>
      <c r="AH130" s="31">
        <f>IF(OR(A130="",L130=""),"",IF(OR(K130="Accepted",K130="Declined"),"",TodayDate-L130))</f>
        <v>0</v>
      </c>
      <c r="AI130" s="50">
        <f>IF(OR(A130="",AG130=""),"",IF(AND(AG130&lt;TodayDate,K130&lt;&gt;"Accepted",K130&lt;&gt;"Declined"),"Yes","No"))</f>
        <v>0</v>
      </c>
      <c r="AJ130" s="50">
        <f>IF(B130="","",IF(K130="Accepted","Yes",IF(K130="Declined","No","")))</f>
        <v>0</v>
      </c>
      <c r="AK130" s="39">
        <f>IF(B130="","",IF(K130="Accepted",IF(R130="","Action - accepted, book the job","OK - won"),IF(K130="Declined","Closed",IF(V130=0,"Add - no lines on this quote yet",IF(K130="Draft","Draft - not sent",IF(AI130="Yes","Expired - re-quote or close",IF(AND(AH130&lt;&gt;"",AH130&gt;=QuoteFollowupDays),"Chase - "&amp;AH130&amp;" days with no answer","OK")))))))</f>
        <v>0</v>
      </c>
    </row>
    <row r="131" spans="1:37">
      <c r="A131" s="43">
        <f>IF(B131="","",QuotePrefix&amp;TEXT(ROW()-4,"0000"))</f>
        <v>0</v>
      </c>
      <c r="C131" s="23">
        <f>IF(B131="","",TEXT(B131,"yyyy-mm"))</f>
        <v>0</v>
      </c>
      <c r="E131" s="23">
        <f>IF(D131&lt;&gt;"",IFERROR(INDEX(Clients!$B$5:$B$204,MATCH(D131,Clients!$A$5:$A$204,0)),F131),F131)</f>
        <v>0</v>
      </c>
      <c r="V131" s="31">
        <f>IF(A131="","",COUNTIFS('Quote Lines'!$B$5:$B$604,A131))</f>
        <v>0</v>
      </c>
      <c r="W131" s="34">
        <f>IF(A131="","",SUMIFS('Quote Lines'!$N$5:$N$604,'Quote Lines'!$B$5:$B$604,A131))</f>
        <v>0</v>
      </c>
      <c r="X131" s="21">
        <f>IF(A131="","",SUMIFS('Quote Lines'!$P$5:$P$604,'Quote Lines'!$B$5:$B$604,A131))</f>
        <v>0</v>
      </c>
      <c r="Y131" s="21">
        <f>IF(A131="","",ROUND(X131*IF(O131="",0,O131),2))</f>
        <v>0</v>
      </c>
      <c r="Z131" s="21">
        <f>IF(A131="","",X131-Y131)</f>
        <v>0</v>
      </c>
      <c r="AA131" s="21">
        <f>IF(A131="","",ROUND(Z131*TaxRate,2))</f>
        <v>0</v>
      </c>
      <c r="AB131" s="21">
        <f>IF(A131="","",Z131+AA131)</f>
        <v>0</v>
      </c>
      <c r="AC131" s="21">
        <f>IF(A131="","",IF(P131&lt;&gt;"",P131,ROUND(AB131*DepositPercent,2)))</f>
        <v>0</v>
      </c>
      <c r="AD131" s="21">
        <f>IF(A131="","",SUMIFS('Quote Lines'!$Q$5:$Q$604,'Quote Lines'!$B$5:$B$604,A131))</f>
        <v>0</v>
      </c>
      <c r="AE131" s="21">
        <f>IF(A131="","",Z131-AD131)</f>
        <v>0</v>
      </c>
      <c r="AF131" s="38">
        <f>IF(OR(A131="",Z131=0),"",AE131/Z131)</f>
        <v>0</v>
      </c>
      <c r="AG131" s="18">
        <f>IF(OR(A131="",B131=""),"",IF(Q131&lt;&gt;"",Q131,B131+QuoteValidDays))</f>
        <v>0</v>
      </c>
      <c r="AH131" s="31">
        <f>IF(OR(A131="",L131=""),"",IF(OR(K131="Accepted",K131="Declined"),"",TodayDate-L131))</f>
        <v>0</v>
      </c>
      <c r="AI131" s="50">
        <f>IF(OR(A131="",AG131=""),"",IF(AND(AG131&lt;TodayDate,K131&lt;&gt;"Accepted",K131&lt;&gt;"Declined"),"Yes","No"))</f>
        <v>0</v>
      </c>
      <c r="AJ131" s="50">
        <f>IF(B131="","",IF(K131="Accepted","Yes",IF(K131="Declined","No","")))</f>
        <v>0</v>
      </c>
      <c r="AK131" s="39">
        <f>IF(B131="","",IF(K131="Accepted",IF(R131="","Action - accepted, book the job","OK - won"),IF(K131="Declined","Closed",IF(V131=0,"Add - no lines on this quote yet",IF(K131="Draft","Draft - not sent",IF(AI131="Yes","Expired - re-quote or close",IF(AND(AH131&lt;&gt;"",AH131&gt;=QuoteFollowupDays),"Chase - "&amp;AH131&amp;" days with no answer","OK")))))))</f>
        <v>0</v>
      </c>
    </row>
    <row r="132" spans="1:37">
      <c r="A132" s="43">
        <f>IF(B132="","",QuotePrefix&amp;TEXT(ROW()-4,"0000"))</f>
        <v>0</v>
      </c>
      <c r="C132" s="23">
        <f>IF(B132="","",TEXT(B132,"yyyy-mm"))</f>
        <v>0</v>
      </c>
      <c r="E132" s="23">
        <f>IF(D132&lt;&gt;"",IFERROR(INDEX(Clients!$B$5:$B$204,MATCH(D132,Clients!$A$5:$A$204,0)),F132),F132)</f>
        <v>0</v>
      </c>
      <c r="V132" s="31">
        <f>IF(A132="","",COUNTIFS('Quote Lines'!$B$5:$B$604,A132))</f>
        <v>0</v>
      </c>
      <c r="W132" s="34">
        <f>IF(A132="","",SUMIFS('Quote Lines'!$N$5:$N$604,'Quote Lines'!$B$5:$B$604,A132))</f>
        <v>0</v>
      </c>
      <c r="X132" s="21">
        <f>IF(A132="","",SUMIFS('Quote Lines'!$P$5:$P$604,'Quote Lines'!$B$5:$B$604,A132))</f>
        <v>0</v>
      </c>
      <c r="Y132" s="21">
        <f>IF(A132="","",ROUND(X132*IF(O132="",0,O132),2))</f>
        <v>0</v>
      </c>
      <c r="Z132" s="21">
        <f>IF(A132="","",X132-Y132)</f>
        <v>0</v>
      </c>
      <c r="AA132" s="21">
        <f>IF(A132="","",ROUND(Z132*TaxRate,2))</f>
        <v>0</v>
      </c>
      <c r="AB132" s="21">
        <f>IF(A132="","",Z132+AA132)</f>
        <v>0</v>
      </c>
      <c r="AC132" s="21">
        <f>IF(A132="","",IF(P132&lt;&gt;"",P132,ROUND(AB132*DepositPercent,2)))</f>
        <v>0</v>
      </c>
      <c r="AD132" s="21">
        <f>IF(A132="","",SUMIFS('Quote Lines'!$Q$5:$Q$604,'Quote Lines'!$B$5:$B$604,A132))</f>
        <v>0</v>
      </c>
      <c r="AE132" s="21">
        <f>IF(A132="","",Z132-AD132)</f>
        <v>0</v>
      </c>
      <c r="AF132" s="38">
        <f>IF(OR(A132="",Z132=0),"",AE132/Z132)</f>
        <v>0</v>
      </c>
      <c r="AG132" s="18">
        <f>IF(OR(A132="",B132=""),"",IF(Q132&lt;&gt;"",Q132,B132+QuoteValidDays))</f>
        <v>0</v>
      </c>
      <c r="AH132" s="31">
        <f>IF(OR(A132="",L132=""),"",IF(OR(K132="Accepted",K132="Declined"),"",TodayDate-L132))</f>
        <v>0</v>
      </c>
      <c r="AI132" s="50">
        <f>IF(OR(A132="",AG132=""),"",IF(AND(AG132&lt;TodayDate,K132&lt;&gt;"Accepted",K132&lt;&gt;"Declined"),"Yes","No"))</f>
        <v>0</v>
      </c>
      <c r="AJ132" s="50">
        <f>IF(B132="","",IF(K132="Accepted","Yes",IF(K132="Declined","No","")))</f>
        <v>0</v>
      </c>
      <c r="AK132" s="39">
        <f>IF(B132="","",IF(K132="Accepted",IF(R132="","Action - accepted, book the job","OK - won"),IF(K132="Declined","Closed",IF(V132=0,"Add - no lines on this quote yet",IF(K132="Draft","Draft - not sent",IF(AI132="Yes","Expired - re-quote or close",IF(AND(AH132&lt;&gt;"",AH132&gt;=QuoteFollowupDays),"Chase - "&amp;AH132&amp;" days with no answer","OK")))))))</f>
        <v>0</v>
      </c>
    </row>
    <row r="133" spans="1:37">
      <c r="A133" s="43">
        <f>IF(B133="","",QuotePrefix&amp;TEXT(ROW()-4,"0000"))</f>
        <v>0</v>
      </c>
      <c r="C133" s="23">
        <f>IF(B133="","",TEXT(B133,"yyyy-mm"))</f>
        <v>0</v>
      </c>
      <c r="E133" s="23">
        <f>IF(D133&lt;&gt;"",IFERROR(INDEX(Clients!$B$5:$B$204,MATCH(D133,Clients!$A$5:$A$204,0)),F133),F133)</f>
        <v>0</v>
      </c>
      <c r="V133" s="31">
        <f>IF(A133="","",COUNTIFS('Quote Lines'!$B$5:$B$604,A133))</f>
        <v>0</v>
      </c>
      <c r="W133" s="34">
        <f>IF(A133="","",SUMIFS('Quote Lines'!$N$5:$N$604,'Quote Lines'!$B$5:$B$604,A133))</f>
        <v>0</v>
      </c>
      <c r="X133" s="21">
        <f>IF(A133="","",SUMIFS('Quote Lines'!$P$5:$P$604,'Quote Lines'!$B$5:$B$604,A133))</f>
        <v>0</v>
      </c>
      <c r="Y133" s="21">
        <f>IF(A133="","",ROUND(X133*IF(O133="",0,O133),2))</f>
        <v>0</v>
      </c>
      <c r="Z133" s="21">
        <f>IF(A133="","",X133-Y133)</f>
        <v>0</v>
      </c>
      <c r="AA133" s="21">
        <f>IF(A133="","",ROUND(Z133*TaxRate,2))</f>
        <v>0</v>
      </c>
      <c r="AB133" s="21">
        <f>IF(A133="","",Z133+AA133)</f>
        <v>0</v>
      </c>
      <c r="AC133" s="21">
        <f>IF(A133="","",IF(P133&lt;&gt;"",P133,ROUND(AB133*DepositPercent,2)))</f>
        <v>0</v>
      </c>
      <c r="AD133" s="21">
        <f>IF(A133="","",SUMIFS('Quote Lines'!$Q$5:$Q$604,'Quote Lines'!$B$5:$B$604,A133))</f>
        <v>0</v>
      </c>
      <c r="AE133" s="21">
        <f>IF(A133="","",Z133-AD133)</f>
        <v>0</v>
      </c>
      <c r="AF133" s="38">
        <f>IF(OR(A133="",Z133=0),"",AE133/Z133)</f>
        <v>0</v>
      </c>
      <c r="AG133" s="18">
        <f>IF(OR(A133="",B133=""),"",IF(Q133&lt;&gt;"",Q133,B133+QuoteValidDays))</f>
        <v>0</v>
      </c>
      <c r="AH133" s="31">
        <f>IF(OR(A133="",L133=""),"",IF(OR(K133="Accepted",K133="Declined"),"",TodayDate-L133))</f>
        <v>0</v>
      </c>
      <c r="AI133" s="50">
        <f>IF(OR(A133="",AG133=""),"",IF(AND(AG133&lt;TodayDate,K133&lt;&gt;"Accepted",K133&lt;&gt;"Declined"),"Yes","No"))</f>
        <v>0</v>
      </c>
      <c r="AJ133" s="50">
        <f>IF(B133="","",IF(K133="Accepted","Yes",IF(K133="Declined","No","")))</f>
        <v>0</v>
      </c>
      <c r="AK133" s="39">
        <f>IF(B133="","",IF(K133="Accepted",IF(R133="","Action - accepted, book the job","OK - won"),IF(K133="Declined","Closed",IF(V133=0,"Add - no lines on this quote yet",IF(K133="Draft","Draft - not sent",IF(AI133="Yes","Expired - re-quote or close",IF(AND(AH133&lt;&gt;"",AH133&gt;=QuoteFollowupDays),"Chase - "&amp;AH133&amp;" days with no answer","OK")))))))</f>
        <v>0</v>
      </c>
    </row>
    <row r="134" spans="1:37">
      <c r="A134" s="43">
        <f>IF(B134="","",QuotePrefix&amp;TEXT(ROW()-4,"0000"))</f>
        <v>0</v>
      </c>
      <c r="C134" s="23">
        <f>IF(B134="","",TEXT(B134,"yyyy-mm"))</f>
        <v>0</v>
      </c>
      <c r="E134" s="23">
        <f>IF(D134&lt;&gt;"",IFERROR(INDEX(Clients!$B$5:$B$204,MATCH(D134,Clients!$A$5:$A$204,0)),F134),F134)</f>
        <v>0</v>
      </c>
      <c r="V134" s="31">
        <f>IF(A134="","",COUNTIFS('Quote Lines'!$B$5:$B$604,A134))</f>
        <v>0</v>
      </c>
      <c r="W134" s="34">
        <f>IF(A134="","",SUMIFS('Quote Lines'!$N$5:$N$604,'Quote Lines'!$B$5:$B$604,A134))</f>
        <v>0</v>
      </c>
      <c r="X134" s="21">
        <f>IF(A134="","",SUMIFS('Quote Lines'!$P$5:$P$604,'Quote Lines'!$B$5:$B$604,A134))</f>
        <v>0</v>
      </c>
      <c r="Y134" s="21">
        <f>IF(A134="","",ROUND(X134*IF(O134="",0,O134),2))</f>
        <v>0</v>
      </c>
      <c r="Z134" s="21">
        <f>IF(A134="","",X134-Y134)</f>
        <v>0</v>
      </c>
      <c r="AA134" s="21">
        <f>IF(A134="","",ROUND(Z134*TaxRate,2))</f>
        <v>0</v>
      </c>
      <c r="AB134" s="21">
        <f>IF(A134="","",Z134+AA134)</f>
        <v>0</v>
      </c>
      <c r="AC134" s="21">
        <f>IF(A134="","",IF(P134&lt;&gt;"",P134,ROUND(AB134*DepositPercent,2)))</f>
        <v>0</v>
      </c>
      <c r="AD134" s="21">
        <f>IF(A134="","",SUMIFS('Quote Lines'!$Q$5:$Q$604,'Quote Lines'!$B$5:$B$604,A134))</f>
        <v>0</v>
      </c>
      <c r="AE134" s="21">
        <f>IF(A134="","",Z134-AD134)</f>
        <v>0</v>
      </c>
      <c r="AF134" s="38">
        <f>IF(OR(A134="",Z134=0),"",AE134/Z134)</f>
        <v>0</v>
      </c>
      <c r="AG134" s="18">
        <f>IF(OR(A134="",B134=""),"",IF(Q134&lt;&gt;"",Q134,B134+QuoteValidDays))</f>
        <v>0</v>
      </c>
      <c r="AH134" s="31">
        <f>IF(OR(A134="",L134=""),"",IF(OR(K134="Accepted",K134="Declined"),"",TodayDate-L134))</f>
        <v>0</v>
      </c>
      <c r="AI134" s="50">
        <f>IF(OR(A134="",AG134=""),"",IF(AND(AG134&lt;TodayDate,K134&lt;&gt;"Accepted",K134&lt;&gt;"Declined"),"Yes","No"))</f>
        <v>0</v>
      </c>
      <c r="AJ134" s="50">
        <f>IF(B134="","",IF(K134="Accepted","Yes",IF(K134="Declined","No","")))</f>
        <v>0</v>
      </c>
      <c r="AK134" s="39">
        <f>IF(B134="","",IF(K134="Accepted",IF(R134="","Action - accepted, book the job","OK - won"),IF(K134="Declined","Closed",IF(V134=0,"Add - no lines on this quote yet",IF(K134="Draft","Draft - not sent",IF(AI134="Yes","Expired - re-quote or close",IF(AND(AH134&lt;&gt;"",AH134&gt;=QuoteFollowupDays),"Chase - "&amp;AH134&amp;" days with no answer","OK")))))))</f>
        <v>0</v>
      </c>
    </row>
    <row r="135" spans="1:37">
      <c r="A135" s="43">
        <f>IF(B135="","",QuotePrefix&amp;TEXT(ROW()-4,"0000"))</f>
        <v>0</v>
      </c>
      <c r="C135" s="23">
        <f>IF(B135="","",TEXT(B135,"yyyy-mm"))</f>
        <v>0</v>
      </c>
      <c r="E135" s="23">
        <f>IF(D135&lt;&gt;"",IFERROR(INDEX(Clients!$B$5:$B$204,MATCH(D135,Clients!$A$5:$A$204,0)),F135),F135)</f>
        <v>0</v>
      </c>
      <c r="V135" s="31">
        <f>IF(A135="","",COUNTIFS('Quote Lines'!$B$5:$B$604,A135))</f>
        <v>0</v>
      </c>
      <c r="W135" s="34">
        <f>IF(A135="","",SUMIFS('Quote Lines'!$N$5:$N$604,'Quote Lines'!$B$5:$B$604,A135))</f>
        <v>0</v>
      </c>
      <c r="X135" s="21">
        <f>IF(A135="","",SUMIFS('Quote Lines'!$P$5:$P$604,'Quote Lines'!$B$5:$B$604,A135))</f>
        <v>0</v>
      </c>
      <c r="Y135" s="21">
        <f>IF(A135="","",ROUND(X135*IF(O135="",0,O135),2))</f>
        <v>0</v>
      </c>
      <c r="Z135" s="21">
        <f>IF(A135="","",X135-Y135)</f>
        <v>0</v>
      </c>
      <c r="AA135" s="21">
        <f>IF(A135="","",ROUND(Z135*TaxRate,2))</f>
        <v>0</v>
      </c>
      <c r="AB135" s="21">
        <f>IF(A135="","",Z135+AA135)</f>
        <v>0</v>
      </c>
      <c r="AC135" s="21">
        <f>IF(A135="","",IF(P135&lt;&gt;"",P135,ROUND(AB135*DepositPercent,2)))</f>
        <v>0</v>
      </c>
      <c r="AD135" s="21">
        <f>IF(A135="","",SUMIFS('Quote Lines'!$Q$5:$Q$604,'Quote Lines'!$B$5:$B$604,A135))</f>
        <v>0</v>
      </c>
      <c r="AE135" s="21">
        <f>IF(A135="","",Z135-AD135)</f>
        <v>0</v>
      </c>
      <c r="AF135" s="38">
        <f>IF(OR(A135="",Z135=0),"",AE135/Z135)</f>
        <v>0</v>
      </c>
      <c r="AG135" s="18">
        <f>IF(OR(A135="",B135=""),"",IF(Q135&lt;&gt;"",Q135,B135+QuoteValidDays))</f>
        <v>0</v>
      </c>
      <c r="AH135" s="31">
        <f>IF(OR(A135="",L135=""),"",IF(OR(K135="Accepted",K135="Declined"),"",TodayDate-L135))</f>
        <v>0</v>
      </c>
      <c r="AI135" s="50">
        <f>IF(OR(A135="",AG135=""),"",IF(AND(AG135&lt;TodayDate,K135&lt;&gt;"Accepted",K135&lt;&gt;"Declined"),"Yes","No"))</f>
        <v>0</v>
      </c>
      <c r="AJ135" s="50">
        <f>IF(B135="","",IF(K135="Accepted","Yes",IF(K135="Declined","No","")))</f>
        <v>0</v>
      </c>
      <c r="AK135" s="39">
        <f>IF(B135="","",IF(K135="Accepted",IF(R135="","Action - accepted, book the job","OK - won"),IF(K135="Declined","Closed",IF(V135=0,"Add - no lines on this quote yet",IF(K135="Draft","Draft - not sent",IF(AI135="Yes","Expired - re-quote or close",IF(AND(AH135&lt;&gt;"",AH135&gt;=QuoteFollowupDays),"Chase - "&amp;AH135&amp;" days with no answer","OK")))))))</f>
        <v>0</v>
      </c>
    </row>
    <row r="136" spans="1:37">
      <c r="A136" s="43">
        <f>IF(B136="","",QuotePrefix&amp;TEXT(ROW()-4,"0000"))</f>
        <v>0</v>
      </c>
      <c r="C136" s="23">
        <f>IF(B136="","",TEXT(B136,"yyyy-mm"))</f>
        <v>0</v>
      </c>
      <c r="E136" s="23">
        <f>IF(D136&lt;&gt;"",IFERROR(INDEX(Clients!$B$5:$B$204,MATCH(D136,Clients!$A$5:$A$204,0)),F136),F136)</f>
        <v>0</v>
      </c>
      <c r="V136" s="31">
        <f>IF(A136="","",COUNTIFS('Quote Lines'!$B$5:$B$604,A136))</f>
        <v>0</v>
      </c>
      <c r="W136" s="34">
        <f>IF(A136="","",SUMIFS('Quote Lines'!$N$5:$N$604,'Quote Lines'!$B$5:$B$604,A136))</f>
        <v>0</v>
      </c>
      <c r="X136" s="21">
        <f>IF(A136="","",SUMIFS('Quote Lines'!$P$5:$P$604,'Quote Lines'!$B$5:$B$604,A136))</f>
        <v>0</v>
      </c>
      <c r="Y136" s="21">
        <f>IF(A136="","",ROUND(X136*IF(O136="",0,O136),2))</f>
        <v>0</v>
      </c>
      <c r="Z136" s="21">
        <f>IF(A136="","",X136-Y136)</f>
        <v>0</v>
      </c>
      <c r="AA136" s="21">
        <f>IF(A136="","",ROUND(Z136*TaxRate,2))</f>
        <v>0</v>
      </c>
      <c r="AB136" s="21">
        <f>IF(A136="","",Z136+AA136)</f>
        <v>0</v>
      </c>
      <c r="AC136" s="21">
        <f>IF(A136="","",IF(P136&lt;&gt;"",P136,ROUND(AB136*DepositPercent,2)))</f>
        <v>0</v>
      </c>
      <c r="AD136" s="21">
        <f>IF(A136="","",SUMIFS('Quote Lines'!$Q$5:$Q$604,'Quote Lines'!$B$5:$B$604,A136))</f>
        <v>0</v>
      </c>
      <c r="AE136" s="21">
        <f>IF(A136="","",Z136-AD136)</f>
        <v>0</v>
      </c>
      <c r="AF136" s="38">
        <f>IF(OR(A136="",Z136=0),"",AE136/Z136)</f>
        <v>0</v>
      </c>
      <c r="AG136" s="18">
        <f>IF(OR(A136="",B136=""),"",IF(Q136&lt;&gt;"",Q136,B136+QuoteValidDays))</f>
        <v>0</v>
      </c>
      <c r="AH136" s="31">
        <f>IF(OR(A136="",L136=""),"",IF(OR(K136="Accepted",K136="Declined"),"",TodayDate-L136))</f>
        <v>0</v>
      </c>
      <c r="AI136" s="50">
        <f>IF(OR(A136="",AG136=""),"",IF(AND(AG136&lt;TodayDate,K136&lt;&gt;"Accepted",K136&lt;&gt;"Declined"),"Yes","No"))</f>
        <v>0</v>
      </c>
      <c r="AJ136" s="50">
        <f>IF(B136="","",IF(K136="Accepted","Yes",IF(K136="Declined","No","")))</f>
        <v>0</v>
      </c>
      <c r="AK136" s="39">
        <f>IF(B136="","",IF(K136="Accepted",IF(R136="","Action - accepted, book the job","OK - won"),IF(K136="Declined","Closed",IF(V136=0,"Add - no lines on this quote yet",IF(K136="Draft","Draft - not sent",IF(AI136="Yes","Expired - re-quote or close",IF(AND(AH136&lt;&gt;"",AH136&gt;=QuoteFollowupDays),"Chase - "&amp;AH136&amp;" days with no answer","OK")))))))</f>
        <v>0</v>
      </c>
    </row>
    <row r="137" spans="1:37">
      <c r="A137" s="43">
        <f>IF(B137="","",QuotePrefix&amp;TEXT(ROW()-4,"0000"))</f>
        <v>0</v>
      </c>
      <c r="C137" s="23">
        <f>IF(B137="","",TEXT(B137,"yyyy-mm"))</f>
        <v>0</v>
      </c>
      <c r="E137" s="23">
        <f>IF(D137&lt;&gt;"",IFERROR(INDEX(Clients!$B$5:$B$204,MATCH(D137,Clients!$A$5:$A$204,0)),F137),F137)</f>
        <v>0</v>
      </c>
      <c r="V137" s="31">
        <f>IF(A137="","",COUNTIFS('Quote Lines'!$B$5:$B$604,A137))</f>
        <v>0</v>
      </c>
      <c r="W137" s="34">
        <f>IF(A137="","",SUMIFS('Quote Lines'!$N$5:$N$604,'Quote Lines'!$B$5:$B$604,A137))</f>
        <v>0</v>
      </c>
      <c r="X137" s="21">
        <f>IF(A137="","",SUMIFS('Quote Lines'!$P$5:$P$604,'Quote Lines'!$B$5:$B$604,A137))</f>
        <v>0</v>
      </c>
      <c r="Y137" s="21">
        <f>IF(A137="","",ROUND(X137*IF(O137="",0,O137),2))</f>
        <v>0</v>
      </c>
      <c r="Z137" s="21">
        <f>IF(A137="","",X137-Y137)</f>
        <v>0</v>
      </c>
      <c r="AA137" s="21">
        <f>IF(A137="","",ROUND(Z137*TaxRate,2))</f>
        <v>0</v>
      </c>
      <c r="AB137" s="21">
        <f>IF(A137="","",Z137+AA137)</f>
        <v>0</v>
      </c>
      <c r="AC137" s="21">
        <f>IF(A137="","",IF(P137&lt;&gt;"",P137,ROUND(AB137*DepositPercent,2)))</f>
        <v>0</v>
      </c>
      <c r="AD137" s="21">
        <f>IF(A137="","",SUMIFS('Quote Lines'!$Q$5:$Q$604,'Quote Lines'!$B$5:$B$604,A137))</f>
        <v>0</v>
      </c>
      <c r="AE137" s="21">
        <f>IF(A137="","",Z137-AD137)</f>
        <v>0</v>
      </c>
      <c r="AF137" s="38">
        <f>IF(OR(A137="",Z137=0),"",AE137/Z137)</f>
        <v>0</v>
      </c>
      <c r="AG137" s="18">
        <f>IF(OR(A137="",B137=""),"",IF(Q137&lt;&gt;"",Q137,B137+QuoteValidDays))</f>
        <v>0</v>
      </c>
      <c r="AH137" s="31">
        <f>IF(OR(A137="",L137=""),"",IF(OR(K137="Accepted",K137="Declined"),"",TodayDate-L137))</f>
        <v>0</v>
      </c>
      <c r="AI137" s="50">
        <f>IF(OR(A137="",AG137=""),"",IF(AND(AG137&lt;TodayDate,K137&lt;&gt;"Accepted",K137&lt;&gt;"Declined"),"Yes","No"))</f>
        <v>0</v>
      </c>
      <c r="AJ137" s="50">
        <f>IF(B137="","",IF(K137="Accepted","Yes",IF(K137="Declined","No","")))</f>
        <v>0</v>
      </c>
      <c r="AK137" s="39">
        <f>IF(B137="","",IF(K137="Accepted",IF(R137="","Action - accepted, book the job","OK - won"),IF(K137="Declined","Closed",IF(V137=0,"Add - no lines on this quote yet",IF(K137="Draft","Draft - not sent",IF(AI137="Yes","Expired - re-quote or close",IF(AND(AH137&lt;&gt;"",AH137&gt;=QuoteFollowupDays),"Chase - "&amp;AH137&amp;" days with no answer","OK")))))))</f>
        <v>0</v>
      </c>
    </row>
    <row r="138" spans="1:37">
      <c r="A138" s="43">
        <f>IF(B138="","",QuotePrefix&amp;TEXT(ROW()-4,"0000"))</f>
        <v>0</v>
      </c>
      <c r="C138" s="23">
        <f>IF(B138="","",TEXT(B138,"yyyy-mm"))</f>
        <v>0</v>
      </c>
      <c r="E138" s="23">
        <f>IF(D138&lt;&gt;"",IFERROR(INDEX(Clients!$B$5:$B$204,MATCH(D138,Clients!$A$5:$A$204,0)),F138),F138)</f>
        <v>0</v>
      </c>
      <c r="V138" s="31">
        <f>IF(A138="","",COUNTIFS('Quote Lines'!$B$5:$B$604,A138))</f>
        <v>0</v>
      </c>
      <c r="W138" s="34">
        <f>IF(A138="","",SUMIFS('Quote Lines'!$N$5:$N$604,'Quote Lines'!$B$5:$B$604,A138))</f>
        <v>0</v>
      </c>
      <c r="X138" s="21">
        <f>IF(A138="","",SUMIFS('Quote Lines'!$P$5:$P$604,'Quote Lines'!$B$5:$B$604,A138))</f>
        <v>0</v>
      </c>
      <c r="Y138" s="21">
        <f>IF(A138="","",ROUND(X138*IF(O138="",0,O138),2))</f>
        <v>0</v>
      </c>
      <c r="Z138" s="21">
        <f>IF(A138="","",X138-Y138)</f>
        <v>0</v>
      </c>
      <c r="AA138" s="21">
        <f>IF(A138="","",ROUND(Z138*TaxRate,2))</f>
        <v>0</v>
      </c>
      <c r="AB138" s="21">
        <f>IF(A138="","",Z138+AA138)</f>
        <v>0</v>
      </c>
      <c r="AC138" s="21">
        <f>IF(A138="","",IF(P138&lt;&gt;"",P138,ROUND(AB138*DepositPercent,2)))</f>
        <v>0</v>
      </c>
      <c r="AD138" s="21">
        <f>IF(A138="","",SUMIFS('Quote Lines'!$Q$5:$Q$604,'Quote Lines'!$B$5:$B$604,A138))</f>
        <v>0</v>
      </c>
      <c r="AE138" s="21">
        <f>IF(A138="","",Z138-AD138)</f>
        <v>0</v>
      </c>
      <c r="AF138" s="38">
        <f>IF(OR(A138="",Z138=0),"",AE138/Z138)</f>
        <v>0</v>
      </c>
      <c r="AG138" s="18">
        <f>IF(OR(A138="",B138=""),"",IF(Q138&lt;&gt;"",Q138,B138+QuoteValidDays))</f>
        <v>0</v>
      </c>
      <c r="AH138" s="31">
        <f>IF(OR(A138="",L138=""),"",IF(OR(K138="Accepted",K138="Declined"),"",TodayDate-L138))</f>
        <v>0</v>
      </c>
      <c r="AI138" s="50">
        <f>IF(OR(A138="",AG138=""),"",IF(AND(AG138&lt;TodayDate,K138&lt;&gt;"Accepted",K138&lt;&gt;"Declined"),"Yes","No"))</f>
        <v>0</v>
      </c>
      <c r="AJ138" s="50">
        <f>IF(B138="","",IF(K138="Accepted","Yes",IF(K138="Declined","No","")))</f>
        <v>0</v>
      </c>
      <c r="AK138" s="39">
        <f>IF(B138="","",IF(K138="Accepted",IF(R138="","Action - accepted, book the job","OK - won"),IF(K138="Declined","Closed",IF(V138=0,"Add - no lines on this quote yet",IF(K138="Draft","Draft - not sent",IF(AI138="Yes","Expired - re-quote or close",IF(AND(AH138&lt;&gt;"",AH138&gt;=QuoteFollowupDays),"Chase - "&amp;AH138&amp;" days with no answer","OK")))))))</f>
        <v>0</v>
      </c>
    </row>
    <row r="139" spans="1:37">
      <c r="A139" s="43">
        <f>IF(B139="","",QuotePrefix&amp;TEXT(ROW()-4,"0000"))</f>
        <v>0</v>
      </c>
      <c r="C139" s="23">
        <f>IF(B139="","",TEXT(B139,"yyyy-mm"))</f>
        <v>0</v>
      </c>
      <c r="E139" s="23">
        <f>IF(D139&lt;&gt;"",IFERROR(INDEX(Clients!$B$5:$B$204,MATCH(D139,Clients!$A$5:$A$204,0)),F139),F139)</f>
        <v>0</v>
      </c>
      <c r="V139" s="31">
        <f>IF(A139="","",COUNTIFS('Quote Lines'!$B$5:$B$604,A139))</f>
        <v>0</v>
      </c>
      <c r="W139" s="34">
        <f>IF(A139="","",SUMIFS('Quote Lines'!$N$5:$N$604,'Quote Lines'!$B$5:$B$604,A139))</f>
        <v>0</v>
      </c>
      <c r="X139" s="21">
        <f>IF(A139="","",SUMIFS('Quote Lines'!$P$5:$P$604,'Quote Lines'!$B$5:$B$604,A139))</f>
        <v>0</v>
      </c>
      <c r="Y139" s="21">
        <f>IF(A139="","",ROUND(X139*IF(O139="",0,O139),2))</f>
        <v>0</v>
      </c>
      <c r="Z139" s="21">
        <f>IF(A139="","",X139-Y139)</f>
        <v>0</v>
      </c>
      <c r="AA139" s="21">
        <f>IF(A139="","",ROUND(Z139*TaxRate,2))</f>
        <v>0</v>
      </c>
      <c r="AB139" s="21">
        <f>IF(A139="","",Z139+AA139)</f>
        <v>0</v>
      </c>
      <c r="AC139" s="21">
        <f>IF(A139="","",IF(P139&lt;&gt;"",P139,ROUND(AB139*DepositPercent,2)))</f>
        <v>0</v>
      </c>
      <c r="AD139" s="21">
        <f>IF(A139="","",SUMIFS('Quote Lines'!$Q$5:$Q$604,'Quote Lines'!$B$5:$B$604,A139))</f>
        <v>0</v>
      </c>
      <c r="AE139" s="21">
        <f>IF(A139="","",Z139-AD139)</f>
        <v>0</v>
      </c>
      <c r="AF139" s="38">
        <f>IF(OR(A139="",Z139=0),"",AE139/Z139)</f>
        <v>0</v>
      </c>
      <c r="AG139" s="18">
        <f>IF(OR(A139="",B139=""),"",IF(Q139&lt;&gt;"",Q139,B139+QuoteValidDays))</f>
        <v>0</v>
      </c>
      <c r="AH139" s="31">
        <f>IF(OR(A139="",L139=""),"",IF(OR(K139="Accepted",K139="Declined"),"",TodayDate-L139))</f>
        <v>0</v>
      </c>
      <c r="AI139" s="50">
        <f>IF(OR(A139="",AG139=""),"",IF(AND(AG139&lt;TodayDate,K139&lt;&gt;"Accepted",K139&lt;&gt;"Declined"),"Yes","No"))</f>
        <v>0</v>
      </c>
      <c r="AJ139" s="50">
        <f>IF(B139="","",IF(K139="Accepted","Yes",IF(K139="Declined","No","")))</f>
        <v>0</v>
      </c>
      <c r="AK139" s="39">
        <f>IF(B139="","",IF(K139="Accepted",IF(R139="","Action - accepted, book the job","OK - won"),IF(K139="Declined","Closed",IF(V139=0,"Add - no lines on this quote yet",IF(K139="Draft","Draft - not sent",IF(AI139="Yes","Expired - re-quote or close",IF(AND(AH139&lt;&gt;"",AH139&gt;=QuoteFollowupDays),"Chase - "&amp;AH139&amp;" days with no answer","OK")))))))</f>
        <v>0</v>
      </c>
    </row>
    <row r="140" spans="1:37">
      <c r="A140" s="43">
        <f>IF(B140="","",QuotePrefix&amp;TEXT(ROW()-4,"0000"))</f>
        <v>0</v>
      </c>
      <c r="C140" s="23">
        <f>IF(B140="","",TEXT(B140,"yyyy-mm"))</f>
        <v>0</v>
      </c>
      <c r="E140" s="23">
        <f>IF(D140&lt;&gt;"",IFERROR(INDEX(Clients!$B$5:$B$204,MATCH(D140,Clients!$A$5:$A$204,0)),F140),F140)</f>
        <v>0</v>
      </c>
      <c r="V140" s="31">
        <f>IF(A140="","",COUNTIFS('Quote Lines'!$B$5:$B$604,A140))</f>
        <v>0</v>
      </c>
      <c r="W140" s="34">
        <f>IF(A140="","",SUMIFS('Quote Lines'!$N$5:$N$604,'Quote Lines'!$B$5:$B$604,A140))</f>
        <v>0</v>
      </c>
      <c r="X140" s="21">
        <f>IF(A140="","",SUMIFS('Quote Lines'!$P$5:$P$604,'Quote Lines'!$B$5:$B$604,A140))</f>
        <v>0</v>
      </c>
      <c r="Y140" s="21">
        <f>IF(A140="","",ROUND(X140*IF(O140="",0,O140),2))</f>
        <v>0</v>
      </c>
      <c r="Z140" s="21">
        <f>IF(A140="","",X140-Y140)</f>
        <v>0</v>
      </c>
      <c r="AA140" s="21">
        <f>IF(A140="","",ROUND(Z140*TaxRate,2))</f>
        <v>0</v>
      </c>
      <c r="AB140" s="21">
        <f>IF(A140="","",Z140+AA140)</f>
        <v>0</v>
      </c>
      <c r="AC140" s="21">
        <f>IF(A140="","",IF(P140&lt;&gt;"",P140,ROUND(AB140*DepositPercent,2)))</f>
        <v>0</v>
      </c>
      <c r="AD140" s="21">
        <f>IF(A140="","",SUMIFS('Quote Lines'!$Q$5:$Q$604,'Quote Lines'!$B$5:$B$604,A140))</f>
        <v>0</v>
      </c>
      <c r="AE140" s="21">
        <f>IF(A140="","",Z140-AD140)</f>
        <v>0</v>
      </c>
      <c r="AF140" s="38">
        <f>IF(OR(A140="",Z140=0),"",AE140/Z140)</f>
        <v>0</v>
      </c>
      <c r="AG140" s="18">
        <f>IF(OR(A140="",B140=""),"",IF(Q140&lt;&gt;"",Q140,B140+QuoteValidDays))</f>
        <v>0</v>
      </c>
      <c r="AH140" s="31">
        <f>IF(OR(A140="",L140=""),"",IF(OR(K140="Accepted",K140="Declined"),"",TodayDate-L140))</f>
        <v>0</v>
      </c>
      <c r="AI140" s="50">
        <f>IF(OR(A140="",AG140=""),"",IF(AND(AG140&lt;TodayDate,K140&lt;&gt;"Accepted",K140&lt;&gt;"Declined"),"Yes","No"))</f>
        <v>0</v>
      </c>
      <c r="AJ140" s="50">
        <f>IF(B140="","",IF(K140="Accepted","Yes",IF(K140="Declined","No","")))</f>
        <v>0</v>
      </c>
      <c r="AK140" s="39">
        <f>IF(B140="","",IF(K140="Accepted",IF(R140="","Action - accepted, book the job","OK - won"),IF(K140="Declined","Closed",IF(V140=0,"Add - no lines on this quote yet",IF(K140="Draft","Draft - not sent",IF(AI140="Yes","Expired - re-quote or close",IF(AND(AH140&lt;&gt;"",AH140&gt;=QuoteFollowupDays),"Chase - "&amp;AH140&amp;" days with no answer","OK")))))))</f>
        <v>0</v>
      </c>
    </row>
    <row r="141" spans="1:37">
      <c r="A141" s="43">
        <f>IF(B141="","",QuotePrefix&amp;TEXT(ROW()-4,"0000"))</f>
        <v>0</v>
      </c>
      <c r="C141" s="23">
        <f>IF(B141="","",TEXT(B141,"yyyy-mm"))</f>
        <v>0</v>
      </c>
      <c r="E141" s="23">
        <f>IF(D141&lt;&gt;"",IFERROR(INDEX(Clients!$B$5:$B$204,MATCH(D141,Clients!$A$5:$A$204,0)),F141),F141)</f>
        <v>0</v>
      </c>
      <c r="V141" s="31">
        <f>IF(A141="","",COUNTIFS('Quote Lines'!$B$5:$B$604,A141))</f>
        <v>0</v>
      </c>
      <c r="W141" s="34">
        <f>IF(A141="","",SUMIFS('Quote Lines'!$N$5:$N$604,'Quote Lines'!$B$5:$B$604,A141))</f>
        <v>0</v>
      </c>
      <c r="X141" s="21">
        <f>IF(A141="","",SUMIFS('Quote Lines'!$P$5:$P$604,'Quote Lines'!$B$5:$B$604,A141))</f>
        <v>0</v>
      </c>
      <c r="Y141" s="21">
        <f>IF(A141="","",ROUND(X141*IF(O141="",0,O141),2))</f>
        <v>0</v>
      </c>
      <c r="Z141" s="21">
        <f>IF(A141="","",X141-Y141)</f>
        <v>0</v>
      </c>
      <c r="AA141" s="21">
        <f>IF(A141="","",ROUND(Z141*TaxRate,2))</f>
        <v>0</v>
      </c>
      <c r="AB141" s="21">
        <f>IF(A141="","",Z141+AA141)</f>
        <v>0</v>
      </c>
      <c r="AC141" s="21">
        <f>IF(A141="","",IF(P141&lt;&gt;"",P141,ROUND(AB141*DepositPercent,2)))</f>
        <v>0</v>
      </c>
      <c r="AD141" s="21">
        <f>IF(A141="","",SUMIFS('Quote Lines'!$Q$5:$Q$604,'Quote Lines'!$B$5:$B$604,A141))</f>
        <v>0</v>
      </c>
      <c r="AE141" s="21">
        <f>IF(A141="","",Z141-AD141)</f>
        <v>0</v>
      </c>
      <c r="AF141" s="38">
        <f>IF(OR(A141="",Z141=0),"",AE141/Z141)</f>
        <v>0</v>
      </c>
      <c r="AG141" s="18">
        <f>IF(OR(A141="",B141=""),"",IF(Q141&lt;&gt;"",Q141,B141+QuoteValidDays))</f>
        <v>0</v>
      </c>
      <c r="AH141" s="31">
        <f>IF(OR(A141="",L141=""),"",IF(OR(K141="Accepted",K141="Declined"),"",TodayDate-L141))</f>
        <v>0</v>
      </c>
      <c r="AI141" s="50">
        <f>IF(OR(A141="",AG141=""),"",IF(AND(AG141&lt;TodayDate,K141&lt;&gt;"Accepted",K141&lt;&gt;"Declined"),"Yes","No"))</f>
        <v>0</v>
      </c>
      <c r="AJ141" s="50">
        <f>IF(B141="","",IF(K141="Accepted","Yes",IF(K141="Declined","No","")))</f>
        <v>0</v>
      </c>
      <c r="AK141" s="39">
        <f>IF(B141="","",IF(K141="Accepted",IF(R141="","Action - accepted, book the job","OK - won"),IF(K141="Declined","Closed",IF(V141=0,"Add - no lines on this quote yet",IF(K141="Draft","Draft - not sent",IF(AI141="Yes","Expired - re-quote or close",IF(AND(AH141&lt;&gt;"",AH141&gt;=QuoteFollowupDays),"Chase - "&amp;AH141&amp;" days with no answer","OK")))))))</f>
        <v>0</v>
      </c>
    </row>
    <row r="142" spans="1:37">
      <c r="A142" s="43">
        <f>IF(B142="","",QuotePrefix&amp;TEXT(ROW()-4,"0000"))</f>
        <v>0</v>
      </c>
      <c r="C142" s="23">
        <f>IF(B142="","",TEXT(B142,"yyyy-mm"))</f>
        <v>0</v>
      </c>
      <c r="E142" s="23">
        <f>IF(D142&lt;&gt;"",IFERROR(INDEX(Clients!$B$5:$B$204,MATCH(D142,Clients!$A$5:$A$204,0)),F142),F142)</f>
        <v>0</v>
      </c>
      <c r="V142" s="31">
        <f>IF(A142="","",COUNTIFS('Quote Lines'!$B$5:$B$604,A142))</f>
        <v>0</v>
      </c>
      <c r="W142" s="34">
        <f>IF(A142="","",SUMIFS('Quote Lines'!$N$5:$N$604,'Quote Lines'!$B$5:$B$604,A142))</f>
        <v>0</v>
      </c>
      <c r="X142" s="21">
        <f>IF(A142="","",SUMIFS('Quote Lines'!$P$5:$P$604,'Quote Lines'!$B$5:$B$604,A142))</f>
        <v>0</v>
      </c>
      <c r="Y142" s="21">
        <f>IF(A142="","",ROUND(X142*IF(O142="",0,O142),2))</f>
        <v>0</v>
      </c>
      <c r="Z142" s="21">
        <f>IF(A142="","",X142-Y142)</f>
        <v>0</v>
      </c>
      <c r="AA142" s="21">
        <f>IF(A142="","",ROUND(Z142*TaxRate,2))</f>
        <v>0</v>
      </c>
      <c r="AB142" s="21">
        <f>IF(A142="","",Z142+AA142)</f>
        <v>0</v>
      </c>
      <c r="AC142" s="21">
        <f>IF(A142="","",IF(P142&lt;&gt;"",P142,ROUND(AB142*DepositPercent,2)))</f>
        <v>0</v>
      </c>
      <c r="AD142" s="21">
        <f>IF(A142="","",SUMIFS('Quote Lines'!$Q$5:$Q$604,'Quote Lines'!$B$5:$B$604,A142))</f>
        <v>0</v>
      </c>
      <c r="AE142" s="21">
        <f>IF(A142="","",Z142-AD142)</f>
        <v>0</v>
      </c>
      <c r="AF142" s="38">
        <f>IF(OR(A142="",Z142=0),"",AE142/Z142)</f>
        <v>0</v>
      </c>
      <c r="AG142" s="18">
        <f>IF(OR(A142="",B142=""),"",IF(Q142&lt;&gt;"",Q142,B142+QuoteValidDays))</f>
        <v>0</v>
      </c>
      <c r="AH142" s="31">
        <f>IF(OR(A142="",L142=""),"",IF(OR(K142="Accepted",K142="Declined"),"",TodayDate-L142))</f>
        <v>0</v>
      </c>
      <c r="AI142" s="50">
        <f>IF(OR(A142="",AG142=""),"",IF(AND(AG142&lt;TodayDate,K142&lt;&gt;"Accepted",K142&lt;&gt;"Declined"),"Yes","No"))</f>
        <v>0</v>
      </c>
      <c r="AJ142" s="50">
        <f>IF(B142="","",IF(K142="Accepted","Yes",IF(K142="Declined","No","")))</f>
        <v>0</v>
      </c>
      <c r="AK142" s="39">
        <f>IF(B142="","",IF(K142="Accepted",IF(R142="","Action - accepted, book the job","OK - won"),IF(K142="Declined","Closed",IF(V142=0,"Add - no lines on this quote yet",IF(K142="Draft","Draft - not sent",IF(AI142="Yes","Expired - re-quote or close",IF(AND(AH142&lt;&gt;"",AH142&gt;=QuoteFollowupDays),"Chase - "&amp;AH142&amp;" days with no answer","OK")))))))</f>
        <v>0</v>
      </c>
    </row>
    <row r="143" spans="1:37">
      <c r="A143" s="43">
        <f>IF(B143="","",QuotePrefix&amp;TEXT(ROW()-4,"0000"))</f>
        <v>0</v>
      </c>
      <c r="C143" s="23">
        <f>IF(B143="","",TEXT(B143,"yyyy-mm"))</f>
        <v>0</v>
      </c>
      <c r="E143" s="23">
        <f>IF(D143&lt;&gt;"",IFERROR(INDEX(Clients!$B$5:$B$204,MATCH(D143,Clients!$A$5:$A$204,0)),F143),F143)</f>
        <v>0</v>
      </c>
      <c r="V143" s="31">
        <f>IF(A143="","",COUNTIFS('Quote Lines'!$B$5:$B$604,A143))</f>
        <v>0</v>
      </c>
      <c r="W143" s="34">
        <f>IF(A143="","",SUMIFS('Quote Lines'!$N$5:$N$604,'Quote Lines'!$B$5:$B$604,A143))</f>
        <v>0</v>
      </c>
      <c r="X143" s="21">
        <f>IF(A143="","",SUMIFS('Quote Lines'!$P$5:$P$604,'Quote Lines'!$B$5:$B$604,A143))</f>
        <v>0</v>
      </c>
      <c r="Y143" s="21">
        <f>IF(A143="","",ROUND(X143*IF(O143="",0,O143),2))</f>
        <v>0</v>
      </c>
      <c r="Z143" s="21">
        <f>IF(A143="","",X143-Y143)</f>
        <v>0</v>
      </c>
      <c r="AA143" s="21">
        <f>IF(A143="","",ROUND(Z143*TaxRate,2))</f>
        <v>0</v>
      </c>
      <c r="AB143" s="21">
        <f>IF(A143="","",Z143+AA143)</f>
        <v>0</v>
      </c>
      <c r="AC143" s="21">
        <f>IF(A143="","",IF(P143&lt;&gt;"",P143,ROUND(AB143*DepositPercent,2)))</f>
        <v>0</v>
      </c>
      <c r="AD143" s="21">
        <f>IF(A143="","",SUMIFS('Quote Lines'!$Q$5:$Q$604,'Quote Lines'!$B$5:$B$604,A143))</f>
        <v>0</v>
      </c>
      <c r="AE143" s="21">
        <f>IF(A143="","",Z143-AD143)</f>
        <v>0</v>
      </c>
      <c r="AF143" s="38">
        <f>IF(OR(A143="",Z143=0),"",AE143/Z143)</f>
        <v>0</v>
      </c>
      <c r="AG143" s="18">
        <f>IF(OR(A143="",B143=""),"",IF(Q143&lt;&gt;"",Q143,B143+QuoteValidDays))</f>
        <v>0</v>
      </c>
      <c r="AH143" s="31">
        <f>IF(OR(A143="",L143=""),"",IF(OR(K143="Accepted",K143="Declined"),"",TodayDate-L143))</f>
        <v>0</v>
      </c>
      <c r="AI143" s="50">
        <f>IF(OR(A143="",AG143=""),"",IF(AND(AG143&lt;TodayDate,K143&lt;&gt;"Accepted",K143&lt;&gt;"Declined"),"Yes","No"))</f>
        <v>0</v>
      </c>
      <c r="AJ143" s="50">
        <f>IF(B143="","",IF(K143="Accepted","Yes",IF(K143="Declined","No","")))</f>
        <v>0</v>
      </c>
      <c r="AK143" s="39">
        <f>IF(B143="","",IF(K143="Accepted",IF(R143="","Action - accepted, book the job","OK - won"),IF(K143="Declined","Closed",IF(V143=0,"Add - no lines on this quote yet",IF(K143="Draft","Draft - not sent",IF(AI143="Yes","Expired - re-quote or close",IF(AND(AH143&lt;&gt;"",AH143&gt;=QuoteFollowupDays),"Chase - "&amp;AH143&amp;" days with no answer","OK")))))))</f>
        <v>0</v>
      </c>
    </row>
    <row r="144" spans="1:37">
      <c r="A144" s="43">
        <f>IF(B144="","",QuotePrefix&amp;TEXT(ROW()-4,"0000"))</f>
        <v>0</v>
      </c>
      <c r="C144" s="23">
        <f>IF(B144="","",TEXT(B144,"yyyy-mm"))</f>
        <v>0</v>
      </c>
      <c r="E144" s="23">
        <f>IF(D144&lt;&gt;"",IFERROR(INDEX(Clients!$B$5:$B$204,MATCH(D144,Clients!$A$5:$A$204,0)),F144),F144)</f>
        <v>0</v>
      </c>
      <c r="V144" s="31">
        <f>IF(A144="","",COUNTIFS('Quote Lines'!$B$5:$B$604,A144))</f>
        <v>0</v>
      </c>
      <c r="W144" s="34">
        <f>IF(A144="","",SUMIFS('Quote Lines'!$N$5:$N$604,'Quote Lines'!$B$5:$B$604,A144))</f>
        <v>0</v>
      </c>
      <c r="X144" s="21">
        <f>IF(A144="","",SUMIFS('Quote Lines'!$P$5:$P$604,'Quote Lines'!$B$5:$B$604,A144))</f>
        <v>0</v>
      </c>
      <c r="Y144" s="21">
        <f>IF(A144="","",ROUND(X144*IF(O144="",0,O144),2))</f>
        <v>0</v>
      </c>
      <c r="Z144" s="21">
        <f>IF(A144="","",X144-Y144)</f>
        <v>0</v>
      </c>
      <c r="AA144" s="21">
        <f>IF(A144="","",ROUND(Z144*TaxRate,2))</f>
        <v>0</v>
      </c>
      <c r="AB144" s="21">
        <f>IF(A144="","",Z144+AA144)</f>
        <v>0</v>
      </c>
      <c r="AC144" s="21">
        <f>IF(A144="","",IF(P144&lt;&gt;"",P144,ROUND(AB144*DepositPercent,2)))</f>
        <v>0</v>
      </c>
      <c r="AD144" s="21">
        <f>IF(A144="","",SUMIFS('Quote Lines'!$Q$5:$Q$604,'Quote Lines'!$B$5:$B$604,A144))</f>
        <v>0</v>
      </c>
      <c r="AE144" s="21">
        <f>IF(A144="","",Z144-AD144)</f>
        <v>0</v>
      </c>
      <c r="AF144" s="38">
        <f>IF(OR(A144="",Z144=0),"",AE144/Z144)</f>
        <v>0</v>
      </c>
      <c r="AG144" s="18">
        <f>IF(OR(A144="",B144=""),"",IF(Q144&lt;&gt;"",Q144,B144+QuoteValidDays))</f>
        <v>0</v>
      </c>
      <c r="AH144" s="31">
        <f>IF(OR(A144="",L144=""),"",IF(OR(K144="Accepted",K144="Declined"),"",TodayDate-L144))</f>
        <v>0</v>
      </c>
      <c r="AI144" s="50">
        <f>IF(OR(A144="",AG144=""),"",IF(AND(AG144&lt;TodayDate,K144&lt;&gt;"Accepted",K144&lt;&gt;"Declined"),"Yes","No"))</f>
        <v>0</v>
      </c>
      <c r="AJ144" s="50">
        <f>IF(B144="","",IF(K144="Accepted","Yes",IF(K144="Declined","No","")))</f>
        <v>0</v>
      </c>
      <c r="AK144" s="39">
        <f>IF(B144="","",IF(K144="Accepted",IF(R144="","Action - accepted, book the job","OK - won"),IF(K144="Declined","Closed",IF(V144=0,"Add - no lines on this quote yet",IF(K144="Draft","Draft - not sent",IF(AI144="Yes","Expired - re-quote or close",IF(AND(AH144&lt;&gt;"",AH144&gt;=QuoteFollowupDays),"Chase - "&amp;AH144&amp;" days with no answer","OK")))))))</f>
        <v>0</v>
      </c>
    </row>
    <row r="145" spans="1:37">
      <c r="A145" s="43">
        <f>IF(B145="","",QuotePrefix&amp;TEXT(ROW()-4,"0000"))</f>
        <v>0</v>
      </c>
      <c r="C145" s="23">
        <f>IF(B145="","",TEXT(B145,"yyyy-mm"))</f>
        <v>0</v>
      </c>
      <c r="E145" s="23">
        <f>IF(D145&lt;&gt;"",IFERROR(INDEX(Clients!$B$5:$B$204,MATCH(D145,Clients!$A$5:$A$204,0)),F145),F145)</f>
        <v>0</v>
      </c>
      <c r="V145" s="31">
        <f>IF(A145="","",COUNTIFS('Quote Lines'!$B$5:$B$604,A145))</f>
        <v>0</v>
      </c>
      <c r="W145" s="34">
        <f>IF(A145="","",SUMIFS('Quote Lines'!$N$5:$N$604,'Quote Lines'!$B$5:$B$604,A145))</f>
        <v>0</v>
      </c>
      <c r="X145" s="21">
        <f>IF(A145="","",SUMIFS('Quote Lines'!$P$5:$P$604,'Quote Lines'!$B$5:$B$604,A145))</f>
        <v>0</v>
      </c>
      <c r="Y145" s="21">
        <f>IF(A145="","",ROUND(X145*IF(O145="",0,O145),2))</f>
        <v>0</v>
      </c>
      <c r="Z145" s="21">
        <f>IF(A145="","",X145-Y145)</f>
        <v>0</v>
      </c>
      <c r="AA145" s="21">
        <f>IF(A145="","",ROUND(Z145*TaxRate,2))</f>
        <v>0</v>
      </c>
      <c r="AB145" s="21">
        <f>IF(A145="","",Z145+AA145)</f>
        <v>0</v>
      </c>
      <c r="AC145" s="21">
        <f>IF(A145="","",IF(P145&lt;&gt;"",P145,ROUND(AB145*DepositPercent,2)))</f>
        <v>0</v>
      </c>
      <c r="AD145" s="21">
        <f>IF(A145="","",SUMIFS('Quote Lines'!$Q$5:$Q$604,'Quote Lines'!$B$5:$B$604,A145))</f>
        <v>0</v>
      </c>
      <c r="AE145" s="21">
        <f>IF(A145="","",Z145-AD145)</f>
        <v>0</v>
      </c>
      <c r="AF145" s="38">
        <f>IF(OR(A145="",Z145=0),"",AE145/Z145)</f>
        <v>0</v>
      </c>
      <c r="AG145" s="18">
        <f>IF(OR(A145="",B145=""),"",IF(Q145&lt;&gt;"",Q145,B145+QuoteValidDays))</f>
        <v>0</v>
      </c>
      <c r="AH145" s="31">
        <f>IF(OR(A145="",L145=""),"",IF(OR(K145="Accepted",K145="Declined"),"",TodayDate-L145))</f>
        <v>0</v>
      </c>
      <c r="AI145" s="50">
        <f>IF(OR(A145="",AG145=""),"",IF(AND(AG145&lt;TodayDate,K145&lt;&gt;"Accepted",K145&lt;&gt;"Declined"),"Yes","No"))</f>
        <v>0</v>
      </c>
      <c r="AJ145" s="50">
        <f>IF(B145="","",IF(K145="Accepted","Yes",IF(K145="Declined","No","")))</f>
        <v>0</v>
      </c>
      <c r="AK145" s="39">
        <f>IF(B145="","",IF(K145="Accepted",IF(R145="","Action - accepted, book the job","OK - won"),IF(K145="Declined","Closed",IF(V145=0,"Add - no lines on this quote yet",IF(K145="Draft","Draft - not sent",IF(AI145="Yes","Expired - re-quote or close",IF(AND(AH145&lt;&gt;"",AH145&gt;=QuoteFollowupDays),"Chase - "&amp;AH145&amp;" days with no answer","OK")))))))</f>
        <v>0</v>
      </c>
    </row>
    <row r="146" spans="1:37">
      <c r="A146" s="43">
        <f>IF(B146="","",QuotePrefix&amp;TEXT(ROW()-4,"0000"))</f>
        <v>0</v>
      </c>
      <c r="C146" s="23">
        <f>IF(B146="","",TEXT(B146,"yyyy-mm"))</f>
        <v>0</v>
      </c>
      <c r="E146" s="23">
        <f>IF(D146&lt;&gt;"",IFERROR(INDEX(Clients!$B$5:$B$204,MATCH(D146,Clients!$A$5:$A$204,0)),F146),F146)</f>
        <v>0</v>
      </c>
      <c r="V146" s="31">
        <f>IF(A146="","",COUNTIFS('Quote Lines'!$B$5:$B$604,A146))</f>
        <v>0</v>
      </c>
      <c r="W146" s="34">
        <f>IF(A146="","",SUMIFS('Quote Lines'!$N$5:$N$604,'Quote Lines'!$B$5:$B$604,A146))</f>
        <v>0</v>
      </c>
      <c r="X146" s="21">
        <f>IF(A146="","",SUMIFS('Quote Lines'!$P$5:$P$604,'Quote Lines'!$B$5:$B$604,A146))</f>
        <v>0</v>
      </c>
      <c r="Y146" s="21">
        <f>IF(A146="","",ROUND(X146*IF(O146="",0,O146),2))</f>
        <v>0</v>
      </c>
      <c r="Z146" s="21">
        <f>IF(A146="","",X146-Y146)</f>
        <v>0</v>
      </c>
      <c r="AA146" s="21">
        <f>IF(A146="","",ROUND(Z146*TaxRate,2))</f>
        <v>0</v>
      </c>
      <c r="AB146" s="21">
        <f>IF(A146="","",Z146+AA146)</f>
        <v>0</v>
      </c>
      <c r="AC146" s="21">
        <f>IF(A146="","",IF(P146&lt;&gt;"",P146,ROUND(AB146*DepositPercent,2)))</f>
        <v>0</v>
      </c>
      <c r="AD146" s="21">
        <f>IF(A146="","",SUMIFS('Quote Lines'!$Q$5:$Q$604,'Quote Lines'!$B$5:$B$604,A146))</f>
        <v>0</v>
      </c>
      <c r="AE146" s="21">
        <f>IF(A146="","",Z146-AD146)</f>
        <v>0</v>
      </c>
      <c r="AF146" s="38">
        <f>IF(OR(A146="",Z146=0),"",AE146/Z146)</f>
        <v>0</v>
      </c>
      <c r="AG146" s="18">
        <f>IF(OR(A146="",B146=""),"",IF(Q146&lt;&gt;"",Q146,B146+QuoteValidDays))</f>
        <v>0</v>
      </c>
      <c r="AH146" s="31">
        <f>IF(OR(A146="",L146=""),"",IF(OR(K146="Accepted",K146="Declined"),"",TodayDate-L146))</f>
        <v>0</v>
      </c>
      <c r="AI146" s="50">
        <f>IF(OR(A146="",AG146=""),"",IF(AND(AG146&lt;TodayDate,K146&lt;&gt;"Accepted",K146&lt;&gt;"Declined"),"Yes","No"))</f>
        <v>0</v>
      </c>
      <c r="AJ146" s="50">
        <f>IF(B146="","",IF(K146="Accepted","Yes",IF(K146="Declined","No","")))</f>
        <v>0</v>
      </c>
      <c r="AK146" s="39">
        <f>IF(B146="","",IF(K146="Accepted",IF(R146="","Action - accepted, book the job","OK - won"),IF(K146="Declined","Closed",IF(V146=0,"Add - no lines on this quote yet",IF(K146="Draft","Draft - not sent",IF(AI146="Yes","Expired - re-quote or close",IF(AND(AH146&lt;&gt;"",AH146&gt;=QuoteFollowupDays),"Chase - "&amp;AH146&amp;" days with no answer","OK")))))))</f>
        <v>0</v>
      </c>
    </row>
    <row r="147" spans="1:37">
      <c r="A147" s="43">
        <f>IF(B147="","",QuotePrefix&amp;TEXT(ROW()-4,"0000"))</f>
        <v>0</v>
      </c>
      <c r="C147" s="23">
        <f>IF(B147="","",TEXT(B147,"yyyy-mm"))</f>
        <v>0</v>
      </c>
      <c r="E147" s="23">
        <f>IF(D147&lt;&gt;"",IFERROR(INDEX(Clients!$B$5:$B$204,MATCH(D147,Clients!$A$5:$A$204,0)),F147),F147)</f>
        <v>0</v>
      </c>
      <c r="V147" s="31">
        <f>IF(A147="","",COUNTIFS('Quote Lines'!$B$5:$B$604,A147))</f>
        <v>0</v>
      </c>
      <c r="W147" s="34">
        <f>IF(A147="","",SUMIFS('Quote Lines'!$N$5:$N$604,'Quote Lines'!$B$5:$B$604,A147))</f>
        <v>0</v>
      </c>
      <c r="X147" s="21">
        <f>IF(A147="","",SUMIFS('Quote Lines'!$P$5:$P$604,'Quote Lines'!$B$5:$B$604,A147))</f>
        <v>0</v>
      </c>
      <c r="Y147" s="21">
        <f>IF(A147="","",ROUND(X147*IF(O147="",0,O147),2))</f>
        <v>0</v>
      </c>
      <c r="Z147" s="21">
        <f>IF(A147="","",X147-Y147)</f>
        <v>0</v>
      </c>
      <c r="AA147" s="21">
        <f>IF(A147="","",ROUND(Z147*TaxRate,2))</f>
        <v>0</v>
      </c>
      <c r="AB147" s="21">
        <f>IF(A147="","",Z147+AA147)</f>
        <v>0</v>
      </c>
      <c r="AC147" s="21">
        <f>IF(A147="","",IF(P147&lt;&gt;"",P147,ROUND(AB147*DepositPercent,2)))</f>
        <v>0</v>
      </c>
      <c r="AD147" s="21">
        <f>IF(A147="","",SUMIFS('Quote Lines'!$Q$5:$Q$604,'Quote Lines'!$B$5:$B$604,A147))</f>
        <v>0</v>
      </c>
      <c r="AE147" s="21">
        <f>IF(A147="","",Z147-AD147)</f>
        <v>0</v>
      </c>
      <c r="AF147" s="38">
        <f>IF(OR(A147="",Z147=0),"",AE147/Z147)</f>
        <v>0</v>
      </c>
      <c r="AG147" s="18">
        <f>IF(OR(A147="",B147=""),"",IF(Q147&lt;&gt;"",Q147,B147+QuoteValidDays))</f>
        <v>0</v>
      </c>
      <c r="AH147" s="31">
        <f>IF(OR(A147="",L147=""),"",IF(OR(K147="Accepted",K147="Declined"),"",TodayDate-L147))</f>
        <v>0</v>
      </c>
      <c r="AI147" s="50">
        <f>IF(OR(A147="",AG147=""),"",IF(AND(AG147&lt;TodayDate,K147&lt;&gt;"Accepted",K147&lt;&gt;"Declined"),"Yes","No"))</f>
        <v>0</v>
      </c>
      <c r="AJ147" s="50">
        <f>IF(B147="","",IF(K147="Accepted","Yes",IF(K147="Declined","No","")))</f>
        <v>0</v>
      </c>
      <c r="AK147" s="39">
        <f>IF(B147="","",IF(K147="Accepted",IF(R147="","Action - accepted, book the job","OK - won"),IF(K147="Declined","Closed",IF(V147=0,"Add - no lines on this quote yet",IF(K147="Draft","Draft - not sent",IF(AI147="Yes","Expired - re-quote or close",IF(AND(AH147&lt;&gt;"",AH147&gt;=QuoteFollowupDays),"Chase - "&amp;AH147&amp;" days with no answer","OK")))))))</f>
        <v>0</v>
      </c>
    </row>
    <row r="148" spans="1:37">
      <c r="A148" s="43">
        <f>IF(B148="","",QuotePrefix&amp;TEXT(ROW()-4,"0000"))</f>
        <v>0</v>
      </c>
      <c r="C148" s="23">
        <f>IF(B148="","",TEXT(B148,"yyyy-mm"))</f>
        <v>0</v>
      </c>
      <c r="E148" s="23">
        <f>IF(D148&lt;&gt;"",IFERROR(INDEX(Clients!$B$5:$B$204,MATCH(D148,Clients!$A$5:$A$204,0)),F148),F148)</f>
        <v>0</v>
      </c>
      <c r="V148" s="31">
        <f>IF(A148="","",COUNTIFS('Quote Lines'!$B$5:$B$604,A148))</f>
        <v>0</v>
      </c>
      <c r="W148" s="34">
        <f>IF(A148="","",SUMIFS('Quote Lines'!$N$5:$N$604,'Quote Lines'!$B$5:$B$604,A148))</f>
        <v>0</v>
      </c>
      <c r="X148" s="21">
        <f>IF(A148="","",SUMIFS('Quote Lines'!$P$5:$P$604,'Quote Lines'!$B$5:$B$604,A148))</f>
        <v>0</v>
      </c>
      <c r="Y148" s="21">
        <f>IF(A148="","",ROUND(X148*IF(O148="",0,O148),2))</f>
        <v>0</v>
      </c>
      <c r="Z148" s="21">
        <f>IF(A148="","",X148-Y148)</f>
        <v>0</v>
      </c>
      <c r="AA148" s="21">
        <f>IF(A148="","",ROUND(Z148*TaxRate,2))</f>
        <v>0</v>
      </c>
      <c r="AB148" s="21">
        <f>IF(A148="","",Z148+AA148)</f>
        <v>0</v>
      </c>
      <c r="AC148" s="21">
        <f>IF(A148="","",IF(P148&lt;&gt;"",P148,ROUND(AB148*DepositPercent,2)))</f>
        <v>0</v>
      </c>
      <c r="AD148" s="21">
        <f>IF(A148="","",SUMIFS('Quote Lines'!$Q$5:$Q$604,'Quote Lines'!$B$5:$B$604,A148))</f>
        <v>0</v>
      </c>
      <c r="AE148" s="21">
        <f>IF(A148="","",Z148-AD148)</f>
        <v>0</v>
      </c>
      <c r="AF148" s="38">
        <f>IF(OR(A148="",Z148=0),"",AE148/Z148)</f>
        <v>0</v>
      </c>
      <c r="AG148" s="18">
        <f>IF(OR(A148="",B148=""),"",IF(Q148&lt;&gt;"",Q148,B148+QuoteValidDays))</f>
        <v>0</v>
      </c>
      <c r="AH148" s="31">
        <f>IF(OR(A148="",L148=""),"",IF(OR(K148="Accepted",K148="Declined"),"",TodayDate-L148))</f>
        <v>0</v>
      </c>
      <c r="AI148" s="50">
        <f>IF(OR(A148="",AG148=""),"",IF(AND(AG148&lt;TodayDate,K148&lt;&gt;"Accepted",K148&lt;&gt;"Declined"),"Yes","No"))</f>
        <v>0</v>
      </c>
      <c r="AJ148" s="50">
        <f>IF(B148="","",IF(K148="Accepted","Yes",IF(K148="Declined","No","")))</f>
        <v>0</v>
      </c>
      <c r="AK148" s="39">
        <f>IF(B148="","",IF(K148="Accepted",IF(R148="","Action - accepted, book the job","OK - won"),IF(K148="Declined","Closed",IF(V148=0,"Add - no lines on this quote yet",IF(K148="Draft","Draft - not sent",IF(AI148="Yes","Expired - re-quote or close",IF(AND(AH148&lt;&gt;"",AH148&gt;=QuoteFollowupDays),"Chase - "&amp;AH148&amp;" days with no answer","OK")))))))</f>
        <v>0</v>
      </c>
    </row>
    <row r="149" spans="1:37">
      <c r="A149" s="43">
        <f>IF(B149="","",QuotePrefix&amp;TEXT(ROW()-4,"0000"))</f>
        <v>0</v>
      </c>
      <c r="C149" s="23">
        <f>IF(B149="","",TEXT(B149,"yyyy-mm"))</f>
        <v>0</v>
      </c>
      <c r="E149" s="23">
        <f>IF(D149&lt;&gt;"",IFERROR(INDEX(Clients!$B$5:$B$204,MATCH(D149,Clients!$A$5:$A$204,0)),F149),F149)</f>
        <v>0</v>
      </c>
      <c r="V149" s="31">
        <f>IF(A149="","",COUNTIFS('Quote Lines'!$B$5:$B$604,A149))</f>
        <v>0</v>
      </c>
      <c r="W149" s="34">
        <f>IF(A149="","",SUMIFS('Quote Lines'!$N$5:$N$604,'Quote Lines'!$B$5:$B$604,A149))</f>
        <v>0</v>
      </c>
      <c r="X149" s="21">
        <f>IF(A149="","",SUMIFS('Quote Lines'!$P$5:$P$604,'Quote Lines'!$B$5:$B$604,A149))</f>
        <v>0</v>
      </c>
      <c r="Y149" s="21">
        <f>IF(A149="","",ROUND(X149*IF(O149="",0,O149),2))</f>
        <v>0</v>
      </c>
      <c r="Z149" s="21">
        <f>IF(A149="","",X149-Y149)</f>
        <v>0</v>
      </c>
      <c r="AA149" s="21">
        <f>IF(A149="","",ROUND(Z149*TaxRate,2))</f>
        <v>0</v>
      </c>
      <c r="AB149" s="21">
        <f>IF(A149="","",Z149+AA149)</f>
        <v>0</v>
      </c>
      <c r="AC149" s="21">
        <f>IF(A149="","",IF(P149&lt;&gt;"",P149,ROUND(AB149*DepositPercent,2)))</f>
        <v>0</v>
      </c>
      <c r="AD149" s="21">
        <f>IF(A149="","",SUMIFS('Quote Lines'!$Q$5:$Q$604,'Quote Lines'!$B$5:$B$604,A149))</f>
        <v>0</v>
      </c>
      <c r="AE149" s="21">
        <f>IF(A149="","",Z149-AD149)</f>
        <v>0</v>
      </c>
      <c r="AF149" s="38">
        <f>IF(OR(A149="",Z149=0),"",AE149/Z149)</f>
        <v>0</v>
      </c>
      <c r="AG149" s="18">
        <f>IF(OR(A149="",B149=""),"",IF(Q149&lt;&gt;"",Q149,B149+QuoteValidDays))</f>
        <v>0</v>
      </c>
      <c r="AH149" s="31">
        <f>IF(OR(A149="",L149=""),"",IF(OR(K149="Accepted",K149="Declined"),"",TodayDate-L149))</f>
        <v>0</v>
      </c>
      <c r="AI149" s="50">
        <f>IF(OR(A149="",AG149=""),"",IF(AND(AG149&lt;TodayDate,K149&lt;&gt;"Accepted",K149&lt;&gt;"Declined"),"Yes","No"))</f>
        <v>0</v>
      </c>
      <c r="AJ149" s="50">
        <f>IF(B149="","",IF(K149="Accepted","Yes",IF(K149="Declined","No","")))</f>
        <v>0</v>
      </c>
      <c r="AK149" s="39">
        <f>IF(B149="","",IF(K149="Accepted",IF(R149="","Action - accepted, book the job","OK - won"),IF(K149="Declined","Closed",IF(V149=0,"Add - no lines on this quote yet",IF(K149="Draft","Draft - not sent",IF(AI149="Yes","Expired - re-quote or close",IF(AND(AH149&lt;&gt;"",AH149&gt;=QuoteFollowupDays),"Chase - "&amp;AH149&amp;" days with no answer","OK")))))))</f>
        <v>0</v>
      </c>
    </row>
    <row r="150" spans="1:37">
      <c r="A150" s="43">
        <f>IF(B150="","",QuotePrefix&amp;TEXT(ROW()-4,"0000"))</f>
        <v>0</v>
      </c>
      <c r="C150" s="23">
        <f>IF(B150="","",TEXT(B150,"yyyy-mm"))</f>
        <v>0</v>
      </c>
      <c r="E150" s="23">
        <f>IF(D150&lt;&gt;"",IFERROR(INDEX(Clients!$B$5:$B$204,MATCH(D150,Clients!$A$5:$A$204,0)),F150),F150)</f>
        <v>0</v>
      </c>
      <c r="V150" s="31">
        <f>IF(A150="","",COUNTIFS('Quote Lines'!$B$5:$B$604,A150))</f>
        <v>0</v>
      </c>
      <c r="W150" s="34">
        <f>IF(A150="","",SUMIFS('Quote Lines'!$N$5:$N$604,'Quote Lines'!$B$5:$B$604,A150))</f>
        <v>0</v>
      </c>
      <c r="X150" s="21">
        <f>IF(A150="","",SUMIFS('Quote Lines'!$P$5:$P$604,'Quote Lines'!$B$5:$B$604,A150))</f>
        <v>0</v>
      </c>
      <c r="Y150" s="21">
        <f>IF(A150="","",ROUND(X150*IF(O150="",0,O150),2))</f>
        <v>0</v>
      </c>
      <c r="Z150" s="21">
        <f>IF(A150="","",X150-Y150)</f>
        <v>0</v>
      </c>
      <c r="AA150" s="21">
        <f>IF(A150="","",ROUND(Z150*TaxRate,2))</f>
        <v>0</v>
      </c>
      <c r="AB150" s="21">
        <f>IF(A150="","",Z150+AA150)</f>
        <v>0</v>
      </c>
      <c r="AC150" s="21">
        <f>IF(A150="","",IF(P150&lt;&gt;"",P150,ROUND(AB150*DepositPercent,2)))</f>
        <v>0</v>
      </c>
      <c r="AD150" s="21">
        <f>IF(A150="","",SUMIFS('Quote Lines'!$Q$5:$Q$604,'Quote Lines'!$B$5:$B$604,A150))</f>
        <v>0</v>
      </c>
      <c r="AE150" s="21">
        <f>IF(A150="","",Z150-AD150)</f>
        <v>0</v>
      </c>
      <c r="AF150" s="38">
        <f>IF(OR(A150="",Z150=0),"",AE150/Z150)</f>
        <v>0</v>
      </c>
      <c r="AG150" s="18">
        <f>IF(OR(A150="",B150=""),"",IF(Q150&lt;&gt;"",Q150,B150+QuoteValidDays))</f>
        <v>0</v>
      </c>
      <c r="AH150" s="31">
        <f>IF(OR(A150="",L150=""),"",IF(OR(K150="Accepted",K150="Declined"),"",TodayDate-L150))</f>
        <v>0</v>
      </c>
      <c r="AI150" s="50">
        <f>IF(OR(A150="",AG150=""),"",IF(AND(AG150&lt;TodayDate,K150&lt;&gt;"Accepted",K150&lt;&gt;"Declined"),"Yes","No"))</f>
        <v>0</v>
      </c>
      <c r="AJ150" s="50">
        <f>IF(B150="","",IF(K150="Accepted","Yes",IF(K150="Declined","No","")))</f>
        <v>0</v>
      </c>
      <c r="AK150" s="39">
        <f>IF(B150="","",IF(K150="Accepted",IF(R150="","Action - accepted, book the job","OK - won"),IF(K150="Declined","Closed",IF(V150=0,"Add - no lines on this quote yet",IF(K150="Draft","Draft - not sent",IF(AI150="Yes","Expired - re-quote or close",IF(AND(AH150&lt;&gt;"",AH150&gt;=QuoteFollowupDays),"Chase - "&amp;AH150&amp;" days with no answer","OK")))))))</f>
        <v>0</v>
      </c>
    </row>
    <row r="151" spans="1:37">
      <c r="A151" s="43">
        <f>IF(B151="","",QuotePrefix&amp;TEXT(ROW()-4,"0000"))</f>
        <v>0</v>
      </c>
      <c r="C151" s="23">
        <f>IF(B151="","",TEXT(B151,"yyyy-mm"))</f>
        <v>0</v>
      </c>
      <c r="E151" s="23">
        <f>IF(D151&lt;&gt;"",IFERROR(INDEX(Clients!$B$5:$B$204,MATCH(D151,Clients!$A$5:$A$204,0)),F151),F151)</f>
        <v>0</v>
      </c>
      <c r="V151" s="31">
        <f>IF(A151="","",COUNTIFS('Quote Lines'!$B$5:$B$604,A151))</f>
        <v>0</v>
      </c>
      <c r="W151" s="34">
        <f>IF(A151="","",SUMIFS('Quote Lines'!$N$5:$N$604,'Quote Lines'!$B$5:$B$604,A151))</f>
        <v>0</v>
      </c>
      <c r="X151" s="21">
        <f>IF(A151="","",SUMIFS('Quote Lines'!$P$5:$P$604,'Quote Lines'!$B$5:$B$604,A151))</f>
        <v>0</v>
      </c>
      <c r="Y151" s="21">
        <f>IF(A151="","",ROUND(X151*IF(O151="",0,O151),2))</f>
        <v>0</v>
      </c>
      <c r="Z151" s="21">
        <f>IF(A151="","",X151-Y151)</f>
        <v>0</v>
      </c>
      <c r="AA151" s="21">
        <f>IF(A151="","",ROUND(Z151*TaxRate,2))</f>
        <v>0</v>
      </c>
      <c r="AB151" s="21">
        <f>IF(A151="","",Z151+AA151)</f>
        <v>0</v>
      </c>
      <c r="AC151" s="21">
        <f>IF(A151="","",IF(P151&lt;&gt;"",P151,ROUND(AB151*DepositPercent,2)))</f>
        <v>0</v>
      </c>
      <c r="AD151" s="21">
        <f>IF(A151="","",SUMIFS('Quote Lines'!$Q$5:$Q$604,'Quote Lines'!$B$5:$B$604,A151))</f>
        <v>0</v>
      </c>
      <c r="AE151" s="21">
        <f>IF(A151="","",Z151-AD151)</f>
        <v>0</v>
      </c>
      <c r="AF151" s="38">
        <f>IF(OR(A151="",Z151=0),"",AE151/Z151)</f>
        <v>0</v>
      </c>
      <c r="AG151" s="18">
        <f>IF(OR(A151="",B151=""),"",IF(Q151&lt;&gt;"",Q151,B151+QuoteValidDays))</f>
        <v>0</v>
      </c>
      <c r="AH151" s="31">
        <f>IF(OR(A151="",L151=""),"",IF(OR(K151="Accepted",K151="Declined"),"",TodayDate-L151))</f>
        <v>0</v>
      </c>
      <c r="AI151" s="50">
        <f>IF(OR(A151="",AG151=""),"",IF(AND(AG151&lt;TodayDate,K151&lt;&gt;"Accepted",K151&lt;&gt;"Declined"),"Yes","No"))</f>
        <v>0</v>
      </c>
      <c r="AJ151" s="50">
        <f>IF(B151="","",IF(K151="Accepted","Yes",IF(K151="Declined","No","")))</f>
        <v>0</v>
      </c>
      <c r="AK151" s="39">
        <f>IF(B151="","",IF(K151="Accepted",IF(R151="","Action - accepted, book the job","OK - won"),IF(K151="Declined","Closed",IF(V151=0,"Add - no lines on this quote yet",IF(K151="Draft","Draft - not sent",IF(AI151="Yes","Expired - re-quote or close",IF(AND(AH151&lt;&gt;"",AH151&gt;=QuoteFollowupDays),"Chase - "&amp;AH151&amp;" days with no answer","OK")))))))</f>
        <v>0</v>
      </c>
    </row>
    <row r="152" spans="1:37">
      <c r="A152" s="43">
        <f>IF(B152="","",QuotePrefix&amp;TEXT(ROW()-4,"0000"))</f>
        <v>0</v>
      </c>
      <c r="C152" s="23">
        <f>IF(B152="","",TEXT(B152,"yyyy-mm"))</f>
        <v>0</v>
      </c>
      <c r="E152" s="23">
        <f>IF(D152&lt;&gt;"",IFERROR(INDEX(Clients!$B$5:$B$204,MATCH(D152,Clients!$A$5:$A$204,0)),F152),F152)</f>
        <v>0</v>
      </c>
      <c r="V152" s="31">
        <f>IF(A152="","",COUNTIFS('Quote Lines'!$B$5:$B$604,A152))</f>
        <v>0</v>
      </c>
      <c r="W152" s="34">
        <f>IF(A152="","",SUMIFS('Quote Lines'!$N$5:$N$604,'Quote Lines'!$B$5:$B$604,A152))</f>
        <v>0</v>
      </c>
      <c r="X152" s="21">
        <f>IF(A152="","",SUMIFS('Quote Lines'!$P$5:$P$604,'Quote Lines'!$B$5:$B$604,A152))</f>
        <v>0</v>
      </c>
      <c r="Y152" s="21">
        <f>IF(A152="","",ROUND(X152*IF(O152="",0,O152),2))</f>
        <v>0</v>
      </c>
      <c r="Z152" s="21">
        <f>IF(A152="","",X152-Y152)</f>
        <v>0</v>
      </c>
      <c r="AA152" s="21">
        <f>IF(A152="","",ROUND(Z152*TaxRate,2))</f>
        <v>0</v>
      </c>
      <c r="AB152" s="21">
        <f>IF(A152="","",Z152+AA152)</f>
        <v>0</v>
      </c>
      <c r="AC152" s="21">
        <f>IF(A152="","",IF(P152&lt;&gt;"",P152,ROUND(AB152*DepositPercent,2)))</f>
        <v>0</v>
      </c>
      <c r="AD152" s="21">
        <f>IF(A152="","",SUMIFS('Quote Lines'!$Q$5:$Q$604,'Quote Lines'!$B$5:$B$604,A152))</f>
        <v>0</v>
      </c>
      <c r="AE152" s="21">
        <f>IF(A152="","",Z152-AD152)</f>
        <v>0</v>
      </c>
      <c r="AF152" s="38">
        <f>IF(OR(A152="",Z152=0),"",AE152/Z152)</f>
        <v>0</v>
      </c>
      <c r="AG152" s="18">
        <f>IF(OR(A152="",B152=""),"",IF(Q152&lt;&gt;"",Q152,B152+QuoteValidDays))</f>
        <v>0</v>
      </c>
      <c r="AH152" s="31">
        <f>IF(OR(A152="",L152=""),"",IF(OR(K152="Accepted",K152="Declined"),"",TodayDate-L152))</f>
        <v>0</v>
      </c>
      <c r="AI152" s="50">
        <f>IF(OR(A152="",AG152=""),"",IF(AND(AG152&lt;TodayDate,K152&lt;&gt;"Accepted",K152&lt;&gt;"Declined"),"Yes","No"))</f>
        <v>0</v>
      </c>
      <c r="AJ152" s="50">
        <f>IF(B152="","",IF(K152="Accepted","Yes",IF(K152="Declined","No","")))</f>
        <v>0</v>
      </c>
      <c r="AK152" s="39">
        <f>IF(B152="","",IF(K152="Accepted",IF(R152="","Action - accepted, book the job","OK - won"),IF(K152="Declined","Closed",IF(V152=0,"Add - no lines on this quote yet",IF(K152="Draft","Draft - not sent",IF(AI152="Yes","Expired - re-quote or close",IF(AND(AH152&lt;&gt;"",AH152&gt;=QuoteFollowupDays),"Chase - "&amp;AH152&amp;" days with no answer","OK")))))))</f>
        <v>0</v>
      </c>
    </row>
    <row r="153" spans="1:37">
      <c r="A153" s="43">
        <f>IF(B153="","",QuotePrefix&amp;TEXT(ROW()-4,"0000"))</f>
        <v>0</v>
      </c>
      <c r="C153" s="23">
        <f>IF(B153="","",TEXT(B153,"yyyy-mm"))</f>
        <v>0</v>
      </c>
      <c r="E153" s="23">
        <f>IF(D153&lt;&gt;"",IFERROR(INDEX(Clients!$B$5:$B$204,MATCH(D153,Clients!$A$5:$A$204,0)),F153),F153)</f>
        <v>0</v>
      </c>
      <c r="V153" s="31">
        <f>IF(A153="","",COUNTIFS('Quote Lines'!$B$5:$B$604,A153))</f>
        <v>0</v>
      </c>
      <c r="W153" s="34">
        <f>IF(A153="","",SUMIFS('Quote Lines'!$N$5:$N$604,'Quote Lines'!$B$5:$B$604,A153))</f>
        <v>0</v>
      </c>
      <c r="X153" s="21">
        <f>IF(A153="","",SUMIFS('Quote Lines'!$P$5:$P$604,'Quote Lines'!$B$5:$B$604,A153))</f>
        <v>0</v>
      </c>
      <c r="Y153" s="21">
        <f>IF(A153="","",ROUND(X153*IF(O153="",0,O153),2))</f>
        <v>0</v>
      </c>
      <c r="Z153" s="21">
        <f>IF(A153="","",X153-Y153)</f>
        <v>0</v>
      </c>
      <c r="AA153" s="21">
        <f>IF(A153="","",ROUND(Z153*TaxRate,2))</f>
        <v>0</v>
      </c>
      <c r="AB153" s="21">
        <f>IF(A153="","",Z153+AA153)</f>
        <v>0</v>
      </c>
      <c r="AC153" s="21">
        <f>IF(A153="","",IF(P153&lt;&gt;"",P153,ROUND(AB153*DepositPercent,2)))</f>
        <v>0</v>
      </c>
      <c r="AD153" s="21">
        <f>IF(A153="","",SUMIFS('Quote Lines'!$Q$5:$Q$604,'Quote Lines'!$B$5:$B$604,A153))</f>
        <v>0</v>
      </c>
      <c r="AE153" s="21">
        <f>IF(A153="","",Z153-AD153)</f>
        <v>0</v>
      </c>
      <c r="AF153" s="38">
        <f>IF(OR(A153="",Z153=0),"",AE153/Z153)</f>
        <v>0</v>
      </c>
      <c r="AG153" s="18">
        <f>IF(OR(A153="",B153=""),"",IF(Q153&lt;&gt;"",Q153,B153+QuoteValidDays))</f>
        <v>0</v>
      </c>
      <c r="AH153" s="31">
        <f>IF(OR(A153="",L153=""),"",IF(OR(K153="Accepted",K153="Declined"),"",TodayDate-L153))</f>
        <v>0</v>
      </c>
      <c r="AI153" s="50">
        <f>IF(OR(A153="",AG153=""),"",IF(AND(AG153&lt;TodayDate,K153&lt;&gt;"Accepted",K153&lt;&gt;"Declined"),"Yes","No"))</f>
        <v>0</v>
      </c>
      <c r="AJ153" s="50">
        <f>IF(B153="","",IF(K153="Accepted","Yes",IF(K153="Declined","No","")))</f>
        <v>0</v>
      </c>
      <c r="AK153" s="39">
        <f>IF(B153="","",IF(K153="Accepted",IF(R153="","Action - accepted, book the job","OK - won"),IF(K153="Declined","Closed",IF(V153=0,"Add - no lines on this quote yet",IF(K153="Draft","Draft - not sent",IF(AI153="Yes","Expired - re-quote or close",IF(AND(AH153&lt;&gt;"",AH153&gt;=QuoteFollowupDays),"Chase - "&amp;AH153&amp;" days with no answer","OK")))))))</f>
        <v>0</v>
      </c>
    </row>
    <row r="154" spans="1:37">
      <c r="A154" s="43">
        <f>IF(B154="","",QuotePrefix&amp;TEXT(ROW()-4,"0000"))</f>
        <v>0</v>
      </c>
      <c r="C154" s="23">
        <f>IF(B154="","",TEXT(B154,"yyyy-mm"))</f>
        <v>0</v>
      </c>
      <c r="E154" s="23">
        <f>IF(D154&lt;&gt;"",IFERROR(INDEX(Clients!$B$5:$B$204,MATCH(D154,Clients!$A$5:$A$204,0)),F154),F154)</f>
        <v>0</v>
      </c>
      <c r="V154" s="31">
        <f>IF(A154="","",COUNTIFS('Quote Lines'!$B$5:$B$604,A154))</f>
        <v>0</v>
      </c>
      <c r="W154" s="34">
        <f>IF(A154="","",SUMIFS('Quote Lines'!$N$5:$N$604,'Quote Lines'!$B$5:$B$604,A154))</f>
        <v>0</v>
      </c>
      <c r="X154" s="21">
        <f>IF(A154="","",SUMIFS('Quote Lines'!$P$5:$P$604,'Quote Lines'!$B$5:$B$604,A154))</f>
        <v>0</v>
      </c>
      <c r="Y154" s="21">
        <f>IF(A154="","",ROUND(X154*IF(O154="",0,O154),2))</f>
        <v>0</v>
      </c>
      <c r="Z154" s="21">
        <f>IF(A154="","",X154-Y154)</f>
        <v>0</v>
      </c>
      <c r="AA154" s="21">
        <f>IF(A154="","",ROUND(Z154*TaxRate,2))</f>
        <v>0</v>
      </c>
      <c r="AB154" s="21">
        <f>IF(A154="","",Z154+AA154)</f>
        <v>0</v>
      </c>
      <c r="AC154" s="21">
        <f>IF(A154="","",IF(P154&lt;&gt;"",P154,ROUND(AB154*DepositPercent,2)))</f>
        <v>0</v>
      </c>
      <c r="AD154" s="21">
        <f>IF(A154="","",SUMIFS('Quote Lines'!$Q$5:$Q$604,'Quote Lines'!$B$5:$B$604,A154))</f>
        <v>0</v>
      </c>
      <c r="AE154" s="21">
        <f>IF(A154="","",Z154-AD154)</f>
        <v>0</v>
      </c>
      <c r="AF154" s="38">
        <f>IF(OR(A154="",Z154=0),"",AE154/Z154)</f>
        <v>0</v>
      </c>
      <c r="AG154" s="18">
        <f>IF(OR(A154="",B154=""),"",IF(Q154&lt;&gt;"",Q154,B154+QuoteValidDays))</f>
        <v>0</v>
      </c>
      <c r="AH154" s="31">
        <f>IF(OR(A154="",L154=""),"",IF(OR(K154="Accepted",K154="Declined"),"",TodayDate-L154))</f>
        <v>0</v>
      </c>
      <c r="AI154" s="50">
        <f>IF(OR(A154="",AG154=""),"",IF(AND(AG154&lt;TodayDate,K154&lt;&gt;"Accepted",K154&lt;&gt;"Declined"),"Yes","No"))</f>
        <v>0</v>
      </c>
      <c r="AJ154" s="50">
        <f>IF(B154="","",IF(K154="Accepted","Yes",IF(K154="Declined","No","")))</f>
        <v>0</v>
      </c>
      <c r="AK154" s="39">
        <f>IF(B154="","",IF(K154="Accepted",IF(R154="","Action - accepted, book the job","OK - won"),IF(K154="Declined","Closed",IF(V154=0,"Add - no lines on this quote yet",IF(K154="Draft","Draft - not sent",IF(AI154="Yes","Expired - re-quote or close",IF(AND(AH154&lt;&gt;"",AH154&gt;=QuoteFollowupDays),"Chase - "&amp;AH154&amp;" days with no answer","OK")))))))</f>
        <v>0</v>
      </c>
    </row>
    <row r="155" spans="1:37">
      <c r="A155" s="43">
        <f>IF(B155="","",QuotePrefix&amp;TEXT(ROW()-4,"0000"))</f>
        <v>0</v>
      </c>
      <c r="C155" s="23">
        <f>IF(B155="","",TEXT(B155,"yyyy-mm"))</f>
        <v>0</v>
      </c>
      <c r="E155" s="23">
        <f>IF(D155&lt;&gt;"",IFERROR(INDEX(Clients!$B$5:$B$204,MATCH(D155,Clients!$A$5:$A$204,0)),F155),F155)</f>
        <v>0</v>
      </c>
      <c r="V155" s="31">
        <f>IF(A155="","",COUNTIFS('Quote Lines'!$B$5:$B$604,A155))</f>
        <v>0</v>
      </c>
      <c r="W155" s="34">
        <f>IF(A155="","",SUMIFS('Quote Lines'!$N$5:$N$604,'Quote Lines'!$B$5:$B$604,A155))</f>
        <v>0</v>
      </c>
      <c r="X155" s="21">
        <f>IF(A155="","",SUMIFS('Quote Lines'!$P$5:$P$604,'Quote Lines'!$B$5:$B$604,A155))</f>
        <v>0</v>
      </c>
      <c r="Y155" s="21">
        <f>IF(A155="","",ROUND(X155*IF(O155="",0,O155),2))</f>
        <v>0</v>
      </c>
      <c r="Z155" s="21">
        <f>IF(A155="","",X155-Y155)</f>
        <v>0</v>
      </c>
      <c r="AA155" s="21">
        <f>IF(A155="","",ROUND(Z155*TaxRate,2))</f>
        <v>0</v>
      </c>
      <c r="AB155" s="21">
        <f>IF(A155="","",Z155+AA155)</f>
        <v>0</v>
      </c>
      <c r="AC155" s="21">
        <f>IF(A155="","",IF(P155&lt;&gt;"",P155,ROUND(AB155*DepositPercent,2)))</f>
        <v>0</v>
      </c>
      <c r="AD155" s="21">
        <f>IF(A155="","",SUMIFS('Quote Lines'!$Q$5:$Q$604,'Quote Lines'!$B$5:$B$604,A155))</f>
        <v>0</v>
      </c>
      <c r="AE155" s="21">
        <f>IF(A155="","",Z155-AD155)</f>
        <v>0</v>
      </c>
      <c r="AF155" s="38">
        <f>IF(OR(A155="",Z155=0),"",AE155/Z155)</f>
        <v>0</v>
      </c>
      <c r="AG155" s="18">
        <f>IF(OR(A155="",B155=""),"",IF(Q155&lt;&gt;"",Q155,B155+QuoteValidDays))</f>
        <v>0</v>
      </c>
      <c r="AH155" s="31">
        <f>IF(OR(A155="",L155=""),"",IF(OR(K155="Accepted",K155="Declined"),"",TodayDate-L155))</f>
        <v>0</v>
      </c>
      <c r="AI155" s="50">
        <f>IF(OR(A155="",AG155=""),"",IF(AND(AG155&lt;TodayDate,K155&lt;&gt;"Accepted",K155&lt;&gt;"Declined"),"Yes","No"))</f>
        <v>0</v>
      </c>
      <c r="AJ155" s="50">
        <f>IF(B155="","",IF(K155="Accepted","Yes",IF(K155="Declined","No","")))</f>
        <v>0</v>
      </c>
      <c r="AK155" s="39">
        <f>IF(B155="","",IF(K155="Accepted",IF(R155="","Action - accepted, book the job","OK - won"),IF(K155="Declined","Closed",IF(V155=0,"Add - no lines on this quote yet",IF(K155="Draft","Draft - not sent",IF(AI155="Yes","Expired - re-quote or close",IF(AND(AH155&lt;&gt;"",AH155&gt;=QuoteFollowupDays),"Chase - "&amp;AH155&amp;" days with no answer","OK")))))))</f>
        <v>0</v>
      </c>
    </row>
    <row r="156" spans="1:37">
      <c r="A156" s="43">
        <f>IF(B156="","",QuotePrefix&amp;TEXT(ROW()-4,"0000"))</f>
        <v>0</v>
      </c>
      <c r="C156" s="23">
        <f>IF(B156="","",TEXT(B156,"yyyy-mm"))</f>
        <v>0</v>
      </c>
      <c r="E156" s="23">
        <f>IF(D156&lt;&gt;"",IFERROR(INDEX(Clients!$B$5:$B$204,MATCH(D156,Clients!$A$5:$A$204,0)),F156),F156)</f>
        <v>0</v>
      </c>
      <c r="V156" s="31">
        <f>IF(A156="","",COUNTIFS('Quote Lines'!$B$5:$B$604,A156))</f>
        <v>0</v>
      </c>
      <c r="W156" s="34">
        <f>IF(A156="","",SUMIFS('Quote Lines'!$N$5:$N$604,'Quote Lines'!$B$5:$B$604,A156))</f>
        <v>0</v>
      </c>
      <c r="X156" s="21">
        <f>IF(A156="","",SUMIFS('Quote Lines'!$P$5:$P$604,'Quote Lines'!$B$5:$B$604,A156))</f>
        <v>0</v>
      </c>
      <c r="Y156" s="21">
        <f>IF(A156="","",ROUND(X156*IF(O156="",0,O156),2))</f>
        <v>0</v>
      </c>
      <c r="Z156" s="21">
        <f>IF(A156="","",X156-Y156)</f>
        <v>0</v>
      </c>
      <c r="AA156" s="21">
        <f>IF(A156="","",ROUND(Z156*TaxRate,2))</f>
        <v>0</v>
      </c>
      <c r="AB156" s="21">
        <f>IF(A156="","",Z156+AA156)</f>
        <v>0</v>
      </c>
      <c r="AC156" s="21">
        <f>IF(A156="","",IF(P156&lt;&gt;"",P156,ROUND(AB156*DepositPercent,2)))</f>
        <v>0</v>
      </c>
      <c r="AD156" s="21">
        <f>IF(A156="","",SUMIFS('Quote Lines'!$Q$5:$Q$604,'Quote Lines'!$B$5:$B$604,A156))</f>
        <v>0</v>
      </c>
      <c r="AE156" s="21">
        <f>IF(A156="","",Z156-AD156)</f>
        <v>0</v>
      </c>
      <c r="AF156" s="38">
        <f>IF(OR(A156="",Z156=0),"",AE156/Z156)</f>
        <v>0</v>
      </c>
      <c r="AG156" s="18">
        <f>IF(OR(A156="",B156=""),"",IF(Q156&lt;&gt;"",Q156,B156+QuoteValidDays))</f>
        <v>0</v>
      </c>
      <c r="AH156" s="31">
        <f>IF(OR(A156="",L156=""),"",IF(OR(K156="Accepted",K156="Declined"),"",TodayDate-L156))</f>
        <v>0</v>
      </c>
      <c r="AI156" s="50">
        <f>IF(OR(A156="",AG156=""),"",IF(AND(AG156&lt;TodayDate,K156&lt;&gt;"Accepted",K156&lt;&gt;"Declined"),"Yes","No"))</f>
        <v>0</v>
      </c>
      <c r="AJ156" s="50">
        <f>IF(B156="","",IF(K156="Accepted","Yes",IF(K156="Declined","No","")))</f>
        <v>0</v>
      </c>
      <c r="AK156" s="39">
        <f>IF(B156="","",IF(K156="Accepted",IF(R156="","Action - accepted, book the job","OK - won"),IF(K156="Declined","Closed",IF(V156=0,"Add - no lines on this quote yet",IF(K156="Draft","Draft - not sent",IF(AI156="Yes","Expired - re-quote or close",IF(AND(AH156&lt;&gt;"",AH156&gt;=QuoteFollowupDays),"Chase - "&amp;AH156&amp;" days with no answer","OK")))))))</f>
        <v>0</v>
      </c>
    </row>
    <row r="157" spans="1:37">
      <c r="A157" s="43">
        <f>IF(B157="","",QuotePrefix&amp;TEXT(ROW()-4,"0000"))</f>
        <v>0</v>
      </c>
      <c r="C157" s="23">
        <f>IF(B157="","",TEXT(B157,"yyyy-mm"))</f>
        <v>0</v>
      </c>
      <c r="E157" s="23">
        <f>IF(D157&lt;&gt;"",IFERROR(INDEX(Clients!$B$5:$B$204,MATCH(D157,Clients!$A$5:$A$204,0)),F157),F157)</f>
        <v>0</v>
      </c>
      <c r="V157" s="31">
        <f>IF(A157="","",COUNTIFS('Quote Lines'!$B$5:$B$604,A157))</f>
        <v>0</v>
      </c>
      <c r="W157" s="34">
        <f>IF(A157="","",SUMIFS('Quote Lines'!$N$5:$N$604,'Quote Lines'!$B$5:$B$604,A157))</f>
        <v>0</v>
      </c>
      <c r="X157" s="21">
        <f>IF(A157="","",SUMIFS('Quote Lines'!$P$5:$P$604,'Quote Lines'!$B$5:$B$604,A157))</f>
        <v>0</v>
      </c>
      <c r="Y157" s="21">
        <f>IF(A157="","",ROUND(X157*IF(O157="",0,O157),2))</f>
        <v>0</v>
      </c>
      <c r="Z157" s="21">
        <f>IF(A157="","",X157-Y157)</f>
        <v>0</v>
      </c>
      <c r="AA157" s="21">
        <f>IF(A157="","",ROUND(Z157*TaxRate,2))</f>
        <v>0</v>
      </c>
      <c r="AB157" s="21">
        <f>IF(A157="","",Z157+AA157)</f>
        <v>0</v>
      </c>
      <c r="AC157" s="21">
        <f>IF(A157="","",IF(P157&lt;&gt;"",P157,ROUND(AB157*DepositPercent,2)))</f>
        <v>0</v>
      </c>
      <c r="AD157" s="21">
        <f>IF(A157="","",SUMIFS('Quote Lines'!$Q$5:$Q$604,'Quote Lines'!$B$5:$B$604,A157))</f>
        <v>0</v>
      </c>
      <c r="AE157" s="21">
        <f>IF(A157="","",Z157-AD157)</f>
        <v>0</v>
      </c>
      <c r="AF157" s="38">
        <f>IF(OR(A157="",Z157=0),"",AE157/Z157)</f>
        <v>0</v>
      </c>
      <c r="AG157" s="18">
        <f>IF(OR(A157="",B157=""),"",IF(Q157&lt;&gt;"",Q157,B157+QuoteValidDays))</f>
        <v>0</v>
      </c>
      <c r="AH157" s="31">
        <f>IF(OR(A157="",L157=""),"",IF(OR(K157="Accepted",K157="Declined"),"",TodayDate-L157))</f>
        <v>0</v>
      </c>
      <c r="AI157" s="50">
        <f>IF(OR(A157="",AG157=""),"",IF(AND(AG157&lt;TodayDate,K157&lt;&gt;"Accepted",K157&lt;&gt;"Declined"),"Yes","No"))</f>
        <v>0</v>
      </c>
      <c r="AJ157" s="50">
        <f>IF(B157="","",IF(K157="Accepted","Yes",IF(K157="Declined","No","")))</f>
        <v>0</v>
      </c>
      <c r="AK157" s="39">
        <f>IF(B157="","",IF(K157="Accepted",IF(R157="","Action - accepted, book the job","OK - won"),IF(K157="Declined","Closed",IF(V157=0,"Add - no lines on this quote yet",IF(K157="Draft","Draft - not sent",IF(AI157="Yes","Expired - re-quote or close",IF(AND(AH157&lt;&gt;"",AH157&gt;=QuoteFollowupDays),"Chase - "&amp;AH157&amp;" days with no answer","OK")))))))</f>
        <v>0</v>
      </c>
    </row>
    <row r="158" spans="1:37">
      <c r="A158" s="43">
        <f>IF(B158="","",QuotePrefix&amp;TEXT(ROW()-4,"0000"))</f>
        <v>0</v>
      </c>
      <c r="C158" s="23">
        <f>IF(B158="","",TEXT(B158,"yyyy-mm"))</f>
        <v>0</v>
      </c>
      <c r="E158" s="23">
        <f>IF(D158&lt;&gt;"",IFERROR(INDEX(Clients!$B$5:$B$204,MATCH(D158,Clients!$A$5:$A$204,0)),F158),F158)</f>
        <v>0</v>
      </c>
      <c r="V158" s="31">
        <f>IF(A158="","",COUNTIFS('Quote Lines'!$B$5:$B$604,A158))</f>
        <v>0</v>
      </c>
      <c r="W158" s="34">
        <f>IF(A158="","",SUMIFS('Quote Lines'!$N$5:$N$604,'Quote Lines'!$B$5:$B$604,A158))</f>
        <v>0</v>
      </c>
      <c r="X158" s="21">
        <f>IF(A158="","",SUMIFS('Quote Lines'!$P$5:$P$604,'Quote Lines'!$B$5:$B$604,A158))</f>
        <v>0</v>
      </c>
      <c r="Y158" s="21">
        <f>IF(A158="","",ROUND(X158*IF(O158="",0,O158),2))</f>
        <v>0</v>
      </c>
      <c r="Z158" s="21">
        <f>IF(A158="","",X158-Y158)</f>
        <v>0</v>
      </c>
      <c r="AA158" s="21">
        <f>IF(A158="","",ROUND(Z158*TaxRate,2))</f>
        <v>0</v>
      </c>
      <c r="AB158" s="21">
        <f>IF(A158="","",Z158+AA158)</f>
        <v>0</v>
      </c>
      <c r="AC158" s="21">
        <f>IF(A158="","",IF(P158&lt;&gt;"",P158,ROUND(AB158*DepositPercent,2)))</f>
        <v>0</v>
      </c>
      <c r="AD158" s="21">
        <f>IF(A158="","",SUMIFS('Quote Lines'!$Q$5:$Q$604,'Quote Lines'!$B$5:$B$604,A158))</f>
        <v>0</v>
      </c>
      <c r="AE158" s="21">
        <f>IF(A158="","",Z158-AD158)</f>
        <v>0</v>
      </c>
      <c r="AF158" s="38">
        <f>IF(OR(A158="",Z158=0),"",AE158/Z158)</f>
        <v>0</v>
      </c>
      <c r="AG158" s="18">
        <f>IF(OR(A158="",B158=""),"",IF(Q158&lt;&gt;"",Q158,B158+QuoteValidDays))</f>
        <v>0</v>
      </c>
      <c r="AH158" s="31">
        <f>IF(OR(A158="",L158=""),"",IF(OR(K158="Accepted",K158="Declined"),"",TodayDate-L158))</f>
        <v>0</v>
      </c>
      <c r="AI158" s="50">
        <f>IF(OR(A158="",AG158=""),"",IF(AND(AG158&lt;TodayDate,K158&lt;&gt;"Accepted",K158&lt;&gt;"Declined"),"Yes","No"))</f>
        <v>0</v>
      </c>
      <c r="AJ158" s="50">
        <f>IF(B158="","",IF(K158="Accepted","Yes",IF(K158="Declined","No","")))</f>
        <v>0</v>
      </c>
      <c r="AK158" s="39">
        <f>IF(B158="","",IF(K158="Accepted",IF(R158="","Action - accepted, book the job","OK - won"),IF(K158="Declined","Closed",IF(V158=0,"Add - no lines on this quote yet",IF(K158="Draft","Draft - not sent",IF(AI158="Yes","Expired - re-quote or close",IF(AND(AH158&lt;&gt;"",AH158&gt;=QuoteFollowupDays),"Chase - "&amp;AH158&amp;" days with no answer","OK")))))))</f>
        <v>0</v>
      </c>
    </row>
    <row r="159" spans="1:37">
      <c r="A159" s="43">
        <f>IF(B159="","",QuotePrefix&amp;TEXT(ROW()-4,"0000"))</f>
        <v>0</v>
      </c>
      <c r="C159" s="23">
        <f>IF(B159="","",TEXT(B159,"yyyy-mm"))</f>
        <v>0</v>
      </c>
      <c r="E159" s="23">
        <f>IF(D159&lt;&gt;"",IFERROR(INDEX(Clients!$B$5:$B$204,MATCH(D159,Clients!$A$5:$A$204,0)),F159),F159)</f>
        <v>0</v>
      </c>
      <c r="V159" s="31">
        <f>IF(A159="","",COUNTIFS('Quote Lines'!$B$5:$B$604,A159))</f>
        <v>0</v>
      </c>
      <c r="W159" s="34">
        <f>IF(A159="","",SUMIFS('Quote Lines'!$N$5:$N$604,'Quote Lines'!$B$5:$B$604,A159))</f>
        <v>0</v>
      </c>
      <c r="X159" s="21">
        <f>IF(A159="","",SUMIFS('Quote Lines'!$P$5:$P$604,'Quote Lines'!$B$5:$B$604,A159))</f>
        <v>0</v>
      </c>
      <c r="Y159" s="21">
        <f>IF(A159="","",ROUND(X159*IF(O159="",0,O159),2))</f>
        <v>0</v>
      </c>
      <c r="Z159" s="21">
        <f>IF(A159="","",X159-Y159)</f>
        <v>0</v>
      </c>
      <c r="AA159" s="21">
        <f>IF(A159="","",ROUND(Z159*TaxRate,2))</f>
        <v>0</v>
      </c>
      <c r="AB159" s="21">
        <f>IF(A159="","",Z159+AA159)</f>
        <v>0</v>
      </c>
      <c r="AC159" s="21">
        <f>IF(A159="","",IF(P159&lt;&gt;"",P159,ROUND(AB159*DepositPercent,2)))</f>
        <v>0</v>
      </c>
      <c r="AD159" s="21">
        <f>IF(A159="","",SUMIFS('Quote Lines'!$Q$5:$Q$604,'Quote Lines'!$B$5:$B$604,A159))</f>
        <v>0</v>
      </c>
      <c r="AE159" s="21">
        <f>IF(A159="","",Z159-AD159)</f>
        <v>0</v>
      </c>
      <c r="AF159" s="38">
        <f>IF(OR(A159="",Z159=0),"",AE159/Z159)</f>
        <v>0</v>
      </c>
      <c r="AG159" s="18">
        <f>IF(OR(A159="",B159=""),"",IF(Q159&lt;&gt;"",Q159,B159+QuoteValidDays))</f>
        <v>0</v>
      </c>
      <c r="AH159" s="31">
        <f>IF(OR(A159="",L159=""),"",IF(OR(K159="Accepted",K159="Declined"),"",TodayDate-L159))</f>
        <v>0</v>
      </c>
      <c r="AI159" s="50">
        <f>IF(OR(A159="",AG159=""),"",IF(AND(AG159&lt;TodayDate,K159&lt;&gt;"Accepted",K159&lt;&gt;"Declined"),"Yes","No"))</f>
        <v>0</v>
      </c>
      <c r="AJ159" s="50">
        <f>IF(B159="","",IF(K159="Accepted","Yes",IF(K159="Declined","No","")))</f>
        <v>0</v>
      </c>
      <c r="AK159" s="39">
        <f>IF(B159="","",IF(K159="Accepted",IF(R159="","Action - accepted, book the job","OK - won"),IF(K159="Declined","Closed",IF(V159=0,"Add - no lines on this quote yet",IF(K159="Draft","Draft - not sent",IF(AI159="Yes","Expired - re-quote or close",IF(AND(AH159&lt;&gt;"",AH159&gt;=QuoteFollowupDays),"Chase - "&amp;AH159&amp;" days with no answer","OK")))))))</f>
        <v>0</v>
      </c>
    </row>
    <row r="160" spans="1:37">
      <c r="A160" s="43">
        <f>IF(B160="","",QuotePrefix&amp;TEXT(ROW()-4,"0000"))</f>
        <v>0</v>
      </c>
      <c r="C160" s="23">
        <f>IF(B160="","",TEXT(B160,"yyyy-mm"))</f>
        <v>0</v>
      </c>
      <c r="E160" s="23">
        <f>IF(D160&lt;&gt;"",IFERROR(INDEX(Clients!$B$5:$B$204,MATCH(D160,Clients!$A$5:$A$204,0)),F160),F160)</f>
        <v>0</v>
      </c>
      <c r="V160" s="31">
        <f>IF(A160="","",COUNTIFS('Quote Lines'!$B$5:$B$604,A160))</f>
        <v>0</v>
      </c>
      <c r="W160" s="34">
        <f>IF(A160="","",SUMIFS('Quote Lines'!$N$5:$N$604,'Quote Lines'!$B$5:$B$604,A160))</f>
        <v>0</v>
      </c>
      <c r="X160" s="21">
        <f>IF(A160="","",SUMIFS('Quote Lines'!$P$5:$P$604,'Quote Lines'!$B$5:$B$604,A160))</f>
        <v>0</v>
      </c>
      <c r="Y160" s="21">
        <f>IF(A160="","",ROUND(X160*IF(O160="",0,O160),2))</f>
        <v>0</v>
      </c>
      <c r="Z160" s="21">
        <f>IF(A160="","",X160-Y160)</f>
        <v>0</v>
      </c>
      <c r="AA160" s="21">
        <f>IF(A160="","",ROUND(Z160*TaxRate,2))</f>
        <v>0</v>
      </c>
      <c r="AB160" s="21">
        <f>IF(A160="","",Z160+AA160)</f>
        <v>0</v>
      </c>
      <c r="AC160" s="21">
        <f>IF(A160="","",IF(P160&lt;&gt;"",P160,ROUND(AB160*DepositPercent,2)))</f>
        <v>0</v>
      </c>
      <c r="AD160" s="21">
        <f>IF(A160="","",SUMIFS('Quote Lines'!$Q$5:$Q$604,'Quote Lines'!$B$5:$B$604,A160))</f>
        <v>0</v>
      </c>
      <c r="AE160" s="21">
        <f>IF(A160="","",Z160-AD160)</f>
        <v>0</v>
      </c>
      <c r="AF160" s="38">
        <f>IF(OR(A160="",Z160=0),"",AE160/Z160)</f>
        <v>0</v>
      </c>
      <c r="AG160" s="18">
        <f>IF(OR(A160="",B160=""),"",IF(Q160&lt;&gt;"",Q160,B160+QuoteValidDays))</f>
        <v>0</v>
      </c>
      <c r="AH160" s="31">
        <f>IF(OR(A160="",L160=""),"",IF(OR(K160="Accepted",K160="Declined"),"",TodayDate-L160))</f>
        <v>0</v>
      </c>
      <c r="AI160" s="50">
        <f>IF(OR(A160="",AG160=""),"",IF(AND(AG160&lt;TodayDate,K160&lt;&gt;"Accepted",K160&lt;&gt;"Declined"),"Yes","No"))</f>
        <v>0</v>
      </c>
      <c r="AJ160" s="50">
        <f>IF(B160="","",IF(K160="Accepted","Yes",IF(K160="Declined","No","")))</f>
        <v>0</v>
      </c>
      <c r="AK160" s="39">
        <f>IF(B160="","",IF(K160="Accepted",IF(R160="","Action - accepted, book the job","OK - won"),IF(K160="Declined","Closed",IF(V160=0,"Add - no lines on this quote yet",IF(K160="Draft","Draft - not sent",IF(AI160="Yes","Expired - re-quote or close",IF(AND(AH160&lt;&gt;"",AH160&gt;=QuoteFollowupDays),"Chase - "&amp;AH160&amp;" days with no answer","OK")))))))</f>
        <v>0</v>
      </c>
    </row>
    <row r="161" spans="1:37">
      <c r="A161" s="43">
        <f>IF(B161="","",QuotePrefix&amp;TEXT(ROW()-4,"0000"))</f>
        <v>0</v>
      </c>
      <c r="C161" s="23">
        <f>IF(B161="","",TEXT(B161,"yyyy-mm"))</f>
        <v>0</v>
      </c>
      <c r="E161" s="23">
        <f>IF(D161&lt;&gt;"",IFERROR(INDEX(Clients!$B$5:$B$204,MATCH(D161,Clients!$A$5:$A$204,0)),F161),F161)</f>
        <v>0</v>
      </c>
      <c r="V161" s="31">
        <f>IF(A161="","",COUNTIFS('Quote Lines'!$B$5:$B$604,A161))</f>
        <v>0</v>
      </c>
      <c r="W161" s="34">
        <f>IF(A161="","",SUMIFS('Quote Lines'!$N$5:$N$604,'Quote Lines'!$B$5:$B$604,A161))</f>
        <v>0</v>
      </c>
      <c r="X161" s="21">
        <f>IF(A161="","",SUMIFS('Quote Lines'!$P$5:$P$604,'Quote Lines'!$B$5:$B$604,A161))</f>
        <v>0</v>
      </c>
      <c r="Y161" s="21">
        <f>IF(A161="","",ROUND(X161*IF(O161="",0,O161),2))</f>
        <v>0</v>
      </c>
      <c r="Z161" s="21">
        <f>IF(A161="","",X161-Y161)</f>
        <v>0</v>
      </c>
      <c r="AA161" s="21">
        <f>IF(A161="","",ROUND(Z161*TaxRate,2))</f>
        <v>0</v>
      </c>
      <c r="AB161" s="21">
        <f>IF(A161="","",Z161+AA161)</f>
        <v>0</v>
      </c>
      <c r="AC161" s="21">
        <f>IF(A161="","",IF(P161&lt;&gt;"",P161,ROUND(AB161*DepositPercent,2)))</f>
        <v>0</v>
      </c>
      <c r="AD161" s="21">
        <f>IF(A161="","",SUMIFS('Quote Lines'!$Q$5:$Q$604,'Quote Lines'!$B$5:$B$604,A161))</f>
        <v>0</v>
      </c>
      <c r="AE161" s="21">
        <f>IF(A161="","",Z161-AD161)</f>
        <v>0</v>
      </c>
      <c r="AF161" s="38">
        <f>IF(OR(A161="",Z161=0),"",AE161/Z161)</f>
        <v>0</v>
      </c>
      <c r="AG161" s="18">
        <f>IF(OR(A161="",B161=""),"",IF(Q161&lt;&gt;"",Q161,B161+QuoteValidDays))</f>
        <v>0</v>
      </c>
      <c r="AH161" s="31">
        <f>IF(OR(A161="",L161=""),"",IF(OR(K161="Accepted",K161="Declined"),"",TodayDate-L161))</f>
        <v>0</v>
      </c>
      <c r="AI161" s="50">
        <f>IF(OR(A161="",AG161=""),"",IF(AND(AG161&lt;TodayDate,K161&lt;&gt;"Accepted",K161&lt;&gt;"Declined"),"Yes","No"))</f>
        <v>0</v>
      </c>
      <c r="AJ161" s="50">
        <f>IF(B161="","",IF(K161="Accepted","Yes",IF(K161="Declined","No","")))</f>
        <v>0</v>
      </c>
      <c r="AK161" s="39">
        <f>IF(B161="","",IF(K161="Accepted",IF(R161="","Action - accepted, book the job","OK - won"),IF(K161="Declined","Closed",IF(V161=0,"Add - no lines on this quote yet",IF(K161="Draft","Draft - not sent",IF(AI161="Yes","Expired - re-quote or close",IF(AND(AH161&lt;&gt;"",AH161&gt;=QuoteFollowupDays),"Chase - "&amp;AH161&amp;" days with no answer","OK")))))))</f>
        <v>0</v>
      </c>
    </row>
    <row r="162" spans="1:37">
      <c r="A162" s="43">
        <f>IF(B162="","",QuotePrefix&amp;TEXT(ROW()-4,"0000"))</f>
        <v>0</v>
      </c>
      <c r="C162" s="23">
        <f>IF(B162="","",TEXT(B162,"yyyy-mm"))</f>
        <v>0</v>
      </c>
      <c r="E162" s="23">
        <f>IF(D162&lt;&gt;"",IFERROR(INDEX(Clients!$B$5:$B$204,MATCH(D162,Clients!$A$5:$A$204,0)),F162),F162)</f>
        <v>0</v>
      </c>
      <c r="V162" s="31">
        <f>IF(A162="","",COUNTIFS('Quote Lines'!$B$5:$B$604,A162))</f>
        <v>0</v>
      </c>
      <c r="W162" s="34">
        <f>IF(A162="","",SUMIFS('Quote Lines'!$N$5:$N$604,'Quote Lines'!$B$5:$B$604,A162))</f>
        <v>0</v>
      </c>
      <c r="X162" s="21">
        <f>IF(A162="","",SUMIFS('Quote Lines'!$P$5:$P$604,'Quote Lines'!$B$5:$B$604,A162))</f>
        <v>0</v>
      </c>
      <c r="Y162" s="21">
        <f>IF(A162="","",ROUND(X162*IF(O162="",0,O162),2))</f>
        <v>0</v>
      </c>
      <c r="Z162" s="21">
        <f>IF(A162="","",X162-Y162)</f>
        <v>0</v>
      </c>
      <c r="AA162" s="21">
        <f>IF(A162="","",ROUND(Z162*TaxRate,2))</f>
        <v>0</v>
      </c>
      <c r="AB162" s="21">
        <f>IF(A162="","",Z162+AA162)</f>
        <v>0</v>
      </c>
      <c r="AC162" s="21">
        <f>IF(A162="","",IF(P162&lt;&gt;"",P162,ROUND(AB162*DepositPercent,2)))</f>
        <v>0</v>
      </c>
      <c r="AD162" s="21">
        <f>IF(A162="","",SUMIFS('Quote Lines'!$Q$5:$Q$604,'Quote Lines'!$B$5:$B$604,A162))</f>
        <v>0</v>
      </c>
      <c r="AE162" s="21">
        <f>IF(A162="","",Z162-AD162)</f>
        <v>0</v>
      </c>
      <c r="AF162" s="38">
        <f>IF(OR(A162="",Z162=0),"",AE162/Z162)</f>
        <v>0</v>
      </c>
      <c r="AG162" s="18">
        <f>IF(OR(A162="",B162=""),"",IF(Q162&lt;&gt;"",Q162,B162+QuoteValidDays))</f>
        <v>0</v>
      </c>
      <c r="AH162" s="31">
        <f>IF(OR(A162="",L162=""),"",IF(OR(K162="Accepted",K162="Declined"),"",TodayDate-L162))</f>
        <v>0</v>
      </c>
      <c r="AI162" s="50">
        <f>IF(OR(A162="",AG162=""),"",IF(AND(AG162&lt;TodayDate,K162&lt;&gt;"Accepted",K162&lt;&gt;"Declined"),"Yes","No"))</f>
        <v>0</v>
      </c>
      <c r="AJ162" s="50">
        <f>IF(B162="","",IF(K162="Accepted","Yes",IF(K162="Declined","No","")))</f>
        <v>0</v>
      </c>
      <c r="AK162" s="39">
        <f>IF(B162="","",IF(K162="Accepted",IF(R162="","Action - accepted, book the job","OK - won"),IF(K162="Declined","Closed",IF(V162=0,"Add - no lines on this quote yet",IF(K162="Draft","Draft - not sent",IF(AI162="Yes","Expired - re-quote or close",IF(AND(AH162&lt;&gt;"",AH162&gt;=QuoteFollowupDays),"Chase - "&amp;AH162&amp;" days with no answer","OK")))))))</f>
        <v>0</v>
      </c>
    </row>
    <row r="163" spans="1:37">
      <c r="A163" s="43">
        <f>IF(B163="","",QuotePrefix&amp;TEXT(ROW()-4,"0000"))</f>
        <v>0</v>
      </c>
      <c r="C163" s="23">
        <f>IF(B163="","",TEXT(B163,"yyyy-mm"))</f>
        <v>0</v>
      </c>
      <c r="E163" s="23">
        <f>IF(D163&lt;&gt;"",IFERROR(INDEX(Clients!$B$5:$B$204,MATCH(D163,Clients!$A$5:$A$204,0)),F163),F163)</f>
        <v>0</v>
      </c>
      <c r="V163" s="31">
        <f>IF(A163="","",COUNTIFS('Quote Lines'!$B$5:$B$604,A163))</f>
        <v>0</v>
      </c>
      <c r="W163" s="34">
        <f>IF(A163="","",SUMIFS('Quote Lines'!$N$5:$N$604,'Quote Lines'!$B$5:$B$604,A163))</f>
        <v>0</v>
      </c>
      <c r="X163" s="21">
        <f>IF(A163="","",SUMIFS('Quote Lines'!$P$5:$P$604,'Quote Lines'!$B$5:$B$604,A163))</f>
        <v>0</v>
      </c>
      <c r="Y163" s="21">
        <f>IF(A163="","",ROUND(X163*IF(O163="",0,O163),2))</f>
        <v>0</v>
      </c>
      <c r="Z163" s="21">
        <f>IF(A163="","",X163-Y163)</f>
        <v>0</v>
      </c>
      <c r="AA163" s="21">
        <f>IF(A163="","",ROUND(Z163*TaxRate,2))</f>
        <v>0</v>
      </c>
      <c r="AB163" s="21">
        <f>IF(A163="","",Z163+AA163)</f>
        <v>0</v>
      </c>
      <c r="AC163" s="21">
        <f>IF(A163="","",IF(P163&lt;&gt;"",P163,ROUND(AB163*DepositPercent,2)))</f>
        <v>0</v>
      </c>
      <c r="AD163" s="21">
        <f>IF(A163="","",SUMIFS('Quote Lines'!$Q$5:$Q$604,'Quote Lines'!$B$5:$B$604,A163))</f>
        <v>0</v>
      </c>
      <c r="AE163" s="21">
        <f>IF(A163="","",Z163-AD163)</f>
        <v>0</v>
      </c>
      <c r="AF163" s="38">
        <f>IF(OR(A163="",Z163=0),"",AE163/Z163)</f>
        <v>0</v>
      </c>
      <c r="AG163" s="18">
        <f>IF(OR(A163="",B163=""),"",IF(Q163&lt;&gt;"",Q163,B163+QuoteValidDays))</f>
        <v>0</v>
      </c>
      <c r="AH163" s="31">
        <f>IF(OR(A163="",L163=""),"",IF(OR(K163="Accepted",K163="Declined"),"",TodayDate-L163))</f>
        <v>0</v>
      </c>
      <c r="AI163" s="50">
        <f>IF(OR(A163="",AG163=""),"",IF(AND(AG163&lt;TodayDate,K163&lt;&gt;"Accepted",K163&lt;&gt;"Declined"),"Yes","No"))</f>
        <v>0</v>
      </c>
      <c r="AJ163" s="50">
        <f>IF(B163="","",IF(K163="Accepted","Yes",IF(K163="Declined","No","")))</f>
        <v>0</v>
      </c>
      <c r="AK163" s="39">
        <f>IF(B163="","",IF(K163="Accepted",IF(R163="","Action - accepted, book the job","OK - won"),IF(K163="Declined","Closed",IF(V163=0,"Add - no lines on this quote yet",IF(K163="Draft","Draft - not sent",IF(AI163="Yes","Expired - re-quote or close",IF(AND(AH163&lt;&gt;"",AH163&gt;=QuoteFollowupDays),"Chase - "&amp;AH163&amp;" days with no answer","OK")))))))</f>
        <v>0</v>
      </c>
    </row>
    <row r="164" spans="1:37">
      <c r="A164" s="43">
        <f>IF(B164="","",QuotePrefix&amp;TEXT(ROW()-4,"0000"))</f>
        <v>0</v>
      </c>
      <c r="C164" s="23">
        <f>IF(B164="","",TEXT(B164,"yyyy-mm"))</f>
        <v>0</v>
      </c>
      <c r="E164" s="23">
        <f>IF(D164&lt;&gt;"",IFERROR(INDEX(Clients!$B$5:$B$204,MATCH(D164,Clients!$A$5:$A$204,0)),F164),F164)</f>
        <v>0</v>
      </c>
      <c r="V164" s="31">
        <f>IF(A164="","",COUNTIFS('Quote Lines'!$B$5:$B$604,A164))</f>
        <v>0</v>
      </c>
      <c r="W164" s="34">
        <f>IF(A164="","",SUMIFS('Quote Lines'!$N$5:$N$604,'Quote Lines'!$B$5:$B$604,A164))</f>
        <v>0</v>
      </c>
      <c r="X164" s="21">
        <f>IF(A164="","",SUMIFS('Quote Lines'!$P$5:$P$604,'Quote Lines'!$B$5:$B$604,A164))</f>
        <v>0</v>
      </c>
      <c r="Y164" s="21">
        <f>IF(A164="","",ROUND(X164*IF(O164="",0,O164),2))</f>
        <v>0</v>
      </c>
      <c r="Z164" s="21">
        <f>IF(A164="","",X164-Y164)</f>
        <v>0</v>
      </c>
      <c r="AA164" s="21">
        <f>IF(A164="","",ROUND(Z164*TaxRate,2))</f>
        <v>0</v>
      </c>
      <c r="AB164" s="21">
        <f>IF(A164="","",Z164+AA164)</f>
        <v>0</v>
      </c>
      <c r="AC164" s="21">
        <f>IF(A164="","",IF(P164&lt;&gt;"",P164,ROUND(AB164*DepositPercent,2)))</f>
        <v>0</v>
      </c>
      <c r="AD164" s="21">
        <f>IF(A164="","",SUMIFS('Quote Lines'!$Q$5:$Q$604,'Quote Lines'!$B$5:$B$604,A164))</f>
        <v>0</v>
      </c>
      <c r="AE164" s="21">
        <f>IF(A164="","",Z164-AD164)</f>
        <v>0</v>
      </c>
      <c r="AF164" s="38">
        <f>IF(OR(A164="",Z164=0),"",AE164/Z164)</f>
        <v>0</v>
      </c>
      <c r="AG164" s="18">
        <f>IF(OR(A164="",B164=""),"",IF(Q164&lt;&gt;"",Q164,B164+QuoteValidDays))</f>
        <v>0</v>
      </c>
      <c r="AH164" s="31">
        <f>IF(OR(A164="",L164=""),"",IF(OR(K164="Accepted",K164="Declined"),"",TodayDate-L164))</f>
        <v>0</v>
      </c>
      <c r="AI164" s="50">
        <f>IF(OR(A164="",AG164=""),"",IF(AND(AG164&lt;TodayDate,K164&lt;&gt;"Accepted",K164&lt;&gt;"Declined"),"Yes","No"))</f>
        <v>0</v>
      </c>
      <c r="AJ164" s="50">
        <f>IF(B164="","",IF(K164="Accepted","Yes",IF(K164="Declined","No","")))</f>
        <v>0</v>
      </c>
      <c r="AK164" s="39">
        <f>IF(B164="","",IF(K164="Accepted",IF(R164="","Action - accepted, book the job","OK - won"),IF(K164="Declined","Closed",IF(V164=0,"Add - no lines on this quote yet",IF(K164="Draft","Draft - not sent",IF(AI164="Yes","Expired - re-quote or close",IF(AND(AH164&lt;&gt;"",AH164&gt;=QuoteFollowupDays),"Chase - "&amp;AH164&amp;" days with no answer","OK")))))))</f>
        <v>0</v>
      </c>
    </row>
    <row r="165" spans="1:37">
      <c r="A165" s="43">
        <f>IF(B165="","",QuotePrefix&amp;TEXT(ROW()-4,"0000"))</f>
        <v>0</v>
      </c>
      <c r="C165" s="23">
        <f>IF(B165="","",TEXT(B165,"yyyy-mm"))</f>
        <v>0</v>
      </c>
      <c r="E165" s="23">
        <f>IF(D165&lt;&gt;"",IFERROR(INDEX(Clients!$B$5:$B$204,MATCH(D165,Clients!$A$5:$A$204,0)),F165),F165)</f>
        <v>0</v>
      </c>
      <c r="V165" s="31">
        <f>IF(A165="","",COUNTIFS('Quote Lines'!$B$5:$B$604,A165))</f>
        <v>0</v>
      </c>
      <c r="W165" s="34">
        <f>IF(A165="","",SUMIFS('Quote Lines'!$N$5:$N$604,'Quote Lines'!$B$5:$B$604,A165))</f>
        <v>0</v>
      </c>
      <c r="X165" s="21">
        <f>IF(A165="","",SUMIFS('Quote Lines'!$P$5:$P$604,'Quote Lines'!$B$5:$B$604,A165))</f>
        <v>0</v>
      </c>
      <c r="Y165" s="21">
        <f>IF(A165="","",ROUND(X165*IF(O165="",0,O165),2))</f>
        <v>0</v>
      </c>
      <c r="Z165" s="21">
        <f>IF(A165="","",X165-Y165)</f>
        <v>0</v>
      </c>
      <c r="AA165" s="21">
        <f>IF(A165="","",ROUND(Z165*TaxRate,2))</f>
        <v>0</v>
      </c>
      <c r="AB165" s="21">
        <f>IF(A165="","",Z165+AA165)</f>
        <v>0</v>
      </c>
      <c r="AC165" s="21">
        <f>IF(A165="","",IF(P165&lt;&gt;"",P165,ROUND(AB165*DepositPercent,2)))</f>
        <v>0</v>
      </c>
      <c r="AD165" s="21">
        <f>IF(A165="","",SUMIFS('Quote Lines'!$Q$5:$Q$604,'Quote Lines'!$B$5:$B$604,A165))</f>
        <v>0</v>
      </c>
      <c r="AE165" s="21">
        <f>IF(A165="","",Z165-AD165)</f>
        <v>0</v>
      </c>
      <c r="AF165" s="38">
        <f>IF(OR(A165="",Z165=0),"",AE165/Z165)</f>
        <v>0</v>
      </c>
      <c r="AG165" s="18">
        <f>IF(OR(A165="",B165=""),"",IF(Q165&lt;&gt;"",Q165,B165+QuoteValidDays))</f>
        <v>0</v>
      </c>
      <c r="AH165" s="31">
        <f>IF(OR(A165="",L165=""),"",IF(OR(K165="Accepted",K165="Declined"),"",TodayDate-L165))</f>
        <v>0</v>
      </c>
      <c r="AI165" s="50">
        <f>IF(OR(A165="",AG165=""),"",IF(AND(AG165&lt;TodayDate,K165&lt;&gt;"Accepted",K165&lt;&gt;"Declined"),"Yes","No"))</f>
        <v>0</v>
      </c>
      <c r="AJ165" s="50">
        <f>IF(B165="","",IF(K165="Accepted","Yes",IF(K165="Declined","No","")))</f>
        <v>0</v>
      </c>
      <c r="AK165" s="39">
        <f>IF(B165="","",IF(K165="Accepted",IF(R165="","Action - accepted, book the job","OK - won"),IF(K165="Declined","Closed",IF(V165=0,"Add - no lines on this quote yet",IF(K165="Draft","Draft - not sent",IF(AI165="Yes","Expired - re-quote or close",IF(AND(AH165&lt;&gt;"",AH165&gt;=QuoteFollowupDays),"Chase - "&amp;AH165&amp;" days with no answer","OK")))))))</f>
        <v>0</v>
      </c>
    </row>
    <row r="166" spans="1:37">
      <c r="A166" s="43">
        <f>IF(B166="","",QuotePrefix&amp;TEXT(ROW()-4,"0000"))</f>
        <v>0</v>
      </c>
      <c r="C166" s="23">
        <f>IF(B166="","",TEXT(B166,"yyyy-mm"))</f>
        <v>0</v>
      </c>
      <c r="E166" s="23">
        <f>IF(D166&lt;&gt;"",IFERROR(INDEX(Clients!$B$5:$B$204,MATCH(D166,Clients!$A$5:$A$204,0)),F166),F166)</f>
        <v>0</v>
      </c>
      <c r="V166" s="31">
        <f>IF(A166="","",COUNTIFS('Quote Lines'!$B$5:$B$604,A166))</f>
        <v>0</v>
      </c>
      <c r="W166" s="34">
        <f>IF(A166="","",SUMIFS('Quote Lines'!$N$5:$N$604,'Quote Lines'!$B$5:$B$604,A166))</f>
        <v>0</v>
      </c>
      <c r="X166" s="21">
        <f>IF(A166="","",SUMIFS('Quote Lines'!$P$5:$P$604,'Quote Lines'!$B$5:$B$604,A166))</f>
        <v>0</v>
      </c>
      <c r="Y166" s="21">
        <f>IF(A166="","",ROUND(X166*IF(O166="",0,O166),2))</f>
        <v>0</v>
      </c>
      <c r="Z166" s="21">
        <f>IF(A166="","",X166-Y166)</f>
        <v>0</v>
      </c>
      <c r="AA166" s="21">
        <f>IF(A166="","",ROUND(Z166*TaxRate,2))</f>
        <v>0</v>
      </c>
      <c r="AB166" s="21">
        <f>IF(A166="","",Z166+AA166)</f>
        <v>0</v>
      </c>
      <c r="AC166" s="21">
        <f>IF(A166="","",IF(P166&lt;&gt;"",P166,ROUND(AB166*DepositPercent,2)))</f>
        <v>0</v>
      </c>
      <c r="AD166" s="21">
        <f>IF(A166="","",SUMIFS('Quote Lines'!$Q$5:$Q$604,'Quote Lines'!$B$5:$B$604,A166))</f>
        <v>0</v>
      </c>
      <c r="AE166" s="21">
        <f>IF(A166="","",Z166-AD166)</f>
        <v>0</v>
      </c>
      <c r="AF166" s="38">
        <f>IF(OR(A166="",Z166=0),"",AE166/Z166)</f>
        <v>0</v>
      </c>
      <c r="AG166" s="18">
        <f>IF(OR(A166="",B166=""),"",IF(Q166&lt;&gt;"",Q166,B166+QuoteValidDays))</f>
        <v>0</v>
      </c>
      <c r="AH166" s="31">
        <f>IF(OR(A166="",L166=""),"",IF(OR(K166="Accepted",K166="Declined"),"",TodayDate-L166))</f>
        <v>0</v>
      </c>
      <c r="AI166" s="50">
        <f>IF(OR(A166="",AG166=""),"",IF(AND(AG166&lt;TodayDate,K166&lt;&gt;"Accepted",K166&lt;&gt;"Declined"),"Yes","No"))</f>
        <v>0</v>
      </c>
      <c r="AJ166" s="50">
        <f>IF(B166="","",IF(K166="Accepted","Yes",IF(K166="Declined","No","")))</f>
        <v>0</v>
      </c>
      <c r="AK166" s="39">
        <f>IF(B166="","",IF(K166="Accepted",IF(R166="","Action - accepted, book the job","OK - won"),IF(K166="Declined","Closed",IF(V166=0,"Add - no lines on this quote yet",IF(K166="Draft","Draft - not sent",IF(AI166="Yes","Expired - re-quote or close",IF(AND(AH166&lt;&gt;"",AH166&gt;=QuoteFollowupDays),"Chase - "&amp;AH166&amp;" days with no answer","OK")))))))</f>
        <v>0</v>
      </c>
    </row>
    <row r="167" spans="1:37">
      <c r="A167" s="43">
        <f>IF(B167="","",QuotePrefix&amp;TEXT(ROW()-4,"0000"))</f>
        <v>0</v>
      </c>
      <c r="C167" s="23">
        <f>IF(B167="","",TEXT(B167,"yyyy-mm"))</f>
        <v>0</v>
      </c>
      <c r="E167" s="23">
        <f>IF(D167&lt;&gt;"",IFERROR(INDEX(Clients!$B$5:$B$204,MATCH(D167,Clients!$A$5:$A$204,0)),F167),F167)</f>
        <v>0</v>
      </c>
      <c r="V167" s="31">
        <f>IF(A167="","",COUNTIFS('Quote Lines'!$B$5:$B$604,A167))</f>
        <v>0</v>
      </c>
      <c r="W167" s="34">
        <f>IF(A167="","",SUMIFS('Quote Lines'!$N$5:$N$604,'Quote Lines'!$B$5:$B$604,A167))</f>
        <v>0</v>
      </c>
      <c r="X167" s="21">
        <f>IF(A167="","",SUMIFS('Quote Lines'!$P$5:$P$604,'Quote Lines'!$B$5:$B$604,A167))</f>
        <v>0</v>
      </c>
      <c r="Y167" s="21">
        <f>IF(A167="","",ROUND(X167*IF(O167="",0,O167),2))</f>
        <v>0</v>
      </c>
      <c r="Z167" s="21">
        <f>IF(A167="","",X167-Y167)</f>
        <v>0</v>
      </c>
      <c r="AA167" s="21">
        <f>IF(A167="","",ROUND(Z167*TaxRate,2))</f>
        <v>0</v>
      </c>
      <c r="AB167" s="21">
        <f>IF(A167="","",Z167+AA167)</f>
        <v>0</v>
      </c>
      <c r="AC167" s="21">
        <f>IF(A167="","",IF(P167&lt;&gt;"",P167,ROUND(AB167*DepositPercent,2)))</f>
        <v>0</v>
      </c>
      <c r="AD167" s="21">
        <f>IF(A167="","",SUMIFS('Quote Lines'!$Q$5:$Q$604,'Quote Lines'!$B$5:$B$604,A167))</f>
        <v>0</v>
      </c>
      <c r="AE167" s="21">
        <f>IF(A167="","",Z167-AD167)</f>
        <v>0</v>
      </c>
      <c r="AF167" s="38">
        <f>IF(OR(A167="",Z167=0),"",AE167/Z167)</f>
        <v>0</v>
      </c>
      <c r="AG167" s="18">
        <f>IF(OR(A167="",B167=""),"",IF(Q167&lt;&gt;"",Q167,B167+QuoteValidDays))</f>
        <v>0</v>
      </c>
      <c r="AH167" s="31">
        <f>IF(OR(A167="",L167=""),"",IF(OR(K167="Accepted",K167="Declined"),"",TodayDate-L167))</f>
        <v>0</v>
      </c>
      <c r="AI167" s="50">
        <f>IF(OR(A167="",AG167=""),"",IF(AND(AG167&lt;TodayDate,K167&lt;&gt;"Accepted",K167&lt;&gt;"Declined"),"Yes","No"))</f>
        <v>0</v>
      </c>
      <c r="AJ167" s="50">
        <f>IF(B167="","",IF(K167="Accepted","Yes",IF(K167="Declined","No","")))</f>
        <v>0</v>
      </c>
      <c r="AK167" s="39">
        <f>IF(B167="","",IF(K167="Accepted",IF(R167="","Action - accepted, book the job","OK - won"),IF(K167="Declined","Closed",IF(V167=0,"Add - no lines on this quote yet",IF(K167="Draft","Draft - not sent",IF(AI167="Yes","Expired - re-quote or close",IF(AND(AH167&lt;&gt;"",AH167&gt;=QuoteFollowupDays),"Chase - "&amp;AH167&amp;" days with no answer","OK")))))))</f>
        <v>0</v>
      </c>
    </row>
    <row r="168" spans="1:37">
      <c r="A168" s="43">
        <f>IF(B168="","",QuotePrefix&amp;TEXT(ROW()-4,"0000"))</f>
        <v>0</v>
      </c>
      <c r="C168" s="23">
        <f>IF(B168="","",TEXT(B168,"yyyy-mm"))</f>
        <v>0</v>
      </c>
      <c r="E168" s="23">
        <f>IF(D168&lt;&gt;"",IFERROR(INDEX(Clients!$B$5:$B$204,MATCH(D168,Clients!$A$5:$A$204,0)),F168),F168)</f>
        <v>0</v>
      </c>
      <c r="V168" s="31">
        <f>IF(A168="","",COUNTIFS('Quote Lines'!$B$5:$B$604,A168))</f>
        <v>0</v>
      </c>
      <c r="W168" s="34">
        <f>IF(A168="","",SUMIFS('Quote Lines'!$N$5:$N$604,'Quote Lines'!$B$5:$B$604,A168))</f>
        <v>0</v>
      </c>
      <c r="X168" s="21">
        <f>IF(A168="","",SUMIFS('Quote Lines'!$P$5:$P$604,'Quote Lines'!$B$5:$B$604,A168))</f>
        <v>0</v>
      </c>
      <c r="Y168" s="21">
        <f>IF(A168="","",ROUND(X168*IF(O168="",0,O168),2))</f>
        <v>0</v>
      </c>
      <c r="Z168" s="21">
        <f>IF(A168="","",X168-Y168)</f>
        <v>0</v>
      </c>
      <c r="AA168" s="21">
        <f>IF(A168="","",ROUND(Z168*TaxRate,2))</f>
        <v>0</v>
      </c>
      <c r="AB168" s="21">
        <f>IF(A168="","",Z168+AA168)</f>
        <v>0</v>
      </c>
      <c r="AC168" s="21">
        <f>IF(A168="","",IF(P168&lt;&gt;"",P168,ROUND(AB168*DepositPercent,2)))</f>
        <v>0</v>
      </c>
      <c r="AD168" s="21">
        <f>IF(A168="","",SUMIFS('Quote Lines'!$Q$5:$Q$604,'Quote Lines'!$B$5:$B$604,A168))</f>
        <v>0</v>
      </c>
      <c r="AE168" s="21">
        <f>IF(A168="","",Z168-AD168)</f>
        <v>0</v>
      </c>
      <c r="AF168" s="38">
        <f>IF(OR(A168="",Z168=0),"",AE168/Z168)</f>
        <v>0</v>
      </c>
      <c r="AG168" s="18">
        <f>IF(OR(A168="",B168=""),"",IF(Q168&lt;&gt;"",Q168,B168+QuoteValidDays))</f>
        <v>0</v>
      </c>
      <c r="AH168" s="31">
        <f>IF(OR(A168="",L168=""),"",IF(OR(K168="Accepted",K168="Declined"),"",TodayDate-L168))</f>
        <v>0</v>
      </c>
      <c r="AI168" s="50">
        <f>IF(OR(A168="",AG168=""),"",IF(AND(AG168&lt;TodayDate,K168&lt;&gt;"Accepted",K168&lt;&gt;"Declined"),"Yes","No"))</f>
        <v>0</v>
      </c>
      <c r="AJ168" s="50">
        <f>IF(B168="","",IF(K168="Accepted","Yes",IF(K168="Declined","No","")))</f>
        <v>0</v>
      </c>
      <c r="AK168" s="39">
        <f>IF(B168="","",IF(K168="Accepted",IF(R168="","Action - accepted, book the job","OK - won"),IF(K168="Declined","Closed",IF(V168=0,"Add - no lines on this quote yet",IF(K168="Draft","Draft - not sent",IF(AI168="Yes","Expired - re-quote or close",IF(AND(AH168&lt;&gt;"",AH168&gt;=QuoteFollowupDays),"Chase - "&amp;AH168&amp;" days with no answer","OK")))))))</f>
        <v>0</v>
      </c>
    </row>
    <row r="169" spans="1:37">
      <c r="A169" s="43">
        <f>IF(B169="","",QuotePrefix&amp;TEXT(ROW()-4,"0000"))</f>
        <v>0</v>
      </c>
      <c r="C169" s="23">
        <f>IF(B169="","",TEXT(B169,"yyyy-mm"))</f>
        <v>0</v>
      </c>
      <c r="E169" s="23">
        <f>IF(D169&lt;&gt;"",IFERROR(INDEX(Clients!$B$5:$B$204,MATCH(D169,Clients!$A$5:$A$204,0)),F169),F169)</f>
        <v>0</v>
      </c>
      <c r="V169" s="31">
        <f>IF(A169="","",COUNTIFS('Quote Lines'!$B$5:$B$604,A169))</f>
        <v>0</v>
      </c>
      <c r="W169" s="34">
        <f>IF(A169="","",SUMIFS('Quote Lines'!$N$5:$N$604,'Quote Lines'!$B$5:$B$604,A169))</f>
        <v>0</v>
      </c>
      <c r="X169" s="21">
        <f>IF(A169="","",SUMIFS('Quote Lines'!$P$5:$P$604,'Quote Lines'!$B$5:$B$604,A169))</f>
        <v>0</v>
      </c>
      <c r="Y169" s="21">
        <f>IF(A169="","",ROUND(X169*IF(O169="",0,O169),2))</f>
        <v>0</v>
      </c>
      <c r="Z169" s="21">
        <f>IF(A169="","",X169-Y169)</f>
        <v>0</v>
      </c>
      <c r="AA169" s="21">
        <f>IF(A169="","",ROUND(Z169*TaxRate,2))</f>
        <v>0</v>
      </c>
      <c r="AB169" s="21">
        <f>IF(A169="","",Z169+AA169)</f>
        <v>0</v>
      </c>
      <c r="AC169" s="21">
        <f>IF(A169="","",IF(P169&lt;&gt;"",P169,ROUND(AB169*DepositPercent,2)))</f>
        <v>0</v>
      </c>
      <c r="AD169" s="21">
        <f>IF(A169="","",SUMIFS('Quote Lines'!$Q$5:$Q$604,'Quote Lines'!$B$5:$B$604,A169))</f>
        <v>0</v>
      </c>
      <c r="AE169" s="21">
        <f>IF(A169="","",Z169-AD169)</f>
        <v>0</v>
      </c>
      <c r="AF169" s="38">
        <f>IF(OR(A169="",Z169=0),"",AE169/Z169)</f>
        <v>0</v>
      </c>
      <c r="AG169" s="18">
        <f>IF(OR(A169="",B169=""),"",IF(Q169&lt;&gt;"",Q169,B169+QuoteValidDays))</f>
        <v>0</v>
      </c>
      <c r="AH169" s="31">
        <f>IF(OR(A169="",L169=""),"",IF(OR(K169="Accepted",K169="Declined"),"",TodayDate-L169))</f>
        <v>0</v>
      </c>
      <c r="AI169" s="50">
        <f>IF(OR(A169="",AG169=""),"",IF(AND(AG169&lt;TodayDate,K169&lt;&gt;"Accepted",K169&lt;&gt;"Declined"),"Yes","No"))</f>
        <v>0</v>
      </c>
      <c r="AJ169" s="50">
        <f>IF(B169="","",IF(K169="Accepted","Yes",IF(K169="Declined","No","")))</f>
        <v>0</v>
      </c>
      <c r="AK169" s="39">
        <f>IF(B169="","",IF(K169="Accepted",IF(R169="","Action - accepted, book the job","OK - won"),IF(K169="Declined","Closed",IF(V169=0,"Add - no lines on this quote yet",IF(K169="Draft","Draft - not sent",IF(AI169="Yes","Expired - re-quote or close",IF(AND(AH169&lt;&gt;"",AH169&gt;=QuoteFollowupDays),"Chase - "&amp;AH169&amp;" days with no answer","OK")))))))</f>
        <v>0</v>
      </c>
    </row>
    <row r="170" spans="1:37">
      <c r="A170" s="43">
        <f>IF(B170="","",QuotePrefix&amp;TEXT(ROW()-4,"0000"))</f>
        <v>0</v>
      </c>
      <c r="C170" s="23">
        <f>IF(B170="","",TEXT(B170,"yyyy-mm"))</f>
        <v>0</v>
      </c>
      <c r="E170" s="23">
        <f>IF(D170&lt;&gt;"",IFERROR(INDEX(Clients!$B$5:$B$204,MATCH(D170,Clients!$A$5:$A$204,0)),F170),F170)</f>
        <v>0</v>
      </c>
      <c r="V170" s="31">
        <f>IF(A170="","",COUNTIFS('Quote Lines'!$B$5:$B$604,A170))</f>
        <v>0</v>
      </c>
      <c r="W170" s="34">
        <f>IF(A170="","",SUMIFS('Quote Lines'!$N$5:$N$604,'Quote Lines'!$B$5:$B$604,A170))</f>
        <v>0</v>
      </c>
      <c r="X170" s="21">
        <f>IF(A170="","",SUMIFS('Quote Lines'!$P$5:$P$604,'Quote Lines'!$B$5:$B$604,A170))</f>
        <v>0</v>
      </c>
      <c r="Y170" s="21">
        <f>IF(A170="","",ROUND(X170*IF(O170="",0,O170),2))</f>
        <v>0</v>
      </c>
      <c r="Z170" s="21">
        <f>IF(A170="","",X170-Y170)</f>
        <v>0</v>
      </c>
      <c r="AA170" s="21">
        <f>IF(A170="","",ROUND(Z170*TaxRate,2))</f>
        <v>0</v>
      </c>
      <c r="AB170" s="21">
        <f>IF(A170="","",Z170+AA170)</f>
        <v>0</v>
      </c>
      <c r="AC170" s="21">
        <f>IF(A170="","",IF(P170&lt;&gt;"",P170,ROUND(AB170*DepositPercent,2)))</f>
        <v>0</v>
      </c>
      <c r="AD170" s="21">
        <f>IF(A170="","",SUMIFS('Quote Lines'!$Q$5:$Q$604,'Quote Lines'!$B$5:$B$604,A170))</f>
        <v>0</v>
      </c>
      <c r="AE170" s="21">
        <f>IF(A170="","",Z170-AD170)</f>
        <v>0</v>
      </c>
      <c r="AF170" s="38">
        <f>IF(OR(A170="",Z170=0),"",AE170/Z170)</f>
        <v>0</v>
      </c>
      <c r="AG170" s="18">
        <f>IF(OR(A170="",B170=""),"",IF(Q170&lt;&gt;"",Q170,B170+QuoteValidDays))</f>
        <v>0</v>
      </c>
      <c r="AH170" s="31">
        <f>IF(OR(A170="",L170=""),"",IF(OR(K170="Accepted",K170="Declined"),"",TodayDate-L170))</f>
        <v>0</v>
      </c>
      <c r="AI170" s="50">
        <f>IF(OR(A170="",AG170=""),"",IF(AND(AG170&lt;TodayDate,K170&lt;&gt;"Accepted",K170&lt;&gt;"Declined"),"Yes","No"))</f>
        <v>0</v>
      </c>
      <c r="AJ170" s="50">
        <f>IF(B170="","",IF(K170="Accepted","Yes",IF(K170="Declined","No","")))</f>
        <v>0</v>
      </c>
      <c r="AK170" s="39">
        <f>IF(B170="","",IF(K170="Accepted",IF(R170="","Action - accepted, book the job","OK - won"),IF(K170="Declined","Closed",IF(V170=0,"Add - no lines on this quote yet",IF(K170="Draft","Draft - not sent",IF(AI170="Yes","Expired - re-quote or close",IF(AND(AH170&lt;&gt;"",AH170&gt;=QuoteFollowupDays),"Chase - "&amp;AH170&amp;" days with no answer","OK")))))))</f>
        <v>0</v>
      </c>
    </row>
    <row r="171" spans="1:37">
      <c r="A171" s="43">
        <f>IF(B171="","",QuotePrefix&amp;TEXT(ROW()-4,"0000"))</f>
        <v>0</v>
      </c>
      <c r="C171" s="23">
        <f>IF(B171="","",TEXT(B171,"yyyy-mm"))</f>
        <v>0</v>
      </c>
      <c r="E171" s="23">
        <f>IF(D171&lt;&gt;"",IFERROR(INDEX(Clients!$B$5:$B$204,MATCH(D171,Clients!$A$5:$A$204,0)),F171),F171)</f>
        <v>0</v>
      </c>
      <c r="V171" s="31">
        <f>IF(A171="","",COUNTIFS('Quote Lines'!$B$5:$B$604,A171))</f>
        <v>0</v>
      </c>
      <c r="W171" s="34">
        <f>IF(A171="","",SUMIFS('Quote Lines'!$N$5:$N$604,'Quote Lines'!$B$5:$B$604,A171))</f>
        <v>0</v>
      </c>
      <c r="X171" s="21">
        <f>IF(A171="","",SUMIFS('Quote Lines'!$P$5:$P$604,'Quote Lines'!$B$5:$B$604,A171))</f>
        <v>0</v>
      </c>
      <c r="Y171" s="21">
        <f>IF(A171="","",ROUND(X171*IF(O171="",0,O171),2))</f>
        <v>0</v>
      </c>
      <c r="Z171" s="21">
        <f>IF(A171="","",X171-Y171)</f>
        <v>0</v>
      </c>
      <c r="AA171" s="21">
        <f>IF(A171="","",ROUND(Z171*TaxRate,2))</f>
        <v>0</v>
      </c>
      <c r="AB171" s="21">
        <f>IF(A171="","",Z171+AA171)</f>
        <v>0</v>
      </c>
      <c r="AC171" s="21">
        <f>IF(A171="","",IF(P171&lt;&gt;"",P171,ROUND(AB171*DepositPercent,2)))</f>
        <v>0</v>
      </c>
      <c r="AD171" s="21">
        <f>IF(A171="","",SUMIFS('Quote Lines'!$Q$5:$Q$604,'Quote Lines'!$B$5:$B$604,A171))</f>
        <v>0</v>
      </c>
      <c r="AE171" s="21">
        <f>IF(A171="","",Z171-AD171)</f>
        <v>0</v>
      </c>
      <c r="AF171" s="38">
        <f>IF(OR(A171="",Z171=0),"",AE171/Z171)</f>
        <v>0</v>
      </c>
      <c r="AG171" s="18">
        <f>IF(OR(A171="",B171=""),"",IF(Q171&lt;&gt;"",Q171,B171+QuoteValidDays))</f>
        <v>0</v>
      </c>
      <c r="AH171" s="31">
        <f>IF(OR(A171="",L171=""),"",IF(OR(K171="Accepted",K171="Declined"),"",TodayDate-L171))</f>
        <v>0</v>
      </c>
      <c r="AI171" s="50">
        <f>IF(OR(A171="",AG171=""),"",IF(AND(AG171&lt;TodayDate,K171&lt;&gt;"Accepted",K171&lt;&gt;"Declined"),"Yes","No"))</f>
        <v>0</v>
      </c>
      <c r="AJ171" s="50">
        <f>IF(B171="","",IF(K171="Accepted","Yes",IF(K171="Declined","No","")))</f>
        <v>0</v>
      </c>
      <c r="AK171" s="39">
        <f>IF(B171="","",IF(K171="Accepted",IF(R171="","Action - accepted, book the job","OK - won"),IF(K171="Declined","Closed",IF(V171=0,"Add - no lines on this quote yet",IF(K171="Draft","Draft - not sent",IF(AI171="Yes","Expired - re-quote or close",IF(AND(AH171&lt;&gt;"",AH171&gt;=QuoteFollowupDays),"Chase - "&amp;AH171&amp;" days with no answer","OK")))))))</f>
        <v>0</v>
      </c>
    </row>
    <row r="172" spans="1:37">
      <c r="A172" s="43">
        <f>IF(B172="","",QuotePrefix&amp;TEXT(ROW()-4,"0000"))</f>
        <v>0</v>
      </c>
      <c r="C172" s="23">
        <f>IF(B172="","",TEXT(B172,"yyyy-mm"))</f>
        <v>0</v>
      </c>
      <c r="E172" s="23">
        <f>IF(D172&lt;&gt;"",IFERROR(INDEX(Clients!$B$5:$B$204,MATCH(D172,Clients!$A$5:$A$204,0)),F172),F172)</f>
        <v>0</v>
      </c>
      <c r="V172" s="31">
        <f>IF(A172="","",COUNTIFS('Quote Lines'!$B$5:$B$604,A172))</f>
        <v>0</v>
      </c>
      <c r="W172" s="34">
        <f>IF(A172="","",SUMIFS('Quote Lines'!$N$5:$N$604,'Quote Lines'!$B$5:$B$604,A172))</f>
        <v>0</v>
      </c>
      <c r="X172" s="21">
        <f>IF(A172="","",SUMIFS('Quote Lines'!$P$5:$P$604,'Quote Lines'!$B$5:$B$604,A172))</f>
        <v>0</v>
      </c>
      <c r="Y172" s="21">
        <f>IF(A172="","",ROUND(X172*IF(O172="",0,O172),2))</f>
        <v>0</v>
      </c>
      <c r="Z172" s="21">
        <f>IF(A172="","",X172-Y172)</f>
        <v>0</v>
      </c>
      <c r="AA172" s="21">
        <f>IF(A172="","",ROUND(Z172*TaxRate,2))</f>
        <v>0</v>
      </c>
      <c r="AB172" s="21">
        <f>IF(A172="","",Z172+AA172)</f>
        <v>0</v>
      </c>
      <c r="AC172" s="21">
        <f>IF(A172="","",IF(P172&lt;&gt;"",P172,ROUND(AB172*DepositPercent,2)))</f>
        <v>0</v>
      </c>
      <c r="AD172" s="21">
        <f>IF(A172="","",SUMIFS('Quote Lines'!$Q$5:$Q$604,'Quote Lines'!$B$5:$B$604,A172))</f>
        <v>0</v>
      </c>
      <c r="AE172" s="21">
        <f>IF(A172="","",Z172-AD172)</f>
        <v>0</v>
      </c>
      <c r="AF172" s="38">
        <f>IF(OR(A172="",Z172=0),"",AE172/Z172)</f>
        <v>0</v>
      </c>
      <c r="AG172" s="18">
        <f>IF(OR(A172="",B172=""),"",IF(Q172&lt;&gt;"",Q172,B172+QuoteValidDays))</f>
        <v>0</v>
      </c>
      <c r="AH172" s="31">
        <f>IF(OR(A172="",L172=""),"",IF(OR(K172="Accepted",K172="Declined"),"",TodayDate-L172))</f>
        <v>0</v>
      </c>
      <c r="AI172" s="50">
        <f>IF(OR(A172="",AG172=""),"",IF(AND(AG172&lt;TodayDate,K172&lt;&gt;"Accepted",K172&lt;&gt;"Declined"),"Yes","No"))</f>
        <v>0</v>
      </c>
      <c r="AJ172" s="50">
        <f>IF(B172="","",IF(K172="Accepted","Yes",IF(K172="Declined","No","")))</f>
        <v>0</v>
      </c>
      <c r="AK172" s="39">
        <f>IF(B172="","",IF(K172="Accepted",IF(R172="","Action - accepted, book the job","OK - won"),IF(K172="Declined","Closed",IF(V172=0,"Add - no lines on this quote yet",IF(K172="Draft","Draft - not sent",IF(AI172="Yes","Expired - re-quote or close",IF(AND(AH172&lt;&gt;"",AH172&gt;=QuoteFollowupDays),"Chase - "&amp;AH172&amp;" days with no answer","OK")))))))</f>
        <v>0</v>
      </c>
    </row>
    <row r="173" spans="1:37">
      <c r="A173" s="43">
        <f>IF(B173="","",QuotePrefix&amp;TEXT(ROW()-4,"0000"))</f>
        <v>0</v>
      </c>
      <c r="C173" s="23">
        <f>IF(B173="","",TEXT(B173,"yyyy-mm"))</f>
        <v>0</v>
      </c>
      <c r="E173" s="23">
        <f>IF(D173&lt;&gt;"",IFERROR(INDEX(Clients!$B$5:$B$204,MATCH(D173,Clients!$A$5:$A$204,0)),F173),F173)</f>
        <v>0</v>
      </c>
      <c r="V173" s="31">
        <f>IF(A173="","",COUNTIFS('Quote Lines'!$B$5:$B$604,A173))</f>
        <v>0</v>
      </c>
      <c r="W173" s="34">
        <f>IF(A173="","",SUMIFS('Quote Lines'!$N$5:$N$604,'Quote Lines'!$B$5:$B$604,A173))</f>
        <v>0</v>
      </c>
      <c r="X173" s="21">
        <f>IF(A173="","",SUMIFS('Quote Lines'!$P$5:$P$604,'Quote Lines'!$B$5:$B$604,A173))</f>
        <v>0</v>
      </c>
      <c r="Y173" s="21">
        <f>IF(A173="","",ROUND(X173*IF(O173="",0,O173),2))</f>
        <v>0</v>
      </c>
      <c r="Z173" s="21">
        <f>IF(A173="","",X173-Y173)</f>
        <v>0</v>
      </c>
      <c r="AA173" s="21">
        <f>IF(A173="","",ROUND(Z173*TaxRate,2))</f>
        <v>0</v>
      </c>
      <c r="AB173" s="21">
        <f>IF(A173="","",Z173+AA173)</f>
        <v>0</v>
      </c>
      <c r="AC173" s="21">
        <f>IF(A173="","",IF(P173&lt;&gt;"",P173,ROUND(AB173*DepositPercent,2)))</f>
        <v>0</v>
      </c>
      <c r="AD173" s="21">
        <f>IF(A173="","",SUMIFS('Quote Lines'!$Q$5:$Q$604,'Quote Lines'!$B$5:$B$604,A173))</f>
        <v>0</v>
      </c>
      <c r="AE173" s="21">
        <f>IF(A173="","",Z173-AD173)</f>
        <v>0</v>
      </c>
      <c r="AF173" s="38">
        <f>IF(OR(A173="",Z173=0),"",AE173/Z173)</f>
        <v>0</v>
      </c>
      <c r="AG173" s="18">
        <f>IF(OR(A173="",B173=""),"",IF(Q173&lt;&gt;"",Q173,B173+QuoteValidDays))</f>
        <v>0</v>
      </c>
      <c r="AH173" s="31">
        <f>IF(OR(A173="",L173=""),"",IF(OR(K173="Accepted",K173="Declined"),"",TodayDate-L173))</f>
        <v>0</v>
      </c>
      <c r="AI173" s="50">
        <f>IF(OR(A173="",AG173=""),"",IF(AND(AG173&lt;TodayDate,K173&lt;&gt;"Accepted",K173&lt;&gt;"Declined"),"Yes","No"))</f>
        <v>0</v>
      </c>
      <c r="AJ173" s="50">
        <f>IF(B173="","",IF(K173="Accepted","Yes",IF(K173="Declined","No","")))</f>
        <v>0</v>
      </c>
      <c r="AK173" s="39">
        <f>IF(B173="","",IF(K173="Accepted",IF(R173="","Action - accepted, book the job","OK - won"),IF(K173="Declined","Closed",IF(V173=0,"Add - no lines on this quote yet",IF(K173="Draft","Draft - not sent",IF(AI173="Yes","Expired - re-quote or close",IF(AND(AH173&lt;&gt;"",AH173&gt;=QuoteFollowupDays),"Chase - "&amp;AH173&amp;" days with no answer","OK")))))))</f>
        <v>0</v>
      </c>
    </row>
    <row r="174" spans="1:37">
      <c r="A174" s="43">
        <f>IF(B174="","",QuotePrefix&amp;TEXT(ROW()-4,"0000"))</f>
        <v>0</v>
      </c>
      <c r="C174" s="23">
        <f>IF(B174="","",TEXT(B174,"yyyy-mm"))</f>
        <v>0</v>
      </c>
      <c r="E174" s="23">
        <f>IF(D174&lt;&gt;"",IFERROR(INDEX(Clients!$B$5:$B$204,MATCH(D174,Clients!$A$5:$A$204,0)),F174),F174)</f>
        <v>0</v>
      </c>
      <c r="V174" s="31">
        <f>IF(A174="","",COUNTIFS('Quote Lines'!$B$5:$B$604,A174))</f>
        <v>0</v>
      </c>
      <c r="W174" s="34">
        <f>IF(A174="","",SUMIFS('Quote Lines'!$N$5:$N$604,'Quote Lines'!$B$5:$B$604,A174))</f>
        <v>0</v>
      </c>
      <c r="X174" s="21">
        <f>IF(A174="","",SUMIFS('Quote Lines'!$P$5:$P$604,'Quote Lines'!$B$5:$B$604,A174))</f>
        <v>0</v>
      </c>
      <c r="Y174" s="21">
        <f>IF(A174="","",ROUND(X174*IF(O174="",0,O174),2))</f>
        <v>0</v>
      </c>
      <c r="Z174" s="21">
        <f>IF(A174="","",X174-Y174)</f>
        <v>0</v>
      </c>
      <c r="AA174" s="21">
        <f>IF(A174="","",ROUND(Z174*TaxRate,2))</f>
        <v>0</v>
      </c>
      <c r="AB174" s="21">
        <f>IF(A174="","",Z174+AA174)</f>
        <v>0</v>
      </c>
      <c r="AC174" s="21">
        <f>IF(A174="","",IF(P174&lt;&gt;"",P174,ROUND(AB174*DepositPercent,2)))</f>
        <v>0</v>
      </c>
      <c r="AD174" s="21">
        <f>IF(A174="","",SUMIFS('Quote Lines'!$Q$5:$Q$604,'Quote Lines'!$B$5:$B$604,A174))</f>
        <v>0</v>
      </c>
      <c r="AE174" s="21">
        <f>IF(A174="","",Z174-AD174)</f>
        <v>0</v>
      </c>
      <c r="AF174" s="38">
        <f>IF(OR(A174="",Z174=0),"",AE174/Z174)</f>
        <v>0</v>
      </c>
      <c r="AG174" s="18">
        <f>IF(OR(A174="",B174=""),"",IF(Q174&lt;&gt;"",Q174,B174+QuoteValidDays))</f>
        <v>0</v>
      </c>
      <c r="AH174" s="31">
        <f>IF(OR(A174="",L174=""),"",IF(OR(K174="Accepted",K174="Declined"),"",TodayDate-L174))</f>
        <v>0</v>
      </c>
      <c r="AI174" s="50">
        <f>IF(OR(A174="",AG174=""),"",IF(AND(AG174&lt;TodayDate,K174&lt;&gt;"Accepted",K174&lt;&gt;"Declined"),"Yes","No"))</f>
        <v>0</v>
      </c>
      <c r="AJ174" s="50">
        <f>IF(B174="","",IF(K174="Accepted","Yes",IF(K174="Declined","No","")))</f>
        <v>0</v>
      </c>
      <c r="AK174" s="39">
        <f>IF(B174="","",IF(K174="Accepted",IF(R174="","Action - accepted, book the job","OK - won"),IF(K174="Declined","Closed",IF(V174=0,"Add - no lines on this quote yet",IF(K174="Draft","Draft - not sent",IF(AI174="Yes","Expired - re-quote or close",IF(AND(AH174&lt;&gt;"",AH174&gt;=QuoteFollowupDays),"Chase - "&amp;AH174&amp;" days with no answer","OK")))))))</f>
        <v>0</v>
      </c>
    </row>
    <row r="175" spans="1:37">
      <c r="A175" s="43">
        <f>IF(B175="","",QuotePrefix&amp;TEXT(ROW()-4,"0000"))</f>
        <v>0</v>
      </c>
      <c r="C175" s="23">
        <f>IF(B175="","",TEXT(B175,"yyyy-mm"))</f>
        <v>0</v>
      </c>
      <c r="E175" s="23">
        <f>IF(D175&lt;&gt;"",IFERROR(INDEX(Clients!$B$5:$B$204,MATCH(D175,Clients!$A$5:$A$204,0)),F175),F175)</f>
        <v>0</v>
      </c>
      <c r="V175" s="31">
        <f>IF(A175="","",COUNTIFS('Quote Lines'!$B$5:$B$604,A175))</f>
        <v>0</v>
      </c>
      <c r="W175" s="34">
        <f>IF(A175="","",SUMIFS('Quote Lines'!$N$5:$N$604,'Quote Lines'!$B$5:$B$604,A175))</f>
        <v>0</v>
      </c>
      <c r="X175" s="21">
        <f>IF(A175="","",SUMIFS('Quote Lines'!$P$5:$P$604,'Quote Lines'!$B$5:$B$604,A175))</f>
        <v>0</v>
      </c>
      <c r="Y175" s="21">
        <f>IF(A175="","",ROUND(X175*IF(O175="",0,O175),2))</f>
        <v>0</v>
      </c>
      <c r="Z175" s="21">
        <f>IF(A175="","",X175-Y175)</f>
        <v>0</v>
      </c>
      <c r="AA175" s="21">
        <f>IF(A175="","",ROUND(Z175*TaxRate,2))</f>
        <v>0</v>
      </c>
      <c r="AB175" s="21">
        <f>IF(A175="","",Z175+AA175)</f>
        <v>0</v>
      </c>
      <c r="AC175" s="21">
        <f>IF(A175="","",IF(P175&lt;&gt;"",P175,ROUND(AB175*DepositPercent,2)))</f>
        <v>0</v>
      </c>
      <c r="AD175" s="21">
        <f>IF(A175="","",SUMIFS('Quote Lines'!$Q$5:$Q$604,'Quote Lines'!$B$5:$B$604,A175))</f>
        <v>0</v>
      </c>
      <c r="AE175" s="21">
        <f>IF(A175="","",Z175-AD175)</f>
        <v>0</v>
      </c>
      <c r="AF175" s="38">
        <f>IF(OR(A175="",Z175=0),"",AE175/Z175)</f>
        <v>0</v>
      </c>
      <c r="AG175" s="18">
        <f>IF(OR(A175="",B175=""),"",IF(Q175&lt;&gt;"",Q175,B175+QuoteValidDays))</f>
        <v>0</v>
      </c>
      <c r="AH175" s="31">
        <f>IF(OR(A175="",L175=""),"",IF(OR(K175="Accepted",K175="Declined"),"",TodayDate-L175))</f>
        <v>0</v>
      </c>
      <c r="AI175" s="50">
        <f>IF(OR(A175="",AG175=""),"",IF(AND(AG175&lt;TodayDate,K175&lt;&gt;"Accepted",K175&lt;&gt;"Declined"),"Yes","No"))</f>
        <v>0</v>
      </c>
      <c r="AJ175" s="50">
        <f>IF(B175="","",IF(K175="Accepted","Yes",IF(K175="Declined","No","")))</f>
        <v>0</v>
      </c>
      <c r="AK175" s="39">
        <f>IF(B175="","",IF(K175="Accepted",IF(R175="","Action - accepted, book the job","OK - won"),IF(K175="Declined","Closed",IF(V175=0,"Add - no lines on this quote yet",IF(K175="Draft","Draft - not sent",IF(AI175="Yes","Expired - re-quote or close",IF(AND(AH175&lt;&gt;"",AH175&gt;=QuoteFollowupDays),"Chase - "&amp;AH175&amp;" days with no answer","OK")))))))</f>
        <v>0</v>
      </c>
    </row>
    <row r="176" spans="1:37">
      <c r="A176" s="43">
        <f>IF(B176="","",QuotePrefix&amp;TEXT(ROW()-4,"0000"))</f>
        <v>0</v>
      </c>
      <c r="C176" s="23">
        <f>IF(B176="","",TEXT(B176,"yyyy-mm"))</f>
        <v>0</v>
      </c>
      <c r="E176" s="23">
        <f>IF(D176&lt;&gt;"",IFERROR(INDEX(Clients!$B$5:$B$204,MATCH(D176,Clients!$A$5:$A$204,0)),F176),F176)</f>
        <v>0</v>
      </c>
      <c r="V176" s="31">
        <f>IF(A176="","",COUNTIFS('Quote Lines'!$B$5:$B$604,A176))</f>
        <v>0</v>
      </c>
      <c r="W176" s="34">
        <f>IF(A176="","",SUMIFS('Quote Lines'!$N$5:$N$604,'Quote Lines'!$B$5:$B$604,A176))</f>
        <v>0</v>
      </c>
      <c r="X176" s="21">
        <f>IF(A176="","",SUMIFS('Quote Lines'!$P$5:$P$604,'Quote Lines'!$B$5:$B$604,A176))</f>
        <v>0</v>
      </c>
      <c r="Y176" s="21">
        <f>IF(A176="","",ROUND(X176*IF(O176="",0,O176),2))</f>
        <v>0</v>
      </c>
      <c r="Z176" s="21">
        <f>IF(A176="","",X176-Y176)</f>
        <v>0</v>
      </c>
      <c r="AA176" s="21">
        <f>IF(A176="","",ROUND(Z176*TaxRate,2))</f>
        <v>0</v>
      </c>
      <c r="AB176" s="21">
        <f>IF(A176="","",Z176+AA176)</f>
        <v>0</v>
      </c>
      <c r="AC176" s="21">
        <f>IF(A176="","",IF(P176&lt;&gt;"",P176,ROUND(AB176*DepositPercent,2)))</f>
        <v>0</v>
      </c>
      <c r="AD176" s="21">
        <f>IF(A176="","",SUMIFS('Quote Lines'!$Q$5:$Q$604,'Quote Lines'!$B$5:$B$604,A176))</f>
        <v>0</v>
      </c>
      <c r="AE176" s="21">
        <f>IF(A176="","",Z176-AD176)</f>
        <v>0</v>
      </c>
      <c r="AF176" s="38">
        <f>IF(OR(A176="",Z176=0),"",AE176/Z176)</f>
        <v>0</v>
      </c>
      <c r="AG176" s="18">
        <f>IF(OR(A176="",B176=""),"",IF(Q176&lt;&gt;"",Q176,B176+QuoteValidDays))</f>
        <v>0</v>
      </c>
      <c r="AH176" s="31">
        <f>IF(OR(A176="",L176=""),"",IF(OR(K176="Accepted",K176="Declined"),"",TodayDate-L176))</f>
        <v>0</v>
      </c>
      <c r="AI176" s="50">
        <f>IF(OR(A176="",AG176=""),"",IF(AND(AG176&lt;TodayDate,K176&lt;&gt;"Accepted",K176&lt;&gt;"Declined"),"Yes","No"))</f>
        <v>0</v>
      </c>
      <c r="AJ176" s="50">
        <f>IF(B176="","",IF(K176="Accepted","Yes",IF(K176="Declined","No","")))</f>
        <v>0</v>
      </c>
      <c r="AK176" s="39">
        <f>IF(B176="","",IF(K176="Accepted",IF(R176="","Action - accepted, book the job","OK - won"),IF(K176="Declined","Closed",IF(V176=0,"Add - no lines on this quote yet",IF(K176="Draft","Draft - not sent",IF(AI176="Yes","Expired - re-quote or close",IF(AND(AH176&lt;&gt;"",AH176&gt;=QuoteFollowupDays),"Chase - "&amp;AH176&amp;" days with no answer","OK")))))))</f>
        <v>0</v>
      </c>
    </row>
    <row r="177" spans="1:37">
      <c r="A177" s="43">
        <f>IF(B177="","",QuotePrefix&amp;TEXT(ROW()-4,"0000"))</f>
        <v>0</v>
      </c>
      <c r="C177" s="23">
        <f>IF(B177="","",TEXT(B177,"yyyy-mm"))</f>
        <v>0</v>
      </c>
      <c r="E177" s="23">
        <f>IF(D177&lt;&gt;"",IFERROR(INDEX(Clients!$B$5:$B$204,MATCH(D177,Clients!$A$5:$A$204,0)),F177),F177)</f>
        <v>0</v>
      </c>
      <c r="V177" s="31">
        <f>IF(A177="","",COUNTIFS('Quote Lines'!$B$5:$B$604,A177))</f>
        <v>0</v>
      </c>
      <c r="W177" s="34">
        <f>IF(A177="","",SUMIFS('Quote Lines'!$N$5:$N$604,'Quote Lines'!$B$5:$B$604,A177))</f>
        <v>0</v>
      </c>
      <c r="X177" s="21">
        <f>IF(A177="","",SUMIFS('Quote Lines'!$P$5:$P$604,'Quote Lines'!$B$5:$B$604,A177))</f>
        <v>0</v>
      </c>
      <c r="Y177" s="21">
        <f>IF(A177="","",ROUND(X177*IF(O177="",0,O177),2))</f>
        <v>0</v>
      </c>
      <c r="Z177" s="21">
        <f>IF(A177="","",X177-Y177)</f>
        <v>0</v>
      </c>
      <c r="AA177" s="21">
        <f>IF(A177="","",ROUND(Z177*TaxRate,2))</f>
        <v>0</v>
      </c>
      <c r="AB177" s="21">
        <f>IF(A177="","",Z177+AA177)</f>
        <v>0</v>
      </c>
      <c r="AC177" s="21">
        <f>IF(A177="","",IF(P177&lt;&gt;"",P177,ROUND(AB177*DepositPercent,2)))</f>
        <v>0</v>
      </c>
      <c r="AD177" s="21">
        <f>IF(A177="","",SUMIFS('Quote Lines'!$Q$5:$Q$604,'Quote Lines'!$B$5:$B$604,A177))</f>
        <v>0</v>
      </c>
      <c r="AE177" s="21">
        <f>IF(A177="","",Z177-AD177)</f>
        <v>0</v>
      </c>
      <c r="AF177" s="38">
        <f>IF(OR(A177="",Z177=0),"",AE177/Z177)</f>
        <v>0</v>
      </c>
      <c r="AG177" s="18">
        <f>IF(OR(A177="",B177=""),"",IF(Q177&lt;&gt;"",Q177,B177+QuoteValidDays))</f>
        <v>0</v>
      </c>
      <c r="AH177" s="31">
        <f>IF(OR(A177="",L177=""),"",IF(OR(K177="Accepted",K177="Declined"),"",TodayDate-L177))</f>
        <v>0</v>
      </c>
      <c r="AI177" s="50">
        <f>IF(OR(A177="",AG177=""),"",IF(AND(AG177&lt;TodayDate,K177&lt;&gt;"Accepted",K177&lt;&gt;"Declined"),"Yes","No"))</f>
        <v>0</v>
      </c>
      <c r="AJ177" s="50">
        <f>IF(B177="","",IF(K177="Accepted","Yes",IF(K177="Declined","No","")))</f>
        <v>0</v>
      </c>
      <c r="AK177" s="39">
        <f>IF(B177="","",IF(K177="Accepted",IF(R177="","Action - accepted, book the job","OK - won"),IF(K177="Declined","Closed",IF(V177=0,"Add - no lines on this quote yet",IF(K177="Draft","Draft - not sent",IF(AI177="Yes","Expired - re-quote or close",IF(AND(AH177&lt;&gt;"",AH177&gt;=QuoteFollowupDays),"Chase - "&amp;AH177&amp;" days with no answer","OK")))))))</f>
        <v>0</v>
      </c>
    </row>
    <row r="178" spans="1:37">
      <c r="A178" s="43">
        <f>IF(B178="","",QuotePrefix&amp;TEXT(ROW()-4,"0000"))</f>
        <v>0</v>
      </c>
      <c r="C178" s="23">
        <f>IF(B178="","",TEXT(B178,"yyyy-mm"))</f>
        <v>0</v>
      </c>
      <c r="E178" s="23">
        <f>IF(D178&lt;&gt;"",IFERROR(INDEX(Clients!$B$5:$B$204,MATCH(D178,Clients!$A$5:$A$204,0)),F178),F178)</f>
        <v>0</v>
      </c>
      <c r="V178" s="31">
        <f>IF(A178="","",COUNTIFS('Quote Lines'!$B$5:$B$604,A178))</f>
        <v>0</v>
      </c>
      <c r="W178" s="34">
        <f>IF(A178="","",SUMIFS('Quote Lines'!$N$5:$N$604,'Quote Lines'!$B$5:$B$604,A178))</f>
        <v>0</v>
      </c>
      <c r="X178" s="21">
        <f>IF(A178="","",SUMIFS('Quote Lines'!$P$5:$P$604,'Quote Lines'!$B$5:$B$604,A178))</f>
        <v>0</v>
      </c>
      <c r="Y178" s="21">
        <f>IF(A178="","",ROUND(X178*IF(O178="",0,O178),2))</f>
        <v>0</v>
      </c>
      <c r="Z178" s="21">
        <f>IF(A178="","",X178-Y178)</f>
        <v>0</v>
      </c>
      <c r="AA178" s="21">
        <f>IF(A178="","",ROUND(Z178*TaxRate,2))</f>
        <v>0</v>
      </c>
      <c r="AB178" s="21">
        <f>IF(A178="","",Z178+AA178)</f>
        <v>0</v>
      </c>
      <c r="AC178" s="21">
        <f>IF(A178="","",IF(P178&lt;&gt;"",P178,ROUND(AB178*DepositPercent,2)))</f>
        <v>0</v>
      </c>
      <c r="AD178" s="21">
        <f>IF(A178="","",SUMIFS('Quote Lines'!$Q$5:$Q$604,'Quote Lines'!$B$5:$B$604,A178))</f>
        <v>0</v>
      </c>
      <c r="AE178" s="21">
        <f>IF(A178="","",Z178-AD178)</f>
        <v>0</v>
      </c>
      <c r="AF178" s="38">
        <f>IF(OR(A178="",Z178=0),"",AE178/Z178)</f>
        <v>0</v>
      </c>
      <c r="AG178" s="18">
        <f>IF(OR(A178="",B178=""),"",IF(Q178&lt;&gt;"",Q178,B178+QuoteValidDays))</f>
        <v>0</v>
      </c>
      <c r="AH178" s="31">
        <f>IF(OR(A178="",L178=""),"",IF(OR(K178="Accepted",K178="Declined"),"",TodayDate-L178))</f>
        <v>0</v>
      </c>
      <c r="AI178" s="50">
        <f>IF(OR(A178="",AG178=""),"",IF(AND(AG178&lt;TodayDate,K178&lt;&gt;"Accepted",K178&lt;&gt;"Declined"),"Yes","No"))</f>
        <v>0</v>
      </c>
      <c r="AJ178" s="50">
        <f>IF(B178="","",IF(K178="Accepted","Yes",IF(K178="Declined","No","")))</f>
        <v>0</v>
      </c>
      <c r="AK178" s="39">
        <f>IF(B178="","",IF(K178="Accepted",IF(R178="","Action - accepted, book the job","OK - won"),IF(K178="Declined","Closed",IF(V178=0,"Add - no lines on this quote yet",IF(K178="Draft","Draft - not sent",IF(AI178="Yes","Expired - re-quote or close",IF(AND(AH178&lt;&gt;"",AH178&gt;=QuoteFollowupDays),"Chase - "&amp;AH178&amp;" days with no answer","OK")))))))</f>
        <v>0</v>
      </c>
    </row>
    <row r="179" spans="1:37">
      <c r="A179" s="43">
        <f>IF(B179="","",QuotePrefix&amp;TEXT(ROW()-4,"0000"))</f>
        <v>0</v>
      </c>
      <c r="C179" s="23">
        <f>IF(B179="","",TEXT(B179,"yyyy-mm"))</f>
        <v>0</v>
      </c>
      <c r="E179" s="23">
        <f>IF(D179&lt;&gt;"",IFERROR(INDEX(Clients!$B$5:$B$204,MATCH(D179,Clients!$A$5:$A$204,0)),F179),F179)</f>
        <v>0</v>
      </c>
      <c r="V179" s="31">
        <f>IF(A179="","",COUNTIFS('Quote Lines'!$B$5:$B$604,A179))</f>
        <v>0</v>
      </c>
      <c r="W179" s="34">
        <f>IF(A179="","",SUMIFS('Quote Lines'!$N$5:$N$604,'Quote Lines'!$B$5:$B$604,A179))</f>
        <v>0</v>
      </c>
      <c r="X179" s="21">
        <f>IF(A179="","",SUMIFS('Quote Lines'!$P$5:$P$604,'Quote Lines'!$B$5:$B$604,A179))</f>
        <v>0</v>
      </c>
      <c r="Y179" s="21">
        <f>IF(A179="","",ROUND(X179*IF(O179="",0,O179),2))</f>
        <v>0</v>
      </c>
      <c r="Z179" s="21">
        <f>IF(A179="","",X179-Y179)</f>
        <v>0</v>
      </c>
      <c r="AA179" s="21">
        <f>IF(A179="","",ROUND(Z179*TaxRate,2))</f>
        <v>0</v>
      </c>
      <c r="AB179" s="21">
        <f>IF(A179="","",Z179+AA179)</f>
        <v>0</v>
      </c>
      <c r="AC179" s="21">
        <f>IF(A179="","",IF(P179&lt;&gt;"",P179,ROUND(AB179*DepositPercent,2)))</f>
        <v>0</v>
      </c>
      <c r="AD179" s="21">
        <f>IF(A179="","",SUMIFS('Quote Lines'!$Q$5:$Q$604,'Quote Lines'!$B$5:$B$604,A179))</f>
        <v>0</v>
      </c>
      <c r="AE179" s="21">
        <f>IF(A179="","",Z179-AD179)</f>
        <v>0</v>
      </c>
      <c r="AF179" s="38">
        <f>IF(OR(A179="",Z179=0),"",AE179/Z179)</f>
        <v>0</v>
      </c>
      <c r="AG179" s="18">
        <f>IF(OR(A179="",B179=""),"",IF(Q179&lt;&gt;"",Q179,B179+QuoteValidDays))</f>
        <v>0</v>
      </c>
      <c r="AH179" s="31">
        <f>IF(OR(A179="",L179=""),"",IF(OR(K179="Accepted",K179="Declined"),"",TodayDate-L179))</f>
        <v>0</v>
      </c>
      <c r="AI179" s="50">
        <f>IF(OR(A179="",AG179=""),"",IF(AND(AG179&lt;TodayDate,K179&lt;&gt;"Accepted",K179&lt;&gt;"Declined"),"Yes","No"))</f>
        <v>0</v>
      </c>
      <c r="AJ179" s="50">
        <f>IF(B179="","",IF(K179="Accepted","Yes",IF(K179="Declined","No","")))</f>
        <v>0</v>
      </c>
      <c r="AK179" s="39">
        <f>IF(B179="","",IF(K179="Accepted",IF(R179="","Action - accepted, book the job","OK - won"),IF(K179="Declined","Closed",IF(V179=0,"Add - no lines on this quote yet",IF(K179="Draft","Draft - not sent",IF(AI179="Yes","Expired - re-quote or close",IF(AND(AH179&lt;&gt;"",AH179&gt;=QuoteFollowupDays),"Chase - "&amp;AH179&amp;" days with no answer","OK")))))))</f>
        <v>0</v>
      </c>
    </row>
    <row r="180" spans="1:37">
      <c r="A180" s="43">
        <f>IF(B180="","",QuotePrefix&amp;TEXT(ROW()-4,"0000"))</f>
        <v>0</v>
      </c>
      <c r="C180" s="23">
        <f>IF(B180="","",TEXT(B180,"yyyy-mm"))</f>
        <v>0</v>
      </c>
      <c r="E180" s="23">
        <f>IF(D180&lt;&gt;"",IFERROR(INDEX(Clients!$B$5:$B$204,MATCH(D180,Clients!$A$5:$A$204,0)),F180),F180)</f>
        <v>0</v>
      </c>
      <c r="V180" s="31">
        <f>IF(A180="","",COUNTIFS('Quote Lines'!$B$5:$B$604,A180))</f>
        <v>0</v>
      </c>
      <c r="W180" s="34">
        <f>IF(A180="","",SUMIFS('Quote Lines'!$N$5:$N$604,'Quote Lines'!$B$5:$B$604,A180))</f>
        <v>0</v>
      </c>
      <c r="X180" s="21">
        <f>IF(A180="","",SUMIFS('Quote Lines'!$P$5:$P$604,'Quote Lines'!$B$5:$B$604,A180))</f>
        <v>0</v>
      </c>
      <c r="Y180" s="21">
        <f>IF(A180="","",ROUND(X180*IF(O180="",0,O180),2))</f>
        <v>0</v>
      </c>
      <c r="Z180" s="21">
        <f>IF(A180="","",X180-Y180)</f>
        <v>0</v>
      </c>
      <c r="AA180" s="21">
        <f>IF(A180="","",ROUND(Z180*TaxRate,2))</f>
        <v>0</v>
      </c>
      <c r="AB180" s="21">
        <f>IF(A180="","",Z180+AA180)</f>
        <v>0</v>
      </c>
      <c r="AC180" s="21">
        <f>IF(A180="","",IF(P180&lt;&gt;"",P180,ROUND(AB180*DepositPercent,2)))</f>
        <v>0</v>
      </c>
      <c r="AD180" s="21">
        <f>IF(A180="","",SUMIFS('Quote Lines'!$Q$5:$Q$604,'Quote Lines'!$B$5:$B$604,A180))</f>
        <v>0</v>
      </c>
      <c r="AE180" s="21">
        <f>IF(A180="","",Z180-AD180)</f>
        <v>0</v>
      </c>
      <c r="AF180" s="38">
        <f>IF(OR(A180="",Z180=0),"",AE180/Z180)</f>
        <v>0</v>
      </c>
      <c r="AG180" s="18">
        <f>IF(OR(A180="",B180=""),"",IF(Q180&lt;&gt;"",Q180,B180+QuoteValidDays))</f>
        <v>0</v>
      </c>
      <c r="AH180" s="31">
        <f>IF(OR(A180="",L180=""),"",IF(OR(K180="Accepted",K180="Declined"),"",TodayDate-L180))</f>
        <v>0</v>
      </c>
      <c r="AI180" s="50">
        <f>IF(OR(A180="",AG180=""),"",IF(AND(AG180&lt;TodayDate,K180&lt;&gt;"Accepted",K180&lt;&gt;"Declined"),"Yes","No"))</f>
        <v>0</v>
      </c>
      <c r="AJ180" s="50">
        <f>IF(B180="","",IF(K180="Accepted","Yes",IF(K180="Declined","No","")))</f>
        <v>0</v>
      </c>
      <c r="AK180" s="39">
        <f>IF(B180="","",IF(K180="Accepted",IF(R180="","Action - accepted, book the job","OK - won"),IF(K180="Declined","Closed",IF(V180=0,"Add - no lines on this quote yet",IF(K180="Draft","Draft - not sent",IF(AI180="Yes","Expired - re-quote or close",IF(AND(AH180&lt;&gt;"",AH180&gt;=QuoteFollowupDays),"Chase - "&amp;AH180&amp;" days with no answer","OK")))))))</f>
        <v>0</v>
      </c>
    </row>
    <row r="181" spans="1:37">
      <c r="A181" s="43">
        <f>IF(B181="","",QuotePrefix&amp;TEXT(ROW()-4,"0000"))</f>
        <v>0</v>
      </c>
      <c r="C181" s="23">
        <f>IF(B181="","",TEXT(B181,"yyyy-mm"))</f>
        <v>0</v>
      </c>
      <c r="E181" s="23">
        <f>IF(D181&lt;&gt;"",IFERROR(INDEX(Clients!$B$5:$B$204,MATCH(D181,Clients!$A$5:$A$204,0)),F181),F181)</f>
        <v>0</v>
      </c>
      <c r="V181" s="31">
        <f>IF(A181="","",COUNTIFS('Quote Lines'!$B$5:$B$604,A181))</f>
        <v>0</v>
      </c>
      <c r="W181" s="34">
        <f>IF(A181="","",SUMIFS('Quote Lines'!$N$5:$N$604,'Quote Lines'!$B$5:$B$604,A181))</f>
        <v>0</v>
      </c>
      <c r="X181" s="21">
        <f>IF(A181="","",SUMIFS('Quote Lines'!$P$5:$P$604,'Quote Lines'!$B$5:$B$604,A181))</f>
        <v>0</v>
      </c>
      <c r="Y181" s="21">
        <f>IF(A181="","",ROUND(X181*IF(O181="",0,O181),2))</f>
        <v>0</v>
      </c>
      <c r="Z181" s="21">
        <f>IF(A181="","",X181-Y181)</f>
        <v>0</v>
      </c>
      <c r="AA181" s="21">
        <f>IF(A181="","",ROUND(Z181*TaxRate,2))</f>
        <v>0</v>
      </c>
      <c r="AB181" s="21">
        <f>IF(A181="","",Z181+AA181)</f>
        <v>0</v>
      </c>
      <c r="AC181" s="21">
        <f>IF(A181="","",IF(P181&lt;&gt;"",P181,ROUND(AB181*DepositPercent,2)))</f>
        <v>0</v>
      </c>
      <c r="AD181" s="21">
        <f>IF(A181="","",SUMIFS('Quote Lines'!$Q$5:$Q$604,'Quote Lines'!$B$5:$B$604,A181))</f>
        <v>0</v>
      </c>
      <c r="AE181" s="21">
        <f>IF(A181="","",Z181-AD181)</f>
        <v>0</v>
      </c>
      <c r="AF181" s="38">
        <f>IF(OR(A181="",Z181=0),"",AE181/Z181)</f>
        <v>0</v>
      </c>
      <c r="AG181" s="18">
        <f>IF(OR(A181="",B181=""),"",IF(Q181&lt;&gt;"",Q181,B181+QuoteValidDays))</f>
        <v>0</v>
      </c>
      <c r="AH181" s="31">
        <f>IF(OR(A181="",L181=""),"",IF(OR(K181="Accepted",K181="Declined"),"",TodayDate-L181))</f>
        <v>0</v>
      </c>
      <c r="AI181" s="50">
        <f>IF(OR(A181="",AG181=""),"",IF(AND(AG181&lt;TodayDate,K181&lt;&gt;"Accepted",K181&lt;&gt;"Declined"),"Yes","No"))</f>
        <v>0</v>
      </c>
      <c r="AJ181" s="50">
        <f>IF(B181="","",IF(K181="Accepted","Yes",IF(K181="Declined","No","")))</f>
        <v>0</v>
      </c>
      <c r="AK181" s="39">
        <f>IF(B181="","",IF(K181="Accepted",IF(R181="","Action - accepted, book the job","OK - won"),IF(K181="Declined","Closed",IF(V181=0,"Add - no lines on this quote yet",IF(K181="Draft","Draft - not sent",IF(AI181="Yes","Expired - re-quote or close",IF(AND(AH181&lt;&gt;"",AH181&gt;=QuoteFollowupDays),"Chase - "&amp;AH181&amp;" days with no answer","OK")))))))</f>
        <v>0</v>
      </c>
    </row>
    <row r="182" spans="1:37">
      <c r="A182" s="43">
        <f>IF(B182="","",QuotePrefix&amp;TEXT(ROW()-4,"0000"))</f>
        <v>0</v>
      </c>
      <c r="C182" s="23">
        <f>IF(B182="","",TEXT(B182,"yyyy-mm"))</f>
        <v>0</v>
      </c>
      <c r="E182" s="23">
        <f>IF(D182&lt;&gt;"",IFERROR(INDEX(Clients!$B$5:$B$204,MATCH(D182,Clients!$A$5:$A$204,0)),F182),F182)</f>
        <v>0</v>
      </c>
      <c r="V182" s="31">
        <f>IF(A182="","",COUNTIFS('Quote Lines'!$B$5:$B$604,A182))</f>
        <v>0</v>
      </c>
      <c r="W182" s="34">
        <f>IF(A182="","",SUMIFS('Quote Lines'!$N$5:$N$604,'Quote Lines'!$B$5:$B$604,A182))</f>
        <v>0</v>
      </c>
      <c r="X182" s="21">
        <f>IF(A182="","",SUMIFS('Quote Lines'!$P$5:$P$604,'Quote Lines'!$B$5:$B$604,A182))</f>
        <v>0</v>
      </c>
      <c r="Y182" s="21">
        <f>IF(A182="","",ROUND(X182*IF(O182="",0,O182),2))</f>
        <v>0</v>
      </c>
      <c r="Z182" s="21">
        <f>IF(A182="","",X182-Y182)</f>
        <v>0</v>
      </c>
      <c r="AA182" s="21">
        <f>IF(A182="","",ROUND(Z182*TaxRate,2))</f>
        <v>0</v>
      </c>
      <c r="AB182" s="21">
        <f>IF(A182="","",Z182+AA182)</f>
        <v>0</v>
      </c>
      <c r="AC182" s="21">
        <f>IF(A182="","",IF(P182&lt;&gt;"",P182,ROUND(AB182*DepositPercent,2)))</f>
        <v>0</v>
      </c>
      <c r="AD182" s="21">
        <f>IF(A182="","",SUMIFS('Quote Lines'!$Q$5:$Q$604,'Quote Lines'!$B$5:$B$604,A182))</f>
        <v>0</v>
      </c>
      <c r="AE182" s="21">
        <f>IF(A182="","",Z182-AD182)</f>
        <v>0</v>
      </c>
      <c r="AF182" s="38">
        <f>IF(OR(A182="",Z182=0),"",AE182/Z182)</f>
        <v>0</v>
      </c>
      <c r="AG182" s="18">
        <f>IF(OR(A182="",B182=""),"",IF(Q182&lt;&gt;"",Q182,B182+QuoteValidDays))</f>
        <v>0</v>
      </c>
      <c r="AH182" s="31">
        <f>IF(OR(A182="",L182=""),"",IF(OR(K182="Accepted",K182="Declined"),"",TodayDate-L182))</f>
        <v>0</v>
      </c>
      <c r="AI182" s="50">
        <f>IF(OR(A182="",AG182=""),"",IF(AND(AG182&lt;TodayDate,K182&lt;&gt;"Accepted",K182&lt;&gt;"Declined"),"Yes","No"))</f>
        <v>0</v>
      </c>
      <c r="AJ182" s="50">
        <f>IF(B182="","",IF(K182="Accepted","Yes",IF(K182="Declined","No","")))</f>
        <v>0</v>
      </c>
      <c r="AK182" s="39">
        <f>IF(B182="","",IF(K182="Accepted",IF(R182="","Action - accepted, book the job","OK - won"),IF(K182="Declined","Closed",IF(V182=0,"Add - no lines on this quote yet",IF(K182="Draft","Draft - not sent",IF(AI182="Yes","Expired - re-quote or close",IF(AND(AH182&lt;&gt;"",AH182&gt;=QuoteFollowupDays),"Chase - "&amp;AH182&amp;" days with no answer","OK")))))))</f>
        <v>0</v>
      </c>
    </row>
    <row r="183" spans="1:37">
      <c r="A183" s="43">
        <f>IF(B183="","",QuotePrefix&amp;TEXT(ROW()-4,"0000"))</f>
        <v>0</v>
      </c>
      <c r="C183" s="23">
        <f>IF(B183="","",TEXT(B183,"yyyy-mm"))</f>
        <v>0</v>
      </c>
      <c r="E183" s="23">
        <f>IF(D183&lt;&gt;"",IFERROR(INDEX(Clients!$B$5:$B$204,MATCH(D183,Clients!$A$5:$A$204,0)),F183),F183)</f>
        <v>0</v>
      </c>
      <c r="V183" s="31">
        <f>IF(A183="","",COUNTIFS('Quote Lines'!$B$5:$B$604,A183))</f>
        <v>0</v>
      </c>
      <c r="W183" s="34">
        <f>IF(A183="","",SUMIFS('Quote Lines'!$N$5:$N$604,'Quote Lines'!$B$5:$B$604,A183))</f>
        <v>0</v>
      </c>
      <c r="X183" s="21">
        <f>IF(A183="","",SUMIFS('Quote Lines'!$P$5:$P$604,'Quote Lines'!$B$5:$B$604,A183))</f>
        <v>0</v>
      </c>
      <c r="Y183" s="21">
        <f>IF(A183="","",ROUND(X183*IF(O183="",0,O183),2))</f>
        <v>0</v>
      </c>
      <c r="Z183" s="21">
        <f>IF(A183="","",X183-Y183)</f>
        <v>0</v>
      </c>
      <c r="AA183" s="21">
        <f>IF(A183="","",ROUND(Z183*TaxRate,2))</f>
        <v>0</v>
      </c>
      <c r="AB183" s="21">
        <f>IF(A183="","",Z183+AA183)</f>
        <v>0</v>
      </c>
      <c r="AC183" s="21">
        <f>IF(A183="","",IF(P183&lt;&gt;"",P183,ROUND(AB183*DepositPercent,2)))</f>
        <v>0</v>
      </c>
      <c r="AD183" s="21">
        <f>IF(A183="","",SUMIFS('Quote Lines'!$Q$5:$Q$604,'Quote Lines'!$B$5:$B$604,A183))</f>
        <v>0</v>
      </c>
      <c r="AE183" s="21">
        <f>IF(A183="","",Z183-AD183)</f>
        <v>0</v>
      </c>
      <c r="AF183" s="38">
        <f>IF(OR(A183="",Z183=0),"",AE183/Z183)</f>
        <v>0</v>
      </c>
      <c r="AG183" s="18">
        <f>IF(OR(A183="",B183=""),"",IF(Q183&lt;&gt;"",Q183,B183+QuoteValidDays))</f>
        <v>0</v>
      </c>
      <c r="AH183" s="31">
        <f>IF(OR(A183="",L183=""),"",IF(OR(K183="Accepted",K183="Declined"),"",TodayDate-L183))</f>
        <v>0</v>
      </c>
      <c r="AI183" s="50">
        <f>IF(OR(A183="",AG183=""),"",IF(AND(AG183&lt;TodayDate,K183&lt;&gt;"Accepted",K183&lt;&gt;"Declined"),"Yes","No"))</f>
        <v>0</v>
      </c>
      <c r="AJ183" s="50">
        <f>IF(B183="","",IF(K183="Accepted","Yes",IF(K183="Declined","No","")))</f>
        <v>0</v>
      </c>
      <c r="AK183" s="39">
        <f>IF(B183="","",IF(K183="Accepted",IF(R183="","Action - accepted, book the job","OK - won"),IF(K183="Declined","Closed",IF(V183=0,"Add - no lines on this quote yet",IF(K183="Draft","Draft - not sent",IF(AI183="Yes","Expired - re-quote or close",IF(AND(AH183&lt;&gt;"",AH183&gt;=QuoteFollowupDays),"Chase - "&amp;AH183&amp;" days with no answer","OK")))))))</f>
        <v>0</v>
      </c>
    </row>
    <row r="184" spans="1:37">
      <c r="A184" s="43">
        <f>IF(B184="","",QuotePrefix&amp;TEXT(ROW()-4,"0000"))</f>
        <v>0</v>
      </c>
      <c r="C184" s="23">
        <f>IF(B184="","",TEXT(B184,"yyyy-mm"))</f>
        <v>0</v>
      </c>
      <c r="E184" s="23">
        <f>IF(D184&lt;&gt;"",IFERROR(INDEX(Clients!$B$5:$B$204,MATCH(D184,Clients!$A$5:$A$204,0)),F184),F184)</f>
        <v>0</v>
      </c>
      <c r="V184" s="31">
        <f>IF(A184="","",COUNTIFS('Quote Lines'!$B$5:$B$604,A184))</f>
        <v>0</v>
      </c>
      <c r="W184" s="34">
        <f>IF(A184="","",SUMIFS('Quote Lines'!$N$5:$N$604,'Quote Lines'!$B$5:$B$604,A184))</f>
        <v>0</v>
      </c>
      <c r="X184" s="21">
        <f>IF(A184="","",SUMIFS('Quote Lines'!$P$5:$P$604,'Quote Lines'!$B$5:$B$604,A184))</f>
        <v>0</v>
      </c>
      <c r="Y184" s="21">
        <f>IF(A184="","",ROUND(X184*IF(O184="",0,O184),2))</f>
        <v>0</v>
      </c>
      <c r="Z184" s="21">
        <f>IF(A184="","",X184-Y184)</f>
        <v>0</v>
      </c>
      <c r="AA184" s="21">
        <f>IF(A184="","",ROUND(Z184*TaxRate,2))</f>
        <v>0</v>
      </c>
      <c r="AB184" s="21">
        <f>IF(A184="","",Z184+AA184)</f>
        <v>0</v>
      </c>
      <c r="AC184" s="21">
        <f>IF(A184="","",IF(P184&lt;&gt;"",P184,ROUND(AB184*DepositPercent,2)))</f>
        <v>0</v>
      </c>
      <c r="AD184" s="21">
        <f>IF(A184="","",SUMIFS('Quote Lines'!$Q$5:$Q$604,'Quote Lines'!$B$5:$B$604,A184))</f>
        <v>0</v>
      </c>
      <c r="AE184" s="21">
        <f>IF(A184="","",Z184-AD184)</f>
        <v>0</v>
      </c>
      <c r="AF184" s="38">
        <f>IF(OR(A184="",Z184=0),"",AE184/Z184)</f>
        <v>0</v>
      </c>
      <c r="AG184" s="18">
        <f>IF(OR(A184="",B184=""),"",IF(Q184&lt;&gt;"",Q184,B184+QuoteValidDays))</f>
        <v>0</v>
      </c>
      <c r="AH184" s="31">
        <f>IF(OR(A184="",L184=""),"",IF(OR(K184="Accepted",K184="Declined"),"",TodayDate-L184))</f>
        <v>0</v>
      </c>
      <c r="AI184" s="50">
        <f>IF(OR(A184="",AG184=""),"",IF(AND(AG184&lt;TodayDate,K184&lt;&gt;"Accepted",K184&lt;&gt;"Declined"),"Yes","No"))</f>
        <v>0</v>
      </c>
      <c r="AJ184" s="50">
        <f>IF(B184="","",IF(K184="Accepted","Yes",IF(K184="Declined","No","")))</f>
        <v>0</v>
      </c>
      <c r="AK184" s="39">
        <f>IF(B184="","",IF(K184="Accepted",IF(R184="","Action - accepted, book the job","OK - won"),IF(K184="Declined","Closed",IF(V184=0,"Add - no lines on this quote yet",IF(K184="Draft","Draft - not sent",IF(AI184="Yes","Expired - re-quote or close",IF(AND(AH184&lt;&gt;"",AH184&gt;=QuoteFollowupDays),"Chase - "&amp;AH184&amp;" days with no answer","OK")))))))</f>
        <v>0</v>
      </c>
    </row>
    <row r="185" spans="1:37">
      <c r="A185" s="43">
        <f>IF(B185="","",QuotePrefix&amp;TEXT(ROW()-4,"0000"))</f>
        <v>0</v>
      </c>
      <c r="C185" s="23">
        <f>IF(B185="","",TEXT(B185,"yyyy-mm"))</f>
        <v>0</v>
      </c>
      <c r="E185" s="23">
        <f>IF(D185&lt;&gt;"",IFERROR(INDEX(Clients!$B$5:$B$204,MATCH(D185,Clients!$A$5:$A$204,0)),F185),F185)</f>
        <v>0</v>
      </c>
      <c r="V185" s="31">
        <f>IF(A185="","",COUNTIFS('Quote Lines'!$B$5:$B$604,A185))</f>
        <v>0</v>
      </c>
      <c r="W185" s="34">
        <f>IF(A185="","",SUMIFS('Quote Lines'!$N$5:$N$604,'Quote Lines'!$B$5:$B$604,A185))</f>
        <v>0</v>
      </c>
      <c r="X185" s="21">
        <f>IF(A185="","",SUMIFS('Quote Lines'!$P$5:$P$604,'Quote Lines'!$B$5:$B$604,A185))</f>
        <v>0</v>
      </c>
      <c r="Y185" s="21">
        <f>IF(A185="","",ROUND(X185*IF(O185="",0,O185),2))</f>
        <v>0</v>
      </c>
      <c r="Z185" s="21">
        <f>IF(A185="","",X185-Y185)</f>
        <v>0</v>
      </c>
      <c r="AA185" s="21">
        <f>IF(A185="","",ROUND(Z185*TaxRate,2))</f>
        <v>0</v>
      </c>
      <c r="AB185" s="21">
        <f>IF(A185="","",Z185+AA185)</f>
        <v>0</v>
      </c>
      <c r="AC185" s="21">
        <f>IF(A185="","",IF(P185&lt;&gt;"",P185,ROUND(AB185*DepositPercent,2)))</f>
        <v>0</v>
      </c>
      <c r="AD185" s="21">
        <f>IF(A185="","",SUMIFS('Quote Lines'!$Q$5:$Q$604,'Quote Lines'!$B$5:$B$604,A185))</f>
        <v>0</v>
      </c>
      <c r="AE185" s="21">
        <f>IF(A185="","",Z185-AD185)</f>
        <v>0</v>
      </c>
      <c r="AF185" s="38">
        <f>IF(OR(A185="",Z185=0),"",AE185/Z185)</f>
        <v>0</v>
      </c>
      <c r="AG185" s="18">
        <f>IF(OR(A185="",B185=""),"",IF(Q185&lt;&gt;"",Q185,B185+QuoteValidDays))</f>
        <v>0</v>
      </c>
      <c r="AH185" s="31">
        <f>IF(OR(A185="",L185=""),"",IF(OR(K185="Accepted",K185="Declined"),"",TodayDate-L185))</f>
        <v>0</v>
      </c>
      <c r="AI185" s="50">
        <f>IF(OR(A185="",AG185=""),"",IF(AND(AG185&lt;TodayDate,K185&lt;&gt;"Accepted",K185&lt;&gt;"Declined"),"Yes","No"))</f>
        <v>0</v>
      </c>
      <c r="AJ185" s="50">
        <f>IF(B185="","",IF(K185="Accepted","Yes",IF(K185="Declined","No","")))</f>
        <v>0</v>
      </c>
      <c r="AK185" s="39">
        <f>IF(B185="","",IF(K185="Accepted",IF(R185="","Action - accepted, book the job","OK - won"),IF(K185="Declined","Closed",IF(V185=0,"Add - no lines on this quote yet",IF(K185="Draft","Draft - not sent",IF(AI185="Yes","Expired - re-quote or close",IF(AND(AH185&lt;&gt;"",AH185&gt;=QuoteFollowupDays),"Chase - "&amp;AH185&amp;" days with no answer","OK")))))))</f>
        <v>0</v>
      </c>
    </row>
    <row r="186" spans="1:37">
      <c r="A186" s="43">
        <f>IF(B186="","",QuotePrefix&amp;TEXT(ROW()-4,"0000"))</f>
        <v>0</v>
      </c>
      <c r="C186" s="23">
        <f>IF(B186="","",TEXT(B186,"yyyy-mm"))</f>
        <v>0</v>
      </c>
      <c r="E186" s="23">
        <f>IF(D186&lt;&gt;"",IFERROR(INDEX(Clients!$B$5:$B$204,MATCH(D186,Clients!$A$5:$A$204,0)),F186),F186)</f>
        <v>0</v>
      </c>
      <c r="V186" s="31">
        <f>IF(A186="","",COUNTIFS('Quote Lines'!$B$5:$B$604,A186))</f>
        <v>0</v>
      </c>
      <c r="W186" s="34">
        <f>IF(A186="","",SUMIFS('Quote Lines'!$N$5:$N$604,'Quote Lines'!$B$5:$B$604,A186))</f>
        <v>0</v>
      </c>
      <c r="X186" s="21">
        <f>IF(A186="","",SUMIFS('Quote Lines'!$P$5:$P$604,'Quote Lines'!$B$5:$B$604,A186))</f>
        <v>0</v>
      </c>
      <c r="Y186" s="21">
        <f>IF(A186="","",ROUND(X186*IF(O186="",0,O186),2))</f>
        <v>0</v>
      </c>
      <c r="Z186" s="21">
        <f>IF(A186="","",X186-Y186)</f>
        <v>0</v>
      </c>
      <c r="AA186" s="21">
        <f>IF(A186="","",ROUND(Z186*TaxRate,2))</f>
        <v>0</v>
      </c>
      <c r="AB186" s="21">
        <f>IF(A186="","",Z186+AA186)</f>
        <v>0</v>
      </c>
      <c r="AC186" s="21">
        <f>IF(A186="","",IF(P186&lt;&gt;"",P186,ROUND(AB186*DepositPercent,2)))</f>
        <v>0</v>
      </c>
      <c r="AD186" s="21">
        <f>IF(A186="","",SUMIFS('Quote Lines'!$Q$5:$Q$604,'Quote Lines'!$B$5:$B$604,A186))</f>
        <v>0</v>
      </c>
      <c r="AE186" s="21">
        <f>IF(A186="","",Z186-AD186)</f>
        <v>0</v>
      </c>
      <c r="AF186" s="38">
        <f>IF(OR(A186="",Z186=0),"",AE186/Z186)</f>
        <v>0</v>
      </c>
      <c r="AG186" s="18">
        <f>IF(OR(A186="",B186=""),"",IF(Q186&lt;&gt;"",Q186,B186+QuoteValidDays))</f>
        <v>0</v>
      </c>
      <c r="AH186" s="31">
        <f>IF(OR(A186="",L186=""),"",IF(OR(K186="Accepted",K186="Declined"),"",TodayDate-L186))</f>
        <v>0</v>
      </c>
      <c r="AI186" s="50">
        <f>IF(OR(A186="",AG186=""),"",IF(AND(AG186&lt;TodayDate,K186&lt;&gt;"Accepted",K186&lt;&gt;"Declined"),"Yes","No"))</f>
        <v>0</v>
      </c>
      <c r="AJ186" s="50">
        <f>IF(B186="","",IF(K186="Accepted","Yes",IF(K186="Declined","No","")))</f>
        <v>0</v>
      </c>
      <c r="AK186" s="39">
        <f>IF(B186="","",IF(K186="Accepted",IF(R186="","Action - accepted, book the job","OK - won"),IF(K186="Declined","Closed",IF(V186=0,"Add - no lines on this quote yet",IF(K186="Draft","Draft - not sent",IF(AI186="Yes","Expired - re-quote or close",IF(AND(AH186&lt;&gt;"",AH186&gt;=QuoteFollowupDays),"Chase - "&amp;AH186&amp;" days with no answer","OK")))))))</f>
        <v>0</v>
      </c>
    </row>
    <row r="187" spans="1:37">
      <c r="A187" s="43">
        <f>IF(B187="","",QuotePrefix&amp;TEXT(ROW()-4,"0000"))</f>
        <v>0</v>
      </c>
      <c r="C187" s="23">
        <f>IF(B187="","",TEXT(B187,"yyyy-mm"))</f>
        <v>0</v>
      </c>
      <c r="E187" s="23">
        <f>IF(D187&lt;&gt;"",IFERROR(INDEX(Clients!$B$5:$B$204,MATCH(D187,Clients!$A$5:$A$204,0)),F187),F187)</f>
        <v>0</v>
      </c>
      <c r="V187" s="31">
        <f>IF(A187="","",COUNTIFS('Quote Lines'!$B$5:$B$604,A187))</f>
        <v>0</v>
      </c>
      <c r="W187" s="34">
        <f>IF(A187="","",SUMIFS('Quote Lines'!$N$5:$N$604,'Quote Lines'!$B$5:$B$604,A187))</f>
        <v>0</v>
      </c>
      <c r="X187" s="21">
        <f>IF(A187="","",SUMIFS('Quote Lines'!$P$5:$P$604,'Quote Lines'!$B$5:$B$604,A187))</f>
        <v>0</v>
      </c>
      <c r="Y187" s="21">
        <f>IF(A187="","",ROUND(X187*IF(O187="",0,O187),2))</f>
        <v>0</v>
      </c>
      <c r="Z187" s="21">
        <f>IF(A187="","",X187-Y187)</f>
        <v>0</v>
      </c>
      <c r="AA187" s="21">
        <f>IF(A187="","",ROUND(Z187*TaxRate,2))</f>
        <v>0</v>
      </c>
      <c r="AB187" s="21">
        <f>IF(A187="","",Z187+AA187)</f>
        <v>0</v>
      </c>
      <c r="AC187" s="21">
        <f>IF(A187="","",IF(P187&lt;&gt;"",P187,ROUND(AB187*DepositPercent,2)))</f>
        <v>0</v>
      </c>
      <c r="AD187" s="21">
        <f>IF(A187="","",SUMIFS('Quote Lines'!$Q$5:$Q$604,'Quote Lines'!$B$5:$B$604,A187))</f>
        <v>0</v>
      </c>
      <c r="AE187" s="21">
        <f>IF(A187="","",Z187-AD187)</f>
        <v>0</v>
      </c>
      <c r="AF187" s="38">
        <f>IF(OR(A187="",Z187=0),"",AE187/Z187)</f>
        <v>0</v>
      </c>
      <c r="AG187" s="18">
        <f>IF(OR(A187="",B187=""),"",IF(Q187&lt;&gt;"",Q187,B187+QuoteValidDays))</f>
        <v>0</v>
      </c>
      <c r="AH187" s="31">
        <f>IF(OR(A187="",L187=""),"",IF(OR(K187="Accepted",K187="Declined"),"",TodayDate-L187))</f>
        <v>0</v>
      </c>
      <c r="AI187" s="50">
        <f>IF(OR(A187="",AG187=""),"",IF(AND(AG187&lt;TodayDate,K187&lt;&gt;"Accepted",K187&lt;&gt;"Declined"),"Yes","No"))</f>
        <v>0</v>
      </c>
      <c r="AJ187" s="50">
        <f>IF(B187="","",IF(K187="Accepted","Yes",IF(K187="Declined","No","")))</f>
        <v>0</v>
      </c>
      <c r="AK187" s="39">
        <f>IF(B187="","",IF(K187="Accepted",IF(R187="","Action - accepted, book the job","OK - won"),IF(K187="Declined","Closed",IF(V187=0,"Add - no lines on this quote yet",IF(K187="Draft","Draft - not sent",IF(AI187="Yes","Expired - re-quote or close",IF(AND(AH187&lt;&gt;"",AH187&gt;=QuoteFollowupDays),"Chase - "&amp;AH187&amp;" days with no answer","OK")))))))</f>
        <v>0</v>
      </c>
    </row>
    <row r="188" spans="1:37">
      <c r="A188" s="43">
        <f>IF(B188="","",QuotePrefix&amp;TEXT(ROW()-4,"0000"))</f>
        <v>0</v>
      </c>
      <c r="C188" s="23">
        <f>IF(B188="","",TEXT(B188,"yyyy-mm"))</f>
        <v>0</v>
      </c>
      <c r="E188" s="23">
        <f>IF(D188&lt;&gt;"",IFERROR(INDEX(Clients!$B$5:$B$204,MATCH(D188,Clients!$A$5:$A$204,0)),F188),F188)</f>
        <v>0</v>
      </c>
      <c r="V188" s="31">
        <f>IF(A188="","",COUNTIFS('Quote Lines'!$B$5:$B$604,A188))</f>
        <v>0</v>
      </c>
      <c r="W188" s="34">
        <f>IF(A188="","",SUMIFS('Quote Lines'!$N$5:$N$604,'Quote Lines'!$B$5:$B$604,A188))</f>
        <v>0</v>
      </c>
      <c r="X188" s="21">
        <f>IF(A188="","",SUMIFS('Quote Lines'!$P$5:$P$604,'Quote Lines'!$B$5:$B$604,A188))</f>
        <v>0</v>
      </c>
      <c r="Y188" s="21">
        <f>IF(A188="","",ROUND(X188*IF(O188="",0,O188),2))</f>
        <v>0</v>
      </c>
      <c r="Z188" s="21">
        <f>IF(A188="","",X188-Y188)</f>
        <v>0</v>
      </c>
      <c r="AA188" s="21">
        <f>IF(A188="","",ROUND(Z188*TaxRate,2))</f>
        <v>0</v>
      </c>
      <c r="AB188" s="21">
        <f>IF(A188="","",Z188+AA188)</f>
        <v>0</v>
      </c>
      <c r="AC188" s="21">
        <f>IF(A188="","",IF(P188&lt;&gt;"",P188,ROUND(AB188*DepositPercent,2)))</f>
        <v>0</v>
      </c>
      <c r="AD188" s="21">
        <f>IF(A188="","",SUMIFS('Quote Lines'!$Q$5:$Q$604,'Quote Lines'!$B$5:$B$604,A188))</f>
        <v>0</v>
      </c>
      <c r="AE188" s="21">
        <f>IF(A188="","",Z188-AD188)</f>
        <v>0</v>
      </c>
      <c r="AF188" s="38">
        <f>IF(OR(A188="",Z188=0),"",AE188/Z188)</f>
        <v>0</v>
      </c>
      <c r="AG188" s="18">
        <f>IF(OR(A188="",B188=""),"",IF(Q188&lt;&gt;"",Q188,B188+QuoteValidDays))</f>
        <v>0</v>
      </c>
      <c r="AH188" s="31">
        <f>IF(OR(A188="",L188=""),"",IF(OR(K188="Accepted",K188="Declined"),"",TodayDate-L188))</f>
        <v>0</v>
      </c>
      <c r="AI188" s="50">
        <f>IF(OR(A188="",AG188=""),"",IF(AND(AG188&lt;TodayDate,K188&lt;&gt;"Accepted",K188&lt;&gt;"Declined"),"Yes","No"))</f>
        <v>0</v>
      </c>
      <c r="AJ188" s="50">
        <f>IF(B188="","",IF(K188="Accepted","Yes",IF(K188="Declined","No","")))</f>
        <v>0</v>
      </c>
      <c r="AK188" s="39">
        <f>IF(B188="","",IF(K188="Accepted",IF(R188="","Action - accepted, book the job","OK - won"),IF(K188="Declined","Closed",IF(V188=0,"Add - no lines on this quote yet",IF(K188="Draft","Draft - not sent",IF(AI188="Yes","Expired - re-quote or close",IF(AND(AH188&lt;&gt;"",AH188&gt;=QuoteFollowupDays),"Chase - "&amp;AH188&amp;" days with no answer","OK")))))))</f>
        <v>0</v>
      </c>
    </row>
    <row r="189" spans="1:37">
      <c r="A189" s="43">
        <f>IF(B189="","",QuotePrefix&amp;TEXT(ROW()-4,"0000"))</f>
        <v>0</v>
      </c>
      <c r="C189" s="23">
        <f>IF(B189="","",TEXT(B189,"yyyy-mm"))</f>
        <v>0</v>
      </c>
      <c r="E189" s="23">
        <f>IF(D189&lt;&gt;"",IFERROR(INDEX(Clients!$B$5:$B$204,MATCH(D189,Clients!$A$5:$A$204,0)),F189),F189)</f>
        <v>0</v>
      </c>
      <c r="V189" s="31">
        <f>IF(A189="","",COUNTIFS('Quote Lines'!$B$5:$B$604,A189))</f>
        <v>0</v>
      </c>
      <c r="W189" s="34">
        <f>IF(A189="","",SUMIFS('Quote Lines'!$N$5:$N$604,'Quote Lines'!$B$5:$B$604,A189))</f>
        <v>0</v>
      </c>
      <c r="X189" s="21">
        <f>IF(A189="","",SUMIFS('Quote Lines'!$P$5:$P$604,'Quote Lines'!$B$5:$B$604,A189))</f>
        <v>0</v>
      </c>
      <c r="Y189" s="21">
        <f>IF(A189="","",ROUND(X189*IF(O189="",0,O189),2))</f>
        <v>0</v>
      </c>
      <c r="Z189" s="21">
        <f>IF(A189="","",X189-Y189)</f>
        <v>0</v>
      </c>
      <c r="AA189" s="21">
        <f>IF(A189="","",ROUND(Z189*TaxRate,2))</f>
        <v>0</v>
      </c>
      <c r="AB189" s="21">
        <f>IF(A189="","",Z189+AA189)</f>
        <v>0</v>
      </c>
      <c r="AC189" s="21">
        <f>IF(A189="","",IF(P189&lt;&gt;"",P189,ROUND(AB189*DepositPercent,2)))</f>
        <v>0</v>
      </c>
      <c r="AD189" s="21">
        <f>IF(A189="","",SUMIFS('Quote Lines'!$Q$5:$Q$604,'Quote Lines'!$B$5:$B$604,A189))</f>
        <v>0</v>
      </c>
      <c r="AE189" s="21">
        <f>IF(A189="","",Z189-AD189)</f>
        <v>0</v>
      </c>
      <c r="AF189" s="38">
        <f>IF(OR(A189="",Z189=0),"",AE189/Z189)</f>
        <v>0</v>
      </c>
      <c r="AG189" s="18">
        <f>IF(OR(A189="",B189=""),"",IF(Q189&lt;&gt;"",Q189,B189+QuoteValidDays))</f>
        <v>0</v>
      </c>
      <c r="AH189" s="31">
        <f>IF(OR(A189="",L189=""),"",IF(OR(K189="Accepted",K189="Declined"),"",TodayDate-L189))</f>
        <v>0</v>
      </c>
      <c r="AI189" s="50">
        <f>IF(OR(A189="",AG189=""),"",IF(AND(AG189&lt;TodayDate,K189&lt;&gt;"Accepted",K189&lt;&gt;"Declined"),"Yes","No"))</f>
        <v>0</v>
      </c>
      <c r="AJ189" s="50">
        <f>IF(B189="","",IF(K189="Accepted","Yes",IF(K189="Declined","No","")))</f>
        <v>0</v>
      </c>
      <c r="AK189" s="39">
        <f>IF(B189="","",IF(K189="Accepted",IF(R189="","Action - accepted, book the job","OK - won"),IF(K189="Declined","Closed",IF(V189=0,"Add - no lines on this quote yet",IF(K189="Draft","Draft - not sent",IF(AI189="Yes","Expired - re-quote or close",IF(AND(AH189&lt;&gt;"",AH189&gt;=QuoteFollowupDays),"Chase - "&amp;AH189&amp;" days with no answer","OK")))))))</f>
        <v>0</v>
      </c>
    </row>
    <row r="190" spans="1:37">
      <c r="A190" s="43">
        <f>IF(B190="","",QuotePrefix&amp;TEXT(ROW()-4,"0000"))</f>
        <v>0</v>
      </c>
      <c r="C190" s="23">
        <f>IF(B190="","",TEXT(B190,"yyyy-mm"))</f>
        <v>0</v>
      </c>
      <c r="E190" s="23">
        <f>IF(D190&lt;&gt;"",IFERROR(INDEX(Clients!$B$5:$B$204,MATCH(D190,Clients!$A$5:$A$204,0)),F190),F190)</f>
        <v>0</v>
      </c>
      <c r="V190" s="31">
        <f>IF(A190="","",COUNTIFS('Quote Lines'!$B$5:$B$604,A190))</f>
        <v>0</v>
      </c>
      <c r="W190" s="34">
        <f>IF(A190="","",SUMIFS('Quote Lines'!$N$5:$N$604,'Quote Lines'!$B$5:$B$604,A190))</f>
        <v>0</v>
      </c>
      <c r="X190" s="21">
        <f>IF(A190="","",SUMIFS('Quote Lines'!$P$5:$P$604,'Quote Lines'!$B$5:$B$604,A190))</f>
        <v>0</v>
      </c>
      <c r="Y190" s="21">
        <f>IF(A190="","",ROUND(X190*IF(O190="",0,O190),2))</f>
        <v>0</v>
      </c>
      <c r="Z190" s="21">
        <f>IF(A190="","",X190-Y190)</f>
        <v>0</v>
      </c>
      <c r="AA190" s="21">
        <f>IF(A190="","",ROUND(Z190*TaxRate,2))</f>
        <v>0</v>
      </c>
      <c r="AB190" s="21">
        <f>IF(A190="","",Z190+AA190)</f>
        <v>0</v>
      </c>
      <c r="AC190" s="21">
        <f>IF(A190="","",IF(P190&lt;&gt;"",P190,ROUND(AB190*DepositPercent,2)))</f>
        <v>0</v>
      </c>
      <c r="AD190" s="21">
        <f>IF(A190="","",SUMIFS('Quote Lines'!$Q$5:$Q$604,'Quote Lines'!$B$5:$B$604,A190))</f>
        <v>0</v>
      </c>
      <c r="AE190" s="21">
        <f>IF(A190="","",Z190-AD190)</f>
        <v>0</v>
      </c>
      <c r="AF190" s="38">
        <f>IF(OR(A190="",Z190=0),"",AE190/Z190)</f>
        <v>0</v>
      </c>
      <c r="AG190" s="18">
        <f>IF(OR(A190="",B190=""),"",IF(Q190&lt;&gt;"",Q190,B190+QuoteValidDays))</f>
        <v>0</v>
      </c>
      <c r="AH190" s="31">
        <f>IF(OR(A190="",L190=""),"",IF(OR(K190="Accepted",K190="Declined"),"",TodayDate-L190))</f>
        <v>0</v>
      </c>
      <c r="AI190" s="50">
        <f>IF(OR(A190="",AG190=""),"",IF(AND(AG190&lt;TodayDate,K190&lt;&gt;"Accepted",K190&lt;&gt;"Declined"),"Yes","No"))</f>
        <v>0</v>
      </c>
      <c r="AJ190" s="50">
        <f>IF(B190="","",IF(K190="Accepted","Yes",IF(K190="Declined","No","")))</f>
        <v>0</v>
      </c>
      <c r="AK190" s="39">
        <f>IF(B190="","",IF(K190="Accepted",IF(R190="","Action - accepted, book the job","OK - won"),IF(K190="Declined","Closed",IF(V190=0,"Add - no lines on this quote yet",IF(K190="Draft","Draft - not sent",IF(AI190="Yes","Expired - re-quote or close",IF(AND(AH190&lt;&gt;"",AH190&gt;=QuoteFollowupDays),"Chase - "&amp;AH190&amp;" days with no answer","OK")))))))</f>
        <v>0</v>
      </c>
    </row>
    <row r="191" spans="1:37">
      <c r="A191" s="43">
        <f>IF(B191="","",QuotePrefix&amp;TEXT(ROW()-4,"0000"))</f>
        <v>0</v>
      </c>
      <c r="C191" s="23">
        <f>IF(B191="","",TEXT(B191,"yyyy-mm"))</f>
        <v>0</v>
      </c>
      <c r="E191" s="23">
        <f>IF(D191&lt;&gt;"",IFERROR(INDEX(Clients!$B$5:$B$204,MATCH(D191,Clients!$A$5:$A$204,0)),F191),F191)</f>
        <v>0</v>
      </c>
      <c r="V191" s="31">
        <f>IF(A191="","",COUNTIFS('Quote Lines'!$B$5:$B$604,A191))</f>
        <v>0</v>
      </c>
      <c r="W191" s="34">
        <f>IF(A191="","",SUMIFS('Quote Lines'!$N$5:$N$604,'Quote Lines'!$B$5:$B$604,A191))</f>
        <v>0</v>
      </c>
      <c r="X191" s="21">
        <f>IF(A191="","",SUMIFS('Quote Lines'!$P$5:$P$604,'Quote Lines'!$B$5:$B$604,A191))</f>
        <v>0</v>
      </c>
      <c r="Y191" s="21">
        <f>IF(A191="","",ROUND(X191*IF(O191="",0,O191),2))</f>
        <v>0</v>
      </c>
      <c r="Z191" s="21">
        <f>IF(A191="","",X191-Y191)</f>
        <v>0</v>
      </c>
      <c r="AA191" s="21">
        <f>IF(A191="","",ROUND(Z191*TaxRate,2))</f>
        <v>0</v>
      </c>
      <c r="AB191" s="21">
        <f>IF(A191="","",Z191+AA191)</f>
        <v>0</v>
      </c>
      <c r="AC191" s="21">
        <f>IF(A191="","",IF(P191&lt;&gt;"",P191,ROUND(AB191*DepositPercent,2)))</f>
        <v>0</v>
      </c>
      <c r="AD191" s="21">
        <f>IF(A191="","",SUMIFS('Quote Lines'!$Q$5:$Q$604,'Quote Lines'!$B$5:$B$604,A191))</f>
        <v>0</v>
      </c>
      <c r="AE191" s="21">
        <f>IF(A191="","",Z191-AD191)</f>
        <v>0</v>
      </c>
      <c r="AF191" s="38">
        <f>IF(OR(A191="",Z191=0),"",AE191/Z191)</f>
        <v>0</v>
      </c>
      <c r="AG191" s="18">
        <f>IF(OR(A191="",B191=""),"",IF(Q191&lt;&gt;"",Q191,B191+QuoteValidDays))</f>
        <v>0</v>
      </c>
      <c r="AH191" s="31">
        <f>IF(OR(A191="",L191=""),"",IF(OR(K191="Accepted",K191="Declined"),"",TodayDate-L191))</f>
        <v>0</v>
      </c>
      <c r="AI191" s="50">
        <f>IF(OR(A191="",AG191=""),"",IF(AND(AG191&lt;TodayDate,K191&lt;&gt;"Accepted",K191&lt;&gt;"Declined"),"Yes","No"))</f>
        <v>0</v>
      </c>
      <c r="AJ191" s="50">
        <f>IF(B191="","",IF(K191="Accepted","Yes",IF(K191="Declined","No","")))</f>
        <v>0</v>
      </c>
      <c r="AK191" s="39">
        <f>IF(B191="","",IF(K191="Accepted",IF(R191="","Action - accepted, book the job","OK - won"),IF(K191="Declined","Closed",IF(V191=0,"Add - no lines on this quote yet",IF(K191="Draft","Draft - not sent",IF(AI191="Yes","Expired - re-quote or close",IF(AND(AH191&lt;&gt;"",AH191&gt;=QuoteFollowupDays),"Chase - "&amp;AH191&amp;" days with no answer","OK")))))))</f>
        <v>0</v>
      </c>
    </row>
    <row r="192" spans="1:37">
      <c r="A192" s="43">
        <f>IF(B192="","",QuotePrefix&amp;TEXT(ROW()-4,"0000"))</f>
        <v>0</v>
      </c>
      <c r="C192" s="23">
        <f>IF(B192="","",TEXT(B192,"yyyy-mm"))</f>
        <v>0</v>
      </c>
      <c r="E192" s="23">
        <f>IF(D192&lt;&gt;"",IFERROR(INDEX(Clients!$B$5:$B$204,MATCH(D192,Clients!$A$5:$A$204,0)),F192),F192)</f>
        <v>0</v>
      </c>
      <c r="V192" s="31">
        <f>IF(A192="","",COUNTIFS('Quote Lines'!$B$5:$B$604,A192))</f>
        <v>0</v>
      </c>
      <c r="W192" s="34">
        <f>IF(A192="","",SUMIFS('Quote Lines'!$N$5:$N$604,'Quote Lines'!$B$5:$B$604,A192))</f>
        <v>0</v>
      </c>
      <c r="X192" s="21">
        <f>IF(A192="","",SUMIFS('Quote Lines'!$P$5:$P$604,'Quote Lines'!$B$5:$B$604,A192))</f>
        <v>0</v>
      </c>
      <c r="Y192" s="21">
        <f>IF(A192="","",ROUND(X192*IF(O192="",0,O192),2))</f>
        <v>0</v>
      </c>
      <c r="Z192" s="21">
        <f>IF(A192="","",X192-Y192)</f>
        <v>0</v>
      </c>
      <c r="AA192" s="21">
        <f>IF(A192="","",ROUND(Z192*TaxRate,2))</f>
        <v>0</v>
      </c>
      <c r="AB192" s="21">
        <f>IF(A192="","",Z192+AA192)</f>
        <v>0</v>
      </c>
      <c r="AC192" s="21">
        <f>IF(A192="","",IF(P192&lt;&gt;"",P192,ROUND(AB192*DepositPercent,2)))</f>
        <v>0</v>
      </c>
      <c r="AD192" s="21">
        <f>IF(A192="","",SUMIFS('Quote Lines'!$Q$5:$Q$604,'Quote Lines'!$B$5:$B$604,A192))</f>
        <v>0</v>
      </c>
      <c r="AE192" s="21">
        <f>IF(A192="","",Z192-AD192)</f>
        <v>0</v>
      </c>
      <c r="AF192" s="38">
        <f>IF(OR(A192="",Z192=0),"",AE192/Z192)</f>
        <v>0</v>
      </c>
      <c r="AG192" s="18">
        <f>IF(OR(A192="",B192=""),"",IF(Q192&lt;&gt;"",Q192,B192+QuoteValidDays))</f>
        <v>0</v>
      </c>
      <c r="AH192" s="31">
        <f>IF(OR(A192="",L192=""),"",IF(OR(K192="Accepted",K192="Declined"),"",TodayDate-L192))</f>
        <v>0</v>
      </c>
      <c r="AI192" s="50">
        <f>IF(OR(A192="",AG192=""),"",IF(AND(AG192&lt;TodayDate,K192&lt;&gt;"Accepted",K192&lt;&gt;"Declined"),"Yes","No"))</f>
        <v>0</v>
      </c>
      <c r="AJ192" s="50">
        <f>IF(B192="","",IF(K192="Accepted","Yes",IF(K192="Declined","No","")))</f>
        <v>0</v>
      </c>
      <c r="AK192" s="39">
        <f>IF(B192="","",IF(K192="Accepted",IF(R192="","Action - accepted, book the job","OK - won"),IF(K192="Declined","Closed",IF(V192=0,"Add - no lines on this quote yet",IF(K192="Draft","Draft - not sent",IF(AI192="Yes","Expired - re-quote or close",IF(AND(AH192&lt;&gt;"",AH192&gt;=QuoteFollowupDays),"Chase - "&amp;AH192&amp;" days with no answer","OK")))))))</f>
        <v>0</v>
      </c>
    </row>
    <row r="193" spans="1:37">
      <c r="A193" s="43">
        <f>IF(B193="","",QuotePrefix&amp;TEXT(ROW()-4,"0000"))</f>
        <v>0</v>
      </c>
      <c r="C193" s="23">
        <f>IF(B193="","",TEXT(B193,"yyyy-mm"))</f>
        <v>0</v>
      </c>
      <c r="E193" s="23">
        <f>IF(D193&lt;&gt;"",IFERROR(INDEX(Clients!$B$5:$B$204,MATCH(D193,Clients!$A$5:$A$204,0)),F193),F193)</f>
        <v>0</v>
      </c>
      <c r="V193" s="31">
        <f>IF(A193="","",COUNTIFS('Quote Lines'!$B$5:$B$604,A193))</f>
        <v>0</v>
      </c>
      <c r="W193" s="34">
        <f>IF(A193="","",SUMIFS('Quote Lines'!$N$5:$N$604,'Quote Lines'!$B$5:$B$604,A193))</f>
        <v>0</v>
      </c>
      <c r="X193" s="21">
        <f>IF(A193="","",SUMIFS('Quote Lines'!$P$5:$P$604,'Quote Lines'!$B$5:$B$604,A193))</f>
        <v>0</v>
      </c>
      <c r="Y193" s="21">
        <f>IF(A193="","",ROUND(X193*IF(O193="",0,O193),2))</f>
        <v>0</v>
      </c>
      <c r="Z193" s="21">
        <f>IF(A193="","",X193-Y193)</f>
        <v>0</v>
      </c>
      <c r="AA193" s="21">
        <f>IF(A193="","",ROUND(Z193*TaxRate,2))</f>
        <v>0</v>
      </c>
      <c r="AB193" s="21">
        <f>IF(A193="","",Z193+AA193)</f>
        <v>0</v>
      </c>
      <c r="AC193" s="21">
        <f>IF(A193="","",IF(P193&lt;&gt;"",P193,ROUND(AB193*DepositPercent,2)))</f>
        <v>0</v>
      </c>
      <c r="AD193" s="21">
        <f>IF(A193="","",SUMIFS('Quote Lines'!$Q$5:$Q$604,'Quote Lines'!$B$5:$B$604,A193))</f>
        <v>0</v>
      </c>
      <c r="AE193" s="21">
        <f>IF(A193="","",Z193-AD193)</f>
        <v>0</v>
      </c>
      <c r="AF193" s="38">
        <f>IF(OR(A193="",Z193=0),"",AE193/Z193)</f>
        <v>0</v>
      </c>
      <c r="AG193" s="18">
        <f>IF(OR(A193="",B193=""),"",IF(Q193&lt;&gt;"",Q193,B193+QuoteValidDays))</f>
        <v>0</v>
      </c>
      <c r="AH193" s="31">
        <f>IF(OR(A193="",L193=""),"",IF(OR(K193="Accepted",K193="Declined"),"",TodayDate-L193))</f>
        <v>0</v>
      </c>
      <c r="AI193" s="50">
        <f>IF(OR(A193="",AG193=""),"",IF(AND(AG193&lt;TodayDate,K193&lt;&gt;"Accepted",K193&lt;&gt;"Declined"),"Yes","No"))</f>
        <v>0</v>
      </c>
      <c r="AJ193" s="50">
        <f>IF(B193="","",IF(K193="Accepted","Yes",IF(K193="Declined","No","")))</f>
        <v>0</v>
      </c>
      <c r="AK193" s="39">
        <f>IF(B193="","",IF(K193="Accepted",IF(R193="","Action - accepted, book the job","OK - won"),IF(K193="Declined","Closed",IF(V193=0,"Add - no lines on this quote yet",IF(K193="Draft","Draft - not sent",IF(AI193="Yes","Expired - re-quote or close",IF(AND(AH193&lt;&gt;"",AH193&gt;=QuoteFollowupDays),"Chase - "&amp;AH193&amp;" days with no answer","OK")))))))</f>
        <v>0</v>
      </c>
    </row>
    <row r="194" spans="1:37">
      <c r="A194" s="43">
        <f>IF(B194="","",QuotePrefix&amp;TEXT(ROW()-4,"0000"))</f>
        <v>0</v>
      </c>
      <c r="C194" s="23">
        <f>IF(B194="","",TEXT(B194,"yyyy-mm"))</f>
        <v>0</v>
      </c>
      <c r="E194" s="23">
        <f>IF(D194&lt;&gt;"",IFERROR(INDEX(Clients!$B$5:$B$204,MATCH(D194,Clients!$A$5:$A$204,0)),F194),F194)</f>
        <v>0</v>
      </c>
      <c r="V194" s="31">
        <f>IF(A194="","",COUNTIFS('Quote Lines'!$B$5:$B$604,A194))</f>
        <v>0</v>
      </c>
      <c r="W194" s="34">
        <f>IF(A194="","",SUMIFS('Quote Lines'!$N$5:$N$604,'Quote Lines'!$B$5:$B$604,A194))</f>
        <v>0</v>
      </c>
      <c r="X194" s="21">
        <f>IF(A194="","",SUMIFS('Quote Lines'!$P$5:$P$604,'Quote Lines'!$B$5:$B$604,A194))</f>
        <v>0</v>
      </c>
      <c r="Y194" s="21">
        <f>IF(A194="","",ROUND(X194*IF(O194="",0,O194),2))</f>
        <v>0</v>
      </c>
      <c r="Z194" s="21">
        <f>IF(A194="","",X194-Y194)</f>
        <v>0</v>
      </c>
      <c r="AA194" s="21">
        <f>IF(A194="","",ROUND(Z194*TaxRate,2))</f>
        <v>0</v>
      </c>
      <c r="AB194" s="21">
        <f>IF(A194="","",Z194+AA194)</f>
        <v>0</v>
      </c>
      <c r="AC194" s="21">
        <f>IF(A194="","",IF(P194&lt;&gt;"",P194,ROUND(AB194*DepositPercent,2)))</f>
        <v>0</v>
      </c>
      <c r="AD194" s="21">
        <f>IF(A194="","",SUMIFS('Quote Lines'!$Q$5:$Q$604,'Quote Lines'!$B$5:$B$604,A194))</f>
        <v>0</v>
      </c>
      <c r="AE194" s="21">
        <f>IF(A194="","",Z194-AD194)</f>
        <v>0</v>
      </c>
      <c r="AF194" s="38">
        <f>IF(OR(A194="",Z194=0),"",AE194/Z194)</f>
        <v>0</v>
      </c>
      <c r="AG194" s="18">
        <f>IF(OR(A194="",B194=""),"",IF(Q194&lt;&gt;"",Q194,B194+QuoteValidDays))</f>
        <v>0</v>
      </c>
      <c r="AH194" s="31">
        <f>IF(OR(A194="",L194=""),"",IF(OR(K194="Accepted",K194="Declined"),"",TodayDate-L194))</f>
        <v>0</v>
      </c>
      <c r="AI194" s="50">
        <f>IF(OR(A194="",AG194=""),"",IF(AND(AG194&lt;TodayDate,K194&lt;&gt;"Accepted",K194&lt;&gt;"Declined"),"Yes","No"))</f>
        <v>0</v>
      </c>
      <c r="AJ194" s="50">
        <f>IF(B194="","",IF(K194="Accepted","Yes",IF(K194="Declined","No","")))</f>
        <v>0</v>
      </c>
      <c r="AK194" s="39">
        <f>IF(B194="","",IF(K194="Accepted",IF(R194="","Action - accepted, book the job","OK - won"),IF(K194="Declined","Closed",IF(V194=0,"Add - no lines on this quote yet",IF(K194="Draft","Draft - not sent",IF(AI194="Yes","Expired - re-quote or close",IF(AND(AH194&lt;&gt;"",AH194&gt;=QuoteFollowupDays),"Chase - "&amp;AH194&amp;" days with no answer","OK")))))))</f>
        <v>0</v>
      </c>
    </row>
    <row r="195" spans="1:37">
      <c r="A195" s="43">
        <f>IF(B195="","",QuotePrefix&amp;TEXT(ROW()-4,"0000"))</f>
        <v>0</v>
      </c>
      <c r="C195" s="23">
        <f>IF(B195="","",TEXT(B195,"yyyy-mm"))</f>
        <v>0</v>
      </c>
      <c r="E195" s="23">
        <f>IF(D195&lt;&gt;"",IFERROR(INDEX(Clients!$B$5:$B$204,MATCH(D195,Clients!$A$5:$A$204,0)),F195),F195)</f>
        <v>0</v>
      </c>
      <c r="V195" s="31">
        <f>IF(A195="","",COUNTIFS('Quote Lines'!$B$5:$B$604,A195))</f>
        <v>0</v>
      </c>
      <c r="W195" s="34">
        <f>IF(A195="","",SUMIFS('Quote Lines'!$N$5:$N$604,'Quote Lines'!$B$5:$B$604,A195))</f>
        <v>0</v>
      </c>
      <c r="X195" s="21">
        <f>IF(A195="","",SUMIFS('Quote Lines'!$P$5:$P$604,'Quote Lines'!$B$5:$B$604,A195))</f>
        <v>0</v>
      </c>
      <c r="Y195" s="21">
        <f>IF(A195="","",ROUND(X195*IF(O195="",0,O195),2))</f>
        <v>0</v>
      </c>
      <c r="Z195" s="21">
        <f>IF(A195="","",X195-Y195)</f>
        <v>0</v>
      </c>
      <c r="AA195" s="21">
        <f>IF(A195="","",ROUND(Z195*TaxRate,2))</f>
        <v>0</v>
      </c>
      <c r="AB195" s="21">
        <f>IF(A195="","",Z195+AA195)</f>
        <v>0</v>
      </c>
      <c r="AC195" s="21">
        <f>IF(A195="","",IF(P195&lt;&gt;"",P195,ROUND(AB195*DepositPercent,2)))</f>
        <v>0</v>
      </c>
      <c r="AD195" s="21">
        <f>IF(A195="","",SUMIFS('Quote Lines'!$Q$5:$Q$604,'Quote Lines'!$B$5:$B$604,A195))</f>
        <v>0</v>
      </c>
      <c r="AE195" s="21">
        <f>IF(A195="","",Z195-AD195)</f>
        <v>0</v>
      </c>
      <c r="AF195" s="38">
        <f>IF(OR(A195="",Z195=0),"",AE195/Z195)</f>
        <v>0</v>
      </c>
      <c r="AG195" s="18">
        <f>IF(OR(A195="",B195=""),"",IF(Q195&lt;&gt;"",Q195,B195+QuoteValidDays))</f>
        <v>0</v>
      </c>
      <c r="AH195" s="31">
        <f>IF(OR(A195="",L195=""),"",IF(OR(K195="Accepted",K195="Declined"),"",TodayDate-L195))</f>
        <v>0</v>
      </c>
      <c r="AI195" s="50">
        <f>IF(OR(A195="",AG195=""),"",IF(AND(AG195&lt;TodayDate,K195&lt;&gt;"Accepted",K195&lt;&gt;"Declined"),"Yes","No"))</f>
        <v>0</v>
      </c>
      <c r="AJ195" s="50">
        <f>IF(B195="","",IF(K195="Accepted","Yes",IF(K195="Declined","No","")))</f>
        <v>0</v>
      </c>
      <c r="AK195" s="39">
        <f>IF(B195="","",IF(K195="Accepted",IF(R195="","Action - accepted, book the job","OK - won"),IF(K195="Declined","Closed",IF(V195=0,"Add - no lines on this quote yet",IF(K195="Draft","Draft - not sent",IF(AI195="Yes","Expired - re-quote or close",IF(AND(AH195&lt;&gt;"",AH195&gt;=QuoteFollowupDays),"Chase - "&amp;AH195&amp;" days with no answer","OK")))))))</f>
        <v>0</v>
      </c>
    </row>
    <row r="196" spans="1:37">
      <c r="A196" s="43">
        <f>IF(B196="","",QuotePrefix&amp;TEXT(ROW()-4,"0000"))</f>
        <v>0</v>
      </c>
      <c r="C196" s="23">
        <f>IF(B196="","",TEXT(B196,"yyyy-mm"))</f>
        <v>0</v>
      </c>
      <c r="E196" s="23">
        <f>IF(D196&lt;&gt;"",IFERROR(INDEX(Clients!$B$5:$B$204,MATCH(D196,Clients!$A$5:$A$204,0)),F196),F196)</f>
        <v>0</v>
      </c>
      <c r="V196" s="31">
        <f>IF(A196="","",COUNTIFS('Quote Lines'!$B$5:$B$604,A196))</f>
        <v>0</v>
      </c>
      <c r="W196" s="34">
        <f>IF(A196="","",SUMIFS('Quote Lines'!$N$5:$N$604,'Quote Lines'!$B$5:$B$604,A196))</f>
        <v>0</v>
      </c>
      <c r="X196" s="21">
        <f>IF(A196="","",SUMIFS('Quote Lines'!$P$5:$P$604,'Quote Lines'!$B$5:$B$604,A196))</f>
        <v>0</v>
      </c>
      <c r="Y196" s="21">
        <f>IF(A196="","",ROUND(X196*IF(O196="",0,O196),2))</f>
        <v>0</v>
      </c>
      <c r="Z196" s="21">
        <f>IF(A196="","",X196-Y196)</f>
        <v>0</v>
      </c>
      <c r="AA196" s="21">
        <f>IF(A196="","",ROUND(Z196*TaxRate,2))</f>
        <v>0</v>
      </c>
      <c r="AB196" s="21">
        <f>IF(A196="","",Z196+AA196)</f>
        <v>0</v>
      </c>
      <c r="AC196" s="21">
        <f>IF(A196="","",IF(P196&lt;&gt;"",P196,ROUND(AB196*DepositPercent,2)))</f>
        <v>0</v>
      </c>
      <c r="AD196" s="21">
        <f>IF(A196="","",SUMIFS('Quote Lines'!$Q$5:$Q$604,'Quote Lines'!$B$5:$B$604,A196))</f>
        <v>0</v>
      </c>
      <c r="AE196" s="21">
        <f>IF(A196="","",Z196-AD196)</f>
        <v>0</v>
      </c>
      <c r="AF196" s="38">
        <f>IF(OR(A196="",Z196=0),"",AE196/Z196)</f>
        <v>0</v>
      </c>
      <c r="AG196" s="18">
        <f>IF(OR(A196="",B196=""),"",IF(Q196&lt;&gt;"",Q196,B196+QuoteValidDays))</f>
        <v>0</v>
      </c>
      <c r="AH196" s="31">
        <f>IF(OR(A196="",L196=""),"",IF(OR(K196="Accepted",K196="Declined"),"",TodayDate-L196))</f>
        <v>0</v>
      </c>
      <c r="AI196" s="50">
        <f>IF(OR(A196="",AG196=""),"",IF(AND(AG196&lt;TodayDate,K196&lt;&gt;"Accepted",K196&lt;&gt;"Declined"),"Yes","No"))</f>
        <v>0</v>
      </c>
      <c r="AJ196" s="50">
        <f>IF(B196="","",IF(K196="Accepted","Yes",IF(K196="Declined","No","")))</f>
        <v>0</v>
      </c>
      <c r="AK196" s="39">
        <f>IF(B196="","",IF(K196="Accepted",IF(R196="","Action - accepted, book the job","OK - won"),IF(K196="Declined","Closed",IF(V196=0,"Add - no lines on this quote yet",IF(K196="Draft","Draft - not sent",IF(AI196="Yes","Expired - re-quote or close",IF(AND(AH196&lt;&gt;"",AH196&gt;=QuoteFollowupDays),"Chase - "&amp;AH196&amp;" days with no answer","OK")))))))</f>
        <v>0</v>
      </c>
    </row>
    <row r="197" spans="1:37">
      <c r="A197" s="43">
        <f>IF(B197="","",QuotePrefix&amp;TEXT(ROW()-4,"0000"))</f>
        <v>0</v>
      </c>
      <c r="C197" s="23">
        <f>IF(B197="","",TEXT(B197,"yyyy-mm"))</f>
        <v>0</v>
      </c>
      <c r="E197" s="23">
        <f>IF(D197&lt;&gt;"",IFERROR(INDEX(Clients!$B$5:$B$204,MATCH(D197,Clients!$A$5:$A$204,0)),F197),F197)</f>
        <v>0</v>
      </c>
      <c r="V197" s="31">
        <f>IF(A197="","",COUNTIFS('Quote Lines'!$B$5:$B$604,A197))</f>
        <v>0</v>
      </c>
      <c r="W197" s="34">
        <f>IF(A197="","",SUMIFS('Quote Lines'!$N$5:$N$604,'Quote Lines'!$B$5:$B$604,A197))</f>
        <v>0</v>
      </c>
      <c r="X197" s="21">
        <f>IF(A197="","",SUMIFS('Quote Lines'!$P$5:$P$604,'Quote Lines'!$B$5:$B$604,A197))</f>
        <v>0</v>
      </c>
      <c r="Y197" s="21">
        <f>IF(A197="","",ROUND(X197*IF(O197="",0,O197),2))</f>
        <v>0</v>
      </c>
      <c r="Z197" s="21">
        <f>IF(A197="","",X197-Y197)</f>
        <v>0</v>
      </c>
      <c r="AA197" s="21">
        <f>IF(A197="","",ROUND(Z197*TaxRate,2))</f>
        <v>0</v>
      </c>
      <c r="AB197" s="21">
        <f>IF(A197="","",Z197+AA197)</f>
        <v>0</v>
      </c>
      <c r="AC197" s="21">
        <f>IF(A197="","",IF(P197&lt;&gt;"",P197,ROUND(AB197*DepositPercent,2)))</f>
        <v>0</v>
      </c>
      <c r="AD197" s="21">
        <f>IF(A197="","",SUMIFS('Quote Lines'!$Q$5:$Q$604,'Quote Lines'!$B$5:$B$604,A197))</f>
        <v>0</v>
      </c>
      <c r="AE197" s="21">
        <f>IF(A197="","",Z197-AD197)</f>
        <v>0</v>
      </c>
      <c r="AF197" s="38">
        <f>IF(OR(A197="",Z197=0),"",AE197/Z197)</f>
        <v>0</v>
      </c>
      <c r="AG197" s="18">
        <f>IF(OR(A197="",B197=""),"",IF(Q197&lt;&gt;"",Q197,B197+QuoteValidDays))</f>
        <v>0</v>
      </c>
      <c r="AH197" s="31">
        <f>IF(OR(A197="",L197=""),"",IF(OR(K197="Accepted",K197="Declined"),"",TodayDate-L197))</f>
        <v>0</v>
      </c>
      <c r="AI197" s="50">
        <f>IF(OR(A197="",AG197=""),"",IF(AND(AG197&lt;TodayDate,K197&lt;&gt;"Accepted",K197&lt;&gt;"Declined"),"Yes","No"))</f>
        <v>0</v>
      </c>
      <c r="AJ197" s="50">
        <f>IF(B197="","",IF(K197="Accepted","Yes",IF(K197="Declined","No","")))</f>
        <v>0</v>
      </c>
      <c r="AK197" s="39">
        <f>IF(B197="","",IF(K197="Accepted",IF(R197="","Action - accepted, book the job","OK - won"),IF(K197="Declined","Closed",IF(V197=0,"Add - no lines on this quote yet",IF(K197="Draft","Draft - not sent",IF(AI197="Yes","Expired - re-quote or close",IF(AND(AH197&lt;&gt;"",AH197&gt;=QuoteFollowupDays),"Chase - "&amp;AH197&amp;" days with no answer","OK")))))))</f>
        <v>0</v>
      </c>
    </row>
    <row r="198" spans="1:37">
      <c r="A198" s="43">
        <f>IF(B198="","",QuotePrefix&amp;TEXT(ROW()-4,"0000"))</f>
        <v>0</v>
      </c>
      <c r="C198" s="23">
        <f>IF(B198="","",TEXT(B198,"yyyy-mm"))</f>
        <v>0</v>
      </c>
      <c r="E198" s="23">
        <f>IF(D198&lt;&gt;"",IFERROR(INDEX(Clients!$B$5:$B$204,MATCH(D198,Clients!$A$5:$A$204,0)),F198),F198)</f>
        <v>0</v>
      </c>
      <c r="V198" s="31">
        <f>IF(A198="","",COUNTIFS('Quote Lines'!$B$5:$B$604,A198))</f>
        <v>0</v>
      </c>
      <c r="W198" s="34">
        <f>IF(A198="","",SUMIFS('Quote Lines'!$N$5:$N$604,'Quote Lines'!$B$5:$B$604,A198))</f>
        <v>0</v>
      </c>
      <c r="X198" s="21">
        <f>IF(A198="","",SUMIFS('Quote Lines'!$P$5:$P$604,'Quote Lines'!$B$5:$B$604,A198))</f>
        <v>0</v>
      </c>
      <c r="Y198" s="21">
        <f>IF(A198="","",ROUND(X198*IF(O198="",0,O198),2))</f>
        <v>0</v>
      </c>
      <c r="Z198" s="21">
        <f>IF(A198="","",X198-Y198)</f>
        <v>0</v>
      </c>
      <c r="AA198" s="21">
        <f>IF(A198="","",ROUND(Z198*TaxRate,2))</f>
        <v>0</v>
      </c>
      <c r="AB198" s="21">
        <f>IF(A198="","",Z198+AA198)</f>
        <v>0</v>
      </c>
      <c r="AC198" s="21">
        <f>IF(A198="","",IF(P198&lt;&gt;"",P198,ROUND(AB198*DepositPercent,2)))</f>
        <v>0</v>
      </c>
      <c r="AD198" s="21">
        <f>IF(A198="","",SUMIFS('Quote Lines'!$Q$5:$Q$604,'Quote Lines'!$B$5:$B$604,A198))</f>
        <v>0</v>
      </c>
      <c r="AE198" s="21">
        <f>IF(A198="","",Z198-AD198)</f>
        <v>0</v>
      </c>
      <c r="AF198" s="38">
        <f>IF(OR(A198="",Z198=0),"",AE198/Z198)</f>
        <v>0</v>
      </c>
      <c r="AG198" s="18">
        <f>IF(OR(A198="",B198=""),"",IF(Q198&lt;&gt;"",Q198,B198+QuoteValidDays))</f>
        <v>0</v>
      </c>
      <c r="AH198" s="31">
        <f>IF(OR(A198="",L198=""),"",IF(OR(K198="Accepted",K198="Declined"),"",TodayDate-L198))</f>
        <v>0</v>
      </c>
      <c r="AI198" s="50">
        <f>IF(OR(A198="",AG198=""),"",IF(AND(AG198&lt;TodayDate,K198&lt;&gt;"Accepted",K198&lt;&gt;"Declined"),"Yes","No"))</f>
        <v>0</v>
      </c>
      <c r="AJ198" s="50">
        <f>IF(B198="","",IF(K198="Accepted","Yes",IF(K198="Declined","No","")))</f>
        <v>0</v>
      </c>
      <c r="AK198" s="39">
        <f>IF(B198="","",IF(K198="Accepted",IF(R198="","Action - accepted, book the job","OK - won"),IF(K198="Declined","Closed",IF(V198=0,"Add - no lines on this quote yet",IF(K198="Draft","Draft - not sent",IF(AI198="Yes","Expired - re-quote or close",IF(AND(AH198&lt;&gt;"",AH198&gt;=QuoteFollowupDays),"Chase - "&amp;AH198&amp;" days with no answer","OK")))))))</f>
        <v>0</v>
      </c>
    </row>
    <row r="199" spans="1:37">
      <c r="A199" s="43">
        <f>IF(B199="","",QuotePrefix&amp;TEXT(ROW()-4,"0000"))</f>
        <v>0</v>
      </c>
      <c r="C199" s="23">
        <f>IF(B199="","",TEXT(B199,"yyyy-mm"))</f>
        <v>0</v>
      </c>
      <c r="E199" s="23">
        <f>IF(D199&lt;&gt;"",IFERROR(INDEX(Clients!$B$5:$B$204,MATCH(D199,Clients!$A$5:$A$204,0)),F199),F199)</f>
        <v>0</v>
      </c>
      <c r="V199" s="31">
        <f>IF(A199="","",COUNTIFS('Quote Lines'!$B$5:$B$604,A199))</f>
        <v>0</v>
      </c>
      <c r="W199" s="34">
        <f>IF(A199="","",SUMIFS('Quote Lines'!$N$5:$N$604,'Quote Lines'!$B$5:$B$604,A199))</f>
        <v>0</v>
      </c>
      <c r="X199" s="21">
        <f>IF(A199="","",SUMIFS('Quote Lines'!$P$5:$P$604,'Quote Lines'!$B$5:$B$604,A199))</f>
        <v>0</v>
      </c>
      <c r="Y199" s="21">
        <f>IF(A199="","",ROUND(X199*IF(O199="",0,O199),2))</f>
        <v>0</v>
      </c>
      <c r="Z199" s="21">
        <f>IF(A199="","",X199-Y199)</f>
        <v>0</v>
      </c>
      <c r="AA199" s="21">
        <f>IF(A199="","",ROUND(Z199*TaxRate,2))</f>
        <v>0</v>
      </c>
      <c r="AB199" s="21">
        <f>IF(A199="","",Z199+AA199)</f>
        <v>0</v>
      </c>
      <c r="AC199" s="21">
        <f>IF(A199="","",IF(P199&lt;&gt;"",P199,ROUND(AB199*DepositPercent,2)))</f>
        <v>0</v>
      </c>
      <c r="AD199" s="21">
        <f>IF(A199="","",SUMIFS('Quote Lines'!$Q$5:$Q$604,'Quote Lines'!$B$5:$B$604,A199))</f>
        <v>0</v>
      </c>
      <c r="AE199" s="21">
        <f>IF(A199="","",Z199-AD199)</f>
        <v>0</v>
      </c>
      <c r="AF199" s="38">
        <f>IF(OR(A199="",Z199=0),"",AE199/Z199)</f>
        <v>0</v>
      </c>
      <c r="AG199" s="18">
        <f>IF(OR(A199="",B199=""),"",IF(Q199&lt;&gt;"",Q199,B199+QuoteValidDays))</f>
        <v>0</v>
      </c>
      <c r="AH199" s="31">
        <f>IF(OR(A199="",L199=""),"",IF(OR(K199="Accepted",K199="Declined"),"",TodayDate-L199))</f>
        <v>0</v>
      </c>
      <c r="AI199" s="50">
        <f>IF(OR(A199="",AG199=""),"",IF(AND(AG199&lt;TodayDate,K199&lt;&gt;"Accepted",K199&lt;&gt;"Declined"),"Yes","No"))</f>
        <v>0</v>
      </c>
      <c r="AJ199" s="50">
        <f>IF(B199="","",IF(K199="Accepted","Yes",IF(K199="Declined","No","")))</f>
        <v>0</v>
      </c>
      <c r="AK199" s="39">
        <f>IF(B199="","",IF(K199="Accepted",IF(R199="","Action - accepted, book the job","OK - won"),IF(K199="Declined","Closed",IF(V199=0,"Add - no lines on this quote yet",IF(K199="Draft","Draft - not sent",IF(AI199="Yes","Expired - re-quote or close",IF(AND(AH199&lt;&gt;"",AH199&gt;=QuoteFollowupDays),"Chase - "&amp;AH199&amp;" days with no answer","OK")))))))</f>
        <v>0</v>
      </c>
    </row>
    <row r="200" spans="1:37">
      <c r="A200" s="43">
        <f>IF(B200="","",QuotePrefix&amp;TEXT(ROW()-4,"0000"))</f>
        <v>0</v>
      </c>
      <c r="C200" s="23">
        <f>IF(B200="","",TEXT(B200,"yyyy-mm"))</f>
        <v>0</v>
      </c>
      <c r="E200" s="23">
        <f>IF(D200&lt;&gt;"",IFERROR(INDEX(Clients!$B$5:$B$204,MATCH(D200,Clients!$A$5:$A$204,0)),F200),F200)</f>
        <v>0</v>
      </c>
      <c r="V200" s="31">
        <f>IF(A200="","",COUNTIFS('Quote Lines'!$B$5:$B$604,A200))</f>
        <v>0</v>
      </c>
      <c r="W200" s="34">
        <f>IF(A200="","",SUMIFS('Quote Lines'!$N$5:$N$604,'Quote Lines'!$B$5:$B$604,A200))</f>
        <v>0</v>
      </c>
      <c r="X200" s="21">
        <f>IF(A200="","",SUMIFS('Quote Lines'!$P$5:$P$604,'Quote Lines'!$B$5:$B$604,A200))</f>
        <v>0</v>
      </c>
      <c r="Y200" s="21">
        <f>IF(A200="","",ROUND(X200*IF(O200="",0,O200),2))</f>
        <v>0</v>
      </c>
      <c r="Z200" s="21">
        <f>IF(A200="","",X200-Y200)</f>
        <v>0</v>
      </c>
      <c r="AA200" s="21">
        <f>IF(A200="","",ROUND(Z200*TaxRate,2))</f>
        <v>0</v>
      </c>
      <c r="AB200" s="21">
        <f>IF(A200="","",Z200+AA200)</f>
        <v>0</v>
      </c>
      <c r="AC200" s="21">
        <f>IF(A200="","",IF(P200&lt;&gt;"",P200,ROUND(AB200*DepositPercent,2)))</f>
        <v>0</v>
      </c>
      <c r="AD200" s="21">
        <f>IF(A200="","",SUMIFS('Quote Lines'!$Q$5:$Q$604,'Quote Lines'!$B$5:$B$604,A200))</f>
        <v>0</v>
      </c>
      <c r="AE200" s="21">
        <f>IF(A200="","",Z200-AD200)</f>
        <v>0</v>
      </c>
      <c r="AF200" s="38">
        <f>IF(OR(A200="",Z200=0),"",AE200/Z200)</f>
        <v>0</v>
      </c>
      <c r="AG200" s="18">
        <f>IF(OR(A200="",B200=""),"",IF(Q200&lt;&gt;"",Q200,B200+QuoteValidDays))</f>
        <v>0</v>
      </c>
      <c r="AH200" s="31">
        <f>IF(OR(A200="",L200=""),"",IF(OR(K200="Accepted",K200="Declined"),"",TodayDate-L200))</f>
        <v>0</v>
      </c>
      <c r="AI200" s="50">
        <f>IF(OR(A200="",AG200=""),"",IF(AND(AG200&lt;TodayDate,K200&lt;&gt;"Accepted",K200&lt;&gt;"Declined"),"Yes","No"))</f>
        <v>0</v>
      </c>
      <c r="AJ200" s="50">
        <f>IF(B200="","",IF(K200="Accepted","Yes",IF(K200="Declined","No","")))</f>
        <v>0</v>
      </c>
      <c r="AK200" s="39">
        <f>IF(B200="","",IF(K200="Accepted",IF(R200="","Action - accepted, book the job","OK - won"),IF(K200="Declined","Closed",IF(V200=0,"Add - no lines on this quote yet",IF(K200="Draft","Draft - not sent",IF(AI200="Yes","Expired - re-quote or close",IF(AND(AH200&lt;&gt;"",AH200&gt;=QuoteFollowupDays),"Chase - "&amp;AH200&amp;" days with no answer","OK")))))))</f>
        <v>0</v>
      </c>
    </row>
    <row r="201" spans="1:37">
      <c r="A201" s="43">
        <f>IF(B201="","",QuotePrefix&amp;TEXT(ROW()-4,"0000"))</f>
        <v>0</v>
      </c>
      <c r="C201" s="23">
        <f>IF(B201="","",TEXT(B201,"yyyy-mm"))</f>
        <v>0</v>
      </c>
      <c r="E201" s="23">
        <f>IF(D201&lt;&gt;"",IFERROR(INDEX(Clients!$B$5:$B$204,MATCH(D201,Clients!$A$5:$A$204,0)),F201),F201)</f>
        <v>0</v>
      </c>
      <c r="V201" s="31">
        <f>IF(A201="","",COUNTIFS('Quote Lines'!$B$5:$B$604,A201))</f>
        <v>0</v>
      </c>
      <c r="W201" s="34">
        <f>IF(A201="","",SUMIFS('Quote Lines'!$N$5:$N$604,'Quote Lines'!$B$5:$B$604,A201))</f>
        <v>0</v>
      </c>
      <c r="X201" s="21">
        <f>IF(A201="","",SUMIFS('Quote Lines'!$P$5:$P$604,'Quote Lines'!$B$5:$B$604,A201))</f>
        <v>0</v>
      </c>
      <c r="Y201" s="21">
        <f>IF(A201="","",ROUND(X201*IF(O201="",0,O201),2))</f>
        <v>0</v>
      </c>
      <c r="Z201" s="21">
        <f>IF(A201="","",X201-Y201)</f>
        <v>0</v>
      </c>
      <c r="AA201" s="21">
        <f>IF(A201="","",ROUND(Z201*TaxRate,2))</f>
        <v>0</v>
      </c>
      <c r="AB201" s="21">
        <f>IF(A201="","",Z201+AA201)</f>
        <v>0</v>
      </c>
      <c r="AC201" s="21">
        <f>IF(A201="","",IF(P201&lt;&gt;"",P201,ROUND(AB201*DepositPercent,2)))</f>
        <v>0</v>
      </c>
      <c r="AD201" s="21">
        <f>IF(A201="","",SUMIFS('Quote Lines'!$Q$5:$Q$604,'Quote Lines'!$B$5:$B$604,A201))</f>
        <v>0</v>
      </c>
      <c r="AE201" s="21">
        <f>IF(A201="","",Z201-AD201)</f>
        <v>0</v>
      </c>
      <c r="AF201" s="38">
        <f>IF(OR(A201="",Z201=0),"",AE201/Z201)</f>
        <v>0</v>
      </c>
      <c r="AG201" s="18">
        <f>IF(OR(A201="",B201=""),"",IF(Q201&lt;&gt;"",Q201,B201+QuoteValidDays))</f>
        <v>0</v>
      </c>
      <c r="AH201" s="31">
        <f>IF(OR(A201="",L201=""),"",IF(OR(K201="Accepted",K201="Declined"),"",TodayDate-L201))</f>
        <v>0</v>
      </c>
      <c r="AI201" s="50">
        <f>IF(OR(A201="",AG201=""),"",IF(AND(AG201&lt;TodayDate,K201&lt;&gt;"Accepted",K201&lt;&gt;"Declined"),"Yes","No"))</f>
        <v>0</v>
      </c>
      <c r="AJ201" s="50">
        <f>IF(B201="","",IF(K201="Accepted","Yes",IF(K201="Declined","No","")))</f>
        <v>0</v>
      </c>
      <c r="AK201" s="39">
        <f>IF(B201="","",IF(K201="Accepted",IF(R201="","Action - accepted, book the job","OK - won"),IF(K201="Declined","Closed",IF(V201=0,"Add - no lines on this quote yet",IF(K201="Draft","Draft - not sent",IF(AI201="Yes","Expired - re-quote or close",IF(AND(AH201&lt;&gt;"",AH201&gt;=QuoteFollowupDays),"Chase - "&amp;AH201&amp;" days with no answer","OK")))))))</f>
        <v>0</v>
      </c>
    </row>
    <row r="202" spans="1:37">
      <c r="A202" s="43">
        <f>IF(B202="","",QuotePrefix&amp;TEXT(ROW()-4,"0000"))</f>
        <v>0</v>
      </c>
      <c r="C202" s="23">
        <f>IF(B202="","",TEXT(B202,"yyyy-mm"))</f>
        <v>0</v>
      </c>
      <c r="E202" s="23">
        <f>IF(D202&lt;&gt;"",IFERROR(INDEX(Clients!$B$5:$B$204,MATCH(D202,Clients!$A$5:$A$204,0)),F202),F202)</f>
        <v>0</v>
      </c>
      <c r="V202" s="31">
        <f>IF(A202="","",COUNTIFS('Quote Lines'!$B$5:$B$604,A202))</f>
        <v>0</v>
      </c>
      <c r="W202" s="34">
        <f>IF(A202="","",SUMIFS('Quote Lines'!$N$5:$N$604,'Quote Lines'!$B$5:$B$604,A202))</f>
        <v>0</v>
      </c>
      <c r="X202" s="21">
        <f>IF(A202="","",SUMIFS('Quote Lines'!$P$5:$P$604,'Quote Lines'!$B$5:$B$604,A202))</f>
        <v>0</v>
      </c>
      <c r="Y202" s="21">
        <f>IF(A202="","",ROUND(X202*IF(O202="",0,O202),2))</f>
        <v>0</v>
      </c>
      <c r="Z202" s="21">
        <f>IF(A202="","",X202-Y202)</f>
        <v>0</v>
      </c>
      <c r="AA202" s="21">
        <f>IF(A202="","",ROUND(Z202*TaxRate,2))</f>
        <v>0</v>
      </c>
      <c r="AB202" s="21">
        <f>IF(A202="","",Z202+AA202)</f>
        <v>0</v>
      </c>
      <c r="AC202" s="21">
        <f>IF(A202="","",IF(P202&lt;&gt;"",P202,ROUND(AB202*DepositPercent,2)))</f>
        <v>0</v>
      </c>
      <c r="AD202" s="21">
        <f>IF(A202="","",SUMIFS('Quote Lines'!$Q$5:$Q$604,'Quote Lines'!$B$5:$B$604,A202))</f>
        <v>0</v>
      </c>
      <c r="AE202" s="21">
        <f>IF(A202="","",Z202-AD202)</f>
        <v>0</v>
      </c>
      <c r="AF202" s="38">
        <f>IF(OR(A202="",Z202=0),"",AE202/Z202)</f>
        <v>0</v>
      </c>
      <c r="AG202" s="18">
        <f>IF(OR(A202="",B202=""),"",IF(Q202&lt;&gt;"",Q202,B202+QuoteValidDays))</f>
        <v>0</v>
      </c>
      <c r="AH202" s="31">
        <f>IF(OR(A202="",L202=""),"",IF(OR(K202="Accepted",K202="Declined"),"",TodayDate-L202))</f>
        <v>0</v>
      </c>
      <c r="AI202" s="50">
        <f>IF(OR(A202="",AG202=""),"",IF(AND(AG202&lt;TodayDate,K202&lt;&gt;"Accepted",K202&lt;&gt;"Declined"),"Yes","No"))</f>
        <v>0</v>
      </c>
      <c r="AJ202" s="50">
        <f>IF(B202="","",IF(K202="Accepted","Yes",IF(K202="Declined","No","")))</f>
        <v>0</v>
      </c>
      <c r="AK202" s="39">
        <f>IF(B202="","",IF(K202="Accepted",IF(R202="","Action - accepted, book the job","OK - won"),IF(K202="Declined","Closed",IF(V202=0,"Add - no lines on this quote yet",IF(K202="Draft","Draft - not sent",IF(AI202="Yes","Expired - re-quote or close",IF(AND(AH202&lt;&gt;"",AH202&gt;=QuoteFollowupDays),"Chase - "&amp;AH202&amp;" days with no answer","OK")))))))</f>
        <v>0</v>
      </c>
    </row>
    <row r="203" spans="1:37">
      <c r="A203" s="43">
        <f>IF(B203="","",QuotePrefix&amp;TEXT(ROW()-4,"0000"))</f>
        <v>0</v>
      </c>
      <c r="C203" s="23">
        <f>IF(B203="","",TEXT(B203,"yyyy-mm"))</f>
        <v>0</v>
      </c>
      <c r="E203" s="23">
        <f>IF(D203&lt;&gt;"",IFERROR(INDEX(Clients!$B$5:$B$204,MATCH(D203,Clients!$A$5:$A$204,0)),F203),F203)</f>
        <v>0</v>
      </c>
      <c r="V203" s="31">
        <f>IF(A203="","",COUNTIFS('Quote Lines'!$B$5:$B$604,A203))</f>
        <v>0</v>
      </c>
      <c r="W203" s="34">
        <f>IF(A203="","",SUMIFS('Quote Lines'!$N$5:$N$604,'Quote Lines'!$B$5:$B$604,A203))</f>
        <v>0</v>
      </c>
      <c r="X203" s="21">
        <f>IF(A203="","",SUMIFS('Quote Lines'!$P$5:$P$604,'Quote Lines'!$B$5:$B$604,A203))</f>
        <v>0</v>
      </c>
      <c r="Y203" s="21">
        <f>IF(A203="","",ROUND(X203*IF(O203="",0,O203),2))</f>
        <v>0</v>
      </c>
      <c r="Z203" s="21">
        <f>IF(A203="","",X203-Y203)</f>
        <v>0</v>
      </c>
      <c r="AA203" s="21">
        <f>IF(A203="","",ROUND(Z203*TaxRate,2))</f>
        <v>0</v>
      </c>
      <c r="AB203" s="21">
        <f>IF(A203="","",Z203+AA203)</f>
        <v>0</v>
      </c>
      <c r="AC203" s="21">
        <f>IF(A203="","",IF(P203&lt;&gt;"",P203,ROUND(AB203*DepositPercent,2)))</f>
        <v>0</v>
      </c>
      <c r="AD203" s="21">
        <f>IF(A203="","",SUMIFS('Quote Lines'!$Q$5:$Q$604,'Quote Lines'!$B$5:$B$604,A203))</f>
        <v>0</v>
      </c>
      <c r="AE203" s="21">
        <f>IF(A203="","",Z203-AD203)</f>
        <v>0</v>
      </c>
      <c r="AF203" s="38">
        <f>IF(OR(A203="",Z203=0),"",AE203/Z203)</f>
        <v>0</v>
      </c>
      <c r="AG203" s="18">
        <f>IF(OR(A203="",B203=""),"",IF(Q203&lt;&gt;"",Q203,B203+QuoteValidDays))</f>
        <v>0</v>
      </c>
      <c r="AH203" s="31">
        <f>IF(OR(A203="",L203=""),"",IF(OR(K203="Accepted",K203="Declined"),"",TodayDate-L203))</f>
        <v>0</v>
      </c>
      <c r="AI203" s="50">
        <f>IF(OR(A203="",AG203=""),"",IF(AND(AG203&lt;TodayDate,K203&lt;&gt;"Accepted",K203&lt;&gt;"Declined"),"Yes","No"))</f>
        <v>0</v>
      </c>
      <c r="AJ203" s="50">
        <f>IF(B203="","",IF(K203="Accepted","Yes",IF(K203="Declined","No","")))</f>
        <v>0</v>
      </c>
      <c r="AK203" s="39">
        <f>IF(B203="","",IF(K203="Accepted",IF(R203="","Action - accepted, book the job","OK - won"),IF(K203="Declined","Closed",IF(V203=0,"Add - no lines on this quote yet",IF(K203="Draft","Draft - not sent",IF(AI203="Yes","Expired - re-quote or close",IF(AND(AH203&lt;&gt;"",AH203&gt;=QuoteFollowupDays),"Chase - "&amp;AH203&amp;" days with no answer","OK")))))))</f>
        <v>0</v>
      </c>
    </row>
    <row r="204" spans="1:37">
      <c r="A204" s="43">
        <f>IF(B204="","",QuotePrefix&amp;TEXT(ROW()-4,"0000"))</f>
        <v>0</v>
      </c>
      <c r="C204" s="23">
        <f>IF(B204="","",TEXT(B204,"yyyy-mm"))</f>
        <v>0</v>
      </c>
      <c r="E204" s="23">
        <f>IF(D204&lt;&gt;"",IFERROR(INDEX(Clients!$B$5:$B$204,MATCH(D204,Clients!$A$5:$A$204,0)),F204),F204)</f>
        <v>0</v>
      </c>
      <c r="V204" s="31">
        <f>IF(A204="","",COUNTIFS('Quote Lines'!$B$5:$B$604,A204))</f>
        <v>0</v>
      </c>
      <c r="W204" s="34">
        <f>IF(A204="","",SUMIFS('Quote Lines'!$N$5:$N$604,'Quote Lines'!$B$5:$B$604,A204))</f>
        <v>0</v>
      </c>
      <c r="X204" s="21">
        <f>IF(A204="","",SUMIFS('Quote Lines'!$P$5:$P$604,'Quote Lines'!$B$5:$B$604,A204))</f>
        <v>0</v>
      </c>
      <c r="Y204" s="21">
        <f>IF(A204="","",ROUND(X204*IF(O204="",0,O204),2))</f>
        <v>0</v>
      </c>
      <c r="Z204" s="21">
        <f>IF(A204="","",X204-Y204)</f>
        <v>0</v>
      </c>
      <c r="AA204" s="21">
        <f>IF(A204="","",ROUND(Z204*TaxRate,2))</f>
        <v>0</v>
      </c>
      <c r="AB204" s="21">
        <f>IF(A204="","",Z204+AA204)</f>
        <v>0</v>
      </c>
      <c r="AC204" s="21">
        <f>IF(A204="","",IF(P204&lt;&gt;"",P204,ROUND(AB204*DepositPercent,2)))</f>
        <v>0</v>
      </c>
      <c r="AD204" s="21">
        <f>IF(A204="","",SUMIFS('Quote Lines'!$Q$5:$Q$604,'Quote Lines'!$B$5:$B$604,A204))</f>
        <v>0</v>
      </c>
      <c r="AE204" s="21">
        <f>IF(A204="","",Z204-AD204)</f>
        <v>0</v>
      </c>
      <c r="AF204" s="38">
        <f>IF(OR(A204="",Z204=0),"",AE204/Z204)</f>
        <v>0</v>
      </c>
      <c r="AG204" s="18">
        <f>IF(OR(A204="",B204=""),"",IF(Q204&lt;&gt;"",Q204,B204+QuoteValidDays))</f>
        <v>0</v>
      </c>
      <c r="AH204" s="31">
        <f>IF(OR(A204="",L204=""),"",IF(OR(K204="Accepted",K204="Declined"),"",TodayDate-L204))</f>
        <v>0</v>
      </c>
      <c r="AI204" s="50">
        <f>IF(OR(A204="",AG204=""),"",IF(AND(AG204&lt;TodayDate,K204&lt;&gt;"Accepted",K204&lt;&gt;"Declined"),"Yes","No"))</f>
        <v>0</v>
      </c>
      <c r="AJ204" s="50">
        <f>IF(B204="","",IF(K204="Accepted","Yes",IF(K204="Declined","No","")))</f>
        <v>0</v>
      </c>
      <c r="AK204" s="39">
        <f>IF(B204="","",IF(K204="Accepted",IF(R204="","Action - accepted, book the job","OK - won"),IF(K204="Declined","Closed",IF(V204=0,"Add - no lines on this quote yet",IF(K204="Draft","Draft - not sent",IF(AI204="Yes","Expired - re-quote or close",IF(AND(AH204&lt;&gt;"",AH204&gt;=QuoteFollowupDays),"Chase - "&amp;AH204&amp;" days with no answer","OK")))))))</f>
        <v>0</v>
      </c>
    </row>
  </sheetData>
  <sheetProtection password="EC7C" sheet="1" objects="1" scenarios="1" formatCells="0" formatColumns="0" formatRows="0" insertRows="0" insertHyperlinks="0" deleteRows="0" autoFilter="0"/>
  <autoFilter ref="A4:AK204"/>
  <mergeCells count="13">
    <mergeCell ref="A1:AH1"/>
    <mergeCell ref="AI1:AK1"/>
    <mergeCell ref="A2:AK2"/>
    <mergeCell ref="A3:B3"/>
    <mergeCell ref="C3:D3"/>
    <mergeCell ref="E3:F3"/>
    <mergeCell ref="G3:H3"/>
    <mergeCell ref="I3:J3"/>
    <mergeCell ref="K3:L3"/>
    <mergeCell ref="M3:N3"/>
    <mergeCell ref="O3:P3"/>
    <mergeCell ref="Q3:R3"/>
    <mergeCell ref="S3:AK3"/>
  </mergeCells>
  <conditionalFormatting sqref="AB5:AB204">
    <cfRule type="dataBar" priority="40">
      <dataBar>
        <cfvo type="min" val="0"/>
        <cfvo type="max" val="0"/>
        <color rgb="FFE8A33D"/>
      </dataBar>
    </cfRule>
  </conditionalFormatting>
  <conditionalFormatting sqref="AF5:AF204">
    <cfRule type="cellIs" dxfId="2" priority="41" operator="lessThan">
      <formula>MarginFloor</formula>
    </cfRule>
    <cfRule type="cellIs" dxfId="1" priority="42" operator="greaterThanOrEqual">
      <formula>TargetMargin</formula>
    </cfRule>
  </conditionalFormatting>
  <conditionalFormatting sqref="AH5:AH204">
    <cfRule type="cellIs" dxfId="2" priority="43" operator="greaterThan">
      <formula>7</formula>
    </cfRule>
    <cfRule type="cellIs" dxfId="0" priority="44" operator="greaterThan">
      <formula>3</formula>
    </cfRule>
  </conditionalFormatting>
  <conditionalFormatting sqref="AI5:AI204">
    <cfRule type="containsText" dxfId="0" priority="45" operator="containsText" text="No">
      <formula>NOT(ISERROR(SEARCH("No",AI5)))</formula>
    </cfRule>
    <cfRule type="containsText" dxfId="1" priority="46" operator="containsText" text="Yes">
      <formula>NOT(ISERROR(SEARCH("Yes",AI5)))</formula>
    </cfRule>
  </conditionalFormatting>
  <conditionalFormatting sqref="AK5:AK204">
    <cfRule type="beginsWith" dxfId="1" priority="47" operator="beginsWith" text="OK">
      <formula>LEFT(AK5,2)="OK"</formula>
    </cfRule>
    <cfRule type="containsText" dxfId="2" priority="48" operator="containsText" text="Overdue">
      <formula>NOT(ISERROR(SEARCH("Overdue",AK5)))</formula>
    </cfRule>
    <cfRule type="containsText" dxfId="2" priority="49" operator="containsText" text="Late">
      <formula>NOT(ISERROR(SEARCH("Late",AK5)))</formula>
    </cfRule>
    <cfRule type="containsText" dxfId="2" priority="50" operator="containsText" text="Missing">
      <formula>NOT(ISERROR(SEARCH("Missing",AK5)))</formula>
    </cfRule>
    <cfRule type="containsText" dxfId="2" priority="51" operator="containsText" text="Conflict">
      <formula>NOT(ISERROR(SEARCH("Conflict",AK5)))</formula>
    </cfRule>
    <cfRule type="containsText" dxfId="2" priority="52" operator="containsText" text="Clash">
      <formula>NOT(ISERROR(SEARCH("Clash",AK5)))</formula>
    </cfRule>
    <cfRule type="containsText" dxfId="2" priority="53" operator="containsText" text="Expired">
      <formula>NOT(ISERROR(SEARCH("Expired",AK5)))</formula>
    </cfRule>
    <cfRule type="containsText" dxfId="2" priority="54" operator="containsText" text="Duplicate">
      <formula>NOT(ISERROR(SEARCH("Duplicate",AK5)))</formula>
    </cfRule>
    <cfRule type="containsText" dxfId="2" priority="55" operator="containsText" text="Unpaid">
      <formula>NOT(ISERROR(SEARCH("Unpaid",AK5)))</formula>
    </cfRule>
    <cfRule type="containsText" dxfId="2" priority="56" operator="containsText" text="Loss">
      <formula>NOT(ISERROR(SEARCH("Loss",AK5)))</formula>
    </cfRule>
    <cfRule type="containsText" dxfId="2" priority="57" operator="containsText" text="Below">
      <formula>NOT(ISERROR(SEARCH("Below",AK5)))</formula>
    </cfRule>
    <cfRule type="containsText" dxfId="0" priority="58" operator="containsText" text="Action">
      <formula>NOT(ISERROR(SEARCH("Action",AK5)))</formula>
    </cfRule>
    <cfRule type="containsText" dxfId="0" priority="59" operator="containsText" text="Due">
      <formula>NOT(ISERROR(SEARCH("Due",AK5)))</formula>
    </cfRule>
    <cfRule type="containsText" dxfId="0" priority="60" operator="containsText" text="Check">
      <formula>NOT(ISERROR(SEARCH("Check",AK5)))</formula>
    </cfRule>
    <cfRule type="containsText" dxfId="0" priority="61" operator="containsText" text="Chase">
      <formula>NOT(ISERROR(SEARCH("Chase",AK5)))</formula>
    </cfRule>
    <cfRule type="containsText" dxfId="0" priority="62" operator="containsText" text="Assign">
      <formula>NOT(ISERROR(SEARCH("Assign",AK5)))</formula>
    </cfRule>
    <cfRule type="containsText" dxfId="0" priority="63" operator="containsText" text="Confirm">
      <formula>NOT(ISERROR(SEARCH("Confirm",AK5)))</formula>
    </cfRule>
    <cfRule type="containsText" dxfId="0" priority="64" operator="containsText" text="Order">
      <formula>NOT(ISERROR(SEARCH("Order",AK5)))</formula>
    </cfRule>
    <cfRule type="containsText" dxfId="3" priority="65" operator="containsText" text="Today">
      <formula>NOT(ISERROR(SEARCH("Today",AK5)))</formula>
    </cfRule>
    <cfRule type="containsText" dxfId="3" priority="66" operator="containsText" text="Upcoming">
      <formula>NOT(ISERROR(SEARCH("Upcoming",AK5)))</formula>
    </cfRule>
    <cfRule type="containsText" dxfId="3" priority="67" operator="containsText" text="Tomorrow">
      <formula>NOT(ISERROR(SEARCH("Tomorrow",AK5)))</formula>
    </cfRule>
  </conditionalFormatting>
  <conditionalFormatting sqref="K5:K204">
    <cfRule type="containsText" dxfId="1" priority="1" operator="containsText" text="Completed">
      <formula>NOT(ISERROR(SEARCH("Completed",K5)))</formula>
    </cfRule>
    <cfRule type="containsText" dxfId="1" priority="2" operator="containsText" text="Complete">
      <formula>NOT(ISERROR(SEARCH("Complete",K5)))</formula>
    </cfRule>
    <cfRule type="containsText" dxfId="1" priority="3" operator="containsText" text="Done">
      <formula>NOT(ISERROR(SEARCH("Done",K5)))</formula>
    </cfRule>
    <cfRule type="containsText" dxfId="1" priority="4" operator="containsText" text="Paid">
      <formula>NOT(ISERROR(SEARCH("Paid",K5)))</formula>
    </cfRule>
    <cfRule type="containsText" dxfId="1" priority="5" operator="containsText" text="Accepted">
      <formula>NOT(ISERROR(SEARCH("Accepted",K5)))</formula>
    </cfRule>
    <cfRule type="containsText" dxfId="1" priority="6" operator="containsText" text="Won">
      <formula>NOT(ISERROR(SEARCH("Won",K5)))</formula>
    </cfRule>
    <cfRule type="containsText" dxfId="1" priority="7" operator="containsText" text="Active">
      <formula>NOT(ISERROR(SEARCH("Active",K5)))</formula>
    </cfRule>
    <cfRule type="containsText" dxfId="1" priority="8" operator="containsText" text="In stock">
      <formula>NOT(ISERROR(SEARCH("In stock",K5)))</formula>
    </cfRule>
    <cfRule type="containsText" dxfId="1" priority="9" operator="containsText" text="Resolved">
      <formula>NOT(ISERROR(SEARCH("Resolved",K5)))</formula>
    </cfRule>
    <cfRule type="containsText" dxfId="1" priority="10" operator="containsText" text="Signed">
      <formula>NOT(ISERROR(SEARCH("Signed",K5)))</formula>
    </cfRule>
    <cfRule type="containsText" dxfId="1" priority="11" operator="containsText" text="Yes">
      <formula>NOT(ISERROR(SEARCH("Yes",K5)))</formula>
    </cfRule>
    <cfRule type="containsText" dxfId="3" priority="12" operator="containsText" text="Booked">
      <formula>NOT(ISERROR(SEARCH("Booked",K5)))</formula>
    </cfRule>
    <cfRule type="containsText" dxfId="3" priority="13" operator="containsText" text="Confirmed">
      <formula>NOT(ISERROR(SEARCH("Confirmed",K5)))</formula>
    </cfRule>
    <cfRule type="containsText" dxfId="3" priority="14" operator="containsText" text="Scheduled">
      <formula>NOT(ISERROR(SEARCH("Scheduled",K5)))</formula>
    </cfRule>
    <cfRule type="containsText" dxfId="3" priority="15" operator="containsText" text="In progress">
      <formula>NOT(ISERROR(SEARCH("In progress",K5)))</formula>
    </cfRule>
    <cfRule type="containsText" dxfId="3" priority="16" operator="containsText" text="Sent">
      <formula>NOT(ISERROR(SEARCH("Sent",K5)))</formula>
    </cfRule>
    <cfRule type="containsText" dxfId="3" priority="17" operator="containsText" text="Invoiced">
      <formula>NOT(ISERROR(SEARCH("Invoiced",K5)))</formula>
    </cfRule>
    <cfRule type="containsText" dxfId="3" priority="18" operator="containsText" text="Quoted">
      <formula>NOT(ISERROR(SEARCH("Quoted",K5)))</formula>
    </cfRule>
    <cfRule type="containsText" dxfId="3" priority="19" operator="containsText" text="Prospect">
      <formula>NOT(ISERROR(SEARCH("Prospect",K5)))</formula>
    </cfRule>
    <cfRule type="containsText" dxfId="0" priority="20" operator="containsText" text="Draft">
      <formula>NOT(ISERROR(SEARCH("Draft",K5)))</formula>
    </cfRule>
    <cfRule type="containsText" dxfId="0" priority="21" operator="containsText" text="Enquiry">
      <formula>NOT(ISERROR(SEARCH("Enquiry",K5)))</formula>
    </cfRule>
    <cfRule type="containsText" dxfId="0" priority="22" operator="containsText" text="Pending">
      <formula>NOT(ISERROR(SEARCH("Pending",K5)))</formula>
    </cfRule>
    <cfRule type="containsText" dxfId="0" priority="23" operator="containsText" text="Part paid">
      <formula>NOT(ISERROR(SEARCH("Part paid",K5)))</formula>
    </cfRule>
    <cfRule type="containsText" dxfId="0" priority="24" operator="containsText" text="Followed up">
      <formula>NOT(ISERROR(SEARCH("Followed up",K5)))</formula>
    </cfRule>
    <cfRule type="containsText" dxfId="0" priority="25" operator="containsText" text="Low stock">
      <formula>NOT(ISERROR(SEARCH("Low stock",K5)))</formula>
    </cfRule>
    <cfRule type="containsText" dxfId="0" priority="26" operator="containsText" text="Due soon">
      <formula>NOT(ISERROR(SEARCH("Due soon",K5)))</formula>
    </cfRule>
    <cfRule type="containsText" dxfId="0" priority="27" operator="containsText" text="On hold">
      <formula>NOT(ISERROR(SEARCH("On hold",K5)))</formula>
    </cfRule>
    <cfRule type="containsText" dxfId="0" priority="28" operator="containsText" text="Unassigned">
      <formula>NOT(ISERROR(SEARCH("Unassigned",K5)))</formula>
    </cfRule>
    <cfRule type="containsText" dxfId="2" priority="29" operator="containsText" text="Overdue">
      <formula>NOT(ISERROR(SEARCH("Overdue",K5)))</formula>
    </cfRule>
    <cfRule type="containsText" dxfId="2" priority="30" operator="containsText" text="Cancelled">
      <formula>NOT(ISERROR(SEARCH("Cancelled",K5)))</formula>
    </cfRule>
    <cfRule type="containsText" dxfId="2" priority="31" operator="containsText" text="Declined">
      <formula>NOT(ISERROR(SEARCH("Declined",K5)))</formula>
    </cfRule>
    <cfRule type="containsText" dxfId="2" priority="32" operator="containsText" text="Lost">
      <formula>NOT(ISERROR(SEARCH("Lost",K5)))</formula>
    </cfRule>
    <cfRule type="containsText" dxfId="2" priority="33" operator="containsText" text="No access">
      <formula>NOT(ISERROR(SEARCH("No access",K5)))</formula>
    </cfRule>
    <cfRule type="containsText" dxfId="2" priority="34" operator="containsText" text="Out of stock">
      <formula>NOT(ISERROR(SEARCH("Out of stock",K5)))</formula>
    </cfRule>
    <cfRule type="containsText" dxfId="2" priority="35" operator="containsText" text="Written off">
      <formula>NOT(ISERROR(SEARCH("Written off",K5)))</formula>
    </cfRule>
    <cfRule type="containsText" dxfId="2" priority="36" operator="containsText" text="Expired">
      <formula>NOT(ISERROR(SEARCH("Expired",K5)))</formula>
    </cfRule>
    <cfRule type="containsText" dxfId="4" priority="37" operator="containsText" text="Inactive">
      <formula>NOT(ISERROR(SEARCH("Inactive",K5)))</formula>
    </cfRule>
    <cfRule type="containsText" dxfId="4" priority="38" operator="containsText" text="Archived">
      <formula>NOT(ISERROR(SEARCH("Archived",K5)))</formula>
    </cfRule>
    <cfRule type="containsText" dxfId="4" priority="39" operator="containsText" text="Not needed">
      <formula>NOT(ISERROR(SEARCH("Not needed",K5)))</formula>
    </cfRule>
  </conditionalFormatting>
  <dataValidations count="14">
    <dataValidation type="date" allowBlank="1" showInputMessage="1" showErrorMessage="1" errorTitle="Check the date" error="Enter a real date between 2000 and 2100." sqref="B5:B204">
      <formula1>36526</formula1>
      <formula2>73415</formula2>
    </dataValidation>
    <dataValidation type="list" allowBlank="1" showInputMessage="1" showErrorMessage="1" promptTitle="Client ID" prompt="An existing client. For a brand new enquiry, leave it blank and type the name in the next column." sqref="D5:D204">
      <formula1>ClientIDs</formula1>
    </dataValidation>
    <dataValidation type="list" allowBlank="1" showInputMessage="1" showErrorMessage="1" sqref="G5:G204">
      <formula1>PropertyIDs</formula1>
    </dataValidation>
    <dataValidation type="list" allowBlank="1" showInputMessage="1" showErrorMessage="1" sqref="I5:I204">
      <formula1>ServiceNames</formula1>
    </dataValidation>
    <dataValidation type="list" allowBlank="1" showInputMessage="1" showErrorMessage="1" sqref="J5:J204">
      <formula1>FrequencyList</formula1>
    </dataValidation>
    <dataValidation type="list" allowBlank="1" showInputMessage="1" showErrorMessage="1" promptTitle="Status" prompt="Draft, Sent, Followed up, Accepted, Declined. The win rate counts Accepted against everything sent." sqref="K5:K204">
      <formula1>QuoteStatusList</formula1>
    </dataValidation>
    <dataValidation type="date" allowBlank="1" showInputMessage="1" showErrorMessage="1" errorTitle="Check the date" error="Enter a real date between 2000 and 2100." promptTitle="Sent on" prompt="The follow-up clock starts here, not on the quote date." sqref="L5:L204">
      <formula1>36526</formula1>
      <formula2>73415</formula2>
    </dataValidation>
    <dataValidation type="date" allowBlank="1" showInputMessage="1" showErrorMessage="1" errorTitle="Check the date" error="Enter a real date between 2000 and 2100." sqref="M5:M204">
      <formula1>36526</formula1>
      <formula2>73415</formula2>
    </dataValidation>
    <dataValidation type="date" allowBlank="1" showInputMessage="1" showErrorMessage="1" errorTitle="Check the date" error="Enter a real date between 2000 and 2100." sqref="N5:N204">
      <formula1>36526</formula1>
      <formula2>73415</formula2>
    </dataValidation>
    <dataValidation type="decimal" allowBlank="1" showInputMessage="1" showErrorMessage="1" errorTitle="Check the value" error="Enter a number between 0 and 1." promptTitle="Discount" prompt="A percentage off the lines. First clean discounts win a lot of recurring work." sqref="O5:O204">
      <formula1>0</formula1>
      <formula2>1</formula2>
    </dataValidation>
    <dataValidation type="decimal" allowBlank="1" showInputMessage="1" showErrorMessage="1" errorTitle="Check the value" error="Enter a number between 0 and 1000000." promptTitle="Deposit asked for" prompt="Blank uses the deposit percentage from Settings." sqref="P5:P204">
      <formula1>0</formula1>
      <formula2>1000000</formula2>
    </dataValidation>
    <dataValidation type="date" allowBlank="1" showInputMessage="1" showErrorMessage="1" errorTitle="Check the date" error="Enter a real date between 2000 and 2100." promptTitle="Valid until" prompt="Blank adds the standard validity from Settings to the quote date." sqref="Q5:Q204">
      <formula1>36526</formula1>
      <formula2>73415</formula2>
    </dataValidation>
    <dataValidation type="list" allowBlank="1" showInputMessage="1" showErrorMessage="1" promptTitle="Job booked" prompt="Once they say yes, book the job and put its ID here." sqref="R5:R204">
      <formula1>JobIDs</formula1>
    </dataValidation>
    <dataValidation type="list" allowBlank="1" showInputMessage="1" showErrorMessage="1" sqref="S5:S204">
      <formula1>LostReasonList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&amp;L&amp;"Calibri,Bold"&amp;12&amp;C&amp;"Calibri,Bold"&amp;11Quotes&amp;R&amp;"Calibri,Italic"&amp;9Cleaning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10.xml><?xml version="1.0" encoding="utf-8"?>
<worksheet xmlns="http://schemas.openxmlformats.org/spreadsheetml/2006/main" xmlns:r="http://schemas.openxmlformats.org/officeDocument/2006/relationships">
  <sheetPr>
    <tabColor rgb="FFE8A33D"/>
    <pageSetUpPr fitToPage="1"/>
  </sheetPr>
  <dimension ref="A1:U6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11.7109375" style="49" customWidth="1"/>
    <col min="3" max="3" width="24.7109375" style="15" customWidth="1"/>
    <col min="4" max="4" width="40.7109375" style="44" customWidth="1"/>
    <col min="5" max="5" width="10.7109375" style="17" customWidth="1"/>
    <col min="6" max="6" width="12.7109375" style="19" customWidth="1"/>
    <col min="7" max="7" width="9.7109375" style="20" customWidth="1"/>
    <col min="8" max="8" width="10.7109375" style="47" customWidth="1"/>
    <col min="9" max="9" width="26.7109375" style="44" customWidth="1"/>
    <col min="10" max="10" width="12.7109375" style="21" hidden="1" customWidth="1"/>
    <col min="11" max="11" width="9.7109375" style="23" customWidth="1"/>
    <col min="12" max="12" width="11.7109375" style="21" customWidth="1"/>
    <col min="13" max="13" width="40.7109375" style="51" hidden="1" customWidth="1"/>
    <col min="14" max="14" width="9.7109375" style="34" customWidth="1"/>
    <col min="15" max="15" width="12.7109375" style="21" hidden="1" customWidth="1"/>
    <col min="16" max="16" width="12.7109375" style="21" customWidth="1"/>
    <col min="17" max="17" width="11.7109375" style="21" hidden="1" customWidth="1"/>
    <col min="18" max="18" width="9.7109375" style="38" customWidth="1"/>
    <col min="19" max="19" width="9.7109375" style="31" hidden="1" customWidth="1"/>
    <col min="20" max="20" width="12.7109375" style="23" hidden="1" customWidth="1"/>
    <col min="21" max="21" width="24.7109375" style="39" customWidth="1"/>
  </cols>
  <sheetData>
    <row r="1" spans="1:21" ht="34" customHeight="1">
      <c r="A1" s="2" t="s">
        <v>1065</v>
      </c>
      <c r="B1" s="2"/>
      <c r="C1" s="2"/>
      <c r="D1" s="2"/>
      <c r="E1" s="2"/>
      <c r="F1" s="2"/>
      <c r="G1" s="2"/>
      <c r="H1" s="2"/>
      <c r="I1" s="2"/>
      <c r="J1" s="2"/>
      <c r="K1" s="2"/>
      <c r="L1" s="2"/>
      <c r="M1" s="2"/>
      <c r="N1" s="2"/>
      <c r="O1" s="2"/>
      <c r="P1" s="2"/>
      <c r="Q1" s="2"/>
      <c r="R1" s="2"/>
      <c r="S1" s="3" t="s">
        <v>1</v>
      </c>
      <c r="T1" s="3"/>
      <c r="U1" s="3"/>
    </row>
    <row r="2" spans="1:21" ht="18" customHeight="1">
      <c r="A2" s="4" t="s">
        <v>1066</v>
      </c>
      <c r="B2" s="4"/>
      <c r="C2" s="4"/>
      <c r="D2" s="4"/>
      <c r="E2" s="4"/>
      <c r="F2" s="4"/>
      <c r="G2" s="4"/>
      <c r="H2" s="4"/>
      <c r="I2" s="4"/>
      <c r="J2" s="4"/>
      <c r="K2" s="4"/>
      <c r="L2" s="4"/>
      <c r="M2" s="4"/>
      <c r="N2" s="4"/>
      <c r="O2" s="4"/>
      <c r="P2" s="4"/>
      <c r="Q2" s="4"/>
      <c r="R2" s="4"/>
      <c r="S2" s="4"/>
      <c r="T2" s="4"/>
      <c r="U2" s="4"/>
    </row>
    <row r="3" spans="1:21" ht="16" customHeight="1">
      <c r="A3" s="5" t="s">
        <v>3</v>
      </c>
      <c r="B3" s="5"/>
      <c r="C3" s="5" t="s">
        <v>4</v>
      </c>
      <c r="D3" s="5"/>
      <c r="E3" s="5" t="s">
        <v>5</v>
      </c>
      <c r="F3" s="5"/>
      <c r="G3" s="5" t="s">
        <v>6</v>
      </c>
      <c r="H3" s="5"/>
      <c r="I3" s="5" t="s">
        <v>7</v>
      </c>
      <c r="J3" s="5"/>
      <c r="K3" s="5" t="s">
        <v>338</v>
      </c>
      <c r="L3" s="5"/>
      <c r="M3" s="5" t="s">
        <v>541</v>
      </c>
      <c r="N3" s="5"/>
      <c r="O3" s="5" t="s">
        <v>542</v>
      </c>
      <c r="P3" s="5"/>
      <c r="Q3" s="5" t="s">
        <v>543</v>
      </c>
      <c r="R3" s="5"/>
      <c r="S3" s="14"/>
      <c r="T3" s="14"/>
      <c r="U3" s="14"/>
    </row>
    <row r="4" spans="1:21" ht="30" customHeight="1">
      <c r="A4" s="8" t="s">
        <v>545</v>
      </c>
      <c r="B4" s="8" t="s">
        <v>1067</v>
      </c>
      <c r="C4" s="9" t="s">
        <v>436</v>
      </c>
      <c r="D4" s="9" t="s">
        <v>1068</v>
      </c>
      <c r="E4" s="9" t="s">
        <v>1069</v>
      </c>
      <c r="F4" s="9" t="s">
        <v>1070</v>
      </c>
      <c r="G4" s="9" t="s">
        <v>464</v>
      </c>
      <c r="H4" s="9" t="s">
        <v>1071</v>
      </c>
      <c r="I4" s="9" t="s">
        <v>1072</v>
      </c>
      <c r="J4" s="9" t="s">
        <v>1073</v>
      </c>
      <c r="K4" s="9" t="s">
        <v>1074</v>
      </c>
      <c r="L4" s="9" t="s">
        <v>1075</v>
      </c>
      <c r="M4" s="9" t="s">
        <v>1076</v>
      </c>
      <c r="N4" s="9" t="s">
        <v>1077</v>
      </c>
      <c r="O4" s="9" t="s">
        <v>1078</v>
      </c>
      <c r="P4" s="9" t="s">
        <v>1079</v>
      </c>
      <c r="Q4" s="9" t="s">
        <v>1080</v>
      </c>
      <c r="R4" s="9" t="s">
        <v>408</v>
      </c>
      <c r="S4" s="9" t="s">
        <v>1081</v>
      </c>
      <c r="T4" s="9" t="s">
        <v>1082</v>
      </c>
      <c r="U4" s="9" t="s">
        <v>970</v>
      </c>
    </row>
    <row r="5" spans="1:21">
      <c r="A5" s="43">
        <f>IF(B5="","","QL-"&amp;TEXT(ROW()-4,"0000"))</f>
        <v>0</v>
      </c>
      <c r="B5" s="49" t="s">
        <v>1083</v>
      </c>
      <c r="C5" s="15" t="s">
        <v>437</v>
      </c>
      <c r="D5" s="44" t="s">
        <v>1084</v>
      </c>
      <c r="E5" s="17">
        <v>1</v>
      </c>
      <c r="H5" s="47" t="s">
        <v>457</v>
      </c>
      <c r="I5" s="44" t="s">
        <v>172</v>
      </c>
      <c r="J5" s="21">
        <f>IF(C5="","",IFERROR(INDEX(Services!$P$5:$P$64,MATCH(C5,Services!$B$5:$B$64,0)),"0"))</f>
        <v>0</v>
      </c>
      <c r="K5" s="23">
        <f>IF(C5="","",IFERROR(INDEX(Services!$E$5:$E$64,MATCH(C5,Services!$B$5:$B$64,0)),""))</f>
        <v>0</v>
      </c>
      <c r="L5" s="21">
        <f>IF(B5="","",IF(F5&lt;&gt;"",F5,IFERROR(J5*1,0)))</f>
        <v>0</v>
      </c>
      <c r="M5" s="51">
        <f>IF(B5="","",IF(D5&lt;&gt;"",D5,IFERROR(INDEX(Services!$O$5:$O$64,MATCH(C5,Services!$B$5:$B$64,0)),"")))</f>
        <v>0</v>
      </c>
      <c r="N5" s="34">
        <f>IF(B5="","",IFERROR(INDEX(Services!$G$5:$G$64,MATCH(C5,Services!$B$5:$B$64,0)),0)*IF(E5="",1,IF(IFERROR(INDEX(Services!$D$5:$D$64,MATCH(C5,Services!$B$5:$B$64,0)),"")="Per hour",1,E5)))</f>
        <v>0</v>
      </c>
      <c r="O5" s="21">
        <f>IF(B5="","",ROUND(IF(E5="",1,E5)*L5,2))</f>
        <v>0</v>
      </c>
      <c r="P5" s="21">
        <f>IF(B5="","",ROUND(O5*(1-IF(G5="",0,G5)),2))</f>
        <v>0</v>
      </c>
      <c r="Q5" s="21">
        <f>IF(B5="","",ROUND(N5*CostPerHour+IF(E5="",1,E5)*IFERROR(INDEX(Services!$R$5:$R$64,MATCH(C5,Services!$B$5:$B$64,0)),0),2))</f>
        <v>0</v>
      </c>
      <c r="R5" s="38">
        <f>IF(OR(B5="",P5=0),"",(P5-Q5)/P5)</f>
        <v>0</v>
      </c>
      <c r="S5" s="31">
        <f>IF(OR(B5="",C5=""),"",COUNTIFS($B$5:B5,B5))</f>
        <v>0</v>
      </c>
      <c r="T5" s="23">
        <f>IF(S5="","",B5&amp;"|"&amp;S5)</f>
        <v>0</v>
      </c>
      <c r="U5" s="39">
        <f>IF(B5="","",IF(C5="","Add - pick a service",IF(E5="","Add - how many?",IF(L5=0,"Add - no price",IF(AND(R5&lt;&gt;"",R5&lt;MarginFloor),"Below - thin margin","OK")))))</f>
        <v>0</v>
      </c>
    </row>
    <row r="6" spans="1:21">
      <c r="A6" s="43">
        <f>IF(B6="","","QL-"&amp;TEXT(ROW()-4,"0000"))</f>
        <v>0</v>
      </c>
      <c r="B6" s="49" t="s">
        <v>1083</v>
      </c>
      <c r="C6" s="15" t="s">
        <v>996</v>
      </c>
      <c r="D6" s="44" t="s">
        <v>1085</v>
      </c>
      <c r="E6" s="17">
        <v>1</v>
      </c>
      <c r="H6" s="47" t="s">
        <v>454</v>
      </c>
      <c r="I6" s="44" t="s">
        <v>172</v>
      </c>
      <c r="J6" s="21">
        <f>IF(C6="","",IFERROR(INDEX(Services!$P$5:$P$64,MATCH(C6,Services!$B$5:$B$64,0)),"0"))</f>
        <v>0</v>
      </c>
      <c r="K6" s="23">
        <f>IF(C6="","",IFERROR(INDEX(Services!$E$5:$E$64,MATCH(C6,Services!$B$5:$B$64,0)),""))</f>
        <v>0</v>
      </c>
      <c r="L6" s="21">
        <f>IF(B6="","",IF(F6&lt;&gt;"",F6,IFERROR(J6*1,0)))</f>
        <v>0</v>
      </c>
      <c r="M6" s="51">
        <f>IF(B6="","",IF(D6&lt;&gt;"",D6,IFERROR(INDEX(Services!$O$5:$O$64,MATCH(C6,Services!$B$5:$B$64,0)),"")))</f>
        <v>0</v>
      </c>
      <c r="N6" s="34">
        <f>IF(B6="","",IFERROR(INDEX(Services!$G$5:$G$64,MATCH(C6,Services!$B$5:$B$64,0)),0)*IF(E6="",1,IF(IFERROR(INDEX(Services!$D$5:$D$64,MATCH(C6,Services!$B$5:$B$64,0)),"")="Per hour",1,E6)))</f>
        <v>0</v>
      </c>
      <c r="O6" s="21">
        <f>IF(B6="","",ROUND(IF(E6="",1,E6)*L6,2))</f>
        <v>0</v>
      </c>
      <c r="P6" s="21">
        <f>IF(B6="","",ROUND(O6*(1-IF(G6="",0,G6)),2))</f>
        <v>0</v>
      </c>
      <c r="Q6" s="21">
        <f>IF(B6="","",ROUND(N6*CostPerHour+IF(E6="",1,E6)*IFERROR(INDEX(Services!$R$5:$R$64,MATCH(C6,Services!$B$5:$B$64,0)),0),2))</f>
        <v>0</v>
      </c>
      <c r="R6" s="38">
        <f>IF(OR(B6="",P6=0),"",(P6-Q6)/P6)</f>
        <v>0</v>
      </c>
      <c r="S6" s="31">
        <f>IF(OR(B6="",C6=""),"",COUNTIFS($B$5:B6,B6))</f>
        <v>0</v>
      </c>
      <c r="T6" s="23">
        <f>IF(S6="","",B6&amp;"|"&amp;S6)</f>
        <v>0</v>
      </c>
      <c r="U6" s="39">
        <f>IF(B6="","",IF(C6="","Add - pick a service",IF(E6="","Add - how many?",IF(L6=0,"Add - no price",IF(AND(R6&lt;&gt;"",R6&lt;MarginFloor),"Below - thin margin","OK")))))</f>
        <v>0</v>
      </c>
    </row>
    <row r="7" spans="1:21">
      <c r="A7" s="43">
        <f>IF(B7="","","QL-"&amp;TEXT(ROW()-4,"0000"))</f>
        <v>0</v>
      </c>
      <c r="B7" s="49" t="s">
        <v>1086</v>
      </c>
      <c r="C7" s="15" t="s">
        <v>770</v>
      </c>
      <c r="D7" s="44" t="s">
        <v>1087</v>
      </c>
      <c r="E7" s="17">
        <v>2</v>
      </c>
      <c r="H7" s="47" t="s">
        <v>457</v>
      </c>
      <c r="I7" s="44" t="s">
        <v>172</v>
      </c>
      <c r="J7" s="21">
        <f>IF(C7="","",IFERROR(INDEX(Services!$P$5:$P$64,MATCH(C7,Services!$B$5:$B$64,0)),"0"))</f>
        <v>0</v>
      </c>
      <c r="K7" s="23">
        <f>IF(C7="","",IFERROR(INDEX(Services!$E$5:$E$64,MATCH(C7,Services!$B$5:$B$64,0)),""))</f>
        <v>0</v>
      </c>
      <c r="L7" s="21">
        <f>IF(B7="","",IF(F7&lt;&gt;"",F7,IFERROR(J7*1,0)))</f>
        <v>0</v>
      </c>
      <c r="M7" s="51">
        <f>IF(B7="","",IF(D7&lt;&gt;"",D7,IFERROR(INDEX(Services!$O$5:$O$64,MATCH(C7,Services!$B$5:$B$64,0)),"")))</f>
        <v>0</v>
      </c>
      <c r="N7" s="34">
        <f>IF(B7="","",IFERROR(INDEX(Services!$G$5:$G$64,MATCH(C7,Services!$B$5:$B$64,0)),0)*IF(E7="",1,IF(IFERROR(INDEX(Services!$D$5:$D$64,MATCH(C7,Services!$B$5:$B$64,0)),"")="Per hour",1,E7)))</f>
        <v>0</v>
      </c>
      <c r="O7" s="21">
        <f>IF(B7="","",ROUND(IF(E7="",1,E7)*L7,2))</f>
        <v>0</v>
      </c>
      <c r="P7" s="21">
        <f>IF(B7="","",ROUND(O7*(1-IF(G7="",0,G7)),2))</f>
        <v>0</v>
      </c>
      <c r="Q7" s="21">
        <f>IF(B7="","",ROUND(N7*CostPerHour+IF(E7="",1,E7)*IFERROR(INDEX(Services!$R$5:$R$64,MATCH(C7,Services!$B$5:$B$64,0)),0),2))</f>
        <v>0</v>
      </c>
      <c r="R7" s="38">
        <f>IF(OR(B7="",P7=0),"",(P7-Q7)/P7)</f>
        <v>0</v>
      </c>
      <c r="S7" s="31">
        <f>IF(OR(B7="",C7=""),"",COUNTIFS($B$5:B7,B7))</f>
        <v>0</v>
      </c>
      <c r="T7" s="23">
        <f>IF(S7="","",B7&amp;"|"&amp;S7)</f>
        <v>0</v>
      </c>
      <c r="U7" s="39">
        <f>IF(B7="","",IF(C7="","Add - pick a service",IF(E7="","Add - how many?",IF(L7=0,"Add - no price",IF(AND(R7&lt;&gt;"",R7&lt;MarginFloor),"Below - thin margin","OK")))))</f>
        <v>0</v>
      </c>
    </row>
    <row r="8" spans="1:21">
      <c r="A8" s="43">
        <f>IF(B8="","","QL-"&amp;TEXT(ROW()-4,"0000"))</f>
        <v>0</v>
      </c>
      <c r="B8" s="49" t="s">
        <v>916</v>
      </c>
      <c r="C8" s="15" t="s">
        <v>914</v>
      </c>
      <c r="D8" s="44" t="s">
        <v>1088</v>
      </c>
      <c r="E8" s="17">
        <v>1</v>
      </c>
      <c r="H8" s="47" t="s">
        <v>457</v>
      </c>
      <c r="I8" s="44" t="s">
        <v>172</v>
      </c>
      <c r="J8" s="21">
        <f>IF(C8="","",IFERROR(INDEX(Services!$P$5:$P$64,MATCH(C8,Services!$B$5:$B$64,0)),"0"))</f>
        <v>0</v>
      </c>
      <c r="K8" s="23">
        <f>IF(C8="","",IFERROR(INDEX(Services!$E$5:$E$64,MATCH(C8,Services!$B$5:$B$64,0)),""))</f>
        <v>0</v>
      </c>
      <c r="L8" s="21">
        <f>IF(B8="","",IF(F8&lt;&gt;"",F8,IFERROR(J8*1,0)))</f>
        <v>0</v>
      </c>
      <c r="M8" s="51">
        <f>IF(B8="","",IF(D8&lt;&gt;"",D8,IFERROR(INDEX(Services!$O$5:$O$64,MATCH(C8,Services!$B$5:$B$64,0)),"")))</f>
        <v>0</v>
      </c>
      <c r="N8" s="34">
        <f>IF(B8="","",IFERROR(INDEX(Services!$G$5:$G$64,MATCH(C8,Services!$B$5:$B$64,0)),0)*IF(E8="",1,IF(IFERROR(INDEX(Services!$D$5:$D$64,MATCH(C8,Services!$B$5:$B$64,0)),"")="Per hour",1,E8)))</f>
        <v>0</v>
      </c>
      <c r="O8" s="21">
        <f>IF(B8="","",ROUND(IF(E8="",1,E8)*L8,2))</f>
        <v>0</v>
      </c>
      <c r="P8" s="21">
        <f>IF(B8="","",ROUND(O8*(1-IF(G8="",0,G8)),2))</f>
        <v>0</v>
      </c>
      <c r="Q8" s="21">
        <f>IF(B8="","",ROUND(N8*CostPerHour+IF(E8="",1,E8)*IFERROR(INDEX(Services!$R$5:$R$64,MATCH(C8,Services!$B$5:$B$64,0)),0),2))</f>
        <v>0</v>
      </c>
      <c r="R8" s="38">
        <f>IF(OR(B8="",P8=0),"",(P8-Q8)/P8)</f>
        <v>0</v>
      </c>
      <c r="S8" s="31">
        <f>IF(OR(B8="",C8=""),"",COUNTIFS($B$5:B8,B8))</f>
        <v>0</v>
      </c>
      <c r="T8" s="23">
        <f>IF(S8="","",B8&amp;"|"&amp;S8)</f>
        <v>0</v>
      </c>
      <c r="U8" s="39">
        <f>IF(B8="","",IF(C8="","Add - pick a service",IF(E8="","Add - how many?",IF(L8=0,"Add - no price",IF(AND(R8&lt;&gt;"",R8&lt;MarginFloor),"Below - thin margin","OK")))))</f>
        <v>0</v>
      </c>
    </row>
    <row r="9" spans="1:21">
      <c r="A9" s="43">
        <f>IF(B9="","","QL-"&amp;TEXT(ROW()-4,"0000"))</f>
        <v>0</v>
      </c>
      <c r="B9" s="49" t="s">
        <v>898</v>
      </c>
      <c r="C9" s="15" t="s">
        <v>790</v>
      </c>
      <c r="D9" s="44" t="s">
        <v>1089</v>
      </c>
      <c r="E9" s="17">
        <v>1</v>
      </c>
      <c r="H9" s="47" t="s">
        <v>457</v>
      </c>
      <c r="I9" s="44" t="s">
        <v>172</v>
      </c>
      <c r="J9" s="21">
        <f>IF(C9="","",IFERROR(INDEX(Services!$P$5:$P$64,MATCH(C9,Services!$B$5:$B$64,0)),"0"))</f>
        <v>0</v>
      </c>
      <c r="K9" s="23">
        <f>IF(C9="","",IFERROR(INDEX(Services!$E$5:$E$64,MATCH(C9,Services!$B$5:$B$64,0)),""))</f>
        <v>0</v>
      </c>
      <c r="L9" s="21">
        <f>IF(B9="","",IF(F9&lt;&gt;"",F9,IFERROR(J9*1,0)))</f>
        <v>0</v>
      </c>
      <c r="M9" s="51">
        <f>IF(B9="","",IF(D9&lt;&gt;"",D9,IFERROR(INDEX(Services!$O$5:$O$64,MATCH(C9,Services!$B$5:$B$64,0)),"")))</f>
        <v>0</v>
      </c>
      <c r="N9" s="34">
        <f>IF(B9="","",IFERROR(INDEX(Services!$G$5:$G$64,MATCH(C9,Services!$B$5:$B$64,0)),0)*IF(E9="",1,IF(IFERROR(INDEX(Services!$D$5:$D$64,MATCH(C9,Services!$B$5:$B$64,0)),"")="Per hour",1,E9)))</f>
        <v>0</v>
      </c>
      <c r="O9" s="21">
        <f>IF(B9="","",ROUND(IF(E9="",1,E9)*L9,2))</f>
        <v>0</v>
      </c>
      <c r="P9" s="21">
        <f>IF(B9="","",ROUND(O9*(1-IF(G9="",0,G9)),2))</f>
        <v>0</v>
      </c>
      <c r="Q9" s="21">
        <f>IF(B9="","",ROUND(N9*CostPerHour+IF(E9="",1,E9)*IFERROR(INDEX(Services!$R$5:$R$64,MATCH(C9,Services!$B$5:$B$64,0)),0),2))</f>
        <v>0</v>
      </c>
      <c r="R9" s="38">
        <f>IF(OR(B9="",P9=0),"",(P9-Q9)/P9)</f>
        <v>0</v>
      </c>
      <c r="S9" s="31">
        <f>IF(OR(B9="",C9=""),"",COUNTIFS($B$5:B9,B9))</f>
        <v>0</v>
      </c>
      <c r="T9" s="23">
        <f>IF(S9="","",B9&amp;"|"&amp;S9)</f>
        <v>0</v>
      </c>
      <c r="U9" s="39">
        <f>IF(B9="","",IF(C9="","Add - pick a service",IF(E9="","Add - how many?",IF(L9=0,"Add - no price",IF(AND(R9&lt;&gt;"",R9&lt;MarginFloor),"Below - thin margin","OK")))))</f>
        <v>0</v>
      </c>
    </row>
    <row r="10" spans="1:21">
      <c r="A10" s="43">
        <f>IF(B10="","","QL-"&amp;TEXT(ROW()-4,"0000"))</f>
        <v>0</v>
      </c>
      <c r="B10" s="49" t="s">
        <v>898</v>
      </c>
      <c r="C10" s="15" t="s">
        <v>473</v>
      </c>
      <c r="D10" s="44" t="s">
        <v>1090</v>
      </c>
      <c r="E10" s="17">
        <v>1</v>
      </c>
      <c r="H10" s="47" t="s">
        <v>457</v>
      </c>
      <c r="I10" s="44" t="s">
        <v>172</v>
      </c>
      <c r="J10" s="21">
        <f>IF(C10="","",IFERROR(INDEX(Services!$P$5:$P$64,MATCH(C10,Services!$B$5:$B$64,0)),"0"))</f>
        <v>0</v>
      </c>
      <c r="K10" s="23">
        <f>IF(C10="","",IFERROR(INDEX(Services!$E$5:$E$64,MATCH(C10,Services!$B$5:$B$64,0)),""))</f>
        <v>0</v>
      </c>
      <c r="L10" s="21">
        <f>IF(B10="","",IF(F10&lt;&gt;"",F10,IFERROR(J10*1,0)))</f>
        <v>0</v>
      </c>
      <c r="M10" s="51">
        <f>IF(B10="","",IF(D10&lt;&gt;"",D10,IFERROR(INDEX(Services!$O$5:$O$64,MATCH(C10,Services!$B$5:$B$64,0)),"")))</f>
        <v>0</v>
      </c>
      <c r="N10" s="34">
        <f>IF(B10="","",IFERROR(INDEX(Services!$G$5:$G$64,MATCH(C10,Services!$B$5:$B$64,0)),0)*IF(E10="",1,IF(IFERROR(INDEX(Services!$D$5:$D$64,MATCH(C10,Services!$B$5:$B$64,0)),"")="Per hour",1,E10)))</f>
        <v>0</v>
      </c>
      <c r="O10" s="21">
        <f>IF(B10="","",ROUND(IF(E10="",1,E10)*L10,2))</f>
        <v>0</v>
      </c>
      <c r="P10" s="21">
        <f>IF(B10="","",ROUND(O10*(1-IF(G10="",0,G10)),2))</f>
        <v>0</v>
      </c>
      <c r="Q10" s="21">
        <f>IF(B10="","",ROUND(N10*CostPerHour+IF(E10="",1,E10)*IFERROR(INDEX(Services!$R$5:$R$64,MATCH(C10,Services!$B$5:$B$64,0)),0),2))</f>
        <v>0</v>
      </c>
      <c r="R10" s="38">
        <f>IF(OR(B10="",P10=0),"",(P10-Q10)/P10)</f>
        <v>0</v>
      </c>
      <c r="S10" s="31">
        <f>IF(OR(B10="",C10=""),"",COUNTIFS($B$5:B10,B10))</f>
        <v>0</v>
      </c>
      <c r="T10" s="23">
        <f>IF(S10="","",B10&amp;"|"&amp;S10)</f>
        <v>0</v>
      </c>
      <c r="U10" s="39">
        <f>IF(B10="","",IF(C10="","Add - pick a service",IF(E10="","Add - how many?",IF(L10=0,"Add - no price",IF(AND(R10&lt;&gt;"",R10&lt;MarginFloor),"Below - thin margin","OK")))))</f>
        <v>0</v>
      </c>
    </row>
    <row r="11" spans="1:21">
      <c r="A11" s="43">
        <f>IF(B11="","","QL-"&amp;TEXT(ROW()-4,"0000"))</f>
        <v>0</v>
      </c>
      <c r="B11" s="49" t="s">
        <v>898</v>
      </c>
      <c r="C11" s="15" t="s">
        <v>1002</v>
      </c>
      <c r="D11" s="44" t="s">
        <v>1091</v>
      </c>
      <c r="E11" s="17">
        <v>3</v>
      </c>
      <c r="H11" s="47" t="s">
        <v>454</v>
      </c>
      <c r="I11" s="44" t="s">
        <v>172</v>
      </c>
      <c r="J11" s="21">
        <f>IF(C11="","",IFERROR(INDEX(Services!$P$5:$P$64,MATCH(C11,Services!$B$5:$B$64,0)),"0"))</f>
        <v>0</v>
      </c>
      <c r="K11" s="23">
        <f>IF(C11="","",IFERROR(INDEX(Services!$E$5:$E$64,MATCH(C11,Services!$B$5:$B$64,0)),""))</f>
        <v>0</v>
      </c>
      <c r="L11" s="21">
        <f>IF(B11="","",IF(F11&lt;&gt;"",F11,IFERROR(J11*1,0)))</f>
        <v>0</v>
      </c>
      <c r="M11" s="51">
        <f>IF(B11="","",IF(D11&lt;&gt;"",D11,IFERROR(INDEX(Services!$O$5:$O$64,MATCH(C11,Services!$B$5:$B$64,0)),"")))</f>
        <v>0</v>
      </c>
      <c r="N11" s="34">
        <f>IF(B11="","",IFERROR(INDEX(Services!$G$5:$G$64,MATCH(C11,Services!$B$5:$B$64,0)),0)*IF(E11="",1,IF(IFERROR(INDEX(Services!$D$5:$D$64,MATCH(C11,Services!$B$5:$B$64,0)),"")="Per hour",1,E11)))</f>
        <v>0</v>
      </c>
      <c r="O11" s="21">
        <f>IF(B11="","",ROUND(IF(E11="",1,E11)*L11,2))</f>
        <v>0</v>
      </c>
      <c r="P11" s="21">
        <f>IF(B11="","",ROUND(O11*(1-IF(G11="",0,G11)),2))</f>
        <v>0</v>
      </c>
      <c r="Q11" s="21">
        <f>IF(B11="","",ROUND(N11*CostPerHour+IF(E11="",1,E11)*IFERROR(INDEX(Services!$R$5:$R$64,MATCH(C11,Services!$B$5:$B$64,0)),0),2))</f>
        <v>0</v>
      </c>
      <c r="R11" s="38">
        <f>IF(OR(B11="",P11=0),"",(P11-Q11)/P11)</f>
        <v>0</v>
      </c>
      <c r="S11" s="31">
        <f>IF(OR(B11="",C11=""),"",COUNTIFS($B$5:B11,B11))</f>
        <v>0</v>
      </c>
      <c r="T11" s="23">
        <f>IF(S11="","",B11&amp;"|"&amp;S11)</f>
        <v>0</v>
      </c>
      <c r="U11" s="39">
        <f>IF(B11="","",IF(C11="","Add - pick a service",IF(E11="","Add - how many?",IF(L11=0,"Add - no price",IF(AND(R11&lt;&gt;"",R11&lt;MarginFloor),"Below - thin margin","OK")))))</f>
        <v>0</v>
      </c>
    </row>
    <row r="12" spans="1:21">
      <c r="A12" s="43">
        <f>IF(B12="","","QL-"&amp;TEXT(ROW()-4,"0000"))</f>
        <v>0</v>
      </c>
      <c r="B12" s="49" t="s">
        <v>907</v>
      </c>
      <c r="C12" s="15" t="s">
        <v>905</v>
      </c>
      <c r="D12" s="44" t="s">
        <v>1092</v>
      </c>
      <c r="E12" s="17">
        <v>2</v>
      </c>
      <c r="H12" s="47" t="s">
        <v>457</v>
      </c>
      <c r="I12" s="44" t="s">
        <v>172</v>
      </c>
      <c r="J12" s="21">
        <f>IF(C12="","",IFERROR(INDEX(Services!$P$5:$P$64,MATCH(C12,Services!$B$5:$B$64,0)),"0"))</f>
        <v>0</v>
      </c>
      <c r="K12" s="23">
        <f>IF(C12="","",IFERROR(INDEX(Services!$E$5:$E$64,MATCH(C12,Services!$B$5:$B$64,0)),""))</f>
        <v>0</v>
      </c>
      <c r="L12" s="21">
        <f>IF(B12="","",IF(F12&lt;&gt;"",F12,IFERROR(J12*1,0)))</f>
        <v>0</v>
      </c>
      <c r="M12" s="51">
        <f>IF(B12="","",IF(D12&lt;&gt;"",D12,IFERROR(INDEX(Services!$O$5:$O$64,MATCH(C12,Services!$B$5:$B$64,0)),"")))</f>
        <v>0</v>
      </c>
      <c r="N12" s="34">
        <f>IF(B12="","",IFERROR(INDEX(Services!$G$5:$G$64,MATCH(C12,Services!$B$5:$B$64,0)),0)*IF(E12="",1,IF(IFERROR(INDEX(Services!$D$5:$D$64,MATCH(C12,Services!$B$5:$B$64,0)),"")="Per hour",1,E12)))</f>
        <v>0</v>
      </c>
      <c r="O12" s="21">
        <f>IF(B12="","",ROUND(IF(E12="",1,E12)*L12,2))</f>
        <v>0</v>
      </c>
      <c r="P12" s="21">
        <f>IF(B12="","",ROUND(O12*(1-IF(G12="",0,G12)),2))</f>
        <v>0</v>
      </c>
      <c r="Q12" s="21">
        <f>IF(B12="","",ROUND(N12*CostPerHour+IF(E12="",1,E12)*IFERROR(INDEX(Services!$R$5:$R$64,MATCH(C12,Services!$B$5:$B$64,0)),0),2))</f>
        <v>0</v>
      </c>
      <c r="R12" s="38">
        <f>IF(OR(B12="",P12=0),"",(P12-Q12)/P12)</f>
        <v>0</v>
      </c>
      <c r="S12" s="31">
        <f>IF(OR(B12="",C12=""),"",COUNTIFS($B$5:B12,B12))</f>
        <v>0</v>
      </c>
      <c r="T12" s="23">
        <f>IF(S12="","",B12&amp;"|"&amp;S12)</f>
        <v>0</v>
      </c>
      <c r="U12" s="39">
        <f>IF(B12="","",IF(C12="","Add - pick a service",IF(E12="","Add - how many?",IF(L12=0,"Add - no price",IF(AND(R12&lt;&gt;"",R12&lt;MarginFloor),"Below - thin margin","OK")))))</f>
        <v>0</v>
      </c>
    </row>
    <row r="13" spans="1:21">
      <c r="A13" s="43">
        <f>IF(B13="","","QL-"&amp;TEXT(ROW()-4,"0000"))</f>
        <v>0</v>
      </c>
      <c r="B13" s="49" t="s">
        <v>907</v>
      </c>
      <c r="C13" s="15" t="s">
        <v>996</v>
      </c>
      <c r="D13" s="44" t="s">
        <v>1093</v>
      </c>
      <c r="E13" s="17">
        <v>1</v>
      </c>
      <c r="H13" s="47" t="s">
        <v>454</v>
      </c>
      <c r="I13" s="44" t="s">
        <v>172</v>
      </c>
      <c r="J13" s="21">
        <f>IF(C13="","",IFERROR(INDEX(Services!$P$5:$P$64,MATCH(C13,Services!$B$5:$B$64,0)),"0"))</f>
        <v>0</v>
      </c>
      <c r="K13" s="23">
        <f>IF(C13="","",IFERROR(INDEX(Services!$E$5:$E$64,MATCH(C13,Services!$B$5:$B$64,0)),""))</f>
        <v>0</v>
      </c>
      <c r="L13" s="21">
        <f>IF(B13="","",IF(F13&lt;&gt;"",F13,IFERROR(J13*1,0)))</f>
        <v>0</v>
      </c>
      <c r="M13" s="51">
        <f>IF(B13="","",IF(D13&lt;&gt;"",D13,IFERROR(INDEX(Services!$O$5:$O$64,MATCH(C13,Services!$B$5:$B$64,0)),"")))</f>
        <v>0</v>
      </c>
      <c r="N13" s="34">
        <f>IF(B13="","",IFERROR(INDEX(Services!$G$5:$G$64,MATCH(C13,Services!$B$5:$B$64,0)),0)*IF(E13="",1,IF(IFERROR(INDEX(Services!$D$5:$D$64,MATCH(C13,Services!$B$5:$B$64,0)),"")="Per hour",1,E13)))</f>
        <v>0</v>
      </c>
      <c r="O13" s="21">
        <f>IF(B13="","",ROUND(IF(E13="",1,E13)*L13,2))</f>
        <v>0</v>
      </c>
      <c r="P13" s="21">
        <f>IF(B13="","",ROUND(O13*(1-IF(G13="",0,G13)),2))</f>
        <v>0</v>
      </c>
      <c r="Q13" s="21">
        <f>IF(B13="","",ROUND(N13*CostPerHour+IF(E13="",1,E13)*IFERROR(INDEX(Services!$R$5:$R$64,MATCH(C13,Services!$B$5:$B$64,0)),0),2))</f>
        <v>0</v>
      </c>
      <c r="R13" s="38">
        <f>IF(OR(B13="",P13=0),"",(P13-Q13)/P13)</f>
        <v>0</v>
      </c>
      <c r="S13" s="31">
        <f>IF(OR(B13="",C13=""),"",COUNTIFS($B$5:B13,B13))</f>
        <v>0</v>
      </c>
      <c r="T13" s="23">
        <f>IF(S13="","",B13&amp;"|"&amp;S13)</f>
        <v>0</v>
      </c>
      <c r="U13" s="39">
        <f>IF(B13="","",IF(C13="","Add - pick a service",IF(E13="","Add - how many?",IF(L13=0,"Add - no price",IF(AND(R13&lt;&gt;"",R13&lt;MarginFloor),"Below - thin margin","OK")))))</f>
        <v>0</v>
      </c>
    </row>
    <row r="14" spans="1:21">
      <c r="A14" s="43">
        <f>IF(B14="","","QL-"&amp;TEXT(ROW()-4,"0000"))</f>
        <v>0</v>
      </c>
      <c r="B14" s="49" t="s">
        <v>924</v>
      </c>
      <c r="C14" s="15" t="s">
        <v>839</v>
      </c>
      <c r="D14" s="44" t="s">
        <v>1094</v>
      </c>
      <c r="E14" s="17">
        <v>4</v>
      </c>
      <c r="H14" s="47" t="s">
        <v>457</v>
      </c>
      <c r="I14" s="44" t="s">
        <v>172</v>
      </c>
      <c r="J14" s="21">
        <f>IF(C14="","",IFERROR(INDEX(Services!$P$5:$P$64,MATCH(C14,Services!$B$5:$B$64,0)),"0"))</f>
        <v>0</v>
      </c>
      <c r="K14" s="23">
        <f>IF(C14="","",IFERROR(INDEX(Services!$E$5:$E$64,MATCH(C14,Services!$B$5:$B$64,0)),""))</f>
        <v>0</v>
      </c>
      <c r="L14" s="21">
        <f>IF(B14="","",IF(F14&lt;&gt;"",F14,IFERROR(J14*1,0)))</f>
        <v>0</v>
      </c>
      <c r="M14" s="51">
        <f>IF(B14="","",IF(D14&lt;&gt;"",D14,IFERROR(INDEX(Services!$O$5:$O$64,MATCH(C14,Services!$B$5:$B$64,0)),"")))</f>
        <v>0</v>
      </c>
      <c r="N14" s="34">
        <f>IF(B14="","",IFERROR(INDEX(Services!$G$5:$G$64,MATCH(C14,Services!$B$5:$B$64,0)),0)*IF(E14="",1,IF(IFERROR(INDEX(Services!$D$5:$D$64,MATCH(C14,Services!$B$5:$B$64,0)),"")="Per hour",1,E14)))</f>
        <v>0</v>
      </c>
      <c r="O14" s="21">
        <f>IF(B14="","",ROUND(IF(E14="",1,E14)*L14,2))</f>
        <v>0</v>
      </c>
      <c r="P14" s="21">
        <f>IF(B14="","",ROUND(O14*(1-IF(G14="",0,G14)),2))</f>
        <v>0</v>
      </c>
      <c r="Q14" s="21">
        <f>IF(B14="","",ROUND(N14*CostPerHour+IF(E14="",1,E14)*IFERROR(INDEX(Services!$R$5:$R$64,MATCH(C14,Services!$B$5:$B$64,0)),0),2))</f>
        <v>0</v>
      </c>
      <c r="R14" s="38">
        <f>IF(OR(B14="",P14=0),"",(P14-Q14)/P14)</f>
        <v>0</v>
      </c>
      <c r="S14" s="31">
        <f>IF(OR(B14="",C14=""),"",COUNTIFS($B$5:B14,B14))</f>
        <v>0</v>
      </c>
      <c r="T14" s="23">
        <f>IF(S14="","",B14&amp;"|"&amp;S14)</f>
        <v>0</v>
      </c>
      <c r="U14" s="39">
        <f>IF(B14="","",IF(C14="","Add - pick a service",IF(E14="","Add - how many?",IF(L14=0,"Add - no price",IF(AND(R14&lt;&gt;"",R14&lt;MarginFloor),"Below - thin margin","OK")))))</f>
        <v>0</v>
      </c>
    </row>
    <row r="15" spans="1:21">
      <c r="A15" s="43">
        <f>IF(B15="","","QL-"&amp;TEXT(ROW()-4,"0000"))</f>
        <v>0</v>
      </c>
      <c r="B15" s="49" t="s">
        <v>944</v>
      </c>
      <c r="C15" s="15" t="s">
        <v>770</v>
      </c>
      <c r="D15" s="44" t="s">
        <v>1095</v>
      </c>
      <c r="E15" s="17">
        <v>2</v>
      </c>
      <c r="H15" s="47" t="s">
        <v>457</v>
      </c>
      <c r="I15" s="44" t="s">
        <v>172</v>
      </c>
      <c r="J15" s="21">
        <f>IF(C15="","",IFERROR(INDEX(Services!$P$5:$P$64,MATCH(C15,Services!$B$5:$B$64,0)),"0"))</f>
        <v>0</v>
      </c>
      <c r="K15" s="23">
        <f>IF(C15="","",IFERROR(INDEX(Services!$E$5:$E$64,MATCH(C15,Services!$B$5:$B$64,0)),""))</f>
        <v>0</v>
      </c>
      <c r="L15" s="21">
        <f>IF(B15="","",IF(F15&lt;&gt;"",F15,IFERROR(J15*1,0)))</f>
        <v>0</v>
      </c>
      <c r="M15" s="51">
        <f>IF(B15="","",IF(D15&lt;&gt;"",D15,IFERROR(INDEX(Services!$O$5:$O$64,MATCH(C15,Services!$B$5:$B$64,0)),"")))</f>
        <v>0</v>
      </c>
      <c r="N15" s="34">
        <f>IF(B15="","",IFERROR(INDEX(Services!$G$5:$G$64,MATCH(C15,Services!$B$5:$B$64,0)),0)*IF(E15="",1,IF(IFERROR(INDEX(Services!$D$5:$D$64,MATCH(C15,Services!$B$5:$B$64,0)),"")="Per hour",1,E15)))</f>
        <v>0</v>
      </c>
      <c r="O15" s="21">
        <f>IF(B15="","",ROUND(IF(E15="",1,E15)*L15,2))</f>
        <v>0</v>
      </c>
      <c r="P15" s="21">
        <f>IF(B15="","",ROUND(O15*(1-IF(G15="",0,G15)),2))</f>
        <v>0</v>
      </c>
      <c r="Q15" s="21">
        <f>IF(B15="","",ROUND(N15*CostPerHour+IF(E15="",1,E15)*IFERROR(INDEX(Services!$R$5:$R$64,MATCH(C15,Services!$B$5:$B$64,0)),0),2))</f>
        <v>0</v>
      </c>
      <c r="R15" s="38">
        <f>IF(OR(B15="",P15=0),"",(P15-Q15)/P15)</f>
        <v>0</v>
      </c>
      <c r="S15" s="31">
        <f>IF(OR(B15="",C15=""),"",COUNTIFS($B$5:B15,B15))</f>
        <v>0</v>
      </c>
      <c r="T15" s="23">
        <f>IF(S15="","",B15&amp;"|"&amp;S15)</f>
        <v>0</v>
      </c>
      <c r="U15" s="39">
        <f>IF(B15="","",IF(C15="","Add - pick a service",IF(E15="","Add - how many?",IF(L15=0,"Add - no price",IF(AND(R15&lt;&gt;"",R15&lt;MarginFloor),"Below - thin margin","OK")))))</f>
        <v>0</v>
      </c>
    </row>
    <row r="16" spans="1:21">
      <c r="A16" s="43">
        <f>IF(B16="","","QL-"&amp;TEXT(ROW()-4,"0000"))</f>
        <v>0</v>
      </c>
      <c r="B16" s="49" t="s">
        <v>1096</v>
      </c>
      <c r="C16" s="15" t="s">
        <v>790</v>
      </c>
      <c r="D16" s="44" t="s">
        <v>1097</v>
      </c>
      <c r="E16" s="17">
        <v>1</v>
      </c>
      <c r="F16" s="19">
        <v>420</v>
      </c>
      <c r="H16" s="47" t="s">
        <v>457</v>
      </c>
      <c r="I16" s="44" t="s">
        <v>172</v>
      </c>
      <c r="J16" s="21">
        <f>IF(C16="","",IFERROR(INDEX(Services!$P$5:$P$64,MATCH(C16,Services!$B$5:$B$64,0)),"0"))</f>
        <v>0</v>
      </c>
      <c r="K16" s="23">
        <f>IF(C16="","",IFERROR(INDEX(Services!$E$5:$E$64,MATCH(C16,Services!$B$5:$B$64,0)),""))</f>
        <v>0</v>
      </c>
      <c r="L16" s="21">
        <f>IF(B16="","",IF(F16&lt;&gt;"",F16,IFERROR(J16*1,0)))</f>
        <v>0</v>
      </c>
      <c r="M16" s="51">
        <f>IF(B16="","",IF(D16&lt;&gt;"",D16,IFERROR(INDEX(Services!$O$5:$O$64,MATCH(C16,Services!$B$5:$B$64,0)),"")))</f>
        <v>0</v>
      </c>
      <c r="N16" s="34">
        <f>IF(B16="","",IFERROR(INDEX(Services!$G$5:$G$64,MATCH(C16,Services!$B$5:$B$64,0)),0)*IF(E16="",1,IF(IFERROR(INDEX(Services!$D$5:$D$64,MATCH(C16,Services!$B$5:$B$64,0)),"")="Per hour",1,E16)))</f>
        <v>0</v>
      </c>
      <c r="O16" s="21">
        <f>IF(B16="","",ROUND(IF(E16="",1,E16)*L16,2))</f>
        <v>0</v>
      </c>
      <c r="P16" s="21">
        <f>IF(B16="","",ROUND(O16*(1-IF(G16="",0,G16)),2))</f>
        <v>0</v>
      </c>
      <c r="Q16" s="21">
        <f>IF(B16="","",ROUND(N16*CostPerHour+IF(E16="",1,E16)*IFERROR(INDEX(Services!$R$5:$R$64,MATCH(C16,Services!$B$5:$B$64,0)),0),2))</f>
        <v>0</v>
      </c>
      <c r="R16" s="38">
        <f>IF(OR(B16="",P16=0),"",(P16-Q16)/P16)</f>
        <v>0</v>
      </c>
      <c r="S16" s="31">
        <f>IF(OR(B16="",C16=""),"",COUNTIFS($B$5:B16,B16))</f>
        <v>0</v>
      </c>
      <c r="T16" s="23">
        <f>IF(S16="","",B16&amp;"|"&amp;S16)</f>
        <v>0</v>
      </c>
      <c r="U16" s="39">
        <f>IF(B16="","",IF(C16="","Add - pick a service",IF(E16="","Add - how many?",IF(L16=0,"Add - no price",IF(AND(R16&lt;&gt;"",R16&lt;MarginFloor),"Below - thin margin","OK")))))</f>
        <v>0</v>
      </c>
    </row>
    <row r="17" spans="1:21">
      <c r="A17" s="43">
        <f>IF(B17="","","QL-"&amp;TEXT(ROW()-4,"0000"))</f>
        <v>0</v>
      </c>
      <c r="J17" s="21">
        <f>IF(C17="","",IFERROR(INDEX(Services!$P$5:$P$64,MATCH(C17,Services!$B$5:$B$64,0)),"0"))</f>
        <v>0</v>
      </c>
      <c r="K17" s="23">
        <f>IF(C17="","",IFERROR(INDEX(Services!$E$5:$E$64,MATCH(C17,Services!$B$5:$B$64,0)),""))</f>
        <v>0</v>
      </c>
      <c r="L17" s="21">
        <f>IF(B17="","",IF(F17&lt;&gt;"",F17,IFERROR(J17*1,0)))</f>
        <v>0</v>
      </c>
      <c r="M17" s="51">
        <f>IF(B17="","",IF(D17&lt;&gt;"",D17,IFERROR(INDEX(Services!$O$5:$O$64,MATCH(C17,Services!$B$5:$B$64,0)),"")))</f>
        <v>0</v>
      </c>
      <c r="N17" s="34">
        <f>IF(B17="","",IFERROR(INDEX(Services!$G$5:$G$64,MATCH(C17,Services!$B$5:$B$64,0)),0)*IF(E17="",1,IF(IFERROR(INDEX(Services!$D$5:$D$64,MATCH(C17,Services!$B$5:$B$64,0)),"")="Per hour",1,E17)))</f>
        <v>0</v>
      </c>
      <c r="O17" s="21">
        <f>IF(B17="","",ROUND(IF(E17="",1,E17)*L17,2))</f>
        <v>0</v>
      </c>
      <c r="P17" s="21">
        <f>IF(B17="","",ROUND(O17*(1-IF(G17="",0,G17)),2))</f>
        <v>0</v>
      </c>
      <c r="Q17" s="21">
        <f>IF(B17="","",ROUND(N17*CostPerHour+IF(E17="",1,E17)*IFERROR(INDEX(Services!$R$5:$R$64,MATCH(C17,Services!$B$5:$B$64,0)),0),2))</f>
        <v>0</v>
      </c>
      <c r="R17" s="38">
        <f>IF(OR(B17="",P17=0),"",(P17-Q17)/P17)</f>
        <v>0</v>
      </c>
      <c r="S17" s="31">
        <f>IF(OR(B17="",C17=""),"",COUNTIFS($B$5:B17,B17))</f>
        <v>0</v>
      </c>
      <c r="T17" s="23">
        <f>IF(S17="","",B17&amp;"|"&amp;S17)</f>
        <v>0</v>
      </c>
      <c r="U17" s="39">
        <f>IF(B17="","",IF(C17="","Add - pick a service",IF(E17="","Add - how many?",IF(L17=0,"Add - no price",IF(AND(R17&lt;&gt;"",R17&lt;MarginFloor),"Below - thin margin","OK")))))</f>
        <v>0</v>
      </c>
    </row>
    <row r="18" spans="1:21">
      <c r="A18" s="43">
        <f>IF(B18="","","QL-"&amp;TEXT(ROW()-4,"0000"))</f>
        <v>0</v>
      </c>
      <c r="J18" s="21">
        <f>IF(C18="","",IFERROR(INDEX(Services!$P$5:$P$64,MATCH(C18,Services!$B$5:$B$64,0)),"0"))</f>
        <v>0</v>
      </c>
      <c r="K18" s="23">
        <f>IF(C18="","",IFERROR(INDEX(Services!$E$5:$E$64,MATCH(C18,Services!$B$5:$B$64,0)),""))</f>
        <v>0</v>
      </c>
      <c r="L18" s="21">
        <f>IF(B18="","",IF(F18&lt;&gt;"",F18,IFERROR(J18*1,0)))</f>
        <v>0</v>
      </c>
      <c r="M18" s="51">
        <f>IF(B18="","",IF(D18&lt;&gt;"",D18,IFERROR(INDEX(Services!$O$5:$O$64,MATCH(C18,Services!$B$5:$B$64,0)),"")))</f>
        <v>0</v>
      </c>
      <c r="N18" s="34">
        <f>IF(B18="","",IFERROR(INDEX(Services!$G$5:$G$64,MATCH(C18,Services!$B$5:$B$64,0)),0)*IF(E18="",1,IF(IFERROR(INDEX(Services!$D$5:$D$64,MATCH(C18,Services!$B$5:$B$64,0)),"")="Per hour",1,E18)))</f>
        <v>0</v>
      </c>
      <c r="O18" s="21">
        <f>IF(B18="","",ROUND(IF(E18="",1,E18)*L18,2))</f>
        <v>0</v>
      </c>
      <c r="P18" s="21">
        <f>IF(B18="","",ROUND(O18*(1-IF(G18="",0,G18)),2))</f>
        <v>0</v>
      </c>
      <c r="Q18" s="21">
        <f>IF(B18="","",ROUND(N18*CostPerHour+IF(E18="",1,E18)*IFERROR(INDEX(Services!$R$5:$R$64,MATCH(C18,Services!$B$5:$B$64,0)),0),2))</f>
        <v>0</v>
      </c>
      <c r="R18" s="38">
        <f>IF(OR(B18="",P18=0),"",(P18-Q18)/P18)</f>
        <v>0</v>
      </c>
      <c r="S18" s="31">
        <f>IF(OR(B18="",C18=""),"",COUNTIFS($B$5:B18,B18))</f>
        <v>0</v>
      </c>
      <c r="T18" s="23">
        <f>IF(S18="","",B18&amp;"|"&amp;S18)</f>
        <v>0</v>
      </c>
      <c r="U18" s="39">
        <f>IF(B18="","",IF(C18="","Add - pick a service",IF(E18="","Add - how many?",IF(L18=0,"Add - no price",IF(AND(R18&lt;&gt;"",R18&lt;MarginFloor),"Below - thin margin","OK")))))</f>
        <v>0</v>
      </c>
    </row>
    <row r="19" spans="1:21">
      <c r="A19" s="43">
        <f>IF(B19="","","QL-"&amp;TEXT(ROW()-4,"0000"))</f>
        <v>0</v>
      </c>
      <c r="J19" s="21">
        <f>IF(C19="","",IFERROR(INDEX(Services!$P$5:$P$64,MATCH(C19,Services!$B$5:$B$64,0)),"0"))</f>
        <v>0</v>
      </c>
      <c r="K19" s="23">
        <f>IF(C19="","",IFERROR(INDEX(Services!$E$5:$E$64,MATCH(C19,Services!$B$5:$B$64,0)),""))</f>
        <v>0</v>
      </c>
      <c r="L19" s="21">
        <f>IF(B19="","",IF(F19&lt;&gt;"",F19,IFERROR(J19*1,0)))</f>
        <v>0</v>
      </c>
      <c r="M19" s="51">
        <f>IF(B19="","",IF(D19&lt;&gt;"",D19,IFERROR(INDEX(Services!$O$5:$O$64,MATCH(C19,Services!$B$5:$B$64,0)),"")))</f>
        <v>0</v>
      </c>
      <c r="N19" s="34">
        <f>IF(B19="","",IFERROR(INDEX(Services!$G$5:$G$64,MATCH(C19,Services!$B$5:$B$64,0)),0)*IF(E19="",1,IF(IFERROR(INDEX(Services!$D$5:$D$64,MATCH(C19,Services!$B$5:$B$64,0)),"")="Per hour",1,E19)))</f>
        <v>0</v>
      </c>
      <c r="O19" s="21">
        <f>IF(B19="","",ROUND(IF(E19="",1,E19)*L19,2))</f>
        <v>0</v>
      </c>
      <c r="P19" s="21">
        <f>IF(B19="","",ROUND(O19*(1-IF(G19="",0,G19)),2))</f>
        <v>0</v>
      </c>
      <c r="Q19" s="21">
        <f>IF(B19="","",ROUND(N19*CostPerHour+IF(E19="",1,E19)*IFERROR(INDEX(Services!$R$5:$R$64,MATCH(C19,Services!$B$5:$B$64,0)),0),2))</f>
        <v>0</v>
      </c>
      <c r="R19" s="38">
        <f>IF(OR(B19="",P19=0),"",(P19-Q19)/P19)</f>
        <v>0</v>
      </c>
      <c r="S19" s="31">
        <f>IF(OR(B19="",C19=""),"",COUNTIFS($B$5:B19,B19))</f>
        <v>0</v>
      </c>
      <c r="T19" s="23">
        <f>IF(S19="","",B19&amp;"|"&amp;S19)</f>
        <v>0</v>
      </c>
      <c r="U19" s="39">
        <f>IF(B19="","",IF(C19="","Add - pick a service",IF(E19="","Add - how many?",IF(L19=0,"Add - no price",IF(AND(R19&lt;&gt;"",R19&lt;MarginFloor),"Below - thin margin","OK")))))</f>
        <v>0</v>
      </c>
    </row>
    <row r="20" spans="1:21">
      <c r="A20" s="43">
        <f>IF(B20="","","QL-"&amp;TEXT(ROW()-4,"0000"))</f>
        <v>0</v>
      </c>
      <c r="J20" s="21">
        <f>IF(C20="","",IFERROR(INDEX(Services!$P$5:$P$64,MATCH(C20,Services!$B$5:$B$64,0)),"0"))</f>
        <v>0</v>
      </c>
      <c r="K20" s="23">
        <f>IF(C20="","",IFERROR(INDEX(Services!$E$5:$E$64,MATCH(C20,Services!$B$5:$B$64,0)),""))</f>
        <v>0</v>
      </c>
      <c r="L20" s="21">
        <f>IF(B20="","",IF(F20&lt;&gt;"",F20,IFERROR(J20*1,0)))</f>
        <v>0</v>
      </c>
      <c r="M20" s="51">
        <f>IF(B20="","",IF(D20&lt;&gt;"",D20,IFERROR(INDEX(Services!$O$5:$O$64,MATCH(C20,Services!$B$5:$B$64,0)),"")))</f>
        <v>0</v>
      </c>
      <c r="N20" s="34">
        <f>IF(B20="","",IFERROR(INDEX(Services!$G$5:$G$64,MATCH(C20,Services!$B$5:$B$64,0)),0)*IF(E20="",1,IF(IFERROR(INDEX(Services!$D$5:$D$64,MATCH(C20,Services!$B$5:$B$64,0)),"")="Per hour",1,E20)))</f>
        <v>0</v>
      </c>
      <c r="O20" s="21">
        <f>IF(B20="","",ROUND(IF(E20="",1,E20)*L20,2))</f>
        <v>0</v>
      </c>
      <c r="P20" s="21">
        <f>IF(B20="","",ROUND(O20*(1-IF(G20="",0,G20)),2))</f>
        <v>0</v>
      </c>
      <c r="Q20" s="21">
        <f>IF(B20="","",ROUND(N20*CostPerHour+IF(E20="",1,E20)*IFERROR(INDEX(Services!$R$5:$R$64,MATCH(C20,Services!$B$5:$B$64,0)),0),2))</f>
        <v>0</v>
      </c>
      <c r="R20" s="38">
        <f>IF(OR(B20="",P20=0),"",(P20-Q20)/P20)</f>
        <v>0</v>
      </c>
      <c r="S20" s="31">
        <f>IF(OR(B20="",C20=""),"",COUNTIFS($B$5:B20,B20))</f>
        <v>0</v>
      </c>
      <c r="T20" s="23">
        <f>IF(S20="","",B20&amp;"|"&amp;S20)</f>
        <v>0</v>
      </c>
      <c r="U20" s="39">
        <f>IF(B20="","",IF(C20="","Add - pick a service",IF(E20="","Add - how many?",IF(L20=0,"Add - no price",IF(AND(R20&lt;&gt;"",R20&lt;MarginFloor),"Below - thin margin","OK")))))</f>
        <v>0</v>
      </c>
    </row>
    <row r="21" spans="1:21">
      <c r="A21" s="43">
        <f>IF(B21="","","QL-"&amp;TEXT(ROW()-4,"0000"))</f>
        <v>0</v>
      </c>
      <c r="J21" s="21">
        <f>IF(C21="","",IFERROR(INDEX(Services!$P$5:$P$64,MATCH(C21,Services!$B$5:$B$64,0)),"0"))</f>
        <v>0</v>
      </c>
      <c r="K21" s="23">
        <f>IF(C21="","",IFERROR(INDEX(Services!$E$5:$E$64,MATCH(C21,Services!$B$5:$B$64,0)),""))</f>
        <v>0</v>
      </c>
      <c r="L21" s="21">
        <f>IF(B21="","",IF(F21&lt;&gt;"",F21,IFERROR(J21*1,0)))</f>
        <v>0</v>
      </c>
      <c r="M21" s="51">
        <f>IF(B21="","",IF(D21&lt;&gt;"",D21,IFERROR(INDEX(Services!$O$5:$O$64,MATCH(C21,Services!$B$5:$B$64,0)),"")))</f>
        <v>0</v>
      </c>
      <c r="N21" s="34">
        <f>IF(B21="","",IFERROR(INDEX(Services!$G$5:$G$64,MATCH(C21,Services!$B$5:$B$64,0)),0)*IF(E21="",1,IF(IFERROR(INDEX(Services!$D$5:$D$64,MATCH(C21,Services!$B$5:$B$64,0)),"")="Per hour",1,E21)))</f>
        <v>0</v>
      </c>
      <c r="O21" s="21">
        <f>IF(B21="","",ROUND(IF(E21="",1,E21)*L21,2))</f>
        <v>0</v>
      </c>
      <c r="P21" s="21">
        <f>IF(B21="","",ROUND(O21*(1-IF(G21="",0,G21)),2))</f>
        <v>0</v>
      </c>
      <c r="Q21" s="21">
        <f>IF(B21="","",ROUND(N21*CostPerHour+IF(E21="",1,E21)*IFERROR(INDEX(Services!$R$5:$R$64,MATCH(C21,Services!$B$5:$B$64,0)),0),2))</f>
        <v>0</v>
      </c>
      <c r="R21" s="38">
        <f>IF(OR(B21="",P21=0),"",(P21-Q21)/P21)</f>
        <v>0</v>
      </c>
      <c r="S21" s="31">
        <f>IF(OR(B21="",C21=""),"",COUNTIFS($B$5:B21,B21))</f>
        <v>0</v>
      </c>
      <c r="T21" s="23">
        <f>IF(S21="","",B21&amp;"|"&amp;S21)</f>
        <v>0</v>
      </c>
      <c r="U21" s="39">
        <f>IF(B21="","",IF(C21="","Add - pick a service",IF(E21="","Add - how many?",IF(L21=0,"Add - no price",IF(AND(R21&lt;&gt;"",R21&lt;MarginFloor),"Below - thin margin","OK")))))</f>
        <v>0</v>
      </c>
    </row>
    <row r="22" spans="1:21">
      <c r="A22" s="43">
        <f>IF(B22="","","QL-"&amp;TEXT(ROW()-4,"0000"))</f>
        <v>0</v>
      </c>
      <c r="J22" s="21">
        <f>IF(C22="","",IFERROR(INDEX(Services!$P$5:$P$64,MATCH(C22,Services!$B$5:$B$64,0)),"0"))</f>
        <v>0</v>
      </c>
      <c r="K22" s="23">
        <f>IF(C22="","",IFERROR(INDEX(Services!$E$5:$E$64,MATCH(C22,Services!$B$5:$B$64,0)),""))</f>
        <v>0</v>
      </c>
      <c r="L22" s="21">
        <f>IF(B22="","",IF(F22&lt;&gt;"",F22,IFERROR(J22*1,0)))</f>
        <v>0</v>
      </c>
      <c r="M22" s="51">
        <f>IF(B22="","",IF(D22&lt;&gt;"",D22,IFERROR(INDEX(Services!$O$5:$O$64,MATCH(C22,Services!$B$5:$B$64,0)),"")))</f>
        <v>0</v>
      </c>
      <c r="N22" s="34">
        <f>IF(B22="","",IFERROR(INDEX(Services!$G$5:$G$64,MATCH(C22,Services!$B$5:$B$64,0)),0)*IF(E22="",1,IF(IFERROR(INDEX(Services!$D$5:$D$64,MATCH(C22,Services!$B$5:$B$64,0)),"")="Per hour",1,E22)))</f>
        <v>0</v>
      </c>
      <c r="O22" s="21">
        <f>IF(B22="","",ROUND(IF(E22="",1,E22)*L22,2))</f>
        <v>0</v>
      </c>
      <c r="P22" s="21">
        <f>IF(B22="","",ROUND(O22*(1-IF(G22="",0,G22)),2))</f>
        <v>0</v>
      </c>
      <c r="Q22" s="21">
        <f>IF(B22="","",ROUND(N22*CostPerHour+IF(E22="",1,E22)*IFERROR(INDEX(Services!$R$5:$R$64,MATCH(C22,Services!$B$5:$B$64,0)),0),2))</f>
        <v>0</v>
      </c>
      <c r="R22" s="38">
        <f>IF(OR(B22="",P22=0),"",(P22-Q22)/P22)</f>
        <v>0</v>
      </c>
      <c r="S22" s="31">
        <f>IF(OR(B22="",C22=""),"",COUNTIFS($B$5:B22,B22))</f>
        <v>0</v>
      </c>
      <c r="T22" s="23">
        <f>IF(S22="","",B22&amp;"|"&amp;S22)</f>
        <v>0</v>
      </c>
      <c r="U22" s="39">
        <f>IF(B22="","",IF(C22="","Add - pick a service",IF(E22="","Add - how many?",IF(L22=0,"Add - no price",IF(AND(R22&lt;&gt;"",R22&lt;MarginFloor),"Below - thin margin","OK")))))</f>
        <v>0</v>
      </c>
    </row>
    <row r="23" spans="1:21">
      <c r="A23" s="43">
        <f>IF(B23="","","QL-"&amp;TEXT(ROW()-4,"0000"))</f>
        <v>0</v>
      </c>
      <c r="J23" s="21">
        <f>IF(C23="","",IFERROR(INDEX(Services!$P$5:$P$64,MATCH(C23,Services!$B$5:$B$64,0)),"0"))</f>
        <v>0</v>
      </c>
      <c r="K23" s="23">
        <f>IF(C23="","",IFERROR(INDEX(Services!$E$5:$E$64,MATCH(C23,Services!$B$5:$B$64,0)),""))</f>
        <v>0</v>
      </c>
      <c r="L23" s="21">
        <f>IF(B23="","",IF(F23&lt;&gt;"",F23,IFERROR(J23*1,0)))</f>
        <v>0</v>
      </c>
      <c r="M23" s="51">
        <f>IF(B23="","",IF(D23&lt;&gt;"",D23,IFERROR(INDEX(Services!$O$5:$O$64,MATCH(C23,Services!$B$5:$B$64,0)),"")))</f>
        <v>0</v>
      </c>
      <c r="N23" s="34">
        <f>IF(B23="","",IFERROR(INDEX(Services!$G$5:$G$64,MATCH(C23,Services!$B$5:$B$64,0)),0)*IF(E23="",1,IF(IFERROR(INDEX(Services!$D$5:$D$64,MATCH(C23,Services!$B$5:$B$64,0)),"")="Per hour",1,E23)))</f>
        <v>0</v>
      </c>
      <c r="O23" s="21">
        <f>IF(B23="","",ROUND(IF(E23="",1,E23)*L23,2))</f>
        <v>0</v>
      </c>
      <c r="P23" s="21">
        <f>IF(B23="","",ROUND(O23*(1-IF(G23="",0,G23)),2))</f>
        <v>0</v>
      </c>
      <c r="Q23" s="21">
        <f>IF(B23="","",ROUND(N23*CostPerHour+IF(E23="",1,E23)*IFERROR(INDEX(Services!$R$5:$R$64,MATCH(C23,Services!$B$5:$B$64,0)),0),2))</f>
        <v>0</v>
      </c>
      <c r="R23" s="38">
        <f>IF(OR(B23="",P23=0),"",(P23-Q23)/P23)</f>
        <v>0</v>
      </c>
      <c r="S23" s="31">
        <f>IF(OR(B23="",C23=""),"",COUNTIFS($B$5:B23,B23))</f>
        <v>0</v>
      </c>
      <c r="T23" s="23">
        <f>IF(S23="","",B23&amp;"|"&amp;S23)</f>
        <v>0</v>
      </c>
      <c r="U23" s="39">
        <f>IF(B23="","",IF(C23="","Add - pick a service",IF(E23="","Add - how many?",IF(L23=0,"Add - no price",IF(AND(R23&lt;&gt;"",R23&lt;MarginFloor),"Below - thin margin","OK")))))</f>
        <v>0</v>
      </c>
    </row>
    <row r="24" spans="1:21">
      <c r="A24" s="43">
        <f>IF(B24="","","QL-"&amp;TEXT(ROW()-4,"0000"))</f>
        <v>0</v>
      </c>
      <c r="J24" s="21">
        <f>IF(C24="","",IFERROR(INDEX(Services!$P$5:$P$64,MATCH(C24,Services!$B$5:$B$64,0)),"0"))</f>
        <v>0</v>
      </c>
      <c r="K24" s="23">
        <f>IF(C24="","",IFERROR(INDEX(Services!$E$5:$E$64,MATCH(C24,Services!$B$5:$B$64,0)),""))</f>
        <v>0</v>
      </c>
      <c r="L24" s="21">
        <f>IF(B24="","",IF(F24&lt;&gt;"",F24,IFERROR(J24*1,0)))</f>
        <v>0</v>
      </c>
      <c r="M24" s="51">
        <f>IF(B24="","",IF(D24&lt;&gt;"",D24,IFERROR(INDEX(Services!$O$5:$O$64,MATCH(C24,Services!$B$5:$B$64,0)),"")))</f>
        <v>0</v>
      </c>
      <c r="N24" s="34">
        <f>IF(B24="","",IFERROR(INDEX(Services!$G$5:$G$64,MATCH(C24,Services!$B$5:$B$64,0)),0)*IF(E24="",1,IF(IFERROR(INDEX(Services!$D$5:$D$64,MATCH(C24,Services!$B$5:$B$64,0)),"")="Per hour",1,E24)))</f>
        <v>0</v>
      </c>
      <c r="O24" s="21">
        <f>IF(B24="","",ROUND(IF(E24="",1,E24)*L24,2))</f>
        <v>0</v>
      </c>
      <c r="P24" s="21">
        <f>IF(B24="","",ROUND(O24*(1-IF(G24="",0,G24)),2))</f>
        <v>0</v>
      </c>
      <c r="Q24" s="21">
        <f>IF(B24="","",ROUND(N24*CostPerHour+IF(E24="",1,E24)*IFERROR(INDEX(Services!$R$5:$R$64,MATCH(C24,Services!$B$5:$B$64,0)),0),2))</f>
        <v>0</v>
      </c>
      <c r="R24" s="38">
        <f>IF(OR(B24="",P24=0),"",(P24-Q24)/P24)</f>
        <v>0</v>
      </c>
      <c r="S24" s="31">
        <f>IF(OR(B24="",C24=""),"",COUNTIFS($B$5:B24,B24))</f>
        <v>0</v>
      </c>
      <c r="T24" s="23">
        <f>IF(S24="","",B24&amp;"|"&amp;S24)</f>
        <v>0</v>
      </c>
      <c r="U24" s="39">
        <f>IF(B24="","",IF(C24="","Add - pick a service",IF(E24="","Add - how many?",IF(L24=0,"Add - no price",IF(AND(R24&lt;&gt;"",R24&lt;MarginFloor),"Below - thin margin","OK")))))</f>
        <v>0</v>
      </c>
    </row>
    <row r="25" spans="1:21">
      <c r="A25" s="43">
        <f>IF(B25="","","QL-"&amp;TEXT(ROW()-4,"0000"))</f>
        <v>0</v>
      </c>
      <c r="J25" s="21">
        <f>IF(C25="","",IFERROR(INDEX(Services!$P$5:$P$64,MATCH(C25,Services!$B$5:$B$64,0)),"0"))</f>
        <v>0</v>
      </c>
      <c r="K25" s="23">
        <f>IF(C25="","",IFERROR(INDEX(Services!$E$5:$E$64,MATCH(C25,Services!$B$5:$B$64,0)),""))</f>
        <v>0</v>
      </c>
      <c r="L25" s="21">
        <f>IF(B25="","",IF(F25&lt;&gt;"",F25,IFERROR(J25*1,0)))</f>
        <v>0</v>
      </c>
      <c r="M25" s="51">
        <f>IF(B25="","",IF(D25&lt;&gt;"",D25,IFERROR(INDEX(Services!$O$5:$O$64,MATCH(C25,Services!$B$5:$B$64,0)),"")))</f>
        <v>0</v>
      </c>
      <c r="N25" s="34">
        <f>IF(B25="","",IFERROR(INDEX(Services!$G$5:$G$64,MATCH(C25,Services!$B$5:$B$64,0)),0)*IF(E25="",1,IF(IFERROR(INDEX(Services!$D$5:$D$64,MATCH(C25,Services!$B$5:$B$64,0)),"")="Per hour",1,E25)))</f>
        <v>0</v>
      </c>
      <c r="O25" s="21">
        <f>IF(B25="","",ROUND(IF(E25="",1,E25)*L25,2))</f>
        <v>0</v>
      </c>
      <c r="P25" s="21">
        <f>IF(B25="","",ROUND(O25*(1-IF(G25="",0,G25)),2))</f>
        <v>0</v>
      </c>
      <c r="Q25" s="21">
        <f>IF(B25="","",ROUND(N25*CostPerHour+IF(E25="",1,E25)*IFERROR(INDEX(Services!$R$5:$R$64,MATCH(C25,Services!$B$5:$B$64,0)),0),2))</f>
        <v>0</v>
      </c>
      <c r="R25" s="38">
        <f>IF(OR(B25="",P25=0),"",(P25-Q25)/P25)</f>
        <v>0</v>
      </c>
      <c r="S25" s="31">
        <f>IF(OR(B25="",C25=""),"",COUNTIFS($B$5:B25,B25))</f>
        <v>0</v>
      </c>
      <c r="T25" s="23">
        <f>IF(S25="","",B25&amp;"|"&amp;S25)</f>
        <v>0</v>
      </c>
      <c r="U25" s="39">
        <f>IF(B25="","",IF(C25="","Add - pick a service",IF(E25="","Add - how many?",IF(L25=0,"Add - no price",IF(AND(R25&lt;&gt;"",R25&lt;MarginFloor),"Below - thin margin","OK")))))</f>
        <v>0</v>
      </c>
    </row>
    <row r="26" spans="1:21">
      <c r="A26" s="43">
        <f>IF(B26="","","QL-"&amp;TEXT(ROW()-4,"0000"))</f>
        <v>0</v>
      </c>
      <c r="J26" s="21">
        <f>IF(C26="","",IFERROR(INDEX(Services!$P$5:$P$64,MATCH(C26,Services!$B$5:$B$64,0)),"0"))</f>
        <v>0</v>
      </c>
      <c r="K26" s="23">
        <f>IF(C26="","",IFERROR(INDEX(Services!$E$5:$E$64,MATCH(C26,Services!$B$5:$B$64,0)),""))</f>
        <v>0</v>
      </c>
      <c r="L26" s="21">
        <f>IF(B26="","",IF(F26&lt;&gt;"",F26,IFERROR(J26*1,0)))</f>
        <v>0</v>
      </c>
      <c r="M26" s="51">
        <f>IF(B26="","",IF(D26&lt;&gt;"",D26,IFERROR(INDEX(Services!$O$5:$O$64,MATCH(C26,Services!$B$5:$B$64,0)),"")))</f>
        <v>0</v>
      </c>
      <c r="N26" s="34">
        <f>IF(B26="","",IFERROR(INDEX(Services!$G$5:$G$64,MATCH(C26,Services!$B$5:$B$64,0)),0)*IF(E26="",1,IF(IFERROR(INDEX(Services!$D$5:$D$64,MATCH(C26,Services!$B$5:$B$64,0)),"")="Per hour",1,E26)))</f>
        <v>0</v>
      </c>
      <c r="O26" s="21">
        <f>IF(B26="","",ROUND(IF(E26="",1,E26)*L26,2))</f>
        <v>0</v>
      </c>
      <c r="P26" s="21">
        <f>IF(B26="","",ROUND(O26*(1-IF(G26="",0,G26)),2))</f>
        <v>0</v>
      </c>
      <c r="Q26" s="21">
        <f>IF(B26="","",ROUND(N26*CostPerHour+IF(E26="",1,E26)*IFERROR(INDEX(Services!$R$5:$R$64,MATCH(C26,Services!$B$5:$B$64,0)),0),2))</f>
        <v>0</v>
      </c>
      <c r="R26" s="38">
        <f>IF(OR(B26="",P26=0),"",(P26-Q26)/P26)</f>
        <v>0</v>
      </c>
      <c r="S26" s="31">
        <f>IF(OR(B26="",C26=""),"",COUNTIFS($B$5:B26,B26))</f>
        <v>0</v>
      </c>
      <c r="T26" s="23">
        <f>IF(S26="","",B26&amp;"|"&amp;S26)</f>
        <v>0</v>
      </c>
      <c r="U26" s="39">
        <f>IF(B26="","",IF(C26="","Add - pick a service",IF(E26="","Add - how many?",IF(L26=0,"Add - no price",IF(AND(R26&lt;&gt;"",R26&lt;MarginFloor),"Below - thin margin","OK")))))</f>
        <v>0</v>
      </c>
    </row>
    <row r="27" spans="1:21">
      <c r="A27" s="43">
        <f>IF(B27="","","QL-"&amp;TEXT(ROW()-4,"0000"))</f>
        <v>0</v>
      </c>
      <c r="J27" s="21">
        <f>IF(C27="","",IFERROR(INDEX(Services!$P$5:$P$64,MATCH(C27,Services!$B$5:$B$64,0)),"0"))</f>
        <v>0</v>
      </c>
      <c r="K27" s="23">
        <f>IF(C27="","",IFERROR(INDEX(Services!$E$5:$E$64,MATCH(C27,Services!$B$5:$B$64,0)),""))</f>
        <v>0</v>
      </c>
      <c r="L27" s="21">
        <f>IF(B27="","",IF(F27&lt;&gt;"",F27,IFERROR(J27*1,0)))</f>
        <v>0</v>
      </c>
      <c r="M27" s="51">
        <f>IF(B27="","",IF(D27&lt;&gt;"",D27,IFERROR(INDEX(Services!$O$5:$O$64,MATCH(C27,Services!$B$5:$B$64,0)),"")))</f>
        <v>0</v>
      </c>
      <c r="N27" s="34">
        <f>IF(B27="","",IFERROR(INDEX(Services!$G$5:$G$64,MATCH(C27,Services!$B$5:$B$64,0)),0)*IF(E27="",1,IF(IFERROR(INDEX(Services!$D$5:$D$64,MATCH(C27,Services!$B$5:$B$64,0)),"")="Per hour",1,E27)))</f>
        <v>0</v>
      </c>
      <c r="O27" s="21">
        <f>IF(B27="","",ROUND(IF(E27="",1,E27)*L27,2))</f>
        <v>0</v>
      </c>
      <c r="P27" s="21">
        <f>IF(B27="","",ROUND(O27*(1-IF(G27="",0,G27)),2))</f>
        <v>0</v>
      </c>
      <c r="Q27" s="21">
        <f>IF(B27="","",ROUND(N27*CostPerHour+IF(E27="",1,E27)*IFERROR(INDEX(Services!$R$5:$R$64,MATCH(C27,Services!$B$5:$B$64,0)),0),2))</f>
        <v>0</v>
      </c>
      <c r="R27" s="38">
        <f>IF(OR(B27="",P27=0),"",(P27-Q27)/P27)</f>
        <v>0</v>
      </c>
      <c r="S27" s="31">
        <f>IF(OR(B27="",C27=""),"",COUNTIFS($B$5:B27,B27))</f>
        <v>0</v>
      </c>
      <c r="T27" s="23">
        <f>IF(S27="","",B27&amp;"|"&amp;S27)</f>
        <v>0</v>
      </c>
      <c r="U27" s="39">
        <f>IF(B27="","",IF(C27="","Add - pick a service",IF(E27="","Add - how many?",IF(L27=0,"Add - no price",IF(AND(R27&lt;&gt;"",R27&lt;MarginFloor),"Below - thin margin","OK")))))</f>
        <v>0</v>
      </c>
    </row>
    <row r="28" spans="1:21">
      <c r="A28" s="43">
        <f>IF(B28="","","QL-"&amp;TEXT(ROW()-4,"0000"))</f>
        <v>0</v>
      </c>
      <c r="J28" s="21">
        <f>IF(C28="","",IFERROR(INDEX(Services!$P$5:$P$64,MATCH(C28,Services!$B$5:$B$64,0)),"0"))</f>
        <v>0</v>
      </c>
      <c r="K28" s="23">
        <f>IF(C28="","",IFERROR(INDEX(Services!$E$5:$E$64,MATCH(C28,Services!$B$5:$B$64,0)),""))</f>
        <v>0</v>
      </c>
      <c r="L28" s="21">
        <f>IF(B28="","",IF(F28&lt;&gt;"",F28,IFERROR(J28*1,0)))</f>
        <v>0</v>
      </c>
      <c r="M28" s="51">
        <f>IF(B28="","",IF(D28&lt;&gt;"",D28,IFERROR(INDEX(Services!$O$5:$O$64,MATCH(C28,Services!$B$5:$B$64,0)),"")))</f>
        <v>0</v>
      </c>
      <c r="N28" s="34">
        <f>IF(B28="","",IFERROR(INDEX(Services!$G$5:$G$64,MATCH(C28,Services!$B$5:$B$64,0)),0)*IF(E28="",1,IF(IFERROR(INDEX(Services!$D$5:$D$64,MATCH(C28,Services!$B$5:$B$64,0)),"")="Per hour",1,E28)))</f>
        <v>0</v>
      </c>
      <c r="O28" s="21">
        <f>IF(B28="","",ROUND(IF(E28="",1,E28)*L28,2))</f>
        <v>0</v>
      </c>
      <c r="P28" s="21">
        <f>IF(B28="","",ROUND(O28*(1-IF(G28="",0,G28)),2))</f>
        <v>0</v>
      </c>
      <c r="Q28" s="21">
        <f>IF(B28="","",ROUND(N28*CostPerHour+IF(E28="",1,E28)*IFERROR(INDEX(Services!$R$5:$R$64,MATCH(C28,Services!$B$5:$B$64,0)),0),2))</f>
        <v>0</v>
      </c>
      <c r="R28" s="38">
        <f>IF(OR(B28="",P28=0),"",(P28-Q28)/P28)</f>
        <v>0</v>
      </c>
      <c r="S28" s="31">
        <f>IF(OR(B28="",C28=""),"",COUNTIFS($B$5:B28,B28))</f>
        <v>0</v>
      </c>
      <c r="T28" s="23">
        <f>IF(S28="","",B28&amp;"|"&amp;S28)</f>
        <v>0</v>
      </c>
      <c r="U28" s="39">
        <f>IF(B28="","",IF(C28="","Add - pick a service",IF(E28="","Add - how many?",IF(L28=0,"Add - no price",IF(AND(R28&lt;&gt;"",R28&lt;MarginFloor),"Below - thin margin","OK")))))</f>
        <v>0</v>
      </c>
    </row>
    <row r="29" spans="1:21">
      <c r="A29" s="43">
        <f>IF(B29="","","QL-"&amp;TEXT(ROW()-4,"0000"))</f>
        <v>0</v>
      </c>
      <c r="J29" s="21">
        <f>IF(C29="","",IFERROR(INDEX(Services!$P$5:$P$64,MATCH(C29,Services!$B$5:$B$64,0)),"0"))</f>
        <v>0</v>
      </c>
      <c r="K29" s="23">
        <f>IF(C29="","",IFERROR(INDEX(Services!$E$5:$E$64,MATCH(C29,Services!$B$5:$B$64,0)),""))</f>
        <v>0</v>
      </c>
      <c r="L29" s="21">
        <f>IF(B29="","",IF(F29&lt;&gt;"",F29,IFERROR(J29*1,0)))</f>
        <v>0</v>
      </c>
      <c r="M29" s="51">
        <f>IF(B29="","",IF(D29&lt;&gt;"",D29,IFERROR(INDEX(Services!$O$5:$O$64,MATCH(C29,Services!$B$5:$B$64,0)),"")))</f>
        <v>0</v>
      </c>
      <c r="N29" s="34">
        <f>IF(B29="","",IFERROR(INDEX(Services!$G$5:$G$64,MATCH(C29,Services!$B$5:$B$64,0)),0)*IF(E29="",1,IF(IFERROR(INDEX(Services!$D$5:$D$64,MATCH(C29,Services!$B$5:$B$64,0)),"")="Per hour",1,E29)))</f>
        <v>0</v>
      </c>
      <c r="O29" s="21">
        <f>IF(B29="","",ROUND(IF(E29="",1,E29)*L29,2))</f>
        <v>0</v>
      </c>
      <c r="P29" s="21">
        <f>IF(B29="","",ROUND(O29*(1-IF(G29="",0,G29)),2))</f>
        <v>0</v>
      </c>
      <c r="Q29" s="21">
        <f>IF(B29="","",ROUND(N29*CostPerHour+IF(E29="",1,E29)*IFERROR(INDEX(Services!$R$5:$R$64,MATCH(C29,Services!$B$5:$B$64,0)),0),2))</f>
        <v>0</v>
      </c>
      <c r="R29" s="38">
        <f>IF(OR(B29="",P29=0),"",(P29-Q29)/P29)</f>
        <v>0</v>
      </c>
      <c r="S29" s="31">
        <f>IF(OR(B29="",C29=""),"",COUNTIFS($B$5:B29,B29))</f>
        <v>0</v>
      </c>
      <c r="T29" s="23">
        <f>IF(S29="","",B29&amp;"|"&amp;S29)</f>
        <v>0</v>
      </c>
      <c r="U29" s="39">
        <f>IF(B29="","",IF(C29="","Add - pick a service",IF(E29="","Add - how many?",IF(L29=0,"Add - no price",IF(AND(R29&lt;&gt;"",R29&lt;MarginFloor),"Below - thin margin","OK")))))</f>
        <v>0</v>
      </c>
    </row>
    <row r="30" spans="1:21">
      <c r="A30" s="43">
        <f>IF(B30="","","QL-"&amp;TEXT(ROW()-4,"0000"))</f>
        <v>0</v>
      </c>
      <c r="J30" s="21">
        <f>IF(C30="","",IFERROR(INDEX(Services!$P$5:$P$64,MATCH(C30,Services!$B$5:$B$64,0)),"0"))</f>
        <v>0</v>
      </c>
      <c r="K30" s="23">
        <f>IF(C30="","",IFERROR(INDEX(Services!$E$5:$E$64,MATCH(C30,Services!$B$5:$B$64,0)),""))</f>
        <v>0</v>
      </c>
      <c r="L30" s="21">
        <f>IF(B30="","",IF(F30&lt;&gt;"",F30,IFERROR(J30*1,0)))</f>
        <v>0</v>
      </c>
      <c r="M30" s="51">
        <f>IF(B30="","",IF(D30&lt;&gt;"",D30,IFERROR(INDEX(Services!$O$5:$O$64,MATCH(C30,Services!$B$5:$B$64,0)),"")))</f>
        <v>0</v>
      </c>
      <c r="N30" s="34">
        <f>IF(B30="","",IFERROR(INDEX(Services!$G$5:$G$64,MATCH(C30,Services!$B$5:$B$64,0)),0)*IF(E30="",1,IF(IFERROR(INDEX(Services!$D$5:$D$64,MATCH(C30,Services!$B$5:$B$64,0)),"")="Per hour",1,E30)))</f>
        <v>0</v>
      </c>
      <c r="O30" s="21">
        <f>IF(B30="","",ROUND(IF(E30="",1,E30)*L30,2))</f>
        <v>0</v>
      </c>
      <c r="P30" s="21">
        <f>IF(B30="","",ROUND(O30*(1-IF(G30="",0,G30)),2))</f>
        <v>0</v>
      </c>
      <c r="Q30" s="21">
        <f>IF(B30="","",ROUND(N30*CostPerHour+IF(E30="",1,E30)*IFERROR(INDEX(Services!$R$5:$R$64,MATCH(C30,Services!$B$5:$B$64,0)),0),2))</f>
        <v>0</v>
      </c>
      <c r="R30" s="38">
        <f>IF(OR(B30="",P30=0),"",(P30-Q30)/P30)</f>
        <v>0</v>
      </c>
      <c r="S30" s="31">
        <f>IF(OR(B30="",C30=""),"",COUNTIFS($B$5:B30,B30))</f>
        <v>0</v>
      </c>
      <c r="T30" s="23">
        <f>IF(S30="","",B30&amp;"|"&amp;S30)</f>
        <v>0</v>
      </c>
      <c r="U30" s="39">
        <f>IF(B30="","",IF(C30="","Add - pick a service",IF(E30="","Add - how many?",IF(L30=0,"Add - no price",IF(AND(R30&lt;&gt;"",R30&lt;MarginFloor),"Below - thin margin","OK")))))</f>
        <v>0</v>
      </c>
    </row>
    <row r="31" spans="1:21">
      <c r="A31" s="43">
        <f>IF(B31="","","QL-"&amp;TEXT(ROW()-4,"0000"))</f>
        <v>0</v>
      </c>
      <c r="J31" s="21">
        <f>IF(C31="","",IFERROR(INDEX(Services!$P$5:$P$64,MATCH(C31,Services!$B$5:$B$64,0)),"0"))</f>
        <v>0</v>
      </c>
      <c r="K31" s="23">
        <f>IF(C31="","",IFERROR(INDEX(Services!$E$5:$E$64,MATCH(C31,Services!$B$5:$B$64,0)),""))</f>
        <v>0</v>
      </c>
      <c r="L31" s="21">
        <f>IF(B31="","",IF(F31&lt;&gt;"",F31,IFERROR(J31*1,0)))</f>
        <v>0</v>
      </c>
      <c r="M31" s="51">
        <f>IF(B31="","",IF(D31&lt;&gt;"",D31,IFERROR(INDEX(Services!$O$5:$O$64,MATCH(C31,Services!$B$5:$B$64,0)),"")))</f>
        <v>0</v>
      </c>
      <c r="N31" s="34">
        <f>IF(B31="","",IFERROR(INDEX(Services!$G$5:$G$64,MATCH(C31,Services!$B$5:$B$64,0)),0)*IF(E31="",1,IF(IFERROR(INDEX(Services!$D$5:$D$64,MATCH(C31,Services!$B$5:$B$64,0)),"")="Per hour",1,E31)))</f>
        <v>0</v>
      </c>
      <c r="O31" s="21">
        <f>IF(B31="","",ROUND(IF(E31="",1,E31)*L31,2))</f>
        <v>0</v>
      </c>
      <c r="P31" s="21">
        <f>IF(B31="","",ROUND(O31*(1-IF(G31="",0,G31)),2))</f>
        <v>0</v>
      </c>
      <c r="Q31" s="21">
        <f>IF(B31="","",ROUND(N31*CostPerHour+IF(E31="",1,E31)*IFERROR(INDEX(Services!$R$5:$R$64,MATCH(C31,Services!$B$5:$B$64,0)),0),2))</f>
        <v>0</v>
      </c>
      <c r="R31" s="38">
        <f>IF(OR(B31="",P31=0),"",(P31-Q31)/P31)</f>
        <v>0</v>
      </c>
      <c r="S31" s="31">
        <f>IF(OR(B31="",C31=""),"",COUNTIFS($B$5:B31,B31))</f>
        <v>0</v>
      </c>
      <c r="T31" s="23">
        <f>IF(S31="","",B31&amp;"|"&amp;S31)</f>
        <v>0</v>
      </c>
      <c r="U31" s="39">
        <f>IF(B31="","",IF(C31="","Add - pick a service",IF(E31="","Add - how many?",IF(L31=0,"Add - no price",IF(AND(R31&lt;&gt;"",R31&lt;MarginFloor),"Below - thin margin","OK")))))</f>
        <v>0</v>
      </c>
    </row>
    <row r="32" spans="1:21">
      <c r="A32" s="43">
        <f>IF(B32="","","QL-"&amp;TEXT(ROW()-4,"0000"))</f>
        <v>0</v>
      </c>
      <c r="J32" s="21">
        <f>IF(C32="","",IFERROR(INDEX(Services!$P$5:$P$64,MATCH(C32,Services!$B$5:$B$64,0)),"0"))</f>
        <v>0</v>
      </c>
      <c r="K32" s="23">
        <f>IF(C32="","",IFERROR(INDEX(Services!$E$5:$E$64,MATCH(C32,Services!$B$5:$B$64,0)),""))</f>
        <v>0</v>
      </c>
      <c r="L32" s="21">
        <f>IF(B32="","",IF(F32&lt;&gt;"",F32,IFERROR(J32*1,0)))</f>
        <v>0</v>
      </c>
      <c r="M32" s="51">
        <f>IF(B32="","",IF(D32&lt;&gt;"",D32,IFERROR(INDEX(Services!$O$5:$O$64,MATCH(C32,Services!$B$5:$B$64,0)),"")))</f>
        <v>0</v>
      </c>
      <c r="N32" s="34">
        <f>IF(B32="","",IFERROR(INDEX(Services!$G$5:$G$64,MATCH(C32,Services!$B$5:$B$64,0)),0)*IF(E32="",1,IF(IFERROR(INDEX(Services!$D$5:$D$64,MATCH(C32,Services!$B$5:$B$64,0)),"")="Per hour",1,E32)))</f>
        <v>0</v>
      </c>
      <c r="O32" s="21">
        <f>IF(B32="","",ROUND(IF(E32="",1,E32)*L32,2))</f>
        <v>0</v>
      </c>
      <c r="P32" s="21">
        <f>IF(B32="","",ROUND(O32*(1-IF(G32="",0,G32)),2))</f>
        <v>0</v>
      </c>
      <c r="Q32" s="21">
        <f>IF(B32="","",ROUND(N32*CostPerHour+IF(E32="",1,E32)*IFERROR(INDEX(Services!$R$5:$R$64,MATCH(C32,Services!$B$5:$B$64,0)),0),2))</f>
        <v>0</v>
      </c>
      <c r="R32" s="38">
        <f>IF(OR(B32="",P32=0),"",(P32-Q32)/P32)</f>
        <v>0</v>
      </c>
      <c r="S32" s="31">
        <f>IF(OR(B32="",C32=""),"",COUNTIFS($B$5:B32,B32))</f>
        <v>0</v>
      </c>
      <c r="T32" s="23">
        <f>IF(S32="","",B32&amp;"|"&amp;S32)</f>
        <v>0</v>
      </c>
      <c r="U32" s="39">
        <f>IF(B32="","",IF(C32="","Add - pick a service",IF(E32="","Add - how many?",IF(L32=0,"Add - no price",IF(AND(R32&lt;&gt;"",R32&lt;MarginFloor),"Below - thin margin","OK")))))</f>
        <v>0</v>
      </c>
    </row>
    <row r="33" spans="1:21">
      <c r="A33" s="43">
        <f>IF(B33="","","QL-"&amp;TEXT(ROW()-4,"0000"))</f>
        <v>0</v>
      </c>
      <c r="J33" s="21">
        <f>IF(C33="","",IFERROR(INDEX(Services!$P$5:$P$64,MATCH(C33,Services!$B$5:$B$64,0)),"0"))</f>
        <v>0</v>
      </c>
      <c r="K33" s="23">
        <f>IF(C33="","",IFERROR(INDEX(Services!$E$5:$E$64,MATCH(C33,Services!$B$5:$B$64,0)),""))</f>
        <v>0</v>
      </c>
      <c r="L33" s="21">
        <f>IF(B33="","",IF(F33&lt;&gt;"",F33,IFERROR(J33*1,0)))</f>
        <v>0</v>
      </c>
      <c r="M33" s="51">
        <f>IF(B33="","",IF(D33&lt;&gt;"",D33,IFERROR(INDEX(Services!$O$5:$O$64,MATCH(C33,Services!$B$5:$B$64,0)),"")))</f>
        <v>0</v>
      </c>
      <c r="N33" s="34">
        <f>IF(B33="","",IFERROR(INDEX(Services!$G$5:$G$64,MATCH(C33,Services!$B$5:$B$64,0)),0)*IF(E33="",1,IF(IFERROR(INDEX(Services!$D$5:$D$64,MATCH(C33,Services!$B$5:$B$64,0)),"")="Per hour",1,E33)))</f>
        <v>0</v>
      </c>
      <c r="O33" s="21">
        <f>IF(B33="","",ROUND(IF(E33="",1,E33)*L33,2))</f>
        <v>0</v>
      </c>
      <c r="P33" s="21">
        <f>IF(B33="","",ROUND(O33*(1-IF(G33="",0,G33)),2))</f>
        <v>0</v>
      </c>
      <c r="Q33" s="21">
        <f>IF(B33="","",ROUND(N33*CostPerHour+IF(E33="",1,E33)*IFERROR(INDEX(Services!$R$5:$R$64,MATCH(C33,Services!$B$5:$B$64,0)),0),2))</f>
        <v>0</v>
      </c>
      <c r="R33" s="38">
        <f>IF(OR(B33="",P33=0),"",(P33-Q33)/P33)</f>
        <v>0</v>
      </c>
      <c r="S33" s="31">
        <f>IF(OR(B33="",C33=""),"",COUNTIFS($B$5:B33,B33))</f>
        <v>0</v>
      </c>
      <c r="T33" s="23">
        <f>IF(S33="","",B33&amp;"|"&amp;S33)</f>
        <v>0</v>
      </c>
      <c r="U33" s="39">
        <f>IF(B33="","",IF(C33="","Add - pick a service",IF(E33="","Add - how many?",IF(L33=0,"Add - no price",IF(AND(R33&lt;&gt;"",R33&lt;MarginFloor),"Below - thin margin","OK")))))</f>
        <v>0</v>
      </c>
    </row>
    <row r="34" spans="1:21">
      <c r="A34" s="43">
        <f>IF(B34="","","QL-"&amp;TEXT(ROW()-4,"0000"))</f>
        <v>0</v>
      </c>
      <c r="J34" s="21">
        <f>IF(C34="","",IFERROR(INDEX(Services!$P$5:$P$64,MATCH(C34,Services!$B$5:$B$64,0)),"0"))</f>
        <v>0</v>
      </c>
      <c r="K34" s="23">
        <f>IF(C34="","",IFERROR(INDEX(Services!$E$5:$E$64,MATCH(C34,Services!$B$5:$B$64,0)),""))</f>
        <v>0</v>
      </c>
      <c r="L34" s="21">
        <f>IF(B34="","",IF(F34&lt;&gt;"",F34,IFERROR(J34*1,0)))</f>
        <v>0</v>
      </c>
      <c r="M34" s="51">
        <f>IF(B34="","",IF(D34&lt;&gt;"",D34,IFERROR(INDEX(Services!$O$5:$O$64,MATCH(C34,Services!$B$5:$B$64,0)),"")))</f>
        <v>0</v>
      </c>
      <c r="N34" s="34">
        <f>IF(B34="","",IFERROR(INDEX(Services!$G$5:$G$64,MATCH(C34,Services!$B$5:$B$64,0)),0)*IF(E34="",1,IF(IFERROR(INDEX(Services!$D$5:$D$64,MATCH(C34,Services!$B$5:$B$64,0)),"")="Per hour",1,E34)))</f>
        <v>0</v>
      </c>
      <c r="O34" s="21">
        <f>IF(B34="","",ROUND(IF(E34="",1,E34)*L34,2))</f>
        <v>0</v>
      </c>
      <c r="P34" s="21">
        <f>IF(B34="","",ROUND(O34*(1-IF(G34="",0,G34)),2))</f>
        <v>0</v>
      </c>
      <c r="Q34" s="21">
        <f>IF(B34="","",ROUND(N34*CostPerHour+IF(E34="",1,E34)*IFERROR(INDEX(Services!$R$5:$R$64,MATCH(C34,Services!$B$5:$B$64,0)),0),2))</f>
        <v>0</v>
      </c>
      <c r="R34" s="38">
        <f>IF(OR(B34="",P34=0),"",(P34-Q34)/P34)</f>
        <v>0</v>
      </c>
      <c r="S34" s="31">
        <f>IF(OR(B34="",C34=""),"",COUNTIFS($B$5:B34,B34))</f>
        <v>0</v>
      </c>
      <c r="T34" s="23">
        <f>IF(S34="","",B34&amp;"|"&amp;S34)</f>
        <v>0</v>
      </c>
      <c r="U34" s="39">
        <f>IF(B34="","",IF(C34="","Add - pick a service",IF(E34="","Add - how many?",IF(L34=0,"Add - no price",IF(AND(R34&lt;&gt;"",R34&lt;MarginFloor),"Below - thin margin","OK")))))</f>
        <v>0</v>
      </c>
    </row>
    <row r="35" spans="1:21">
      <c r="A35" s="43">
        <f>IF(B35="","","QL-"&amp;TEXT(ROW()-4,"0000"))</f>
        <v>0</v>
      </c>
      <c r="J35" s="21">
        <f>IF(C35="","",IFERROR(INDEX(Services!$P$5:$P$64,MATCH(C35,Services!$B$5:$B$64,0)),"0"))</f>
        <v>0</v>
      </c>
      <c r="K35" s="23">
        <f>IF(C35="","",IFERROR(INDEX(Services!$E$5:$E$64,MATCH(C35,Services!$B$5:$B$64,0)),""))</f>
        <v>0</v>
      </c>
      <c r="L35" s="21">
        <f>IF(B35="","",IF(F35&lt;&gt;"",F35,IFERROR(J35*1,0)))</f>
        <v>0</v>
      </c>
      <c r="M35" s="51">
        <f>IF(B35="","",IF(D35&lt;&gt;"",D35,IFERROR(INDEX(Services!$O$5:$O$64,MATCH(C35,Services!$B$5:$B$64,0)),"")))</f>
        <v>0</v>
      </c>
      <c r="N35" s="34">
        <f>IF(B35="","",IFERROR(INDEX(Services!$G$5:$G$64,MATCH(C35,Services!$B$5:$B$64,0)),0)*IF(E35="",1,IF(IFERROR(INDEX(Services!$D$5:$D$64,MATCH(C35,Services!$B$5:$B$64,0)),"")="Per hour",1,E35)))</f>
        <v>0</v>
      </c>
      <c r="O35" s="21">
        <f>IF(B35="","",ROUND(IF(E35="",1,E35)*L35,2))</f>
        <v>0</v>
      </c>
      <c r="P35" s="21">
        <f>IF(B35="","",ROUND(O35*(1-IF(G35="",0,G35)),2))</f>
        <v>0</v>
      </c>
      <c r="Q35" s="21">
        <f>IF(B35="","",ROUND(N35*CostPerHour+IF(E35="",1,E35)*IFERROR(INDEX(Services!$R$5:$R$64,MATCH(C35,Services!$B$5:$B$64,0)),0),2))</f>
        <v>0</v>
      </c>
      <c r="R35" s="38">
        <f>IF(OR(B35="",P35=0),"",(P35-Q35)/P35)</f>
        <v>0</v>
      </c>
      <c r="S35" s="31">
        <f>IF(OR(B35="",C35=""),"",COUNTIFS($B$5:B35,B35))</f>
        <v>0</v>
      </c>
      <c r="T35" s="23">
        <f>IF(S35="","",B35&amp;"|"&amp;S35)</f>
        <v>0</v>
      </c>
      <c r="U35" s="39">
        <f>IF(B35="","",IF(C35="","Add - pick a service",IF(E35="","Add - how many?",IF(L35=0,"Add - no price",IF(AND(R35&lt;&gt;"",R35&lt;MarginFloor),"Below - thin margin","OK")))))</f>
        <v>0</v>
      </c>
    </row>
    <row r="36" spans="1:21">
      <c r="A36" s="43">
        <f>IF(B36="","","QL-"&amp;TEXT(ROW()-4,"0000"))</f>
        <v>0</v>
      </c>
      <c r="J36" s="21">
        <f>IF(C36="","",IFERROR(INDEX(Services!$P$5:$P$64,MATCH(C36,Services!$B$5:$B$64,0)),"0"))</f>
        <v>0</v>
      </c>
      <c r="K36" s="23">
        <f>IF(C36="","",IFERROR(INDEX(Services!$E$5:$E$64,MATCH(C36,Services!$B$5:$B$64,0)),""))</f>
        <v>0</v>
      </c>
      <c r="L36" s="21">
        <f>IF(B36="","",IF(F36&lt;&gt;"",F36,IFERROR(J36*1,0)))</f>
        <v>0</v>
      </c>
      <c r="M36" s="51">
        <f>IF(B36="","",IF(D36&lt;&gt;"",D36,IFERROR(INDEX(Services!$O$5:$O$64,MATCH(C36,Services!$B$5:$B$64,0)),"")))</f>
        <v>0</v>
      </c>
      <c r="N36" s="34">
        <f>IF(B36="","",IFERROR(INDEX(Services!$G$5:$G$64,MATCH(C36,Services!$B$5:$B$64,0)),0)*IF(E36="",1,IF(IFERROR(INDEX(Services!$D$5:$D$64,MATCH(C36,Services!$B$5:$B$64,0)),"")="Per hour",1,E36)))</f>
        <v>0</v>
      </c>
      <c r="O36" s="21">
        <f>IF(B36="","",ROUND(IF(E36="",1,E36)*L36,2))</f>
        <v>0</v>
      </c>
      <c r="P36" s="21">
        <f>IF(B36="","",ROUND(O36*(1-IF(G36="",0,G36)),2))</f>
        <v>0</v>
      </c>
      <c r="Q36" s="21">
        <f>IF(B36="","",ROUND(N36*CostPerHour+IF(E36="",1,E36)*IFERROR(INDEX(Services!$R$5:$R$64,MATCH(C36,Services!$B$5:$B$64,0)),0),2))</f>
        <v>0</v>
      </c>
      <c r="R36" s="38">
        <f>IF(OR(B36="",P36=0),"",(P36-Q36)/P36)</f>
        <v>0</v>
      </c>
      <c r="S36" s="31">
        <f>IF(OR(B36="",C36=""),"",COUNTIFS($B$5:B36,B36))</f>
        <v>0</v>
      </c>
      <c r="T36" s="23">
        <f>IF(S36="","",B36&amp;"|"&amp;S36)</f>
        <v>0</v>
      </c>
      <c r="U36" s="39">
        <f>IF(B36="","",IF(C36="","Add - pick a service",IF(E36="","Add - how many?",IF(L36=0,"Add - no price",IF(AND(R36&lt;&gt;"",R36&lt;MarginFloor),"Below - thin margin","OK")))))</f>
        <v>0</v>
      </c>
    </row>
    <row r="37" spans="1:21">
      <c r="A37" s="43">
        <f>IF(B37="","","QL-"&amp;TEXT(ROW()-4,"0000"))</f>
        <v>0</v>
      </c>
      <c r="J37" s="21">
        <f>IF(C37="","",IFERROR(INDEX(Services!$P$5:$P$64,MATCH(C37,Services!$B$5:$B$64,0)),"0"))</f>
        <v>0</v>
      </c>
      <c r="K37" s="23">
        <f>IF(C37="","",IFERROR(INDEX(Services!$E$5:$E$64,MATCH(C37,Services!$B$5:$B$64,0)),""))</f>
        <v>0</v>
      </c>
      <c r="L37" s="21">
        <f>IF(B37="","",IF(F37&lt;&gt;"",F37,IFERROR(J37*1,0)))</f>
        <v>0</v>
      </c>
      <c r="M37" s="51">
        <f>IF(B37="","",IF(D37&lt;&gt;"",D37,IFERROR(INDEX(Services!$O$5:$O$64,MATCH(C37,Services!$B$5:$B$64,0)),"")))</f>
        <v>0</v>
      </c>
      <c r="N37" s="34">
        <f>IF(B37="","",IFERROR(INDEX(Services!$G$5:$G$64,MATCH(C37,Services!$B$5:$B$64,0)),0)*IF(E37="",1,IF(IFERROR(INDEX(Services!$D$5:$D$64,MATCH(C37,Services!$B$5:$B$64,0)),"")="Per hour",1,E37)))</f>
        <v>0</v>
      </c>
      <c r="O37" s="21">
        <f>IF(B37="","",ROUND(IF(E37="",1,E37)*L37,2))</f>
        <v>0</v>
      </c>
      <c r="P37" s="21">
        <f>IF(B37="","",ROUND(O37*(1-IF(G37="",0,G37)),2))</f>
        <v>0</v>
      </c>
      <c r="Q37" s="21">
        <f>IF(B37="","",ROUND(N37*CostPerHour+IF(E37="",1,E37)*IFERROR(INDEX(Services!$R$5:$R$64,MATCH(C37,Services!$B$5:$B$64,0)),0),2))</f>
        <v>0</v>
      </c>
      <c r="R37" s="38">
        <f>IF(OR(B37="",P37=0),"",(P37-Q37)/P37)</f>
        <v>0</v>
      </c>
      <c r="S37" s="31">
        <f>IF(OR(B37="",C37=""),"",COUNTIFS($B$5:B37,B37))</f>
        <v>0</v>
      </c>
      <c r="T37" s="23">
        <f>IF(S37="","",B37&amp;"|"&amp;S37)</f>
        <v>0</v>
      </c>
      <c r="U37" s="39">
        <f>IF(B37="","",IF(C37="","Add - pick a service",IF(E37="","Add - how many?",IF(L37=0,"Add - no price",IF(AND(R37&lt;&gt;"",R37&lt;MarginFloor),"Below - thin margin","OK")))))</f>
        <v>0</v>
      </c>
    </row>
    <row r="38" spans="1:21">
      <c r="A38" s="43">
        <f>IF(B38="","","QL-"&amp;TEXT(ROW()-4,"0000"))</f>
        <v>0</v>
      </c>
      <c r="J38" s="21">
        <f>IF(C38="","",IFERROR(INDEX(Services!$P$5:$P$64,MATCH(C38,Services!$B$5:$B$64,0)),"0"))</f>
        <v>0</v>
      </c>
      <c r="K38" s="23">
        <f>IF(C38="","",IFERROR(INDEX(Services!$E$5:$E$64,MATCH(C38,Services!$B$5:$B$64,0)),""))</f>
        <v>0</v>
      </c>
      <c r="L38" s="21">
        <f>IF(B38="","",IF(F38&lt;&gt;"",F38,IFERROR(J38*1,0)))</f>
        <v>0</v>
      </c>
      <c r="M38" s="51">
        <f>IF(B38="","",IF(D38&lt;&gt;"",D38,IFERROR(INDEX(Services!$O$5:$O$64,MATCH(C38,Services!$B$5:$B$64,0)),"")))</f>
        <v>0</v>
      </c>
      <c r="N38" s="34">
        <f>IF(B38="","",IFERROR(INDEX(Services!$G$5:$G$64,MATCH(C38,Services!$B$5:$B$64,0)),0)*IF(E38="",1,IF(IFERROR(INDEX(Services!$D$5:$D$64,MATCH(C38,Services!$B$5:$B$64,0)),"")="Per hour",1,E38)))</f>
        <v>0</v>
      </c>
      <c r="O38" s="21">
        <f>IF(B38="","",ROUND(IF(E38="",1,E38)*L38,2))</f>
        <v>0</v>
      </c>
      <c r="P38" s="21">
        <f>IF(B38="","",ROUND(O38*(1-IF(G38="",0,G38)),2))</f>
        <v>0</v>
      </c>
      <c r="Q38" s="21">
        <f>IF(B38="","",ROUND(N38*CostPerHour+IF(E38="",1,E38)*IFERROR(INDEX(Services!$R$5:$R$64,MATCH(C38,Services!$B$5:$B$64,0)),0),2))</f>
        <v>0</v>
      </c>
      <c r="R38" s="38">
        <f>IF(OR(B38="",P38=0),"",(P38-Q38)/P38)</f>
        <v>0</v>
      </c>
      <c r="S38" s="31">
        <f>IF(OR(B38="",C38=""),"",COUNTIFS($B$5:B38,B38))</f>
        <v>0</v>
      </c>
      <c r="T38" s="23">
        <f>IF(S38="","",B38&amp;"|"&amp;S38)</f>
        <v>0</v>
      </c>
      <c r="U38" s="39">
        <f>IF(B38="","",IF(C38="","Add - pick a service",IF(E38="","Add - how many?",IF(L38=0,"Add - no price",IF(AND(R38&lt;&gt;"",R38&lt;MarginFloor),"Below - thin margin","OK")))))</f>
        <v>0</v>
      </c>
    </row>
    <row r="39" spans="1:21">
      <c r="A39" s="43">
        <f>IF(B39="","","QL-"&amp;TEXT(ROW()-4,"0000"))</f>
        <v>0</v>
      </c>
      <c r="J39" s="21">
        <f>IF(C39="","",IFERROR(INDEX(Services!$P$5:$P$64,MATCH(C39,Services!$B$5:$B$64,0)),"0"))</f>
        <v>0</v>
      </c>
      <c r="K39" s="23">
        <f>IF(C39="","",IFERROR(INDEX(Services!$E$5:$E$64,MATCH(C39,Services!$B$5:$B$64,0)),""))</f>
        <v>0</v>
      </c>
      <c r="L39" s="21">
        <f>IF(B39="","",IF(F39&lt;&gt;"",F39,IFERROR(J39*1,0)))</f>
        <v>0</v>
      </c>
      <c r="M39" s="51">
        <f>IF(B39="","",IF(D39&lt;&gt;"",D39,IFERROR(INDEX(Services!$O$5:$O$64,MATCH(C39,Services!$B$5:$B$64,0)),"")))</f>
        <v>0</v>
      </c>
      <c r="N39" s="34">
        <f>IF(B39="","",IFERROR(INDEX(Services!$G$5:$G$64,MATCH(C39,Services!$B$5:$B$64,0)),0)*IF(E39="",1,IF(IFERROR(INDEX(Services!$D$5:$D$64,MATCH(C39,Services!$B$5:$B$64,0)),"")="Per hour",1,E39)))</f>
        <v>0</v>
      </c>
      <c r="O39" s="21">
        <f>IF(B39="","",ROUND(IF(E39="",1,E39)*L39,2))</f>
        <v>0</v>
      </c>
      <c r="P39" s="21">
        <f>IF(B39="","",ROUND(O39*(1-IF(G39="",0,G39)),2))</f>
        <v>0</v>
      </c>
      <c r="Q39" s="21">
        <f>IF(B39="","",ROUND(N39*CostPerHour+IF(E39="",1,E39)*IFERROR(INDEX(Services!$R$5:$R$64,MATCH(C39,Services!$B$5:$B$64,0)),0),2))</f>
        <v>0</v>
      </c>
      <c r="R39" s="38">
        <f>IF(OR(B39="",P39=0),"",(P39-Q39)/P39)</f>
        <v>0</v>
      </c>
      <c r="S39" s="31">
        <f>IF(OR(B39="",C39=""),"",COUNTIFS($B$5:B39,B39))</f>
        <v>0</v>
      </c>
      <c r="T39" s="23">
        <f>IF(S39="","",B39&amp;"|"&amp;S39)</f>
        <v>0</v>
      </c>
      <c r="U39" s="39">
        <f>IF(B39="","",IF(C39="","Add - pick a service",IF(E39="","Add - how many?",IF(L39=0,"Add - no price",IF(AND(R39&lt;&gt;"",R39&lt;MarginFloor),"Below - thin margin","OK")))))</f>
        <v>0</v>
      </c>
    </row>
    <row r="40" spans="1:21">
      <c r="A40" s="43">
        <f>IF(B40="","","QL-"&amp;TEXT(ROW()-4,"0000"))</f>
        <v>0</v>
      </c>
      <c r="J40" s="21">
        <f>IF(C40="","",IFERROR(INDEX(Services!$P$5:$P$64,MATCH(C40,Services!$B$5:$B$64,0)),"0"))</f>
        <v>0</v>
      </c>
      <c r="K40" s="23">
        <f>IF(C40="","",IFERROR(INDEX(Services!$E$5:$E$64,MATCH(C40,Services!$B$5:$B$64,0)),""))</f>
        <v>0</v>
      </c>
      <c r="L40" s="21">
        <f>IF(B40="","",IF(F40&lt;&gt;"",F40,IFERROR(J40*1,0)))</f>
        <v>0</v>
      </c>
      <c r="M40" s="51">
        <f>IF(B40="","",IF(D40&lt;&gt;"",D40,IFERROR(INDEX(Services!$O$5:$O$64,MATCH(C40,Services!$B$5:$B$64,0)),"")))</f>
        <v>0</v>
      </c>
      <c r="N40" s="34">
        <f>IF(B40="","",IFERROR(INDEX(Services!$G$5:$G$64,MATCH(C40,Services!$B$5:$B$64,0)),0)*IF(E40="",1,IF(IFERROR(INDEX(Services!$D$5:$D$64,MATCH(C40,Services!$B$5:$B$64,0)),"")="Per hour",1,E40)))</f>
        <v>0</v>
      </c>
      <c r="O40" s="21">
        <f>IF(B40="","",ROUND(IF(E40="",1,E40)*L40,2))</f>
        <v>0</v>
      </c>
      <c r="P40" s="21">
        <f>IF(B40="","",ROUND(O40*(1-IF(G40="",0,G40)),2))</f>
        <v>0</v>
      </c>
      <c r="Q40" s="21">
        <f>IF(B40="","",ROUND(N40*CostPerHour+IF(E40="",1,E40)*IFERROR(INDEX(Services!$R$5:$R$64,MATCH(C40,Services!$B$5:$B$64,0)),0),2))</f>
        <v>0</v>
      </c>
      <c r="R40" s="38">
        <f>IF(OR(B40="",P40=0),"",(P40-Q40)/P40)</f>
        <v>0</v>
      </c>
      <c r="S40" s="31">
        <f>IF(OR(B40="",C40=""),"",COUNTIFS($B$5:B40,B40))</f>
        <v>0</v>
      </c>
      <c r="T40" s="23">
        <f>IF(S40="","",B40&amp;"|"&amp;S40)</f>
        <v>0</v>
      </c>
      <c r="U40" s="39">
        <f>IF(B40="","",IF(C40="","Add - pick a service",IF(E40="","Add - how many?",IF(L40=0,"Add - no price",IF(AND(R40&lt;&gt;"",R40&lt;MarginFloor),"Below - thin margin","OK")))))</f>
        <v>0</v>
      </c>
    </row>
    <row r="41" spans="1:21">
      <c r="A41" s="43">
        <f>IF(B41="","","QL-"&amp;TEXT(ROW()-4,"0000"))</f>
        <v>0</v>
      </c>
      <c r="J41" s="21">
        <f>IF(C41="","",IFERROR(INDEX(Services!$P$5:$P$64,MATCH(C41,Services!$B$5:$B$64,0)),"0"))</f>
        <v>0</v>
      </c>
      <c r="K41" s="23">
        <f>IF(C41="","",IFERROR(INDEX(Services!$E$5:$E$64,MATCH(C41,Services!$B$5:$B$64,0)),""))</f>
        <v>0</v>
      </c>
      <c r="L41" s="21">
        <f>IF(B41="","",IF(F41&lt;&gt;"",F41,IFERROR(J41*1,0)))</f>
        <v>0</v>
      </c>
      <c r="M41" s="51">
        <f>IF(B41="","",IF(D41&lt;&gt;"",D41,IFERROR(INDEX(Services!$O$5:$O$64,MATCH(C41,Services!$B$5:$B$64,0)),"")))</f>
        <v>0</v>
      </c>
      <c r="N41" s="34">
        <f>IF(B41="","",IFERROR(INDEX(Services!$G$5:$G$64,MATCH(C41,Services!$B$5:$B$64,0)),0)*IF(E41="",1,IF(IFERROR(INDEX(Services!$D$5:$D$64,MATCH(C41,Services!$B$5:$B$64,0)),"")="Per hour",1,E41)))</f>
        <v>0</v>
      </c>
      <c r="O41" s="21">
        <f>IF(B41="","",ROUND(IF(E41="",1,E41)*L41,2))</f>
        <v>0</v>
      </c>
      <c r="P41" s="21">
        <f>IF(B41="","",ROUND(O41*(1-IF(G41="",0,G41)),2))</f>
        <v>0</v>
      </c>
      <c r="Q41" s="21">
        <f>IF(B41="","",ROUND(N41*CostPerHour+IF(E41="",1,E41)*IFERROR(INDEX(Services!$R$5:$R$64,MATCH(C41,Services!$B$5:$B$64,0)),0),2))</f>
        <v>0</v>
      </c>
      <c r="R41" s="38">
        <f>IF(OR(B41="",P41=0),"",(P41-Q41)/P41)</f>
        <v>0</v>
      </c>
      <c r="S41" s="31">
        <f>IF(OR(B41="",C41=""),"",COUNTIFS($B$5:B41,B41))</f>
        <v>0</v>
      </c>
      <c r="T41" s="23">
        <f>IF(S41="","",B41&amp;"|"&amp;S41)</f>
        <v>0</v>
      </c>
      <c r="U41" s="39">
        <f>IF(B41="","",IF(C41="","Add - pick a service",IF(E41="","Add - how many?",IF(L41=0,"Add - no price",IF(AND(R41&lt;&gt;"",R41&lt;MarginFloor),"Below - thin margin","OK")))))</f>
        <v>0</v>
      </c>
    </row>
    <row r="42" spans="1:21">
      <c r="A42" s="43">
        <f>IF(B42="","","QL-"&amp;TEXT(ROW()-4,"0000"))</f>
        <v>0</v>
      </c>
      <c r="J42" s="21">
        <f>IF(C42="","",IFERROR(INDEX(Services!$P$5:$P$64,MATCH(C42,Services!$B$5:$B$64,0)),"0"))</f>
        <v>0</v>
      </c>
      <c r="K42" s="23">
        <f>IF(C42="","",IFERROR(INDEX(Services!$E$5:$E$64,MATCH(C42,Services!$B$5:$B$64,0)),""))</f>
        <v>0</v>
      </c>
      <c r="L42" s="21">
        <f>IF(B42="","",IF(F42&lt;&gt;"",F42,IFERROR(J42*1,0)))</f>
        <v>0</v>
      </c>
      <c r="M42" s="51">
        <f>IF(B42="","",IF(D42&lt;&gt;"",D42,IFERROR(INDEX(Services!$O$5:$O$64,MATCH(C42,Services!$B$5:$B$64,0)),"")))</f>
        <v>0</v>
      </c>
      <c r="N42" s="34">
        <f>IF(B42="","",IFERROR(INDEX(Services!$G$5:$G$64,MATCH(C42,Services!$B$5:$B$64,0)),0)*IF(E42="",1,IF(IFERROR(INDEX(Services!$D$5:$D$64,MATCH(C42,Services!$B$5:$B$64,0)),"")="Per hour",1,E42)))</f>
        <v>0</v>
      </c>
      <c r="O42" s="21">
        <f>IF(B42="","",ROUND(IF(E42="",1,E42)*L42,2))</f>
        <v>0</v>
      </c>
      <c r="P42" s="21">
        <f>IF(B42="","",ROUND(O42*(1-IF(G42="",0,G42)),2))</f>
        <v>0</v>
      </c>
      <c r="Q42" s="21">
        <f>IF(B42="","",ROUND(N42*CostPerHour+IF(E42="",1,E42)*IFERROR(INDEX(Services!$R$5:$R$64,MATCH(C42,Services!$B$5:$B$64,0)),0),2))</f>
        <v>0</v>
      </c>
      <c r="R42" s="38">
        <f>IF(OR(B42="",P42=0),"",(P42-Q42)/P42)</f>
        <v>0</v>
      </c>
      <c r="S42" s="31">
        <f>IF(OR(B42="",C42=""),"",COUNTIFS($B$5:B42,B42))</f>
        <v>0</v>
      </c>
      <c r="T42" s="23">
        <f>IF(S42="","",B42&amp;"|"&amp;S42)</f>
        <v>0</v>
      </c>
      <c r="U42" s="39">
        <f>IF(B42="","",IF(C42="","Add - pick a service",IF(E42="","Add - how many?",IF(L42=0,"Add - no price",IF(AND(R42&lt;&gt;"",R42&lt;MarginFloor),"Below - thin margin","OK")))))</f>
        <v>0</v>
      </c>
    </row>
    <row r="43" spans="1:21">
      <c r="A43" s="43">
        <f>IF(B43="","","QL-"&amp;TEXT(ROW()-4,"0000"))</f>
        <v>0</v>
      </c>
      <c r="J43" s="21">
        <f>IF(C43="","",IFERROR(INDEX(Services!$P$5:$P$64,MATCH(C43,Services!$B$5:$B$64,0)),"0"))</f>
        <v>0</v>
      </c>
      <c r="K43" s="23">
        <f>IF(C43="","",IFERROR(INDEX(Services!$E$5:$E$64,MATCH(C43,Services!$B$5:$B$64,0)),""))</f>
        <v>0</v>
      </c>
      <c r="L43" s="21">
        <f>IF(B43="","",IF(F43&lt;&gt;"",F43,IFERROR(J43*1,0)))</f>
        <v>0</v>
      </c>
      <c r="M43" s="51">
        <f>IF(B43="","",IF(D43&lt;&gt;"",D43,IFERROR(INDEX(Services!$O$5:$O$64,MATCH(C43,Services!$B$5:$B$64,0)),"")))</f>
        <v>0</v>
      </c>
      <c r="N43" s="34">
        <f>IF(B43="","",IFERROR(INDEX(Services!$G$5:$G$64,MATCH(C43,Services!$B$5:$B$64,0)),0)*IF(E43="",1,IF(IFERROR(INDEX(Services!$D$5:$D$64,MATCH(C43,Services!$B$5:$B$64,0)),"")="Per hour",1,E43)))</f>
        <v>0</v>
      </c>
      <c r="O43" s="21">
        <f>IF(B43="","",ROUND(IF(E43="",1,E43)*L43,2))</f>
        <v>0</v>
      </c>
      <c r="P43" s="21">
        <f>IF(B43="","",ROUND(O43*(1-IF(G43="",0,G43)),2))</f>
        <v>0</v>
      </c>
      <c r="Q43" s="21">
        <f>IF(B43="","",ROUND(N43*CostPerHour+IF(E43="",1,E43)*IFERROR(INDEX(Services!$R$5:$R$64,MATCH(C43,Services!$B$5:$B$64,0)),0),2))</f>
        <v>0</v>
      </c>
      <c r="R43" s="38">
        <f>IF(OR(B43="",P43=0),"",(P43-Q43)/P43)</f>
        <v>0</v>
      </c>
      <c r="S43" s="31">
        <f>IF(OR(B43="",C43=""),"",COUNTIFS($B$5:B43,B43))</f>
        <v>0</v>
      </c>
      <c r="T43" s="23">
        <f>IF(S43="","",B43&amp;"|"&amp;S43)</f>
        <v>0</v>
      </c>
      <c r="U43" s="39">
        <f>IF(B43="","",IF(C43="","Add - pick a service",IF(E43="","Add - how many?",IF(L43=0,"Add - no price",IF(AND(R43&lt;&gt;"",R43&lt;MarginFloor),"Below - thin margin","OK")))))</f>
        <v>0</v>
      </c>
    </row>
    <row r="44" spans="1:21">
      <c r="A44" s="43">
        <f>IF(B44="","","QL-"&amp;TEXT(ROW()-4,"0000"))</f>
        <v>0</v>
      </c>
      <c r="J44" s="21">
        <f>IF(C44="","",IFERROR(INDEX(Services!$P$5:$P$64,MATCH(C44,Services!$B$5:$B$64,0)),"0"))</f>
        <v>0</v>
      </c>
      <c r="K44" s="23">
        <f>IF(C44="","",IFERROR(INDEX(Services!$E$5:$E$64,MATCH(C44,Services!$B$5:$B$64,0)),""))</f>
        <v>0</v>
      </c>
      <c r="L44" s="21">
        <f>IF(B44="","",IF(F44&lt;&gt;"",F44,IFERROR(J44*1,0)))</f>
        <v>0</v>
      </c>
      <c r="M44" s="51">
        <f>IF(B44="","",IF(D44&lt;&gt;"",D44,IFERROR(INDEX(Services!$O$5:$O$64,MATCH(C44,Services!$B$5:$B$64,0)),"")))</f>
        <v>0</v>
      </c>
      <c r="N44" s="34">
        <f>IF(B44="","",IFERROR(INDEX(Services!$G$5:$G$64,MATCH(C44,Services!$B$5:$B$64,0)),0)*IF(E44="",1,IF(IFERROR(INDEX(Services!$D$5:$D$64,MATCH(C44,Services!$B$5:$B$64,0)),"")="Per hour",1,E44)))</f>
        <v>0</v>
      </c>
      <c r="O44" s="21">
        <f>IF(B44="","",ROUND(IF(E44="",1,E44)*L44,2))</f>
        <v>0</v>
      </c>
      <c r="P44" s="21">
        <f>IF(B44="","",ROUND(O44*(1-IF(G44="",0,G44)),2))</f>
        <v>0</v>
      </c>
      <c r="Q44" s="21">
        <f>IF(B44="","",ROUND(N44*CostPerHour+IF(E44="",1,E44)*IFERROR(INDEX(Services!$R$5:$R$64,MATCH(C44,Services!$B$5:$B$64,0)),0),2))</f>
        <v>0</v>
      </c>
      <c r="R44" s="38">
        <f>IF(OR(B44="",P44=0),"",(P44-Q44)/P44)</f>
        <v>0</v>
      </c>
      <c r="S44" s="31">
        <f>IF(OR(B44="",C44=""),"",COUNTIFS($B$5:B44,B44))</f>
        <v>0</v>
      </c>
      <c r="T44" s="23">
        <f>IF(S44="","",B44&amp;"|"&amp;S44)</f>
        <v>0</v>
      </c>
      <c r="U44" s="39">
        <f>IF(B44="","",IF(C44="","Add - pick a service",IF(E44="","Add - how many?",IF(L44=0,"Add - no price",IF(AND(R44&lt;&gt;"",R44&lt;MarginFloor),"Below - thin margin","OK")))))</f>
        <v>0</v>
      </c>
    </row>
    <row r="45" spans="1:21">
      <c r="A45" s="43">
        <f>IF(B45="","","QL-"&amp;TEXT(ROW()-4,"0000"))</f>
        <v>0</v>
      </c>
      <c r="J45" s="21">
        <f>IF(C45="","",IFERROR(INDEX(Services!$P$5:$P$64,MATCH(C45,Services!$B$5:$B$64,0)),"0"))</f>
        <v>0</v>
      </c>
      <c r="K45" s="23">
        <f>IF(C45="","",IFERROR(INDEX(Services!$E$5:$E$64,MATCH(C45,Services!$B$5:$B$64,0)),""))</f>
        <v>0</v>
      </c>
      <c r="L45" s="21">
        <f>IF(B45="","",IF(F45&lt;&gt;"",F45,IFERROR(J45*1,0)))</f>
        <v>0</v>
      </c>
      <c r="M45" s="51">
        <f>IF(B45="","",IF(D45&lt;&gt;"",D45,IFERROR(INDEX(Services!$O$5:$O$64,MATCH(C45,Services!$B$5:$B$64,0)),"")))</f>
        <v>0</v>
      </c>
      <c r="N45" s="34">
        <f>IF(B45="","",IFERROR(INDEX(Services!$G$5:$G$64,MATCH(C45,Services!$B$5:$B$64,0)),0)*IF(E45="",1,IF(IFERROR(INDEX(Services!$D$5:$D$64,MATCH(C45,Services!$B$5:$B$64,0)),"")="Per hour",1,E45)))</f>
        <v>0</v>
      </c>
      <c r="O45" s="21">
        <f>IF(B45="","",ROUND(IF(E45="",1,E45)*L45,2))</f>
        <v>0</v>
      </c>
      <c r="P45" s="21">
        <f>IF(B45="","",ROUND(O45*(1-IF(G45="",0,G45)),2))</f>
        <v>0</v>
      </c>
      <c r="Q45" s="21">
        <f>IF(B45="","",ROUND(N45*CostPerHour+IF(E45="",1,E45)*IFERROR(INDEX(Services!$R$5:$R$64,MATCH(C45,Services!$B$5:$B$64,0)),0),2))</f>
        <v>0</v>
      </c>
      <c r="R45" s="38">
        <f>IF(OR(B45="",P45=0),"",(P45-Q45)/P45)</f>
        <v>0</v>
      </c>
      <c r="S45" s="31">
        <f>IF(OR(B45="",C45=""),"",COUNTIFS($B$5:B45,B45))</f>
        <v>0</v>
      </c>
      <c r="T45" s="23">
        <f>IF(S45="","",B45&amp;"|"&amp;S45)</f>
        <v>0</v>
      </c>
      <c r="U45" s="39">
        <f>IF(B45="","",IF(C45="","Add - pick a service",IF(E45="","Add - how many?",IF(L45=0,"Add - no price",IF(AND(R45&lt;&gt;"",R45&lt;MarginFloor),"Below - thin margin","OK")))))</f>
        <v>0</v>
      </c>
    </row>
    <row r="46" spans="1:21">
      <c r="A46" s="43">
        <f>IF(B46="","","QL-"&amp;TEXT(ROW()-4,"0000"))</f>
        <v>0</v>
      </c>
      <c r="J46" s="21">
        <f>IF(C46="","",IFERROR(INDEX(Services!$P$5:$P$64,MATCH(C46,Services!$B$5:$B$64,0)),"0"))</f>
        <v>0</v>
      </c>
      <c r="K46" s="23">
        <f>IF(C46="","",IFERROR(INDEX(Services!$E$5:$E$64,MATCH(C46,Services!$B$5:$B$64,0)),""))</f>
        <v>0</v>
      </c>
      <c r="L46" s="21">
        <f>IF(B46="","",IF(F46&lt;&gt;"",F46,IFERROR(J46*1,0)))</f>
        <v>0</v>
      </c>
      <c r="M46" s="51">
        <f>IF(B46="","",IF(D46&lt;&gt;"",D46,IFERROR(INDEX(Services!$O$5:$O$64,MATCH(C46,Services!$B$5:$B$64,0)),"")))</f>
        <v>0</v>
      </c>
      <c r="N46" s="34">
        <f>IF(B46="","",IFERROR(INDEX(Services!$G$5:$G$64,MATCH(C46,Services!$B$5:$B$64,0)),0)*IF(E46="",1,IF(IFERROR(INDEX(Services!$D$5:$D$64,MATCH(C46,Services!$B$5:$B$64,0)),"")="Per hour",1,E46)))</f>
        <v>0</v>
      </c>
      <c r="O46" s="21">
        <f>IF(B46="","",ROUND(IF(E46="",1,E46)*L46,2))</f>
        <v>0</v>
      </c>
      <c r="P46" s="21">
        <f>IF(B46="","",ROUND(O46*(1-IF(G46="",0,G46)),2))</f>
        <v>0</v>
      </c>
      <c r="Q46" s="21">
        <f>IF(B46="","",ROUND(N46*CostPerHour+IF(E46="",1,E46)*IFERROR(INDEX(Services!$R$5:$R$64,MATCH(C46,Services!$B$5:$B$64,0)),0),2))</f>
        <v>0</v>
      </c>
      <c r="R46" s="38">
        <f>IF(OR(B46="",P46=0),"",(P46-Q46)/P46)</f>
        <v>0</v>
      </c>
      <c r="S46" s="31">
        <f>IF(OR(B46="",C46=""),"",COUNTIFS($B$5:B46,B46))</f>
        <v>0</v>
      </c>
      <c r="T46" s="23">
        <f>IF(S46="","",B46&amp;"|"&amp;S46)</f>
        <v>0</v>
      </c>
      <c r="U46" s="39">
        <f>IF(B46="","",IF(C46="","Add - pick a service",IF(E46="","Add - how many?",IF(L46=0,"Add - no price",IF(AND(R46&lt;&gt;"",R46&lt;MarginFloor),"Below - thin margin","OK")))))</f>
        <v>0</v>
      </c>
    </row>
    <row r="47" spans="1:21">
      <c r="A47" s="43">
        <f>IF(B47="","","QL-"&amp;TEXT(ROW()-4,"0000"))</f>
        <v>0</v>
      </c>
      <c r="J47" s="21">
        <f>IF(C47="","",IFERROR(INDEX(Services!$P$5:$P$64,MATCH(C47,Services!$B$5:$B$64,0)),"0"))</f>
        <v>0</v>
      </c>
      <c r="K47" s="23">
        <f>IF(C47="","",IFERROR(INDEX(Services!$E$5:$E$64,MATCH(C47,Services!$B$5:$B$64,0)),""))</f>
        <v>0</v>
      </c>
      <c r="L47" s="21">
        <f>IF(B47="","",IF(F47&lt;&gt;"",F47,IFERROR(J47*1,0)))</f>
        <v>0</v>
      </c>
      <c r="M47" s="51">
        <f>IF(B47="","",IF(D47&lt;&gt;"",D47,IFERROR(INDEX(Services!$O$5:$O$64,MATCH(C47,Services!$B$5:$B$64,0)),"")))</f>
        <v>0</v>
      </c>
      <c r="N47" s="34">
        <f>IF(B47="","",IFERROR(INDEX(Services!$G$5:$G$64,MATCH(C47,Services!$B$5:$B$64,0)),0)*IF(E47="",1,IF(IFERROR(INDEX(Services!$D$5:$D$64,MATCH(C47,Services!$B$5:$B$64,0)),"")="Per hour",1,E47)))</f>
        <v>0</v>
      </c>
      <c r="O47" s="21">
        <f>IF(B47="","",ROUND(IF(E47="",1,E47)*L47,2))</f>
        <v>0</v>
      </c>
      <c r="P47" s="21">
        <f>IF(B47="","",ROUND(O47*(1-IF(G47="",0,G47)),2))</f>
        <v>0</v>
      </c>
      <c r="Q47" s="21">
        <f>IF(B47="","",ROUND(N47*CostPerHour+IF(E47="",1,E47)*IFERROR(INDEX(Services!$R$5:$R$64,MATCH(C47,Services!$B$5:$B$64,0)),0),2))</f>
        <v>0</v>
      </c>
      <c r="R47" s="38">
        <f>IF(OR(B47="",P47=0),"",(P47-Q47)/P47)</f>
        <v>0</v>
      </c>
      <c r="S47" s="31">
        <f>IF(OR(B47="",C47=""),"",COUNTIFS($B$5:B47,B47))</f>
        <v>0</v>
      </c>
      <c r="T47" s="23">
        <f>IF(S47="","",B47&amp;"|"&amp;S47)</f>
        <v>0</v>
      </c>
      <c r="U47" s="39">
        <f>IF(B47="","",IF(C47="","Add - pick a service",IF(E47="","Add - how many?",IF(L47=0,"Add - no price",IF(AND(R47&lt;&gt;"",R47&lt;MarginFloor),"Below - thin margin","OK")))))</f>
        <v>0</v>
      </c>
    </row>
    <row r="48" spans="1:21">
      <c r="A48" s="43">
        <f>IF(B48="","","QL-"&amp;TEXT(ROW()-4,"0000"))</f>
        <v>0</v>
      </c>
      <c r="J48" s="21">
        <f>IF(C48="","",IFERROR(INDEX(Services!$P$5:$P$64,MATCH(C48,Services!$B$5:$B$64,0)),"0"))</f>
        <v>0</v>
      </c>
      <c r="K48" s="23">
        <f>IF(C48="","",IFERROR(INDEX(Services!$E$5:$E$64,MATCH(C48,Services!$B$5:$B$64,0)),""))</f>
        <v>0</v>
      </c>
      <c r="L48" s="21">
        <f>IF(B48="","",IF(F48&lt;&gt;"",F48,IFERROR(J48*1,0)))</f>
        <v>0</v>
      </c>
      <c r="M48" s="51">
        <f>IF(B48="","",IF(D48&lt;&gt;"",D48,IFERROR(INDEX(Services!$O$5:$O$64,MATCH(C48,Services!$B$5:$B$64,0)),"")))</f>
        <v>0</v>
      </c>
      <c r="N48" s="34">
        <f>IF(B48="","",IFERROR(INDEX(Services!$G$5:$G$64,MATCH(C48,Services!$B$5:$B$64,0)),0)*IF(E48="",1,IF(IFERROR(INDEX(Services!$D$5:$D$64,MATCH(C48,Services!$B$5:$B$64,0)),"")="Per hour",1,E48)))</f>
        <v>0</v>
      </c>
      <c r="O48" s="21">
        <f>IF(B48="","",ROUND(IF(E48="",1,E48)*L48,2))</f>
        <v>0</v>
      </c>
      <c r="P48" s="21">
        <f>IF(B48="","",ROUND(O48*(1-IF(G48="",0,G48)),2))</f>
        <v>0</v>
      </c>
      <c r="Q48" s="21">
        <f>IF(B48="","",ROUND(N48*CostPerHour+IF(E48="",1,E48)*IFERROR(INDEX(Services!$R$5:$R$64,MATCH(C48,Services!$B$5:$B$64,0)),0),2))</f>
        <v>0</v>
      </c>
      <c r="R48" s="38">
        <f>IF(OR(B48="",P48=0),"",(P48-Q48)/P48)</f>
        <v>0</v>
      </c>
      <c r="S48" s="31">
        <f>IF(OR(B48="",C48=""),"",COUNTIFS($B$5:B48,B48))</f>
        <v>0</v>
      </c>
      <c r="T48" s="23">
        <f>IF(S48="","",B48&amp;"|"&amp;S48)</f>
        <v>0</v>
      </c>
      <c r="U48" s="39">
        <f>IF(B48="","",IF(C48="","Add - pick a service",IF(E48="","Add - how many?",IF(L48=0,"Add - no price",IF(AND(R48&lt;&gt;"",R48&lt;MarginFloor),"Below - thin margin","OK")))))</f>
        <v>0</v>
      </c>
    </row>
    <row r="49" spans="1:21">
      <c r="A49" s="43">
        <f>IF(B49="","","QL-"&amp;TEXT(ROW()-4,"0000"))</f>
        <v>0</v>
      </c>
      <c r="J49" s="21">
        <f>IF(C49="","",IFERROR(INDEX(Services!$P$5:$P$64,MATCH(C49,Services!$B$5:$B$64,0)),"0"))</f>
        <v>0</v>
      </c>
      <c r="K49" s="23">
        <f>IF(C49="","",IFERROR(INDEX(Services!$E$5:$E$64,MATCH(C49,Services!$B$5:$B$64,0)),""))</f>
        <v>0</v>
      </c>
      <c r="L49" s="21">
        <f>IF(B49="","",IF(F49&lt;&gt;"",F49,IFERROR(J49*1,0)))</f>
        <v>0</v>
      </c>
      <c r="M49" s="51">
        <f>IF(B49="","",IF(D49&lt;&gt;"",D49,IFERROR(INDEX(Services!$O$5:$O$64,MATCH(C49,Services!$B$5:$B$64,0)),"")))</f>
        <v>0</v>
      </c>
      <c r="N49" s="34">
        <f>IF(B49="","",IFERROR(INDEX(Services!$G$5:$G$64,MATCH(C49,Services!$B$5:$B$64,0)),0)*IF(E49="",1,IF(IFERROR(INDEX(Services!$D$5:$D$64,MATCH(C49,Services!$B$5:$B$64,0)),"")="Per hour",1,E49)))</f>
        <v>0</v>
      </c>
      <c r="O49" s="21">
        <f>IF(B49="","",ROUND(IF(E49="",1,E49)*L49,2))</f>
        <v>0</v>
      </c>
      <c r="P49" s="21">
        <f>IF(B49="","",ROUND(O49*(1-IF(G49="",0,G49)),2))</f>
        <v>0</v>
      </c>
      <c r="Q49" s="21">
        <f>IF(B49="","",ROUND(N49*CostPerHour+IF(E49="",1,E49)*IFERROR(INDEX(Services!$R$5:$R$64,MATCH(C49,Services!$B$5:$B$64,0)),0),2))</f>
        <v>0</v>
      </c>
      <c r="R49" s="38">
        <f>IF(OR(B49="",P49=0),"",(P49-Q49)/P49)</f>
        <v>0</v>
      </c>
      <c r="S49" s="31">
        <f>IF(OR(B49="",C49=""),"",COUNTIFS($B$5:B49,B49))</f>
        <v>0</v>
      </c>
      <c r="T49" s="23">
        <f>IF(S49="","",B49&amp;"|"&amp;S49)</f>
        <v>0</v>
      </c>
      <c r="U49" s="39">
        <f>IF(B49="","",IF(C49="","Add - pick a service",IF(E49="","Add - how many?",IF(L49=0,"Add - no price",IF(AND(R49&lt;&gt;"",R49&lt;MarginFloor),"Below - thin margin","OK")))))</f>
        <v>0</v>
      </c>
    </row>
    <row r="50" spans="1:21">
      <c r="A50" s="43">
        <f>IF(B50="","","QL-"&amp;TEXT(ROW()-4,"0000"))</f>
        <v>0</v>
      </c>
      <c r="J50" s="21">
        <f>IF(C50="","",IFERROR(INDEX(Services!$P$5:$P$64,MATCH(C50,Services!$B$5:$B$64,0)),"0"))</f>
        <v>0</v>
      </c>
      <c r="K50" s="23">
        <f>IF(C50="","",IFERROR(INDEX(Services!$E$5:$E$64,MATCH(C50,Services!$B$5:$B$64,0)),""))</f>
        <v>0</v>
      </c>
      <c r="L50" s="21">
        <f>IF(B50="","",IF(F50&lt;&gt;"",F50,IFERROR(J50*1,0)))</f>
        <v>0</v>
      </c>
      <c r="M50" s="51">
        <f>IF(B50="","",IF(D50&lt;&gt;"",D50,IFERROR(INDEX(Services!$O$5:$O$64,MATCH(C50,Services!$B$5:$B$64,0)),"")))</f>
        <v>0</v>
      </c>
      <c r="N50" s="34">
        <f>IF(B50="","",IFERROR(INDEX(Services!$G$5:$G$64,MATCH(C50,Services!$B$5:$B$64,0)),0)*IF(E50="",1,IF(IFERROR(INDEX(Services!$D$5:$D$64,MATCH(C50,Services!$B$5:$B$64,0)),"")="Per hour",1,E50)))</f>
        <v>0</v>
      </c>
      <c r="O50" s="21">
        <f>IF(B50="","",ROUND(IF(E50="",1,E50)*L50,2))</f>
        <v>0</v>
      </c>
      <c r="P50" s="21">
        <f>IF(B50="","",ROUND(O50*(1-IF(G50="",0,G50)),2))</f>
        <v>0</v>
      </c>
      <c r="Q50" s="21">
        <f>IF(B50="","",ROUND(N50*CostPerHour+IF(E50="",1,E50)*IFERROR(INDEX(Services!$R$5:$R$64,MATCH(C50,Services!$B$5:$B$64,0)),0),2))</f>
        <v>0</v>
      </c>
      <c r="R50" s="38">
        <f>IF(OR(B50="",P50=0),"",(P50-Q50)/P50)</f>
        <v>0</v>
      </c>
      <c r="S50" s="31">
        <f>IF(OR(B50="",C50=""),"",COUNTIFS($B$5:B50,B50))</f>
        <v>0</v>
      </c>
      <c r="T50" s="23">
        <f>IF(S50="","",B50&amp;"|"&amp;S50)</f>
        <v>0</v>
      </c>
      <c r="U50" s="39">
        <f>IF(B50="","",IF(C50="","Add - pick a service",IF(E50="","Add - how many?",IF(L50=0,"Add - no price",IF(AND(R50&lt;&gt;"",R50&lt;MarginFloor),"Below - thin margin","OK")))))</f>
        <v>0</v>
      </c>
    </row>
    <row r="51" spans="1:21">
      <c r="A51" s="43">
        <f>IF(B51="","","QL-"&amp;TEXT(ROW()-4,"0000"))</f>
        <v>0</v>
      </c>
      <c r="J51" s="21">
        <f>IF(C51="","",IFERROR(INDEX(Services!$P$5:$P$64,MATCH(C51,Services!$B$5:$B$64,0)),"0"))</f>
        <v>0</v>
      </c>
      <c r="K51" s="23">
        <f>IF(C51="","",IFERROR(INDEX(Services!$E$5:$E$64,MATCH(C51,Services!$B$5:$B$64,0)),""))</f>
        <v>0</v>
      </c>
      <c r="L51" s="21">
        <f>IF(B51="","",IF(F51&lt;&gt;"",F51,IFERROR(J51*1,0)))</f>
        <v>0</v>
      </c>
      <c r="M51" s="51">
        <f>IF(B51="","",IF(D51&lt;&gt;"",D51,IFERROR(INDEX(Services!$O$5:$O$64,MATCH(C51,Services!$B$5:$B$64,0)),"")))</f>
        <v>0</v>
      </c>
      <c r="N51" s="34">
        <f>IF(B51="","",IFERROR(INDEX(Services!$G$5:$G$64,MATCH(C51,Services!$B$5:$B$64,0)),0)*IF(E51="",1,IF(IFERROR(INDEX(Services!$D$5:$D$64,MATCH(C51,Services!$B$5:$B$64,0)),"")="Per hour",1,E51)))</f>
        <v>0</v>
      </c>
      <c r="O51" s="21">
        <f>IF(B51="","",ROUND(IF(E51="",1,E51)*L51,2))</f>
        <v>0</v>
      </c>
      <c r="P51" s="21">
        <f>IF(B51="","",ROUND(O51*(1-IF(G51="",0,G51)),2))</f>
        <v>0</v>
      </c>
      <c r="Q51" s="21">
        <f>IF(B51="","",ROUND(N51*CostPerHour+IF(E51="",1,E51)*IFERROR(INDEX(Services!$R$5:$R$64,MATCH(C51,Services!$B$5:$B$64,0)),0),2))</f>
        <v>0</v>
      </c>
      <c r="R51" s="38">
        <f>IF(OR(B51="",P51=0),"",(P51-Q51)/P51)</f>
        <v>0</v>
      </c>
      <c r="S51" s="31">
        <f>IF(OR(B51="",C51=""),"",COUNTIFS($B$5:B51,B51))</f>
        <v>0</v>
      </c>
      <c r="T51" s="23">
        <f>IF(S51="","",B51&amp;"|"&amp;S51)</f>
        <v>0</v>
      </c>
      <c r="U51" s="39">
        <f>IF(B51="","",IF(C51="","Add - pick a service",IF(E51="","Add - how many?",IF(L51=0,"Add - no price",IF(AND(R51&lt;&gt;"",R51&lt;MarginFloor),"Below - thin margin","OK")))))</f>
        <v>0</v>
      </c>
    </row>
    <row r="52" spans="1:21">
      <c r="A52" s="43">
        <f>IF(B52="","","QL-"&amp;TEXT(ROW()-4,"0000"))</f>
        <v>0</v>
      </c>
      <c r="J52" s="21">
        <f>IF(C52="","",IFERROR(INDEX(Services!$P$5:$P$64,MATCH(C52,Services!$B$5:$B$64,0)),"0"))</f>
        <v>0</v>
      </c>
      <c r="K52" s="23">
        <f>IF(C52="","",IFERROR(INDEX(Services!$E$5:$E$64,MATCH(C52,Services!$B$5:$B$64,0)),""))</f>
        <v>0</v>
      </c>
      <c r="L52" s="21">
        <f>IF(B52="","",IF(F52&lt;&gt;"",F52,IFERROR(J52*1,0)))</f>
        <v>0</v>
      </c>
      <c r="M52" s="51">
        <f>IF(B52="","",IF(D52&lt;&gt;"",D52,IFERROR(INDEX(Services!$O$5:$O$64,MATCH(C52,Services!$B$5:$B$64,0)),"")))</f>
        <v>0</v>
      </c>
      <c r="N52" s="34">
        <f>IF(B52="","",IFERROR(INDEX(Services!$G$5:$G$64,MATCH(C52,Services!$B$5:$B$64,0)),0)*IF(E52="",1,IF(IFERROR(INDEX(Services!$D$5:$D$64,MATCH(C52,Services!$B$5:$B$64,0)),"")="Per hour",1,E52)))</f>
        <v>0</v>
      </c>
      <c r="O52" s="21">
        <f>IF(B52="","",ROUND(IF(E52="",1,E52)*L52,2))</f>
        <v>0</v>
      </c>
      <c r="P52" s="21">
        <f>IF(B52="","",ROUND(O52*(1-IF(G52="",0,G52)),2))</f>
        <v>0</v>
      </c>
      <c r="Q52" s="21">
        <f>IF(B52="","",ROUND(N52*CostPerHour+IF(E52="",1,E52)*IFERROR(INDEX(Services!$R$5:$R$64,MATCH(C52,Services!$B$5:$B$64,0)),0),2))</f>
        <v>0</v>
      </c>
      <c r="R52" s="38">
        <f>IF(OR(B52="",P52=0),"",(P52-Q52)/P52)</f>
        <v>0</v>
      </c>
      <c r="S52" s="31">
        <f>IF(OR(B52="",C52=""),"",COUNTIFS($B$5:B52,B52))</f>
        <v>0</v>
      </c>
      <c r="T52" s="23">
        <f>IF(S52="","",B52&amp;"|"&amp;S52)</f>
        <v>0</v>
      </c>
      <c r="U52" s="39">
        <f>IF(B52="","",IF(C52="","Add - pick a service",IF(E52="","Add - how many?",IF(L52=0,"Add - no price",IF(AND(R52&lt;&gt;"",R52&lt;MarginFloor),"Below - thin margin","OK")))))</f>
        <v>0</v>
      </c>
    </row>
    <row r="53" spans="1:21">
      <c r="A53" s="43">
        <f>IF(B53="","","QL-"&amp;TEXT(ROW()-4,"0000"))</f>
        <v>0</v>
      </c>
      <c r="J53" s="21">
        <f>IF(C53="","",IFERROR(INDEX(Services!$P$5:$P$64,MATCH(C53,Services!$B$5:$B$64,0)),"0"))</f>
        <v>0</v>
      </c>
      <c r="K53" s="23">
        <f>IF(C53="","",IFERROR(INDEX(Services!$E$5:$E$64,MATCH(C53,Services!$B$5:$B$64,0)),""))</f>
        <v>0</v>
      </c>
      <c r="L53" s="21">
        <f>IF(B53="","",IF(F53&lt;&gt;"",F53,IFERROR(J53*1,0)))</f>
        <v>0</v>
      </c>
      <c r="M53" s="51">
        <f>IF(B53="","",IF(D53&lt;&gt;"",D53,IFERROR(INDEX(Services!$O$5:$O$64,MATCH(C53,Services!$B$5:$B$64,0)),"")))</f>
        <v>0</v>
      </c>
      <c r="N53" s="34">
        <f>IF(B53="","",IFERROR(INDEX(Services!$G$5:$G$64,MATCH(C53,Services!$B$5:$B$64,0)),0)*IF(E53="",1,IF(IFERROR(INDEX(Services!$D$5:$D$64,MATCH(C53,Services!$B$5:$B$64,0)),"")="Per hour",1,E53)))</f>
        <v>0</v>
      </c>
      <c r="O53" s="21">
        <f>IF(B53="","",ROUND(IF(E53="",1,E53)*L53,2))</f>
        <v>0</v>
      </c>
      <c r="P53" s="21">
        <f>IF(B53="","",ROUND(O53*(1-IF(G53="",0,G53)),2))</f>
        <v>0</v>
      </c>
      <c r="Q53" s="21">
        <f>IF(B53="","",ROUND(N53*CostPerHour+IF(E53="",1,E53)*IFERROR(INDEX(Services!$R$5:$R$64,MATCH(C53,Services!$B$5:$B$64,0)),0),2))</f>
        <v>0</v>
      </c>
      <c r="R53" s="38">
        <f>IF(OR(B53="",P53=0),"",(P53-Q53)/P53)</f>
        <v>0</v>
      </c>
      <c r="S53" s="31">
        <f>IF(OR(B53="",C53=""),"",COUNTIFS($B$5:B53,B53))</f>
        <v>0</v>
      </c>
      <c r="T53" s="23">
        <f>IF(S53="","",B53&amp;"|"&amp;S53)</f>
        <v>0</v>
      </c>
      <c r="U53" s="39">
        <f>IF(B53="","",IF(C53="","Add - pick a service",IF(E53="","Add - how many?",IF(L53=0,"Add - no price",IF(AND(R53&lt;&gt;"",R53&lt;MarginFloor),"Below - thin margin","OK")))))</f>
        <v>0</v>
      </c>
    </row>
    <row r="54" spans="1:21">
      <c r="A54" s="43">
        <f>IF(B54="","","QL-"&amp;TEXT(ROW()-4,"0000"))</f>
        <v>0</v>
      </c>
      <c r="J54" s="21">
        <f>IF(C54="","",IFERROR(INDEX(Services!$P$5:$P$64,MATCH(C54,Services!$B$5:$B$64,0)),"0"))</f>
        <v>0</v>
      </c>
      <c r="K54" s="23">
        <f>IF(C54="","",IFERROR(INDEX(Services!$E$5:$E$64,MATCH(C54,Services!$B$5:$B$64,0)),""))</f>
        <v>0</v>
      </c>
      <c r="L54" s="21">
        <f>IF(B54="","",IF(F54&lt;&gt;"",F54,IFERROR(J54*1,0)))</f>
        <v>0</v>
      </c>
      <c r="M54" s="51">
        <f>IF(B54="","",IF(D54&lt;&gt;"",D54,IFERROR(INDEX(Services!$O$5:$O$64,MATCH(C54,Services!$B$5:$B$64,0)),"")))</f>
        <v>0</v>
      </c>
      <c r="N54" s="34">
        <f>IF(B54="","",IFERROR(INDEX(Services!$G$5:$G$64,MATCH(C54,Services!$B$5:$B$64,0)),0)*IF(E54="",1,IF(IFERROR(INDEX(Services!$D$5:$D$64,MATCH(C54,Services!$B$5:$B$64,0)),"")="Per hour",1,E54)))</f>
        <v>0</v>
      </c>
      <c r="O54" s="21">
        <f>IF(B54="","",ROUND(IF(E54="",1,E54)*L54,2))</f>
        <v>0</v>
      </c>
      <c r="P54" s="21">
        <f>IF(B54="","",ROUND(O54*(1-IF(G54="",0,G54)),2))</f>
        <v>0</v>
      </c>
      <c r="Q54" s="21">
        <f>IF(B54="","",ROUND(N54*CostPerHour+IF(E54="",1,E54)*IFERROR(INDEX(Services!$R$5:$R$64,MATCH(C54,Services!$B$5:$B$64,0)),0),2))</f>
        <v>0</v>
      </c>
      <c r="R54" s="38">
        <f>IF(OR(B54="",P54=0),"",(P54-Q54)/P54)</f>
        <v>0</v>
      </c>
      <c r="S54" s="31">
        <f>IF(OR(B54="",C54=""),"",COUNTIFS($B$5:B54,B54))</f>
        <v>0</v>
      </c>
      <c r="T54" s="23">
        <f>IF(S54="","",B54&amp;"|"&amp;S54)</f>
        <v>0</v>
      </c>
      <c r="U54" s="39">
        <f>IF(B54="","",IF(C54="","Add - pick a service",IF(E54="","Add - how many?",IF(L54=0,"Add - no price",IF(AND(R54&lt;&gt;"",R54&lt;MarginFloor),"Below - thin margin","OK")))))</f>
        <v>0</v>
      </c>
    </row>
    <row r="55" spans="1:21">
      <c r="A55" s="43">
        <f>IF(B55="","","QL-"&amp;TEXT(ROW()-4,"0000"))</f>
        <v>0</v>
      </c>
      <c r="J55" s="21">
        <f>IF(C55="","",IFERROR(INDEX(Services!$P$5:$P$64,MATCH(C55,Services!$B$5:$B$64,0)),"0"))</f>
        <v>0</v>
      </c>
      <c r="K55" s="23">
        <f>IF(C55="","",IFERROR(INDEX(Services!$E$5:$E$64,MATCH(C55,Services!$B$5:$B$64,0)),""))</f>
        <v>0</v>
      </c>
      <c r="L55" s="21">
        <f>IF(B55="","",IF(F55&lt;&gt;"",F55,IFERROR(J55*1,0)))</f>
        <v>0</v>
      </c>
      <c r="M55" s="51">
        <f>IF(B55="","",IF(D55&lt;&gt;"",D55,IFERROR(INDEX(Services!$O$5:$O$64,MATCH(C55,Services!$B$5:$B$64,0)),"")))</f>
        <v>0</v>
      </c>
      <c r="N55" s="34">
        <f>IF(B55="","",IFERROR(INDEX(Services!$G$5:$G$64,MATCH(C55,Services!$B$5:$B$64,0)),0)*IF(E55="",1,IF(IFERROR(INDEX(Services!$D$5:$D$64,MATCH(C55,Services!$B$5:$B$64,0)),"")="Per hour",1,E55)))</f>
        <v>0</v>
      </c>
      <c r="O55" s="21">
        <f>IF(B55="","",ROUND(IF(E55="",1,E55)*L55,2))</f>
        <v>0</v>
      </c>
      <c r="P55" s="21">
        <f>IF(B55="","",ROUND(O55*(1-IF(G55="",0,G55)),2))</f>
        <v>0</v>
      </c>
      <c r="Q55" s="21">
        <f>IF(B55="","",ROUND(N55*CostPerHour+IF(E55="",1,E55)*IFERROR(INDEX(Services!$R$5:$R$64,MATCH(C55,Services!$B$5:$B$64,0)),0),2))</f>
        <v>0</v>
      </c>
      <c r="R55" s="38">
        <f>IF(OR(B55="",P55=0),"",(P55-Q55)/P55)</f>
        <v>0</v>
      </c>
      <c r="S55" s="31">
        <f>IF(OR(B55="",C55=""),"",COUNTIFS($B$5:B55,B55))</f>
        <v>0</v>
      </c>
      <c r="T55" s="23">
        <f>IF(S55="","",B55&amp;"|"&amp;S55)</f>
        <v>0</v>
      </c>
      <c r="U55" s="39">
        <f>IF(B55="","",IF(C55="","Add - pick a service",IF(E55="","Add - how many?",IF(L55=0,"Add - no price",IF(AND(R55&lt;&gt;"",R55&lt;MarginFloor),"Below - thin margin","OK")))))</f>
        <v>0</v>
      </c>
    </row>
    <row r="56" spans="1:21">
      <c r="A56" s="43">
        <f>IF(B56="","","QL-"&amp;TEXT(ROW()-4,"0000"))</f>
        <v>0</v>
      </c>
      <c r="J56" s="21">
        <f>IF(C56="","",IFERROR(INDEX(Services!$P$5:$P$64,MATCH(C56,Services!$B$5:$B$64,0)),"0"))</f>
        <v>0</v>
      </c>
      <c r="K56" s="23">
        <f>IF(C56="","",IFERROR(INDEX(Services!$E$5:$E$64,MATCH(C56,Services!$B$5:$B$64,0)),""))</f>
        <v>0</v>
      </c>
      <c r="L56" s="21">
        <f>IF(B56="","",IF(F56&lt;&gt;"",F56,IFERROR(J56*1,0)))</f>
        <v>0</v>
      </c>
      <c r="M56" s="51">
        <f>IF(B56="","",IF(D56&lt;&gt;"",D56,IFERROR(INDEX(Services!$O$5:$O$64,MATCH(C56,Services!$B$5:$B$64,0)),"")))</f>
        <v>0</v>
      </c>
      <c r="N56" s="34">
        <f>IF(B56="","",IFERROR(INDEX(Services!$G$5:$G$64,MATCH(C56,Services!$B$5:$B$64,0)),0)*IF(E56="",1,IF(IFERROR(INDEX(Services!$D$5:$D$64,MATCH(C56,Services!$B$5:$B$64,0)),"")="Per hour",1,E56)))</f>
        <v>0</v>
      </c>
      <c r="O56" s="21">
        <f>IF(B56="","",ROUND(IF(E56="",1,E56)*L56,2))</f>
        <v>0</v>
      </c>
      <c r="P56" s="21">
        <f>IF(B56="","",ROUND(O56*(1-IF(G56="",0,G56)),2))</f>
        <v>0</v>
      </c>
      <c r="Q56" s="21">
        <f>IF(B56="","",ROUND(N56*CostPerHour+IF(E56="",1,E56)*IFERROR(INDEX(Services!$R$5:$R$64,MATCH(C56,Services!$B$5:$B$64,0)),0),2))</f>
        <v>0</v>
      </c>
      <c r="R56" s="38">
        <f>IF(OR(B56="",P56=0),"",(P56-Q56)/P56)</f>
        <v>0</v>
      </c>
      <c r="S56" s="31">
        <f>IF(OR(B56="",C56=""),"",COUNTIFS($B$5:B56,B56))</f>
        <v>0</v>
      </c>
      <c r="T56" s="23">
        <f>IF(S56="","",B56&amp;"|"&amp;S56)</f>
        <v>0</v>
      </c>
      <c r="U56" s="39">
        <f>IF(B56="","",IF(C56="","Add - pick a service",IF(E56="","Add - how many?",IF(L56=0,"Add - no price",IF(AND(R56&lt;&gt;"",R56&lt;MarginFloor),"Below - thin margin","OK")))))</f>
        <v>0</v>
      </c>
    </row>
    <row r="57" spans="1:21">
      <c r="A57" s="43">
        <f>IF(B57="","","QL-"&amp;TEXT(ROW()-4,"0000"))</f>
        <v>0</v>
      </c>
      <c r="J57" s="21">
        <f>IF(C57="","",IFERROR(INDEX(Services!$P$5:$P$64,MATCH(C57,Services!$B$5:$B$64,0)),"0"))</f>
        <v>0</v>
      </c>
      <c r="K57" s="23">
        <f>IF(C57="","",IFERROR(INDEX(Services!$E$5:$E$64,MATCH(C57,Services!$B$5:$B$64,0)),""))</f>
        <v>0</v>
      </c>
      <c r="L57" s="21">
        <f>IF(B57="","",IF(F57&lt;&gt;"",F57,IFERROR(J57*1,0)))</f>
        <v>0</v>
      </c>
      <c r="M57" s="51">
        <f>IF(B57="","",IF(D57&lt;&gt;"",D57,IFERROR(INDEX(Services!$O$5:$O$64,MATCH(C57,Services!$B$5:$B$64,0)),"")))</f>
        <v>0</v>
      </c>
      <c r="N57" s="34">
        <f>IF(B57="","",IFERROR(INDEX(Services!$G$5:$G$64,MATCH(C57,Services!$B$5:$B$64,0)),0)*IF(E57="",1,IF(IFERROR(INDEX(Services!$D$5:$D$64,MATCH(C57,Services!$B$5:$B$64,0)),"")="Per hour",1,E57)))</f>
        <v>0</v>
      </c>
      <c r="O57" s="21">
        <f>IF(B57="","",ROUND(IF(E57="",1,E57)*L57,2))</f>
        <v>0</v>
      </c>
      <c r="P57" s="21">
        <f>IF(B57="","",ROUND(O57*(1-IF(G57="",0,G57)),2))</f>
        <v>0</v>
      </c>
      <c r="Q57" s="21">
        <f>IF(B57="","",ROUND(N57*CostPerHour+IF(E57="",1,E57)*IFERROR(INDEX(Services!$R$5:$R$64,MATCH(C57,Services!$B$5:$B$64,0)),0),2))</f>
        <v>0</v>
      </c>
      <c r="R57" s="38">
        <f>IF(OR(B57="",P57=0),"",(P57-Q57)/P57)</f>
        <v>0</v>
      </c>
      <c r="S57" s="31">
        <f>IF(OR(B57="",C57=""),"",COUNTIFS($B$5:B57,B57))</f>
        <v>0</v>
      </c>
      <c r="T57" s="23">
        <f>IF(S57="","",B57&amp;"|"&amp;S57)</f>
        <v>0</v>
      </c>
      <c r="U57" s="39">
        <f>IF(B57="","",IF(C57="","Add - pick a service",IF(E57="","Add - how many?",IF(L57=0,"Add - no price",IF(AND(R57&lt;&gt;"",R57&lt;MarginFloor),"Below - thin margin","OK")))))</f>
        <v>0</v>
      </c>
    </row>
    <row r="58" spans="1:21">
      <c r="A58" s="43">
        <f>IF(B58="","","QL-"&amp;TEXT(ROW()-4,"0000"))</f>
        <v>0</v>
      </c>
      <c r="J58" s="21">
        <f>IF(C58="","",IFERROR(INDEX(Services!$P$5:$P$64,MATCH(C58,Services!$B$5:$B$64,0)),"0"))</f>
        <v>0</v>
      </c>
      <c r="K58" s="23">
        <f>IF(C58="","",IFERROR(INDEX(Services!$E$5:$E$64,MATCH(C58,Services!$B$5:$B$64,0)),""))</f>
        <v>0</v>
      </c>
      <c r="L58" s="21">
        <f>IF(B58="","",IF(F58&lt;&gt;"",F58,IFERROR(J58*1,0)))</f>
        <v>0</v>
      </c>
      <c r="M58" s="51">
        <f>IF(B58="","",IF(D58&lt;&gt;"",D58,IFERROR(INDEX(Services!$O$5:$O$64,MATCH(C58,Services!$B$5:$B$64,0)),"")))</f>
        <v>0</v>
      </c>
      <c r="N58" s="34">
        <f>IF(B58="","",IFERROR(INDEX(Services!$G$5:$G$64,MATCH(C58,Services!$B$5:$B$64,0)),0)*IF(E58="",1,IF(IFERROR(INDEX(Services!$D$5:$D$64,MATCH(C58,Services!$B$5:$B$64,0)),"")="Per hour",1,E58)))</f>
        <v>0</v>
      </c>
      <c r="O58" s="21">
        <f>IF(B58="","",ROUND(IF(E58="",1,E58)*L58,2))</f>
        <v>0</v>
      </c>
      <c r="P58" s="21">
        <f>IF(B58="","",ROUND(O58*(1-IF(G58="",0,G58)),2))</f>
        <v>0</v>
      </c>
      <c r="Q58" s="21">
        <f>IF(B58="","",ROUND(N58*CostPerHour+IF(E58="",1,E58)*IFERROR(INDEX(Services!$R$5:$R$64,MATCH(C58,Services!$B$5:$B$64,0)),0),2))</f>
        <v>0</v>
      </c>
      <c r="R58" s="38">
        <f>IF(OR(B58="",P58=0),"",(P58-Q58)/P58)</f>
        <v>0</v>
      </c>
      <c r="S58" s="31">
        <f>IF(OR(B58="",C58=""),"",COUNTIFS($B$5:B58,B58))</f>
        <v>0</v>
      </c>
      <c r="T58" s="23">
        <f>IF(S58="","",B58&amp;"|"&amp;S58)</f>
        <v>0</v>
      </c>
      <c r="U58" s="39">
        <f>IF(B58="","",IF(C58="","Add - pick a service",IF(E58="","Add - how many?",IF(L58=0,"Add - no price",IF(AND(R58&lt;&gt;"",R58&lt;MarginFloor),"Below - thin margin","OK")))))</f>
        <v>0</v>
      </c>
    </row>
    <row r="59" spans="1:21">
      <c r="A59" s="43">
        <f>IF(B59="","","QL-"&amp;TEXT(ROW()-4,"0000"))</f>
        <v>0</v>
      </c>
      <c r="J59" s="21">
        <f>IF(C59="","",IFERROR(INDEX(Services!$P$5:$P$64,MATCH(C59,Services!$B$5:$B$64,0)),"0"))</f>
        <v>0</v>
      </c>
      <c r="K59" s="23">
        <f>IF(C59="","",IFERROR(INDEX(Services!$E$5:$E$64,MATCH(C59,Services!$B$5:$B$64,0)),""))</f>
        <v>0</v>
      </c>
      <c r="L59" s="21">
        <f>IF(B59="","",IF(F59&lt;&gt;"",F59,IFERROR(J59*1,0)))</f>
        <v>0</v>
      </c>
      <c r="M59" s="51">
        <f>IF(B59="","",IF(D59&lt;&gt;"",D59,IFERROR(INDEX(Services!$O$5:$O$64,MATCH(C59,Services!$B$5:$B$64,0)),"")))</f>
        <v>0</v>
      </c>
      <c r="N59" s="34">
        <f>IF(B59="","",IFERROR(INDEX(Services!$G$5:$G$64,MATCH(C59,Services!$B$5:$B$64,0)),0)*IF(E59="",1,IF(IFERROR(INDEX(Services!$D$5:$D$64,MATCH(C59,Services!$B$5:$B$64,0)),"")="Per hour",1,E59)))</f>
        <v>0</v>
      </c>
      <c r="O59" s="21">
        <f>IF(B59="","",ROUND(IF(E59="",1,E59)*L59,2))</f>
        <v>0</v>
      </c>
      <c r="P59" s="21">
        <f>IF(B59="","",ROUND(O59*(1-IF(G59="",0,G59)),2))</f>
        <v>0</v>
      </c>
      <c r="Q59" s="21">
        <f>IF(B59="","",ROUND(N59*CostPerHour+IF(E59="",1,E59)*IFERROR(INDEX(Services!$R$5:$R$64,MATCH(C59,Services!$B$5:$B$64,0)),0),2))</f>
        <v>0</v>
      </c>
      <c r="R59" s="38">
        <f>IF(OR(B59="",P59=0),"",(P59-Q59)/P59)</f>
        <v>0</v>
      </c>
      <c r="S59" s="31">
        <f>IF(OR(B59="",C59=""),"",COUNTIFS($B$5:B59,B59))</f>
        <v>0</v>
      </c>
      <c r="T59" s="23">
        <f>IF(S59="","",B59&amp;"|"&amp;S59)</f>
        <v>0</v>
      </c>
      <c r="U59" s="39">
        <f>IF(B59="","",IF(C59="","Add - pick a service",IF(E59="","Add - how many?",IF(L59=0,"Add - no price",IF(AND(R59&lt;&gt;"",R59&lt;MarginFloor),"Below - thin margin","OK")))))</f>
        <v>0</v>
      </c>
    </row>
    <row r="60" spans="1:21">
      <c r="A60" s="43">
        <f>IF(B60="","","QL-"&amp;TEXT(ROW()-4,"0000"))</f>
        <v>0</v>
      </c>
      <c r="J60" s="21">
        <f>IF(C60="","",IFERROR(INDEX(Services!$P$5:$P$64,MATCH(C60,Services!$B$5:$B$64,0)),"0"))</f>
        <v>0</v>
      </c>
      <c r="K60" s="23">
        <f>IF(C60="","",IFERROR(INDEX(Services!$E$5:$E$64,MATCH(C60,Services!$B$5:$B$64,0)),""))</f>
        <v>0</v>
      </c>
      <c r="L60" s="21">
        <f>IF(B60="","",IF(F60&lt;&gt;"",F60,IFERROR(J60*1,0)))</f>
        <v>0</v>
      </c>
      <c r="M60" s="51">
        <f>IF(B60="","",IF(D60&lt;&gt;"",D60,IFERROR(INDEX(Services!$O$5:$O$64,MATCH(C60,Services!$B$5:$B$64,0)),"")))</f>
        <v>0</v>
      </c>
      <c r="N60" s="34">
        <f>IF(B60="","",IFERROR(INDEX(Services!$G$5:$G$64,MATCH(C60,Services!$B$5:$B$64,0)),0)*IF(E60="",1,IF(IFERROR(INDEX(Services!$D$5:$D$64,MATCH(C60,Services!$B$5:$B$64,0)),"")="Per hour",1,E60)))</f>
        <v>0</v>
      </c>
      <c r="O60" s="21">
        <f>IF(B60="","",ROUND(IF(E60="",1,E60)*L60,2))</f>
        <v>0</v>
      </c>
      <c r="P60" s="21">
        <f>IF(B60="","",ROUND(O60*(1-IF(G60="",0,G60)),2))</f>
        <v>0</v>
      </c>
      <c r="Q60" s="21">
        <f>IF(B60="","",ROUND(N60*CostPerHour+IF(E60="",1,E60)*IFERROR(INDEX(Services!$R$5:$R$64,MATCH(C60,Services!$B$5:$B$64,0)),0),2))</f>
        <v>0</v>
      </c>
      <c r="R60" s="38">
        <f>IF(OR(B60="",P60=0),"",(P60-Q60)/P60)</f>
        <v>0</v>
      </c>
      <c r="S60" s="31">
        <f>IF(OR(B60="",C60=""),"",COUNTIFS($B$5:B60,B60))</f>
        <v>0</v>
      </c>
      <c r="T60" s="23">
        <f>IF(S60="","",B60&amp;"|"&amp;S60)</f>
        <v>0</v>
      </c>
      <c r="U60" s="39">
        <f>IF(B60="","",IF(C60="","Add - pick a service",IF(E60="","Add - how many?",IF(L60=0,"Add - no price",IF(AND(R60&lt;&gt;"",R60&lt;MarginFloor),"Below - thin margin","OK")))))</f>
        <v>0</v>
      </c>
    </row>
    <row r="61" spans="1:21">
      <c r="A61" s="43">
        <f>IF(B61="","","QL-"&amp;TEXT(ROW()-4,"0000"))</f>
        <v>0</v>
      </c>
      <c r="J61" s="21">
        <f>IF(C61="","",IFERROR(INDEX(Services!$P$5:$P$64,MATCH(C61,Services!$B$5:$B$64,0)),"0"))</f>
        <v>0</v>
      </c>
      <c r="K61" s="23">
        <f>IF(C61="","",IFERROR(INDEX(Services!$E$5:$E$64,MATCH(C61,Services!$B$5:$B$64,0)),""))</f>
        <v>0</v>
      </c>
      <c r="L61" s="21">
        <f>IF(B61="","",IF(F61&lt;&gt;"",F61,IFERROR(J61*1,0)))</f>
        <v>0</v>
      </c>
      <c r="M61" s="51">
        <f>IF(B61="","",IF(D61&lt;&gt;"",D61,IFERROR(INDEX(Services!$O$5:$O$64,MATCH(C61,Services!$B$5:$B$64,0)),"")))</f>
        <v>0</v>
      </c>
      <c r="N61" s="34">
        <f>IF(B61="","",IFERROR(INDEX(Services!$G$5:$G$64,MATCH(C61,Services!$B$5:$B$64,0)),0)*IF(E61="",1,IF(IFERROR(INDEX(Services!$D$5:$D$64,MATCH(C61,Services!$B$5:$B$64,0)),"")="Per hour",1,E61)))</f>
        <v>0</v>
      </c>
      <c r="O61" s="21">
        <f>IF(B61="","",ROUND(IF(E61="",1,E61)*L61,2))</f>
        <v>0</v>
      </c>
      <c r="P61" s="21">
        <f>IF(B61="","",ROUND(O61*(1-IF(G61="",0,G61)),2))</f>
        <v>0</v>
      </c>
      <c r="Q61" s="21">
        <f>IF(B61="","",ROUND(N61*CostPerHour+IF(E61="",1,E61)*IFERROR(INDEX(Services!$R$5:$R$64,MATCH(C61,Services!$B$5:$B$64,0)),0),2))</f>
        <v>0</v>
      </c>
      <c r="R61" s="38">
        <f>IF(OR(B61="",P61=0),"",(P61-Q61)/P61)</f>
        <v>0</v>
      </c>
      <c r="S61" s="31">
        <f>IF(OR(B61="",C61=""),"",COUNTIFS($B$5:B61,B61))</f>
        <v>0</v>
      </c>
      <c r="T61" s="23">
        <f>IF(S61="","",B61&amp;"|"&amp;S61)</f>
        <v>0</v>
      </c>
      <c r="U61" s="39">
        <f>IF(B61="","",IF(C61="","Add - pick a service",IF(E61="","Add - how many?",IF(L61=0,"Add - no price",IF(AND(R61&lt;&gt;"",R61&lt;MarginFloor),"Below - thin margin","OK")))))</f>
        <v>0</v>
      </c>
    </row>
    <row r="62" spans="1:21">
      <c r="A62" s="43">
        <f>IF(B62="","","QL-"&amp;TEXT(ROW()-4,"0000"))</f>
        <v>0</v>
      </c>
      <c r="J62" s="21">
        <f>IF(C62="","",IFERROR(INDEX(Services!$P$5:$P$64,MATCH(C62,Services!$B$5:$B$64,0)),"0"))</f>
        <v>0</v>
      </c>
      <c r="K62" s="23">
        <f>IF(C62="","",IFERROR(INDEX(Services!$E$5:$E$64,MATCH(C62,Services!$B$5:$B$64,0)),""))</f>
        <v>0</v>
      </c>
      <c r="L62" s="21">
        <f>IF(B62="","",IF(F62&lt;&gt;"",F62,IFERROR(J62*1,0)))</f>
        <v>0</v>
      </c>
      <c r="M62" s="51">
        <f>IF(B62="","",IF(D62&lt;&gt;"",D62,IFERROR(INDEX(Services!$O$5:$O$64,MATCH(C62,Services!$B$5:$B$64,0)),"")))</f>
        <v>0</v>
      </c>
      <c r="N62" s="34">
        <f>IF(B62="","",IFERROR(INDEX(Services!$G$5:$G$64,MATCH(C62,Services!$B$5:$B$64,0)),0)*IF(E62="",1,IF(IFERROR(INDEX(Services!$D$5:$D$64,MATCH(C62,Services!$B$5:$B$64,0)),"")="Per hour",1,E62)))</f>
        <v>0</v>
      </c>
      <c r="O62" s="21">
        <f>IF(B62="","",ROUND(IF(E62="",1,E62)*L62,2))</f>
        <v>0</v>
      </c>
      <c r="P62" s="21">
        <f>IF(B62="","",ROUND(O62*(1-IF(G62="",0,G62)),2))</f>
        <v>0</v>
      </c>
      <c r="Q62" s="21">
        <f>IF(B62="","",ROUND(N62*CostPerHour+IF(E62="",1,E62)*IFERROR(INDEX(Services!$R$5:$R$64,MATCH(C62,Services!$B$5:$B$64,0)),0),2))</f>
        <v>0</v>
      </c>
      <c r="R62" s="38">
        <f>IF(OR(B62="",P62=0),"",(P62-Q62)/P62)</f>
        <v>0</v>
      </c>
      <c r="S62" s="31">
        <f>IF(OR(B62="",C62=""),"",COUNTIFS($B$5:B62,B62))</f>
        <v>0</v>
      </c>
      <c r="T62" s="23">
        <f>IF(S62="","",B62&amp;"|"&amp;S62)</f>
        <v>0</v>
      </c>
      <c r="U62" s="39">
        <f>IF(B62="","",IF(C62="","Add - pick a service",IF(E62="","Add - how many?",IF(L62=0,"Add - no price",IF(AND(R62&lt;&gt;"",R62&lt;MarginFloor),"Below - thin margin","OK")))))</f>
        <v>0</v>
      </c>
    </row>
    <row r="63" spans="1:21">
      <c r="A63" s="43">
        <f>IF(B63="","","QL-"&amp;TEXT(ROW()-4,"0000"))</f>
        <v>0</v>
      </c>
      <c r="J63" s="21">
        <f>IF(C63="","",IFERROR(INDEX(Services!$P$5:$P$64,MATCH(C63,Services!$B$5:$B$64,0)),"0"))</f>
        <v>0</v>
      </c>
      <c r="K63" s="23">
        <f>IF(C63="","",IFERROR(INDEX(Services!$E$5:$E$64,MATCH(C63,Services!$B$5:$B$64,0)),""))</f>
        <v>0</v>
      </c>
      <c r="L63" s="21">
        <f>IF(B63="","",IF(F63&lt;&gt;"",F63,IFERROR(J63*1,0)))</f>
        <v>0</v>
      </c>
      <c r="M63" s="51">
        <f>IF(B63="","",IF(D63&lt;&gt;"",D63,IFERROR(INDEX(Services!$O$5:$O$64,MATCH(C63,Services!$B$5:$B$64,0)),"")))</f>
        <v>0</v>
      </c>
      <c r="N63" s="34">
        <f>IF(B63="","",IFERROR(INDEX(Services!$G$5:$G$64,MATCH(C63,Services!$B$5:$B$64,0)),0)*IF(E63="",1,IF(IFERROR(INDEX(Services!$D$5:$D$64,MATCH(C63,Services!$B$5:$B$64,0)),"")="Per hour",1,E63)))</f>
        <v>0</v>
      </c>
      <c r="O63" s="21">
        <f>IF(B63="","",ROUND(IF(E63="",1,E63)*L63,2))</f>
        <v>0</v>
      </c>
      <c r="P63" s="21">
        <f>IF(B63="","",ROUND(O63*(1-IF(G63="",0,G63)),2))</f>
        <v>0</v>
      </c>
      <c r="Q63" s="21">
        <f>IF(B63="","",ROUND(N63*CostPerHour+IF(E63="",1,E63)*IFERROR(INDEX(Services!$R$5:$R$64,MATCH(C63,Services!$B$5:$B$64,0)),0),2))</f>
        <v>0</v>
      </c>
      <c r="R63" s="38">
        <f>IF(OR(B63="",P63=0),"",(P63-Q63)/P63)</f>
        <v>0</v>
      </c>
      <c r="S63" s="31">
        <f>IF(OR(B63="",C63=""),"",COUNTIFS($B$5:B63,B63))</f>
        <v>0</v>
      </c>
      <c r="T63" s="23">
        <f>IF(S63="","",B63&amp;"|"&amp;S63)</f>
        <v>0</v>
      </c>
      <c r="U63" s="39">
        <f>IF(B63="","",IF(C63="","Add - pick a service",IF(E63="","Add - how many?",IF(L63=0,"Add - no price",IF(AND(R63&lt;&gt;"",R63&lt;MarginFloor),"Below - thin margin","OK")))))</f>
        <v>0</v>
      </c>
    </row>
    <row r="64" spans="1:21">
      <c r="A64" s="43">
        <f>IF(B64="","","QL-"&amp;TEXT(ROW()-4,"0000"))</f>
        <v>0</v>
      </c>
      <c r="J64" s="21">
        <f>IF(C64="","",IFERROR(INDEX(Services!$P$5:$P$64,MATCH(C64,Services!$B$5:$B$64,0)),"0"))</f>
        <v>0</v>
      </c>
      <c r="K64" s="23">
        <f>IF(C64="","",IFERROR(INDEX(Services!$E$5:$E$64,MATCH(C64,Services!$B$5:$B$64,0)),""))</f>
        <v>0</v>
      </c>
      <c r="L64" s="21">
        <f>IF(B64="","",IF(F64&lt;&gt;"",F64,IFERROR(J64*1,0)))</f>
        <v>0</v>
      </c>
      <c r="M64" s="51">
        <f>IF(B64="","",IF(D64&lt;&gt;"",D64,IFERROR(INDEX(Services!$O$5:$O$64,MATCH(C64,Services!$B$5:$B$64,0)),"")))</f>
        <v>0</v>
      </c>
      <c r="N64" s="34">
        <f>IF(B64="","",IFERROR(INDEX(Services!$G$5:$G$64,MATCH(C64,Services!$B$5:$B$64,0)),0)*IF(E64="",1,IF(IFERROR(INDEX(Services!$D$5:$D$64,MATCH(C64,Services!$B$5:$B$64,0)),"")="Per hour",1,E64)))</f>
        <v>0</v>
      </c>
      <c r="O64" s="21">
        <f>IF(B64="","",ROUND(IF(E64="",1,E64)*L64,2))</f>
        <v>0</v>
      </c>
      <c r="P64" s="21">
        <f>IF(B64="","",ROUND(O64*(1-IF(G64="",0,G64)),2))</f>
        <v>0</v>
      </c>
      <c r="Q64" s="21">
        <f>IF(B64="","",ROUND(N64*CostPerHour+IF(E64="",1,E64)*IFERROR(INDEX(Services!$R$5:$R$64,MATCH(C64,Services!$B$5:$B$64,0)),0),2))</f>
        <v>0</v>
      </c>
      <c r="R64" s="38">
        <f>IF(OR(B64="",P64=0),"",(P64-Q64)/P64)</f>
        <v>0</v>
      </c>
      <c r="S64" s="31">
        <f>IF(OR(B64="",C64=""),"",COUNTIFS($B$5:B64,B64))</f>
        <v>0</v>
      </c>
      <c r="T64" s="23">
        <f>IF(S64="","",B64&amp;"|"&amp;S64)</f>
        <v>0</v>
      </c>
      <c r="U64" s="39">
        <f>IF(B64="","",IF(C64="","Add - pick a service",IF(E64="","Add - how many?",IF(L64=0,"Add - no price",IF(AND(R64&lt;&gt;"",R64&lt;MarginFloor),"Below - thin margin","OK")))))</f>
        <v>0</v>
      </c>
    </row>
    <row r="65" spans="1:21">
      <c r="A65" s="43">
        <f>IF(B65="","","QL-"&amp;TEXT(ROW()-4,"0000"))</f>
        <v>0</v>
      </c>
      <c r="J65" s="21">
        <f>IF(C65="","",IFERROR(INDEX(Services!$P$5:$P$64,MATCH(C65,Services!$B$5:$B$64,0)),"0"))</f>
        <v>0</v>
      </c>
      <c r="K65" s="23">
        <f>IF(C65="","",IFERROR(INDEX(Services!$E$5:$E$64,MATCH(C65,Services!$B$5:$B$64,0)),""))</f>
        <v>0</v>
      </c>
      <c r="L65" s="21">
        <f>IF(B65="","",IF(F65&lt;&gt;"",F65,IFERROR(J65*1,0)))</f>
        <v>0</v>
      </c>
      <c r="M65" s="51">
        <f>IF(B65="","",IF(D65&lt;&gt;"",D65,IFERROR(INDEX(Services!$O$5:$O$64,MATCH(C65,Services!$B$5:$B$64,0)),"")))</f>
        <v>0</v>
      </c>
      <c r="N65" s="34">
        <f>IF(B65="","",IFERROR(INDEX(Services!$G$5:$G$64,MATCH(C65,Services!$B$5:$B$64,0)),0)*IF(E65="",1,IF(IFERROR(INDEX(Services!$D$5:$D$64,MATCH(C65,Services!$B$5:$B$64,0)),"")="Per hour",1,E65)))</f>
        <v>0</v>
      </c>
      <c r="O65" s="21">
        <f>IF(B65="","",ROUND(IF(E65="",1,E65)*L65,2))</f>
        <v>0</v>
      </c>
      <c r="P65" s="21">
        <f>IF(B65="","",ROUND(O65*(1-IF(G65="",0,G65)),2))</f>
        <v>0</v>
      </c>
      <c r="Q65" s="21">
        <f>IF(B65="","",ROUND(N65*CostPerHour+IF(E65="",1,E65)*IFERROR(INDEX(Services!$R$5:$R$64,MATCH(C65,Services!$B$5:$B$64,0)),0),2))</f>
        <v>0</v>
      </c>
      <c r="R65" s="38">
        <f>IF(OR(B65="",P65=0),"",(P65-Q65)/P65)</f>
        <v>0</v>
      </c>
      <c r="S65" s="31">
        <f>IF(OR(B65="",C65=""),"",COUNTIFS($B$5:B65,B65))</f>
        <v>0</v>
      </c>
      <c r="T65" s="23">
        <f>IF(S65="","",B65&amp;"|"&amp;S65)</f>
        <v>0</v>
      </c>
      <c r="U65" s="39">
        <f>IF(B65="","",IF(C65="","Add - pick a service",IF(E65="","Add - how many?",IF(L65=0,"Add - no price",IF(AND(R65&lt;&gt;"",R65&lt;MarginFloor),"Below - thin margin","OK")))))</f>
        <v>0</v>
      </c>
    </row>
    <row r="66" spans="1:21">
      <c r="A66" s="43">
        <f>IF(B66="","","QL-"&amp;TEXT(ROW()-4,"0000"))</f>
        <v>0</v>
      </c>
      <c r="J66" s="21">
        <f>IF(C66="","",IFERROR(INDEX(Services!$P$5:$P$64,MATCH(C66,Services!$B$5:$B$64,0)),"0"))</f>
        <v>0</v>
      </c>
      <c r="K66" s="23">
        <f>IF(C66="","",IFERROR(INDEX(Services!$E$5:$E$64,MATCH(C66,Services!$B$5:$B$64,0)),""))</f>
        <v>0</v>
      </c>
      <c r="L66" s="21">
        <f>IF(B66="","",IF(F66&lt;&gt;"",F66,IFERROR(J66*1,0)))</f>
        <v>0</v>
      </c>
      <c r="M66" s="51">
        <f>IF(B66="","",IF(D66&lt;&gt;"",D66,IFERROR(INDEX(Services!$O$5:$O$64,MATCH(C66,Services!$B$5:$B$64,0)),"")))</f>
        <v>0</v>
      </c>
      <c r="N66" s="34">
        <f>IF(B66="","",IFERROR(INDEX(Services!$G$5:$G$64,MATCH(C66,Services!$B$5:$B$64,0)),0)*IF(E66="",1,IF(IFERROR(INDEX(Services!$D$5:$D$64,MATCH(C66,Services!$B$5:$B$64,0)),"")="Per hour",1,E66)))</f>
        <v>0</v>
      </c>
      <c r="O66" s="21">
        <f>IF(B66="","",ROUND(IF(E66="",1,E66)*L66,2))</f>
        <v>0</v>
      </c>
      <c r="P66" s="21">
        <f>IF(B66="","",ROUND(O66*(1-IF(G66="",0,G66)),2))</f>
        <v>0</v>
      </c>
      <c r="Q66" s="21">
        <f>IF(B66="","",ROUND(N66*CostPerHour+IF(E66="",1,E66)*IFERROR(INDEX(Services!$R$5:$R$64,MATCH(C66,Services!$B$5:$B$64,0)),0),2))</f>
        <v>0</v>
      </c>
      <c r="R66" s="38">
        <f>IF(OR(B66="",P66=0),"",(P66-Q66)/P66)</f>
        <v>0</v>
      </c>
      <c r="S66" s="31">
        <f>IF(OR(B66="",C66=""),"",COUNTIFS($B$5:B66,B66))</f>
        <v>0</v>
      </c>
      <c r="T66" s="23">
        <f>IF(S66="","",B66&amp;"|"&amp;S66)</f>
        <v>0</v>
      </c>
      <c r="U66" s="39">
        <f>IF(B66="","",IF(C66="","Add - pick a service",IF(E66="","Add - how many?",IF(L66=0,"Add - no price",IF(AND(R66&lt;&gt;"",R66&lt;MarginFloor),"Below - thin margin","OK")))))</f>
        <v>0</v>
      </c>
    </row>
    <row r="67" spans="1:21">
      <c r="A67" s="43">
        <f>IF(B67="","","QL-"&amp;TEXT(ROW()-4,"0000"))</f>
        <v>0</v>
      </c>
      <c r="J67" s="21">
        <f>IF(C67="","",IFERROR(INDEX(Services!$P$5:$P$64,MATCH(C67,Services!$B$5:$B$64,0)),"0"))</f>
        <v>0</v>
      </c>
      <c r="K67" s="23">
        <f>IF(C67="","",IFERROR(INDEX(Services!$E$5:$E$64,MATCH(C67,Services!$B$5:$B$64,0)),""))</f>
        <v>0</v>
      </c>
      <c r="L67" s="21">
        <f>IF(B67="","",IF(F67&lt;&gt;"",F67,IFERROR(J67*1,0)))</f>
        <v>0</v>
      </c>
      <c r="M67" s="51">
        <f>IF(B67="","",IF(D67&lt;&gt;"",D67,IFERROR(INDEX(Services!$O$5:$O$64,MATCH(C67,Services!$B$5:$B$64,0)),"")))</f>
        <v>0</v>
      </c>
      <c r="N67" s="34">
        <f>IF(B67="","",IFERROR(INDEX(Services!$G$5:$G$64,MATCH(C67,Services!$B$5:$B$64,0)),0)*IF(E67="",1,IF(IFERROR(INDEX(Services!$D$5:$D$64,MATCH(C67,Services!$B$5:$B$64,0)),"")="Per hour",1,E67)))</f>
        <v>0</v>
      </c>
      <c r="O67" s="21">
        <f>IF(B67="","",ROUND(IF(E67="",1,E67)*L67,2))</f>
        <v>0</v>
      </c>
      <c r="P67" s="21">
        <f>IF(B67="","",ROUND(O67*(1-IF(G67="",0,G67)),2))</f>
        <v>0</v>
      </c>
      <c r="Q67" s="21">
        <f>IF(B67="","",ROUND(N67*CostPerHour+IF(E67="",1,E67)*IFERROR(INDEX(Services!$R$5:$R$64,MATCH(C67,Services!$B$5:$B$64,0)),0),2))</f>
        <v>0</v>
      </c>
      <c r="R67" s="38">
        <f>IF(OR(B67="",P67=0),"",(P67-Q67)/P67)</f>
        <v>0</v>
      </c>
      <c r="S67" s="31">
        <f>IF(OR(B67="",C67=""),"",COUNTIFS($B$5:B67,B67))</f>
        <v>0</v>
      </c>
      <c r="T67" s="23">
        <f>IF(S67="","",B67&amp;"|"&amp;S67)</f>
        <v>0</v>
      </c>
      <c r="U67" s="39">
        <f>IF(B67="","",IF(C67="","Add - pick a service",IF(E67="","Add - how many?",IF(L67=0,"Add - no price",IF(AND(R67&lt;&gt;"",R67&lt;MarginFloor),"Below - thin margin","OK")))))</f>
        <v>0</v>
      </c>
    </row>
    <row r="68" spans="1:21">
      <c r="A68" s="43">
        <f>IF(B68="","","QL-"&amp;TEXT(ROW()-4,"0000"))</f>
        <v>0</v>
      </c>
      <c r="J68" s="21">
        <f>IF(C68="","",IFERROR(INDEX(Services!$P$5:$P$64,MATCH(C68,Services!$B$5:$B$64,0)),"0"))</f>
        <v>0</v>
      </c>
      <c r="K68" s="23">
        <f>IF(C68="","",IFERROR(INDEX(Services!$E$5:$E$64,MATCH(C68,Services!$B$5:$B$64,0)),""))</f>
        <v>0</v>
      </c>
      <c r="L68" s="21">
        <f>IF(B68="","",IF(F68&lt;&gt;"",F68,IFERROR(J68*1,0)))</f>
        <v>0</v>
      </c>
      <c r="M68" s="51">
        <f>IF(B68="","",IF(D68&lt;&gt;"",D68,IFERROR(INDEX(Services!$O$5:$O$64,MATCH(C68,Services!$B$5:$B$64,0)),"")))</f>
        <v>0</v>
      </c>
      <c r="N68" s="34">
        <f>IF(B68="","",IFERROR(INDEX(Services!$G$5:$G$64,MATCH(C68,Services!$B$5:$B$64,0)),0)*IF(E68="",1,IF(IFERROR(INDEX(Services!$D$5:$D$64,MATCH(C68,Services!$B$5:$B$64,0)),"")="Per hour",1,E68)))</f>
        <v>0</v>
      </c>
      <c r="O68" s="21">
        <f>IF(B68="","",ROUND(IF(E68="",1,E68)*L68,2))</f>
        <v>0</v>
      </c>
      <c r="P68" s="21">
        <f>IF(B68="","",ROUND(O68*(1-IF(G68="",0,G68)),2))</f>
        <v>0</v>
      </c>
      <c r="Q68" s="21">
        <f>IF(B68="","",ROUND(N68*CostPerHour+IF(E68="",1,E68)*IFERROR(INDEX(Services!$R$5:$R$64,MATCH(C68,Services!$B$5:$B$64,0)),0),2))</f>
        <v>0</v>
      </c>
      <c r="R68" s="38">
        <f>IF(OR(B68="",P68=0),"",(P68-Q68)/P68)</f>
        <v>0</v>
      </c>
      <c r="S68" s="31">
        <f>IF(OR(B68="",C68=""),"",COUNTIFS($B$5:B68,B68))</f>
        <v>0</v>
      </c>
      <c r="T68" s="23">
        <f>IF(S68="","",B68&amp;"|"&amp;S68)</f>
        <v>0</v>
      </c>
      <c r="U68" s="39">
        <f>IF(B68="","",IF(C68="","Add - pick a service",IF(E68="","Add - how many?",IF(L68=0,"Add - no price",IF(AND(R68&lt;&gt;"",R68&lt;MarginFloor),"Below - thin margin","OK")))))</f>
        <v>0</v>
      </c>
    </row>
    <row r="69" spans="1:21">
      <c r="A69" s="43">
        <f>IF(B69="","","QL-"&amp;TEXT(ROW()-4,"0000"))</f>
        <v>0</v>
      </c>
      <c r="J69" s="21">
        <f>IF(C69="","",IFERROR(INDEX(Services!$P$5:$P$64,MATCH(C69,Services!$B$5:$B$64,0)),"0"))</f>
        <v>0</v>
      </c>
      <c r="K69" s="23">
        <f>IF(C69="","",IFERROR(INDEX(Services!$E$5:$E$64,MATCH(C69,Services!$B$5:$B$64,0)),""))</f>
        <v>0</v>
      </c>
      <c r="L69" s="21">
        <f>IF(B69="","",IF(F69&lt;&gt;"",F69,IFERROR(J69*1,0)))</f>
        <v>0</v>
      </c>
      <c r="M69" s="51">
        <f>IF(B69="","",IF(D69&lt;&gt;"",D69,IFERROR(INDEX(Services!$O$5:$O$64,MATCH(C69,Services!$B$5:$B$64,0)),"")))</f>
        <v>0</v>
      </c>
      <c r="N69" s="34">
        <f>IF(B69="","",IFERROR(INDEX(Services!$G$5:$G$64,MATCH(C69,Services!$B$5:$B$64,0)),0)*IF(E69="",1,IF(IFERROR(INDEX(Services!$D$5:$D$64,MATCH(C69,Services!$B$5:$B$64,0)),"")="Per hour",1,E69)))</f>
        <v>0</v>
      </c>
      <c r="O69" s="21">
        <f>IF(B69="","",ROUND(IF(E69="",1,E69)*L69,2))</f>
        <v>0</v>
      </c>
      <c r="P69" s="21">
        <f>IF(B69="","",ROUND(O69*(1-IF(G69="",0,G69)),2))</f>
        <v>0</v>
      </c>
      <c r="Q69" s="21">
        <f>IF(B69="","",ROUND(N69*CostPerHour+IF(E69="",1,E69)*IFERROR(INDEX(Services!$R$5:$R$64,MATCH(C69,Services!$B$5:$B$64,0)),0),2))</f>
        <v>0</v>
      </c>
      <c r="R69" s="38">
        <f>IF(OR(B69="",P69=0),"",(P69-Q69)/P69)</f>
        <v>0</v>
      </c>
      <c r="S69" s="31">
        <f>IF(OR(B69="",C69=""),"",COUNTIFS($B$5:B69,B69))</f>
        <v>0</v>
      </c>
      <c r="T69" s="23">
        <f>IF(S69="","",B69&amp;"|"&amp;S69)</f>
        <v>0</v>
      </c>
      <c r="U69" s="39">
        <f>IF(B69="","",IF(C69="","Add - pick a service",IF(E69="","Add - how many?",IF(L69=0,"Add - no price",IF(AND(R69&lt;&gt;"",R69&lt;MarginFloor),"Below - thin margin","OK")))))</f>
        <v>0</v>
      </c>
    </row>
    <row r="70" spans="1:21">
      <c r="A70" s="43">
        <f>IF(B70="","","QL-"&amp;TEXT(ROW()-4,"0000"))</f>
        <v>0</v>
      </c>
      <c r="J70" s="21">
        <f>IF(C70="","",IFERROR(INDEX(Services!$P$5:$P$64,MATCH(C70,Services!$B$5:$B$64,0)),"0"))</f>
        <v>0</v>
      </c>
      <c r="K70" s="23">
        <f>IF(C70="","",IFERROR(INDEX(Services!$E$5:$E$64,MATCH(C70,Services!$B$5:$B$64,0)),""))</f>
        <v>0</v>
      </c>
      <c r="L70" s="21">
        <f>IF(B70="","",IF(F70&lt;&gt;"",F70,IFERROR(J70*1,0)))</f>
        <v>0</v>
      </c>
      <c r="M70" s="51">
        <f>IF(B70="","",IF(D70&lt;&gt;"",D70,IFERROR(INDEX(Services!$O$5:$O$64,MATCH(C70,Services!$B$5:$B$64,0)),"")))</f>
        <v>0</v>
      </c>
      <c r="N70" s="34">
        <f>IF(B70="","",IFERROR(INDEX(Services!$G$5:$G$64,MATCH(C70,Services!$B$5:$B$64,0)),0)*IF(E70="",1,IF(IFERROR(INDEX(Services!$D$5:$D$64,MATCH(C70,Services!$B$5:$B$64,0)),"")="Per hour",1,E70)))</f>
        <v>0</v>
      </c>
      <c r="O70" s="21">
        <f>IF(B70="","",ROUND(IF(E70="",1,E70)*L70,2))</f>
        <v>0</v>
      </c>
      <c r="P70" s="21">
        <f>IF(B70="","",ROUND(O70*(1-IF(G70="",0,G70)),2))</f>
        <v>0</v>
      </c>
      <c r="Q70" s="21">
        <f>IF(B70="","",ROUND(N70*CostPerHour+IF(E70="",1,E70)*IFERROR(INDEX(Services!$R$5:$R$64,MATCH(C70,Services!$B$5:$B$64,0)),0),2))</f>
        <v>0</v>
      </c>
      <c r="R70" s="38">
        <f>IF(OR(B70="",P70=0),"",(P70-Q70)/P70)</f>
        <v>0</v>
      </c>
      <c r="S70" s="31">
        <f>IF(OR(B70="",C70=""),"",COUNTIFS($B$5:B70,B70))</f>
        <v>0</v>
      </c>
      <c r="T70" s="23">
        <f>IF(S70="","",B70&amp;"|"&amp;S70)</f>
        <v>0</v>
      </c>
      <c r="U70" s="39">
        <f>IF(B70="","",IF(C70="","Add - pick a service",IF(E70="","Add - how many?",IF(L70=0,"Add - no price",IF(AND(R70&lt;&gt;"",R70&lt;MarginFloor),"Below - thin margin","OK")))))</f>
        <v>0</v>
      </c>
    </row>
    <row r="71" spans="1:21">
      <c r="A71" s="43">
        <f>IF(B71="","","QL-"&amp;TEXT(ROW()-4,"0000"))</f>
        <v>0</v>
      </c>
      <c r="J71" s="21">
        <f>IF(C71="","",IFERROR(INDEX(Services!$P$5:$P$64,MATCH(C71,Services!$B$5:$B$64,0)),"0"))</f>
        <v>0</v>
      </c>
      <c r="K71" s="23">
        <f>IF(C71="","",IFERROR(INDEX(Services!$E$5:$E$64,MATCH(C71,Services!$B$5:$B$64,0)),""))</f>
        <v>0</v>
      </c>
      <c r="L71" s="21">
        <f>IF(B71="","",IF(F71&lt;&gt;"",F71,IFERROR(J71*1,0)))</f>
        <v>0</v>
      </c>
      <c r="M71" s="51">
        <f>IF(B71="","",IF(D71&lt;&gt;"",D71,IFERROR(INDEX(Services!$O$5:$O$64,MATCH(C71,Services!$B$5:$B$64,0)),"")))</f>
        <v>0</v>
      </c>
      <c r="N71" s="34">
        <f>IF(B71="","",IFERROR(INDEX(Services!$G$5:$G$64,MATCH(C71,Services!$B$5:$B$64,0)),0)*IF(E71="",1,IF(IFERROR(INDEX(Services!$D$5:$D$64,MATCH(C71,Services!$B$5:$B$64,0)),"")="Per hour",1,E71)))</f>
        <v>0</v>
      </c>
      <c r="O71" s="21">
        <f>IF(B71="","",ROUND(IF(E71="",1,E71)*L71,2))</f>
        <v>0</v>
      </c>
      <c r="P71" s="21">
        <f>IF(B71="","",ROUND(O71*(1-IF(G71="",0,G71)),2))</f>
        <v>0</v>
      </c>
      <c r="Q71" s="21">
        <f>IF(B71="","",ROUND(N71*CostPerHour+IF(E71="",1,E71)*IFERROR(INDEX(Services!$R$5:$R$64,MATCH(C71,Services!$B$5:$B$64,0)),0),2))</f>
        <v>0</v>
      </c>
      <c r="R71" s="38">
        <f>IF(OR(B71="",P71=0),"",(P71-Q71)/P71)</f>
        <v>0</v>
      </c>
      <c r="S71" s="31">
        <f>IF(OR(B71="",C71=""),"",COUNTIFS($B$5:B71,B71))</f>
        <v>0</v>
      </c>
      <c r="T71" s="23">
        <f>IF(S71="","",B71&amp;"|"&amp;S71)</f>
        <v>0</v>
      </c>
      <c r="U71" s="39">
        <f>IF(B71="","",IF(C71="","Add - pick a service",IF(E71="","Add - how many?",IF(L71=0,"Add - no price",IF(AND(R71&lt;&gt;"",R71&lt;MarginFloor),"Below - thin margin","OK")))))</f>
        <v>0</v>
      </c>
    </row>
    <row r="72" spans="1:21">
      <c r="A72" s="43">
        <f>IF(B72="","","QL-"&amp;TEXT(ROW()-4,"0000"))</f>
        <v>0</v>
      </c>
      <c r="J72" s="21">
        <f>IF(C72="","",IFERROR(INDEX(Services!$P$5:$P$64,MATCH(C72,Services!$B$5:$B$64,0)),"0"))</f>
        <v>0</v>
      </c>
      <c r="K72" s="23">
        <f>IF(C72="","",IFERROR(INDEX(Services!$E$5:$E$64,MATCH(C72,Services!$B$5:$B$64,0)),""))</f>
        <v>0</v>
      </c>
      <c r="L72" s="21">
        <f>IF(B72="","",IF(F72&lt;&gt;"",F72,IFERROR(J72*1,0)))</f>
        <v>0</v>
      </c>
      <c r="M72" s="51">
        <f>IF(B72="","",IF(D72&lt;&gt;"",D72,IFERROR(INDEX(Services!$O$5:$O$64,MATCH(C72,Services!$B$5:$B$64,0)),"")))</f>
        <v>0</v>
      </c>
      <c r="N72" s="34">
        <f>IF(B72="","",IFERROR(INDEX(Services!$G$5:$G$64,MATCH(C72,Services!$B$5:$B$64,0)),0)*IF(E72="",1,IF(IFERROR(INDEX(Services!$D$5:$D$64,MATCH(C72,Services!$B$5:$B$64,0)),"")="Per hour",1,E72)))</f>
        <v>0</v>
      </c>
      <c r="O72" s="21">
        <f>IF(B72="","",ROUND(IF(E72="",1,E72)*L72,2))</f>
        <v>0</v>
      </c>
      <c r="P72" s="21">
        <f>IF(B72="","",ROUND(O72*(1-IF(G72="",0,G72)),2))</f>
        <v>0</v>
      </c>
      <c r="Q72" s="21">
        <f>IF(B72="","",ROUND(N72*CostPerHour+IF(E72="",1,E72)*IFERROR(INDEX(Services!$R$5:$R$64,MATCH(C72,Services!$B$5:$B$64,0)),0),2))</f>
        <v>0</v>
      </c>
      <c r="R72" s="38">
        <f>IF(OR(B72="",P72=0),"",(P72-Q72)/P72)</f>
        <v>0</v>
      </c>
      <c r="S72" s="31">
        <f>IF(OR(B72="",C72=""),"",COUNTIFS($B$5:B72,B72))</f>
        <v>0</v>
      </c>
      <c r="T72" s="23">
        <f>IF(S72="","",B72&amp;"|"&amp;S72)</f>
        <v>0</v>
      </c>
      <c r="U72" s="39">
        <f>IF(B72="","",IF(C72="","Add - pick a service",IF(E72="","Add - how many?",IF(L72=0,"Add - no price",IF(AND(R72&lt;&gt;"",R72&lt;MarginFloor),"Below - thin margin","OK")))))</f>
        <v>0</v>
      </c>
    </row>
    <row r="73" spans="1:21">
      <c r="A73" s="43">
        <f>IF(B73="","","QL-"&amp;TEXT(ROW()-4,"0000"))</f>
        <v>0</v>
      </c>
      <c r="J73" s="21">
        <f>IF(C73="","",IFERROR(INDEX(Services!$P$5:$P$64,MATCH(C73,Services!$B$5:$B$64,0)),"0"))</f>
        <v>0</v>
      </c>
      <c r="K73" s="23">
        <f>IF(C73="","",IFERROR(INDEX(Services!$E$5:$E$64,MATCH(C73,Services!$B$5:$B$64,0)),""))</f>
        <v>0</v>
      </c>
      <c r="L73" s="21">
        <f>IF(B73="","",IF(F73&lt;&gt;"",F73,IFERROR(J73*1,0)))</f>
        <v>0</v>
      </c>
      <c r="M73" s="51">
        <f>IF(B73="","",IF(D73&lt;&gt;"",D73,IFERROR(INDEX(Services!$O$5:$O$64,MATCH(C73,Services!$B$5:$B$64,0)),"")))</f>
        <v>0</v>
      </c>
      <c r="N73" s="34">
        <f>IF(B73="","",IFERROR(INDEX(Services!$G$5:$G$64,MATCH(C73,Services!$B$5:$B$64,0)),0)*IF(E73="",1,IF(IFERROR(INDEX(Services!$D$5:$D$64,MATCH(C73,Services!$B$5:$B$64,0)),"")="Per hour",1,E73)))</f>
        <v>0</v>
      </c>
      <c r="O73" s="21">
        <f>IF(B73="","",ROUND(IF(E73="",1,E73)*L73,2))</f>
        <v>0</v>
      </c>
      <c r="P73" s="21">
        <f>IF(B73="","",ROUND(O73*(1-IF(G73="",0,G73)),2))</f>
        <v>0</v>
      </c>
      <c r="Q73" s="21">
        <f>IF(B73="","",ROUND(N73*CostPerHour+IF(E73="",1,E73)*IFERROR(INDEX(Services!$R$5:$R$64,MATCH(C73,Services!$B$5:$B$64,0)),0),2))</f>
        <v>0</v>
      </c>
      <c r="R73" s="38">
        <f>IF(OR(B73="",P73=0),"",(P73-Q73)/P73)</f>
        <v>0</v>
      </c>
      <c r="S73" s="31">
        <f>IF(OR(B73="",C73=""),"",COUNTIFS($B$5:B73,B73))</f>
        <v>0</v>
      </c>
      <c r="T73" s="23">
        <f>IF(S73="","",B73&amp;"|"&amp;S73)</f>
        <v>0</v>
      </c>
      <c r="U73" s="39">
        <f>IF(B73="","",IF(C73="","Add - pick a service",IF(E73="","Add - how many?",IF(L73=0,"Add - no price",IF(AND(R73&lt;&gt;"",R73&lt;MarginFloor),"Below - thin margin","OK")))))</f>
        <v>0</v>
      </c>
    </row>
    <row r="74" spans="1:21">
      <c r="A74" s="43">
        <f>IF(B74="","","QL-"&amp;TEXT(ROW()-4,"0000"))</f>
        <v>0</v>
      </c>
      <c r="J74" s="21">
        <f>IF(C74="","",IFERROR(INDEX(Services!$P$5:$P$64,MATCH(C74,Services!$B$5:$B$64,0)),"0"))</f>
        <v>0</v>
      </c>
      <c r="K74" s="23">
        <f>IF(C74="","",IFERROR(INDEX(Services!$E$5:$E$64,MATCH(C74,Services!$B$5:$B$64,0)),""))</f>
        <v>0</v>
      </c>
      <c r="L74" s="21">
        <f>IF(B74="","",IF(F74&lt;&gt;"",F74,IFERROR(J74*1,0)))</f>
        <v>0</v>
      </c>
      <c r="M74" s="51">
        <f>IF(B74="","",IF(D74&lt;&gt;"",D74,IFERROR(INDEX(Services!$O$5:$O$64,MATCH(C74,Services!$B$5:$B$64,0)),"")))</f>
        <v>0</v>
      </c>
      <c r="N74" s="34">
        <f>IF(B74="","",IFERROR(INDEX(Services!$G$5:$G$64,MATCH(C74,Services!$B$5:$B$64,0)),0)*IF(E74="",1,IF(IFERROR(INDEX(Services!$D$5:$D$64,MATCH(C74,Services!$B$5:$B$64,0)),"")="Per hour",1,E74)))</f>
        <v>0</v>
      </c>
      <c r="O74" s="21">
        <f>IF(B74="","",ROUND(IF(E74="",1,E74)*L74,2))</f>
        <v>0</v>
      </c>
      <c r="P74" s="21">
        <f>IF(B74="","",ROUND(O74*(1-IF(G74="",0,G74)),2))</f>
        <v>0</v>
      </c>
      <c r="Q74" s="21">
        <f>IF(B74="","",ROUND(N74*CostPerHour+IF(E74="",1,E74)*IFERROR(INDEX(Services!$R$5:$R$64,MATCH(C74,Services!$B$5:$B$64,0)),0),2))</f>
        <v>0</v>
      </c>
      <c r="R74" s="38">
        <f>IF(OR(B74="",P74=0),"",(P74-Q74)/P74)</f>
        <v>0</v>
      </c>
      <c r="S74" s="31">
        <f>IF(OR(B74="",C74=""),"",COUNTIFS($B$5:B74,B74))</f>
        <v>0</v>
      </c>
      <c r="T74" s="23">
        <f>IF(S74="","",B74&amp;"|"&amp;S74)</f>
        <v>0</v>
      </c>
      <c r="U74" s="39">
        <f>IF(B74="","",IF(C74="","Add - pick a service",IF(E74="","Add - how many?",IF(L74=0,"Add - no price",IF(AND(R74&lt;&gt;"",R74&lt;MarginFloor),"Below - thin margin","OK")))))</f>
        <v>0</v>
      </c>
    </row>
    <row r="75" spans="1:21">
      <c r="A75" s="43">
        <f>IF(B75="","","QL-"&amp;TEXT(ROW()-4,"0000"))</f>
        <v>0</v>
      </c>
      <c r="J75" s="21">
        <f>IF(C75="","",IFERROR(INDEX(Services!$P$5:$P$64,MATCH(C75,Services!$B$5:$B$64,0)),"0"))</f>
        <v>0</v>
      </c>
      <c r="K75" s="23">
        <f>IF(C75="","",IFERROR(INDEX(Services!$E$5:$E$64,MATCH(C75,Services!$B$5:$B$64,0)),""))</f>
        <v>0</v>
      </c>
      <c r="L75" s="21">
        <f>IF(B75="","",IF(F75&lt;&gt;"",F75,IFERROR(J75*1,0)))</f>
        <v>0</v>
      </c>
      <c r="M75" s="51">
        <f>IF(B75="","",IF(D75&lt;&gt;"",D75,IFERROR(INDEX(Services!$O$5:$O$64,MATCH(C75,Services!$B$5:$B$64,0)),"")))</f>
        <v>0</v>
      </c>
      <c r="N75" s="34">
        <f>IF(B75="","",IFERROR(INDEX(Services!$G$5:$G$64,MATCH(C75,Services!$B$5:$B$64,0)),0)*IF(E75="",1,IF(IFERROR(INDEX(Services!$D$5:$D$64,MATCH(C75,Services!$B$5:$B$64,0)),"")="Per hour",1,E75)))</f>
        <v>0</v>
      </c>
      <c r="O75" s="21">
        <f>IF(B75="","",ROUND(IF(E75="",1,E75)*L75,2))</f>
        <v>0</v>
      </c>
      <c r="P75" s="21">
        <f>IF(B75="","",ROUND(O75*(1-IF(G75="",0,G75)),2))</f>
        <v>0</v>
      </c>
      <c r="Q75" s="21">
        <f>IF(B75="","",ROUND(N75*CostPerHour+IF(E75="",1,E75)*IFERROR(INDEX(Services!$R$5:$R$64,MATCH(C75,Services!$B$5:$B$64,0)),0),2))</f>
        <v>0</v>
      </c>
      <c r="R75" s="38">
        <f>IF(OR(B75="",P75=0),"",(P75-Q75)/P75)</f>
        <v>0</v>
      </c>
      <c r="S75" s="31">
        <f>IF(OR(B75="",C75=""),"",COUNTIFS($B$5:B75,B75))</f>
        <v>0</v>
      </c>
      <c r="T75" s="23">
        <f>IF(S75="","",B75&amp;"|"&amp;S75)</f>
        <v>0</v>
      </c>
      <c r="U75" s="39">
        <f>IF(B75="","",IF(C75="","Add - pick a service",IF(E75="","Add - how many?",IF(L75=0,"Add - no price",IF(AND(R75&lt;&gt;"",R75&lt;MarginFloor),"Below - thin margin","OK")))))</f>
        <v>0</v>
      </c>
    </row>
    <row r="76" spans="1:21">
      <c r="A76" s="43">
        <f>IF(B76="","","QL-"&amp;TEXT(ROW()-4,"0000"))</f>
        <v>0</v>
      </c>
      <c r="J76" s="21">
        <f>IF(C76="","",IFERROR(INDEX(Services!$P$5:$P$64,MATCH(C76,Services!$B$5:$B$64,0)),"0"))</f>
        <v>0</v>
      </c>
      <c r="K76" s="23">
        <f>IF(C76="","",IFERROR(INDEX(Services!$E$5:$E$64,MATCH(C76,Services!$B$5:$B$64,0)),""))</f>
        <v>0</v>
      </c>
      <c r="L76" s="21">
        <f>IF(B76="","",IF(F76&lt;&gt;"",F76,IFERROR(J76*1,0)))</f>
        <v>0</v>
      </c>
      <c r="M76" s="51">
        <f>IF(B76="","",IF(D76&lt;&gt;"",D76,IFERROR(INDEX(Services!$O$5:$O$64,MATCH(C76,Services!$B$5:$B$64,0)),"")))</f>
        <v>0</v>
      </c>
      <c r="N76" s="34">
        <f>IF(B76="","",IFERROR(INDEX(Services!$G$5:$G$64,MATCH(C76,Services!$B$5:$B$64,0)),0)*IF(E76="",1,IF(IFERROR(INDEX(Services!$D$5:$D$64,MATCH(C76,Services!$B$5:$B$64,0)),"")="Per hour",1,E76)))</f>
        <v>0</v>
      </c>
      <c r="O76" s="21">
        <f>IF(B76="","",ROUND(IF(E76="",1,E76)*L76,2))</f>
        <v>0</v>
      </c>
      <c r="P76" s="21">
        <f>IF(B76="","",ROUND(O76*(1-IF(G76="",0,G76)),2))</f>
        <v>0</v>
      </c>
      <c r="Q76" s="21">
        <f>IF(B76="","",ROUND(N76*CostPerHour+IF(E76="",1,E76)*IFERROR(INDEX(Services!$R$5:$R$64,MATCH(C76,Services!$B$5:$B$64,0)),0),2))</f>
        <v>0</v>
      </c>
      <c r="R76" s="38">
        <f>IF(OR(B76="",P76=0),"",(P76-Q76)/P76)</f>
        <v>0</v>
      </c>
      <c r="S76" s="31">
        <f>IF(OR(B76="",C76=""),"",COUNTIFS($B$5:B76,B76))</f>
        <v>0</v>
      </c>
      <c r="T76" s="23">
        <f>IF(S76="","",B76&amp;"|"&amp;S76)</f>
        <v>0</v>
      </c>
      <c r="U76" s="39">
        <f>IF(B76="","",IF(C76="","Add - pick a service",IF(E76="","Add - how many?",IF(L76=0,"Add - no price",IF(AND(R76&lt;&gt;"",R76&lt;MarginFloor),"Below - thin margin","OK")))))</f>
        <v>0</v>
      </c>
    </row>
    <row r="77" spans="1:21">
      <c r="A77" s="43">
        <f>IF(B77="","","QL-"&amp;TEXT(ROW()-4,"0000"))</f>
        <v>0</v>
      </c>
      <c r="J77" s="21">
        <f>IF(C77="","",IFERROR(INDEX(Services!$P$5:$P$64,MATCH(C77,Services!$B$5:$B$64,0)),"0"))</f>
        <v>0</v>
      </c>
      <c r="K77" s="23">
        <f>IF(C77="","",IFERROR(INDEX(Services!$E$5:$E$64,MATCH(C77,Services!$B$5:$B$64,0)),""))</f>
        <v>0</v>
      </c>
      <c r="L77" s="21">
        <f>IF(B77="","",IF(F77&lt;&gt;"",F77,IFERROR(J77*1,0)))</f>
        <v>0</v>
      </c>
      <c r="M77" s="51">
        <f>IF(B77="","",IF(D77&lt;&gt;"",D77,IFERROR(INDEX(Services!$O$5:$O$64,MATCH(C77,Services!$B$5:$B$64,0)),"")))</f>
        <v>0</v>
      </c>
      <c r="N77" s="34">
        <f>IF(B77="","",IFERROR(INDEX(Services!$G$5:$G$64,MATCH(C77,Services!$B$5:$B$64,0)),0)*IF(E77="",1,IF(IFERROR(INDEX(Services!$D$5:$D$64,MATCH(C77,Services!$B$5:$B$64,0)),"")="Per hour",1,E77)))</f>
        <v>0</v>
      </c>
      <c r="O77" s="21">
        <f>IF(B77="","",ROUND(IF(E77="",1,E77)*L77,2))</f>
        <v>0</v>
      </c>
      <c r="P77" s="21">
        <f>IF(B77="","",ROUND(O77*(1-IF(G77="",0,G77)),2))</f>
        <v>0</v>
      </c>
      <c r="Q77" s="21">
        <f>IF(B77="","",ROUND(N77*CostPerHour+IF(E77="",1,E77)*IFERROR(INDEX(Services!$R$5:$R$64,MATCH(C77,Services!$B$5:$B$64,0)),0),2))</f>
        <v>0</v>
      </c>
      <c r="R77" s="38">
        <f>IF(OR(B77="",P77=0),"",(P77-Q77)/P77)</f>
        <v>0</v>
      </c>
      <c r="S77" s="31">
        <f>IF(OR(B77="",C77=""),"",COUNTIFS($B$5:B77,B77))</f>
        <v>0</v>
      </c>
      <c r="T77" s="23">
        <f>IF(S77="","",B77&amp;"|"&amp;S77)</f>
        <v>0</v>
      </c>
      <c r="U77" s="39">
        <f>IF(B77="","",IF(C77="","Add - pick a service",IF(E77="","Add - how many?",IF(L77=0,"Add - no price",IF(AND(R77&lt;&gt;"",R77&lt;MarginFloor),"Below - thin margin","OK")))))</f>
        <v>0</v>
      </c>
    </row>
    <row r="78" spans="1:21">
      <c r="A78" s="43">
        <f>IF(B78="","","QL-"&amp;TEXT(ROW()-4,"0000"))</f>
        <v>0</v>
      </c>
      <c r="J78" s="21">
        <f>IF(C78="","",IFERROR(INDEX(Services!$P$5:$P$64,MATCH(C78,Services!$B$5:$B$64,0)),"0"))</f>
        <v>0</v>
      </c>
      <c r="K78" s="23">
        <f>IF(C78="","",IFERROR(INDEX(Services!$E$5:$E$64,MATCH(C78,Services!$B$5:$B$64,0)),""))</f>
        <v>0</v>
      </c>
      <c r="L78" s="21">
        <f>IF(B78="","",IF(F78&lt;&gt;"",F78,IFERROR(J78*1,0)))</f>
        <v>0</v>
      </c>
      <c r="M78" s="51">
        <f>IF(B78="","",IF(D78&lt;&gt;"",D78,IFERROR(INDEX(Services!$O$5:$O$64,MATCH(C78,Services!$B$5:$B$64,0)),"")))</f>
        <v>0</v>
      </c>
      <c r="N78" s="34">
        <f>IF(B78="","",IFERROR(INDEX(Services!$G$5:$G$64,MATCH(C78,Services!$B$5:$B$64,0)),0)*IF(E78="",1,IF(IFERROR(INDEX(Services!$D$5:$D$64,MATCH(C78,Services!$B$5:$B$64,0)),"")="Per hour",1,E78)))</f>
        <v>0</v>
      </c>
      <c r="O78" s="21">
        <f>IF(B78="","",ROUND(IF(E78="",1,E78)*L78,2))</f>
        <v>0</v>
      </c>
      <c r="P78" s="21">
        <f>IF(B78="","",ROUND(O78*(1-IF(G78="",0,G78)),2))</f>
        <v>0</v>
      </c>
      <c r="Q78" s="21">
        <f>IF(B78="","",ROUND(N78*CostPerHour+IF(E78="",1,E78)*IFERROR(INDEX(Services!$R$5:$R$64,MATCH(C78,Services!$B$5:$B$64,0)),0),2))</f>
        <v>0</v>
      </c>
      <c r="R78" s="38">
        <f>IF(OR(B78="",P78=0),"",(P78-Q78)/P78)</f>
        <v>0</v>
      </c>
      <c r="S78" s="31">
        <f>IF(OR(B78="",C78=""),"",COUNTIFS($B$5:B78,B78))</f>
        <v>0</v>
      </c>
      <c r="T78" s="23">
        <f>IF(S78="","",B78&amp;"|"&amp;S78)</f>
        <v>0</v>
      </c>
      <c r="U78" s="39">
        <f>IF(B78="","",IF(C78="","Add - pick a service",IF(E78="","Add - how many?",IF(L78=0,"Add - no price",IF(AND(R78&lt;&gt;"",R78&lt;MarginFloor),"Below - thin margin","OK")))))</f>
        <v>0</v>
      </c>
    </row>
    <row r="79" spans="1:21">
      <c r="A79" s="43">
        <f>IF(B79="","","QL-"&amp;TEXT(ROW()-4,"0000"))</f>
        <v>0</v>
      </c>
      <c r="J79" s="21">
        <f>IF(C79="","",IFERROR(INDEX(Services!$P$5:$P$64,MATCH(C79,Services!$B$5:$B$64,0)),"0"))</f>
        <v>0</v>
      </c>
      <c r="K79" s="23">
        <f>IF(C79="","",IFERROR(INDEX(Services!$E$5:$E$64,MATCH(C79,Services!$B$5:$B$64,0)),""))</f>
        <v>0</v>
      </c>
      <c r="L79" s="21">
        <f>IF(B79="","",IF(F79&lt;&gt;"",F79,IFERROR(J79*1,0)))</f>
        <v>0</v>
      </c>
      <c r="M79" s="51">
        <f>IF(B79="","",IF(D79&lt;&gt;"",D79,IFERROR(INDEX(Services!$O$5:$O$64,MATCH(C79,Services!$B$5:$B$64,0)),"")))</f>
        <v>0</v>
      </c>
      <c r="N79" s="34">
        <f>IF(B79="","",IFERROR(INDEX(Services!$G$5:$G$64,MATCH(C79,Services!$B$5:$B$64,0)),0)*IF(E79="",1,IF(IFERROR(INDEX(Services!$D$5:$D$64,MATCH(C79,Services!$B$5:$B$64,0)),"")="Per hour",1,E79)))</f>
        <v>0</v>
      </c>
      <c r="O79" s="21">
        <f>IF(B79="","",ROUND(IF(E79="",1,E79)*L79,2))</f>
        <v>0</v>
      </c>
      <c r="P79" s="21">
        <f>IF(B79="","",ROUND(O79*(1-IF(G79="",0,G79)),2))</f>
        <v>0</v>
      </c>
      <c r="Q79" s="21">
        <f>IF(B79="","",ROUND(N79*CostPerHour+IF(E79="",1,E79)*IFERROR(INDEX(Services!$R$5:$R$64,MATCH(C79,Services!$B$5:$B$64,0)),0),2))</f>
        <v>0</v>
      </c>
      <c r="R79" s="38">
        <f>IF(OR(B79="",P79=0),"",(P79-Q79)/P79)</f>
        <v>0</v>
      </c>
      <c r="S79" s="31">
        <f>IF(OR(B79="",C79=""),"",COUNTIFS($B$5:B79,B79))</f>
        <v>0</v>
      </c>
      <c r="T79" s="23">
        <f>IF(S79="","",B79&amp;"|"&amp;S79)</f>
        <v>0</v>
      </c>
      <c r="U79" s="39">
        <f>IF(B79="","",IF(C79="","Add - pick a service",IF(E79="","Add - how many?",IF(L79=0,"Add - no price",IF(AND(R79&lt;&gt;"",R79&lt;MarginFloor),"Below - thin margin","OK")))))</f>
        <v>0</v>
      </c>
    </row>
    <row r="80" spans="1:21">
      <c r="A80" s="43">
        <f>IF(B80="","","QL-"&amp;TEXT(ROW()-4,"0000"))</f>
        <v>0</v>
      </c>
      <c r="J80" s="21">
        <f>IF(C80="","",IFERROR(INDEX(Services!$P$5:$P$64,MATCH(C80,Services!$B$5:$B$64,0)),"0"))</f>
        <v>0</v>
      </c>
      <c r="K80" s="23">
        <f>IF(C80="","",IFERROR(INDEX(Services!$E$5:$E$64,MATCH(C80,Services!$B$5:$B$64,0)),""))</f>
        <v>0</v>
      </c>
      <c r="L80" s="21">
        <f>IF(B80="","",IF(F80&lt;&gt;"",F80,IFERROR(J80*1,0)))</f>
        <v>0</v>
      </c>
      <c r="M80" s="51">
        <f>IF(B80="","",IF(D80&lt;&gt;"",D80,IFERROR(INDEX(Services!$O$5:$O$64,MATCH(C80,Services!$B$5:$B$64,0)),"")))</f>
        <v>0</v>
      </c>
      <c r="N80" s="34">
        <f>IF(B80="","",IFERROR(INDEX(Services!$G$5:$G$64,MATCH(C80,Services!$B$5:$B$64,0)),0)*IF(E80="",1,IF(IFERROR(INDEX(Services!$D$5:$D$64,MATCH(C80,Services!$B$5:$B$64,0)),"")="Per hour",1,E80)))</f>
        <v>0</v>
      </c>
      <c r="O80" s="21">
        <f>IF(B80="","",ROUND(IF(E80="",1,E80)*L80,2))</f>
        <v>0</v>
      </c>
      <c r="P80" s="21">
        <f>IF(B80="","",ROUND(O80*(1-IF(G80="",0,G80)),2))</f>
        <v>0</v>
      </c>
      <c r="Q80" s="21">
        <f>IF(B80="","",ROUND(N80*CostPerHour+IF(E80="",1,E80)*IFERROR(INDEX(Services!$R$5:$R$64,MATCH(C80,Services!$B$5:$B$64,0)),0),2))</f>
        <v>0</v>
      </c>
      <c r="R80" s="38">
        <f>IF(OR(B80="",P80=0),"",(P80-Q80)/P80)</f>
        <v>0</v>
      </c>
      <c r="S80" s="31">
        <f>IF(OR(B80="",C80=""),"",COUNTIFS($B$5:B80,B80))</f>
        <v>0</v>
      </c>
      <c r="T80" s="23">
        <f>IF(S80="","",B80&amp;"|"&amp;S80)</f>
        <v>0</v>
      </c>
      <c r="U80" s="39">
        <f>IF(B80="","",IF(C80="","Add - pick a service",IF(E80="","Add - how many?",IF(L80=0,"Add - no price",IF(AND(R80&lt;&gt;"",R80&lt;MarginFloor),"Below - thin margin","OK")))))</f>
        <v>0</v>
      </c>
    </row>
    <row r="81" spans="1:21">
      <c r="A81" s="43">
        <f>IF(B81="","","QL-"&amp;TEXT(ROW()-4,"0000"))</f>
        <v>0</v>
      </c>
      <c r="J81" s="21">
        <f>IF(C81="","",IFERROR(INDEX(Services!$P$5:$P$64,MATCH(C81,Services!$B$5:$B$64,0)),"0"))</f>
        <v>0</v>
      </c>
      <c r="K81" s="23">
        <f>IF(C81="","",IFERROR(INDEX(Services!$E$5:$E$64,MATCH(C81,Services!$B$5:$B$64,0)),""))</f>
        <v>0</v>
      </c>
      <c r="L81" s="21">
        <f>IF(B81="","",IF(F81&lt;&gt;"",F81,IFERROR(J81*1,0)))</f>
        <v>0</v>
      </c>
      <c r="M81" s="51">
        <f>IF(B81="","",IF(D81&lt;&gt;"",D81,IFERROR(INDEX(Services!$O$5:$O$64,MATCH(C81,Services!$B$5:$B$64,0)),"")))</f>
        <v>0</v>
      </c>
      <c r="N81" s="34">
        <f>IF(B81="","",IFERROR(INDEX(Services!$G$5:$G$64,MATCH(C81,Services!$B$5:$B$64,0)),0)*IF(E81="",1,IF(IFERROR(INDEX(Services!$D$5:$D$64,MATCH(C81,Services!$B$5:$B$64,0)),"")="Per hour",1,E81)))</f>
        <v>0</v>
      </c>
      <c r="O81" s="21">
        <f>IF(B81="","",ROUND(IF(E81="",1,E81)*L81,2))</f>
        <v>0</v>
      </c>
      <c r="P81" s="21">
        <f>IF(B81="","",ROUND(O81*(1-IF(G81="",0,G81)),2))</f>
        <v>0</v>
      </c>
      <c r="Q81" s="21">
        <f>IF(B81="","",ROUND(N81*CostPerHour+IF(E81="",1,E81)*IFERROR(INDEX(Services!$R$5:$R$64,MATCH(C81,Services!$B$5:$B$64,0)),0),2))</f>
        <v>0</v>
      </c>
      <c r="R81" s="38">
        <f>IF(OR(B81="",P81=0),"",(P81-Q81)/P81)</f>
        <v>0</v>
      </c>
      <c r="S81" s="31">
        <f>IF(OR(B81="",C81=""),"",COUNTIFS($B$5:B81,B81))</f>
        <v>0</v>
      </c>
      <c r="T81" s="23">
        <f>IF(S81="","",B81&amp;"|"&amp;S81)</f>
        <v>0</v>
      </c>
      <c r="U81" s="39">
        <f>IF(B81="","",IF(C81="","Add - pick a service",IF(E81="","Add - how many?",IF(L81=0,"Add - no price",IF(AND(R81&lt;&gt;"",R81&lt;MarginFloor),"Below - thin margin","OK")))))</f>
        <v>0</v>
      </c>
    </row>
    <row r="82" spans="1:21">
      <c r="A82" s="43">
        <f>IF(B82="","","QL-"&amp;TEXT(ROW()-4,"0000"))</f>
        <v>0</v>
      </c>
      <c r="J82" s="21">
        <f>IF(C82="","",IFERROR(INDEX(Services!$P$5:$P$64,MATCH(C82,Services!$B$5:$B$64,0)),"0"))</f>
        <v>0</v>
      </c>
      <c r="K82" s="23">
        <f>IF(C82="","",IFERROR(INDEX(Services!$E$5:$E$64,MATCH(C82,Services!$B$5:$B$64,0)),""))</f>
        <v>0</v>
      </c>
      <c r="L82" s="21">
        <f>IF(B82="","",IF(F82&lt;&gt;"",F82,IFERROR(J82*1,0)))</f>
        <v>0</v>
      </c>
      <c r="M82" s="51">
        <f>IF(B82="","",IF(D82&lt;&gt;"",D82,IFERROR(INDEX(Services!$O$5:$O$64,MATCH(C82,Services!$B$5:$B$64,0)),"")))</f>
        <v>0</v>
      </c>
      <c r="N82" s="34">
        <f>IF(B82="","",IFERROR(INDEX(Services!$G$5:$G$64,MATCH(C82,Services!$B$5:$B$64,0)),0)*IF(E82="",1,IF(IFERROR(INDEX(Services!$D$5:$D$64,MATCH(C82,Services!$B$5:$B$64,0)),"")="Per hour",1,E82)))</f>
        <v>0</v>
      </c>
      <c r="O82" s="21">
        <f>IF(B82="","",ROUND(IF(E82="",1,E82)*L82,2))</f>
        <v>0</v>
      </c>
      <c r="P82" s="21">
        <f>IF(B82="","",ROUND(O82*(1-IF(G82="",0,G82)),2))</f>
        <v>0</v>
      </c>
      <c r="Q82" s="21">
        <f>IF(B82="","",ROUND(N82*CostPerHour+IF(E82="",1,E82)*IFERROR(INDEX(Services!$R$5:$R$64,MATCH(C82,Services!$B$5:$B$64,0)),0),2))</f>
        <v>0</v>
      </c>
      <c r="R82" s="38">
        <f>IF(OR(B82="",P82=0),"",(P82-Q82)/P82)</f>
        <v>0</v>
      </c>
      <c r="S82" s="31">
        <f>IF(OR(B82="",C82=""),"",COUNTIFS($B$5:B82,B82))</f>
        <v>0</v>
      </c>
      <c r="T82" s="23">
        <f>IF(S82="","",B82&amp;"|"&amp;S82)</f>
        <v>0</v>
      </c>
      <c r="U82" s="39">
        <f>IF(B82="","",IF(C82="","Add - pick a service",IF(E82="","Add - how many?",IF(L82=0,"Add - no price",IF(AND(R82&lt;&gt;"",R82&lt;MarginFloor),"Below - thin margin","OK")))))</f>
        <v>0</v>
      </c>
    </row>
    <row r="83" spans="1:21">
      <c r="A83" s="43">
        <f>IF(B83="","","QL-"&amp;TEXT(ROW()-4,"0000"))</f>
        <v>0</v>
      </c>
      <c r="J83" s="21">
        <f>IF(C83="","",IFERROR(INDEX(Services!$P$5:$P$64,MATCH(C83,Services!$B$5:$B$64,0)),"0"))</f>
        <v>0</v>
      </c>
      <c r="K83" s="23">
        <f>IF(C83="","",IFERROR(INDEX(Services!$E$5:$E$64,MATCH(C83,Services!$B$5:$B$64,0)),""))</f>
        <v>0</v>
      </c>
      <c r="L83" s="21">
        <f>IF(B83="","",IF(F83&lt;&gt;"",F83,IFERROR(J83*1,0)))</f>
        <v>0</v>
      </c>
      <c r="M83" s="51">
        <f>IF(B83="","",IF(D83&lt;&gt;"",D83,IFERROR(INDEX(Services!$O$5:$O$64,MATCH(C83,Services!$B$5:$B$64,0)),"")))</f>
        <v>0</v>
      </c>
      <c r="N83" s="34">
        <f>IF(B83="","",IFERROR(INDEX(Services!$G$5:$G$64,MATCH(C83,Services!$B$5:$B$64,0)),0)*IF(E83="",1,IF(IFERROR(INDEX(Services!$D$5:$D$64,MATCH(C83,Services!$B$5:$B$64,0)),"")="Per hour",1,E83)))</f>
        <v>0</v>
      </c>
      <c r="O83" s="21">
        <f>IF(B83="","",ROUND(IF(E83="",1,E83)*L83,2))</f>
        <v>0</v>
      </c>
      <c r="P83" s="21">
        <f>IF(B83="","",ROUND(O83*(1-IF(G83="",0,G83)),2))</f>
        <v>0</v>
      </c>
      <c r="Q83" s="21">
        <f>IF(B83="","",ROUND(N83*CostPerHour+IF(E83="",1,E83)*IFERROR(INDEX(Services!$R$5:$R$64,MATCH(C83,Services!$B$5:$B$64,0)),0),2))</f>
        <v>0</v>
      </c>
      <c r="R83" s="38">
        <f>IF(OR(B83="",P83=0),"",(P83-Q83)/P83)</f>
        <v>0</v>
      </c>
      <c r="S83" s="31">
        <f>IF(OR(B83="",C83=""),"",COUNTIFS($B$5:B83,B83))</f>
        <v>0</v>
      </c>
      <c r="T83" s="23">
        <f>IF(S83="","",B83&amp;"|"&amp;S83)</f>
        <v>0</v>
      </c>
      <c r="U83" s="39">
        <f>IF(B83="","",IF(C83="","Add - pick a service",IF(E83="","Add - how many?",IF(L83=0,"Add - no price",IF(AND(R83&lt;&gt;"",R83&lt;MarginFloor),"Below - thin margin","OK")))))</f>
        <v>0</v>
      </c>
    </row>
    <row r="84" spans="1:21">
      <c r="A84" s="43">
        <f>IF(B84="","","QL-"&amp;TEXT(ROW()-4,"0000"))</f>
        <v>0</v>
      </c>
      <c r="J84" s="21">
        <f>IF(C84="","",IFERROR(INDEX(Services!$P$5:$P$64,MATCH(C84,Services!$B$5:$B$64,0)),"0"))</f>
        <v>0</v>
      </c>
      <c r="K84" s="23">
        <f>IF(C84="","",IFERROR(INDEX(Services!$E$5:$E$64,MATCH(C84,Services!$B$5:$B$64,0)),""))</f>
        <v>0</v>
      </c>
      <c r="L84" s="21">
        <f>IF(B84="","",IF(F84&lt;&gt;"",F84,IFERROR(J84*1,0)))</f>
        <v>0</v>
      </c>
      <c r="M84" s="51">
        <f>IF(B84="","",IF(D84&lt;&gt;"",D84,IFERROR(INDEX(Services!$O$5:$O$64,MATCH(C84,Services!$B$5:$B$64,0)),"")))</f>
        <v>0</v>
      </c>
      <c r="N84" s="34">
        <f>IF(B84="","",IFERROR(INDEX(Services!$G$5:$G$64,MATCH(C84,Services!$B$5:$B$64,0)),0)*IF(E84="",1,IF(IFERROR(INDEX(Services!$D$5:$D$64,MATCH(C84,Services!$B$5:$B$64,0)),"")="Per hour",1,E84)))</f>
        <v>0</v>
      </c>
      <c r="O84" s="21">
        <f>IF(B84="","",ROUND(IF(E84="",1,E84)*L84,2))</f>
        <v>0</v>
      </c>
      <c r="P84" s="21">
        <f>IF(B84="","",ROUND(O84*(1-IF(G84="",0,G84)),2))</f>
        <v>0</v>
      </c>
      <c r="Q84" s="21">
        <f>IF(B84="","",ROUND(N84*CostPerHour+IF(E84="",1,E84)*IFERROR(INDEX(Services!$R$5:$R$64,MATCH(C84,Services!$B$5:$B$64,0)),0),2))</f>
        <v>0</v>
      </c>
      <c r="R84" s="38">
        <f>IF(OR(B84="",P84=0),"",(P84-Q84)/P84)</f>
        <v>0</v>
      </c>
      <c r="S84" s="31">
        <f>IF(OR(B84="",C84=""),"",COUNTIFS($B$5:B84,B84))</f>
        <v>0</v>
      </c>
      <c r="T84" s="23">
        <f>IF(S84="","",B84&amp;"|"&amp;S84)</f>
        <v>0</v>
      </c>
      <c r="U84" s="39">
        <f>IF(B84="","",IF(C84="","Add - pick a service",IF(E84="","Add - how many?",IF(L84=0,"Add - no price",IF(AND(R84&lt;&gt;"",R84&lt;MarginFloor),"Below - thin margin","OK")))))</f>
        <v>0</v>
      </c>
    </row>
    <row r="85" spans="1:21">
      <c r="A85" s="43">
        <f>IF(B85="","","QL-"&amp;TEXT(ROW()-4,"0000"))</f>
        <v>0</v>
      </c>
      <c r="J85" s="21">
        <f>IF(C85="","",IFERROR(INDEX(Services!$P$5:$P$64,MATCH(C85,Services!$B$5:$B$64,0)),"0"))</f>
        <v>0</v>
      </c>
      <c r="K85" s="23">
        <f>IF(C85="","",IFERROR(INDEX(Services!$E$5:$E$64,MATCH(C85,Services!$B$5:$B$64,0)),""))</f>
        <v>0</v>
      </c>
      <c r="L85" s="21">
        <f>IF(B85="","",IF(F85&lt;&gt;"",F85,IFERROR(J85*1,0)))</f>
        <v>0</v>
      </c>
      <c r="M85" s="51">
        <f>IF(B85="","",IF(D85&lt;&gt;"",D85,IFERROR(INDEX(Services!$O$5:$O$64,MATCH(C85,Services!$B$5:$B$64,0)),"")))</f>
        <v>0</v>
      </c>
      <c r="N85" s="34">
        <f>IF(B85="","",IFERROR(INDEX(Services!$G$5:$G$64,MATCH(C85,Services!$B$5:$B$64,0)),0)*IF(E85="",1,IF(IFERROR(INDEX(Services!$D$5:$D$64,MATCH(C85,Services!$B$5:$B$64,0)),"")="Per hour",1,E85)))</f>
        <v>0</v>
      </c>
      <c r="O85" s="21">
        <f>IF(B85="","",ROUND(IF(E85="",1,E85)*L85,2))</f>
        <v>0</v>
      </c>
      <c r="P85" s="21">
        <f>IF(B85="","",ROUND(O85*(1-IF(G85="",0,G85)),2))</f>
        <v>0</v>
      </c>
      <c r="Q85" s="21">
        <f>IF(B85="","",ROUND(N85*CostPerHour+IF(E85="",1,E85)*IFERROR(INDEX(Services!$R$5:$R$64,MATCH(C85,Services!$B$5:$B$64,0)),0),2))</f>
        <v>0</v>
      </c>
      <c r="R85" s="38">
        <f>IF(OR(B85="",P85=0),"",(P85-Q85)/P85)</f>
        <v>0</v>
      </c>
      <c r="S85" s="31">
        <f>IF(OR(B85="",C85=""),"",COUNTIFS($B$5:B85,B85))</f>
        <v>0</v>
      </c>
      <c r="T85" s="23">
        <f>IF(S85="","",B85&amp;"|"&amp;S85)</f>
        <v>0</v>
      </c>
      <c r="U85" s="39">
        <f>IF(B85="","",IF(C85="","Add - pick a service",IF(E85="","Add - how many?",IF(L85=0,"Add - no price",IF(AND(R85&lt;&gt;"",R85&lt;MarginFloor),"Below - thin margin","OK")))))</f>
        <v>0</v>
      </c>
    </row>
    <row r="86" spans="1:21">
      <c r="A86" s="43">
        <f>IF(B86="","","QL-"&amp;TEXT(ROW()-4,"0000"))</f>
        <v>0</v>
      </c>
      <c r="J86" s="21">
        <f>IF(C86="","",IFERROR(INDEX(Services!$P$5:$P$64,MATCH(C86,Services!$B$5:$B$64,0)),"0"))</f>
        <v>0</v>
      </c>
      <c r="K86" s="23">
        <f>IF(C86="","",IFERROR(INDEX(Services!$E$5:$E$64,MATCH(C86,Services!$B$5:$B$64,0)),""))</f>
        <v>0</v>
      </c>
      <c r="L86" s="21">
        <f>IF(B86="","",IF(F86&lt;&gt;"",F86,IFERROR(J86*1,0)))</f>
        <v>0</v>
      </c>
      <c r="M86" s="51">
        <f>IF(B86="","",IF(D86&lt;&gt;"",D86,IFERROR(INDEX(Services!$O$5:$O$64,MATCH(C86,Services!$B$5:$B$64,0)),"")))</f>
        <v>0</v>
      </c>
      <c r="N86" s="34">
        <f>IF(B86="","",IFERROR(INDEX(Services!$G$5:$G$64,MATCH(C86,Services!$B$5:$B$64,0)),0)*IF(E86="",1,IF(IFERROR(INDEX(Services!$D$5:$D$64,MATCH(C86,Services!$B$5:$B$64,0)),"")="Per hour",1,E86)))</f>
        <v>0</v>
      </c>
      <c r="O86" s="21">
        <f>IF(B86="","",ROUND(IF(E86="",1,E86)*L86,2))</f>
        <v>0</v>
      </c>
      <c r="P86" s="21">
        <f>IF(B86="","",ROUND(O86*(1-IF(G86="",0,G86)),2))</f>
        <v>0</v>
      </c>
      <c r="Q86" s="21">
        <f>IF(B86="","",ROUND(N86*CostPerHour+IF(E86="",1,E86)*IFERROR(INDEX(Services!$R$5:$R$64,MATCH(C86,Services!$B$5:$B$64,0)),0),2))</f>
        <v>0</v>
      </c>
      <c r="R86" s="38">
        <f>IF(OR(B86="",P86=0),"",(P86-Q86)/P86)</f>
        <v>0</v>
      </c>
      <c r="S86" s="31">
        <f>IF(OR(B86="",C86=""),"",COUNTIFS($B$5:B86,B86))</f>
        <v>0</v>
      </c>
      <c r="T86" s="23">
        <f>IF(S86="","",B86&amp;"|"&amp;S86)</f>
        <v>0</v>
      </c>
      <c r="U86" s="39">
        <f>IF(B86="","",IF(C86="","Add - pick a service",IF(E86="","Add - how many?",IF(L86=0,"Add - no price",IF(AND(R86&lt;&gt;"",R86&lt;MarginFloor),"Below - thin margin","OK")))))</f>
        <v>0</v>
      </c>
    </row>
    <row r="87" spans="1:21">
      <c r="A87" s="43">
        <f>IF(B87="","","QL-"&amp;TEXT(ROW()-4,"0000"))</f>
        <v>0</v>
      </c>
      <c r="J87" s="21">
        <f>IF(C87="","",IFERROR(INDEX(Services!$P$5:$P$64,MATCH(C87,Services!$B$5:$B$64,0)),"0"))</f>
        <v>0</v>
      </c>
      <c r="K87" s="23">
        <f>IF(C87="","",IFERROR(INDEX(Services!$E$5:$E$64,MATCH(C87,Services!$B$5:$B$64,0)),""))</f>
        <v>0</v>
      </c>
      <c r="L87" s="21">
        <f>IF(B87="","",IF(F87&lt;&gt;"",F87,IFERROR(J87*1,0)))</f>
        <v>0</v>
      </c>
      <c r="M87" s="51">
        <f>IF(B87="","",IF(D87&lt;&gt;"",D87,IFERROR(INDEX(Services!$O$5:$O$64,MATCH(C87,Services!$B$5:$B$64,0)),"")))</f>
        <v>0</v>
      </c>
      <c r="N87" s="34">
        <f>IF(B87="","",IFERROR(INDEX(Services!$G$5:$G$64,MATCH(C87,Services!$B$5:$B$64,0)),0)*IF(E87="",1,IF(IFERROR(INDEX(Services!$D$5:$D$64,MATCH(C87,Services!$B$5:$B$64,0)),"")="Per hour",1,E87)))</f>
        <v>0</v>
      </c>
      <c r="O87" s="21">
        <f>IF(B87="","",ROUND(IF(E87="",1,E87)*L87,2))</f>
        <v>0</v>
      </c>
      <c r="P87" s="21">
        <f>IF(B87="","",ROUND(O87*(1-IF(G87="",0,G87)),2))</f>
        <v>0</v>
      </c>
      <c r="Q87" s="21">
        <f>IF(B87="","",ROUND(N87*CostPerHour+IF(E87="",1,E87)*IFERROR(INDEX(Services!$R$5:$R$64,MATCH(C87,Services!$B$5:$B$64,0)),0),2))</f>
        <v>0</v>
      </c>
      <c r="R87" s="38">
        <f>IF(OR(B87="",P87=0),"",(P87-Q87)/P87)</f>
        <v>0</v>
      </c>
      <c r="S87" s="31">
        <f>IF(OR(B87="",C87=""),"",COUNTIFS($B$5:B87,B87))</f>
        <v>0</v>
      </c>
      <c r="T87" s="23">
        <f>IF(S87="","",B87&amp;"|"&amp;S87)</f>
        <v>0</v>
      </c>
      <c r="U87" s="39">
        <f>IF(B87="","",IF(C87="","Add - pick a service",IF(E87="","Add - how many?",IF(L87=0,"Add - no price",IF(AND(R87&lt;&gt;"",R87&lt;MarginFloor),"Below - thin margin","OK")))))</f>
        <v>0</v>
      </c>
    </row>
    <row r="88" spans="1:21">
      <c r="A88" s="43">
        <f>IF(B88="","","QL-"&amp;TEXT(ROW()-4,"0000"))</f>
        <v>0</v>
      </c>
      <c r="J88" s="21">
        <f>IF(C88="","",IFERROR(INDEX(Services!$P$5:$P$64,MATCH(C88,Services!$B$5:$B$64,0)),"0"))</f>
        <v>0</v>
      </c>
      <c r="K88" s="23">
        <f>IF(C88="","",IFERROR(INDEX(Services!$E$5:$E$64,MATCH(C88,Services!$B$5:$B$64,0)),""))</f>
        <v>0</v>
      </c>
      <c r="L88" s="21">
        <f>IF(B88="","",IF(F88&lt;&gt;"",F88,IFERROR(J88*1,0)))</f>
        <v>0</v>
      </c>
      <c r="M88" s="51">
        <f>IF(B88="","",IF(D88&lt;&gt;"",D88,IFERROR(INDEX(Services!$O$5:$O$64,MATCH(C88,Services!$B$5:$B$64,0)),"")))</f>
        <v>0</v>
      </c>
      <c r="N88" s="34">
        <f>IF(B88="","",IFERROR(INDEX(Services!$G$5:$G$64,MATCH(C88,Services!$B$5:$B$64,0)),0)*IF(E88="",1,IF(IFERROR(INDEX(Services!$D$5:$D$64,MATCH(C88,Services!$B$5:$B$64,0)),"")="Per hour",1,E88)))</f>
        <v>0</v>
      </c>
      <c r="O88" s="21">
        <f>IF(B88="","",ROUND(IF(E88="",1,E88)*L88,2))</f>
        <v>0</v>
      </c>
      <c r="P88" s="21">
        <f>IF(B88="","",ROUND(O88*(1-IF(G88="",0,G88)),2))</f>
        <v>0</v>
      </c>
      <c r="Q88" s="21">
        <f>IF(B88="","",ROUND(N88*CostPerHour+IF(E88="",1,E88)*IFERROR(INDEX(Services!$R$5:$R$64,MATCH(C88,Services!$B$5:$B$64,0)),0),2))</f>
        <v>0</v>
      </c>
      <c r="R88" s="38">
        <f>IF(OR(B88="",P88=0),"",(P88-Q88)/P88)</f>
        <v>0</v>
      </c>
      <c r="S88" s="31">
        <f>IF(OR(B88="",C88=""),"",COUNTIFS($B$5:B88,B88))</f>
        <v>0</v>
      </c>
      <c r="T88" s="23">
        <f>IF(S88="","",B88&amp;"|"&amp;S88)</f>
        <v>0</v>
      </c>
      <c r="U88" s="39">
        <f>IF(B88="","",IF(C88="","Add - pick a service",IF(E88="","Add - how many?",IF(L88=0,"Add - no price",IF(AND(R88&lt;&gt;"",R88&lt;MarginFloor),"Below - thin margin","OK")))))</f>
        <v>0</v>
      </c>
    </row>
    <row r="89" spans="1:21">
      <c r="A89" s="43">
        <f>IF(B89="","","QL-"&amp;TEXT(ROW()-4,"0000"))</f>
        <v>0</v>
      </c>
      <c r="J89" s="21">
        <f>IF(C89="","",IFERROR(INDEX(Services!$P$5:$P$64,MATCH(C89,Services!$B$5:$B$64,0)),"0"))</f>
        <v>0</v>
      </c>
      <c r="K89" s="23">
        <f>IF(C89="","",IFERROR(INDEX(Services!$E$5:$E$64,MATCH(C89,Services!$B$5:$B$64,0)),""))</f>
        <v>0</v>
      </c>
      <c r="L89" s="21">
        <f>IF(B89="","",IF(F89&lt;&gt;"",F89,IFERROR(J89*1,0)))</f>
        <v>0</v>
      </c>
      <c r="M89" s="51">
        <f>IF(B89="","",IF(D89&lt;&gt;"",D89,IFERROR(INDEX(Services!$O$5:$O$64,MATCH(C89,Services!$B$5:$B$64,0)),"")))</f>
        <v>0</v>
      </c>
      <c r="N89" s="34">
        <f>IF(B89="","",IFERROR(INDEX(Services!$G$5:$G$64,MATCH(C89,Services!$B$5:$B$64,0)),0)*IF(E89="",1,IF(IFERROR(INDEX(Services!$D$5:$D$64,MATCH(C89,Services!$B$5:$B$64,0)),"")="Per hour",1,E89)))</f>
        <v>0</v>
      </c>
      <c r="O89" s="21">
        <f>IF(B89="","",ROUND(IF(E89="",1,E89)*L89,2))</f>
        <v>0</v>
      </c>
      <c r="P89" s="21">
        <f>IF(B89="","",ROUND(O89*(1-IF(G89="",0,G89)),2))</f>
        <v>0</v>
      </c>
      <c r="Q89" s="21">
        <f>IF(B89="","",ROUND(N89*CostPerHour+IF(E89="",1,E89)*IFERROR(INDEX(Services!$R$5:$R$64,MATCH(C89,Services!$B$5:$B$64,0)),0),2))</f>
        <v>0</v>
      </c>
      <c r="R89" s="38">
        <f>IF(OR(B89="",P89=0),"",(P89-Q89)/P89)</f>
        <v>0</v>
      </c>
      <c r="S89" s="31">
        <f>IF(OR(B89="",C89=""),"",COUNTIFS($B$5:B89,B89))</f>
        <v>0</v>
      </c>
      <c r="T89" s="23">
        <f>IF(S89="","",B89&amp;"|"&amp;S89)</f>
        <v>0</v>
      </c>
      <c r="U89" s="39">
        <f>IF(B89="","",IF(C89="","Add - pick a service",IF(E89="","Add - how many?",IF(L89=0,"Add - no price",IF(AND(R89&lt;&gt;"",R89&lt;MarginFloor),"Below - thin margin","OK")))))</f>
        <v>0</v>
      </c>
    </row>
    <row r="90" spans="1:21">
      <c r="A90" s="43">
        <f>IF(B90="","","QL-"&amp;TEXT(ROW()-4,"0000"))</f>
        <v>0</v>
      </c>
      <c r="J90" s="21">
        <f>IF(C90="","",IFERROR(INDEX(Services!$P$5:$P$64,MATCH(C90,Services!$B$5:$B$64,0)),"0"))</f>
        <v>0</v>
      </c>
      <c r="K90" s="23">
        <f>IF(C90="","",IFERROR(INDEX(Services!$E$5:$E$64,MATCH(C90,Services!$B$5:$B$64,0)),""))</f>
        <v>0</v>
      </c>
      <c r="L90" s="21">
        <f>IF(B90="","",IF(F90&lt;&gt;"",F90,IFERROR(J90*1,0)))</f>
        <v>0</v>
      </c>
      <c r="M90" s="51">
        <f>IF(B90="","",IF(D90&lt;&gt;"",D90,IFERROR(INDEX(Services!$O$5:$O$64,MATCH(C90,Services!$B$5:$B$64,0)),"")))</f>
        <v>0</v>
      </c>
      <c r="N90" s="34">
        <f>IF(B90="","",IFERROR(INDEX(Services!$G$5:$G$64,MATCH(C90,Services!$B$5:$B$64,0)),0)*IF(E90="",1,IF(IFERROR(INDEX(Services!$D$5:$D$64,MATCH(C90,Services!$B$5:$B$64,0)),"")="Per hour",1,E90)))</f>
        <v>0</v>
      </c>
      <c r="O90" s="21">
        <f>IF(B90="","",ROUND(IF(E90="",1,E90)*L90,2))</f>
        <v>0</v>
      </c>
      <c r="P90" s="21">
        <f>IF(B90="","",ROUND(O90*(1-IF(G90="",0,G90)),2))</f>
        <v>0</v>
      </c>
      <c r="Q90" s="21">
        <f>IF(B90="","",ROUND(N90*CostPerHour+IF(E90="",1,E90)*IFERROR(INDEX(Services!$R$5:$R$64,MATCH(C90,Services!$B$5:$B$64,0)),0),2))</f>
        <v>0</v>
      </c>
      <c r="R90" s="38">
        <f>IF(OR(B90="",P90=0),"",(P90-Q90)/P90)</f>
        <v>0</v>
      </c>
      <c r="S90" s="31">
        <f>IF(OR(B90="",C90=""),"",COUNTIFS($B$5:B90,B90))</f>
        <v>0</v>
      </c>
      <c r="T90" s="23">
        <f>IF(S90="","",B90&amp;"|"&amp;S90)</f>
        <v>0</v>
      </c>
      <c r="U90" s="39">
        <f>IF(B90="","",IF(C90="","Add - pick a service",IF(E90="","Add - how many?",IF(L90=0,"Add - no price",IF(AND(R90&lt;&gt;"",R90&lt;MarginFloor),"Below - thin margin","OK")))))</f>
        <v>0</v>
      </c>
    </row>
    <row r="91" spans="1:21">
      <c r="A91" s="43">
        <f>IF(B91="","","QL-"&amp;TEXT(ROW()-4,"0000"))</f>
        <v>0</v>
      </c>
      <c r="J91" s="21">
        <f>IF(C91="","",IFERROR(INDEX(Services!$P$5:$P$64,MATCH(C91,Services!$B$5:$B$64,0)),"0"))</f>
        <v>0</v>
      </c>
      <c r="K91" s="23">
        <f>IF(C91="","",IFERROR(INDEX(Services!$E$5:$E$64,MATCH(C91,Services!$B$5:$B$64,0)),""))</f>
        <v>0</v>
      </c>
      <c r="L91" s="21">
        <f>IF(B91="","",IF(F91&lt;&gt;"",F91,IFERROR(J91*1,0)))</f>
        <v>0</v>
      </c>
      <c r="M91" s="51">
        <f>IF(B91="","",IF(D91&lt;&gt;"",D91,IFERROR(INDEX(Services!$O$5:$O$64,MATCH(C91,Services!$B$5:$B$64,0)),"")))</f>
        <v>0</v>
      </c>
      <c r="N91" s="34">
        <f>IF(B91="","",IFERROR(INDEX(Services!$G$5:$G$64,MATCH(C91,Services!$B$5:$B$64,0)),0)*IF(E91="",1,IF(IFERROR(INDEX(Services!$D$5:$D$64,MATCH(C91,Services!$B$5:$B$64,0)),"")="Per hour",1,E91)))</f>
        <v>0</v>
      </c>
      <c r="O91" s="21">
        <f>IF(B91="","",ROUND(IF(E91="",1,E91)*L91,2))</f>
        <v>0</v>
      </c>
      <c r="P91" s="21">
        <f>IF(B91="","",ROUND(O91*(1-IF(G91="",0,G91)),2))</f>
        <v>0</v>
      </c>
      <c r="Q91" s="21">
        <f>IF(B91="","",ROUND(N91*CostPerHour+IF(E91="",1,E91)*IFERROR(INDEX(Services!$R$5:$R$64,MATCH(C91,Services!$B$5:$B$64,0)),0),2))</f>
        <v>0</v>
      </c>
      <c r="R91" s="38">
        <f>IF(OR(B91="",P91=0),"",(P91-Q91)/P91)</f>
        <v>0</v>
      </c>
      <c r="S91" s="31">
        <f>IF(OR(B91="",C91=""),"",COUNTIFS($B$5:B91,B91))</f>
        <v>0</v>
      </c>
      <c r="T91" s="23">
        <f>IF(S91="","",B91&amp;"|"&amp;S91)</f>
        <v>0</v>
      </c>
      <c r="U91" s="39">
        <f>IF(B91="","",IF(C91="","Add - pick a service",IF(E91="","Add - how many?",IF(L91=0,"Add - no price",IF(AND(R91&lt;&gt;"",R91&lt;MarginFloor),"Below - thin margin","OK")))))</f>
        <v>0</v>
      </c>
    </row>
    <row r="92" spans="1:21">
      <c r="A92" s="43">
        <f>IF(B92="","","QL-"&amp;TEXT(ROW()-4,"0000"))</f>
        <v>0</v>
      </c>
      <c r="J92" s="21">
        <f>IF(C92="","",IFERROR(INDEX(Services!$P$5:$P$64,MATCH(C92,Services!$B$5:$B$64,0)),"0"))</f>
        <v>0</v>
      </c>
      <c r="K92" s="23">
        <f>IF(C92="","",IFERROR(INDEX(Services!$E$5:$E$64,MATCH(C92,Services!$B$5:$B$64,0)),""))</f>
        <v>0</v>
      </c>
      <c r="L92" s="21">
        <f>IF(B92="","",IF(F92&lt;&gt;"",F92,IFERROR(J92*1,0)))</f>
        <v>0</v>
      </c>
      <c r="M92" s="51">
        <f>IF(B92="","",IF(D92&lt;&gt;"",D92,IFERROR(INDEX(Services!$O$5:$O$64,MATCH(C92,Services!$B$5:$B$64,0)),"")))</f>
        <v>0</v>
      </c>
      <c r="N92" s="34">
        <f>IF(B92="","",IFERROR(INDEX(Services!$G$5:$G$64,MATCH(C92,Services!$B$5:$B$64,0)),0)*IF(E92="",1,IF(IFERROR(INDEX(Services!$D$5:$D$64,MATCH(C92,Services!$B$5:$B$64,0)),"")="Per hour",1,E92)))</f>
        <v>0</v>
      </c>
      <c r="O92" s="21">
        <f>IF(B92="","",ROUND(IF(E92="",1,E92)*L92,2))</f>
        <v>0</v>
      </c>
      <c r="P92" s="21">
        <f>IF(B92="","",ROUND(O92*(1-IF(G92="",0,G92)),2))</f>
        <v>0</v>
      </c>
      <c r="Q92" s="21">
        <f>IF(B92="","",ROUND(N92*CostPerHour+IF(E92="",1,E92)*IFERROR(INDEX(Services!$R$5:$R$64,MATCH(C92,Services!$B$5:$B$64,0)),0),2))</f>
        <v>0</v>
      </c>
      <c r="R92" s="38">
        <f>IF(OR(B92="",P92=0),"",(P92-Q92)/P92)</f>
        <v>0</v>
      </c>
      <c r="S92" s="31">
        <f>IF(OR(B92="",C92=""),"",COUNTIFS($B$5:B92,B92))</f>
        <v>0</v>
      </c>
      <c r="T92" s="23">
        <f>IF(S92="","",B92&amp;"|"&amp;S92)</f>
        <v>0</v>
      </c>
      <c r="U92" s="39">
        <f>IF(B92="","",IF(C92="","Add - pick a service",IF(E92="","Add - how many?",IF(L92=0,"Add - no price",IF(AND(R92&lt;&gt;"",R92&lt;MarginFloor),"Below - thin margin","OK")))))</f>
        <v>0</v>
      </c>
    </row>
    <row r="93" spans="1:21">
      <c r="A93" s="43">
        <f>IF(B93="","","QL-"&amp;TEXT(ROW()-4,"0000"))</f>
        <v>0</v>
      </c>
      <c r="J93" s="21">
        <f>IF(C93="","",IFERROR(INDEX(Services!$P$5:$P$64,MATCH(C93,Services!$B$5:$B$64,0)),"0"))</f>
        <v>0</v>
      </c>
      <c r="K93" s="23">
        <f>IF(C93="","",IFERROR(INDEX(Services!$E$5:$E$64,MATCH(C93,Services!$B$5:$B$64,0)),""))</f>
        <v>0</v>
      </c>
      <c r="L93" s="21">
        <f>IF(B93="","",IF(F93&lt;&gt;"",F93,IFERROR(J93*1,0)))</f>
        <v>0</v>
      </c>
      <c r="M93" s="51">
        <f>IF(B93="","",IF(D93&lt;&gt;"",D93,IFERROR(INDEX(Services!$O$5:$O$64,MATCH(C93,Services!$B$5:$B$64,0)),"")))</f>
        <v>0</v>
      </c>
      <c r="N93" s="34">
        <f>IF(B93="","",IFERROR(INDEX(Services!$G$5:$G$64,MATCH(C93,Services!$B$5:$B$64,0)),0)*IF(E93="",1,IF(IFERROR(INDEX(Services!$D$5:$D$64,MATCH(C93,Services!$B$5:$B$64,0)),"")="Per hour",1,E93)))</f>
        <v>0</v>
      </c>
      <c r="O93" s="21">
        <f>IF(B93="","",ROUND(IF(E93="",1,E93)*L93,2))</f>
        <v>0</v>
      </c>
      <c r="P93" s="21">
        <f>IF(B93="","",ROUND(O93*(1-IF(G93="",0,G93)),2))</f>
        <v>0</v>
      </c>
      <c r="Q93" s="21">
        <f>IF(B93="","",ROUND(N93*CostPerHour+IF(E93="",1,E93)*IFERROR(INDEX(Services!$R$5:$R$64,MATCH(C93,Services!$B$5:$B$64,0)),0),2))</f>
        <v>0</v>
      </c>
      <c r="R93" s="38">
        <f>IF(OR(B93="",P93=0),"",(P93-Q93)/P93)</f>
        <v>0</v>
      </c>
      <c r="S93" s="31">
        <f>IF(OR(B93="",C93=""),"",COUNTIFS($B$5:B93,B93))</f>
        <v>0</v>
      </c>
      <c r="T93" s="23">
        <f>IF(S93="","",B93&amp;"|"&amp;S93)</f>
        <v>0</v>
      </c>
      <c r="U93" s="39">
        <f>IF(B93="","",IF(C93="","Add - pick a service",IF(E93="","Add - how many?",IF(L93=0,"Add - no price",IF(AND(R93&lt;&gt;"",R93&lt;MarginFloor),"Below - thin margin","OK")))))</f>
        <v>0</v>
      </c>
    </row>
    <row r="94" spans="1:21">
      <c r="A94" s="43">
        <f>IF(B94="","","QL-"&amp;TEXT(ROW()-4,"0000"))</f>
        <v>0</v>
      </c>
      <c r="J94" s="21">
        <f>IF(C94="","",IFERROR(INDEX(Services!$P$5:$P$64,MATCH(C94,Services!$B$5:$B$64,0)),"0"))</f>
        <v>0</v>
      </c>
      <c r="K94" s="23">
        <f>IF(C94="","",IFERROR(INDEX(Services!$E$5:$E$64,MATCH(C94,Services!$B$5:$B$64,0)),""))</f>
        <v>0</v>
      </c>
      <c r="L94" s="21">
        <f>IF(B94="","",IF(F94&lt;&gt;"",F94,IFERROR(J94*1,0)))</f>
        <v>0</v>
      </c>
      <c r="M94" s="51">
        <f>IF(B94="","",IF(D94&lt;&gt;"",D94,IFERROR(INDEX(Services!$O$5:$O$64,MATCH(C94,Services!$B$5:$B$64,0)),"")))</f>
        <v>0</v>
      </c>
      <c r="N94" s="34">
        <f>IF(B94="","",IFERROR(INDEX(Services!$G$5:$G$64,MATCH(C94,Services!$B$5:$B$64,0)),0)*IF(E94="",1,IF(IFERROR(INDEX(Services!$D$5:$D$64,MATCH(C94,Services!$B$5:$B$64,0)),"")="Per hour",1,E94)))</f>
        <v>0</v>
      </c>
      <c r="O94" s="21">
        <f>IF(B94="","",ROUND(IF(E94="",1,E94)*L94,2))</f>
        <v>0</v>
      </c>
      <c r="P94" s="21">
        <f>IF(B94="","",ROUND(O94*(1-IF(G94="",0,G94)),2))</f>
        <v>0</v>
      </c>
      <c r="Q94" s="21">
        <f>IF(B94="","",ROUND(N94*CostPerHour+IF(E94="",1,E94)*IFERROR(INDEX(Services!$R$5:$R$64,MATCH(C94,Services!$B$5:$B$64,0)),0),2))</f>
        <v>0</v>
      </c>
      <c r="R94" s="38">
        <f>IF(OR(B94="",P94=0),"",(P94-Q94)/P94)</f>
        <v>0</v>
      </c>
      <c r="S94" s="31">
        <f>IF(OR(B94="",C94=""),"",COUNTIFS($B$5:B94,B94))</f>
        <v>0</v>
      </c>
      <c r="T94" s="23">
        <f>IF(S94="","",B94&amp;"|"&amp;S94)</f>
        <v>0</v>
      </c>
      <c r="U94" s="39">
        <f>IF(B94="","",IF(C94="","Add - pick a service",IF(E94="","Add - how many?",IF(L94=0,"Add - no price",IF(AND(R94&lt;&gt;"",R94&lt;MarginFloor),"Below - thin margin","OK")))))</f>
        <v>0</v>
      </c>
    </row>
    <row r="95" spans="1:21">
      <c r="A95" s="43">
        <f>IF(B95="","","QL-"&amp;TEXT(ROW()-4,"0000"))</f>
        <v>0</v>
      </c>
      <c r="J95" s="21">
        <f>IF(C95="","",IFERROR(INDEX(Services!$P$5:$P$64,MATCH(C95,Services!$B$5:$B$64,0)),"0"))</f>
        <v>0</v>
      </c>
      <c r="K95" s="23">
        <f>IF(C95="","",IFERROR(INDEX(Services!$E$5:$E$64,MATCH(C95,Services!$B$5:$B$64,0)),""))</f>
        <v>0</v>
      </c>
      <c r="L95" s="21">
        <f>IF(B95="","",IF(F95&lt;&gt;"",F95,IFERROR(J95*1,0)))</f>
        <v>0</v>
      </c>
      <c r="M95" s="51">
        <f>IF(B95="","",IF(D95&lt;&gt;"",D95,IFERROR(INDEX(Services!$O$5:$O$64,MATCH(C95,Services!$B$5:$B$64,0)),"")))</f>
        <v>0</v>
      </c>
      <c r="N95" s="34">
        <f>IF(B95="","",IFERROR(INDEX(Services!$G$5:$G$64,MATCH(C95,Services!$B$5:$B$64,0)),0)*IF(E95="",1,IF(IFERROR(INDEX(Services!$D$5:$D$64,MATCH(C95,Services!$B$5:$B$64,0)),"")="Per hour",1,E95)))</f>
        <v>0</v>
      </c>
      <c r="O95" s="21">
        <f>IF(B95="","",ROUND(IF(E95="",1,E95)*L95,2))</f>
        <v>0</v>
      </c>
      <c r="P95" s="21">
        <f>IF(B95="","",ROUND(O95*(1-IF(G95="",0,G95)),2))</f>
        <v>0</v>
      </c>
      <c r="Q95" s="21">
        <f>IF(B95="","",ROUND(N95*CostPerHour+IF(E95="",1,E95)*IFERROR(INDEX(Services!$R$5:$R$64,MATCH(C95,Services!$B$5:$B$64,0)),0),2))</f>
        <v>0</v>
      </c>
      <c r="R95" s="38">
        <f>IF(OR(B95="",P95=0),"",(P95-Q95)/P95)</f>
        <v>0</v>
      </c>
      <c r="S95" s="31">
        <f>IF(OR(B95="",C95=""),"",COUNTIFS($B$5:B95,B95))</f>
        <v>0</v>
      </c>
      <c r="T95" s="23">
        <f>IF(S95="","",B95&amp;"|"&amp;S95)</f>
        <v>0</v>
      </c>
      <c r="U95" s="39">
        <f>IF(B95="","",IF(C95="","Add - pick a service",IF(E95="","Add - how many?",IF(L95=0,"Add - no price",IF(AND(R95&lt;&gt;"",R95&lt;MarginFloor),"Below - thin margin","OK")))))</f>
        <v>0</v>
      </c>
    </row>
    <row r="96" spans="1:21">
      <c r="A96" s="43">
        <f>IF(B96="","","QL-"&amp;TEXT(ROW()-4,"0000"))</f>
        <v>0</v>
      </c>
      <c r="J96" s="21">
        <f>IF(C96="","",IFERROR(INDEX(Services!$P$5:$P$64,MATCH(C96,Services!$B$5:$B$64,0)),"0"))</f>
        <v>0</v>
      </c>
      <c r="K96" s="23">
        <f>IF(C96="","",IFERROR(INDEX(Services!$E$5:$E$64,MATCH(C96,Services!$B$5:$B$64,0)),""))</f>
        <v>0</v>
      </c>
      <c r="L96" s="21">
        <f>IF(B96="","",IF(F96&lt;&gt;"",F96,IFERROR(J96*1,0)))</f>
        <v>0</v>
      </c>
      <c r="M96" s="51">
        <f>IF(B96="","",IF(D96&lt;&gt;"",D96,IFERROR(INDEX(Services!$O$5:$O$64,MATCH(C96,Services!$B$5:$B$64,0)),"")))</f>
        <v>0</v>
      </c>
      <c r="N96" s="34">
        <f>IF(B96="","",IFERROR(INDEX(Services!$G$5:$G$64,MATCH(C96,Services!$B$5:$B$64,0)),0)*IF(E96="",1,IF(IFERROR(INDEX(Services!$D$5:$D$64,MATCH(C96,Services!$B$5:$B$64,0)),"")="Per hour",1,E96)))</f>
        <v>0</v>
      </c>
      <c r="O96" s="21">
        <f>IF(B96="","",ROUND(IF(E96="",1,E96)*L96,2))</f>
        <v>0</v>
      </c>
      <c r="P96" s="21">
        <f>IF(B96="","",ROUND(O96*(1-IF(G96="",0,G96)),2))</f>
        <v>0</v>
      </c>
      <c r="Q96" s="21">
        <f>IF(B96="","",ROUND(N96*CostPerHour+IF(E96="",1,E96)*IFERROR(INDEX(Services!$R$5:$R$64,MATCH(C96,Services!$B$5:$B$64,0)),0),2))</f>
        <v>0</v>
      </c>
      <c r="R96" s="38">
        <f>IF(OR(B96="",P96=0),"",(P96-Q96)/P96)</f>
        <v>0</v>
      </c>
      <c r="S96" s="31">
        <f>IF(OR(B96="",C96=""),"",COUNTIFS($B$5:B96,B96))</f>
        <v>0</v>
      </c>
      <c r="T96" s="23">
        <f>IF(S96="","",B96&amp;"|"&amp;S96)</f>
        <v>0</v>
      </c>
      <c r="U96" s="39">
        <f>IF(B96="","",IF(C96="","Add - pick a service",IF(E96="","Add - how many?",IF(L96=0,"Add - no price",IF(AND(R96&lt;&gt;"",R96&lt;MarginFloor),"Below - thin margin","OK")))))</f>
        <v>0</v>
      </c>
    </row>
    <row r="97" spans="1:21">
      <c r="A97" s="43">
        <f>IF(B97="","","QL-"&amp;TEXT(ROW()-4,"0000"))</f>
        <v>0</v>
      </c>
      <c r="J97" s="21">
        <f>IF(C97="","",IFERROR(INDEX(Services!$P$5:$P$64,MATCH(C97,Services!$B$5:$B$64,0)),"0"))</f>
        <v>0</v>
      </c>
      <c r="K97" s="23">
        <f>IF(C97="","",IFERROR(INDEX(Services!$E$5:$E$64,MATCH(C97,Services!$B$5:$B$64,0)),""))</f>
        <v>0</v>
      </c>
      <c r="L97" s="21">
        <f>IF(B97="","",IF(F97&lt;&gt;"",F97,IFERROR(J97*1,0)))</f>
        <v>0</v>
      </c>
      <c r="M97" s="51">
        <f>IF(B97="","",IF(D97&lt;&gt;"",D97,IFERROR(INDEX(Services!$O$5:$O$64,MATCH(C97,Services!$B$5:$B$64,0)),"")))</f>
        <v>0</v>
      </c>
      <c r="N97" s="34">
        <f>IF(B97="","",IFERROR(INDEX(Services!$G$5:$G$64,MATCH(C97,Services!$B$5:$B$64,0)),0)*IF(E97="",1,IF(IFERROR(INDEX(Services!$D$5:$D$64,MATCH(C97,Services!$B$5:$B$64,0)),"")="Per hour",1,E97)))</f>
        <v>0</v>
      </c>
      <c r="O97" s="21">
        <f>IF(B97="","",ROUND(IF(E97="",1,E97)*L97,2))</f>
        <v>0</v>
      </c>
      <c r="P97" s="21">
        <f>IF(B97="","",ROUND(O97*(1-IF(G97="",0,G97)),2))</f>
        <v>0</v>
      </c>
      <c r="Q97" s="21">
        <f>IF(B97="","",ROUND(N97*CostPerHour+IF(E97="",1,E97)*IFERROR(INDEX(Services!$R$5:$R$64,MATCH(C97,Services!$B$5:$B$64,0)),0),2))</f>
        <v>0</v>
      </c>
      <c r="R97" s="38">
        <f>IF(OR(B97="",P97=0),"",(P97-Q97)/P97)</f>
        <v>0</v>
      </c>
      <c r="S97" s="31">
        <f>IF(OR(B97="",C97=""),"",COUNTIFS($B$5:B97,B97))</f>
        <v>0</v>
      </c>
      <c r="T97" s="23">
        <f>IF(S97="","",B97&amp;"|"&amp;S97)</f>
        <v>0</v>
      </c>
      <c r="U97" s="39">
        <f>IF(B97="","",IF(C97="","Add - pick a service",IF(E97="","Add - how many?",IF(L97=0,"Add - no price",IF(AND(R97&lt;&gt;"",R97&lt;MarginFloor),"Below - thin margin","OK")))))</f>
        <v>0</v>
      </c>
    </row>
    <row r="98" spans="1:21">
      <c r="A98" s="43">
        <f>IF(B98="","","QL-"&amp;TEXT(ROW()-4,"0000"))</f>
        <v>0</v>
      </c>
      <c r="J98" s="21">
        <f>IF(C98="","",IFERROR(INDEX(Services!$P$5:$P$64,MATCH(C98,Services!$B$5:$B$64,0)),"0"))</f>
        <v>0</v>
      </c>
      <c r="K98" s="23">
        <f>IF(C98="","",IFERROR(INDEX(Services!$E$5:$E$64,MATCH(C98,Services!$B$5:$B$64,0)),""))</f>
        <v>0</v>
      </c>
      <c r="L98" s="21">
        <f>IF(B98="","",IF(F98&lt;&gt;"",F98,IFERROR(J98*1,0)))</f>
        <v>0</v>
      </c>
      <c r="M98" s="51">
        <f>IF(B98="","",IF(D98&lt;&gt;"",D98,IFERROR(INDEX(Services!$O$5:$O$64,MATCH(C98,Services!$B$5:$B$64,0)),"")))</f>
        <v>0</v>
      </c>
      <c r="N98" s="34">
        <f>IF(B98="","",IFERROR(INDEX(Services!$G$5:$G$64,MATCH(C98,Services!$B$5:$B$64,0)),0)*IF(E98="",1,IF(IFERROR(INDEX(Services!$D$5:$D$64,MATCH(C98,Services!$B$5:$B$64,0)),"")="Per hour",1,E98)))</f>
        <v>0</v>
      </c>
      <c r="O98" s="21">
        <f>IF(B98="","",ROUND(IF(E98="",1,E98)*L98,2))</f>
        <v>0</v>
      </c>
      <c r="P98" s="21">
        <f>IF(B98="","",ROUND(O98*(1-IF(G98="",0,G98)),2))</f>
        <v>0</v>
      </c>
      <c r="Q98" s="21">
        <f>IF(B98="","",ROUND(N98*CostPerHour+IF(E98="",1,E98)*IFERROR(INDEX(Services!$R$5:$R$64,MATCH(C98,Services!$B$5:$B$64,0)),0),2))</f>
        <v>0</v>
      </c>
      <c r="R98" s="38">
        <f>IF(OR(B98="",P98=0),"",(P98-Q98)/P98)</f>
        <v>0</v>
      </c>
      <c r="S98" s="31">
        <f>IF(OR(B98="",C98=""),"",COUNTIFS($B$5:B98,B98))</f>
        <v>0</v>
      </c>
      <c r="T98" s="23">
        <f>IF(S98="","",B98&amp;"|"&amp;S98)</f>
        <v>0</v>
      </c>
      <c r="U98" s="39">
        <f>IF(B98="","",IF(C98="","Add - pick a service",IF(E98="","Add - how many?",IF(L98=0,"Add - no price",IF(AND(R98&lt;&gt;"",R98&lt;MarginFloor),"Below - thin margin","OK")))))</f>
        <v>0</v>
      </c>
    </row>
    <row r="99" spans="1:21">
      <c r="A99" s="43">
        <f>IF(B99="","","QL-"&amp;TEXT(ROW()-4,"0000"))</f>
        <v>0</v>
      </c>
      <c r="J99" s="21">
        <f>IF(C99="","",IFERROR(INDEX(Services!$P$5:$P$64,MATCH(C99,Services!$B$5:$B$64,0)),"0"))</f>
        <v>0</v>
      </c>
      <c r="K99" s="23">
        <f>IF(C99="","",IFERROR(INDEX(Services!$E$5:$E$64,MATCH(C99,Services!$B$5:$B$64,0)),""))</f>
        <v>0</v>
      </c>
      <c r="L99" s="21">
        <f>IF(B99="","",IF(F99&lt;&gt;"",F99,IFERROR(J99*1,0)))</f>
        <v>0</v>
      </c>
      <c r="M99" s="51">
        <f>IF(B99="","",IF(D99&lt;&gt;"",D99,IFERROR(INDEX(Services!$O$5:$O$64,MATCH(C99,Services!$B$5:$B$64,0)),"")))</f>
        <v>0</v>
      </c>
      <c r="N99" s="34">
        <f>IF(B99="","",IFERROR(INDEX(Services!$G$5:$G$64,MATCH(C99,Services!$B$5:$B$64,0)),0)*IF(E99="",1,IF(IFERROR(INDEX(Services!$D$5:$D$64,MATCH(C99,Services!$B$5:$B$64,0)),"")="Per hour",1,E99)))</f>
        <v>0</v>
      </c>
      <c r="O99" s="21">
        <f>IF(B99="","",ROUND(IF(E99="",1,E99)*L99,2))</f>
        <v>0</v>
      </c>
      <c r="P99" s="21">
        <f>IF(B99="","",ROUND(O99*(1-IF(G99="",0,G99)),2))</f>
        <v>0</v>
      </c>
      <c r="Q99" s="21">
        <f>IF(B99="","",ROUND(N99*CostPerHour+IF(E99="",1,E99)*IFERROR(INDEX(Services!$R$5:$R$64,MATCH(C99,Services!$B$5:$B$64,0)),0),2))</f>
        <v>0</v>
      </c>
      <c r="R99" s="38">
        <f>IF(OR(B99="",P99=0),"",(P99-Q99)/P99)</f>
        <v>0</v>
      </c>
      <c r="S99" s="31">
        <f>IF(OR(B99="",C99=""),"",COUNTIFS($B$5:B99,B99))</f>
        <v>0</v>
      </c>
      <c r="T99" s="23">
        <f>IF(S99="","",B99&amp;"|"&amp;S99)</f>
        <v>0</v>
      </c>
      <c r="U99" s="39">
        <f>IF(B99="","",IF(C99="","Add - pick a service",IF(E99="","Add - how many?",IF(L99=0,"Add - no price",IF(AND(R99&lt;&gt;"",R99&lt;MarginFloor),"Below - thin margin","OK")))))</f>
        <v>0</v>
      </c>
    </row>
    <row r="100" spans="1:21">
      <c r="A100" s="43">
        <f>IF(B100="","","QL-"&amp;TEXT(ROW()-4,"0000"))</f>
        <v>0</v>
      </c>
      <c r="J100" s="21">
        <f>IF(C100="","",IFERROR(INDEX(Services!$P$5:$P$64,MATCH(C100,Services!$B$5:$B$64,0)),"0"))</f>
        <v>0</v>
      </c>
      <c r="K100" s="23">
        <f>IF(C100="","",IFERROR(INDEX(Services!$E$5:$E$64,MATCH(C100,Services!$B$5:$B$64,0)),""))</f>
        <v>0</v>
      </c>
      <c r="L100" s="21">
        <f>IF(B100="","",IF(F100&lt;&gt;"",F100,IFERROR(J100*1,0)))</f>
        <v>0</v>
      </c>
      <c r="M100" s="51">
        <f>IF(B100="","",IF(D100&lt;&gt;"",D100,IFERROR(INDEX(Services!$O$5:$O$64,MATCH(C100,Services!$B$5:$B$64,0)),"")))</f>
        <v>0</v>
      </c>
      <c r="N100" s="34">
        <f>IF(B100="","",IFERROR(INDEX(Services!$G$5:$G$64,MATCH(C100,Services!$B$5:$B$64,0)),0)*IF(E100="",1,IF(IFERROR(INDEX(Services!$D$5:$D$64,MATCH(C100,Services!$B$5:$B$64,0)),"")="Per hour",1,E100)))</f>
        <v>0</v>
      </c>
      <c r="O100" s="21">
        <f>IF(B100="","",ROUND(IF(E100="",1,E100)*L100,2))</f>
        <v>0</v>
      </c>
      <c r="P100" s="21">
        <f>IF(B100="","",ROUND(O100*(1-IF(G100="",0,G100)),2))</f>
        <v>0</v>
      </c>
      <c r="Q100" s="21">
        <f>IF(B100="","",ROUND(N100*CostPerHour+IF(E100="",1,E100)*IFERROR(INDEX(Services!$R$5:$R$64,MATCH(C100,Services!$B$5:$B$64,0)),0),2))</f>
        <v>0</v>
      </c>
      <c r="R100" s="38">
        <f>IF(OR(B100="",P100=0),"",(P100-Q100)/P100)</f>
        <v>0</v>
      </c>
      <c r="S100" s="31">
        <f>IF(OR(B100="",C100=""),"",COUNTIFS($B$5:B100,B100))</f>
        <v>0</v>
      </c>
      <c r="T100" s="23">
        <f>IF(S100="","",B100&amp;"|"&amp;S100)</f>
        <v>0</v>
      </c>
      <c r="U100" s="39">
        <f>IF(B100="","",IF(C100="","Add - pick a service",IF(E100="","Add - how many?",IF(L100=0,"Add - no price",IF(AND(R100&lt;&gt;"",R100&lt;MarginFloor),"Below - thin margin","OK")))))</f>
        <v>0</v>
      </c>
    </row>
    <row r="101" spans="1:21">
      <c r="A101" s="43">
        <f>IF(B101="","","QL-"&amp;TEXT(ROW()-4,"0000"))</f>
        <v>0</v>
      </c>
      <c r="J101" s="21">
        <f>IF(C101="","",IFERROR(INDEX(Services!$P$5:$P$64,MATCH(C101,Services!$B$5:$B$64,0)),"0"))</f>
        <v>0</v>
      </c>
      <c r="K101" s="23">
        <f>IF(C101="","",IFERROR(INDEX(Services!$E$5:$E$64,MATCH(C101,Services!$B$5:$B$64,0)),""))</f>
        <v>0</v>
      </c>
      <c r="L101" s="21">
        <f>IF(B101="","",IF(F101&lt;&gt;"",F101,IFERROR(J101*1,0)))</f>
        <v>0</v>
      </c>
      <c r="M101" s="51">
        <f>IF(B101="","",IF(D101&lt;&gt;"",D101,IFERROR(INDEX(Services!$O$5:$O$64,MATCH(C101,Services!$B$5:$B$64,0)),"")))</f>
        <v>0</v>
      </c>
      <c r="N101" s="34">
        <f>IF(B101="","",IFERROR(INDEX(Services!$G$5:$G$64,MATCH(C101,Services!$B$5:$B$64,0)),0)*IF(E101="",1,IF(IFERROR(INDEX(Services!$D$5:$D$64,MATCH(C101,Services!$B$5:$B$64,0)),"")="Per hour",1,E101)))</f>
        <v>0</v>
      </c>
      <c r="O101" s="21">
        <f>IF(B101="","",ROUND(IF(E101="",1,E101)*L101,2))</f>
        <v>0</v>
      </c>
      <c r="P101" s="21">
        <f>IF(B101="","",ROUND(O101*(1-IF(G101="",0,G101)),2))</f>
        <v>0</v>
      </c>
      <c r="Q101" s="21">
        <f>IF(B101="","",ROUND(N101*CostPerHour+IF(E101="",1,E101)*IFERROR(INDEX(Services!$R$5:$R$64,MATCH(C101,Services!$B$5:$B$64,0)),0),2))</f>
        <v>0</v>
      </c>
      <c r="R101" s="38">
        <f>IF(OR(B101="",P101=0),"",(P101-Q101)/P101)</f>
        <v>0</v>
      </c>
      <c r="S101" s="31">
        <f>IF(OR(B101="",C101=""),"",COUNTIFS($B$5:B101,B101))</f>
        <v>0</v>
      </c>
      <c r="T101" s="23">
        <f>IF(S101="","",B101&amp;"|"&amp;S101)</f>
        <v>0</v>
      </c>
      <c r="U101" s="39">
        <f>IF(B101="","",IF(C101="","Add - pick a service",IF(E101="","Add - how many?",IF(L101=0,"Add - no price",IF(AND(R101&lt;&gt;"",R101&lt;MarginFloor),"Below - thin margin","OK")))))</f>
        <v>0</v>
      </c>
    </row>
    <row r="102" spans="1:21">
      <c r="A102" s="43">
        <f>IF(B102="","","QL-"&amp;TEXT(ROW()-4,"0000"))</f>
        <v>0</v>
      </c>
      <c r="J102" s="21">
        <f>IF(C102="","",IFERROR(INDEX(Services!$P$5:$P$64,MATCH(C102,Services!$B$5:$B$64,0)),"0"))</f>
        <v>0</v>
      </c>
      <c r="K102" s="23">
        <f>IF(C102="","",IFERROR(INDEX(Services!$E$5:$E$64,MATCH(C102,Services!$B$5:$B$64,0)),""))</f>
        <v>0</v>
      </c>
      <c r="L102" s="21">
        <f>IF(B102="","",IF(F102&lt;&gt;"",F102,IFERROR(J102*1,0)))</f>
        <v>0</v>
      </c>
      <c r="M102" s="51">
        <f>IF(B102="","",IF(D102&lt;&gt;"",D102,IFERROR(INDEX(Services!$O$5:$O$64,MATCH(C102,Services!$B$5:$B$64,0)),"")))</f>
        <v>0</v>
      </c>
      <c r="N102" s="34">
        <f>IF(B102="","",IFERROR(INDEX(Services!$G$5:$G$64,MATCH(C102,Services!$B$5:$B$64,0)),0)*IF(E102="",1,IF(IFERROR(INDEX(Services!$D$5:$D$64,MATCH(C102,Services!$B$5:$B$64,0)),"")="Per hour",1,E102)))</f>
        <v>0</v>
      </c>
      <c r="O102" s="21">
        <f>IF(B102="","",ROUND(IF(E102="",1,E102)*L102,2))</f>
        <v>0</v>
      </c>
      <c r="P102" s="21">
        <f>IF(B102="","",ROUND(O102*(1-IF(G102="",0,G102)),2))</f>
        <v>0</v>
      </c>
      <c r="Q102" s="21">
        <f>IF(B102="","",ROUND(N102*CostPerHour+IF(E102="",1,E102)*IFERROR(INDEX(Services!$R$5:$R$64,MATCH(C102,Services!$B$5:$B$64,0)),0),2))</f>
        <v>0</v>
      </c>
      <c r="R102" s="38">
        <f>IF(OR(B102="",P102=0),"",(P102-Q102)/P102)</f>
        <v>0</v>
      </c>
      <c r="S102" s="31">
        <f>IF(OR(B102="",C102=""),"",COUNTIFS($B$5:B102,B102))</f>
        <v>0</v>
      </c>
      <c r="T102" s="23">
        <f>IF(S102="","",B102&amp;"|"&amp;S102)</f>
        <v>0</v>
      </c>
      <c r="U102" s="39">
        <f>IF(B102="","",IF(C102="","Add - pick a service",IF(E102="","Add - how many?",IF(L102=0,"Add - no price",IF(AND(R102&lt;&gt;"",R102&lt;MarginFloor),"Below - thin margin","OK")))))</f>
        <v>0</v>
      </c>
    </row>
    <row r="103" spans="1:21">
      <c r="A103" s="43">
        <f>IF(B103="","","QL-"&amp;TEXT(ROW()-4,"0000"))</f>
        <v>0</v>
      </c>
      <c r="J103" s="21">
        <f>IF(C103="","",IFERROR(INDEX(Services!$P$5:$P$64,MATCH(C103,Services!$B$5:$B$64,0)),"0"))</f>
        <v>0</v>
      </c>
      <c r="K103" s="23">
        <f>IF(C103="","",IFERROR(INDEX(Services!$E$5:$E$64,MATCH(C103,Services!$B$5:$B$64,0)),""))</f>
        <v>0</v>
      </c>
      <c r="L103" s="21">
        <f>IF(B103="","",IF(F103&lt;&gt;"",F103,IFERROR(J103*1,0)))</f>
        <v>0</v>
      </c>
      <c r="M103" s="51">
        <f>IF(B103="","",IF(D103&lt;&gt;"",D103,IFERROR(INDEX(Services!$O$5:$O$64,MATCH(C103,Services!$B$5:$B$64,0)),"")))</f>
        <v>0</v>
      </c>
      <c r="N103" s="34">
        <f>IF(B103="","",IFERROR(INDEX(Services!$G$5:$G$64,MATCH(C103,Services!$B$5:$B$64,0)),0)*IF(E103="",1,IF(IFERROR(INDEX(Services!$D$5:$D$64,MATCH(C103,Services!$B$5:$B$64,0)),"")="Per hour",1,E103)))</f>
        <v>0</v>
      </c>
      <c r="O103" s="21">
        <f>IF(B103="","",ROUND(IF(E103="",1,E103)*L103,2))</f>
        <v>0</v>
      </c>
      <c r="P103" s="21">
        <f>IF(B103="","",ROUND(O103*(1-IF(G103="",0,G103)),2))</f>
        <v>0</v>
      </c>
      <c r="Q103" s="21">
        <f>IF(B103="","",ROUND(N103*CostPerHour+IF(E103="",1,E103)*IFERROR(INDEX(Services!$R$5:$R$64,MATCH(C103,Services!$B$5:$B$64,0)),0),2))</f>
        <v>0</v>
      </c>
      <c r="R103" s="38">
        <f>IF(OR(B103="",P103=0),"",(P103-Q103)/P103)</f>
        <v>0</v>
      </c>
      <c r="S103" s="31">
        <f>IF(OR(B103="",C103=""),"",COUNTIFS($B$5:B103,B103))</f>
        <v>0</v>
      </c>
      <c r="T103" s="23">
        <f>IF(S103="","",B103&amp;"|"&amp;S103)</f>
        <v>0</v>
      </c>
      <c r="U103" s="39">
        <f>IF(B103="","",IF(C103="","Add - pick a service",IF(E103="","Add - how many?",IF(L103=0,"Add - no price",IF(AND(R103&lt;&gt;"",R103&lt;MarginFloor),"Below - thin margin","OK")))))</f>
        <v>0</v>
      </c>
    </row>
    <row r="104" spans="1:21">
      <c r="A104" s="43">
        <f>IF(B104="","","QL-"&amp;TEXT(ROW()-4,"0000"))</f>
        <v>0</v>
      </c>
      <c r="J104" s="21">
        <f>IF(C104="","",IFERROR(INDEX(Services!$P$5:$P$64,MATCH(C104,Services!$B$5:$B$64,0)),"0"))</f>
        <v>0</v>
      </c>
      <c r="K104" s="23">
        <f>IF(C104="","",IFERROR(INDEX(Services!$E$5:$E$64,MATCH(C104,Services!$B$5:$B$64,0)),""))</f>
        <v>0</v>
      </c>
      <c r="L104" s="21">
        <f>IF(B104="","",IF(F104&lt;&gt;"",F104,IFERROR(J104*1,0)))</f>
        <v>0</v>
      </c>
      <c r="M104" s="51">
        <f>IF(B104="","",IF(D104&lt;&gt;"",D104,IFERROR(INDEX(Services!$O$5:$O$64,MATCH(C104,Services!$B$5:$B$64,0)),"")))</f>
        <v>0</v>
      </c>
      <c r="N104" s="34">
        <f>IF(B104="","",IFERROR(INDEX(Services!$G$5:$G$64,MATCH(C104,Services!$B$5:$B$64,0)),0)*IF(E104="",1,IF(IFERROR(INDEX(Services!$D$5:$D$64,MATCH(C104,Services!$B$5:$B$64,0)),"")="Per hour",1,E104)))</f>
        <v>0</v>
      </c>
      <c r="O104" s="21">
        <f>IF(B104="","",ROUND(IF(E104="",1,E104)*L104,2))</f>
        <v>0</v>
      </c>
      <c r="P104" s="21">
        <f>IF(B104="","",ROUND(O104*(1-IF(G104="",0,G104)),2))</f>
        <v>0</v>
      </c>
      <c r="Q104" s="21">
        <f>IF(B104="","",ROUND(N104*CostPerHour+IF(E104="",1,E104)*IFERROR(INDEX(Services!$R$5:$R$64,MATCH(C104,Services!$B$5:$B$64,0)),0),2))</f>
        <v>0</v>
      </c>
      <c r="R104" s="38">
        <f>IF(OR(B104="",P104=0),"",(P104-Q104)/P104)</f>
        <v>0</v>
      </c>
      <c r="S104" s="31">
        <f>IF(OR(B104="",C104=""),"",COUNTIFS($B$5:B104,B104))</f>
        <v>0</v>
      </c>
      <c r="T104" s="23">
        <f>IF(S104="","",B104&amp;"|"&amp;S104)</f>
        <v>0</v>
      </c>
      <c r="U104" s="39">
        <f>IF(B104="","",IF(C104="","Add - pick a service",IF(E104="","Add - how many?",IF(L104=0,"Add - no price",IF(AND(R104&lt;&gt;"",R104&lt;MarginFloor),"Below - thin margin","OK")))))</f>
        <v>0</v>
      </c>
    </row>
    <row r="105" spans="1:21">
      <c r="A105" s="43">
        <f>IF(B105="","","QL-"&amp;TEXT(ROW()-4,"0000"))</f>
        <v>0</v>
      </c>
      <c r="J105" s="21">
        <f>IF(C105="","",IFERROR(INDEX(Services!$P$5:$P$64,MATCH(C105,Services!$B$5:$B$64,0)),"0"))</f>
        <v>0</v>
      </c>
      <c r="K105" s="23">
        <f>IF(C105="","",IFERROR(INDEX(Services!$E$5:$E$64,MATCH(C105,Services!$B$5:$B$64,0)),""))</f>
        <v>0</v>
      </c>
      <c r="L105" s="21">
        <f>IF(B105="","",IF(F105&lt;&gt;"",F105,IFERROR(J105*1,0)))</f>
        <v>0</v>
      </c>
      <c r="M105" s="51">
        <f>IF(B105="","",IF(D105&lt;&gt;"",D105,IFERROR(INDEX(Services!$O$5:$O$64,MATCH(C105,Services!$B$5:$B$64,0)),"")))</f>
        <v>0</v>
      </c>
      <c r="N105" s="34">
        <f>IF(B105="","",IFERROR(INDEX(Services!$G$5:$G$64,MATCH(C105,Services!$B$5:$B$64,0)),0)*IF(E105="",1,IF(IFERROR(INDEX(Services!$D$5:$D$64,MATCH(C105,Services!$B$5:$B$64,0)),"")="Per hour",1,E105)))</f>
        <v>0</v>
      </c>
      <c r="O105" s="21">
        <f>IF(B105="","",ROUND(IF(E105="",1,E105)*L105,2))</f>
        <v>0</v>
      </c>
      <c r="P105" s="21">
        <f>IF(B105="","",ROUND(O105*(1-IF(G105="",0,G105)),2))</f>
        <v>0</v>
      </c>
      <c r="Q105" s="21">
        <f>IF(B105="","",ROUND(N105*CostPerHour+IF(E105="",1,E105)*IFERROR(INDEX(Services!$R$5:$R$64,MATCH(C105,Services!$B$5:$B$64,0)),0),2))</f>
        <v>0</v>
      </c>
      <c r="R105" s="38">
        <f>IF(OR(B105="",P105=0),"",(P105-Q105)/P105)</f>
        <v>0</v>
      </c>
      <c r="S105" s="31">
        <f>IF(OR(B105="",C105=""),"",COUNTIFS($B$5:B105,B105))</f>
        <v>0</v>
      </c>
      <c r="T105" s="23">
        <f>IF(S105="","",B105&amp;"|"&amp;S105)</f>
        <v>0</v>
      </c>
      <c r="U105" s="39">
        <f>IF(B105="","",IF(C105="","Add - pick a service",IF(E105="","Add - how many?",IF(L105=0,"Add - no price",IF(AND(R105&lt;&gt;"",R105&lt;MarginFloor),"Below - thin margin","OK")))))</f>
        <v>0</v>
      </c>
    </row>
    <row r="106" spans="1:21">
      <c r="A106" s="43">
        <f>IF(B106="","","QL-"&amp;TEXT(ROW()-4,"0000"))</f>
        <v>0</v>
      </c>
      <c r="J106" s="21">
        <f>IF(C106="","",IFERROR(INDEX(Services!$P$5:$P$64,MATCH(C106,Services!$B$5:$B$64,0)),"0"))</f>
        <v>0</v>
      </c>
      <c r="K106" s="23">
        <f>IF(C106="","",IFERROR(INDEX(Services!$E$5:$E$64,MATCH(C106,Services!$B$5:$B$64,0)),""))</f>
        <v>0</v>
      </c>
      <c r="L106" s="21">
        <f>IF(B106="","",IF(F106&lt;&gt;"",F106,IFERROR(J106*1,0)))</f>
        <v>0</v>
      </c>
      <c r="M106" s="51">
        <f>IF(B106="","",IF(D106&lt;&gt;"",D106,IFERROR(INDEX(Services!$O$5:$O$64,MATCH(C106,Services!$B$5:$B$64,0)),"")))</f>
        <v>0</v>
      </c>
      <c r="N106" s="34">
        <f>IF(B106="","",IFERROR(INDEX(Services!$G$5:$G$64,MATCH(C106,Services!$B$5:$B$64,0)),0)*IF(E106="",1,IF(IFERROR(INDEX(Services!$D$5:$D$64,MATCH(C106,Services!$B$5:$B$64,0)),"")="Per hour",1,E106)))</f>
        <v>0</v>
      </c>
      <c r="O106" s="21">
        <f>IF(B106="","",ROUND(IF(E106="",1,E106)*L106,2))</f>
        <v>0</v>
      </c>
      <c r="P106" s="21">
        <f>IF(B106="","",ROUND(O106*(1-IF(G106="",0,G106)),2))</f>
        <v>0</v>
      </c>
      <c r="Q106" s="21">
        <f>IF(B106="","",ROUND(N106*CostPerHour+IF(E106="",1,E106)*IFERROR(INDEX(Services!$R$5:$R$64,MATCH(C106,Services!$B$5:$B$64,0)),0),2))</f>
        <v>0</v>
      </c>
      <c r="R106" s="38">
        <f>IF(OR(B106="",P106=0),"",(P106-Q106)/P106)</f>
        <v>0</v>
      </c>
      <c r="S106" s="31">
        <f>IF(OR(B106="",C106=""),"",COUNTIFS($B$5:B106,B106))</f>
        <v>0</v>
      </c>
      <c r="T106" s="23">
        <f>IF(S106="","",B106&amp;"|"&amp;S106)</f>
        <v>0</v>
      </c>
      <c r="U106" s="39">
        <f>IF(B106="","",IF(C106="","Add - pick a service",IF(E106="","Add - how many?",IF(L106=0,"Add - no price",IF(AND(R106&lt;&gt;"",R106&lt;MarginFloor),"Below - thin margin","OK")))))</f>
        <v>0</v>
      </c>
    </row>
    <row r="107" spans="1:21">
      <c r="A107" s="43">
        <f>IF(B107="","","QL-"&amp;TEXT(ROW()-4,"0000"))</f>
        <v>0</v>
      </c>
      <c r="J107" s="21">
        <f>IF(C107="","",IFERROR(INDEX(Services!$P$5:$P$64,MATCH(C107,Services!$B$5:$B$64,0)),"0"))</f>
        <v>0</v>
      </c>
      <c r="K107" s="23">
        <f>IF(C107="","",IFERROR(INDEX(Services!$E$5:$E$64,MATCH(C107,Services!$B$5:$B$64,0)),""))</f>
        <v>0</v>
      </c>
      <c r="L107" s="21">
        <f>IF(B107="","",IF(F107&lt;&gt;"",F107,IFERROR(J107*1,0)))</f>
        <v>0</v>
      </c>
      <c r="M107" s="51">
        <f>IF(B107="","",IF(D107&lt;&gt;"",D107,IFERROR(INDEX(Services!$O$5:$O$64,MATCH(C107,Services!$B$5:$B$64,0)),"")))</f>
        <v>0</v>
      </c>
      <c r="N107" s="34">
        <f>IF(B107="","",IFERROR(INDEX(Services!$G$5:$G$64,MATCH(C107,Services!$B$5:$B$64,0)),0)*IF(E107="",1,IF(IFERROR(INDEX(Services!$D$5:$D$64,MATCH(C107,Services!$B$5:$B$64,0)),"")="Per hour",1,E107)))</f>
        <v>0</v>
      </c>
      <c r="O107" s="21">
        <f>IF(B107="","",ROUND(IF(E107="",1,E107)*L107,2))</f>
        <v>0</v>
      </c>
      <c r="P107" s="21">
        <f>IF(B107="","",ROUND(O107*(1-IF(G107="",0,G107)),2))</f>
        <v>0</v>
      </c>
      <c r="Q107" s="21">
        <f>IF(B107="","",ROUND(N107*CostPerHour+IF(E107="",1,E107)*IFERROR(INDEX(Services!$R$5:$R$64,MATCH(C107,Services!$B$5:$B$64,0)),0),2))</f>
        <v>0</v>
      </c>
      <c r="R107" s="38">
        <f>IF(OR(B107="",P107=0),"",(P107-Q107)/P107)</f>
        <v>0</v>
      </c>
      <c r="S107" s="31">
        <f>IF(OR(B107="",C107=""),"",COUNTIFS($B$5:B107,B107))</f>
        <v>0</v>
      </c>
      <c r="T107" s="23">
        <f>IF(S107="","",B107&amp;"|"&amp;S107)</f>
        <v>0</v>
      </c>
      <c r="U107" s="39">
        <f>IF(B107="","",IF(C107="","Add - pick a service",IF(E107="","Add - how many?",IF(L107=0,"Add - no price",IF(AND(R107&lt;&gt;"",R107&lt;MarginFloor),"Below - thin margin","OK")))))</f>
        <v>0</v>
      </c>
    </row>
    <row r="108" spans="1:21">
      <c r="A108" s="43">
        <f>IF(B108="","","QL-"&amp;TEXT(ROW()-4,"0000"))</f>
        <v>0</v>
      </c>
      <c r="J108" s="21">
        <f>IF(C108="","",IFERROR(INDEX(Services!$P$5:$P$64,MATCH(C108,Services!$B$5:$B$64,0)),"0"))</f>
        <v>0</v>
      </c>
      <c r="K108" s="23">
        <f>IF(C108="","",IFERROR(INDEX(Services!$E$5:$E$64,MATCH(C108,Services!$B$5:$B$64,0)),""))</f>
        <v>0</v>
      </c>
      <c r="L108" s="21">
        <f>IF(B108="","",IF(F108&lt;&gt;"",F108,IFERROR(J108*1,0)))</f>
        <v>0</v>
      </c>
      <c r="M108" s="51">
        <f>IF(B108="","",IF(D108&lt;&gt;"",D108,IFERROR(INDEX(Services!$O$5:$O$64,MATCH(C108,Services!$B$5:$B$64,0)),"")))</f>
        <v>0</v>
      </c>
      <c r="N108" s="34">
        <f>IF(B108="","",IFERROR(INDEX(Services!$G$5:$G$64,MATCH(C108,Services!$B$5:$B$64,0)),0)*IF(E108="",1,IF(IFERROR(INDEX(Services!$D$5:$D$64,MATCH(C108,Services!$B$5:$B$64,0)),"")="Per hour",1,E108)))</f>
        <v>0</v>
      </c>
      <c r="O108" s="21">
        <f>IF(B108="","",ROUND(IF(E108="",1,E108)*L108,2))</f>
        <v>0</v>
      </c>
      <c r="P108" s="21">
        <f>IF(B108="","",ROUND(O108*(1-IF(G108="",0,G108)),2))</f>
        <v>0</v>
      </c>
      <c r="Q108" s="21">
        <f>IF(B108="","",ROUND(N108*CostPerHour+IF(E108="",1,E108)*IFERROR(INDEX(Services!$R$5:$R$64,MATCH(C108,Services!$B$5:$B$64,0)),0),2))</f>
        <v>0</v>
      </c>
      <c r="R108" s="38">
        <f>IF(OR(B108="",P108=0),"",(P108-Q108)/P108)</f>
        <v>0</v>
      </c>
      <c r="S108" s="31">
        <f>IF(OR(B108="",C108=""),"",COUNTIFS($B$5:B108,B108))</f>
        <v>0</v>
      </c>
      <c r="T108" s="23">
        <f>IF(S108="","",B108&amp;"|"&amp;S108)</f>
        <v>0</v>
      </c>
      <c r="U108" s="39">
        <f>IF(B108="","",IF(C108="","Add - pick a service",IF(E108="","Add - how many?",IF(L108=0,"Add - no price",IF(AND(R108&lt;&gt;"",R108&lt;MarginFloor),"Below - thin margin","OK")))))</f>
        <v>0</v>
      </c>
    </row>
    <row r="109" spans="1:21">
      <c r="A109" s="43">
        <f>IF(B109="","","QL-"&amp;TEXT(ROW()-4,"0000"))</f>
        <v>0</v>
      </c>
      <c r="J109" s="21">
        <f>IF(C109="","",IFERROR(INDEX(Services!$P$5:$P$64,MATCH(C109,Services!$B$5:$B$64,0)),"0"))</f>
        <v>0</v>
      </c>
      <c r="K109" s="23">
        <f>IF(C109="","",IFERROR(INDEX(Services!$E$5:$E$64,MATCH(C109,Services!$B$5:$B$64,0)),""))</f>
        <v>0</v>
      </c>
      <c r="L109" s="21">
        <f>IF(B109="","",IF(F109&lt;&gt;"",F109,IFERROR(J109*1,0)))</f>
        <v>0</v>
      </c>
      <c r="M109" s="51">
        <f>IF(B109="","",IF(D109&lt;&gt;"",D109,IFERROR(INDEX(Services!$O$5:$O$64,MATCH(C109,Services!$B$5:$B$64,0)),"")))</f>
        <v>0</v>
      </c>
      <c r="N109" s="34">
        <f>IF(B109="","",IFERROR(INDEX(Services!$G$5:$G$64,MATCH(C109,Services!$B$5:$B$64,0)),0)*IF(E109="",1,IF(IFERROR(INDEX(Services!$D$5:$D$64,MATCH(C109,Services!$B$5:$B$64,0)),"")="Per hour",1,E109)))</f>
        <v>0</v>
      </c>
      <c r="O109" s="21">
        <f>IF(B109="","",ROUND(IF(E109="",1,E109)*L109,2))</f>
        <v>0</v>
      </c>
      <c r="P109" s="21">
        <f>IF(B109="","",ROUND(O109*(1-IF(G109="",0,G109)),2))</f>
        <v>0</v>
      </c>
      <c r="Q109" s="21">
        <f>IF(B109="","",ROUND(N109*CostPerHour+IF(E109="",1,E109)*IFERROR(INDEX(Services!$R$5:$R$64,MATCH(C109,Services!$B$5:$B$64,0)),0),2))</f>
        <v>0</v>
      </c>
      <c r="R109" s="38">
        <f>IF(OR(B109="",P109=0),"",(P109-Q109)/P109)</f>
        <v>0</v>
      </c>
      <c r="S109" s="31">
        <f>IF(OR(B109="",C109=""),"",COUNTIFS($B$5:B109,B109))</f>
        <v>0</v>
      </c>
      <c r="T109" s="23">
        <f>IF(S109="","",B109&amp;"|"&amp;S109)</f>
        <v>0</v>
      </c>
      <c r="U109" s="39">
        <f>IF(B109="","",IF(C109="","Add - pick a service",IF(E109="","Add - how many?",IF(L109=0,"Add - no price",IF(AND(R109&lt;&gt;"",R109&lt;MarginFloor),"Below - thin margin","OK")))))</f>
        <v>0</v>
      </c>
    </row>
    <row r="110" spans="1:21">
      <c r="A110" s="43">
        <f>IF(B110="","","QL-"&amp;TEXT(ROW()-4,"0000"))</f>
        <v>0</v>
      </c>
      <c r="J110" s="21">
        <f>IF(C110="","",IFERROR(INDEX(Services!$P$5:$P$64,MATCH(C110,Services!$B$5:$B$64,0)),"0"))</f>
        <v>0</v>
      </c>
      <c r="K110" s="23">
        <f>IF(C110="","",IFERROR(INDEX(Services!$E$5:$E$64,MATCH(C110,Services!$B$5:$B$64,0)),""))</f>
        <v>0</v>
      </c>
      <c r="L110" s="21">
        <f>IF(B110="","",IF(F110&lt;&gt;"",F110,IFERROR(J110*1,0)))</f>
        <v>0</v>
      </c>
      <c r="M110" s="51">
        <f>IF(B110="","",IF(D110&lt;&gt;"",D110,IFERROR(INDEX(Services!$O$5:$O$64,MATCH(C110,Services!$B$5:$B$64,0)),"")))</f>
        <v>0</v>
      </c>
      <c r="N110" s="34">
        <f>IF(B110="","",IFERROR(INDEX(Services!$G$5:$G$64,MATCH(C110,Services!$B$5:$B$64,0)),0)*IF(E110="",1,IF(IFERROR(INDEX(Services!$D$5:$D$64,MATCH(C110,Services!$B$5:$B$64,0)),"")="Per hour",1,E110)))</f>
        <v>0</v>
      </c>
      <c r="O110" s="21">
        <f>IF(B110="","",ROUND(IF(E110="",1,E110)*L110,2))</f>
        <v>0</v>
      </c>
      <c r="P110" s="21">
        <f>IF(B110="","",ROUND(O110*(1-IF(G110="",0,G110)),2))</f>
        <v>0</v>
      </c>
      <c r="Q110" s="21">
        <f>IF(B110="","",ROUND(N110*CostPerHour+IF(E110="",1,E110)*IFERROR(INDEX(Services!$R$5:$R$64,MATCH(C110,Services!$B$5:$B$64,0)),0),2))</f>
        <v>0</v>
      </c>
      <c r="R110" s="38">
        <f>IF(OR(B110="",P110=0),"",(P110-Q110)/P110)</f>
        <v>0</v>
      </c>
      <c r="S110" s="31">
        <f>IF(OR(B110="",C110=""),"",COUNTIFS($B$5:B110,B110))</f>
        <v>0</v>
      </c>
      <c r="T110" s="23">
        <f>IF(S110="","",B110&amp;"|"&amp;S110)</f>
        <v>0</v>
      </c>
      <c r="U110" s="39">
        <f>IF(B110="","",IF(C110="","Add - pick a service",IF(E110="","Add - how many?",IF(L110=0,"Add - no price",IF(AND(R110&lt;&gt;"",R110&lt;MarginFloor),"Below - thin margin","OK")))))</f>
        <v>0</v>
      </c>
    </row>
    <row r="111" spans="1:21">
      <c r="A111" s="43">
        <f>IF(B111="","","QL-"&amp;TEXT(ROW()-4,"0000"))</f>
        <v>0</v>
      </c>
      <c r="J111" s="21">
        <f>IF(C111="","",IFERROR(INDEX(Services!$P$5:$P$64,MATCH(C111,Services!$B$5:$B$64,0)),"0"))</f>
        <v>0</v>
      </c>
      <c r="K111" s="23">
        <f>IF(C111="","",IFERROR(INDEX(Services!$E$5:$E$64,MATCH(C111,Services!$B$5:$B$64,0)),""))</f>
        <v>0</v>
      </c>
      <c r="L111" s="21">
        <f>IF(B111="","",IF(F111&lt;&gt;"",F111,IFERROR(J111*1,0)))</f>
        <v>0</v>
      </c>
      <c r="M111" s="51">
        <f>IF(B111="","",IF(D111&lt;&gt;"",D111,IFERROR(INDEX(Services!$O$5:$O$64,MATCH(C111,Services!$B$5:$B$64,0)),"")))</f>
        <v>0</v>
      </c>
      <c r="N111" s="34">
        <f>IF(B111="","",IFERROR(INDEX(Services!$G$5:$G$64,MATCH(C111,Services!$B$5:$B$64,0)),0)*IF(E111="",1,IF(IFERROR(INDEX(Services!$D$5:$D$64,MATCH(C111,Services!$B$5:$B$64,0)),"")="Per hour",1,E111)))</f>
        <v>0</v>
      </c>
      <c r="O111" s="21">
        <f>IF(B111="","",ROUND(IF(E111="",1,E111)*L111,2))</f>
        <v>0</v>
      </c>
      <c r="P111" s="21">
        <f>IF(B111="","",ROUND(O111*(1-IF(G111="",0,G111)),2))</f>
        <v>0</v>
      </c>
      <c r="Q111" s="21">
        <f>IF(B111="","",ROUND(N111*CostPerHour+IF(E111="",1,E111)*IFERROR(INDEX(Services!$R$5:$R$64,MATCH(C111,Services!$B$5:$B$64,0)),0),2))</f>
        <v>0</v>
      </c>
      <c r="R111" s="38">
        <f>IF(OR(B111="",P111=0),"",(P111-Q111)/P111)</f>
        <v>0</v>
      </c>
      <c r="S111" s="31">
        <f>IF(OR(B111="",C111=""),"",COUNTIFS($B$5:B111,B111))</f>
        <v>0</v>
      </c>
      <c r="T111" s="23">
        <f>IF(S111="","",B111&amp;"|"&amp;S111)</f>
        <v>0</v>
      </c>
      <c r="U111" s="39">
        <f>IF(B111="","",IF(C111="","Add - pick a service",IF(E111="","Add - how many?",IF(L111=0,"Add - no price",IF(AND(R111&lt;&gt;"",R111&lt;MarginFloor),"Below - thin margin","OK")))))</f>
        <v>0</v>
      </c>
    </row>
    <row r="112" spans="1:21">
      <c r="A112" s="43">
        <f>IF(B112="","","QL-"&amp;TEXT(ROW()-4,"0000"))</f>
        <v>0</v>
      </c>
      <c r="J112" s="21">
        <f>IF(C112="","",IFERROR(INDEX(Services!$P$5:$P$64,MATCH(C112,Services!$B$5:$B$64,0)),"0"))</f>
        <v>0</v>
      </c>
      <c r="K112" s="23">
        <f>IF(C112="","",IFERROR(INDEX(Services!$E$5:$E$64,MATCH(C112,Services!$B$5:$B$64,0)),""))</f>
        <v>0</v>
      </c>
      <c r="L112" s="21">
        <f>IF(B112="","",IF(F112&lt;&gt;"",F112,IFERROR(J112*1,0)))</f>
        <v>0</v>
      </c>
      <c r="M112" s="51">
        <f>IF(B112="","",IF(D112&lt;&gt;"",D112,IFERROR(INDEX(Services!$O$5:$O$64,MATCH(C112,Services!$B$5:$B$64,0)),"")))</f>
        <v>0</v>
      </c>
      <c r="N112" s="34">
        <f>IF(B112="","",IFERROR(INDEX(Services!$G$5:$G$64,MATCH(C112,Services!$B$5:$B$64,0)),0)*IF(E112="",1,IF(IFERROR(INDEX(Services!$D$5:$D$64,MATCH(C112,Services!$B$5:$B$64,0)),"")="Per hour",1,E112)))</f>
        <v>0</v>
      </c>
      <c r="O112" s="21">
        <f>IF(B112="","",ROUND(IF(E112="",1,E112)*L112,2))</f>
        <v>0</v>
      </c>
      <c r="P112" s="21">
        <f>IF(B112="","",ROUND(O112*(1-IF(G112="",0,G112)),2))</f>
        <v>0</v>
      </c>
      <c r="Q112" s="21">
        <f>IF(B112="","",ROUND(N112*CostPerHour+IF(E112="",1,E112)*IFERROR(INDEX(Services!$R$5:$R$64,MATCH(C112,Services!$B$5:$B$64,0)),0),2))</f>
        <v>0</v>
      </c>
      <c r="R112" s="38">
        <f>IF(OR(B112="",P112=0),"",(P112-Q112)/P112)</f>
        <v>0</v>
      </c>
      <c r="S112" s="31">
        <f>IF(OR(B112="",C112=""),"",COUNTIFS($B$5:B112,B112))</f>
        <v>0</v>
      </c>
      <c r="T112" s="23">
        <f>IF(S112="","",B112&amp;"|"&amp;S112)</f>
        <v>0</v>
      </c>
      <c r="U112" s="39">
        <f>IF(B112="","",IF(C112="","Add - pick a service",IF(E112="","Add - how many?",IF(L112=0,"Add - no price",IF(AND(R112&lt;&gt;"",R112&lt;MarginFloor),"Below - thin margin","OK")))))</f>
        <v>0</v>
      </c>
    </row>
    <row r="113" spans="1:21">
      <c r="A113" s="43">
        <f>IF(B113="","","QL-"&amp;TEXT(ROW()-4,"0000"))</f>
        <v>0</v>
      </c>
      <c r="J113" s="21">
        <f>IF(C113="","",IFERROR(INDEX(Services!$P$5:$P$64,MATCH(C113,Services!$B$5:$B$64,0)),"0"))</f>
        <v>0</v>
      </c>
      <c r="K113" s="23">
        <f>IF(C113="","",IFERROR(INDEX(Services!$E$5:$E$64,MATCH(C113,Services!$B$5:$B$64,0)),""))</f>
        <v>0</v>
      </c>
      <c r="L113" s="21">
        <f>IF(B113="","",IF(F113&lt;&gt;"",F113,IFERROR(J113*1,0)))</f>
        <v>0</v>
      </c>
      <c r="M113" s="51">
        <f>IF(B113="","",IF(D113&lt;&gt;"",D113,IFERROR(INDEX(Services!$O$5:$O$64,MATCH(C113,Services!$B$5:$B$64,0)),"")))</f>
        <v>0</v>
      </c>
      <c r="N113" s="34">
        <f>IF(B113="","",IFERROR(INDEX(Services!$G$5:$G$64,MATCH(C113,Services!$B$5:$B$64,0)),0)*IF(E113="",1,IF(IFERROR(INDEX(Services!$D$5:$D$64,MATCH(C113,Services!$B$5:$B$64,0)),"")="Per hour",1,E113)))</f>
        <v>0</v>
      </c>
      <c r="O113" s="21">
        <f>IF(B113="","",ROUND(IF(E113="",1,E113)*L113,2))</f>
        <v>0</v>
      </c>
      <c r="P113" s="21">
        <f>IF(B113="","",ROUND(O113*(1-IF(G113="",0,G113)),2))</f>
        <v>0</v>
      </c>
      <c r="Q113" s="21">
        <f>IF(B113="","",ROUND(N113*CostPerHour+IF(E113="",1,E113)*IFERROR(INDEX(Services!$R$5:$R$64,MATCH(C113,Services!$B$5:$B$64,0)),0),2))</f>
        <v>0</v>
      </c>
      <c r="R113" s="38">
        <f>IF(OR(B113="",P113=0),"",(P113-Q113)/P113)</f>
        <v>0</v>
      </c>
      <c r="S113" s="31">
        <f>IF(OR(B113="",C113=""),"",COUNTIFS($B$5:B113,B113))</f>
        <v>0</v>
      </c>
      <c r="T113" s="23">
        <f>IF(S113="","",B113&amp;"|"&amp;S113)</f>
        <v>0</v>
      </c>
      <c r="U113" s="39">
        <f>IF(B113="","",IF(C113="","Add - pick a service",IF(E113="","Add - how many?",IF(L113=0,"Add - no price",IF(AND(R113&lt;&gt;"",R113&lt;MarginFloor),"Below - thin margin","OK")))))</f>
        <v>0</v>
      </c>
    </row>
    <row r="114" spans="1:21">
      <c r="A114" s="43">
        <f>IF(B114="","","QL-"&amp;TEXT(ROW()-4,"0000"))</f>
        <v>0</v>
      </c>
      <c r="J114" s="21">
        <f>IF(C114="","",IFERROR(INDEX(Services!$P$5:$P$64,MATCH(C114,Services!$B$5:$B$64,0)),"0"))</f>
        <v>0</v>
      </c>
      <c r="K114" s="23">
        <f>IF(C114="","",IFERROR(INDEX(Services!$E$5:$E$64,MATCH(C114,Services!$B$5:$B$64,0)),""))</f>
        <v>0</v>
      </c>
      <c r="L114" s="21">
        <f>IF(B114="","",IF(F114&lt;&gt;"",F114,IFERROR(J114*1,0)))</f>
        <v>0</v>
      </c>
      <c r="M114" s="51">
        <f>IF(B114="","",IF(D114&lt;&gt;"",D114,IFERROR(INDEX(Services!$O$5:$O$64,MATCH(C114,Services!$B$5:$B$64,0)),"")))</f>
        <v>0</v>
      </c>
      <c r="N114" s="34">
        <f>IF(B114="","",IFERROR(INDEX(Services!$G$5:$G$64,MATCH(C114,Services!$B$5:$B$64,0)),0)*IF(E114="",1,IF(IFERROR(INDEX(Services!$D$5:$D$64,MATCH(C114,Services!$B$5:$B$64,0)),"")="Per hour",1,E114)))</f>
        <v>0</v>
      </c>
      <c r="O114" s="21">
        <f>IF(B114="","",ROUND(IF(E114="",1,E114)*L114,2))</f>
        <v>0</v>
      </c>
      <c r="P114" s="21">
        <f>IF(B114="","",ROUND(O114*(1-IF(G114="",0,G114)),2))</f>
        <v>0</v>
      </c>
      <c r="Q114" s="21">
        <f>IF(B114="","",ROUND(N114*CostPerHour+IF(E114="",1,E114)*IFERROR(INDEX(Services!$R$5:$R$64,MATCH(C114,Services!$B$5:$B$64,0)),0),2))</f>
        <v>0</v>
      </c>
      <c r="R114" s="38">
        <f>IF(OR(B114="",P114=0),"",(P114-Q114)/P114)</f>
        <v>0</v>
      </c>
      <c r="S114" s="31">
        <f>IF(OR(B114="",C114=""),"",COUNTIFS($B$5:B114,B114))</f>
        <v>0</v>
      </c>
      <c r="T114" s="23">
        <f>IF(S114="","",B114&amp;"|"&amp;S114)</f>
        <v>0</v>
      </c>
      <c r="U114" s="39">
        <f>IF(B114="","",IF(C114="","Add - pick a service",IF(E114="","Add - how many?",IF(L114=0,"Add - no price",IF(AND(R114&lt;&gt;"",R114&lt;MarginFloor),"Below - thin margin","OK")))))</f>
        <v>0</v>
      </c>
    </row>
    <row r="115" spans="1:21">
      <c r="A115" s="43">
        <f>IF(B115="","","QL-"&amp;TEXT(ROW()-4,"0000"))</f>
        <v>0</v>
      </c>
      <c r="J115" s="21">
        <f>IF(C115="","",IFERROR(INDEX(Services!$P$5:$P$64,MATCH(C115,Services!$B$5:$B$64,0)),"0"))</f>
        <v>0</v>
      </c>
      <c r="K115" s="23">
        <f>IF(C115="","",IFERROR(INDEX(Services!$E$5:$E$64,MATCH(C115,Services!$B$5:$B$64,0)),""))</f>
        <v>0</v>
      </c>
      <c r="L115" s="21">
        <f>IF(B115="","",IF(F115&lt;&gt;"",F115,IFERROR(J115*1,0)))</f>
        <v>0</v>
      </c>
      <c r="M115" s="51">
        <f>IF(B115="","",IF(D115&lt;&gt;"",D115,IFERROR(INDEX(Services!$O$5:$O$64,MATCH(C115,Services!$B$5:$B$64,0)),"")))</f>
        <v>0</v>
      </c>
      <c r="N115" s="34">
        <f>IF(B115="","",IFERROR(INDEX(Services!$G$5:$G$64,MATCH(C115,Services!$B$5:$B$64,0)),0)*IF(E115="",1,IF(IFERROR(INDEX(Services!$D$5:$D$64,MATCH(C115,Services!$B$5:$B$64,0)),"")="Per hour",1,E115)))</f>
        <v>0</v>
      </c>
      <c r="O115" s="21">
        <f>IF(B115="","",ROUND(IF(E115="",1,E115)*L115,2))</f>
        <v>0</v>
      </c>
      <c r="P115" s="21">
        <f>IF(B115="","",ROUND(O115*(1-IF(G115="",0,G115)),2))</f>
        <v>0</v>
      </c>
      <c r="Q115" s="21">
        <f>IF(B115="","",ROUND(N115*CostPerHour+IF(E115="",1,E115)*IFERROR(INDEX(Services!$R$5:$R$64,MATCH(C115,Services!$B$5:$B$64,0)),0),2))</f>
        <v>0</v>
      </c>
      <c r="R115" s="38">
        <f>IF(OR(B115="",P115=0),"",(P115-Q115)/P115)</f>
        <v>0</v>
      </c>
      <c r="S115" s="31">
        <f>IF(OR(B115="",C115=""),"",COUNTIFS($B$5:B115,B115))</f>
        <v>0</v>
      </c>
      <c r="T115" s="23">
        <f>IF(S115="","",B115&amp;"|"&amp;S115)</f>
        <v>0</v>
      </c>
      <c r="U115" s="39">
        <f>IF(B115="","",IF(C115="","Add - pick a service",IF(E115="","Add - how many?",IF(L115=0,"Add - no price",IF(AND(R115&lt;&gt;"",R115&lt;MarginFloor),"Below - thin margin","OK")))))</f>
        <v>0</v>
      </c>
    </row>
    <row r="116" spans="1:21">
      <c r="A116" s="43">
        <f>IF(B116="","","QL-"&amp;TEXT(ROW()-4,"0000"))</f>
        <v>0</v>
      </c>
      <c r="J116" s="21">
        <f>IF(C116="","",IFERROR(INDEX(Services!$P$5:$P$64,MATCH(C116,Services!$B$5:$B$64,0)),"0"))</f>
        <v>0</v>
      </c>
      <c r="K116" s="23">
        <f>IF(C116="","",IFERROR(INDEX(Services!$E$5:$E$64,MATCH(C116,Services!$B$5:$B$64,0)),""))</f>
        <v>0</v>
      </c>
      <c r="L116" s="21">
        <f>IF(B116="","",IF(F116&lt;&gt;"",F116,IFERROR(J116*1,0)))</f>
        <v>0</v>
      </c>
      <c r="M116" s="51">
        <f>IF(B116="","",IF(D116&lt;&gt;"",D116,IFERROR(INDEX(Services!$O$5:$O$64,MATCH(C116,Services!$B$5:$B$64,0)),"")))</f>
        <v>0</v>
      </c>
      <c r="N116" s="34">
        <f>IF(B116="","",IFERROR(INDEX(Services!$G$5:$G$64,MATCH(C116,Services!$B$5:$B$64,0)),0)*IF(E116="",1,IF(IFERROR(INDEX(Services!$D$5:$D$64,MATCH(C116,Services!$B$5:$B$64,0)),"")="Per hour",1,E116)))</f>
        <v>0</v>
      </c>
      <c r="O116" s="21">
        <f>IF(B116="","",ROUND(IF(E116="",1,E116)*L116,2))</f>
        <v>0</v>
      </c>
      <c r="P116" s="21">
        <f>IF(B116="","",ROUND(O116*(1-IF(G116="",0,G116)),2))</f>
        <v>0</v>
      </c>
      <c r="Q116" s="21">
        <f>IF(B116="","",ROUND(N116*CostPerHour+IF(E116="",1,E116)*IFERROR(INDEX(Services!$R$5:$R$64,MATCH(C116,Services!$B$5:$B$64,0)),0),2))</f>
        <v>0</v>
      </c>
      <c r="R116" s="38">
        <f>IF(OR(B116="",P116=0),"",(P116-Q116)/P116)</f>
        <v>0</v>
      </c>
      <c r="S116" s="31">
        <f>IF(OR(B116="",C116=""),"",COUNTIFS($B$5:B116,B116))</f>
        <v>0</v>
      </c>
      <c r="T116" s="23">
        <f>IF(S116="","",B116&amp;"|"&amp;S116)</f>
        <v>0</v>
      </c>
      <c r="U116" s="39">
        <f>IF(B116="","",IF(C116="","Add - pick a service",IF(E116="","Add - how many?",IF(L116=0,"Add - no price",IF(AND(R116&lt;&gt;"",R116&lt;MarginFloor),"Below - thin margin","OK")))))</f>
        <v>0</v>
      </c>
    </row>
    <row r="117" spans="1:21">
      <c r="A117" s="43">
        <f>IF(B117="","","QL-"&amp;TEXT(ROW()-4,"0000"))</f>
        <v>0</v>
      </c>
      <c r="J117" s="21">
        <f>IF(C117="","",IFERROR(INDEX(Services!$P$5:$P$64,MATCH(C117,Services!$B$5:$B$64,0)),"0"))</f>
        <v>0</v>
      </c>
      <c r="K117" s="23">
        <f>IF(C117="","",IFERROR(INDEX(Services!$E$5:$E$64,MATCH(C117,Services!$B$5:$B$64,0)),""))</f>
        <v>0</v>
      </c>
      <c r="L117" s="21">
        <f>IF(B117="","",IF(F117&lt;&gt;"",F117,IFERROR(J117*1,0)))</f>
        <v>0</v>
      </c>
      <c r="M117" s="51">
        <f>IF(B117="","",IF(D117&lt;&gt;"",D117,IFERROR(INDEX(Services!$O$5:$O$64,MATCH(C117,Services!$B$5:$B$64,0)),"")))</f>
        <v>0</v>
      </c>
      <c r="N117" s="34">
        <f>IF(B117="","",IFERROR(INDEX(Services!$G$5:$G$64,MATCH(C117,Services!$B$5:$B$64,0)),0)*IF(E117="",1,IF(IFERROR(INDEX(Services!$D$5:$D$64,MATCH(C117,Services!$B$5:$B$64,0)),"")="Per hour",1,E117)))</f>
        <v>0</v>
      </c>
      <c r="O117" s="21">
        <f>IF(B117="","",ROUND(IF(E117="",1,E117)*L117,2))</f>
        <v>0</v>
      </c>
      <c r="P117" s="21">
        <f>IF(B117="","",ROUND(O117*(1-IF(G117="",0,G117)),2))</f>
        <v>0</v>
      </c>
      <c r="Q117" s="21">
        <f>IF(B117="","",ROUND(N117*CostPerHour+IF(E117="",1,E117)*IFERROR(INDEX(Services!$R$5:$R$64,MATCH(C117,Services!$B$5:$B$64,0)),0),2))</f>
        <v>0</v>
      </c>
      <c r="R117" s="38">
        <f>IF(OR(B117="",P117=0),"",(P117-Q117)/P117)</f>
        <v>0</v>
      </c>
      <c r="S117" s="31">
        <f>IF(OR(B117="",C117=""),"",COUNTIFS($B$5:B117,B117))</f>
        <v>0</v>
      </c>
      <c r="T117" s="23">
        <f>IF(S117="","",B117&amp;"|"&amp;S117)</f>
        <v>0</v>
      </c>
      <c r="U117" s="39">
        <f>IF(B117="","",IF(C117="","Add - pick a service",IF(E117="","Add - how many?",IF(L117=0,"Add - no price",IF(AND(R117&lt;&gt;"",R117&lt;MarginFloor),"Below - thin margin","OK")))))</f>
        <v>0</v>
      </c>
    </row>
    <row r="118" spans="1:21">
      <c r="A118" s="43">
        <f>IF(B118="","","QL-"&amp;TEXT(ROW()-4,"0000"))</f>
        <v>0</v>
      </c>
      <c r="J118" s="21">
        <f>IF(C118="","",IFERROR(INDEX(Services!$P$5:$P$64,MATCH(C118,Services!$B$5:$B$64,0)),"0"))</f>
        <v>0</v>
      </c>
      <c r="K118" s="23">
        <f>IF(C118="","",IFERROR(INDEX(Services!$E$5:$E$64,MATCH(C118,Services!$B$5:$B$64,0)),""))</f>
        <v>0</v>
      </c>
      <c r="L118" s="21">
        <f>IF(B118="","",IF(F118&lt;&gt;"",F118,IFERROR(J118*1,0)))</f>
        <v>0</v>
      </c>
      <c r="M118" s="51">
        <f>IF(B118="","",IF(D118&lt;&gt;"",D118,IFERROR(INDEX(Services!$O$5:$O$64,MATCH(C118,Services!$B$5:$B$64,0)),"")))</f>
        <v>0</v>
      </c>
      <c r="N118" s="34">
        <f>IF(B118="","",IFERROR(INDEX(Services!$G$5:$G$64,MATCH(C118,Services!$B$5:$B$64,0)),0)*IF(E118="",1,IF(IFERROR(INDEX(Services!$D$5:$D$64,MATCH(C118,Services!$B$5:$B$64,0)),"")="Per hour",1,E118)))</f>
        <v>0</v>
      </c>
      <c r="O118" s="21">
        <f>IF(B118="","",ROUND(IF(E118="",1,E118)*L118,2))</f>
        <v>0</v>
      </c>
      <c r="P118" s="21">
        <f>IF(B118="","",ROUND(O118*(1-IF(G118="",0,G118)),2))</f>
        <v>0</v>
      </c>
      <c r="Q118" s="21">
        <f>IF(B118="","",ROUND(N118*CostPerHour+IF(E118="",1,E118)*IFERROR(INDEX(Services!$R$5:$R$64,MATCH(C118,Services!$B$5:$B$64,0)),0),2))</f>
        <v>0</v>
      </c>
      <c r="R118" s="38">
        <f>IF(OR(B118="",P118=0),"",(P118-Q118)/P118)</f>
        <v>0</v>
      </c>
      <c r="S118" s="31">
        <f>IF(OR(B118="",C118=""),"",COUNTIFS($B$5:B118,B118))</f>
        <v>0</v>
      </c>
      <c r="T118" s="23">
        <f>IF(S118="","",B118&amp;"|"&amp;S118)</f>
        <v>0</v>
      </c>
      <c r="U118" s="39">
        <f>IF(B118="","",IF(C118="","Add - pick a service",IF(E118="","Add - how many?",IF(L118=0,"Add - no price",IF(AND(R118&lt;&gt;"",R118&lt;MarginFloor),"Below - thin margin","OK")))))</f>
        <v>0</v>
      </c>
    </row>
    <row r="119" spans="1:21">
      <c r="A119" s="43">
        <f>IF(B119="","","QL-"&amp;TEXT(ROW()-4,"0000"))</f>
        <v>0</v>
      </c>
      <c r="J119" s="21">
        <f>IF(C119="","",IFERROR(INDEX(Services!$P$5:$P$64,MATCH(C119,Services!$B$5:$B$64,0)),"0"))</f>
        <v>0</v>
      </c>
      <c r="K119" s="23">
        <f>IF(C119="","",IFERROR(INDEX(Services!$E$5:$E$64,MATCH(C119,Services!$B$5:$B$64,0)),""))</f>
        <v>0</v>
      </c>
      <c r="L119" s="21">
        <f>IF(B119="","",IF(F119&lt;&gt;"",F119,IFERROR(J119*1,0)))</f>
        <v>0</v>
      </c>
      <c r="M119" s="51">
        <f>IF(B119="","",IF(D119&lt;&gt;"",D119,IFERROR(INDEX(Services!$O$5:$O$64,MATCH(C119,Services!$B$5:$B$64,0)),"")))</f>
        <v>0</v>
      </c>
      <c r="N119" s="34">
        <f>IF(B119="","",IFERROR(INDEX(Services!$G$5:$G$64,MATCH(C119,Services!$B$5:$B$64,0)),0)*IF(E119="",1,IF(IFERROR(INDEX(Services!$D$5:$D$64,MATCH(C119,Services!$B$5:$B$64,0)),"")="Per hour",1,E119)))</f>
        <v>0</v>
      </c>
      <c r="O119" s="21">
        <f>IF(B119="","",ROUND(IF(E119="",1,E119)*L119,2))</f>
        <v>0</v>
      </c>
      <c r="P119" s="21">
        <f>IF(B119="","",ROUND(O119*(1-IF(G119="",0,G119)),2))</f>
        <v>0</v>
      </c>
      <c r="Q119" s="21">
        <f>IF(B119="","",ROUND(N119*CostPerHour+IF(E119="",1,E119)*IFERROR(INDEX(Services!$R$5:$R$64,MATCH(C119,Services!$B$5:$B$64,0)),0),2))</f>
        <v>0</v>
      </c>
      <c r="R119" s="38">
        <f>IF(OR(B119="",P119=0),"",(P119-Q119)/P119)</f>
        <v>0</v>
      </c>
      <c r="S119" s="31">
        <f>IF(OR(B119="",C119=""),"",COUNTIFS($B$5:B119,B119))</f>
        <v>0</v>
      </c>
      <c r="T119" s="23">
        <f>IF(S119="","",B119&amp;"|"&amp;S119)</f>
        <v>0</v>
      </c>
      <c r="U119" s="39">
        <f>IF(B119="","",IF(C119="","Add - pick a service",IF(E119="","Add - how many?",IF(L119=0,"Add - no price",IF(AND(R119&lt;&gt;"",R119&lt;MarginFloor),"Below - thin margin","OK")))))</f>
        <v>0</v>
      </c>
    </row>
    <row r="120" spans="1:21">
      <c r="A120" s="43">
        <f>IF(B120="","","QL-"&amp;TEXT(ROW()-4,"0000"))</f>
        <v>0</v>
      </c>
      <c r="J120" s="21">
        <f>IF(C120="","",IFERROR(INDEX(Services!$P$5:$P$64,MATCH(C120,Services!$B$5:$B$64,0)),"0"))</f>
        <v>0</v>
      </c>
      <c r="K120" s="23">
        <f>IF(C120="","",IFERROR(INDEX(Services!$E$5:$E$64,MATCH(C120,Services!$B$5:$B$64,0)),""))</f>
        <v>0</v>
      </c>
      <c r="L120" s="21">
        <f>IF(B120="","",IF(F120&lt;&gt;"",F120,IFERROR(J120*1,0)))</f>
        <v>0</v>
      </c>
      <c r="M120" s="51">
        <f>IF(B120="","",IF(D120&lt;&gt;"",D120,IFERROR(INDEX(Services!$O$5:$O$64,MATCH(C120,Services!$B$5:$B$64,0)),"")))</f>
        <v>0</v>
      </c>
      <c r="N120" s="34">
        <f>IF(B120="","",IFERROR(INDEX(Services!$G$5:$G$64,MATCH(C120,Services!$B$5:$B$64,0)),0)*IF(E120="",1,IF(IFERROR(INDEX(Services!$D$5:$D$64,MATCH(C120,Services!$B$5:$B$64,0)),"")="Per hour",1,E120)))</f>
        <v>0</v>
      </c>
      <c r="O120" s="21">
        <f>IF(B120="","",ROUND(IF(E120="",1,E120)*L120,2))</f>
        <v>0</v>
      </c>
      <c r="P120" s="21">
        <f>IF(B120="","",ROUND(O120*(1-IF(G120="",0,G120)),2))</f>
        <v>0</v>
      </c>
      <c r="Q120" s="21">
        <f>IF(B120="","",ROUND(N120*CostPerHour+IF(E120="",1,E120)*IFERROR(INDEX(Services!$R$5:$R$64,MATCH(C120,Services!$B$5:$B$64,0)),0),2))</f>
        <v>0</v>
      </c>
      <c r="R120" s="38">
        <f>IF(OR(B120="",P120=0),"",(P120-Q120)/P120)</f>
        <v>0</v>
      </c>
      <c r="S120" s="31">
        <f>IF(OR(B120="",C120=""),"",COUNTIFS($B$5:B120,B120))</f>
        <v>0</v>
      </c>
      <c r="T120" s="23">
        <f>IF(S120="","",B120&amp;"|"&amp;S120)</f>
        <v>0</v>
      </c>
      <c r="U120" s="39">
        <f>IF(B120="","",IF(C120="","Add - pick a service",IF(E120="","Add - how many?",IF(L120=0,"Add - no price",IF(AND(R120&lt;&gt;"",R120&lt;MarginFloor),"Below - thin margin","OK")))))</f>
        <v>0</v>
      </c>
    </row>
    <row r="121" spans="1:21">
      <c r="A121" s="43">
        <f>IF(B121="","","QL-"&amp;TEXT(ROW()-4,"0000"))</f>
        <v>0</v>
      </c>
      <c r="J121" s="21">
        <f>IF(C121="","",IFERROR(INDEX(Services!$P$5:$P$64,MATCH(C121,Services!$B$5:$B$64,0)),"0"))</f>
        <v>0</v>
      </c>
      <c r="K121" s="23">
        <f>IF(C121="","",IFERROR(INDEX(Services!$E$5:$E$64,MATCH(C121,Services!$B$5:$B$64,0)),""))</f>
        <v>0</v>
      </c>
      <c r="L121" s="21">
        <f>IF(B121="","",IF(F121&lt;&gt;"",F121,IFERROR(J121*1,0)))</f>
        <v>0</v>
      </c>
      <c r="M121" s="51">
        <f>IF(B121="","",IF(D121&lt;&gt;"",D121,IFERROR(INDEX(Services!$O$5:$O$64,MATCH(C121,Services!$B$5:$B$64,0)),"")))</f>
        <v>0</v>
      </c>
      <c r="N121" s="34">
        <f>IF(B121="","",IFERROR(INDEX(Services!$G$5:$G$64,MATCH(C121,Services!$B$5:$B$64,0)),0)*IF(E121="",1,IF(IFERROR(INDEX(Services!$D$5:$D$64,MATCH(C121,Services!$B$5:$B$64,0)),"")="Per hour",1,E121)))</f>
        <v>0</v>
      </c>
      <c r="O121" s="21">
        <f>IF(B121="","",ROUND(IF(E121="",1,E121)*L121,2))</f>
        <v>0</v>
      </c>
      <c r="P121" s="21">
        <f>IF(B121="","",ROUND(O121*(1-IF(G121="",0,G121)),2))</f>
        <v>0</v>
      </c>
      <c r="Q121" s="21">
        <f>IF(B121="","",ROUND(N121*CostPerHour+IF(E121="",1,E121)*IFERROR(INDEX(Services!$R$5:$R$64,MATCH(C121,Services!$B$5:$B$64,0)),0),2))</f>
        <v>0</v>
      </c>
      <c r="R121" s="38">
        <f>IF(OR(B121="",P121=0),"",(P121-Q121)/P121)</f>
        <v>0</v>
      </c>
      <c r="S121" s="31">
        <f>IF(OR(B121="",C121=""),"",COUNTIFS($B$5:B121,B121))</f>
        <v>0</v>
      </c>
      <c r="T121" s="23">
        <f>IF(S121="","",B121&amp;"|"&amp;S121)</f>
        <v>0</v>
      </c>
      <c r="U121" s="39">
        <f>IF(B121="","",IF(C121="","Add - pick a service",IF(E121="","Add - how many?",IF(L121=0,"Add - no price",IF(AND(R121&lt;&gt;"",R121&lt;MarginFloor),"Below - thin margin","OK")))))</f>
        <v>0</v>
      </c>
    </row>
    <row r="122" spans="1:21">
      <c r="A122" s="43">
        <f>IF(B122="","","QL-"&amp;TEXT(ROW()-4,"0000"))</f>
        <v>0</v>
      </c>
      <c r="J122" s="21">
        <f>IF(C122="","",IFERROR(INDEX(Services!$P$5:$P$64,MATCH(C122,Services!$B$5:$B$64,0)),"0"))</f>
        <v>0</v>
      </c>
      <c r="K122" s="23">
        <f>IF(C122="","",IFERROR(INDEX(Services!$E$5:$E$64,MATCH(C122,Services!$B$5:$B$64,0)),""))</f>
        <v>0</v>
      </c>
      <c r="L122" s="21">
        <f>IF(B122="","",IF(F122&lt;&gt;"",F122,IFERROR(J122*1,0)))</f>
        <v>0</v>
      </c>
      <c r="M122" s="51">
        <f>IF(B122="","",IF(D122&lt;&gt;"",D122,IFERROR(INDEX(Services!$O$5:$O$64,MATCH(C122,Services!$B$5:$B$64,0)),"")))</f>
        <v>0</v>
      </c>
      <c r="N122" s="34">
        <f>IF(B122="","",IFERROR(INDEX(Services!$G$5:$G$64,MATCH(C122,Services!$B$5:$B$64,0)),0)*IF(E122="",1,IF(IFERROR(INDEX(Services!$D$5:$D$64,MATCH(C122,Services!$B$5:$B$64,0)),"")="Per hour",1,E122)))</f>
        <v>0</v>
      </c>
      <c r="O122" s="21">
        <f>IF(B122="","",ROUND(IF(E122="",1,E122)*L122,2))</f>
        <v>0</v>
      </c>
      <c r="P122" s="21">
        <f>IF(B122="","",ROUND(O122*(1-IF(G122="",0,G122)),2))</f>
        <v>0</v>
      </c>
      <c r="Q122" s="21">
        <f>IF(B122="","",ROUND(N122*CostPerHour+IF(E122="",1,E122)*IFERROR(INDEX(Services!$R$5:$R$64,MATCH(C122,Services!$B$5:$B$64,0)),0),2))</f>
        <v>0</v>
      </c>
      <c r="R122" s="38">
        <f>IF(OR(B122="",P122=0),"",(P122-Q122)/P122)</f>
        <v>0</v>
      </c>
      <c r="S122" s="31">
        <f>IF(OR(B122="",C122=""),"",COUNTIFS($B$5:B122,B122))</f>
        <v>0</v>
      </c>
      <c r="T122" s="23">
        <f>IF(S122="","",B122&amp;"|"&amp;S122)</f>
        <v>0</v>
      </c>
      <c r="U122" s="39">
        <f>IF(B122="","",IF(C122="","Add - pick a service",IF(E122="","Add - how many?",IF(L122=0,"Add - no price",IF(AND(R122&lt;&gt;"",R122&lt;MarginFloor),"Below - thin margin","OK")))))</f>
        <v>0</v>
      </c>
    </row>
    <row r="123" spans="1:21">
      <c r="A123" s="43">
        <f>IF(B123="","","QL-"&amp;TEXT(ROW()-4,"0000"))</f>
        <v>0</v>
      </c>
      <c r="J123" s="21">
        <f>IF(C123="","",IFERROR(INDEX(Services!$P$5:$P$64,MATCH(C123,Services!$B$5:$B$64,0)),"0"))</f>
        <v>0</v>
      </c>
      <c r="K123" s="23">
        <f>IF(C123="","",IFERROR(INDEX(Services!$E$5:$E$64,MATCH(C123,Services!$B$5:$B$64,0)),""))</f>
        <v>0</v>
      </c>
      <c r="L123" s="21">
        <f>IF(B123="","",IF(F123&lt;&gt;"",F123,IFERROR(J123*1,0)))</f>
        <v>0</v>
      </c>
      <c r="M123" s="51">
        <f>IF(B123="","",IF(D123&lt;&gt;"",D123,IFERROR(INDEX(Services!$O$5:$O$64,MATCH(C123,Services!$B$5:$B$64,0)),"")))</f>
        <v>0</v>
      </c>
      <c r="N123" s="34">
        <f>IF(B123="","",IFERROR(INDEX(Services!$G$5:$G$64,MATCH(C123,Services!$B$5:$B$64,0)),0)*IF(E123="",1,IF(IFERROR(INDEX(Services!$D$5:$D$64,MATCH(C123,Services!$B$5:$B$64,0)),"")="Per hour",1,E123)))</f>
        <v>0</v>
      </c>
      <c r="O123" s="21">
        <f>IF(B123="","",ROUND(IF(E123="",1,E123)*L123,2))</f>
        <v>0</v>
      </c>
      <c r="P123" s="21">
        <f>IF(B123="","",ROUND(O123*(1-IF(G123="",0,G123)),2))</f>
        <v>0</v>
      </c>
      <c r="Q123" s="21">
        <f>IF(B123="","",ROUND(N123*CostPerHour+IF(E123="",1,E123)*IFERROR(INDEX(Services!$R$5:$R$64,MATCH(C123,Services!$B$5:$B$64,0)),0),2))</f>
        <v>0</v>
      </c>
      <c r="R123" s="38">
        <f>IF(OR(B123="",P123=0),"",(P123-Q123)/P123)</f>
        <v>0</v>
      </c>
      <c r="S123" s="31">
        <f>IF(OR(B123="",C123=""),"",COUNTIFS($B$5:B123,B123))</f>
        <v>0</v>
      </c>
      <c r="T123" s="23">
        <f>IF(S123="","",B123&amp;"|"&amp;S123)</f>
        <v>0</v>
      </c>
      <c r="U123" s="39">
        <f>IF(B123="","",IF(C123="","Add - pick a service",IF(E123="","Add - how many?",IF(L123=0,"Add - no price",IF(AND(R123&lt;&gt;"",R123&lt;MarginFloor),"Below - thin margin","OK")))))</f>
        <v>0</v>
      </c>
    </row>
    <row r="124" spans="1:21">
      <c r="A124" s="43">
        <f>IF(B124="","","QL-"&amp;TEXT(ROW()-4,"0000"))</f>
        <v>0</v>
      </c>
      <c r="J124" s="21">
        <f>IF(C124="","",IFERROR(INDEX(Services!$P$5:$P$64,MATCH(C124,Services!$B$5:$B$64,0)),"0"))</f>
        <v>0</v>
      </c>
      <c r="K124" s="23">
        <f>IF(C124="","",IFERROR(INDEX(Services!$E$5:$E$64,MATCH(C124,Services!$B$5:$B$64,0)),""))</f>
        <v>0</v>
      </c>
      <c r="L124" s="21">
        <f>IF(B124="","",IF(F124&lt;&gt;"",F124,IFERROR(J124*1,0)))</f>
        <v>0</v>
      </c>
      <c r="M124" s="51">
        <f>IF(B124="","",IF(D124&lt;&gt;"",D124,IFERROR(INDEX(Services!$O$5:$O$64,MATCH(C124,Services!$B$5:$B$64,0)),"")))</f>
        <v>0</v>
      </c>
      <c r="N124" s="34">
        <f>IF(B124="","",IFERROR(INDEX(Services!$G$5:$G$64,MATCH(C124,Services!$B$5:$B$64,0)),0)*IF(E124="",1,IF(IFERROR(INDEX(Services!$D$5:$D$64,MATCH(C124,Services!$B$5:$B$64,0)),"")="Per hour",1,E124)))</f>
        <v>0</v>
      </c>
      <c r="O124" s="21">
        <f>IF(B124="","",ROUND(IF(E124="",1,E124)*L124,2))</f>
        <v>0</v>
      </c>
      <c r="P124" s="21">
        <f>IF(B124="","",ROUND(O124*(1-IF(G124="",0,G124)),2))</f>
        <v>0</v>
      </c>
      <c r="Q124" s="21">
        <f>IF(B124="","",ROUND(N124*CostPerHour+IF(E124="",1,E124)*IFERROR(INDEX(Services!$R$5:$R$64,MATCH(C124,Services!$B$5:$B$64,0)),0),2))</f>
        <v>0</v>
      </c>
      <c r="R124" s="38">
        <f>IF(OR(B124="",P124=0),"",(P124-Q124)/P124)</f>
        <v>0</v>
      </c>
      <c r="S124" s="31">
        <f>IF(OR(B124="",C124=""),"",COUNTIFS($B$5:B124,B124))</f>
        <v>0</v>
      </c>
      <c r="T124" s="23">
        <f>IF(S124="","",B124&amp;"|"&amp;S124)</f>
        <v>0</v>
      </c>
      <c r="U124" s="39">
        <f>IF(B124="","",IF(C124="","Add - pick a service",IF(E124="","Add - how many?",IF(L124=0,"Add - no price",IF(AND(R124&lt;&gt;"",R124&lt;MarginFloor),"Below - thin margin","OK")))))</f>
        <v>0</v>
      </c>
    </row>
    <row r="125" spans="1:21">
      <c r="A125" s="43">
        <f>IF(B125="","","QL-"&amp;TEXT(ROW()-4,"0000"))</f>
        <v>0</v>
      </c>
      <c r="J125" s="21">
        <f>IF(C125="","",IFERROR(INDEX(Services!$P$5:$P$64,MATCH(C125,Services!$B$5:$B$64,0)),"0"))</f>
        <v>0</v>
      </c>
      <c r="K125" s="23">
        <f>IF(C125="","",IFERROR(INDEX(Services!$E$5:$E$64,MATCH(C125,Services!$B$5:$B$64,0)),""))</f>
        <v>0</v>
      </c>
      <c r="L125" s="21">
        <f>IF(B125="","",IF(F125&lt;&gt;"",F125,IFERROR(J125*1,0)))</f>
        <v>0</v>
      </c>
      <c r="M125" s="51">
        <f>IF(B125="","",IF(D125&lt;&gt;"",D125,IFERROR(INDEX(Services!$O$5:$O$64,MATCH(C125,Services!$B$5:$B$64,0)),"")))</f>
        <v>0</v>
      </c>
      <c r="N125" s="34">
        <f>IF(B125="","",IFERROR(INDEX(Services!$G$5:$G$64,MATCH(C125,Services!$B$5:$B$64,0)),0)*IF(E125="",1,IF(IFERROR(INDEX(Services!$D$5:$D$64,MATCH(C125,Services!$B$5:$B$64,0)),"")="Per hour",1,E125)))</f>
        <v>0</v>
      </c>
      <c r="O125" s="21">
        <f>IF(B125="","",ROUND(IF(E125="",1,E125)*L125,2))</f>
        <v>0</v>
      </c>
      <c r="P125" s="21">
        <f>IF(B125="","",ROUND(O125*(1-IF(G125="",0,G125)),2))</f>
        <v>0</v>
      </c>
      <c r="Q125" s="21">
        <f>IF(B125="","",ROUND(N125*CostPerHour+IF(E125="",1,E125)*IFERROR(INDEX(Services!$R$5:$R$64,MATCH(C125,Services!$B$5:$B$64,0)),0),2))</f>
        <v>0</v>
      </c>
      <c r="R125" s="38">
        <f>IF(OR(B125="",P125=0),"",(P125-Q125)/P125)</f>
        <v>0</v>
      </c>
      <c r="S125" s="31">
        <f>IF(OR(B125="",C125=""),"",COUNTIFS($B$5:B125,B125))</f>
        <v>0</v>
      </c>
      <c r="T125" s="23">
        <f>IF(S125="","",B125&amp;"|"&amp;S125)</f>
        <v>0</v>
      </c>
      <c r="U125" s="39">
        <f>IF(B125="","",IF(C125="","Add - pick a service",IF(E125="","Add - how many?",IF(L125=0,"Add - no price",IF(AND(R125&lt;&gt;"",R125&lt;MarginFloor),"Below - thin margin","OK")))))</f>
        <v>0</v>
      </c>
    </row>
    <row r="126" spans="1:21">
      <c r="A126" s="43">
        <f>IF(B126="","","QL-"&amp;TEXT(ROW()-4,"0000"))</f>
        <v>0</v>
      </c>
      <c r="J126" s="21">
        <f>IF(C126="","",IFERROR(INDEX(Services!$P$5:$P$64,MATCH(C126,Services!$B$5:$B$64,0)),"0"))</f>
        <v>0</v>
      </c>
      <c r="K126" s="23">
        <f>IF(C126="","",IFERROR(INDEX(Services!$E$5:$E$64,MATCH(C126,Services!$B$5:$B$64,0)),""))</f>
        <v>0</v>
      </c>
      <c r="L126" s="21">
        <f>IF(B126="","",IF(F126&lt;&gt;"",F126,IFERROR(J126*1,0)))</f>
        <v>0</v>
      </c>
      <c r="M126" s="51">
        <f>IF(B126="","",IF(D126&lt;&gt;"",D126,IFERROR(INDEX(Services!$O$5:$O$64,MATCH(C126,Services!$B$5:$B$64,0)),"")))</f>
        <v>0</v>
      </c>
      <c r="N126" s="34">
        <f>IF(B126="","",IFERROR(INDEX(Services!$G$5:$G$64,MATCH(C126,Services!$B$5:$B$64,0)),0)*IF(E126="",1,IF(IFERROR(INDEX(Services!$D$5:$D$64,MATCH(C126,Services!$B$5:$B$64,0)),"")="Per hour",1,E126)))</f>
        <v>0</v>
      </c>
      <c r="O126" s="21">
        <f>IF(B126="","",ROUND(IF(E126="",1,E126)*L126,2))</f>
        <v>0</v>
      </c>
      <c r="P126" s="21">
        <f>IF(B126="","",ROUND(O126*(1-IF(G126="",0,G126)),2))</f>
        <v>0</v>
      </c>
      <c r="Q126" s="21">
        <f>IF(B126="","",ROUND(N126*CostPerHour+IF(E126="",1,E126)*IFERROR(INDEX(Services!$R$5:$R$64,MATCH(C126,Services!$B$5:$B$64,0)),0),2))</f>
        <v>0</v>
      </c>
      <c r="R126" s="38">
        <f>IF(OR(B126="",P126=0),"",(P126-Q126)/P126)</f>
        <v>0</v>
      </c>
      <c r="S126" s="31">
        <f>IF(OR(B126="",C126=""),"",COUNTIFS($B$5:B126,B126))</f>
        <v>0</v>
      </c>
      <c r="T126" s="23">
        <f>IF(S126="","",B126&amp;"|"&amp;S126)</f>
        <v>0</v>
      </c>
      <c r="U126" s="39">
        <f>IF(B126="","",IF(C126="","Add - pick a service",IF(E126="","Add - how many?",IF(L126=0,"Add - no price",IF(AND(R126&lt;&gt;"",R126&lt;MarginFloor),"Below - thin margin","OK")))))</f>
        <v>0</v>
      </c>
    </row>
    <row r="127" spans="1:21">
      <c r="A127" s="43">
        <f>IF(B127="","","QL-"&amp;TEXT(ROW()-4,"0000"))</f>
        <v>0</v>
      </c>
      <c r="J127" s="21">
        <f>IF(C127="","",IFERROR(INDEX(Services!$P$5:$P$64,MATCH(C127,Services!$B$5:$B$64,0)),"0"))</f>
        <v>0</v>
      </c>
      <c r="K127" s="23">
        <f>IF(C127="","",IFERROR(INDEX(Services!$E$5:$E$64,MATCH(C127,Services!$B$5:$B$64,0)),""))</f>
        <v>0</v>
      </c>
      <c r="L127" s="21">
        <f>IF(B127="","",IF(F127&lt;&gt;"",F127,IFERROR(J127*1,0)))</f>
        <v>0</v>
      </c>
      <c r="M127" s="51">
        <f>IF(B127="","",IF(D127&lt;&gt;"",D127,IFERROR(INDEX(Services!$O$5:$O$64,MATCH(C127,Services!$B$5:$B$64,0)),"")))</f>
        <v>0</v>
      </c>
      <c r="N127" s="34">
        <f>IF(B127="","",IFERROR(INDEX(Services!$G$5:$G$64,MATCH(C127,Services!$B$5:$B$64,0)),0)*IF(E127="",1,IF(IFERROR(INDEX(Services!$D$5:$D$64,MATCH(C127,Services!$B$5:$B$64,0)),"")="Per hour",1,E127)))</f>
        <v>0</v>
      </c>
      <c r="O127" s="21">
        <f>IF(B127="","",ROUND(IF(E127="",1,E127)*L127,2))</f>
        <v>0</v>
      </c>
      <c r="P127" s="21">
        <f>IF(B127="","",ROUND(O127*(1-IF(G127="",0,G127)),2))</f>
        <v>0</v>
      </c>
      <c r="Q127" s="21">
        <f>IF(B127="","",ROUND(N127*CostPerHour+IF(E127="",1,E127)*IFERROR(INDEX(Services!$R$5:$R$64,MATCH(C127,Services!$B$5:$B$64,0)),0),2))</f>
        <v>0</v>
      </c>
      <c r="R127" s="38">
        <f>IF(OR(B127="",P127=0),"",(P127-Q127)/P127)</f>
        <v>0</v>
      </c>
      <c r="S127" s="31">
        <f>IF(OR(B127="",C127=""),"",COUNTIFS($B$5:B127,B127))</f>
        <v>0</v>
      </c>
      <c r="T127" s="23">
        <f>IF(S127="","",B127&amp;"|"&amp;S127)</f>
        <v>0</v>
      </c>
      <c r="U127" s="39">
        <f>IF(B127="","",IF(C127="","Add - pick a service",IF(E127="","Add - how many?",IF(L127=0,"Add - no price",IF(AND(R127&lt;&gt;"",R127&lt;MarginFloor),"Below - thin margin","OK")))))</f>
        <v>0</v>
      </c>
    </row>
    <row r="128" spans="1:21">
      <c r="A128" s="43">
        <f>IF(B128="","","QL-"&amp;TEXT(ROW()-4,"0000"))</f>
        <v>0</v>
      </c>
      <c r="J128" s="21">
        <f>IF(C128="","",IFERROR(INDEX(Services!$P$5:$P$64,MATCH(C128,Services!$B$5:$B$64,0)),"0"))</f>
        <v>0</v>
      </c>
      <c r="K128" s="23">
        <f>IF(C128="","",IFERROR(INDEX(Services!$E$5:$E$64,MATCH(C128,Services!$B$5:$B$64,0)),""))</f>
        <v>0</v>
      </c>
      <c r="L128" s="21">
        <f>IF(B128="","",IF(F128&lt;&gt;"",F128,IFERROR(J128*1,0)))</f>
        <v>0</v>
      </c>
      <c r="M128" s="51">
        <f>IF(B128="","",IF(D128&lt;&gt;"",D128,IFERROR(INDEX(Services!$O$5:$O$64,MATCH(C128,Services!$B$5:$B$64,0)),"")))</f>
        <v>0</v>
      </c>
      <c r="N128" s="34">
        <f>IF(B128="","",IFERROR(INDEX(Services!$G$5:$G$64,MATCH(C128,Services!$B$5:$B$64,0)),0)*IF(E128="",1,IF(IFERROR(INDEX(Services!$D$5:$D$64,MATCH(C128,Services!$B$5:$B$64,0)),"")="Per hour",1,E128)))</f>
        <v>0</v>
      </c>
      <c r="O128" s="21">
        <f>IF(B128="","",ROUND(IF(E128="",1,E128)*L128,2))</f>
        <v>0</v>
      </c>
      <c r="P128" s="21">
        <f>IF(B128="","",ROUND(O128*(1-IF(G128="",0,G128)),2))</f>
        <v>0</v>
      </c>
      <c r="Q128" s="21">
        <f>IF(B128="","",ROUND(N128*CostPerHour+IF(E128="",1,E128)*IFERROR(INDEX(Services!$R$5:$R$64,MATCH(C128,Services!$B$5:$B$64,0)),0),2))</f>
        <v>0</v>
      </c>
      <c r="R128" s="38">
        <f>IF(OR(B128="",P128=0),"",(P128-Q128)/P128)</f>
        <v>0</v>
      </c>
      <c r="S128" s="31">
        <f>IF(OR(B128="",C128=""),"",COUNTIFS($B$5:B128,B128))</f>
        <v>0</v>
      </c>
      <c r="T128" s="23">
        <f>IF(S128="","",B128&amp;"|"&amp;S128)</f>
        <v>0</v>
      </c>
      <c r="U128" s="39">
        <f>IF(B128="","",IF(C128="","Add - pick a service",IF(E128="","Add - how many?",IF(L128=0,"Add - no price",IF(AND(R128&lt;&gt;"",R128&lt;MarginFloor),"Below - thin margin","OK")))))</f>
        <v>0</v>
      </c>
    </row>
    <row r="129" spans="1:21">
      <c r="A129" s="43">
        <f>IF(B129="","","QL-"&amp;TEXT(ROW()-4,"0000"))</f>
        <v>0</v>
      </c>
      <c r="J129" s="21">
        <f>IF(C129="","",IFERROR(INDEX(Services!$P$5:$P$64,MATCH(C129,Services!$B$5:$B$64,0)),"0"))</f>
        <v>0</v>
      </c>
      <c r="K129" s="23">
        <f>IF(C129="","",IFERROR(INDEX(Services!$E$5:$E$64,MATCH(C129,Services!$B$5:$B$64,0)),""))</f>
        <v>0</v>
      </c>
      <c r="L129" s="21">
        <f>IF(B129="","",IF(F129&lt;&gt;"",F129,IFERROR(J129*1,0)))</f>
        <v>0</v>
      </c>
      <c r="M129" s="51">
        <f>IF(B129="","",IF(D129&lt;&gt;"",D129,IFERROR(INDEX(Services!$O$5:$O$64,MATCH(C129,Services!$B$5:$B$64,0)),"")))</f>
        <v>0</v>
      </c>
      <c r="N129" s="34">
        <f>IF(B129="","",IFERROR(INDEX(Services!$G$5:$G$64,MATCH(C129,Services!$B$5:$B$64,0)),0)*IF(E129="",1,IF(IFERROR(INDEX(Services!$D$5:$D$64,MATCH(C129,Services!$B$5:$B$64,0)),"")="Per hour",1,E129)))</f>
        <v>0</v>
      </c>
      <c r="O129" s="21">
        <f>IF(B129="","",ROUND(IF(E129="",1,E129)*L129,2))</f>
        <v>0</v>
      </c>
      <c r="P129" s="21">
        <f>IF(B129="","",ROUND(O129*(1-IF(G129="",0,G129)),2))</f>
        <v>0</v>
      </c>
      <c r="Q129" s="21">
        <f>IF(B129="","",ROUND(N129*CostPerHour+IF(E129="",1,E129)*IFERROR(INDEX(Services!$R$5:$R$64,MATCH(C129,Services!$B$5:$B$64,0)),0),2))</f>
        <v>0</v>
      </c>
      <c r="R129" s="38">
        <f>IF(OR(B129="",P129=0),"",(P129-Q129)/P129)</f>
        <v>0</v>
      </c>
      <c r="S129" s="31">
        <f>IF(OR(B129="",C129=""),"",COUNTIFS($B$5:B129,B129))</f>
        <v>0</v>
      </c>
      <c r="T129" s="23">
        <f>IF(S129="","",B129&amp;"|"&amp;S129)</f>
        <v>0</v>
      </c>
      <c r="U129" s="39">
        <f>IF(B129="","",IF(C129="","Add - pick a service",IF(E129="","Add - how many?",IF(L129=0,"Add - no price",IF(AND(R129&lt;&gt;"",R129&lt;MarginFloor),"Below - thin margin","OK")))))</f>
        <v>0</v>
      </c>
    </row>
    <row r="130" spans="1:21">
      <c r="A130" s="43">
        <f>IF(B130="","","QL-"&amp;TEXT(ROW()-4,"0000"))</f>
        <v>0</v>
      </c>
      <c r="J130" s="21">
        <f>IF(C130="","",IFERROR(INDEX(Services!$P$5:$P$64,MATCH(C130,Services!$B$5:$B$64,0)),"0"))</f>
        <v>0</v>
      </c>
      <c r="K130" s="23">
        <f>IF(C130="","",IFERROR(INDEX(Services!$E$5:$E$64,MATCH(C130,Services!$B$5:$B$64,0)),""))</f>
        <v>0</v>
      </c>
      <c r="L130" s="21">
        <f>IF(B130="","",IF(F130&lt;&gt;"",F130,IFERROR(J130*1,0)))</f>
        <v>0</v>
      </c>
      <c r="M130" s="51">
        <f>IF(B130="","",IF(D130&lt;&gt;"",D130,IFERROR(INDEX(Services!$O$5:$O$64,MATCH(C130,Services!$B$5:$B$64,0)),"")))</f>
        <v>0</v>
      </c>
      <c r="N130" s="34">
        <f>IF(B130="","",IFERROR(INDEX(Services!$G$5:$G$64,MATCH(C130,Services!$B$5:$B$64,0)),0)*IF(E130="",1,IF(IFERROR(INDEX(Services!$D$5:$D$64,MATCH(C130,Services!$B$5:$B$64,0)),"")="Per hour",1,E130)))</f>
        <v>0</v>
      </c>
      <c r="O130" s="21">
        <f>IF(B130="","",ROUND(IF(E130="",1,E130)*L130,2))</f>
        <v>0</v>
      </c>
      <c r="P130" s="21">
        <f>IF(B130="","",ROUND(O130*(1-IF(G130="",0,G130)),2))</f>
        <v>0</v>
      </c>
      <c r="Q130" s="21">
        <f>IF(B130="","",ROUND(N130*CostPerHour+IF(E130="",1,E130)*IFERROR(INDEX(Services!$R$5:$R$64,MATCH(C130,Services!$B$5:$B$64,0)),0),2))</f>
        <v>0</v>
      </c>
      <c r="R130" s="38">
        <f>IF(OR(B130="",P130=0),"",(P130-Q130)/P130)</f>
        <v>0</v>
      </c>
      <c r="S130" s="31">
        <f>IF(OR(B130="",C130=""),"",COUNTIFS($B$5:B130,B130))</f>
        <v>0</v>
      </c>
      <c r="T130" s="23">
        <f>IF(S130="","",B130&amp;"|"&amp;S130)</f>
        <v>0</v>
      </c>
      <c r="U130" s="39">
        <f>IF(B130="","",IF(C130="","Add - pick a service",IF(E130="","Add - how many?",IF(L130=0,"Add - no price",IF(AND(R130&lt;&gt;"",R130&lt;MarginFloor),"Below - thin margin","OK")))))</f>
        <v>0</v>
      </c>
    </row>
    <row r="131" spans="1:21">
      <c r="A131" s="43">
        <f>IF(B131="","","QL-"&amp;TEXT(ROW()-4,"0000"))</f>
        <v>0</v>
      </c>
      <c r="J131" s="21">
        <f>IF(C131="","",IFERROR(INDEX(Services!$P$5:$P$64,MATCH(C131,Services!$B$5:$B$64,0)),"0"))</f>
        <v>0</v>
      </c>
      <c r="K131" s="23">
        <f>IF(C131="","",IFERROR(INDEX(Services!$E$5:$E$64,MATCH(C131,Services!$B$5:$B$64,0)),""))</f>
        <v>0</v>
      </c>
      <c r="L131" s="21">
        <f>IF(B131="","",IF(F131&lt;&gt;"",F131,IFERROR(J131*1,0)))</f>
        <v>0</v>
      </c>
      <c r="M131" s="51">
        <f>IF(B131="","",IF(D131&lt;&gt;"",D131,IFERROR(INDEX(Services!$O$5:$O$64,MATCH(C131,Services!$B$5:$B$64,0)),"")))</f>
        <v>0</v>
      </c>
      <c r="N131" s="34">
        <f>IF(B131="","",IFERROR(INDEX(Services!$G$5:$G$64,MATCH(C131,Services!$B$5:$B$64,0)),0)*IF(E131="",1,IF(IFERROR(INDEX(Services!$D$5:$D$64,MATCH(C131,Services!$B$5:$B$64,0)),"")="Per hour",1,E131)))</f>
        <v>0</v>
      </c>
      <c r="O131" s="21">
        <f>IF(B131="","",ROUND(IF(E131="",1,E131)*L131,2))</f>
        <v>0</v>
      </c>
      <c r="P131" s="21">
        <f>IF(B131="","",ROUND(O131*(1-IF(G131="",0,G131)),2))</f>
        <v>0</v>
      </c>
      <c r="Q131" s="21">
        <f>IF(B131="","",ROUND(N131*CostPerHour+IF(E131="",1,E131)*IFERROR(INDEX(Services!$R$5:$R$64,MATCH(C131,Services!$B$5:$B$64,0)),0),2))</f>
        <v>0</v>
      </c>
      <c r="R131" s="38">
        <f>IF(OR(B131="",P131=0),"",(P131-Q131)/P131)</f>
        <v>0</v>
      </c>
      <c r="S131" s="31">
        <f>IF(OR(B131="",C131=""),"",COUNTIFS($B$5:B131,B131))</f>
        <v>0</v>
      </c>
      <c r="T131" s="23">
        <f>IF(S131="","",B131&amp;"|"&amp;S131)</f>
        <v>0</v>
      </c>
      <c r="U131" s="39">
        <f>IF(B131="","",IF(C131="","Add - pick a service",IF(E131="","Add - how many?",IF(L131=0,"Add - no price",IF(AND(R131&lt;&gt;"",R131&lt;MarginFloor),"Below - thin margin","OK")))))</f>
        <v>0</v>
      </c>
    </row>
    <row r="132" spans="1:21">
      <c r="A132" s="43">
        <f>IF(B132="","","QL-"&amp;TEXT(ROW()-4,"0000"))</f>
        <v>0</v>
      </c>
      <c r="J132" s="21">
        <f>IF(C132="","",IFERROR(INDEX(Services!$P$5:$P$64,MATCH(C132,Services!$B$5:$B$64,0)),"0"))</f>
        <v>0</v>
      </c>
      <c r="K132" s="23">
        <f>IF(C132="","",IFERROR(INDEX(Services!$E$5:$E$64,MATCH(C132,Services!$B$5:$B$64,0)),""))</f>
        <v>0</v>
      </c>
      <c r="L132" s="21">
        <f>IF(B132="","",IF(F132&lt;&gt;"",F132,IFERROR(J132*1,0)))</f>
        <v>0</v>
      </c>
      <c r="M132" s="51">
        <f>IF(B132="","",IF(D132&lt;&gt;"",D132,IFERROR(INDEX(Services!$O$5:$O$64,MATCH(C132,Services!$B$5:$B$64,0)),"")))</f>
        <v>0</v>
      </c>
      <c r="N132" s="34">
        <f>IF(B132="","",IFERROR(INDEX(Services!$G$5:$G$64,MATCH(C132,Services!$B$5:$B$64,0)),0)*IF(E132="",1,IF(IFERROR(INDEX(Services!$D$5:$D$64,MATCH(C132,Services!$B$5:$B$64,0)),"")="Per hour",1,E132)))</f>
        <v>0</v>
      </c>
      <c r="O132" s="21">
        <f>IF(B132="","",ROUND(IF(E132="",1,E132)*L132,2))</f>
        <v>0</v>
      </c>
      <c r="P132" s="21">
        <f>IF(B132="","",ROUND(O132*(1-IF(G132="",0,G132)),2))</f>
        <v>0</v>
      </c>
      <c r="Q132" s="21">
        <f>IF(B132="","",ROUND(N132*CostPerHour+IF(E132="",1,E132)*IFERROR(INDEX(Services!$R$5:$R$64,MATCH(C132,Services!$B$5:$B$64,0)),0),2))</f>
        <v>0</v>
      </c>
      <c r="R132" s="38">
        <f>IF(OR(B132="",P132=0),"",(P132-Q132)/P132)</f>
        <v>0</v>
      </c>
      <c r="S132" s="31">
        <f>IF(OR(B132="",C132=""),"",COUNTIFS($B$5:B132,B132))</f>
        <v>0</v>
      </c>
      <c r="T132" s="23">
        <f>IF(S132="","",B132&amp;"|"&amp;S132)</f>
        <v>0</v>
      </c>
      <c r="U132" s="39">
        <f>IF(B132="","",IF(C132="","Add - pick a service",IF(E132="","Add - how many?",IF(L132=0,"Add - no price",IF(AND(R132&lt;&gt;"",R132&lt;MarginFloor),"Below - thin margin","OK")))))</f>
        <v>0</v>
      </c>
    </row>
    <row r="133" spans="1:21">
      <c r="A133" s="43">
        <f>IF(B133="","","QL-"&amp;TEXT(ROW()-4,"0000"))</f>
        <v>0</v>
      </c>
      <c r="J133" s="21">
        <f>IF(C133="","",IFERROR(INDEX(Services!$P$5:$P$64,MATCH(C133,Services!$B$5:$B$64,0)),"0"))</f>
        <v>0</v>
      </c>
      <c r="K133" s="23">
        <f>IF(C133="","",IFERROR(INDEX(Services!$E$5:$E$64,MATCH(C133,Services!$B$5:$B$64,0)),""))</f>
        <v>0</v>
      </c>
      <c r="L133" s="21">
        <f>IF(B133="","",IF(F133&lt;&gt;"",F133,IFERROR(J133*1,0)))</f>
        <v>0</v>
      </c>
      <c r="M133" s="51">
        <f>IF(B133="","",IF(D133&lt;&gt;"",D133,IFERROR(INDEX(Services!$O$5:$O$64,MATCH(C133,Services!$B$5:$B$64,0)),"")))</f>
        <v>0</v>
      </c>
      <c r="N133" s="34">
        <f>IF(B133="","",IFERROR(INDEX(Services!$G$5:$G$64,MATCH(C133,Services!$B$5:$B$64,0)),0)*IF(E133="",1,IF(IFERROR(INDEX(Services!$D$5:$D$64,MATCH(C133,Services!$B$5:$B$64,0)),"")="Per hour",1,E133)))</f>
        <v>0</v>
      </c>
      <c r="O133" s="21">
        <f>IF(B133="","",ROUND(IF(E133="",1,E133)*L133,2))</f>
        <v>0</v>
      </c>
      <c r="P133" s="21">
        <f>IF(B133="","",ROUND(O133*(1-IF(G133="",0,G133)),2))</f>
        <v>0</v>
      </c>
      <c r="Q133" s="21">
        <f>IF(B133="","",ROUND(N133*CostPerHour+IF(E133="",1,E133)*IFERROR(INDEX(Services!$R$5:$R$64,MATCH(C133,Services!$B$5:$B$64,0)),0),2))</f>
        <v>0</v>
      </c>
      <c r="R133" s="38">
        <f>IF(OR(B133="",P133=0),"",(P133-Q133)/P133)</f>
        <v>0</v>
      </c>
      <c r="S133" s="31">
        <f>IF(OR(B133="",C133=""),"",COUNTIFS($B$5:B133,B133))</f>
        <v>0</v>
      </c>
      <c r="T133" s="23">
        <f>IF(S133="","",B133&amp;"|"&amp;S133)</f>
        <v>0</v>
      </c>
      <c r="U133" s="39">
        <f>IF(B133="","",IF(C133="","Add - pick a service",IF(E133="","Add - how many?",IF(L133=0,"Add - no price",IF(AND(R133&lt;&gt;"",R133&lt;MarginFloor),"Below - thin margin","OK")))))</f>
        <v>0</v>
      </c>
    </row>
    <row r="134" spans="1:21">
      <c r="A134" s="43">
        <f>IF(B134="","","QL-"&amp;TEXT(ROW()-4,"0000"))</f>
        <v>0</v>
      </c>
      <c r="J134" s="21">
        <f>IF(C134="","",IFERROR(INDEX(Services!$P$5:$P$64,MATCH(C134,Services!$B$5:$B$64,0)),"0"))</f>
        <v>0</v>
      </c>
      <c r="K134" s="23">
        <f>IF(C134="","",IFERROR(INDEX(Services!$E$5:$E$64,MATCH(C134,Services!$B$5:$B$64,0)),""))</f>
        <v>0</v>
      </c>
      <c r="L134" s="21">
        <f>IF(B134="","",IF(F134&lt;&gt;"",F134,IFERROR(J134*1,0)))</f>
        <v>0</v>
      </c>
      <c r="M134" s="51">
        <f>IF(B134="","",IF(D134&lt;&gt;"",D134,IFERROR(INDEX(Services!$O$5:$O$64,MATCH(C134,Services!$B$5:$B$64,0)),"")))</f>
        <v>0</v>
      </c>
      <c r="N134" s="34">
        <f>IF(B134="","",IFERROR(INDEX(Services!$G$5:$G$64,MATCH(C134,Services!$B$5:$B$64,0)),0)*IF(E134="",1,IF(IFERROR(INDEX(Services!$D$5:$D$64,MATCH(C134,Services!$B$5:$B$64,0)),"")="Per hour",1,E134)))</f>
        <v>0</v>
      </c>
      <c r="O134" s="21">
        <f>IF(B134="","",ROUND(IF(E134="",1,E134)*L134,2))</f>
        <v>0</v>
      </c>
      <c r="P134" s="21">
        <f>IF(B134="","",ROUND(O134*(1-IF(G134="",0,G134)),2))</f>
        <v>0</v>
      </c>
      <c r="Q134" s="21">
        <f>IF(B134="","",ROUND(N134*CostPerHour+IF(E134="",1,E134)*IFERROR(INDEX(Services!$R$5:$R$64,MATCH(C134,Services!$B$5:$B$64,0)),0),2))</f>
        <v>0</v>
      </c>
      <c r="R134" s="38">
        <f>IF(OR(B134="",P134=0),"",(P134-Q134)/P134)</f>
        <v>0</v>
      </c>
      <c r="S134" s="31">
        <f>IF(OR(B134="",C134=""),"",COUNTIFS($B$5:B134,B134))</f>
        <v>0</v>
      </c>
      <c r="T134" s="23">
        <f>IF(S134="","",B134&amp;"|"&amp;S134)</f>
        <v>0</v>
      </c>
      <c r="U134" s="39">
        <f>IF(B134="","",IF(C134="","Add - pick a service",IF(E134="","Add - how many?",IF(L134=0,"Add - no price",IF(AND(R134&lt;&gt;"",R134&lt;MarginFloor),"Below - thin margin","OK")))))</f>
        <v>0</v>
      </c>
    </row>
    <row r="135" spans="1:21">
      <c r="A135" s="43">
        <f>IF(B135="","","QL-"&amp;TEXT(ROW()-4,"0000"))</f>
        <v>0</v>
      </c>
      <c r="J135" s="21">
        <f>IF(C135="","",IFERROR(INDEX(Services!$P$5:$P$64,MATCH(C135,Services!$B$5:$B$64,0)),"0"))</f>
        <v>0</v>
      </c>
      <c r="K135" s="23">
        <f>IF(C135="","",IFERROR(INDEX(Services!$E$5:$E$64,MATCH(C135,Services!$B$5:$B$64,0)),""))</f>
        <v>0</v>
      </c>
      <c r="L135" s="21">
        <f>IF(B135="","",IF(F135&lt;&gt;"",F135,IFERROR(J135*1,0)))</f>
        <v>0</v>
      </c>
      <c r="M135" s="51">
        <f>IF(B135="","",IF(D135&lt;&gt;"",D135,IFERROR(INDEX(Services!$O$5:$O$64,MATCH(C135,Services!$B$5:$B$64,0)),"")))</f>
        <v>0</v>
      </c>
      <c r="N135" s="34">
        <f>IF(B135="","",IFERROR(INDEX(Services!$G$5:$G$64,MATCH(C135,Services!$B$5:$B$64,0)),0)*IF(E135="",1,IF(IFERROR(INDEX(Services!$D$5:$D$64,MATCH(C135,Services!$B$5:$B$64,0)),"")="Per hour",1,E135)))</f>
        <v>0</v>
      </c>
      <c r="O135" s="21">
        <f>IF(B135="","",ROUND(IF(E135="",1,E135)*L135,2))</f>
        <v>0</v>
      </c>
      <c r="P135" s="21">
        <f>IF(B135="","",ROUND(O135*(1-IF(G135="",0,G135)),2))</f>
        <v>0</v>
      </c>
      <c r="Q135" s="21">
        <f>IF(B135="","",ROUND(N135*CostPerHour+IF(E135="",1,E135)*IFERROR(INDEX(Services!$R$5:$R$64,MATCH(C135,Services!$B$5:$B$64,0)),0),2))</f>
        <v>0</v>
      </c>
      <c r="R135" s="38">
        <f>IF(OR(B135="",P135=0),"",(P135-Q135)/P135)</f>
        <v>0</v>
      </c>
      <c r="S135" s="31">
        <f>IF(OR(B135="",C135=""),"",COUNTIFS($B$5:B135,B135))</f>
        <v>0</v>
      </c>
      <c r="T135" s="23">
        <f>IF(S135="","",B135&amp;"|"&amp;S135)</f>
        <v>0</v>
      </c>
      <c r="U135" s="39">
        <f>IF(B135="","",IF(C135="","Add - pick a service",IF(E135="","Add - how many?",IF(L135=0,"Add - no price",IF(AND(R135&lt;&gt;"",R135&lt;MarginFloor),"Below - thin margin","OK")))))</f>
        <v>0</v>
      </c>
    </row>
    <row r="136" spans="1:21">
      <c r="A136" s="43">
        <f>IF(B136="","","QL-"&amp;TEXT(ROW()-4,"0000"))</f>
        <v>0</v>
      </c>
      <c r="J136" s="21">
        <f>IF(C136="","",IFERROR(INDEX(Services!$P$5:$P$64,MATCH(C136,Services!$B$5:$B$64,0)),"0"))</f>
        <v>0</v>
      </c>
      <c r="K136" s="23">
        <f>IF(C136="","",IFERROR(INDEX(Services!$E$5:$E$64,MATCH(C136,Services!$B$5:$B$64,0)),""))</f>
        <v>0</v>
      </c>
      <c r="L136" s="21">
        <f>IF(B136="","",IF(F136&lt;&gt;"",F136,IFERROR(J136*1,0)))</f>
        <v>0</v>
      </c>
      <c r="M136" s="51">
        <f>IF(B136="","",IF(D136&lt;&gt;"",D136,IFERROR(INDEX(Services!$O$5:$O$64,MATCH(C136,Services!$B$5:$B$64,0)),"")))</f>
        <v>0</v>
      </c>
      <c r="N136" s="34">
        <f>IF(B136="","",IFERROR(INDEX(Services!$G$5:$G$64,MATCH(C136,Services!$B$5:$B$64,0)),0)*IF(E136="",1,IF(IFERROR(INDEX(Services!$D$5:$D$64,MATCH(C136,Services!$B$5:$B$64,0)),"")="Per hour",1,E136)))</f>
        <v>0</v>
      </c>
      <c r="O136" s="21">
        <f>IF(B136="","",ROUND(IF(E136="",1,E136)*L136,2))</f>
        <v>0</v>
      </c>
      <c r="P136" s="21">
        <f>IF(B136="","",ROUND(O136*(1-IF(G136="",0,G136)),2))</f>
        <v>0</v>
      </c>
      <c r="Q136" s="21">
        <f>IF(B136="","",ROUND(N136*CostPerHour+IF(E136="",1,E136)*IFERROR(INDEX(Services!$R$5:$R$64,MATCH(C136,Services!$B$5:$B$64,0)),0),2))</f>
        <v>0</v>
      </c>
      <c r="R136" s="38">
        <f>IF(OR(B136="",P136=0),"",(P136-Q136)/P136)</f>
        <v>0</v>
      </c>
      <c r="S136" s="31">
        <f>IF(OR(B136="",C136=""),"",COUNTIFS($B$5:B136,B136))</f>
        <v>0</v>
      </c>
      <c r="T136" s="23">
        <f>IF(S136="","",B136&amp;"|"&amp;S136)</f>
        <v>0</v>
      </c>
      <c r="U136" s="39">
        <f>IF(B136="","",IF(C136="","Add - pick a service",IF(E136="","Add - how many?",IF(L136=0,"Add - no price",IF(AND(R136&lt;&gt;"",R136&lt;MarginFloor),"Below - thin margin","OK")))))</f>
        <v>0</v>
      </c>
    </row>
    <row r="137" spans="1:21">
      <c r="A137" s="43">
        <f>IF(B137="","","QL-"&amp;TEXT(ROW()-4,"0000"))</f>
        <v>0</v>
      </c>
      <c r="J137" s="21">
        <f>IF(C137="","",IFERROR(INDEX(Services!$P$5:$P$64,MATCH(C137,Services!$B$5:$B$64,0)),"0"))</f>
        <v>0</v>
      </c>
      <c r="K137" s="23">
        <f>IF(C137="","",IFERROR(INDEX(Services!$E$5:$E$64,MATCH(C137,Services!$B$5:$B$64,0)),""))</f>
        <v>0</v>
      </c>
      <c r="L137" s="21">
        <f>IF(B137="","",IF(F137&lt;&gt;"",F137,IFERROR(J137*1,0)))</f>
        <v>0</v>
      </c>
      <c r="M137" s="51">
        <f>IF(B137="","",IF(D137&lt;&gt;"",D137,IFERROR(INDEX(Services!$O$5:$O$64,MATCH(C137,Services!$B$5:$B$64,0)),"")))</f>
        <v>0</v>
      </c>
      <c r="N137" s="34">
        <f>IF(B137="","",IFERROR(INDEX(Services!$G$5:$G$64,MATCH(C137,Services!$B$5:$B$64,0)),0)*IF(E137="",1,IF(IFERROR(INDEX(Services!$D$5:$D$64,MATCH(C137,Services!$B$5:$B$64,0)),"")="Per hour",1,E137)))</f>
        <v>0</v>
      </c>
      <c r="O137" s="21">
        <f>IF(B137="","",ROUND(IF(E137="",1,E137)*L137,2))</f>
        <v>0</v>
      </c>
      <c r="P137" s="21">
        <f>IF(B137="","",ROUND(O137*(1-IF(G137="",0,G137)),2))</f>
        <v>0</v>
      </c>
      <c r="Q137" s="21">
        <f>IF(B137="","",ROUND(N137*CostPerHour+IF(E137="",1,E137)*IFERROR(INDEX(Services!$R$5:$R$64,MATCH(C137,Services!$B$5:$B$64,0)),0),2))</f>
        <v>0</v>
      </c>
      <c r="R137" s="38">
        <f>IF(OR(B137="",P137=0),"",(P137-Q137)/P137)</f>
        <v>0</v>
      </c>
      <c r="S137" s="31">
        <f>IF(OR(B137="",C137=""),"",COUNTIFS($B$5:B137,B137))</f>
        <v>0</v>
      </c>
      <c r="T137" s="23">
        <f>IF(S137="","",B137&amp;"|"&amp;S137)</f>
        <v>0</v>
      </c>
      <c r="U137" s="39">
        <f>IF(B137="","",IF(C137="","Add - pick a service",IF(E137="","Add - how many?",IF(L137=0,"Add - no price",IF(AND(R137&lt;&gt;"",R137&lt;MarginFloor),"Below - thin margin","OK")))))</f>
        <v>0</v>
      </c>
    </row>
    <row r="138" spans="1:21">
      <c r="A138" s="43">
        <f>IF(B138="","","QL-"&amp;TEXT(ROW()-4,"0000"))</f>
        <v>0</v>
      </c>
      <c r="J138" s="21">
        <f>IF(C138="","",IFERROR(INDEX(Services!$P$5:$P$64,MATCH(C138,Services!$B$5:$B$64,0)),"0"))</f>
        <v>0</v>
      </c>
      <c r="K138" s="23">
        <f>IF(C138="","",IFERROR(INDEX(Services!$E$5:$E$64,MATCH(C138,Services!$B$5:$B$64,0)),""))</f>
        <v>0</v>
      </c>
      <c r="L138" s="21">
        <f>IF(B138="","",IF(F138&lt;&gt;"",F138,IFERROR(J138*1,0)))</f>
        <v>0</v>
      </c>
      <c r="M138" s="51">
        <f>IF(B138="","",IF(D138&lt;&gt;"",D138,IFERROR(INDEX(Services!$O$5:$O$64,MATCH(C138,Services!$B$5:$B$64,0)),"")))</f>
        <v>0</v>
      </c>
      <c r="N138" s="34">
        <f>IF(B138="","",IFERROR(INDEX(Services!$G$5:$G$64,MATCH(C138,Services!$B$5:$B$64,0)),0)*IF(E138="",1,IF(IFERROR(INDEX(Services!$D$5:$D$64,MATCH(C138,Services!$B$5:$B$64,0)),"")="Per hour",1,E138)))</f>
        <v>0</v>
      </c>
      <c r="O138" s="21">
        <f>IF(B138="","",ROUND(IF(E138="",1,E138)*L138,2))</f>
        <v>0</v>
      </c>
      <c r="P138" s="21">
        <f>IF(B138="","",ROUND(O138*(1-IF(G138="",0,G138)),2))</f>
        <v>0</v>
      </c>
      <c r="Q138" s="21">
        <f>IF(B138="","",ROUND(N138*CostPerHour+IF(E138="",1,E138)*IFERROR(INDEX(Services!$R$5:$R$64,MATCH(C138,Services!$B$5:$B$64,0)),0),2))</f>
        <v>0</v>
      </c>
      <c r="R138" s="38">
        <f>IF(OR(B138="",P138=0),"",(P138-Q138)/P138)</f>
        <v>0</v>
      </c>
      <c r="S138" s="31">
        <f>IF(OR(B138="",C138=""),"",COUNTIFS($B$5:B138,B138))</f>
        <v>0</v>
      </c>
      <c r="T138" s="23">
        <f>IF(S138="","",B138&amp;"|"&amp;S138)</f>
        <v>0</v>
      </c>
      <c r="U138" s="39">
        <f>IF(B138="","",IF(C138="","Add - pick a service",IF(E138="","Add - how many?",IF(L138=0,"Add - no price",IF(AND(R138&lt;&gt;"",R138&lt;MarginFloor),"Below - thin margin","OK")))))</f>
        <v>0</v>
      </c>
    </row>
    <row r="139" spans="1:21">
      <c r="A139" s="43">
        <f>IF(B139="","","QL-"&amp;TEXT(ROW()-4,"0000"))</f>
        <v>0</v>
      </c>
      <c r="J139" s="21">
        <f>IF(C139="","",IFERROR(INDEX(Services!$P$5:$P$64,MATCH(C139,Services!$B$5:$B$64,0)),"0"))</f>
        <v>0</v>
      </c>
      <c r="K139" s="23">
        <f>IF(C139="","",IFERROR(INDEX(Services!$E$5:$E$64,MATCH(C139,Services!$B$5:$B$64,0)),""))</f>
        <v>0</v>
      </c>
      <c r="L139" s="21">
        <f>IF(B139="","",IF(F139&lt;&gt;"",F139,IFERROR(J139*1,0)))</f>
        <v>0</v>
      </c>
      <c r="M139" s="51">
        <f>IF(B139="","",IF(D139&lt;&gt;"",D139,IFERROR(INDEX(Services!$O$5:$O$64,MATCH(C139,Services!$B$5:$B$64,0)),"")))</f>
        <v>0</v>
      </c>
      <c r="N139" s="34">
        <f>IF(B139="","",IFERROR(INDEX(Services!$G$5:$G$64,MATCH(C139,Services!$B$5:$B$64,0)),0)*IF(E139="",1,IF(IFERROR(INDEX(Services!$D$5:$D$64,MATCH(C139,Services!$B$5:$B$64,0)),"")="Per hour",1,E139)))</f>
        <v>0</v>
      </c>
      <c r="O139" s="21">
        <f>IF(B139="","",ROUND(IF(E139="",1,E139)*L139,2))</f>
        <v>0</v>
      </c>
      <c r="P139" s="21">
        <f>IF(B139="","",ROUND(O139*(1-IF(G139="",0,G139)),2))</f>
        <v>0</v>
      </c>
      <c r="Q139" s="21">
        <f>IF(B139="","",ROUND(N139*CostPerHour+IF(E139="",1,E139)*IFERROR(INDEX(Services!$R$5:$R$64,MATCH(C139,Services!$B$5:$B$64,0)),0),2))</f>
        <v>0</v>
      </c>
      <c r="R139" s="38">
        <f>IF(OR(B139="",P139=0),"",(P139-Q139)/P139)</f>
        <v>0</v>
      </c>
      <c r="S139" s="31">
        <f>IF(OR(B139="",C139=""),"",COUNTIFS($B$5:B139,B139))</f>
        <v>0</v>
      </c>
      <c r="T139" s="23">
        <f>IF(S139="","",B139&amp;"|"&amp;S139)</f>
        <v>0</v>
      </c>
      <c r="U139" s="39">
        <f>IF(B139="","",IF(C139="","Add - pick a service",IF(E139="","Add - how many?",IF(L139=0,"Add - no price",IF(AND(R139&lt;&gt;"",R139&lt;MarginFloor),"Below - thin margin","OK")))))</f>
        <v>0</v>
      </c>
    </row>
    <row r="140" spans="1:21">
      <c r="A140" s="43">
        <f>IF(B140="","","QL-"&amp;TEXT(ROW()-4,"0000"))</f>
        <v>0</v>
      </c>
      <c r="J140" s="21">
        <f>IF(C140="","",IFERROR(INDEX(Services!$P$5:$P$64,MATCH(C140,Services!$B$5:$B$64,0)),"0"))</f>
        <v>0</v>
      </c>
      <c r="K140" s="23">
        <f>IF(C140="","",IFERROR(INDEX(Services!$E$5:$E$64,MATCH(C140,Services!$B$5:$B$64,0)),""))</f>
        <v>0</v>
      </c>
      <c r="L140" s="21">
        <f>IF(B140="","",IF(F140&lt;&gt;"",F140,IFERROR(J140*1,0)))</f>
        <v>0</v>
      </c>
      <c r="M140" s="51">
        <f>IF(B140="","",IF(D140&lt;&gt;"",D140,IFERROR(INDEX(Services!$O$5:$O$64,MATCH(C140,Services!$B$5:$B$64,0)),"")))</f>
        <v>0</v>
      </c>
      <c r="N140" s="34">
        <f>IF(B140="","",IFERROR(INDEX(Services!$G$5:$G$64,MATCH(C140,Services!$B$5:$B$64,0)),0)*IF(E140="",1,IF(IFERROR(INDEX(Services!$D$5:$D$64,MATCH(C140,Services!$B$5:$B$64,0)),"")="Per hour",1,E140)))</f>
        <v>0</v>
      </c>
      <c r="O140" s="21">
        <f>IF(B140="","",ROUND(IF(E140="",1,E140)*L140,2))</f>
        <v>0</v>
      </c>
      <c r="P140" s="21">
        <f>IF(B140="","",ROUND(O140*(1-IF(G140="",0,G140)),2))</f>
        <v>0</v>
      </c>
      <c r="Q140" s="21">
        <f>IF(B140="","",ROUND(N140*CostPerHour+IF(E140="",1,E140)*IFERROR(INDEX(Services!$R$5:$R$64,MATCH(C140,Services!$B$5:$B$64,0)),0),2))</f>
        <v>0</v>
      </c>
      <c r="R140" s="38">
        <f>IF(OR(B140="",P140=0),"",(P140-Q140)/P140)</f>
        <v>0</v>
      </c>
      <c r="S140" s="31">
        <f>IF(OR(B140="",C140=""),"",COUNTIFS($B$5:B140,B140))</f>
        <v>0</v>
      </c>
      <c r="T140" s="23">
        <f>IF(S140="","",B140&amp;"|"&amp;S140)</f>
        <v>0</v>
      </c>
      <c r="U140" s="39">
        <f>IF(B140="","",IF(C140="","Add - pick a service",IF(E140="","Add - how many?",IF(L140=0,"Add - no price",IF(AND(R140&lt;&gt;"",R140&lt;MarginFloor),"Below - thin margin","OK")))))</f>
        <v>0</v>
      </c>
    </row>
    <row r="141" spans="1:21">
      <c r="A141" s="43">
        <f>IF(B141="","","QL-"&amp;TEXT(ROW()-4,"0000"))</f>
        <v>0</v>
      </c>
      <c r="J141" s="21">
        <f>IF(C141="","",IFERROR(INDEX(Services!$P$5:$P$64,MATCH(C141,Services!$B$5:$B$64,0)),"0"))</f>
        <v>0</v>
      </c>
      <c r="K141" s="23">
        <f>IF(C141="","",IFERROR(INDEX(Services!$E$5:$E$64,MATCH(C141,Services!$B$5:$B$64,0)),""))</f>
        <v>0</v>
      </c>
      <c r="L141" s="21">
        <f>IF(B141="","",IF(F141&lt;&gt;"",F141,IFERROR(J141*1,0)))</f>
        <v>0</v>
      </c>
      <c r="M141" s="51">
        <f>IF(B141="","",IF(D141&lt;&gt;"",D141,IFERROR(INDEX(Services!$O$5:$O$64,MATCH(C141,Services!$B$5:$B$64,0)),"")))</f>
        <v>0</v>
      </c>
      <c r="N141" s="34">
        <f>IF(B141="","",IFERROR(INDEX(Services!$G$5:$G$64,MATCH(C141,Services!$B$5:$B$64,0)),0)*IF(E141="",1,IF(IFERROR(INDEX(Services!$D$5:$D$64,MATCH(C141,Services!$B$5:$B$64,0)),"")="Per hour",1,E141)))</f>
        <v>0</v>
      </c>
      <c r="O141" s="21">
        <f>IF(B141="","",ROUND(IF(E141="",1,E141)*L141,2))</f>
        <v>0</v>
      </c>
      <c r="P141" s="21">
        <f>IF(B141="","",ROUND(O141*(1-IF(G141="",0,G141)),2))</f>
        <v>0</v>
      </c>
      <c r="Q141" s="21">
        <f>IF(B141="","",ROUND(N141*CostPerHour+IF(E141="",1,E141)*IFERROR(INDEX(Services!$R$5:$R$64,MATCH(C141,Services!$B$5:$B$64,0)),0),2))</f>
        <v>0</v>
      </c>
      <c r="R141" s="38">
        <f>IF(OR(B141="",P141=0),"",(P141-Q141)/P141)</f>
        <v>0</v>
      </c>
      <c r="S141" s="31">
        <f>IF(OR(B141="",C141=""),"",COUNTIFS($B$5:B141,B141))</f>
        <v>0</v>
      </c>
      <c r="T141" s="23">
        <f>IF(S141="","",B141&amp;"|"&amp;S141)</f>
        <v>0</v>
      </c>
      <c r="U141" s="39">
        <f>IF(B141="","",IF(C141="","Add - pick a service",IF(E141="","Add - how many?",IF(L141=0,"Add - no price",IF(AND(R141&lt;&gt;"",R141&lt;MarginFloor),"Below - thin margin","OK")))))</f>
        <v>0</v>
      </c>
    </row>
    <row r="142" spans="1:21">
      <c r="A142" s="43">
        <f>IF(B142="","","QL-"&amp;TEXT(ROW()-4,"0000"))</f>
        <v>0</v>
      </c>
      <c r="J142" s="21">
        <f>IF(C142="","",IFERROR(INDEX(Services!$P$5:$P$64,MATCH(C142,Services!$B$5:$B$64,0)),"0"))</f>
        <v>0</v>
      </c>
      <c r="K142" s="23">
        <f>IF(C142="","",IFERROR(INDEX(Services!$E$5:$E$64,MATCH(C142,Services!$B$5:$B$64,0)),""))</f>
        <v>0</v>
      </c>
      <c r="L142" s="21">
        <f>IF(B142="","",IF(F142&lt;&gt;"",F142,IFERROR(J142*1,0)))</f>
        <v>0</v>
      </c>
      <c r="M142" s="51">
        <f>IF(B142="","",IF(D142&lt;&gt;"",D142,IFERROR(INDEX(Services!$O$5:$O$64,MATCH(C142,Services!$B$5:$B$64,0)),"")))</f>
        <v>0</v>
      </c>
      <c r="N142" s="34">
        <f>IF(B142="","",IFERROR(INDEX(Services!$G$5:$G$64,MATCH(C142,Services!$B$5:$B$64,0)),0)*IF(E142="",1,IF(IFERROR(INDEX(Services!$D$5:$D$64,MATCH(C142,Services!$B$5:$B$64,0)),"")="Per hour",1,E142)))</f>
        <v>0</v>
      </c>
      <c r="O142" s="21">
        <f>IF(B142="","",ROUND(IF(E142="",1,E142)*L142,2))</f>
        <v>0</v>
      </c>
      <c r="P142" s="21">
        <f>IF(B142="","",ROUND(O142*(1-IF(G142="",0,G142)),2))</f>
        <v>0</v>
      </c>
      <c r="Q142" s="21">
        <f>IF(B142="","",ROUND(N142*CostPerHour+IF(E142="",1,E142)*IFERROR(INDEX(Services!$R$5:$R$64,MATCH(C142,Services!$B$5:$B$64,0)),0),2))</f>
        <v>0</v>
      </c>
      <c r="R142" s="38">
        <f>IF(OR(B142="",P142=0),"",(P142-Q142)/P142)</f>
        <v>0</v>
      </c>
      <c r="S142" s="31">
        <f>IF(OR(B142="",C142=""),"",COUNTIFS($B$5:B142,B142))</f>
        <v>0</v>
      </c>
      <c r="T142" s="23">
        <f>IF(S142="","",B142&amp;"|"&amp;S142)</f>
        <v>0</v>
      </c>
      <c r="U142" s="39">
        <f>IF(B142="","",IF(C142="","Add - pick a service",IF(E142="","Add - how many?",IF(L142=0,"Add - no price",IF(AND(R142&lt;&gt;"",R142&lt;MarginFloor),"Below - thin margin","OK")))))</f>
        <v>0</v>
      </c>
    </row>
    <row r="143" spans="1:21">
      <c r="A143" s="43">
        <f>IF(B143="","","QL-"&amp;TEXT(ROW()-4,"0000"))</f>
        <v>0</v>
      </c>
      <c r="J143" s="21">
        <f>IF(C143="","",IFERROR(INDEX(Services!$P$5:$P$64,MATCH(C143,Services!$B$5:$B$64,0)),"0"))</f>
        <v>0</v>
      </c>
      <c r="K143" s="23">
        <f>IF(C143="","",IFERROR(INDEX(Services!$E$5:$E$64,MATCH(C143,Services!$B$5:$B$64,0)),""))</f>
        <v>0</v>
      </c>
      <c r="L143" s="21">
        <f>IF(B143="","",IF(F143&lt;&gt;"",F143,IFERROR(J143*1,0)))</f>
        <v>0</v>
      </c>
      <c r="M143" s="51">
        <f>IF(B143="","",IF(D143&lt;&gt;"",D143,IFERROR(INDEX(Services!$O$5:$O$64,MATCH(C143,Services!$B$5:$B$64,0)),"")))</f>
        <v>0</v>
      </c>
      <c r="N143" s="34">
        <f>IF(B143="","",IFERROR(INDEX(Services!$G$5:$G$64,MATCH(C143,Services!$B$5:$B$64,0)),0)*IF(E143="",1,IF(IFERROR(INDEX(Services!$D$5:$D$64,MATCH(C143,Services!$B$5:$B$64,0)),"")="Per hour",1,E143)))</f>
        <v>0</v>
      </c>
      <c r="O143" s="21">
        <f>IF(B143="","",ROUND(IF(E143="",1,E143)*L143,2))</f>
        <v>0</v>
      </c>
      <c r="P143" s="21">
        <f>IF(B143="","",ROUND(O143*(1-IF(G143="",0,G143)),2))</f>
        <v>0</v>
      </c>
      <c r="Q143" s="21">
        <f>IF(B143="","",ROUND(N143*CostPerHour+IF(E143="",1,E143)*IFERROR(INDEX(Services!$R$5:$R$64,MATCH(C143,Services!$B$5:$B$64,0)),0),2))</f>
        <v>0</v>
      </c>
      <c r="R143" s="38">
        <f>IF(OR(B143="",P143=0),"",(P143-Q143)/P143)</f>
        <v>0</v>
      </c>
      <c r="S143" s="31">
        <f>IF(OR(B143="",C143=""),"",COUNTIFS($B$5:B143,B143))</f>
        <v>0</v>
      </c>
      <c r="T143" s="23">
        <f>IF(S143="","",B143&amp;"|"&amp;S143)</f>
        <v>0</v>
      </c>
      <c r="U143" s="39">
        <f>IF(B143="","",IF(C143="","Add - pick a service",IF(E143="","Add - how many?",IF(L143=0,"Add - no price",IF(AND(R143&lt;&gt;"",R143&lt;MarginFloor),"Below - thin margin","OK")))))</f>
        <v>0</v>
      </c>
    </row>
    <row r="144" spans="1:21">
      <c r="A144" s="43">
        <f>IF(B144="","","QL-"&amp;TEXT(ROW()-4,"0000"))</f>
        <v>0</v>
      </c>
      <c r="J144" s="21">
        <f>IF(C144="","",IFERROR(INDEX(Services!$P$5:$P$64,MATCH(C144,Services!$B$5:$B$64,0)),"0"))</f>
        <v>0</v>
      </c>
      <c r="K144" s="23">
        <f>IF(C144="","",IFERROR(INDEX(Services!$E$5:$E$64,MATCH(C144,Services!$B$5:$B$64,0)),""))</f>
        <v>0</v>
      </c>
      <c r="L144" s="21">
        <f>IF(B144="","",IF(F144&lt;&gt;"",F144,IFERROR(J144*1,0)))</f>
        <v>0</v>
      </c>
      <c r="M144" s="51">
        <f>IF(B144="","",IF(D144&lt;&gt;"",D144,IFERROR(INDEX(Services!$O$5:$O$64,MATCH(C144,Services!$B$5:$B$64,0)),"")))</f>
        <v>0</v>
      </c>
      <c r="N144" s="34">
        <f>IF(B144="","",IFERROR(INDEX(Services!$G$5:$G$64,MATCH(C144,Services!$B$5:$B$64,0)),0)*IF(E144="",1,IF(IFERROR(INDEX(Services!$D$5:$D$64,MATCH(C144,Services!$B$5:$B$64,0)),"")="Per hour",1,E144)))</f>
        <v>0</v>
      </c>
      <c r="O144" s="21">
        <f>IF(B144="","",ROUND(IF(E144="",1,E144)*L144,2))</f>
        <v>0</v>
      </c>
      <c r="P144" s="21">
        <f>IF(B144="","",ROUND(O144*(1-IF(G144="",0,G144)),2))</f>
        <v>0</v>
      </c>
      <c r="Q144" s="21">
        <f>IF(B144="","",ROUND(N144*CostPerHour+IF(E144="",1,E144)*IFERROR(INDEX(Services!$R$5:$R$64,MATCH(C144,Services!$B$5:$B$64,0)),0),2))</f>
        <v>0</v>
      </c>
      <c r="R144" s="38">
        <f>IF(OR(B144="",P144=0),"",(P144-Q144)/P144)</f>
        <v>0</v>
      </c>
      <c r="S144" s="31">
        <f>IF(OR(B144="",C144=""),"",COUNTIFS($B$5:B144,B144))</f>
        <v>0</v>
      </c>
      <c r="T144" s="23">
        <f>IF(S144="","",B144&amp;"|"&amp;S144)</f>
        <v>0</v>
      </c>
      <c r="U144" s="39">
        <f>IF(B144="","",IF(C144="","Add - pick a service",IF(E144="","Add - how many?",IF(L144=0,"Add - no price",IF(AND(R144&lt;&gt;"",R144&lt;MarginFloor),"Below - thin margin","OK")))))</f>
        <v>0</v>
      </c>
    </row>
    <row r="145" spans="1:21">
      <c r="A145" s="43">
        <f>IF(B145="","","QL-"&amp;TEXT(ROW()-4,"0000"))</f>
        <v>0</v>
      </c>
      <c r="J145" s="21">
        <f>IF(C145="","",IFERROR(INDEX(Services!$P$5:$P$64,MATCH(C145,Services!$B$5:$B$64,0)),"0"))</f>
        <v>0</v>
      </c>
      <c r="K145" s="23">
        <f>IF(C145="","",IFERROR(INDEX(Services!$E$5:$E$64,MATCH(C145,Services!$B$5:$B$64,0)),""))</f>
        <v>0</v>
      </c>
      <c r="L145" s="21">
        <f>IF(B145="","",IF(F145&lt;&gt;"",F145,IFERROR(J145*1,0)))</f>
        <v>0</v>
      </c>
      <c r="M145" s="51">
        <f>IF(B145="","",IF(D145&lt;&gt;"",D145,IFERROR(INDEX(Services!$O$5:$O$64,MATCH(C145,Services!$B$5:$B$64,0)),"")))</f>
        <v>0</v>
      </c>
      <c r="N145" s="34">
        <f>IF(B145="","",IFERROR(INDEX(Services!$G$5:$G$64,MATCH(C145,Services!$B$5:$B$64,0)),0)*IF(E145="",1,IF(IFERROR(INDEX(Services!$D$5:$D$64,MATCH(C145,Services!$B$5:$B$64,0)),"")="Per hour",1,E145)))</f>
        <v>0</v>
      </c>
      <c r="O145" s="21">
        <f>IF(B145="","",ROUND(IF(E145="",1,E145)*L145,2))</f>
        <v>0</v>
      </c>
      <c r="P145" s="21">
        <f>IF(B145="","",ROUND(O145*(1-IF(G145="",0,G145)),2))</f>
        <v>0</v>
      </c>
      <c r="Q145" s="21">
        <f>IF(B145="","",ROUND(N145*CostPerHour+IF(E145="",1,E145)*IFERROR(INDEX(Services!$R$5:$R$64,MATCH(C145,Services!$B$5:$B$64,0)),0),2))</f>
        <v>0</v>
      </c>
      <c r="R145" s="38">
        <f>IF(OR(B145="",P145=0),"",(P145-Q145)/P145)</f>
        <v>0</v>
      </c>
      <c r="S145" s="31">
        <f>IF(OR(B145="",C145=""),"",COUNTIFS($B$5:B145,B145))</f>
        <v>0</v>
      </c>
      <c r="T145" s="23">
        <f>IF(S145="","",B145&amp;"|"&amp;S145)</f>
        <v>0</v>
      </c>
      <c r="U145" s="39">
        <f>IF(B145="","",IF(C145="","Add - pick a service",IF(E145="","Add - how many?",IF(L145=0,"Add - no price",IF(AND(R145&lt;&gt;"",R145&lt;MarginFloor),"Below - thin margin","OK")))))</f>
        <v>0</v>
      </c>
    </row>
    <row r="146" spans="1:21">
      <c r="A146" s="43">
        <f>IF(B146="","","QL-"&amp;TEXT(ROW()-4,"0000"))</f>
        <v>0</v>
      </c>
      <c r="J146" s="21">
        <f>IF(C146="","",IFERROR(INDEX(Services!$P$5:$P$64,MATCH(C146,Services!$B$5:$B$64,0)),"0"))</f>
        <v>0</v>
      </c>
      <c r="K146" s="23">
        <f>IF(C146="","",IFERROR(INDEX(Services!$E$5:$E$64,MATCH(C146,Services!$B$5:$B$64,0)),""))</f>
        <v>0</v>
      </c>
      <c r="L146" s="21">
        <f>IF(B146="","",IF(F146&lt;&gt;"",F146,IFERROR(J146*1,0)))</f>
        <v>0</v>
      </c>
      <c r="M146" s="51">
        <f>IF(B146="","",IF(D146&lt;&gt;"",D146,IFERROR(INDEX(Services!$O$5:$O$64,MATCH(C146,Services!$B$5:$B$64,0)),"")))</f>
        <v>0</v>
      </c>
      <c r="N146" s="34">
        <f>IF(B146="","",IFERROR(INDEX(Services!$G$5:$G$64,MATCH(C146,Services!$B$5:$B$64,0)),0)*IF(E146="",1,IF(IFERROR(INDEX(Services!$D$5:$D$64,MATCH(C146,Services!$B$5:$B$64,0)),"")="Per hour",1,E146)))</f>
        <v>0</v>
      </c>
      <c r="O146" s="21">
        <f>IF(B146="","",ROUND(IF(E146="",1,E146)*L146,2))</f>
        <v>0</v>
      </c>
      <c r="P146" s="21">
        <f>IF(B146="","",ROUND(O146*(1-IF(G146="",0,G146)),2))</f>
        <v>0</v>
      </c>
      <c r="Q146" s="21">
        <f>IF(B146="","",ROUND(N146*CostPerHour+IF(E146="",1,E146)*IFERROR(INDEX(Services!$R$5:$R$64,MATCH(C146,Services!$B$5:$B$64,0)),0),2))</f>
        <v>0</v>
      </c>
      <c r="R146" s="38">
        <f>IF(OR(B146="",P146=0),"",(P146-Q146)/P146)</f>
        <v>0</v>
      </c>
      <c r="S146" s="31">
        <f>IF(OR(B146="",C146=""),"",COUNTIFS($B$5:B146,B146))</f>
        <v>0</v>
      </c>
      <c r="T146" s="23">
        <f>IF(S146="","",B146&amp;"|"&amp;S146)</f>
        <v>0</v>
      </c>
      <c r="U146" s="39">
        <f>IF(B146="","",IF(C146="","Add - pick a service",IF(E146="","Add - how many?",IF(L146=0,"Add - no price",IF(AND(R146&lt;&gt;"",R146&lt;MarginFloor),"Below - thin margin","OK")))))</f>
        <v>0</v>
      </c>
    </row>
    <row r="147" spans="1:21">
      <c r="A147" s="43">
        <f>IF(B147="","","QL-"&amp;TEXT(ROW()-4,"0000"))</f>
        <v>0</v>
      </c>
      <c r="J147" s="21">
        <f>IF(C147="","",IFERROR(INDEX(Services!$P$5:$P$64,MATCH(C147,Services!$B$5:$B$64,0)),"0"))</f>
        <v>0</v>
      </c>
      <c r="K147" s="23">
        <f>IF(C147="","",IFERROR(INDEX(Services!$E$5:$E$64,MATCH(C147,Services!$B$5:$B$64,0)),""))</f>
        <v>0</v>
      </c>
      <c r="L147" s="21">
        <f>IF(B147="","",IF(F147&lt;&gt;"",F147,IFERROR(J147*1,0)))</f>
        <v>0</v>
      </c>
      <c r="M147" s="51">
        <f>IF(B147="","",IF(D147&lt;&gt;"",D147,IFERROR(INDEX(Services!$O$5:$O$64,MATCH(C147,Services!$B$5:$B$64,0)),"")))</f>
        <v>0</v>
      </c>
      <c r="N147" s="34">
        <f>IF(B147="","",IFERROR(INDEX(Services!$G$5:$G$64,MATCH(C147,Services!$B$5:$B$64,0)),0)*IF(E147="",1,IF(IFERROR(INDEX(Services!$D$5:$D$64,MATCH(C147,Services!$B$5:$B$64,0)),"")="Per hour",1,E147)))</f>
        <v>0</v>
      </c>
      <c r="O147" s="21">
        <f>IF(B147="","",ROUND(IF(E147="",1,E147)*L147,2))</f>
        <v>0</v>
      </c>
      <c r="P147" s="21">
        <f>IF(B147="","",ROUND(O147*(1-IF(G147="",0,G147)),2))</f>
        <v>0</v>
      </c>
      <c r="Q147" s="21">
        <f>IF(B147="","",ROUND(N147*CostPerHour+IF(E147="",1,E147)*IFERROR(INDEX(Services!$R$5:$R$64,MATCH(C147,Services!$B$5:$B$64,0)),0),2))</f>
        <v>0</v>
      </c>
      <c r="R147" s="38">
        <f>IF(OR(B147="",P147=0),"",(P147-Q147)/P147)</f>
        <v>0</v>
      </c>
      <c r="S147" s="31">
        <f>IF(OR(B147="",C147=""),"",COUNTIFS($B$5:B147,B147))</f>
        <v>0</v>
      </c>
      <c r="T147" s="23">
        <f>IF(S147="","",B147&amp;"|"&amp;S147)</f>
        <v>0</v>
      </c>
      <c r="U147" s="39">
        <f>IF(B147="","",IF(C147="","Add - pick a service",IF(E147="","Add - how many?",IF(L147=0,"Add - no price",IF(AND(R147&lt;&gt;"",R147&lt;MarginFloor),"Below - thin margin","OK")))))</f>
        <v>0</v>
      </c>
    </row>
    <row r="148" spans="1:21">
      <c r="A148" s="43">
        <f>IF(B148="","","QL-"&amp;TEXT(ROW()-4,"0000"))</f>
        <v>0</v>
      </c>
      <c r="J148" s="21">
        <f>IF(C148="","",IFERROR(INDEX(Services!$P$5:$P$64,MATCH(C148,Services!$B$5:$B$64,0)),"0"))</f>
        <v>0</v>
      </c>
      <c r="K148" s="23">
        <f>IF(C148="","",IFERROR(INDEX(Services!$E$5:$E$64,MATCH(C148,Services!$B$5:$B$64,0)),""))</f>
        <v>0</v>
      </c>
      <c r="L148" s="21">
        <f>IF(B148="","",IF(F148&lt;&gt;"",F148,IFERROR(J148*1,0)))</f>
        <v>0</v>
      </c>
      <c r="M148" s="51">
        <f>IF(B148="","",IF(D148&lt;&gt;"",D148,IFERROR(INDEX(Services!$O$5:$O$64,MATCH(C148,Services!$B$5:$B$64,0)),"")))</f>
        <v>0</v>
      </c>
      <c r="N148" s="34">
        <f>IF(B148="","",IFERROR(INDEX(Services!$G$5:$G$64,MATCH(C148,Services!$B$5:$B$64,0)),0)*IF(E148="",1,IF(IFERROR(INDEX(Services!$D$5:$D$64,MATCH(C148,Services!$B$5:$B$64,0)),"")="Per hour",1,E148)))</f>
        <v>0</v>
      </c>
      <c r="O148" s="21">
        <f>IF(B148="","",ROUND(IF(E148="",1,E148)*L148,2))</f>
        <v>0</v>
      </c>
      <c r="P148" s="21">
        <f>IF(B148="","",ROUND(O148*(1-IF(G148="",0,G148)),2))</f>
        <v>0</v>
      </c>
      <c r="Q148" s="21">
        <f>IF(B148="","",ROUND(N148*CostPerHour+IF(E148="",1,E148)*IFERROR(INDEX(Services!$R$5:$R$64,MATCH(C148,Services!$B$5:$B$64,0)),0),2))</f>
        <v>0</v>
      </c>
      <c r="R148" s="38">
        <f>IF(OR(B148="",P148=0),"",(P148-Q148)/P148)</f>
        <v>0</v>
      </c>
      <c r="S148" s="31">
        <f>IF(OR(B148="",C148=""),"",COUNTIFS($B$5:B148,B148))</f>
        <v>0</v>
      </c>
      <c r="T148" s="23">
        <f>IF(S148="","",B148&amp;"|"&amp;S148)</f>
        <v>0</v>
      </c>
      <c r="U148" s="39">
        <f>IF(B148="","",IF(C148="","Add - pick a service",IF(E148="","Add - how many?",IF(L148=0,"Add - no price",IF(AND(R148&lt;&gt;"",R148&lt;MarginFloor),"Below - thin margin","OK")))))</f>
        <v>0</v>
      </c>
    </row>
    <row r="149" spans="1:21">
      <c r="A149" s="43">
        <f>IF(B149="","","QL-"&amp;TEXT(ROW()-4,"0000"))</f>
        <v>0</v>
      </c>
      <c r="J149" s="21">
        <f>IF(C149="","",IFERROR(INDEX(Services!$P$5:$P$64,MATCH(C149,Services!$B$5:$B$64,0)),"0"))</f>
        <v>0</v>
      </c>
      <c r="K149" s="23">
        <f>IF(C149="","",IFERROR(INDEX(Services!$E$5:$E$64,MATCH(C149,Services!$B$5:$B$64,0)),""))</f>
        <v>0</v>
      </c>
      <c r="L149" s="21">
        <f>IF(B149="","",IF(F149&lt;&gt;"",F149,IFERROR(J149*1,0)))</f>
        <v>0</v>
      </c>
      <c r="M149" s="51">
        <f>IF(B149="","",IF(D149&lt;&gt;"",D149,IFERROR(INDEX(Services!$O$5:$O$64,MATCH(C149,Services!$B$5:$B$64,0)),"")))</f>
        <v>0</v>
      </c>
      <c r="N149" s="34">
        <f>IF(B149="","",IFERROR(INDEX(Services!$G$5:$G$64,MATCH(C149,Services!$B$5:$B$64,0)),0)*IF(E149="",1,IF(IFERROR(INDEX(Services!$D$5:$D$64,MATCH(C149,Services!$B$5:$B$64,0)),"")="Per hour",1,E149)))</f>
        <v>0</v>
      </c>
      <c r="O149" s="21">
        <f>IF(B149="","",ROUND(IF(E149="",1,E149)*L149,2))</f>
        <v>0</v>
      </c>
      <c r="P149" s="21">
        <f>IF(B149="","",ROUND(O149*(1-IF(G149="",0,G149)),2))</f>
        <v>0</v>
      </c>
      <c r="Q149" s="21">
        <f>IF(B149="","",ROUND(N149*CostPerHour+IF(E149="",1,E149)*IFERROR(INDEX(Services!$R$5:$R$64,MATCH(C149,Services!$B$5:$B$64,0)),0),2))</f>
        <v>0</v>
      </c>
      <c r="R149" s="38">
        <f>IF(OR(B149="",P149=0),"",(P149-Q149)/P149)</f>
        <v>0</v>
      </c>
      <c r="S149" s="31">
        <f>IF(OR(B149="",C149=""),"",COUNTIFS($B$5:B149,B149))</f>
        <v>0</v>
      </c>
      <c r="T149" s="23">
        <f>IF(S149="","",B149&amp;"|"&amp;S149)</f>
        <v>0</v>
      </c>
      <c r="U149" s="39">
        <f>IF(B149="","",IF(C149="","Add - pick a service",IF(E149="","Add - how many?",IF(L149=0,"Add - no price",IF(AND(R149&lt;&gt;"",R149&lt;MarginFloor),"Below - thin margin","OK")))))</f>
        <v>0</v>
      </c>
    </row>
    <row r="150" spans="1:21">
      <c r="A150" s="43">
        <f>IF(B150="","","QL-"&amp;TEXT(ROW()-4,"0000"))</f>
        <v>0</v>
      </c>
      <c r="J150" s="21">
        <f>IF(C150="","",IFERROR(INDEX(Services!$P$5:$P$64,MATCH(C150,Services!$B$5:$B$64,0)),"0"))</f>
        <v>0</v>
      </c>
      <c r="K150" s="23">
        <f>IF(C150="","",IFERROR(INDEX(Services!$E$5:$E$64,MATCH(C150,Services!$B$5:$B$64,0)),""))</f>
        <v>0</v>
      </c>
      <c r="L150" s="21">
        <f>IF(B150="","",IF(F150&lt;&gt;"",F150,IFERROR(J150*1,0)))</f>
        <v>0</v>
      </c>
      <c r="M150" s="51">
        <f>IF(B150="","",IF(D150&lt;&gt;"",D150,IFERROR(INDEX(Services!$O$5:$O$64,MATCH(C150,Services!$B$5:$B$64,0)),"")))</f>
        <v>0</v>
      </c>
      <c r="N150" s="34">
        <f>IF(B150="","",IFERROR(INDEX(Services!$G$5:$G$64,MATCH(C150,Services!$B$5:$B$64,0)),0)*IF(E150="",1,IF(IFERROR(INDEX(Services!$D$5:$D$64,MATCH(C150,Services!$B$5:$B$64,0)),"")="Per hour",1,E150)))</f>
        <v>0</v>
      </c>
      <c r="O150" s="21">
        <f>IF(B150="","",ROUND(IF(E150="",1,E150)*L150,2))</f>
        <v>0</v>
      </c>
      <c r="P150" s="21">
        <f>IF(B150="","",ROUND(O150*(1-IF(G150="",0,G150)),2))</f>
        <v>0</v>
      </c>
      <c r="Q150" s="21">
        <f>IF(B150="","",ROUND(N150*CostPerHour+IF(E150="",1,E150)*IFERROR(INDEX(Services!$R$5:$R$64,MATCH(C150,Services!$B$5:$B$64,0)),0),2))</f>
        <v>0</v>
      </c>
      <c r="R150" s="38">
        <f>IF(OR(B150="",P150=0),"",(P150-Q150)/P150)</f>
        <v>0</v>
      </c>
      <c r="S150" s="31">
        <f>IF(OR(B150="",C150=""),"",COUNTIFS($B$5:B150,B150))</f>
        <v>0</v>
      </c>
      <c r="T150" s="23">
        <f>IF(S150="","",B150&amp;"|"&amp;S150)</f>
        <v>0</v>
      </c>
      <c r="U150" s="39">
        <f>IF(B150="","",IF(C150="","Add - pick a service",IF(E150="","Add - how many?",IF(L150=0,"Add - no price",IF(AND(R150&lt;&gt;"",R150&lt;MarginFloor),"Below - thin margin","OK")))))</f>
        <v>0</v>
      </c>
    </row>
    <row r="151" spans="1:21">
      <c r="A151" s="43">
        <f>IF(B151="","","QL-"&amp;TEXT(ROW()-4,"0000"))</f>
        <v>0</v>
      </c>
      <c r="J151" s="21">
        <f>IF(C151="","",IFERROR(INDEX(Services!$P$5:$P$64,MATCH(C151,Services!$B$5:$B$64,0)),"0"))</f>
        <v>0</v>
      </c>
      <c r="K151" s="23">
        <f>IF(C151="","",IFERROR(INDEX(Services!$E$5:$E$64,MATCH(C151,Services!$B$5:$B$64,0)),""))</f>
        <v>0</v>
      </c>
      <c r="L151" s="21">
        <f>IF(B151="","",IF(F151&lt;&gt;"",F151,IFERROR(J151*1,0)))</f>
        <v>0</v>
      </c>
      <c r="M151" s="51">
        <f>IF(B151="","",IF(D151&lt;&gt;"",D151,IFERROR(INDEX(Services!$O$5:$O$64,MATCH(C151,Services!$B$5:$B$64,0)),"")))</f>
        <v>0</v>
      </c>
      <c r="N151" s="34">
        <f>IF(B151="","",IFERROR(INDEX(Services!$G$5:$G$64,MATCH(C151,Services!$B$5:$B$64,0)),0)*IF(E151="",1,IF(IFERROR(INDEX(Services!$D$5:$D$64,MATCH(C151,Services!$B$5:$B$64,0)),"")="Per hour",1,E151)))</f>
        <v>0</v>
      </c>
      <c r="O151" s="21">
        <f>IF(B151="","",ROUND(IF(E151="",1,E151)*L151,2))</f>
        <v>0</v>
      </c>
      <c r="P151" s="21">
        <f>IF(B151="","",ROUND(O151*(1-IF(G151="",0,G151)),2))</f>
        <v>0</v>
      </c>
      <c r="Q151" s="21">
        <f>IF(B151="","",ROUND(N151*CostPerHour+IF(E151="",1,E151)*IFERROR(INDEX(Services!$R$5:$R$64,MATCH(C151,Services!$B$5:$B$64,0)),0),2))</f>
        <v>0</v>
      </c>
      <c r="R151" s="38">
        <f>IF(OR(B151="",P151=0),"",(P151-Q151)/P151)</f>
        <v>0</v>
      </c>
      <c r="S151" s="31">
        <f>IF(OR(B151="",C151=""),"",COUNTIFS($B$5:B151,B151))</f>
        <v>0</v>
      </c>
      <c r="T151" s="23">
        <f>IF(S151="","",B151&amp;"|"&amp;S151)</f>
        <v>0</v>
      </c>
      <c r="U151" s="39">
        <f>IF(B151="","",IF(C151="","Add - pick a service",IF(E151="","Add - how many?",IF(L151=0,"Add - no price",IF(AND(R151&lt;&gt;"",R151&lt;MarginFloor),"Below - thin margin","OK")))))</f>
        <v>0</v>
      </c>
    </row>
    <row r="152" spans="1:21">
      <c r="A152" s="43">
        <f>IF(B152="","","QL-"&amp;TEXT(ROW()-4,"0000"))</f>
        <v>0</v>
      </c>
      <c r="J152" s="21">
        <f>IF(C152="","",IFERROR(INDEX(Services!$P$5:$P$64,MATCH(C152,Services!$B$5:$B$64,0)),"0"))</f>
        <v>0</v>
      </c>
      <c r="K152" s="23">
        <f>IF(C152="","",IFERROR(INDEX(Services!$E$5:$E$64,MATCH(C152,Services!$B$5:$B$64,0)),""))</f>
        <v>0</v>
      </c>
      <c r="L152" s="21">
        <f>IF(B152="","",IF(F152&lt;&gt;"",F152,IFERROR(J152*1,0)))</f>
        <v>0</v>
      </c>
      <c r="M152" s="51">
        <f>IF(B152="","",IF(D152&lt;&gt;"",D152,IFERROR(INDEX(Services!$O$5:$O$64,MATCH(C152,Services!$B$5:$B$64,0)),"")))</f>
        <v>0</v>
      </c>
      <c r="N152" s="34">
        <f>IF(B152="","",IFERROR(INDEX(Services!$G$5:$G$64,MATCH(C152,Services!$B$5:$B$64,0)),0)*IF(E152="",1,IF(IFERROR(INDEX(Services!$D$5:$D$64,MATCH(C152,Services!$B$5:$B$64,0)),"")="Per hour",1,E152)))</f>
        <v>0</v>
      </c>
      <c r="O152" s="21">
        <f>IF(B152="","",ROUND(IF(E152="",1,E152)*L152,2))</f>
        <v>0</v>
      </c>
      <c r="P152" s="21">
        <f>IF(B152="","",ROUND(O152*(1-IF(G152="",0,G152)),2))</f>
        <v>0</v>
      </c>
      <c r="Q152" s="21">
        <f>IF(B152="","",ROUND(N152*CostPerHour+IF(E152="",1,E152)*IFERROR(INDEX(Services!$R$5:$R$64,MATCH(C152,Services!$B$5:$B$64,0)),0),2))</f>
        <v>0</v>
      </c>
      <c r="R152" s="38">
        <f>IF(OR(B152="",P152=0),"",(P152-Q152)/P152)</f>
        <v>0</v>
      </c>
      <c r="S152" s="31">
        <f>IF(OR(B152="",C152=""),"",COUNTIFS($B$5:B152,B152))</f>
        <v>0</v>
      </c>
      <c r="T152" s="23">
        <f>IF(S152="","",B152&amp;"|"&amp;S152)</f>
        <v>0</v>
      </c>
      <c r="U152" s="39">
        <f>IF(B152="","",IF(C152="","Add - pick a service",IF(E152="","Add - how many?",IF(L152=0,"Add - no price",IF(AND(R152&lt;&gt;"",R152&lt;MarginFloor),"Below - thin margin","OK")))))</f>
        <v>0</v>
      </c>
    </row>
    <row r="153" spans="1:21">
      <c r="A153" s="43">
        <f>IF(B153="","","QL-"&amp;TEXT(ROW()-4,"0000"))</f>
        <v>0</v>
      </c>
      <c r="J153" s="21">
        <f>IF(C153="","",IFERROR(INDEX(Services!$P$5:$P$64,MATCH(C153,Services!$B$5:$B$64,0)),"0"))</f>
        <v>0</v>
      </c>
      <c r="K153" s="23">
        <f>IF(C153="","",IFERROR(INDEX(Services!$E$5:$E$64,MATCH(C153,Services!$B$5:$B$64,0)),""))</f>
        <v>0</v>
      </c>
      <c r="L153" s="21">
        <f>IF(B153="","",IF(F153&lt;&gt;"",F153,IFERROR(J153*1,0)))</f>
        <v>0</v>
      </c>
      <c r="M153" s="51">
        <f>IF(B153="","",IF(D153&lt;&gt;"",D153,IFERROR(INDEX(Services!$O$5:$O$64,MATCH(C153,Services!$B$5:$B$64,0)),"")))</f>
        <v>0</v>
      </c>
      <c r="N153" s="34">
        <f>IF(B153="","",IFERROR(INDEX(Services!$G$5:$G$64,MATCH(C153,Services!$B$5:$B$64,0)),0)*IF(E153="",1,IF(IFERROR(INDEX(Services!$D$5:$D$64,MATCH(C153,Services!$B$5:$B$64,0)),"")="Per hour",1,E153)))</f>
        <v>0</v>
      </c>
      <c r="O153" s="21">
        <f>IF(B153="","",ROUND(IF(E153="",1,E153)*L153,2))</f>
        <v>0</v>
      </c>
      <c r="P153" s="21">
        <f>IF(B153="","",ROUND(O153*(1-IF(G153="",0,G153)),2))</f>
        <v>0</v>
      </c>
      <c r="Q153" s="21">
        <f>IF(B153="","",ROUND(N153*CostPerHour+IF(E153="",1,E153)*IFERROR(INDEX(Services!$R$5:$R$64,MATCH(C153,Services!$B$5:$B$64,0)),0),2))</f>
        <v>0</v>
      </c>
      <c r="R153" s="38">
        <f>IF(OR(B153="",P153=0),"",(P153-Q153)/P153)</f>
        <v>0</v>
      </c>
      <c r="S153" s="31">
        <f>IF(OR(B153="",C153=""),"",COUNTIFS($B$5:B153,B153))</f>
        <v>0</v>
      </c>
      <c r="T153" s="23">
        <f>IF(S153="","",B153&amp;"|"&amp;S153)</f>
        <v>0</v>
      </c>
      <c r="U153" s="39">
        <f>IF(B153="","",IF(C153="","Add - pick a service",IF(E153="","Add - how many?",IF(L153=0,"Add - no price",IF(AND(R153&lt;&gt;"",R153&lt;MarginFloor),"Below - thin margin","OK")))))</f>
        <v>0</v>
      </c>
    </row>
    <row r="154" spans="1:21">
      <c r="A154" s="43">
        <f>IF(B154="","","QL-"&amp;TEXT(ROW()-4,"0000"))</f>
        <v>0</v>
      </c>
      <c r="J154" s="21">
        <f>IF(C154="","",IFERROR(INDEX(Services!$P$5:$P$64,MATCH(C154,Services!$B$5:$B$64,0)),"0"))</f>
        <v>0</v>
      </c>
      <c r="K154" s="23">
        <f>IF(C154="","",IFERROR(INDEX(Services!$E$5:$E$64,MATCH(C154,Services!$B$5:$B$64,0)),""))</f>
        <v>0</v>
      </c>
      <c r="L154" s="21">
        <f>IF(B154="","",IF(F154&lt;&gt;"",F154,IFERROR(J154*1,0)))</f>
        <v>0</v>
      </c>
      <c r="M154" s="51">
        <f>IF(B154="","",IF(D154&lt;&gt;"",D154,IFERROR(INDEX(Services!$O$5:$O$64,MATCH(C154,Services!$B$5:$B$64,0)),"")))</f>
        <v>0</v>
      </c>
      <c r="N154" s="34">
        <f>IF(B154="","",IFERROR(INDEX(Services!$G$5:$G$64,MATCH(C154,Services!$B$5:$B$64,0)),0)*IF(E154="",1,IF(IFERROR(INDEX(Services!$D$5:$D$64,MATCH(C154,Services!$B$5:$B$64,0)),"")="Per hour",1,E154)))</f>
        <v>0</v>
      </c>
      <c r="O154" s="21">
        <f>IF(B154="","",ROUND(IF(E154="",1,E154)*L154,2))</f>
        <v>0</v>
      </c>
      <c r="P154" s="21">
        <f>IF(B154="","",ROUND(O154*(1-IF(G154="",0,G154)),2))</f>
        <v>0</v>
      </c>
      <c r="Q154" s="21">
        <f>IF(B154="","",ROUND(N154*CostPerHour+IF(E154="",1,E154)*IFERROR(INDEX(Services!$R$5:$R$64,MATCH(C154,Services!$B$5:$B$64,0)),0),2))</f>
        <v>0</v>
      </c>
      <c r="R154" s="38">
        <f>IF(OR(B154="",P154=0),"",(P154-Q154)/P154)</f>
        <v>0</v>
      </c>
      <c r="S154" s="31">
        <f>IF(OR(B154="",C154=""),"",COUNTIFS($B$5:B154,B154))</f>
        <v>0</v>
      </c>
      <c r="T154" s="23">
        <f>IF(S154="","",B154&amp;"|"&amp;S154)</f>
        <v>0</v>
      </c>
      <c r="U154" s="39">
        <f>IF(B154="","",IF(C154="","Add - pick a service",IF(E154="","Add - how many?",IF(L154=0,"Add - no price",IF(AND(R154&lt;&gt;"",R154&lt;MarginFloor),"Below - thin margin","OK")))))</f>
        <v>0</v>
      </c>
    </row>
    <row r="155" spans="1:21">
      <c r="A155" s="43">
        <f>IF(B155="","","QL-"&amp;TEXT(ROW()-4,"0000"))</f>
        <v>0</v>
      </c>
      <c r="J155" s="21">
        <f>IF(C155="","",IFERROR(INDEX(Services!$P$5:$P$64,MATCH(C155,Services!$B$5:$B$64,0)),"0"))</f>
        <v>0</v>
      </c>
      <c r="K155" s="23">
        <f>IF(C155="","",IFERROR(INDEX(Services!$E$5:$E$64,MATCH(C155,Services!$B$5:$B$64,0)),""))</f>
        <v>0</v>
      </c>
      <c r="L155" s="21">
        <f>IF(B155="","",IF(F155&lt;&gt;"",F155,IFERROR(J155*1,0)))</f>
        <v>0</v>
      </c>
      <c r="M155" s="51">
        <f>IF(B155="","",IF(D155&lt;&gt;"",D155,IFERROR(INDEX(Services!$O$5:$O$64,MATCH(C155,Services!$B$5:$B$64,0)),"")))</f>
        <v>0</v>
      </c>
      <c r="N155" s="34">
        <f>IF(B155="","",IFERROR(INDEX(Services!$G$5:$G$64,MATCH(C155,Services!$B$5:$B$64,0)),0)*IF(E155="",1,IF(IFERROR(INDEX(Services!$D$5:$D$64,MATCH(C155,Services!$B$5:$B$64,0)),"")="Per hour",1,E155)))</f>
        <v>0</v>
      </c>
      <c r="O155" s="21">
        <f>IF(B155="","",ROUND(IF(E155="",1,E155)*L155,2))</f>
        <v>0</v>
      </c>
      <c r="P155" s="21">
        <f>IF(B155="","",ROUND(O155*(1-IF(G155="",0,G155)),2))</f>
        <v>0</v>
      </c>
      <c r="Q155" s="21">
        <f>IF(B155="","",ROUND(N155*CostPerHour+IF(E155="",1,E155)*IFERROR(INDEX(Services!$R$5:$R$64,MATCH(C155,Services!$B$5:$B$64,0)),0),2))</f>
        <v>0</v>
      </c>
      <c r="R155" s="38">
        <f>IF(OR(B155="",P155=0),"",(P155-Q155)/P155)</f>
        <v>0</v>
      </c>
      <c r="S155" s="31">
        <f>IF(OR(B155="",C155=""),"",COUNTIFS($B$5:B155,B155))</f>
        <v>0</v>
      </c>
      <c r="T155" s="23">
        <f>IF(S155="","",B155&amp;"|"&amp;S155)</f>
        <v>0</v>
      </c>
      <c r="U155" s="39">
        <f>IF(B155="","",IF(C155="","Add - pick a service",IF(E155="","Add - how many?",IF(L155=0,"Add - no price",IF(AND(R155&lt;&gt;"",R155&lt;MarginFloor),"Below - thin margin","OK")))))</f>
        <v>0</v>
      </c>
    </row>
    <row r="156" spans="1:21">
      <c r="A156" s="43">
        <f>IF(B156="","","QL-"&amp;TEXT(ROW()-4,"0000"))</f>
        <v>0</v>
      </c>
      <c r="J156" s="21">
        <f>IF(C156="","",IFERROR(INDEX(Services!$P$5:$P$64,MATCH(C156,Services!$B$5:$B$64,0)),"0"))</f>
        <v>0</v>
      </c>
      <c r="K156" s="23">
        <f>IF(C156="","",IFERROR(INDEX(Services!$E$5:$E$64,MATCH(C156,Services!$B$5:$B$64,0)),""))</f>
        <v>0</v>
      </c>
      <c r="L156" s="21">
        <f>IF(B156="","",IF(F156&lt;&gt;"",F156,IFERROR(J156*1,0)))</f>
        <v>0</v>
      </c>
      <c r="M156" s="51">
        <f>IF(B156="","",IF(D156&lt;&gt;"",D156,IFERROR(INDEX(Services!$O$5:$O$64,MATCH(C156,Services!$B$5:$B$64,0)),"")))</f>
        <v>0</v>
      </c>
      <c r="N156" s="34">
        <f>IF(B156="","",IFERROR(INDEX(Services!$G$5:$G$64,MATCH(C156,Services!$B$5:$B$64,0)),0)*IF(E156="",1,IF(IFERROR(INDEX(Services!$D$5:$D$64,MATCH(C156,Services!$B$5:$B$64,0)),"")="Per hour",1,E156)))</f>
        <v>0</v>
      </c>
      <c r="O156" s="21">
        <f>IF(B156="","",ROUND(IF(E156="",1,E156)*L156,2))</f>
        <v>0</v>
      </c>
      <c r="P156" s="21">
        <f>IF(B156="","",ROUND(O156*(1-IF(G156="",0,G156)),2))</f>
        <v>0</v>
      </c>
      <c r="Q156" s="21">
        <f>IF(B156="","",ROUND(N156*CostPerHour+IF(E156="",1,E156)*IFERROR(INDEX(Services!$R$5:$R$64,MATCH(C156,Services!$B$5:$B$64,0)),0),2))</f>
        <v>0</v>
      </c>
      <c r="R156" s="38">
        <f>IF(OR(B156="",P156=0),"",(P156-Q156)/P156)</f>
        <v>0</v>
      </c>
      <c r="S156" s="31">
        <f>IF(OR(B156="",C156=""),"",COUNTIFS($B$5:B156,B156))</f>
        <v>0</v>
      </c>
      <c r="T156" s="23">
        <f>IF(S156="","",B156&amp;"|"&amp;S156)</f>
        <v>0</v>
      </c>
      <c r="U156" s="39">
        <f>IF(B156="","",IF(C156="","Add - pick a service",IF(E156="","Add - how many?",IF(L156=0,"Add - no price",IF(AND(R156&lt;&gt;"",R156&lt;MarginFloor),"Below - thin margin","OK")))))</f>
        <v>0</v>
      </c>
    </row>
    <row r="157" spans="1:21">
      <c r="A157" s="43">
        <f>IF(B157="","","QL-"&amp;TEXT(ROW()-4,"0000"))</f>
        <v>0</v>
      </c>
      <c r="J157" s="21">
        <f>IF(C157="","",IFERROR(INDEX(Services!$P$5:$P$64,MATCH(C157,Services!$B$5:$B$64,0)),"0"))</f>
        <v>0</v>
      </c>
      <c r="K157" s="23">
        <f>IF(C157="","",IFERROR(INDEX(Services!$E$5:$E$64,MATCH(C157,Services!$B$5:$B$64,0)),""))</f>
        <v>0</v>
      </c>
      <c r="L157" s="21">
        <f>IF(B157="","",IF(F157&lt;&gt;"",F157,IFERROR(J157*1,0)))</f>
        <v>0</v>
      </c>
      <c r="M157" s="51">
        <f>IF(B157="","",IF(D157&lt;&gt;"",D157,IFERROR(INDEX(Services!$O$5:$O$64,MATCH(C157,Services!$B$5:$B$64,0)),"")))</f>
        <v>0</v>
      </c>
      <c r="N157" s="34">
        <f>IF(B157="","",IFERROR(INDEX(Services!$G$5:$G$64,MATCH(C157,Services!$B$5:$B$64,0)),0)*IF(E157="",1,IF(IFERROR(INDEX(Services!$D$5:$D$64,MATCH(C157,Services!$B$5:$B$64,0)),"")="Per hour",1,E157)))</f>
        <v>0</v>
      </c>
      <c r="O157" s="21">
        <f>IF(B157="","",ROUND(IF(E157="",1,E157)*L157,2))</f>
        <v>0</v>
      </c>
      <c r="P157" s="21">
        <f>IF(B157="","",ROUND(O157*(1-IF(G157="",0,G157)),2))</f>
        <v>0</v>
      </c>
      <c r="Q157" s="21">
        <f>IF(B157="","",ROUND(N157*CostPerHour+IF(E157="",1,E157)*IFERROR(INDEX(Services!$R$5:$R$64,MATCH(C157,Services!$B$5:$B$64,0)),0),2))</f>
        <v>0</v>
      </c>
      <c r="R157" s="38">
        <f>IF(OR(B157="",P157=0),"",(P157-Q157)/P157)</f>
        <v>0</v>
      </c>
      <c r="S157" s="31">
        <f>IF(OR(B157="",C157=""),"",COUNTIFS($B$5:B157,B157))</f>
        <v>0</v>
      </c>
      <c r="T157" s="23">
        <f>IF(S157="","",B157&amp;"|"&amp;S157)</f>
        <v>0</v>
      </c>
      <c r="U157" s="39">
        <f>IF(B157="","",IF(C157="","Add - pick a service",IF(E157="","Add - how many?",IF(L157=0,"Add - no price",IF(AND(R157&lt;&gt;"",R157&lt;MarginFloor),"Below - thin margin","OK")))))</f>
        <v>0</v>
      </c>
    </row>
    <row r="158" spans="1:21">
      <c r="A158" s="43">
        <f>IF(B158="","","QL-"&amp;TEXT(ROW()-4,"0000"))</f>
        <v>0</v>
      </c>
      <c r="J158" s="21">
        <f>IF(C158="","",IFERROR(INDEX(Services!$P$5:$P$64,MATCH(C158,Services!$B$5:$B$64,0)),"0"))</f>
        <v>0</v>
      </c>
      <c r="K158" s="23">
        <f>IF(C158="","",IFERROR(INDEX(Services!$E$5:$E$64,MATCH(C158,Services!$B$5:$B$64,0)),""))</f>
        <v>0</v>
      </c>
      <c r="L158" s="21">
        <f>IF(B158="","",IF(F158&lt;&gt;"",F158,IFERROR(J158*1,0)))</f>
        <v>0</v>
      </c>
      <c r="M158" s="51">
        <f>IF(B158="","",IF(D158&lt;&gt;"",D158,IFERROR(INDEX(Services!$O$5:$O$64,MATCH(C158,Services!$B$5:$B$64,0)),"")))</f>
        <v>0</v>
      </c>
      <c r="N158" s="34">
        <f>IF(B158="","",IFERROR(INDEX(Services!$G$5:$G$64,MATCH(C158,Services!$B$5:$B$64,0)),0)*IF(E158="",1,IF(IFERROR(INDEX(Services!$D$5:$D$64,MATCH(C158,Services!$B$5:$B$64,0)),"")="Per hour",1,E158)))</f>
        <v>0</v>
      </c>
      <c r="O158" s="21">
        <f>IF(B158="","",ROUND(IF(E158="",1,E158)*L158,2))</f>
        <v>0</v>
      </c>
      <c r="P158" s="21">
        <f>IF(B158="","",ROUND(O158*(1-IF(G158="",0,G158)),2))</f>
        <v>0</v>
      </c>
      <c r="Q158" s="21">
        <f>IF(B158="","",ROUND(N158*CostPerHour+IF(E158="",1,E158)*IFERROR(INDEX(Services!$R$5:$R$64,MATCH(C158,Services!$B$5:$B$64,0)),0),2))</f>
        <v>0</v>
      </c>
      <c r="R158" s="38">
        <f>IF(OR(B158="",P158=0),"",(P158-Q158)/P158)</f>
        <v>0</v>
      </c>
      <c r="S158" s="31">
        <f>IF(OR(B158="",C158=""),"",COUNTIFS($B$5:B158,B158))</f>
        <v>0</v>
      </c>
      <c r="T158" s="23">
        <f>IF(S158="","",B158&amp;"|"&amp;S158)</f>
        <v>0</v>
      </c>
      <c r="U158" s="39">
        <f>IF(B158="","",IF(C158="","Add - pick a service",IF(E158="","Add - how many?",IF(L158=0,"Add - no price",IF(AND(R158&lt;&gt;"",R158&lt;MarginFloor),"Below - thin margin","OK")))))</f>
        <v>0</v>
      </c>
    </row>
    <row r="159" spans="1:21">
      <c r="A159" s="43">
        <f>IF(B159="","","QL-"&amp;TEXT(ROW()-4,"0000"))</f>
        <v>0</v>
      </c>
      <c r="J159" s="21">
        <f>IF(C159="","",IFERROR(INDEX(Services!$P$5:$P$64,MATCH(C159,Services!$B$5:$B$64,0)),"0"))</f>
        <v>0</v>
      </c>
      <c r="K159" s="23">
        <f>IF(C159="","",IFERROR(INDEX(Services!$E$5:$E$64,MATCH(C159,Services!$B$5:$B$64,0)),""))</f>
        <v>0</v>
      </c>
      <c r="L159" s="21">
        <f>IF(B159="","",IF(F159&lt;&gt;"",F159,IFERROR(J159*1,0)))</f>
        <v>0</v>
      </c>
      <c r="M159" s="51">
        <f>IF(B159="","",IF(D159&lt;&gt;"",D159,IFERROR(INDEX(Services!$O$5:$O$64,MATCH(C159,Services!$B$5:$B$64,0)),"")))</f>
        <v>0</v>
      </c>
      <c r="N159" s="34">
        <f>IF(B159="","",IFERROR(INDEX(Services!$G$5:$G$64,MATCH(C159,Services!$B$5:$B$64,0)),0)*IF(E159="",1,IF(IFERROR(INDEX(Services!$D$5:$D$64,MATCH(C159,Services!$B$5:$B$64,0)),"")="Per hour",1,E159)))</f>
        <v>0</v>
      </c>
      <c r="O159" s="21">
        <f>IF(B159="","",ROUND(IF(E159="",1,E159)*L159,2))</f>
        <v>0</v>
      </c>
      <c r="P159" s="21">
        <f>IF(B159="","",ROUND(O159*(1-IF(G159="",0,G159)),2))</f>
        <v>0</v>
      </c>
      <c r="Q159" s="21">
        <f>IF(B159="","",ROUND(N159*CostPerHour+IF(E159="",1,E159)*IFERROR(INDEX(Services!$R$5:$R$64,MATCH(C159,Services!$B$5:$B$64,0)),0),2))</f>
        <v>0</v>
      </c>
      <c r="R159" s="38">
        <f>IF(OR(B159="",P159=0),"",(P159-Q159)/P159)</f>
        <v>0</v>
      </c>
      <c r="S159" s="31">
        <f>IF(OR(B159="",C159=""),"",COUNTIFS($B$5:B159,B159))</f>
        <v>0</v>
      </c>
      <c r="T159" s="23">
        <f>IF(S159="","",B159&amp;"|"&amp;S159)</f>
        <v>0</v>
      </c>
      <c r="U159" s="39">
        <f>IF(B159="","",IF(C159="","Add - pick a service",IF(E159="","Add - how many?",IF(L159=0,"Add - no price",IF(AND(R159&lt;&gt;"",R159&lt;MarginFloor),"Below - thin margin","OK")))))</f>
        <v>0</v>
      </c>
    </row>
    <row r="160" spans="1:21">
      <c r="A160" s="43">
        <f>IF(B160="","","QL-"&amp;TEXT(ROW()-4,"0000"))</f>
        <v>0</v>
      </c>
      <c r="J160" s="21">
        <f>IF(C160="","",IFERROR(INDEX(Services!$P$5:$P$64,MATCH(C160,Services!$B$5:$B$64,0)),"0"))</f>
        <v>0</v>
      </c>
      <c r="K160" s="23">
        <f>IF(C160="","",IFERROR(INDEX(Services!$E$5:$E$64,MATCH(C160,Services!$B$5:$B$64,0)),""))</f>
        <v>0</v>
      </c>
      <c r="L160" s="21">
        <f>IF(B160="","",IF(F160&lt;&gt;"",F160,IFERROR(J160*1,0)))</f>
        <v>0</v>
      </c>
      <c r="M160" s="51">
        <f>IF(B160="","",IF(D160&lt;&gt;"",D160,IFERROR(INDEX(Services!$O$5:$O$64,MATCH(C160,Services!$B$5:$B$64,0)),"")))</f>
        <v>0</v>
      </c>
      <c r="N160" s="34">
        <f>IF(B160="","",IFERROR(INDEX(Services!$G$5:$G$64,MATCH(C160,Services!$B$5:$B$64,0)),0)*IF(E160="",1,IF(IFERROR(INDEX(Services!$D$5:$D$64,MATCH(C160,Services!$B$5:$B$64,0)),"")="Per hour",1,E160)))</f>
        <v>0</v>
      </c>
      <c r="O160" s="21">
        <f>IF(B160="","",ROUND(IF(E160="",1,E160)*L160,2))</f>
        <v>0</v>
      </c>
      <c r="P160" s="21">
        <f>IF(B160="","",ROUND(O160*(1-IF(G160="",0,G160)),2))</f>
        <v>0</v>
      </c>
      <c r="Q160" s="21">
        <f>IF(B160="","",ROUND(N160*CostPerHour+IF(E160="",1,E160)*IFERROR(INDEX(Services!$R$5:$R$64,MATCH(C160,Services!$B$5:$B$64,0)),0),2))</f>
        <v>0</v>
      </c>
      <c r="R160" s="38">
        <f>IF(OR(B160="",P160=0),"",(P160-Q160)/P160)</f>
        <v>0</v>
      </c>
      <c r="S160" s="31">
        <f>IF(OR(B160="",C160=""),"",COUNTIFS($B$5:B160,B160))</f>
        <v>0</v>
      </c>
      <c r="T160" s="23">
        <f>IF(S160="","",B160&amp;"|"&amp;S160)</f>
        <v>0</v>
      </c>
      <c r="U160" s="39">
        <f>IF(B160="","",IF(C160="","Add - pick a service",IF(E160="","Add - how many?",IF(L160=0,"Add - no price",IF(AND(R160&lt;&gt;"",R160&lt;MarginFloor),"Below - thin margin","OK")))))</f>
        <v>0</v>
      </c>
    </row>
    <row r="161" spans="1:21">
      <c r="A161" s="43">
        <f>IF(B161="","","QL-"&amp;TEXT(ROW()-4,"0000"))</f>
        <v>0</v>
      </c>
      <c r="J161" s="21">
        <f>IF(C161="","",IFERROR(INDEX(Services!$P$5:$P$64,MATCH(C161,Services!$B$5:$B$64,0)),"0"))</f>
        <v>0</v>
      </c>
      <c r="K161" s="23">
        <f>IF(C161="","",IFERROR(INDEX(Services!$E$5:$E$64,MATCH(C161,Services!$B$5:$B$64,0)),""))</f>
        <v>0</v>
      </c>
      <c r="L161" s="21">
        <f>IF(B161="","",IF(F161&lt;&gt;"",F161,IFERROR(J161*1,0)))</f>
        <v>0</v>
      </c>
      <c r="M161" s="51">
        <f>IF(B161="","",IF(D161&lt;&gt;"",D161,IFERROR(INDEX(Services!$O$5:$O$64,MATCH(C161,Services!$B$5:$B$64,0)),"")))</f>
        <v>0</v>
      </c>
      <c r="N161" s="34">
        <f>IF(B161="","",IFERROR(INDEX(Services!$G$5:$G$64,MATCH(C161,Services!$B$5:$B$64,0)),0)*IF(E161="",1,IF(IFERROR(INDEX(Services!$D$5:$D$64,MATCH(C161,Services!$B$5:$B$64,0)),"")="Per hour",1,E161)))</f>
        <v>0</v>
      </c>
      <c r="O161" s="21">
        <f>IF(B161="","",ROUND(IF(E161="",1,E161)*L161,2))</f>
        <v>0</v>
      </c>
      <c r="P161" s="21">
        <f>IF(B161="","",ROUND(O161*(1-IF(G161="",0,G161)),2))</f>
        <v>0</v>
      </c>
      <c r="Q161" s="21">
        <f>IF(B161="","",ROUND(N161*CostPerHour+IF(E161="",1,E161)*IFERROR(INDEX(Services!$R$5:$R$64,MATCH(C161,Services!$B$5:$B$64,0)),0),2))</f>
        <v>0</v>
      </c>
      <c r="R161" s="38">
        <f>IF(OR(B161="",P161=0),"",(P161-Q161)/P161)</f>
        <v>0</v>
      </c>
      <c r="S161" s="31">
        <f>IF(OR(B161="",C161=""),"",COUNTIFS($B$5:B161,B161))</f>
        <v>0</v>
      </c>
      <c r="T161" s="23">
        <f>IF(S161="","",B161&amp;"|"&amp;S161)</f>
        <v>0</v>
      </c>
      <c r="U161" s="39">
        <f>IF(B161="","",IF(C161="","Add - pick a service",IF(E161="","Add - how many?",IF(L161=0,"Add - no price",IF(AND(R161&lt;&gt;"",R161&lt;MarginFloor),"Below - thin margin","OK")))))</f>
        <v>0</v>
      </c>
    </row>
    <row r="162" spans="1:21">
      <c r="A162" s="43">
        <f>IF(B162="","","QL-"&amp;TEXT(ROW()-4,"0000"))</f>
        <v>0</v>
      </c>
      <c r="J162" s="21">
        <f>IF(C162="","",IFERROR(INDEX(Services!$P$5:$P$64,MATCH(C162,Services!$B$5:$B$64,0)),"0"))</f>
        <v>0</v>
      </c>
      <c r="K162" s="23">
        <f>IF(C162="","",IFERROR(INDEX(Services!$E$5:$E$64,MATCH(C162,Services!$B$5:$B$64,0)),""))</f>
        <v>0</v>
      </c>
      <c r="L162" s="21">
        <f>IF(B162="","",IF(F162&lt;&gt;"",F162,IFERROR(J162*1,0)))</f>
        <v>0</v>
      </c>
      <c r="M162" s="51">
        <f>IF(B162="","",IF(D162&lt;&gt;"",D162,IFERROR(INDEX(Services!$O$5:$O$64,MATCH(C162,Services!$B$5:$B$64,0)),"")))</f>
        <v>0</v>
      </c>
      <c r="N162" s="34">
        <f>IF(B162="","",IFERROR(INDEX(Services!$G$5:$G$64,MATCH(C162,Services!$B$5:$B$64,0)),0)*IF(E162="",1,IF(IFERROR(INDEX(Services!$D$5:$D$64,MATCH(C162,Services!$B$5:$B$64,0)),"")="Per hour",1,E162)))</f>
        <v>0</v>
      </c>
      <c r="O162" s="21">
        <f>IF(B162="","",ROUND(IF(E162="",1,E162)*L162,2))</f>
        <v>0</v>
      </c>
      <c r="P162" s="21">
        <f>IF(B162="","",ROUND(O162*(1-IF(G162="",0,G162)),2))</f>
        <v>0</v>
      </c>
      <c r="Q162" s="21">
        <f>IF(B162="","",ROUND(N162*CostPerHour+IF(E162="",1,E162)*IFERROR(INDEX(Services!$R$5:$R$64,MATCH(C162,Services!$B$5:$B$64,0)),0),2))</f>
        <v>0</v>
      </c>
      <c r="R162" s="38">
        <f>IF(OR(B162="",P162=0),"",(P162-Q162)/P162)</f>
        <v>0</v>
      </c>
      <c r="S162" s="31">
        <f>IF(OR(B162="",C162=""),"",COUNTIFS($B$5:B162,B162))</f>
        <v>0</v>
      </c>
      <c r="T162" s="23">
        <f>IF(S162="","",B162&amp;"|"&amp;S162)</f>
        <v>0</v>
      </c>
      <c r="U162" s="39">
        <f>IF(B162="","",IF(C162="","Add - pick a service",IF(E162="","Add - how many?",IF(L162=0,"Add - no price",IF(AND(R162&lt;&gt;"",R162&lt;MarginFloor),"Below - thin margin","OK")))))</f>
        <v>0</v>
      </c>
    </row>
    <row r="163" spans="1:21">
      <c r="A163" s="43">
        <f>IF(B163="","","QL-"&amp;TEXT(ROW()-4,"0000"))</f>
        <v>0</v>
      </c>
      <c r="J163" s="21">
        <f>IF(C163="","",IFERROR(INDEX(Services!$P$5:$P$64,MATCH(C163,Services!$B$5:$B$64,0)),"0"))</f>
        <v>0</v>
      </c>
      <c r="K163" s="23">
        <f>IF(C163="","",IFERROR(INDEX(Services!$E$5:$E$64,MATCH(C163,Services!$B$5:$B$64,0)),""))</f>
        <v>0</v>
      </c>
      <c r="L163" s="21">
        <f>IF(B163="","",IF(F163&lt;&gt;"",F163,IFERROR(J163*1,0)))</f>
        <v>0</v>
      </c>
      <c r="M163" s="51">
        <f>IF(B163="","",IF(D163&lt;&gt;"",D163,IFERROR(INDEX(Services!$O$5:$O$64,MATCH(C163,Services!$B$5:$B$64,0)),"")))</f>
        <v>0</v>
      </c>
      <c r="N163" s="34">
        <f>IF(B163="","",IFERROR(INDEX(Services!$G$5:$G$64,MATCH(C163,Services!$B$5:$B$64,0)),0)*IF(E163="",1,IF(IFERROR(INDEX(Services!$D$5:$D$64,MATCH(C163,Services!$B$5:$B$64,0)),"")="Per hour",1,E163)))</f>
        <v>0</v>
      </c>
      <c r="O163" s="21">
        <f>IF(B163="","",ROUND(IF(E163="",1,E163)*L163,2))</f>
        <v>0</v>
      </c>
      <c r="P163" s="21">
        <f>IF(B163="","",ROUND(O163*(1-IF(G163="",0,G163)),2))</f>
        <v>0</v>
      </c>
      <c r="Q163" s="21">
        <f>IF(B163="","",ROUND(N163*CostPerHour+IF(E163="",1,E163)*IFERROR(INDEX(Services!$R$5:$R$64,MATCH(C163,Services!$B$5:$B$64,0)),0),2))</f>
        <v>0</v>
      </c>
      <c r="R163" s="38">
        <f>IF(OR(B163="",P163=0),"",(P163-Q163)/P163)</f>
        <v>0</v>
      </c>
      <c r="S163" s="31">
        <f>IF(OR(B163="",C163=""),"",COUNTIFS($B$5:B163,B163))</f>
        <v>0</v>
      </c>
      <c r="T163" s="23">
        <f>IF(S163="","",B163&amp;"|"&amp;S163)</f>
        <v>0</v>
      </c>
      <c r="U163" s="39">
        <f>IF(B163="","",IF(C163="","Add - pick a service",IF(E163="","Add - how many?",IF(L163=0,"Add - no price",IF(AND(R163&lt;&gt;"",R163&lt;MarginFloor),"Below - thin margin","OK")))))</f>
        <v>0</v>
      </c>
    </row>
    <row r="164" spans="1:21">
      <c r="A164" s="43">
        <f>IF(B164="","","QL-"&amp;TEXT(ROW()-4,"0000"))</f>
        <v>0</v>
      </c>
      <c r="J164" s="21">
        <f>IF(C164="","",IFERROR(INDEX(Services!$P$5:$P$64,MATCH(C164,Services!$B$5:$B$64,0)),"0"))</f>
        <v>0</v>
      </c>
      <c r="K164" s="23">
        <f>IF(C164="","",IFERROR(INDEX(Services!$E$5:$E$64,MATCH(C164,Services!$B$5:$B$64,0)),""))</f>
        <v>0</v>
      </c>
      <c r="L164" s="21">
        <f>IF(B164="","",IF(F164&lt;&gt;"",F164,IFERROR(J164*1,0)))</f>
        <v>0</v>
      </c>
      <c r="M164" s="51">
        <f>IF(B164="","",IF(D164&lt;&gt;"",D164,IFERROR(INDEX(Services!$O$5:$O$64,MATCH(C164,Services!$B$5:$B$64,0)),"")))</f>
        <v>0</v>
      </c>
      <c r="N164" s="34">
        <f>IF(B164="","",IFERROR(INDEX(Services!$G$5:$G$64,MATCH(C164,Services!$B$5:$B$64,0)),0)*IF(E164="",1,IF(IFERROR(INDEX(Services!$D$5:$D$64,MATCH(C164,Services!$B$5:$B$64,0)),"")="Per hour",1,E164)))</f>
        <v>0</v>
      </c>
      <c r="O164" s="21">
        <f>IF(B164="","",ROUND(IF(E164="",1,E164)*L164,2))</f>
        <v>0</v>
      </c>
      <c r="P164" s="21">
        <f>IF(B164="","",ROUND(O164*(1-IF(G164="",0,G164)),2))</f>
        <v>0</v>
      </c>
      <c r="Q164" s="21">
        <f>IF(B164="","",ROUND(N164*CostPerHour+IF(E164="",1,E164)*IFERROR(INDEX(Services!$R$5:$R$64,MATCH(C164,Services!$B$5:$B$64,0)),0),2))</f>
        <v>0</v>
      </c>
      <c r="R164" s="38">
        <f>IF(OR(B164="",P164=0),"",(P164-Q164)/P164)</f>
        <v>0</v>
      </c>
      <c r="S164" s="31">
        <f>IF(OR(B164="",C164=""),"",COUNTIFS($B$5:B164,B164))</f>
        <v>0</v>
      </c>
      <c r="T164" s="23">
        <f>IF(S164="","",B164&amp;"|"&amp;S164)</f>
        <v>0</v>
      </c>
      <c r="U164" s="39">
        <f>IF(B164="","",IF(C164="","Add - pick a service",IF(E164="","Add - how many?",IF(L164=0,"Add - no price",IF(AND(R164&lt;&gt;"",R164&lt;MarginFloor),"Below - thin margin","OK")))))</f>
        <v>0</v>
      </c>
    </row>
    <row r="165" spans="1:21">
      <c r="A165" s="43">
        <f>IF(B165="","","QL-"&amp;TEXT(ROW()-4,"0000"))</f>
        <v>0</v>
      </c>
      <c r="J165" s="21">
        <f>IF(C165="","",IFERROR(INDEX(Services!$P$5:$P$64,MATCH(C165,Services!$B$5:$B$64,0)),"0"))</f>
        <v>0</v>
      </c>
      <c r="K165" s="23">
        <f>IF(C165="","",IFERROR(INDEX(Services!$E$5:$E$64,MATCH(C165,Services!$B$5:$B$64,0)),""))</f>
        <v>0</v>
      </c>
      <c r="L165" s="21">
        <f>IF(B165="","",IF(F165&lt;&gt;"",F165,IFERROR(J165*1,0)))</f>
        <v>0</v>
      </c>
      <c r="M165" s="51">
        <f>IF(B165="","",IF(D165&lt;&gt;"",D165,IFERROR(INDEX(Services!$O$5:$O$64,MATCH(C165,Services!$B$5:$B$64,0)),"")))</f>
        <v>0</v>
      </c>
      <c r="N165" s="34">
        <f>IF(B165="","",IFERROR(INDEX(Services!$G$5:$G$64,MATCH(C165,Services!$B$5:$B$64,0)),0)*IF(E165="",1,IF(IFERROR(INDEX(Services!$D$5:$D$64,MATCH(C165,Services!$B$5:$B$64,0)),"")="Per hour",1,E165)))</f>
        <v>0</v>
      </c>
      <c r="O165" s="21">
        <f>IF(B165="","",ROUND(IF(E165="",1,E165)*L165,2))</f>
        <v>0</v>
      </c>
      <c r="P165" s="21">
        <f>IF(B165="","",ROUND(O165*(1-IF(G165="",0,G165)),2))</f>
        <v>0</v>
      </c>
      <c r="Q165" s="21">
        <f>IF(B165="","",ROUND(N165*CostPerHour+IF(E165="",1,E165)*IFERROR(INDEX(Services!$R$5:$R$64,MATCH(C165,Services!$B$5:$B$64,0)),0),2))</f>
        <v>0</v>
      </c>
      <c r="R165" s="38">
        <f>IF(OR(B165="",P165=0),"",(P165-Q165)/P165)</f>
        <v>0</v>
      </c>
      <c r="S165" s="31">
        <f>IF(OR(B165="",C165=""),"",COUNTIFS($B$5:B165,B165))</f>
        <v>0</v>
      </c>
      <c r="T165" s="23">
        <f>IF(S165="","",B165&amp;"|"&amp;S165)</f>
        <v>0</v>
      </c>
      <c r="U165" s="39">
        <f>IF(B165="","",IF(C165="","Add - pick a service",IF(E165="","Add - how many?",IF(L165=0,"Add - no price",IF(AND(R165&lt;&gt;"",R165&lt;MarginFloor),"Below - thin margin","OK")))))</f>
        <v>0</v>
      </c>
    </row>
    <row r="166" spans="1:21">
      <c r="A166" s="43">
        <f>IF(B166="","","QL-"&amp;TEXT(ROW()-4,"0000"))</f>
        <v>0</v>
      </c>
      <c r="J166" s="21">
        <f>IF(C166="","",IFERROR(INDEX(Services!$P$5:$P$64,MATCH(C166,Services!$B$5:$B$64,0)),"0"))</f>
        <v>0</v>
      </c>
      <c r="K166" s="23">
        <f>IF(C166="","",IFERROR(INDEX(Services!$E$5:$E$64,MATCH(C166,Services!$B$5:$B$64,0)),""))</f>
        <v>0</v>
      </c>
      <c r="L166" s="21">
        <f>IF(B166="","",IF(F166&lt;&gt;"",F166,IFERROR(J166*1,0)))</f>
        <v>0</v>
      </c>
      <c r="M166" s="51">
        <f>IF(B166="","",IF(D166&lt;&gt;"",D166,IFERROR(INDEX(Services!$O$5:$O$64,MATCH(C166,Services!$B$5:$B$64,0)),"")))</f>
        <v>0</v>
      </c>
      <c r="N166" s="34">
        <f>IF(B166="","",IFERROR(INDEX(Services!$G$5:$G$64,MATCH(C166,Services!$B$5:$B$64,0)),0)*IF(E166="",1,IF(IFERROR(INDEX(Services!$D$5:$D$64,MATCH(C166,Services!$B$5:$B$64,0)),"")="Per hour",1,E166)))</f>
        <v>0</v>
      </c>
      <c r="O166" s="21">
        <f>IF(B166="","",ROUND(IF(E166="",1,E166)*L166,2))</f>
        <v>0</v>
      </c>
      <c r="P166" s="21">
        <f>IF(B166="","",ROUND(O166*(1-IF(G166="",0,G166)),2))</f>
        <v>0</v>
      </c>
      <c r="Q166" s="21">
        <f>IF(B166="","",ROUND(N166*CostPerHour+IF(E166="",1,E166)*IFERROR(INDEX(Services!$R$5:$R$64,MATCH(C166,Services!$B$5:$B$64,0)),0),2))</f>
        <v>0</v>
      </c>
      <c r="R166" s="38">
        <f>IF(OR(B166="",P166=0),"",(P166-Q166)/P166)</f>
        <v>0</v>
      </c>
      <c r="S166" s="31">
        <f>IF(OR(B166="",C166=""),"",COUNTIFS($B$5:B166,B166))</f>
        <v>0</v>
      </c>
      <c r="T166" s="23">
        <f>IF(S166="","",B166&amp;"|"&amp;S166)</f>
        <v>0</v>
      </c>
      <c r="U166" s="39">
        <f>IF(B166="","",IF(C166="","Add - pick a service",IF(E166="","Add - how many?",IF(L166=0,"Add - no price",IF(AND(R166&lt;&gt;"",R166&lt;MarginFloor),"Below - thin margin","OK")))))</f>
        <v>0</v>
      </c>
    </row>
    <row r="167" spans="1:21">
      <c r="A167" s="43">
        <f>IF(B167="","","QL-"&amp;TEXT(ROW()-4,"0000"))</f>
        <v>0</v>
      </c>
      <c r="J167" s="21">
        <f>IF(C167="","",IFERROR(INDEX(Services!$P$5:$P$64,MATCH(C167,Services!$B$5:$B$64,0)),"0"))</f>
        <v>0</v>
      </c>
      <c r="K167" s="23">
        <f>IF(C167="","",IFERROR(INDEX(Services!$E$5:$E$64,MATCH(C167,Services!$B$5:$B$64,0)),""))</f>
        <v>0</v>
      </c>
      <c r="L167" s="21">
        <f>IF(B167="","",IF(F167&lt;&gt;"",F167,IFERROR(J167*1,0)))</f>
        <v>0</v>
      </c>
      <c r="M167" s="51">
        <f>IF(B167="","",IF(D167&lt;&gt;"",D167,IFERROR(INDEX(Services!$O$5:$O$64,MATCH(C167,Services!$B$5:$B$64,0)),"")))</f>
        <v>0</v>
      </c>
      <c r="N167" s="34">
        <f>IF(B167="","",IFERROR(INDEX(Services!$G$5:$G$64,MATCH(C167,Services!$B$5:$B$64,0)),0)*IF(E167="",1,IF(IFERROR(INDEX(Services!$D$5:$D$64,MATCH(C167,Services!$B$5:$B$64,0)),"")="Per hour",1,E167)))</f>
        <v>0</v>
      </c>
      <c r="O167" s="21">
        <f>IF(B167="","",ROUND(IF(E167="",1,E167)*L167,2))</f>
        <v>0</v>
      </c>
      <c r="P167" s="21">
        <f>IF(B167="","",ROUND(O167*(1-IF(G167="",0,G167)),2))</f>
        <v>0</v>
      </c>
      <c r="Q167" s="21">
        <f>IF(B167="","",ROUND(N167*CostPerHour+IF(E167="",1,E167)*IFERROR(INDEX(Services!$R$5:$R$64,MATCH(C167,Services!$B$5:$B$64,0)),0),2))</f>
        <v>0</v>
      </c>
      <c r="R167" s="38">
        <f>IF(OR(B167="",P167=0),"",(P167-Q167)/P167)</f>
        <v>0</v>
      </c>
      <c r="S167" s="31">
        <f>IF(OR(B167="",C167=""),"",COUNTIFS($B$5:B167,B167))</f>
        <v>0</v>
      </c>
      <c r="T167" s="23">
        <f>IF(S167="","",B167&amp;"|"&amp;S167)</f>
        <v>0</v>
      </c>
      <c r="U167" s="39">
        <f>IF(B167="","",IF(C167="","Add - pick a service",IF(E167="","Add - how many?",IF(L167=0,"Add - no price",IF(AND(R167&lt;&gt;"",R167&lt;MarginFloor),"Below - thin margin","OK")))))</f>
        <v>0</v>
      </c>
    </row>
    <row r="168" spans="1:21">
      <c r="A168" s="43">
        <f>IF(B168="","","QL-"&amp;TEXT(ROW()-4,"0000"))</f>
        <v>0</v>
      </c>
      <c r="J168" s="21">
        <f>IF(C168="","",IFERROR(INDEX(Services!$P$5:$P$64,MATCH(C168,Services!$B$5:$B$64,0)),"0"))</f>
        <v>0</v>
      </c>
      <c r="K168" s="23">
        <f>IF(C168="","",IFERROR(INDEX(Services!$E$5:$E$64,MATCH(C168,Services!$B$5:$B$64,0)),""))</f>
        <v>0</v>
      </c>
      <c r="L168" s="21">
        <f>IF(B168="","",IF(F168&lt;&gt;"",F168,IFERROR(J168*1,0)))</f>
        <v>0</v>
      </c>
      <c r="M168" s="51">
        <f>IF(B168="","",IF(D168&lt;&gt;"",D168,IFERROR(INDEX(Services!$O$5:$O$64,MATCH(C168,Services!$B$5:$B$64,0)),"")))</f>
        <v>0</v>
      </c>
      <c r="N168" s="34">
        <f>IF(B168="","",IFERROR(INDEX(Services!$G$5:$G$64,MATCH(C168,Services!$B$5:$B$64,0)),0)*IF(E168="",1,IF(IFERROR(INDEX(Services!$D$5:$D$64,MATCH(C168,Services!$B$5:$B$64,0)),"")="Per hour",1,E168)))</f>
        <v>0</v>
      </c>
      <c r="O168" s="21">
        <f>IF(B168="","",ROUND(IF(E168="",1,E168)*L168,2))</f>
        <v>0</v>
      </c>
      <c r="P168" s="21">
        <f>IF(B168="","",ROUND(O168*(1-IF(G168="",0,G168)),2))</f>
        <v>0</v>
      </c>
      <c r="Q168" s="21">
        <f>IF(B168="","",ROUND(N168*CostPerHour+IF(E168="",1,E168)*IFERROR(INDEX(Services!$R$5:$R$64,MATCH(C168,Services!$B$5:$B$64,0)),0),2))</f>
        <v>0</v>
      </c>
      <c r="R168" s="38">
        <f>IF(OR(B168="",P168=0),"",(P168-Q168)/P168)</f>
        <v>0</v>
      </c>
      <c r="S168" s="31">
        <f>IF(OR(B168="",C168=""),"",COUNTIFS($B$5:B168,B168))</f>
        <v>0</v>
      </c>
      <c r="T168" s="23">
        <f>IF(S168="","",B168&amp;"|"&amp;S168)</f>
        <v>0</v>
      </c>
      <c r="U168" s="39">
        <f>IF(B168="","",IF(C168="","Add - pick a service",IF(E168="","Add - how many?",IF(L168=0,"Add - no price",IF(AND(R168&lt;&gt;"",R168&lt;MarginFloor),"Below - thin margin","OK")))))</f>
        <v>0</v>
      </c>
    </row>
    <row r="169" spans="1:21">
      <c r="A169" s="43">
        <f>IF(B169="","","QL-"&amp;TEXT(ROW()-4,"0000"))</f>
        <v>0</v>
      </c>
      <c r="J169" s="21">
        <f>IF(C169="","",IFERROR(INDEX(Services!$P$5:$P$64,MATCH(C169,Services!$B$5:$B$64,0)),"0"))</f>
        <v>0</v>
      </c>
      <c r="K169" s="23">
        <f>IF(C169="","",IFERROR(INDEX(Services!$E$5:$E$64,MATCH(C169,Services!$B$5:$B$64,0)),""))</f>
        <v>0</v>
      </c>
      <c r="L169" s="21">
        <f>IF(B169="","",IF(F169&lt;&gt;"",F169,IFERROR(J169*1,0)))</f>
        <v>0</v>
      </c>
      <c r="M169" s="51">
        <f>IF(B169="","",IF(D169&lt;&gt;"",D169,IFERROR(INDEX(Services!$O$5:$O$64,MATCH(C169,Services!$B$5:$B$64,0)),"")))</f>
        <v>0</v>
      </c>
      <c r="N169" s="34">
        <f>IF(B169="","",IFERROR(INDEX(Services!$G$5:$G$64,MATCH(C169,Services!$B$5:$B$64,0)),0)*IF(E169="",1,IF(IFERROR(INDEX(Services!$D$5:$D$64,MATCH(C169,Services!$B$5:$B$64,0)),"")="Per hour",1,E169)))</f>
        <v>0</v>
      </c>
      <c r="O169" s="21">
        <f>IF(B169="","",ROUND(IF(E169="",1,E169)*L169,2))</f>
        <v>0</v>
      </c>
      <c r="P169" s="21">
        <f>IF(B169="","",ROUND(O169*(1-IF(G169="",0,G169)),2))</f>
        <v>0</v>
      </c>
      <c r="Q169" s="21">
        <f>IF(B169="","",ROUND(N169*CostPerHour+IF(E169="",1,E169)*IFERROR(INDEX(Services!$R$5:$R$64,MATCH(C169,Services!$B$5:$B$64,0)),0),2))</f>
        <v>0</v>
      </c>
      <c r="R169" s="38">
        <f>IF(OR(B169="",P169=0),"",(P169-Q169)/P169)</f>
        <v>0</v>
      </c>
      <c r="S169" s="31">
        <f>IF(OR(B169="",C169=""),"",COUNTIFS($B$5:B169,B169))</f>
        <v>0</v>
      </c>
      <c r="T169" s="23">
        <f>IF(S169="","",B169&amp;"|"&amp;S169)</f>
        <v>0</v>
      </c>
      <c r="U169" s="39">
        <f>IF(B169="","",IF(C169="","Add - pick a service",IF(E169="","Add - how many?",IF(L169=0,"Add - no price",IF(AND(R169&lt;&gt;"",R169&lt;MarginFloor),"Below - thin margin","OK")))))</f>
        <v>0</v>
      </c>
    </row>
    <row r="170" spans="1:21">
      <c r="A170" s="43">
        <f>IF(B170="","","QL-"&amp;TEXT(ROW()-4,"0000"))</f>
        <v>0</v>
      </c>
      <c r="J170" s="21">
        <f>IF(C170="","",IFERROR(INDEX(Services!$P$5:$P$64,MATCH(C170,Services!$B$5:$B$64,0)),"0"))</f>
        <v>0</v>
      </c>
      <c r="K170" s="23">
        <f>IF(C170="","",IFERROR(INDEX(Services!$E$5:$E$64,MATCH(C170,Services!$B$5:$B$64,0)),""))</f>
        <v>0</v>
      </c>
      <c r="L170" s="21">
        <f>IF(B170="","",IF(F170&lt;&gt;"",F170,IFERROR(J170*1,0)))</f>
        <v>0</v>
      </c>
      <c r="M170" s="51">
        <f>IF(B170="","",IF(D170&lt;&gt;"",D170,IFERROR(INDEX(Services!$O$5:$O$64,MATCH(C170,Services!$B$5:$B$64,0)),"")))</f>
        <v>0</v>
      </c>
      <c r="N170" s="34">
        <f>IF(B170="","",IFERROR(INDEX(Services!$G$5:$G$64,MATCH(C170,Services!$B$5:$B$64,0)),0)*IF(E170="",1,IF(IFERROR(INDEX(Services!$D$5:$D$64,MATCH(C170,Services!$B$5:$B$64,0)),"")="Per hour",1,E170)))</f>
        <v>0</v>
      </c>
      <c r="O170" s="21">
        <f>IF(B170="","",ROUND(IF(E170="",1,E170)*L170,2))</f>
        <v>0</v>
      </c>
      <c r="P170" s="21">
        <f>IF(B170="","",ROUND(O170*(1-IF(G170="",0,G170)),2))</f>
        <v>0</v>
      </c>
      <c r="Q170" s="21">
        <f>IF(B170="","",ROUND(N170*CostPerHour+IF(E170="",1,E170)*IFERROR(INDEX(Services!$R$5:$R$64,MATCH(C170,Services!$B$5:$B$64,0)),0),2))</f>
        <v>0</v>
      </c>
      <c r="R170" s="38">
        <f>IF(OR(B170="",P170=0),"",(P170-Q170)/P170)</f>
        <v>0</v>
      </c>
      <c r="S170" s="31">
        <f>IF(OR(B170="",C170=""),"",COUNTIFS($B$5:B170,B170))</f>
        <v>0</v>
      </c>
      <c r="T170" s="23">
        <f>IF(S170="","",B170&amp;"|"&amp;S170)</f>
        <v>0</v>
      </c>
      <c r="U170" s="39">
        <f>IF(B170="","",IF(C170="","Add - pick a service",IF(E170="","Add - how many?",IF(L170=0,"Add - no price",IF(AND(R170&lt;&gt;"",R170&lt;MarginFloor),"Below - thin margin","OK")))))</f>
        <v>0</v>
      </c>
    </row>
    <row r="171" spans="1:21">
      <c r="A171" s="43">
        <f>IF(B171="","","QL-"&amp;TEXT(ROW()-4,"0000"))</f>
        <v>0</v>
      </c>
      <c r="J171" s="21">
        <f>IF(C171="","",IFERROR(INDEX(Services!$P$5:$P$64,MATCH(C171,Services!$B$5:$B$64,0)),"0"))</f>
        <v>0</v>
      </c>
      <c r="K171" s="23">
        <f>IF(C171="","",IFERROR(INDEX(Services!$E$5:$E$64,MATCH(C171,Services!$B$5:$B$64,0)),""))</f>
        <v>0</v>
      </c>
      <c r="L171" s="21">
        <f>IF(B171="","",IF(F171&lt;&gt;"",F171,IFERROR(J171*1,0)))</f>
        <v>0</v>
      </c>
      <c r="M171" s="51">
        <f>IF(B171="","",IF(D171&lt;&gt;"",D171,IFERROR(INDEX(Services!$O$5:$O$64,MATCH(C171,Services!$B$5:$B$64,0)),"")))</f>
        <v>0</v>
      </c>
      <c r="N171" s="34">
        <f>IF(B171="","",IFERROR(INDEX(Services!$G$5:$G$64,MATCH(C171,Services!$B$5:$B$64,0)),0)*IF(E171="",1,IF(IFERROR(INDEX(Services!$D$5:$D$64,MATCH(C171,Services!$B$5:$B$64,0)),"")="Per hour",1,E171)))</f>
        <v>0</v>
      </c>
      <c r="O171" s="21">
        <f>IF(B171="","",ROUND(IF(E171="",1,E171)*L171,2))</f>
        <v>0</v>
      </c>
      <c r="P171" s="21">
        <f>IF(B171="","",ROUND(O171*(1-IF(G171="",0,G171)),2))</f>
        <v>0</v>
      </c>
      <c r="Q171" s="21">
        <f>IF(B171="","",ROUND(N171*CostPerHour+IF(E171="",1,E171)*IFERROR(INDEX(Services!$R$5:$R$64,MATCH(C171,Services!$B$5:$B$64,0)),0),2))</f>
        <v>0</v>
      </c>
      <c r="R171" s="38">
        <f>IF(OR(B171="",P171=0),"",(P171-Q171)/P171)</f>
        <v>0</v>
      </c>
      <c r="S171" s="31">
        <f>IF(OR(B171="",C171=""),"",COUNTIFS($B$5:B171,B171))</f>
        <v>0</v>
      </c>
      <c r="T171" s="23">
        <f>IF(S171="","",B171&amp;"|"&amp;S171)</f>
        <v>0</v>
      </c>
      <c r="U171" s="39">
        <f>IF(B171="","",IF(C171="","Add - pick a service",IF(E171="","Add - how many?",IF(L171=0,"Add - no price",IF(AND(R171&lt;&gt;"",R171&lt;MarginFloor),"Below - thin margin","OK")))))</f>
        <v>0</v>
      </c>
    </row>
    <row r="172" spans="1:21">
      <c r="A172" s="43">
        <f>IF(B172="","","QL-"&amp;TEXT(ROW()-4,"0000"))</f>
        <v>0</v>
      </c>
      <c r="J172" s="21">
        <f>IF(C172="","",IFERROR(INDEX(Services!$P$5:$P$64,MATCH(C172,Services!$B$5:$B$64,0)),"0"))</f>
        <v>0</v>
      </c>
      <c r="K172" s="23">
        <f>IF(C172="","",IFERROR(INDEX(Services!$E$5:$E$64,MATCH(C172,Services!$B$5:$B$64,0)),""))</f>
        <v>0</v>
      </c>
      <c r="L172" s="21">
        <f>IF(B172="","",IF(F172&lt;&gt;"",F172,IFERROR(J172*1,0)))</f>
        <v>0</v>
      </c>
      <c r="M172" s="51">
        <f>IF(B172="","",IF(D172&lt;&gt;"",D172,IFERROR(INDEX(Services!$O$5:$O$64,MATCH(C172,Services!$B$5:$B$64,0)),"")))</f>
        <v>0</v>
      </c>
      <c r="N172" s="34">
        <f>IF(B172="","",IFERROR(INDEX(Services!$G$5:$G$64,MATCH(C172,Services!$B$5:$B$64,0)),0)*IF(E172="",1,IF(IFERROR(INDEX(Services!$D$5:$D$64,MATCH(C172,Services!$B$5:$B$64,0)),"")="Per hour",1,E172)))</f>
        <v>0</v>
      </c>
      <c r="O172" s="21">
        <f>IF(B172="","",ROUND(IF(E172="",1,E172)*L172,2))</f>
        <v>0</v>
      </c>
      <c r="P172" s="21">
        <f>IF(B172="","",ROUND(O172*(1-IF(G172="",0,G172)),2))</f>
        <v>0</v>
      </c>
      <c r="Q172" s="21">
        <f>IF(B172="","",ROUND(N172*CostPerHour+IF(E172="",1,E172)*IFERROR(INDEX(Services!$R$5:$R$64,MATCH(C172,Services!$B$5:$B$64,0)),0),2))</f>
        <v>0</v>
      </c>
      <c r="R172" s="38">
        <f>IF(OR(B172="",P172=0),"",(P172-Q172)/P172)</f>
        <v>0</v>
      </c>
      <c r="S172" s="31">
        <f>IF(OR(B172="",C172=""),"",COUNTIFS($B$5:B172,B172))</f>
        <v>0</v>
      </c>
      <c r="T172" s="23">
        <f>IF(S172="","",B172&amp;"|"&amp;S172)</f>
        <v>0</v>
      </c>
      <c r="U172" s="39">
        <f>IF(B172="","",IF(C172="","Add - pick a service",IF(E172="","Add - how many?",IF(L172=0,"Add - no price",IF(AND(R172&lt;&gt;"",R172&lt;MarginFloor),"Below - thin margin","OK")))))</f>
        <v>0</v>
      </c>
    </row>
    <row r="173" spans="1:21">
      <c r="A173" s="43">
        <f>IF(B173="","","QL-"&amp;TEXT(ROW()-4,"0000"))</f>
        <v>0</v>
      </c>
      <c r="J173" s="21">
        <f>IF(C173="","",IFERROR(INDEX(Services!$P$5:$P$64,MATCH(C173,Services!$B$5:$B$64,0)),"0"))</f>
        <v>0</v>
      </c>
      <c r="K173" s="23">
        <f>IF(C173="","",IFERROR(INDEX(Services!$E$5:$E$64,MATCH(C173,Services!$B$5:$B$64,0)),""))</f>
        <v>0</v>
      </c>
      <c r="L173" s="21">
        <f>IF(B173="","",IF(F173&lt;&gt;"",F173,IFERROR(J173*1,0)))</f>
        <v>0</v>
      </c>
      <c r="M173" s="51">
        <f>IF(B173="","",IF(D173&lt;&gt;"",D173,IFERROR(INDEX(Services!$O$5:$O$64,MATCH(C173,Services!$B$5:$B$64,0)),"")))</f>
        <v>0</v>
      </c>
      <c r="N173" s="34">
        <f>IF(B173="","",IFERROR(INDEX(Services!$G$5:$G$64,MATCH(C173,Services!$B$5:$B$64,0)),0)*IF(E173="",1,IF(IFERROR(INDEX(Services!$D$5:$D$64,MATCH(C173,Services!$B$5:$B$64,0)),"")="Per hour",1,E173)))</f>
        <v>0</v>
      </c>
      <c r="O173" s="21">
        <f>IF(B173="","",ROUND(IF(E173="",1,E173)*L173,2))</f>
        <v>0</v>
      </c>
      <c r="P173" s="21">
        <f>IF(B173="","",ROUND(O173*(1-IF(G173="",0,G173)),2))</f>
        <v>0</v>
      </c>
      <c r="Q173" s="21">
        <f>IF(B173="","",ROUND(N173*CostPerHour+IF(E173="",1,E173)*IFERROR(INDEX(Services!$R$5:$R$64,MATCH(C173,Services!$B$5:$B$64,0)),0),2))</f>
        <v>0</v>
      </c>
      <c r="R173" s="38">
        <f>IF(OR(B173="",P173=0),"",(P173-Q173)/P173)</f>
        <v>0</v>
      </c>
      <c r="S173" s="31">
        <f>IF(OR(B173="",C173=""),"",COUNTIFS($B$5:B173,B173))</f>
        <v>0</v>
      </c>
      <c r="T173" s="23">
        <f>IF(S173="","",B173&amp;"|"&amp;S173)</f>
        <v>0</v>
      </c>
      <c r="U173" s="39">
        <f>IF(B173="","",IF(C173="","Add - pick a service",IF(E173="","Add - how many?",IF(L173=0,"Add - no price",IF(AND(R173&lt;&gt;"",R173&lt;MarginFloor),"Below - thin margin","OK")))))</f>
        <v>0</v>
      </c>
    </row>
    <row r="174" spans="1:21">
      <c r="A174" s="43">
        <f>IF(B174="","","QL-"&amp;TEXT(ROW()-4,"0000"))</f>
        <v>0</v>
      </c>
      <c r="J174" s="21">
        <f>IF(C174="","",IFERROR(INDEX(Services!$P$5:$P$64,MATCH(C174,Services!$B$5:$B$64,0)),"0"))</f>
        <v>0</v>
      </c>
      <c r="K174" s="23">
        <f>IF(C174="","",IFERROR(INDEX(Services!$E$5:$E$64,MATCH(C174,Services!$B$5:$B$64,0)),""))</f>
        <v>0</v>
      </c>
      <c r="L174" s="21">
        <f>IF(B174="","",IF(F174&lt;&gt;"",F174,IFERROR(J174*1,0)))</f>
        <v>0</v>
      </c>
      <c r="M174" s="51">
        <f>IF(B174="","",IF(D174&lt;&gt;"",D174,IFERROR(INDEX(Services!$O$5:$O$64,MATCH(C174,Services!$B$5:$B$64,0)),"")))</f>
        <v>0</v>
      </c>
      <c r="N174" s="34">
        <f>IF(B174="","",IFERROR(INDEX(Services!$G$5:$G$64,MATCH(C174,Services!$B$5:$B$64,0)),0)*IF(E174="",1,IF(IFERROR(INDEX(Services!$D$5:$D$64,MATCH(C174,Services!$B$5:$B$64,0)),"")="Per hour",1,E174)))</f>
        <v>0</v>
      </c>
      <c r="O174" s="21">
        <f>IF(B174="","",ROUND(IF(E174="",1,E174)*L174,2))</f>
        <v>0</v>
      </c>
      <c r="P174" s="21">
        <f>IF(B174="","",ROUND(O174*(1-IF(G174="",0,G174)),2))</f>
        <v>0</v>
      </c>
      <c r="Q174" s="21">
        <f>IF(B174="","",ROUND(N174*CostPerHour+IF(E174="",1,E174)*IFERROR(INDEX(Services!$R$5:$R$64,MATCH(C174,Services!$B$5:$B$64,0)),0),2))</f>
        <v>0</v>
      </c>
      <c r="R174" s="38">
        <f>IF(OR(B174="",P174=0),"",(P174-Q174)/P174)</f>
        <v>0</v>
      </c>
      <c r="S174" s="31">
        <f>IF(OR(B174="",C174=""),"",COUNTIFS($B$5:B174,B174))</f>
        <v>0</v>
      </c>
      <c r="T174" s="23">
        <f>IF(S174="","",B174&amp;"|"&amp;S174)</f>
        <v>0</v>
      </c>
      <c r="U174" s="39">
        <f>IF(B174="","",IF(C174="","Add - pick a service",IF(E174="","Add - how many?",IF(L174=0,"Add - no price",IF(AND(R174&lt;&gt;"",R174&lt;MarginFloor),"Below - thin margin","OK")))))</f>
        <v>0</v>
      </c>
    </row>
    <row r="175" spans="1:21">
      <c r="A175" s="43">
        <f>IF(B175="","","QL-"&amp;TEXT(ROW()-4,"0000"))</f>
        <v>0</v>
      </c>
      <c r="J175" s="21">
        <f>IF(C175="","",IFERROR(INDEX(Services!$P$5:$P$64,MATCH(C175,Services!$B$5:$B$64,0)),"0"))</f>
        <v>0</v>
      </c>
      <c r="K175" s="23">
        <f>IF(C175="","",IFERROR(INDEX(Services!$E$5:$E$64,MATCH(C175,Services!$B$5:$B$64,0)),""))</f>
        <v>0</v>
      </c>
      <c r="L175" s="21">
        <f>IF(B175="","",IF(F175&lt;&gt;"",F175,IFERROR(J175*1,0)))</f>
        <v>0</v>
      </c>
      <c r="M175" s="51">
        <f>IF(B175="","",IF(D175&lt;&gt;"",D175,IFERROR(INDEX(Services!$O$5:$O$64,MATCH(C175,Services!$B$5:$B$64,0)),"")))</f>
        <v>0</v>
      </c>
      <c r="N175" s="34">
        <f>IF(B175="","",IFERROR(INDEX(Services!$G$5:$G$64,MATCH(C175,Services!$B$5:$B$64,0)),0)*IF(E175="",1,IF(IFERROR(INDEX(Services!$D$5:$D$64,MATCH(C175,Services!$B$5:$B$64,0)),"")="Per hour",1,E175)))</f>
        <v>0</v>
      </c>
      <c r="O175" s="21">
        <f>IF(B175="","",ROUND(IF(E175="",1,E175)*L175,2))</f>
        <v>0</v>
      </c>
      <c r="P175" s="21">
        <f>IF(B175="","",ROUND(O175*(1-IF(G175="",0,G175)),2))</f>
        <v>0</v>
      </c>
      <c r="Q175" s="21">
        <f>IF(B175="","",ROUND(N175*CostPerHour+IF(E175="",1,E175)*IFERROR(INDEX(Services!$R$5:$R$64,MATCH(C175,Services!$B$5:$B$64,0)),0),2))</f>
        <v>0</v>
      </c>
      <c r="R175" s="38">
        <f>IF(OR(B175="",P175=0),"",(P175-Q175)/P175)</f>
        <v>0</v>
      </c>
      <c r="S175" s="31">
        <f>IF(OR(B175="",C175=""),"",COUNTIFS($B$5:B175,B175))</f>
        <v>0</v>
      </c>
      <c r="T175" s="23">
        <f>IF(S175="","",B175&amp;"|"&amp;S175)</f>
        <v>0</v>
      </c>
      <c r="U175" s="39">
        <f>IF(B175="","",IF(C175="","Add - pick a service",IF(E175="","Add - how many?",IF(L175=0,"Add - no price",IF(AND(R175&lt;&gt;"",R175&lt;MarginFloor),"Below - thin margin","OK")))))</f>
        <v>0</v>
      </c>
    </row>
    <row r="176" spans="1:21">
      <c r="A176" s="43">
        <f>IF(B176="","","QL-"&amp;TEXT(ROW()-4,"0000"))</f>
        <v>0</v>
      </c>
      <c r="J176" s="21">
        <f>IF(C176="","",IFERROR(INDEX(Services!$P$5:$P$64,MATCH(C176,Services!$B$5:$B$64,0)),"0"))</f>
        <v>0</v>
      </c>
      <c r="K176" s="23">
        <f>IF(C176="","",IFERROR(INDEX(Services!$E$5:$E$64,MATCH(C176,Services!$B$5:$B$64,0)),""))</f>
        <v>0</v>
      </c>
      <c r="L176" s="21">
        <f>IF(B176="","",IF(F176&lt;&gt;"",F176,IFERROR(J176*1,0)))</f>
        <v>0</v>
      </c>
      <c r="M176" s="51">
        <f>IF(B176="","",IF(D176&lt;&gt;"",D176,IFERROR(INDEX(Services!$O$5:$O$64,MATCH(C176,Services!$B$5:$B$64,0)),"")))</f>
        <v>0</v>
      </c>
      <c r="N176" s="34">
        <f>IF(B176="","",IFERROR(INDEX(Services!$G$5:$G$64,MATCH(C176,Services!$B$5:$B$64,0)),0)*IF(E176="",1,IF(IFERROR(INDEX(Services!$D$5:$D$64,MATCH(C176,Services!$B$5:$B$64,0)),"")="Per hour",1,E176)))</f>
        <v>0</v>
      </c>
      <c r="O176" s="21">
        <f>IF(B176="","",ROUND(IF(E176="",1,E176)*L176,2))</f>
        <v>0</v>
      </c>
      <c r="P176" s="21">
        <f>IF(B176="","",ROUND(O176*(1-IF(G176="",0,G176)),2))</f>
        <v>0</v>
      </c>
      <c r="Q176" s="21">
        <f>IF(B176="","",ROUND(N176*CostPerHour+IF(E176="",1,E176)*IFERROR(INDEX(Services!$R$5:$R$64,MATCH(C176,Services!$B$5:$B$64,0)),0),2))</f>
        <v>0</v>
      </c>
      <c r="R176" s="38">
        <f>IF(OR(B176="",P176=0),"",(P176-Q176)/P176)</f>
        <v>0</v>
      </c>
      <c r="S176" s="31">
        <f>IF(OR(B176="",C176=""),"",COUNTIFS($B$5:B176,B176))</f>
        <v>0</v>
      </c>
      <c r="T176" s="23">
        <f>IF(S176="","",B176&amp;"|"&amp;S176)</f>
        <v>0</v>
      </c>
      <c r="U176" s="39">
        <f>IF(B176="","",IF(C176="","Add - pick a service",IF(E176="","Add - how many?",IF(L176=0,"Add - no price",IF(AND(R176&lt;&gt;"",R176&lt;MarginFloor),"Below - thin margin","OK")))))</f>
        <v>0</v>
      </c>
    </row>
    <row r="177" spans="1:21">
      <c r="A177" s="43">
        <f>IF(B177="","","QL-"&amp;TEXT(ROW()-4,"0000"))</f>
        <v>0</v>
      </c>
      <c r="J177" s="21">
        <f>IF(C177="","",IFERROR(INDEX(Services!$P$5:$P$64,MATCH(C177,Services!$B$5:$B$64,0)),"0"))</f>
        <v>0</v>
      </c>
      <c r="K177" s="23">
        <f>IF(C177="","",IFERROR(INDEX(Services!$E$5:$E$64,MATCH(C177,Services!$B$5:$B$64,0)),""))</f>
        <v>0</v>
      </c>
      <c r="L177" s="21">
        <f>IF(B177="","",IF(F177&lt;&gt;"",F177,IFERROR(J177*1,0)))</f>
        <v>0</v>
      </c>
      <c r="M177" s="51">
        <f>IF(B177="","",IF(D177&lt;&gt;"",D177,IFERROR(INDEX(Services!$O$5:$O$64,MATCH(C177,Services!$B$5:$B$64,0)),"")))</f>
        <v>0</v>
      </c>
      <c r="N177" s="34">
        <f>IF(B177="","",IFERROR(INDEX(Services!$G$5:$G$64,MATCH(C177,Services!$B$5:$B$64,0)),0)*IF(E177="",1,IF(IFERROR(INDEX(Services!$D$5:$D$64,MATCH(C177,Services!$B$5:$B$64,0)),"")="Per hour",1,E177)))</f>
        <v>0</v>
      </c>
      <c r="O177" s="21">
        <f>IF(B177="","",ROUND(IF(E177="",1,E177)*L177,2))</f>
        <v>0</v>
      </c>
      <c r="P177" s="21">
        <f>IF(B177="","",ROUND(O177*(1-IF(G177="",0,G177)),2))</f>
        <v>0</v>
      </c>
      <c r="Q177" s="21">
        <f>IF(B177="","",ROUND(N177*CostPerHour+IF(E177="",1,E177)*IFERROR(INDEX(Services!$R$5:$R$64,MATCH(C177,Services!$B$5:$B$64,0)),0),2))</f>
        <v>0</v>
      </c>
      <c r="R177" s="38">
        <f>IF(OR(B177="",P177=0),"",(P177-Q177)/P177)</f>
        <v>0</v>
      </c>
      <c r="S177" s="31">
        <f>IF(OR(B177="",C177=""),"",COUNTIFS($B$5:B177,B177))</f>
        <v>0</v>
      </c>
      <c r="T177" s="23">
        <f>IF(S177="","",B177&amp;"|"&amp;S177)</f>
        <v>0</v>
      </c>
      <c r="U177" s="39">
        <f>IF(B177="","",IF(C177="","Add - pick a service",IF(E177="","Add - how many?",IF(L177=0,"Add - no price",IF(AND(R177&lt;&gt;"",R177&lt;MarginFloor),"Below - thin margin","OK")))))</f>
        <v>0</v>
      </c>
    </row>
    <row r="178" spans="1:21">
      <c r="A178" s="43">
        <f>IF(B178="","","QL-"&amp;TEXT(ROW()-4,"0000"))</f>
        <v>0</v>
      </c>
      <c r="J178" s="21">
        <f>IF(C178="","",IFERROR(INDEX(Services!$P$5:$P$64,MATCH(C178,Services!$B$5:$B$64,0)),"0"))</f>
        <v>0</v>
      </c>
      <c r="K178" s="23">
        <f>IF(C178="","",IFERROR(INDEX(Services!$E$5:$E$64,MATCH(C178,Services!$B$5:$B$64,0)),""))</f>
        <v>0</v>
      </c>
      <c r="L178" s="21">
        <f>IF(B178="","",IF(F178&lt;&gt;"",F178,IFERROR(J178*1,0)))</f>
        <v>0</v>
      </c>
      <c r="M178" s="51">
        <f>IF(B178="","",IF(D178&lt;&gt;"",D178,IFERROR(INDEX(Services!$O$5:$O$64,MATCH(C178,Services!$B$5:$B$64,0)),"")))</f>
        <v>0</v>
      </c>
      <c r="N178" s="34">
        <f>IF(B178="","",IFERROR(INDEX(Services!$G$5:$G$64,MATCH(C178,Services!$B$5:$B$64,0)),0)*IF(E178="",1,IF(IFERROR(INDEX(Services!$D$5:$D$64,MATCH(C178,Services!$B$5:$B$64,0)),"")="Per hour",1,E178)))</f>
        <v>0</v>
      </c>
      <c r="O178" s="21">
        <f>IF(B178="","",ROUND(IF(E178="",1,E178)*L178,2))</f>
        <v>0</v>
      </c>
      <c r="P178" s="21">
        <f>IF(B178="","",ROUND(O178*(1-IF(G178="",0,G178)),2))</f>
        <v>0</v>
      </c>
      <c r="Q178" s="21">
        <f>IF(B178="","",ROUND(N178*CostPerHour+IF(E178="",1,E178)*IFERROR(INDEX(Services!$R$5:$R$64,MATCH(C178,Services!$B$5:$B$64,0)),0),2))</f>
        <v>0</v>
      </c>
      <c r="R178" s="38">
        <f>IF(OR(B178="",P178=0),"",(P178-Q178)/P178)</f>
        <v>0</v>
      </c>
      <c r="S178" s="31">
        <f>IF(OR(B178="",C178=""),"",COUNTIFS($B$5:B178,B178))</f>
        <v>0</v>
      </c>
      <c r="T178" s="23">
        <f>IF(S178="","",B178&amp;"|"&amp;S178)</f>
        <v>0</v>
      </c>
      <c r="U178" s="39">
        <f>IF(B178="","",IF(C178="","Add - pick a service",IF(E178="","Add - how many?",IF(L178=0,"Add - no price",IF(AND(R178&lt;&gt;"",R178&lt;MarginFloor),"Below - thin margin","OK")))))</f>
        <v>0</v>
      </c>
    </row>
    <row r="179" spans="1:21">
      <c r="A179" s="43">
        <f>IF(B179="","","QL-"&amp;TEXT(ROW()-4,"0000"))</f>
        <v>0</v>
      </c>
      <c r="J179" s="21">
        <f>IF(C179="","",IFERROR(INDEX(Services!$P$5:$P$64,MATCH(C179,Services!$B$5:$B$64,0)),"0"))</f>
        <v>0</v>
      </c>
      <c r="K179" s="23">
        <f>IF(C179="","",IFERROR(INDEX(Services!$E$5:$E$64,MATCH(C179,Services!$B$5:$B$64,0)),""))</f>
        <v>0</v>
      </c>
      <c r="L179" s="21">
        <f>IF(B179="","",IF(F179&lt;&gt;"",F179,IFERROR(J179*1,0)))</f>
        <v>0</v>
      </c>
      <c r="M179" s="51">
        <f>IF(B179="","",IF(D179&lt;&gt;"",D179,IFERROR(INDEX(Services!$O$5:$O$64,MATCH(C179,Services!$B$5:$B$64,0)),"")))</f>
        <v>0</v>
      </c>
      <c r="N179" s="34">
        <f>IF(B179="","",IFERROR(INDEX(Services!$G$5:$G$64,MATCH(C179,Services!$B$5:$B$64,0)),0)*IF(E179="",1,IF(IFERROR(INDEX(Services!$D$5:$D$64,MATCH(C179,Services!$B$5:$B$64,0)),"")="Per hour",1,E179)))</f>
        <v>0</v>
      </c>
      <c r="O179" s="21">
        <f>IF(B179="","",ROUND(IF(E179="",1,E179)*L179,2))</f>
        <v>0</v>
      </c>
      <c r="P179" s="21">
        <f>IF(B179="","",ROUND(O179*(1-IF(G179="",0,G179)),2))</f>
        <v>0</v>
      </c>
      <c r="Q179" s="21">
        <f>IF(B179="","",ROUND(N179*CostPerHour+IF(E179="",1,E179)*IFERROR(INDEX(Services!$R$5:$R$64,MATCH(C179,Services!$B$5:$B$64,0)),0),2))</f>
        <v>0</v>
      </c>
      <c r="R179" s="38">
        <f>IF(OR(B179="",P179=0),"",(P179-Q179)/P179)</f>
        <v>0</v>
      </c>
      <c r="S179" s="31">
        <f>IF(OR(B179="",C179=""),"",COUNTIFS($B$5:B179,B179))</f>
        <v>0</v>
      </c>
      <c r="T179" s="23">
        <f>IF(S179="","",B179&amp;"|"&amp;S179)</f>
        <v>0</v>
      </c>
      <c r="U179" s="39">
        <f>IF(B179="","",IF(C179="","Add - pick a service",IF(E179="","Add - how many?",IF(L179=0,"Add - no price",IF(AND(R179&lt;&gt;"",R179&lt;MarginFloor),"Below - thin margin","OK")))))</f>
        <v>0</v>
      </c>
    </row>
    <row r="180" spans="1:21">
      <c r="A180" s="43">
        <f>IF(B180="","","QL-"&amp;TEXT(ROW()-4,"0000"))</f>
        <v>0</v>
      </c>
      <c r="J180" s="21">
        <f>IF(C180="","",IFERROR(INDEX(Services!$P$5:$P$64,MATCH(C180,Services!$B$5:$B$64,0)),"0"))</f>
        <v>0</v>
      </c>
      <c r="K180" s="23">
        <f>IF(C180="","",IFERROR(INDEX(Services!$E$5:$E$64,MATCH(C180,Services!$B$5:$B$64,0)),""))</f>
        <v>0</v>
      </c>
      <c r="L180" s="21">
        <f>IF(B180="","",IF(F180&lt;&gt;"",F180,IFERROR(J180*1,0)))</f>
        <v>0</v>
      </c>
      <c r="M180" s="51">
        <f>IF(B180="","",IF(D180&lt;&gt;"",D180,IFERROR(INDEX(Services!$O$5:$O$64,MATCH(C180,Services!$B$5:$B$64,0)),"")))</f>
        <v>0</v>
      </c>
      <c r="N180" s="34">
        <f>IF(B180="","",IFERROR(INDEX(Services!$G$5:$G$64,MATCH(C180,Services!$B$5:$B$64,0)),0)*IF(E180="",1,IF(IFERROR(INDEX(Services!$D$5:$D$64,MATCH(C180,Services!$B$5:$B$64,0)),"")="Per hour",1,E180)))</f>
        <v>0</v>
      </c>
      <c r="O180" s="21">
        <f>IF(B180="","",ROUND(IF(E180="",1,E180)*L180,2))</f>
        <v>0</v>
      </c>
      <c r="P180" s="21">
        <f>IF(B180="","",ROUND(O180*(1-IF(G180="",0,G180)),2))</f>
        <v>0</v>
      </c>
      <c r="Q180" s="21">
        <f>IF(B180="","",ROUND(N180*CostPerHour+IF(E180="",1,E180)*IFERROR(INDEX(Services!$R$5:$R$64,MATCH(C180,Services!$B$5:$B$64,0)),0),2))</f>
        <v>0</v>
      </c>
      <c r="R180" s="38">
        <f>IF(OR(B180="",P180=0),"",(P180-Q180)/P180)</f>
        <v>0</v>
      </c>
      <c r="S180" s="31">
        <f>IF(OR(B180="",C180=""),"",COUNTIFS($B$5:B180,B180))</f>
        <v>0</v>
      </c>
      <c r="T180" s="23">
        <f>IF(S180="","",B180&amp;"|"&amp;S180)</f>
        <v>0</v>
      </c>
      <c r="U180" s="39">
        <f>IF(B180="","",IF(C180="","Add - pick a service",IF(E180="","Add - how many?",IF(L180=0,"Add - no price",IF(AND(R180&lt;&gt;"",R180&lt;MarginFloor),"Below - thin margin","OK")))))</f>
        <v>0</v>
      </c>
    </row>
    <row r="181" spans="1:21">
      <c r="A181" s="43">
        <f>IF(B181="","","QL-"&amp;TEXT(ROW()-4,"0000"))</f>
        <v>0</v>
      </c>
      <c r="J181" s="21">
        <f>IF(C181="","",IFERROR(INDEX(Services!$P$5:$P$64,MATCH(C181,Services!$B$5:$B$64,0)),"0"))</f>
        <v>0</v>
      </c>
      <c r="K181" s="23">
        <f>IF(C181="","",IFERROR(INDEX(Services!$E$5:$E$64,MATCH(C181,Services!$B$5:$B$64,0)),""))</f>
        <v>0</v>
      </c>
      <c r="L181" s="21">
        <f>IF(B181="","",IF(F181&lt;&gt;"",F181,IFERROR(J181*1,0)))</f>
        <v>0</v>
      </c>
      <c r="M181" s="51">
        <f>IF(B181="","",IF(D181&lt;&gt;"",D181,IFERROR(INDEX(Services!$O$5:$O$64,MATCH(C181,Services!$B$5:$B$64,0)),"")))</f>
        <v>0</v>
      </c>
      <c r="N181" s="34">
        <f>IF(B181="","",IFERROR(INDEX(Services!$G$5:$G$64,MATCH(C181,Services!$B$5:$B$64,0)),0)*IF(E181="",1,IF(IFERROR(INDEX(Services!$D$5:$D$64,MATCH(C181,Services!$B$5:$B$64,0)),"")="Per hour",1,E181)))</f>
        <v>0</v>
      </c>
      <c r="O181" s="21">
        <f>IF(B181="","",ROUND(IF(E181="",1,E181)*L181,2))</f>
        <v>0</v>
      </c>
      <c r="P181" s="21">
        <f>IF(B181="","",ROUND(O181*(1-IF(G181="",0,G181)),2))</f>
        <v>0</v>
      </c>
      <c r="Q181" s="21">
        <f>IF(B181="","",ROUND(N181*CostPerHour+IF(E181="",1,E181)*IFERROR(INDEX(Services!$R$5:$R$64,MATCH(C181,Services!$B$5:$B$64,0)),0),2))</f>
        <v>0</v>
      </c>
      <c r="R181" s="38">
        <f>IF(OR(B181="",P181=0),"",(P181-Q181)/P181)</f>
        <v>0</v>
      </c>
      <c r="S181" s="31">
        <f>IF(OR(B181="",C181=""),"",COUNTIFS($B$5:B181,B181))</f>
        <v>0</v>
      </c>
      <c r="T181" s="23">
        <f>IF(S181="","",B181&amp;"|"&amp;S181)</f>
        <v>0</v>
      </c>
      <c r="U181" s="39">
        <f>IF(B181="","",IF(C181="","Add - pick a service",IF(E181="","Add - how many?",IF(L181=0,"Add - no price",IF(AND(R181&lt;&gt;"",R181&lt;MarginFloor),"Below - thin margin","OK")))))</f>
        <v>0</v>
      </c>
    </row>
    <row r="182" spans="1:21">
      <c r="A182" s="43">
        <f>IF(B182="","","QL-"&amp;TEXT(ROW()-4,"0000"))</f>
        <v>0</v>
      </c>
      <c r="J182" s="21">
        <f>IF(C182="","",IFERROR(INDEX(Services!$P$5:$P$64,MATCH(C182,Services!$B$5:$B$64,0)),"0"))</f>
        <v>0</v>
      </c>
      <c r="K182" s="23">
        <f>IF(C182="","",IFERROR(INDEX(Services!$E$5:$E$64,MATCH(C182,Services!$B$5:$B$64,0)),""))</f>
        <v>0</v>
      </c>
      <c r="L182" s="21">
        <f>IF(B182="","",IF(F182&lt;&gt;"",F182,IFERROR(J182*1,0)))</f>
        <v>0</v>
      </c>
      <c r="M182" s="51">
        <f>IF(B182="","",IF(D182&lt;&gt;"",D182,IFERROR(INDEX(Services!$O$5:$O$64,MATCH(C182,Services!$B$5:$B$64,0)),"")))</f>
        <v>0</v>
      </c>
      <c r="N182" s="34">
        <f>IF(B182="","",IFERROR(INDEX(Services!$G$5:$G$64,MATCH(C182,Services!$B$5:$B$64,0)),0)*IF(E182="",1,IF(IFERROR(INDEX(Services!$D$5:$D$64,MATCH(C182,Services!$B$5:$B$64,0)),"")="Per hour",1,E182)))</f>
        <v>0</v>
      </c>
      <c r="O182" s="21">
        <f>IF(B182="","",ROUND(IF(E182="",1,E182)*L182,2))</f>
        <v>0</v>
      </c>
      <c r="P182" s="21">
        <f>IF(B182="","",ROUND(O182*(1-IF(G182="",0,G182)),2))</f>
        <v>0</v>
      </c>
      <c r="Q182" s="21">
        <f>IF(B182="","",ROUND(N182*CostPerHour+IF(E182="",1,E182)*IFERROR(INDEX(Services!$R$5:$R$64,MATCH(C182,Services!$B$5:$B$64,0)),0),2))</f>
        <v>0</v>
      </c>
      <c r="R182" s="38">
        <f>IF(OR(B182="",P182=0),"",(P182-Q182)/P182)</f>
        <v>0</v>
      </c>
      <c r="S182" s="31">
        <f>IF(OR(B182="",C182=""),"",COUNTIFS($B$5:B182,B182))</f>
        <v>0</v>
      </c>
      <c r="T182" s="23">
        <f>IF(S182="","",B182&amp;"|"&amp;S182)</f>
        <v>0</v>
      </c>
      <c r="U182" s="39">
        <f>IF(B182="","",IF(C182="","Add - pick a service",IF(E182="","Add - how many?",IF(L182=0,"Add - no price",IF(AND(R182&lt;&gt;"",R182&lt;MarginFloor),"Below - thin margin","OK")))))</f>
        <v>0</v>
      </c>
    </row>
    <row r="183" spans="1:21">
      <c r="A183" s="43">
        <f>IF(B183="","","QL-"&amp;TEXT(ROW()-4,"0000"))</f>
        <v>0</v>
      </c>
      <c r="J183" s="21">
        <f>IF(C183="","",IFERROR(INDEX(Services!$P$5:$P$64,MATCH(C183,Services!$B$5:$B$64,0)),"0"))</f>
        <v>0</v>
      </c>
      <c r="K183" s="23">
        <f>IF(C183="","",IFERROR(INDEX(Services!$E$5:$E$64,MATCH(C183,Services!$B$5:$B$64,0)),""))</f>
        <v>0</v>
      </c>
      <c r="L183" s="21">
        <f>IF(B183="","",IF(F183&lt;&gt;"",F183,IFERROR(J183*1,0)))</f>
        <v>0</v>
      </c>
      <c r="M183" s="51">
        <f>IF(B183="","",IF(D183&lt;&gt;"",D183,IFERROR(INDEX(Services!$O$5:$O$64,MATCH(C183,Services!$B$5:$B$64,0)),"")))</f>
        <v>0</v>
      </c>
      <c r="N183" s="34">
        <f>IF(B183="","",IFERROR(INDEX(Services!$G$5:$G$64,MATCH(C183,Services!$B$5:$B$64,0)),0)*IF(E183="",1,IF(IFERROR(INDEX(Services!$D$5:$D$64,MATCH(C183,Services!$B$5:$B$64,0)),"")="Per hour",1,E183)))</f>
        <v>0</v>
      </c>
      <c r="O183" s="21">
        <f>IF(B183="","",ROUND(IF(E183="",1,E183)*L183,2))</f>
        <v>0</v>
      </c>
      <c r="P183" s="21">
        <f>IF(B183="","",ROUND(O183*(1-IF(G183="",0,G183)),2))</f>
        <v>0</v>
      </c>
      <c r="Q183" s="21">
        <f>IF(B183="","",ROUND(N183*CostPerHour+IF(E183="",1,E183)*IFERROR(INDEX(Services!$R$5:$R$64,MATCH(C183,Services!$B$5:$B$64,0)),0),2))</f>
        <v>0</v>
      </c>
      <c r="R183" s="38">
        <f>IF(OR(B183="",P183=0),"",(P183-Q183)/P183)</f>
        <v>0</v>
      </c>
      <c r="S183" s="31">
        <f>IF(OR(B183="",C183=""),"",COUNTIFS($B$5:B183,B183))</f>
        <v>0</v>
      </c>
      <c r="T183" s="23">
        <f>IF(S183="","",B183&amp;"|"&amp;S183)</f>
        <v>0</v>
      </c>
      <c r="U183" s="39">
        <f>IF(B183="","",IF(C183="","Add - pick a service",IF(E183="","Add - how many?",IF(L183=0,"Add - no price",IF(AND(R183&lt;&gt;"",R183&lt;MarginFloor),"Below - thin margin","OK")))))</f>
        <v>0</v>
      </c>
    </row>
    <row r="184" spans="1:21">
      <c r="A184" s="43">
        <f>IF(B184="","","QL-"&amp;TEXT(ROW()-4,"0000"))</f>
        <v>0</v>
      </c>
      <c r="J184" s="21">
        <f>IF(C184="","",IFERROR(INDEX(Services!$P$5:$P$64,MATCH(C184,Services!$B$5:$B$64,0)),"0"))</f>
        <v>0</v>
      </c>
      <c r="K184" s="23">
        <f>IF(C184="","",IFERROR(INDEX(Services!$E$5:$E$64,MATCH(C184,Services!$B$5:$B$64,0)),""))</f>
        <v>0</v>
      </c>
      <c r="L184" s="21">
        <f>IF(B184="","",IF(F184&lt;&gt;"",F184,IFERROR(J184*1,0)))</f>
        <v>0</v>
      </c>
      <c r="M184" s="51">
        <f>IF(B184="","",IF(D184&lt;&gt;"",D184,IFERROR(INDEX(Services!$O$5:$O$64,MATCH(C184,Services!$B$5:$B$64,0)),"")))</f>
        <v>0</v>
      </c>
      <c r="N184" s="34">
        <f>IF(B184="","",IFERROR(INDEX(Services!$G$5:$G$64,MATCH(C184,Services!$B$5:$B$64,0)),0)*IF(E184="",1,IF(IFERROR(INDEX(Services!$D$5:$D$64,MATCH(C184,Services!$B$5:$B$64,0)),"")="Per hour",1,E184)))</f>
        <v>0</v>
      </c>
      <c r="O184" s="21">
        <f>IF(B184="","",ROUND(IF(E184="",1,E184)*L184,2))</f>
        <v>0</v>
      </c>
      <c r="P184" s="21">
        <f>IF(B184="","",ROUND(O184*(1-IF(G184="",0,G184)),2))</f>
        <v>0</v>
      </c>
      <c r="Q184" s="21">
        <f>IF(B184="","",ROUND(N184*CostPerHour+IF(E184="",1,E184)*IFERROR(INDEX(Services!$R$5:$R$64,MATCH(C184,Services!$B$5:$B$64,0)),0),2))</f>
        <v>0</v>
      </c>
      <c r="R184" s="38">
        <f>IF(OR(B184="",P184=0),"",(P184-Q184)/P184)</f>
        <v>0</v>
      </c>
      <c r="S184" s="31">
        <f>IF(OR(B184="",C184=""),"",COUNTIFS($B$5:B184,B184))</f>
        <v>0</v>
      </c>
      <c r="T184" s="23">
        <f>IF(S184="","",B184&amp;"|"&amp;S184)</f>
        <v>0</v>
      </c>
      <c r="U184" s="39">
        <f>IF(B184="","",IF(C184="","Add - pick a service",IF(E184="","Add - how many?",IF(L184=0,"Add - no price",IF(AND(R184&lt;&gt;"",R184&lt;MarginFloor),"Below - thin margin","OK")))))</f>
        <v>0</v>
      </c>
    </row>
    <row r="185" spans="1:21">
      <c r="A185" s="43">
        <f>IF(B185="","","QL-"&amp;TEXT(ROW()-4,"0000"))</f>
        <v>0</v>
      </c>
      <c r="J185" s="21">
        <f>IF(C185="","",IFERROR(INDEX(Services!$P$5:$P$64,MATCH(C185,Services!$B$5:$B$64,0)),"0"))</f>
        <v>0</v>
      </c>
      <c r="K185" s="23">
        <f>IF(C185="","",IFERROR(INDEX(Services!$E$5:$E$64,MATCH(C185,Services!$B$5:$B$64,0)),""))</f>
        <v>0</v>
      </c>
      <c r="L185" s="21">
        <f>IF(B185="","",IF(F185&lt;&gt;"",F185,IFERROR(J185*1,0)))</f>
        <v>0</v>
      </c>
      <c r="M185" s="51">
        <f>IF(B185="","",IF(D185&lt;&gt;"",D185,IFERROR(INDEX(Services!$O$5:$O$64,MATCH(C185,Services!$B$5:$B$64,0)),"")))</f>
        <v>0</v>
      </c>
      <c r="N185" s="34">
        <f>IF(B185="","",IFERROR(INDEX(Services!$G$5:$G$64,MATCH(C185,Services!$B$5:$B$64,0)),0)*IF(E185="",1,IF(IFERROR(INDEX(Services!$D$5:$D$64,MATCH(C185,Services!$B$5:$B$64,0)),"")="Per hour",1,E185)))</f>
        <v>0</v>
      </c>
      <c r="O185" s="21">
        <f>IF(B185="","",ROUND(IF(E185="",1,E185)*L185,2))</f>
        <v>0</v>
      </c>
      <c r="P185" s="21">
        <f>IF(B185="","",ROUND(O185*(1-IF(G185="",0,G185)),2))</f>
        <v>0</v>
      </c>
      <c r="Q185" s="21">
        <f>IF(B185="","",ROUND(N185*CostPerHour+IF(E185="",1,E185)*IFERROR(INDEX(Services!$R$5:$R$64,MATCH(C185,Services!$B$5:$B$64,0)),0),2))</f>
        <v>0</v>
      </c>
      <c r="R185" s="38">
        <f>IF(OR(B185="",P185=0),"",(P185-Q185)/P185)</f>
        <v>0</v>
      </c>
      <c r="S185" s="31">
        <f>IF(OR(B185="",C185=""),"",COUNTIFS($B$5:B185,B185))</f>
        <v>0</v>
      </c>
      <c r="T185" s="23">
        <f>IF(S185="","",B185&amp;"|"&amp;S185)</f>
        <v>0</v>
      </c>
      <c r="U185" s="39">
        <f>IF(B185="","",IF(C185="","Add - pick a service",IF(E185="","Add - how many?",IF(L185=0,"Add - no price",IF(AND(R185&lt;&gt;"",R185&lt;MarginFloor),"Below - thin margin","OK")))))</f>
        <v>0</v>
      </c>
    </row>
    <row r="186" spans="1:21">
      <c r="A186" s="43">
        <f>IF(B186="","","QL-"&amp;TEXT(ROW()-4,"0000"))</f>
        <v>0</v>
      </c>
      <c r="J186" s="21">
        <f>IF(C186="","",IFERROR(INDEX(Services!$P$5:$P$64,MATCH(C186,Services!$B$5:$B$64,0)),"0"))</f>
        <v>0</v>
      </c>
      <c r="K186" s="23">
        <f>IF(C186="","",IFERROR(INDEX(Services!$E$5:$E$64,MATCH(C186,Services!$B$5:$B$64,0)),""))</f>
        <v>0</v>
      </c>
      <c r="L186" s="21">
        <f>IF(B186="","",IF(F186&lt;&gt;"",F186,IFERROR(J186*1,0)))</f>
        <v>0</v>
      </c>
      <c r="M186" s="51">
        <f>IF(B186="","",IF(D186&lt;&gt;"",D186,IFERROR(INDEX(Services!$O$5:$O$64,MATCH(C186,Services!$B$5:$B$64,0)),"")))</f>
        <v>0</v>
      </c>
      <c r="N186" s="34">
        <f>IF(B186="","",IFERROR(INDEX(Services!$G$5:$G$64,MATCH(C186,Services!$B$5:$B$64,0)),0)*IF(E186="",1,IF(IFERROR(INDEX(Services!$D$5:$D$64,MATCH(C186,Services!$B$5:$B$64,0)),"")="Per hour",1,E186)))</f>
        <v>0</v>
      </c>
      <c r="O186" s="21">
        <f>IF(B186="","",ROUND(IF(E186="",1,E186)*L186,2))</f>
        <v>0</v>
      </c>
      <c r="P186" s="21">
        <f>IF(B186="","",ROUND(O186*(1-IF(G186="",0,G186)),2))</f>
        <v>0</v>
      </c>
      <c r="Q186" s="21">
        <f>IF(B186="","",ROUND(N186*CostPerHour+IF(E186="",1,E186)*IFERROR(INDEX(Services!$R$5:$R$64,MATCH(C186,Services!$B$5:$B$64,0)),0),2))</f>
        <v>0</v>
      </c>
      <c r="R186" s="38">
        <f>IF(OR(B186="",P186=0),"",(P186-Q186)/P186)</f>
        <v>0</v>
      </c>
      <c r="S186" s="31">
        <f>IF(OR(B186="",C186=""),"",COUNTIFS($B$5:B186,B186))</f>
        <v>0</v>
      </c>
      <c r="T186" s="23">
        <f>IF(S186="","",B186&amp;"|"&amp;S186)</f>
        <v>0</v>
      </c>
      <c r="U186" s="39">
        <f>IF(B186="","",IF(C186="","Add - pick a service",IF(E186="","Add - how many?",IF(L186=0,"Add - no price",IF(AND(R186&lt;&gt;"",R186&lt;MarginFloor),"Below - thin margin","OK")))))</f>
        <v>0</v>
      </c>
    </row>
    <row r="187" spans="1:21">
      <c r="A187" s="43">
        <f>IF(B187="","","QL-"&amp;TEXT(ROW()-4,"0000"))</f>
        <v>0</v>
      </c>
      <c r="J187" s="21">
        <f>IF(C187="","",IFERROR(INDEX(Services!$P$5:$P$64,MATCH(C187,Services!$B$5:$B$64,0)),"0"))</f>
        <v>0</v>
      </c>
      <c r="K187" s="23">
        <f>IF(C187="","",IFERROR(INDEX(Services!$E$5:$E$64,MATCH(C187,Services!$B$5:$B$64,0)),""))</f>
        <v>0</v>
      </c>
      <c r="L187" s="21">
        <f>IF(B187="","",IF(F187&lt;&gt;"",F187,IFERROR(J187*1,0)))</f>
        <v>0</v>
      </c>
      <c r="M187" s="51">
        <f>IF(B187="","",IF(D187&lt;&gt;"",D187,IFERROR(INDEX(Services!$O$5:$O$64,MATCH(C187,Services!$B$5:$B$64,0)),"")))</f>
        <v>0</v>
      </c>
      <c r="N187" s="34">
        <f>IF(B187="","",IFERROR(INDEX(Services!$G$5:$G$64,MATCH(C187,Services!$B$5:$B$64,0)),0)*IF(E187="",1,IF(IFERROR(INDEX(Services!$D$5:$D$64,MATCH(C187,Services!$B$5:$B$64,0)),"")="Per hour",1,E187)))</f>
        <v>0</v>
      </c>
      <c r="O187" s="21">
        <f>IF(B187="","",ROUND(IF(E187="",1,E187)*L187,2))</f>
        <v>0</v>
      </c>
      <c r="P187" s="21">
        <f>IF(B187="","",ROUND(O187*(1-IF(G187="",0,G187)),2))</f>
        <v>0</v>
      </c>
      <c r="Q187" s="21">
        <f>IF(B187="","",ROUND(N187*CostPerHour+IF(E187="",1,E187)*IFERROR(INDEX(Services!$R$5:$R$64,MATCH(C187,Services!$B$5:$B$64,0)),0),2))</f>
        <v>0</v>
      </c>
      <c r="R187" s="38">
        <f>IF(OR(B187="",P187=0),"",(P187-Q187)/P187)</f>
        <v>0</v>
      </c>
      <c r="S187" s="31">
        <f>IF(OR(B187="",C187=""),"",COUNTIFS($B$5:B187,B187))</f>
        <v>0</v>
      </c>
      <c r="T187" s="23">
        <f>IF(S187="","",B187&amp;"|"&amp;S187)</f>
        <v>0</v>
      </c>
      <c r="U187" s="39">
        <f>IF(B187="","",IF(C187="","Add - pick a service",IF(E187="","Add - how many?",IF(L187=0,"Add - no price",IF(AND(R187&lt;&gt;"",R187&lt;MarginFloor),"Below - thin margin","OK")))))</f>
        <v>0</v>
      </c>
    </row>
    <row r="188" spans="1:21">
      <c r="A188" s="43">
        <f>IF(B188="","","QL-"&amp;TEXT(ROW()-4,"0000"))</f>
        <v>0</v>
      </c>
      <c r="J188" s="21">
        <f>IF(C188="","",IFERROR(INDEX(Services!$P$5:$P$64,MATCH(C188,Services!$B$5:$B$64,0)),"0"))</f>
        <v>0</v>
      </c>
      <c r="K188" s="23">
        <f>IF(C188="","",IFERROR(INDEX(Services!$E$5:$E$64,MATCH(C188,Services!$B$5:$B$64,0)),""))</f>
        <v>0</v>
      </c>
      <c r="L188" s="21">
        <f>IF(B188="","",IF(F188&lt;&gt;"",F188,IFERROR(J188*1,0)))</f>
        <v>0</v>
      </c>
      <c r="M188" s="51">
        <f>IF(B188="","",IF(D188&lt;&gt;"",D188,IFERROR(INDEX(Services!$O$5:$O$64,MATCH(C188,Services!$B$5:$B$64,0)),"")))</f>
        <v>0</v>
      </c>
      <c r="N188" s="34">
        <f>IF(B188="","",IFERROR(INDEX(Services!$G$5:$G$64,MATCH(C188,Services!$B$5:$B$64,0)),0)*IF(E188="",1,IF(IFERROR(INDEX(Services!$D$5:$D$64,MATCH(C188,Services!$B$5:$B$64,0)),"")="Per hour",1,E188)))</f>
        <v>0</v>
      </c>
      <c r="O188" s="21">
        <f>IF(B188="","",ROUND(IF(E188="",1,E188)*L188,2))</f>
        <v>0</v>
      </c>
      <c r="P188" s="21">
        <f>IF(B188="","",ROUND(O188*(1-IF(G188="",0,G188)),2))</f>
        <v>0</v>
      </c>
      <c r="Q188" s="21">
        <f>IF(B188="","",ROUND(N188*CostPerHour+IF(E188="",1,E188)*IFERROR(INDEX(Services!$R$5:$R$64,MATCH(C188,Services!$B$5:$B$64,0)),0),2))</f>
        <v>0</v>
      </c>
      <c r="R188" s="38">
        <f>IF(OR(B188="",P188=0),"",(P188-Q188)/P188)</f>
        <v>0</v>
      </c>
      <c r="S188" s="31">
        <f>IF(OR(B188="",C188=""),"",COUNTIFS($B$5:B188,B188))</f>
        <v>0</v>
      </c>
      <c r="T188" s="23">
        <f>IF(S188="","",B188&amp;"|"&amp;S188)</f>
        <v>0</v>
      </c>
      <c r="U188" s="39">
        <f>IF(B188="","",IF(C188="","Add - pick a service",IF(E188="","Add - how many?",IF(L188=0,"Add - no price",IF(AND(R188&lt;&gt;"",R188&lt;MarginFloor),"Below - thin margin","OK")))))</f>
        <v>0</v>
      </c>
    </row>
    <row r="189" spans="1:21">
      <c r="A189" s="43">
        <f>IF(B189="","","QL-"&amp;TEXT(ROW()-4,"0000"))</f>
        <v>0</v>
      </c>
      <c r="J189" s="21">
        <f>IF(C189="","",IFERROR(INDEX(Services!$P$5:$P$64,MATCH(C189,Services!$B$5:$B$64,0)),"0"))</f>
        <v>0</v>
      </c>
      <c r="K189" s="23">
        <f>IF(C189="","",IFERROR(INDEX(Services!$E$5:$E$64,MATCH(C189,Services!$B$5:$B$64,0)),""))</f>
        <v>0</v>
      </c>
      <c r="L189" s="21">
        <f>IF(B189="","",IF(F189&lt;&gt;"",F189,IFERROR(J189*1,0)))</f>
        <v>0</v>
      </c>
      <c r="M189" s="51">
        <f>IF(B189="","",IF(D189&lt;&gt;"",D189,IFERROR(INDEX(Services!$O$5:$O$64,MATCH(C189,Services!$B$5:$B$64,0)),"")))</f>
        <v>0</v>
      </c>
      <c r="N189" s="34">
        <f>IF(B189="","",IFERROR(INDEX(Services!$G$5:$G$64,MATCH(C189,Services!$B$5:$B$64,0)),0)*IF(E189="",1,IF(IFERROR(INDEX(Services!$D$5:$D$64,MATCH(C189,Services!$B$5:$B$64,0)),"")="Per hour",1,E189)))</f>
        <v>0</v>
      </c>
      <c r="O189" s="21">
        <f>IF(B189="","",ROUND(IF(E189="",1,E189)*L189,2))</f>
        <v>0</v>
      </c>
      <c r="P189" s="21">
        <f>IF(B189="","",ROUND(O189*(1-IF(G189="",0,G189)),2))</f>
        <v>0</v>
      </c>
      <c r="Q189" s="21">
        <f>IF(B189="","",ROUND(N189*CostPerHour+IF(E189="",1,E189)*IFERROR(INDEX(Services!$R$5:$R$64,MATCH(C189,Services!$B$5:$B$64,0)),0),2))</f>
        <v>0</v>
      </c>
      <c r="R189" s="38">
        <f>IF(OR(B189="",P189=0),"",(P189-Q189)/P189)</f>
        <v>0</v>
      </c>
      <c r="S189" s="31">
        <f>IF(OR(B189="",C189=""),"",COUNTIFS($B$5:B189,B189))</f>
        <v>0</v>
      </c>
      <c r="T189" s="23">
        <f>IF(S189="","",B189&amp;"|"&amp;S189)</f>
        <v>0</v>
      </c>
      <c r="U189" s="39">
        <f>IF(B189="","",IF(C189="","Add - pick a service",IF(E189="","Add - how many?",IF(L189=0,"Add - no price",IF(AND(R189&lt;&gt;"",R189&lt;MarginFloor),"Below - thin margin","OK")))))</f>
        <v>0</v>
      </c>
    </row>
    <row r="190" spans="1:21">
      <c r="A190" s="43">
        <f>IF(B190="","","QL-"&amp;TEXT(ROW()-4,"0000"))</f>
        <v>0</v>
      </c>
      <c r="J190" s="21">
        <f>IF(C190="","",IFERROR(INDEX(Services!$P$5:$P$64,MATCH(C190,Services!$B$5:$B$64,0)),"0"))</f>
        <v>0</v>
      </c>
      <c r="K190" s="23">
        <f>IF(C190="","",IFERROR(INDEX(Services!$E$5:$E$64,MATCH(C190,Services!$B$5:$B$64,0)),""))</f>
        <v>0</v>
      </c>
      <c r="L190" s="21">
        <f>IF(B190="","",IF(F190&lt;&gt;"",F190,IFERROR(J190*1,0)))</f>
        <v>0</v>
      </c>
      <c r="M190" s="51">
        <f>IF(B190="","",IF(D190&lt;&gt;"",D190,IFERROR(INDEX(Services!$O$5:$O$64,MATCH(C190,Services!$B$5:$B$64,0)),"")))</f>
        <v>0</v>
      </c>
      <c r="N190" s="34">
        <f>IF(B190="","",IFERROR(INDEX(Services!$G$5:$G$64,MATCH(C190,Services!$B$5:$B$64,0)),0)*IF(E190="",1,IF(IFERROR(INDEX(Services!$D$5:$D$64,MATCH(C190,Services!$B$5:$B$64,0)),"")="Per hour",1,E190)))</f>
        <v>0</v>
      </c>
      <c r="O190" s="21">
        <f>IF(B190="","",ROUND(IF(E190="",1,E190)*L190,2))</f>
        <v>0</v>
      </c>
      <c r="P190" s="21">
        <f>IF(B190="","",ROUND(O190*(1-IF(G190="",0,G190)),2))</f>
        <v>0</v>
      </c>
      <c r="Q190" s="21">
        <f>IF(B190="","",ROUND(N190*CostPerHour+IF(E190="",1,E190)*IFERROR(INDEX(Services!$R$5:$R$64,MATCH(C190,Services!$B$5:$B$64,0)),0),2))</f>
        <v>0</v>
      </c>
      <c r="R190" s="38">
        <f>IF(OR(B190="",P190=0),"",(P190-Q190)/P190)</f>
        <v>0</v>
      </c>
      <c r="S190" s="31">
        <f>IF(OR(B190="",C190=""),"",COUNTIFS($B$5:B190,B190))</f>
        <v>0</v>
      </c>
      <c r="T190" s="23">
        <f>IF(S190="","",B190&amp;"|"&amp;S190)</f>
        <v>0</v>
      </c>
      <c r="U190" s="39">
        <f>IF(B190="","",IF(C190="","Add - pick a service",IF(E190="","Add - how many?",IF(L190=0,"Add - no price",IF(AND(R190&lt;&gt;"",R190&lt;MarginFloor),"Below - thin margin","OK")))))</f>
        <v>0</v>
      </c>
    </row>
    <row r="191" spans="1:21">
      <c r="A191" s="43">
        <f>IF(B191="","","QL-"&amp;TEXT(ROW()-4,"0000"))</f>
        <v>0</v>
      </c>
      <c r="J191" s="21">
        <f>IF(C191="","",IFERROR(INDEX(Services!$P$5:$P$64,MATCH(C191,Services!$B$5:$B$64,0)),"0"))</f>
        <v>0</v>
      </c>
      <c r="K191" s="23">
        <f>IF(C191="","",IFERROR(INDEX(Services!$E$5:$E$64,MATCH(C191,Services!$B$5:$B$64,0)),""))</f>
        <v>0</v>
      </c>
      <c r="L191" s="21">
        <f>IF(B191="","",IF(F191&lt;&gt;"",F191,IFERROR(J191*1,0)))</f>
        <v>0</v>
      </c>
      <c r="M191" s="51">
        <f>IF(B191="","",IF(D191&lt;&gt;"",D191,IFERROR(INDEX(Services!$O$5:$O$64,MATCH(C191,Services!$B$5:$B$64,0)),"")))</f>
        <v>0</v>
      </c>
      <c r="N191" s="34">
        <f>IF(B191="","",IFERROR(INDEX(Services!$G$5:$G$64,MATCH(C191,Services!$B$5:$B$64,0)),0)*IF(E191="",1,IF(IFERROR(INDEX(Services!$D$5:$D$64,MATCH(C191,Services!$B$5:$B$64,0)),"")="Per hour",1,E191)))</f>
        <v>0</v>
      </c>
      <c r="O191" s="21">
        <f>IF(B191="","",ROUND(IF(E191="",1,E191)*L191,2))</f>
        <v>0</v>
      </c>
      <c r="P191" s="21">
        <f>IF(B191="","",ROUND(O191*(1-IF(G191="",0,G191)),2))</f>
        <v>0</v>
      </c>
      <c r="Q191" s="21">
        <f>IF(B191="","",ROUND(N191*CostPerHour+IF(E191="",1,E191)*IFERROR(INDEX(Services!$R$5:$R$64,MATCH(C191,Services!$B$5:$B$64,0)),0),2))</f>
        <v>0</v>
      </c>
      <c r="R191" s="38">
        <f>IF(OR(B191="",P191=0),"",(P191-Q191)/P191)</f>
        <v>0</v>
      </c>
      <c r="S191" s="31">
        <f>IF(OR(B191="",C191=""),"",COUNTIFS($B$5:B191,B191))</f>
        <v>0</v>
      </c>
      <c r="T191" s="23">
        <f>IF(S191="","",B191&amp;"|"&amp;S191)</f>
        <v>0</v>
      </c>
      <c r="U191" s="39">
        <f>IF(B191="","",IF(C191="","Add - pick a service",IF(E191="","Add - how many?",IF(L191=0,"Add - no price",IF(AND(R191&lt;&gt;"",R191&lt;MarginFloor),"Below - thin margin","OK")))))</f>
        <v>0</v>
      </c>
    </row>
    <row r="192" spans="1:21">
      <c r="A192" s="43">
        <f>IF(B192="","","QL-"&amp;TEXT(ROW()-4,"0000"))</f>
        <v>0</v>
      </c>
      <c r="J192" s="21">
        <f>IF(C192="","",IFERROR(INDEX(Services!$P$5:$P$64,MATCH(C192,Services!$B$5:$B$64,0)),"0"))</f>
        <v>0</v>
      </c>
      <c r="K192" s="23">
        <f>IF(C192="","",IFERROR(INDEX(Services!$E$5:$E$64,MATCH(C192,Services!$B$5:$B$64,0)),""))</f>
        <v>0</v>
      </c>
      <c r="L192" s="21">
        <f>IF(B192="","",IF(F192&lt;&gt;"",F192,IFERROR(J192*1,0)))</f>
        <v>0</v>
      </c>
      <c r="M192" s="51">
        <f>IF(B192="","",IF(D192&lt;&gt;"",D192,IFERROR(INDEX(Services!$O$5:$O$64,MATCH(C192,Services!$B$5:$B$64,0)),"")))</f>
        <v>0</v>
      </c>
      <c r="N192" s="34">
        <f>IF(B192="","",IFERROR(INDEX(Services!$G$5:$G$64,MATCH(C192,Services!$B$5:$B$64,0)),0)*IF(E192="",1,IF(IFERROR(INDEX(Services!$D$5:$D$64,MATCH(C192,Services!$B$5:$B$64,0)),"")="Per hour",1,E192)))</f>
        <v>0</v>
      </c>
      <c r="O192" s="21">
        <f>IF(B192="","",ROUND(IF(E192="",1,E192)*L192,2))</f>
        <v>0</v>
      </c>
      <c r="P192" s="21">
        <f>IF(B192="","",ROUND(O192*(1-IF(G192="",0,G192)),2))</f>
        <v>0</v>
      </c>
      <c r="Q192" s="21">
        <f>IF(B192="","",ROUND(N192*CostPerHour+IF(E192="",1,E192)*IFERROR(INDEX(Services!$R$5:$R$64,MATCH(C192,Services!$B$5:$B$64,0)),0),2))</f>
        <v>0</v>
      </c>
      <c r="R192" s="38">
        <f>IF(OR(B192="",P192=0),"",(P192-Q192)/P192)</f>
        <v>0</v>
      </c>
      <c r="S192" s="31">
        <f>IF(OR(B192="",C192=""),"",COUNTIFS($B$5:B192,B192))</f>
        <v>0</v>
      </c>
      <c r="T192" s="23">
        <f>IF(S192="","",B192&amp;"|"&amp;S192)</f>
        <v>0</v>
      </c>
      <c r="U192" s="39">
        <f>IF(B192="","",IF(C192="","Add - pick a service",IF(E192="","Add - how many?",IF(L192=0,"Add - no price",IF(AND(R192&lt;&gt;"",R192&lt;MarginFloor),"Below - thin margin","OK")))))</f>
        <v>0</v>
      </c>
    </row>
    <row r="193" spans="1:21">
      <c r="A193" s="43">
        <f>IF(B193="","","QL-"&amp;TEXT(ROW()-4,"0000"))</f>
        <v>0</v>
      </c>
      <c r="J193" s="21">
        <f>IF(C193="","",IFERROR(INDEX(Services!$P$5:$P$64,MATCH(C193,Services!$B$5:$B$64,0)),"0"))</f>
        <v>0</v>
      </c>
      <c r="K193" s="23">
        <f>IF(C193="","",IFERROR(INDEX(Services!$E$5:$E$64,MATCH(C193,Services!$B$5:$B$64,0)),""))</f>
        <v>0</v>
      </c>
      <c r="L193" s="21">
        <f>IF(B193="","",IF(F193&lt;&gt;"",F193,IFERROR(J193*1,0)))</f>
        <v>0</v>
      </c>
      <c r="M193" s="51">
        <f>IF(B193="","",IF(D193&lt;&gt;"",D193,IFERROR(INDEX(Services!$O$5:$O$64,MATCH(C193,Services!$B$5:$B$64,0)),"")))</f>
        <v>0</v>
      </c>
      <c r="N193" s="34">
        <f>IF(B193="","",IFERROR(INDEX(Services!$G$5:$G$64,MATCH(C193,Services!$B$5:$B$64,0)),0)*IF(E193="",1,IF(IFERROR(INDEX(Services!$D$5:$D$64,MATCH(C193,Services!$B$5:$B$64,0)),"")="Per hour",1,E193)))</f>
        <v>0</v>
      </c>
      <c r="O193" s="21">
        <f>IF(B193="","",ROUND(IF(E193="",1,E193)*L193,2))</f>
        <v>0</v>
      </c>
      <c r="P193" s="21">
        <f>IF(B193="","",ROUND(O193*(1-IF(G193="",0,G193)),2))</f>
        <v>0</v>
      </c>
      <c r="Q193" s="21">
        <f>IF(B193="","",ROUND(N193*CostPerHour+IF(E193="",1,E193)*IFERROR(INDEX(Services!$R$5:$R$64,MATCH(C193,Services!$B$5:$B$64,0)),0),2))</f>
        <v>0</v>
      </c>
      <c r="R193" s="38">
        <f>IF(OR(B193="",P193=0),"",(P193-Q193)/P193)</f>
        <v>0</v>
      </c>
      <c r="S193" s="31">
        <f>IF(OR(B193="",C193=""),"",COUNTIFS($B$5:B193,B193))</f>
        <v>0</v>
      </c>
      <c r="T193" s="23">
        <f>IF(S193="","",B193&amp;"|"&amp;S193)</f>
        <v>0</v>
      </c>
      <c r="U193" s="39">
        <f>IF(B193="","",IF(C193="","Add - pick a service",IF(E193="","Add - how many?",IF(L193=0,"Add - no price",IF(AND(R193&lt;&gt;"",R193&lt;MarginFloor),"Below - thin margin","OK")))))</f>
        <v>0</v>
      </c>
    </row>
    <row r="194" spans="1:21">
      <c r="A194" s="43">
        <f>IF(B194="","","QL-"&amp;TEXT(ROW()-4,"0000"))</f>
        <v>0</v>
      </c>
      <c r="J194" s="21">
        <f>IF(C194="","",IFERROR(INDEX(Services!$P$5:$P$64,MATCH(C194,Services!$B$5:$B$64,0)),"0"))</f>
        <v>0</v>
      </c>
      <c r="K194" s="23">
        <f>IF(C194="","",IFERROR(INDEX(Services!$E$5:$E$64,MATCH(C194,Services!$B$5:$B$64,0)),""))</f>
        <v>0</v>
      </c>
      <c r="L194" s="21">
        <f>IF(B194="","",IF(F194&lt;&gt;"",F194,IFERROR(J194*1,0)))</f>
        <v>0</v>
      </c>
      <c r="M194" s="51">
        <f>IF(B194="","",IF(D194&lt;&gt;"",D194,IFERROR(INDEX(Services!$O$5:$O$64,MATCH(C194,Services!$B$5:$B$64,0)),"")))</f>
        <v>0</v>
      </c>
      <c r="N194" s="34">
        <f>IF(B194="","",IFERROR(INDEX(Services!$G$5:$G$64,MATCH(C194,Services!$B$5:$B$64,0)),0)*IF(E194="",1,IF(IFERROR(INDEX(Services!$D$5:$D$64,MATCH(C194,Services!$B$5:$B$64,0)),"")="Per hour",1,E194)))</f>
        <v>0</v>
      </c>
      <c r="O194" s="21">
        <f>IF(B194="","",ROUND(IF(E194="",1,E194)*L194,2))</f>
        <v>0</v>
      </c>
      <c r="P194" s="21">
        <f>IF(B194="","",ROUND(O194*(1-IF(G194="",0,G194)),2))</f>
        <v>0</v>
      </c>
      <c r="Q194" s="21">
        <f>IF(B194="","",ROUND(N194*CostPerHour+IF(E194="",1,E194)*IFERROR(INDEX(Services!$R$5:$R$64,MATCH(C194,Services!$B$5:$B$64,0)),0),2))</f>
        <v>0</v>
      </c>
      <c r="R194" s="38">
        <f>IF(OR(B194="",P194=0),"",(P194-Q194)/P194)</f>
        <v>0</v>
      </c>
      <c r="S194" s="31">
        <f>IF(OR(B194="",C194=""),"",COUNTIFS($B$5:B194,B194))</f>
        <v>0</v>
      </c>
      <c r="T194" s="23">
        <f>IF(S194="","",B194&amp;"|"&amp;S194)</f>
        <v>0</v>
      </c>
      <c r="U194" s="39">
        <f>IF(B194="","",IF(C194="","Add - pick a service",IF(E194="","Add - how many?",IF(L194=0,"Add - no price",IF(AND(R194&lt;&gt;"",R194&lt;MarginFloor),"Below - thin margin","OK")))))</f>
        <v>0</v>
      </c>
    </row>
    <row r="195" spans="1:21">
      <c r="A195" s="43">
        <f>IF(B195="","","QL-"&amp;TEXT(ROW()-4,"0000"))</f>
        <v>0</v>
      </c>
      <c r="J195" s="21">
        <f>IF(C195="","",IFERROR(INDEX(Services!$P$5:$P$64,MATCH(C195,Services!$B$5:$B$64,0)),"0"))</f>
        <v>0</v>
      </c>
      <c r="K195" s="23">
        <f>IF(C195="","",IFERROR(INDEX(Services!$E$5:$E$64,MATCH(C195,Services!$B$5:$B$64,0)),""))</f>
        <v>0</v>
      </c>
      <c r="L195" s="21">
        <f>IF(B195="","",IF(F195&lt;&gt;"",F195,IFERROR(J195*1,0)))</f>
        <v>0</v>
      </c>
      <c r="M195" s="51">
        <f>IF(B195="","",IF(D195&lt;&gt;"",D195,IFERROR(INDEX(Services!$O$5:$O$64,MATCH(C195,Services!$B$5:$B$64,0)),"")))</f>
        <v>0</v>
      </c>
      <c r="N195" s="34">
        <f>IF(B195="","",IFERROR(INDEX(Services!$G$5:$G$64,MATCH(C195,Services!$B$5:$B$64,0)),0)*IF(E195="",1,IF(IFERROR(INDEX(Services!$D$5:$D$64,MATCH(C195,Services!$B$5:$B$64,0)),"")="Per hour",1,E195)))</f>
        <v>0</v>
      </c>
      <c r="O195" s="21">
        <f>IF(B195="","",ROUND(IF(E195="",1,E195)*L195,2))</f>
        <v>0</v>
      </c>
      <c r="P195" s="21">
        <f>IF(B195="","",ROUND(O195*(1-IF(G195="",0,G195)),2))</f>
        <v>0</v>
      </c>
      <c r="Q195" s="21">
        <f>IF(B195="","",ROUND(N195*CostPerHour+IF(E195="",1,E195)*IFERROR(INDEX(Services!$R$5:$R$64,MATCH(C195,Services!$B$5:$B$64,0)),0),2))</f>
        <v>0</v>
      </c>
      <c r="R195" s="38">
        <f>IF(OR(B195="",P195=0),"",(P195-Q195)/P195)</f>
        <v>0</v>
      </c>
      <c r="S195" s="31">
        <f>IF(OR(B195="",C195=""),"",COUNTIFS($B$5:B195,B195))</f>
        <v>0</v>
      </c>
      <c r="T195" s="23">
        <f>IF(S195="","",B195&amp;"|"&amp;S195)</f>
        <v>0</v>
      </c>
      <c r="U195" s="39">
        <f>IF(B195="","",IF(C195="","Add - pick a service",IF(E195="","Add - how many?",IF(L195=0,"Add - no price",IF(AND(R195&lt;&gt;"",R195&lt;MarginFloor),"Below - thin margin","OK")))))</f>
        <v>0</v>
      </c>
    </row>
    <row r="196" spans="1:21">
      <c r="A196" s="43">
        <f>IF(B196="","","QL-"&amp;TEXT(ROW()-4,"0000"))</f>
        <v>0</v>
      </c>
      <c r="J196" s="21">
        <f>IF(C196="","",IFERROR(INDEX(Services!$P$5:$P$64,MATCH(C196,Services!$B$5:$B$64,0)),"0"))</f>
        <v>0</v>
      </c>
      <c r="K196" s="23">
        <f>IF(C196="","",IFERROR(INDEX(Services!$E$5:$E$64,MATCH(C196,Services!$B$5:$B$64,0)),""))</f>
        <v>0</v>
      </c>
      <c r="L196" s="21">
        <f>IF(B196="","",IF(F196&lt;&gt;"",F196,IFERROR(J196*1,0)))</f>
        <v>0</v>
      </c>
      <c r="M196" s="51">
        <f>IF(B196="","",IF(D196&lt;&gt;"",D196,IFERROR(INDEX(Services!$O$5:$O$64,MATCH(C196,Services!$B$5:$B$64,0)),"")))</f>
        <v>0</v>
      </c>
      <c r="N196" s="34">
        <f>IF(B196="","",IFERROR(INDEX(Services!$G$5:$G$64,MATCH(C196,Services!$B$5:$B$64,0)),0)*IF(E196="",1,IF(IFERROR(INDEX(Services!$D$5:$D$64,MATCH(C196,Services!$B$5:$B$64,0)),"")="Per hour",1,E196)))</f>
        <v>0</v>
      </c>
      <c r="O196" s="21">
        <f>IF(B196="","",ROUND(IF(E196="",1,E196)*L196,2))</f>
        <v>0</v>
      </c>
      <c r="P196" s="21">
        <f>IF(B196="","",ROUND(O196*(1-IF(G196="",0,G196)),2))</f>
        <v>0</v>
      </c>
      <c r="Q196" s="21">
        <f>IF(B196="","",ROUND(N196*CostPerHour+IF(E196="",1,E196)*IFERROR(INDEX(Services!$R$5:$R$64,MATCH(C196,Services!$B$5:$B$64,0)),0),2))</f>
        <v>0</v>
      </c>
      <c r="R196" s="38">
        <f>IF(OR(B196="",P196=0),"",(P196-Q196)/P196)</f>
        <v>0</v>
      </c>
      <c r="S196" s="31">
        <f>IF(OR(B196="",C196=""),"",COUNTIFS($B$5:B196,B196))</f>
        <v>0</v>
      </c>
      <c r="T196" s="23">
        <f>IF(S196="","",B196&amp;"|"&amp;S196)</f>
        <v>0</v>
      </c>
      <c r="U196" s="39">
        <f>IF(B196="","",IF(C196="","Add - pick a service",IF(E196="","Add - how many?",IF(L196=0,"Add - no price",IF(AND(R196&lt;&gt;"",R196&lt;MarginFloor),"Below - thin margin","OK")))))</f>
        <v>0</v>
      </c>
    </row>
    <row r="197" spans="1:21">
      <c r="A197" s="43">
        <f>IF(B197="","","QL-"&amp;TEXT(ROW()-4,"0000"))</f>
        <v>0</v>
      </c>
      <c r="J197" s="21">
        <f>IF(C197="","",IFERROR(INDEX(Services!$P$5:$P$64,MATCH(C197,Services!$B$5:$B$64,0)),"0"))</f>
        <v>0</v>
      </c>
      <c r="K197" s="23">
        <f>IF(C197="","",IFERROR(INDEX(Services!$E$5:$E$64,MATCH(C197,Services!$B$5:$B$64,0)),""))</f>
        <v>0</v>
      </c>
      <c r="L197" s="21">
        <f>IF(B197="","",IF(F197&lt;&gt;"",F197,IFERROR(J197*1,0)))</f>
        <v>0</v>
      </c>
      <c r="M197" s="51">
        <f>IF(B197="","",IF(D197&lt;&gt;"",D197,IFERROR(INDEX(Services!$O$5:$O$64,MATCH(C197,Services!$B$5:$B$64,0)),"")))</f>
        <v>0</v>
      </c>
      <c r="N197" s="34">
        <f>IF(B197="","",IFERROR(INDEX(Services!$G$5:$G$64,MATCH(C197,Services!$B$5:$B$64,0)),0)*IF(E197="",1,IF(IFERROR(INDEX(Services!$D$5:$D$64,MATCH(C197,Services!$B$5:$B$64,0)),"")="Per hour",1,E197)))</f>
        <v>0</v>
      </c>
      <c r="O197" s="21">
        <f>IF(B197="","",ROUND(IF(E197="",1,E197)*L197,2))</f>
        <v>0</v>
      </c>
      <c r="P197" s="21">
        <f>IF(B197="","",ROUND(O197*(1-IF(G197="",0,G197)),2))</f>
        <v>0</v>
      </c>
      <c r="Q197" s="21">
        <f>IF(B197="","",ROUND(N197*CostPerHour+IF(E197="",1,E197)*IFERROR(INDEX(Services!$R$5:$R$64,MATCH(C197,Services!$B$5:$B$64,0)),0),2))</f>
        <v>0</v>
      </c>
      <c r="R197" s="38">
        <f>IF(OR(B197="",P197=0),"",(P197-Q197)/P197)</f>
        <v>0</v>
      </c>
      <c r="S197" s="31">
        <f>IF(OR(B197="",C197=""),"",COUNTIFS($B$5:B197,B197))</f>
        <v>0</v>
      </c>
      <c r="T197" s="23">
        <f>IF(S197="","",B197&amp;"|"&amp;S197)</f>
        <v>0</v>
      </c>
      <c r="U197" s="39">
        <f>IF(B197="","",IF(C197="","Add - pick a service",IF(E197="","Add - how many?",IF(L197=0,"Add - no price",IF(AND(R197&lt;&gt;"",R197&lt;MarginFloor),"Below - thin margin","OK")))))</f>
        <v>0</v>
      </c>
    </row>
    <row r="198" spans="1:21">
      <c r="A198" s="43">
        <f>IF(B198="","","QL-"&amp;TEXT(ROW()-4,"0000"))</f>
        <v>0</v>
      </c>
      <c r="J198" s="21">
        <f>IF(C198="","",IFERROR(INDEX(Services!$P$5:$P$64,MATCH(C198,Services!$B$5:$B$64,0)),"0"))</f>
        <v>0</v>
      </c>
      <c r="K198" s="23">
        <f>IF(C198="","",IFERROR(INDEX(Services!$E$5:$E$64,MATCH(C198,Services!$B$5:$B$64,0)),""))</f>
        <v>0</v>
      </c>
      <c r="L198" s="21">
        <f>IF(B198="","",IF(F198&lt;&gt;"",F198,IFERROR(J198*1,0)))</f>
        <v>0</v>
      </c>
      <c r="M198" s="51">
        <f>IF(B198="","",IF(D198&lt;&gt;"",D198,IFERROR(INDEX(Services!$O$5:$O$64,MATCH(C198,Services!$B$5:$B$64,0)),"")))</f>
        <v>0</v>
      </c>
      <c r="N198" s="34">
        <f>IF(B198="","",IFERROR(INDEX(Services!$G$5:$G$64,MATCH(C198,Services!$B$5:$B$64,0)),0)*IF(E198="",1,IF(IFERROR(INDEX(Services!$D$5:$D$64,MATCH(C198,Services!$B$5:$B$64,0)),"")="Per hour",1,E198)))</f>
        <v>0</v>
      </c>
      <c r="O198" s="21">
        <f>IF(B198="","",ROUND(IF(E198="",1,E198)*L198,2))</f>
        <v>0</v>
      </c>
      <c r="P198" s="21">
        <f>IF(B198="","",ROUND(O198*(1-IF(G198="",0,G198)),2))</f>
        <v>0</v>
      </c>
      <c r="Q198" s="21">
        <f>IF(B198="","",ROUND(N198*CostPerHour+IF(E198="",1,E198)*IFERROR(INDEX(Services!$R$5:$R$64,MATCH(C198,Services!$B$5:$B$64,0)),0),2))</f>
        <v>0</v>
      </c>
      <c r="R198" s="38">
        <f>IF(OR(B198="",P198=0),"",(P198-Q198)/P198)</f>
        <v>0</v>
      </c>
      <c r="S198" s="31">
        <f>IF(OR(B198="",C198=""),"",COUNTIFS($B$5:B198,B198))</f>
        <v>0</v>
      </c>
      <c r="T198" s="23">
        <f>IF(S198="","",B198&amp;"|"&amp;S198)</f>
        <v>0</v>
      </c>
      <c r="U198" s="39">
        <f>IF(B198="","",IF(C198="","Add - pick a service",IF(E198="","Add - how many?",IF(L198=0,"Add - no price",IF(AND(R198&lt;&gt;"",R198&lt;MarginFloor),"Below - thin margin","OK")))))</f>
        <v>0</v>
      </c>
    </row>
    <row r="199" spans="1:21">
      <c r="A199" s="43">
        <f>IF(B199="","","QL-"&amp;TEXT(ROW()-4,"0000"))</f>
        <v>0</v>
      </c>
      <c r="J199" s="21">
        <f>IF(C199="","",IFERROR(INDEX(Services!$P$5:$P$64,MATCH(C199,Services!$B$5:$B$64,0)),"0"))</f>
        <v>0</v>
      </c>
      <c r="K199" s="23">
        <f>IF(C199="","",IFERROR(INDEX(Services!$E$5:$E$64,MATCH(C199,Services!$B$5:$B$64,0)),""))</f>
        <v>0</v>
      </c>
      <c r="L199" s="21">
        <f>IF(B199="","",IF(F199&lt;&gt;"",F199,IFERROR(J199*1,0)))</f>
        <v>0</v>
      </c>
      <c r="M199" s="51">
        <f>IF(B199="","",IF(D199&lt;&gt;"",D199,IFERROR(INDEX(Services!$O$5:$O$64,MATCH(C199,Services!$B$5:$B$64,0)),"")))</f>
        <v>0</v>
      </c>
      <c r="N199" s="34">
        <f>IF(B199="","",IFERROR(INDEX(Services!$G$5:$G$64,MATCH(C199,Services!$B$5:$B$64,0)),0)*IF(E199="",1,IF(IFERROR(INDEX(Services!$D$5:$D$64,MATCH(C199,Services!$B$5:$B$64,0)),"")="Per hour",1,E199)))</f>
        <v>0</v>
      </c>
      <c r="O199" s="21">
        <f>IF(B199="","",ROUND(IF(E199="",1,E199)*L199,2))</f>
        <v>0</v>
      </c>
      <c r="P199" s="21">
        <f>IF(B199="","",ROUND(O199*(1-IF(G199="",0,G199)),2))</f>
        <v>0</v>
      </c>
      <c r="Q199" s="21">
        <f>IF(B199="","",ROUND(N199*CostPerHour+IF(E199="",1,E199)*IFERROR(INDEX(Services!$R$5:$R$64,MATCH(C199,Services!$B$5:$B$64,0)),0),2))</f>
        <v>0</v>
      </c>
      <c r="R199" s="38">
        <f>IF(OR(B199="",P199=0),"",(P199-Q199)/P199)</f>
        <v>0</v>
      </c>
      <c r="S199" s="31">
        <f>IF(OR(B199="",C199=""),"",COUNTIFS($B$5:B199,B199))</f>
        <v>0</v>
      </c>
      <c r="T199" s="23">
        <f>IF(S199="","",B199&amp;"|"&amp;S199)</f>
        <v>0</v>
      </c>
      <c r="U199" s="39">
        <f>IF(B199="","",IF(C199="","Add - pick a service",IF(E199="","Add - how many?",IF(L199=0,"Add - no price",IF(AND(R199&lt;&gt;"",R199&lt;MarginFloor),"Below - thin margin","OK")))))</f>
        <v>0</v>
      </c>
    </row>
    <row r="200" spans="1:21">
      <c r="A200" s="43">
        <f>IF(B200="","","QL-"&amp;TEXT(ROW()-4,"0000"))</f>
        <v>0</v>
      </c>
      <c r="J200" s="21">
        <f>IF(C200="","",IFERROR(INDEX(Services!$P$5:$P$64,MATCH(C200,Services!$B$5:$B$64,0)),"0"))</f>
        <v>0</v>
      </c>
      <c r="K200" s="23">
        <f>IF(C200="","",IFERROR(INDEX(Services!$E$5:$E$64,MATCH(C200,Services!$B$5:$B$64,0)),""))</f>
        <v>0</v>
      </c>
      <c r="L200" s="21">
        <f>IF(B200="","",IF(F200&lt;&gt;"",F200,IFERROR(J200*1,0)))</f>
        <v>0</v>
      </c>
      <c r="M200" s="51">
        <f>IF(B200="","",IF(D200&lt;&gt;"",D200,IFERROR(INDEX(Services!$O$5:$O$64,MATCH(C200,Services!$B$5:$B$64,0)),"")))</f>
        <v>0</v>
      </c>
      <c r="N200" s="34">
        <f>IF(B200="","",IFERROR(INDEX(Services!$G$5:$G$64,MATCH(C200,Services!$B$5:$B$64,0)),0)*IF(E200="",1,IF(IFERROR(INDEX(Services!$D$5:$D$64,MATCH(C200,Services!$B$5:$B$64,0)),"")="Per hour",1,E200)))</f>
        <v>0</v>
      </c>
      <c r="O200" s="21">
        <f>IF(B200="","",ROUND(IF(E200="",1,E200)*L200,2))</f>
        <v>0</v>
      </c>
      <c r="P200" s="21">
        <f>IF(B200="","",ROUND(O200*(1-IF(G200="",0,G200)),2))</f>
        <v>0</v>
      </c>
      <c r="Q200" s="21">
        <f>IF(B200="","",ROUND(N200*CostPerHour+IF(E200="",1,E200)*IFERROR(INDEX(Services!$R$5:$R$64,MATCH(C200,Services!$B$5:$B$64,0)),0),2))</f>
        <v>0</v>
      </c>
      <c r="R200" s="38">
        <f>IF(OR(B200="",P200=0),"",(P200-Q200)/P200)</f>
        <v>0</v>
      </c>
      <c r="S200" s="31">
        <f>IF(OR(B200="",C200=""),"",COUNTIFS($B$5:B200,B200))</f>
        <v>0</v>
      </c>
      <c r="T200" s="23">
        <f>IF(S200="","",B200&amp;"|"&amp;S200)</f>
        <v>0</v>
      </c>
      <c r="U200" s="39">
        <f>IF(B200="","",IF(C200="","Add - pick a service",IF(E200="","Add - how many?",IF(L200=0,"Add - no price",IF(AND(R200&lt;&gt;"",R200&lt;MarginFloor),"Below - thin margin","OK")))))</f>
        <v>0</v>
      </c>
    </row>
    <row r="201" spans="1:21">
      <c r="A201" s="43">
        <f>IF(B201="","","QL-"&amp;TEXT(ROW()-4,"0000"))</f>
        <v>0</v>
      </c>
      <c r="J201" s="21">
        <f>IF(C201="","",IFERROR(INDEX(Services!$P$5:$P$64,MATCH(C201,Services!$B$5:$B$64,0)),"0"))</f>
        <v>0</v>
      </c>
      <c r="K201" s="23">
        <f>IF(C201="","",IFERROR(INDEX(Services!$E$5:$E$64,MATCH(C201,Services!$B$5:$B$64,0)),""))</f>
        <v>0</v>
      </c>
      <c r="L201" s="21">
        <f>IF(B201="","",IF(F201&lt;&gt;"",F201,IFERROR(J201*1,0)))</f>
        <v>0</v>
      </c>
      <c r="M201" s="51">
        <f>IF(B201="","",IF(D201&lt;&gt;"",D201,IFERROR(INDEX(Services!$O$5:$O$64,MATCH(C201,Services!$B$5:$B$64,0)),"")))</f>
        <v>0</v>
      </c>
      <c r="N201" s="34">
        <f>IF(B201="","",IFERROR(INDEX(Services!$G$5:$G$64,MATCH(C201,Services!$B$5:$B$64,0)),0)*IF(E201="",1,IF(IFERROR(INDEX(Services!$D$5:$D$64,MATCH(C201,Services!$B$5:$B$64,0)),"")="Per hour",1,E201)))</f>
        <v>0</v>
      </c>
      <c r="O201" s="21">
        <f>IF(B201="","",ROUND(IF(E201="",1,E201)*L201,2))</f>
        <v>0</v>
      </c>
      <c r="P201" s="21">
        <f>IF(B201="","",ROUND(O201*(1-IF(G201="",0,G201)),2))</f>
        <v>0</v>
      </c>
      <c r="Q201" s="21">
        <f>IF(B201="","",ROUND(N201*CostPerHour+IF(E201="",1,E201)*IFERROR(INDEX(Services!$R$5:$R$64,MATCH(C201,Services!$B$5:$B$64,0)),0),2))</f>
        <v>0</v>
      </c>
      <c r="R201" s="38">
        <f>IF(OR(B201="",P201=0),"",(P201-Q201)/P201)</f>
        <v>0</v>
      </c>
      <c r="S201" s="31">
        <f>IF(OR(B201="",C201=""),"",COUNTIFS($B$5:B201,B201))</f>
        <v>0</v>
      </c>
      <c r="T201" s="23">
        <f>IF(S201="","",B201&amp;"|"&amp;S201)</f>
        <v>0</v>
      </c>
      <c r="U201" s="39">
        <f>IF(B201="","",IF(C201="","Add - pick a service",IF(E201="","Add - how many?",IF(L201=0,"Add - no price",IF(AND(R201&lt;&gt;"",R201&lt;MarginFloor),"Below - thin margin","OK")))))</f>
        <v>0</v>
      </c>
    </row>
    <row r="202" spans="1:21">
      <c r="A202" s="43">
        <f>IF(B202="","","QL-"&amp;TEXT(ROW()-4,"0000"))</f>
        <v>0</v>
      </c>
      <c r="J202" s="21">
        <f>IF(C202="","",IFERROR(INDEX(Services!$P$5:$P$64,MATCH(C202,Services!$B$5:$B$64,0)),"0"))</f>
        <v>0</v>
      </c>
      <c r="K202" s="23">
        <f>IF(C202="","",IFERROR(INDEX(Services!$E$5:$E$64,MATCH(C202,Services!$B$5:$B$64,0)),""))</f>
        <v>0</v>
      </c>
      <c r="L202" s="21">
        <f>IF(B202="","",IF(F202&lt;&gt;"",F202,IFERROR(J202*1,0)))</f>
        <v>0</v>
      </c>
      <c r="M202" s="51">
        <f>IF(B202="","",IF(D202&lt;&gt;"",D202,IFERROR(INDEX(Services!$O$5:$O$64,MATCH(C202,Services!$B$5:$B$64,0)),"")))</f>
        <v>0</v>
      </c>
      <c r="N202" s="34">
        <f>IF(B202="","",IFERROR(INDEX(Services!$G$5:$G$64,MATCH(C202,Services!$B$5:$B$64,0)),0)*IF(E202="",1,IF(IFERROR(INDEX(Services!$D$5:$D$64,MATCH(C202,Services!$B$5:$B$64,0)),"")="Per hour",1,E202)))</f>
        <v>0</v>
      </c>
      <c r="O202" s="21">
        <f>IF(B202="","",ROUND(IF(E202="",1,E202)*L202,2))</f>
        <v>0</v>
      </c>
      <c r="P202" s="21">
        <f>IF(B202="","",ROUND(O202*(1-IF(G202="",0,G202)),2))</f>
        <v>0</v>
      </c>
      <c r="Q202" s="21">
        <f>IF(B202="","",ROUND(N202*CostPerHour+IF(E202="",1,E202)*IFERROR(INDEX(Services!$R$5:$R$64,MATCH(C202,Services!$B$5:$B$64,0)),0),2))</f>
        <v>0</v>
      </c>
      <c r="R202" s="38">
        <f>IF(OR(B202="",P202=0),"",(P202-Q202)/P202)</f>
        <v>0</v>
      </c>
      <c r="S202" s="31">
        <f>IF(OR(B202="",C202=""),"",COUNTIFS($B$5:B202,B202))</f>
        <v>0</v>
      </c>
      <c r="T202" s="23">
        <f>IF(S202="","",B202&amp;"|"&amp;S202)</f>
        <v>0</v>
      </c>
      <c r="U202" s="39">
        <f>IF(B202="","",IF(C202="","Add - pick a service",IF(E202="","Add - how many?",IF(L202=0,"Add - no price",IF(AND(R202&lt;&gt;"",R202&lt;MarginFloor),"Below - thin margin","OK")))))</f>
        <v>0</v>
      </c>
    </row>
    <row r="203" spans="1:21">
      <c r="A203" s="43">
        <f>IF(B203="","","QL-"&amp;TEXT(ROW()-4,"0000"))</f>
        <v>0</v>
      </c>
      <c r="J203" s="21">
        <f>IF(C203="","",IFERROR(INDEX(Services!$P$5:$P$64,MATCH(C203,Services!$B$5:$B$64,0)),"0"))</f>
        <v>0</v>
      </c>
      <c r="K203" s="23">
        <f>IF(C203="","",IFERROR(INDEX(Services!$E$5:$E$64,MATCH(C203,Services!$B$5:$B$64,0)),""))</f>
        <v>0</v>
      </c>
      <c r="L203" s="21">
        <f>IF(B203="","",IF(F203&lt;&gt;"",F203,IFERROR(J203*1,0)))</f>
        <v>0</v>
      </c>
      <c r="M203" s="51">
        <f>IF(B203="","",IF(D203&lt;&gt;"",D203,IFERROR(INDEX(Services!$O$5:$O$64,MATCH(C203,Services!$B$5:$B$64,0)),"")))</f>
        <v>0</v>
      </c>
      <c r="N203" s="34">
        <f>IF(B203="","",IFERROR(INDEX(Services!$G$5:$G$64,MATCH(C203,Services!$B$5:$B$64,0)),0)*IF(E203="",1,IF(IFERROR(INDEX(Services!$D$5:$D$64,MATCH(C203,Services!$B$5:$B$64,0)),"")="Per hour",1,E203)))</f>
        <v>0</v>
      </c>
      <c r="O203" s="21">
        <f>IF(B203="","",ROUND(IF(E203="",1,E203)*L203,2))</f>
        <v>0</v>
      </c>
      <c r="P203" s="21">
        <f>IF(B203="","",ROUND(O203*(1-IF(G203="",0,G203)),2))</f>
        <v>0</v>
      </c>
      <c r="Q203" s="21">
        <f>IF(B203="","",ROUND(N203*CostPerHour+IF(E203="",1,E203)*IFERROR(INDEX(Services!$R$5:$R$64,MATCH(C203,Services!$B$5:$B$64,0)),0),2))</f>
        <v>0</v>
      </c>
      <c r="R203" s="38">
        <f>IF(OR(B203="",P203=0),"",(P203-Q203)/P203)</f>
        <v>0</v>
      </c>
      <c r="S203" s="31">
        <f>IF(OR(B203="",C203=""),"",COUNTIFS($B$5:B203,B203))</f>
        <v>0</v>
      </c>
      <c r="T203" s="23">
        <f>IF(S203="","",B203&amp;"|"&amp;S203)</f>
        <v>0</v>
      </c>
      <c r="U203" s="39">
        <f>IF(B203="","",IF(C203="","Add - pick a service",IF(E203="","Add - how many?",IF(L203=0,"Add - no price",IF(AND(R203&lt;&gt;"",R203&lt;MarginFloor),"Below - thin margin","OK")))))</f>
        <v>0</v>
      </c>
    </row>
    <row r="204" spans="1:21">
      <c r="A204" s="43">
        <f>IF(B204="","","QL-"&amp;TEXT(ROW()-4,"0000"))</f>
        <v>0</v>
      </c>
      <c r="J204" s="21">
        <f>IF(C204="","",IFERROR(INDEX(Services!$P$5:$P$64,MATCH(C204,Services!$B$5:$B$64,0)),"0"))</f>
        <v>0</v>
      </c>
      <c r="K204" s="23">
        <f>IF(C204="","",IFERROR(INDEX(Services!$E$5:$E$64,MATCH(C204,Services!$B$5:$B$64,0)),""))</f>
        <v>0</v>
      </c>
      <c r="L204" s="21">
        <f>IF(B204="","",IF(F204&lt;&gt;"",F204,IFERROR(J204*1,0)))</f>
        <v>0</v>
      </c>
      <c r="M204" s="51">
        <f>IF(B204="","",IF(D204&lt;&gt;"",D204,IFERROR(INDEX(Services!$O$5:$O$64,MATCH(C204,Services!$B$5:$B$64,0)),"")))</f>
        <v>0</v>
      </c>
      <c r="N204" s="34">
        <f>IF(B204="","",IFERROR(INDEX(Services!$G$5:$G$64,MATCH(C204,Services!$B$5:$B$64,0)),0)*IF(E204="",1,IF(IFERROR(INDEX(Services!$D$5:$D$64,MATCH(C204,Services!$B$5:$B$64,0)),"")="Per hour",1,E204)))</f>
        <v>0</v>
      </c>
      <c r="O204" s="21">
        <f>IF(B204="","",ROUND(IF(E204="",1,E204)*L204,2))</f>
        <v>0</v>
      </c>
      <c r="P204" s="21">
        <f>IF(B204="","",ROUND(O204*(1-IF(G204="",0,G204)),2))</f>
        <v>0</v>
      </c>
      <c r="Q204" s="21">
        <f>IF(B204="","",ROUND(N204*CostPerHour+IF(E204="",1,E204)*IFERROR(INDEX(Services!$R$5:$R$64,MATCH(C204,Services!$B$5:$B$64,0)),0),2))</f>
        <v>0</v>
      </c>
      <c r="R204" s="38">
        <f>IF(OR(B204="",P204=0),"",(P204-Q204)/P204)</f>
        <v>0</v>
      </c>
      <c r="S204" s="31">
        <f>IF(OR(B204="",C204=""),"",COUNTIFS($B$5:B204,B204))</f>
        <v>0</v>
      </c>
      <c r="T204" s="23">
        <f>IF(S204="","",B204&amp;"|"&amp;S204)</f>
        <v>0</v>
      </c>
      <c r="U204" s="39">
        <f>IF(B204="","",IF(C204="","Add - pick a service",IF(E204="","Add - how many?",IF(L204=0,"Add - no price",IF(AND(R204&lt;&gt;"",R204&lt;MarginFloor),"Below - thin margin","OK")))))</f>
        <v>0</v>
      </c>
    </row>
    <row r="205" spans="1:21">
      <c r="A205" s="43">
        <f>IF(B205="","","QL-"&amp;TEXT(ROW()-4,"0000"))</f>
        <v>0</v>
      </c>
      <c r="J205" s="21">
        <f>IF(C205="","",IFERROR(INDEX(Services!$P$5:$P$64,MATCH(C205,Services!$B$5:$B$64,0)),"0"))</f>
        <v>0</v>
      </c>
      <c r="K205" s="23">
        <f>IF(C205="","",IFERROR(INDEX(Services!$E$5:$E$64,MATCH(C205,Services!$B$5:$B$64,0)),""))</f>
        <v>0</v>
      </c>
      <c r="L205" s="21">
        <f>IF(B205="","",IF(F205&lt;&gt;"",F205,IFERROR(J205*1,0)))</f>
        <v>0</v>
      </c>
      <c r="M205" s="51">
        <f>IF(B205="","",IF(D205&lt;&gt;"",D205,IFERROR(INDEX(Services!$O$5:$O$64,MATCH(C205,Services!$B$5:$B$64,0)),"")))</f>
        <v>0</v>
      </c>
      <c r="N205" s="34">
        <f>IF(B205="","",IFERROR(INDEX(Services!$G$5:$G$64,MATCH(C205,Services!$B$5:$B$64,0)),0)*IF(E205="",1,IF(IFERROR(INDEX(Services!$D$5:$D$64,MATCH(C205,Services!$B$5:$B$64,0)),"")="Per hour",1,E205)))</f>
        <v>0</v>
      </c>
      <c r="O205" s="21">
        <f>IF(B205="","",ROUND(IF(E205="",1,E205)*L205,2))</f>
        <v>0</v>
      </c>
      <c r="P205" s="21">
        <f>IF(B205="","",ROUND(O205*(1-IF(G205="",0,G205)),2))</f>
        <v>0</v>
      </c>
      <c r="Q205" s="21">
        <f>IF(B205="","",ROUND(N205*CostPerHour+IF(E205="",1,E205)*IFERROR(INDEX(Services!$R$5:$R$64,MATCH(C205,Services!$B$5:$B$64,0)),0),2))</f>
        <v>0</v>
      </c>
      <c r="R205" s="38">
        <f>IF(OR(B205="",P205=0),"",(P205-Q205)/P205)</f>
        <v>0</v>
      </c>
      <c r="S205" s="31">
        <f>IF(OR(B205="",C205=""),"",COUNTIFS($B$5:B205,B205))</f>
        <v>0</v>
      </c>
      <c r="T205" s="23">
        <f>IF(S205="","",B205&amp;"|"&amp;S205)</f>
        <v>0</v>
      </c>
      <c r="U205" s="39">
        <f>IF(B205="","",IF(C205="","Add - pick a service",IF(E205="","Add - how many?",IF(L205=0,"Add - no price",IF(AND(R205&lt;&gt;"",R205&lt;MarginFloor),"Below - thin margin","OK")))))</f>
        <v>0</v>
      </c>
    </row>
    <row r="206" spans="1:21">
      <c r="A206" s="43">
        <f>IF(B206="","","QL-"&amp;TEXT(ROW()-4,"0000"))</f>
        <v>0</v>
      </c>
      <c r="J206" s="21">
        <f>IF(C206="","",IFERROR(INDEX(Services!$P$5:$P$64,MATCH(C206,Services!$B$5:$B$64,0)),"0"))</f>
        <v>0</v>
      </c>
      <c r="K206" s="23">
        <f>IF(C206="","",IFERROR(INDEX(Services!$E$5:$E$64,MATCH(C206,Services!$B$5:$B$64,0)),""))</f>
        <v>0</v>
      </c>
      <c r="L206" s="21">
        <f>IF(B206="","",IF(F206&lt;&gt;"",F206,IFERROR(J206*1,0)))</f>
        <v>0</v>
      </c>
      <c r="M206" s="51">
        <f>IF(B206="","",IF(D206&lt;&gt;"",D206,IFERROR(INDEX(Services!$O$5:$O$64,MATCH(C206,Services!$B$5:$B$64,0)),"")))</f>
        <v>0</v>
      </c>
      <c r="N206" s="34">
        <f>IF(B206="","",IFERROR(INDEX(Services!$G$5:$G$64,MATCH(C206,Services!$B$5:$B$64,0)),0)*IF(E206="",1,IF(IFERROR(INDEX(Services!$D$5:$D$64,MATCH(C206,Services!$B$5:$B$64,0)),"")="Per hour",1,E206)))</f>
        <v>0</v>
      </c>
      <c r="O206" s="21">
        <f>IF(B206="","",ROUND(IF(E206="",1,E206)*L206,2))</f>
        <v>0</v>
      </c>
      <c r="P206" s="21">
        <f>IF(B206="","",ROUND(O206*(1-IF(G206="",0,G206)),2))</f>
        <v>0</v>
      </c>
      <c r="Q206" s="21">
        <f>IF(B206="","",ROUND(N206*CostPerHour+IF(E206="",1,E206)*IFERROR(INDEX(Services!$R$5:$R$64,MATCH(C206,Services!$B$5:$B$64,0)),0),2))</f>
        <v>0</v>
      </c>
      <c r="R206" s="38">
        <f>IF(OR(B206="",P206=0),"",(P206-Q206)/P206)</f>
        <v>0</v>
      </c>
      <c r="S206" s="31">
        <f>IF(OR(B206="",C206=""),"",COUNTIFS($B$5:B206,B206))</f>
        <v>0</v>
      </c>
      <c r="T206" s="23">
        <f>IF(S206="","",B206&amp;"|"&amp;S206)</f>
        <v>0</v>
      </c>
      <c r="U206" s="39">
        <f>IF(B206="","",IF(C206="","Add - pick a service",IF(E206="","Add - how many?",IF(L206=0,"Add - no price",IF(AND(R206&lt;&gt;"",R206&lt;MarginFloor),"Below - thin margin","OK")))))</f>
        <v>0</v>
      </c>
    </row>
    <row r="207" spans="1:21">
      <c r="A207" s="43">
        <f>IF(B207="","","QL-"&amp;TEXT(ROW()-4,"0000"))</f>
        <v>0</v>
      </c>
      <c r="J207" s="21">
        <f>IF(C207="","",IFERROR(INDEX(Services!$P$5:$P$64,MATCH(C207,Services!$B$5:$B$64,0)),"0"))</f>
        <v>0</v>
      </c>
      <c r="K207" s="23">
        <f>IF(C207="","",IFERROR(INDEX(Services!$E$5:$E$64,MATCH(C207,Services!$B$5:$B$64,0)),""))</f>
        <v>0</v>
      </c>
      <c r="L207" s="21">
        <f>IF(B207="","",IF(F207&lt;&gt;"",F207,IFERROR(J207*1,0)))</f>
        <v>0</v>
      </c>
      <c r="M207" s="51">
        <f>IF(B207="","",IF(D207&lt;&gt;"",D207,IFERROR(INDEX(Services!$O$5:$O$64,MATCH(C207,Services!$B$5:$B$64,0)),"")))</f>
        <v>0</v>
      </c>
      <c r="N207" s="34">
        <f>IF(B207="","",IFERROR(INDEX(Services!$G$5:$G$64,MATCH(C207,Services!$B$5:$B$64,0)),0)*IF(E207="",1,IF(IFERROR(INDEX(Services!$D$5:$D$64,MATCH(C207,Services!$B$5:$B$64,0)),"")="Per hour",1,E207)))</f>
        <v>0</v>
      </c>
      <c r="O207" s="21">
        <f>IF(B207="","",ROUND(IF(E207="",1,E207)*L207,2))</f>
        <v>0</v>
      </c>
      <c r="P207" s="21">
        <f>IF(B207="","",ROUND(O207*(1-IF(G207="",0,G207)),2))</f>
        <v>0</v>
      </c>
      <c r="Q207" s="21">
        <f>IF(B207="","",ROUND(N207*CostPerHour+IF(E207="",1,E207)*IFERROR(INDEX(Services!$R$5:$R$64,MATCH(C207,Services!$B$5:$B$64,0)),0),2))</f>
        <v>0</v>
      </c>
      <c r="R207" s="38">
        <f>IF(OR(B207="",P207=0),"",(P207-Q207)/P207)</f>
        <v>0</v>
      </c>
      <c r="S207" s="31">
        <f>IF(OR(B207="",C207=""),"",COUNTIFS($B$5:B207,B207))</f>
        <v>0</v>
      </c>
      <c r="T207" s="23">
        <f>IF(S207="","",B207&amp;"|"&amp;S207)</f>
        <v>0</v>
      </c>
      <c r="U207" s="39">
        <f>IF(B207="","",IF(C207="","Add - pick a service",IF(E207="","Add - how many?",IF(L207=0,"Add - no price",IF(AND(R207&lt;&gt;"",R207&lt;MarginFloor),"Below - thin margin","OK")))))</f>
        <v>0</v>
      </c>
    </row>
    <row r="208" spans="1:21">
      <c r="A208" s="43">
        <f>IF(B208="","","QL-"&amp;TEXT(ROW()-4,"0000"))</f>
        <v>0</v>
      </c>
      <c r="J208" s="21">
        <f>IF(C208="","",IFERROR(INDEX(Services!$P$5:$P$64,MATCH(C208,Services!$B$5:$B$64,0)),"0"))</f>
        <v>0</v>
      </c>
      <c r="K208" s="23">
        <f>IF(C208="","",IFERROR(INDEX(Services!$E$5:$E$64,MATCH(C208,Services!$B$5:$B$64,0)),""))</f>
        <v>0</v>
      </c>
      <c r="L208" s="21">
        <f>IF(B208="","",IF(F208&lt;&gt;"",F208,IFERROR(J208*1,0)))</f>
        <v>0</v>
      </c>
      <c r="M208" s="51">
        <f>IF(B208="","",IF(D208&lt;&gt;"",D208,IFERROR(INDEX(Services!$O$5:$O$64,MATCH(C208,Services!$B$5:$B$64,0)),"")))</f>
        <v>0</v>
      </c>
      <c r="N208" s="34">
        <f>IF(B208="","",IFERROR(INDEX(Services!$G$5:$G$64,MATCH(C208,Services!$B$5:$B$64,0)),0)*IF(E208="",1,IF(IFERROR(INDEX(Services!$D$5:$D$64,MATCH(C208,Services!$B$5:$B$64,0)),"")="Per hour",1,E208)))</f>
        <v>0</v>
      </c>
      <c r="O208" s="21">
        <f>IF(B208="","",ROUND(IF(E208="",1,E208)*L208,2))</f>
        <v>0</v>
      </c>
      <c r="P208" s="21">
        <f>IF(B208="","",ROUND(O208*(1-IF(G208="",0,G208)),2))</f>
        <v>0</v>
      </c>
      <c r="Q208" s="21">
        <f>IF(B208="","",ROUND(N208*CostPerHour+IF(E208="",1,E208)*IFERROR(INDEX(Services!$R$5:$R$64,MATCH(C208,Services!$B$5:$B$64,0)),0),2))</f>
        <v>0</v>
      </c>
      <c r="R208" s="38">
        <f>IF(OR(B208="",P208=0),"",(P208-Q208)/P208)</f>
        <v>0</v>
      </c>
      <c r="S208" s="31">
        <f>IF(OR(B208="",C208=""),"",COUNTIFS($B$5:B208,B208))</f>
        <v>0</v>
      </c>
      <c r="T208" s="23">
        <f>IF(S208="","",B208&amp;"|"&amp;S208)</f>
        <v>0</v>
      </c>
      <c r="U208" s="39">
        <f>IF(B208="","",IF(C208="","Add - pick a service",IF(E208="","Add - how many?",IF(L208=0,"Add - no price",IF(AND(R208&lt;&gt;"",R208&lt;MarginFloor),"Below - thin margin","OK")))))</f>
        <v>0</v>
      </c>
    </row>
    <row r="209" spans="1:21">
      <c r="A209" s="43">
        <f>IF(B209="","","QL-"&amp;TEXT(ROW()-4,"0000"))</f>
        <v>0</v>
      </c>
      <c r="J209" s="21">
        <f>IF(C209="","",IFERROR(INDEX(Services!$P$5:$P$64,MATCH(C209,Services!$B$5:$B$64,0)),"0"))</f>
        <v>0</v>
      </c>
      <c r="K209" s="23">
        <f>IF(C209="","",IFERROR(INDEX(Services!$E$5:$E$64,MATCH(C209,Services!$B$5:$B$64,0)),""))</f>
        <v>0</v>
      </c>
      <c r="L209" s="21">
        <f>IF(B209="","",IF(F209&lt;&gt;"",F209,IFERROR(J209*1,0)))</f>
        <v>0</v>
      </c>
      <c r="M209" s="51">
        <f>IF(B209="","",IF(D209&lt;&gt;"",D209,IFERROR(INDEX(Services!$O$5:$O$64,MATCH(C209,Services!$B$5:$B$64,0)),"")))</f>
        <v>0</v>
      </c>
      <c r="N209" s="34">
        <f>IF(B209="","",IFERROR(INDEX(Services!$G$5:$G$64,MATCH(C209,Services!$B$5:$B$64,0)),0)*IF(E209="",1,IF(IFERROR(INDEX(Services!$D$5:$D$64,MATCH(C209,Services!$B$5:$B$64,0)),"")="Per hour",1,E209)))</f>
        <v>0</v>
      </c>
      <c r="O209" s="21">
        <f>IF(B209="","",ROUND(IF(E209="",1,E209)*L209,2))</f>
        <v>0</v>
      </c>
      <c r="P209" s="21">
        <f>IF(B209="","",ROUND(O209*(1-IF(G209="",0,G209)),2))</f>
        <v>0</v>
      </c>
      <c r="Q209" s="21">
        <f>IF(B209="","",ROUND(N209*CostPerHour+IF(E209="",1,E209)*IFERROR(INDEX(Services!$R$5:$R$64,MATCH(C209,Services!$B$5:$B$64,0)),0),2))</f>
        <v>0</v>
      </c>
      <c r="R209" s="38">
        <f>IF(OR(B209="",P209=0),"",(P209-Q209)/P209)</f>
        <v>0</v>
      </c>
      <c r="S209" s="31">
        <f>IF(OR(B209="",C209=""),"",COUNTIFS($B$5:B209,B209))</f>
        <v>0</v>
      </c>
      <c r="T209" s="23">
        <f>IF(S209="","",B209&amp;"|"&amp;S209)</f>
        <v>0</v>
      </c>
      <c r="U209" s="39">
        <f>IF(B209="","",IF(C209="","Add - pick a service",IF(E209="","Add - how many?",IF(L209=0,"Add - no price",IF(AND(R209&lt;&gt;"",R209&lt;MarginFloor),"Below - thin margin","OK")))))</f>
        <v>0</v>
      </c>
    </row>
    <row r="210" spans="1:21">
      <c r="A210" s="43">
        <f>IF(B210="","","QL-"&amp;TEXT(ROW()-4,"0000"))</f>
        <v>0</v>
      </c>
      <c r="J210" s="21">
        <f>IF(C210="","",IFERROR(INDEX(Services!$P$5:$P$64,MATCH(C210,Services!$B$5:$B$64,0)),"0"))</f>
        <v>0</v>
      </c>
      <c r="K210" s="23">
        <f>IF(C210="","",IFERROR(INDEX(Services!$E$5:$E$64,MATCH(C210,Services!$B$5:$B$64,0)),""))</f>
        <v>0</v>
      </c>
      <c r="L210" s="21">
        <f>IF(B210="","",IF(F210&lt;&gt;"",F210,IFERROR(J210*1,0)))</f>
        <v>0</v>
      </c>
      <c r="M210" s="51">
        <f>IF(B210="","",IF(D210&lt;&gt;"",D210,IFERROR(INDEX(Services!$O$5:$O$64,MATCH(C210,Services!$B$5:$B$64,0)),"")))</f>
        <v>0</v>
      </c>
      <c r="N210" s="34">
        <f>IF(B210="","",IFERROR(INDEX(Services!$G$5:$G$64,MATCH(C210,Services!$B$5:$B$64,0)),0)*IF(E210="",1,IF(IFERROR(INDEX(Services!$D$5:$D$64,MATCH(C210,Services!$B$5:$B$64,0)),"")="Per hour",1,E210)))</f>
        <v>0</v>
      </c>
      <c r="O210" s="21">
        <f>IF(B210="","",ROUND(IF(E210="",1,E210)*L210,2))</f>
        <v>0</v>
      </c>
      <c r="P210" s="21">
        <f>IF(B210="","",ROUND(O210*(1-IF(G210="",0,G210)),2))</f>
        <v>0</v>
      </c>
      <c r="Q210" s="21">
        <f>IF(B210="","",ROUND(N210*CostPerHour+IF(E210="",1,E210)*IFERROR(INDEX(Services!$R$5:$R$64,MATCH(C210,Services!$B$5:$B$64,0)),0),2))</f>
        <v>0</v>
      </c>
      <c r="R210" s="38">
        <f>IF(OR(B210="",P210=0),"",(P210-Q210)/P210)</f>
        <v>0</v>
      </c>
      <c r="S210" s="31">
        <f>IF(OR(B210="",C210=""),"",COUNTIFS($B$5:B210,B210))</f>
        <v>0</v>
      </c>
      <c r="T210" s="23">
        <f>IF(S210="","",B210&amp;"|"&amp;S210)</f>
        <v>0</v>
      </c>
      <c r="U210" s="39">
        <f>IF(B210="","",IF(C210="","Add - pick a service",IF(E210="","Add - how many?",IF(L210=0,"Add - no price",IF(AND(R210&lt;&gt;"",R210&lt;MarginFloor),"Below - thin margin","OK")))))</f>
        <v>0</v>
      </c>
    </row>
    <row r="211" spans="1:21">
      <c r="A211" s="43">
        <f>IF(B211="","","QL-"&amp;TEXT(ROW()-4,"0000"))</f>
        <v>0</v>
      </c>
      <c r="J211" s="21">
        <f>IF(C211="","",IFERROR(INDEX(Services!$P$5:$P$64,MATCH(C211,Services!$B$5:$B$64,0)),"0"))</f>
        <v>0</v>
      </c>
      <c r="K211" s="23">
        <f>IF(C211="","",IFERROR(INDEX(Services!$E$5:$E$64,MATCH(C211,Services!$B$5:$B$64,0)),""))</f>
        <v>0</v>
      </c>
      <c r="L211" s="21">
        <f>IF(B211="","",IF(F211&lt;&gt;"",F211,IFERROR(J211*1,0)))</f>
        <v>0</v>
      </c>
      <c r="M211" s="51">
        <f>IF(B211="","",IF(D211&lt;&gt;"",D211,IFERROR(INDEX(Services!$O$5:$O$64,MATCH(C211,Services!$B$5:$B$64,0)),"")))</f>
        <v>0</v>
      </c>
      <c r="N211" s="34">
        <f>IF(B211="","",IFERROR(INDEX(Services!$G$5:$G$64,MATCH(C211,Services!$B$5:$B$64,0)),0)*IF(E211="",1,IF(IFERROR(INDEX(Services!$D$5:$D$64,MATCH(C211,Services!$B$5:$B$64,0)),"")="Per hour",1,E211)))</f>
        <v>0</v>
      </c>
      <c r="O211" s="21">
        <f>IF(B211="","",ROUND(IF(E211="",1,E211)*L211,2))</f>
        <v>0</v>
      </c>
      <c r="P211" s="21">
        <f>IF(B211="","",ROUND(O211*(1-IF(G211="",0,G211)),2))</f>
        <v>0</v>
      </c>
      <c r="Q211" s="21">
        <f>IF(B211="","",ROUND(N211*CostPerHour+IF(E211="",1,E211)*IFERROR(INDEX(Services!$R$5:$R$64,MATCH(C211,Services!$B$5:$B$64,0)),0),2))</f>
        <v>0</v>
      </c>
      <c r="R211" s="38">
        <f>IF(OR(B211="",P211=0),"",(P211-Q211)/P211)</f>
        <v>0</v>
      </c>
      <c r="S211" s="31">
        <f>IF(OR(B211="",C211=""),"",COUNTIFS($B$5:B211,B211))</f>
        <v>0</v>
      </c>
      <c r="T211" s="23">
        <f>IF(S211="","",B211&amp;"|"&amp;S211)</f>
        <v>0</v>
      </c>
      <c r="U211" s="39">
        <f>IF(B211="","",IF(C211="","Add - pick a service",IF(E211="","Add - how many?",IF(L211=0,"Add - no price",IF(AND(R211&lt;&gt;"",R211&lt;MarginFloor),"Below - thin margin","OK")))))</f>
        <v>0</v>
      </c>
    </row>
    <row r="212" spans="1:21">
      <c r="A212" s="43">
        <f>IF(B212="","","QL-"&amp;TEXT(ROW()-4,"0000"))</f>
        <v>0</v>
      </c>
      <c r="J212" s="21">
        <f>IF(C212="","",IFERROR(INDEX(Services!$P$5:$P$64,MATCH(C212,Services!$B$5:$B$64,0)),"0"))</f>
        <v>0</v>
      </c>
      <c r="K212" s="23">
        <f>IF(C212="","",IFERROR(INDEX(Services!$E$5:$E$64,MATCH(C212,Services!$B$5:$B$64,0)),""))</f>
        <v>0</v>
      </c>
      <c r="L212" s="21">
        <f>IF(B212="","",IF(F212&lt;&gt;"",F212,IFERROR(J212*1,0)))</f>
        <v>0</v>
      </c>
      <c r="M212" s="51">
        <f>IF(B212="","",IF(D212&lt;&gt;"",D212,IFERROR(INDEX(Services!$O$5:$O$64,MATCH(C212,Services!$B$5:$B$64,0)),"")))</f>
        <v>0</v>
      </c>
      <c r="N212" s="34">
        <f>IF(B212="","",IFERROR(INDEX(Services!$G$5:$G$64,MATCH(C212,Services!$B$5:$B$64,0)),0)*IF(E212="",1,IF(IFERROR(INDEX(Services!$D$5:$D$64,MATCH(C212,Services!$B$5:$B$64,0)),"")="Per hour",1,E212)))</f>
        <v>0</v>
      </c>
      <c r="O212" s="21">
        <f>IF(B212="","",ROUND(IF(E212="",1,E212)*L212,2))</f>
        <v>0</v>
      </c>
      <c r="P212" s="21">
        <f>IF(B212="","",ROUND(O212*(1-IF(G212="",0,G212)),2))</f>
        <v>0</v>
      </c>
      <c r="Q212" s="21">
        <f>IF(B212="","",ROUND(N212*CostPerHour+IF(E212="",1,E212)*IFERROR(INDEX(Services!$R$5:$R$64,MATCH(C212,Services!$B$5:$B$64,0)),0),2))</f>
        <v>0</v>
      </c>
      <c r="R212" s="38">
        <f>IF(OR(B212="",P212=0),"",(P212-Q212)/P212)</f>
        <v>0</v>
      </c>
      <c r="S212" s="31">
        <f>IF(OR(B212="",C212=""),"",COUNTIFS($B$5:B212,B212))</f>
        <v>0</v>
      </c>
      <c r="T212" s="23">
        <f>IF(S212="","",B212&amp;"|"&amp;S212)</f>
        <v>0</v>
      </c>
      <c r="U212" s="39">
        <f>IF(B212="","",IF(C212="","Add - pick a service",IF(E212="","Add - how many?",IF(L212=0,"Add - no price",IF(AND(R212&lt;&gt;"",R212&lt;MarginFloor),"Below - thin margin","OK")))))</f>
        <v>0</v>
      </c>
    </row>
    <row r="213" spans="1:21">
      <c r="A213" s="43">
        <f>IF(B213="","","QL-"&amp;TEXT(ROW()-4,"0000"))</f>
        <v>0</v>
      </c>
      <c r="J213" s="21">
        <f>IF(C213="","",IFERROR(INDEX(Services!$P$5:$P$64,MATCH(C213,Services!$B$5:$B$64,0)),"0"))</f>
        <v>0</v>
      </c>
      <c r="K213" s="23">
        <f>IF(C213="","",IFERROR(INDEX(Services!$E$5:$E$64,MATCH(C213,Services!$B$5:$B$64,0)),""))</f>
        <v>0</v>
      </c>
      <c r="L213" s="21">
        <f>IF(B213="","",IF(F213&lt;&gt;"",F213,IFERROR(J213*1,0)))</f>
        <v>0</v>
      </c>
      <c r="M213" s="51">
        <f>IF(B213="","",IF(D213&lt;&gt;"",D213,IFERROR(INDEX(Services!$O$5:$O$64,MATCH(C213,Services!$B$5:$B$64,0)),"")))</f>
        <v>0</v>
      </c>
      <c r="N213" s="34">
        <f>IF(B213="","",IFERROR(INDEX(Services!$G$5:$G$64,MATCH(C213,Services!$B$5:$B$64,0)),0)*IF(E213="",1,IF(IFERROR(INDEX(Services!$D$5:$D$64,MATCH(C213,Services!$B$5:$B$64,0)),"")="Per hour",1,E213)))</f>
        <v>0</v>
      </c>
      <c r="O213" s="21">
        <f>IF(B213="","",ROUND(IF(E213="",1,E213)*L213,2))</f>
        <v>0</v>
      </c>
      <c r="P213" s="21">
        <f>IF(B213="","",ROUND(O213*(1-IF(G213="",0,G213)),2))</f>
        <v>0</v>
      </c>
      <c r="Q213" s="21">
        <f>IF(B213="","",ROUND(N213*CostPerHour+IF(E213="",1,E213)*IFERROR(INDEX(Services!$R$5:$R$64,MATCH(C213,Services!$B$5:$B$64,0)),0),2))</f>
        <v>0</v>
      </c>
      <c r="R213" s="38">
        <f>IF(OR(B213="",P213=0),"",(P213-Q213)/P213)</f>
        <v>0</v>
      </c>
      <c r="S213" s="31">
        <f>IF(OR(B213="",C213=""),"",COUNTIFS($B$5:B213,B213))</f>
        <v>0</v>
      </c>
      <c r="T213" s="23">
        <f>IF(S213="","",B213&amp;"|"&amp;S213)</f>
        <v>0</v>
      </c>
      <c r="U213" s="39">
        <f>IF(B213="","",IF(C213="","Add - pick a service",IF(E213="","Add - how many?",IF(L213=0,"Add - no price",IF(AND(R213&lt;&gt;"",R213&lt;MarginFloor),"Below - thin margin","OK")))))</f>
        <v>0</v>
      </c>
    </row>
    <row r="214" spans="1:21">
      <c r="A214" s="43">
        <f>IF(B214="","","QL-"&amp;TEXT(ROW()-4,"0000"))</f>
        <v>0</v>
      </c>
      <c r="J214" s="21">
        <f>IF(C214="","",IFERROR(INDEX(Services!$P$5:$P$64,MATCH(C214,Services!$B$5:$B$64,0)),"0"))</f>
        <v>0</v>
      </c>
      <c r="K214" s="23">
        <f>IF(C214="","",IFERROR(INDEX(Services!$E$5:$E$64,MATCH(C214,Services!$B$5:$B$64,0)),""))</f>
        <v>0</v>
      </c>
      <c r="L214" s="21">
        <f>IF(B214="","",IF(F214&lt;&gt;"",F214,IFERROR(J214*1,0)))</f>
        <v>0</v>
      </c>
      <c r="M214" s="51">
        <f>IF(B214="","",IF(D214&lt;&gt;"",D214,IFERROR(INDEX(Services!$O$5:$O$64,MATCH(C214,Services!$B$5:$B$64,0)),"")))</f>
        <v>0</v>
      </c>
      <c r="N214" s="34">
        <f>IF(B214="","",IFERROR(INDEX(Services!$G$5:$G$64,MATCH(C214,Services!$B$5:$B$64,0)),0)*IF(E214="",1,IF(IFERROR(INDEX(Services!$D$5:$D$64,MATCH(C214,Services!$B$5:$B$64,0)),"")="Per hour",1,E214)))</f>
        <v>0</v>
      </c>
      <c r="O214" s="21">
        <f>IF(B214="","",ROUND(IF(E214="",1,E214)*L214,2))</f>
        <v>0</v>
      </c>
      <c r="P214" s="21">
        <f>IF(B214="","",ROUND(O214*(1-IF(G214="",0,G214)),2))</f>
        <v>0</v>
      </c>
      <c r="Q214" s="21">
        <f>IF(B214="","",ROUND(N214*CostPerHour+IF(E214="",1,E214)*IFERROR(INDEX(Services!$R$5:$R$64,MATCH(C214,Services!$B$5:$B$64,0)),0),2))</f>
        <v>0</v>
      </c>
      <c r="R214" s="38">
        <f>IF(OR(B214="",P214=0),"",(P214-Q214)/P214)</f>
        <v>0</v>
      </c>
      <c r="S214" s="31">
        <f>IF(OR(B214="",C214=""),"",COUNTIFS($B$5:B214,B214))</f>
        <v>0</v>
      </c>
      <c r="T214" s="23">
        <f>IF(S214="","",B214&amp;"|"&amp;S214)</f>
        <v>0</v>
      </c>
      <c r="U214" s="39">
        <f>IF(B214="","",IF(C214="","Add - pick a service",IF(E214="","Add - how many?",IF(L214=0,"Add - no price",IF(AND(R214&lt;&gt;"",R214&lt;MarginFloor),"Below - thin margin","OK")))))</f>
        <v>0</v>
      </c>
    </row>
    <row r="215" spans="1:21">
      <c r="A215" s="43">
        <f>IF(B215="","","QL-"&amp;TEXT(ROW()-4,"0000"))</f>
        <v>0</v>
      </c>
      <c r="J215" s="21">
        <f>IF(C215="","",IFERROR(INDEX(Services!$P$5:$P$64,MATCH(C215,Services!$B$5:$B$64,0)),"0"))</f>
        <v>0</v>
      </c>
      <c r="K215" s="23">
        <f>IF(C215="","",IFERROR(INDEX(Services!$E$5:$E$64,MATCH(C215,Services!$B$5:$B$64,0)),""))</f>
        <v>0</v>
      </c>
      <c r="L215" s="21">
        <f>IF(B215="","",IF(F215&lt;&gt;"",F215,IFERROR(J215*1,0)))</f>
        <v>0</v>
      </c>
      <c r="M215" s="51">
        <f>IF(B215="","",IF(D215&lt;&gt;"",D215,IFERROR(INDEX(Services!$O$5:$O$64,MATCH(C215,Services!$B$5:$B$64,0)),"")))</f>
        <v>0</v>
      </c>
      <c r="N215" s="34">
        <f>IF(B215="","",IFERROR(INDEX(Services!$G$5:$G$64,MATCH(C215,Services!$B$5:$B$64,0)),0)*IF(E215="",1,IF(IFERROR(INDEX(Services!$D$5:$D$64,MATCH(C215,Services!$B$5:$B$64,0)),"")="Per hour",1,E215)))</f>
        <v>0</v>
      </c>
      <c r="O215" s="21">
        <f>IF(B215="","",ROUND(IF(E215="",1,E215)*L215,2))</f>
        <v>0</v>
      </c>
      <c r="P215" s="21">
        <f>IF(B215="","",ROUND(O215*(1-IF(G215="",0,G215)),2))</f>
        <v>0</v>
      </c>
      <c r="Q215" s="21">
        <f>IF(B215="","",ROUND(N215*CostPerHour+IF(E215="",1,E215)*IFERROR(INDEX(Services!$R$5:$R$64,MATCH(C215,Services!$B$5:$B$64,0)),0),2))</f>
        <v>0</v>
      </c>
      <c r="R215" s="38">
        <f>IF(OR(B215="",P215=0),"",(P215-Q215)/P215)</f>
        <v>0</v>
      </c>
      <c r="S215" s="31">
        <f>IF(OR(B215="",C215=""),"",COUNTIFS($B$5:B215,B215))</f>
        <v>0</v>
      </c>
      <c r="T215" s="23">
        <f>IF(S215="","",B215&amp;"|"&amp;S215)</f>
        <v>0</v>
      </c>
      <c r="U215" s="39">
        <f>IF(B215="","",IF(C215="","Add - pick a service",IF(E215="","Add - how many?",IF(L215=0,"Add - no price",IF(AND(R215&lt;&gt;"",R215&lt;MarginFloor),"Below - thin margin","OK")))))</f>
        <v>0</v>
      </c>
    </row>
    <row r="216" spans="1:21">
      <c r="A216" s="43">
        <f>IF(B216="","","QL-"&amp;TEXT(ROW()-4,"0000"))</f>
        <v>0</v>
      </c>
      <c r="J216" s="21">
        <f>IF(C216="","",IFERROR(INDEX(Services!$P$5:$P$64,MATCH(C216,Services!$B$5:$B$64,0)),"0"))</f>
        <v>0</v>
      </c>
      <c r="K216" s="23">
        <f>IF(C216="","",IFERROR(INDEX(Services!$E$5:$E$64,MATCH(C216,Services!$B$5:$B$64,0)),""))</f>
        <v>0</v>
      </c>
      <c r="L216" s="21">
        <f>IF(B216="","",IF(F216&lt;&gt;"",F216,IFERROR(J216*1,0)))</f>
        <v>0</v>
      </c>
      <c r="M216" s="51">
        <f>IF(B216="","",IF(D216&lt;&gt;"",D216,IFERROR(INDEX(Services!$O$5:$O$64,MATCH(C216,Services!$B$5:$B$64,0)),"")))</f>
        <v>0</v>
      </c>
      <c r="N216" s="34">
        <f>IF(B216="","",IFERROR(INDEX(Services!$G$5:$G$64,MATCH(C216,Services!$B$5:$B$64,0)),0)*IF(E216="",1,IF(IFERROR(INDEX(Services!$D$5:$D$64,MATCH(C216,Services!$B$5:$B$64,0)),"")="Per hour",1,E216)))</f>
        <v>0</v>
      </c>
      <c r="O216" s="21">
        <f>IF(B216="","",ROUND(IF(E216="",1,E216)*L216,2))</f>
        <v>0</v>
      </c>
      <c r="P216" s="21">
        <f>IF(B216="","",ROUND(O216*(1-IF(G216="",0,G216)),2))</f>
        <v>0</v>
      </c>
      <c r="Q216" s="21">
        <f>IF(B216="","",ROUND(N216*CostPerHour+IF(E216="",1,E216)*IFERROR(INDEX(Services!$R$5:$R$64,MATCH(C216,Services!$B$5:$B$64,0)),0),2))</f>
        <v>0</v>
      </c>
      <c r="R216" s="38">
        <f>IF(OR(B216="",P216=0),"",(P216-Q216)/P216)</f>
        <v>0</v>
      </c>
      <c r="S216" s="31">
        <f>IF(OR(B216="",C216=""),"",COUNTIFS($B$5:B216,B216))</f>
        <v>0</v>
      </c>
      <c r="T216" s="23">
        <f>IF(S216="","",B216&amp;"|"&amp;S216)</f>
        <v>0</v>
      </c>
      <c r="U216" s="39">
        <f>IF(B216="","",IF(C216="","Add - pick a service",IF(E216="","Add - how many?",IF(L216=0,"Add - no price",IF(AND(R216&lt;&gt;"",R216&lt;MarginFloor),"Below - thin margin","OK")))))</f>
        <v>0</v>
      </c>
    </row>
    <row r="217" spans="1:21">
      <c r="A217" s="43">
        <f>IF(B217="","","QL-"&amp;TEXT(ROW()-4,"0000"))</f>
        <v>0</v>
      </c>
      <c r="J217" s="21">
        <f>IF(C217="","",IFERROR(INDEX(Services!$P$5:$P$64,MATCH(C217,Services!$B$5:$B$64,0)),"0"))</f>
        <v>0</v>
      </c>
      <c r="K217" s="23">
        <f>IF(C217="","",IFERROR(INDEX(Services!$E$5:$E$64,MATCH(C217,Services!$B$5:$B$64,0)),""))</f>
        <v>0</v>
      </c>
      <c r="L217" s="21">
        <f>IF(B217="","",IF(F217&lt;&gt;"",F217,IFERROR(J217*1,0)))</f>
        <v>0</v>
      </c>
      <c r="M217" s="51">
        <f>IF(B217="","",IF(D217&lt;&gt;"",D217,IFERROR(INDEX(Services!$O$5:$O$64,MATCH(C217,Services!$B$5:$B$64,0)),"")))</f>
        <v>0</v>
      </c>
      <c r="N217" s="34">
        <f>IF(B217="","",IFERROR(INDEX(Services!$G$5:$G$64,MATCH(C217,Services!$B$5:$B$64,0)),0)*IF(E217="",1,IF(IFERROR(INDEX(Services!$D$5:$D$64,MATCH(C217,Services!$B$5:$B$64,0)),"")="Per hour",1,E217)))</f>
        <v>0</v>
      </c>
      <c r="O217" s="21">
        <f>IF(B217="","",ROUND(IF(E217="",1,E217)*L217,2))</f>
        <v>0</v>
      </c>
      <c r="P217" s="21">
        <f>IF(B217="","",ROUND(O217*(1-IF(G217="",0,G217)),2))</f>
        <v>0</v>
      </c>
      <c r="Q217" s="21">
        <f>IF(B217="","",ROUND(N217*CostPerHour+IF(E217="",1,E217)*IFERROR(INDEX(Services!$R$5:$R$64,MATCH(C217,Services!$B$5:$B$64,0)),0),2))</f>
        <v>0</v>
      </c>
      <c r="R217" s="38">
        <f>IF(OR(B217="",P217=0),"",(P217-Q217)/P217)</f>
        <v>0</v>
      </c>
      <c r="S217" s="31">
        <f>IF(OR(B217="",C217=""),"",COUNTIFS($B$5:B217,B217))</f>
        <v>0</v>
      </c>
      <c r="T217" s="23">
        <f>IF(S217="","",B217&amp;"|"&amp;S217)</f>
        <v>0</v>
      </c>
      <c r="U217" s="39">
        <f>IF(B217="","",IF(C217="","Add - pick a service",IF(E217="","Add - how many?",IF(L217=0,"Add - no price",IF(AND(R217&lt;&gt;"",R217&lt;MarginFloor),"Below - thin margin","OK")))))</f>
        <v>0</v>
      </c>
    </row>
    <row r="218" spans="1:21">
      <c r="A218" s="43">
        <f>IF(B218="","","QL-"&amp;TEXT(ROW()-4,"0000"))</f>
        <v>0</v>
      </c>
      <c r="J218" s="21">
        <f>IF(C218="","",IFERROR(INDEX(Services!$P$5:$P$64,MATCH(C218,Services!$B$5:$B$64,0)),"0"))</f>
        <v>0</v>
      </c>
      <c r="K218" s="23">
        <f>IF(C218="","",IFERROR(INDEX(Services!$E$5:$E$64,MATCH(C218,Services!$B$5:$B$64,0)),""))</f>
        <v>0</v>
      </c>
      <c r="L218" s="21">
        <f>IF(B218="","",IF(F218&lt;&gt;"",F218,IFERROR(J218*1,0)))</f>
        <v>0</v>
      </c>
      <c r="M218" s="51">
        <f>IF(B218="","",IF(D218&lt;&gt;"",D218,IFERROR(INDEX(Services!$O$5:$O$64,MATCH(C218,Services!$B$5:$B$64,0)),"")))</f>
        <v>0</v>
      </c>
      <c r="N218" s="34">
        <f>IF(B218="","",IFERROR(INDEX(Services!$G$5:$G$64,MATCH(C218,Services!$B$5:$B$64,0)),0)*IF(E218="",1,IF(IFERROR(INDEX(Services!$D$5:$D$64,MATCH(C218,Services!$B$5:$B$64,0)),"")="Per hour",1,E218)))</f>
        <v>0</v>
      </c>
      <c r="O218" s="21">
        <f>IF(B218="","",ROUND(IF(E218="",1,E218)*L218,2))</f>
        <v>0</v>
      </c>
      <c r="P218" s="21">
        <f>IF(B218="","",ROUND(O218*(1-IF(G218="",0,G218)),2))</f>
        <v>0</v>
      </c>
      <c r="Q218" s="21">
        <f>IF(B218="","",ROUND(N218*CostPerHour+IF(E218="",1,E218)*IFERROR(INDEX(Services!$R$5:$R$64,MATCH(C218,Services!$B$5:$B$64,0)),0),2))</f>
        <v>0</v>
      </c>
      <c r="R218" s="38">
        <f>IF(OR(B218="",P218=0),"",(P218-Q218)/P218)</f>
        <v>0</v>
      </c>
      <c r="S218" s="31">
        <f>IF(OR(B218="",C218=""),"",COUNTIFS($B$5:B218,B218))</f>
        <v>0</v>
      </c>
      <c r="T218" s="23">
        <f>IF(S218="","",B218&amp;"|"&amp;S218)</f>
        <v>0</v>
      </c>
      <c r="U218" s="39">
        <f>IF(B218="","",IF(C218="","Add - pick a service",IF(E218="","Add - how many?",IF(L218=0,"Add - no price",IF(AND(R218&lt;&gt;"",R218&lt;MarginFloor),"Below - thin margin","OK")))))</f>
        <v>0</v>
      </c>
    </row>
    <row r="219" spans="1:21">
      <c r="A219" s="43">
        <f>IF(B219="","","QL-"&amp;TEXT(ROW()-4,"0000"))</f>
        <v>0</v>
      </c>
      <c r="J219" s="21">
        <f>IF(C219="","",IFERROR(INDEX(Services!$P$5:$P$64,MATCH(C219,Services!$B$5:$B$64,0)),"0"))</f>
        <v>0</v>
      </c>
      <c r="K219" s="23">
        <f>IF(C219="","",IFERROR(INDEX(Services!$E$5:$E$64,MATCH(C219,Services!$B$5:$B$64,0)),""))</f>
        <v>0</v>
      </c>
      <c r="L219" s="21">
        <f>IF(B219="","",IF(F219&lt;&gt;"",F219,IFERROR(J219*1,0)))</f>
        <v>0</v>
      </c>
      <c r="M219" s="51">
        <f>IF(B219="","",IF(D219&lt;&gt;"",D219,IFERROR(INDEX(Services!$O$5:$O$64,MATCH(C219,Services!$B$5:$B$64,0)),"")))</f>
        <v>0</v>
      </c>
      <c r="N219" s="34">
        <f>IF(B219="","",IFERROR(INDEX(Services!$G$5:$G$64,MATCH(C219,Services!$B$5:$B$64,0)),0)*IF(E219="",1,IF(IFERROR(INDEX(Services!$D$5:$D$64,MATCH(C219,Services!$B$5:$B$64,0)),"")="Per hour",1,E219)))</f>
        <v>0</v>
      </c>
      <c r="O219" s="21">
        <f>IF(B219="","",ROUND(IF(E219="",1,E219)*L219,2))</f>
        <v>0</v>
      </c>
      <c r="P219" s="21">
        <f>IF(B219="","",ROUND(O219*(1-IF(G219="",0,G219)),2))</f>
        <v>0</v>
      </c>
      <c r="Q219" s="21">
        <f>IF(B219="","",ROUND(N219*CostPerHour+IF(E219="",1,E219)*IFERROR(INDEX(Services!$R$5:$R$64,MATCH(C219,Services!$B$5:$B$64,0)),0),2))</f>
        <v>0</v>
      </c>
      <c r="R219" s="38">
        <f>IF(OR(B219="",P219=0),"",(P219-Q219)/P219)</f>
        <v>0</v>
      </c>
      <c r="S219" s="31">
        <f>IF(OR(B219="",C219=""),"",COUNTIFS($B$5:B219,B219))</f>
        <v>0</v>
      </c>
      <c r="T219" s="23">
        <f>IF(S219="","",B219&amp;"|"&amp;S219)</f>
        <v>0</v>
      </c>
      <c r="U219" s="39">
        <f>IF(B219="","",IF(C219="","Add - pick a service",IF(E219="","Add - how many?",IF(L219=0,"Add - no price",IF(AND(R219&lt;&gt;"",R219&lt;MarginFloor),"Below - thin margin","OK")))))</f>
        <v>0</v>
      </c>
    </row>
    <row r="220" spans="1:21">
      <c r="A220" s="43">
        <f>IF(B220="","","QL-"&amp;TEXT(ROW()-4,"0000"))</f>
        <v>0</v>
      </c>
      <c r="J220" s="21">
        <f>IF(C220="","",IFERROR(INDEX(Services!$P$5:$P$64,MATCH(C220,Services!$B$5:$B$64,0)),"0"))</f>
        <v>0</v>
      </c>
      <c r="K220" s="23">
        <f>IF(C220="","",IFERROR(INDEX(Services!$E$5:$E$64,MATCH(C220,Services!$B$5:$B$64,0)),""))</f>
        <v>0</v>
      </c>
      <c r="L220" s="21">
        <f>IF(B220="","",IF(F220&lt;&gt;"",F220,IFERROR(J220*1,0)))</f>
        <v>0</v>
      </c>
      <c r="M220" s="51">
        <f>IF(B220="","",IF(D220&lt;&gt;"",D220,IFERROR(INDEX(Services!$O$5:$O$64,MATCH(C220,Services!$B$5:$B$64,0)),"")))</f>
        <v>0</v>
      </c>
      <c r="N220" s="34">
        <f>IF(B220="","",IFERROR(INDEX(Services!$G$5:$G$64,MATCH(C220,Services!$B$5:$B$64,0)),0)*IF(E220="",1,IF(IFERROR(INDEX(Services!$D$5:$D$64,MATCH(C220,Services!$B$5:$B$64,0)),"")="Per hour",1,E220)))</f>
        <v>0</v>
      </c>
      <c r="O220" s="21">
        <f>IF(B220="","",ROUND(IF(E220="",1,E220)*L220,2))</f>
        <v>0</v>
      </c>
      <c r="P220" s="21">
        <f>IF(B220="","",ROUND(O220*(1-IF(G220="",0,G220)),2))</f>
        <v>0</v>
      </c>
      <c r="Q220" s="21">
        <f>IF(B220="","",ROUND(N220*CostPerHour+IF(E220="",1,E220)*IFERROR(INDEX(Services!$R$5:$R$64,MATCH(C220,Services!$B$5:$B$64,0)),0),2))</f>
        <v>0</v>
      </c>
      <c r="R220" s="38">
        <f>IF(OR(B220="",P220=0),"",(P220-Q220)/P220)</f>
        <v>0</v>
      </c>
      <c r="S220" s="31">
        <f>IF(OR(B220="",C220=""),"",COUNTIFS($B$5:B220,B220))</f>
        <v>0</v>
      </c>
      <c r="T220" s="23">
        <f>IF(S220="","",B220&amp;"|"&amp;S220)</f>
        <v>0</v>
      </c>
      <c r="U220" s="39">
        <f>IF(B220="","",IF(C220="","Add - pick a service",IF(E220="","Add - how many?",IF(L220=0,"Add - no price",IF(AND(R220&lt;&gt;"",R220&lt;MarginFloor),"Below - thin margin","OK")))))</f>
        <v>0</v>
      </c>
    </row>
    <row r="221" spans="1:21">
      <c r="A221" s="43">
        <f>IF(B221="","","QL-"&amp;TEXT(ROW()-4,"0000"))</f>
        <v>0</v>
      </c>
      <c r="J221" s="21">
        <f>IF(C221="","",IFERROR(INDEX(Services!$P$5:$P$64,MATCH(C221,Services!$B$5:$B$64,0)),"0"))</f>
        <v>0</v>
      </c>
      <c r="K221" s="23">
        <f>IF(C221="","",IFERROR(INDEX(Services!$E$5:$E$64,MATCH(C221,Services!$B$5:$B$64,0)),""))</f>
        <v>0</v>
      </c>
      <c r="L221" s="21">
        <f>IF(B221="","",IF(F221&lt;&gt;"",F221,IFERROR(J221*1,0)))</f>
        <v>0</v>
      </c>
      <c r="M221" s="51">
        <f>IF(B221="","",IF(D221&lt;&gt;"",D221,IFERROR(INDEX(Services!$O$5:$O$64,MATCH(C221,Services!$B$5:$B$64,0)),"")))</f>
        <v>0</v>
      </c>
      <c r="N221" s="34">
        <f>IF(B221="","",IFERROR(INDEX(Services!$G$5:$G$64,MATCH(C221,Services!$B$5:$B$64,0)),0)*IF(E221="",1,IF(IFERROR(INDEX(Services!$D$5:$D$64,MATCH(C221,Services!$B$5:$B$64,0)),"")="Per hour",1,E221)))</f>
        <v>0</v>
      </c>
      <c r="O221" s="21">
        <f>IF(B221="","",ROUND(IF(E221="",1,E221)*L221,2))</f>
        <v>0</v>
      </c>
      <c r="P221" s="21">
        <f>IF(B221="","",ROUND(O221*(1-IF(G221="",0,G221)),2))</f>
        <v>0</v>
      </c>
      <c r="Q221" s="21">
        <f>IF(B221="","",ROUND(N221*CostPerHour+IF(E221="",1,E221)*IFERROR(INDEX(Services!$R$5:$R$64,MATCH(C221,Services!$B$5:$B$64,0)),0),2))</f>
        <v>0</v>
      </c>
      <c r="R221" s="38">
        <f>IF(OR(B221="",P221=0),"",(P221-Q221)/P221)</f>
        <v>0</v>
      </c>
      <c r="S221" s="31">
        <f>IF(OR(B221="",C221=""),"",COUNTIFS($B$5:B221,B221))</f>
        <v>0</v>
      </c>
      <c r="T221" s="23">
        <f>IF(S221="","",B221&amp;"|"&amp;S221)</f>
        <v>0</v>
      </c>
      <c r="U221" s="39">
        <f>IF(B221="","",IF(C221="","Add - pick a service",IF(E221="","Add - how many?",IF(L221=0,"Add - no price",IF(AND(R221&lt;&gt;"",R221&lt;MarginFloor),"Below - thin margin","OK")))))</f>
        <v>0</v>
      </c>
    </row>
    <row r="222" spans="1:21">
      <c r="A222" s="43">
        <f>IF(B222="","","QL-"&amp;TEXT(ROW()-4,"0000"))</f>
        <v>0</v>
      </c>
      <c r="J222" s="21">
        <f>IF(C222="","",IFERROR(INDEX(Services!$P$5:$P$64,MATCH(C222,Services!$B$5:$B$64,0)),"0"))</f>
        <v>0</v>
      </c>
      <c r="K222" s="23">
        <f>IF(C222="","",IFERROR(INDEX(Services!$E$5:$E$64,MATCH(C222,Services!$B$5:$B$64,0)),""))</f>
        <v>0</v>
      </c>
      <c r="L222" s="21">
        <f>IF(B222="","",IF(F222&lt;&gt;"",F222,IFERROR(J222*1,0)))</f>
        <v>0</v>
      </c>
      <c r="M222" s="51">
        <f>IF(B222="","",IF(D222&lt;&gt;"",D222,IFERROR(INDEX(Services!$O$5:$O$64,MATCH(C222,Services!$B$5:$B$64,0)),"")))</f>
        <v>0</v>
      </c>
      <c r="N222" s="34">
        <f>IF(B222="","",IFERROR(INDEX(Services!$G$5:$G$64,MATCH(C222,Services!$B$5:$B$64,0)),0)*IF(E222="",1,IF(IFERROR(INDEX(Services!$D$5:$D$64,MATCH(C222,Services!$B$5:$B$64,0)),"")="Per hour",1,E222)))</f>
        <v>0</v>
      </c>
      <c r="O222" s="21">
        <f>IF(B222="","",ROUND(IF(E222="",1,E222)*L222,2))</f>
        <v>0</v>
      </c>
      <c r="P222" s="21">
        <f>IF(B222="","",ROUND(O222*(1-IF(G222="",0,G222)),2))</f>
        <v>0</v>
      </c>
      <c r="Q222" s="21">
        <f>IF(B222="","",ROUND(N222*CostPerHour+IF(E222="",1,E222)*IFERROR(INDEX(Services!$R$5:$R$64,MATCH(C222,Services!$B$5:$B$64,0)),0),2))</f>
        <v>0</v>
      </c>
      <c r="R222" s="38">
        <f>IF(OR(B222="",P222=0),"",(P222-Q222)/P222)</f>
        <v>0</v>
      </c>
      <c r="S222" s="31">
        <f>IF(OR(B222="",C222=""),"",COUNTIFS($B$5:B222,B222))</f>
        <v>0</v>
      </c>
      <c r="T222" s="23">
        <f>IF(S222="","",B222&amp;"|"&amp;S222)</f>
        <v>0</v>
      </c>
      <c r="U222" s="39">
        <f>IF(B222="","",IF(C222="","Add - pick a service",IF(E222="","Add - how many?",IF(L222=0,"Add - no price",IF(AND(R222&lt;&gt;"",R222&lt;MarginFloor),"Below - thin margin","OK")))))</f>
        <v>0</v>
      </c>
    </row>
    <row r="223" spans="1:21">
      <c r="A223" s="43">
        <f>IF(B223="","","QL-"&amp;TEXT(ROW()-4,"0000"))</f>
        <v>0</v>
      </c>
      <c r="J223" s="21">
        <f>IF(C223="","",IFERROR(INDEX(Services!$P$5:$P$64,MATCH(C223,Services!$B$5:$B$64,0)),"0"))</f>
        <v>0</v>
      </c>
      <c r="K223" s="23">
        <f>IF(C223="","",IFERROR(INDEX(Services!$E$5:$E$64,MATCH(C223,Services!$B$5:$B$64,0)),""))</f>
        <v>0</v>
      </c>
      <c r="L223" s="21">
        <f>IF(B223="","",IF(F223&lt;&gt;"",F223,IFERROR(J223*1,0)))</f>
        <v>0</v>
      </c>
      <c r="M223" s="51">
        <f>IF(B223="","",IF(D223&lt;&gt;"",D223,IFERROR(INDEX(Services!$O$5:$O$64,MATCH(C223,Services!$B$5:$B$64,0)),"")))</f>
        <v>0</v>
      </c>
      <c r="N223" s="34">
        <f>IF(B223="","",IFERROR(INDEX(Services!$G$5:$G$64,MATCH(C223,Services!$B$5:$B$64,0)),0)*IF(E223="",1,IF(IFERROR(INDEX(Services!$D$5:$D$64,MATCH(C223,Services!$B$5:$B$64,0)),"")="Per hour",1,E223)))</f>
        <v>0</v>
      </c>
      <c r="O223" s="21">
        <f>IF(B223="","",ROUND(IF(E223="",1,E223)*L223,2))</f>
        <v>0</v>
      </c>
      <c r="P223" s="21">
        <f>IF(B223="","",ROUND(O223*(1-IF(G223="",0,G223)),2))</f>
        <v>0</v>
      </c>
      <c r="Q223" s="21">
        <f>IF(B223="","",ROUND(N223*CostPerHour+IF(E223="",1,E223)*IFERROR(INDEX(Services!$R$5:$R$64,MATCH(C223,Services!$B$5:$B$64,0)),0),2))</f>
        <v>0</v>
      </c>
      <c r="R223" s="38">
        <f>IF(OR(B223="",P223=0),"",(P223-Q223)/P223)</f>
        <v>0</v>
      </c>
      <c r="S223" s="31">
        <f>IF(OR(B223="",C223=""),"",COUNTIFS($B$5:B223,B223))</f>
        <v>0</v>
      </c>
      <c r="T223" s="23">
        <f>IF(S223="","",B223&amp;"|"&amp;S223)</f>
        <v>0</v>
      </c>
      <c r="U223" s="39">
        <f>IF(B223="","",IF(C223="","Add - pick a service",IF(E223="","Add - how many?",IF(L223=0,"Add - no price",IF(AND(R223&lt;&gt;"",R223&lt;MarginFloor),"Below - thin margin","OK")))))</f>
        <v>0</v>
      </c>
    </row>
    <row r="224" spans="1:21">
      <c r="A224" s="43">
        <f>IF(B224="","","QL-"&amp;TEXT(ROW()-4,"0000"))</f>
        <v>0</v>
      </c>
      <c r="J224" s="21">
        <f>IF(C224="","",IFERROR(INDEX(Services!$P$5:$P$64,MATCH(C224,Services!$B$5:$B$64,0)),"0"))</f>
        <v>0</v>
      </c>
      <c r="K224" s="23">
        <f>IF(C224="","",IFERROR(INDEX(Services!$E$5:$E$64,MATCH(C224,Services!$B$5:$B$64,0)),""))</f>
        <v>0</v>
      </c>
      <c r="L224" s="21">
        <f>IF(B224="","",IF(F224&lt;&gt;"",F224,IFERROR(J224*1,0)))</f>
        <v>0</v>
      </c>
      <c r="M224" s="51">
        <f>IF(B224="","",IF(D224&lt;&gt;"",D224,IFERROR(INDEX(Services!$O$5:$O$64,MATCH(C224,Services!$B$5:$B$64,0)),"")))</f>
        <v>0</v>
      </c>
      <c r="N224" s="34">
        <f>IF(B224="","",IFERROR(INDEX(Services!$G$5:$G$64,MATCH(C224,Services!$B$5:$B$64,0)),0)*IF(E224="",1,IF(IFERROR(INDEX(Services!$D$5:$D$64,MATCH(C224,Services!$B$5:$B$64,0)),"")="Per hour",1,E224)))</f>
        <v>0</v>
      </c>
      <c r="O224" s="21">
        <f>IF(B224="","",ROUND(IF(E224="",1,E224)*L224,2))</f>
        <v>0</v>
      </c>
      <c r="P224" s="21">
        <f>IF(B224="","",ROUND(O224*(1-IF(G224="",0,G224)),2))</f>
        <v>0</v>
      </c>
      <c r="Q224" s="21">
        <f>IF(B224="","",ROUND(N224*CostPerHour+IF(E224="",1,E224)*IFERROR(INDEX(Services!$R$5:$R$64,MATCH(C224,Services!$B$5:$B$64,0)),0),2))</f>
        <v>0</v>
      </c>
      <c r="R224" s="38">
        <f>IF(OR(B224="",P224=0),"",(P224-Q224)/P224)</f>
        <v>0</v>
      </c>
      <c r="S224" s="31">
        <f>IF(OR(B224="",C224=""),"",COUNTIFS($B$5:B224,B224))</f>
        <v>0</v>
      </c>
      <c r="T224" s="23">
        <f>IF(S224="","",B224&amp;"|"&amp;S224)</f>
        <v>0</v>
      </c>
      <c r="U224" s="39">
        <f>IF(B224="","",IF(C224="","Add - pick a service",IF(E224="","Add - how many?",IF(L224=0,"Add - no price",IF(AND(R224&lt;&gt;"",R224&lt;MarginFloor),"Below - thin margin","OK")))))</f>
        <v>0</v>
      </c>
    </row>
    <row r="225" spans="1:21">
      <c r="A225" s="43">
        <f>IF(B225="","","QL-"&amp;TEXT(ROW()-4,"0000"))</f>
        <v>0</v>
      </c>
      <c r="J225" s="21">
        <f>IF(C225="","",IFERROR(INDEX(Services!$P$5:$P$64,MATCH(C225,Services!$B$5:$B$64,0)),"0"))</f>
        <v>0</v>
      </c>
      <c r="K225" s="23">
        <f>IF(C225="","",IFERROR(INDEX(Services!$E$5:$E$64,MATCH(C225,Services!$B$5:$B$64,0)),""))</f>
        <v>0</v>
      </c>
      <c r="L225" s="21">
        <f>IF(B225="","",IF(F225&lt;&gt;"",F225,IFERROR(J225*1,0)))</f>
        <v>0</v>
      </c>
      <c r="M225" s="51">
        <f>IF(B225="","",IF(D225&lt;&gt;"",D225,IFERROR(INDEX(Services!$O$5:$O$64,MATCH(C225,Services!$B$5:$B$64,0)),"")))</f>
        <v>0</v>
      </c>
      <c r="N225" s="34">
        <f>IF(B225="","",IFERROR(INDEX(Services!$G$5:$G$64,MATCH(C225,Services!$B$5:$B$64,0)),0)*IF(E225="",1,IF(IFERROR(INDEX(Services!$D$5:$D$64,MATCH(C225,Services!$B$5:$B$64,0)),"")="Per hour",1,E225)))</f>
        <v>0</v>
      </c>
      <c r="O225" s="21">
        <f>IF(B225="","",ROUND(IF(E225="",1,E225)*L225,2))</f>
        <v>0</v>
      </c>
      <c r="P225" s="21">
        <f>IF(B225="","",ROUND(O225*(1-IF(G225="",0,G225)),2))</f>
        <v>0</v>
      </c>
      <c r="Q225" s="21">
        <f>IF(B225="","",ROUND(N225*CostPerHour+IF(E225="",1,E225)*IFERROR(INDEX(Services!$R$5:$R$64,MATCH(C225,Services!$B$5:$B$64,0)),0),2))</f>
        <v>0</v>
      </c>
      <c r="R225" s="38">
        <f>IF(OR(B225="",P225=0),"",(P225-Q225)/P225)</f>
        <v>0</v>
      </c>
      <c r="S225" s="31">
        <f>IF(OR(B225="",C225=""),"",COUNTIFS($B$5:B225,B225))</f>
        <v>0</v>
      </c>
      <c r="T225" s="23">
        <f>IF(S225="","",B225&amp;"|"&amp;S225)</f>
        <v>0</v>
      </c>
      <c r="U225" s="39">
        <f>IF(B225="","",IF(C225="","Add - pick a service",IF(E225="","Add - how many?",IF(L225=0,"Add - no price",IF(AND(R225&lt;&gt;"",R225&lt;MarginFloor),"Below - thin margin","OK")))))</f>
        <v>0</v>
      </c>
    </row>
    <row r="226" spans="1:21">
      <c r="A226" s="43">
        <f>IF(B226="","","QL-"&amp;TEXT(ROW()-4,"0000"))</f>
        <v>0</v>
      </c>
      <c r="J226" s="21">
        <f>IF(C226="","",IFERROR(INDEX(Services!$P$5:$P$64,MATCH(C226,Services!$B$5:$B$64,0)),"0"))</f>
        <v>0</v>
      </c>
      <c r="K226" s="23">
        <f>IF(C226="","",IFERROR(INDEX(Services!$E$5:$E$64,MATCH(C226,Services!$B$5:$B$64,0)),""))</f>
        <v>0</v>
      </c>
      <c r="L226" s="21">
        <f>IF(B226="","",IF(F226&lt;&gt;"",F226,IFERROR(J226*1,0)))</f>
        <v>0</v>
      </c>
      <c r="M226" s="51">
        <f>IF(B226="","",IF(D226&lt;&gt;"",D226,IFERROR(INDEX(Services!$O$5:$O$64,MATCH(C226,Services!$B$5:$B$64,0)),"")))</f>
        <v>0</v>
      </c>
      <c r="N226" s="34">
        <f>IF(B226="","",IFERROR(INDEX(Services!$G$5:$G$64,MATCH(C226,Services!$B$5:$B$64,0)),0)*IF(E226="",1,IF(IFERROR(INDEX(Services!$D$5:$D$64,MATCH(C226,Services!$B$5:$B$64,0)),"")="Per hour",1,E226)))</f>
        <v>0</v>
      </c>
      <c r="O226" s="21">
        <f>IF(B226="","",ROUND(IF(E226="",1,E226)*L226,2))</f>
        <v>0</v>
      </c>
      <c r="P226" s="21">
        <f>IF(B226="","",ROUND(O226*(1-IF(G226="",0,G226)),2))</f>
        <v>0</v>
      </c>
      <c r="Q226" s="21">
        <f>IF(B226="","",ROUND(N226*CostPerHour+IF(E226="",1,E226)*IFERROR(INDEX(Services!$R$5:$R$64,MATCH(C226,Services!$B$5:$B$64,0)),0),2))</f>
        <v>0</v>
      </c>
      <c r="R226" s="38">
        <f>IF(OR(B226="",P226=0),"",(P226-Q226)/P226)</f>
        <v>0</v>
      </c>
      <c r="S226" s="31">
        <f>IF(OR(B226="",C226=""),"",COUNTIFS($B$5:B226,B226))</f>
        <v>0</v>
      </c>
      <c r="T226" s="23">
        <f>IF(S226="","",B226&amp;"|"&amp;S226)</f>
        <v>0</v>
      </c>
      <c r="U226" s="39">
        <f>IF(B226="","",IF(C226="","Add - pick a service",IF(E226="","Add - how many?",IF(L226=0,"Add - no price",IF(AND(R226&lt;&gt;"",R226&lt;MarginFloor),"Below - thin margin","OK")))))</f>
        <v>0</v>
      </c>
    </row>
    <row r="227" spans="1:21">
      <c r="A227" s="43">
        <f>IF(B227="","","QL-"&amp;TEXT(ROW()-4,"0000"))</f>
        <v>0</v>
      </c>
      <c r="J227" s="21">
        <f>IF(C227="","",IFERROR(INDEX(Services!$P$5:$P$64,MATCH(C227,Services!$B$5:$B$64,0)),"0"))</f>
        <v>0</v>
      </c>
      <c r="K227" s="23">
        <f>IF(C227="","",IFERROR(INDEX(Services!$E$5:$E$64,MATCH(C227,Services!$B$5:$B$64,0)),""))</f>
        <v>0</v>
      </c>
      <c r="L227" s="21">
        <f>IF(B227="","",IF(F227&lt;&gt;"",F227,IFERROR(J227*1,0)))</f>
        <v>0</v>
      </c>
      <c r="M227" s="51">
        <f>IF(B227="","",IF(D227&lt;&gt;"",D227,IFERROR(INDEX(Services!$O$5:$O$64,MATCH(C227,Services!$B$5:$B$64,0)),"")))</f>
        <v>0</v>
      </c>
      <c r="N227" s="34">
        <f>IF(B227="","",IFERROR(INDEX(Services!$G$5:$G$64,MATCH(C227,Services!$B$5:$B$64,0)),0)*IF(E227="",1,IF(IFERROR(INDEX(Services!$D$5:$D$64,MATCH(C227,Services!$B$5:$B$64,0)),"")="Per hour",1,E227)))</f>
        <v>0</v>
      </c>
      <c r="O227" s="21">
        <f>IF(B227="","",ROUND(IF(E227="",1,E227)*L227,2))</f>
        <v>0</v>
      </c>
      <c r="P227" s="21">
        <f>IF(B227="","",ROUND(O227*(1-IF(G227="",0,G227)),2))</f>
        <v>0</v>
      </c>
      <c r="Q227" s="21">
        <f>IF(B227="","",ROUND(N227*CostPerHour+IF(E227="",1,E227)*IFERROR(INDEX(Services!$R$5:$R$64,MATCH(C227,Services!$B$5:$B$64,0)),0),2))</f>
        <v>0</v>
      </c>
      <c r="R227" s="38">
        <f>IF(OR(B227="",P227=0),"",(P227-Q227)/P227)</f>
        <v>0</v>
      </c>
      <c r="S227" s="31">
        <f>IF(OR(B227="",C227=""),"",COUNTIFS($B$5:B227,B227))</f>
        <v>0</v>
      </c>
      <c r="T227" s="23">
        <f>IF(S227="","",B227&amp;"|"&amp;S227)</f>
        <v>0</v>
      </c>
      <c r="U227" s="39">
        <f>IF(B227="","",IF(C227="","Add - pick a service",IF(E227="","Add - how many?",IF(L227=0,"Add - no price",IF(AND(R227&lt;&gt;"",R227&lt;MarginFloor),"Below - thin margin","OK")))))</f>
        <v>0</v>
      </c>
    </row>
    <row r="228" spans="1:21">
      <c r="A228" s="43">
        <f>IF(B228="","","QL-"&amp;TEXT(ROW()-4,"0000"))</f>
        <v>0</v>
      </c>
      <c r="J228" s="21">
        <f>IF(C228="","",IFERROR(INDEX(Services!$P$5:$P$64,MATCH(C228,Services!$B$5:$B$64,0)),"0"))</f>
        <v>0</v>
      </c>
      <c r="K228" s="23">
        <f>IF(C228="","",IFERROR(INDEX(Services!$E$5:$E$64,MATCH(C228,Services!$B$5:$B$64,0)),""))</f>
        <v>0</v>
      </c>
      <c r="L228" s="21">
        <f>IF(B228="","",IF(F228&lt;&gt;"",F228,IFERROR(J228*1,0)))</f>
        <v>0</v>
      </c>
      <c r="M228" s="51">
        <f>IF(B228="","",IF(D228&lt;&gt;"",D228,IFERROR(INDEX(Services!$O$5:$O$64,MATCH(C228,Services!$B$5:$B$64,0)),"")))</f>
        <v>0</v>
      </c>
      <c r="N228" s="34">
        <f>IF(B228="","",IFERROR(INDEX(Services!$G$5:$G$64,MATCH(C228,Services!$B$5:$B$64,0)),0)*IF(E228="",1,IF(IFERROR(INDEX(Services!$D$5:$D$64,MATCH(C228,Services!$B$5:$B$64,0)),"")="Per hour",1,E228)))</f>
        <v>0</v>
      </c>
      <c r="O228" s="21">
        <f>IF(B228="","",ROUND(IF(E228="",1,E228)*L228,2))</f>
        <v>0</v>
      </c>
      <c r="P228" s="21">
        <f>IF(B228="","",ROUND(O228*(1-IF(G228="",0,G228)),2))</f>
        <v>0</v>
      </c>
      <c r="Q228" s="21">
        <f>IF(B228="","",ROUND(N228*CostPerHour+IF(E228="",1,E228)*IFERROR(INDEX(Services!$R$5:$R$64,MATCH(C228,Services!$B$5:$B$64,0)),0),2))</f>
        <v>0</v>
      </c>
      <c r="R228" s="38">
        <f>IF(OR(B228="",P228=0),"",(P228-Q228)/P228)</f>
        <v>0</v>
      </c>
      <c r="S228" s="31">
        <f>IF(OR(B228="",C228=""),"",COUNTIFS($B$5:B228,B228))</f>
        <v>0</v>
      </c>
      <c r="T228" s="23">
        <f>IF(S228="","",B228&amp;"|"&amp;S228)</f>
        <v>0</v>
      </c>
      <c r="U228" s="39">
        <f>IF(B228="","",IF(C228="","Add - pick a service",IF(E228="","Add - how many?",IF(L228=0,"Add - no price",IF(AND(R228&lt;&gt;"",R228&lt;MarginFloor),"Below - thin margin","OK")))))</f>
        <v>0</v>
      </c>
    </row>
    <row r="229" spans="1:21">
      <c r="A229" s="43">
        <f>IF(B229="","","QL-"&amp;TEXT(ROW()-4,"0000"))</f>
        <v>0</v>
      </c>
      <c r="J229" s="21">
        <f>IF(C229="","",IFERROR(INDEX(Services!$P$5:$P$64,MATCH(C229,Services!$B$5:$B$64,0)),"0"))</f>
        <v>0</v>
      </c>
      <c r="K229" s="23">
        <f>IF(C229="","",IFERROR(INDEX(Services!$E$5:$E$64,MATCH(C229,Services!$B$5:$B$64,0)),""))</f>
        <v>0</v>
      </c>
      <c r="L229" s="21">
        <f>IF(B229="","",IF(F229&lt;&gt;"",F229,IFERROR(J229*1,0)))</f>
        <v>0</v>
      </c>
      <c r="M229" s="51">
        <f>IF(B229="","",IF(D229&lt;&gt;"",D229,IFERROR(INDEX(Services!$O$5:$O$64,MATCH(C229,Services!$B$5:$B$64,0)),"")))</f>
        <v>0</v>
      </c>
      <c r="N229" s="34">
        <f>IF(B229="","",IFERROR(INDEX(Services!$G$5:$G$64,MATCH(C229,Services!$B$5:$B$64,0)),0)*IF(E229="",1,IF(IFERROR(INDEX(Services!$D$5:$D$64,MATCH(C229,Services!$B$5:$B$64,0)),"")="Per hour",1,E229)))</f>
        <v>0</v>
      </c>
      <c r="O229" s="21">
        <f>IF(B229="","",ROUND(IF(E229="",1,E229)*L229,2))</f>
        <v>0</v>
      </c>
      <c r="P229" s="21">
        <f>IF(B229="","",ROUND(O229*(1-IF(G229="",0,G229)),2))</f>
        <v>0</v>
      </c>
      <c r="Q229" s="21">
        <f>IF(B229="","",ROUND(N229*CostPerHour+IF(E229="",1,E229)*IFERROR(INDEX(Services!$R$5:$R$64,MATCH(C229,Services!$B$5:$B$64,0)),0),2))</f>
        <v>0</v>
      </c>
      <c r="R229" s="38">
        <f>IF(OR(B229="",P229=0),"",(P229-Q229)/P229)</f>
        <v>0</v>
      </c>
      <c r="S229" s="31">
        <f>IF(OR(B229="",C229=""),"",COUNTIFS($B$5:B229,B229))</f>
        <v>0</v>
      </c>
      <c r="T229" s="23">
        <f>IF(S229="","",B229&amp;"|"&amp;S229)</f>
        <v>0</v>
      </c>
      <c r="U229" s="39">
        <f>IF(B229="","",IF(C229="","Add - pick a service",IF(E229="","Add - how many?",IF(L229=0,"Add - no price",IF(AND(R229&lt;&gt;"",R229&lt;MarginFloor),"Below - thin margin","OK")))))</f>
        <v>0</v>
      </c>
    </row>
    <row r="230" spans="1:21">
      <c r="A230" s="43">
        <f>IF(B230="","","QL-"&amp;TEXT(ROW()-4,"0000"))</f>
        <v>0</v>
      </c>
      <c r="J230" s="21">
        <f>IF(C230="","",IFERROR(INDEX(Services!$P$5:$P$64,MATCH(C230,Services!$B$5:$B$64,0)),"0"))</f>
        <v>0</v>
      </c>
      <c r="K230" s="23">
        <f>IF(C230="","",IFERROR(INDEX(Services!$E$5:$E$64,MATCH(C230,Services!$B$5:$B$64,0)),""))</f>
        <v>0</v>
      </c>
      <c r="L230" s="21">
        <f>IF(B230="","",IF(F230&lt;&gt;"",F230,IFERROR(J230*1,0)))</f>
        <v>0</v>
      </c>
      <c r="M230" s="51">
        <f>IF(B230="","",IF(D230&lt;&gt;"",D230,IFERROR(INDEX(Services!$O$5:$O$64,MATCH(C230,Services!$B$5:$B$64,0)),"")))</f>
        <v>0</v>
      </c>
      <c r="N230" s="34">
        <f>IF(B230="","",IFERROR(INDEX(Services!$G$5:$G$64,MATCH(C230,Services!$B$5:$B$64,0)),0)*IF(E230="",1,IF(IFERROR(INDEX(Services!$D$5:$D$64,MATCH(C230,Services!$B$5:$B$64,0)),"")="Per hour",1,E230)))</f>
        <v>0</v>
      </c>
      <c r="O230" s="21">
        <f>IF(B230="","",ROUND(IF(E230="",1,E230)*L230,2))</f>
        <v>0</v>
      </c>
      <c r="P230" s="21">
        <f>IF(B230="","",ROUND(O230*(1-IF(G230="",0,G230)),2))</f>
        <v>0</v>
      </c>
      <c r="Q230" s="21">
        <f>IF(B230="","",ROUND(N230*CostPerHour+IF(E230="",1,E230)*IFERROR(INDEX(Services!$R$5:$R$64,MATCH(C230,Services!$B$5:$B$64,0)),0),2))</f>
        <v>0</v>
      </c>
      <c r="R230" s="38">
        <f>IF(OR(B230="",P230=0),"",(P230-Q230)/P230)</f>
        <v>0</v>
      </c>
      <c r="S230" s="31">
        <f>IF(OR(B230="",C230=""),"",COUNTIFS($B$5:B230,B230))</f>
        <v>0</v>
      </c>
      <c r="T230" s="23">
        <f>IF(S230="","",B230&amp;"|"&amp;S230)</f>
        <v>0</v>
      </c>
      <c r="U230" s="39">
        <f>IF(B230="","",IF(C230="","Add - pick a service",IF(E230="","Add - how many?",IF(L230=0,"Add - no price",IF(AND(R230&lt;&gt;"",R230&lt;MarginFloor),"Below - thin margin","OK")))))</f>
        <v>0</v>
      </c>
    </row>
    <row r="231" spans="1:21">
      <c r="A231" s="43">
        <f>IF(B231="","","QL-"&amp;TEXT(ROW()-4,"0000"))</f>
        <v>0</v>
      </c>
      <c r="J231" s="21">
        <f>IF(C231="","",IFERROR(INDEX(Services!$P$5:$P$64,MATCH(C231,Services!$B$5:$B$64,0)),"0"))</f>
        <v>0</v>
      </c>
      <c r="K231" s="23">
        <f>IF(C231="","",IFERROR(INDEX(Services!$E$5:$E$64,MATCH(C231,Services!$B$5:$B$64,0)),""))</f>
        <v>0</v>
      </c>
      <c r="L231" s="21">
        <f>IF(B231="","",IF(F231&lt;&gt;"",F231,IFERROR(J231*1,0)))</f>
        <v>0</v>
      </c>
      <c r="M231" s="51">
        <f>IF(B231="","",IF(D231&lt;&gt;"",D231,IFERROR(INDEX(Services!$O$5:$O$64,MATCH(C231,Services!$B$5:$B$64,0)),"")))</f>
        <v>0</v>
      </c>
      <c r="N231" s="34">
        <f>IF(B231="","",IFERROR(INDEX(Services!$G$5:$G$64,MATCH(C231,Services!$B$5:$B$64,0)),0)*IF(E231="",1,IF(IFERROR(INDEX(Services!$D$5:$D$64,MATCH(C231,Services!$B$5:$B$64,0)),"")="Per hour",1,E231)))</f>
        <v>0</v>
      </c>
      <c r="O231" s="21">
        <f>IF(B231="","",ROUND(IF(E231="",1,E231)*L231,2))</f>
        <v>0</v>
      </c>
      <c r="P231" s="21">
        <f>IF(B231="","",ROUND(O231*(1-IF(G231="",0,G231)),2))</f>
        <v>0</v>
      </c>
      <c r="Q231" s="21">
        <f>IF(B231="","",ROUND(N231*CostPerHour+IF(E231="",1,E231)*IFERROR(INDEX(Services!$R$5:$R$64,MATCH(C231,Services!$B$5:$B$64,0)),0),2))</f>
        <v>0</v>
      </c>
      <c r="R231" s="38">
        <f>IF(OR(B231="",P231=0),"",(P231-Q231)/P231)</f>
        <v>0</v>
      </c>
      <c r="S231" s="31">
        <f>IF(OR(B231="",C231=""),"",COUNTIFS($B$5:B231,B231))</f>
        <v>0</v>
      </c>
      <c r="T231" s="23">
        <f>IF(S231="","",B231&amp;"|"&amp;S231)</f>
        <v>0</v>
      </c>
      <c r="U231" s="39">
        <f>IF(B231="","",IF(C231="","Add - pick a service",IF(E231="","Add - how many?",IF(L231=0,"Add - no price",IF(AND(R231&lt;&gt;"",R231&lt;MarginFloor),"Below - thin margin","OK")))))</f>
        <v>0</v>
      </c>
    </row>
    <row r="232" spans="1:21">
      <c r="A232" s="43">
        <f>IF(B232="","","QL-"&amp;TEXT(ROW()-4,"0000"))</f>
        <v>0</v>
      </c>
      <c r="J232" s="21">
        <f>IF(C232="","",IFERROR(INDEX(Services!$P$5:$P$64,MATCH(C232,Services!$B$5:$B$64,0)),"0"))</f>
        <v>0</v>
      </c>
      <c r="K232" s="23">
        <f>IF(C232="","",IFERROR(INDEX(Services!$E$5:$E$64,MATCH(C232,Services!$B$5:$B$64,0)),""))</f>
        <v>0</v>
      </c>
      <c r="L232" s="21">
        <f>IF(B232="","",IF(F232&lt;&gt;"",F232,IFERROR(J232*1,0)))</f>
        <v>0</v>
      </c>
      <c r="M232" s="51">
        <f>IF(B232="","",IF(D232&lt;&gt;"",D232,IFERROR(INDEX(Services!$O$5:$O$64,MATCH(C232,Services!$B$5:$B$64,0)),"")))</f>
        <v>0</v>
      </c>
      <c r="N232" s="34">
        <f>IF(B232="","",IFERROR(INDEX(Services!$G$5:$G$64,MATCH(C232,Services!$B$5:$B$64,0)),0)*IF(E232="",1,IF(IFERROR(INDEX(Services!$D$5:$D$64,MATCH(C232,Services!$B$5:$B$64,0)),"")="Per hour",1,E232)))</f>
        <v>0</v>
      </c>
      <c r="O232" s="21">
        <f>IF(B232="","",ROUND(IF(E232="",1,E232)*L232,2))</f>
        <v>0</v>
      </c>
      <c r="P232" s="21">
        <f>IF(B232="","",ROUND(O232*(1-IF(G232="",0,G232)),2))</f>
        <v>0</v>
      </c>
      <c r="Q232" s="21">
        <f>IF(B232="","",ROUND(N232*CostPerHour+IF(E232="",1,E232)*IFERROR(INDEX(Services!$R$5:$R$64,MATCH(C232,Services!$B$5:$B$64,0)),0),2))</f>
        <v>0</v>
      </c>
      <c r="R232" s="38">
        <f>IF(OR(B232="",P232=0),"",(P232-Q232)/P232)</f>
        <v>0</v>
      </c>
      <c r="S232" s="31">
        <f>IF(OR(B232="",C232=""),"",COUNTIFS($B$5:B232,B232))</f>
        <v>0</v>
      </c>
      <c r="T232" s="23">
        <f>IF(S232="","",B232&amp;"|"&amp;S232)</f>
        <v>0</v>
      </c>
      <c r="U232" s="39">
        <f>IF(B232="","",IF(C232="","Add - pick a service",IF(E232="","Add - how many?",IF(L232=0,"Add - no price",IF(AND(R232&lt;&gt;"",R232&lt;MarginFloor),"Below - thin margin","OK")))))</f>
        <v>0</v>
      </c>
    </row>
    <row r="233" spans="1:21">
      <c r="A233" s="43">
        <f>IF(B233="","","QL-"&amp;TEXT(ROW()-4,"0000"))</f>
        <v>0</v>
      </c>
      <c r="J233" s="21">
        <f>IF(C233="","",IFERROR(INDEX(Services!$P$5:$P$64,MATCH(C233,Services!$B$5:$B$64,0)),"0"))</f>
        <v>0</v>
      </c>
      <c r="K233" s="23">
        <f>IF(C233="","",IFERROR(INDEX(Services!$E$5:$E$64,MATCH(C233,Services!$B$5:$B$64,0)),""))</f>
        <v>0</v>
      </c>
      <c r="L233" s="21">
        <f>IF(B233="","",IF(F233&lt;&gt;"",F233,IFERROR(J233*1,0)))</f>
        <v>0</v>
      </c>
      <c r="M233" s="51">
        <f>IF(B233="","",IF(D233&lt;&gt;"",D233,IFERROR(INDEX(Services!$O$5:$O$64,MATCH(C233,Services!$B$5:$B$64,0)),"")))</f>
        <v>0</v>
      </c>
      <c r="N233" s="34">
        <f>IF(B233="","",IFERROR(INDEX(Services!$G$5:$G$64,MATCH(C233,Services!$B$5:$B$64,0)),0)*IF(E233="",1,IF(IFERROR(INDEX(Services!$D$5:$D$64,MATCH(C233,Services!$B$5:$B$64,0)),"")="Per hour",1,E233)))</f>
        <v>0</v>
      </c>
      <c r="O233" s="21">
        <f>IF(B233="","",ROUND(IF(E233="",1,E233)*L233,2))</f>
        <v>0</v>
      </c>
      <c r="P233" s="21">
        <f>IF(B233="","",ROUND(O233*(1-IF(G233="",0,G233)),2))</f>
        <v>0</v>
      </c>
      <c r="Q233" s="21">
        <f>IF(B233="","",ROUND(N233*CostPerHour+IF(E233="",1,E233)*IFERROR(INDEX(Services!$R$5:$R$64,MATCH(C233,Services!$B$5:$B$64,0)),0),2))</f>
        <v>0</v>
      </c>
      <c r="R233" s="38">
        <f>IF(OR(B233="",P233=0),"",(P233-Q233)/P233)</f>
        <v>0</v>
      </c>
      <c r="S233" s="31">
        <f>IF(OR(B233="",C233=""),"",COUNTIFS($B$5:B233,B233))</f>
        <v>0</v>
      </c>
      <c r="T233" s="23">
        <f>IF(S233="","",B233&amp;"|"&amp;S233)</f>
        <v>0</v>
      </c>
      <c r="U233" s="39">
        <f>IF(B233="","",IF(C233="","Add - pick a service",IF(E233="","Add - how many?",IF(L233=0,"Add - no price",IF(AND(R233&lt;&gt;"",R233&lt;MarginFloor),"Below - thin margin","OK")))))</f>
        <v>0</v>
      </c>
    </row>
    <row r="234" spans="1:21">
      <c r="A234" s="43">
        <f>IF(B234="","","QL-"&amp;TEXT(ROW()-4,"0000"))</f>
        <v>0</v>
      </c>
      <c r="J234" s="21">
        <f>IF(C234="","",IFERROR(INDEX(Services!$P$5:$P$64,MATCH(C234,Services!$B$5:$B$64,0)),"0"))</f>
        <v>0</v>
      </c>
      <c r="K234" s="23">
        <f>IF(C234="","",IFERROR(INDEX(Services!$E$5:$E$64,MATCH(C234,Services!$B$5:$B$64,0)),""))</f>
        <v>0</v>
      </c>
      <c r="L234" s="21">
        <f>IF(B234="","",IF(F234&lt;&gt;"",F234,IFERROR(J234*1,0)))</f>
        <v>0</v>
      </c>
      <c r="M234" s="51">
        <f>IF(B234="","",IF(D234&lt;&gt;"",D234,IFERROR(INDEX(Services!$O$5:$O$64,MATCH(C234,Services!$B$5:$B$64,0)),"")))</f>
        <v>0</v>
      </c>
      <c r="N234" s="34">
        <f>IF(B234="","",IFERROR(INDEX(Services!$G$5:$G$64,MATCH(C234,Services!$B$5:$B$64,0)),0)*IF(E234="",1,IF(IFERROR(INDEX(Services!$D$5:$D$64,MATCH(C234,Services!$B$5:$B$64,0)),"")="Per hour",1,E234)))</f>
        <v>0</v>
      </c>
      <c r="O234" s="21">
        <f>IF(B234="","",ROUND(IF(E234="",1,E234)*L234,2))</f>
        <v>0</v>
      </c>
      <c r="P234" s="21">
        <f>IF(B234="","",ROUND(O234*(1-IF(G234="",0,G234)),2))</f>
        <v>0</v>
      </c>
      <c r="Q234" s="21">
        <f>IF(B234="","",ROUND(N234*CostPerHour+IF(E234="",1,E234)*IFERROR(INDEX(Services!$R$5:$R$64,MATCH(C234,Services!$B$5:$B$64,0)),0),2))</f>
        <v>0</v>
      </c>
      <c r="R234" s="38">
        <f>IF(OR(B234="",P234=0),"",(P234-Q234)/P234)</f>
        <v>0</v>
      </c>
      <c r="S234" s="31">
        <f>IF(OR(B234="",C234=""),"",COUNTIFS($B$5:B234,B234))</f>
        <v>0</v>
      </c>
      <c r="T234" s="23">
        <f>IF(S234="","",B234&amp;"|"&amp;S234)</f>
        <v>0</v>
      </c>
      <c r="U234" s="39">
        <f>IF(B234="","",IF(C234="","Add - pick a service",IF(E234="","Add - how many?",IF(L234=0,"Add - no price",IF(AND(R234&lt;&gt;"",R234&lt;MarginFloor),"Below - thin margin","OK")))))</f>
        <v>0</v>
      </c>
    </row>
    <row r="235" spans="1:21">
      <c r="A235" s="43">
        <f>IF(B235="","","QL-"&amp;TEXT(ROW()-4,"0000"))</f>
        <v>0</v>
      </c>
      <c r="J235" s="21">
        <f>IF(C235="","",IFERROR(INDEX(Services!$P$5:$P$64,MATCH(C235,Services!$B$5:$B$64,0)),"0"))</f>
        <v>0</v>
      </c>
      <c r="K235" s="23">
        <f>IF(C235="","",IFERROR(INDEX(Services!$E$5:$E$64,MATCH(C235,Services!$B$5:$B$64,0)),""))</f>
        <v>0</v>
      </c>
      <c r="L235" s="21">
        <f>IF(B235="","",IF(F235&lt;&gt;"",F235,IFERROR(J235*1,0)))</f>
        <v>0</v>
      </c>
      <c r="M235" s="51">
        <f>IF(B235="","",IF(D235&lt;&gt;"",D235,IFERROR(INDEX(Services!$O$5:$O$64,MATCH(C235,Services!$B$5:$B$64,0)),"")))</f>
        <v>0</v>
      </c>
      <c r="N235" s="34">
        <f>IF(B235="","",IFERROR(INDEX(Services!$G$5:$G$64,MATCH(C235,Services!$B$5:$B$64,0)),0)*IF(E235="",1,IF(IFERROR(INDEX(Services!$D$5:$D$64,MATCH(C235,Services!$B$5:$B$64,0)),"")="Per hour",1,E235)))</f>
        <v>0</v>
      </c>
      <c r="O235" s="21">
        <f>IF(B235="","",ROUND(IF(E235="",1,E235)*L235,2))</f>
        <v>0</v>
      </c>
      <c r="P235" s="21">
        <f>IF(B235="","",ROUND(O235*(1-IF(G235="",0,G235)),2))</f>
        <v>0</v>
      </c>
      <c r="Q235" s="21">
        <f>IF(B235="","",ROUND(N235*CostPerHour+IF(E235="",1,E235)*IFERROR(INDEX(Services!$R$5:$R$64,MATCH(C235,Services!$B$5:$B$64,0)),0),2))</f>
        <v>0</v>
      </c>
      <c r="R235" s="38">
        <f>IF(OR(B235="",P235=0),"",(P235-Q235)/P235)</f>
        <v>0</v>
      </c>
      <c r="S235" s="31">
        <f>IF(OR(B235="",C235=""),"",COUNTIFS($B$5:B235,B235))</f>
        <v>0</v>
      </c>
      <c r="T235" s="23">
        <f>IF(S235="","",B235&amp;"|"&amp;S235)</f>
        <v>0</v>
      </c>
      <c r="U235" s="39">
        <f>IF(B235="","",IF(C235="","Add - pick a service",IF(E235="","Add - how many?",IF(L235=0,"Add - no price",IF(AND(R235&lt;&gt;"",R235&lt;MarginFloor),"Below - thin margin","OK")))))</f>
        <v>0</v>
      </c>
    </row>
    <row r="236" spans="1:21">
      <c r="A236" s="43">
        <f>IF(B236="","","QL-"&amp;TEXT(ROW()-4,"0000"))</f>
        <v>0</v>
      </c>
      <c r="J236" s="21">
        <f>IF(C236="","",IFERROR(INDEX(Services!$P$5:$P$64,MATCH(C236,Services!$B$5:$B$64,0)),"0"))</f>
        <v>0</v>
      </c>
      <c r="K236" s="23">
        <f>IF(C236="","",IFERROR(INDEX(Services!$E$5:$E$64,MATCH(C236,Services!$B$5:$B$64,0)),""))</f>
        <v>0</v>
      </c>
      <c r="L236" s="21">
        <f>IF(B236="","",IF(F236&lt;&gt;"",F236,IFERROR(J236*1,0)))</f>
        <v>0</v>
      </c>
      <c r="M236" s="51">
        <f>IF(B236="","",IF(D236&lt;&gt;"",D236,IFERROR(INDEX(Services!$O$5:$O$64,MATCH(C236,Services!$B$5:$B$64,0)),"")))</f>
        <v>0</v>
      </c>
      <c r="N236" s="34">
        <f>IF(B236="","",IFERROR(INDEX(Services!$G$5:$G$64,MATCH(C236,Services!$B$5:$B$64,0)),0)*IF(E236="",1,IF(IFERROR(INDEX(Services!$D$5:$D$64,MATCH(C236,Services!$B$5:$B$64,0)),"")="Per hour",1,E236)))</f>
        <v>0</v>
      </c>
      <c r="O236" s="21">
        <f>IF(B236="","",ROUND(IF(E236="",1,E236)*L236,2))</f>
        <v>0</v>
      </c>
      <c r="P236" s="21">
        <f>IF(B236="","",ROUND(O236*(1-IF(G236="",0,G236)),2))</f>
        <v>0</v>
      </c>
      <c r="Q236" s="21">
        <f>IF(B236="","",ROUND(N236*CostPerHour+IF(E236="",1,E236)*IFERROR(INDEX(Services!$R$5:$R$64,MATCH(C236,Services!$B$5:$B$64,0)),0),2))</f>
        <v>0</v>
      </c>
      <c r="R236" s="38">
        <f>IF(OR(B236="",P236=0),"",(P236-Q236)/P236)</f>
        <v>0</v>
      </c>
      <c r="S236" s="31">
        <f>IF(OR(B236="",C236=""),"",COUNTIFS($B$5:B236,B236))</f>
        <v>0</v>
      </c>
      <c r="T236" s="23">
        <f>IF(S236="","",B236&amp;"|"&amp;S236)</f>
        <v>0</v>
      </c>
      <c r="U236" s="39">
        <f>IF(B236="","",IF(C236="","Add - pick a service",IF(E236="","Add - how many?",IF(L236=0,"Add - no price",IF(AND(R236&lt;&gt;"",R236&lt;MarginFloor),"Below - thin margin","OK")))))</f>
        <v>0</v>
      </c>
    </row>
    <row r="237" spans="1:21">
      <c r="A237" s="43">
        <f>IF(B237="","","QL-"&amp;TEXT(ROW()-4,"0000"))</f>
        <v>0</v>
      </c>
      <c r="J237" s="21">
        <f>IF(C237="","",IFERROR(INDEX(Services!$P$5:$P$64,MATCH(C237,Services!$B$5:$B$64,0)),"0"))</f>
        <v>0</v>
      </c>
      <c r="K237" s="23">
        <f>IF(C237="","",IFERROR(INDEX(Services!$E$5:$E$64,MATCH(C237,Services!$B$5:$B$64,0)),""))</f>
        <v>0</v>
      </c>
      <c r="L237" s="21">
        <f>IF(B237="","",IF(F237&lt;&gt;"",F237,IFERROR(J237*1,0)))</f>
        <v>0</v>
      </c>
      <c r="M237" s="51">
        <f>IF(B237="","",IF(D237&lt;&gt;"",D237,IFERROR(INDEX(Services!$O$5:$O$64,MATCH(C237,Services!$B$5:$B$64,0)),"")))</f>
        <v>0</v>
      </c>
      <c r="N237" s="34">
        <f>IF(B237="","",IFERROR(INDEX(Services!$G$5:$G$64,MATCH(C237,Services!$B$5:$B$64,0)),0)*IF(E237="",1,IF(IFERROR(INDEX(Services!$D$5:$D$64,MATCH(C237,Services!$B$5:$B$64,0)),"")="Per hour",1,E237)))</f>
        <v>0</v>
      </c>
      <c r="O237" s="21">
        <f>IF(B237="","",ROUND(IF(E237="",1,E237)*L237,2))</f>
        <v>0</v>
      </c>
      <c r="P237" s="21">
        <f>IF(B237="","",ROUND(O237*(1-IF(G237="",0,G237)),2))</f>
        <v>0</v>
      </c>
      <c r="Q237" s="21">
        <f>IF(B237="","",ROUND(N237*CostPerHour+IF(E237="",1,E237)*IFERROR(INDEX(Services!$R$5:$R$64,MATCH(C237,Services!$B$5:$B$64,0)),0),2))</f>
        <v>0</v>
      </c>
      <c r="R237" s="38">
        <f>IF(OR(B237="",P237=0),"",(P237-Q237)/P237)</f>
        <v>0</v>
      </c>
      <c r="S237" s="31">
        <f>IF(OR(B237="",C237=""),"",COUNTIFS($B$5:B237,B237))</f>
        <v>0</v>
      </c>
      <c r="T237" s="23">
        <f>IF(S237="","",B237&amp;"|"&amp;S237)</f>
        <v>0</v>
      </c>
      <c r="U237" s="39">
        <f>IF(B237="","",IF(C237="","Add - pick a service",IF(E237="","Add - how many?",IF(L237=0,"Add - no price",IF(AND(R237&lt;&gt;"",R237&lt;MarginFloor),"Below - thin margin","OK")))))</f>
        <v>0</v>
      </c>
    </row>
    <row r="238" spans="1:21">
      <c r="A238" s="43">
        <f>IF(B238="","","QL-"&amp;TEXT(ROW()-4,"0000"))</f>
        <v>0</v>
      </c>
      <c r="J238" s="21">
        <f>IF(C238="","",IFERROR(INDEX(Services!$P$5:$P$64,MATCH(C238,Services!$B$5:$B$64,0)),"0"))</f>
        <v>0</v>
      </c>
      <c r="K238" s="23">
        <f>IF(C238="","",IFERROR(INDEX(Services!$E$5:$E$64,MATCH(C238,Services!$B$5:$B$64,0)),""))</f>
        <v>0</v>
      </c>
      <c r="L238" s="21">
        <f>IF(B238="","",IF(F238&lt;&gt;"",F238,IFERROR(J238*1,0)))</f>
        <v>0</v>
      </c>
      <c r="M238" s="51">
        <f>IF(B238="","",IF(D238&lt;&gt;"",D238,IFERROR(INDEX(Services!$O$5:$O$64,MATCH(C238,Services!$B$5:$B$64,0)),"")))</f>
        <v>0</v>
      </c>
      <c r="N238" s="34">
        <f>IF(B238="","",IFERROR(INDEX(Services!$G$5:$G$64,MATCH(C238,Services!$B$5:$B$64,0)),0)*IF(E238="",1,IF(IFERROR(INDEX(Services!$D$5:$D$64,MATCH(C238,Services!$B$5:$B$64,0)),"")="Per hour",1,E238)))</f>
        <v>0</v>
      </c>
      <c r="O238" s="21">
        <f>IF(B238="","",ROUND(IF(E238="",1,E238)*L238,2))</f>
        <v>0</v>
      </c>
      <c r="P238" s="21">
        <f>IF(B238="","",ROUND(O238*(1-IF(G238="",0,G238)),2))</f>
        <v>0</v>
      </c>
      <c r="Q238" s="21">
        <f>IF(B238="","",ROUND(N238*CostPerHour+IF(E238="",1,E238)*IFERROR(INDEX(Services!$R$5:$R$64,MATCH(C238,Services!$B$5:$B$64,0)),0),2))</f>
        <v>0</v>
      </c>
      <c r="R238" s="38">
        <f>IF(OR(B238="",P238=0),"",(P238-Q238)/P238)</f>
        <v>0</v>
      </c>
      <c r="S238" s="31">
        <f>IF(OR(B238="",C238=""),"",COUNTIFS($B$5:B238,B238))</f>
        <v>0</v>
      </c>
      <c r="T238" s="23">
        <f>IF(S238="","",B238&amp;"|"&amp;S238)</f>
        <v>0</v>
      </c>
      <c r="U238" s="39">
        <f>IF(B238="","",IF(C238="","Add - pick a service",IF(E238="","Add - how many?",IF(L238=0,"Add - no price",IF(AND(R238&lt;&gt;"",R238&lt;MarginFloor),"Below - thin margin","OK")))))</f>
        <v>0</v>
      </c>
    </row>
    <row r="239" spans="1:21">
      <c r="A239" s="43">
        <f>IF(B239="","","QL-"&amp;TEXT(ROW()-4,"0000"))</f>
        <v>0</v>
      </c>
      <c r="J239" s="21">
        <f>IF(C239="","",IFERROR(INDEX(Services!$P$5:$P$64,MATCH(C239,Services!$B$5:$B$64,0)),"0"))</f>
        <v>0</v>
      </c>
      <c r="K239" s="23">
        <f>IF(C239="","",IFERROR(INDEX(Services!$E$5:$E$64,MATCH(C239,Services!$B$5:$B$64,0)),""))</f>
        <v>0</v>
      </c>
      <c r="L239" s="21">
        <f>IF(B239="","",IF(F239&lt;&gt;"",F239,IFERROR(J239*1,0)))</f>
        <v>0</v>
      </c>
      <c r="M239" s="51">
        <f>IF(B239="","",IF(D239&lt;&gt;"",D239,IFERROR(INDEX(Services!$O$5:$O$64,MATCH(C239,Services!$B$5:$B$64,0)),"")))</f>
        <v>0</v>
      </c>
      <c r="N239" s="34">
        <f>IF(B239="","",IFERROR(INDEX(Services!$G$5:$G$64,MATCH(C239,Services!$B$5:$B$64,0)),0)*IF(E239="",1,IF(IFERROR(INDEX(Services!$D$5:$D$64,MATCH(C239,Services!$B$5:$B$64,0)),"")="Per hour",1,E239)))</f>
        <v>0</v>
      </c>
      <c r="O239" s="21">
        <f>IF(B239="","",ROUND(IF(E239="",1,E239)*L239,2))</f>
        <v>0</v>
      </c>
      <c r="P239" s="21">
        <f>IF(B239="","",ROUND(O239*(1-IF(G239="",0,G239)),2))</f>
        <v>0</v>
      </c>
      <c r="Q239" s="21">
        <f>IF(B239="","",ROUND(N239*CostPerHour+IF(E239="",1,E239)*IFERROR(INDEX(Services!$R$5:$R$64,MATCH(C239,Services!$B$5:$B$64,0)),0),2))</f>
        <v>0</v>
      </c>
      <c r="R239" s="38">
        <f>IF(OR(B239="",P239=0),"",(P239-Q239)/P239)</f>
        <v>0</v>
      </c>
      <c r="S239" s="31">
        <f>IF(OR(B239="",C239=""),"",COUNTIFS($B$5:B239,B239))</f>
        <v>0</v>
      </c>
      <c r="T239" s="23">
        <f>IF(S239="","",B239&amp;"|"&amp;S239)</f>
        <v>0</v>
      </c>
      <c r="U239" s="39">
        <f>IF(B239="","",IF(C239="","Add - pick a service",IF(E239="","Add - how many?",IF(L239=0,"Add - no price",IF(AND(R239&lt;&gt;"",R239&lt;MarginFloor),"Below - thin margin","OK")))))</f>
        <v>0</v>
      </c>
    </row>
    <row r="240" spans="1:21">
      <c r="A240" s="43">
        <f>IF(B240="","","QL-"&amp;TEXT(ROW()-4,"0000"))</f>
        <v>0</v>
      </c>
      <c r="J240" s="21">
        <f>IF(C240="","",IFERROR(INDEX(Services!$P$5:$P$64,MATCH(C240,Services!$B$5:$B$64,0)),"0"))</f>
        <v>0</v>
      </c>
      <c r="K240" s="23">
        <f>IF(C240="","",IFERROR(INDEX(Services!$E$5:$E$64,MATCH(C240,Services!$B$5:$B$64,0)),""))</f>
        <v>0</v>
      </c>
      <c r="L240" s="21">
        <f>IF(B240="","",IF(F240&lt;&gt;"",F240,IFERROR(J240*1,0)))</f>
        <v>0</v>
      </c>
      <c r="M240" s="51">
        <f>IF(B240="","",IF(D240&lt;&gt;"",D240,IFERROR(INDEX(Services!$O$5:$O$64,MATCH(C240,Services!$B$5:$B$64,0)),"")))</f>
        <v>0</v>
      </c>
      <c r="N240" s="34">
        <f>IF(B240="","",IFERROR(INDEX(Services!$G$5:$G$64,MATCH(C240,Services!$B$5:$B$64,0)),0)*IF(E240="",1,IF(IFERROR(INDEX(Services!$D$5:$D$64,MATCH(C240,Services!$B$5:$B$64,0)),"")="Per hour",1,E240)))</f>
        <v>0</v>
      </c>
      <c r="O240" s="21">
        <f>IF(B240="","",ROUND(IF(E240="",1,E240)*L240,2))</f>
        <v>0</v>
      </c>
      <c r="P240" s="21">
        <f>IF(B240="","",ROUND(O240*(1-IF(G240="",0,G240)),2))</f>
        <v>0</v>
      </c>
      <c r="Q240" s="21">
        <f>IF(B240="","",ROUND(N240*CostPerHour+IF(E240="",1,E240)*IFERROR(INDEX(Services!$R$5:$R$64,MATCH(C240,Services!$B$5:$B$64,0)),0),2))</f>
        <v>0</v>
      </c>
      <c r="R240" s="38">
        <f>IF(OR(B240="",P240=0),"",(P240-Q240)/P240)</f>
        <v>0</v>
      </c>
      <c r="S240" s="31">
        <f>IF(OR(B240="",C240=""),"",COUNTIFS($B$5:B240,B240))</f>
        <v>0</v>
      </c>
      <c r="T240" s="23">
        <f>IF(S240="","",B240&amp;"|"&amp;S240)</f>
        <v>0</v>
      </c>
      <c r="U240" s="39">
        <f>IF(B240="","",IF(C240="","Add - pick a service",IF(E240="","Add - how many?",IF(L240=0,"Add - no price",IF(AND(R240&lt;&gt;"",R240&lt;MarginFloor),"Below - thin margin","OK")))))</f>
        <v>0</v>
      </c>
    </row>
    <row r="241" spans="1:21">
      <c r="A241" s="43">
        <f>IF(B241="","","QL-"&amp;TEXT(ROW()-4,"0000"))</f>
        <v>0</v>
      </c>
      <c r="J241" s="21">
        <f>IF(C241="","",IFERROR(INDEX(Services!$P$5:$P$64,MATCH(C241,Services!$B$5:$B$64,0)),"0"))</f>
        <v>0</v>
      </c>
      <c r="K241" s="23">
        <f>IF(C241="","",IFERROR(INDEX(Services!$E$5:$E$64,MATCH(C241,Services!$B$5:$B$64,0)),""))</f>
        <v>0</v>
      </c>
      <c r="L241" s="21">
        <f>IF(B241="","",IF(F241&lt;&gt;"",F241,IFERROR(J241*1,0)))</f>
        <v>0</v>
      </c>
      <c r="M241" s="51">
        <f>IF(B241="","",IF(D241&lt;&gt;"",D241,IFERROR(INDEX(Services!$O$5:$O$64,MATCH(C241,Services!$B$5:$B$64,0)),"")))</f>
        <v>0</v>
      </c>
      <c r="N241" s="34">
        <f>IF(B241="","",IFERROR(INDEX(Services!$G$5:$G$64,MATCH(C241,Services!$B$5:$B$64,0)),0)*IF(E241="",1,IF(IFERROR(INDEX(Services!$D$5:$D$64,MATCH(C241,Services!$B$5:$B$64,0)),"")="Per hour",1,E241)))</f>
        <v>0</v>
      </c>
      <c r="O241" s="21">
        <f>IF(B241="","",ROUND(IF(E241="",1,E241)*L241,2))</f>
        <v>0</v>
      </c>
      <c r="P241" s="21">
        <f>IF(B241="","",ROUND(O241*(1-IF(G241="",0,G241)),2))</f>
        <v>0</v>
      </c>
      <c r="Q241" s="21">
        <f>IF(B241="","",ROUND(N241*CostPerHour+IF(E241="",1,E241)*IFERROR(INDEX(Services!$R$5:$R$64,MATCH(C241,Services!$B$5:$B$64,0)),0),2))</f>
        <v>0</v>
      </c>
      <c r="R241" s="38">
        <f>IF(OR(B241="",P241=0),"",(P241-Q241)/P241)</f>
        <v>0</v>
      </c>
      <c r="S241" s="31">
        <f>IF(OR(B241="",C241=""),"",COUNTIFS($B$5:B241,B241))</f>
        <v>0</v>
      </c>
      <c r="T241" s="23">
        <f>IF(S241="","",B241&amp;"|"&amp;S241)</f>
        <v>0</v>
      </c>
      <c r="U241" s="39">
        <f>IF(B241="","",IF(C241="","Add - pick a service",IF(E241="","Add - how many?",IF(L241=0,"Add - no price",IF(AND(R241&lt;&gt;"",R241&lt;MarginFloor),"Below - thin margin","OK")))))</f>
        <v>0</v>
      </c>
    </row>
    <row r="242" spans="1:21">
      <c r="A242" s="43">
        <f>IF(B242="","","QL-"&amp;TEXT(ROW()-4,"0000"))</f>
        <v>0</v>
      </c>
      <c r="J242" s="21">
        <f>IF(C242="","",IFERROR(INDEX(Services!$P$5:$P$64,MATCH(C242,Services!$B$5:$B$64,0)),"0"))</f>
        <v>0</v>
      </c>
      <c r="K242" s="23">
        <f>IF(C242="","",IFERROR(INDEX(Services!$E$5:$E$64,MATCH(C242,Services!$B$5:$B$64,0)),""))</f>
        <v>0</v>
      </c>
      <c r="L242" s="21">
        <f>IF(B242="","",IF(F242&lt;&gt;"",F242,IFERROR(J242*1,0)))</f>
        <v>0</v>
      </c>
      <c r="M242" s="51">
        <f>IF(B242="","",IF(D242&lt;&gt;"",D242,IFERROR(INDEX(Services!$O$5:$O$64,MATCH(C242,Services!$B$5:$B$64,0)),"")))</f>
        <v>0</v>
      </c>
      <c r="N242" s="34">
        <f>IF(B242="","",IFERROR(INDEX(Services!$G$5:$G$64,MATCH(C242,Services!$B$5:$B$64,0)),0)*IF(E242="",1,IF(IFERROR(INDEX(Services!$D$5:$D$64,MATCH(C242,Services!$B$5:$B$64,0)),"")="Per hour",1,E242)))</f>
        <v>0</v>
      </c>
      <c r="O242" s="21">
        <f>IF(B242="","",ROUND(IF(E242="",1,E242)*L242,2))</f>
        <v>0</v>
      </c>
      <c r="P242" s="21">
        <f>IF(B242="","",ROUND(O242*(1-IF(G242="",0,G242)),2))</f>
        <v>0</v>
      </c>
      <c r="Q242" s="21">
        <f>IF(B242="","",ROUND(N242*CostPerHour+IF(E242="",1,E242)*IFERROR(INDEX(Services!$R$5:$R$64,MATCH(C242,Services!$B$5:$B$64,0)),0),2))</f>
        <v>0</v>
      </c>
      <c r="R242" s="38">
        <f>IF(OR(B242="",P242=0),"",(P242-Q242)/P242)</f>
        <v>0</v>
      </c>
      <c r="S242" s="31">
        <f>IF(OR(B242="",C242=""),"",COUNTIFS($B$5:B242,B242))</f>
        <v>0</v>
      </c>
      <c r="T242" s="23">
        <f>IF(S242="","",B242&amp;"|"&amp;S242)</f>
        <v>0</v>
      </c>
      <c r="U242" s="39">
        <f>IF(B242="","",IF(C242="","Add - pick a service",IF(E242="","Add - how many?",IF(L242=0,"Add - no price",IF(AND(R242&lt;&gt;"",R242&lt;MarginFloor),"Below - thin margin","OK")))))</f>
        <v>0</v>
      </c>
    </row>
    <row r="243" spans="1:21">
      <c r="A243" s="43">
        <f>IF(B243="","","QL-"&amp;TEXT(ROW()-4,"0000"))</f>
        <v>0</v>
      </c>
      <c r="J243" s="21">
        <f>IF(C243="","",IFERROR(INDEX(Services!$P$5:$P$64,MATCH(C243,Services!$B$5:$B$64,0)),"0"))</f>
        <v>0</v>
      </c>
      <c r="K243" s="23">
        <f>IF(C243="","",IFERROR(INDEX(Services!$E$5:$E$64,MATCH(C243,Services!$B$5:$B$64,0)),""))</f>
        <v>0</v>
      </c>
      <c r="L243" s="21">
        <f>IF(B243="","",IF(F243&lt;&gt;"",F243,IFERROR(J243*1,0)))</f>
        <v>0</v>
      </c>
      <c r="M243" s="51">
        <f>IF(B243="","",IF(D243&lt;&gt;"",D243,IFERROR(INDEX(Services!$O$5:$O$64,MATCH(C243,Services!$B$5:$B$64,0)),"")))</f>
        <v>0</v>
      </c>
      <c r="N243" s="34">
        <f>IF(B243="","",IFERROR(INDEX(Services!$G$5:$G$64,MATCH(C243,Services!$B$5:$B$64,0)),0)*IF(E243="",1,IF(IFERROR(INDEX(Services!$D$5:$D$64,MATCH(C243,Services!$B$5:$B$64,0)),"")="Per hour",1,E243)))</f>
        <v>0</v>
      </c>
      <c r="O243" s="21">
        <f>IF(B243="","",ROUND(IF(E243="",1,E243)*L243,2))</f>
        <v>0</v>
      </c>
      <c r="P243" s="21">
        <f>IF(B243="","",ROUND(O243*(1-IF(G243="",0,G243)),2))</f>
        <v>0</v>
      </c>
      <c r="Q243" s="21">
        <f>IF(B243="","",ROUND(N243*CostPerHour+IF(E243="",1,E243)*IFERROR(INDEX(Services!$R$5:$R$64,MATCH(C243,Services!$B$5:$B$64,0)),0),2))</f>
        <v>0</v>
      </c>
      <c r="R243" s="38">
        <f>IF(OR(B243="",P243=0),"",(P243-Q243)/P243)</f>
        <v>0</v>
      </c>
      <c r="S243" s="31">
        <f>IF(OR(B243="",C243=""),"",COUNTIFS($B$5:B243,B243))</f>
        <v>0</v>
      </c>
      <c r="T243" s="23">
        <f>IF(S243="","",B243&amp;"|"&amp;S243)</f>
        <v>0</v>
      </c>
      <c r="U243" s="39">
        <f>IF(B243="","",IF(C243="","Add - pick a service",IF(E243="","Add - how many?",IF(L243=0,"Add - no price",IF(AND(R243&lt;&gt;"",R243&lt;MarginFloor),"Below - thin margin","OK")))))</f>
        <v>0</v>
      </c>
    </row>
    <row r="244" spans="1:21">
      <c r="A244" s="43">
        <f>IF(B244="","","QL-"&amp;TEXT(ROW()-4,"0000"))</f>
        <v>0</v>
      </c>
      <c r="J244" s="21">
        <f>IF(C244="","",IFERROR(INDEX(Services!$P$5:$P$64,MATCH(C244,Services!$B$5:$B$64,0)),"0"))</f>
        <v>0</v>
      </c>
      <c r="K244" s="23">
        <f>IF(C244="","",IFERROR(INDEX(Services!$E$5:$E$64,MATCH(C244,Services!$B$5:$B$64,0)),""))</f>
        <v>0</v>
      </c>
      <c r="L244" s="21">
        <f>IF(B244="","",IF(F244&lt;&gt;"",F244,IFERROR(J244*1,0)))</f>
        <v>0</v>
      </c>
      <c r="M244" s="51">
        <f>IF(B244="","",IF(D244&lt;&gt;"",D244,IFERROR(INDEX(Services!$O$5:$O$64,MATCH(C244,Services!$B$5:$B$64,0)),"")))</f>
        <v>0</v>
      </c>
      <c r="N244" s="34">
        <f>IF(B244="","",IFERROR(INDEX(Services!$G$5:$G$64,MATCH(C244,Services!$B$5:$B$64,0)),0)*IF(E244="",1,IF(IFERROR(INDEX(Services!$D$5:$D$64,MATCH(C244,Services!$B$5:$B$64,0)),"")="Per hour",1,E244)))</f>
        <v>0</v>
      </c>
      <c r="O244" s="21">
        <f>IF(B244="","",ROUND(IF(E244="",1,E244)*L244,2))</f>
        <v>0</v>
      </c>
      <c r="P244" s="21">
        <f>IF(B244="","",ROUND(O244*(1-IF(G244="",0,G244)),2))</f>
        <v>0</v>
      </c>
      <c r="Q244" s="21">
        <f>IF(B244="","",ROUND(N244*CostPerHour+IF(E244="",1,E244)*IFERROR(INDEX(Services!$R$5:$R$64,MATCH(C244,Services!$B$5:$B$64,0)),0),2))</f>
        <v>0</v>
      </c>
      <c r="R244" s="38">
        <f>IF(OR(B244="",P244=0),"",(P244-Q244)/P244)</f>
        <v>0</v>
      </c>
      <c r="S244" s="31">
        <f>IF(OR(B244="",C244=""),"",COUNTIFS($B$5:B244,B244))</f>
        <v>0</v>
      </c>
      <c r="T244" s="23">
        <f>IF(S244="","",B244&amp;"|"&amp;S244)</f>
        <v>0</v>
      </c>
      <c r="U244" s="39">
        <f>IF(B244="","",IF(C244="","Add - pick a service",IF(E244="","Add - how many?",IF(L244=0,"Add - no price",IF(AND(R244&lt;&gt;"",R244&lt;MarginFloor),"Below - thin margin","OK")))))</f>
        <v>0</v>
      </c>
    </row>
    <row r="245" spans="1:21">
      <c r="A245" s="43">
        <f>IF(B245="","","QL-"&amp;TEXT(ROW()-4,"0000"))</f>
        <v>0</v>
      </c>
      <c r="J245" s="21">
        <f>IF(C245="","",IFERROR(INDEX(Services!$P$5:$P$64,MATCH(C245,Services!$B$5:$B$64,0)),"0"))</f>
        <v>0</v>
      </c>
      <c r="K245" s="23">
        <f>IF(C245="","",IFERROR(INDEX(Services!$E$5:$E$64,MATCH(C245,Services!$B$5:$B$64,0)),""))</f>
        <v>0</v>
      </c>
      <c r="L245" s="21">
        <f>IF(B245="","",IF(F245&lt;&gt;"",F245,IFERROR(J245*1,0)))</f>
        <v>0</v>
      </c>
      <c r="M245" s="51">
        <f>IF(B245="","",IF(D245&lt;&gt;"",D245,IFERROR(INDEX(Services!$O$5:$O$64,MATCH(C245,Services!$B$5:$B$64,0)),"")))</f>
        <v>0</v>
      </c>
      <c r="N245" s="34">
        <f>IF(B245="","",IFERROR(INDEX(Services!$G$5:$G$64,MATCH(C245,Services!$B$5:$B$64,0)),0)*IF(E245="",1,IF(IFERROR(INDEX(Services!$D$5:$D$64,MATCH(C245,Services!$B$5:$B$64,0)),"")="Per hour",1,E245)))</f>
        <v>0</v>
      </c>
      <c r="O245" s="21">
        <f>IF(B245="","",ROUND(IF(E245="",1,E245)*L245,2))</f>
        <v>0</v>
      </c>
      <c r="P245" s="21">
        <f>IF(B245="","",ROUND(O245*(1-IF(G245="",0,G245)),2))</f>
        <v>0</v>
      </c>
      <c r="Q245" s="21">
        <f>IF(B245="","",ROUND(N245*CostPerHour+IF(E245="",1,E245)*IFERROR(INDEX(Services!$R$5:$R$64,MATCH(C245,Services!$B$5:$B$64,0)),0),2))</f>
        <v>0</v>
      </c>
      <c r="R245" s="38">
        <f>IF(OR(B245="",P245=0),"",(P245-Q245)/P245)</f>
        <v>0</v>
      </c>
      <c r="S245" s="31">
        <f>IF(OR(B245="",C245=""),"",COUNTIFS($B$5:B245,B245))</f>
        <v>0</v>
      </c>
      <c r="T245" s="23">
        <f>IF(S245="","",B245&amp;"|"&amp;S245)</f>
        <v>0</v>
      </c>
      <c r="U245" s="39">
        <f>IF(B245="","",IF(C245="","Add - pick a service",IF(E245="","Add - how many?",IF(L245=0,"Add - no price",IF(AND(R245&lt;&gt;"",R245&lt;MarginFloor),"Below - thin margin","OK")))))</f>
        <v>0</v>
      </c>
    </row>
    <row r="246" spans="1:21">
      <c r="A246" s="43">
        <f>IF(B246="","","QL-"&amp;TEXT(ROW()-4,"0000"))</f>
        <v>0</v>
      </c>
      <c r="J246" s="21">
        <f>IF(C246="","",IFERROR(INDEX(Services!$P$5:$P$64,MATCH(C246,Services!$B$5:$B$64,0)),"0"))</f>
        <v>0</v>
      </c>
      <c r="K246" s="23">
        <f>IF(C246="","",IFERROR(INDEX(Services!$E$5:$E$64,MATCH(C246,Services!$B$5:$B$64,0)),""))</f>
        <v>0</v>
      </c>
      <c r="L246" s="21">
        <f>IF(B246="","",IF(F246&lt;&gt;"",F246,IFERROR(J246*1,0)))</f>
        <v>0</v>
      </c>
      <c r="M246" s="51">
        <f>IF(B246="","",IF(D246&lt;&gt;"",D246,IFERROR(INDEX(Services!$O$5:$O$64,MATCH(C246,Services!$B$5:$B$64,0)),"")))</f>
        <v>0</v>
      </c>
      <c r="N246" s="34">
        <f>IF(B246="","",IFERROR(INDEX(Services!$G$5:$G$64,MATCH(C246,Services!$B$5:$B$64,0)),0)*IF(E246="",1,IF(IFERROR(INDEX(Services!$D$5:$D$64,MATCH(C246,Services!$B$5:$B$64,0)),"")="Per hour",1,E246)))</f>
        <v>0</v>
      </c>
      <c r="O246" s="21">
        <f>IF(B246="","",ROUND(IF(E246="",1,E246)*L246,2))</f>
        <v>0</v>
      </c>
      <c r="P246" s="21">
        <f>IF(B246="","",ROUND(O246*(1-IF(G246="",0,G246)),2))</f>
        <v>0</v>
      </c>
      <c r="Q246" s="21">
        <f>IF(B246="","",ROUND(N246*CostPerHour+IF(E246="",1,E246)*IFERROR(INDEX(Services!$R$5:$R$64,MATCH(C246,Services!$B$5:$B$64,0)),0),2))</f>
        <v>0</v>
      </c>
      <c r="R246" s="38">
        <f>IF(OR(B246="",P246=0),"",(P246-Q246)/P246)</f>
        <v>0</v>
      </c>
      <c r="S246" s="31">
        <f>IF(OR(B246="",C246=""),"",COUNTIFS($B$5:B246,B246))</f>
        <v>0</v>
      </c>
      <c r="T246" s="23">
        <f>IF(S246="","",B246&amp;"|"&amp;S246)</f>
        <v>0</v>
      </c>
      <c r="U246" s="39">
        <f>IF(B246="","",IF(C246="","Add - pick a service",IF(E246="","Add - how many?",IF(L246=0,"Add - no price",IF(AND(R246&lt;&gt;"",R246&lt;MarginFloor),"Below - thin margin","OK")))))</f>
        <v>0</v>
      </c>
    </row>
    <row r="247" spans="1:21">
      <c r="A247" s="43">
        <f>IF(B247="","","QL-"&amp;TEXT(ROW()-4,"0000"))</f>
        <v>0</v>
      </c>
      <c r="J247" s="21">
        <f>IF(C247="","",IFERROR(INDEX(Services!$P$5:$P$64,MATCH(C247,Services!$B$5:$B$64,0)),"0"))</f>
        <v>0</v>
      </c>
      <c r="K247" s="23">
        <f>IF(C247="","",IFERROR(INDEX(Services!$E$5:$E$64,MATCH(C247,Services!$B$5:$B$64,0)),""))</f>
        <v>0</v>
      </c>
      <c r="L247" s="21">
        <f>IF(B247="","",IF(F247&lt;&gt;"",F247,IFERROR(J247*1,0)))</f>
        <v>0</v>
      </c>
      <c r="M247" s="51">
        <f>IF(B247="","",IF(D247&lt;&gt;"",D247,IFERROR(INDEX(Services!$O$5:$O$64,MATCH(C247,Services!$B$5:$B$64,0)),"")))</f>
        <v>0</v>
      </c>
      <c r="N247" s="34">
        <f>IF(B247="","",IFERROR(INDEX(Services!$G$5:$G$64,MATCH(C247,Services!$B$5:$B$64,0)),0)*IF(E247="",1,IF(IFERROR(INDEX(Services!$D$5:$D$64,MATCH(C247,Services!$B$5:$B$64,0)),"")="Per hour",1,E247)))</f>
        <v>0</v>
      </c>
      <c r="O247" s="21">
        <f>IF(B247="","",ROUND(IF(E247="",1,E247)*L247,2))</f>
        <v>0</v>
      </c>
      <c r="P247" s="21">
        <f>IF(B247="","",ROUND(O247*(1-IF(G247="",0,G247)),2))</f>
        <v>0</v>
      </c>
      <c r="Q247" s="21">
        <f>IF(B247="","",ROUND(N247*CostPerHour+IF(E247="",1,E247)*IFERROR(INDEX(Services!$R$5:$R$64,MATCH(C247,Services!$B$5:$B$64,0)),0),2))</f>
        <v>0</v>
      </c>
      <c r="R247" s="38">
        <f>IF(OR(B247="",P247=0),"",(P247-Q247)/P247)</f>
        <v>0</v>
      </c>
      <c r="S247" s="31">
        <f>IF(OR(B247="",C247=""),"",COUNTIFS($B$5:B247,B247))</f>
        <v>0</v>
      </c>
      <c r="T247" s="23">
        <f>IF(S247="","",B247&amp;"|"&amp;S247)</f>
        <v>0</v>
      </c>
      <c r="U247" s="39">
        <f>IF(B247="","",IF(C247="","Add - pick a service",IF(E247="","Add - how many?",IF(L247=0,"Add - no price",IF(AND(R247&lt;&gt;"",R247&lt;MarginFloor),"Below - thin margin","OK")))))</f>
        <v>0</v>
      </c>
    </row>
    <row r="248" spans="1:21">
      <c r="A248" s="43">
        <f>IF(B248="","","QL-"&amp;TEXT(ROW()-4,"0000"))</f>
        <v>0</v>
      </c>
      <c r="J248" s="21">
        <f>IF(C248="","",IFERROR(INDEX(Services!$P$5:$P$64,MATCH(C248,Services!$B$5:$B$64,0)),"0"))</f>
        <v>0</v>
      </c>
      <c r="K248" s="23">
        <f>IF(C248="","",IFERROR(INDEX(Services!$E$5:$E$64,MATCH(C248,Services!$B$5:$B$64,0)),""))</f>
        <v>0</v>
      </c>
      <c r="L248" s="21">
        <f>IF(B248="","",IF(F248&lt;&gt;"",F248,IFERROR(J248*1,0)))</f>
        <v>0</v>
      </c>
      <c r="M248" s="51">
        <f>IF(B248="","",IF(D248&lt;&gt;"",D248,IFERROR(INDEX(Services!$O$5:$O$64,MATCH(C248,Services!$B$5:$B$64,0)),"")))</f>
        <v>0</v>
      </c>
      <c r="N248" s="34">
        <f>IF(B248="","",IFERROR(INDEX(Services!$G$5:$G$64,MATCH(C248,Services!$B$5:$B$64,0)),0)*IF(E248="",1,IF(IFERROR(INDEX(Services!$D$5:$D$64,MATCH(C248,Services!$B$5:$B$64,0)),"")="Per hour",1,E248)))</f>
        <v>0</v>
      </c>
      <c r="O248" s="21">
        <f>IF(B248="","",ROUND(IF(E248="",1,E248)*L248,2))</f>
        <v>0</v>
      </c>
      <c r="P248" s="21">
        <f>IF(B248="","",ROUND(O248*(1-IF(G248="",0,G248)),2))</f>
        <v>0</v>
      </c>
      <c r="Q248" s="21">
        <f>IF(B248="","",ROUND(N248*CostPerHour+IF(E248="",1,E248)*IFERROR(INDEX(Services!$R$5:$R$64,MATCH(C248,Services!$B$5:$B$64,0)),0),2))</f>
        <v>0</v>
      </c>
      <c r="R248" s="38">
        <f>IF(OR(B248="",P248=0),"",(P248-Q248)/P248)</f>
        <v>0</v>
      </c>
      <c r="S248" s="31">
        <f>IF(OR(B248="",C248=""),"",COUNTIFS($B$5:B248,B248))</f>
        <v>0</v>
      </c>
      <c r="T248" s="23">
        <f>IF(S248="","",B248&amp;"|"&amp;S248)</f>
        <v>0</v>
      </c>
      <c r="U248" s="39">
        <f>IF(B248="","",IF(C248="","Add - pick a service",IF(E248="","Add - how many?",IF(L248=0,"Add - no price",IF(AND(R248&lt;&gt;"",R248&lt;MarginFloor),"Below - thin margin","OK")))))</f>
        <v>0</v>
      </c>
    </row>
    <row r="249" spans="1:21">
      <c r="A249" s="43">
        <f>IF(B249="","","QL-"&amp;TEXT(ROW()-4,"0000"))</f>
        <v>0</v>
      </c>
      <c r="J249" s="21">
        <f>IF(C249="","",IFERROR(INDEX(Services!$P$5:$P$64,MATCH(C249,Services!$B$5:$B$64,0)),"0"))</f>
        <v>0</v>
      </c>
      <c r="K249" s="23">
        <f>IF(C249="","",IFERROR(INDEX(Services!$E$5:$E$64,MATCH(C249,Services!$B$5:$B$64,0)),""))</f>
        <v>0</v>
      </c>
      <c r="L249" s="21">
        <f>IF(B249="","",IF(F249&lt;&gt;"",F249,IFERROR(J249*1,0)))</f>
        <v>0</v>
      </c>
      <c r="M249" s="51">
        <f>IF(B249="","",IF(D249&lt;&gt;"",D249,IFERROR(INDEX(Services!$O$5:$O$64,MATCH(C249,Services!$B$5:$B$64,0)),"")))</f>
        <v>0</v>
      </c>
      <c r="N249" s="34">
        <f>IF(B249="","",IFERROR(INDEX(Services!$G$5:$G$64,MATCH(C249,Services!$B$5:$B$64,0)),0)*IF(E249="",1,IF(IFERROR(INDEX(Services!$D$5:$D$64,MATCH(C249,Services!$B$5:$B$64,0)),"")="Per hour",1,E249)))</f>
        <v>0</v>
      </c>
      <c r="O249" s="21">
        <f>IF(B249="","",ROUND(IF(E249="",1,E249)*L249,2))</f>
        <v>0</v>
      </c>
      <c r="P249" s="21">
        <f>IF(B249="","",ROUND(O249*(1-IF(G249="",0,G249)),2))</f>
        <v>0</v>
      </c>
      <c r="Q249" s="21">
        <f>IF(B249="","",ROUND(N249*CostPerHour+IF(E249="",1,E249)*IFERROR(INDEX(Services!$R$5:$R$64,MATCH(C249,Services!$B$5:$B$64,0)),0),2))</f>
        <v>0</v>
      </c>
      <c r="R249" s="38">
        <f>IF(OR(B249="",P249=0),"",(P249-Q249)/P249)</f>
        <v>0</v>
      </c>
      <c r="S249" s="31">
        <f>IF(OR(B249="",C249=""),"",COUNTIFS($B$5:B249,B249))</f>
        <v>0</v>
      </c>
      <c r="T249" s="23">
        <f>IF(S249="","",B249&amp;"|"&amp;S249)</f>
        <v>0</v>
      </c>
      <c r="U249" s="39">
        <f>IF(B249="","",IF(C249="","Add - pick a service",IF(E249="","Add - how many?",IF(L249=0,"Add - no price",IF(AND(R249&lt;&gt;"",R249&lt;MarginFloor),"Below - thin margin","OK")))))</f>
        <v>0</v>
      </c>
    </row>
    <row r="250" spans="1:21">
      <c r="A250" s="43">
        <f>IF(B250="","","QL-"&amp;TEXT(ROW()-4,"0000"))</f>
        <v>0</v>
      </c>
      <c r="J250" s="21">
        <f>IF(C250="","",IFERROR(INDEX(Services!$P$5:$P$64,MATCH(C250,Services!$B$5:$B$64,0)),"0"))</f>
        <v>0</v>
      </c>
      <c r="K250" s="23">
        <f>IF(C250="","",IFERROR(INDEX(Services!$E$5:$E$64,MATCH(C250,Services!$B$5:$B$64,0)),""))</f>
        <v>0</v>
      </c>
      <c r="L250" s="21">
        <f>IF(B250="","",IF(F250&lt;&gt;"",F250,IFERROR(J250*1,0)))</f>
        <v>0</v>
      </c>
      <c r="M250" s="51">
        <f>IF(B250="","",IF(D250&lt;&gt;"",D250,IFERROR(INDEX(Services!$O$5:$O$64,MATCH(C250,Services!$B$5:$B$64,0)),"")))</f>
        <v>0</v>
      </c>
      <c r="N250" s="34">
        <f>IF(B250="","",IFERROR(INDEX(Services!$G$5:$G$64,MATCH(C250,Services!$B$5:$B$64,0)),0)*IF(E250="",1,IF(IFERROR(INDEX(Services!$D$5:$D$64,MATCH(C250,Services!$B$5:$B$64,0)),"")="Per hour",1,E250)))</f>
        <v>0</v>
      </c>
      <c r="O250" s="21">
        <f>IF(B250="","",ROUND(IF(E250="",1,E250)*L250,2))</f>
        <v>0</v>
      </c>
      <c r="P250" s="21">
        <f>IF(B250="","",ROUND(O250*(1-IF(G250="",0,G250)),2))</f>
        <v>0</v>
      </c>
      <c r="Q250" s="21">
        <f>IF(B250="","",ROUND(N250*CostPerHour+IF(E250="",1,E250)*IFERROR(INDEX(Services!$R$5:$R$64,MATCH(C250,Services!$B$5:$B$64,0)),0),2))</f>
        <v>0</v>
      </c>
      <c r="R250" s="38">
        <f>IF(OR(B250="",P250=0),"",(P250-Q250)/P250)</f>
        <v>0</v>
      </c>
      <c r="S250" s="31">
        <f>IF(OR(B250="",C250=""),"",COUNTIFS($B$5:B250,B250))</f>
        <v>0</v>
      </c>
      <c r="T250" s="23">
        <f>IF(S250="","",B250&amp;"|"&amp;S250)</f>
        <v>0</v>
      </c>
      <c r="U250" s="39">
        <f>IF(B250="","",IF(C250="","Add - pick a service",IF(E250="","Add - how many?",IF(L250=0,"Add - no price",IF(AND(R250&lt;&gt;"",R250&lt;MarginFloor),"Below - thin margin","OK")))))</f>
        <v>0</v>
      </c>
    </row>
    <row r="251" spans="1:21">
      <c r="A251" s="43">
        <f>IF(B251="","","QL-"&amp;TEXT(ROW()-4,"0000"))</f>
        <v>0</v>
      </c>
      <c r="J251" s="21">
        <f>IF(C251="","",IFERROR(INDEX(Services!$P$5:$P$64,MATCH(C251,Services!$B$5:$B$64,0)),"0"))</f>
        <v>0</v>
      </c>
      <c r="K251" s="23">
        <f>IF(C251="","",IFERROR(INDEX(Services!$E$5:$E$64,MATCH(C251,Services!$B$5:$B$64,0)),""))</f>
        <v>0</v>
      </c>
      <c r="L251" s="21">
        <f>IF(B251="","",IF(F251&lt;&gt;"",F251,IFERROR(J251*1,0)))</f>
        <v>0</v>
      </c>
      <c r="M251" s="51">
        <f>IF(B251="","",IF(D251&lt;&gt;"",D251,IFERROR(INDEX(Services!$O$5:$O$64,MATCH(C251,Services!$B$5:$B$64,0)),"")))</f>
        <v>0</v>
      </c>
      <c r="N251" s="34">
        <f>IF(B251="","",IFERROR(INDEX(Services!$G$5:$G$64,MATCH(C251,Services!$B$5:$B$64,0)),0)*IF(E251="",1,IF(IFERROR(INDEX(Services!$D$5:$D$64,MATCH(C251,Services!$B$5:$B$64,0)),"")="Per hour",1,E251)))</f>
        <v>0</v>
      </c>
      <c r="O251" s="21">
        <f>IF(B251="","",ROUND(IF(E251="",1,E251)*L251,2))</f>
        <v>0</v>
      </c>
      <c r="P251" s="21">
        <f>IF(B251="","",ROUND(O251*(1-IF(G251="",0,G251)),2))</f>
        <v>0</v>
      </c>
      <c r="Q251" s="21">
        <f>IF(B251="","",ROUND(N251*CostPerHour+IF(E251="",1,E251)*IFERROR(INDEX(Services!$R$5:$R$64,MATCH(C251,Services!$B$5:$B$64,0)),0),2))</f>
        <v>0</v>
      </c>
      <c r="R251" s="38">
        <f>IF(OR(B251="",P251=0),"",(P251-Q251)/P251)</f>
        <v>0</v>
      </c>
      <c r="S251" s="31">
        <f>IF(OR(B251="",C251=""),"",COUNTIFS($B$5:B251,B251))</f>
        <v>0</v>
      </c>
      <c r="T251" s="23">
        <f>IF(S251="","",B251&amp;"|"&amp;S251)</f>
        <v>0</v>
      </c>
      <c r="U251" s="39">
        <f>IF(B251="","",IF(C251="","Add - pick a service",IF(E251="","Add - how many?",IF(L251=0,"Add - no price",IF(AND(R251&lt;&gt;"",R251&lt;MarginFloor),"Below - thin margin","OK")))))</f>
        <v>0</v>
      </c>
    </row>
    <row r="252" spans="1:21">
      <c r="A252" s="43">
        <f>IF(B252="","","QL-"&amp;TEXT(ROW()-4,"0000"))</f>
        <v>0</v>
      </c>
      <c r="J252" s="21">
        <f>IF(C252="","",IFERROR(INDEX(Services!$P$5:$P$64,MATCH(C252,Services!$B$5:$B$64,0)),"0"))</f>
        <v>0</v>
      </c>
      <c r="K252" s="23">
        <f>IF(C252="","",IFERROR(INDEX(Services!$E$5:$E$64,MATCH(C252,Services!$B$5:$B$64,0)),""))</f>
        <v>0</v>
      </c>
      <c r="L252" s="21">
        <f>IF(B252="","",IF(F252&lt;&gt;"",F252,IFERROR(J252*1,0)))</f>
        <v>0</v>
      </c>
      <c r="M252" s="51">
        <f>IF(B252="","",IF(D252&lt;&gt;"",D252,IFERROR(INDEX(Services!$O$5:$O$64,MATCH(C252,Services!$B$5:$B$64,0)),"")))</f>
        <v>0</v>
      </c>
      <c r="N252" s="34">
        <f>IF(B252="","",IFERROR(INDEX(Services!$G$5:$G$64,MATCH(C252,Services!$B$5:$B$64,0)),0)*IF(E252="",1,IF(IFERROR(INDEX(Services!$D$5:$D$64,MATCH(C252,Services!$B$5:$B$64,0)),"")="Per hour",1,E252)))</f>
        <v>0</v>
      </c>
      <c r="O252" s="21">
        <f>IF(B252="","",ROUND(IF(E252="",1,E252)*L252,2))</f>
        <v>0</v>
      </c>
      <c r="P252" s="21">
        <f>IF(B252="","",ROUND(O252*(1-IF(G252="",0,G252)),2))</f>
        <v>0</v>
      </c>
      <c r="Q252" s="21">
        <f>IF(B252="","",ROUND(N252*CostPerHour+IF(E252="",1,E252)*IFERROR(INDEX(Services!$R$5:$R$64,MATCH(C252,Services!$B$5:$B$64,0)),0),2))</f>
        <v>0</v>
      </c>
      <c r="R252" s="38">
        <f>IF(OR(B252="",P252=0),"",(P252-Q252)/P252)</f>
        <v>0</v>
      </c>
      <c r="S252" s="31">
        <f>IF(OR(B252="",C252=""),"",COUNTIFS($B$5:B252,B252))</f>
        <v>0</v>
      </c>
      <c r="T252" s="23">
        <f>IF(S252="","",B252&amp;"|"&amp;S252)</f>
        <v>0</v>
      </c>
      <c r="U252" s="39">
        <f>IF(B252="","",IF(C252="","Add - pick a service",IF(E252="","Add - how many?",IF(L252=0,"Add - no price",IF(AND(R252&lt;&gt;"",R252&lt;MarginFloor),"Below - thin margin","OK")))))</f>
        <v>0</v>
      </c>
    </row>
    <row r="253" spans="1:21">
      <c r="A253" s="43">
        <f>IF(B253="","","QL-"&amp;TEXT(ROW()-4,"0000"))</f>
        <v>0</v>
      </c>
      <c r="J253" s="21">
        <f>IF(C253="","",IFERROR(INDEX(Services!$P$5:$P$64,MATCH(C253,Services!$B$5:$B$64,0)),"0"))</f>
        <v>0</v>
      </c>
      <c r="K253" s="23">
        <f>IF(C253="","",IFERROR(INDEX(Services!$E$5:$E$64,MATCH(C253,Services!$B$5:$B$64,0)),""))</f>
        <v>0</v>
      </c>
      <c r="L253" s="21">
        <f>IF(B253="","",IF(F253&lt;&gt;"",F253,IFERROR(J253*1,0)))</f>
        <v>0</v>
      </c>
      <c r="M253" s="51">
        <f>IF(B253="","",IF(D253&lt;&gt;"",D253,IFERROR(INDEX(Services!$O$5:$O$64,MATCH(C253,Services!$B$5:$B$64,0)),"")))</f>
        <v>0</v>
      </c>
      <c r="N253" s="34">
        <f>IF(B253="","",IFERROR(INDEX(Services!$G$5:$G$64,MATCH(C253,Services!$B$5:$B$64,0)),0)*IF(E253="",1,IF(IFERROR(INDEX(Services!$D$5:$D$64,MATCH(C253,Services!$B$5:$B$64,0)),"")="Per hour",1,E253)))</f>
        <v>0</v>
      </c>
      <c r="O253" s="21">
        <f>IF(B253="","",ROUND(IF(E253="",1,E253)*L253,2))</f>
        <v>0</v>
      </c>
      <c r="P253" s="21">
        <f>IF(B253="","",ROUND(O253*(1-IF(G253="",0,G253)),2))</f>
        <v>0</v>
      </c>
      <c r="Q253" s="21">
        <f>IF(B253="","",ROUND(N253*CostPerHour+IF(E253="",1,E253)*IFERROR(INDEX(Services!$R$5:$R$64,MATCH(C253,Services!$B$5:$B$64,0)),0),2))</f>
        <v>0</v>
      </c>
      <c r="R253" s="38">
        <f>IF(OR(B253="",P253=0),"",(P253-Q253)/P253)</f>
        <v>0</v>
      </c>
      <c r="S253" s="31">
        <f>IF(OR(B253="",C253=""),"",COUNTIFS($B$5:B253,B253))</f>
        <v>0</v>
      </c>
      <c r="T253" s="23">
        <f>IF(S253="","",B253&amp;"|"&amp;S253)</f>
        <v>0</v>
      </c>
      <c r="U253" s="39">
        <f>IF(B253="","",IF(C253="","Add - pick a service",IF(E253="","Add - how many?",IF(L253=0,"Add - no price",IF(AND(R253&lt;&gt;"",R253&lt;MarginFloor),"Below - thin margin","OK")))))</f>
        <v>0</v>
      </c>
    </row>
    <row r="254" spans="1:21">
      <c r="A254" s="43">
        <f>IF(B254="","","QL-"&amp;TEXT(ROW()-4,"0000"))</f>
        <v>0</v>
      </c>
      <c r="J254" s="21">
        <f>IF(C254="","",IFERROR(INDEX(Services!$P$5:$P$64,MATCH(C254,Services!$B$5:$B$64,0)),"0"))</f>
        <v>0</v>
      </c>
      <c r="K254" s="23">
        <f>IF(C254="","",IFERROR(INDEX(Services!$E$5:$E$64,MATCH(C254,Services!$B$5:$B$64,0)),""))</f>
        <v>0</v>
      </c>
      <c r="L254" s="21">
        <f>IF(B254="","",IF(F254&lt;&gt;"",F254,IFERROR(J254*1,0)))</f>
        <v>0</v>
      </c>
      <c r="M254" s="51">
        <f>IF(B254="","",IF(D254&lt;&gt;"",D254,IFERROR(INDEX(Services!$O$5:$O$64,MATCH(C254,Services!$B$5:$B$64,0)),"")))</f>
        <v>0</v>
      </c>
      <c r="N254" s="34">
        <f>IF(B254="","",IFERROR(INDEX(Services!$G$5:$G$64,MATCH(C254,Services!$B$5:$B$64,0)),0)*IF(E254="",1,IF(IFERROR(INDEX(Services!$D$5:$D$64,MATCH(C254,Services!$B$5:$B$64,0)),"")="Per hour",1,E254)))</f>
        <v>0</v>
      </c>
      <c r="O254" s="21">
        <f>IF(B254="","",ROUND(IF(E254="",1,E254)*L254,2))</f>
        <v>0</v>
      </c>
      <c r="P254" s="21">
        <f>IF(B254="","",ROUND(O254*(1-IF(G254="",0,G254)),2))</f>
        <v>0</v>
      </c>
      <c r="Q254" s="21">
        <f>IF(B254="","",ROUND(N254*CostPerHour+IF(E254="",1,E254)*IFERROR(INDEX(Services!$R$5:$R$64,MATCH(C254,Services!$B$5:$B$64,0)),0),2))</f>
        <v>0</v>
      </c>
      <c r="R254" s="38">
        <f>IF(OR(B254="",P254=0),"",(P254-Q254)/P254)</f>
        <v>0</v>
      </c>
      <c r="S254" s="31">
        <f>IF(OR(B254="",C254=""),"",COUNTIFS($B$5:B254,B254))</f>
        <v>0</v>
      </c>
      <c r="T254" s="23">
        <f>IF(S254="","",B254&amp;"|"&amp;S254)</f>
        <v>0</v>
      </c>
      <c r="U254" s="39">
        <f>IF(B254="","",IF(C254="","Add - pick a service",IF(E254="","Add - how many?",IF(L254=0,"Add - no price",IF(AND(R254&lt;&gt;"",R254&lt;MarginFloor),"Below - thin margin","OK")))))</f>
        <v>0</v>
      </c>
    </row>
    <row r="255" spans="1:21">
      <c r="A255" s="43">
        <f>IF(B255="","","QL-"&amp;TEXT(ROW()-4,"0000"))</f>
        <v>0</v>
      </c>
      <c r="J255" s="21">
        <f>IF(C255="","",IFERROR(INDEX(Services!$P$5:$P$64,MATCH(C255,Services!$B$5:$B$64,0)),"0"))</f>
        <v>0</v>
      </c>
      <c r="K255" s="23">
        <f>IF(C255="","",IFERROR(INDEX(Services!$E$5:$E$64,MATCH(C255,Services!$B$5:$B$64,0)),""))</f>
        <v>0</v>
      </c>
      <c r="L255" s="21">
        <f>IF(B255="","",IF(F255&lt;&gt;"",F255,IFERROR(J255*1,0)))</f>
        <v>0</v>
      </c>
      <c r="M255" s="51">
        <f>IF(B255="","",IF(D255&lt;&gt;"",D255,IFERROR(INDEX(Services!$O$5:$O$64,MATCH(C255,Services!$B$5:$B$64,0)),"")))</f>
        <v>0</v>
      </c>
      <c r="N255" s="34">
        <f>IF(B255="","",IFERROR(INDEX(Services!$G$5:$G$64,MATCH(C255,Services!$B$5:$B$64,0)),0)*IF(E255="",1,IF(IFERROR(INDEX(Services!$D$5:$D$64,MATCH(C255,Services!$B$5:$B$64,0)),"")="Per hour",1,E255)))</f>
        <v>0</v>
      </c>
      <c r="O255" s="21">
        <f>IF(B255="","",ROUND(IF(E255="",1,E255)*L255,2))</f>
        <v>0</v>
      </c>
      <c r="P255" s="21">
        <f>IF(B255="","",ROUND(O255*(1-IF(G255="",0,G255)),2))</f>
        <v>0</v>
      </c>
      <c r="Q255" s="21">
        <f>IF(B255="","",ROUND(N255*CostPerHour+IF(E255="",1,E255)*IFERROR(INDEX(Services!$R$5:$R$64,MATCH(C255,Services!$B$5:$B$64,0)),0),2))</f>
        <v>0</v>
      </c>
      <c r="R255" s="38">
        <f>IF(OR(B255="",P255=0),"",(P255-Q255)/P255)</f>
        <v>0</v>
      </c>
      <c r="S255" s="31">
        <f>IF(OR(B255="",C255=""),"",COUNTIFS($B$5:B255,B255))</f>
        <v>0</v>
      </c>
      <c r="T255" s="23">
        <f>IF(S255="","",B255&amp;"|"&amp;S255)</f>
        <v>0</v>
      </c>
      <c r="U255" s="39">
        <f>IF(B255="","",IF(C255="","Add - pick a service",IF(E255="","Add - how many?",IF(L255=0,"Add - no price",IF(AND(R255&lt;&gt;"",R255&lt;MarginFloor),"Below - thin margin","OK")))))</f>
        <v>0</v>
      </c>
    </row>
    <row r="256" spans="1:21">
      <c r="A256" s="43">
        <f>IF(B256="","","QL-"&amp;TEXT(ROW()-4,"0000"))</f>
        <v>0</v>
      </c>
      <c r="J256" s="21">
        <f>IF(C256="","",IFERROR(INDEX(Services!$P$5:$P$64,MATCH(C256,Services!$B$5:$B$64,0)),"0"))</f>
        <v>0</v>
      </c>
      <c r="K256" s="23">
        <f>IF(C256="","",IFERROR(INDEX(Services!$E$5:$E$64,MATCH(C256,Services!$B$5:$B$64,0)),""))</f>
        <v>0</v>
      </c>
      <c r="L256" s="21">
        <f>IF(B256="","",IF(F256&lt;&gt;"",F256,IFERROR(J256*1,0)))</f>
        <v>0</v>
      </c>
      <c r="M256" s="51">
        <f>IF(B256="","",IF(D256&lt;&gt;"",D256,IFERROR(INDEX(Services!$O$5:$O$64,MATCH(C256,Services!$B$5:$B$64,0)),"")))</f>
        <v>0</v>
      </c>
      <c r="N256" s="34">
        <f>IF(B256="","",IFERROR(INDEX(Services!$G$5:$G$64,MATCH(C256,Services!$B$5:$B$64,0)),0)*IF(E256="",1,IF(IFERROR(INDEX(Services!$D$5:$D$64,MATCH(C256,Services!$B$5:$B$64,0)),"")="Per hour",1,E256)))</f>
        <v>0</v>
      </c>
      <c r="O256" s="21">
        <f>IF(B256="","",ROUND(IF(E256="",1,E256)*L256,2))</f>
        <v>0</v>
      </c>
      <c r="P256" s="21">
        <f>IF(B256="","",ROUND(O256*(1-IF(G256="",0,G256)),2))</f>
        <v>0</v>
      </c>
      <c r="Q256" s="21">
        <f>IF(B256="","",ROUND(N256*CostPerHour+IF(E256="",1,E256)*IFERROR(INDEX(Services!$R$5:$R$64,MATCH(C256,Services!$B$5:$B$64,0)),0),2))</f>
        <v>0</v>
      </c>
      <c r="R256" s="38">
        <f>IF(OR(B256="",P256=0),"",(P256-Q256)/P256)</f>
        <v>0</v>
      </c>
      <c r="S256" s="31">
        <f>IF(OR(B256="",C256=""),"",COUNTIFS($B$5:B256,B256))</f>
        <v>0</v>
      </c>
      <c r="T256" s="23">
        <f>IF(S256="","",B256&amp;"|"&amp;S256)</f>
        <v>0</v>
      </c>
      <c r="U256" s="39">
        <f>IF(B256="","",IF(C256="","Add - pick a service",IF(E256="","Add - how many?",IF(L256=0,"Add - no price",IF(AND(R256&lt;&gt;"",R256&lt;MarginFloor),"Below - thin margin","OK")))))</f>
        <v>0</v>
      </c>
    </row>
    <row r="257" spans="1:21">
      <c r="A257" s="43">
        <f>IF(B257="","","QL-"&amp;TEXT(ROW()-4,"0000"))</f>
        <v>0</v>
      </c>
      <c r="J257" s="21">
        <f>IF(C257="","",IFERROR(INDEX(Services!$P$5:$P$64,MATCH(C257,Services!$B$5:$B$64,0)),"0"))</f>
        <v>0</v>
      </c>
      <c r="K257" s="23">
        <f>IF(C257="","",IFERROR(INDEX(Services!$E$5:$E$64,MATCH(C257,Services!$B$5:$B$64,0)),""))</f>
        <v>0</v>
      </c>
      <c r="L257" s="21">
        <f>IF(B257="","",IF(F257&lt;&gt;"",F257,IFERROR(J257*1,0)))</f>
        <v>0</v>
      </c>
      <c r="M257" s="51">
        <f>IF(B257="","",IF(D257&lt;&gt;"",D257,IFERROR(INDEX(Services!$O$5:$O$64,MATCH(C257,Services!$B$5:$B$64,0)),"")))</f>
        <v>0</v>
      </c>
      <c r="N257" s="34">
        <f>IF(B257="","",IFERROR(INDEX(Services!$G$5:$G$64,MATCH(C257,Services!$B$5:$B$64,0)),0)*IF(E257="",1,IF(IFERROR(INDEX(Services!$D$5:$D$64,MATCH(C257,Services!$B$5:$B$64,0)),"")="Per hour",1,E257)))</f>
        <v>0</v>
      </c>
      <c r="O257" s="21">
        <f>IF(B257="","",ROUND(IF(E257="",1,E257)*L257,2))</f>
        <v>0</v>
      </c>
      <c r="P257" s="21">
        <f>IF(B257="","",ROUND(O257*(1-IF(G257="",0,G257)),2))</f>
        <v>0</v>
      </c>
      <c r="Q257" s="21">
        <f>IF(B257="","",ROUND(N257*CostPerHour+IF(E257="",1,E257)*IFERROR(INDEX(Services!$R$5:$R$64,MATCH(C257,Services!$B$5:$B$64,0)),0),2))</f>
        <v>0</v>
      </c>
      <c r="R257" s="38">
        <f>IF(OR(B257="",P257=0),"",(P257-Q257)/P257)</f>
        <v>0</v>
      </c>
      <c r="S257" s="31">
        <f>IF(OR(B257="",C257=""),"",COUNTIFS($B$5:B257,B257))</f>
        <v>0</v>
      </c>
      <c r="T257" s="23">
        <f>IF(S257="","",B257&amp;"|"&amp;S257)</f>
        <v>0</v>
      </c>
      <c r="U257" s="39">
        <f>IF(B257="","",IF(C257="","Add - pick a service",IF(E257="","Add - how many?",IF(L257=0,"Add - no price",IF(AND(R257&lt;&gt;"",R257&lt;MarginFloor),"Below - thin margin","OK")))))</f>
        <v>0</v>
      </c>
    </row>
    <row r="258" spans="1:21">
      <c r="A258" s="43">
        <f>IF(B258="","","QL-"&amp;TEXT(ROW()-4,"0000"))</f>
        <v>0</v>
      </c>
      <c r="J258" s="21">
        <f>IF(C258="","",IFERROR(INDEX(Services!$P$5:$P$64,MATCH(C258,Services!$B$5:$B$64,0)),"0"))</f>
        <v>0</v>
      </c>
      <c r="K258" s="23">
        <f>IF(C258="","",IFERROR(INDEX(Services!$E$5:$E$64,MATCH(C258,Services!$B$5:$B$64,0)),""))</f>
        <v>0</v>
      </c>
      <c r="L258" s="21">
        <f>IF(B258="","",IF(F258&lt;&gt;"",F258,IFERROR(J258*1,0)))</f>
        <v>0</v>
      </c>
      <c r="M258" s="51">
        <f>IF(B258="","",IF(D258&lt;&gt;"",D258,IFERROR(INDEX(Services!$O$5:$O$64,MATCH(C258,Services!$B$5:$B$64,0)),"")))</f>
        <v>0</v>
      </c>
      <c r="N258" s="34">
        <f>IF(B258="","",IFERROR(INDEX(Services!$G$5:$G$64,MATCH(C258,Services!$B$5:$B$64,0)),0)*IF(E258="",1,IF(IFERROR(INDEX(Services!$D$5:$D$64,MATCH(C258,Services!$B$5:$B$64,0)),"")="Per hour",1,E258)))</f>
        <v>0</v>
      </c>
      <c r="O258" s="21">
        <f>IF(B258="","",ROUND(IF(E258="",1,E258)*L258,2))</f>
        <v>0</v>
      </c>
      <c r="P258" s="21">
        <f>IF(B258="","",ROUND(O258*(1-IF(G258="",0,G258)),2))</f>
        <v>0</v>
      </c>
      <c r="Q258" s="21">
        <f>IF(B258="","",ROUND(N258*CostPerHour+IF(E258="",1,E258)*IFERROR(INDEX(Services!$R$5:$R$64,MATCH(C258,Services!$B$5:$B$64,0)),0),2))</f>
        <v>0</v>
      </c>
      <c r="R258" s="38">
        <f>IF(OR(B258="",P258=0),"",(P258-Q258)/P258)</f>
        <v>0</v>
      </c>
      <c r="S258" s="31">
        <f>IF(OR(B258="",C258=""),"",COUNTIFS($B$5:B258,B258))</f>
        <v>0</v>
      </c>
      <c r="T258" s="23">
        <f>IF(S258="","",B258&amp;"|"&amp;S258)</f>
        <v>0</v>
      </c>
      <c r="U258" s="39">
        <f>IF(B258="","",IF(C258="","Add - pick a service",IF(E258="","Add - how many?",IF(L258=0,"Add - no price",IF(AND(R258&lt;&gt;"",R258&lt;MarginFloor),"Below - thin margin","OK")))))</f>
        <v>0</v>
      </c>
    </row>
    <row r="259" spans="1:21">
      <c r="A259" s="43">
        <f>IF(B259="","","QL-"&amp;TEXT(ROW()-4,"0000"))</f>
        <v>0</v>
      </c>
      <c r="J259" s="21">
        <f>IF(C259="","",IFERROR(INDEX(Services!$P$5:$P$64,MATCH(C259,Services!$B$5:$B$64,0)),"0"))</f>
        <v>0</v>
      </c>
      <c r="K259" s="23">
        <f>IF(C259="","",IFERROR(INDEX(Services!$E$5:$E$64,MATCH(C259,Services!$B$5:$B$64,0)),""))</f>
        <v>0</v>
      </c>
      <c r="L259" s="21">
        <f>IF(B259="","",IF(F259&lt;&gt;"",F259,IFERROR(J259*1,0)))</f>
        <v>0</v>
      </c>
      <c r="M259" s="51">
        <f>IF(B259="","",IF(D259&lt;&gt;"",D259,IFERROR(INDEX(Services!$O$5:$O$64,MATCH(C259,Services!$B$5:$B$64,0)),"")))</f>
        <v>0</v>
      </c>
      <c r="N259" s="34">
        <f>IF(B259="","",IFERROR(INDEX(Services!$G$5:$G$64,MATCH(C259,Services!$B$5:$B$64,0)),0)*IF(E259="",1,IF(IFERROR(INDEX(Services!$D$5:$D$64,MATCH(C259,Services!$B$5:$B$64,0)),"")="Per hour",1,E259)))</f>
        <v>0</v>
      </c>
      <c r="O259" s="21">
        <f>IF(B259="","",ROUND(IF(E259="",1,E259)*L259,2))</f>
        <v>0</v>
      </c>
      <c r="P259" s="21">
        <f>IF(B259="","",ROUND(O259*(1-IF(G259="",0,G259)),2))</f>
        <v>0</v>
      </c>
      <c r="Q259" s="21">
        <f>IF(B259="","",ROUND(N259*CostPerHour+IF(E259="",1,E259)*IFERROR(INDEX(Services!$R$5:$R$64,MATCH(C259,Services!$B$5:$B$64,0)),0),2))</f>
        <v>0</v>
      </c>
      <c r="R259" s="38">
        <f>IF(OR(B259="",P259=0),"",(P259-Q259)/P259)</f>
        <v>0</v>
      </c>
      <c r="S259" s="31">
        <f>IF(OR(B259="",C259=""),"",COUNTIFS($B$5:B259,B259))</f>
        <v>0</v>
      </c>
      <c r="T259" s="23">
        <f>IF(S259="","",B259&amp;"|"&amp;S259)</f>
        <v>0</v>
      </c>
      <c r="U259" s="39">
        <f>IF(B259="","",IF(C259="","Add - pick a service",IF(E259="","Add - how many?",IF(L259=0,"Add - no price",IF(AND(R259&lt;&gt;"",R259&lt;MarginFloor),"Below - thin margin","OK")))))</f>
        <v>0</v>
      </c>
    </row>
    <row r="260" spans="1:21">
      <c r="A260" s="43">
        <f>IF(B260="","","QL-"&amp;TEXT(ROW()-4,"0000"))</f>
        <v>0</v>
      </c>
      <c r="J260" s="21">
        <f>IF(C260="","",IFERROR(INDEX(Services!$P$5:$P$64,MATCH(C260,Services!$B$5:$B$64,0)),"0"))</f>
        <v>0</v>
      </c>
      <c r="K260" s="23">
        <f>IF(C260="","",IFERROR(INDEX(Services!$E$5:$E$64,MATCH(C260,Services!$B$5:$B$64,0)),""))</f>
        <v>0</v>
      </c>
      <c r="L260" s="21">
        <f>IF(B260="","",IF(F260&lt;&gt;"",F260,IFERROR(J260*1,0)))</f>
        <v>0</v>
      </c>
      <c r="M260" s="51">
        <f>IF(B260="","",IF(D260&lt;&gt;"",D260,IFERROR(INDEX(Services!$O$5:$O$64,MATCH(C260,Services!$B$5:$B$64,0)),"")))</f>
        <v>0</v>
      </c>
      <c r="N260" s="34">
        <f>IF(B260="","",IFERROR(INDEX(Services!$G$5:$G$64,MATCH(C260,Services!$B$5:$B$64,0)),0)*IF(E260="",1,IF(IFERROR(INDEX(Services!$D$5:$D$64,MATCH(C260,Services!$B$5:$B$64,0)),"")="Per hour",1,E260)))</f>
        <v>0</v>
      </c>
      <c r="O260" s="21">
        <f>IF(B260="","",ROUND(IF(E260="",1,E260)*L260,2))</f>
        <v>0</v>
      </c>
      <c r="P260" s="21">
        <f>IF(B260="","",ROUND(O260*(1-IF(G260="",0,G260)),2))</f>
        <v>0</v>
      </c>
      <c r="Q260" s="21">
        <f>IF(B260="","",ROUND(N260*CostPerHour+IF(E260="",1,E260)*IFERROR(INDEX(Services!$R$5:$R$64,MATCH(C260,Services!$B$5:$B$64,0)),0),2))</f>
        <v>0</v>
      </c>
      <c r="R260" s="38">
        <f>IF(OR(B260="",P260=0),"",(P260-Q260)/P260)</f>
        <v>0</v>
      </c>
      <c r="S260" s="31">
        <f>IF(OR(B260="",C260=""),"",COUNTIFS($B$5:B260,B260))</f>
        <v>0</v>
      </c>
      <c r="T260" s="23">
        <f>IF(S260="","",B260&amp;"|"&amp;S260)</f>
        <v>0</v>
      </c>
      <c r="U260" s="39">
        <f>IF(B260="","",IF(C260="","Add - pick a service",IF(E260="","Add - how many?",IF(L260=0,"Add - no price",IF(AND(R260&lt;&gt;"",R260&lt;MarginFloor),"Below - thin margin","OK")))))</f>
        <v>0</v>
      </c>
    </row>
    <row r="261" spans="1:21">
      <c r="A261" s="43">
        <f>IF(B261="","","QL-"&amp;TEXT(ROW()-4,"0000"))</f>
        <v>0</v>
      </c>
      <c r="J261" s="21">
        <f>IF(C261="","",IFERROR(INDEX(Services!$P$5:$P$64,MATCH(C261,Services!$B$5:$B$64,0)),"0"))</f>
        <v>0</v>
      </c>
      <c r="K261" s="23">
        <f>IF(C261="","",IFERROR(INDEX(Services!$E$5:$E$64,MATCH(C261,Services!$B$5:$B$64,0)),""))</f>
        <v>0</v>
      </c>
      <c r="L261" s="21">
        <f>IF(B261="","",IF(F261&lt;&gt;"",F261,IFERROR(J261*1,0)))</f>
        <v>0</v>
      </c>
      <c r="M261" s="51">
        <f>IF(B261="","",IF(D261&lt;&gt;"",D261,IFERROR(INDEX(Services!$O$5:$O$64,MATCH(C261,Services!$B$5:$B$64,0)),"")))</f>
        <v>0</v>
      </c>
      <c r="N261" s="34">
        <f>IF(B261="","",IFERROR(INDEX(Services!$G$5:$G$64,MATCH(C261,Services!$B$5:$B$64,0)),0)*IF(E261="",1,IF(IFERROR(INDEX(Services!$D$5:$D$64,MATCH(C261,Services!$B$5:$B$64,0)),"")="Per hour",1,E261)))</f>
        <v>0</v>
      </c>
      <c r="O261" s="21">
        <f>IF(B261="","",ROUND(IF(E261="",1,E261)*L261,2))</f>
        <v>0</v>
      </c>
      <c r="P261" s="21">
        <f>IF(B261="","",ROUND(O261*(1-IF(G261="",0,G261)),2))</f>
        <v>0</v>
      </c>
      <c r="Q261" s="21">
        <f>IF(B261="","",ROUND(N261*CostPerHour+IF(E261="",1,E261)*IFERROR(INDEX(Services!$R$5:$R$64,MATCH(C261,Services!$B$5:$B$64,0)),0),2))</f>
        <v>0</v>
      </c>
      <c r="R261" s="38">
        <f>IF(OR(B261="",P261=0),"",(P261-Q261)/P261)</f>
        <v>0</v>
      </c>
      <c r="S261" s="31">
        <f>IF(OR(B261="",C261=""),"",COUNTIFS($B$5:B261,B261))</f>
        <v>0</v>
      </c>
      <c r="T261" s="23">
        <f>IF(S261="","",B261&amp;"|"&amp;S261)</f>
        <v>0</v>
      </c>
      <c r="U261" s="39">
        <f>IF(B261="","",IF(C261="","Add - pick a service",IF(E261="","Add - how many?",IF(L261=0,"Add - no price",IF(AND(R261&lt;&gt;"",R261&lt;MarginFloor),"Below - thin margin","OK")))))</f>
        <v>0</v>
      </c>
    </row>
    <row r="262" spans="1:21">
      <c r="A262" s="43">
        <f>IF(B262="","","QL-"&amp;TEXT(ROW()-4,"0000"))</f>
        <v>0</v>
      </c>
      <c r="J262" s="21">
        <f>IF(C262="","",IFERROR(INDEX(Services!$P$5:$P$64,MATCH(C262,Services!$B$5:$B$64,0)),"0"))</f>
        <v>0</v>
      </c>
      <c r="K262" s="23">
        <f>IF(C262="","",IFERROR(INDEX(Services!$E$5:$E$64,MATCH(C262,Services!$B$5:$B$64,0)),""))</f>
        <v>0</v>
      </c>
      <c r="L262" s="21">
        <f>IF(B262="","",IF(F262&lt;&gt;"",F262,IFERROR(J262*1,0)))</f>
        <v>0</v>
      </c>
      <c r="M262" s="51">
        <f>IF(B262="","",IF(D262&lt;&gt;"",D262,IFERROR(INDEX(Services!$O$5:$O$64,MATCH(C262,Services!$B$5:$B$64,0)),"")))</f>
        <v>0</v>
      </c>
      <c r="N262" s="34">
        <f>IF(B262="","",IFERROR(INDEX(Services!$G$5:$G$64,MATCH(C262,Services!$B$5:$B$64,0)),0)*IF(E262="",1,IF(IFERROR(INDEX(Services!$D$5:$D$64,MATCH(C262,Services!$B$5:$B$64,0)),"")="Per hour",1,E262)))</f>
        <v>0</v>
      </c>
      <c r="O262" s="21">
        <f>IF(B262="","",ROUND(IF(E262="",1,E262)*L262,2))</f>
        <v>0</v>
      </c>
      <c r="P262" s="21">
        <f>IF(B262="","",ROUND(O262*(1-IF(G262="",0,G262)),2))</f>
        <v>0</v>
      </c>
      <c r="Q262" s="21">
        <f>IF(B262="","",ROUND(N262*CostPerHour+IF(E262="",1,E262)*IFERROR(INDEX(Services!$R$5:$R$64,MATCH(C262,Services!$B$5:$B$64,0)),0),2))</f>
        <v>0</v>
      </c>
      <c r="R262" s="38">
        <f>IF(OR(B262="",P262=0),"",(P262-Q262)/P262)</f>
        <v>0</v>
      </c>
      <c r="S262" s="31">
        <f>IF(OR(B262="",C262=""),"",COUNTIFS($B$5:B262,B262))</f>
        <v>0</v>
      </c>
      <c r="T262" s="23">
        <f>IF(S262="","",B262&amp;"|"&amp;S262)</f>
        <v>0</v>
      </c>
      <c r="U262" s="39">
        <f>IF(B262="","",IF(C262="","Add - pick a service",IF(E262="","Add - how many?",IF(L262=0,"Add - no price",IF(AND(R262&lt;&gt;"",R262&lt;MarginFloor),"Below - thin margin","OK")))))</f>
        <v>0</v>
      </c>
    </row>
    <row r="263" spans="1:21">
      <c r="A263" s="43">
        <f>IF(B263="","","QL-"&amp;TEXT(ROW()-4,"0000"))</f>
        <v>0</v>
      </c>
      <c r="J263" s="21">
        <f>IF(C263="","",IFERROR(INDEX(Services!$P$5:$P$64,MATCH(C263,Services!$B$5:$B$64,0)),"0"))</f>
        <v>0</v>
      </c>
      <c r="K263" s="23">
        <f>IF(C263="","",IFERROR(INDEX(Services!$E$5:$E$64,MATCH(C263,Services!$B$5:$B$64,0)),""))</f>
        <v>0</v>
      </c>
      <c r="L263" s="21">
        <f>IF(B263="","",IF(F263&lt;&gt;"",F263,IFERROR(J263*1,0)))</f>
        <v>0</v>
      </c>
      <c r="M263" s="51">
        <f>IF(B263="","",IF(D263&lt;&gt;"",D263,IFERROR(INDEX(Services!$O$5:$O$64,MATCH(C263,Services!$B$5:$B$64,0)),"")))</f>
        <v>0</v>
      </c>
      <c r="N263" s="34">
        <f>IF(B263="","",IFERROR(INDEX(Services!$G$5:$G$64,MATCH(C263,Services!$B$5:$B$64,0)),0)*IF(E263="",1,IF(IFERROR(INDEX(Services!$D$5:$D$64,MATCH(C263,Services!$B$5:$B$64,0)),"")="Per hour",1,E263)))</f>
        <v>0</v>
      </c>
      <c r="O263" s="21">
        <f>IF(B263="","",ROUND(IF(E263="",1,E263)*L263,2))</f>
        <v>0</v>
      </c>
      <c r="P263" s="21">
        <f>IF(B263="","",ROUND(O263*(1-IF(G263="",0,G263)),2))</f>
        <v>0</v>
      </c>
      <c r="Q263" s="21">
        <f>IF(B263="","",ROUND(N263*CostPerHour+IF(E263="",1,E263)*IFERROR(INDEX(Services!$R$5:$R$64,MATCH(C263,Services!$B$5:$B$64,0)),0),2))</f>
        <v>0</v>
      </c>
      <c r="R263" s="38">
        <f>IF(OR(B263="",P263=0),"",(P263-Q263)/P263)</f>
        <v>0</v>
      </c>
      <c r="S263" s="31">
        <f>IF(OR(B263="",C263=""),"",COUNTIFS($B$5:B263,B263))</f>
        <v>0</v>
      </c>
      <c r="T263" s="23">
        <f>IF(S263="","",B263&amp;"|"&amp;S263)</f>
        <v>0</v>
      </c>
      <c r="U263" s="39">
        <f>IF(B263="","",IF(C263="","Add - pick a service",IF(E263="","Add - how many?",IF(L263=0,"Add - no price",IF(AND(R263&lt;&gt;"",R263&lt;MarginFloor),"Below - thin margin","OK")))))</f>
        <v>0</v>
      </c>
    </row>
    <row r="264" spans="1:21">
      <c r="A264" s="43">
        <f>IF(B264="","","QL-"&amp;TEXT(ROW()-4,"0000"))</f>
        <v>0</v>
      </c>
      <c r="J264" s="21">
        <f>IF(C264="","",IFERROR(INDEX(Services!$P$5:$P$64,MATCH(C264,Services!$B$5:$B$64,0)),"0"))</f>
        <v>0</v>
      </c>
      <c r="K264" s="23">
        <f>IF(C264="","",IFERROR(INDEX(Services!$E$5:$E$64,MATCH(C264,Services!$B$5:$B$64,0)),""))</f>
        <v>0</v>
      </c>
      <c r="L264" s="21">
        <f>IF(B264="","",IF(F264&lt;&gt;"",F264,IFERROR(J264*1,0)))</f>
        <v>0</v>
      </c>
      <c r="M264" s="51">
        <f>IF(B264="","",IF(D264&lt;&gt;"",D264,IFERROR(INDEX(Services!$O$5:$O$64,MATCH(C264,Services!$B$5:$B$64,0)),"")))</f>
        <v>0</v>
      </c>
      <c r="N264" s="34">
        <f>IF(B264="","",IFERROR(INDEX(Services!$G$5:$G$64,MATCH(C264,Services!$B$5:$B$64,0)),0)*IF(E264="",1,IF(IFERROR(INDEX(Services!$D$5:$D$64,MATCH(C264,Services!$B$5:$B$64,0)),"")="Per hour",1,E264)))</f>
        <v>0</v>
      </c>
      <c r="O264" s="21">
        <f>IF(B264="","",ROUND(IF(E264="",1,E264)*L264,2))</f>
        <v>0</v>
      </c>
      <c r="P264" s="21">
        <f>IF(B264="","",ROUND(O264*(1-IF(G264="",0,G264)),2))</f>
        <v>0</v>
      </c>
      <c r="Q264" s="21">
        <f>IF(B264="","",ROUND(N264*CostPerHour+IF(E264="",1,E264)*IFERROR(INDEX(Services!$R$5:$R$64,MATCH(C264,Services!$B$5:$B$64,0)),0),2))</f>
        <v>0</v>
      </c>
      <c r="R264" s="38">
        <f>IF(OR(B264="",P264=0),"",(P264-Q264)/P264)</f>
        <v>0</v>
      </c>
      <c r="S264" s="31">
        <f>IF(OR(B264="",C264=""),"",COUNTIFS($B$5:B264,B264))</f>
        <v>0</v>
      </c>
      <c r="T264" s="23">
        <f>IF(S264="","",B264&amp;"|"&amp;S264)</f>
        <v>0</v>
      </c>
      <c r="U264" s="39">
        <f>IF(B264="","",IF(C264="","Add - pick a service",IF(E264="","Add - how many?",IF(L264=0,"Add - no price",IF(AND(R264&lt;&gt;"",R264&lt;MarginFloor),"Below - thin margin","OK")))))</f>
        <v>0</v>
      </c>
    </row>
    <row r="265" spans="1:21">
      <c r="A265" s="43">
        <f>IF(B265="","","QL-"&amp;TEXT(ROW()-4,"0000"))</f>
        <v>0</v>
      </c>
      <c r="J265" s="21">
        <f>IF(C265="","",IFERROR(INDEX(Services!$P$5:$P$64,MATCH(C265,Services!$B$5:$B$64,0)),"0"))</f>
        <v>0</v>
      </c>
      <c r="K265" s="23">
        <f>IF(C265="","",IFERROR(INDEX(Services!$E$5:$E$64,MATCH(C265,Services!$B$5:$B$64,0)),""))</f>
        <v>0</v>
      </c>
      <c r="L265" s="21">
        <f>IF(B265="","",IF(F265&lt;&gt;"",F265,IFERROR(J265*1,0)))</f>
        <v>0</v>
      </c>
      <c r="M265" s="51">
        <f>IF(B265="","",IF(D265&lt;&gt;"",D265,IFERROR(INDEX(Services!$O$5:$O$64,MATCH(C265,Services!$B$5:$B$64,0)),"")))</f>
        <v>0</v>
      </c>
      <c r="N265" s="34">
        <f>IF(B265="","",IFERROR(INDEX(Services!$G$5:$G$64,MATCH(C265,Services!$B$5:$B$64,0)),0)*IF(E265="",1,IF(IFERROR(INDEX(Services!$D$5:$D$64,MATCH(C265,Services!$B$5:$B$64,0)),"")="Per hour",1,E265)))</f>
        <v>0</v>
      </c>
      <c r="O265" s="21">
        <f>IF(B265="","",ROUND(IF(E265="",1,E265)*L265,2))</f>
        <v>0</v>
      </c>
      <c r="P265" s="21">
        <f>IF(B265="","",ROUND(O265*(1-IF(G265="",0,G265)),2))</f>
        <v>0</v>
      </c>
      <c r="Q265" s="21">
        <f>IF(B265="","",ROUND(N265*CostPerHour+IF(E265="",1,E265)*IFERROR(INDEX(Services!$R$5:$R$64,MATCH(C265,Services!$B$5:$B$64,0)),0),2))</f>
        <v>0</v>
      </c>
      <c r="R265" s="38">
        <f>IF(OR(B265="",P265=0),"",(P265-Q265)/P265)</f>
        <v>0</v>
      </c>
      <c r="S265" s="31">
        <f>IF(OR(B265="",C265=""),"",COUNTIFS($B$5:B265,B265))</f>
        <v>0</v>
      </c>
      <c r="T265" s="23">
        <f>IF(S265="","",B265&amp;"|"&amp;S265)</f>
        <v>0</v>
      </c>
      <c r="U265" s="39">
        <f>IF(B265="","",IF(C265="","Add - pick a service",IF(E265="","Add - how many?",IF(L265=0,"Add - no price",IF(AND(R265&lt;&gt;"",R265&lt;MarginFloor),"Below - thin margin","OK")))))</f>
        <v>0</v>
      </c>
    </row>
    <row r="266" spans="1:21">
      <c r="A266" s="43">
        <f>IF(B266="","","QL-"&amp;TEXT(ROW()-4,"0000"))</f>
        <v>0</v>
      </c>
      <c r="J266" s="21">
        <f>IF(C266="","",IFERROR(INDEX(Services!$P$5:$P$64,MATCH(C266,Services!$B$5:$B$64,0)),"0"))</f>
        <v>0</v>
      </c>
      <c r="K266" s="23">
        <f>IF(C266="","",IFERROR(INDEX(Services!$E$5:$E$64,MATCH(C266,Services!$B$5:$B$64,0)),""))</f>
        <v>0</v>
      </c>
      <c r="L266" s="21">
        <f>IF(B266="","",IF(F266&lt;&gt;"",F266,IFERROR(J266*1,0)))</f>
        <v>0</v>
      </c>
      <c r="M266" s="51">
        <f>IF(B266="","",IF(D266&lt;&gt;"",D266,IFERROR(INDEX(Services!$O$5:$O$64,MATCH(C266,Services!$B$5:$B$64,0)),"")))</f>
        <v>0</v>
      </c>
      <c r="N266" s="34">
        <f>IF(B266="","",IFERROR(INDEX(Services!$G$5:$G$64,MATCH(C266,Services!$B$5:$B$64,0)),0)*IF(E266="",1,IF(IFERROR(INDEX(Services!$D$5:$D$64,MATCH(C266,Services!$B$5:$B$64,0)),"")="Per hour",1,E266)))</f>
        <v>0</v>
      </c>
      <c r="O266" s="21">
        <f>IF(B266="","",ROUND(IF(E266="",1,E266)*L266,2))</f>
        <v>0</v>
      </c>
      <c r="P266" s="21">
        <f>IF(B266="","",ROUND(O266*(1-IF(G266="",0,G266)),2))</f>
        <v>0</v>
      </c>
      <c r="Q266" s="21">
        <f>IF(B266="","",ROUND(N266*CostPerHour+IF(E266="",1,E266)*IFERROR(INDEX(Services!$R$5:$R$64,MATCH(C266,Services!$B$5:$B$64,0)),0),2))</f>
        <v>0</v>
      </c>
      <c r="R266" s="38">
        <f>IF(OR(B266="",P266=0),"",(P266-Q266)/P266)</f>
        <v>0</v>
      </c>
      <c r="S266" s="31">
        <f>IF(OR(B266="",C266=""),"",COUNTIFS($B$5:B266,B266))</f>
        <v>0</v>
      </c>
      <c r="T266" s="23">
        <f>IF(S266="","",B266&amp;"|"&amp;S266)</f>
        <v>0</v>
      </c>
      <c r="U266" s="39">
        <f>IF(B266="","",IF(C266="","Add - pick a service",IF(E266="","Add - how many?",IF(L266=0,"Add - no price",IF(AND(R266&lt;&gt;"",R266&lt;MarginFloor),"Below - thin margin","OK")))))</f>
        <v>0</v>
      </c>
    </row>
    <row r="267" spans="1:21">
      <c r="A267" s="43">
        <f>IF(B267="","","QL-"&amp;TEXT(ROW()-4,"0000"))</f>
        <v>0</v>
      </c>
      <c r="J267" s="21">
        <f>IF(C267="","",IFERROR(INDEX(Services!$P$5:$P$64,MATCH(C267,Services!$B$5:$B$64,0)),"0"))</f>
        <v>0</v>
      </c>
      <c r="K267" s="23">
        <f>IF(C267="","",IFERROR(INDEX(Services!$E$5:$E$64,MATCH(C267,Services!$B$5:$B$64,0)),""))</f>
        <v>0</v>
      </c>
      <c r="L267" s="21">
        <f>IF(B267="","",IF(F267&lt;&gt;"",F267,IFERROR(J267*1,0)))</f>
        <v>0</v>
      </c>
      <c r="M267" s="51">
        <f>IF(B267="","",IF(D267&lt;&gt;"",D267,IFERROR(INDEX(Services!$O$5:$O$64,MATCH(C267,Services!$B$5:$B$64,0)),"")))</f>
        <v>0</v>
      </c>
      <c r="N267" s="34">
        <f>IF(B267="","",IFERROR(INDEX(Services!$G$5:$G$64,MATCH(C267,Services!$B$5:$B$64,0)),0)*IF(E267="",1,IF(IFERROR(INDEX(Services!$D$5:$D$64,MATCH(C267,Services!$B$5:$B$64,0)),"")="Per hour",1,E267)))</f>
        <v>0</v>
      </c>
      <c r="O267" s="21">
        <f>IF(B267="","",ROUND(IF(E267="",1,E267)*L267,2))</f>
        <v>0</v>
      </c>
      <c r="P267" s="21">
        <f>IF(B267="","",ROUND(O267*(1-IF(G267="",0,G267)),2))</f>
        <v>0</v>
      </c>
      <c r="Q267" s="21">
        <f>IF(B267="","",ROUND(N267*CostPerHour+IF(E267="",1,E267)*IFERROR(INDEX(Services!$R$5:$R$64,MATCH(C267,Services!$B$5:$B$64,0)),0),2))</f>
        <v>0</v>
      </c>
      <c r="R267" s="38">
        <f>IF(OR(B267="",P267=0),"",(P267-Q267)/P267)</f>
        <v>0</v>
      </c>
      <c r="S267" s="31">
        <f>IF(OR(B267="",C267=""),"",COUNTIFS($B$5:B267,B267))</f>
        <v>0</v>
      </c>
      <c r="T267" s="23">
        <f>IF(S267="","",B267&amp;"|"&amp;S267)</f>
        <v>0</v>
      </c>
      <c r="U267" s="39">
        <f>IF(B267="","",IF(C267="","Add - pick a service",IF(E267="","Add - how many?",IF(L267=0,"Add - no price",IF(AND(R267&lt;&gt;"",R267&lt;MarginFloor),"Below - thin margin","OK")))))</f>
        <v>0</v>
      </c>
    </row>
    <row r="268" spans="1:21">
      <c r="A268" s="43">
        <f>IF(B268="","","QL-"&amp;TEXT(ROW()-4,"0000"))</f>
        <v>0</v>
      </c>
      <c r="J268" s="21">
        <f>IF(C268="","",IFERROR(INDEX(Services!$P$5:$P$64,MATCH(C268,Services!$B$5:$B$64,0)),"0"))</f>
        <v>0</v>
      </c>
      <c r="K268" s="23">
        <f>IF(C268="","",IFERROR(INDEX(Services!$E$5:$E$64,MATCH(C268,Services!$B$5:$B$64,0)),""))</f>
        <v>0</v>
      </c>
      <c r="L268" s="21">
        <f>IF(B268="","",IF(F268&lt;&gt;"",F268,IFERROR(J268*1,0)))</f>
        <v>0</v>
      </c>
      <c r="M268" s="51">
        <f>IF(B268="","",IF(D268&lt;&gt;"",D268,IFERROR(INDEX(Services!$O$5:$O$64,MATCH(C268,Services!$B$5:$B$64,0)),"")))</f>
        <v>0</v>
      </c>
      <c r="N268" s="34">
        <f>IF(B268="","",IFERROR(INDEX(Services!$G$5:$G$64,MATCH(C268,Services!$B$5:$B$64,0)),0)*IF(E268="",1,IF(IFERROR(INDEX(Services!$D$5:$D$64,MATCH(C268,Services!$B$5:$B$64,0)),"")="Per hour",1,E268)))</f>
        <v>0</v>
      </c>
      <c r="O268" s="21">
        <f>IF(B268="","",ROUND(IF(E268="",1,E268)*L268,2))</f>
        <v>0</v>
      </c>
      <c r="P268" s="21">
        <f>IF(B268="","",ROUND(O268*(1-IF(G268="",0,G268)),2))</f>
        <v>0</v>
      </c>
      <c r="Q268" s="21">
        <f>IF(B268="","",ROUND(N268*CostPerHour+IF(E268="",1,E268)*IFERROR(INDEX(Services!$R$5:$R$64,MATCH(C268,Services!$B$5:$B$64,0)),0),2))</f>
        <v>0</v>
      </c>
      <c r="R268" s="38">
        <f>IF(OR(B268="",P268=0),"",(P268-Q268)/P268)</f>
        <v>0</v>
      </c>
      <c r="S268" s="31">
        <f>IF(OR(B268="",C268=""),"",COUNTIFS($B$5:B268,B268))</f>
        <v>0</v>
      </c>
      <c r="T268" s="23">
        <f>IF(S268="","",B268&amp;"|"&amp;S268)</f>
        <v>0</v>
      </c>
      <c r="U268" s="39">
        <f>IF(B268="","",IF(C268="","Add - pick a service",IF(E268="","Add - how many?",IF(L268=0,"Add - no price",IF(AND(R268&lt;&gt;"",R268&lt;MarginFloor),"Below - thin margin","OK")))))</f>
        <v>0</v>
      </c>
    </row>
    <row r="269" spans="1:21">
      <c r="A269" s="43">
        <f>IF(B269="","","QL-"&amp;TEXT(ROW()-4,"0000"))</f>
        <v>0</v>
      </c>
      <c r="J269" s="21">
        <f>IF(C269="","",IFERROR(INDEX(Services!$P$5:$P$64,MATCH(C269,Services!$B$5:$B$64,0)),"0"))</f>
        <v>0</v>
      </c>
      <c r="K269" s="23">
        <f>IF(C269="","",IFERROR(INDEX(Services!$E$5:$E$64,MATCH(C269,Services!$B$5:$B$64,0)),""))</f>
        <v>0</v>
      </c>
      <c r="L269" s="21">
        <f>IF(B269="","",IF(F269&lt;&gt;"",F269,IFERROR(J269*1,0)))</f>
        <v>0</v>
      </c>
      <c r="M269" s="51">
        <f>IF(B269="","",IF(D269&lt;&gt;"",D269,IFERROR(INDEX(Services!$O$5:$O$64,MATCH(C269,Services!$B$5:$B$64,0)),"")))</f>
        <v>0</v>
      </c>
      <c r="N269" s="34">
        <f>IF(B269="","",IFERROR(INDEX(Services!$G$5:$G$64,MATCH(C269,Services!$B$5:$B$64,0)),0)*IF(E269="",1,IF(IFERROR(INDEX(Services!$D$5:$D$64,MATCH(C269,Services!$B$5:$B$64,0)),"")="Per hour",1,E269)))</f>
        <v>0</v>
      </c>
      <c r="O269" s="21">
        <f>IF(B269="","",ROUND(IF(E269="",1,E269)*L269,2))</f>
        <v>0</v>
      </c>
      <c r="P269" s="21">
        <f>IF(B269="","",ROUND(O269*(1-IF(G269="",0,G269)),2))</f>
        <v>0</v>
      </c>
      <c r="Q269" s="21">
        <f>IF(B269="","",ROUND(N269*CostPerHour+IF(E269="",1,E269)*IFERROR(INDEX(Services!$R$5:$R$64,MATCH(C269,Services!$B$5:$B$64,0)),0),2))</f>
        <v>0</v>
      </c>
      <c r="R269" s="38">
        <f>IF(OR(B269="",P269=0),"",(P269-Q269)/P269)</f>
        <v>0</v>
      </c>
      <c r="S269" s="31">
        <f>IF(OR(B269="",C269=""),"",COUNTIFS($B$5:B269,B269))</f>
        <v>0</v>
      </c>
      <c r="T269" s="23">
        <f>IF(S269="","",B269&amp;"|"&amp;S269)</f>
        <v>0</v>
      </c>
      <c r="U269" s="39">
        <f>IF(B269="","",IF(C269="","Add - pick a service",IF(E269="","Add - how many?",IF(L269=0,"Add - no price",IF(AND(R269&lt;&gt;"",R269&lt;MarginFloor),"Below - thin margin","OK")))))</f>
        <v>0</v>
      </c>
    </row>
    <row r="270" spans="1:21">
      <c r="A270" s="43">
        <f>IF(B270="","","QL-"&amp;TEXT(ROW()-4,"0000"))</f>
        <v>0</v>
      </c>
      <c r="J270" s="21">
        <f>IF(C270="","",IFERROR(INDEX(Services!$P$5:$P$64,MATCH(C270,Services!$B$5:$B$64,0)),"0"))</f>
        <v>0</v>
      </c>
      <c r="K270" s="23">
        <f>IF(C270="","",IFERROR(INDEX(Services!$E$5:$E$64,MATCH(C270,Services!$B$5:$B$64,0)),""))</f>
        <v>0</v>
      </c>
      <c r="L270" s="21">
        <f>IF(B270="","",IF(F270&lt;&gt;"",F270,IFERROR(J270*1,0)))</f>
        <v>0</v>
      </c>
      <c r="M270" s="51">
        <f>IF(B270="","",IF(D270&lt;&gt;"",D270,IFERROR(INDEX(Services!$O$5:$O$64,MATCH(C270,Services!$B$5:$B$64,0)),"")))</f>
        <v>0</v>
      </c>
      <c r="N270" s="34">
        <f>IF(B270="","",IFERROR(INDEX(Services!$G$5:$G$64,MATCH(C270,Services!$B$5:$B$64,0)),0)*IF(E270="",1,IF(IFERROR(INDEX(Services!$D$5:$D$64,MATCH(C270,Services!$B$5:$B$64,0)),"")="Per hour",1,E270)))</f>
        <v>0</v>
      </c>
      <c r="O270" s="21">
        <f>IF(B270="","",ROUND(IF(E270="",1,E270)*L270,2))</f>
        <v>0</v>
      </c>
      <c r="P270" s="21">
        <f>IF(B270="","",ROUND(O270*(1-IF(G270="",0,G270)),2))</f>
        <v>0</v>
      </c>
      <c r="Q270" s="21">
        <f>IF(B270="","",ROUND(N270*CostPerHour+IF(E270="",1,E270)*IFERROR(INDEX(Services!$R$5:$R$64,MATCH(C270,Services!$B$5:$B$64,0)),0),2))</f>
        <v>0</v>
      </c>
      <c r="R270" s="38">
        <f>IF(OR(B270="",P270=0),"",(P270-Q270)/P270)</f>
        <v>0</v>
      </c>
      <c r="S270" s="31">
        <f>IF(OR(B270="",C270=""),"",COUNTIFS($B$5:B270,B270))</f>
        <v>0</v>
      </c>
      <c r="T270" s="23">
        <f>IF(S270="","",B270&amp;"|"&amp;S270)</f>
        <v>0</v>
      </c>
      <c r="U270" s="39">
        <f>IF(B270="","",IF(C270="","Add - pick a service",IF(E270="","Add - how many?",IF(L270=0,"Add - no price",IF(AND(R270&lt;&gt;"",R270&lt;MarginFloor),"Below - thin margin","OK")))))</f>
        <v>0</v>
      </c>
    </row>
    <row r="271" spans="1:21">
      <c r="A271" s="43">
        <f>IF(B271="","","QL-"&amp;TEXT(ROW()-4,"0000"))</f>
        <v>0</v>
      </c>
      <c r="J271" s="21">
        <f>IF(C271="","",IFERROR(INDEX(Services!$P$5:$P$64,MATCH(C271,Services!$B$5:$B$64,0)),"0"))</f>
        <v>0</v>
      </c>
      <c r="K271" s="23">
        <f>IF(C271="","",IFERROR(INDEX(Services!$E$5:$E$64,MATCH(C271,Services!$B$5:$B$64,0)),""))</f>
        <v>0</v>
      </c>
      <c r="L271" s="21">
        <f>IF(B271="","",IF(F271&lt;&gt;"",F271,IFERROR(J271*1,0)))</f>
        <v>0</v>
      </c>
      <c r="M271" s="51">
        <f>IF(B271="","",IF(D271&lt;&gt;"",D271,IFERROR(INDEX(Services!$O$5:$O$64,MATCH(C271,Services!$B$5:$B$64,0)),"")))</f>
        <v>0</v>
      </c>
      <c r="N271" s="34">
        <f>IF(B271="","",IFERROR(INDEX(Services!$G$5:$G$64,MATCH(C271,Services!$B$5:$B$64,0)),0)*IF(E271="",1,IF(IFERROR(INDEX(Services!$D$5:$D$64,MATCH(C271,Services!$B$5:$B$64,0)),"")="Per hour",1,E271)))</f>
        <v>0</v>
      </c>
      <c r="O271" s="21">
        <f>IF(B271="","",ROUND(IF(E271="",1,E271)*L271,2))</f>
        <v>0</v>
      </c>
      <c r="P271" s="21">
        <f>IF(B271="","",ROUND(O271*(1-IF(G271="",0,G271)),2))</f>
        <v>0</v>
      </c>
      <c r="Q271" s="21">
        <f>IF(B271="","",ROUND(N271*CostPerHour+IF(E271="",1,E271)*IFERROR(INDEX(Services!$R$5:$R$64,MATCH(C271,Services!$B$5:$B$64,0)),0),2))</f>
        <v>0</v>
      </c>
      <c r="R271" s="38">
        <f>IF(OR(B271="",P271=0),"",(P271-Q271)/P271)</f>
        <v>0</v>
      </c>
      <c r="S271" s="31">
        <f>IF(OR(B271="",C271=""),"",COUNTIFS($B$5:B271,B271))</f>
        <v>0</v>
      </c>
      <c r="T271" s="23">
        <f>IF(S271="","",B271&amp;"|"&amp;S271)</f>
        <v>0</v>
      </c>
      <c r="U271" s="39">
        <f>IF(B271="","",IF(C271="","Add - pick a service",IF(E271="","Add - how many?",IF(L271=0,"Add - no price",IF(AND(R271&lt;&gt;"",R271&lt;MarginFloor),"Below - thin margin","OK")))))</f>
        <v>0</v>
      </c>
    </row>
    <row r="272" spans="1:21">
      <c r="A272" s="43">
        <f>IF(B272="","","QL-"&amp;TEXT(ROW()-4,"0000"))</f>
        <v>0</v>
      </c>
      <c r="J272" s="21">
        <f>IF(C272="","",IFERROR(INDEX(Services!$P$5:$P$64,MATCH(C272,Services!$B$5:$B$64,0)),"0"))</f>
        <v>0</v>
      </c>
      <c r="K272" s="23">
        <f>IF(C272="","",IFERROR(INDEX(Services!$E$5:$E$64,MATCH(C272,Services!$B$5:$B$64,0)),""))</f>
        <v>0</v>
      </c>
      <c r="L272" s="21">
        <f>IF(B272="","",IF(F272&lt;&gt;"",F272,IFERROR(J272*1,0)))</f>
        <v>0</v>
      </c>
      <c r="M272" s="51">
        <f>IF(B272="","",IF(D272&lt;&gt;"",D272,IFERROR(INDEX(Services!$O$5:$O$64,MATCH(C272,Services!$B$5:$B$64,0)),"")))</f>
        <v>0</v>
      </c>
      <c r="N272" s="34">
        <f>IF(B272="","",IFERROR(INDEX(Services!$G$5:$G$64,MATCH(C272,Services!$B$5:$B$64,0)),0)*IF(E272="",1,IF(IFERROR(INDEX(Services!$D$5:$D$64,MATCH(C272,Services!$B$5:$B$64,0)),"")="Per hour",1,E272)))</f>
        <v>0</v>
      </c>
      <c r="O272" s="21">
        <f>IF(B272="","",ROUND(IF(E272="",1,E272)*L272,2))</f>
        <v>0</v>
      </c>
      <c r="P272" s="21">
        <f>IF(B272="","",ROUND(O272*(1-IF(G272="",0,G272)),2))</f>
        <v>0</v>
      </c>
      <c r="Q272" s="21">
        <f>IF(B272="","",ROUND(N272*CostPerHour+IF(E272="",1,E272)*IFERROR(INDEX(Services!$R$5:$R$64,MATCH(C272,Services!$B$5:$B$64,0)),0),2))</f>
        <v>0</v>
      </c>
      <c r="R272" s="38">
        <f>IF(OR(B272="",P272=0),"",(P272-Q272)/P272)</f>
        <v>0</v>
      </c>
      <c r="S272" s="31">
        <f>IF(OR(B272="",C272=""),"",COUNTIFS($B$5:B272,B272))</f>
        <v>0</v>
      </c>
      <c r="T272" s="23">
        <f>IF(S272="","",B272&amp;"|"&amp;S272)</f>
        <v>0</v>
      </c>
      <c r="U272" s="39">
        <f>IF(B272="","",IF(C272="","Add - pick a service",IF(E272="","Add - how many?",IF(L272=0,"Add - no price",IF(AND(R272&lt;&gt;"",R272&lt;MarginFloor),"Below - thin margin","OK")))))</f>
        <v>0</v>
      </c>
    </row>
    <row r="273" spans="1:21">
      <c r="A273" s="43">
        <f>IF(B273="","","QL-"&amp;TEXT(ROW()-4,"0000"))</f>
        <v>0</v>
      </c>
      <c r="J273" s="21">
        <f>IF(C273="","",IFERROR(INDEX(Services!$P$5:$P$64,MATCH(C273,Services!$B$5:$B$64,0)),"0"))</f>
        <v>0</v>
      </c>
      <c r="K273" s="23">
        <f>IF(C273="","",IFERROR(INDEX(Services!$E$5:$E$64,MATCH(C273,Services!$B$5:$B$64,0)),""))</f>
        <v>0</v>
      </c>
      <c r="L273" s="21">
        <f>IF(B273="","",IF(F273&lt;&gt;"",F273,IFERROR(J273*1,0)))</f>
        <v>0</v>
      </c>
      <c r="M273" s="51">
        <f>IF(B273="","",IF(D273&lt;&gt;"",D273,IFERROR(INDEX(Services!$O$5:$O$64,MATCH(C273,Services!$B$5:$B$64,0)),"")))</f>
        <v>0</v>
      </c>
      <c r="N273" s="34">
        <f>IF(B273="","",IFERROR(INDEX(Services!$G$5:$G$64,MATCH(C273,Services!$B$5:$B$64,0)),0)*IF(E273="",1,IF(IFERROR(INDEX(Services!$D$5:$D$64,MATCH(C273,Services!$B$5:$B$64,0)),"")="Per hour",1,E273)))</f>
        <v>0</v>
      </c>
      <c r="O273" s="21">
        <f>IF(B273="","",ROUND(IF(E273="",1,E273)*L273,2))</f>
        <v>0</v>
      </c>
      <c r="P273" s="21">
        <f>IF(B273="","",ROUND(O273*(1-IF(G273="",0,G273)),2))</f>
        <v>0</v>
      </c>
      <c r="Q273" s="21">
        <f>IF(B273="","",ROUND(N273*CostPerHour+IF(E273="",1,E273)*IFERROR(INDEX(Services!$R$5:$R$64,MATCH(C273,Services!$B$5:$B$64,0)),0),2))</f>
        <v>0</v>
      </c>
      <c r="R273" s="38">
        <f>IF(OR(B273="",P273=0),"",(P273-Q273)/P273)</f>
        <v>0</v>
      </c>
      <c r="S273" s="31">
        <f>IF(OR(B273="",C273=""),"",COUNTIFS($B$5:B273,B273))</f>
        <v>0</v>
      </c>
      <c r="T273" s="23">
        <f>IF(S273="","",B273&amp;"|"&amp;S273)</f>
        <v>0</v>
      </c>
      <c r="U273" s="39">
        <f>IF(B273="","",IF(C273="","Add - pick a service",IF(E273="","Add - how many?",IF(L273=0,"Add - no price",IF(AND(R273&lt;&gt;"",R273&lt;MarginFloor),"Below - thin margin","OK")))))</f>
        <v>0</v>
      </c>
    </row>
    <row r="274" spans="1:21">
      <c r="A274" s="43">
        <f>IF(B274="","","QL-"&amp;TEXT(ROW()-4,"0000"))</f>
        <v>0</v>
      </c>
      <c r="J274" s="21">
        <f>IF(C274="","",IFERROR(INDEX(Services!$P$5:$P$64,MATCH(C274,Services!$B$5:$B$64,0)),"0"))</f>
        <v>0</v>
      </c>
      <c r="K274" s="23">
        <f>IF(C274="","",IFERROR(INDEX(Services!$E$5:$E$64,MATCH(C274,Services!$B$5:$B$64,0)),""))</f>
        <v>0</v>
      </c>
      <c r="L274" s="21">
        <f>IF(B274="","",IF(F274&lt;&gt;"",F274,IFERROR(J274*1,0)))</f>
        <v>0</v>
      </c>
      <c r="M274" s="51">
        <f>IF(B274="","",IF(D274&lt;&gt;"",D274,IFERROR(INDEX(Services!$O$5:$O$64,MATCH(C274,Services!$B$5:$B$64,0)),"")))</f>
        <v>0</v>
      </c>
      <c r="N274" s="34">
        <f>IF(B274="","",IFERROR(INDEX(Services!$G$5:$G$64,MATCH(C274,Services!$B$5:$B$64,0)),0)*IF(E274="",1,IF(IFERROR(INDEX(Services!$D$5:$D$64,MATCH(C274,Services!$B$5:$B$64,0)),"")="Per hour",1,E274)))</f>
        <v>0</v>
      </c>
      <c r="O274" s="21">
        <f>IF(B274="","",ROUND(IF(E274="",1,E274)*L274,2))</f>
        <v>0</v>
      </c>
      <c r="P274" s="21">
        <f>IF(B274="","",ROUND(O274*(1-IF(G274="",0,G274)),2))</f>
        <v>0</v>
      </c>
      <c r="Q274" s="21">
        <f>IF(B274="","",ROUND(N274*CostPerHour+IF(E274="",1,E274)*IFERROR(INDEX(Services!$R$5:$R$64,MATCH(C274,Services!$B$5:$B$64,0)),0),2))</f>
        <v>0</v>
      </c>
      <c r="R274" s="38">
        <f>IF(OR(B274="",P274=0),"",(P274-Q274)/P274)</f>
        <v>0</v>
      </c>
      <c r="S274" s="31">
        <f>IF(OR(B274="",C274=""),"",COUNTIFS($B$5:B274,B274))</f>
        <v>0</v>
      </c>
      <c r="T274" s="23">
        <f>IF(S274="","",B274&amp;"|"&amp;S274)</f>
        <v>0</v>
      </c>
      <c r="U274" s="39">
        <f>IF(B274="","",IF(C274="","Add - pick a service",IF(E274="","Add - how many?",IF(L274=0,"Add - no price",IF(AND(R274&lt;&gt;"",R274&lt;MarginFloor),"Below - thin margin","OK")))))</f>
        <v>0</v>
      </c>
    </row>
    <row r="275" spans="1:21">
      <c r="A275" s="43">
        <f>IF(B275="","","QL-"&amp;TEXT(ROW()-4,"0000"))</f>
        <v>0</v>
      </c>
      <c r="J275" s="21">
        <f>IF(C275="","",IFERROR(INDEX(Services!$P$5:$P$64,MATCH(C275,Services!$B$5:$B$64,0)),"0"))</f>
        <v>0</v>
      </c>
      <c r="K275" s="23">
        <f>IF(C275="","",IFERROR(INDEX(Services!$E$5:$E$64,MATCH(C275,Services!$B$5:$B$64,0)),""))</f>
        <v>0</v>
      </c>
      <c r="L275" s="21">
        <f>IF(B275="","",IF(F275&lt;&gt;"",F275,IFERROR(J275*1,0)))</f>
        <v>0</v>
      </c>
      <c r="M275" s="51">
        <f>IF(B275="","",IF(D275&lt;&gt;"",D275,IFERROR(INDEX(Services!$O$5:$O$64,MATCH(C275,Services!$B$5:$B$64,0)),"")))</f>
        <v>0</v>
      </c>
      <c r="N275" s="34">
        <f>IF(B275="","",IFERROR(INDEX(Services!$G$5:$G$64,MATCH(C275,Services!$B$5:$B$64,0)),0)*IF(E275="",1,IF(IFERROR(INDEX(Services!$D$5:$D$64,MATCH(C275,Services!$B$5:$B$64,0)),"")="Per hour",1,E275)))</f>
        <v>0</v>
      </c>
      <c r="O275" s="21">
        <f>IF(B275="","",ROUND(IF(E275="",1,E275)*L275,2))</f>
        <v>0</v>
      </c>
      <c r="P275" s="21">
        <f>IF(B275="","",ROUND(O275*(1-IF(G275="",0,G275)),2))</f>
        <v>0</v>
      </c>
      <c r="Q275" s="21">
        <f>IF(B275="","",ROUND(N275*CostPerHour+IF(E275="",1,E275)*IFERROR(INDEX(Services!$R$5:$R$64,MATCH(C275,Services!$B$5:$B$64,0)),0),2))</f>
        <v>0</v>
      </c>
      <c r="R275" s="38">
        <f>IF(OR(B275="",P275=0),"",(P275-Q275)/P275)</f>
        <v>0</v>
      </c>
      <c r="S275" s="31">
        <f>IF(OR(B275="",C275=""),"",COUNTIFS($B$5:B275,B275))</f>
        <v>0</v>
      </c>
      <c r="T275" s="23">
        <f>IF(S275="","",B275&amp;"|"&amp;S275)</f>
        <v>0</v>
      </c>
      <c r="U275" s="39">
        <f>IF(B275="","",IF(C275="","Add - pick a service",IF(E275="","Add - how many?",IF(L275=0,"Add - no price",IF(AND(R275&lt;&gt;"",R275&lt;MarginFloor),"Below - thin margin","OK")))))</f>
        <v>0</v>
      </c>
    </row>
    <row r="276" spans="1:21">
      <c r="A276" s="43">
        <f>IF(B276="","","QL-"&amp;TEXT(ROW()-4,"0000"))</f>
        <v>0</v>
      </c>
      <c r="J276" s="21">
        <f>IF(C276="","",IFERROR(INDEX(Services!$P$5:$P$64,MATCH(C276,Services!$B$5:$B$64,0)),"0"))</f>
        <v>0</v>
      </c>
      <c r="K276" s="23">
        <f>IF(C276="","",IFERROR(INDEX(Services!$E$5:$E$64,MATCH(C276,Services!$B$5:$B$64,0)),""))</f>
        <v>0</v>
      </c>
      <c r="L276" s="21">
        <f>IF(B276="","",IF(F276&lt;&gt;"",F276,IFERROR(J276*1,0)))</f>
        <v>0</v>
      </c>
      <c r="M276" s="51">
        <f>IF(B276="","",IF(D276&lt;&gt;"",D276,IFERROR(INDEX(Services!$O$5:$O$64,MATCH(C276,Services!$B$5:$B$64,0)),"")))</f>
        <v>0</v>
      </c>
      <c r="N276" s="34">
        <f>IF(B276="","",IFERROR(INDEX(Services!$G$5:$G$64,MATCH(C276,Services!$B$5:$B$64,0)),0)*IF(E276="",1,IF(IFERROR(INDEX(Services!$D$5:$D$64,MATCH(C276,Services!$B$5:$B$64,0)),"")="Per hour",1,E276)))</f>
        <v>0</v>
      </c>
      <c r="O276" s="21">
        <f>IF(B276="","",ROUND(IF(E276="",1,E276)*L276,2))</f>
        <v>0</v>
      </c>
      <c r="P276" s="21">
        <f>IF(B276="","",ROUND(O276*(1-IF(G276="",0,G276)),2))</f>
        <v>0</v>
      </c>
      <c r="Q276" s="21">
        <f>IF(B276="","",ROUND(N276*CostPerHour+IF(E276="",1,E276)*IFERROR(INDEX(Services!$R$5:$R$64,MATCH(C276,Services!$B$5:$B$64,0)),0),2))</f>
        <v>0</v>
      </c>
      <c r="R276" s="38">
        <f>IF(OR(B276="",P276=0),"",(P276-Q276)/P276)</f>
        <v>0</v>
      </c>
      <c r="S276" s="31">
        <f>IF(OR(B276="",C276=""),"",COUNTIFS($B$5:B276,B276))</f>
        <v>0</v>
      </c>
      <c r="T276" s="23">
        <f>IF(S276="","",B276&amp;"|"&amp;S276)</f>
        <v>0</v>
      </c>
      <c r="U276" s="39">
        <f>IF(B276="","",IF(C276="","Add - pick a service",IF(E276="","Add - how many?",IF(L276=0,"Add - no price",IF(AND(R276&lt;&gt;"",R276&lt;MarginFloor),"Below - thin margin","OK")))))</f>
        <v>0</v>
      </c>
    </row>
    <row r="277" spans="1:21">
      <c r="A277" s="43">
        <f>IF(B277="","","QL-"&amp;TEXT(ROW()-4,"0000"))</f>
        <v>0</v>
      </c>
      <c r="J277" s="21">
        <f>IF(C277="","",IFERROR(INDEX(Services!$P$5:$P$64,MATCH(C277,Services!$B$5:$B$64,0)),"0"))</f>
        <v>0</v>
      </c>
      <c r="K277" s="23">
        <f>IF(C277="","",IFERROR(INDEX(Services!$E$5:$E$64,MATCH(C277,Services!$B$5:$B$64,0)),""))</f>
        <v>0</v>
      </c>
      <c r="L277" s="21">
        <f>IF(B277="","",IF(F277&lt;&gt;"",F277,IFERROR(J277*1,0)))</f>
        <v>0</v>
      </c>
      <c r="M277" s="51">
        <f>IF(B277="","",IF(D277&lt;&gt;"",D277,IFERROR(INDEX(Services!$O$5:$O$64,MATCH(C277,Services!$B$5:$B$64,0)),"")))</f>
        <v>0</v>
      </c>
      <c r="N277" s="34">
        <f>IF(B277="","",IFERROR(INDEX(Services!$G$5:$G$64,MATCH(C277,Services!$B$5:$B$64,0)),0)*IF(E277="",1,IF(IFERROR(INDEX(Services!$D$5:$D$64,MATCH(C277,Services!$B$5:$B$64,0)),"")="Per hour",1,E277)))</f>
        <v>0</v>
      </c>
      <c r="O277" s="21">
        <f>IF(B277="","",ROUND(IF(E277="",1,E277)*L277,2))</f>
        <v>0</v>
      </c>
      <c r="P277" s="21">
        <f>IF(B277="","",ROUND(O277*(1-IF(G277="",0,G277)),2))</f>
        <v>0</v>
      </c>
      <c r="Q277" s="21">
        <f>IF(B277="","",ROUND(N277*CostPerHour+IF(E277="",1,E277)*IFERROR(INDEX(Services!$R$5:$R$64,MATCH(C277,Services!$B$5:$B$64,0)),0),2))</f>
        <v>0</v>
      </c>
      <c r="R277" s="38">
        <f>IF(OR(B277="",P277=0),"",(P277-Q277)/P277)</f>
        <v>0</v>
      </c>
      <c r="S277" s="31">
        <f>IF(OR(B277="",C277=""),"",COUNTIFS($B$5:B277,B277))</f>
        <v>0</v>
      </c>
      <c r="T277" s="23">
        <f>IF(S277="","",B277&amp;"|"&amp;S277)</f>
        <v>0</v>
      </c>
      <c r="U277" s="39">
        <f>IF(B277="","",IF(C277="","Add - pick a service",IF(E277="","Add - how many?",IF(L277=0,"Add - no price",IF(AND(R277&lt;&gt;"",R277&lt;MarginFloor),"Below - thin margin","OK")))))</f>
        <v>0</v>
      </c>
    </row>
    <row r="278" spans="1:21">
      <c r="A278" s="43">
        <f>IF(B278="","","QL-"&amp;TEXT(ROW()-4,"0000"))</f>
        <v>0</v>
      </c>
      <c r="J278" s="21">
        <f>IF(C278="","",IFERROR(INDEX(Services!$P$5:$P$64,MATCH(C278,Services!$B$5:$B$64,0)),"0"))</f>
        <v>0</v>
      </c>
      <c r="K278" s="23">
        <f>IF(C278="","",IFERROR(INDEX(Services!$E$5:$E$64,MATCH(C278,Services!$B$5:$B$64,0)),""))</f>
        <v>0</v>
      </c>
      <c r="L278" s="21">
        <f>IF(B278="","",IF(F278&lt;&gt;"",F278,IFERROR(J278*1,0)))</f>
        <v>0</v>
      </c>
      <c r="M278" s="51">
        <f>IF(B278="","",IF(D278&lt;&gt;"",D278,IFERROR(INDEX(Services!$O$5:$O$64,MATCH(C278,Services!$B$5:$B$64,0)),"")))</f>
        <v>0</v>
      </c>
      <c r="N278" s="34">
        <f>IF(B278="","",IFERROR(INDEX(Services!$G$5:$G$64,MATCH(C278,Services!$B$5:$B$64,0)),0)*IF(E278="",1,IF(IFERROR(INDEX(Services!$D$5:$D$64,MATCH(C278,Services!$B$5:$B$64,0)),"")="Per hour",1,E278)))</f>
        <v>0</v>
      </c>
      <c r="O278" s="21">
        <f>IF(B278="","",ROUND(IF(E278="",1,E278)*L278,2))</f>
        <v>0</v>
      </c>
      <c r="P278" s="21">
        <f>IF(B278="","",ROUND(O278*(1-IF(G278="",0,G278)),2))</f>
        <v>0</v>
      </c>
      <c r="Q278" s="21">
        <f>IF(B278="","",ROUND(N278*CostPerHour+IF(E278="",1,E278)*IFERROR(INDEX(Services!$R$5:$R$64,MATCH(C278,Services!$B$5:$B$64,0)),0),2))</f>
        <v>0</v>
      </c>
      <c r="R278" s="38">
        <f>IF(OR(B278="",P278=0),"",(P278-Q278)/P278)</f>
        <v>0</v>
      </c>
      <c r="S278" s="31">
        <f>IF(OR(B278="",C278=""),"",COUNTIFS($B$5:B278,B278))</f>
        <v>0</v>
      </c>
      <c r="T278" s="23">
        <f>IF(S278="","",B278&amp;"|"&amp;S278)</f>
        <v>0</v>
      </c>
      <c r="U278" s="39">
        <f>IF(B278="","",IF(C278="","Add - pick a service",IF(E278="","Add - how many?",IF(L278=0,"Add - no price",IF(AND(R278&lt;&gt;"",R278&lt;MarginFloor),"Below - thin margin","OK")))))</f>
        <v>0</v>
      </c>
    </row>
    <row r="279" spans="1:21">
      <c r="A279" s="43">
        <f>IF(B279="","","QL-"&amp;TEXT(ROW()-4,"0000"))</f>
        <v>0</v>
      </c>
      <c r="J279" s="21">
        <f>IF(C279="","",IFERROR(INDEX(Services!$P$5:$P$64,MATCH(C279,Services!$B$5:$B$64,0)),"0"))</f>
        <v>0</v>
      </c>
      <c r="K279" s="23">
        <f>IF(C279="","",IFERROR(INDEX(Services!$E$5:$E$64,MATCH(C279,Services!$B$5:$B$64,0)),""))</f>
        <v>0</v>
      </c>
      <c r="L279" s="21">
        <f>IF(B279="","",IF(F279&lt;&gt;"",F279,IFERROR(J279*1,0)))</f>
        <v>0</v>
      </c>
      <c r="M279" s="51">
        <f>IF(B279="","",IF(D279&lt;&gt;"",D279,IFERROR(INDEX(Services!$O$5:$O$64,MATCH(C279,Services!$B$5:$B$64,0)),"")))</f>
        <v>0</v>
      </c>
      <c r="N279" s="34">
        <f>IF(B279="","",IFERROR(INDEX(Services!$G$5:$G$64,MATCH(C279,Services!$B$5:$B$64,0)),0)*IF(E279="",1,IF(IFERROR(INDEX(Services!$D$5:$D$64,MATCH(C279,Services!$B$5:$B$64,0)),"")="Per hour",1,E279)))</f>
        <v>0</v>
      </c>
      <c r="O279" s="21">
        <f>IF(B279="","",ROUND(IF(E279="",1,E279)*L279,2))</f>
        <v>0</v>
      </c>
      <c r="P279" s="21">
        <f>IF(B279="","",ROUND(O279*(1-IF(G279="",0,G279)),2))</f>
        <v>0</v>
      </c>
      <c r="Q279" s="21">
        <f>IF(B279="","",ROUND(N279*CostPerHour+IF(E279="",1,E279)*IFERROR(INDEX(Services!$R$5:$R$64,MATCH(C279,Services!$B$5:$B$64,0)),0),2))</f>
        <v>0</v>
      </c>
      <c r="R279" s="38">
        <f>IF(OR(B279="",P279=0),"",(P279-Q279)/P279)</f>
        <v>0</v>
      </c>
      <c r="S279" s="31">
        <f>IF(OR(B279="",C279=""),"",COUNTIFS($B$5:B279,B279))</f>
        <v>0</v>
      </c>
      <c r="T279" s="23">
        <f>IF(S279="","",B279&amp;"|"&amp;S279)</f>
        <v>0</v>
      </c>
      <c r="U279" s="39">
        <f>IF(B279="","",IF(C279="","Add - pick a service",IF(E279="","Add - how many?",IF(L279=0,"Add - no price",IF(AND(R279&lt;&gt;"",R279&lt;MarginFloor),"Below - thin margin","OK")))))</f>
        <v>0</v>
      </c>
    </row>
    <row r="280" spans="1:21">
      <c r="A280" s="43">
        <f>IF(B280="","","QL-"&amp;TEXT(ROW()-4,"0000"))</f>
        <v>0</v>
      </c>
      <c r="J280" s="21">
        <f>IF(C280="","",IFERROR(INDEX(Services!$P$5:$P$64,MATCH(C280,Services!$B$5:$B$64,0)),"0"))</f>
        <v>0</v>
      </c>
      <c r="K280" s="23">
        <f>IF(C280="","",IFERROR(INDEX(Services!$E$5:$E$64,MATCH(C280,Services!$B$5:$B$64,0)),""))</f>
        <v>0</v>
      </c>
      <c r="L280" s="21">
        <f>IF(B280="","",IF(F280&lt;&gt;"",F280,IFERROR(J280*1,0)))</f>
        <v>0</v>
      </c>
      <c r="M280" s="51">
        <f>IF(B280="","",IF(D280&lt;&gt;"",D280,IFERROR(INDEX(Services!$O$5:$O$64,MATCH(C280,Services!$B$5:$B$64,0)),"")))</f>
        <v>0</v>
      </c>
      <c r="N280" s="34">
        <f>IF(B280="","",IFERROR(INDEX(Services!$G$5:$G$64,MATCH(C280,Services!$B$5:$B$64,0)),0)*IF(E280="",1,IF(IFERROR(INDEX(Services!$D$5:$D$64,MATCH(C280,Services!$B$5:$B$64,0)),"")="Per hour",1,E280)))</f>
        <v>0</v>
      </c>
      <c r="O280" s="21">
        <f>IF(B280="","",ROUND(IF(E280="",1,E280)*L280,2))</f>
        <v>0</v>
      </c>
      <c r="P280" s="21">
        <f>IF(B280="","",ROUND(O280*(1-IF(G280="",0,G280)),2))</f>
        <v>0</v>
      </c>
      <c r="Q280" s="21">
        <f>IF(B280="","",ROUND(N280*CostPerHour+IF(E280="",1,E280)*IFERROR(INDEX(Services!$R$5:$R$64,MATCH(C280,Services!$B$5:$B$64,0)),0),2))</f>
        <v>0</v>
      </c>
      <c r="R280" s="38">
        <f>IF(OR(B280="",P280=0),"",(P280-Q280)/P280)</f>
        <v>0</v>
      </c>
      <c r="S280" s="31">
        <f>IF(OR(B280="",C280=""),"",COUNTIFS($B$5:B280,B280))</f>
        <v>0</v>
      </c>
      <c r="T280" s="23">
        <f>IF(S280="","",B280&amp;"|"&amp;S280)</f>
        <v>0</v>
      </c>
      <c r="U280" s="39">
        <f>IF(B280="","",IF(C280="","Add - pick a service",IF(E280="","Add - how many?",IF(L280=0,"Add - no price",IF(AND(R280&lt;&gt;"",R280&lt;MarginFloor),"Below - thin margin","OK")))))</f>
        <v>0</v>
      </c>
    </row>
    <row r="281" spans="1:21">
      <c r="A281" s="43">
        <f>IF(B281="","","QL-"&amp;TEXT(ROW()-4,"0000"))</f>
        <v>0</v>
      </c>
      <c r="J281" s="21">
        <f>IF(C281="","",IFERROR(INDEX(Services!$P$5:$P$64,MATCH(C281,Services!$B$5:$B$64,0)),"0"))</f>
        <v>0</v>
      </c>
      <c r="K281" s="23">
        <f>IF(C281="","",IFERROR(INDEX(Services!$E$5:$E$64,MATCH(C281,Services!$B$5:$B$64,0)),""))</f>
        <v>0</v>
      </c>
      <c r="L281" s="21">
        <f>IF(B281="","",IF(F281&lt;&gt;"",F281,IFERROR(J281*1,0)))</f>
        <v>0</v>
      </c>
      <c r="M281" s="51">
        <f>IF(B281="","",IF(D281&lt;&gt;"",D281,IFERROR(INDEX(Services!$O$5:$O$64,MATCH(C281,Services!$B$5:$B$64,0)),"")))</f>
        <v>0</v>
      </c>
      <c r="N281" s="34">
        <f>IF(B281="","",IFERROR(INDEX(Services!$G$5:$G$64,MATCH(C281,Services!$B$5:$B$64,0)),0)*IF(E281="",1,IF(IFERROR(INDEX(Services!$D$5:$D$64,MATCH(C281,Services!$B$5:$B$64,0)),"")="Per hour",1,E281)))</f>
        <v>0</v>
      </c>
      <c r="O281" s="21">
        <f>IF(B281="","",ROUND(IF(E281="",1,E281)*L281,2))</f>
        <v>0</v>
      </c>
      <c r="P281" s="21">
        <f>IF(B281="","",ROUND(O281*(1-IF(G281="",0,G281)),2))</f>
        <v>0</v>
      </c>
      <c r="Q281" s="21">
        <f>IF(B281="","",ROUND(N281*CostPerHour+IF(E281="",1,E281)*IFERROR(INDEX(Services!$R$5:$R$64,MATCH(C281,Services!$B$5:$B$64,0)),0),2))</f>
        <v>0</v>
      </c>
      <c r="R281" s="38">
        <f>IF(OR(B281="",P281=0),"",(P281-Q281)/P281)</f>
        <v>0</v>
      </c>
      <c r="S281" s="31">
        <f>IF(OR(B281="",C281=""),"",COUNTIFS($B$5:B281,B281))</f>
        <v>0</v>
      </c>
      <c r="T281" s="23">
        <f>IF(S281="","",B281&amp;"|"&amp;S281)</f>
        <v>0</v>
      </c>
      <c r="U281" s="39">
        <f>IF(B281="","",IF(C281="","Add - pick a service",IF(E281="","Add - how many?",IF(L281=0,"Add - no price",IF(AND(R281&lt;&gt;"",R281&lt;MarginFloor),"Below - thin margin","OK")))))</f>
        <v>0</v>
      </c>
    </row>
    <row r="282" spans="1:21">
      <c r="A282" s="43">
        <f>IF(B282="","","QL-"&amp;TEXT(ROW()-4,"0000"))</f>
        <v>0</v>
      </c>
      <c r="J282" s="21">
        <f>IF(C282="","",IFERROR(INDEX(Services!$P$5:$P$64,MATCH(C282,Services!$B$5:$B$64,0)),"0"))</f>
        <v>0</v>
      </c>
      <c r="K282" s="23">
        <f>IF(C282="","",IFERROR(INDEX(Services!$E$5:$E$64,MATCH(C282,Services!$B$5:$B$64,0)),""))</f>
        <v>0</v>
      </c>
      <c r="L282" s="21">
        <f>IF(B282="","",IF(F282&lt;&gt;"",F282,IFERROR(J282*1,0)))</f>
        <v>0</v>
      </c>
      <c r="M282" s="51">
        <f>IF(B282="","",IF(D282&lt;&gt;"",D282,IFERROR(INDEX(Services!$O$5:$O$64,MATCH(C282,Services!$B$5:$B$64,0)),"")))</f>
        <v>0</v>
      </c>
      <c r="N282" s="34">
        <f>IF(B282="","",IFERROR(INDEX(Services!$G$5:$G$64,MATCH(C282,Services!$B$5:$B$64,0)),0)*IF(E282="",1,IF(IFERROR(INDEX(Services!$D$5:$D$64,MATCH(C282,Services!$B$5:$B$64,0)),"")="Per hour",1,E282)))</f>
        <v>0</v>
      </c>
      <c r="O282" s="21">
        <f>IF(B282="","",ROUND(IF(E282="",1,E282)*L282,2))</f>
        <v>0</v>
      </c>
      <c r="P282" s="21">
        <f>IF(B282="","",ROUND(O282*(1-IF(G282="",0,G282)),2))</f>
        <v>0</v>
      </c>
      <c r="Q282" s="21">
        <f>IF(B282="","",ROUND(N282*CostPerHour+IF(E282="",1,E282)*IFERROR(INDEX(Services!$R$5:$R$64,MATCH(C282,Services!$B$5:$B$64,0)),0),2))</f>
        <v>0</v>
      </c>
      <c r="R282" s="38">
        <f>IF(OR(B282="",P282=0),"",(P282-Q282)/P282)</f>
        <v>0</v>
      </c>
      <c r="S282" s="31">
        <f>IF(OR(B282="",C282=""),"",COUNTIFS($B$5:B282,B282))</f>
        <v>0</v>
      </c>
      <c r="T282" s="23">
        <f>IF(S282="","",B282&amp;"|"&amp;S282)</f>
        <v>0</v>
      </c>
      <c r="U282" s="39">
        <f>IF(B282="","",IF(C282="","Add - pick a service",IF(E282="","Add - how many?",IF(L282=0,"Add - no price",IF(AND(R282&lt;&gt;"",R282&lt;MarginFloor),"Below - thin margin","OK")))))</f>
        <v>0</v>
      </c>
    </row>
    <row r="283" spans="1:21">
      <c r="A283" s="43">
        <f>IF(B283="","","QL-"&amp;TEXT(ROW()-4,"0000"))</f>
        <v>0</v>
      </c>
      <c r="J283" s="21">
        <f>IF(C283="","",IFERROR(INDEX(Services!$P$5:$P$64,MATCH(C283,Services!$B$5:$B$64,0)),"0"))</f>
        <v>0</v>
      </c>
      <c r="K283" s="23">
        <f>IF(C283="","",IFERROR(INDEX(Services!$E$5:$E$64,MATCH(C283,Services!$B$5:$B$64,0)),""))</f>
        <v>0</v>
      </c>
      <c r="L283" s="21">
        <f>IF(B283="","",IF(F283&lt;&gt;"",F283,IFERROR(J283*1,0)))</f>
        <v>0</v>
      </c>
      <c r="M283" s="51">
        <f>IF(B283="","",IF(D283&lt;&gt;"",D283,IFERROR(INDEX(Services!$O$5:$O$64,MATCH(C283,Services!$B$5:$B$64,0)),"")))</f>
        <v>0</v>
      </c>
      <c r="N283" s="34">
        <f>IF(B283="","",IFERROR(INDEX(Services!$G$5:$G$64,MATCH(C283,Services!$B$5:$B$64,0)),0)*IF(E283="",1,IF(IFERROR(INDEX(Services!$D$5:$D$64,MATCH(C283,Services!$B$5:$B$64,0)),"")="Per hour",1,E283)))</f>
        <v>0</v>
      </c>
      <c r="O283" s="21">
        <f>IF(B283="","",ROUND(IF(E283="",1,E283)*L283,2))</f>
        <v>0</v>
      </c>
      <c r="P283" s="21">
        <f>IF(B283="","",ROUND(O283*(1-IF(G283="",0,G283)),2))</f>
        <v>0</v>
      </c>
      <c r="Q283" s="21">
        <f>IF(B283="","",ROUND(N283*CostPerHour+IF(E283="",1,E283)*IFERROR(INDEX(Services!$R$5:$R$64,MATCH(C283,Services!$B$5:$B$64,0)),0),2))</f>
        <v>0</v>
      </c>
      <c r="R283" s="38">
        <f>IF(OR(B283="",P283=0),"",(P283-Q283)/P283)</f>
        <v>0</v>
      </c>
      <c r="S283" s="31">
        <f>IF(OR(B283="",C283=""),"",COUNTIFS($B$5:B283,B283))</f>
        <v>0</v>
      </c>
      <c r="T283" s="23">
        <f>IF(S283="","",B283&amp;"|"&amp;S283)</f>
        <v>0</v>
      </c>
      <c r="U283" s="39">
        <f>IF(B283="","",IF(C283="","Add - pick a service",IF(E283="","Add - how many?",IF(L283=0,"Add - no price",IF(AND(R283&lt;&gt;"",R283&lt;MarginFloor),"Below - thin margin","OK")))))</f>
        <v>0</v>
      </c>
    </row>
    <row r="284" spans="1:21">
      <c r="A284" s="43">
        <f>IF(B284="","","QL-"&amp;TEXT(ROW()-4,"0000"))</f>
        <v>0</v>
      </c>
      <c r="J284" s="21">
        <f>IF(C284="","",IFERROR(INDEX(Services!$P$5:$P$64,MATCH(C284,Services!$B$5:$B$64,0)),"0"))</f>
        <v>0</v>
      </c>
      <c r="K284" s="23">
        <f>IF(C284="","",IFERROR(INDEX(Services!$E$5:$E$64,MATCH(C284,Services!$B$5:$B$64,0)),""))</f>
        <v>0</v>
      </c>
      <c r="L284" s="21">
        <f>IF(B284="","",IF(F284&lt;&gt;"",F284,IFERROR(J284*1,0)))</f>
        <v>0</v>
      </c>
      <c r="M284" s="51">
        <f>IF(B284="","",IF(D284&lt;&gt;"",D284,IFERROR(INDEX(Services!$O$5:$O$64,MATCH(C284,Services!$B$5:$B$64,0)),"")))</f>
        <v>0</v>
      </c>
      <c r="N284" s="34">
        <f>IF(B284="","",IFERROR(INDEX(Services!$G$5:$G$64,MATCH(C284,Services!$B$5:$B$64,0)),0)*IF(E284="",1,IF(IFERROR(INDEX(Services!$D$5:$D$64,MATCH(C284,Services!$B$5:$B$64,0)),"")="Per hour",1,E284)))</f>
        <v>0</v>
      </c>
      <c r="O284" s="21">
        <f>IF(B284="","",ROUND(IF(E284="",1,E284)*L284,2))</f>
        <v>0</v>
      </c>
      <c r="P284" s="21">
        <f>IF(B284="","",ROUND(O284*(1-IF(G284="",0,G284)),2))</f>
        <v>0</v>
      </c>
      <c r="Q284" s="21">
        <f>IF(B284="","",ROUND(N284*CostPerHour+IF(E284="",1,E284)*IFERROR(INDEX(Services!$R$5:$R$64,MATCH(C284,Services!$B$5:$B$64,0)),0),2))</f>
        <v>0</v>
      </c>
      <c r="R284" s="38">
        <f>IF(OR(B284="",P284=0),"",(P284-Q284)/P284)</f>
        <v>0</v>
      </c>
      <c r="S284" s="31">
        <f>IF(OR(B284="",C284=""),"",COUNTIFS($B$5:B284,B284))</f>
        <v>0</v>
      </c>
      <c r="T284" s="23">
        <f>IF(S284="","",B284&amp;"|"&amp;S284)</f>
        <v>0</v>
      </c>
      <c r="U284" s="39">
        <f>IF(B284="","",IF(C284="","Add - pick a service",IF(E284="","Add - how many?",IF(L284=0,"Add - no price",IF(AND(R284&lt;&gt;"",R284&lt;MarginFloor),"Below - thin margin","OK")))))</f>
        <v>0</v>
      </c>
    </row>
    <row r="285" spans="1:21">
      <c r="A285" s="43">
        <f>IF(B285="","","QL-"&amp;TEXT(ROW()-4,"0000"))</f>
        <v>0</v>
      </c>
      <c r="J285" s="21">
        <f>IF(C285="","",IFERROR(INDEX(Services!$P$5:$P$64,MATCH(C285,Services!$B$5:$B$64,0)),"0"))</f>
        <v>0</v>
      </c>
      <c r="K285" s="23">
        <f>IF(C285="","",IFERROR(INDEX(Services!$E$5:$E$64,MATCH(C285,Services!$B$5:$B$64,0)),""))</f>
        <v>0</v>
      </c>
      <c r="L285" s="21">
        <f>IF(B285="","",IF(F285&lt;&gt;"",F285,IFERROR(J285*1,0)))</f>
        <v>0</v>
      </c>
      <c r="M285" s="51">
        <f>IF(B285="","",IF(D285&lt;&gt;"",D285,IFERROR(INDEX(Services!$O$5:$O$64,MATCH(C285,Services!$B$5:$B$64,0)),"")))</f>
        <v>0</v>
      </c>
      <c r="N285" s="34">
        <f>IF(B285="","",IFERROR(INDEX(Services!$G$5:$G$64,MATCH(C285,Services!$B$5:$B$64,0)),0)*IF(E285="",1,IF(IFERROR(INDEX(Services!$D$5:$D$64,MATCH(C285,Services!$B$5:$B$64,0)),"")="Per hour",1,E285)))</f>
        <v>0</v>
      </c>
      <c r="O285" s="21">
        <f>IF(B285="","",ROUND(IF(E285="",1,E285)*L285,2))</f>
        <v>0</v>
      </c>
      <c r="P285" s="21">
        <f>IF(B285="","",ROUND(O285*(1-IF(G285="",0,G285)),2))</f>
        <v>0</v>
      </c>
      <c r="Q285" s="21">
        <f>IF(B285="","",ROUND(N285*CostPerHour+IF(E285="",1,E285)*IFERROR(INDEX(Services!$R$5:$R$64,MATCH(C285,Services!$B$5:$B$64,0)),0),2))</f>
        <v>0</v>
      </c>
      <c r="R285" s="38">
        <f>IF(OR(B285="",P285=0),"",(P285-Q285)/P285)</f>
        <v>0</v>
      </c>
      <c r="S285" s="31">
        <f>IF(OR(B285="",C285=""),"",COUNTIFS($B$5:B285,B285))</f>
        <v>0</v>
      </c>
      <c r="T285" s="23">
        <f>IF(S285="","",B285&amp;"|"&amp;S285)</f>
        <v>0</v>
      </c>
      <c r="U285" s="39">
        <f>IF(B285="","",IF(C285="","Add - pick a service",IF(E285="","Add - how many?",IF(L285=0,"Add - no price",IF(AND(R285&lt;&gt;"",R285&lt;MarginFloor),"Below - thin margin","OK")))))</f>
        <v>0</v>
      </c>
    </row>
    <row r="286" spans="1:21">
      <c r="A286" s="43">
        <f>IF(B286="","","QL-"&amp;TEXT(ROW()-4,"0000"))</f>
        <v>0</v>
      </c>
      <c r="J286" s="21">
        <f>IF(C286="","",IFERROR(INDEX(Services!$P$5:$P$64,MATCH(C286,Services!$B$5:$B$64,0)),"0"))</f>
        <v>0</v>
      </c>
      <c r="K286" s="23">
        <f>IF(C286="","",IFERROR(INDEX(Services!$E$5:$E$64,MATCH(C286,Services!$B$5:$B$64,0)),""))</f>
        <v>0</v>
      </c>
      <c r="L286" s="21">
        <f>IF(B286="","",IF(F286&lt;&gt;"",F286,IFERROR(J286*1,0)))</f>
        <v>0</v>
      </c>
      <c r="M286" s="51">
        <f>IF(B286="","",IF(D286&lt;&gt;"",D286,IFERROR(INDEX(Services!$O$5:$O$64,MATCH(C286,Services!$B$5:$B$64,0)),"")))</f>
        <v>0</v>
      </c>
      <c r="N286" s="34">
        <f>IF(B286="","",IFERROR(INDEX(Services!$G$5:$G$64,MATCH(C286,Services!$B$5:$B$64,0)),0)*IF(E286="",1,IF(IFERROR(INDEX(Services!$D$5:$D$64,MATCH(C286,Services!$B$5:$B$64,0)),"")="Per hour",1,E286)))</f>
        <v>0</v>
      </c>
      <c r="O286" s="21">
        <f>IF(B286="","",ROUND(IF(E286="",1,E286)*L286,2))</f>
        <v>0</v>
      </c>
      <c r="P286" s="21">
        <f>IF(B286="","",ROUND(O286*(1-IF(G286="",0,G286)),2))</f>
        <v>0</v>
      </c>
      <c r="Q286" s="21">
        <f>IF(B286="","",ROUND(N286*CostPerHour+IF(E286="",1,E286)*IFERROR(INDEX(Services!$R$5:$R$64,MATCH(C286,Services!$B$5:$B$64,0)),0),2))</f>
        <v>0</v>
      </c>
      <c r="R286" s="38">
        <f>IF(OR(B286="",P286=0),"",(P286-Q286)/P286)</f>
        <v>0</v>
      </c>
      <c r="S286" s="31">
        <f>IF(OR(B286="",C286=""),"",COUNTIFS($B$5:B286,B286))</f>
        <v>0</v>
      </c>
      <c r="T286" s="23">
        <f>IF(S286="","",B286&amp;"|"&amp;S286)</f>
        <v>0</v>
      </c>
      <c r="U286" s="39">
        <f>IF(B286="","",IF(C286="","Add - pick a service",IF(E286="","Add - how many?",IF(L286=0,"Add - no price",IF(AND(R286&lt;&gt;"",R286&lt;MarginFloor),"Below - thin margin","OK")))))</f>
        <v>0</v>
      </c>
    </row>
    <row r="287" spans="1:21">
      <c r="A287" s="43">
        <f>IF(B287="","","QL-"&amp;TEXT(ROW()-4,"0000"))</f>
        <v>0</v>
      </c>
      <c r="J287" s="21">
        <f>IF(C287="","",IFERROR(INDEX(Services!$P$5:$P$64,MATCH(C287,Services!$B$5:$B$64,0)),"0"))</f>
        <v>0</v>
      </c>
      <c r="K287" s="23">
        <f>IF(C287="","",IFERROR(INDEX(Services!$E$5:$E$64,MATCH(C287,Services!$B$5:$B$64,0)),""))</f>
        <v>0</v>
      </c>
      <c r="L287" s="21">
        <f>IF(B287="","",IF(F287&lt;&gt;"",F287,IFERROR(J287*1,0)))</f>
        <v>0</v>
      </c>
      <c r="M287" s="51">
        <f>IF(B287="","",IF(D287&lt;&gt;"",D287,IFERROR(INDEX(Services!$O$5:$O$64,MATCH(C287,Services!$B$5:$B$64,0)),"")))</f>
        <v>0</v>
      </c>
      <c r="N287" s="34">
        <f>IF(B287="","",IFERROR(INDEX(Services!$G$5:$G$64,MATCH(C287,Services!$B$5:$B$64,0)),0)*IF(E287="",1,IF(IFERROR(INDEX(Services!$D$5:$D$64,MATCH(C287,Services!$B$5:$B$64,0)),"")="Per hour",1,E287)))</f>
        <v>0</v>
      </c>
      <c r="O287" s="21">
        <f>IF(B287="","",ROUND(IF(E287="",1,E287)*L287,2))</f>
        <v>0</v>
      </c>
      <c r="P287" s="21">
        <f>IF(B287="","",ROUND(O287*(1-IF(G287="",0,G287)),2))</f>
        <v>0</v>
      </c>
      <c r="Q287" s="21">
        <f>IF(B287="","",ROUND(N287*CostPerHour+IF(E287="",1,E287)*IFERROR(INDEX(Services!$R$5:$R$64,MATCH(C287,Services!$B$5:$B$64,0)),0),2))</f>
        <v>0</v>
      </c>
      <c r="R287" s="38">
        <f>IF(OR(B287="",P287=0),"",(P287-Q287)/P287)</f>
        <v>0</v>
      </c>
      <c r="S287" s="31">
        <f>IF(OR(B287="",C287=""),"",COUNTIFS($B$5:B287,B287))</f>
        <v>0</v>
      </c>
      <c r="T287" s="23">
        <f>IF(S287="","",B287&amp;"|"&amp;S287)</f>
        <v>0</v>
      </c>
      <c r="U287" s="39">
        <f>IF(B287="","",IF(C287="","Add - pick a service",IF(E287="","Add - how many?",IF(L287=0,"Add - no price",IF(AND(R287&lt;&gt;"",R287&lt;MarginFloor),"Below - thin margin","OK")))))</f>
        <v>0</v>
      </c>
    </row>
    <row r="288" spans="1:21">
      <c r="A288" s="43">
        <f>IF(B288="","","QL-"&amp;TEXT(ROW()-4,"0000"))</f>
        <v>0</v>
      </c>
      <c r="J288" s="21">
        <f>IF(C288="","",IFERROR(INDEX(Services!$P$5:$P$64,MATCH(C288,Services!$B$5:$B$64,0)),"0"))</f>
        <v>0</v>
      </c>
      <c r="K288" s="23">
        <f>IF(C288="","",IFERROR(INDEX(Services!$E$5:$E$64,MATCH(C288,Services!$B$5:$B$64,0)),""))</f>
        <v>0</v>
      </c>
      <c r="L288" s="21">
        <f>IF(B288="","",IF(F288&lt;&gt;"",F288,IFERROR(J288*1,0)))</f>
        <v>0</v>
      </c>
      <c r="M288" s="51">
        <f>IF(B288="","",IF(D288&lt;&gt;"",D288,IFERROR(INDEX(Services!$O$5:$O$64,MATCH(C288,Services!$B$5:$B$64,0)),"")))</f>
        <v>0</v>
      </c>
      <c r="N288" s="34">
        <f>IF(B288="","",IFERROR(INDEX(Services!$G$5:$G$64,MATCH(C288,Services!$B$5:$B$64,0)),0)*IF(E288="",1,IF(IFERROR(INDEX(Services!$D$5:$D$64,MATCH(C288,Services!$B$5:$B$64,0)),"")="Per hour",1,E288)))</f>
        <v>0</v>
      </c>
      <c r="O288" s="21">
        <f>IF(B288="","",ROUND(IF(E288="",1,E288)*L288,2))</f>
        <v>0</v>
      </c>
      <c r="P288" s="21">
        <f>IF(B288="","",ROUND(O288*(1-IF(G288="",0,G288)),2))</f>
        <v>0</v>
      </c>
      <c r="Q288" s="21">
        <f>IF(B288="","",ROUND(N288*CostPerHour+IF(E288="",1,E288)*IFERROR(INDEX(Services!$R$5:$R$64,MATCH(C288,Services!$B$5:$B$64,0)),0),2))</f>
        <v>0</v>
      </c>
      <c r="R288" s="38">
        <f>IF(OR(B288="",P288=0),"",(P288-Q288)/P288)</f>
        <v>0</v>
      </c>
      <c r="S288" s="31">
        <f>IF(OR(B288="",C288=""),"",COUNTIFS($B$5:B288,B288))</f>
        <v>0</v>
      </c>
      <c r="T288" s="23">
        <f>IF(S288="","",B288&amp;"|"&amp;S288)</f>
        <v>0</v>
      </c>
      <c r="U288" s="39">
        <f>IF(B288="","",IF(C288="","Add - pick a service",IF(E288="","Add - how many?",IF(L288=0,"Add - no price",IF(AND(R288&lt;&gt;"",R288&lt;MarginFloor),"Below - thin margin","OK")))))</f>
        <v>0</v>
      </c>
    </row>
    <row r="289" spans="1:21">
      <c r="A289" s="43">
        <f>IF(B289="","","QL-"&amp;TEXT(ROW()-4,"0000"))</f>
        <v>0</v>
      </c>
      <c r="J289" s="21">
        <f>IF(C289="","",IFERROR(INDEX(Services!$P$5:$P$64,MATCH(C289,Services!$B$5:$B$64,0)),"0"))</f>
        <v>0</v>
      </c>
      <c r="K289" s="23">
        <f>IF(C289="","",IFERROR(INDEX(Services!$E$5:$E$64,MATCH(C289,Services!$B$5:$B$64,0)),""))</f>
        <v>0</v>
      </c>
      <c r="L289" s="21">
        <f>IF(B289="","",IF(F289&lt;&gt;"",F289,IFERROR(J289*1,0)))</f>
        <v>0</v>
      </c>
      <c r="M289" s="51">
        <f>IF(B289="","",IF(D289&lt;&gt;"",D289,IFERROR(INDEX(Services!$O$5:$O$64,MATCH(C289,Services!$B$5:$B$64,0)),"")))</f>
        <v>0</v>
      </c>
      <c r="N289" s="34">
        <f>IF(B289="","",IFERROR(INDEX(Services!$G$5:$G$64,MATCH(C289,Services!$B$5:$B$64,0)),0)*IF(E289="",1,IF(IFERROR(INDEX(Services!$D$5:$D$64,MATCH(C289,Services!$B$5:$B$64,0)),"")="Per hour",1,E289)))</f>
        <v>0</v>
      </c>
      <c r="O289" s="21">
        <f>IF(B289="","",ROUND(IF(E289="",1,E289)*L289,2))</f>
        <v>0</v>
      </c>
      <c r="P289" s="21">
        <f>IF(B289="","",ROUND(O289*(1-IF(G289="",0,G289)),2))</f>
        <v>0</v>
      </c>
      <c r="Q289" s="21">
        <f>IF(B289="","",ROUND(N289*CostPerHour+IF(E289="",1,E289)*IFERROR(INDEX(Services!$R$5:$R$64,MATCH(C289,Services!$B$5:$B$64,0)),0),2))</f>
        <v>0</v>
      </c>
      <c r="R289" s="38">
        <f>IF(OR(B289="",P289=0),"",(P289-Q289)/P289)</f>
        <v>0</v>
      </c>
      <c r="S289" s="31">
        <f>IF(OR(B289="",C289=""),"",COUNTIFS($B$5:B289,B289))</f>
        <v>0</v>
      </c>
      <c r="T289" s="23">
        <f>IF(S289="","",B289&amp;"|"&amp;S289)</f>
        <v>0</v>
      </c>
      <c r="U289" s="39">
        <f>IF(B289="","",IF(C289="","Add - pick a service",IF(E289="","Add - how many?",IF(L289=0,"Add - no price",IF(AND(R289&lt;&gt;"",R289&lt;MarginFloor),"Below - thin margin","OK")))))</f>
        <v>0</v>
      </c>
    </row>
    <row r="290" spans="1:21">
      <c r="A290" s="43">
        <f>IF(B290="","","QL-"&amp;TEXT(ROW()-4,"0000"))</f>
        <v>0</v>
      </c>
      <c r="J290" s="21">
        <f>IF(C290="","",IFERROR(INDEX(Services!$P$5:$P$64,MATCH(C290,Services!$B$5:$B$64,0)),"0"))</f>
        <v>0</v>
      </c>
      <c r="K290" s="23">
        <f>IF(C290="","",IFERROR(INDEX(Services!$E$5:$E$64,MATCH(C290,Services!$B$5:$B$64,0)),""))</f>
        <v>0</v>
      </c>
      <c r="L290" s="21">
        <f>IF(B290="","",IF(F290&lt;&gt;"",F290,IFERROR(J290*1,0)))</f>
        <v>0</v>
      </c>
      <c r="M290" s="51">
        <f>IF(B290="","",IF(D290&lt;&gt;"",D290,IFERROR(INDEX(Services!$O$5:$O$64,MATCH(C290,Services!$B$5:$B$64,0)),"")))</f>
        <v>0</v>
      </c>
      <c r="N290" s="34">
        <f>IF(B290="","",IFERROR(INDEX(Services!$G$5:$G$64,MATCH(C290,Services!$B$5:$B$64,0)),0)*IF(E290="",1,IF(IFERROR(INDEX(Services!$D$5:$D$64,MATCH(C290,Services!$B$5:$B$64,0)),"")="Per hour",1,E290)))</f>
        <v>0</v>
      </c>
      <c r="O290" s="21">
        <f>IF(B290="","",ROUND(IF(E290="",1,E290)*L290,2))</f>
        <v>0</v>
      </c>
      <c r="P290" s="21">
        <f>IF(B290="","",ROUND(O290*(1-IF(G290="",0,G290)),2))</f>
        <v>0</v>
      </c>
      <c r="Q290" s="21">
        <f>IF(B290="","",ROUND(N290*CostPerHour+IF(E290="",1,E290)*IFERROR(INDEX(Services!$R$5:$R$64,MATCH(C290,Services!$B$5:$B$64,0)),0),2))</f>
        <v>0</v>
      </c>
      <c r="R290" s="38">
        <f>IF(OR(B290="",P290=0),"",(P290-Q290)/P290)</f>
        <v>0</v>
      </c>
      <c r="S290" s="31">
        <f>IF(OR(B290="",C290=""),"",COUNTIFS($B$5:B290,B290))</f>
        <v>0</v>
      </c>
      <c r="T290" s="23">
        <f>IF(S290="","",B290&amp;"|"&amp;S290)</f>
        <v>0</v>
      </c>
      <c r="U290" s="39">
        <f>IF(B290="","",IF(C290="","Add - pick a service",IF(E290="","Add - how many?",IF(L290=0,"Add - no price",IF(AND(R290&lt;&gt;"",R290&lt;MarginFloor),"Below - thin margin","OK")))))</f>
        <v>0</v>
      </c>
    </row>
    <row r="291" spans="1:21">
      <c r="A291" s="43">
        <f>IF(B291="","","QL-"&amp;TEXT(ROW()-4,"0000"))</f>
        <v>0</v>
      </c>
      <c r="J291" s="21">
        <f>IF(C291="","",IFERROR(INDEX(Services!$P$5:$P$64,MATCH(C291,Services!$B$5:$B$64,0)),"0"))</f>
        <v>0</v>
      </c>
      <c r="K291" s="23">
        <f>IF(C291="","",IFERROR(INDEX(Services!$E$5:$E$64,MATCH(C291,Services!$B$5:$B$64,0)),""))</f>
        <v>0</v>
      </c>
      <c r="L291" s="21">
        <f>IF(B291="","",IF(F291&lt;&gt;"",F291,IFERROR(J291*1,0)))</f>
        <v>0</v>
      </c>
      <c r="M291" s="51">
        <f>IF(B291="","",IF(D291&lt;&gt;"",D291,IFERROR(INDEX(Services!$O$5:$O$64,MATCH(C291,Services!$B$5:$B$64,0)),"")))</f>
        <v>0</v>
      </c>
      <c r="N291" s="34">
        <f>IF(B291="","",IFERROR(INDEX(Services!$G$5:$G$64,MATCH(C291,Services!$B$5:$B$64,0)),0)*IF(E291="",1,IF(IFERROR(INDEX(Services!$D$5:$D$64,MATCH(C291,Services!$B$5:$B$64,0)),"")="Per hour",1,E291)))</f>
        <v>0</v>
      </c>
      <c r="O291" s="21">
        <f>IF(B291="","",ROUND(IF(E291="",1,E291)*L291,2))</f>
        <v>0</v>
      </c>
      <c r="P291" s="21">
        <f>IF(B291="","",ROUND(O291*(1-IF(G291="",0,G291)),2))</f>
        <v>0</v>
      </c>
      <c r="Q291" s="21">
        <f>IF(B291="","",ROUND(N291*CostPerHour+IF(E291="",1,E291)*IFERROR(INDEX(Services!$R$5:$R$64,MATCH(C291,Services!$B$5:$B$64,0)),0),2))</f>
        <v>0</v>
      </c>
      <c r="R291" s="38">
        <f>IF(OR(B291="",P291=0),"",(P291-Q291)/P291)</f>
        <v>0</v>
      </c>
      <c r="S291" s="31">
        <f>IF(OR(B291="",C291=""),"",COUNTIFS($B$5:B291,B291))</f>
        <v>0</v>
      </c>
      <c r="T291" s="23">
        <f>IF(S291="","",B291&amp;"|"&amp;S291)</f>
        <v>0</v>
      </c>
      <c r="U291" s="39">
        <f>IF(B291="","",IF(C291="","Add - pick a service",IF(E291="","Add - how many?",IF(L291=0,"Add - no price",IF(AND(R291&lt;&gt;"",R291&lt;MarginFloor),"Below - thin margin","OK")))))</f>
        <v>0</v>
      </c>
    </row>
    <row r="292" spans="1:21">
      <c r="A292" s="43">
        <f>IF(B292="","","QL-"&amp;TEXT(ROW()-4,"0000"))</f>
        <v>0</v>
      </c>
      <c r="J292" s="21">
        <f>IF(C292="","",IFERROR(INDEX(Services!$P$5:$P$64,MATCH(C292,Services!$B$5:$B$64,0)),"0"))</f>
        <v>0</v>
      </c>
      <c r="K292" s="23">
        <f>IF(C292="","",IFERROR(INDEX(Services!$E$5:$E$64,MATCH(C292,Services!$B$5:$B$64,0)),""))</f>
        <v>0</v>
      </c>
      <c r="L292" s="21">
        <f>IF(B292="","",IF(F292&lt;&gt;"",F292,IFERROR(J292*1,0)))</f>
        <v>0</v>
      </c>
      <c r="M292" s="51">
        <f>IF(B292="","",IF(D292&lt;&gt;"",D292,IFERROR(INDEX(Services!$O$5:$O$64,MATCH(C292,Services!$B$5:$B$64,0)),"")))</f>
        <v>0</v>
      </c>
      <c r="N292" s="34">
        <f>IF(B292="","",IFERROR(INDEX(Services!$G$5:$G$64,MATCH(C292,Services!$B$5:$B$64,0)),0)*IF(E292="",1,IF(IFERROR(INDEX(Services!$D$5:$D$64,MATCH(C292,Services!$B$5:$B$64,0)),"")="Per hour",1,E292)))</f>
        <v>0</v>
      </c>
      <c r="O292" s="21">
        <f>IF(B292="","",ROUND(IF(E292="",1,E292)*L292,2))</f>
        <v>0</v>
      </c>
      <c r="P292" s="21">
        <f>IF(B292="","",ROUND(O292*(1-IF(G292="",0,G292)),2))</f>
        <v>0</v>
      </c>
      <c r="Q292" s="21">
        <f>IF(B292="","",ROUND(N292*CostPerHour+IF(E292="",1,E292)*IFERROR(INDEX(Services!$R$5:$R$64,MATCH(C292,Services!$B$5:$B$64,0)),0),2))</f>
        <v>0</v>
      </c>
      <c r="R292" s="38">
        <f>IF(OR(B292="",P292=0),"",(P292-Q292)/P292)</f>
        <v>0</v>
      </c>
      <c r="S292" s="31">
        <f>IF(OR(B292="",C292=""),"",COUNTIFS($B$5:B292,B292))</f>
        <v>0</v>
      </c>
      <c r="T292" s="23">
        <f>IF(S292="","",B292&amp;"|"&amp;S292)</f>
        <v>0</v>
      </c>
      <c r="U292" s="39">
        <f>IF(B292="","",IF(C292="","Add - pick a service",IF(E292="","Add - how many?",IF(L292=0,"Add - no price",IF(AND(R292&lt;&gt;"",R292&lt;MarginFloor),"Below - thin margin","OK")))))</f>
        <v>0</v>
      </c>
    </row>
    <row r="293" spans="1:21">
      <c r="A293" s="43">
        <f>IF(B293="","","QL-"&amp;TEXT(ROW()-4,"0000"))</f>
        <v>0</v>
      </c>
      <c r="J293" s="21">
        <f>IF(C293="","",IFERROR(INDEX(Services!$P$5:$P$64,MATCH(C293,Services!$B$5:$B$64,0)),"0"))</f>
        <v>0</v>
      </c>
      <c r="K293" s="23">
        <f>IF(C293="","",IFERROR(INDEX(Services!$E$5:$E$64,MATCH(C293,Services!$B$5:$B$64,0)),""))</f>
        <v>0</v>
      </c>
      <c r="L293" s="21">
        <f>IF(B293="","",IF(F293&lt;&gt;"",F293,IFERROR(J293*1,0)))</f>
        <v>0</v>
      </c>
      <c r="M293" s="51">
        <f>IF(B293="","",IF(D293&lt;&gt;"",D293,IFERROR(INDEX(Services!$O$5:$O$64,MATCH(C293,Services!$B$5:$B$64,0)),"")))</f>
        <v>0</v>
      </c>
      <c r="N293" s="34">
        <f>IF(B293="","",IFERROR(INDEX(Services!$G$5:$G$64,MATCH(C293,Services!$B$5:$B$64,0)),0)*IF(E293="",1,IF(IFERROR(INDEX(Services!$D$5:$D$64,MATCH(C293,Services!$B$5:$B$64,0)),"")="Per hour",1,E293)))</f>
        <v>0</v>
      </c>
      <c r="O293" s="21">
        <f>IF(B293="","",ROUND(IF(E293="",1,E293)*L293,2))</f>
        <v>0</v>
      </c>
      <c r="P293" s="21">
        <f>IF(B293="","",ROUND(O293*(1-IF(G293="",0,G293)),2))</f>
        <v>0</v>
      </c>
      <c r="Q293" s="21">
        <f>IF(B293="","",ROUND(N293*CostPerHour+IF(E293="",1,E293)*IFERROR(INDEX(Services!$R$5:$R$64,MATCH(C293,Services!$B$5:$B$64,0)),0),2))</f>
        <v>0</v>
      </c>
      <c r="R293" s="38">
        <f>IF(OR(B293="",P293=0),"",(P293-Q293)/P293)</f>
        <v>0</v>
      </c>
      <c r="S293" s="31">
        <f>IF(OR(B293="",C293=""),"",COUNTIFS($B$5:B293,B293))</f>
        <v>0</v>
      </c>
      <c r="T293" s="23">
        <f>IF(S293="","",B293&amp;"|"&amp;S293)</f>
        <v>0</v>
      </c>
      <c r="U293" s="39">
        <f>IF(B293="","",IF(C293="","Add - pick a service",IF(E293="","Add - how many?",IF(L293=0,"Add - no price",IF(AND(R293&lt;&gt;"",R293&lt;MarginFloor),"Below - thin margin","OK")))))</f>
        <v>0</v>
      </c>
    </row>
    <row r="294" spans="1:21">
      <c r="A294" s="43">
        <f>IF(B294="","","QL-"&amp;TEXT(ROW()-4,"0000"))</f>
        <v>0</v>
      </c>
      <c r="J294" s="21">
        <f>IF(C294="","",IFERROR(INDEX(Services!$P$5:$P$64,MATCH(C294,Services!$B$5:$B$64,0)),"0"))</f>
        <v>0</v>
      </c>
      <c r="K294" s="23">
        <f>IF(C294="","",IFERROR(INDEX(Services!$E$5:$E$64,MATCH(C294,Services!$B$5:$B$64,0)),""))</f>
        <v>0</v>
      </c>
      <c r="L294" s="21">
        <f>IF(B294="","",IF(F294&lt;&gt;"",F294,IFERROR(J294*1,0)))</f>
        <v>0</v>
      </c>
      <c r="M294" s="51">
        <f>IF(B294="","",IF(D294&lt;&gt;"",D294,IFERROR(INDEX(Services!$O$5:$O$64,MATCH(C294,Services!$B$5:$B$64,0)),"")))</f>
        <v>0</v>
      </c>
      <c r="N294" s="34">
        <f>IF(B294="","",IFERROR(INDEX(Services!$G$5:$G$64,MATCH(C294,Services!$B$5:$B$64,0)),0)*IF(E294="",1,IF(IFERROR(INDEX(Services!$D$5:$D$64,MATCH(C294,Services!$B$5:$B$64,0)),"")="Per hour",1,E294)))</f>
        <v>0</v>
      </c>
      <c r="O294" s="21">
        <f>IF(B294="","",ROUND(IF(E294="",1,E294)*L294,2))</f>
        <v>0</v>
      </c>
      <c r="P294" s="21">
        <f>IF(B294="","",ROUND(O294*(1-IF(G294="",0,G294)),2))</f>
        <v>0</v>
      </c>
      <c r="Q294" s="21">
        <f>IF(B294="","",ROUND(N294*CostPerHour+IF(E294="",1,E294)*IFERROR(INDEX(Services!$R$5:$R$64,MATCH(C294,Services!$B$5:$B$64,0)),0),2))</f>
        <v>0</v>
      </c>
      <c r="R294" s="38">
        <f>IF(OR(B294="",P294=0),"",(P294-Q294)/P294)</f>
        <v>0</v>
      </c>
      <c r="S294" s="31">
        <f>IF(OR(B294="",C294=""),"",COUNTIFS($B$5:B294,B294))</f>
        <v>0</v>
      </c>
      <c r="T294" s="23">
        <f>IF(S294="","",B294&amp;"|"&amp;S294)</f>
        <v>0</v>
      </c>
      <c r="U294" s="39">
        <f>IF(B294="","",IF(C294="","Add - pick a service",IF(E294="","Add - how many?",IF(L294=0,"Add - no price",IF(AND(R294&lt;&gt;"",R294&lt;MarginFloor),"Below - thin margin","OK")))))</f>
        <v>0</v>
      </c>
    </row>
    <row r="295" spans="1:21">
      <c r="A295" s="43">
        <f>IF(B295="","","QL-"&amp;TEXT(ROW()-4,"0000"))</f>
        <v>0</v>
      </c>
      <c r="J295" s="21">
        <f>IF(C295="","",IFERROR(INDEX(Services!$P$5:$P$64,MATCH(C295,Services!$B$5:$B$64,0)),"0"))</f>
        <v>0</v>
      </c>
      <c r="K295" s="23">
        <f>IF(C295="","",IFERROR(INDEX(Services!$E$5:$E$64,MATCH(C295,Services!$B$5:$B$64,0)),""))</f>
        <v>0</v>
      </c>
      <c r="L295" s="21">
        <f>IF(B295="","",IF(F295&lt;&gt;"",F295,IFERROR(J295*1,0)))</f>
        <v>0</v>
      </c>
      <c r="M295" s="51">
        <f>IF(B295="","",IF(D295&lt;&gt;"",D295,IFERROR(INDEX(Services!$O$5:$O$64,MATCH(C295,Services!$B$5:$B$64,0)),"")))</f>
        <v>0</v>
      </c>
      <c r="N295" s="34">
        <f>IF(B295="","",IFERROR(INDEX(Services!$G$5:$G$64,MATCH(C295,Services!$B$5:$B$64,0)),0)*IF(E295="",1,IF(IFERROR(INDEX(Services!$D$5:$D$64,MATCH(C295,Services!$B$5:$B$64,0)),"")="Per hour",1,E295)))</f>
        <v>0</v>
      </c>
      <c r="O295" s="21">
        <f>IF(B295="","",ROUND(IF(E295="",1,E295)*L295,2))</f>
        <v>0</v>
      </c>
      <c r="P295" s="21">
        <f>IF(B295="","",ROUND(O295*(1-IF(G295="",0,G295)),2))</f>
        <v>0</v>
      </c>
      <c r="Q295" s="21">
        <f>IF(B295="","",ROUND(N295*CostPerHour+IF(E295="",1,E295)*IFERROR(INDEX(Services!$R$5:$R$64,MATCH(C295,Services!$B$5:$B$64,0)),0),2))</f>
        <v>0</v>
      </c>
      <c r="R295" s="38">
        <f>IF(OR(B295="",P295=0),"",(P295-Q295)/P295)</f>
        <v>0</v>
      </c>
      <c r="S295" s="31">
        <f>IF(OR(B295="",C295=""),"",COUNTIFS($B$5:B295,B295))</f>
        <v>0</v>
      </c>
      <c r="T295" s="23">
        <f>IF(S295="","",B295&amp;"|"&amp;S295)</f>
        <v>0</v>
      </c>
      <c r="U295" s="39">
        <f>IF(B295="","",IF(C295="","Add - pick a service",IF(E295="","Add - how many?",IF(L295=0,"Add - no price",IF(AND(R295&lt;&gt;"",R295&lt;MarginFloor),"Below - thin margin","OK")))))</f>
        <v>0</v>
      </c>
    </row>
    <row r="296" spans="1:21">
      <c r="A296" s="43">
        <f>IF(B296="","","QL-"&amp;TEXT(ROW()-4,"0000"))</f>
        <v>0</v>
      </c>
      <c r="J296" s="21">
        <f>IF(C296="","",IFERROR(INDEX(Services!$P$5:$P$64,MATCH(C296,Services!$B$5:$B$64,0)),"0"))</f>
        <v>0</v>
      </c>
      <c r="K296" s="23">
        <f>IF(C296="","",IFERROR(INDEX(Services!$E$5:$E$64,MATCH(C296,Services!$B$5:$B$64,0)),""))</f>
        <v>0</v>
      </c>
      <c r="L296" s="21">
        <f>IF(B296="","",IF(F296&lt;&gt;"",F296,IFERROR(J296*1,0)))</f>
        <v>0</v>
      </c>
      <c r="M296" s="51">
        <f>IF(B296="","",IF(D296&lt;&gt;"",D296,IFERROR(INDEX(Services!$O$5:$O$64,MATCH(C296,Services!$B$5:$B$64,0)),"")))</f>
        <v>0</v>
      </c>
      <c r="N296" s="34">
        <f>IF(B296="","",IFERROR(INDEX(Services!$G$5:$G$64,MATCH(C296,Services!$B$5:$B$64,0)),0)*IF(E296="",1,IF(IFERROR(INDEX(Services!$D$5:$D$64,MATCH(C296,Services!$B$5:$B$64,0)),"")="Per hour",1,E296)))</f>
        <v>0</v>
      </c>
      <c r="O296" s="21">
        <f>IF(B296="","",ROUND(IF(E296="",1,E296)*L296,2))</f>
        <v>0</v>
      </c>
      <c r="P296" s="21">
        <f>IF(B296="","",ROUND(O296*(1-IF(G296="",0,G296)),2))</f>
        <v>0</v>
      </c>
      <c r="Q296" s="21">
        <f>IF(B296="","",ROUND(N296*CostPerHour+IF(E296="",1,E296)*IFERROR(INDEX(Services!$R$5:$R$64,MATCH(C296,Services!$B$5:$B$64,0)),0),2))</f>
        <v>0</v>
      </c>
      <c r="R296" s="38">
        <f>IF(OR(B296="",P296=0),"",(P296-Q296)/P296)</f>
        <v>0</v>
      </c>
      <c r="S296" s="31">
        <f>IF(OR(B296="",C296=""),"",COUNTIFS($B$5:B296,B296))</f>
        <v>0</v>
      </c>
      <c r="T296" s="23">
        <f>IF(S296="","",B296&amp;"|"&amp;S296)</f>
        <v>0</v>
      </c>
      <c r="U296" s="39">
        <f>IF(B296="","",IF(C296="","Add - pick a service",IF(E296="","Add - how many?",IF(L296=0,"Add - no price",IF(AND(R296&lt;&gt;"",R296&lt;MarginFloor),"Below - thin margin","OK")))))</f>
        <v>0</v>
      </c>
    </row>
    <row r="297" spans="1:21">
      <c r="A297" s="43">
        <f>IF(B297="","","QL-"&amp;TEXT(ROW()-4,"0000"))</f>
        <v>0</v>
      </c>
      <c r="J297" s="21">
        <f>IF(C297="","",IFERROR(INDEX(Services!$P$5:$P$64,MATCH(C297,Services!$B$5:$B$64,0)),"0"))</f>
        <v>0</v>
      </c>
      <c r="K297" s="23">
        <f>IF(C297="","",IFERROR(INDEX(Services!$E$5:$E$64,MATCH(C297,Services!$B$5:$B$64,0)),""))</f>
        <v>0</v>
      </c>
      <c r="L297" s="21">
        <f>IF(B297="","",IF(F297&lt;&gt;"",F297,IFERROR(J297*1,0)))</f>
        <v>0</v>
      </c>
      <c r="M297" s="51">
        <f>IF(B297="","",IF(D297&lt;&gt;"",D297,IFERROR(INDEX(Services!$O$5:$O$64,MATCH(C297,Services!$B$5:$B$64,0)),"")))</f>
        <v>0</v>
      </c>
      <c r="N297" s="34">
        <f>IF(B297="","",IFERROR(INDEX(Services!$G$5:$G$64,MATCH(C297,Services!$B$5:$B$64,0)),0)*IF(E297="",1,IF(IFERROR(INDEX(Services!$D$5:$D$64,MATCH(C297,Services!$B$5:$B$64,0)),"")="Per hour",1,E297)))</f>
        <v>0</v>
      </c>
      <c r="O297" s="21">
        <f>IF(B297="","",ROUND(IF(E297="",1,E297)*L297,2))</f>
        <v>0</v>
      </c>
      <c r="P297" s="21">
        <f>IF(B297="","",ROUND(O297*(1-IF(G297="",0,G297)),2))</f>
        <v>0</v>
      </c>
      <c r="Q297" s="21">
        <f>IF(B297="","",ROUND(N297*CostPerHour+IF(E297="",1,E297)*IFERROR(INDEX(Services!$R$5:$R$64,MATCH(C297,Services!$B$5:$B$64,0)),0),2))</f>
        <v>0</v>
      </c>
      <c r="R297" s="38">
        <f>IF(OR(B297="",P297=0),"",(P297-Q297)/P297)</f>
        <v>0</v>
      </c>
      <c r="S297" s="31">
        <f>IF(OR(B297="",C297=""),"",COUNTIFS($B$5:B297,B297))</f>
        <v>0</v>
      </c>
      <c r="T297" s="23">
        <f>IF(S297="","",B297&amp;"|"&amp;S297)</f>
        <v>0</v>
      </c>
      <c r="U297" s="39">
        <f>IF(B297="","",IF(C297="","Add - pick a service",IF(E297="","Add - how many?",IF(L297=0,"Add - no price",IF(AND(R297&lt;&gt;"",R297&lt;MarginFloor),"Below - thin margin","OK")))))</f>
        <v>0</v>
      </c>
    </row>
    <row r="298" spans="1:21">
      <c r="A298" s="43">
        <f>IF(B298="","","QL-"&amp;TEXT(ROW()-4,"0000"))</f>
        <v>0</v>
      </c>
      <c r="J298" s="21">
        <f>IF(C298="","",IFERROR(INDEX(Services!$P$5:$P$64,MATCH(C298,Services!$B$5:$B$64,0)),"0"))</f>
        <v>0</v>
      </c>
      <c r="K298" s="23">
        <f>IF(C298="","",IFERROR(INDEX(Services!$E$5:$E$64,MATCH(C298,Services!$B$5:$B$64,0)),""))</f>
        <v>0</v>
      </c>
      <c r="L298" s="21">
        <f>IF(B298="","",IF(F298&lt;&gt;"",F298,IFERROR(J298*1,0)))</f>
        <v>0</v>
      </c>
      <c r="M298" s="51">
        <f>IF(B298="","",IF(D298&lt;&gt;"",D298,IFERROR(INDEX(Services!$O$5:$O$64,MATCH(C298,Services!$B$5:$B$64,0)),"")))</f>
        <v>0</v>
      </c>
      <c r="N298" s="34">
        <f>IF(B298="","",IFERROR(INDEX(Services!$G$5:$G$64,MATCH(C298,Services!$B$5:$B$64,0)),0)*IF(E298="",1,IF(IFERROR(INDEX(Services!$D$5:$D$64,MATCH(C298,Services!$B$5:$B$64,0)),"")="Per hour",1,E298)))</f>
        <v>0</v>
      </c>
      <c r="O298" s="21">
        <f>IF(B298="","",ROUND(IF(E298="",1,E298)*L298,2))</f>
        <v>0</v>
      </c>
      <c r="P298" s="21">
        <f>IF(B298="","",ROUND(O298*(1-IF(G298="",0,G298)),2))</f>
        <v>0</v>
      </c>
      <c r="Q298" s="21">
        <f>IF(B298="","",ROUND(N298*CostPerHour+IF(E298="",1,E298)*IFERROR(INDEX(Services!$R$5:$R$64,MATCH(C298,Services!$B$5:$B$64,0)),0),2))</f>
        <v>0</v>
      </c>
      <c r="R298" s="38">
        <f>IF(OR(B298="",P298=0),"",(P298-Q298)/P298)</f>
        <v>0</v>
      </c>
      <c r="S298" s="31">
        <f>IF(OR(B298="",C298=""),"",COUNTIFS($B$5:B298,B298))</f>
        <v>0</v>
      </c>
      <c r="T298" s="23">
        <f>IF(S298="","",B298&amp;"|"&amp;S298)</f>
        <v>0</v>
      </c>
      <c r="U298" s="39">
        <f>IF(B298="","",IF(C298="","Add - pick a service",IF(E298="","Add - how many?",IF(L298=0,"Add - no price",IF(AND(R298&lt;&gt;"",R298&lt;MarginFloor),"Below - thin margin","OK")))))</f>
        <v>0</v>
      </c>
    </row>
    <row r="299" spans="1:21">
      <c r="A299" s="43">
        <f>IF(B299="","","QL-"&amp;TEXT(ROW()-4,"0000"))</f>
        <v>0</v>
      </c>
      <c r="J299" s="21">
        <f>IF(C299="","",IFERROR(INDEX(Services!$P$5:$P$64,MATCH(C299,Services!$B$5:$B$64,0)),"0"))</f>
        <v>0</v>
      </c>
      <c r="K299" s="23">
        <f>IF(C299="","",IFERROR(INDEX(Services!$E$5:$E$64,MATCH(C299,Services!$B$5:$B$64,0)),""))</f>
        <v>0</v>
      </c>
      <c r="L299" s="21">
        <f>IF(B299="","",IF(F299&lt;&gt;"",F299,IFERROR(J299*1,0)))</f>
        <v>0</v>
      </c>
      <c r="M299" s="51">
        <f>IF(B299="","",IF(D299&lt;&gt;"",D299,IFERROR(INDEX(Services!$O$5:$O$64,MATCH(C299,Services!$B$5:$B$64,0)),"")))</f>
        <v>0</v>
      </c>
      <c r="N299" s="34">
        <f>IF(B299="","",IFERROR(INDEX(Services!$G$5:$G$64,MATCH(C299,Services!$B$5:$B$64,0)),0)*IF(E299="",1,IF(IFERROR(INDEX(Services!$D$5:$D$64,MATCH(C299,Services!$B$5:$B$64,0)),"")="Per hour",1,E299)))</f>
        <v>0</v>
      </c>
      <c r="O299" s="21">
        <f>IF(B299="","",ROUND(IF(E299="",1,E299)*L299,2))</f>
        <v>0</v>
      </c>
      <c r="P299" s="21">
        <f>IF(B299="","",ROUND(O299*(1-IF(G299="",0,G299)),2))</f>
        <v>0</v>
      </c>
      <c r="Q299" s="21">
        <f>IF(B299="","",ROUND(N299*CostPerHour+IF(E299="",1,E299)*IFERROR(INDEX(Services!$R$5:$R$64,MATCH(C299,Services!$B$5:$B$64,0)),0),2))</f>
        <v>0</v>
      </c>
      <c r="R299" s="38">
        <f>IF(OR(B299="",P299=0),"",(P299-Q299)/P299)</f>
        <v>0</v>
      </c>
      <c r="S299" s="31">
        <f>IF(OR(B299="",C299=""),"",COUNTIFS($B$5:B299,B299))</f>
        <v>0</v>
      </c>
      <c r="T299" s="23">
        <f>IF(S299="","",B299&amp;"|"&amp;S299)</f>
        <v>0</v>
      </c>
      <c r="U299" s="39">
        <f>IF(B299="","",IF(C299="","Add - pick a service",IF(E299="","Add - how many?",IF(L299=0,"Add - no price",IF(AND(R299&lt;&gt;"",R299&lt;MarginFloor),"Below - thin margin","OK")))))</f>
        <v>0</v>
      </c>
    </row>
    <row r="300" spans="1:21">
      <c r="A300" s="43">
        <f>IF(B300="","","QL-"&amp;TEXT(ROW()-4,"0000"))</f>
        <v>0</v>
      </c>
      <c r="J300" s="21">
        <f>IF(C300="","",IFERROR(INDEX(Services!$P$5:$P$64,MATCH(C300,Services!$B$5:$B$64,0)),"0"))</f>
        <v>0</v>
      </c>
      <c r="K300" s="23">
        <f>IF(C300="","",IFERROR(INDEX(Services!$E$5:$E$64,MATCH(C300,Services!$B$5:$B$64,0)),""))</f>
        <v>0</v>
      </c>
      <c r="L300" s="21">
        <f>IF(B300="","",IF(F300&lt;&gt;"",F300,IFERROR(J300*1,0)))</f>
        <v>0</v>
      </c>
      <c r="M300" s="51">
        <f>IF(B300="","",IF(D300&lt;&gt;"",D300,IFERROR(INDEX(Services!$O$5:$O$64,MATCH(C300,Services!$B$5:$B$64,0)),"")))</f>
        <v>0</v>
      </c>
      <c r="N300" s="34">
        <f>IF(B300="","",IFERROR(INDEX(Services!$G$5:$G$64,MATCH(C300,Services!$B$5:$B$64,0)),0)*IF(E300="",1,IF(IFERROR(INDEX(Services!$D$5:$D$64,MATCH(C300,Services!$B$5:$B$64,0)),"")="Per hour",1,E300)))</f>
        <v>0</v>
      </c>
      <c r="O300" s="21">
        <f>IF(B300="","",ROUND(IF(E300="",1,E300)*L300,2))</f>
        <v>0</v>
      </c>
      <c r="P300" s="21">
        <f>IF(B300="","",ROUND(O300*(1-IF(G300="",0,G300)),2))</f>
        <v>0</v>
      </c>
      <c r="Q300" s="21">
        <f>IF(B300="","",ROUND(N300*CostPerHour+IF(E300="",1,E300)*IFERROR(INDEX(Services!$R$5:$R$64,MATCH(C300,Services!$B$5:$B$64,0)),0),2))</f>
        <v>0</v>
      </c>
      <c r="R300" s="38">
        <f>IF(OR(B300="",P300=0),"",(P300-Q300)/P300)</f>
        <v>0</v>
      </c>
      <c r="S300" s="31">
        <f>IF(OR(B300="",C300=""),"",COUNTIFS($B$5:B300,B300))</f>
        <v>0</v>
      </c>
      <c r="T300" s="23">
        <f>IF(S300="","",B300&amp;"|"&amp;S300)</f>
        <v>0</v>
      </c>
      <c r="U300" s="39">
        <f>IF(B300="","",IF(C300="","Add - pick a service",IF(E300="","Add - how many?",IF(L300=0,"Add - no price",IF(AND(R300&lt;&gt;"",R300&lt;MarginFloor),"Below - thin margin","OK")))))</f>
        <v>0</v>
      </c>
    </row>
    <row r="301" spans="1:21">
      <c r="A301" s="43">
        <f>IF(B301="","","QL-"&amp;TEXT(ROW()-4,"0000"))</f>
        <v>0</v>
      </c>
      <c r="J301" s="21">
        <f>IF(C301="","",IFERROR(INDEX(Services!$P$5:$P$64,MATCH(C301,Services!$B$5:$B$64,0)),"0"))</f>
        <v>0</v>
      </c>
      <c r="K301" s="23">
        <f>IF(C301="","",IFERROR(INDEX(Services!$E$5:$E$64,MATCH(C301,Services!$B$5:$B$64,0)),""))</f>
        <v>0</v>
      </c>
      <c r="L301" s="21">
        <f>IF(B301="","",IF(F301&lt;&gt;"",F301,IFERROR(J301*1,0)))</f>
        <v>0</v>
      </c>
      <c r="M301" s="51">
        <f>IF(B301="","",IF(D301&lt;&gt;"",D301,IFERROR(INDEX(Services!$O$5:$O$64,MATCH(C301,Services!$B$5:$B$64,0)),"")))</f>
        <v>0</v>
      </c>
      <c r="N301" s="34">
        <f>IF(B301="","",IFERROR(INDEX(Services!$G$5:$G$64,MATCH(C301,Services!$B$5:$B$64,0)),0)*IF(E301="",1,IF(IFERROR(INDEX(Services!$D$5:$D$64,MATCH(C301,Services!$B$5:$B$64,0)),"")="Per hour",1,E301)))</f>
        <v>0</v>
      </c>
      <c r="O301" s="21">
        <f>IF(B301="","",ROUND(IF(E301="",1,E301)*L301,2))</f>
        <v>0</v>
      </c>
      <c r="P301" s="21">
        <f>IF(B301="","",ROUND(O301*(1-IF(G301="",0,G301)),2))</f>
        <v>0</v>
      </c>
      <c r="Q301" s="21">
        <f>IF(B301="","",ROUND(N301*CostPerHour+IF(E301="",1,E301)*IFERROR(INDEX(Services!$R$5:$R$64,MATCH(C301,Services!$B$5:$B$64,0)),0),2))</f>
        <v>0</v>
      </c>
      <c r="R301" s="38">
        <f>IF(OR(B301="",P301=0),"",(P301-Q301)/P301)</f>
        <v>0</v>
      </c>
      <c r="S301" s="31">
        <f>IF(OR(B301="",C301=""),"",COUNTIFS($B$5:B301,B301))</f>
        <v>0</v>
      </c>
      <c r="T301" s="23">
        <f>IF(S301="","",B301&amp;"|"&amp;S301)</f>
        <v>0</v>
      </c>
      <c r="U301" s="39">
        <f>IF(B301="","",IF(C301="","Add - pick a service",IF(E301="","Add - how many?",IF(L301=0,"Add - no price",IF(AND(R301&lt;&gt;"",R301&lt;MarginFloor),"Below - thin margin","OK")))))</f>
        <v>0</v>
      </c>
    </row>
    <row r="302" spans="1:21">
      <c r="A302" s="43">
        <f>IF(B302="","","QL-"&amp;TEXT(ROW()-4,"0000"))</f>
        <v>0</v>
      </c>
      <c r="J302" s="21">
        <f>IF(C302="","",IFERROR(INDEX(Services!$P$5:$P$64,MATCH(C302,Services!$B$5:$B$64,0)),"0"))</f>
        <v>0</v>
      </c>
      <c r="K302" s="23">
        <f>IF(C302="","",IFERROR(INDEX(Services!$E$5:$E$64,MATCH(C302,Services!$B$5:$B$64,0)),""))</f>
        <v>0</v>
      </c>
      <c r="L302" s="21">
        <f>IF(B302="","",IF(F302&lt;&gt;"",F302,IFERROR(J302*1,0)))</f>
        <v>0</v>
      </c>
      <c r="M302" s="51">
        <f>IF(B302="","",IF(D302&lt;&gt;"",D302,IFERROR(INDEX(Services!$O$5:$O$64,MATCH(C302,Services!$B$5:$B$64,0)),"")))</f>
        <v>0</v>
      </c>
      <c r="N302" s="34">
        <f>IF(B302="","",IFERROR(INDEX(Services!$G$5:$G$64,MATCH(C302,Services!$B$5:$B$64,0)),0)*IF(E302="",1,IF(IFERROR(INDEX(Services!$D$5:$D$64,MATCH(C302,Services!$B$5:$B$64,0)),"")="Per hour",1,E302)))</f>
        <v>0</v>
      </c>
      <c r="O302" s="21">
        <f>IF(B302="","",ROUND(IF(E302="",1,E302)*L302,2))</f>
        <v>0</v>
      </c>
      <c r="P302" s="21">
        <f>IF(B302="","",ROUND(O302*(1-IF(G302="",0,G302)),2))</f>
        <v>0</v>
      </c>
      <c r="Q302" s="21">
        <f>IF(B302="","",ROUND(N302*CostPerHour+IF(E302="",1,E302)*IFERROR(INDEX(Services!$R$5:$R$64,MATCH(C302,Services!$B$5:$B$64,0)),0),2))</f>
        <v>0</v>
      </c>
      <c r="R302" s="38">
        <f>IF(OR(B302="",P302=0),"",(P302-Q302)/P302)</f>
        <v>0</v>
      </c>
      <c r="S302" s="31">
        <f>IF(OR(B302="",C302=""),"",COUNTIFS($B$5:B302,B302))</f>
        <v>0</v>
      </c>
      <c r="T302" s="23">
        <f>IF(S302="","",B302&amp;"|"&amp;S302)</f>
        <v>0</v>
      </c>
      <c r="U302" s="39">
        <f>IF(B302="","",IF(C302="","Add - pick a service",IF(E302="","Add - how many?",IF(L302=0,"Add - no price",IF(AND(R302&lt;&gt;"",R302&lt;MarginFloor),"Below - thin margin","OK")))))</f>
        <v>0</v>
      </c>
    </row>
    <row r="303" spans="1:21">
      <c r="A303" s="43">
        <f>IF(B303="","","QL-"&amp;TEXT(ROW()-4,"0000"))</f>
        <v>0</v>
      </c>
      <c r="J303" s="21">
        <f>IF(C303="","",IFERROR(INDEX(Services!$P$5:$P$64,MATCH(C303,Services!$B$5:$B$64,0)),"0"))</f>
        <v>0</v>
      </c>
      <c r="K303" s="23">
        <f>IF(C303="","",IFERROR(INDEX(Services!$E$5:$E$64,MATCH(C303,Services!$B$5:$B$64,0)),""))</f>
        <v>0</v>
      </c>
      <c r="L303" s="21">
        <f>IF(B303="","",IF(F303&lt;&gt;"",F303,IFERROR(J303*1,0)))</f>
        <v>0</v>
      </c>
      <c r="M303" s="51">
        <f>IF(B303="","",IF(D303&lt;&gt;"",D303,IFERROR(INDEX(Services!$O$5:$O$64,MATCH(C303,Services!$B$5:$B$64,0)),"")))</f>
        <v>0</v>
      </c>
      <c r="N303" s="34">
        <f>IF(B303="","",IFERROR(INDEX(Services!$G$5:$G$64,MATCH(C303,Services!$B$5:$B$64,0)),0)*IF(E303="",1,IF(IFERROR(INDEX(Services!$D$5:$D$64,MATCH(C303,Services!$B$5:$B$64,0)),"")="Per hour",1,E303)))</f>
        <v>0</v>
      </c>
      <c r="O303" s="21">
        <f>IF(B303="","",ROUND(IF(E303="",1,E303)*L303,2))</f>
        <v>0</v>
      </c>
      <c r="P303" s="21">
        <f>IF(B303="","",ROUND(O303*(1-IF(G303="",0,G303)),2))</f>
        <v>0</v>
      </c>
      <c r="Q303" s="21">
        <f>IF(B303="","",ROUND(N303*CostPerHour+IF(E303="",1,E303)*IFERROR(INDEX(Services!$R$5:$R$64,MATCH(C303,Services!$B$5:$B$64,0)),0),2))</f>
        <v>0</v>
      </c>
      <c r="R303" s="38">
        <f>IF(OR(B303="",P303=0),"",(P303-Q303)/P303)</f>
        <v>0</v>
      </c>
      <c r="S303" s="31">
        <f>IF(OR(B303="",C303=""),"",COUNTIFS($B$5:B303,B303))</f>
        <v>0</v>
      </c>
      <c r="T303" s="23">
        <f>IF(S303="","",B303&amp;"|"&amp;S303)</f>
        <v>0</v>
      </c>
      <c r="U303" s="39">
        <f>IF(B303="","",IF(C303="","Add - pick a service",IF(E303="","Add - how many?",IF(L303=0,"Add - no price",IF(AND(R303&lt;&gt;"",R303&lt;MarginFloor),"Below - thin margin","OK")))))</f>
        <v>0</v>
      </c>
    </row>
    <row r="304" spans="1:21">
      <c r="A304" s="43">
        <f>IF(B304="","","QL-"&amp;TEXT(ROW()-4,"0000"))</f>
        <v>0</v>
      </c>
      <c r="J304" s="21">
        <f>IF(C304="","",IFERROR(INDEX(Services!$P$5:$P$64,MATCH(C304,Services!$B$5:$B$64,0)),"0"))</f>
        <v>0</v>
      </c>
      <c r="K304" s="23">
        <f>IF(C304="","",IFERROR(INDEX(Services!$E$5:$E$64,MATCH(C304,Services!$B$5:$B$64,0)),""))</f>
        <v>0</v>
      </c>
      <c r="L304" s="21">
        <f>IF(B304="","",IF(F304&lt;&gt;"",F304,IFERROR(J304*1,0)))</f>
        <v>0</v>
      </c>
      <c r="M304" s="51">
        <f>IF(B304="","",IF(D304&lt;&gt;"",D304,IFERROR(INDEX(Services!$O$5:$O$64,MATCH(C304,Services!$B$5:$B$64,0)),"")))</f>
        <v>0</v>
      </c>
      <c r="N304" s="34">
        <f>IF(B304="","",IFERROR(INDEX(Services!$G$5:$G$64,MATCH(C304,Services!$B$5:$B$64,0)),0)*IF(E304="",1,IF(IFERROR(INDEX(Services!$D$5:$D$64,MATCH(C304,Services!$B$5:$B$64,0)),"")="Per hour",1,E304)))</f>
        <v>0</v>
      </c>
      <c r="O304" s="21">
        <f>IF(B304="","",ROUND(IF(E304="",1,E304)*L304,2))</f>
        <v>0</v>
      </c>
      <c r="P304" s="21">
        <f>IF(B304="","",ROUND(O304*(1-IF(G304="",0,G304)),2))</f>
        <v>0</v>
      </c>
      <c r="Q304" s="21">
        <f>IF(B304="","",ROUND(N304*CostPerHour+IF(E304="",1,E304)*IFERROR(INDEX(Services!$R$5:$R$64,MATCH(C304,Services!$B$5:$B$64,0)),0),2))</f>
        <v>0</v>
      </c>
      <c r="R304" s="38">
        <f>IF(OR(B304="",P304=0),"",(P304-Q304)/P304)</f>
        <v>0</v>
      </c>
      <c r="S304" s="31">
        <f>IF(OR(B304="",C304=""),"",COUNTIFS($B$5:B304,B304))</f>
        <v>0</v>
      </c>
      <c r="T304" s="23">
        <f>IF(S304="","",B304&amp;"|"&amp;S304)</f>
        <v>0</v>
      </c>
      <c r="U304" s="39">
        <f>IF(B304="","",IF(C304="","Add - pick a service",IF(E304="","Add - how many?",IF(L304=0,"Add - no price",IF(AND(R304&lt;&gt;"",R304&lt;MarginFloor),"Below - thin margin","OK")))))</f>
        <v>0</v>
      </c>
    </row>
    <row r="305" spans="1:21">
      <c r="A305" s="43">
        <f>IF(B305="","","QL-"&amp;TEXT(ROW()-4,"0000"))</f>
        <v>0</v>
      </c>
      <c r="J305" s="21">
        <f>IF(C305="","",IFERROR(INDEX(Services!$P$5:$P$64,MATCH(C305,Services!$B$5:$B$64,0)),"0"))</f>
        <v>0</v>
      </c>
      <c r="K305" s="23">
        <f>IF(C305="","",IFERROR(INDEX(Services!$E$5:$E$64,MATCH(C305,Services!$B$5:$B$64,0)),""))</f>
        <v>0</v>
      </c>
      <c r="L305" s="21">
        <f>IF(B305="","",IF(F305&lt;&gt;"",F305,IFERROR(J305*1,0)))</f>
        <v>0</v>
      </c>
      <c r="M305" s="51">
        <f>IF(B305="","",IF(D305&lt;&gt;"",D305,IFERROR(INDEX(Services!$O$5:$O$64,MATCH(C305,Services!$B$5:$B$64,0)),"")))</f>
        <v>0</v>
      </c>
      <c r="N305" s="34">
        <f>IF(B305="","",IFERROR(INDEX(Services!$G$5:$G$64,MATCH(C305,Services!$B$5:$B$64,0)),0)*IF(E305="",1,IF(IFERROR(INDEX(Services!$D$5:$D$64,MATCH(C305,Services!$B$5:$B$64,0)),"")="Per hour",1,E305)))</f>
        <v>0</v>
      </c>
      <c r="O305" s="21">
        <f>IF(B305="","",ROUND(IF(E305="",1,E305)*L305,2))</f>
        <v>0</v>
      </c>
      <c r="P305" s="21">
        <f>IF(B305="","",ROUND(O305*(1-IF(G305="",0,G305)),2))</f>
        <v>0</v>
      </c>
      <c r="Q305" s="21">
        <f>IF(B305="","",ROUND(N305*CostPerHour+IF(E305="",1,E305)*IFERROR(INDEX(Services!$R$5:$R$64,MATCH(C305,Services!$B$5:$B$64,0)),0),2))</f>
        <v>0</v>
      </c>
      <c r="R305" s="38">
        <f>IF(OR(B305="",P305=0),"",(P305-Q305)/P305)</f>
        <v>0</v>
      </c>
      <c r="S305" s="31">
        <f>IF(OR(B305="",C305=""),"",COUNTIFS($B$5:B305,B305))</f>
        <v>0</v>
      </c>
      <c r="T305" s="23">
        <f>IF(S305="","",B305&amp;"|"&amp;S305)</f>
        <v>0</v>
      </c>
      <c r="U305" s="39">
        <f>IF(B305="","",IF(C305="","Add - pick a service",IF(E305="","Add - how many?",IF(L305=0,"Add - no price",IF(AND(R305&lt;&gt;"",R305&lt;MarginFloor),"Below - thin margin","OK")))))</f>
        <v>0</v>
      </c>
    </row>
    <row r="306" spans="1:21">
      <c r="A306" s="43">
        <f>IF(B306="","","QL-"&amp;TEXT(ROW()-4,"0000"))</f>
        <v>0</v>
      </c>
      <c r="J306" s="21">
        <f>IF(C306="","",IFERROR(INDEX(Services!$P$5:$P$64,MATCH(C306,Services!$B$5:$B$64,0)),"0"))</f>
        <v>0</v>
      </c>
      <c r="K306" s="23">
        <f>IF(C306="","",IFERROR(INDEX(Services!$E$5:$E$64,MATCH(C306,Services!$B$5:$B$64,0)),""))</f>
        <v>0</v>
      </c>
      <c r="L306" s="21">
        <f>IF(B306="","",IF(F306&lt;&gt;"",F306,IFERROR(J306*1,0)))</f>
        <v>0</v>
      </c>
      <c r="M306" s="51">
        <f>IF(B306="","",IF(D306&lt;&gt;"",D306,IFERROR(INDEX(Services!$O$5:$O$64,MATCH(C306,Services!$B$5:$B$64,0)),"")))</f>
        <v>0</v>
      </c>
      <c r="N306" s="34">
        <f>IF(B306="","",IFERROR(INDEX(Services!$G$5:$G$64,MATCH(C306,Services!$B$5:$B$64,0)),0)*IF(E306="",1,IF(IFERROR(INDEX(Services!$D$5:$D$64,MATCH(C306,Services!$B$5:$B$64,0)),"")="Per hour",1,E306)))</f>
        <v>0</v>
      </c>
      <c r="O306" s="21">
        <f>IF(B306="","",ROUND(IF(E306="",1,E306)*L306,2))</f>
        <v>0</v>
      </c>
      <c r="P306" s="21">
        <f>IF(B306="","",ROUND(O306*(1-IF(G306="",0,G306)),2))</f>
        <v>0</v>
      </c>
      <c r="Q306" s="21">
        <f>IF(B306="","",ROUND(N306*CostPerHour+IF(E306="",1,E306)*IFERROR(INDEX(Services!$R$5:$R$64,MATCH(C306,Services!$B$5:$B$64,0)),0),2))</f>
        <v>0</v>
      </c>
      <c r="R306" s="38">
        <f>IF(OR(B306="",P306=0),"",(P306-Q306)/P306)</f>
        <v>0</v>
      </c>
      <c r="S306" s="31">
        <f>IF(OR(B306="",C306=""),"",COUNTIFS($B$5:B306,B306))</f>
        <v>0</v>
      </c>
      <c r="T306" s="23">
        <f>IF(S306="","",B306&amp;"|"&amp;S306)</f>
        <v>0</v>
      </c>
      <c r="U306" s="39">
        <f>IF(B306="","",IF(C306="","Add - pick a service",IF(E306="","Add - how many?",IF(L306=0,"Add - no price",IF(AND(R306&lt;&gt;"",R306&lt;MarginFloor),"Below - thin margin","OK")))))</f>
        <v>0</v>
      </c>
    </row>
    <row r="307" spans="1:21">
      <c r="A307" s="43">
        <f>IF(B307="","","QL-"&amp;TEXT(ROW()-4,"0000"))</f>
        <v>0</v>
      </c>
      <c r="J307" s="21">
        <f>IF(C307="","",IFERROR(INDEX(Services!$P$5:$P$64,MATCH(C307,Services!$B$5:$B$64,0)),"0"))</f>
        <v>0</v>
      </c>
      <c r="K307" s="23">
        <f>IF(C307="","",IFERROR(INDEX(Services!$E$5:$E$64,MATCH(C307,Services!$B$5:$B$64,0)),""))</f>
        <v>0</v>
      </c>
      <c r="L307" s="21">
        <f>IF(B307="","",IF(F307&lt;&gt;"",F307,IFERROR(J307*1,0)))</f>
        <v>0</v>
      </c>
      <c r="M307" s="51">
        <f>IF(B307="","",IF(D307&lt;&gt;"",D307,IFERROR(INDEX(Services!$O$5:$O$64,MATCH(C307,Services!$B$5:$B$64,0)),"")))</f>
        <v>0</v>
      </c>
      <c r="N307" s="34">
        <f>IF(B307="","",IFERROR(INDEX(Services!$G$5:$G$64,MATCH(C307,Services!$B$5:$B$64,0)),0)*IF(E307="",1,IF(IFERROR(INDEX(Services!$D$5:$D$64,MATCH(C307,Services!$B$5:$B$64,0)),"")="Per hour",1,E307)))</f>
        <v>0</v>
      </c>
      <c r="O307" s="21">
        <f>IF(B307="","",ROUND(IF(E307="",1,E307)*L307,2))</f>
        <v>0</v>
      </c>
      <c r="P307" s="21">
        <f>IF(B307="","",ROUND(O307*(1-IF(G307="",0,G307)),2))</f>
        <v>0</v>
      </c>
      <c r="Q307" s="21">
        <f>IF(B307="","",ROUND(N307*CostPerHour+IF(E307="",1,E307)*IFERROR(INDEX(Services!$R$5:$R$64,MATCH(C307,Services!$B$5:$B$64,0)),0),2))</f>
        <v>0</v>
      </c>
      <c r="R307" s="38">
        <f>IF(OR(B307="",P307=0),"",(P307-Q307)/P307)</f>
        <v>0</v>
      </c>
      <c r="S307" s="31">
        <f>IF(OR(B307="",C307=""),"",COUNTIFS($B$5:B307,B307))</f>
        <v>0</v>
      </c>
      <c r="T307" s="23">
        <f>IF(S307="","",B307&amp;"|"&amp;S307)</f>
        <v>0</v>
      </c>
      <c r="U307" s="39">
        <f>IF(B307="","",IF(C307="","Add - pick a service",IF(E307="","Add - how many?",IF(L307=0,"Add - no price",IF(AND(R307&lt;&gt;"",R307&lt;MarginFloor),"Below - thin margin","OK")))))</f>
        <v>0</v>
      </c>
    </row>
    <row r="308" spans="1:21">
      <c r="A308" s="43">
        <f>IF(B308="","","QL-"&amp;TEXT(ROW()-4,"0000"))</f>
        <v>0</v>
      </c>
      <c r="J308" s="21">
        <f>IF(C308="","",IFERROR(INDEX(Services!$P$5:$P$64,MATCH(C308,Services!$B$5:$B$64,0)),"0"))</f>
        <v>0</v>
      </c>
      <c r="K308" s="23">
        <f>IF(C308="","",IFERROR(INDEX(Services!$E$5:$E$64,MATCH(C308,Services!$B$5:$B$64,0)),""))</f>
        <v>0</v>
      </c>
      <c r="L308" s="21">
        <f>IF(B308="","",IF(F308&lt;&gt;"",F308,IFERROR(J308*1,0)))</f>
        <v>0</v>
      </c>
      <c r="M308" s="51">
        <f>IF(B308="","",IF(D308&lt;&gt;"",D308,IFERROR(INDEX(Services!$O$5:$O$64,MATCH(C308,Services!$B$5:$B$64,0)),"")))</f>
        <v>0</v>
      </c>
      <c r="N308" s="34">
        <f>IF(B308="","",IFERROR(INDEX(Services!$G$5:$G$64,MATCH(C308,Services!$B$5:$B$64,0)),0)*IF(E308="",1,IF(IFERROR(INDEX(Services!$D$5:$D$64,MATCH(C308,Services!$B$5:$B$64,0)),"")="Per hour",1,E308)))</f>
        <v>0</v>
      </c>
      <c r="O308" s="21">
        <f>IF(B308="","",ROUND(IF(E308="",1,E308)*L308,2))</f>
        <v>0</v>
      </c>
      <c r="P308" s="21">
        <f>IF(B308="","",ROUND(O308*(1-IF(G308="",0,G308)),2))</f>
        <v>0</v>
      </c>
      <c r="Q308" s="21">
        <f>IF(B308="","",ROUND(N308*CostPerHour+IF(E308="",1,E308)*IFERROR(INDEX(Services!$R$5:$R$64,MATCH(C308,Services!$B$5:$B$64,0)),0),2))</f>
        <v>0</v>
      </c>
      <c r="R308" s="38">
        <f>IF(OR(B308="",P308=0),"",(P308-Q308)/P308)</f>
        <v>0</v>
      </c>
      <c r="S308" s="31">
        <f>IF(OR(B308="",C308=""),"",COUNTIFS($B$5:B308,B308))</f>
        <v>0</v>
      </c>
      <c r="T308" s="23">
        <f>IF(S308="","",B308&amp;"|"&amp;S308)</f>
        <v>0</v>
      </c>
      <c r="U308" s="39">
        <f>IF(B308="","",IF(C308="","Add - pick a service",IF(E308="","Add - how many?",IF(L308=0,"Add - no price",IF(AND(R308&lt;&gt;"",R308&lt;MarginFloor),"Below - thin margin","OK")))))</f>
        <v>0</v>
      </c>
    </row>
    <row r="309" spans="1:21">
      <c r="A309" s="43">
        <f>IF(B309="","","QL-"&amp;TEXT(ROW()-4,"0000"))</f>
        <v>0</v>
      </c>
      <c r="J309" s="21">
        <f>IF(C309="","",IFERROR(INDEX(Services!$P$5:$P$64,MATCH(C309,Services!$B$5:$B$64,0)),"0"))</f>
        <v>0</v>
      </c>
      <c r="K309" s="23">
        <f>IF(C309="","",IFERROR(INDEX(Services!$E$5:$E$64,MATCH(C309,Services!$B$5:$B$64,0)),""))</f>
        <v>0</v>
      </c>
      <c r="L309" s="21">
        <f>IF(B309="","",IF(F309&lt;&gt;"",F309,IFERROR(J309*1,0)))</f>
        <v>0</v>
      </c>
      <c r="M309" s="51">
        <f>IF(B309="","",IF(D309&lt;&gt;"",D309,IFERROR(INDEX(Services!$O$5:$O$64,MATCH(C309,Services!$B$5:$B$64,0)),"")))</f>
        <v>0</v>
      </c>
      <c r="N309" s="34">
        <f>IF(B309="","",IFERROR(INDEX(Services!$G$5:$G$64,MATCH(C309,Services!$B$5:$B$64,0)),0)*IF(E309="",1,IF(IFERROR(INDEX(Services!$D$5:$D$64,MATCH(C309,Services!$B$5:$B$64,0)),"")="Per hour",1,E309)))</f>
        <v>0</v>
      </c>
      <c r="O309" s="21">
        <f>IF(B309="","",ROUND(IF(E309="",1,E309)*L309,2))</f>
        <v>0</v>
      </c>
      <c r="P309" s="21">
        <f>IF(B309="","",ROUND(O309*(1-IF(G309="",0,G309)),2))</f>
        <v>0</v>
      </c>
      <c r="Q309" s="21">
        <f>IF(B309="","",ROUND(N309*CostPerHour+IF(E309="",1,E309)*IFERROR(INDEX(Services!$R$5:$R$64,MATCH(C309,Services!$B$5:$B$64,0)),0),2))</f>
        <v>0</v>
      </c>
      <c r="R309" s="38">
        <f>IF(OR(B309="",P309=0),"",(P309-Q309)/P309)</f>
        <v>0</v>
      </c>
      <c r="S309" s="31">
        <f>IF(OR(B309="",C309=""),"",COUNTIFS($B$5:B309,B309))</f>
        <v>0</v>
      </c>
      <c r="T309" s="23">
        <f>IF(S309="","",B309&amp;"|"&amp;S309)</f>
        <v>0</v>
      </c>
      <c r="U309" s="39">
        <f>IF(B309="","",IF(C309="","Add - pick a service",IF(E309="","Add - how many?",IF(L309=0,"Add - no price",IF(AND(R309&lt;&gt;"",R309&lt;MarginFloor),"Below - thin margin","OK")))))</f>
        <v>0</v>
      </c>
    </row>
    <row r="310" spans="1:21">
      <c r="A310" s="43">
        <f>IF(B310="","","QL-"&amp;TEXT(ROW()-4,"0000"))</f>
        <v>0</v>
      </c>
      <c r="J310" s="21">
        <f>IF(C310="","",IFERROR(INDEX(Services!$P$5:$P$64,MATCH(C310,Services!$B$5:$B$64,0)),"0"))</f>
        <v>0</v>
      </c>
      <c r="K310" s="23">
        <f>IF(C310="","",IFERROR(INDEX(Services!$E$5:$E$64,MATCH(C310,Services!$B$5:$B$64,0)),""))</f>
        <v>0</v>
      </c>
      <c r="L310" s="21">
        <f>IF(B310="","",IF(F310&lt;&gt;"",F310,IFERROR(J310*1,0)))</f>
        <v>0</v>
      </c>
      <c r="M310" s="51">
        <f>IF(B310="","",IF(D310&lt;&gt;"",D310,IFERROR(INDEX(Services!$O$5:$O$64,MATCH(C310,Services!$B$5:$B$64,0)),"")))</f>
        <v>0</v>
      </c>
      <c r="N310" s="34">
        <f>IF(B310="","",IFERROR(INDEX(Services!$G$5:$G$64,MATCH(C310,Services!$B$5:$B$64,0)),0)*IF(E310="",1,IF(IFERROR(INDEX(Services!$D$5:$D$64,MATCH(C310,Services!$B$5:$B$64,0)),"")="Per hour",1,E310)))</f>
        <v>0</v>
      </c>
      <c r="O310" s="21">
        <f>IF(B310="","",ROUND(IF(E310="",1,E310)*L310,2))</f>
        <v>0</v>
      </c>
      <c r="P310" s="21">
        <f>IF(B310="","",ROUND(O310*(1-IF(G310="",0,G310)),2))</f>
        <v>0</v>
      </c>
      <c r="Q310" s="21">
        <f>IF(B310="","",ROUND(N310*CostPerHour+IF(E310="",1,E310)*IFERROR(INDEX(Services!$R$5:$R$64,MATCH(C310,Services!$B$5:$B$64,0)),0),2))</f>
        <v>0</v>
      </c>
      <c r="R310" s="38">
        <f>IF(OR(B310="",P310=0),"",(P310-Q310)/P310)</f>
        <v>0</v>
      </c>
      <c r="S310" s="31">
        <f>IF(OR(B310="",C310=""),"",COUNTIFS($B$5:B310,B310))</f>
        <v>0</v>
      </c>
      <c r="T310" s="23">
        <f>IF(S310="","",B310&amp;"|"&amp;S310)</f>
        <v>0</v>
      </c>
      <c r="U310" s="39">
        <f>IF(B310="","",IF(C310="","Add - pick a service",IF(E310="","Add - how many?",IF(L310=0,"Add - no price",IF(AND(R310&lt;&gt;"",R310&lt;MarginFloor),"Below - thin margin","OK")))))</f>
        <v>0</v>
      </c>
    </row>
    <row r="311" spans="1:21">
      <c r="A311" s="43">
        <f>IF(B311="","","QL-"&amp;TEXT(ROW()-4,"0000"))</f>
        <v>0</v>
      </c>
      <c r="J311" s="21">
        <f>IF(C311="","",IFERROR(INDEX(Services!$P$5:$P$64,MATCH(C311,Services!$B$5:$B$64,0)),"0"))</f>
        <v>0</v>
      </c>
      <c r="K311" s="23">
        <f>IF(C311="","",IFERROR(INDEX(Services!$E$5:$E$64,MATCH(C311,Services!$B$5:$B$64,0)),""))</f>
        <v>0</v>
      </c>
      <c r="L311" s="21">
        <f>IF(B311="","",IF(F311&lt;&gt;"",F311,IFERROR(J311*1,0)))</f>
        <v>0</v>
      </c>
      <c r="M311" s="51">
        <f>IF(B311="","",IF(D311&lt;&gt;"",D311,IFERROR(INDEX(Services!$O$5:$O$64,MATCH(C311,Services!$B$5:$B$64,0)),"")))</f>
        <v>0</v>
      </c>
      <c r="N311" s="34">
        <f>IF(B311="","",IFERROR(INDEX(Services!$G$5:$G$64,MATCH(C311,Services!$B$5:$B$64,0)),0)*IF(E311="",1,IF(IFERROR(INDEX(Services!$D$5:$D$64,MATCH(C311,Services!$B$5:$B$64,0)),"")="Per hour",1,E311)))</f>
        <v>0</v>
      </c>
      <c r="O311" s="21">
        <f>IF(B311="","",ROUND(IF(E311="",1,E311)*L311,2))</f>
        <v>0</v>
      </c>
      <c r="P311" s="21">
        <f>IF(B311="","",ROUND(O311*(1-IF(G311="",0,G311)),2))</f>
        <v>0</v>
      </c>
      <c r="Q311" s="21">
        <f>IF(B311="","",ROUND(N311*CostPerHour+IF(E311="",1,E311)*IFERROR(INDEX(Services!$R$5:$R$64,MATCH(C311,Services!$B$5:$B$64,0)),0),2))</f>
        <v>0</v>
      </c>
      <c r="R311" s="38">
        <f>IF(OR(B311="",P311=0),"",(P311-Q311)/P311)</f>
        <v>0</v>
      </c>
      <c r="S311" s="31">
        <f>IF(OR(B311="",C311=""),"",COUNTIFS($B$5:B311,B311))</f>
        <v>0</v>
      </c>
      <c r="T311" s="23">
        <f>IF(S311="","",B311&amp;"|"&amp;S311)</f>
        <v>0</v>
      </c>
      <c r="U311" s="39">
        <f>IF(B311="","",IF(C311="","Add - pick a service",IF(E311="","Add - how many?",IF(L311=0,"Add - no price",IF(AND(R311&lt;&gt;"",R311&lt;MarginFloor),"Below - thin margin","OK")))))</f>
        <v>0</v>
      </c>
    </row>
    <row r="312" spans="1:21">
      <c r="A312" s="43">
        <f>IF(B312="","","QL-"&amp;TEXT(ROW()-4,"0000"))</f>
        <v>0</v>
      </c>
      <c r="J312" s="21">
        <f>IF(C312="","",IFERROR(INDEX(Services!$P$5:$P$64,MATCH(C312,Services!$B$5:$B$64,0)),"0"))</f>
        <v>0</v>
      </c>
      <c r="K312" s="23">
        <f>IF(C312="","",IFERROR(INDEX(Services!$E$5:$E$64,MATCH(C312,Services!$B$5:$B$64,0)),""))</f>
        <v>0</v>
      </c>
      <c r="L312" s="21">
        <f>IF(B312="","",IF(F312&lt;&gt;"",F312,IFERROR(J312*1,0)))</f>
        <v>0</v>
      </c>
      <c r="M312" s="51">
        <f>IF(B312="","",IF(D312&lt;&gt;"",D312,IFERROR(INDEX(Services!$O$5:$O$64,MATCH(C312,Services!$B$5:$B$64,0)),"")))</f>
        <v>0</v>
      </c>
      <c r="N312" s="34">
        <f>IF(B312="","",IFERROR(INDEX(Services!$G$5:$G$64,MATCH(C312,Services!$B$5:$B$64,0)),0)*IF(E312="",1,IF(IFERROR(INDEX(Services!$D$5:$D$64,MATCH(C312,Services!$B$5:$B$64,0)),"")="Per hour",1,E312)))</f>
        <v>0</v>
      </c>
      <c r="O312" s="21">
        <f>IF(B312="","",ROUND(IF(E312="",1,E312)*L312,2))</f>
        <v>0</v>
      </c>
      <c r="P312" s="21">
        <f>IF(B312="","",ROUND(O312*(1-IF(G312="",0,G312)),2))</f>
        <v>0</v>
      </c>
      <c r="Q312" s="21">
        <f>IF(B312="","",ROUND(N312*CostPerHour+IF(E312="",1,E312)*IFERROR(INDEX(Services!$R$5:$R$64,MATCH(C312,Services!$B$5:$B$64,0)),0),2))</f>
        <v>0</v>
      </c>
      <c r="R312" s="38">
        <f>IF(OR(B312="",P312=0),"",(P312-Q312)/P312)</f>
        <v>0</v>
      </c>
      <c r="S312" s="31">
        <f>IF(OR(B312="",C312=""),"",COUNTIFS($B$5:B312,B312))</f>
        <v>0</v>
      </c>
      <c r="T312" s="23">
        <f>IF(S312="","",B312&amp;"|"&amp;S312)</f>
        <v>0</v>
      </c>
      <c r="U312" s="39">
        <f>IF(B312="","",IF(C312="","Add - pick a service",IF(E312="","Add - how many?",IF(L312=0,"Add - no price",IF(AND(R312&lt;&gt;"",R312&lt;MarginFloor),"Below - thin margin","OK")))))</f>
        <v>0</v>
      </c>
    </row>
    <row r="313" spans="1:21">
      <c r="A313" s="43">
        <f>IF(B313="","","QL-"&amp;TEXT(ROW()-4,"0000"))</f>
        <v>0</v>
      </c>
      <c r="J313" s="21">
        <f>IF(C313="","",IFERROR(INDEX(Services!$P$5:$P$64,MATCH(C313,Services!$B$5:$B$64,0)),"0"))</f>
        <v>0</v>
      </c>
      <c r="K313" s="23">
        <f>IF(C313="","",IFERROR(INDEX(Services!$E$5:$E$64,MATCH(C313,Services!$B$5:$B$64,0)),""))</f>
        <v>0</v>
      </c>
      <c r="L313" s="21">
        <f>IF(B313="","",IF(F313&lt;&gt;"",F313,IFERROR(J313*1,0)))</f>
        <v>0</v>
      </c>
      <c r="M313" s="51">
        <f>IF(B313="","",IF(D313&lt;&gt;"",D313,IFERROR(INDEX(Services!$O$5:$O$64,MATCH(C313,Services!$B$5:$B$64,0)),"")))</f>
        <v>0</v>
      </c>
      <c r="N313" s="34">
        <f>IF(B313="","",IFERROR(INDEX(Services!$G$5:$G$64,MATCH(C313,Services!$B$5:$B$64,0)),0)*IF(E313="",1,IF(IFERROR(INDEX(Services!$D$5:$D$64,MATCH(C313,Services!$B$5:$B$64,0)),"")="Per hour",1,E313)))</f>
        <v>0</v>
      </c>
      <c r="O313" s="21">
        <f>IF(B313="","",ROUND(IF(E313="",1,E313)*L313,2))</f>
        <v>0</v>
      </c>
      <c r="P313" s="21">
        <f>IF(B313="","",ROUND(O313*(1-IF(G313="",0,G313)),2))</f>
        <v>0</v>
      </c>
      <c r="Q313" s="21">
        <f>IF(B313="","",ROUND(N313*CostPerHour+IF(E313="",1,E313)*IFERROR(INDEX(Services!$R$5:$R$64,MATCH(C313,Services!$B$5:$B$64,0)),0),2))</f>
        <v>0</v>
      </c>
      <c r="R313" s="38">
        <f>IF(OR(B313="",P313=0),"",(P313-Q313)/P313)</f>
        <v>0</v>
      </c>
      <c r="S313" s="31">
        <f>IF(OR(B313="",C313=""),"",COUNTIFS($B$5:B313,B313))</f>
        <v>0</v>
      </c>
      <c r="T313" s="23">
        <f>IF(S313="","",B313&amp;"|"&amp;S313)</f>
        <v>0</v>
      </c>
      <c r="U313" s="39">
        <f>IF(B313="","",IF(C313="","Add - pick a service",IF(E313="","Add - how many?",IF(L313=0,"Add - no price",IF(AND(R313&lt;&gt;"",R313&lt;MarginFloor),"Below - thin margin","OK")))))</f>
        <v>0</v>
      </c>
    </row>
    <row r="314" spans="1:21">
      <c r="A314" s="43">
        <f>IF(B314="","","QL-"&amp;TEXT(ROW()-4,"0000"))</f>
        <v>0</v>
      </c>
      <c r="J314" s="21">
        <f>IF(C314="","",IFERROR(INDEX(Services!$P$5:$P$64,MATCH(C314,Services!$B$5:$B$64,0)),"0"))</f>
        <v>0</v>
      </c>
      <c r="K314" s="23">
        <f>IF(C314="","",IFERROR(INDEX(Services!$E$5:$E$64,MATCH(C314,Services!$B$5:$B$64,0)),""))</f>
        <v>0</v>
      </c>
      <c r="L314" s="21">
        <f>IF(B314="","",IF(F314&lt;&gt;"",F314,IFERROR(J314*1,0)))</f>
        <v>0</v>
      </c>
      <c r="M314" s="51">
        <f>IF(B314="","",IF(D314&lt;&gt;"",D314,IFERROR(INDEX(Services!$O$5:$O$64,MATCH(C314,Services!$B$5:$B$64,0)),"")))</f>
        <v>0</v>
      </c>
      <c r="N314" s="34">
        <f>IF(B314="","",IFERROR(INDEX(Services!$G$5:$G$64,MATCH(C314,Services!$B$5:$B$64,0)),0)*IF(E314="",1,IF(IFERROR(INDEX(Services!$D$5:$D$64,MATCH(C314,Services!$B$5:$B$64,0)),"")="Per hour",1,E314)))</f>
        <v>0</v>
      </c>
      <c r="O314" s="21">
        <f>IF(B314="","",ROUND(IF(E314="",1,E314)*L314,2))</f>
        <v>0</v>
      </c>
      <c r="P314" s="21">
        <f>IF(B314="","",ROUND(O314*(1-IF(G314="",0,G314)),2))</f>
        <v>0</v>
      </c>
      <c r="Q314" s="21">
        <f>IF(B314="","",ROUND(N314*CostPerHour+IF(E314="",1,E314)*IFERROR(INDEX(Services!$R$5:$R$64,MATCH(C314,Services!$B$5:$B$64,0)),0),2))</f>
        <v>0</v>
      </c>
      <c r="R314" s="38">
        <f>IF(OR(B314="",P314=0),"",(P314-Q314)/P314)</f>
        <v>0</v>
      </c>
      <c r="S314" s="31">
        <f>IF(OR(B314="",C314=""),"",COUNTIFS($B$5:B314,B314))</f>
        <v>0</v>
      </c>
      <c r="T314" s="23">
        <f>IF(S314="","",B314&amp;"|"&amp;S314)</f>
        <v>0</v>
      </c>
      <c r="U314" s="39">
        <f>IF(B314="","",IF(C314="","Add - pick a service",IF(E314="","Add - how many?",IF(L314=0,"Add - no price",IF(AND(R314&lt;&gt;"",R314&lt;MarginFloor),"Below - thin margin","OK")))))</f>
        <v>0</v>
      </c>
    </row>
    <row r="315" spans="1:21">
      <c r="A315" s="43">
        <f>IF(B315="","","QL-"&amp;TEXT(ROW()-4,"0000"))</f>
        <v>0</v>
      </c>
      <c r="J315" s="21">
        <f>IF(C315="","",IFERROR(INDEX(Services!$P$5:$P$64,MATCH(C315,Services!$B$5:$B$64,0)),"0"))</f>
        <v>0</v>
      </c>
      <c r="K315" s="23">
        <f>IF(C315="","",IFERROR(INDEX(Services!$E$5:$E$64,MATCH(C315,Services!$B$5:$B$64,0)),""))</f>
        <v>0</v>
      </c>
      <c r="L315" s="21">
        <f>IF(B315="","",IF(F315&lt;&gt;"",F315,IFERROR(J315*1,0)))</f>
        <v>0</v>
      </c>
      <c r="M315" s="51">
        <f>IF(B315="","",IF(D315&lt;&gt;"",D315,IFERROR(INDEX(Services!$O$5:$O$64,MATCH(C315,Services!$B$5:$B$64,0)),"")))</f>
        <v>0</v>
      </c>
      <c r="N315" s="34">
        <f>IF(B315="","",IFERROR(INDEX(Services!$G$5:$G$64,MATCH(C315,Services!$B$5:$B$64,0)),0)*IF(E315="",1,IF(IFERROR(INDEX(Services!$D$5:$D$64,MATCH(C315,Services!$B$5:$B$64,0)),"")="Per hour",1,E315)))</f>
        <v>0</v>
      </c>
      <c r="O315" s="21">
        <f>IF(B315="","",ROUND(IF(E315="",1,E315)*L315,2))</f>
        <v>0</v>
      </c>
      <c r="P315" s="21">
        <f>IF(B315="","",ROUND(O315*(1-IF(G315="",0,G315)),2))</f>
        <v>0</v>
      </c>
      <c r="Q315" s="21">
        <f>IF(B315="","",ROUND(N315*CostPerHour+IF(E315="",1,E315)*IFERROR(INDEX(Services!$R$5:$R$64,MATCH(C315,Services!$B$5:$B$64,0)),0),2))</f>
        <v>0</v>
      </c>
      <c r="R315" s="38">
        <f>IF(OR(B315="",P315=0),"",(P315-Q315)/P315)</f>
        <v>0</v>
      </c>
      <c r="S315" s="31">
        <f>IF(OR(B315="",C315=""),"",COUNTIFS($B$5:B315,B315))</f>
        <v>0</v>
      </c>
      <c r="T315" s="23">
        <f>IF(S315="","",B315&amp;"|"&amp;S315)</f>
        <v>0</v>
      </c>
      <c r="U315" s="39">
        <f>IF(B315="","",IF(C315="","Add - pick a service",IF(E315="","Add - how many?",IF(L315=0,"Add - no price",IF(AND(R315&lt;&gt;"",R315&lt;MarginFloor),"Below - thin margin","OK")))))</f>
        <v>0</v>
      </c>
    </row>
    <row r="316" spans="1:21">
      <c r="A316" s="43">
        <f>IF(B316="","","QL-"&amp;TEXT(ROW()-4,"0000"))</f>
        <v>0</v>
      </c>
      <c r="J316" s="21">
        <f>IF(C316="","",IFERROR(INDEX(Services!$P$5:$P$64,MATCH(C316,Services!$B$5:$B$64,0)),"0"))</f>
        <v>0</v>
      </c>
      <c r="K316" s="23">
        <f>IF(C316="","",IFERROR(INDEX(Services!$E$5:$E$64,MATCH(C316,Services!$B$5:$B$64,0)),""))</f>
        <v>0</v>
      </c>
      <c r="L316" s="21">
        <f>IF(B316="","",IF(F316&lt;&gt;"",F316,IFERROR(J316*1,0)))</f>
        <v>0</v>
      </c>
      <c r="M316" s="51">
        <f>IF(B316="","",IF(D316&lt;&gt;"",D316,IFERROR(INDEX(Services!$O$5:$O$64,MATCH(C316,Services!$B$5:$B$64,0)),"")))</f>
        <v>0</v>
      </c>
      <c r="N316" s="34">
        <f>IF(B316="","",IFERROR(INDEX(Services!$G$5:$G$64,MATCH(C316,Services!$B$5:$B$64,0)),0)*IF(E316="",1,IF(IFERROR(INDEX(Services!$D$5:$D$64,MATCH(C316,Services!$B$5:$B$64,0)),"")="Per hour",1,E316)))</f>
        <v>0</v>
      </c>
      <c r="O316" s="21">
        <f>IF(B316="","",ROUND(IF(E316="",1,E316)*L316,2))</f>
        <v>0</v>
      </c>
      <c r="P316" s="21">
        <f>IF(B316="","",ROUND(O316*(1-IF(G316="",0,G316)),2))</f>
        <v>0</v>
      </c>
      <c r="Q316" s="21">
        <f>IF(B316="","",ROUND(N316*CostPerHour+IF(E316="",1,E316)*IFERROR(INDEX(Services!$R$5:$R$64,MATCH(C316,Services!$B$5:$B$64,0)),0),2))</f>
        <v>0</v>
      </c>
      <c r="R316" s="38">
        <f>IF(OR(B316="",P316=0),"",(P316-Q316)/P316)</f>
        <v>0</v>
      </c>
      <c r="S316" s="31">
        <f>IF(OR(B316="",C316=""),"",COUNTIFS($B$5:B316,B316))</f>
        <v>0</v>
      </c>
      <c r="T316" s="23">
        <f>IF(S316="","",B316&amp;"|"&amp;S316)</f>
        <v>0</v>
      </c>
      <c r="U316" s="39">
        <f>IF(B316="","",IF(C316="","Add - pick a service",IF(E316="","Add - how many?",IF(L316=0,"Add - no price",IF(AND(R316&lt;&gt;"",R316&lt;MarginFloor),"Below - thin margin","OK")))))</f>
        <v>0</v>
      </c>
    </row>
    <row r="317" spans="1:21">
      <c r="A317" s="43">
        <f>IF(B317="","","QL-"&amp;TEXT(ROW()-4,"0000"))</f>
        <v>0</v>
      </c>
      <c r="J317" s="21">
        <f>IF(C317="","",IFERROR(INDEX(Services!$P$5:$P$64,MATCH(C317,Services!$B$5:$B$64,0)),"0"))</f>
        <v>0</v>
      </c>
      <c r="K317" s="23">
        <f>IF(C317="","",IFERROR(INDEX(Services!$E$5:$E$64,MATCH(C317,Services!$B$5:$B$64,0)),""))</f>
        <v>0</v>
      </c>
      <c r="L317" s="21">
        <f>IF(B317="","",IF(F317&lt;&gt;"",F317,IFERROR(J317*1,0)))</f>
        <v>0</v>
      </c>
      <c r="M317" s="51">
        <f>IF(B317="","",IF(D317&lt;&gt;"",D317,IFERROR(INDEX(Services!$O$5:$O$64,MATCH(C317,Services!$B$5:$B$64,0)),"")))</f>
        <v>0</v>
      </c>
      <c r="N317" s="34">
        <f>IF(B317="","",IFERROR(INDEX(Services!$G$5:$G$64,MATCH(C317,Services!$B$5:$B$64,0)),0)*IF(E317="",1,IF(IFERROR(INDEX(Services!$D$5:$D$64,MATCH(C317,Services!$B$5:$B$64,0)),"")="Per hour",1,E317)))</f>
        <v>0</v>
      </c>
      <c r="O317" s="21">
        <f>IF(B317="","",ROUND(IF(E317="",1,E317)*L317,2))</f>
        <v>0</v>
      </c>
      <c r="P317" s="21">
        <f>IF(B317="","",ROUND(O317*(1-IF(G317="",0,G317)),2))</f>
        <v>0</v>
      </c>
      <c r="Q317" s="21">
        <f>IF(B317="","",ROUND(N317*CostPerHour+IF(E317="",1,E317)*IFERROR(INDEX(Services!$R$5:$R$64,MATCH(C317,Services!$B$5:$B$64,0)),0),2))</f>
        <v>0</v>
      </c>
      <c r="R317" s="38">
        <f>IF(OR(B317="",P317=0),"",(P317-Q317)/P317)</f>
        <v>0</v>
      </c>
      <c r="S317" s="31">
        <f>IF(OR(B317="",C317=""),"",COUNTIFS($B$5:B317,B317))</f>
        <v>0</v>
      </c>
      <c r="T317" s="23">
        <f>IF(S317="","",B317&amp;"|"&amp;S317)</f>
        <v>0</v>
      </c>
      <c r="U317" s="39">
        <f>IF(B317="","",IF(C317="","Add - pick a service",IF(E317="","Add - how many?",IF(L317=0,"Add - no price",IF(AND(R317&lt;&gt;"",R317&lt;MarginFloor),"Below - thin margin","OK")))))</f>
        <v>0</v>
      </c>
    </row>
    <row r="318" spans="1:21">
      <c r="A318" s="43">
        <f>IF(B318="","","QL-"&amp;TEXT(ROW()-4,"0000"))</f>
        <v>0</v>
      </c>
      <c r="J318" s="21">
        <f>IF(C318="","",IFERROR(INDEX(Services!$P$5:$P$64,MATCH(C318,Services!$B$5:$B$64,0)),"0"))</f>
        <v>0</v>
      </c>
      <c r="K318" s="23">
        <f>IF(C318="","",IFERROR(INDEX(Services!$E$5:$E$64,MATCH(C318,Services!$B$5:$B$64,0)),""))</f>
        <v>0</v>
      </c>
      <c r="L318" s="21">
        <f>IF(B318="","",IF(F318&lt;&gt;"",F318,IFERROR(J318*1,0)))</f>
        <v>0</v>
      </c>
      <c r="M318" s="51">
        <f>IF(B318="","",IF(D318&lt;&gt;"",D318,IFERROR(INDEX(Services!$O$5:$O$64,MATCH(C318,Services!$B$5:$B$64,0)),"")))</f>
        <v>0</v>
      </c>
      <c r="N318" s="34">
        <f>IF(B318="","",IFERROR(INDEX(Services!$G$5:$G$64,MATCH(C318,Services!$B$5:$B$64,0)),0)*IF(E318="",1,IF(IFERROR(INDEX(Services!$D$5:$D$64,MATCH(C318,Services!$B$5:$B$64,0)),"")="Per hour",1,E318)))</f>
        <v>0</v>
      </c>
      <c r="O318" s="21">
        <f>IF(B318="","",ROUND(IF(E318="",1,E318)*L318,2))</f>
        <v>0</v>
      </c>
      <c r="P318" s="21">
        <f>IF(B318="","",ROUND(O318*(1-IF(G318="",0,G318)),2))</f>
        <v>0</v>
      </c>
      <c r="Q318" s="21">
        <f>IF(B318="","",ROUND(N318*CostPerHour+IF(E318="",1,E318)*IFERROR(INDEX(Services!$R$5:$R$64,MATCH(C318,Services!$B$5:$B$64,0)),0),2))</f>
        <v>0</v>
      </c>
      <c r="R318" s="38">
        <f>IF(OR(B318="",P318=0),"",(P318-Q318)/P318)</f>
        <v>0</v>
      </c>
      <c r="S318" s="31">
        <f>IF(OR(B318="",C318=""),"",COUNTIFS($B$5:B318,B318))</f>
        <v>0</v>
      </c>
      <c r="T318" s="23">
        <f>IF(S318="","",B318&amp;"|"&amp;S318)</f>
        <v>0</v>
      </c>
      <c r="U318" s="39">
        <f>IF(B318="","",IF(C318="","Add - pick a service",IF(E318="","Add - how many?",IF(L318=0,"Add - no price",IF(AND(R318&lt;&gt;"",R318&lt;MarginFloor),"Below - thin margin","OK")))))</f>
        <v>0</v>
      </c>
    </row>
    <row r="319" spans="1:21">
      <c r="A319" s="43">
        <f>IF(B319="","","QL-"&amp;TEXT(ROW()-4,"0000"))</f>
        <v>0</v>
      </c>
      <c r="J319" s="21">
        <f>IF(C319="","",IFERROR(INDEX(Services!$P$5:$P$64,MATCH(C319,Services!$B$5:$B$64,0)),"0"))</f>
        <v>0</v>
      </c>
      <c r="K319" s="23">
        <f>IF(C319="","",IFERROR(INDEX(Services!$E$5:$E$64,MATCH(C319,Services!$B$5:$B$64,0)),""))</f>
        <v>0</v>
      </c>
      <c r="L319" s="21">
        <f>IF(B319="","",IF(F319&lt;&gt;"",F319,IFERROR(J319*1,0)))</f>
        <v>0</v>
      </c>
      <c r="M319" s="51">
        <f>IF(B319="","",IF(D319&lt;&gt;"",D319,IFERROR(INDEX(Services!$O$5:$O$64,MATCH(C319,Services!$B$5:$B$64,0)),"")))</f>
        <v>0</v>
      </c>
      <c r="N319" s="34">
        <f>IF(B319="","",IFERROR(INDEX(Services!$G$5:$G$64,MATCH(C319,Services!$B$5:$B$64,0)),0)*IF(E319="",1,IF(IFERROR(INDEX(Services!$D$5:$D$64,MATCH(C319,Services!$B$5:$B$64,0)),"")="Per hour",1,E319)))</f>
        <v>0</v>
      </c>
      <c r="O319" s="21">
        <f>IF(B319="","",ROUND(IF(E319="",1,E319)*L319,2))</f>
        <v>0</v>
      </c>
      <c r="P319" s="21">
        <f>IF(B319="","",ROUND(O319*(1-IF(G319="",0,G319)),2))</f>
        <v>0</v>
      </c>
      <c r="Q319" s="21">
        <f>IF(B319="","",ROUND(N319*CostPerHour+IF(E319="",1,E319)*IFERROR(INDEX(Services!$R$5:$R$64,MATCH(C319,Services!$B$5:$B$64,0)),0),2))</f>
        <v>0</v>
      </c>
      <c r="R319" s="38">
        <f>IF(OR(B319="",P319=0),"",(P319-Q319)/P319)</f>
        <v>0</v>
      </c>
      <c r="S319" s="31">
        <f>IF(OR(B319="",C319=""),"",COUNTIFS($B$5:B319,B319))</f>
        <v>0</v>
      </c>
      <c r="T319" s="23">
        <f>IF(S319="","",B319&amp;"|"&amp;S319)</f>
        <v>0</v>
      </c>
      <c r="U319" s="39">
        <f>IF(B319="","",IF(C319="","Add - pick a service",IF(E319="","Add - how many?",IF(L319=0,"Add - no price",IF(AND(R319&lt;&gt;"",R319&lt;MarginFloor),"Below - thin margin","OK")))))</f>
        <v>0</v>
      </c>
    </row>
    <row r="320" spans="1:21">
      <c r="A320" s="43">
        <f>IF(B320="","","QL-"&amp;TEXT(ROW()-4,"0000"))</f>
        <v>0</v>
      </c>
      <c r="J320" s="21">
        <f>IF(C320="","",IFERROR(INDEX(Services!$P$5:$P$64,MATCH(C320,Services!$B$5:$B$64,0)),"0"))</f>
        <v>0</v>
      </c>
      <c r="K320" s="23">
        <f>IF(C320="","",IFERROR(INDEX(Services!$E$5:$E$64,MATCH(C320,Services!$B$5:$B$64,0)),""))</f>
        <v>0</v>
      </c>
      <c r="L320" s="21">
        <f>IF(B320="","",IF(F320&lt;&gt;"",F320,IFERROR(J320*1,0)))</f>
        <v>0</v>
      </c>
      <c r="M320" s="51">
        <f>IF(B320="","",IF(D320&lt;&gt;"",D320,IFERROR(INDEX(Services!$O$5:$O$64,MATCH(C320,Services!$B$5:$B$64,0)),"")))</f>
        <v>0</v>
      </c>
      <c r="N320" s="34">
        <f>IF(B320="","",IFERROR(INDEX(Services!$G$5:$G$64,MATCH(C320,Services!$B$5:$B$64,0)),0)*IF(E320="",1,IF(IFERROR(INDEX(Services!$D$5:$D$64,MATCH(C320,Services!$B$5:$B$64,0)),"")="Per hour",1,E320)))</f>
        <v>0</v>
      </c>
      <c r="O320" s="21">
        <f>IF(B320="","",ROUND(IF(E320="",1,E320)*L320,2))</f>
        <v>0</v>
      </c>
      <c r="P320" s="21">
        <f>IF(B320="","",ROUND(O320*(1-IF(G320="",0,G320)),2))</f>
        <v>0</v>
      </c>
      <c r="Q320" s="21">
        <f>IF(B320="","",ROUND(N320*CostPerHour+IF(E320="",1,E320)*IFERROR(INDEX(Services!$R$5:$R$64,MATCH(C320,Services!$B$5:$B$64,0)),0),2))</f>
        <v>0</v>
      </c>
      <c r="R320" s="38">
        <f>IF(OR(B320="",P320=0),"",(P320-Q320)/P320)</f>
        <v>0</v>
      </c>
      <c r="S320" s="31">
        <f>IF(OR(B320="",C320=""),"",COUNTIFS($B$5:B320,B320))</f>
        <v>0</v>
      </c>
      <c r="T320" s="23">
        <f>IF(S320="","",B320&amp;"|"&amp;S320)</f>
        <v>0</v>
      </c>
      <c r="U320" s="39">
        <f>IF(B320="","",IF(C320="","Add - pick a service",IF(E320="","Add - how many?",IF(L320=0,"Add - no price",IF(AND(R320&lt;&gt;"",R320&lt;MarginFloor),"Below - thin margin","OK")))))</f>
        <v>0</v>
      </c>
    </row>
    <row r="321" spans="1:21">
      <c r="A321" s="43">
        <f>IF(B321="","","QL-"&amp;TEXT(ROW()-4,"0000"))</f>
        <v>0</v>
      </c>
      <c r="J321" s="21">
        <f>IF(C321="","",IFERROR(INDEX(Services!$P$5:$P$64,MATCH(C321,Services!$B$5:$B$64,0)),"0"))</f>
        <v>0</v>
      </c>
      <c r="K321" s="23">
        <f>IF(C321="","",IFERROR(INDEX(Services!$E$5:$E$64,MATCH(C321,Services!$B$5:$B$64,0)),""))</f>
        <v>0</v>
      </c>
      <c r="L321" s="21">
        <f>IF(B321="","",IF(F321&lt;&gt;"",F321,IFERROR(J321*1,0)))</f>
        <v>0</v>
      </c>
      <c r="M321" s="51">
        <f>IF(B321="","",IF(D321&lt;&gt;"",D321,IFERROR(INDEX(Services!$O$5:$O$64,MATCH(C321,Services!$B$5:$B$64,0)),"")))</f>
        <v>0</v>
      </c>
      <c r="N321" s="34">
        <f>IF(B321="","",IFERROR(INDEX(Services!$G$5:$G$64,MATCH(C321,Services!$B$5:$B$64,0)),0)*IF(E321="",1,IF(IFERROR(INDEX(Services!$D$5:$D$64,MATCH(C321,Services!$B$5:$B$64,0)),"")="Per hour",1,E321)))</f>
        <v>0</v>
      </c>
      <c r="O321" s="21">
        <f>IF(B321="","",ROUND(IF(E321="",1,E321)*L321,2))</f>
        <v>0</v>
      </c>
      <c r="P321" s="21">
        <f>IF(B321="","",ROUND(O321*(1-IF(G321="",0,G321)),2))</f>
        <v>0</v>
      </c>
      <c r="Q321" s="21">
        <f>IF(B321="","",ROUND(N321*CostPerHour+IF(E321="",1,E321)*IFERROR(INDEX(Services!$R$5:$R$64,MATCH(C321,Services!$B$5:$B$64,0)),0),2))</f>
        <v>0</v>
      </c>
      <c r="R321" s="38">
        <f>IF(OR(B321="",P321=0),"",(P321-Q321)/P321)</f>
        <v>0</v>
      </c>
      <c r="S321" s="31">
        <f>IF(OR(B321="",C321=""),"",COUNTIFS($B$5:B321,B321))</f>
        <v>0</v>
      </c>
      <c r="T321" s="23">
        <f>IF(S321="","",B321&amp;"|"&amp;S321)</f>
        <v>0</v>
      </c>
      <c r="U321" s="39">
        <f>IF(B321="","",IF(C321="","Add - pick a service",IF(E321="","Add - how many?",IF(L321=0,"Add - no price",IF(AND(R321&lt;&gt;"",R321&lt;MarginFloor),"Below - thin margin","OK")))))</f>
        <v>0</v>
      </c>
    </row>
    <row r="322" spans="1:21">
      <c r="A322" s="43">
        <f>IF(B322="","","QL-"&amp;TEXT(ROW()-4,"0000"))</f>
        <v>0</v>
      </c>
      <c r="J322" s="21">
        <f>IF(C322="","",IFERROR(INDEX(Services!$P$5:$P$64,MATCH(C322,Services!$B$5:$B$64,0)),"0"))</f>
        <v>0</v>
      </c>
      <c r="K322" s="23">
        <f>IF(C322="","",IFERROR(INDEX(Services!$E$5:$E$64,MATCH(C322,Services!$B$5:$B$64,0)),""))</f>
        <v>0</v>
      </c>
      <c r="L322" s="21">
        <f>IF(B322="","",IF(F322&lt;&gt;"",F322,IFERROR(J322*1,0)))</f>
        <v>0</v>
      </c>
      <c r="M322" s="51">
        <f>IF(B322="","",IF(D322&lt;&gt;"",D322,IFERROR(INDEX(Services!$O$5:$O$64,MATCH(C322,Services!$B$5:$B$64,0)),"")))</f>
        <v>0</v>
      </c>
      <c r="N322" s="34">
        <f>IF(B322="","",IFERROR(INDEX(Services!$G$5:$G$64,MATCH(C322,Services!$B$5:$B$64,0)),0)*IF(E322="",1,IF(IFERROR(INDEX(Services!$D$5:$D$64,MATCH(C322,Services!$B$5:$B$64,0)),"")="Per hour",1,E322)))</f>
        <v>0</v>
      </c>
      <c r="O322" s="21">
        <f>IF(B322="","",ROUND(IF(E322="",1,E322)*L322,2))</f>
        <v>0</v>
      </c>
      <c r="P322" s="21">
        <f>IF(B322="","",ROUND(O322*(1-IF(G322="",0,G322)),2))</f>
        <v>0</v>
      </c>
      <c r="Q322" s="21">
        <f>IF(B322="","",ROUND(N322*CostPerHour+IF(E322="",1,E322)*IFERROR(INDEX(Services!$R$5:$R$64,MATCH(C322,Services!$B$5:$B$64,0)),0),2))</f>
        <v>0</v>
      </c>
      <c r="R322" s="38">
        <f>IF(OR(B322="",P322=0),"",(P322-Q322)/P322)</f>
        <v>0</v>
      </c>
      <c r="S322" s="31">
        <f>IF(OR(B322="",C322=""),"",COUNTIFS($B$5:B322,B322))</f>
        <v>0</v>
      </c>
      <c r="T322" s="23">
        <f>IF(S322="","",B322&amp;"|"&amp;S322)</f>
        <v>0</v>
      </c>
      <c r="U322" s="39">
        <f>IF(B322="","",IF(C322="","Add - pick a service",IF(E322="","Add - how many?",IF(L322=0,"Add - no price",IF(AND(R322&lt;&gt;"",R322&lt;MarginFloor),"Below - thin margin","OK")))))</f>
        <v>0</v>
      </c>
    </row>
    <row r="323" spans="1:21">
      <c r="A323" s="43">
        <f>IF(B323="","","QL-"&amp;TEXT(ROW()-4,"0000"))</f>
        <v>0</v>
      </c>
      <c r="J323" s="21">
        <f>IF(C323="","",IFERROR(INDEX(Services!$P$5:$P$64,MATCH(C323,Services!$B$5:$B$64,0)),"0"))</f>
        <v>0</v>
      </c>
      <c r="K323" s="23">
        <f>IF(C323="","",IFERROR(INDEX(Services!$E$5:$E$64,MATCH(C323,Services!$B$5:$B$64,0)),""))</f>
        <v>0</v>
      </c>
      <c r="L323" s="21">
        <f>IF(B323="","",IF(F323&lt;&gt;"",F323,IFERROR(J323*1,0)))</f>
        <v>0</v>
      </c>
      <c r="M323" s="51">
        <f>IF(B323="","",IF(D323&lt;&gt;"",D323,IFERROR(INDEX(Services!$O$5:$O$64,MATCH(C323,Services!$B$5:$B$64,0)),"")))</f>
        <v>0</v>
      </c>
      <c r="N323" s="34">
        <f>IF(B323="","",IFERROR(INDEX(Services!$G$5:$G$64,MATCH(C323,Services!$B$5:$B$64,0)),0)*IF(E323="",1,IF(IFERROR(INDEX(Services!$D$5:$D$64,MATCH(C323,Services!$B$5:$B$64,0)),"")="Per hour",1,E323)))</f>
        <v>0</v>
      </c>
      <c r="O323" s="21">
        <f>IF(B323="","",ROUND(IF(E323="",1,E323)*L323,2))</f>
        <v>0</v>
      </c>
      <c r="P323" s="21">
        <f>IF(B323="","",ROUND(O323*(1-IF(G323="",0,G323)),2))</f>
        <v>0</v>
      </c>
      <c r="Q323" s="21">
        <f>IF(B323="","",ROUND(N323*CostPerHour+IF(E323="",1,E323)*IFERROR(INDEX(Services!$R$5:$R$64,MATCH(C323,Services!$B$5:$B$64,0)),0),2))</f>
        <v>0</v>
      </c>
      <c r="R323" s="38">
        <f>IF(OR(B323="",P323=0),"",(P323-Q323)/P323)</f>
        <v>0</v>
      </c>
      <c r="S323" s="31">
        <f>IF(OR(B323="",C323=""),"",COUNTIFS($B$5:B323,B323))</f>
        <v>0</v>
      </c>
      <c r="T323" s="23">
        <f>IF(S323="","",B323&amp;"|"&amp;S323)</f>
        <v>0</v>
      </c>
      <c r="U323" s="39">
        <f>IF(B323="","",IF(C323="","Add - pick a service",IF(E323="","Add - how many?",IF(L323=0,"Add - no price",IF(AND(R323&lt;&gt;"",R323&lt;MarginFloor),"Below - thin margin","OK")))))</f>
        <v>0</v>
      </c>
    </row>
    <row r="324" spans="1:21">
      <c r="A324" s="43">
        <f>IF(B324="","","QL-"&amp;TEXT(ROW()-4,"0000"))</f>
        <v>0</v>
      </c>
      <c r="J324" s="21">
        <f>IF(C324="","",IFERROR(INDEX(Services!$P$5:$P$64,MATCH(C324,Services!$B$5:$B$64,0)),"0"))</f>
        <v>0</v>
      </c>
      <c r="K324" s="23">
        <f>IF(C324="","",IFERROR(INDEX(Services!$E$5:$E$64,MATCH(C324,Services!$B$5:$B$64,0)),""))</f>
        <v>0</v>
      </c>
      <c r="L324" s="21">
        <f>IF(B324="","",IF(F324&lt;&gt;"",F324,IFERROR(J324*1,0)))</f>
        <v>0</v>
      </c>
      <c r="M324" s="51">
        <f>IF(B324="","",IF(D324&lt;&gt;"",D324,IFERROR(INDEX(Services!$O$5:$O$64,MATCH(C324,Services!$B$5:$B$64,0)),"")))</f>
        <v>0</v>
      </c>
      <c r="N324" s="34">
        <f>IF(B324="","",IFERROR(INDEX(Services!$G$5:$G$64,MATCH(C324,Services!$B$5:$B$64,0)),0)*IF(E324="",1,IF(IFERROR(INDEX(Services!$D$5:$D$64,MATCH(C324,Services!$B$5:$B$64,0)),"")="Per hour",1,E324)))</f>
        <v>0</v>
      </c>
      <c r="O324" s="21">
        <f>IF(B324="","",ROUND(IF(E324="",1,E324)*L324,2))</f>
        <v>0</v>
      </c>
      <c r="P324" s="21">
        <f>IF(B324="","",ROUND(O324*(1-IF(G324="",0,G324)),2))</f>
        <v>0</v>
      </c>
      <c r="Q324" s="21">
        <f>IF(B324="","",ROUND(N324*CostPerHour+IF(E324="",1,E324)*IFERROR(INDEX(Services!$R$5:$R$64,MATCH(C324,Services!$B$5:$B$64,0)),0),2))</f>
        <v>0</v>
      </c>
      <c r="R324" s="38">
        <f>IF(OR(B324="",P324=0),"",(P324-Q324)/P324)</f>
        <v>0</v>
      </c>
      <c r="S324" s="31">
        <f>IF(OR(B324="",C324=""),"",COUNTIFS($B$5:B324,B324))</f>
        <v>0</v>
      </c>
      <c r="T324" s="23">
        <f>IF(S324="","",B324&amp;"|"&amp;S324)</f>
        <v>0</v>
      </c>
      <c r="U324" s="39">
        <f>IF(B324="","",IF(C324="","Add - pick a service",IF(E324="","Add - how many?",IF(L324=0,"Add - no price",IF(AND(R324&lt;&gt;"",R324&lt;MarginFloor),"Below - thin margin","OK")))))</f>
        <v>0</v>
      </c>
    </row>
    <row r="325" spans="1:21">
      <c r="A325" s="43">
        <f>IF(B325="","","QL-"&amp;TEXT(ROW()-4,"0000"))</f>
        <v>0</v>
      </c>
      <c r="J325" s="21">
        <f>IF(C325="","",IFERROR(INDEX(Services!$P$5:$P$64,MATCH(C325,Services!$B$5:$B$64,0)),"0"))</f>
        <v>0</v>
      </c>
      <c r="K325" s="23">
        <f>IF(C325="","",IFERROR(INDEX(Services!$E$5:$E$64,MATCH(C325,Services!$B$5:$B$64,0)),""))</f>
        <v>0</v>
      </c>
      <c r="L325" s="21">
        <f>IF(B325="","",IF(F325&lt;&gt;"",F325,IFERROR(J325*1,0)))</f>
        <v>0</v>
      </c>
      <c r="M325" s="51">
        <f>IF(B325="","",IF(D325&lt;&gt;"",D325,IFERROR(INDEX(Services!$O$5:$O$64,MATCH(C325,Services!$B$5:$B$64,0)),"")))</f>
        <v>0</v>
      </c>
      <c r="N325" s="34">
        <f>IF(B325="","",IFERROR(INDEX(Services!$G$5:$G$64,MATCH(C325,Services!$B$5:$B$64,0)),0)*IF(E325="",1,IF(IFERROR(INDEX(Services!$D$5:$D$64,MATCH(C325,Services!$B$5:$B$64,0)),"")="Per hour",1,E325)))</f>
        <v>0</v>
      </c>
      <c r="O325" s="21">
        <f>IF(B325="","",ROUND(IF(E325="",1,E325)*L325,2))</f>
        <v>0</v>
      </c>
      <c r="P325" s="21">
        <f>IF(B325="","",ROUND(O325*(1-IF(G325="",0,G325)),2))</f>
        <v>0</v>
      </c>
      <c r="Q325" s="21">
        <f>IF(B325="","",ROUND(N325*CostPerHour+IF(E325="",1,E325)*IFERROR(INDEX(Services!$R$5:$R$64,MATCH(C325,Services!$B$5:$B$64,0)),0),2))</f>
        <v>0</v>
      </c>
      <c r="R325" s="38">
        <f>IF(OR(B325="",P325=0),"",(P325-Q325)/P325)</f>
        <v>0</v>
      </c>
      <c r="S325" s="31">
        <f>IF(OR(B325="",C325=""),"",COUNTIFS($B$5:B325,B325))</f>
        <v>0</v>
      </c>
      <c r="T325" s="23">
        <f>IF(S325="","",B325&amp;"|"&amp;S325)</f>
        <v>0</v>
      </c>
      <c r="U325" s="39">
        <f>IF(B325="","",IF(C325="","Add - pick a service",IF(E325="","Add - how many?",IF(L325=0,"Add - no price",IF(AND(R325&lt;&gt;"",R325&lt;MarginFloor),"Below - thin margin","OK")))))</f>
        <v>0</v>
      </c>
    </row>
    <row r="326" spans="1:21">
      <c r="A326" s="43">
        <f>IF(B326="","","QL-"&amp;TEXT(ROW()-4,"0000"))</f>
        <v>0</v>
      </c>
      <c r="J326" s="21">
        <f>IF(C326="","",IFERROR(INDEX(Services!$P$5:$P$64,MATCH(C326,Services!$B$5:$B$64,0)),"0"))</f>
        <v>0</v>
      </c>
      <c r="K326" s="23">
        <f>IF(C326="","",IFERROR(INDEX(Services!$E$5:$E$64,MATCH(C326,Services!$B$5:$B$64,0)),""))</f>
        <v>0</v>
      </c>
      <c r="L326" s="21">
        <f>IF(B326="","",IF(F326&lt;&gt;"",F326,IFERROR(J326*1,0)))</f>
        <v>0</v>
      </c>
      <c r="M326" s="51">
        <f>IF(B326="","",IF(D326&lt;&gt;"",D326,IFERROR(INDEX(Services!$O$5:$O$64,MATCH(C326,Services!$B$5:$B$64,0)),"")))</f>
        <v>0</v>
      </c>
      <c r="N326" s="34">
        <f>IF(B326="","",IFERROR(INDEX(Services!$G$5:$G$64,MATCH(C326,Services!$B$5:$B$64,0)),0)*IF(E326="",1,IF(IFERROR(INDEX(Services!$D$5:$D$64,MATCH(C326,Services!$B$5:$B$64,0)),"")="Per hour",1,E326)))</f>
        <v>0</v>
      </c>
      <c r="O326" s="21">
        <f>IF(B326="","",ROUND(IF(E326="",1,E326)*L326,2))</f>
        <v>0</v>
      </c>
      <c r="P326" s="21">
        <f>IF(B326="","",ROUND(O326*(1-IF(G326="",0,G326)),2))</f>
        <v>0</v>
      </c>
      <c r="Q326" s="21">
        <f>IF(B326="","",ROUND(N326*CostPerHour+IF(E326="",1,E326)*IFERROR(INDEX(Services!$R$5:$R$64,MATCH(C326,Services!$B$5:$B$64,0)),0),2))</f>
        <v>0</v>
      </c>
      <c r="R326" s="38">
        <f>IF(OR(B326="",P326=0),"",(P326-Q326)/P326)</f>
        <v>0</v>
      </c>
      <c r="S326" s="31">
        <f>IF(OR(B326="",C326=""),"",COUNTIFS($B$5:B326,B326))</f>
        <v>0</v>
      </c>
      <c r="T326" s="23">
        <f>IF(S326="","",B326&amp;"|"&amp;S326)</f>
        <v>0</v>
      </c>
      <c r="U326" s="39">
        <f>IF(B326="","",IF(C326="","Add - pick a service",IF(E326="","Add - how many?",IF(L326=0,"Add - no price",IF(AND(R326&lt;&gt;"",R326&lt;MarginFloor),"Below - thin margin","OK")))))</f>
        <v>0</v>
      </c>
    </row>
    <row r="327" spans="1:21">
      <c r="A327" s="43">
        <f>IF(B327="","","QL-"&amp;TEXT(ROW()-4,"0000"))</f>
        <v>0</v>
      </c>
      <c r="J327" s="21">
        <f>IF(C327="","",IFERROR(INDEX(Services!$P$5:$P$64,MATCH(C327,Services!$B$5:$B$64,0)),"0"))</f>
        <v>0</v>
      </c>
      <c r="K327" s="23">
        <f>IF(C327="","",IFERROR(INDEX(Services!$E$5:$E$64,MATCH(C327,Services!$B$5:$B$64,0)),""))</f>
        <v>0</v>
      </c>
      <c r="L327" s="21">
        <f>IF(B327="","",IF(F327&lt;&gt;"",F327,IFERROR(J327*1,0)))</f>
        <v>0</v>
      </c>
      <c r="M327" s="51">
        <f>IF(B327="","",IF(D327&lt;&gt;"",D327,IFERROR(INDEX(Services!$O$5:$O$64,MATCH(C327,Services!$B$5:$B$64,0)),"")))</f>
        <v>0</v>
      </c>
      <c r="N327" s="34">
        <f>IF(B327="","",IFERROR(INDEX(Services!$G$5:$G$64,MATCH(C327,Services!$B$5:$B$64,0)),0)*IF(E327="",1,IF(IFERROR(INDEX(Services!$D$5:$D$64,MATCH(C327,Services!$B$5:$B$64,0)),"")="Per hour",1,E327)))</f>
        <v>0</v>
      </c>
      <c r="O327" s="21">
        <f>IF(B327="","",ROUND(IF(E327="",1,E327)*L327,2))</f>
        <v>0</v>
      </c>
      <c r="P327" s="21">
        <f>IF(B327="","",ROUND(O327*(1-IF(G327="",0,G327)),2))</f>
        <v>0</v>
      </c>
      <c r="Q327" s="21">
        <f>IF(B327="","",ROUND(N327*CostPerHour+IF(E327="",1,E327)*IFERROR(INDEX(Services!$R$5:$R$64,MATCH(C327,Services!$B$5:$B$64,0)),0),2))</f>
        <v>0</v>
      </c>
      <c r="R327" s="38">
        <f>IF(OR(B327="",P327=0),"",(P327-Q327)/P327)</f>
        <v>0</v>
      </c>
      <c r="S327" s="31">
        <f>IF(OR(B327="",C327=""),"",COUNTIFS($B$5:B327,B327))</f>
        <v>0</v>
      </c>
      <c r="T327" s="23">
        <f>IF(S327="","",B327&amp;"|"&amp;S327)</f>
        <v>0</v>
      </c>
      <c r="U327" s="39">
        <f>IF(B327="","",IF(C327="","Add - pick a service",IF(E327="","Add - how many?",IF(L327=0,"Add - no price",IF(AND(R327&lt;&gt;"",R327&lt;MarginFloor),"Below - thin margin","OK")))))</f>
        <v>0</v>
      </c>
    </row>
    <row r="328" spans="1:21">
      <c r="A328" s="43">
        <f>IF(B328="","","QL-"&amp;TEXT(ROW()-4,"0000"))</f>
        <v>0</v>
      </c>
      <c r="J328" s="21">
        <f>IF(C328="","",IFERROR(INDEX(Services!$P$5:$P$64,MATCH(C328,Services!$B$5:$B$64,0)),"0"))</f>
        <v>0</v>
      </c>
      <c r="K328" s="23">
        <f>IF(C328="","",IFERROR(INDEX(Services!$E$5:$E$64,MATCH(C328,Services!$B$5:$B$64,0)),""))</f>
        <v>0</v>
      </c>
      <c r="L328" s="21">
        <f>IF(B328="","",IF(F328&lt;&gt;"",F328,IFERROR(J328*1,0)))</f>
        <v>0</v>
      </c>
      <c r="M328" s="51">
        <f>IF(B328="","",IF(D328&lt;&gt;"",D328,IFERROR(INDEX(Services!$O$5:$O$64,MATCH(C328,Services!$B$5:$B$64,0)),"")))</f>
        <v>0</v>
      </c>
      <c r="N328" s="34">
        <f>IF(B328="","",IFERROR(INDEX(Services!$G$5:$G$64,MATCH(C328,Services!$B$5:$B$64,0)),0)*IF(E328="",1,IF(IFERROR(INDEX(Services!$D$5:$D$64,MATCH(C328,Services!$B$5:$B$64,0)),"")="Per hour",1,E328)))</f>
        <v>0</v>
      </c>
      <c r="O328" s="21">
        <f>IF(B328="","",ROUND(IF(E328="",1,E328)*L328,2))</f>
        <v>0</v>
      </c>
      <c r="P328" s="21">
        <f>IF(B328="","",ROUND(O328*(1-IF(G328="",0,G328)),2))</f>
        <v>0</v>
      </c>
      <c r="Q328" s="21">
        <f>IF(B328="","",ROUND(N328*CostPerHour+IF(E328="",1,E328)*IFERROR(INDEX(Services!$R$5:$R$64,MATCH(C328,Services!$B$5:$B$64,0)),0),2))</f>
        <v>0</v>
      </c>
      <c r="R328" s="38">
        <f>IF(OR(B328="",P328=0),"",(P328-Q328)/P328)</f>
        <v>0</v>
      </c>
      <c r="S328" s="31">
        <f>IF(OR(B328="",C328=""),"",COUNTIFS($B$5:B328,B328))</f>
        <v>0</v>
      </c>
      <c r="T328" s="23">
        <f>IF(S328="","",B328&amp;"|"&amp;S328)</f>
        <v>0</v>
      </c>
      <c r="U328" s="39">
        <f>IF(B328="","",IF(C328="","Add - pick a service",IF(E328="","Add - how many?",IF(L328=0,"Add - no price",IF(AND(R328&lt;&gt;"",R328&lt;MarginFloor),"Below - thin margin","OK")))))</f>
        <v>0</v>
      </c>
    </row>
    <row r="329" spans="1:21">
      <c r="A329" s="43">
        <f>IF(B329="","","QL-"&amp;TEXT(ROW()-4,"0000"))</f>
        <v>0</v>
      </c>
      <c r="J329" s="21">
        <f>IF(C329="","",IFERROR(INDEX(Services!$P$5:$P$64,MATCH(C329,Services!$B$5:$B$64,0)),"0"))</f>
        <v>0</v>
      </c>
      <c r="K329" s="23">
        <f>IF(C329="","",IFERROR(INDEX(Services!$E$5:$E$64,MATCH(C329,Services!$B$5:$B$64,0)),""))</f>
        <v>0</v>
      </c>
      <c r="L329" s="21">
        <f>IF(B329="","",IF(F329&lt;&gt;"",F329,IFERROR(J329*1,0)))</f>
        <v>0</v>
      </c>
      <c r="M329" s="51">
        <f>IF(B329="","",IF(D329&lt;&gt;"",D329,IFERROR(INDEX(Services!$O$5:$O$64,MATCH(C329,Services!$B$5:$B$64,0)),"")))</f>
        <v>0</v>
      </c>
      <c r="N329" s="34">
        <f>IF(B329="","",IFERROR(INDEX(Services!$G$5:$G$64,MATCH(C329,Services!$B$5:$B$64,0)),0)*IF(E329="",1,IF(IFERROR(INDEX(Services!$D$5:$D$64,MATCH(C329,Services!$B$5:$B$64,0)),"")="Per hour",1,E329)))</f>
        <v>0</v>
      </c>
      <c r="O329" s="21">
        <f>IF(B329="","",ROUND(IF(E329="",1,E329)*L329,2))</f>
        <v>0</v>
      </c>
      <c r="P329" s="21">
        <f>IF(B329="","",ROUND(O329*(1-IF(G329="",0,G329)),2))</f>
        <v>0</v>
      </c>
      <c r="Q329" s="21">
        <f>IF(B329="","",ROUND(N329*CostPerHour+IF(E329="",1,E329)*IFERROR(INDEX(Services!$R$5:$R$64,MATCH(C329,Services!$B$5:$B$64,0)),0),2))</f>
        <v>0</v>
      </c>
      <c r="R329" s="38">
        <f>IF(OR(B329="",P329=0),"",(P329-Q329)/P329)</f>
        <v>0</v>
      </c>
      <c r="S329" s="31">
        <f>IF(OR(B329="",C329=""),"",COUNTIFS($B$5:B329,B329))</f>
        <v>0</v>
      </c>
      <c r="T329" s="23">
        <f>IF(S329="","",B329&amp;"|"&amp;S329)</f>
        <v>0</v>
      </c>
      <c r="U329" s="39">
        <f>IF(B329="","",IF(C329="","Add - pick a service",IF(E329="","Add - how many?",IF(L329=0,"Add - no price",IF(AND(R329&lt;&gt;"",R329&lt;MarginFloor),"Below - thin margin","OK")))))</f>
        <v>0</v>
      </c>
    </row>
    <row r="330" spans="1:21">
      <c r="A330" s="43">
        <f>IF(B330="","","QL-"&amp;TEXT(ROW()-4,"0000"))</f>
        <v>0</v>
      </c>
      <c r="J330" s="21">
        <f>IF(C330="","",IFERROR(INDEX(Services!$P$5:$P$64,MATCH(C330,Services!$B$5:$B$64,0)),"0"))</f>
        <v>0</v>
      </c>
      <c r="K330" s="23">
        <f>IF(C330="","",IFERROR(INDEX(Services!$E$5:$E$64,MATCH(C330,Services!$B$5:$B$64,0)),""))</f>
        <v>0</v>
      </c>
      <c r="L330" s="21">
        <f>IF(B330="","",IF(F330&lt;&gt;"",F330,IFERROR(J330*1,0)))</f>
        <v>0</v>
      </c>
      <c r="M330" s="51">
        <f>IF(B330="","",IF(D330&lt;&gt;"",D330,IFERROR(INDEX(Services!$O$5:$O$64,MATCH(C330,Services!$B$5:$B$64,0)),"")))</f>
        <v>0</v>
      </c>
      <c r="N330" s="34">
        <f>IF(B330="","",IFERROR(INDEX(Services!$G$5:$G$64,MATCH(C330,Services!$B$5:$B$64,0)),0)*IF(E330="",1,IF(IFERROR(INDEX(Services!$D$5:$D$64,MATCH(C330,Services!$B$5:$B$64,0)),"")="Per hour",1,E330)))</f>
        <v>0</v>
      </c>
      <c r="O330" s="21">
        <f>IF(B330="","",ROUND(IF(E330="",1,E330)*L330,2))</f>
        <v>0</v>
      </c>
      <c r="P330" s="21">
        <f>IF(B330="","",ROUND(O330*(1-IF(G330="",0,G330)),2))</f>
        <v>0</v>
      </c>
      <c r="Q330" s="21">
        <f>IF(B330="","",ROUND(N330*CostPerHour+IF(E330="",1,E330)*IFERROR(INDEX(Services!$R$5:$R$64,MATCH(C330,Services!$B$5:$B$64,0)),0),2))</f>
        <v>0</v>
      </c>
      <c r="R330" s="38">
        <f>IF(OR(B330="",P330=0),"",(P330-Q330)/P330)</f>
        <v>0</v>
      </c>
      <c r="S330" s="31">
        <f>IF(OR(B330="",C330=""),"",COUNTIFS($B$5:B330,B330))</f>
        <v>0</v>
      </c>
      <c r="T330" s="23">
        <f>IF(S330="","",B330&amp;"|"&amp;S330)</f>
        <v>0</v>
      </c>
      <c r="U330" s="39">
        <f>IF(B330="","",IF(C330="","Add - pick a service",IF(E330="","Add - how many?",IF(L330=0,"Add - no price",IF(AND(R330&lt;&gt;"",R330&lt;MarginFloor),"Below - thin margin","OK")))))</f>
        <v>0</v>
      </c>
    </row>
    <row r="331" spans="1:21">
      <c r="A331" s="43">
        <f>IF(B331="","","QL-"&amp;TEXT(ROW()-4,"0000"))</f>
        <v>0</v>
      </c>
      <c r="J331" s="21">
        <f>IF(C331="","",IFERROR(INDEX(Services!$P$5:$P$64,MATCH(C331,Services!$B$5:$B$64,0)),"0"))</f>
        <v>0</v>
      </c>
      <c r="K331" s="23">
        <f>IF(C331="","",IFERROR(INDEX(Services!$E$5:$E$64,MATCH(C331,Services!$B$5:$B$64,0)),""))</f>
        <v>0</v>
      </c>
      <c r="L331" s="21">
        <f>IF(B331="","",IF(F331&lt;&gt;"",F331,IFERROR(J331*1,0)))</f>
        <v>0</v>
      </c>
      <c r="M331" s="51">
        <f>IF(B331="","",IF(D331&lt;&gt;"",D331,IFERROR(INDEX(Services!$O$5:$O$64,MATCH(C331,Services!$B$5:$B$64,0)),"")))</f>
        <v>0</v>
      </c>
      <c r="N331" s="34">
        <f>IF(B331="","",IFERROR(INDEX(Services!$G$5:$G$64,MATCH(C331,Services!$B$5:$B$64,0)),0)*IF(E331="",1,IF(IFERROR(INDEX(Services!$D$5:$D$64,MATCH(C331,Services!$B$5:$B$64,0)),"")="Per hour",1,E331)))</f>
        <v>0</v>
      </c>
      <c r="O331" s="21">
        <f>IF(B331="","",ROUND(IF(E331="",1,E331)*L331,2))</f>
        <v>0</v>
      </c>
      <c r="P331" s="21">
        <f>IF(B331="","",ROUND(O331*(1-IF(G331="",0,G331)),2))</f>
        <v>0</v>
      </c>
      <c r="Q331" s="21">
        <f>IF(B331="","",ROUND(N331*CostPerHour+IF(E331="",1,E331)*IFERROR(INDEX(Services!$R$5:$R$64,MATCH(C331,Services!$B$5:$B$64,0)),0),2))</f>
        <v>0</v>
      </c>
      <c r="R331" s="38">
        <f>IF(OR(B331="",P331=0),"",(P331-Q331)/P331)</f>
        <v>0</v>
      </c>
      <c r="S331" s="31">
        <f>IF(OR(B331="",C331=""),"",COUNTIFS($B$5:B331,B331))</f>
        <v>0</v>
      </c>
      <c r="T331" s="23">
        <f>IF(S331="","",B331&amp;"|"&amp;S331)</f>
        <v>0</v>
      </c>
      <c r="U331" s="39">
        <f>IF(B331="","",IF(C331="","Add - pick a service",IF(E331="","Add - how many?",IF(L331=0,"Add - no price",IF(AND(R331&lt;&gt;"",R331&lt;MarginFloor),"Below - thin margin","OK")))))</f>
        <v>0</v>
      </c>
    </row>
    <row r="332" spans="1:21">
      <c r="A332" s="43">
        <f>IF(B332="","","QL-"&amp;TEXT(ROW()-4,"0000"))</f>
        <v>0</v>
      </c>
      <c r="J332" s="21">
        <f>IF(C332="","",IFERROR(INDEX(Services!$P$5:$P$64,MATCH(C332,Services!$B$5:$B$64,0)),"0"))</f>
        <v>0</v>
      </c>
      <c r="K332" s="23">
        <f>IF(C332="","",IFERROR(INDEX(Services!$E$5:$E$64,MATCH(C332,Services!$B$5:$B$64,0)),""))</f>
        <v>0</v>
      </c>
      <c r="L332" s="21">
        <f>IF(B332="","",IF(F332&lt;&gt;"",F332,IFERROR(J332*1,0)))</f>
        <v>0</v>
      </c>
      <c r="M332" s="51">
        <f>IF(B332="","",IF(D332&lt;&gt;"",D332,IFERROR(INDEX(Services!$O$5:$O$64,MATCH(C332,Services!$B$5:$B$64,0)),"")))</f>
        <v>0</v>
      </c>
      <c r="N332" s="34">
        <f>IF(B332="","",IFERROR(INDEX(Services!$G$5:$G$64,MATCH(C332,Services!$B$5:$B$64,0)),0)*IF(E332="",1,IF(IFERROR(INDEX(Services!$D$5:$D$64,MATCH(C332,Services!$B$5:$B$64,0)),"")="Per hour",1,E332)))</f>
        <v>0</v>
      </c>
      <c r="O332" s="21">
        <f>IF(B332="","",ROUND(IF(E332="",1,E332)*L332,2))</f>
        <v>0</v>
      </c>
      <c r="P332" s="21">
        <f>IF(B332="","",ROUND(O332*(1-IF(G332="",0,G332)),2))</f>
        <v>0</v>
      </c>
      <c r="Q332" s="21">
        <f>IF(B332="","",ROUND(N332*CostPerHour+IF(E332="",1,E332)*IFERROR(INDEX(Services!$R$5:$R$64,MATCH(C332,Services!$B$5:$B$64,0)),0),2))</f>
        <v>0</v>
      </c>
      <c r="R332" s="38">
        <f>IF(OR(B332="",P332=0),"",(P332-Q332)/P332)</f>
        <v>0</v>
      </c>
      <c r="S332" s="31">
        <f>IF(OR(B332="",C332=""),"",COUNTIFS($B$5:B332,B332))</f>
        <v>0</v>
      </c>
      <c r="T332" s="23">
        <f>IF(S332="","",B332&amp;"|"&amp;S332)</f>
        <v>0</v>
      </c>
      <c r="U332" s="39">
        <f>IF(B332="","",IF(C332="","Add - pick a service",IF(E332="","Add - how many?",IF(L332=0,"Add - no price",IF(AND(R332&lt;&gt;"",R332&lt;MarginFloor),"Below - thin margin","OK")))))</f>
        <v>0</v>
      </c>
    </row>
    <row r="333" spans="1:21">
      <c r="A333" s="43">
        <f>IF(B333="","","QL-"&amp;TEXT(ROW()-4,"0000"))</f>
        <v>0</v>
      </c>
      <c r="J333" s="21">
        <f>IF(C333="","",IFERROR(INDEX(Services!$P$5:$P$64,MATCH(C333,Services!$B$5:$B$64,0)),"0"))</f>
        <v>0</v>
      </c>
      <c r="K333" s="23">
        <f>IF(C333="","",IFERROR(INDEX(Services!$E$5:$E$64,MATCH(C333,Services!$B$5:$B$64,0)),""))</f>
        <v>0</v>
      </c>
      <c r="L333" s="21">
        <f>IF(B333="","",IF(F333&lt;&gt;"",F333,IFERROR(J333*1,0)))</f>
        <v>0</v>
      </c>
      <c r="M333" s="51">
        <f>IF(B333="","",IF(D333&lt;&gt;"",D333,IFERROR(INDEX(Services!$O$5:$O$64,MATCH(C333,Services!$B$5:$B$64,0)),"")))</f>
        <v>0</v>
      </c>
      <c r="N333" s="34">
        <f>IF(B333="","",IFERROR(INDEX(Services!$G$5:$G$64,MATCH(C333,Services!$B$5:$B$64,0)),0)*IF(E333="",1,IF(IFERROR(INDEX(Services!$D$5:$D$64,MATCH(C333,Services!$B$5:$B$64,0)),"")="Per hour",1,E333)))</f>
        <v>0</v>
      </c>
      <c r="O333" s="21">
        <f>IF(B333="","",ROUND(IF(E333="",1,E333)*L333,2))</f>
        <v>0</v>
      </c>
      <c r="P333" s="21">
        <f>IF(B333="","",ROUND(O333*(1-IF(G333="",0,G333)),2))</f>
        <v>0</v>
      </c>
      <c r="Q333" s="21">
        <f>IF(B333="","",ROUND(N333*CostPerHour+IF(E333="",1,E333)*IFERROR(INDEX(Services!$R$5:$R$64,MATCH(C333,Services!$B$5:$B$64,0)),0),2))</f>
        <v>0</v>
      </c>
      <c r="R333" s="38">
        <f>IF(OR(B333="",P333=0),"",(P333-Q333)/P333)</f>
        <v>0</v>
      </c>
      <c r="S333" s="31">
        <f>IF(OR(B333="",C333=""),"",COUNTIFS($B$5:B333,B333))</f>
        <v>0</v>
      </c>
      <c r="T333" s="23">
        <f>IF(S333="","",B333&amp;"|"&amp;S333)</f>
        <v>0</v>
      </c>
      <c r="U333" s="39">
        <f>IF(B333="","",IF(C333="","Add - pick a service",IF(E333="","Add - how many?",IF(L333=0,"Add - no price",IF(AND(R333&lt;&gt;"",R333&lt;MarginFloor),"Below - thin margin","OK")))))</f>
        <v>0</v>
      </c>
    </row>
    <row r="334" spans="1:21">
      <c r="A334" s="43">
        <f>IF(B334="","","QL-"&amp;TEXT(ROW()-4,"0000"))</f>
        <v>0</v>
      </c>
      <c r="J334" s="21">
        <f>IF(C334="","",IFERROR(INDEX(Services!$P$5:$P$64,MATCH(C334,Services!$B$5:$B$64,0)),"0"))</f>
        <v>0</v>
      </c>
      <c r="K334" s="23">
        <f>IF(C334="","",IFERROR(INDEX(Services!$E$5:$E$64,MATCH(C334,Services!$B$5:$B$64,0)),""))</f>
        <v>0</v>
      </c>
      <c r="L334" s="21">
        <f>IF(B334="","",IF(F334&lt;&gt;"",F334,IFERROR(J334*1,0)))</f>
        <v>0</v>
      </c>
      <c r="M334" s="51">
        <f>IF(B334="","",IF(D334&lt;&gt;"",D334,IFERROR(INDEX(Services!$O$5:$O$64,MATCH(C334,Services!$B$5:$B$64,0)),"")))</f>
        <v>0</v>
      </c>
      <c r="N334" s="34">
        <f>IF(B334="","",IFERROR(INDEX(Services!$G$5:$G$64,MATCH(C334,Services!$B$5:$B$64,0)),0)*IF(E334="",1,IF(IFERROR(INDEX(Services!$D$5:$D$64,MATCH(C334,Services!$B$5:$B$64,0)),"")="Per hour",1,E334)))</f>
        <v>0</v>
      </c>
      <c r="O334" s="21">
        <f>IF(B334="","",ROUND(IF(E334="",1,E334)*L334,2))</f>
        <v>0</v>
      </c>
      <c r="P334" s="21">
        <f>IF(B334="","",ROUND(O334*(1-IF(G334="",0,G334)),2))</f>
        <v>0</v>
      </c>
      <c r="Q334" s="21">
        <f>IF(B334="","",ROUND(N334*CostPerHour+IF(E334="",1,E334)*IFERROR(INDEX(Services!$R$5:$R$64,MATCH(C334,Services!$B$5:$B$64,0)),0),2))</f>
        <v>0</v>
      </c>
      <c r="R334" s="38">
        <f>IF(OR(B334="",P334=0),"",(P334-Q334)/P334)</f>
        <v>0</v>
      </c>
      <c r="S334" s="31">
        <f>IF(OR(B334="",C334=""),"",COUNTIFS($B$5:B334,B334))</f>
        <v>0</v>
      </c>
      <c r="T334" s="23">
        <f>IF(S334="","",B334&amp;"|"&amp;S334)</f>
        <v>0</v>
      </c>
      <c r="U334" s="39">
        <f>IF(B334="","",IF(C334="","Add - pick a service",IF(E334="","Add - how many?",IF(L334=0,"Add - no price",IF(AND(R334&lt;&gt;"",R334&lt;MarginFloor),"Below - thin margin","OK")))))</f>
        <v>0</v>
      </c>
    </row>
    <row r="335" spans="1:21">
      <c r="A335" s="43">
        <f>IF(B335="","","QL-"&amp;TEXT(ROW()-4,"0000"))</f>
        <v>0</v>
      </c>
      <c r="J335" s="21">
        <f>IF(C335="","",IFERROR(INDEX(Services!$P$5:$P$64,MATCH(C335,Services!$B$5:$B$64,0)),"0"))</f>
        <v>0</v>
      </c>
      <c r="K335" s="23">
        <f>IF(C335="","",IFERROR(INDEX(Services!$E$5:$E$64,MATCH(C335,Services!$B$5:$B$64,0)),""))</f>
        <v>0</v>
      </c>
      <c r="L335" s="21">
        <f>IF(B335="","",IF(F335&lt;&gt;"",F335,IFERROR(J335*1,0)))</f>
        <v>0</v>
      </c>
      <c r="M335" s="51">
        <f>IF(B335="","",IF(D335&lt;&gt;"",D335,IFERROR(INDEX(Services!$O$5:$O$64,MATCH(C335,Services!$B$5:$B$64,0)),"")))</f>
        <v>0</v>
      </c>
      <c r="N335" s="34">
        <f>IF(B335="","",IFERROR(INDEX(Services!$G$5:$G$64,MATCH(C335,Services!$B$5:$B$64,0)),0)*IF(E335="",1,IF(IFERROR(INDEX(Services!$D$5:$D$64,MATCH(C335,Services!$B$5:$B$64,0)),"")="Per hour",1,E335)))</f>
        <v>0</v>
      </c>
      <c r="O335" s="21">
        <f>IF(B335="","",ROUND(IF(E335="",1,E335)*L335,2))</f>
        <v>0</v>
      </c>
      <c r="P335" s="21">
        <f>IF(B335="","",ROUND(O335*(1-IF(G335="",0,G335)),2))</f>
        <v>0</v>
      </c>
      <c r="Q335" s="21">
        <f>IF(B335="","",ROUND(N335*CostPerHour+IF(E335="",1,E335)*IFERROR(INDEX(Services!$R$5:$R$64,MATCH(C335,Services!$B$5:$B$64,0)),0),2))</f>
        <v>0</v>
      </c>
      <c r="R335" s="38">
        <f>IF(OR(B335="",P335=0),"",(P335-Q335)/P335)</f>
        <v>0</v>
      </c>
      <c r="S335" s="31">
        <f>IF(OR(B335="",C335=""),"",COUNTIFS($B$5:B335,B335))</f>
        <v>0</v>
      </c>
      <c r="T335" s="23">
        <f>IF(S335="","",B335&amp;"|"&amp;S335)</f>
        <v>0</v>
      </c>
      <c r="U335" s="39">
        <f>IF(B335="","",IF(C335="","Add - pick a service",IF(E335="","Add - how many?",IF(L335=0,"Add - no price",IF(AND(R335&lt;&gt;"",R335&lt;MarginFloor),"Below - thin margin","OK")))))</f>
        <v>0</v>
      </c>
    </row>
    <row r="336" spans="1:21">
      <c r="A336" s="43">
        <f>IF(B336="","","QL-"&amp;TEXT(ROW()-4,"0000"))</f>
        <v>0</v>
      </c>
      <c r="J336" s="21">
        <f>IF(C336="","",IFERROR(INDEX(Services!$P$5:$P$64,MATCH(C336,Services!$B$5:$B$64,0)),"0"))</f>
        <v>0</v>
      </c>
      <c r="K336" s="23">
        <f>IF(C336="","",IFERROR(INDEX(Services!$E$5:$E$64,MATCH(C336,Services!$B$5:$B$64,0)),""))</f>
        <v>0</v>
      </c>
      <c r="L336" s="21">
        <f>IF(B336="","",IF(F336&lt;&gt;"",F336,IFERROR(J336*1,0)))</f>
        <v>0</v>
      </c>
      <c r="M336" s="51">
        <f>IF(B336="","",IF(D336&lt;&gt;"",D336,IFERROR(INDEX(Services!$O$5:$O$64,MATCH(C336,Services!$B$5:$B$64,0)),"")))</f>
        <v>0</v>
      </c>
      <c r="N336" s="34">
        <f>IF(B336="","",IFERROR(INDEX(Services!$G$5:$G$64,MATCH(C336,Services!$B$5:$B$64,0)),0)*IF(E336="",1,IF(IFERROR(INDEX(Services!$D$5:$D$64,MATCH(C336,Services!$B$5:$B$64,0)),"")="Per hour",1,E336)))</f>
        <v>0</v>
      </c>
      <c r="O336" s="21">
        <f>IF(B336="","",ROUND(IF(E336="",1,E336)*L336,2))</f>
        <v>0</v>
      </c>
      <c r="P336" s="21">
        <f>IF(B336="","",ROUND(O336*(1-IF(G336="",0,G336)),2))</f>
        <v>0</v>
      </c>
      <c r="Q336" s="21">
        <f>IF(B336="","",ROUND(N336*CostPerHour+IF(E336="",1,E336)*IFERROR(INDEX(Services!$R$5:$R$64,MATCH(C336,Services!$B$5:$B$64,0)),0),2))</f>
        <v>0</v>
      </c>
      <c r="R336" s="38">
        <f>IF(OR(B336="",P336=0),"",(P336-Q336)/P336)</f>
        <v>0</v>
      </c>
      <c r="S336" s="31">
        <f>IF(OR(B336="",C336=""),"",COUNTIFS($B$5:B336,B336))</f>
        <v>0</v>
      </c>
      <c r="T336" s="23">
        <f>IF(S336="","",B336&amp;"|"&amp;S336)</f>
        <v>0</v>
      </c>
      <c r="U336" s="39">
        <f>IF(B336="","",IF(C336="","Add - pick a service",IF(E336="","Add - how many?",IF(L336=0,"Add - no price",IF(AND(R336&lt;&gt;"",R336&lt;MarginFloor),"Below - thin margin","OK")))))</f>
        <v>0</v>
      </c>
    </row>
    <row r="337" spans="1:21">
      <c r="A337" s="43">
        <f>IF(B337="","","QL-"&amp;TEXT(ROW()-4,"0000"))</f>
        <v>0</v>
      </c>
      <c r="J337" s="21">
        <f>IF(C337="","",IFERROR(INDEX(Services!$P$5:$P$64,MATCH(C337,Services!$B$5:$B$64,0)),"0"))</f>
        <v>0</v>
      </c>
      <c r="K337" s="23">
        <f>IF(C337="","",IFERROR(INDEX(Services!$E$5:$E$64,MATCH(C337,Services!$B$5:$B$64,0)),""))</f>
        <v>0</v>
      </c>
      <c r="L337" s="21">
        <f>IF(B337="","",IF(F337&lt;&gt;"",F337,IFERROR(J337*1,0)))</f>
        <v>0</v>
      </c>
      <c r="M337" s="51">
        <f>IF(B337="","",IF(D337&lt;&gt;"",D337,IFERROR(INDEX(Services!$O$5:$O$64,MATCH(C337,Services!$B$5:$B$64,0)),"")))</f>
        <v>0</v>
      </c>
      <c r="N337" s="34">
        <f>IF(B337="","",IFERROR(INDEX(Services!$G$5:$G$64,MATCH(C337,Services!$B$5:$B$64,0)),0)*IF(E337="",1,IF(IFERROR(INDEX(Services!$D$5:$D$64,MATCH(C337,Services!$B$5:$B$64,0)),"")="Per hour",1,E337)))</f>
        <v>0</v>
      </c>
      <c r="O337" s="21">
        <f>IF(B337="","",ROUND(IF(E337="",1,E337)*L337,2))</f>
        <v>0</v>
      </c>
      <c r="P337" s="21">
        <f>IF(B337="","",ROUND(O337*(1-IF(G337="",0,G337)),2))</f>
        <v>0</v>
      </c>
      <c r="Q337" s="21">
        <f>IF(B337="","",ROUND(N337*CostPerHour+IF(E337="",1,E337)*IFERROR(INDEX(Services!$R$5:$R$64,MATCH(C337,Services!$B$5:$B$64,0)),0),2))</f>
        <v>0</v>
      </c>
      <c r="R337" s="38">
        <f>IF(OR(B337="",P337=0),"",(P337-Q337)/P337)</f>
        <v>0</v>
      </c>
      <c r="S337" s="31">
        <f>IF(OR(B337="",C337=""),"",COUNTIFS($B$5:B337,B337))</f>
        <v>0</v>
      </c>
      <c r="T337" s="23">
        <f>IF(S337="","",B337&amp;"|"&amp;S337)</f>
        <v>0</v>
      </c>
      <c r="U337" s="39">
        <f>IF(B337="","",IF(C337="","Add - pick a service",IF(E337="","Add - how many?",IF(L337=0,"Add - no price",IF(AND(R337&lt;&gt;"",R337&lt;MarginFloor),"Below - thin margin","OK")))))</f>
        <v>0</v>
      </c>
    </row>
    <row r="338" spans="1:21">
      <c r="A338" s="43">
        <f>IF(B338="","","QL-"&amp;TEXT(ROW()-4,"0000"))</f>
        <v>0</v>
      </c>
      <c r="J338" s="21">
        <f>IF(C338="","",IFERROR(INDEX(Services!$P$5:$P$64,MATCH(C338,Services!$B$5:$B$64,0)),"0"))</f>
        <v>0</v>
      </c>
      <c r="K338" s="23">
        <f>IF(C338="","",IFERROR(INDEX(Services!$E$5:$E$64,MATCH(C338,Services!$B$5:$B$64,0)),""))</f>
        <v>0</v>
      </c>
      <c r="L338" s="21">
        <f>IF(B338="","",IF(F338&lt;&gt;"",F338,IFERROR(J338*1,0)))</f>
        <v>0</v>
      </c>
      <c r="M338" s="51">
        <f>IF(B338="","",IF(D338&lt;&gt;"",D338,IFERROR(INDEX(Services!$O$5:$O$64,MATCH(C338,Services!$B$5:$B$64,0)),"")))</f>
        <v>0</v>
      </c>
      <c r="N338" s="34">
        <f>IF(B338="","",IFERROR(INDEX(Services!$G$5:$G$64,MATCH(C338,Services!$B$5:$B$64,0)),0)*IF(E338="",1,IF(IFERROR(INDEX(Services!$D$5:$D$64,MATCH(C338,Services!$B$5:$B$64,0)),"")="Per hour",1,E338)))</f>
        <v>0</v>
      </c>
      <c r="O338" s="21">
        <f>IF(B338="","",ROUND(IF(E338="",1,E338)*L338,2))</f>
        <v>0</v>
      </c>
      <c r="P338" s="21">
        <f>IF(B338="","",ROUND(O338*(1-IF(G338="",0,G338)),2))</f>
        <v>0</v>
      </c>
      <c r="Q338" s="21">
        <f>IF(B338="","",ROUND(N338*CostPerHour+IF(E338="",1,E338)*IFERROR(INDEX(Services!$R$5:$R$64,MATCH(C338,Services!$B$5:$B$64,0)),0),2))</f>
        <v>0</v>
      </c>
      <c r="R338" s="38">
        <f>IF(OR(B338="",P338=0),"",(P338-Q338)/P338)</f>
        <v>0</v>
      </c>
      <c r="S338" s="31">
        <f>IF(OR(B338="",C338=""),"",COUNTIFS($B$5:B338,B338))</f>
        <v>0</v>
      </c>
      <c r="T338" s="23">
        <f>IF(S338="","",B338&amp;"|"&amp;S338)</f>
        <v>0</v>
      </c>
      <c r="U338" s="39">
        <f>IF(B338="","",IF(C338="","Add - pick a service",IF(E338="","Add - how many?",IF(L338=0,"Add - no price",IF(AND(R338&lt;&gt;"",R338&lt;MarginFloor),"Below - thin margin","OK")))))</f>
        <v>0</v>
      </c>
    </row>
    <row r="339" spans="1:21">
      <c r="A339" s="43">
        <f>IF(B339="","","QL-"&amp;TEXT(ROW()-4,"0000"))</f>
        <v>0</v>
      </c>
      <c r="J339" s="21">
        <f>IF(C339="","",IFERROR(INDEX(Services!$P$5:$P$64,MATCH(C339,Services!$B$5:$B$64,0)),"0"))</f>
        <v>0</v>
      </c>
      <c r="K339" s="23">
        <f>IF(C339="","",IFERROR(INDEX(Services!$E$5:$E$64,MATCH(C339,Services!$B$5:$B$64,0)),""))</f>
        <v>0</v>
      </c>
      <c r="L339" s="21">
        <f>IF(B339="","",IF(F339&lt;&gt;"",F339,IFERROR(J339*1,0)))</f>
        <v>0</v>
      </c>
      <c r="M339" s="51">
        <f>IF(B339="","",IF(D339&lt;&gt;"",D339,IFERROR(INDEX(Services!$O$5:$O$64,MATCH(C339,Services!$B$5:$B$64,0)),"")))</f>
        <v>0</v>
      </c>
      <c r="N339" s="34">
        <f>IF(B339="","",IFERROR(INDEX(Services!$G$5:$G$64,MATCH(C339,Services!$B$5:$B$64,0)),0)*IF(E339="",1,IF(IFERROR(INDEX(Services!$D$5:$D$64,MATCH(C339,Services!$B$5:$B$64,0)),"")="Per hour",1,E339)))</f>
        <v>0</v>
      </c>
      <c r="O339" s="21">
        <f>IF(B339="","",ROUND(IF(E339="",1,E339)*L339,2))</f>
        <v>0</v>
      </c>
      <c r="P339" s="21">
        <f>IF(B339="","",ROUND(O339*(1-IF(G339="",0,G339)),2))</f>
        <v>0</v>
      </c>
      <c r="Q339" s="21">
        <f>IF(B339="","",ROUND(N339*CostPerHour+IF(E339="",1,E339)*IFERROR(INDEX(Services!$R$5:$R$64,MATCH(C339,Services!$B$5:$B$64,0)),0),2))</f>
        <v>0</v>
      </c>
      <c r="R339" s="38">
        <f>IF(OR(B339="",P339=0),"",(P339-Q339)/P339)</f>
        <v>0</v>
      </c>
      <c r="S339" s="31">
        <f>IF(OR(B339="",C339=""),"",COUNTIFS($B$5:B339,B339))</f>
        <v>0</v>
      </c>
      <c r="T339" s="23">
        <f>IF(S339="","",B339&amp;"|"&amp;S339)</f>
        <v>0</v>
      </c>
      <c r="U339" s="39">
        <f>IF(B339="","",IF(C339="","Add - pick a service",IF(E339="","Add - how many?",IF(L339=0,"Add - no price",IF(AND(R339&lt;&gt;"",R339&lt;MarginFloor),"Below - thin margin","OK")))))</f>
        <v>0</v>
      </c>
    </row>
    <row r="340" spans="1:21">
      <c r="A340" s="43">
        <f>IF(B340="","","QL-"&amp;TEXT(ROW()-4,"0000"))</f>
        <v>0</v>
      </c>
      <c r="J340" s="21">
        <f>IF(C340="","",IFERROR(INDEX(Services!$P$5:$P$64,MATCH(C340,Services!$B$5:$B$64,0)),"0"))</f>
        <v>0</v>
      </c>
      <c r="K340" s="23">
        <f>IF(C340="","",IFERROR(INDEX(Services!$E$5:$E$64,MATCH(C340,Services!$B$5:$B$64,0)),""))</f>
        <v>0</v>
      </c>
      <c r="L340" s="21">
        <f>IF(B340="","",IF(F340&lt;&gt;"",F340,IFERROR(J340*1,0)))</f>
        <v>0</v>
      </c>
      <c r="M340" s="51">
        <f>IF(B340="","",IF(D340&lt;&gt;"",D340,IFERROR(INDEX(Services!$O$5:$O$64,MATCH(C340,Services!$B$5:$B$64,0)),"")))</f>
        <v>0</v>
      </c>
      <c r="N340" s="34">
        <f>IF(B340="","",IFERROR(INDEX(Services!$G$5:$G$64,MATCH(C340,Services!$B$5:$B$64,0)),0)*IF(E340="",1,IF(IFERROR(INDEX(Services!$D$5:$D$64,MATCH(C340,Services!$B$5:$B$64,0)),"")="Per hour",1,E340)))</f>
        <v>0</v>
      </c>
      <c r="O340" s="21">
        <f>IF(B340="","",ROUND(IF(E340="",1,E340)*L340,2))</f>
        <v>0</v>
      </c>
      <c r="P340" s="21">
        <f>IF(B340="","",ROUND(O340*(1-IF(G340="",0,G340)),2))</f>
        <v>0</v>
      </c>
      <c r="Q340" s="21">
        <f>IF(B340="","",ROUND(N340*CostPerHour+IF(E340="",1,E340)*IFERROR(INDEX(Services!$R$5:$R$64,MATCH(C340,Services!$B$5:$B$64,0)),0),2))</f>
        <v>0</v>
      </c>
      <c r="R340" s="38">
        <f>IF(OR(B340="",P340=0),"",(P340-Q340)/P340)</f>
        <v>0</v>
      </c>
      <c r="S340" s="31">
        <f>IF(OR(B340="",C340=""),"",COUNTIFS($B$5:B340,B340))</f>
        <v>0</v>
      </c>
      <c r="T340" s="23">
        <f>IF(S340="","",B340&amp;"|"&amp;S340)</f>
        <v>0</v>
      </c>
      <c r="U340" s="39">
        <f>IF(B340="","",IF(C340="","Add - pick a service",IF(E340="","Add - how many?",IF(L340=0,"Add - no price",IF(AND(R340&lt;&gt;"",R340&lt;MarginFloor),"Below - thin margin","OK")))))</f>
        <v>0</v>
      </c>
    </row>
    <row r="341" spans="1:21">
      <c r="A341" s="43">
        <f>IF(B341="","","QL-"&amp;TEXT(ROW()-4,"0000"))</f>
        <v>0</v>
      </c>
      <c r="J341" s="21">
        <f>IF(C341="","",IFERROR(INDEX(Services!$P$5:$P$64,MATCH(C341,Services!$B$5:$B$64,0)),"0"))</f>
        <v>0</v>
      </c>
      <c r="K341" s="23">
        <f>IF(C341="","",IFERROR(INDEX(Services!$E$5:$E$64,MATCH(C341,Services!$B$5:$B$64,0)),""))</f>
        <v>0</v>
      </c>
      <c r="L341" s="21">
        <f>IF(B341="","",IF(F341&lt;&gt;"",F341,IFERROR(J341*1,0)))</f>
        <v>0</v>
      </c>
      <c r="M341" s="51">
        <f>IF(B341="","",IF(D341&lt;&gt;"",D341,IFERROR(INDEX(Services!$O$5:$O$64,MATCH(C341,Services!$B$5:$B$64,0)),"")))</f>
        <v>0</v>
      </c>
      <c r="N341" s="34">
        <f>IF(B341="","",IFERROR(INDEX(Services!$G$5:$G$64,MATCH(C341,Services!$B$5:$B$64,0)),0)*IF(E341="",1,IF(IFERROR(INDEX(Services!$D$5:$D$64,MATCH(C341,Services!$B$5:$B$64,0)),"")="Per hour",1,E341)))</f>
        <v>0</v>
      </c>
      <c r="O341" s="21">
        <f>IF(B341="","",ROUND(IF(E341="",1,E341)*L341,2))</f>
        <v>0</v>
      </c>
      <c r="P341" s="21">
        <f>IF(B341="","",ROUND(O341*(1-IF(G341="",0,G341)),2))</f>
        <v>0</v>
      </c>
      <c r="Q341" s="21">
        <f>IF(B341="","",ROUND(N341*CostPerHour+IF(E341="",1,E341)*IFERROR(INDEX(Services!$R$5:$R$64,MATCH(C341,Services!$B$5:$B$64,0)),0),2))</f>
        <v>0</v>
      </c>
      <c r="R341" s="38">
        <f>IF(OR(B341="",P341=0),"",(P341-Q341)/P341)</f>
        <v>0</v>
      </c>
      <c r="S341" s="31">
        <f>IF(OR(B341="",C341=""),"",COUNTIFS($B$5:B341,B341))</f>
        <v>0</v>
      </c>
      <c r="T341" s="23">
        <f>IF(S341="","",B341&amp;"|"&amp;S341)</f>
        <v>0</v>
      </c>
      <c r="U341" s="39">
        <f>IF(B341="","",IF(C341="","Add - pick a service",IF(E341="","Add - how many?",IF(L341=0,"Add - no price",IF(AND(R341&lt;&gt;"",R341&lt;MarginFloor),"Below - thin margin","OK")))))</f>
        <v>0</v>
      </c>
    </row>
    <row r="342" spans="1:21">
      <c r="A342" s="43">
        <f>IF(B342="","","QL-"&amp;TEXT(ROW()-4,"0000"))</f>
        <v>0</v>
      </c>
      <c r="J342" s="21">
        <f>IF(C342="","",IFERROR(INDEX(Services!$P$5:$P$64,MATCH(C342,Services!$B$5:$B$64,0)),"0"))</f>
        <v>0</v>
      </c>
      <c r="K342" s="23">
        <f>IF(C342="","",IFERROR(INDEX(Services!$E$5:$E$64,MATCH(C342,Services!$B$5:$B$64,0)),""))</f>
        <v>0</v>
      </c>
      <c r="L342" s="21">
        <f>IF(B342="","",IF(F342&lt;&gt;"",F342,IFERROR(J342*1,0)))</f>
        <v>0</v>
      </c>
      <c r="M342" s="51">
        <f>IF(B342="","",IF(D342&lt;&gt;"",D342,IFERROR(INDEX(Services!$O$5:$O$64,MATCH(C342,Services!$B$5:$B$64,0)),"")))</f>
        <v>0</v>
      </c>
      <c r="N342" s="34">
        <f>IF(B342="","",IFERROR(INDEX(Services!$G$5:$G$64,MATCH(C342,Services!$B$5:$B$64,0)),0)*IF(E342="",1,IF(IFERROR(INDEX(Services!$D$5:$D$64,MATCH(C342,Services!$B$5:$B$64,0)),"")="Per hour",1,E342)))</f>
        <v>0</v>
      </c>
      <c r="O342" s="21">
        <f>IF(B342="","",ROUND(IF(E342="",1,E342)*L342,2))</f>
        <v>0</v>
      </c>
      <c r="P342" s="21">
        <f>IF(B342="","",ROUND(O342*(1-IF(G342="",0,G342)),2))</f>
        <v>0</v>
      </c>
      <c r="Q342" s="21">
        <f>IF(B342="","",ROUND(N342*CostPerHour+IF(E342="",1,E342)*IFERROR(INDEX(Services!$R$5:$R$64,MATCH(C342,Services!$B$5:$B$64,0)),0),2))</f>
        <v>0</v>
      </c>
      <c r="R342" s="38">
        <f>IF(OR(B342="",P342=0),"",(P342-Q342)/P342)</f>
        <v>0</v>
      </c>
      <c r="S342" s="31">
        <f>IF(OR(B342="",C342=""),"",COUNTIFS($B$5:B342,B342))</f>
        <v>0</v>
      </c>
      <c r="T342" s="23">
        <f>IF(S342="","",B342&amp;"|"&amp;S342)</f>
        <v>0</v>
      </c>
      <c r="U342" s="39">
        <f>IF(B342="","",IF(C342="","Add - pick a service",IF(E342="","Add - how many?",IF(L342=0,"Add - no price",IF(AND(R342&lt;&gt;"",R342&lt;MarginFloor),"Below - thin margin","OK")))))</f>
        <v>0</v>
      </c>
    </row>
    <row r="343" spans="1:21">
      <c r="A343" s="43">
        <f>IF(B343="","","QL-"&amp;TEXT(ROW()-4,"0000"))</f>
        <v>0</v>
      </c>
      <c r="J343" s="21">
        <f>IF(C343="","",IFERROR(INDEX(Services!$P$5:$P$64,MATCH(C343,Services!$B$5:$B$64,0)),"0"))</f>
        <v>0</v>
      </c>
      <c r="K343" s="23">
        <f>IF(C343="","",IFERROR(INDEX(Services!$E$5:$E$64,MATCH(C343,Services!$B$5:$B$64,0)),""))</f>
        <v>0</v>
      </c>
      <c r="L343" s="21">
        <f>IF(B343="","",IF(F343&lt;&gt;"",F343,IFERROR(J343*1,0)))</f>
        <v>0</v>
      </c>
      <c r="M343" s="51">
        <f>IF(B343="","",IF(D343&lt;&gt;"",D343,IFERROR(INDEX(Services!$O$5:$O$64,MATCH(C343,Services!$B$5:$B$64,0)),"")))</f>
        <v>0</v>
      </c>
      <c r="N343" s="34">
        <f>IF(B343="","",IFERROR(INDEX(Services!$G$5:$G$64,MATCH(C343,Services!$B$5:$B$64,0)),0)*IF(E343="",1,IF(IFERROR(INDEX(Services!$D$5:$D$64,MATCH(C343,Services!$B$5:$B$64,0)),"")="Per hour",1,E343)))</f>
        <v>0</v>
      </c>
      <c r="O343" s="21">
        <f>IF(B343="","",ROUND(IF(E343="",1,E343)*L343,2))</f>
        <v>0</v>
      </c>
      <c r="P343" s="21">
        <f>IF(B343="","",ROUND(O343*(1-IF(G343="",0,G343)),2))</f>
        <v>0</v>
      </c>
      <c r="Q343" s="21">
        <f>IF(B343="","",ROUND(N343*CostPerHour+IF(E343="",1,E343)*IFERROR(INDEX(Services!$R$5:$R$64,MATCH(C343,Services!$B$5:$B$64,0)),0),2))</f>
        <v>0</v>
      </c>
      <c r="R343" s="38">
        <f>IF(OR(B343="",P343=0),"",(P343-Q343)/P343)</f>
        <v>0</v>
      </c>
      <c r="S343" s="31">
        <f>IF(OR(B343="",C343=""),"",COUNTIFS($B$5:B343,B343))</f>
        <v>0</v>
      </c>
      <c r="T343" s="23">
        <f>IF(S343="","",B343&amp;"|"&amp;S343)</f>
        <v>0</v>
      </c>
      <c r="U343" s="39">
        <f>IF(B343="","",IF(C343="","Add - pick a service",IF(E343="","Add - how many?",IF(L343=0,"Add - no price",IF(AND(R343&lt;&gt;"",R343&lt;MarginFloor),"Below - thin margin","OK")))))</f>
        <v>0</v>
      </c>
    </row>
    <row r="344" spans="1:21">
      <c r="A344" s="43">
        <f>IF(B344="","","QL-"&amp;TEXT(ROW()-4,"0000"))</f>
        <v>0</v>
      </c>
      <c r="J344" s="21">
        <f>IF(C344="","",IFERROR(INDEX(Services!$P$5:$P$64,MATCH(C344,Services!$B$5:$B$64,0)),"0"))</f>
        <v>0</v>
      </c>
      <c r="K344" s="23">
        <f>IF(C344="","",IFERROR(INDEX(Services!$E$5:$E$64,MATCH(C344,Services!$B$5:$B$64,0)),""))</f>
        <v>0</v>
      </c>
      <c r="L344" s="21">
        <f>IF(B344="","",IF(F344&lt;&gt;"",F344,IFERROR(J344*1,0)))</f>
        <v>0</v>
      </c>
      <c r="M344" s="51">
        <f>IF(B344="","",IF(D344&lt;&gt;"",D344,IFERROR(INDEX(Services!$O$5:$O$64,MATCH(C344,Services!$B$5:$B$64,0)),"")))</f>
        <v>0</v>
      </c>
      <c r="N344" s="34">
        <f>IF(B344="","",IFERROR(INDEX(Services!$G$5:$G$64,MATCH(C344,Services!$B$5:$B$64,0)),0)*IF(E344="",1,IF(IFERROR(INDEX(Services!$D$5:$D$64,MATCH(C344,Services!$B$5:$B$64,0)),"")="Per hour",1,E344)))</f>
        <v>0</v>
      </c>
      <c r="O344" s="21">
        <f>IF(B344="","",ROUND(IF(E344="",1,E344)*L344,2))</f>
        <v>0</v>
      </c>
      <c r="P344" s="21">
        <f>IF(B344="","",ROUND(O344*(1-IF(G344="",0,G344)),2))</f>
        <v>0</v>
      </c>
      <c r="Q344" s="21">
        <f>IF(B344="","",ROUND(N344*CostPerHour+IF(E344="",1,E344)*IFERROR(INDEX(Services!$R$5:$R$64,MATCH(C344,Services!$B$5:$B$64,0)),0),2))</f>
        <v>0</v>
      </c>
      <c r="R344" s="38">
        <f>IF(OR(B344="",P344=0),"",(P344-Q344)/P344)</f>
        <v>0</v>
      </c>
      <c r="S344" s="31">
        <f>IF(OR(B344="",C344=""),"",COUNTIFS($B$5:B344,B344))</f>
        <v>0</v>
      </c>
      <c r="T344" s="23">
        <f>IF(S344="","",B344&amp;"|"&amp;S344)</f>
        <v>0</v>
      </c>
      <c r="U344" s="39">
        <f>IF(B344="","",IF(C344="","Add - pick a service",IF(E344="","Add - how many?",IF(L344=0,"Add - no price",IF(AND(R344&lt;&gt;"",R344&lt;MarginFloor),"Below - thin margin","OK")))))</f>
        <v>0</v>
      </c>
    </row>
    <row r="345" spans="1:21">
      <c r="A345" s="43">
        <f>IF(B345="","","QL-"&amp;TEXT(ROW()-4,"0000"))</f>
        <v>0</v>
      </c>
      <c r="J345" s="21">
        <f>IF(C345="","",IFERROR(INDEX(Services!$P$5:$P$64,MATCH(C345,Services!$B$5:$B$64,0)),"0"))</f>
        <v>0</v>
      </c>
      <c r="K345" s="23">
        <f>IF(C345="","",IFERROR(INDEX(Services!$E$5:$E$64,MATCH(C345,Services!$B$5:$B$64,0)),""))</f>
        <v>0</v>
      </c>
      <c r="L345" s="21">
        <f>IF(B345="","",IF(F345&lt;&gt;"",F345,IFERROR(J345*1,0)))</f>
        <v>0</v>
      </c>
      <c r="M345" s="51">
        <f>IF(B345="","",IF(D345&lt;&gt;"",D345,IFERROR(INDEX(Services!$O$5:$O$64,MATCH(C345,Services!$B$5:$B$64,0)),"")))</f>
        <v>0</v>
      </c>
      <c r="N345" s="34">
        <f>IF(B345="","",IFERROR(INDEX(Services!$G$5:$G$64,MATCH(C345,Services!$B$5:$B$64,0)),0)*IF(E345="",1,IF(IFERROR(INDEX(Services!$D$5:$D$64,MATCH(C345,Services!$B$5:$B$64,0)),"")="Per hour",1,E345)))</f>
        <v>0</v>
      </c>
      <c r="O345" s="21">
        <f>IF(B345="","",ROUND(IF(E345="",1,E345)*L345,2))</f>
        <v>0</v>
      </c>
      <c r="P345" s="21">
        <f>IF(B345="","",ROUND(O345*(1-IF(G345="",0,G345)),2))</f>
        <v>0</v>
      </c>
      <c r="Q345" s="21">
        <f>IF(B345="","",ROUND(N345*CostPerHour+IF(E345="",1,E345)*IFERROR(INDEX(Services!$R$5:$R$64,MATCH(C345,Services!$B$5:$B$64,0)),0),2))</f>
        <v>0</v>
      </c>
      <c r="R345" s="38">
        <f>IF(OR(B345="",P345=0),"",(P345-Q345)/P345)</f>
        <v>0</v>
      </c>
      <c r="S345" s="31">
        <f>IF(OR(B345="",C345=""),"",COUNTIFS($B$5:B345,B345))</f>
        <v>0</v>
      </c>
      <c r="T345" s="23">
        <f>IF(S345="","",B345&amp;"|"&amp;S345)</f>
        <v>0</v>
      </c>
      <c r="U345" s="39">
        <f>IF(B345="","",IF(C345="","Add - pick a service",IF(E345="","Add - how many?",IF(L345=0,"Add - no price",IF(AND(R345&lt;&gt;"",R345&lt;MarginFloor),"Below - thin margin","OK")))))</f>
        <v>0</v>
      </c>
    </row>
    <row r="346" spans="1:21">
      <c r="A346" s="43">
        <f>IF(B346="","","QL-"&amp;TEXT(ROW()-4,"0000"))</f>
        <v>0</v>
      </c>
      <c r="J346" s="21">
        <f>IF(C346="","",IFERROR(INDEX(Services!$P$5:$P$64,MATCH(C346,Services!$B$5:$B$64,0)),"0"))</f>
        <v>0</v>
      </c>
      <c r="K346" s="23">
        <f>IF(C346="","",IFERROR(INDEX(Services!$E$5:$E$64,MATCH(C346,Services!$B$5:$B$64,0)),""))</f>
        <v>0</v>
      </c>
      <c r="L346" s="21">
        <f>IF(B346="","",IF(F346&lt;&gt;"",F346,IFERROR(J346*1,0)))</f>
        <v>0</v>
      </c>
      <c r="M346" s="51">
        <f>IF(B346="","",IF(D346&lt;&gt;"",D346,IFERROR(INDEX(Services!$O$5:$O$64,MATCH(C346,Services!$B$5:$B$64,0)),"")))</f>
        <v>0</v>
      </c>
      <c r="N346" s="34">
        <f>IF(B346="","",IFERROR(INDEX(Services!$G$5:$G$64,MATCH(C346,Services!$B$5:$B$64,0)),0)*IF(E346="",1,IF(IFERROR(INDEX(Services!$D$5:$D$64,MATCH(C346,Services!$B$5:$B$64,0)),"")="Per hour",1,E346)))</f>
        <v>0</v>
      </c>
      <c r="O346" s="21">
        <f>IF(B346="","",ROUND(IF(E346="",1,E346)*L346,2))</f>
        <v>0</v>
      </c>
      <c r="P346" s="21">
        <f>IF(B346="","",ROUND(O346*(1-IF(G346="",0,G346)),2))</f>
        <v>0</v>
      </c>
      <c r="Q346" s="21">
        <f>IF(B346="","",ROUND(N346*CostPerHour+IF(E346="",1,E346)*IFERROR(INDEX(Services!$R$5:$R$64,MATCH(C346,Services!$B$5:$B$64,0)),0),2))</f>
        <v>0</v>
      </c>
      <c r="R346" s="38">
        <f>IF(OR(B346="",P346=0),"",(P346-Q346)/P346)</f>
        <v>0</v>
      </c>
      <c r="S346" s="31">
        <f>IF(OR(B346="",C346=""),"",COUNTIFS($B$5:B346,B346))</f>
        <v>0</v>
      </c>
      <c r="T346" s="23">
        <f>IF(S346="","",B346&amp;"|"&amp;S346)</f>
        <v>0</v>
      </c>
      <c r="U346" s="39">
        <f>IF(B346="","",IF(C346="","Add - pick a service",IF(E346="","Add - how many?",IF(L346=0,"Add - no price",IF(AND(R346&lt;&gt;"",R346&lt;MarginFloor),"Below - thin margin","OK")))))</f>
        <v>0</v>
      </c>
    </row>
    <row r="347" spans="1:21">
      <c r="A347" s="43">
        <f>IF(B347="","","QL-"&amp;TEXT(ROW()-4,"0000"))</f>
        <v>0</v>
      </c>
      <c r="J347" s="21">
        <f>IF(C347="","",IFERROR(INDEX(Services!$P$5:$P$64,MATCH(C347,Services!$B$5:$B$64,0)),"0"))</f>
        <v>0</v>
      </c>
      <c r="K347" s="23">
        <f>IF(C347="","",IFERROR(INDEX(Services!$E$5:$E$64,MATCH(C347,Services!$B$5:$B$64,0)),""))</f>
        <v>0</v>
      </c>
      <c r="L347" s="21">
        <f>IF(B347="","",IF(F347&lt;&gt;"",F347,IFERROR(J347*1,0)))</f>
        <v>0</v>
      </c>
      <c r="M347" s="51">
        <f>IF(B347="","",IF(D347&lt;&gt;"",D347,IFERROR(INDEX(Services!$O$5:$O$64,MATCH(C347,Services!$B$5:$B$64,0)),"")))</f>
        <v>0</v>
      </c>
      <c r="N347" s="34">
        <f>IF(B347="","",IFERROR(INDEX(Services!$G$5:$G$64,MATCH(C347,Services!$B$5:$B$64,0)),0)*IF(E347="",1,IF(IFERROR(INDEX(Services!$D$5:$D$64,MATCH(C347,Services!$B$5:$B$64,0)),"")="Per hour",1,E347)))</f>
        <v>0</v>
      </c>
      <c r="O347" s="21">
        <f>IF(B347="","",ROUND(IF(E347="",1,E347)*L347,2))</f>
        <v>0</v>
      </c>
      <c r="P347" s="21">
        <f>IF(B347="","",ROUND(O347*(1-IF(G347="",0,G347)),2))</f>
        <v>0</v>
      </c>
      <c r="Q347" s="21">
        <f>IF(B347="","",ROUND(N347*CostPerHour+IF(E347="",1,E347)*IFERROR(INDEX(Services!$R$5:$R$64,MATCH(C347,Services!$B$5:$B$64,0)),0),2))</f>
        <v>0</v>
      </c>
      <c r="R347" s="38">
        <f>IF(OR(B347="",P347=0),"",(P347-Q347)/P347)</f>
        <v>0</v>
      </c>
      <c r="S347" s="31">
        <f>IF(OR(B347="",C347=""),"",COUNTIFS($B$5:B347,B347))</f>
        <v>0</v>
      </c>
      <c r="T347" s="23">
        <f>IF(S347="","",B347&amp;"|"&amp;S347)</f>
        <v>0</v>
      </c>
      <c r="U347" s="39">
        <f>IF(B347="","",IF(C347="","Add - pick a service",IF(E347="","Add - how many?",IF(L347=0,"Add - no price",IF(AND(R347&lt;&gt;"",R347&lt;MarginFloor),"Below - thin margin","OK")))))</f>
        <v>0</v>
      </c>
    </row>
    <row r="348" spans="1:21">
      <c r="A348" s="43">
        <f>IF(B348="","","QL-"&amp;TEXT(ROW()-4,"0000"))</f>
        <v>0</v>
      </c>
      <c r="J348" s="21">
        <f>IF(C348="","",IFERROR(INDEX(Services!$P$5:$P$64,MATCH(C348,Services!$B$5:$B$64,0)),"0"))</f>
        <v>0</v>
      </c>
      <c r="K348" s="23">
        <f>IF(C348="","",IFERROR(INDEX(Services!$E$5:$E$64,MATCH(C348,Services!$B$5:$B$64,0)),""))</f>
        <v>0</v>
      </c>
      <c r="L348" s="21">
        <f>IF(B348="","",IF(F348&lt;&gt;"",F348,IFERROR(J348*1,0)))</f>
        <v>0</v>
      </c>
      <c r="M348" s="51">
        <f>IF(B348="","",IF(D348&lt;&gt;"",D348,IFERROR(INDEX(Services!$O$5:$O$64,MATCH(C348,Services!$B$5:$B$64,0)),"")))</f>
        <v>0</v>
      </c>
      <c r="N348" s="34">
        <f>IF(B348="","",IFERROR(INDEX(Services!$G$5:$G$64,MATCH(C348,Services!$B$5:$B$64,0)),0)*IF(E348="",1,IF(IFERROR(INDEX(Services!$D$5:$D$64,MATCH(C348,Services!$B$5:$B$64,0)),"")="Per hour",1,E348)))</f>
        <v>0</v>
      </c>
      <c r="O348" s="21">
        <f>IF(B348="","",ROUND(IF(E348="",1,E348)*L348,2))</f>
        <v>0</v>
      </c>
      <c r="P348" s="21">
        <f>IF(B348="","",ROUND(O348*(1-IF(G348="",0,G348)),2))</f>
        <v>0</v>
      </c>
      <c r="Q348" s="21">
        <f>IF(B348="","",ROUND(N348*CostPerHour+IF(E348="",1,E348)*IFERROR(INDEX(Services!$R$5:$R$64,MATCH(C348,Services!$B$5:$B$64,0)),0),2))</f>
        <v>0</v>
      </c>
      <c r="R348" s="38">
        <f>IF(OR(B348="",P348=0),"",(P348-Q348)/P348)</f>
        <v>0</v>
      </c>
      <c r="S348" s="31">
        <f>IF(OR(B348="",C348=""),"",COUNTIFS($B$5:B348,B348))</f>
        <v>0</v>
      </c>
      <c r="T348" s="23">
        <f>IF(S348="","",B348&amp;"|"&amp;S348)</f>
        <v>0</v>
      </c>
      <c r="U348" s="39">
        <f>IF(B348="","",IF(C348="","Add - pick a service",IF(E348="","Add - how many?",IF(L348=0,"Add - no price",IF(AND(R348&lt;&gt;"",R348&lt;MarginFloor),"Below - thin margin","OK")))))</f>
        <v>0</v>
      </c>
    </row>
    <row r="349" spans="1:21">
      <c r="A349" s="43">
        <f>IF(B349="","","QL-"&amp;TEXT(ROW()-4,"0000"))</f>
        <v>0</v>
      </c>
      <c r="J349" s="21">
        <f>IF(C349="","",IFERROR(INDEX(Services!$P$5:$P$64,MATCH(C349,Services!$B$5:$B$64,0)),"0"))</f>
        <v>0</v>
      </c>
      <c r="K349" s="23">
        <f>IF(C349="","",IFERROR(INDEX(Services!$E$5:$E$64,MATCH(C349,Services!$B$5:$B$64,0)),""))</f>
        <v>0</v>
      </c>
      <c r="L349" s="21">
        <f>IF(B349="","",IF(F349&lt;&gt;"",F349,IFERROR(J349*1,0)))</f>
        <v>0</v>
      </c>
      <c r="M349" s="51">
        <f>IF(B349="","",IF(D349&lt;&gt;"",D349,IFERROR(INDEX(Services!$O$5:$O$64,MATCH(C349,Services!$B$5:$B$64,0)),"")))</f>
        <v>0</v>
      </c>
      <c r="N349" s="34">
        <f>IF(B349="","",IFERROR(INDEX(Services!$G$5:$G$64,MATCH(C349,Services!$B$5:$B$64,0)),0)*IF(E349="",1,IF(IFERROR(INDEX(Services!$D$5:$D$64,MATCH(C349,Services!$B$5:$B$64,0)),"")="Per hour",1,E349)))</f>
        <v>0</v>
      </c>
      <c r="O349" s="21">
        <f>IF(B349="","",ROUND(IF(E349="",1,E349)*L349,2))</f>
        <v>0</v>
      </c>
      <c r="P349" s="21">
        <f>IF(B349="","",ROUND(O349*(1-IF(G349="",0,G349)),2))</f>
        <v>0</v>
      </c>
      <c r="Q349" s="21">
        <f>IF(B349="","",ROUND(N349*CostPerHour+IF(E349="",1,E349)*IFERROR(INDEX(Services!$R$5:$R$64,MATCH(C349,Services!$B$5:$B$64,0)),0),2))</f>
        <v>0</v>
      </c>
      <c r="R349" s="38">
        <f>IF(OR(B349="",P349=0),"",(P349-Q349)/P349)</f>
        <v>0</v>
      </c>
      <c r="S349" s="31">
        <f>IF(OR(B349="",C349=""),"",COUNTIFS($B$5:B349,B349))</f>
        <v>0</v>
      </c>
      <c r="T349" s="23">
        <f>IF(S349="","",B349&amp;"|"&amp;S349)</f>
        <v>0</v>
      </c>
      <c r="U349" s="39">
        <f>IF(B349="","",IF(C349="","Add - pick a service",IF(E349="","Add - how many?",IF(L349=0,"Add - no price",IF(AND(R349&lt;&gt;"",R349&lt;MarginFloor),"Below - thin margin","OK")))))</f>
        <v>0</v>
      </c>
    </row>
    <row r="350" spans="1:21">
      <c r="A350" s="43">
        <f>IF(B350="","","QL-"&amp;TEXT(ROW()-4,"0000"))</f>
        <v>0</v>
      </c>
      <c r="J350" s="21">
        <f>IF(C350="","",IFERROR(INDEX(Services!$P$5:$P$64,MATCH(C350,Services!$B$5:$B$64,0)),"0"))</f>
        <v>0</v>
      </c>
      <c r="K350" s="23">
        <f>IF(C350="","",IFERROR(INDEX(Services!$E$5:$E$64,MATCH(C350,Services!$B$5:$B$64,0)),""))</f>
        <v>0</v>
      </c>
      <c r="L350" s="21">
        <f>IF(B350="","",IF(F350&lt;&gt;"",F350,IFERROR(J350*1,0)))</f>
        <v>0</v>
      </c>
      <c r="M350" s="51">
        <f>IF(B350="","",IF(D350&lt;&gt;"",D350,IFERROR(INDEX(Services!$O$5:$O$64,MATCH(C350,Services!$B$5:$B$64,0)),"")))</f>
        <v>0</v>
      </c>
      <c r="N350" s="34">
        <f>IF(B350="","",IFERROR(INDEX(Services!$G$5:$G$64,MATCH(C350,Services!$B$5:$B$64,0)),0)*IF(E350="",1,IF(IFERROR(INDEX(Services!$D$5:$D$64,MATCH(C350,Services!$B$5:$B$64,0)),"")="Per hour",1,E350)))</f>
        <v>0</v>
      </c>
      <c r="O350" s="21">
        <f>IF(B350="","",ROUND(IF(E350="",1,E350)*L350,2))</f>
        <v>0</v>
      </c>
      <c r="P350" s="21">
        <f>IF(B350="","",ROUND(O350*(1-IF(G350="",0,G350)),2))</f>
        <v>0</v>
      </c>
      <c r="Q350" s="21">
        <f>IF(B350="","",ROUND(N350*CostPerHour+IF(E350="",1,E350)*IFERROR(INDEX(Services!$R$5:$R$64,MATCH(C350,Services!$B$5:$B$64,0)),0),2))</f>
        <v>0</v>
      </c>
      <c r="R350" s="38">
        <f>IF(OR(B350="",P350=0),"",(P350-Q350)/P350)</f>
        <v>0</v>
      </c>
      <c r="S350" s="31">
        <f>IF(OR(B350="",C350=""),"",COUNTIFS($B$5:B350,B350))</f>
        <v>0</v>
      </c>
      <c r="T350" s="23">
        <f>IF(S350="","",B350&amp;"|"&amp;S350)</f>
        <v>0</v>
      </c>
      <c r="U350" s="39">
        <f>IF(B350="","",IF(C350="","Add - pick a service",IF(E350="","Add - how many?",IF(L350=0,"Add - no price",IF(AND(R350&lt;&gt;"",R350&lt;MarginFloor),"Below - thin margin","OK")))))</f>
        <v>0</v>
      </c>
    </row>
    <row r="351" spans="1:21">
      <c r="A351" s="43">
        <f>IF(B351="","","QL-"&amp;TEXT(ROW()-4,"0000"))</f>
        <v>0</v>
      </c>
      <c r="J351" s="21">
        <f>IF(C351="","",IFERROR(INDEX(Services!$P$5:$P$64,MATCH(C351,Services!$B$5:$B$64,0)),"0"))</f>
        <v>0</v>
      </c>
      <c r="K351" s="23">
        <f>IF(C351="","",IFERROR(INDEX(Services!$E$5:$E$64,MATCH(C351,Services!$B$5:$B$64,0)),""))</f>
        <v>0</v>
      </c>
      <c r="L351" s="21">
        <f>IF(B351="","",IF(F351&lt;&gt;"",F351,IFERROR(J351*1,0)))</f>
        <v>0</v>
      </c>
      <c r="M351" s="51">
        <f>IF(B351="","",IF(D351&lt;&gt;"",D351,IFERROR(INDEX(Services!$O$5:$O$64,MATCH(C351,Services!$B$5:$B$64,0)),"")))</f>
        <v>0</v>
      </c>
      <c r="N351" s="34">
        <f>IF(B351="","",IFERROR(INDEX(Services!$G$5:$G$64,MATCH(C351,Services!$B$5:$B$64,0)),0)*IF(E351="",1,IF(IFERROR(INDEX(Services!$D$5:$D$64,MATCH(C351,Services!$B$5:$B$64,0)),"")="Per hour",1,E351)))</f>
        <v>0</v>
      </c>
      <c r="O351" s="21">
        <f>IF(B351="","",ROUND(IF(E351="",1,E351)*L351,2))</f>
        <v>0</v>
      </c>
      <c r="P351" s="21">
        <f>IF(B351="","",ROUND(O351*(1-IF(G351="",0,G351)),2))</f>
        <v>0</v>
      </c>
      <c r="Q351" s="21">
        <f>IF(B351="","",ROUND(N351*CostPerHour+IF(E351="",1,E351)*IFERROR(INDEX(Services!$R$5:$R$64,MATCH(C351,Services!$B$5:$B$64,0)),0),2))</f>
        <v>0</v>
      </c>
      <c r="R351" s="38">
        <f>IF(OR(B351="",P351=0),"",(P351-Q351)/P351)</f>
        <v>0</v>
      </c>
      <c r="S351" s="31">
        <f>IF(OR(B351="",C351=""),"",COUNTIFS($B$5:B351,B351))</f>
        <v>0</v>
      </c>
      <c r="T351" s="23">
        <f>IF(S351="","",B351&amp;"|"&amp;S351)</f>
        <v>0</v>
      </c>
      <c r="U351" s="39">
        <f>IF(B351="","",IF(C351="","Add - pick a service",IF(E351="","Add - how many?",IF(L351=0,"Add - no price",IF(AND(R351&lt;&gt;"",R351&lt;MarginFloor),"Below - thin margin","OK")))))</f>
        <v>0</v>
      </c>
    </row>
    <row r="352" spans="1:21">
      <c r="A352" s="43">
        <f>IF(B352="","","QL-"&amp;TEXT(ROW()-4,"0000"))</f>
        <v>0</v>
      </c>
      <c r="J352" s="21">
        <f>IF(C352="","",IFERROR(INDEX(Services!$P$5:$P$64,MATCH(C352,Services!$B$5:$B$64,0)),"0"))</f>
        <v>0</v>
      </c>
      <c r="K352" s="23">
        <f>IF(C352="","",IFERROR(INDEX(Services!$E$5:$E$64,MATCH(C352,Services!$B$5:$B$64,0)),""))</f>
        <v>0</v>
      </c>
      <c r="L352" s="21">
        <f>IF(B352="","",IF(F352&lt;&gt;"",F352,IFERROR(J352*1,0)))</f>
        <v>0</v>
      </c>
      <c r="M352" s="51">
        <f>IF(B352="","",IF(D352&lt;&gt;"",D352,IFERROR(INDEX(Services!$O$5:$O$64,MATCH(C352,Services!$B$5:$B$64,0)),"")))</f>
        <v>0</v>
      </c>
      <c r="N352" s="34">
        <f>IF(B352="","",IFERROR(INDEX(Services!$G$5:$G$64,MATCH(C352,Services!$B$5:$B$64,0)),0)*IF(E352="",1,IF(IFERROR(INDEX(Services!$D$5:$D$64,MATCH(C352,Services!$B$5:$B$64,0)),"")="Per hour",1,E352)))</f>
        <v>0</v>
      </c>
      <c r="O352" s="21">
        <f>IF(B352="","",ROUND(IF(E352="",1,E352)*L352,2))</f>
        <v>0</v>
      </c>
      <c r="P352" s="21">
        <f>IF(B352="","",ROUND(O352*(1-IF(G352="",0,G352)),2))</f>
        <v>0</v>
      </c>
      <c r="Q352" s="21">
        <f>IF(B352="","",ROUND(N352*CostPerHour+IF(E352="",1,E352)*IFERROR(INDEX(Services!$R$5:$R$64,MATCH(C352,Services!$B$5:$B$64,0)),0),2))</f>
        <v>0</v>
      </c>
      <c r="R352" s="38">
        <f>IF(OR(B352="",P352=0),"",(P352-Q352)/P352)</f>
        <v>0</v>
      </c>
      <c r="S352" s="31">
        <f>IF(OR(B352="",C352=""),"",COUNTIFS($B$5:B352,B352))</f>
        <v>0</v>
      </c>
      <c r="T352" s="23">
        <f>IF(S352="","",B352&amp;"|"&amp;S352)</f>
        <v>0</v>
      </c>
      <c r="U352" s="39">
        <f>IF(B352="","",IF(C352="","Add - pick a service",IF(E352="","Add - how many?",IF(L352=0,"Add - no price",IF(AND(R352&lt;&gt;"",R352&lt;MarginFloor),"Below - thin margin","OK")))))</f>
        <v>0</v>
      </c>
    </row>
    <row r="353" spans="1:21">
      <c r="A353" s="43">
        <f>IF(B353="","","QL-"&amp;TEXT(ROW()-4,"0000"))</f>
        <v>0</v>
      </c>
      <c r="J353" s="21">
        <f>IF(C353="","",IFERROR(INDEX(Services!$P$5:$P$64,MATCH(C353,Services!$B$5:$B$64,0)),"0"))</f>
        <v>0</v>
      </c>
      <c r="K353" s="23">
        <f>IF(C353="","",IFERROR(INDEX(Services!$E$5:$E$64,MATCH(C353,Services!$B$5:$B$64,0)),""))</f>
        <v>0</v>
      </c>
      <c r="L353" s="21">
        <f>IF(B353="","",IF(F353&lt;&gt;"",F353,IFERROR(J353*1,0)))</f>
        <v>0</v>
      </c>
      <c r="M353" s="51">
        <f>IF(B353="","",IF(D353&lt;&gt;"",D353,IFERROR(INDEX(Services!$O$5:$O$64,MATCH(C353,Services!$B$5:$B$64,0)),"")))</f>
        <v>0</v>
      </c>
      <c r="N353" s="34">
        <f>IF(B353="","",IFERROR(INDEX(Services!$G$5:$G$64,MATCH(C353,Services!$B$5:$B$64,0)),0)*IF(E353="",1,IF(IFERROR(INDEX(Services!$D$5:$D$64,MATCH(C353,Services!$B$5:$B$64,0)),"")="Per hour",1,E353)))</f>
        <v>0</v>
      </c>
      <c r="O353" s="21">
        <f>IF(B353="","",ROUND(IF(E353="",1,E353)*L353,2))</f>
        <v>0</v>
      </c>
      <c r="P353" s="21">
        <f>IF(B353="","",ROUND(O353*(1-IF(G353="",0,G353)),2))</f>
        <v>0</v>
      </c>
      <c r="Q353" s="21">
        <f>IF(B353="","",ROUND(N353*CostPerHour+IF(E353="",1,E353)*IFERROR(INDEX(Services!$R$5:$R$64,MATCH(C353,Services!$B$5:$B$64,0)),0),2))</f>
        <v>0</v>
      </c>
      <c r="R353" s="38">
        <f>IF(OR(B353="",P353=0),"",(P353-Q353)/P353)</f>
        <v>0</v>
      </c>
      <c r="S353" s="31">
        <f>IF(OR(B353="",C353=""),"",COUNTIFS($B$5:B353,B353))</f>
        <v>0</v>
      </c>
      <c r="T353" s="23">
        <f>IF(S353="","",B353&amp;"|"&amp;S353)</f>
        <v>0</v>
      </c>
      <c r="U353" s="39">
        <f>IF(B353="","",IF(C353="","Add - pick a service",IF(E353="","Add - how many?",IF(L353=0,"Add - no price",IF(AND(R353&lt;&gt;"",R353&lt;MarginFloor),"Below - thin margin","OK")))))</f>
        <v>0</v>
      </c>
    </row>
    <row r="354" spans="1:21">
      <c r="A354" s="43">
        <f>IF(B354="","","QL-"&amp;TEXT(ROW()-4,"0000"))</f>
        <v>0</v>
      </c>
      <c r="J354" s="21">
        <f>IF(C354="","",IFERROR(INDEX(Services!$P$5:$P$64,MATCH(C354,Services!$B$5:$B$64,0)),"0"))</f>
        <v>0</v>
      </c>
      <c r="K354" s="23">
        <f>IF(C354="","",IFERROR(INDEX(Services!$E$5:$E$64,MATCH(C354,Services!$B$5:$B$64,0)),""))</f>
        <v>0</v>
      </c>
      <c r="L354" s="21">
        <f>IF(B354="","",IF(F354&lt;&gt;"",F354,IFERROR(J354*1,0)))</f>
        <v>0</v>
      </c>
      <c r="M354" s="51">
        <f>IF(B354="","",IF(D354&lt;&gt;"",D354,IFERROR(INDEX(Services!$O$5:$O$64,MATCH(C354,Services!$B$5:$B$64,0)),"")))</f>
        <v>0</v>
      </c>
      <c r="N354" s="34">
        <f>IF(B354="","",IFERROR(INDEX(Services!$G$5:$G$64,MATCH(C354,Services!$B$5:$B$64,0)),0)*IF(E354="",1,IF(IFERROR(INDEX(Services!$D$5:$D$64,MATCH(C354,Services!$B$5:$B$64,0)),"")="Per hour",1,E354)))</f>
        <v>0</v>
      </c>
      <c r="O354" s="21">
        <f>IF(B354="","",ROUND(IF(E354="",1,E354)*L354,2))</f>
        <v>0</v>
      </c>
      <c r="P354" s="21">
        <f>IF(B354="","",ROUND(O354*(1-IF(G354="",0,G354)),2))</f>
        <v>0</v>
      </c>
      <c r="Q354" s="21">
        <f>IF(B354="","",ROUND(N354*CostPerHour+IF(E354="",1,E354)*IFERROR(INDEX(Services!$R$5:$R$64,MATCH(C354,Services!$B$5:$B$64,0)),0),2))</f>
        <v>0</v>
      </c>
      <c r="R354" s="38">
        <f>IF(OR(B354="",P354=0),"",(P354-Q354)/P354)</f>
        <v>0</v>
      </c>
      <c r="S354" s="31">
        <f>IF(OR(B354="",C354=""),"",COUNTIFS($B$5:B354,B354))</f>
        <v>0</v>
      </c>
      <c r="T354" s="23">
        <f>IF(S354="","",B354&amp;"|"&amp;S354)</f>
        <v>0</v>
      </c>
      <c r="U354" s="39">
        <f>IF(B354="","",IF(C354="","Add - pick a service",IF(E354="","Add - how many?",IF(L354=0,"Add - no price",IF(AND(R354&lt;&gt;"",R354&lt;MarginFloor),"Below - thin margin","OK")))))</f>
        <v>0</v>
      </c>
    </row>
    <row r="355" spans="1:21">
      <c r="A355" s="43">
        <f>IF(B355="","","QL-"&amp;TEXT(ROW()-4,"0000"))</f>
        <v>0</v>
      </c>
      <c r="J355" s="21">
        <f>IF(C355="","",IFERROR(INDEX(Services!$P$5:$P$64,MATCH(C355,Services!$B$5:$B$64,0)),"0"))</f>
        <v>0</v>
      </c>
      <c r="K355" s="23">
        <f>IF(C355="","",IFERROR(INDEX(Services!$E$5:$E$64,MATCH(C355,Services!$B$5:$B$64,0)),""))</f>
        <v>0</v>
      </c>
      <c r="L355" s="21">
        <f>IF(B355="","",IF(F355&lt;&gt;"",F355,IFERROR(J355*1,0)))</f>
        <v>0</v>
      </c>
      <c r="M355" s="51">
        <f>IF(B355="","",IF(D355&lt;&gt;"",D355,IFERROR(INDEX(Services!$O$5:$O$64,MATCH(C355,Services!$B$5:$B$64,0)),"")))</f>
        <v>0</v>
      </c>
      <c r="N355" s="34">
        <f>IF(B355="","",IFERROR(INDEX(Services!$G$5:$G$64,MATCH(C355,Services!$B$5:$B$64,0)),0)*IF(E355="",1,IF(IFERROR(INDEX(Services!$D$5:$D$64,MATCH(C355,Services!$B$5:$B$64,0)),"")="Per hour",1,E355)))</f>
        <v>0</v>
      </c>
      <c r="O355" s="21">
        <f>IF(B355="","",ROUND(IF(E355="",1,E355)*L355,2))</f>
        <v>0</v>
      </c>
      <c r="P355" s="21">
        <f>IF(B355="","",ROUND(O355*(1-IF(G355="",0,G355)),2))</f>
        <v>0</v>
      </c>
      <c r="Q355" s="21">
        <f>IF(B355="","",ROUND(N355*CostPerHour+IF(E355="",1,E355)*IFERROR(INDEX(Services!$R$5:$R$64,MATCH(C355,Services!$B$5:$B$64,0)),0),2))</f>
        <v>0</v>
      </c>
      <c r="R355" s="38">
        <f>IF(OR(B355="",P355=0),"",(P355-Q355)/P355)</f>
        <v>0</v>
      </c>
      <c r="S355" s="31">
        <f>IF(OR(B355="",C355=""),"",COUNTIFS($B$5:B355,B355))</f>
        <v>0</v>
      </c>
      <c r="T355" s="23">
        <f>IF(S355="","",B355&amp;"|"&amp;S355)</f>
        <v>0</v>
      </c>
      <c r="U355" s="39">
        <f>IF(B355="","",IF(C355="","Add - pick a service",IF(E355="","Add - how many?",IF(L355=0,"Add - no price",IF(AND(R355&lt;&gt;"",R355&lt;MarginFloor),"Below - thin margin","OK")))))</f>
        <v>0</v>
      </c>
    </row>
    <row r="356" spans="1:21">
      <c r="A356" s="43">
        <f>IF(B356="","","QL-"&amp;TEXT(ROW()-4,"0000"))</f>
        <v>0</v>
      </c>
      <c r="J356" s="21">
        <f>IF(C356="","",IFERROR(INDEX(Services!$P$5:$P$64,MATCH(C356,Services!$B$5:$B$64,0)),"0"))</f>
        <v>0</v>
      </c>
      <c r="K356" s="23">
        <f>IF(C356="","",IFERROR(INDEX(Services!$E$5:$E$64,MATCH(C356,Services!$B$5:$B$64,0)),""))</f>
        <v>0</v>
      </c>
      <c r="L356" s="21">
        <f>IF(B356="","",IF(F356&lt;&gt;"",F356,IFERROR(J356*1,0)))</f>
        <v>0</v>
      </c>
      <c r="M356" s="51">
        <f>IF(B356="","",IF(D356&lt;&gt;"",D356,IFERROR(INDEX(Services!$O$5:$O$64,MATCH(C356,Services!$B$5:$B$64,0)),"")))</f>
        <v>0</v>
      </c>
      <c r="N356" s="34">
        <f>IF(B356="","",IFERROR(INDEX(Services!$G$5:$G$64,MATCH(C356,Services!$B$5:$B$64,0)),0)*IF(E356="",1,IF(IFERROR(INDEX(Services!$D$5:$D$64,MATCH(C356,Services!$B$5:$B$64,0)),"")="Per hour",1,E356)))</f>
        <v>0</v>
      </c>
      <c r="O356" s="21">
        <f>IF(B356="","",ROUND(IF(E356="",1,E356)*L356,2))</f>
        <v>0</v>
      </c>
      <c r="P356" s="21">
        <f>IF(B356="","",ROUND(O356*(1-IF(G356="",0,G356)),2))</f>
        <v>0</v>
      </c>
      <c r="Q356" s="21">
        <f>IF(B356="","",ROUND(N356*CostPerHour+IF(E356="",1,E356)*IFERROR(INDEX(Services!$R$5:$R$64,MATCH(C356,Services!$B$5:$B$64,0)),0),2))</f>
        <v>0</v>
      </c>
      <c r="R356" s="38">
        <f>IF(OR(B356="",P356=0),"",(P356-Q356)/P356)</f>
        <v>0</v>
      </c>
      <c r="S356" s="31">
        <f>IF(OR(B356="",C356=""),"",COUNTIFS($B$5:B356,B356))</f>
        <v>0</v>
      </c>
      <c r="T356" s="23">
        <f>IF(S356="","",B356&amp;"|"&amp;S356)</f>
        <v>0</v>
      </c>
      <c r="U356" s="39">
        <f>IF(B356="","",IF(C356="","Add - pick a service",IF(E356="","Add - how many?",IF(L356=0,"Add - no price",IF(AND(R356&lt;&gt;"",R356&lt;MarginFloor),"Below - thin margin","OK")))))</f>
        <v>0</v>
      </c>
    </row>
    <row r="357" spans="1:21">
      <c r="A357" s="43">
        <f>IF(B357="","","QL-"&amp;TEXT(ROW()-4,"0000"))</f>
        <v>0</v>
      </c>
      <c r="J357" s="21">
        <f>IF(C357="","",IFERROR(INDEX(Services!$P$5:$P$64,MATCH(C357,Services!$B$5:$B$64,0)),"0"))</f>
        <v>0</v>
      </c>
      <c r="K357" s="23">
        <f>IF(C357="","",IFERROR(INDEX(Services!$E$5:$E$64,MATCH(C357,Services!$B$5:$B$64,0)),""))</f>
        <v>0</v>
      </c>
      <c r="L357" s="21">
        <f>IF(B357="","",IF(F357&lt;&gt;"",F357,IFERROR(J357*1,0)))</f>
        <v>0</v>
      </c>
      <c r="M357" s="51">
        <f>IF(B357="","",IF(D357&lt;&gt;"",D357,IFERROR(INDEX(Services!$O$5:$O$64,MATCH(C357,Services!$B$5:$B$64,0)),"")))</f>
        <v>0</v>
      </c>
      <c r="N357" s="34">
        <f>IF(B357="","",IFERROR(INDEX(Services!$G$5:$G$64,MATCH(C357,Services!$B$5:$B$64,0)),0)*IF(E357="",1,IF(IFERROR(INDEX(Services!$D$5:$D$64,MATCH(C357,Services!$B$5:$B$64,0)),"")="Per hour",1,E357)))</f>
        <v>0</v>
      </c>
      <c r="O357" s="21">
        <f>IF(B357="","",ROUND(IF(E357="",1,E357)*L357,2))</f>
        <v>0</v>
      </c>
      <c r="P357" s="21">
        <f>IF(B357="","",ROUND(O357*(1-IF(G357="",0,G357)),2))</f>
        <v>0</v>
      </c>
      <c r="Q357" s="21">
        <f>IF(B357="","",ROUND(N357*CostPerHour+IF(E357="",1,E357)*IFERROR(INDEX(Services!$R$5:$R$64,MATCH(C357,Services!$B$5:$B$64,0)),0),2))</f>
        <v>0</v>
      </c>
      <c r="R357" s="38">
        <f>IF(OR(B357="",P357=0),"",(P357-Q357)/P357)</f>
        <v>0</v>
      </c>
      <c r="S357" s="31">
        <f>IF(OR(B357="",C357=""),"",COUNTIFS($B$5:B357,B357))</f>
        <v>0</v>
      </c>
      <c r="T357" s="23">
        <f>IF(S357="","",B357&amp;"|"&amp;S357)</f>
        <v>0</v>
      </c>
      <c r="U357" s="39">
        <f>IF(B357="","",IF(C357="","Add - pick a service",IF(E357="","Add - how many?",IF(L357=0,"Add - no price",IF(AND(R357&lt;&gt;"",R357&lt;MarginFloor),"Below - thin margin","OK")))))</f>
        <v>0</v>
      </c>
    </row>
    <row r="358" spans="1:21">
      <c r="A358" s="43">
        <f>IF(B358="","","QL-"&amp;TEXT(ROW()-4,"0000"))</f>
        <v>0</v>
      </c>
      <c r="J358" s="21">
        <f>IF(C358="","",IFERROR(INDEX(Services!$P$5:$P$64,MATCH(C358,Services!$B$5:$B$64,0)),"0"))</f>
        <v>0</v>
      </c>
      <c r="K358" s="23">
        <f>IF(C358="","",IFERROR(INDEX(Services!$E$5:$E$64,MATCH(C358,Services!$B$5:$B$64,0)),""))</f>
        <v>0</v>
      </c>
      <c r="L358" s="21">
        <f>IF(B358="","",IF(F358&lt;&gt;"",F358,IFERROR(J358*1,0)))</f>
        <v>0</v>
      </c>
      <c r="M358" s="51">
        <f>IF(B358="","",IF(D358&lt;&gt;"",D358,IFERROR(INDEX(Services!$O$5:$O$64,MATCH(C358,Services!$B$5:$B$64,0)),"")))</f>
        <v>0</v>
      </c>
      <c r="N358" s="34">
        <f>IF(B358="","",IFERROR(INDEX(Services!$G$5:$G$64,MATCH(C358,Services!$B$5:$B$64,0)),0)*IF(E358="",1,IF(IFERROR(INDEX(Services!$D$5:$D$64,MATCH(C358,Services!$B$5:$B$64,0)),"")="Per hour",1,E358)))</f>
        <v>0</v>
      </c>
      <c r="O358" s="21">
        <f>IF(B358="","",ROUND(IF(E358="",1,E358)*L358,2))</f>
        <v>0</v>
      </c>
      <c r="P358" s="21">
        <f>IF(B358="","",ROUND(O358*(1-IF(G358="",0,G358)),2))</f>
        <v>0</v>
      </c>
      <c r="Q358" s="21">
        <f>IF(B358="","",ROUND(N358*CostPerHour+IF(E358="",1,E358)*IFERROR(INDEX(Services!$R$5:$R$64,MATCH(C358,Services!$B$5:$B$64,0)),0),2))</f>
        <v>0</v>
      </c>
      <c r="R358" s="38">
        <f>IF(OR(B358="",P358=0),"",(P358-Q358)/P358)</f>
        <v>0</v>
      </c>
      <c r="S358" s="31">
        <f>IF(OR(B358="",C358=""),"",COUNTIFS($B$5:B358,B358))</f>
        <v>0</v>
      </c>
      <c r="T358" s="23">
        <f>IF(S358="","",B358&amp;"|"&amp;S358)</f>
        <v>0</v>
      </c>
      <c r="U358" s="39">
        <f>IF(B358="","",IF(C358="","Add - pick a service",IF(E358="","Add - how many?",IF(L358=0,"Add - no price",IF(AND(R358&lt;&gt;"",R358&lt;MarginFloor),"Below - thin margin","OK")))))</f>
        <v>0</v>
      </c>
    </row>
    <row r="359" spans="1:21">
      <c r="A359" s="43">
        <f>IF(B359="","","QL-"&amp;TEXT(ROW()-4,"0000"))</f>
        <v>0</v>
      </c>
      <c r="J359" s="21">
        <f>IF(C359="","",IFERROR(INDEX(Services!$P$5:$P$64,MATCH(C359,Services!$B$5:$B$64,0)),"0"))</f>
        <v>0</v>
      </c>
      <c r="K359" s="23">
        <f>IF(C359="","",IFERROR(INDEX(Services!$E$5:$E$64,MATCH(C359,Services!$B$5:$B$64,0)),""))</f>
        <v>0</v>
      </c>
      <c r="L359" s="21">
        <f>IF(B359="","",IF(F359&lt;&gt;"",F359,IFERROR(J359*1,0)))</f>
        <v>0</v>
      </c>
      <c r="M359" s="51">
        <f>IF(B359="","",IF(D359&lt;&gt;"",D359,IFERROR(INDEX(Services!$O$5:$O$64,MATCH(C359,Services!$B$5:$B$64,0)),"")))</f>
        <v>0</v>
      </c>
      <c r="N359" s="34">
        <f>IF(B359="","",IFERROR(INDEX(Services!$G$5:$G$64,MATCH(C359,Services!$B$5:$B$64,0)),0)*IF(E359="",1,IF(IFERROR(INDEX(Services!$D$5:$D$64,MATCH(C359,Services!$B$5:$B$64,0)),"")="Per hour",1,E359)))</f>
        <v>0</v>
      </c>
      <c r="O359" s="21">
        <f>IF(B359="","",ROUND(IF(E359="",1,E359)*L359,2))</f>
        <v>0</v>
      </c>
      <c r="P359" s="21">
        <f>IF(B359="","",ROUND(O359*(1-IF(G359="",0,G359)),2))</f>
        <v>0</v>
      </c>
      <c r="Q359" s="21">
        <f>IF(B359="","",ROUND(N359*CostPerHour+IF(E359="",1,E359)*IFERROR(INDEX(Services!$R$5:$R$64,MATCH(C359,Services!$B$5:$B$64,0)),0),2))</f>
        <v>0</v>
      </c>
      <c r="R359" s="38">
        <f>IF(OR(B359="",P359=0),"",(P359-Q359)/P359)</f>
        <v>0</v>
      </c>
      <c r="S359" s="31">
        <f>IF(OR(B359="",C359=""),"",COUNTIFS($B$5:B359,B359))</f>
        <v>0</v>
      </c>
      <c r="T359" s="23">
        <f>IF(S359="","",B359&amp;"|"&amp;S359)</f>
        <v>0</v>
      </c>
      <c r="U359" s="39">
        <f>IF(B359="","",IF(C359="","Add - pick a service",IF(E359="","Add - how many?",IF(L359=0,"Add - no price",IF(AND(R359&lt;&gt;"",R359&lt;MarginFloor),"Below - thin margin","OK")))))</f>
        <v>0</v>
      </c>
    </row>
    <row r="360" spans="1:21">
      <c r="A360" s="43">
        <f>IF(B360="","","QL-"&amp;TEXT(ROW()-4,"0000"))</f>
        <v>0</v>
      </c>
      <c r="J360" s="21">
        <f>IF(C360="","",IFERROR(INDEX(Services!$P$5:$P$64,MATCH(C360,Services!$B$5:$B$64,0)),"0"))</f>
        <v>0</v>
      </c>
      <c r="K360" s="23">
        <f>IF(C360="","",IFERROR(INDEX(Services!$E$5:$E$64,MATCH(C360,Services!$B$5:$B$64,0)),""))</f>
        <v>0</v>
      </c>
      <c r="L360" s="21">
        <f>IF(B360="","",IF(F360&lt;&gt;"",F360,IFERROR(J360*1,0)))</f>
        <v>0</v>
      </c>
      <c r="M360" s="51">
        <f>IF(B360="","",IF(D360&lt;&gt;"",D360,IFERROR(INDEX(Services!$O$5:$O$64,MATCH(C360,Services!$B$5:$B$64,0)),"")))</f>
        <v>0</v>
      </c>
      <c r="N360" s="34">
        <f>IF(B360="","",IFERROR(INDEX(Services!$G$5:$G$64,MATCH(C360,Services!$B$5:$B$64,0)),0)*IF(E360="",1,IF(IFERROR(INDEX(Services!$D$5:$D$64,MATCH(C360,Services!$B$5:$B$64,0)),"")="Per hour",1,E360)))</f>
        <v>0</v>
      </c>
      <c r="O360" s="21">
        <f>IF(B360="","",ROUND(IF(E360="",1,E360)*L360,2))</f>
        <v>0</v>
      </c>
      <c r="P360" s="21">
        <f>IF(B360="","",ROUND(O360*(1-IF(G360="",0,G360)),2))</f>
        <v>0</v>
      </c>
      <c r="Q360" s="21">
        <f>IF(B360="","",ROUND(N360*CostPerHour+IF(E360="",1,E360)*IFERROR(INDEX(Services!$R$5:$R$64,MATCH(C360,Services!$B$5:$B$64,0)),0),2))</f>
        <v>0</v>
      </c>
      <c r="R360" s="38">
        <f>IF(OR(B360="",P360=0),"",(P360-Q360)/P360)</f>
        <v>0</v>
      </c>
      <c r="S360" s="31">
        <f>IF(OR(B360="",C360=""),"",COUNTIFS($B$5:B360,B360))</f>
        <v>0</v>
      </c>
      <c r="T360" s="23">
        <f>IF(S360="","",B360&amp;"|"&amp;S360)</f>
        <v>0</v>
      </c>
      <c r="U360" s="39">
        <f>IF(B360="","",IF(C360="","Add - pick a service",IF(E360="","Add - how many?",IF(L360=0,"Add - no price",IF(AND(R360&lt;&gt;"",R360&lt;MarginFloor),"Below - thin margin","OK")))))</f>
        <v>0</v>
      </c>
    </row>
    <row r="361" spans="1:21">
      <c r="A361" s="43">
        <f>IF(B361="","","QL-"&amp;TEXT(ROW()-4,"0000"))</f>
        <v>0</v>
      </c>
      <c r="J361" s="21">
        <f>IF(C361="","",IFERROR(INDEX(Services!$P$5:$P$64,MATCH(C361,Services!$B$5:$B$64,0)),"0"))</f>
        <v>0</v>
      </c>
      <c r="K361" s="23">
        <f>IF(C361="","",IFERROR(INDEX(Services!$E$5:$E$64,MATCH(C361,Services!$B$5:$B$64,0)),""))</f>
        <v>0</v>
      </c>
      <c r="L361" s="21">
        <f>IF(B361="","",IF(F361&lt;&gt;"",F361,IFERROR(J361*1,0)))</f>
        <v>0</v>
      </c>
      <c r="M361" s="51">
        <f>IF(B361="","",IF(D361&lt;&gt;"",D361,IFERROR(INDEX(Services!$O$5:$O$64,MATCH(C361,Services!$B$5:$B$64,0)),"")))</f>
        <v>0</v>
      </c>
      <c r="N361" s="34">
        <f>IF(B361="","",IFERROR(INDEX(Services!$G$5:$G$64,MATCH(C361,Services!$B$5:$B$64,0)),0)*IF(E361="",1,IF(IFERROR(INDEX(Services!$D$5:$D$64,MATCH(C361,Services!$B$5:$B$64,0)),"")="Per hour",1,E361)))</f>
        <v>0</v>
      </c>
      <c r="O361" s="21">
        <f>IF(B361="","",ROUND(IF(E361="",1,E361)*L361,2))</f>
        <v>0</v>
      </c>
      <c r="P361" s="21">
        <f>IF(B361="","",ROUND(O361*(1-IF(G361="",0,G361)),2))</f>
        <v>0</v>
      </c>
      <c r="Q361" s="21">
        <f>IF(B361="","",ROUND(N361*CostPerHour+IF(E361="",1,E361)*IFERROR(INDEX(Services!$R$5:$R$64,MATCH(C361,Services!$B$5:$B$64,0)),0),2))</f>
        <v>0</v>
      </c>
      <c r="R361" s="38">
        <f>IF(OR(B361="",P361=0),"",(P361-Q361)/P361)</f>
        <v>0</v>
      </c>
      <c r="S361" s="31">
        <f>IF(OR(B361="",C361=""),"",COUNTIFS($B$5:B361,B361))</f>
        <v>0</v>
      </c>
      <c r="T361" s="23">
        <f>IF(S361="","",B361&amp;"|"&amp;S361)</f>
        <v>0</v>
      </c>
      <c r="U361" s="39">
        <f>IF(B361="","",IF(C361="","Add - pick a service",IF(E361="","Add - how many?",IF(L361=0,"Add - no price",IF(AND(R361&lt;&gt;"",R361&lt;MarginFloor),"Below - thin margin","OK")))))</f>
        <v>0</v>
      </c>
    </row>
    <row r="362" spans="1:21">
      <c r="A362" s="43">
        <f>IF(B362="","","QL-"&amp;TEXT(ROW()-4,"0000"))</f>
        <v>0</v>
      </c>
      <c r="J362" s="21">
        <f>IF(C362="","",IFERROR(INDEX(Services!$P$5:$P$64,MATCH(C362,Services!$B$5:$B$64,0)),"0"))</f>
        <v>0</v>
      </c>
      <c r="K362" s="23">
        <f>IF(C362="","",IFERROR(INDEX(Services!$E$5:$E$64,MATCH(C362,Services!$B$5:$B$64,0)),""))</f>
        <v>0</v>
      </c>
      <c r="L362" s="21">
        <f>IF(B362="","",IF(F362&lt;&gt;"",F362,IFERROR(J362*1,0)))</f>
        <v>0</v>
      </c>
      <c r="M362" s="51">
        <f>IF(B362="","",IF(D362&lt;&gt;"",D362,IFERROR(INDEX(Services!$O$5:$O$64,MATCH(C362,Services!$B$5:$B$64,0)),"")))</f>
        <v>0</v>
      </c>
      <c r="N362" s="34">
        <f>IF(B362="","",IFERROR(INDEX(Services!$G$5:$G$64,MATCH(C362,Services!$B$5:$B$64,0)),0)*IF(E362="",1,IF(IFERROR(INDEX(Services!$D$5:$D$64,MATCH(C362,Services!$B$5:$B$64,0)),"")="Per hour",1,E362)))</f>
        <v>0</v>
      </c>
      <c r="O362" s="21">
        <f>IF(B362="","",ROUND(IF(E362="",1,E362)*L362,2))</f>
        <v>0</v>
      </c>
      <c r="P362" s="21">
        <f>IF(B362="","",ROUND(O362*(1-IF(G362="",0,G362)),2))</f>
        <v>0</v>
      </c>
      <c r="Q362" s="21">
        <f>IF(B362="","",ROUND(N362*CostPerHour+IF(E362="",1,E362)*IFERROR(INDEX(Services!$R$5:$R$64,MATCH(C362,Services!$B$5:$B$64,0)),0),2))</f>
        <v>0</v>
      </c>
      <c r="R362" s="38">
        <f>IF(OR(B362="",P362=0),"",(P362-Q362)/P362)</f>
        <v>0</v>
      </c>
      <c r="S362" s="31">
        <f>IF(OR(B362="",C362=""),"",COUNTIFS($B$5:B362,B362))</f>
        <v>0</v>
      </c>
      <c r="T362" s="23">
        <f>IF(S362="","",B362&amp;"|"&amp;S362)</f>
        <v>0</v>
      </c>
      <c r="U362" s="39">
        <f>IF(B362="","",IF(C362="","Add - pick a service",IF(E362="","Add - how many?",IF(L362=0,"Add - no price",IF(AND(R362&lt;&gt;"",R362&lt;MarginFloor),"Below - thin margin","OK")))))</f>
        <v>0</v>
      </c>
    </row>
    <row r="363" spans="1:21">
      <c r="A363" s="43">
        <f>IF(B363="","","QL-"&amp;TEXT(ROW()-4,"0000"))</f>
        <v>0</v>
      </c>
      <c r="J363" s="21">
        <f>IF(C363="","",IFERROR(INDEX(Services!$P$5:$P$64,MATCH(C363,Services!$B$5:$B$64,0)),"0"))</f>
        <v>0</v>
      </c>
      <c r="K363" s="23">
        <f>IF(C363="","",IFERROR(INDEX(Services!$E$5:$E$64,MATCH(C363,Services!$B$5:$B$64,0)),""))</f>
        <v>0</v>
      </c>
      <c r="L363" s="21">
        <f>IF(B363="","",IF(F363&lt;&gt;"",F363,IFERROR(J363*1,0)))</f>
        <v>0</v>
      </c>
      <c r="M363" s="51">
        <f>IF(B363="","",IF(D363&lt;&gt;"",D363,IFERROR(INDEX(Services!$O$5:$O$64,MATCH(C363,Services!$B$5:$B$64,0)),"")))</f>
        <v>0</v>
      </c>
      <c r="N363" s="34">
        <f>IF(B363="","",IFERROR(INDEX(Services!$G$5:$G$64,MATCH(C363,Services!$B$5:$B$64,0)),0)*IF(E363="",1,IF(IFERROR(INDEX(Services!$D$5:$D$64,MATCH(C363,Services!$B$5:$B$64,0)),"")="Per hour",1,E363)))</f>
        <v>0</v>
      </c>
      <c r="O363" s="21">
        <f>IF(B363="","",ROUND(IF(E363="",1,E363)*L363,2))</f>
        <v>0</v>
      </c>
      <c r="P363" s="21">
        <f>IF(B363="","",ROUND(O363*(1-IF(G363="",0,G363)),2))</f>
        <v>0</v>
      </c>
      <c r="Q363" s="21">
        <f>IF(B363="","",ROUND(N363*CostPerHour+IF(E363="",1,E363)*IFERROR(INDEX(Services!$R$5:$R$64,MATCH(C363,Services!$B$5:$B$64,0)),0),2))</f>
        <v>0</v>
      </c>
      <c r="R363" s="38">
        <f>IF(OR(B363="",P363=0),"",(P363-Q363)/P363)</f>
        <v>0</v>
      </c>
      <c r="S363" s="31">
        <f>IF(OR(B363="",C363=""),"",COUNTIFS($B$5:B363,B363))</f>
        <v>0</v>
      </c>
      <c r="T363" s="23">
        <f>IF(S363="","",B363&amp;"|"&amp;S363)</f>
        <v>0</v>
      </c>
      <c r="U363" s="39">
        <f>IF(B363="","",IF(C363="","Add - pick a service",IF(E363="","Add - how many?",IF(L363=0,"Add - no price",IF(AND(R363&lt;&gt;"",R363&lt;MarginFloor),"Below - thin margin","OK")))))</f>
        <v>0</v>
      </c>
    </row>
    <row r="364" spans="1:21">
      <c r="A364" s="43">
        <f>IF(B364="","","QL-"&amp;TEXT(ROW()-4,"0000"))</f>
        <v>0</v>
      </c>
      <c r="J364" s="21">
        <f>IF(C364="","",IFERROR(INDEX(Services!$P$5:$P$64,MATCH(C364,Services!$B$5:$B$64,0)),"0"))</f>
        <v>0</v>
      </c>
      <c r="K364" s="23">
        <f>IF(C364="","",IFERROR(INDEX(Services!$E$5:$E$64,MATCH(C364,Services!$B$5:$B$64,0)),""))</f>
        <v>0</v>
      </c>
      <c r="L364" s="21">
        <f>IF(B364="","",IF(F364&lt;&gt;"",F364,IFERROR(J364*1,0)))</f>
        <v>0</v>
      </c>
      <c r="M364" s="51">
        <f>IF(B364="","",IF(D364&lt;&gt;"",D364,IFERROR(INDEX(Services!$O$5:$O$64,MATCH(C364,Services!$B$5:$B$64,0)),"")))</f>
        <v>0</v>
      </c>
      <c r="N364" s="34">
        <f>IF(B364="","",IFERROR(INDEX(Services!$G$5:$G$64,MATCH(C364,Services!$B$5:$B$64,0)),0)*IF(E364="",1,IF(IFERROR(INDEX(Services!$D$5:$D$64,MATCH(C364,Services!$B$5:$B$64,0)),"")="Per hour",1,E364)))</f>
        <v>0</v>
      </c>
      <c r="O364" s="21">
        <f>IF(B364="","",ROUND(IF(E364="",1,E364)*L364,2))</f>
        <v>0</v>
      </c>
      <c r="P364" s="21">
        <f>IF(B364="","",ROUND(O364*(1-IF(G364="",0,G364)),2))</f>
        <v>0</v>
      </c>
      <c r="Q364" s="21">
        <f>IF(B364="","",ROUND(N364*CostPerHour+IF(E364="",1,E364)*IFERROR(INDEX(Services!$R$5:$R$64,MATCH(C364,Services!$B$5:$B$64,0)),0),2))</f>
        <v>0</v>
      </c>
      <c r="R364" s="38">
        <f>IF(OR(B364="",P364=0),"",(P364-Q364)/P364)</f>
        <v>0</v>
      </c>
      <c r="S364" s="31">
        <f>IF(OR(B364="",C364=""),"",COUNTIFS($B$5:B364,B364))</f>
        <v>0</v>
      </c>
      <c r="T364" s="23">
        <f>IF(S364="","",B364&amp;"|"&amp;S364)</f>
        <v>0</v>
      </c>
      <c r="U364" s="39">
        <f>IF(B364="","",IF(C364="","Add - pick a service",IF(E364="","Add - how many?",IF(L364=0,"Add - no price",IF(AND(R364&lt;&gt;"",R364&lt;MarginFloor),"Below - thin margin","OK")))))</f>
        <v>0</v>
      </c>
    </row>
    <row r="365" spans="1:21">
      <c r="A365" s="43">
        <f>IF(B365="","","QL-"&amp;TEXT(ROW()-4,"0000"))</f>
        <v>0</v>
      </c>
      <c r="J365" s="21">
        <f>IF(C365="","",IFERROR(INDEX(Services!$P$5:$P$64,MATCH(C365,Services!$B$5:$B$64,0)),"0"))</f>
        <v>0</v>
      </c>
      <c r="K365" s="23">
        <f>IF(C365="","",IFERROR(INDEX(Services!$E$5:$E$64,MATCH(C365,Services!$B$5:$B$64,0)),""))</f>
        <v>0</v>
      </c>
      <c r="L365" s="21">
        <f>IF(B365="","",IF(F365&lt;&gt;"",F365,IFERROR(J365*1,0)))</f>
        <v>0</v>
      </c>
      <c r="M365" s="51">
        <f>IF(B365="","",IF(D365&lt;&gt;"",D365,IFERROR(INDEX(Services!$O$5:$O$64,MATCH(C365,Services!$B$5:$B$64,0)),"")))</f>
        <v>0</v>
      </c>
      <c r="N365" s="34">
        <f>IF(B365="","",IFERROR(INDEX(Services!$G$5:$G$64,MATCH(C365,Services!$B$5:$B$64,0)),0)*IF(E365="",1,IF(IFERROR(INDEX(Services!$D$5:$D$64,MATCH(C365,Services!$B$5:$B$64,0)),"")="Per hour",1,E365)))</f>
        <v>0</v>
      </c>
      <c r="O365" s="21">
        <f>IF(B365="","",ROUND(IF(E365="",1,E365)*L365,2))</f>
        <v>0</v>
      </c>
      <c r="P365" s="21">
        <f>IF(B365="","",ROUND(O365*(1-IF(G365="",0,G365)),2))</f>
        <v>0</v>
      </c>
      <c r="Q365" s="21">
        <f>IF(B365="","",ROUND(N365*CostPerHour+IF(E365="",1,E365)*IFERROR(INDEX(Services!$R$5:$R$64,MATCH(C365,Services!$B$5:$B$64,0)),0),2))</f>
        <v>0</v>
      </c>
      <c r="R365" s="38">
        <f>IF(OR(B365="",P365=0),"",(P365-Q365)/P365)</f>
        <v>0</v>
      </c>
      <c r="S365" s="31">
        <f>IF(OR(B365="",C365=""),"",COUNTIFS($B$5:B365,B365))</f>
        <v>0</v>
      </c>
      <c r="T365" s="23">
        <f>IF(S365="","",B365&amp;"|"&amp;S365)</f>
        <v>0</v>
      </c>
      <c r="U365" s="39">
        <f>IF(B365="","",IF(C365="","Add - pick a service",IF(E365="","Add - how many?",IF(L365=0,"Add - no price",IF(AND(R365&lt;&gt;"",R365&lt;MarginFloor),"Below - thin margin","OK")))))</f>
        <v>0</v>
      </c>
    </row>
    <row r="366" spans="1:21">
      <c r="A366" s="43">
        <f>IF(B366="","","QL-"&amp;TEXT(ROW()-4,"0000"))</f>
        <v>0</v>
      </c>
      <c r="J366" s="21">
        <f>IF(C366="","",IFERROR(INDEX(Services!$P$5:$P$64,MATCH(C366,Services!$B$5:$B$64,0)),"0"))</f>
        <v>0</v>
      </c>
      <c r="K366" s="23">
        <f>IF(C366="","",IFERROR(INDEX(Services!$E$5:$E$64,MATCH(C366,Services!$B$5:$B$64,0)),""))</f>
        <v>0</v>
      </c>
      <c r="L366" s="21">
        <f>IF(B366="","",IF(F366&lt;&gt;"",F366,IFERROR(J366*1,0)))</f>
        <v>0</v>
      </c>
      <c r="M366" s="51">
        <f>IF(B366="","",IF(D366&lt;&gt;"",D366,IFERROR(INDEX(Services!$O$5:$O$64,MATCH(C366,Services!$B$5:$B$64,0)),"")))</f>
        <v>0</v>
      </c>
      <c r="N366" s="34">
        <f>IF(B366="","",IFERROR(INDEX(Services!$G$5:$G$64,MATCH(C366,Services!$B$5:$B$64,0)),0)*IF(E366="",1,IF(IFERROR(INDEX(Services!$D$5:$D$64,MATCH(C366,Services!$B$5:$B$64,0)),"")="Per hour",1,E366)))</f>
        <v>0</v>
      </c>
      <c r="O366" s="21">
        <f>IF(B366="","",ROUND(IF(E366="",1,E366)*L366,2))</f>
        <v>0</v>
      </c>
      <c r="P366" s="21">
        <f>IF(B366="","",ROUND(O366*(1-IF(G366="",0,G366)),2))</f>
        <v>0</v>
      </c>
      <c r="Q366" s="21">
        <f>IF(B366="","",ROUND(N366*CostPerHour+IF(E366="",1,E366)*IFERROR(INDEX(Services!$R$5:$R$64,MATCH(C366,Services!$B$5:$B$64,0)),0),2))</f>
        <v>0</v>
      </c>
      <c r="R366" s="38">
        <f>IF(OR(B366="",P366=0),"",(P366-Q366)/P366)</f>
        <v>0</v>
      </c>
      <c r="S366" s="31">
        <f>IF(OR(B366="",C366=""),"",COUNTIFS($B$5:B366,B366))</f>
        <v>0</v>
      </c>
      <c r="T366" s="23">
        <f>IF(S366="","",B366&amp;"|"&amp;S366)</f>
        <v>0</v>
      </c>
      <c r="U366" s="39">
        <f>IF(B366="","",IF(C366="","Add - pick a service",IF(E366="","Add - how many?",IF(L366=0,"Add - no price",IF(AND(R366&lt;&gt;"",R366&lt;MarginFloor),"Below - thin margin","OK")))))</f>
        <v>0</v>
      </c>
    </row>
    <row r="367" spans="1:21">
      <c r="A367" s="43">
        <f>IF(B367="","","QL-"&amp;TEXT(ROW()-4,"0000"))</f>
        <v>0</v>
      </c>
      <c r="J367" s="21">
        <f>IF(C367="","",IFERROR(INDEX(Services!$P$5:$P$64,MATCH(C367,Services!$B$5:$B$64,0)),"0"))</f>
        <v>0</v>
      </c>
      <c r="K367" s="23">
        <f>IF(C367="","",IFERROR(INDEX(Services!$E$5:$E$64,MATCH(C367,Services!$B$5:$B$64,0)),""))</f>
        <v>0</v>
      </c>
      <c r="L367" s="21">
        <f>IF(B367="","",IF(F367&lt;&gt;"",F367,IFERROR(J367*1,0)))</f>
        <v>0</v>
      </c>
      <c r="M367" s="51">
        <f>IF(B367="","",IF(D367&lt;&gt;"",D367,IFERROR(INDEX(Services!$O$5:$O$64,MATCH(C367,Services!$B$5:$B$64,0)),"")))</f>
        <v>0</v>
      </c>
      <c r="N367" s="34">
        <f>IF(B367="","",IFERROR(INDEX(Services!$G$5:$G$64,MATCH(C367,Services!$B$5:$B$64,0)),0)*IF(E367="",1,IF(IFERROR(INDEX(Services!$D$5:$D$64,MATCH(C367,Services!$B$5:$B$64,0)),"")="Per hour",1,E367)))</f>
        <v>0</v>
      </c>
      <c r="O367" s="21">
        <f>IF(B367="","",ROUND(IF(E367="",1,E367)*L367,2))</f>
        <v>0</v>
      </c>
      <c r="P367" s="21">
        <f>IF(B367="","",ROUND(O367*(1-IF(G367="",0,G367)),2))</f>
        <v>0</v>
      </c>
      <c r="Q367" s="21">
        <f>IF(B367="","",ROUND(N367*CostPerHour+IF(E367="",1,E367)*IFERROR(INDEX(Services!$R$5:$R$64,MATCH(C367,Services!$B$5:$B$64,0)),0),2))</f>
        <v>0</v>
      </c>
      <c r="R367" s="38">
        <f>IF(OR(B367="",P367=0),"",(P367-Q367)/P367)</f>
        <v>0</v>
      </c>
      <c r="S367" s="31">
        <f>IF(OR(B367="",C367=""),"",COUNTIFS($B$5:B367,B367))</f>
        <v>0</v>
      </c>
      <c r="T367" s="23">
        <f>IF(S367="","",B367&amp;"|"&amp;S367)</f>
        <v>0</v>
      </c>
      <c r="U367" s="39">
        <f>IF(B367="","",IF(C367="","Add - pick a service",IF(E367="","Add - how many?",IF(L367=0,"Add - no price",IF(AND(R367&lt;&gt;"",R367&lt;MarginFloor),"Below - thin margin","OK")))))</f>
        <v>0</v>
      </c>
    </row>
    <row r="368" spans="1:21">
      <c r="A368" s="43">
        <f>IF(B368="","","QL-"&amp;TEXT(ROW()-4,"0000"))</f>
        <v>0</v>
      </c>
      <c r="J368" s="21">
        <f>IF(C368="","",IFERROR(INDEX(Services!$P$5:$P$64,MATCH(C368,Services!$B$5:$B$64,0)),"0"))</f>
        <v>0</v>
      </c>
      <c r="K368" s="23">
        <f>IF(C368="","",IFERROR(INDEX(Services!$E$5:$E$64,MATCH(C368,Services!$B$5:$B$64,0)),""))</f>
        <v>0</v>
      </c>
      <c r="L368" s="21">
        <f>IF(B368="","",IF(F368&lt;&gt;"",F368,IFERROR(J368*1,0)))</f>
        <v>0</v>
      </c>
      <c r="M368" s="51">
        <f>IF(B368="","",IF(D368&lt;&gt;"",D368,IFERROR(INDEX(Services!$O$5:$O$64,MATCH(C368,Services!$B$5:$B$64,0)),"")))</f>
        <v>0</v>
      </c>
      <c r="N368" s="34">
        <f>IF(B368="","",IFERROR(INDEX(Services!$G$5:$G$64,MATCH(C368,Services!$B$5:$B$64,0)),0)*IF(E368="",1,IF(IFERROR(INDEX(Services!$D$5:$D$64,MATCH(C368,Services!$B$5:$B$64,0)),"")="Per hour",1,E368)))</f>
        <v>0</v>
      </c>
      <c r="O368" s="21">
        <f>IF(B368="","",ROUND(IF(E368="",1,E368)*L368,2))</f>
        <v>0</v>
      </c>
      <c r="P368" s="21">
        <f>IF(B368="","",ROUND(O368*(1-IF(G368="",0,G368)),2))</f>
        <v>0</v>
      </c>
      <c r="Q368" s="21">
        <f>IF(B368="","",ROUND(N368*CostPerHour+IF(E368="",1,E368)*IFERROR(INDEX(Services!$R$5:$R$64,MATCH(C368,Services!$B$5:$B$64,0)),0),2))</f>
        <v>0</v>
      </c>
      <c r="R368" s="38">
        <f>IF(OR(B368="",P368=0),"",(P368-Q368)/P368)</f>
        <v>0</v>
      </c>
      <c r="S368" s="31">
        <f>IF(OR(B368="",C368=""),"",COUNTIFS($B$5:B368,B368))</f>
        <v>0</v>
      </c>
      <c r="T368" s="23">
        <f>IF(S368="","",B368&amp;"|"&amp;S368)</f>
        <v>0</v>
      </c>
      <c r="U368" s="39">
        <f>IF(B368="","",IF(C368="","Add - pick a service",IF(E368="","Add - how many?",IF(L368=0,"Add - no price",IF(AND(R368&lt;&gt;"",R368&lt;MarginFloor),"Below - thin margin","OK")))))</f>
        <v>0</v>
      </c>
    </row>
    <row r="369" spans="1:21">
      <c r="A369" s="43">
        <f>IF(B369="","","QL-"&amp;TEXT(ROW()-4,"0000"))</f>
        <v>0</v>
      </c>
      <c r="J369" s="21">
        <f>IF(C369="","",IFERROR(INDEX(Services!$P$5:$P$64,MATCH(C369,Services!$B$5:$B$64,0)),"0"))</f>
        <v>0</v>
      </c>
      <c r="K369" s="23">
        <f>IF(C369="","",IFERROR(INDEX(Services!$E$5:$E$64,MATCH(C369,Services!$B$5:$B$64,0)),""))</f>
        <v>0</v>
      </c>
      <c r="L369" s="21">
        <f>IF(B369="","",IF(F369&lt;&gt;"",F369,IFERROR(J369*1,0)))</f>
        <v>0</v>
      </c>
      <c r="M369" s="51">
        <f>IF(B369="","",IF(D369&lt;&gt;"",D369,IFERROR(INDEX(Services!$O$5:$O$64,MATCH(C369,Services!$B$5:$B$64,0)),"")))</f>
        <v>0</v>
      </c>
      <c r="N369" s="34">
        <f>IF(B369="","",IFERROR(INDEX(Services!$G$5:$G$64,MATCH(C369,Services!$B$5:$B$64,0)),0)*IF(E369="",1,IF(IFERROR(INDEX(Services!$D$5:$D$64,MATCH(C369,Services!$B$5:$B$64,0)),"")="Per hour",1,E369)))</f>
        <v>0</v>
      </c>
      <c r="O369" s="21">
        <f>IF(B369="","",ROUND(IF(E369="",1,E369)*L369,2))</f>
        <v>0</v>
      </c>
      <c r="P369" s="21">
        <f>IF(B369="","",ROUND(O369*(1-IF(G369="",0,G369)),2))</f>
        <v>0</v>
      </c>
      <c r="Q369" s="21">
        <f>IF(B369="","",ROUND(N369*CostPerHour+IF(E369="",1,E369)*IFERROR(INDEX(Services!$R$5:$R$64,MATCH(C369,Services!$B$5:$B$64,0)),0),2))</f>
        <v>0</v>
      </c>
      <c r="R369" s="38">
        <f>IF(OR(B369="",P369=0),"",(P369-Q369)/P369)</f>
        <v>0</v>
      </c>
      <c r="S369" s="31">
        <f>IF(OR(B369="",C369=""),"",COUNTIFS($B$5:B369,B369))</f>
        <v>0</v>
      </c>
      <c r="T369" s="23">
        <f>IF(S369="","",B369&amp;"|"&amp;S369)</f>
        <v>0</v>
      </c>
      <c r="U369" s="39">
        <f>IF(B369="","",IF(C369="","Add - pick a service",IF(E369="","Add - how many?",IF(L369=0,"Add - no price",IF(AND(R369&lt;&gt;"",R369&lt;MarginFloor),"Below - thin margin","OK")))))</f>
        <v>0</v>
      </c>
    </row>
    <row r="370" spans="1:21">
      <c r="A370" s="43">
        <f>IF(B370="","","QL-"&amp;TEXT(ROW()-4,"0000"))</f>
        <v>0</v>
      </c>
      <c r="J370" s="21">
        <f>IF(C370="","",IFERROR(INDEX(Services!$P$5:$P$64,MATCH(C370,Services!$B$5:$B$64,0)),"0"))</f>
        <v>0</v>
      </c>
      <c r="K370" s="23">
        <f>IF(C370="","",IFERROR(INDEX(Services!$E$5:$E$64,MATCH(C370,Services!$B$5:$B$64,0)),""))</f>
        <v>0</v>
      </c>
      <c r="L370" s="21">
        <f>IF(B370="","",IF(F370&lt;&gt;"",F370,IFERROR(J370*1,0)))</f>
        <v>0</v>
      </c>
      <c r="M370" s="51">
        <f>IF(B370="","",IF(D370&lt;&gt;"",D370,IFERROR(INDEX(Services!$O$5:$O$64,MATCH(C370,Services!$B$5:$B$64,0)),"")))</f>
        <v>0</v>
      </c>
      <c r="N370" s="34">
        <f>IF(B370="","",IFERROR(INDEX(Services!$G$5:$G$64,MATCH(C370,Services!$B$5:$B$64,0)),0)*IF(E370="",1,IF(IFERROR(INDEX(Services!$D$5:$D$64,MATCH(C370,Services!$B$5:$B$64,0)),"")="Per hour",1,E370)))</f>
        <v>0</v>
      </c>
      <c r="O370" s="21">
        <f>IF(B370="","",ROUND(IF(E370="",1,E370)*L370,2))</f>
        <v>0</v>
      </c>
      <c r="P370" s="21">
        <f>IF(B370="","",ROUND(O370*(1-IF(G370="",0,G370)),2))</f>
        <v>0</v>
      </c>
      <c r="Q370" s="21">
        <f>IF(B370="","",ROUND(N370*CostPerHour+IF(E370="",1,E370)*IFERROR(INDEX(Services!$R$5:$R$64,MATCH(C370,Services!$B$5:$B$64,0)),0),2))</f>
        <v>0</v>
      </c>
      <c r="R370" s="38">
        <f>IF(OR(B370="",P370=0),"",(P370-Q370)/P370)</f>
        <v>0</v>
      </c>
      <c r="S370" s="31">
        <f>IF(OR(B370="",C370=""),"",COUNTIFS($B$5:B370,B370))</f>
        <v>0</v>
      </c>
      <c r="T370" s="23">
        <f>IF(S370="","",B370&amp;"|"&amp;S370)</f>
        <v>0</v>
      </c>
      <c r="U370" s="39">
        <f>IF(B370="","",IF(C370="","Add - pick a service",IF(E370="","Add - how many?",IF(L370=0,"Add - no price",IF(AND(R370&lt;&gt;"",R370&lt;MarginFloor),"Below - thin margin","OK")))))</f>
        <v>0</v>
      </c>
    </row>
    <row r="371" spans="1:21">
      <c r="A371" s="43">
        <f>IF(B371="","","QL-"&amp;TEXT(ROW()-4,"0000"))</f>
        <v>0</v>
      </c>
      <c r="J371" s="21">
        <f>IF(C371="","",IFERROR(INDEX(Services!$P$5:$P$64,MATCH(C371,Services!$B$5:$B$64,0)),"0"))</f>
        <v>0</v>
      </c>
      <c r="K371" s="23">
        <f>IF(C371="","",IFERROR(INDEX(Services!$E$5:$E$64,MATCH(C371,Services!$B$5:$B$64,0)),""))</f>
        <v>0</v>
      </c>
      <c r="L371" s="21">
        <f>IF(B371="","",IF(F371&lt;&gt;"",F371,IFERROR(J371*1,0)))</f>
        <v>0</v>
      </c>
      <c r="M371" s="51">
        <f>IF(B371="","",IF(D371&lt;&gt;"",D371,IFERROR(INDEX(Services!$O$5:$O$64,MATCH(C371,Services!$B$5:$B$64,0)),"")))</f>
        <v>0</v>
      </c>
      <c r="N371" s="34">
        <f>IF(B371="","",IFERROR(INDEX(Services!$G$5:$G$64,MATCH(C371,Services!$B$5:$B$64,0)),0)*IF(E371="",1,IF(IFERROR(INDEX(Services!$D$5:$D$64,MATCH(C371,Services!$B$5:$B$64,0)),"")="Per hour",1,E371)))</f>
        <v>0</v>
      </c>
      <c r="O371" s="21">
        <f>IF(B371="","",ROUND(IF(E371="",1,E371)*L371,2))</f>
        <v>0</v>
      </c>
      <c r="P371" s="21">
        <f>IF(B371="","",ROUND(O371*(1-IF(G371="",0,G371)),2))</f>
        <v>0</v>
      </c>
      <c r="Q371" s="21">
        <f>IF(B371="","",ROUND(N371*CostPerHour+IF(E371="",1,E371)*IFERROR(INDEX(Services!$R$5:$R$64,MATCH(C371,Services!$B$5:$B$64,0)),0),2))</f>
        <v>0</v>
      </c>
      <c r="R371" s="38">
        <f>IF(OR(B371="",P371=0),"",(P371-Q371)/P371)</f>
        <v>0</v>
      </c>
      <c r="S371" s="31">
        <f>IF(OR(B371="",C371=""),"",COUNTIFS($B$5:B371,B371))</f>
        <v>0</v>
      </c>
      <c r="T371" s="23">
        <f>IF(S371="","",B371&amp;"|"&amp;S371)</f>
        <v>0</v>
      </c>
      <c r="U371" s="39">
        <f>IF(B371="","",IF(C371="","Add - pick a service",IF(E371="","Add - how many?",IF(L371=0,"Add - no price",IF(AND(R371&lt;&gt;"",R371&lt;MarginFloor),"Below - thin margin","OK")))))</f>
        <v>0</v>
      </c>
    </row>
    <row r="372" spans="1:21">
      <c r="A372" s="43">
        <f>IF(B372="","","QL-"&amp;TEXT(ROW()-4,"0000"))</f>
        <v>0</v>
      </c>
      <c r="J372" s="21">
        <f>IF(C372="","",IFERROR(INDEX(Services!$P$5:$P$64,MATCH(C372,Services!$B$5:$B$64,0)),"0"))</f>
        <v>0</v>
      </c>
      <c r="K372" s="23">
        <f>IF(C372="","",IFERROR(INDEX(Services!$E$5:$E$64,MATCH(C372,Services!$B$5:$B$64,0)),""))</f>
        <v>0</v>
      </c>
      <c r="L372" s="21">
        <f>IF(B372="","",IF(F372&lt;&gt;"",F372,IFERROR(J372*1,0)))</f>
        <v>0</v>
      </c>
      <c r="M372" s="51">
        <f>IF(B372="","",IF(D372&lt;&gt;"",D372,IFERROR(INDEX(Services!$O$5:$O$64,MATCH(C372,Services!$B$5:$B$64,0)),"")))</f>
        <v>0</v>
      </c>
      <c r="N372" s="34">
        <f>IF(B372="","",IFERROR(INDEX(Services!$G$5:$G$64,MATCH(C372,Services!$B$5:$B$64,0)),0)*IF(E372="",1,IF(IFERROR(INDEX(Services!$D$5:$D$64,MATCH(C372,Services!$B$5:$B$64,0)),"")="Per hour",1,E372)))</f>
        <v>0</v>
      </c>
      <c r="O372" s="21">
        <f>IF(B372="","",ROUND(IF(E372="",1,E372)*L372,2))</f>
        <v>0</v>
      </c>
      <c r="P372" s="21">
        <f>IF(B372="","",ROUND(O372*(1-IF(G372="",0,G372)),2))</f>
        <v>0</v>
      </c>
      <c r="Q372" s="21">
        <f>IF(B372="","",ROUND(N372*CostPerHour+IF(E372="",1,E372)*IFERROR(INDEX(Services!$R$5:$R$64,MATCH(C372,Services!$B$5:$B$64,0)),0),2))</f>
        <v>0</v>
      </c>
      <c r="R372" s="38">
        <f>IF(OR(B372="",P372=0),"",(P372-Q372)/P372)</f>
        <v>0</v>
      </c>
      <c r="S372" s="31">
        <f>IF(OR(B372="",C372=""),"",COUNTIFS($B$5:B372,B372))</f>
        <v>0</v>
      </c>
      <c r="T372" s="23">
        <f>IF(S372="","",B372&amp;"|"&amp;S372)</f>
        <v>0</v>
      </c>
      <c r="U372" s="39">
        <f>IF(B372="","",IF(C372="","Add - pick a service",IF(E372="","Add - how many?",IF(L372=0,"Add - no price",IF(AND(R372&lt;&gt;"",R372&lt;MarginFloor),"Below - thin margin","OK")))))</f>
        <v>0</v>
      </c>
    </row>
    <row r="373" spans="1:21">
      <c r="A373" s="43">
        <f>IF(B373="","","QL-"&amp;TEXT(ROW()-4,"0000"))</f>
        <v>0</v>
      </c>
      <c r="J373" s="21">
        <f>IF(C373="","",IFERROR(INDEX(Services!$P$5:$P$64,MATCH(C373,Services!$B$5:$B$64,0)),"0"))</f>
        <v>0</v>
      </c>
      <c r="K373" s="23">
        <f>IF(C373="","",IFERROR(INDEX(Services!$E$5:$E$64,MATCH(C373,Services!$B$5:$B$64,0)),""))</f>
        <v>0</v>
      </c>
      <c r="L373" s="21">
        <f>IF(B373="","",IF(F373&lt;&gt;"",F373,IFERROR(J373*1,0)))</f>
        <v>0</v>
      </c>
      <c r="M373" s="51">
        <f>IF(B373="","",IF(D373&lt;&gt;"",D373,IFERROR(INDEX(Services!$O$5:$O$64,MATCH(C373,Services!$B$5:$B$64,0)),"")))</f>
        <v>0</v>
      </c>
      <c r="N373" s="34">
        <f>IF(B373="","",IFERROR(INDEX(Services!$G$5:$G$64,MATCH(C373,Services!$B$5:$B$64,0)),0)*IF(E373="",1,IF(IFERROR(INDEX(Services!$D$5:$D$64,MATCH(C373,Services!$B$5:$B$64,0)),"")="Per hour",1,E373)))</f>
        <v>0</v>
      </c>
      <c r="O373" s="21">
        <f>IF(B373="","",ROUND(IF(E373="",1,E373)*L373,2))</f>
        <v>0</v>
      </c>
      <c r="P373" s="21">
        <f>IF(B373="","",ROUND(O373*(1-IF(G373="",0,G373)),2))</f>
        <v>0</v>
      </c>
      <c r="Q373" s="21">
        <f>IF(B373="","",ROUND(N373*CostPerHour+IF(E373="",1,E373)*IFERROR(INDEX(Services!$R$5:$R$64,MATCH(C373,Services!$B$5:$B$64,0)),0),2))</f>
        <v>0</v>
      </c>
      <c r="R373" s="38">
        <f>IF(OR(B373="",P373=0),"",(P373-Q373)/P373)</f>
        <v>0</v>
      </c>
      <c r="S373" s="31">
        <f>IF(OR(B373="",C373=""),"",COUNTIFS($B$5:B373,B373))</f>
        <v>0</v>
      </c>
      <c r="T373" s="23">
        <f>IF(S373="","",B373&amp;"|"&amp;S373)</f>
        <v>0</v>
      </c>
      <c r="U373" s="39">
        <f>IF(B373="","",IF(C373="","Add - pick a service",IF(E373="","Add - how many?",IF(L373=0,"Add - no price",IF(AND(R373&lt;&gt;"",R373&lt;MarginFloor),"Below - thin margin","OK")))))</f>
        <v>0</v>
      </c>
    </row>
    <row r="374" spans="1:21">
      <c r="A374" s="43">
        <f>IF(B374="","","QL-"&amp;TEXT(ROW()-4,"0000"))</f>
        <v>0</v>
      </c>
      <c r="J374" s="21">
        <f>IF(C374="","",IFERROR(INDEX(Services!$P$5:$P$64,MATCH(C374,Services!$B$5:$B$64,0)),"0"))</f>
        <v>0</v>
      </c>
      <c r="K374" s="23">
        <f>IF(C374="","",IFERROR(INDEX(Services!$E$5:$E$64,MATCH(C374,Services!$B$5:$B$64,0)),""))</f>
        <v>0</v>
      </c>
      <c r="L374" s="21">
        <f>IF(B374="","",IF(F374&lt;&gt;"",F374,IFERROR(J374*1,0)))</f>
        <v>0</v>
      </c>
      <c r="M374" s="51">
        <f>IF(B374="","",IF(D374&lt;&gt;"",D374,IFERROR(INDEX(Services!$O$5:$O$64,MATCH(C374,Services!$B$5:$B$64,0)),"")))</f>
        <v>0</v>
      </c>
      <c r="N374" s="34">
        <f>IF(B374="","",IFERROR(INDEX(Services!$G$5:$G$64,MATCH(C374,Services!$B$5:$B$64,0)),0)*IF(E374="",1,IF(IFERROR(INDEX(Services!$D$5:$D$64,MATCH(C374,Services!$B$5:$B$64,0)),"")="Per hour",1,E374)))</f>
        <v>0</v>
      </c>
      <c r="O374" s="21">
        <f>IF(B374="","",ROUND(IF(E374="",1,E374)*L374,2))</f>
        <v>0</v>
      </c>
      <c r="P374" s="21">
        <f>IF(B374="","",ROUND(O374*(1-IF(G374="",0,G374)),2))</f>
        <v>0</v>
      </c>
      <c r="Q374" s="21">
        <f>IF(B374="","",ROUND(N374*CostPerHour+IF(E374="",1,E374)*IFERROR(INDEX(Services!$R$5:$R$64,MATCH(C374,Services!$B$5:$B$64,0)),0),2))</f>
        <v>0</v>
      </c>
      <c r="R374" s="38">
        <f>IF(OR(B374="",P374=0),"",(P374-Q374)/P374)</f>
        <v>0</v>
      </c>
      <c r="S374" s="31">
        <f>IF(OR(B374="",C374=""),"",COUNTIFS($B$5:B374,B374))</f>
        <v>0</v>
      </c>
      <c r="T374" s="23">
        <f>IF(S374="","",B374&amp;"|"&amp;S374)</f>
        <v>0</v>
      </c>
      <c r="U374" s="39">
        <f>IF(B374="","",IF(C374="","Add - pick a service",IF(E374="","Add - how many?",IF(L374=0,"Add - no price",IF(AND(R374&lt;&gt;"",R374&lt;MarginFloor),"Below - thin margin","OK")))))</f>
        <v>0</v>
      </c>
    </row>
    <row r="375" spans="1:21">
      <c r="A375" s="43">
        <f>IF(B375="","","QL-"&amp;TEXT(ROW()-4,"0000"))</f>
        <v>0</v>
      </c>
      <c r="J375" s="21">
        <f>IF(C375="","",IFERROR(INDEX(Services!$P$5:$P$64,MATCH(C375,Services!$B$5:$B$64,0)),"0"))</f>
        <v>0</v>
      </c>
      <c r="K375" s="23">
        <f>IF(C375="","",IFERROR(INDEX(Services!$E$5:$E$64,MATCH(C375,Services!$B$5:$B$64,0)),""))</f>
        <v>0</v>
      </c>
      <c r="L375" s="21">
        <f>IF(B375="","",IF(F375&lt;&gt;"",F375,IFERROR(J375*1,0)))</f>
        <v>0</v>
      </c>
      <c r="M375" s="51">
        <f>IF(B375="","",IF(D375&lt;&gt;"",D375,IFERROR(INDEX(Services!$O$5:$O$64,MATCH(C375,Services!$B$5:$B$64,0)),"")))</f>
        <v>0</v>
      </c>
      <c r="N375" s="34">
        <f>IF(B375="","",IFERROR(INDEX(Services!$G$5:$G$64,MATCH(C375,Services!$B$5:$B$64,0)),0)*IF(E375="",1,IF(IFERROR(INDEX(Services!$D$5:$D$64,MATCH(C375,Services!$B$5:$B$64,0)),"")="Per hour",1,E375)))</f>
        <v>0</v>
      </c>
      <c r="O375" s="21">
        <f>IF(B375="","",ROUND(IF(E375="",1,E375)*L375,2))</f>
        <v>0</v>
      </c>
      <c r="P375" s="21">
        <f>IF(B375="","",ROUND(O375*(1-IF(G375="",0,G375)),2))</f>
        <v>0</v>
      </c>
      <c r="Q375" s="21">
        <f>IF(B375="","",ROUND(N375*CostPerHour+IF(E375="",1,E375)*IFERROR(INDEX(Services!$R$5:$R$64,MATCH(C375,Services!$B$5:$B$64,0)),0),2))</f>
        <v>0</v>
      </c>
      <c r="R375" s="38">
        <f>IF(OR(B375="",P375=0),"",(P375-Q375)/P375)</f>
        <v>0</v>
      </c>
      <c r="S375" s="31">
        <f>IF(OR(B375="",C375=""),"",COUNTIFS($B$5:B375,B375))</f>
        <v>0</v>
      </c>
      <c r="T375" s="23">
        <f>IF(S375="","",B375&amp;"|"&amp;S375)</f>
        <v>0</v>
      </c>
      <c r="U375" s="39">
        <f>IF(B375="","",IF(C375="","Add - pick a service",IF(E375="","Add - how many?",IF(L375=0,"Add - no price",IF(AND(R375&lt;&gt;"",R375&lt;MarginFloor),"Below - thin margin","OK")))))</f>
        <v>0</v>
      </c>
    </row>
    <row r="376" spans="1:21">
      <c r="A376" s="43">
        <f>IF(B376="","","QL-"&amp;TEXT(ROW()-4,"0000"))</f>
        <v>0</v>
      </c>
      <c r="J376" s="21">
        <f>IF(C376="","",IFERROR(INDEX(Services!$P$5:$P$64,MATCH(C376,Services!$B$5:$B$64,0)),"0"))</f>
        <v>0</v>
      </c>
      <c r="K376" s="23">
        <f>IF(C376="","",IFERROR(INDEX(Services!$E$5:$E$64,MATCH(C376,Services!$B$5:$B$64,0)),""))</f>
        <v>0</v>
      </c>
      <c r="L376" s="21">
        <f>IF(B376="","",IF(F376&lt;&gt;"",F376,IFERROR(J376*1,0)))</f>
        <v>0</v>
      </c>
      <c r="M376" s="51">
        <f>IF(B376="","",IF(D376&lt;&gt;"",D376,IFERROR(INDEX(Services!$O$5:$O$64,MATCH(C376,Services!$B$5:$B$64,0)),"")))</f>
        <v>0</v>
      </c>
      <c r="N376" s="34">
        <f>IF(B376="","",IFERROR(INDEX(Services!$G$5:$G$64,MATCH(C376,Services!$B$5:$B$64,0)),0)*IF(E376="",1,IF(IFERROR(INDEX(Services!$D$5:$D$64,MATCH(C376,Services!$B$5:$B$64,0)),"")="Per hour",1,E376)))</f>
        <v>0</v>
      </c>
      <c r="O376" s="21">
        <f>IF(B376="","",ROUND(IF(E376="",1,E376)*L376,2))</f>
        <v>0</v>
      </c>
      <c r="P376" s="21">
        <f>IF(B376="","",ROUND(O376*(1-IF(G376="",0,G376)),2))</f>
        <v>0</v>
      </c>
      <c r="Q376" s="21">
        <f>IF(B376="","",ROUND(N376*CostPerHour+IF(E376="",1,E376)*IFERROR(INDEX(Services!$R$5:$R$64,MATCH(C376,Services!$B$5:$B$64,0)),0),2))</f>
        <v>0</v>
      </c>
      <c r="R376" s="38">
        <f>IF(OR(B376="",P376=0),"",(P376-Q376)/P376)</f>
        <v>0</v>
      </c>
      <c r="S376" s="31">
        <f>IF(OR(B376="",C376=""),"",COUNTIFS($B$5:B376,B376))</f>
        <v>0</v>
      </c>
      <c r="T376" s="23">
        <f>IF(S376="","",B376&amp;"|"&amp;S376)</f>
        <v>0</v>
      </c>
      <c r="U376" s="39">
        <f>IF(B376="","",IF(C376="","Add - pick a service",IF(E376="","Add - how many?",IF(L376=0,"Add - no price",IF(AND(R376&lt;&gt;"",R376&lt;MarginFloor),"Below - thin margin","OK")))))</f>
        <v>0</v>
      </c>
    </row>
    <row r="377" spans="1:21">
      <c r="A377" s="43">
        <f>IF(B377="","","QL-"&amp;TEXT(ROW()-4,"0000"))</f>
        <v>0</v>
      </c>
      <c r="J377" s="21">
        <f>IF(C377="","",IFERROR(INDEX(Services!$P$5:$P$64,MATCH(C377,Services!$B$5:$B$64,0)),"0"))</f>
        <v>0</v>
      </c>
      <c r="K377" s="23">
        <f>IF(C377="","",IFERROR(INDEX(Services!$E$5:$E$64,MATCH(C377,Services!$B$5:$B$64,0)),""))</f>
        <v>0</v>
      </c>
      <c r="L377" s="21">
        <f>IF(B377="","",IF(F377&lt;&gt;"",F377,IFERROR(J377*1,0)))</f>
        <v>0</v>
      </c>
      <c r="M377" s="51">
        <f>IF(B377="","",IF(D377&lt;&gt;"",D377,IFERROR(INDEX(Services!$O$5:$O$64,MATCH(C377,Services!$B$5:$B$64,0)),"")))</f>
        <v>0</v>
      </c>
      <c r="N377" s="34">
        <f>IF(B377="","",IFERROR(INDEX(Services!$G$5:$G$64,MATCH(C377,Services!$B$5:$B$64,0)),0)*IF(E377="",1,IF(IFERROR(INDEX(Services!$D$5:$D$64,MATCH(C377,Services!$B$5:$B$64,0)),"")="Per hour",1,E377)))</f>
        <v>0</v>
      </c>
      <c r="O377" s="21">
        <f>IF(B377="","",ROUND(IF(E377="",1,E377)*L377,2))</f>
        <v>0</v>
      </c>
      <c r="P377" s="21">
        <f>IF(B377="","",ROUND(O377*(1-IF(G377="",0,G377)),2))</f>
        <v>0</v>
      </c>
      <c r="Q377" s="21">
        <f>IF(B377="","",ROUND(N377*CostPerHour+IF(E377="",1,E377)*IFERROR(INDEX(Services!$R$5:$R$64,MATCH(C377,Services!$B$5:$B$64,0)),0),2))</f>
        <v>0</v>
      </c>
      <c r="R377" s="38">
        <f>IF(OR(B377="",P377=0),"",(P377-Q377)/P377)</f>
        <v>0</v>
      </c>
      <c r="S377" s="31">
        <f>IF(OR(B377="",C377=""),"",COUNTIFS($B$5:B377,B377))</f>
        <v>0</v>
      </c>
      <c r="T377" s="23">
        <f>IF(S377="","",B377&amp;"|"&amp;S377)</f>
        <v>0</v>
      </c>
      <c r="U377" s="39">
        <f>IF(B377="","",IF(C377="","Add - pick a service",IF(E377="","Add - how many?",IF(L377=0,"Add - no price",IF(AND(R377&lt;&gt;"",R377&lt;MarginFloor),"Below - thin margin","OK")))))</f>
        <v>0</v>
      </c>
    </row>
    <row r="378" spans="1:21">
      <c r="A378" s="43">
        <f>IF(B378="","","QL-"&amp;TEXT(ROW()-4,"0000"))</f>
        <v>0</v>
      </c>
      <c r="J378" s="21">
        <f>IF(C378="","",IFERROR(INDEX(Services!$P$5:$P$64,MATCH(C378,Services!$B$5:$B$64,0)),"0"))</f>
        <v>0</v>
      </c>
      <c r="K378" s="23">
        <f>IF(C378="","",IFERROR(INDEX(Services!$E$5:$E$64,MATCH(C378,Services!$B$5:$B$64,0)),""))</f>
        <v>0</v>
      </c>
      <c r="L378" s="21">
        <f>IF(B378="","",IF(F378&lt;&gt;"",F378,IFERROR(J378*1,0)))</f>
        <v>0</v>
      </c>
      <c r="M378" s="51">
        <f>IF(B378="","",IF(D378&lt;&gt;"",D378,IFERROR(INDEX(Services!$O$5:$O$64,MATCH(C378,Services!$B$5:$B$64,0)),"")))</f>
        <v>0</v>
      </c>
      <c r="N378" s="34">
        <f>IF(B378="","",IFERROR(INDEX(Services!$G$5:$G$64,MATCH(C378,Services!$B$5:$B$64,0)),0)*IF(E378="",1,IF(IFERROR(INDEX(Services!$D$5:$D$64,MATCH(C378,Services!$B$5:$B$64,0)),"")="Per hour",1,E378)))</f>
        <v>0</v>
      </c>
      <c r="O378" s="21">
        <f>IF(B378="","",ROUND(IF(E378="",1,E378)*L378,2))</f>
        <v>0</v>
      </c>
      <c r="P378" s="21">
        <f>IF(B378="","",ROUND(O378*(1-IF(G378="",0,G378)),2))</f>
        <v>0</v>
      </c>
      <c r="Q378" s="21">
        <f>IF(B378="","",ROUND(N378*CostPerHour+IF(E378="",1,E378)*IFERROR(INDEX(Services!$R$5:$R$64,MATCH(C378,Services!$B$5:$B$64,0)),0),2))</f>
        <v>0</v>
      </c>
      <c r="R378" s="38">
        <f>IF(OR(B378="",P378=0),"",(P378-Q378)/P378)</f>
        <v>0</v>
      </c>
      <c r="S378" s="31">
        <f>IF(OR(B378="",C378=""),"",COUNTIFS($B$5:B378,B378))</f>
        <v>0</v>
      </c>
      <c r="T378" s="23">
        <f>IF(S378="","",B378&amp;"|"&amp;S378)</f>
        <v>0</v>
      </c>
      <c r="U378" s="39">
        <f>IF(B378="","",IF(C378="","Add - pick a service",IF(E378="","Add - how many?",IF(L378=0,"Add - no price",IF(AND(R378&lt;&gt;"",R378&lt;MarginFloor),"Below - thin margin","OK")))))</f>
        <v>0</v>
      </c>
    </row>
    <row r="379" spans="1:21">
      <c r="A379" s="43">
        <f>IF(B379="","","QL-"&amp;TEXT(ROW()-4,"0000"))</f>
        <v>0</v>
      </c>
      <c r="J379" s="21">
        <f>IF(C379="","",IFERROR(INDEX(Services!$P$5:$P$64,MATCH(C379,Services!$B$5:$B$64,0)),"0"))</f>
        <v>0</v>
      </c>
      <c r="K379" s="23">
        <f>IF(C379="","",IFERROR(INDEX(Services!$E$5:$E$64,MATCH(C379,Services!$B$5:$B$64,0)),""))</f>
        <v>0</v>
      </c>
      <c r="L379" s="21">
        <f>IF(B379="","",IF(F379&lt;&gt;"",F379,IFERROR(J379*1,0)))</f>
        <v>0</v>
      </c>
      <c r="M379" s="51">
        <f>IF(B379="","",IF(D379&lt;&gt;"",D379,IFERROR(INDEX(Services!$O$5:$O$64,MATCH(C379,Services!$B$5:$B$64,0)),"")))</f>
        <v>0</v>
      </c>
      <c r="N379" s="34">
        <f>IF(B379="","",IFERROR(INDEX(Services!$G$5:$G$64,MATCH(C379,Services!$B$5:$B$64,0)),0)*IF(E379="",1,IF(IFERROR(INDEX(Services!$D$5:$D$64,MATCH(C379,Services!$B$5:$B$64,0)),"")="Per hour",1,E379)))</f>
        <v>0</v>
      </c>
      <c r="O379" s="21">
        <f>IF(B379="","",ROUND(IF(E379="",1,E379)*L379,2))</f>
        <v>0</v>
      </c>
      <c r="P379" s="21">
        <f>IF(B379="","",ROUND(O379*(1-IF(G379="",0,G379)),2))</f>
        <v>0</v>
      </c>
      <c r="Q379" s="21">
        <f>IF(B379="","",ROUND(N379*CostPerHour+IF(E379="",1,E379)*IFERROR(INDEX(Services!$R$5:$R$64,MATCH(C379,Services!$B$5:$B$64,0)),0),2))</f>
        <v>0</v>
      </c>
      <c r="R379" s="38">
        <f>IF(OR(B379="",P379=0),"",(P379-Q379)/P379)</f>
        <v>0</v>
      </c>
      <c r="S379" s="31">
        <f>IF(OR(B379="",C379=""),"",COUNTIFS($B$5:B379,B379))</f>
        <v>0</v>
      </c>
      <c r="T379" s="23">
        <f>IF(S379="","",B379&amp;"|"&amp;S379)</f>
        <v>0</v>
      </c>
      <c r="U379" s="39">
        <f>IF(B379="","",IF(C379="","Add - pick a service",IF(E379="","Add - how many?",IF(L379=0,"Add - no price",IF(AND(R379&lt;&gt;"",R379&lt;MarginFloor),"Below - thin margin","OK")))))</f>
        <v>0</v>
      </c>
    </row>
    <row r="380" spans="1:21">
      <c r="A380" s="43">
        <f>IF(B380="","","QL-"&amp;TEXT(ROW()-4,"0000"))</f>
        <v>0</v>
      </c>
      <c r="J380" s="21">
        <f>IF(C380="","",IFERROR(INDEX(Services!$P$5:$P$64,MATCH(C380,Services!$B$5:$B$64,0)),"0"))</f>
        <v>0</v>
      </c>
      <c r="K380" s="23">
        <f>IF(C380="","",IFERROR(INDEX(Services!$E$5:$E$64,MATCH(C380,Services!$B$5:$B$64,0)),""))</f>
        <v>0</v>
      </c>
      <c r="L380" s="21">
        <f>IF(B380="","",IF(F380&lt;&gt;"",F380,IFERROR(J380*1,0)))</f>
        <v>0</v>
      </c>
      <c r="M380" s="51">
        <f>IF(B380="","",IF(D380&lt;&gt;"",D380,IFERROR(INDEX(Services!$O$5:$O$64,MATCH(C380,Services!$B$5:$B$64,0)),"")))</f>
        <v>0</v>
      </c>
      <c r="N380" s="34">
        <f>IF(B380="","",IFERROR(INDEX(Services!$G$5:$G$64,MATCH(C380,Services!$B$5:$B$64,0)),0)*IF(E380="",1,IF(IFERROR(INDEX(Services!$D$5:$D$64,MATCH(C380,Services!$B$5:$B$64,0)),"")="Per hour",1,E380)))</f>
        <v>0</v>
      </c>
      <c r="O380" s="21">
        <f>IF(B380="","",ROUND(IF(E380="",1,E380)*L380,2))</f>
        <v>0</v>
      </c>
      <c r="P380" s="21">
        <f>IF(B380="","",ROUND(O380*(1-IF(G380="",0,G380)),2))</f>
        <v>0</v>
      </c>
      <c r="Q380" s="21">
        <f>IF(B380="","",ROUND(N380*CostPerHour+IF(E380="",1,E380)*IFERROR(INDEX(Services!$R$5:$R$64,MATCH(C380,Services!$B$5:$B$64,0)),0),2))</f>
        <v>0</v>
      </c>
      <c r="R380" s="38">
        <f>IF(OR(B380="",P380=0),"",(P380-Q380)/P380)</f>
        <v>0</v>
      </c>
      <c r="S380" s="31">
        <f>IF(OR(B380="",C380=""),"",COUNTIFS($B$5:B380,B380))</f>
        <v>0</v>
      </c>
      <c r="T380" s="23">
        <f>IF(S380="","",B380&amp;"|"&amp;S380)</f>
        <v>0</v>
      </c>
      <c r="U380" s="39">
        <f>IF(B380="","",IF(C380="","Add - pick a service",IF(E380="","Add - how many?",IF(L380=0,"Add - no price",IF(AND(R380&lt;&gt;"",R380&lt;MarginFloor),"Below - thin margin","OK")))))</f>
        <v>0</v>
      </c>
    </row>
    <row r="381" spans="1:21">
      <c r="A381" s="43">
        <f>IF(B381="","","QL-"&amp;TEXT(ROW()-4,"0000"))</f>
        <v>0</v>
      </c>
      <c r="J381" s="21">
        <f>IF(C381="","",IFERROR(INDEX(Services!$P$5:$P$64,MATCH(C381,Services!$B$5:$B$64,0)),"0"))</f>
        <v>0</v>
      </c>
      <c r="K381" s="23">
        <f>IF(C381="","",IFERROR(INDEX(Services!$E$5:$E$64,MATCH(C381,Services!$B$5:$B$64,0)),""))</f>
        <v>0</v>
      </c>
      <c r="L381" s="21">
        <f>IF(B381="","",IF(F381&lt;&gt;"",F381,IFERROR(J381*1,0)))</f>
        <v>0</v>
      </c>
      <c r="M381" s="51">
        <f>IF(B381="","",IF(D381&lt;&gt;"",D381,IFERROR(INDEX(Services!$O$5:$O$64,MATCH(C381,Services!$B$5:$B$64,0)),"")))</f>
        <v>0</v>
      </c>
      <c r="N381" s="34">
        <f>IF(B381="","",IFERROR(INDEX(Services!$G$5:$G$64,MATCH(C381,Services!$B$5:$B$64,0)),0)*IF(E381="",1,IF(IFERROR(INDEX(Services!$D$5:$D$64,MATCH(C381,Services!$B$5:$B$64,0)),"")="Per hour",1,E381)))</f>
        <v>0</v>
      </c>
      <c r="O381" s="21">
        <f>IF(B381="","",ROUND(IF(E381="",1,E381)*L381,2))</f>
        <v>0</v>
      </c>
      <c r="P381" s="21">
        <f>IF(B381="","",ROUND(O381*(1-IF(G381="",0,G381)),2))</f>
        <v>0</v>
      </c>
      <c r="Q381" s="21">
        <f>IF(B381="","",ROUND(N381*CostPerHour+IF(E381="",1,E381)*IFERROR(INDEX(Services!$R$5:$R$64,MATCH(C381,Services!$B$5:$B$64,0)),0),2))</f>
        <v>0</v>
      </c>
      <c r="R381" s="38">
        <f>IF(OR(B381="",P381=0),"",(P381-Q381)/P381)</f>
        <v>0</v>
      </c>
      <c r="S381" s="31">
        <f>IF(OR(B381="",C381=""),"",COUNTIFS($B$5:B381,B381))</f>
        <v>0</v>
      </c>
      <c r="T381" s="23">
        <f>IF(S381="","",B381&amp;"|"&amp;S381)</f>
        <v>0</v>
      </c>
      <c r="U381" s="39">
        <f>IF(B381="","",IF(C381="","Add - pick a service",IF(E381="","Add - how many?",IF(L381=0,"Add - no price",IF(AND(R381&lt;&gt;"",R381&lt;MarginFloor),"Below - thin margin","OK")))))</f>
        <v>0</v>
      </c>
    </row>
    <row r="382" spans="1:21">
      <c r="A382" s="43">
        <f>IF(B382="","","QL-"&amp;TEXT(ROW()-4,"0000"))</f>
        <v>0</v>
      </c>
      <c r="J382" s="21">
        <f>IF(C382="","",IFERROR(INDEX(Services!$P$5:$P$64,MATCH(C382,Services!$B$5:$B$64,0)),"0"))</f>
        <v>0</v>
      </c>
      <c r="K382" s="23">
        <f>IF(C382="","",IFERROR(INDEX(Services!$E$5:$E$64,MATCH(C382,Services!$B$5:$B$64,0)),""))</f>
        <v>0</v>
      </c>
      <c r="L382" s="21">
        <f>IF(B382="","",IF(F382&lt;&gt;"",F382,IFERROR(J382*1,0)))</f>
        <v>0</v>
      </c>
      <c r="M382" s="51">
        <f>IF(B382="","",IF(D382&lt;&gt;"",D382,IFERROR(INDEX(Services!$O$5:$O$64,MATCH(C382,Services!$B$5:$B$64,0)),"")))</f>
        <v>0</v>
      </c>
      <c r="N382" s="34">
        <f>IF(B382="","",IFERROR(INDEX(Services!$G$5:$G$64,MATCH(C382,Services!$B$5:$B$64,0)),0)*IF(E382="",1,IF(IFERROR(INDEX(Services!$D$5:$D$64,MATCH(C382,Services!$B$5:$B$64,0)),"")="Per hour",1,E382)))</f>
        <v>0</v>
      </c>
      <c r="O382" s="21">
        <f>IF(B382="","",ROUND(IF(E382="",1,E382)*L382,2))</f>
        <v>0</v>
      </c>
      <c r="P382" s="21">
        <f>IF(B382="","",ROUND(O382*(1-IF(G382="",0,G382)),2))</f>
        <v>0</v>
      </c>
      <c r="Q382" s="21">
        <f>IF(B382="","",ROUND(N382*CostPerHour+IF(E382="",1,E382)*IFERROR(INDEX(Services!$R$5:$R$64,MATCH(C382,Services!$B$5:$B$64,0)),0),2))</f>
        <v>0</v>
      </c>
      <c r="R382" s="38">
        <f>IF(OR(B382="",P382=0),"",(P382-Q382)/P382)</f>
        <v>0</v>
      </c>
      <c r="S382" s="31">
        <f>IF(OR(B382="",C382=""),"",COUNTIFS($B$5:B382,B382))</f>
        <v>0</v>
      </c>
      <c r="T382" s="23">
        <f>IF(S382="","",B382&amp;"|"&amp;S382)</f>
        <v>0</v>
      </c>
      <c r="U382" s="39">
        <f>IF(B382="","",IF(C382="","Add - pick a service",IF(E382="","Add - how many?",IF(L382=0,"Add - no price",IF(AND(R382&lt;&gt;"",R382&lt;MarginFloor),"Below - thin margin","OK")))))</f>
        <v>0</v>
      </c>
    </row>
    <row r="383" spans="1:21">
      <c r="A383" s="43">
        <f>IF(B383="","","QL-"&amp;TEXT(ROW()-4,"0000"))</f>
        <v>0</v>
      </c>
      <c r="J383" s="21">
        <f>IF(C383="","",IFERROR(INDEX(Services!$P$5:$P$64,MATCH(C383,Services!$B$5:$B$64,0)),"0"))</f>
        <v>0</v>
      </c>
      <c r="K383" s="23">
        <f>IF(C383="","",IFERROR(INDEX(Services!$E$5:$E$64,MATCH(C383,Services!$B$5:$B$64,0)),""))</f>
        <v>0</v>
      </c>
      <c r="L383" s="21">
        <f>IF(B383="","",IF(F383&lt;&gt;"",F383,IFERROR(J383*1,0)))</f>
        <v>0</v>
      </c>
      <c r="M383" s="51">
        <f>IF(B383="","",IF(D383&lt;&gt;"",D383,IFERROR(INDEX(Services!$O$5:$O$64,MATCH(C383,Services!$B$5:$B$64,0)),"")))</f>
        <v>0</v>
      </c>
      <c r="N383" s="34">
        <f>IF(B383="","",IFERROR(INDEX(Services!$G$5:$G$64,MATCH(C383,Services!$B$5:$B$64,0)),0)*IF(E383="",1,IF(IFERROR(INDEX(Services!$D$5:$D$64,MATCH(C383,Services!$B$5:$B$64,0)),"")="Per hour",1,E383)))</f>
        <v>0</v>
      </c>
      <c r="O383" s="21">
        <f>IF(B383="","",ROUND(IF(E383="",1,E383)*L383,2))</f>
        <v>0</v>
      </c>
      <c r="P383" s="21">
        <f>IF(B383="","",ROUND(O383*(1-IF(G383="",0,G383)),2))</f>
        <v>0</v>
      </c>
      <c r="Q383" s="21">
        <f>IF(B383="","",ROUND(N383*CostPerHour+IF(E383="",1,E383)*IFERROR(INDEX(Services!$R$5:$R$64,MATCH(C383,Services!$B$5:$B$64,0)),0),2))</f>
        <v>0</v>
      </c>
      <c r="R383" s="38">
        <f>IF(OR(B383="",P383=0),"",(P383-Q383)/P383)</f>
        <v>0</v>
      </c>
      <c r="S383" s="31">
        <f>IF(OR(B383="",C383=""),"",COUNTIFS($B$5:B383,B383))</f>
        <v>0</v>
      </c>
      <c r="T383" s="23">
        <f>IF(S383="","",B383&amp;"|"&amp;S383)</f>
        <v>0</v>
      </c>
      <c r="U383" s="39">
        <f>IF(B383="","",IF(C383="","Add - pick a service",IF(E383="","Add - how many?",IF(L383=0,"Add - no price",IF(AND(R383&lt;&gt;"",R383&lt;MarginFloor),"Below - thin margin","OK")))))</f>
        <v>0</v>
      </c>
    </row>
    <row r="384" spans="1:21">
      <c r="A384" s="43">
        <f>IF(B384="","","QL-"&amp;TEXT(ROW()-4,"0000"))</f>
        <v>0</v>
      </c>
      <c r="J384" s="21">
        <f>IF(C384="","",IFERROR(INDEX(Services!$P$5:$P$64,MATCH(C384,Services!$B$5:$B$64,0)),"0"))</f>
        <v>0</v>
      </c>
      <c r="K384" s="23">
        <f>IF(C384="","",IFERROR(INDEX(Services!$E$5:$E$64,MATCH(C384,Services!$B$5:$B$64,0)),""))</f>
        <v>0</v>
      </c>
      <c r="L384" s="21">
        <f>IF(B384="","",IF(F384&lt;&gt;"",F384,IFERROR(J384*1,0)))</f>
        <v>0</v>
      </c>
      <c r="M384" s="51">
        <f>IF(B384="","",IF(D384&lt;&gt;"",D384,IFERROR(INDEX(Services!$O$5:$O$64,MATCH(C384,Services!$B$5:$B$64,0)),"")))</f>
        <v>0</v>
      </c>
      <c r="N384" s="34">
        <f>IF(B384="","",IFERROR(INDEX(Services!$G$5:$G$64,MATCH(C384,Services!$B$5:$B$64,0)),0)*IF(E384="",1,IF(IFERROR(INDEX(Services!$D$5:$D$64,MATCH(C384,Services!$B$5:$B$64,0)),"")="Per hour",1,E384)))</f>
        <v>0</v>
      </c>
      <c r="O384" s="21">
        <f>IF(B384="","",ROUND(IF(E384="",1,E384)*L384,2))</f>
        <v>0</v>
      </c>
      <c r="P384" s="21">
        <f>IF(B384="","",ROUND(O384*(1-IF(G384="",0,G384)),2))</f>
        <v>0</v>
      </c>
      <c r="Q384" s="21">
        <f>IF(B384="","",ROUND(N384*CostPerHour+IF(E384="",1,E384)*IFERROR(INDEX(Services!$R$5:$R$64,MATCH(C384,Services!$B$5:$B$64,0)),0),2))</f>
        <v>0</v>
      </c>
      <c r="R384" s="38">
        <f>IF(OR(B384="",P384=0),"",(P384-Q384)/P384)</f>
        <v>0</v>
      </c>
      <c r="S384" s="31">
        <f>IF(OR(B384="",C384=""),"",COUNTIFS($B$5:B384,B384))</f>
        <v>0</v>
      </c>
      <c r="T384" s="23">
        <f>IF(S384="","",B384&amp;"|"&amp;S384)</f>
        <v>0</v>
      </c>
      <c r="U384" s="39">
        <f>IF(B384="","",IF(C384="","Add - pick a service",IF(E384="","Add - how many?",IF(L384=0,"Add - no price",IF(AND(R384&lt;&gt;"",R384&lt;MarginFloor),"Below - thin margin","OK")))))</f>
        <v>0</v>
      </c>
    </row>
    <row r="385" spans="1:21">
      <c r="A385" s="43">
        <f>IF(B385="","","QL-"&amp;TEXT(ROW()-4,"0000"))</f>
        <v>0</v>
      </c>
      <c r="J385" s="21">
        <f>IF(C385="","",IFERROR(INDEX(Services!$P$5:$P$64,MATCH(C385,Services!$B$5:$B$64,0)),"0"))</f>
        <v>0</v>
      </c>
      <c r="K385" s="23">
        <f>IF(C385="","",IFERROR(INDEX(Services!$E$5:$E$64,MATCH(C385,Services!$B$5:$B$64,0)),""))</f>
        <v>0</v>
      </c>
      <c r="L385" s="21">
        <f>IF(B385="","",IF(F385&lt;&gt;"",F385,IFERROR(J385*1,0)))</f>
        <v>0</v>
      </c>
      <c r="M385" s="51">
        <f>IF(B385="","",IF(D385&lt;&gt;"",D385,IFERROR(INDEX(Services!$O$5:$O$64,MATCH(C385,Services!$B$5:$B$64,0)),"")))</f>
        <v>0</v>
      </c>
      <c r="N385" s="34">
        <f>IF(B385="","",IFERROR(INDEX(Services!$G$5:$G$64,MATCH(C385,Services!$B$5:$B$64,0)),0)*IF(E385="",1,IF(IFERROR(INDEX(Services!$D$5:$D$64,MATCH(C385,Services!$B$5:$B$64,0)),"")="Per hour",1,E385)))</f>
        <v>0</v>
      </c>
      <c r="O385" s="21">
        <f>IF(B385="","",ROUND(IF(E385="",1,E385)*L385,2))</f>
        <v>0</v>
      </c>
      <c r="P385" s="21">
        <f>IF(B385="","",ROUND(O385*(1-IF(G385="",0,G385)),2))</f>
        <v>0</v>
      </c>
      <c r="Q385" s="21">
        <f>IF(B385="","",ROUND(N385*CostPerHour+IF(E385="",1,E385)*IFERROR(INDEX(Services!$R$5:$R$64,MATCH(C385,Services!$B$5:$B$64,0)),0),2))</f>
        <v>0</v>
      </c>
      <c r="R385" s="38">
        <f>IF(OR(B385="",P385=0),"",(P385-Q385)/P385)</f>
        <v>0</v>
      </c>
      <c r="S385" s="31">
        <f>IF(OR(B385="",C385=""),"",COUNTIFS($B$5:B385,B385))</f>
        <v>0</v>
      </c>
      <c r="T385" s="23">
        <f>IF(S385="","",B385&amp;"|"&amp;S385)</f>
        <v>0</v>
      </c>
      <c r="U385" s="39">
        <f>IF(B385="","",IF(C385="","Add - pick a service",IF(E385="","Add - how many?",IF(L385=0,"Add - no price",IF(AND(R385&lt;&gt;"",R385&lt;MarginFloor),"Below - thin margin","OK")))))</f>
        <v>0</v>
      </c>
    </row>
    <row r="386" spans="1:21">
      <c r="A386" s="43">
        <f>IF(B386="","","QL-"&amp;TEXT(ROW()-4,"0000"))</f>
        <v>0</v>
      </c>
      <c r="J386" s="21">
        <f>IF(C386="","",IFERROR(INDEX(Services!$P$5:$P$64,MATCH(C386,Services!$B$5:$B$64,0)),"0"))</f>
        <v>0</v>
      </c>
      <c r="K386" s="23">
        <f>IF(C386="","",IFERROR(INDEX(Services!$E$5:$E$64,MATCH(C386,Services!$B$5:$B$64,0)),""))</f>
        <v>0</v>
      </c>
      <c r="L386" s="21">
        <f>IF(B386="","",IF(F386&lt;&gt;"",F386,IFERROR(J386*1,0)))</f>
        <v>0</v>
      </c>
      <c r="M386" s="51">
        <f>IF(B386="","",IF(D386&lt;&gt;"",D386,IFERROR(INDEX(Services!$O$5:$O$64,MATCH(C386,Services!$B$5:$B$64,0)),"")))</f>
        <v>0</v>
      </c>
      <c r="N386" s="34">
        <f>IF(B386="","",IFERROR(INDEX(Services!$G$5:$G$64,MATCH(C386,Services!$B$5:$B$64,0)),0)*IF(E386="",1,IF(IFERROR(INDEX(Services!$D$5:$D$64,MATCH(C386,Services!$B$5:$B$64,0)),"")="Per hour",1,E386)))</f>
        <v>0</v>
      </c>
      <c r="O386" s="21">
        <f>IF(B386="","",ROUND(IF(E386="",1,E386)*L386,2))</f>
        <v>0</v>
      </c>
      <c r="P386" s="21">
        <f>IF(B386="","",ROUND(O386*(1-IF(G386="",0,G386)),2))</f>
        <v>0</v>
      </c>
      <c r="Q386" s="21">
        <f>IF(B386="","",ROUND(N386*CostPerHour+IF(E386="",1,E386)*IFERROR(INDEX(Services!$R$5:$R$64,MATCH(C386,Services!$B$5:$B$64,0)),0),2))</f>
        <v>0</v>
      </c>
      <c r="R386" s="38">
        <f>IF(OR(B386="",P386=0),"",(P386-Q386)/P386)</f>
        <v>0</v>
      </c>
      <c r="S386" s="31">
        <f>IF(OR(B386="",C386=""),"",COUNTIFS($B$5:B386,B386))</f>
        <v>0</v>
      </c>
      <c r="T386" s="23">
        <f>IF(S386="","",B386&amp;"|"&amp;S386)</f>
        <v>0</v>
      </c>
      <c r="U386" s="39">
        <f>IF(B386="","",IF(C386="","Add - pick a service",IF(E386="","Add - how many?",IF(L386=0,"Add - no price",IF(AND(R386&lt;&gt;"",R386&lt;MarginFloor),"Below - thin margin","OK")))))</f>
        <v>0</v>
      </c>
    </row>
    <row r="387" spans="1:21">
      <c r="A387" s="43">
        <f>IF(B387="","","QL-"&amp;TEXT(ROW()-4,"0000"))</f>
        <v>0</v>
      </c>
      <c r="J387" s="21">
        <f>IF(C387="","",IFERROR(INDEX(Services!$P$5:$P$64,MATCH(C387,Services!$B$5:$B$64,0)),"0"))</f>
        <v>0</v>
      </c>
      <c r="K387" s="23">
        <f>IF(C387="","",IFERROR(INDEX(Services!$E$5:$E$64,MATCH(C387,Services!$B$5:$B$64,0)),""))</f>
        <v>0</v>
      </c>
      <c r="L387" s="21">
        <f>IF(B387="","",IF(F387&lt;&gt;"",F387,IFERROR(J387*1,0)))</f>
        <v>0</v>
      </c>
      <c r="M387" s="51">
        <f>IF(B387="","",IF(D387&lt;&gt;"",D387,IFERROR(INDEX(Services!$O$5:$O$64,MATCH(C387,Services!$B$5:$B$64,0)),"")))</f>
        <v>0</v>
      </c>
      <c r="N387" s="34">
        <f>IF(B387="","",IFERROR(INDEX(Services!$G$5:$G$64,MATCH(C387,Services!$B$5:$B$64,0)),0)*IF(E387="",1,IF(IFERROR(INDEX(Services!$D$5:$D$64,MATCH(C387,Services!$B$5:$B$64,0)),"")="Per hour",1,E387)))</f>
        <v>0</v>
      </c>
      <c r="O387" s="21">
        <f>IF(B387="","",ROUND(IF(E387="",1,E387)*L387,2))</f>
        <v>0</v>
      </c>
      <c r="P387" s="21">
        <f>IF(B387="","",ROUND(O387*(1-IF(G387="",0,G387)),2))</f>
        <v>0</v>
      </c>
      <c r="Q387" s="21">
        <f>IF(B387="","",ROUND(N387*CostPerHour+IF(E387="",1,E387)*IFERROR(INDEX(Services!$R$5:$R$64,MATCH(C387,Services!$B$5:$B$64,0)),0),2))</f>
        <v>0</v>
      </c>
      <c r="R387" s="38">
        <f>IF(OR(B387="",P387=0),"",(P387-Q387)/P387)</f>
        <v>0</v>
      </c>
      <c r="S387" s="31">
        <f>IF(OR(B387="",C387=""),"",COUNTIFS($B$5:B387,B387))</f>
        <v>0</v>
      </c>
      <c r="T387" s="23">
        <f>IF(S387="","",B387&amp;"|"&amp;S387)</f>
        <v>0</v>
      </c>
      <c r="U387" s="39">
        <f>IF(B387="","",IF(C387="","Add - pick a service",IF(E387="","Add - how many?",IF(L387=0,"Add - no price",IF(AND(R387&lt;&gt;"",R387&lt;MarginFloor),"Below - thin margin","OK")))))</f>
        <v>0</v>
      </c>
    </row>
    <row r="388" spans="1:21">
      <c r="A388" s="43">
        <f>IF(B388="","","QL-"&amp;TEXT(ROW()-4,"0000"))</f>
        <v>0</v>
      </c>
      <c r="J388" s="21">
        <f>IF(C388="","",IFERROR(INDEX(Services!$P$5:$P$64,MATCH(C388,Services!$B$5:$B$64,0)),"0"))</f>
        <v>0</v>
      </c>
      <c r="K388" s="23">
        <f>IF(C388="","",IFERROR(INDEX(Services!$E$5:$E$64,MATCH(C388,Services!$B$5:$B$64,0)),""))</f>
        <v>0</v>
      </c>
      <c r="L388" s="21">
        <f>IF(B388="","",IF(F388&lt;&gt;"",F388,IFERROR(J388*1,0)))</f>
        <v>0</v>
      </c>
      <c r="M388" s="51">
        <f>IF(B388="","",IF(D388&lt;&gt;"",D388,IFERROR(INDEX(Services!$O$5:$O$64,MATCH(C388,Services!$B$5:$B$64,0)),"")))</f>
        <v>0</v>
      </c>
      <c r="N388" s="34">
        <f>IF(B388="","",IFERROR(INDEX(Services!$G$5:$G$64,MATCH(C388,Services!$B$5:$B$64,0)),0)*IF(E388="",1,IF(IFERROR(INDEX(Services!$D$5:$D$64,MATCH(C388,Services!$B$5:$B$64,0)),"")="Per hour",1,E388)))</f>
        <v>0</v>
      </c>
      <c r="O388" s="21">
        <f>IF(B388="","",ROUND(IF(E388="",1,E388)*L388,2))</f>
        <v>0</v>
      </c>
      <c r="P388" s="21">
        <f>IF(B388="","",ROUND(O388*(1-IF(G388="",0,G388)),2))</f>
        <v>0</v>
      </c>
      <c r="Q388" s="21">
        <f>IF(B388="","",ROUND(N388*CostPerHour+IF(E388="",1,E388)*IFERROR(INDEX(Services!$R$5:$R$64,MATCH(C388,Services!$B$5:$B$64,0)),0),2))</f>
        <v>0</v>
      </c>
      <c r="R388" s="38">
        <f>IF(OR(B388="",P388=0),"",(P388-Q388)/P388)</f>
        <v>0</v>
      </c>
      <c r="S388" s="31">
        <f>IF(OR(B388="",C388=""),"",COUNTIFS($B$5:B388,B388))</f>
        <v>0</v>
      </c>
      <c r="T388" s="23">
        <f>IF(S388="","",B388&amp;"|"&amp;S388)</f>
        <v>0</v>
      </c>
      <c r="U388" s="39">
        <f>IF(B388="","",IF(C388="","Add - pick a service",IF(E388="","Add - how many?",IF(L388=0,"Add - no price",IF(AND(R388&lt;&gt;"",R388&lt;MarginFloor),"Below - thin margin","OK")))))</f>
        <v>0</v>
      </c>
    </row>
    <row r="389" spans="1:21">
      <c r="A389" s="43">
        <f>IF(B389="","","QL-"&amp;TEXT(ROW()-4,"0000"))</f>
        <v>0</v>
      </c>
      <c r="J389" s="21">
        <f>IF(C389="","",IFERROR(INDEX(Services!$P$5:$P$64,MATCH(C389,Services!$B$5:$B$64,0)),"0"))</f>
        <v>0</v>
      </c>
      <c r="K389" s="23">
        <f>IF(C389="","",IFERROR(INDEX(Services!$E$5:$E$64,MATCH(C389,Services!$B$5:$B$64,0)),""))</f>
        <v>0</v>
      </c>
      <c r="L389" s="21">
        <f>IF(B389="","",IF(F389&lt;&gt;"",F389,IFERROR(J389*1,0)))</f>
        <v>0</v>
      </c>
      <c r="M389" s="51">
        <f>IF(B389="","",IF(D389&lt;&gt;"",D389,IFERROR(INDEX(Services!$O$5:$O$64,MATCH(C389,Services!$B$5:$B$64,0)),"")))</f>
        <v>0</v>
      </c>
      <c r="N389" s="34">
        <f>IF(B389="","",IFERROR(INDEX(Services!$G$5:$G$64,MATCH(C389,Services!$B$5:$B$64,0)),0)*IF(E389="",1,IF(IFERROR(INDEX(Services!$D$5:$D$64,MATCH(C389,Services!$B$5:$B$64,0)),"")="Per hour",1,E389)))</f>
        <v>0</v>
      </c>
      <c r="O389" s="21">
        <f>IF(B389="","",ROUND(IF(E389="",1,E389)*L389,2))</f>
        <v>0</v>
      </c>
      <c r="P389" s="21">
        <f>IF(B389="","",ROUND(O389*(1-IF(G389="",0,G389)),2))</f>
        <v>0</v>
      </c>
      <c r="Q389" s="21">
        <f>IF(B389="","",ROUND(N389*CostPerHour+IF(E389="",1,E389)*IFERROR(INDEX(Services!$R$5:$R$64,MATCH(C389,Services!$B$5:$B$64,0)),0),2))</f>
        <v>0</v>
      </c>
      <c r="R389" s="38">
        <f>IF(OR(B389="",P389=0),"",(P389-Q389)/P389)</f>
        <v>0</v>
      </c>
      <c r="S389" s="31">
        <f>IF(OR(B389="",C389=""),"",COUNTIFS($B$5:B389,B389))</f>
        <v>0</v>
      </c>
      <c r="T389" s="23">
        <f>IF(S389="","",B389&amp;"|"&amp;S389)</f>
        <v>0</v>
      </c>
      <c r="U389" s="39">
        <f>IF(B389="","",IF(C389="","Add - pick a service",IF(E389="","Add - how many?",IF(L389=0,"Add - no price",IF(AND(R389&lt;&gt;"",R389&lt;MarginFloor),"Below - thin margin","OK")))))</f>
        <v>0</v>
      </c>
    </row>
    <row r="390" spans="1:21">
      <c r="A390" s="43">
        <f>IF(B390="","","QL-"&amp;TEXT(ROW()-4,"0000"))</f>
        <v>0</v>
      </c>
      <c r="J390" s="21">
        <f>IF(C390="","",IFERROR(INDEX(Services!$P$5:$P$64,MATCH(C390,Services!$B$5:$B$64,0)),"0"))</f>
        <v>0</v>
      </c>
      <c r="K390" s="23">
        <f>IF(C390="","",IFERROR(INDEX(Services!$E$5:$E$64,MATCH(C390,Services!$B$5:$B$64,0)),""))</f>
        <v>0</v>
      </c>
      <c r="L390" s="21">
        <f>IF(B390="","",IF(F390&lt;&gt;"",F390,IFERROR(J390*1,0)))</f>
        <v>0</v>
      </c>
      <c r="M390" s="51">
        <f>IF(B390="","",IF(D390&lt;&gt;"",D390,IFERROR(INDEX(Services!$O$5:$O$64,MATCH(C390,Services!$B$5:$B$64,0)),"")))</f>
        <v>0</v>
      </c>
      <c r="N390" s="34">
        <f>IF(B390="","",IFERROR(INDEX(Services!$G$5:$G$64,MATCH(C390,Services!$B$5:$B$64,0)),0)*IF(E390="",1,IF(IFERROR(INDEX(Services!$D$5:$D$64,MATCH(C390,Services!$B$5:$B$64,0)),"")="Per hour",1,E390)))</f>
        <v>0</v>
      </c>
      <c r="O390" s="21">
        <f>IF(B390="","",ROUND(IF(E390="",1,E390)*L390,2))</f>
        <v>0</v>
      </c>
      <c r="P390" s="21">
        <f>IF(B390="","",ROUND(O390*(1-IF(G390="",0,G390)),2))</f>
        <v>0</v>
      </c>
      <c r="Q390" s="21">
        <f>IF(B390="","",ROUND(N390*CostPerHour+IF(E390="",1,E390)*IFERROR(INDEX(Services!$R$5:$R$64,MATCH(C390,Services!$B$5:$B$64,0)),0),2))</f>
        <v>0</v>
      </c>
      <c r="R390" s="38">
        <f>IF(OR(B390="",P390=0),"",(P390-Q390)/P390)</f>
        <v>0</v>
      </c>
      <c r="S390" s="31">
        <f>IF(OR(B390="",C390=""),"",COUNTIFS($B$5:B390,B390))</f>
        <v>0</v>
      </c>
      <c r="T390" s="23">
        <f>IF(S390="","",B390&amp;"|"&amp;S390)</f>
        <v>0</v>
      </c>
      <c r="U390" s="39">
        <f>IF(B390="","",IF(C390="","Add - pick a service",IF(E390="","Add - how many?",IF(L390=0,"Add - no price",IF(AND(R390&lt;&gt;"",R390&lt;MarginFloor),"Below - thin margin","OK")))))</f>
        <v>0</v>
      </c>
    </row>
    <row r="391" spans="1:21">
      <c r="A391" s="43">
        <f>IF(B391="","","QL-"&amp;TEXT(ROW()-4,"0000"))</f>
        <v>0</v>
      </c>
      <c r="J391" s="21">
        <f>IF(C391="","",IFERROR(INDEX(Services!$P$5:$P$64,MATCH(C391,Services!$B$5:$B$64,0)),"0"))</f>
        <v>0</v>
      </c>
      <c r="K391" s="23">
        <f>IF(C391="","",IFERROR(INDEX(Services!$E$5:$E$64,MATCH(C391,Services!$B$5:$B$64,0)),""))</f>
        <v>0</v>
      </c>
      <c r="L391" s="21">
        <f>IF(B391="","",IF(F391&lt;&gt;"",F391,IFERROR(J391*1,0)))</f>
        <v>0</v>
      </c>
      <c r="M391" s="51">
        <f>IF(B391="","",IF(D391&lt;&gt;"",D391,IFERROR(INDEX(Services!$O$5:$O$64,MATCH(C391,Services!$B$5:$B$64,0)),"")))</f>
        <v>0</v>
      </c>
      <c r="N391" s="34">
        <f>IF(B391="","",IFERROR(INDEX(Services!$G$5:$G$64,MATCH(C391,Services!$B$5:$B$64,0)),0)*IF(E391="",1,IF(IFERROR(INDEX(Services!$D$5:$D$64,MATCH(C391,Services!$B$5:$B$64,0)),"")="Per hour",1,E391)))</f>
        <v>0</v>
      </c>
      <c r="O391" s="21">
        <f>IF(B391="","",ROUND(IF(E391="",1,E391)*L391,2))</f>
        <v>0</v>
      </c>
      <c r="P391" s="21">
        <f>IF(B391="","",ROUND(O391*(1-IF(G391="",0,G391)),2))</f>
        <v>0</v>
      </c>
      <c r="Q391" s="21">
        <f>IF(B391="","",ROUND(N391*CostPerHour+IF(E391="",1,E391)*IFERROR(INDEX(Services!$R$5:$R$64,MATCH(C391,Services!$B$5:$B$64,0)),0),2))</f>
        <v>0</v>
      </c>
      <c r="R391" s="38">
        <f>IF(OR(B391="",P391=0),"",(P391-Q391)/P391)</f>
        <v>0</v>
      </c>
      <c r="S391" s="31">
        <f>IF(OR(B391="",C391=""),"",COUNTIFS($B$5:B391,B391))</f>
        <v>0</v>
      </c>
      <c r="T391" s="23">
        <f>IF(S391="","",B391&amp;"|"&amp;S391)</f>
        <v>0</v>
      </c>
      <c r="U391" s="39">
        <f>IF(B391="","",IF(C391="","Add - pick a service",IF(E391="","Add - how many?",IF(L391=0,"Add - no price",IF(AND(R391&lt;&gt;"",R391&lt;MarginFloor),"Below - thin margin","OK")))))</f>
        <v>0</v>
      </c>
    </row>
    <row r="392" spans="1:21">
      <c r="A392" s="43">
        <f>IF(B392="","","QL-"&amp;TEXT(ROW()-4,"0000"))</f>
        <v>0</v>
      </c>
      <c r="J392" s="21">
        <f>IF(C392="","",IFERROR(INDEX(Services!$P$5:$P$64,MATCH(C392,Services!$B$5:$B$64,0)),"0"))</f>
        <v>0</v>
      </c>
      <c r="K392" s="23">
        <f>IF(C392="","",IFERROR(INDEX(Services!$E$5:$E$64,MATCH(C392,Services!$B$5:$B$64,0)),""))</f>
        <v>0</v>
      </c>
      <c r="L392" s="21">
        <f>IF(B392="","",IF(F392&lt;&gt;"",F392,IFERROR(J392*1,0)))</f>
        <v>0</v>
      </c>
      <c r="M392" s="51">
        <f>IF(B392="","",IF(D392&lt;&gt;"",D392,IFERROR(INDEX(Services!$O$5:$O$64,MATCH(C392,Services!$B$5:$B$64,0)),"")))</f>
        <v>0</v>
      </c>
      <c r="N392" s="34">
        <f>IF(B392="","",IFERROR(INDEX(Services!$G$5:$G$64,MATCH(C392,Services!$B$5:$B$64,0)),0)*IF(E392="",1,IF(IFERROR(INDEX(Services!$D$5:$D$64,MATCH(C392,Services!$B$5:$B$64,0)),"")="Per hour",1,E392)))</f>
        <v>0</v>
      </c>
      <c r="O392" s="21">
        <f>IF(B392="","",ROUND(IF(E392="",1,E392)*L392,2))</f>
        <v>0</v>
      </c>
      <c r="P392" s="21">
        <f>IF(B392="","",ROUND(O392*(1-IF(G392="",0,G392)),2))</f>
        <v>0</v>
      </c>
      <c r="Q392" s="21">
        <f>IF(B392="","",ROUND(N392*CostPerHour+IF(E392="",1,E392)*IFERROR(INDEX(Services!$R$5:$R$64,MATCH(C392,Services!$B$5:$B$64,0)),0),2))</f>
        <v>0</v>
      </c>
      <c r="R392" s="38">
        <f>IF(OR(B392="",P392=0),"",(P392-Q392)/P392)</f>
        <v>0</v>
      </c>
      <c r="S392" s="31">
        <f>IF(OR(B392="",C392=""),"",COUNTIFS($B$5:B392,B392))</f>
        <v>0</v>
      </c>
      <c r="T392" s="23">
        <f>IF(S392="","",B392&amp;"|"&amp;S392)</f>
        <v>0</v>
      </c>
      <c r="U392" s="39">
        <f>IF(B392="","",IF(C392="","Add - pick a service",IF(E392="","Add - how many?",IF(L392=0,"Add - no price",IF(AND(R392&lt;&gt;"",R392&lt;MarginFloor),"Below - thin margin","OK")))))</f>
        <v>0</v>
      </c>
    </row>
    <row r="393" spans="1:21">
      <c r="A393" s="43">
        <f>IF(B393="","","QL-"&amp;TEXT(ROW()-4,"0000"))</f>
        <v>0</v>
      </c>
      <c r="J393" s="21">
        <f>IF(C393="","",IFERROR(INDEX(Services!$P$5:$P$64,MATCH(C393,Services!$B$5:$B$64,0)),"0"))</f>
        <v>0</v>
      </c>
      <c r="K393" s="23">
        <f>IF(C393="","",IFERROR(INDEX(Services!$E$5:$E$64,MATCH(C393,Services!$B$5:$B$64,0)),""))</f>
        <v>0</v>
      </c>
      <c r="L393" s="21">
        <f>IF(B393="","",IF(F393&lt;&gt;"",F393,IFERROR(J393*1,0)))</f>
        <v>0</v>
      </c>
      <c r="M393" s="51">
        <f>IF(B393="","",IF(D393&lt;&gt;"",D393,IFERROR(INDEX(Services!$O$5:$O$64,MATCH(C393,Services!$B$5:$B$64,0)),"")))</f>
        <v>0</v>
      </c>
      <c r="N393" s="34">
        <f>IF(B393="","",IFERROR(INDEX(Services!$G$5:$G$64,MATCH(C393,Services!$B$5:$B$64,0)),0)*IF(E393="",1,IF(IFERROR(INDEX(Services!$D$5:$D$64,MATCH(C393,Services!$B$5:$B$64,0)),"")="Per hour",1,E393)))</f>
        <v>0</v>
      </c>
      <c r="O393" s="21">
        <f>IF(B393="","",ROUND(IF(E393="",1,E393)*L393,2))</f>
        <v>0</v>
      </c>
      <c r="P393" s="21">
        <f>IF(B393="","",ROUND(O393*(1-IF(G393="",0,G393)),2))</f>
        <v>0</v>
      </c>
      <c r="Q393" s="21">
        <f>IF(B393="","",ROUND(N393*CostPerHour+IF(E393="",1,E393)*IFERROR(INDEX(Services!$R$5:$R$64,MATCH(C393,Services!$B$5:$B$64,0)),0),2))</f>
        <v>0</v>
      </c>
      <c r="R393" s="38">
        <f>IF(OR(B393="",P393=0),"",(P393-Q393)/P393)</f>
        <v>0</v>
      </c>
      <c r="S393" s="31">
        <f>IF(OR(B393="",C393=""),"",COUNTIFS($B$5:B393,B393))</f>
        <v>0</v>
      </c>
      <c r="T393" s="23">
        <f>IF(S393="","",B393&amp;"|"&amp;S393)</f>
        <v>0</v>
      </c>
      <c r="U393" s="39">
        <f>IF(B393="","",IF(C393="","Add - pick a service",IF(E393="","Add - how many?",IF(L393=0,"Add - no price",IF(AND(R393&lt;&gt;"",R393&lt;MarginFloor),"Below - thin margin","OK")))))</f>
        <v>0</v>
      </c>
    </row>
    <row r="394" spans="1:21">
      <c r="A394" s="43">
        <f>IF(B394="","","QL-"&amp;TEXT(ROW()-4,"0000"))</f>
        <v>0</v>
      </c>
      <c r="J394" s="21">
        <f>IF(C394="","",IFERROR(INDEX(Services!$P$5:$P$64,MATCH(C394,Services!$B$5:$B$64,0)),"0"))</f>
        <v>0</v>
      </c>
      <c r="K394" s="23">
        <f>IF(C394="","",IFERROR(INDEX(Services!$E$5:$E$64,MATCH(C394,Services!$B$5:$B$64,0)),""))</f>
        <v>0</v>
      </c>
      <c r="L394" s="21">
        <f>IF(B394="","",IF(F394&lt;&gt;"",F394,IFERROR(J394*1,0)))</f>
        <v>0</v>
      </c>
      <c r="M394" s="51">
        <f>IF(B394="","",IF(D394&lt;&gt;"",D394,IFERROR(INDEX(Services!$O$5:$O$64,MATCH(C394,Services!$B$5:$B$64,0)),"")))</f>
        <v>0</v>
      </c>
      <c r="N394" s="34">
        <f>IF(B394="","",IFERROR(INDEX(Services!$G$5:$G$64,MATCH(C394,Services!$B$5:$B$64,0)),0)*IF(E394="",1,IF(IFERROR(INDEX(Services!$D$5:$D$64,MATCH(C394,Services!$B$5:$B$64,0)),"")="Per hour",1,E394)))</f>
        <v>0</v>
      </c>
      <c r="O394" s="21">
        <f>IF(B394="","",ROUND(IF(E394="",1,E394)*L394,2))</f>
        <v>0</v>
      </c>
      <c r="P394" s="21">
        <f>IF(B394="","",ROUND(O394*(1-IF(G394="",0,G394)),2))</f>
        <v>0</v>
      </c>
      <c r="Q394" s="21">
        <f>IF(B394="","",ROUND(N394*CostPerHour+IF(E394="",1,E394)*IFERROR(INDEX(Services!$R$5:$R$64,MATCH(C394,Services!$B$5:$B$64,0)),0),2))</f>
        <v>0</v>
      </c>
      <c r="R394" s="38">
        <f>IF(OR(B394="",P394=0),"",(P394-Q394)/P394)</f>
        <v>0</v>
      </c>
      <c r="S394" s="31">
        <f>IF(OR(B394="",C394=""),"",COUNTIFS($B$5:B394,B394))</f>
        <v>0</v>
      </c>
      <c r="T394" s="23">
        <f>IF(S394="","",B394&amp;"|"&amp;S394)</f>
        <v>0</v>
      </c>
      <c r="U394" s="39">
        <f>IF(B394="","",IF(C394="","Add - pick a service",IF(E394="","Add - how many?",IF(L394=0,"Add - no price",IF(AND(R394&lt;&gt;"",R394&lt;MarginFloor),"Below - thin margin","OK")))))</f>
        <v>0</v>
      </c>
    </row>
    <row r="395" spans="1:21">
      <c r="A395" s="43">
        <f>IF(B395="","","QL-"&amp;TEXT(ROW()-4,"0000"))</f>
        <v>0</v>
      </c>
      <c r="J395" s="21">
        <f>IF(C395="","",IFERROR(INDEX(Services!$P$5:$P$64,MATCH(C395,Services!$B$5:$B$64,0)),"0"))</f>
        <v>0</v>
      </c>
      <c r="K395" s="23">
        <f>IF(C395="","",IFERROR(INDEX(Services!$E$5:$E$64,MATCH(C395,Services!$B$5:$B$64,0)),""))</f>
        <v>0</v>
      </c>
      <c r="L395" s="21">
        <f>IF(B395="","",IF(F395&lt;&gt;"",F395,IFERROR(J395*1,0)))</f>
        <v>0</v>
      </c>
      <c r="M395" s="51">
        <f>IF(B395="","",IF(D395&lt;&gt;"",D395,IFERROR(INDEX(Services!$O$5:$O$64,MATCH(C395,Services!$B$5:$B$64,0)),"")))</f>
        <v>0</v>
      </c>
      <c r="N395" s="34">
        <f>IF(B395="","",IFERROR(INDEX(Services!$G$5:$G$64,MATCH(C395,Services!$B$5:$B$64,0)),0)*IF(E395="",1,IF(IFERROR(INDEX(Services!$D$5:$D$64,MATCH(C395,Services!$B$5:$B$64,0)),"")="Per hour",1,E395)))</f>
        <v>0</v>
      </c>
      <c r="O395" s="21">
        <f>IF(B395="","",ROUND(IF(E395="",1,E395)*L395,2))</f>
        <v>0</v>
      </c>
      <c r="P395" s="21">
        <f>IF(B395="","",ROUND(O395*(1-IF(G395="",0,G395)),2))</f>
        <v>0</v>
      </c>
      <c r="Q395" s="21">
        <f>IF(B395="","",ROUND(N395*CostPerHour+IF(E395="",1,E395)*IFERROR(INDEX(Services!$R$5:$R$64,MATCH(C395,Services!$B$5:$B$64,0)),0),2))</f>
        <v>0</v>
      </c>
      <c r="R395" s="38">
        <f>IF(OR(B395="",P395=0),"",(P395-Q395)/P395)</f>
        <v>0</v>
      </c>
      <c r="S395" s="31">
        <f>IF(OR(B395="",C395=""),"",COUNTIFS($B$5:B395,B395))</f>
        <v>0</v>
      </c>
      <c r="T395" s="23">
        <f>IF(S395="","",B395&amp;"|"&amp;S395)</f>
        <v>0</v>
      </c>
      <c r="U395" s="39">
        <f>IF(B395="","",IF(C395="","Add - pick a service",IF(E395="","Add - how many?",IF(L395=0,"Add - no price",IF(AND(R395&lt;&gt;"",R395&lt;MarginFloor),"Below - thin margin","OK")))))</f>
        <v>0</v>
      </c>
    </row>
    <row r="396" spans="1:21">
      <c r="A396" s="43">
        <f>IF(B396="","","QL-"&amp;TEXT(ROW()-4,"0000"))</f>
        <v>0</v>
      </c>
      <c r="J396" s="21">
        <f>IF(C396="","",IFERROR(INDEX(Services!$P$5:$P$64,MATCH(C396,Services!$B$5:$B$64,0)),"0"))</f>
        <v>0</v>
      </c>
      <c r="K396" s="23">
        <f>IF(C396="","",IFERROR(INDEX(Services!$E$5:$E$64,MATCH(C396,Services!$B$5:$B$64,0)),""))</f>
        <v>0</v>
      </c>
      <c r="L396" s="21">
        <f>IF(B396="","",IF(F396&lt;&gt;"",F396,IFERROR(J396*1,0)))</f>
        <v>0</v>
      </c>
      <c r="M396" s="51">
        <f>IF(B396="","",IF(D396&lt;&gt;"",D396,IFERROR(INDEX(Services!$O$5:$O$64,MATCH(C396,Services!$B$5:$B$64,0)),"")))</f>
        <v>0</v>
      </c>
      <c r="N396" s="34">
        <f>IF(B396="","",IFERROR(INDEX(Services!$G$5:$G$64,MATCH(C396,Services!$B$5:$B$64,0)),0)*IF(E396="",1,IF(IFERROR(INDEX(Services!$D$5:$D$64,MATCH(C396,Services!$B$5:$B$64,0)),"")="Per hour",1,E396)))</f>
        <v>0</v>
      </c>
      <c r="O396" s="21">
        <f>IF(B396="","",ROUND(IF(E396="",1,E396)*L396,2))</f>
        <v>0</v>
      </c>
      <c r="P396" s="21">
        <f>IF(B396="","",ROUND(O396*(1-IF(G396="",0,G396)),2))</f>
        <v>0</v>
      </c>
      <c r="Q396" s="21">
        <f>IF(B396="","",ROUND(N396*CostPerHour+IF(E396="",1,E396)*IFERROR(INDEX(Services!$R$5:$R$64,MATCH(C396,Services!$B$5:$B$64,0)),0),2))</f>
        <v>0</v>
      </c>
      <c r="R396" s="38">
        <f>IF(OR(B396="",P396=0),"",(P396-Q396)/P396)</f>
        <v>0</v>
      </c>
      <c r="S396" s="31">
        <f>IF(OR(B396="",C396=""),"",COUNTIFS($B$5:B396,B396))</f>
        <v>0</v>
      </c>
      <c r="T396" s="23">
        <f>IF(S396="","",B396&amp;"|"&amp;S396)</f>
        <v>0</v>
      </c>
      <c r="U396" s="39">
        <f>IF(B396="","",IF(C396="","Add - pick a service",IF(E396="","Add - how many?",IF(L396=0,"Add - no price",IF(AND(R396&lt;&gt;"",R396&lt;MarginFloor),"Below - thin margin","OK")))))</f>
        <v>0</v>
      </c>
    </row>
    <row r="397" spans="1:21">
      <c r="A397" s="43">
        <f>IF(B397="","","QL-"&amp;TEXT(ROW()-4,"0000"))</f>
        <v>0</v>
      </c>
      <c r="J397" s="21">
        <f>IF(C397="","",IFERROR(INDEX(Services!$P$5:$P$64,MATCH(C397,Services!$B$5:$B$64,0)),"0"))</f>
        <v>0</v>
      </c>
      <c r="K397" s="23">
        <f>IF(C397="","",IFERROR(INDEX(Services!$E$5:$E$64,MATCH(C397,Services!$B$5:$B$64,0)),""))</f>
        <v>0</v>
      </c>
      <c r="L397" s="21">
        <f>IF(B397="","",IF(F397&lt;&gt;"",F397,IFERROR(J397*1,0)))</f>
        <v>0</v>
      </c>
      <c r="M397" s="51">
        <f>IF(B397="","",IF(D397&lt;&gt;"",D397,IFERROR(INDEX(Services!$O$5:$O$64,MATCH(C397,Services!$B$5:$B$64,0)),"")))</f>
        <v>0</v>
      </c>
      <c r="N397" s="34">
        <f>IF(B397="","",IFERROR(INDEX(Services!$G$5:$G$64,MATCH(C397,Services!$B$5:$B$64,0)),0)*IF(E397="",1,IF(IFERROR(INDEX(Services!$D$5:$D$64,MATCH(C397,Services!$B$5:$B$64,0)),"")="Per hour",1,E397)))</f>
        <v>0</v>
      </c>
      <c r="O397" s="21">
        <f>IF(B397="","",ROUND(IF(E397="",1,E397)*L397,2))</f>
        <v>0</v>
      </c>
      <c r="P397" s="21">
        <f>IF(B397="","",ROUND(O397*(1-IF(G397="",0,G397)),2))</f>
        <v>0</v>
      </c>
      <c r="Q397" s="21">
        <f>IF(B397="","",ROUND(N397*CostPerHour+IF(E397="",1,E397)*IFERROR(INDEX(Services!$R$5:$R$64,MATCH(C397,Services!$B$5:$B$64,0)),0),2))</f>
        <v>0</v>
      </c>
      <c r="R397" s="38">
        <f>IF(OR(B397="",P397=0),"",(P397-Q397)/P397)</f>
        <v>0</v>
      </c>
      <c r="S397" s="31">
        <f>IF(OR(B397="",C397=""),"",COUNTIFS($B$5:B397,B397))</f>
        <v>0</v>
      </c>
      <c r="T397" s="23">
        <f>IF(S397="","",B397&amp;"|"&amp;S397)</f>
        <v>0</v>
      </c>
      <c r="U397" s="39">
        <f>IF(B397="","",IF(C397="","Add - pick a service",IF(E397="","Add - how many?",IF(L397=0,"Add - no price",IF(AND(R397&lt;&gt;"",R397&lt;MarginFloor),"Below - thin margin","OK")))))</f>
        <v>0</v>
      </c>
    </row>
    <row r="398" spans="1:21">
      <c r="A398" s="43">
        <f>IF(B398="","","QL-"&amp;TEXT(ROW()-4,"0000"))</f>
        <v>0</v>
      </c>
      <c r="J398" s="21">
        <f>IF(C398="","",IFERROR(INDEX(Services!$P$5:$P$64,MATCH(C398,Services!$B$5:$B$64,0)),"0"))</f>
        <v>0</v>
      </c>
      <c r="K398" s="23">
        <f>IF(C398="","",IFERROR(INDEX(Services!$E$5:$E$64,MATCH(C398,Services!$B$5:$B$64,0)),""))</f>
        <v>0</v>
      </c>
      <c r="L398" s="21">
        <f>IF(B398="","",IF(F398&lt;&gt;"",F398,IFERROR(J398*1,0)))</f>
        <v>0</v>
      </c>
      <c r="M398" s="51">
        <f>IF(B398="","",IF(D398&lt;&gt;"",D398,IFERROR(INDEX(Services!$O$5:$O$64,MATCH(C398,Services!$B$5:$B$64,0)),"")))</f>
        <v>0</v>
      </c>
      <c r="N398" s="34">
        <f>IF(B398="","",IFERROR(INDEX(Services!$G$5:$G$64,MATCH(C398,Services!$B$5:$B$64,0)),0)*IF(E398="",1,IF(IFERROR(INDEX(Services!$D$5:$D$64,MATCH(C398,Services!$B$5:$B$64,0)),"")="Per hour",1,E398)))</f>
        <v>0</v>
      </c>
      <c r="O398" s="21">
        <f>IF(B398="","",ROUND(IF(E398="",1,E398)*L398,2))</f>
        <v>0</v>
      </c>
      <c r="P398" s="21">
        <f>IF(B398="","",ROUND(O398*(1-IF(G398="",0,G398)),2))</f>
        <v>0</v>
      </c>
      <c r="Q398" s="21">
        <f>IF(B398="","",ROUND(N398*CostPerHour+IF(E398="",1,E398)*IFERROR(INDEX(Services!$R$5:$R$64,MATCH(C398,Services!$B$5:$B$64,0)),0),2))</f>
        <v>0</v>
      </c>
      <c r="R398" s="38">
        <f>IF(OR(B398="",P398=0),"",(P398-Q398)/P398)</f>
        <v>0</v>
      </c>
      <c r="S398" s="31">
        <f>IF(OR(B398="",C398=""),"",COUNTIFS($B$5:B398,B398))</f>
        <v>0</v>
      </c>
      <c r="T398" s="23">
        <f>IF(S398="","",B398&amp;"|"&amp;S398)</f>
        <v>0</v>
      </c>
      <c r="U398" s="39">
        <f>IF(B398="","",IF(C398="","Add - pick a service",IF(E398="","Add - how many?",IF(L398=0,"Add - no price",IF(AND(R398&lt;&gt;"",R398&lt;MarginFloor),"Below - thin margin","OK")))))</f>
        <v>0</v>
      </c>
    </row>
    <row r="399" spans="1:21">
      <c r="A399" s="43">
        <f>IF(B399="","","QL-"&amp;TEXT(ROW()-4,"0000"))</f>
        <v>0</v>
      </c>
      <c r="J399" s="21">
        <f>IF(C399="","",IFERROR(INDEX(Services!$P$5:$P$64,MATCH(C399,Services!$B$5:$B$64,0)),"0"))</f>
        <v>0</v>
      </c>
      <c r="K399" s="23">
        <f>IF(C399="","",IFERROR(INDEX(Services!$E$5:$E$64,MATCH(C399,Services!$B$5:$B$64,0)),""))</f>
        <v>0</v>
      </c>
      <c r="L399" s="21">
        <f>IF(B399="","",IF(F399&lt;&gt;"",F399,IFERROR(J399*1,0)))</f>
        <v>0</v>
      </c>
      <c r="M399" s="51">
        <f>IF(B399="","",IF(D399&lt;&gt;"",D399,IFERROR(INDEX(Services!$O$5:$O$64,MATCH(C399,Services!$B$5:$B$64,0)),"")))</f>
        <v>0</v>
      </c>
      <c r="N399" s="34">
        <f>IF(B399="","",IFERROR(INDEX(Services!$G$5:$G$64,MATCH(C399,Services!$B$5:$B$64,0)),0)*IF(E399="",1,IF(IFERROR(INDEX(Services!$D$5:$D$64,MATCH(C399,Services!$B$5:$B$64,0)),"")="Per hour",1,E399)))</f>
        <v>0</v>
      </c>
      <c r="O399" s="21">
        <f>IF(B399="","",ROUND(IF(E399="",1,E399)*L399,2))</f>
        <v>0</v>
      </c>
      <c r="P399" s="21">
        <f>IF(B399="","",ROUND(O399*(1-IF(G399="",0,G399)),2))</f>
        <v>0</v>
      </c>
      <c r="Q399" s="21">
        <f>IF(B399="","",ROUND(N399*CostPerHour+IF(E399="",1,E399)*IFERROR(INDEX(Services!$R$5:$R$64,MATCH(C399,Services!$B$5:$B$64,0)),0),2))</f>
        <v>0</v>
      </c>
      <c r="R399" s="38">
        <f>IF(OR(B399="",P399=0),"",(P399-Q399)/P399)</f>
        <v>0</v>
      </c>
      <c r="S399" s="31">
        <f>IF(OR(B399="",C399=""),"",COUNTIFS($B$5:B399,B399))</f>
        <v>0</v>
      </c>
      <c r="T399" s="23">
        <f>IF(S399="","",B399&amp;"|"&amp;S399)</f>
        <v>0</v>
      </c>
      <c r="U399" s="39">
        <f>IF(B399="","",IF(C399="","Add - pick a service",IF(E399="","Add - how many?",IF(L399=0,"Add - no price",IF(AND(R399&lt;&gt;"",R399&lt;MarginFloor),"Below - thin margin","OK")))))</f>
        <v>0</v>
      </c>
    </row>
    <row r="400" spans="1:21">
      <c r="A400" s="43">
        <f>IF(B400="","","QL-"&amp;TEXT(ROW()-4,"0000"))</f>
        <v>0</v>
      </c>
      <c r="J400" s="21">
        <f>IF(C400="","",IFERROR(INDEX(Services!$P$5:$P$64,MATCH(C400,Services!$B$5:$B$64,0)),"0"))</f>
        <v>0</v>
      </c>
      <c r="K400" s="23">
        <f>IF(C400="","",IFERROR(INDEX(Services!$E$5:$E$64,MATCH(C400,Services!$B$5:$B$64,0)),""))</f>
        <v>0</v>
      </c>
      <c r="L400" s="21">
        <f>IF(B400="","",IF(F400&lt;&gt;"",F400,IFERROR(J400*1,0)))</f>
        <v>0</v>
      </c>
      <c r="M400" s="51">
        <f>IF(B400="","",IF(D400&lt;&gt;"",D400,IFERROR(INDEX(Services!$O$5:$O$64,MATCH(C400,Services!$B$5:$B$64,0)),"")))</f>
        <v>0</v>
      </c>
      <c r="N400" s="34">
        <f>IF(B400="","",IFERROR(INDEX(Services!$G$5:$G$64,MATCH(C400,Services!$B$5:$B$64,0)),0)*IF(E400="",1,IF(IFERROR(INDEX(Services!$D$5:$D$64,MATCH(C400,Services!$B$5:$B$64,0)),"")="Per hour",1,E400)))</f>
        <v>0</v>
      </c>
      <c r="O400" s="21">
        <f>IF(B400="","",ROUND(IF(E400="",1,E400)*L400,2))</f>
        <v>0</v>
      </c>
      <c r="P400" s="21">
        <f>IF(B400="","",ROUND(O400*(1-IF(G400="",0,G400)),2))</f>
        <v>0</v>
      </c>
      <c r="Q400" s="21">
        <f>IF(B400="","",ROUND(N400*CostPerHour+IF(E400="",1,E400)*IFERROR(INDEX(Services!$R$5:$R$64,MATCH(C400,Services!$B$5:$B$64,0)),0),2))</f>
        <v>0</v>
      </c>
      <c r="R400" s="38">
        <f>IF(OR(B400="",P400=0),"",(P400-Q400)/P400)</f>
        <v>0</v>
      </c>
      <c r="S400" s="31">
        <f>IF(OR(B400="",C400=""),"",COUNTIFS($B$5:B400,B400))</f>
        <v>0</v>
      </c>
      <c r="T400" s="23">
        <f>IF(S400="","",B400&amp;"|"&amp;S400)</f>
        <v>0</v>
      </c>
      <c r="U400" s="39">
        <f>IF(B400="","",IF(C400="","Add - pick a service",IF(E400="","Add - how many?",IF(L400=0,"Add - no price",IF(AND(R400&lt;&gt;"",R400&lt;MarginFloor),"Below - thin margin","OK")))))</f>
        <v>0</v>
      </c>
    </row>
    <row r="401" spans="1:21">
      <c r="A401" s="43">
        <f>IF(B401="","","QL-"&amp;TEXT(ROW()-4,"0000"))</f>
        <v>0</v>
      </c>
      <c r="J401" s="21">
        <f>IF(C401="","",IFERROR(INDEX(Services!$P$5:$P$64,MATCH(C401,Services!$B$5:$B$64,0)),"0"))</f>
        <v>0</v>
      </c>
      <c r="K401" s="23">
        <f>IF(C401="","",IFERROR(INDEX(Services!$E$5:$E$64,MATCH(C401,Services!$B$5:$B$64,0)),""))</f>
        <v>0</v>
      </c>
      <c r="L401" s="21">
        <f>IF(B401="","",IF(F401&lt;&gt;"",F401,IFERROR(J401*1,0)))</f>
        <v>0</v>
      </c>
      <c r="M401" s="51">
        <f>IF(B401="","",IF(D401&lt;&gt;"",D401,IFERROR(INDEX(Services!$O$5:$O$64,MATCH(C401,Services!$B$5:$B$64,0)),"")))</f>
        <v>0</v>
      </c>
      <c r="N401" s="34">
        <f>IF(B401="","",IFERROR(INDEX(Services!$G$5:$G$64,MATCH(C401,Services!$B$5:$B$64,0)),0)*IF(E401="",1,IF(IFERROR(INDEX(Services!$D$5:$D$64,MATCH(C401,Services!$B$5:$B$64,0)),"")="Per hour",1,E401)))</f>
        <v>0</v>
      </c>
      <c r="O401" s="21">
        <f>IF(B401="","",ROUND(IF(E401="",1,E401)*L401,2))</f>
        <v>0</v>
      </c>
      <c r="P401" s="21">
        <f>IF(B401="","",ROUND(O401*(1-IF(G401="",0,G401)),2))</f>
        <v>0</v>
      </c>
      <c r="Q401" s="21">
        <f>IF(B401="","",ROUND(N401*CostPerHour+IF(E401="",1,E401)*IFERROR(INDEX(Services!$R$5:$R$64,MATCH(C401,Services!$B$5:$B$64,0)),0),2))</f>
        <v>0</v>
      </c>
      <c r="R401" s="38">
        <f>IF(OR(B401="",P401=0),"",(P401-Q401)/P401)</f>
        <v>0</v>
      </c>
      <c r="S401" s="31">
        <f>IF(OR(B401="",C401=""),"",COUNTIFS($B$5:B401,B401))</f>
        <v>0</v>
      </c>
      <c r="T401" s="23">
        <f>IF(S401="","",B401&amp;"|"&amp;S401)</f>
        <v>0</v>
      </c>
      <c r="U401" s="39">
        <f>IF(B401="","",IF(C401="","Add - pick a service",IF(E401="","Add - how many?",IF(L401=0,"Add - no price",IF(AND(R401&lt;&gt;"",R401&lt;MarginFloor),"Below - thin margin","OK")))))</f>
        <v>0</v>
      </c>
    </row>
    <row r="402" spans="1:21">
      <c r="A402" s="43">
        <f>IF(B402="","","QL-"&amp;TEXT(ROW()-4,"0000"))</f>
        <v>0</v>
      </c>
      <c r="J402" s="21">
        <f>IF(C402="","",IFERROR(INDEX(Services!$P$5:$P$64,MATCH(C402,Services!$B$5:$B$64,0)),"0"))</f>
        <v>0</v>
      </c>
      <c r="K402" s="23">
        <f>IF(C402="","",IFERROR(INDEX(Services!$E$5:$E$64,MATCH(C402,Services!$B$5:$B$64,0)),""))</f>
        <v>0</v>
      </c>
      <c r="L402" s="21">
        <f>IF(B402="","",IF(F402&lt;&gt;"",F402,IFERROR(J402*1,0)))</f>
        <v>0</v>
      </c>
      <c r="M402" s="51">
        <f>IF(B402="","",IF(D402&lt;&gt;"",D402,IFERROR(INDEX(Services!$O$5:$O$64,MATCH(C402,Services!$B$5:$B$64,0)),"")))</f>
        <v>0</v>
      </c>
      <c r="N402" s="34">
        <f>IF(B402="","",IFERROR(INDEX(Services!$G$5:$G$64,MATCH(C402,Services!$B$5:$B$64,0)),0)*IF(E402="",1,IF(IFERROR(INDEX(Services!$D$5:$D$64,MATCH(C402,Services!$B$5:$B$64,0)),"")="Per hour",1,E402)))</f>
        <v>0</v>
      </c>
      <c r="O402" s="21">
        <f>IF(B402="","",ROUND(IF(E402="",1,E402)*L402,2))</f>
        <v>0</v>
      </c>
      <c r="P402" s="21">
        <f>IF(B402="","",ROUND(O402*(1-IF(G402="",0,G402)),2))</f>
        <v>0</v>
      </c>
      <c r="Q402" s="21">
        <f>IF(B402="","",ROUND(N402*CostPerHour+IF(E402="",1,E402)*IFERROR(INDEX(Services!$R$5:$R$64,MATCH(C402,Services!$B$5:$B$64,0)),0),2))</f>
        <v>0</v>
      </c>
      <c r="R402" s="38">
        <f>IF(OR(B402="",P402=0),"",(P402-Q402)/P402)</f>
        <v>0</v>
      </c>
      <c r="S402" s="31">
        <f>IF(OR(B402="",C402=""),"",COUNTIFS($B$5:B402,B402))</f>
        <v>0</v>
      </c>
      <c r="T402" s="23">
        <f>IF(S402="","",B402&amp;"|"&amp;S402)</f>
        <v>0</v>
      </c>
      <c r="U402" s="39">
        <f>IF(B402="","",IF(C402="","Add - pick a service",IF(E402="","Add - how many?",IF(L402=0,"Add - no price",IF(AND(R402&lt;&gt;"",R402&lt;MarginFloor),"Below - thin margin","OK")))))</f>
        <v>0</v>
      </c>
    </row>
    <row r="403" spans="1:21">
      <c r="A403" s="43">
        <f>IF(B403="","","QL-"&amp;TEXT(ROW()-4,"0000"))</f>
        <v>0</v>
      </c>
      <c r="J403" s="21">
        <f>IF(C403="","",IFERROR(INDEX(Services!$P$5:$P$64,MATCH(C403,Services!$B$5:$B$64,0)),"0"))</f>
        <v>0</v>
      </c>
      <c r="K403" s="23">
        <f>IF(C403="","",IFERROR(INDEX(Services!$E$5:$E$64,MATCH(C403,Services!$B$5:$B$64,0)),""))</f>
        <v>0</v>
      </c>
      <c r="L403" s="21">
        <f>IF(B403="","",IF(F403&lt;&gt;"",F403,IFERROR(J403*1,0)))</f>
        <v>0</v>
      </c>
      <c r="M403" s="51">
        <f>IF(B403="","",IF(D403&lt;&gt;"",D403,IFERROR(INDEX(Services!$O$5:$O$64,MATCH(C403,Services!$B$5:$B$64,0)),"")))</f>
        <v>0</v>
      </c>
      <c r="N403" s="34">
        <f>IF(B403="","",IFERROR(INDEX(Services!$G$5:$G$64,MATCH(C403,Services!$B$5:$B$64,0)),0)*IF(E403="",1,IF(IFERROR(INDEX(Services!$D$5:$D$64,MATCH(C403,Services!$B$5:$B$64,0)),"")="Per hour",1,E403)))</f>
        <v>0</v>
      </c>
      <c r="O403" s="21">
        <f>IF(B403="","",ROUND(IF(E403="",1,E403)*L403,2))</f>
        <v>0</v>
      </c>
      <c r="P403" s="21">
        <f>IF(B403="","",ROUND(O403*(1-IF(G403="",0,G403)),2))</f>
        <v>0</v>
      </c>
      <c r="Q403" s="21">
        <f>IF(B403="","",ROUND(N403*CostPerHour+IF(E403="",1,E403)*IFERROR(INDEX(Services!$R$5:$R$64,MATCH(C403,Services!$B$5:$B$64,0)),0),2))</f>
        <v>0</v>
      </c>
      <c r="R403" s="38">
        <f>IF(OR(B403="",P403=0),"",(P403-Q403)/P403)</f>
        <v>0</v>
      </c>
      <c r="S403" s="31">
        <f>IF(OR(B403="",C403=""),"",COUNTIFS($B$5:B403,B403))</f>
        <v>0</v>
      </c>
      <c r="T403" s="23">
        <f>IF(S403="","",B403&amp;"|"&amp;S403)</f>
        <v>0</v>
      </c>
      <c r="U403" s="39">
        <f>IF(B403="","",IF(C403="","Add - pick a service",IF(E403="","Add - how many?",IF(L403=0,"Add - no price",IF(AND(R403&lt;&gt;"",R403&lt;MarginFloor),"Below - thin margin","OK")))))</f>
        <v>0</v>
      </c>
    </row>
    <row r="404" spans="1:21">
      <c r="A404" s="43">
        <f>IF(B404="","","QL-"&amp;TEXT(ROW()-4,"0000"))</f>
        <v>0</v>
      </c>
      <c r="J404" s="21">
        <f>IF(C404="","",IFERROR(INDEX(Services!$P$5:$P$64,MATCH(C404,Services!$B$5:$B$64,0)),"0"))</f>
        <v>0</v>
      </c>
      <c r="K404" s="23">
        <f>IF(C404="","",IFERROR(INDEX(Services!$E$5:$E$64,MATCH(C404,Services!$B$5:$B$64,0)),""))</f>
        <v>0</v>
      </c>
      <c r="L404" s="21">
        <f>IF(B404="","",IF(F404&lt;&gt;"",F404,IFERROR(J404*1,0)))</f>
        <v>0</v>
      </c>
      <c r="M404" s="51">
        <f>IF(B404="","",IF(D404&lt;&gt;"",D404,IFERROR(INDEX(Services!$O$5:$O$64,MATCH(C404,Services!$B$5:$B$64,0)),"")))</f>
        <v>0</v>
      </c>
      <c r="N404" s="34">
        <f>IF(B404="","",IFERROR(INDEX(Services!$G$5:$G$64,MATCH(C404,Services!$B$5:$B$64,0)),0)*IF(E404="",1,IF(IFERROR(INDEX(Services!$D$5:$D$64,MATCH(C404,Services!$B$5:$B$64,0)),"")="Per hour",1,E404)))</f>
        <v>0</v>
      </c>
      <c r="O404" s="21">
        <f>IF(B404="","",ROUND(IF(E404="",1,E404)*L404,2))</f>
        <v>0</v>
      </c>
      <c r="P404" s="21">
        <f>IF(B404="","",ROUND(O404*(1-IF(G404="",0,G404)),2))</f>
        <v>0</v>
      </c>
      <c r="Q404" s="21">
        <f>IF(B404="","",ROUND(N404*CostPerHour+IF(E404="",1,E404)*IFERROR(INDEX(Services!$R$5:$R$64,MATCH(C404,Services!$B$5:$B$64,0)),0),2))</f>
        <v>0</v>
      </c>
      <c r="R404" s="38">
        <f>IF(OR(B404="",P404=0),"",(P404-Q404)/P404)</f>
        <v>0</v>
      </c>
      <c r="S404" s="31">
        <f>IF(OR(B404="",C404=""),"",COUNTIFS($B$5:B404,B404))</f>
        <v>0</v>
      </c>
      <c r="T404" s="23">
        <f>IF(S404="","",B404&amp;"|"&amp;S404)</f>
        <v>0</v>
      </c>
      <c r="U404" s="39">
        <f>IF(B404="","",IF(C404="","Add - pick a service",IF(E404="","Add - how many?",IF(L404=0,"Add - no price",IF(AND(R404&lt;&gt;"",R404&lt;MarginFloor),"Below - thin margin","OK")))))</f>
        <v>0</v>
      </c>
    </row>
    <row r="405" spans="1:21">
      <c r="A405" s="43">
        <f>IF(B405="","","QL-"&amp;TEXT(ROW()-4,"0000"))</f>
        <v>0</v>
      </c>
      <c r="J405" s="21">
        <f>IF(C405="","",IFERROR(INDEX(Services!$P$5:$P$64,MATCH(C405,Services!$B$5:$B$64,0)),"0"))</f>
        <v>0</v>
      </c>
      <c r="K405" s="23">
        <f>IF(C405="","",IFERROR(INDEX(Services!$E$5:$E$64,MATCH(C405,Services!$B$5:$B$64,0)),""))</f>
        <v>0</v>
      </c>
      <c r="L405" s="21">
        <f>IF(B405="","",IF(F405&lt;&gt;"",F405,IFERROR(J405*1,0)))</f>
        <v>0</v>
      </c>
      <c r="M405" s="51">
        <f>IF(B405="","",IF(D405&lt;&gt;"",D405,IFERROR(INDEX(Services!$O$5:$O$64,MATCH(C405,Services!$B$5:$B$64,0)),"")))</f>
        <v>0</v>
      </c>
      <c r="N405" s="34">
        <f>IF(B405="","",IFERROR(INDEX(Services!$G$5:$G$64,MATCH(C405,Services!$B$5:$B$64,0)),0)*IF(E405="",1,IF(IFERROR(INDEX(Services!$D$5:$D$64,MATCH(C405,Services!$B$5:$B$64,0)),"")="Per hour",1,E405)))</f>
        <v>0</v>
      </c>
      <c r="O405" s="21">
        <f>IF(B405="","",ROUND(IF(E405="",1,E405)*L405,2))</f>
        <v>0</v>
      </c>
      <c r="P405" s="21">
        <f>IF(B405="","",ROUND(O405*(1-IF(G405="",0,G405)),2))</f>
        <v>0</v>
      </c>
      <c r="Q405" s="21">
        <f>IF(B405="","",ROUND(N405*CostPerHour+IF(E405="",1,E405)*IFERROR(INDEX(Services!$R$5:$R$64,MATCH(C405,Services!$B$5:$B$64,0)),0),2))</f>
        <v>0</v>
      </c>
      <c r="R405" s="38">
        <f>IF(OR(B405="",P405=0),"",(P405-Q405)/P405)</f>
        <v>0</v>
      </c>
      <c r="S405" s="31">
        <f>IF(OR(B405="",C405=""),"",COUNTIFS($B$5:B405,B405))</f>
        <v>0</v>
      </c>
      <c r="T405" s="23">
        <f>IF(S405="","",B405&amp;"|"&amp;S405)</f>
        <v>0</v>
      </c>
      <c r="U405" s="39">
        <f>IF(B405="","",IF(C405="","Add - pick a service",IF(E405="","Add - how many?",IF(L405=0,"Add - no price",IF(AND(R405&lt;&gt;"",R405&lt;MarginFloor),"Below - thin margin","OK")))))</f>
        <v>0</v>
      </c>
    </row>
    <row r="406" spans="1:21">
      <c r="A406" s="43">
        <f>IF(B406="","","QL-"&amp;TEXT(ROW()-4,"0000"))</f>
        <v>0</v>
      </c>
      <c r="J406" s="21">
        <f>IF(C406="","",IFERROR(INDEX(Services!$P$5:$P$64,MATCH(C406,Services!$B$5:$B$64,0)),"0"))</f>
        <v>0</v>
      </c>
      <c r="K406" s="23">
        <f>IF(C406="","",IFERROR(INDEX(Services!$E$5:$E$64,MATCH(C406,Services!$B$5:$B$64,0)),""))</f>
        <v>0</v>
      </c>
      <c r="L406" s="21">
        <f>IF(B406="","",IF(F406&lt;&gt;"",F406,IFERROR(J406*1,0)))</f>
        <v>0</v>
      </c>
      <c r="M406" s="51">
        <f>IF(B406="","",IF(D406&lt;&gt;"",D406,IFERROR(INDEX(Services!$O$5:$O$64,MATCH(C406,Services!$B$5:$B$64,0)),"")))</f>
        <v>0</v>
      </c>
      <c r="N406" s="34">
        <f>IF(B406="","",IFERROR(INDEX(Services!$G$5:$G$64,MATCH(C406,Services!$B$5:$B$64,0)),0)*IF(E406="",1,IF(IFERROR(INDEX(Services!$D$5:$D$64,MATCH(C406,Services!$B$5:$B$64,0)),"")="Per hour",1,E406)))</f>
        <v>0</v>
      </c>
      <c r="O406" s="21">
        <f>IF(B406="","",ROUND(IF(E406="",1,E406)*L406,2))</f>
        <v>0</v>
      </c>
      <c r="P406" s="21">
        <f>IF(B406="","",ROUND(O406*(1-IF(G406="",0,G406)),2))</f>
        <v>0</v>
      </c>
      <c r="Q406" s="21">
        <f>IF(B406="","",ROUND(N406*CostPerHour+IF(E406="",1,E406)*IFERROR(INDEX(Services!$R$5:$R$64,MATCH(C406,Services!$B$5:$B$64,0)),0),2))</f>
        <v>0</v>
      </c>
      <c r="R406" s="38">
        <f>IF(OR(B406="",P406=0),"",(P406-Q406)/P406)</f>
        <v>0</v>
      </c>
      <c r="S406" s="31">
        <f>IF(OR(B406="",C406=""),"",COUNTIFS($B$5:B406,B406))</f>
        <v>0</v>
      </c>
      <c r="T406" s="23">
        <f>IF(S406="","",B406&amp;"|"&amp;S406)</f>
        <v>0</v>
      </c>
      <c r="U406" s="39">
        <f>IF(B406="","",IF(C406="","Add - pick a service",IF(E406="","Add - how many?",IF(L406=0,"Add - no price",IF(AND(R406&lt;&gt;"",R406&lt;MarginFloor),"Below - thin margin","OK")))))</f>
        <v>0</v>
      </c>
    </row>
    <row r="407" spans="1:21">
      <c r="A407" s="43">
        <f>IF(B407="","","QL-"&amp;TEXT(ROW()-4,"0000"))</f>
        <v>0</v>
      </c>
      <c r="J407" s="21">
        <f>IF(C407="","",IFERROR(INDEX(Services!$P$5:$P$64,MATCH(C407,Services!$B$5:$B$64,0)),"0"))</f>
        <v>0</v>
      </c>
      <c r="K407" s="23">
        <f>IF(C407="","",IFERROR(INDEX(Services!$E$5:$E$64,MATCH(C407,Services!$B$5:$B$64,0)),""))</f>
        <v>0</v>
      </c>
      <c r="L407" s="21">
        <f>IF(B407="","",IF(F407&lt;&gt;"",F407,IFERROR(J407*1,0)))</f>
        <v>0</v>
      </c>
      <c r="M407" s="51">
        <f>IF(B407="","",IF(D407&lt;&gt;"",D407,IFERROR(INDEX(Services!$O$5:$O$64,MATCH(C407,Services!$B$5:$B$64,0)),"")))</f>
        <v>0</v>
      </c>
      <c r="N407" s="34">
        <f>IF(B407="","",IFERROR(INDEX(Services!$G$5:$G$64,MATCH(C407,Services!$B$5:$B$64,0)),0)*IF(E407="",1,IF(IFERROR(INDEX(Services!$D$5:$D$64,MATCH(C407,Services!$B$5:$B$64,0)),"")="Per hour",1,E407)))</f>
        <v>0</v>
      </c>
      <c r="O407" s="21">
        <f>IF(B407="","",ROUND(IF(E407="",1,E407)*L407,2))</f>
        <v>0</v>
      </c>
      <c r="P407" s="21">
        <f>IF(B407="","",ROUND(O407*(1-IF(G407="",0,G407)),2))</f>
        <v>0</v>
      </c>
      <c r="Q407" s="21">
        <f>IF(B407="","",ROUND(N407*CostPerHour+IF(E407="",1,E407)*IFERROR(INDEX(Services!$R$5:$R$64,MATCH(C407,Services!$B$5:$B$64,0)),0),2))</f>
        <v>0</v>
      </c>
      <c r="R407" s="38">
        <f>IF(OR(B407="",P407=0),"",(P407-Q407)/P407)</f>
        <v>0</v>
      </c>
      <c r="S407" s="31">
        <f>IF(OR(B407="",C407=""),"",COUNTIFS($B$5:B407,B407))</f>
        <v>0</v>
      </c>
      <c r="T407" s="23">
        <f>IF(S407="","",B407&amp;"|"&amp;S407)</f>
        <v>0</v>
      </c>
      <c r="U407" s="39">
        <f>IF(B407="","",IF(C407="","Add - pick a service",IF(E407="","Add - how many?",IF(L407=0,"Add - no price",IF(AND(R407&lt;&gt;"",R407&lt;MarginFloor),"Below - thin margin","OK")))))</f>
        <v>0</v>
      </c>
    </row>
    <row r="408" spans="1:21">
      <c r="A408" s="43">
        <f>IF(B408="","","QL-"&amp;TEXT(ROW()-4,"0000"))</f>
        <v>0</v>
      </c>
      <c r="J408" s="21">
        <f>IF(C408="","",IFERROR(INDEX(Services!$P$5:$P$64,MATCH(C408,Services!$B$5:$B$64,0)),"0"))</f>
        <v>0</v>
      </c>
      <c r="K408" s="23">
        <f>IF(C408="","",IFERROR(INDEX(Services!$E$5:$E$64,MATCH(C408,Services!$B$5:$B$64,0)),""))</f>
        <v>0</v>
      </c>
      <c r="L408" s="21">
        <f>IF(B408="","",IF(F408&lt;&gt;"",F408,IFERROR(J408*1,0)))</f>
        <v>0</v>
      </c>
      <c r="M408" s="51">
        <f>IF(B408="","",IF(D408&lt;&gt;"",D408,IFERROR(INDEX(Services!$O$5:$O$64,MATCH(C408,Services!$B$5:$B$64,0)),"")))</f>
        <v>0</v>
      </c>
      <c r="N408" s="34">
        <f>IF(B408="","",IFERROR(INDEX(Services!$G$5:$G$64,MATCH(C408,Services!$B$5:$B$64,0)),0)*IF(E408="",1,IF(IFERROR(INDEX(Services!$D$5:$D$64,MATCH(C408,Services!$B$5:$B$64,0)),"")="Per hour",1,E408)))</f>
        <v>0</v>
      </c>
      <c r="O408" s="21">
        <f>IF(B408="","",ROUND(IF(E408="",1,E408)*L408,2))</f>
        <v>0</v>
      </c>
      <c r="P408" s="21">
        <f>IF(B408="","",ROUND(O408*(1-IF(G408="",0,G408)),2))</f>
        <v>0</v>
      </c>
      <c r="Q408" s="21">
        <f>IF(B408="","",ROUND(N408*CostPerHour+IF(E408="",1,E408)*IFERROR(INDEX(Services!$R$5:$R$64,MATCH(C408,Services!$B$5:$B$64,0)),0),2))</f>
        <v>0</v>
      </c>
      <c r="R408" s="38">
        <f>IF(OR(B408="",P408=0),"",(P408-Q408)/P408)</f>
        <v>0</v>
      </c>
      <c r="S408" s="31">
        <f>IF(OR(B408="",C408=""),"",COUNTIFS($B$5:B408,B408))</f>
        <v>0</v>
      </c>
      <c r="T408" s="23">
        <f>IF(S408="","",B408&amp;"|"&amp;S408)</f>
        <v>0</v>
      </c>
      <c r="U408" s="39">
        <f>IF(B408="","",IF(C408="","Add - pick a service",IF(E408="","Add - how many?",IF(L408=0,"Add - no price",IF(AND(R408&lt;&gt;"",R408&lt;MarginFloor),"Below - thin margin","OK")))))</f>
        <v>0</v>
      </c>
    </row>
    <row r="409" spans="1:21">
      <c r="A409" s="43">
        <f>IF(B409="","","QL-"&amp;TEXT(ROW()-4,"0000"))</f>
        <v>0</v>
      </c>
      <c r="J409" s="21">
        <f>IF(C409="","",IFERROR(INDEX(Services!$P$5:$P$64,MATCH(C409,Services!$B$5:$B$64,0)),"0"))</f>
        <v>0</v>
      </c>
      <c r="K409" s="23">
        <f>IF(C409="","",IFERROR(INDEX(Services!$E$5:$E$64,MATCH(C409,Services!$B$5:$B$64,0)),""))</f>
        <v>0</v>
      </c>
      <c r="L409" s="21">
        <f>IF(B409="","",IF(F409&lt;&gt;"",F409,IFERROR(J409*1,0)))</f>
        <v>0</v>
      </c>
      <c r="M409" s="51">
        <f>IF(B409="","",IF(D409&lt;&gt;"",D409,IFERROR(INDEX(Services!$O$5:$O$64,MATCH(C409,Services!$B$5:$B$64,0)),"")))</f>
        <v>0</v>
      </c>
      <c r="N409" s="34">
        <f>IF(B409="","",IFERROR(INDEX(Services!$G$5:$G$64,MATCH(C409,Services!$B$5:$B$64,0)),0)*IF(E409="",1,IF(IFERROR(INDEX(Services!$D$5:$D$64,MATCH(C409,Services!$B$5:$B$64,0)),"")="Per hour",1,E409)))</f>
        <v>0</v>
      </c>
      <c r="O409" s="21">
        <f>IF(B409="","",ROUND(IF(E409="",1,E409)*L409,2))</f>
        <v>0</v>
      </c>
      <c r="P409" s="21">
        <f>IF(B409="","",ROUND(O409*(1-IF(G409="",0,G409)),2))</f>
        <v>0</v>
      </c>
      <c r="Q409" s="21">
        <f>IF(B409="","",ROUND(N409*CostPerHour+IF(E409="",1,E409)*IFERROR(INDEX(Services!$R$5:$R$64,MATCH(C409,Services!$B$5:$B$64,0)),0),2))</f>
        <v>0</v>
      </c>
      <c r="R409" s="38">
        <f>IF(OR(B409="",P409=0),"",(P409-Q409)/P409)</f>
        <v>0</v>
      </c>
      <c r="S409" s="31">
        <f>IF(OR(B409="",C409=""),"",COUNTIFS($B$5:B409,B409))</f>
        <v>0</v>
      </c>
      <c r="T409" s="23">
        <f>IF(S409="","",B409&amp;"|"&amp;S409)</f>
        <v>0</v>
      </c>
      <c r="U409" s="39">
        <f>IF(B409="","",IF(C409="","Add - pick a service",IF(E409="","Add - how many?",IF(L409=0,"Add - no price",IF(AND(R409&lt;&gt;"",R409&lt;MarginFloor),"Below - thin margin","OK")))))</f>
        <v>0</v>
      </c>
    </row>
    <row r="410" spans="1:21">
      <c r="A410" s="43">
        <f>IF(B410="","","QL-"&amp;TEXT(ROW()-4,"0000"))</f>
        <v>0</v>
      </c>
      <c r="J410" s="21">
        <f>IF(C410="","",IFERROR(INDEX(Services!$P$5:$P$64,MATCH(C410,Services!$B$5:$B$64,0)),"0"))</f>
        <v>0</v>
      </c>
      <c r="K410" s="23">
        <f>IF(C410="","",IFERROR(INDEX(Services!$E$5:$E$64,MATCH(C410,Services!$B$5:$B$64,0)),""))</f>
        <v>0</v>
      </c>
      <c r="L410" s="21">
        <f>IF(B410="","",IF(F410&lt;&gt;"",F410,IFERROR(J410*1,0)))</f>
        <v>0</v>
      </c>
      <c r="M410" s="51">
        <f>IF(B410="","",IF(D410&lt;&gt;"",D410,IFERROR(INDEX(Services!$O$5:$O$64,MATCH(C410,Services!$B$5:$B$64,0)),"")))</f>
        <v>0</v>
      </c>
      <c r="N410" s="34">
        <f>IF(B410="","",IFERROR(INDEX(Services!$G$5:$G$64,MATCH(C410,Services!$B$5:$B$64,0)),0)*IF(E410="",1,IF(IFERROR(INDEX(Services!$D$5:$D$64,MATCH(C410,Services!$B$5:$B$64,0)),"")="Per hour",1,E410)))</f>
        <v>0</v>
      </c>
      <c r="O410" s="21">
        <f>IF(B410="","",ROUND(IF(E410="",1,E410)*L410,2))</f>
        <v>0</v>
      </c>
      <c r="P410" s="21">
        <f>IF(B410="","",ROUND(O410*(1-IF(G410="",0,G410)),2))</f>
        <v>0</v>
      </c>
      <c r="Q410" s="21">
        <f>IF(B410="","",ROUND(N410*CostPerHour+IF(E410="",1,E410)*IFERROR(INDEX(Services!$R$5:$R$64,MATCH(C410,Services!$B$5:$B$64,0)),0),2))</f>
        <v>0</v>
      </c>
      <c r="R410" s="38">
        <f>IF(OR(B410="",P410=0),"",(P410-Q410)/P410)</f>
        <v>0</v>
      </c>
      <c r="S410" s="31">
        <f>IF(OR(B410="",C410=""),"",COUNTIFS($B$5:B410,B410))</f>
        <v>0</v>
      </c>
      <c r="T410" s="23">
        <f>IF(S410="","",B410&amp;"|"&amp;S410)</f>
        <v>0</v>
      </c>
      <c r="U410" s="39">
        <f>IF(B410="","",IF(C410="","Add - pick a service",IF(E410="","Add - how many?",IF(L410=0,"Add - no price",IF(AND(R410&lt;&gt;"",R410&lt;MarginFloor),"Below - thin margin","OK")))))</f>
        <v>0</v>
      </c>
    </row>
    <row r="411" spans="1:21">
      <c r="A411" s="43">
        <f>IF(B411="","","QL-"&amp;TEXT(ROW()-4,"0000"))</f>
        <v>0</v>
      </c>
      <c r="J411" s="21">
        <f>IF(C411="","",IFERROR(INDEX(Services!$P$5:$P$64,MATCH(C411,Services!$B$5:$B$64,0)),"0"))</f>
        <v>0</v>
      </c>
      <c r="K411" s="23">
        <f>IF(C411="","",IFERROR(INDEX(Services!$E$5:$E$64,MATCH(C411,Services!$B$5:$B$64,0)),""))</f>
        <v>0</v>
      </c>
      <c r="L411" s="21">
        <f>IF(B411="","",IF(F411&lt;&gt;"",F411,IFERROR(J411*1,0)))</f>
        <v>0</v>
      </c>
      <c r="M411" s="51">
        <f>IF(B411="","",IF(D411&lt;&gt;"",D411,IFERROR(INDEX(Services!$O$5:$O$64,MATCH(C411,Services!$B$5:$B$64,0)),"")))</f>
        <v>0</v>
      </c>
      <c r="N411" s="34">
        <f>IF(B411="","",IFERROR(INDEX(Services!$G$5:$G$64,MATCH(C411,Services!$B$5:$B$64,0)),0)*IF(E411="",1,IF(IFERROR(INDEX(Services!$D$5:$D$64,MATCH(C411,Services!$B$5:$B$64,0)),"")="Per hour",1,E411)))</f>
        <v>0</v>
      </c>
      <c r="O411" s="21">
        <f>IF(B411="","",ROUND(IF(E411="",1,E411)*L411,2))</f>
        <v>0</v>
      </c>
      <c r="P411" s="21">
        <f>IF(B411="","",ROUND(O411*(1-IF(G411="",0,G411)),2))</f>
        <v>0</v>
      </c>
      <c r="Q411" s="21">
        <f>IF(B411="","",ROUND(N411*CostPerHour+IF(E411="",1,E411)*IFERROR(INDEX(Services!$R$5:$R$64,MATCH(C411,Services!$B$5:$B$64,0)),0),2))</f>
        <v>0</v>
      </c>
      <c r="R411" s="38">
        <f>IF(OR(B411="",P411=0),"",(P411-Q411)/P411)</f>
        <v>0</v>
      </c>
      <c r="S411" s="31">
        <f>IF(OR(B411="",C411=""),"",COUNTIFS($B$5:B411,B411))</f>
        <v>0</v>
      </c>
      <c r="T411" s="23">
        <f>IF(S411="","",B411&amp;"|"&amp;S411)</f>
        <v>0</v>
      </c>
      <c r="U411" s="39">
        <f>IF(B411="","",IF(C411="","Add - pick a service",IF(E411="","Add - how many?",IF(L411=0,"Add - no price",IF(AND(R411&lt;&gt;"",R411&lt;MarginFloor),"Below - thin margin","OK")))))</f>
        <v>0</v>
      </c>
    </row>
    <row r="412" spans="1:21">
      <c r="A412" s="43">
        <f>IF(B412="","","QL-"&amp;TEXT(ROW()-4,"0000"))</f>
        <v>0</v>
      </c>
      <c r="J412" s="21">
        <f>IF(C412="","",IFERROR(INDEX(Services!$P$5:$P$64,MATCH(C412,Services!$B$5:$B$64,0)),"0"))</f>
        <v>0</v>
      </c>
      <c r="K412" s="23">
        <f>IF(C412="","",IFERROR(INDEX(Services!$E$5:$E$64,MATCH(C412,Services!$B$5:$B$64,0)),""))</f>
        <v>0</v>
      </c>
      <c r="L412" s="21">
        <f>IF(B412="","",IF(F412&lt;&gt;"",F412,IFERROR(J412*1,0)))</f>
        <v>0</v>
      </c>
      <c r="M412" s="51">
        <f>IF(B412="","",IF(D412&lt;&gt;"",D412,IFERROR(INDEX(Services!$O$5:$O$64,MATCH(C412,Services!$B$5:$B$64,0)),"")))</f>
        <v>0</v>
      </c>
      <c r="N412" s="34">
        <f>IF(B412="","",IFERROR(INDEX(Services!$G$5:$G$64,MATCH(C412,Services!$B$5:$B$64,0)),0)*IF(E412="",1,IF(IFERROR(INDEX(Services!$D$5:$D$64,MATCH(C412,Services!$B$5:$B$64,0)),"")="Per hour",1,E412)))</f>
        <v>0</v>
      </c>
      <c r="O412" s="21">
        <f>IF(B412="","",ROUND(IF(E412="",1,E412)*L412,2))</f>
        <v>0</v>
      </c>
      <c r="P412" s="21">
        <f>IF(B412="","",ROUND(O412*(1-IF(G412="",0,G412)),2))</f>
        <v>0</v>
      </c>
      <c r="Q412" s="21">
        <f>IF(B412="","",ROUND(N412*CostPerHour+IF(E412="",1,E412)*IFERROR(INDEX(Services!$R$5:$R$64,MATCH(C412,Services!$B$5:$B$64,0)),0),2))</f>
        <v>0</v>
      </c>
      <c r="R412" s="38">
        <f>IF(OR(B412="",P412=0),"",(P412-Q412)/P412)</f>
        <v>0</v>
      </c>
      <c r="S412" s="31">
        <f>IF(OR(B412="",C412=""),"",COUNTIFS($B$5:B412,B412))</f>
        <v>0</v>
      </c>
      <c r="T412" s="23">
        <f>IF(S412="","",B412&amp;"|"&amp;S412)</f>
        <v>0</v>
      </c>
      <c r="U412" s="39">
        <f>IF(B412="","",IF(C412="","Add - pick a service",IF(E412="","Add - how many?",IF(L412=0,"Add - no price",IF(AND(R412&lt;&gt;"",R412&lt;MarginFloor),"Below - thin margin","OK")))))</f>
        <v>0</v>
      </c>
    </row>
    <row r="413" spans="1:21">
      <c r="A413" s="43">
        <f>IF(B413="","","QL-"&amp;TEXT(ROW()-4,"0000"))</f>
        <v>0</v>
      </c>
      <c r="J413" s="21">
        <f>IF(C413="","",IFERROR(INDEX(Services!$P$5:$P$64,MATCH(C413,Services!$B$5:$B$64,0)),"0"))</f>
        <v>0</v>
      </c>
      <c r="K413" s="23">
        <f>IF(C413="","",IFERROR(INDEX(Services!$E$5:$E$64,MATCH(C413,Services!$B$5:$B$64,0)),""))</f>
        <v>0</v>
      </c>
      <c r="L413" s="21">
        <f>IF(B413="","",IF(F413&lt;&gt;"",F413,IFERROR(J413*1,0)))</f>
        <v>0</v>
      </c>
      <c r="M413" s="51">
        <f>IF(B413="","",IF(D413&lt;&gt;"",D413,IFERROR(INDEX(Services!$O$5:$O$64,MATCH(C413,Services!$B$5:$B$64,0)),"")))</f>
        <v>0</v>
      </c>
      <c r="N413" s="34">
        <f>IF(B413="","",IFERROR(INDEX(Services!$G$5:$G$64,MATCH(C413,Services!$B$5:$B$64,0)),0)*IF(E413="",1,IF(IFERROR(INDEX(Services!$D$5:$D$64,MATCH(C413,Services!$B$5:$B$64,0)),"")="Per hour",1,E413)))</f>
        <v>0</v>
      </c>
      <c r="O413" s="21">
        <f>IF(B413="","",ROUND(IF(E413="",1,E413)*L413,2))</f>
        <v>0</v>
      </c>
      <c r="P413" s="21">
        <f>IF(B413="","",ROUND(O413*(1-IF(G413="",0,G413)),2))</f>
        <v>0</v>
      </c>
      <c r="Q413" s="21">
        <f>IF(B413="","",ROUND(N413*CostPerHour+IF(E413="",1,E413)*IFERROR(INDEX(Services!$R$5:$R$64,MATCH(C413,Services!$B$5:$B$64,0)),0),2))</f>
        <v>0</v>
      </c>
      <c r="R413" s="38">
        <f>IF(OR(B413="",P413=0),"",(P413-Q413)/P413)</f>
        <v>0</v>
      </c>
      <c r="S413" s="31">
        <f>IF(OR(B413="",C413=""),"",COUNTIFS($B$5:B413,B413))</f>
        <v>0</v>
      </c>
      <c r="T413" s="23">
        <f>IF(S413="","",B413&amp;"|"&amp;S413)</f>
        <v>0</v>
      </c>
      <c r="U413" s="39">
        <f>IF(B413="","",IF(C413="","Add - pick a service",IF(E413="","Add - how many?",IF(L413=0,"Add - no price",IF(AND(R413&lt;&gt;"",R413&lt;MarginFloor),"Below - thin margin","OK")))))</f>
        <v>0</v>
      </c>
    </row>
    <row r="414" spans="1:21">
      <c r="A414" s="43">
        <f>IF(B414="","","QL-"&amp;TEXT(ROW()-4,"0000"))</f>
        <v>0</v>
      </c>
      <c r="J414" s="21">
        <f>IF(C414="","",IFERROR(INDEX(Services!$P$5:$P$64,MATCH(C414,Services!$B$5:$B$64,0)),"0"))</f>
        <v>0</v>
      </c>
      <c r="K414" s="23">
        <f>IF(C414="","",IFERROR(INDEX(Services!$E$5:$E$64,MATCH(C414,Services!$B$5:$B$64,0)),""))</f>
        <v>0</v>
      </c>
      <c r="L414" s="21">
        <f>IF(B414="","",IF(F414&lt;&gt;"",F414,IFERROR(J414*1,0)))</f>
        <v>0</v>
      </c>
      <c r="M414" s="51">
        <f>IF(B414="","",IF(D414&lt;&gt;"",D414,IFERROR(INDEX(Services!$O$5:$O$64,MATCH(C414,Services!$B$5:$B$64,0)),"")))</f>
        <v>0</v>
      </c>
      <c r="N414" s="34">
        <f>IF(B414="","",IFERROR(INDEX(Services!$G$5:$G$64,MATCH(C414,Services!$B$5:$B$64,0)),0)*IF(E414="",1,IF(IFERROR(INDEX(Services!$D$5:$D$64,MATCH(C414,Services!$B$5:$B$64,0)),"")="Per hour",1,E414)))</f>
        <v>0</v>
      </c>
      <c r="O414" s="21">
        <f>IF(B414="","",ROUND(IF(E414="",1,E414)*L414,2))</f>
        <v>0</v>
      </c>
      <c r="P414" s="21">
        <f>IF(B414="","",ROUND(O414*(1-IF(G414="",0,G414)),2))</f>
        <v>0</v>
      </c>
      <c r="Q414" s="21">
        <f>IF(B414="","",ROUND(N414*CostPerHour+IF(E414="",1,E414)*IFERROR(INDEX(Services!$R$5:$R$64,MATCH(C414,Services!$B$5:$B$64,0)),0),2))</f>
        <v>0</v>
      </c>
      <c r="R414" s="38">
        <f>IF(OR(B414="",P414=0),"",(P414-Q414)/P414)</f>
        <v>0</v>
      </c>
      <c r="S414" s="31">
        <f>IF(OR(B414="",C414=""),"",COUNTIFS($B$5:B414,B414))</f>
        <v>0</v>
      </c>
      <c r="T414" s="23">
        <f>IF(S414="","",B414&amp;"|"&amp;S414)</f>
        <v>0</v>
      </c>
      <c r="U414" s="39">
        <f>IF(B414="","",IF(C414="","Add - pick a service",IF(E414="","Add - how many?",IF(L414=0,"Add - no price",IF(AND(R414&lt;&gt;"",R414&lt;MarginFloor),"Below - thin margin","OK")))))</f>
        <v>0</v>
      </c>
    </row>
    <row r="415" spans="1:21">
      <c r="A415" s="43">
        <f>IF(B415="","","QL-"&amp;TEXT(ROW()-4,"0000"))</f>
        <v>0</v>
      </c>
      <c r="J415" s="21">
        <f>IF(C415="","",IFERROR(INDEX(Services!$P$5:$P$64,MATCH(C415,Services!$B$5:$B$64,0)),"0"))</f>
        <v>0</v>
      </c>
      <c r="K415" s="23">
        <f>IF(C415="","",IFERROR(INDEX(Services!$E$5:$E$64,MATCH(C415,Services!$B$5:$B$64,0)),""))</f>
        <v>0</v>
      </c>
      <c r="L415" s="21">
        <f>IF(B415="","",IF(F415&lt;&gt;"",F415,IFERROR(J415*1,0)))</f>
        <v>0</v>
      </c>
      <c r="M415" s="51">
        <f>IF(B415="","",IF(D415&lt;&gt;"",D415,IFERROR(INDEX(Services!$O$5:$O$64,MATCH(C415,Services!$B$5:$B$64,0)),"")))</f>
        <v>0</v>
      </c>
      <c r="N415" s="34">
        <f>IF(B415="","",IFERROR(INDEX(Services!$G$5:$G$64,MATCH(C415,Services!$B$5:$B$64,0)),0)*IF(E415="",1,IF(IFERROR(INDEX(Services!$D$5:$D$64,MATCH(C415,Services!$B$5:$B$64,0)),"")="Per hour",1,E415)))</f>
        <v>0</v>
      </c>
      <c r="O415" s="21">
        <f>IF(B415="","",ROUND(IF(E415="",1,E415)*L415,2))</f>
        <v>0</v>
      </c>
      <c r="P415" s="21">
        <f>IF(B415="","",ROUND(O415*(1-IF(G415="",0,G415)),2))</f>
        <v>0</v>
      </c>
      <c r="Q415" s="21">
        <f>IF(B415="","",ROUND(N415*CostPerHour+IF(E415="",1,E415)*IFERROR(INDEX(Services!$R$5:$R$64,MATCH(C415,Services!$B$5:$B$64,0)),0),2))</f>
        <v>0</v>
      </c>
      <c r="R415" s="38">
        <f>IF(OR(B415="",P415=0),"",(P415-Q415)/P415)</f>
        <v>0</v>
      </c>
      <c r="S415" s="31">
        <f>IF(OR(B415="",C415=""),"",COUNTIFS($B$5:B415,B415))</f>
        <v>0</v>
      </c>
      <c r="T415" s="23">
        <f>IF(S415="","",B415&amp;"|"&amp;S415)</f>
        <v>0</v>
      </c>
      <c r="U415" s="39">
        <f>IF(B415="","",IF(C415="","Add - pick a service",IF(E415="","Add - how many?",IF(L415=0,"Add - no price",IF(AND(R415&lt;&gt;"",R415&lt;MarginFloor),"Below - thin margin","OK")))))</f>
        <v>0</v>
      </c>
    </row>
    <row r="416" spans="1:21">
      <c r="A416" s="43">
        <f>IF(B416="","","QL-"&amp;TEXT(ROW()-4,"0000"))</f>
        <v>0</v>
      </c>
      <c r="J416" s="21">
        <f>IF(C416="","",IFERROR(INDEX(Services!$P$5:$P$64,MATCH(C416,Services!$B$5:$B$64,0)),"0"))</f>
        <v>0</v>
      </c>
      <c r="K416" s="23">
        <f>IF(C416="","",IFERROR(INDEX(Services!$E$5:$E$64,MATCH(C416,Services!$B$5:$B$64,0)),""))</f>
        <v>0</v>
      </c>
      <c r="L416" s="21">
        <f>IF(B416="","",IF(F416&lt;&gt;"",F416,IFERROR(J416*1,0)))</f>
        <v>0</v>
      </c>
      <c r="M416" s="51">
        <f>IF(B416="","",IF(D416&lt;&gt;"",D416,IFERROR(INDEX(Services!$O$5:$O$64,MATCH(C416,Services!$B$5:$B$64,0)),"")))</f>
        <v>0</v>
      </c>
      <c r="N416" s="34">
        <f>IF(B416="","",IFERROR(INDEX(Services!$G$5:$G$64,MATCH(C416,Services!$B$5:$B$64,0)),0)*IF(E416="",1,IF(IFERROR(INDEX(Services!$D$5:$D$64,MATCH(C416,Services!$B$5:$B$64,0)),"")="Per hour",1,E416)))</f>
        <v>0</v>
      </c>
      <c r="O416" s="21">
        <f>IF(B416="","",ROUND(IF(E416="",1,E416)*L416,2))</f>
        <v>0</v>
      </c>
      <c r="P416" s="21">
        <f>IF(B416="","",ROUND(O416*(1-IF(G416="",0,G416)),2))</f>
        <v>0</v>
      </c>
      <c r="Q416" s="21">
        <f>IF(B416="","",ROUND(N416*CostPerHour+IF(E416="",1,E416)*IFERROR(INDEX(Services!$R$5:$R$64,MATCH(C416,Services!$B$5:$B$64,0)),0),2))</f>
        <v>0</v>
      </c>
      <c r="R416" s="38">
        <f>IF(OR(B416="",P416=0),"",(P416-Q416)/P416)</f>
        <v>0</v>
      </c>
      <c r="S416" s="31">
        <f>IF(OR(B416="",C416=""),"",COUNTIFS($B$5:B416,B416))</f>
        <v>0</v>
      </c>
      <c r="T416" s="23">
        <f>IF(S416="","",B416&amp;"|"&amp;S416)</f>
        <v>0</v>
      </c>
      <c r="U416" s="39">
        <f>IF(B416="","",IF(C416="","Add - pick a service",IF(E416="","Add - how many?",IF(L416=0,"Add - no price",IF(AND(R416&lt;&gt;"",R416&lt;MarginFloor),"Below - thin margin","OK")))))</f>
        <v>0</v>
      </c>
    </row>
    <row r="417" spans="1:21">
      <c r="A417" s="43">
        <f>IF(B417="","","QL-"&amp;TEXT(ROW()-4,"0000"))</f>
        <v>0</v>
      </c>
      <c r="J417" s="21">
        <f>IF(C417="","",IFERROR(INDEX(Services!$P$5:$P$64,MATCH(C417,Services!$B$5:$B$64,0)),"0"))</f>
        <v>0</v>
      </c>
      <c r="K417" s="23">
        <f>IF(C417="","",IFERROR(INDEX(Services!$E$5:$E$64,MATCH(C417,Services!$B$5:$B$64,0)),""))</f>
        <v>0</v>
      </c>
      <c r="L417" s="21">
        <f>IF(B417="","",IF(F417&lt;&gt;"",F417,IFERROR(J417*1,0)))</f>
        <v>0</v>
      </c>
      <c r="M417" s="51">
        <f>IF(B417="","",IF(D417&lt;&gt;"",D417,IFERROR(INDEX(Services!$O$5:$O$64,MATCH(C417,Services!$B$5:$B$64,0)),"")))</f>
        <v>0</v>
      </c>
      <c r="N417" s="34">
        <f>IF(B417="","",IFERROR(INDEX(Services!$G$5:$G$64,MATCH(C417,Services!$B$5:$B$64,0)),0)*IF(E417="",1,IF(IFERROR(INDEX(Services!$D$5:$D$64,MATCH(C417,Services!$B$5:$B$64,0)),"")="Per hour",1,E417)))</f>
        <v>0</v>
      </c>
      <c r="O417" s="21">
        <f>IF(B417="","",ROUND(IF(E417="",1,E417)*L417,2))</f>
        <v>0</v>
      </c>
      <c r="P417" s="21">
        <f>IF(B417="","",ROUND(O417*(1-IF(G417="",0,G417)),2))</f>
        <v>0</v>
      </c>
      <c r="Q417" s="21">
        <f>IF(B417="","",ROUND(N417*CostPerHour+IF(E417="",1,E417)*IFERROR(INDEX(Services!$R$5:$R$64,MATCH(C417,Services!$B$5:$B$64,0)),0),2))</f>
        <v>0</v>
      </c>
      <c r="R417" s="38">
        <f>IF(OR(B417="",P417=0),"",(P417-Q417)/P417)</f>
        <v>0</v>
      </c>
      <c r="S417" s="31">
        <f>IF(OR(B417="",C417=""),"",COUNTIFS($B$5:B417,B417))</f>
        <v>0</v>
      </c>
      <c r="T417" s="23">
        <f>IF(S417="","",B417&amp;"|"&amp;S417)</f>
        <v>0</v>
      </c>
      <c r="U417" s="39">
        <f>IF(B417="","",IF(C417="","Add - pick a service",IF(E417="","Add - how many?",IF(L417=0,"Add - no price",IF(AND(R417&lt;&gt;"",R417&lt;MarginFloor),"Below - thin margin","OK")))))</f>
        <v>0</v>
      </c>
    </row>
    <row r="418" spans="1:21">
      <c r="A418" s="43">
        <f>IF(B418="","","QL-"&amp;TEXT(ROW()-4,"0000"))</f>
        <v>0</v>
      </c>
      <c r="J418" s="21">
        <f>IF(C418="","",IFERROR(INDEX(Services!$P$5:$P$64,MATCH(C418,Services!$B$5:$B$64,0)),"0"))</f>
        <v>0</v>
      </c>
      <c r="K418" s="23">
        <f>IF(C418="","",IFERROR(INDEX(Services!$E$5:$E$64,MATCH(C418,Services!$B$5:$B$64,0)),""))</f>
        <v>0</v>
      </c>
      <c r="L418" s="21">
        <f>IF(B418="","",IF(F418&lt;&gt;"",F418,IFERROR(J418*1,0)))</f>
        <v>0</v>
      </c>
      <c r="M418" s="51">
        <f>IF(B418="","",IF(D418&lt;&gt;"",D418,IFERROR(INDEX(Services!$O$5:$O$64,MATCH(C418,Services!$B$5:$B$64,0)),"")))</f>
        <v>0</v>
      </c>
      <c r="N418" s="34">
        <f>IF(B418="","",IFERROR(INDEX(Services!$G$5:$G$64,MATCH(C418,Services!$B$5:$B$64,0)),0)*IF(E418="",1,IF(IFERROR(INDEX(Services!$D$5:$D$64,MATCH(C418,Services!$B$5:$B$64,0)),"")="Per hour",1,E418)))</f>
        <v>0</v>
      </c>
      <c r="O418" s="21">
        <f>IF(B418="","",ROUND(IF(E418="",1,E418)*L418,2))</f>
        <v>0</v>
      </c>
      <c r="P418" s="21">
        <f>IF(B418="","",ROUND(O418*(1-IF(G418="",0,G418)),2))</f>
        <v>0</v>
      </c>
      <c r="Q418" s="21">
        <f>IF(B418="","",ROUND(N418*CostPerHour+IF(E418="",1,E418)*IFERROR(INDEX(Services!$R$5:$R$64,MATCH(C418,Services!$B$5:$B$64,0)),0),2))</f>
        <v>0</v>
      </c>
      <c r="R418" s="38">
        <f>IF(OR(B418="",P418=0),"",(P418-Q418)/P418)</f>
        <v>0</v>
      </c>
      <c r="S418" s="31">
        <f>IF(OR(B418="",C418=""),"",COUNTIFS($B$5:B418,B418))</f>
        <v>0</v>
      </c>
      <c r="T418" s="23">
        <f>IF(S418="","",B418&amp;"|"&amp;S418)</f>
        <v>0</v>
      </c>
      <c r="U418" s="39">
        <f>IF(B418="","",IF(C418="","Add - pick a service",IF(E418="","Add - how many?",IF(L418=0,"Add - no price",IF(AND(R418&lt;&gt;"",R418&lt;MarginFloor),"Below - thin margin","OK")))))</f>
        <v>0</v>
      </c>
    </row>
    <row r="419" spans="1:21">
      <c r="A419" s="43">
        <f>IF(B419="","","QL-"&amp;TEXT(ROW()-4,"0000"))</f>
        <v>0</v>
      </c>
      <c r="J419" s="21">
        <f>IF(C419="","",IFERROR(INDEX(Services!$P$5:$P$64,MATCH(C419,Services!$B$5:$B$64,0)),"0"))</f>
        <v>0</v>
      </c>
      <c r="K419" s="23">
        <f>IF(C419="","",IFERROR(INDEX(Services!$E$5:$E$64,MATCH(C419,Services!$B$5:$B$64,0)),""))</f>
        <v>0</v>
      </c>
      <c r="L419" s="21">
        <f>IF(B419="","",IF(F419&lt;&gt;"",F419,IFERROR(J419*1,0)))</f>
        <v>0</v>
      </c>
      <c r="M419" s="51">
        <f>IF(B419="","",IF(D419&lt;&gt;"",D419,IFERROR(INDEX(Services!$O$5:$O$64,MATCH(C419,Services!$B$5:$B$64,0)),"")))</f>
        <v>0</v>
      </c>
      <c r="N419" s="34">
        <f>IF(B419="","",IFERROR(INDEX(Services!$G$5:$G$64,MATCH(C419,Services!$B$5:$B$64,0)),0)*IF(E419="",1,IF(IFERROR(INDEX(Services!$D$5:$D$64,MATCH(C419,Services!$B$5:$B$64,0)),"")="Per hour",1,E419)))</f>
        <v>0</v>
      </c>
      <c r="O419" s="21">
        <f>IF(B419="","",ROUND(IF(E419="",1,E419)*L419,2))</f>
        <v>0</v>
      </c>
      <c r="P419" s="21">
        <f>IF(B419="","",ROUND(O419*(1-IF(G419="",0,G419)),2))</f>
        <v>0</v>
      </c>
      <c r="Q419" s="21">
        <f>IF(B419="","",ROUND(N419*CostPerHour+IF(E419="",1,E419)*IFERROR(INDEX(Services!$R$5:$R$64,MATCH(C419,Services!$B$5:$B$64,0)),0),2))</f>
        <v>0</v>
      </c>
      <c r="R419" s="38">
        <f>IF(OR(B419="",P419=0),"",(P419-Q419)/P419)</f>
        <v>0</v>
      </c>
      <c r="S419" s="31">
        <f>IF(OR(B419="",C419=""),"",COUNTIFS($B$5:B419,B419))</f>
        <v>0</v>
      </c>
      <c r="T419" s="23">
        <f>IF(S419="","",B419&amp;"|"&amp;S419)</f>
        <v>0</v>
      </c>
      <c r="U419" s="39">
        <f>IF(B419="","",IF(C419="","Add - pick a service",IF(E419="","Add - how many?",IF(L419=0,"Add - no price",IF(AND(R419&lt;&gt;"",R419&lt;MarginFloor),"Below - thin margin","OK")))))</f>
        <v>0</v>
      </c>
    </row>
    <row r="420" spans="1:21">
      <c r="A420" s="43">
        <f>IF(B420="","","QL-"&amp;TEXT(ROW()-4,"0000"))</f>
        <v>0</v>
      </c>
      <c r="J420" s="21">
        <f>IF(C420="","",IFERROR(INDEX(Services!$P$5:$P$64,MATCH(C420,Services!$B$5:$B$64,0)),"0"))</f>
        <v>0</v>
      </c>
      <c r="K420" s="23">
        <f>IF(C420="","",IFERROR(INDEX(Services!$E$5:$E$64,MATCH(C420,Services!$B$5:$B$64,0)),""))</f>
        <v>0</v>
      </c>
      <c r="L420" s="21">
        <f>IF(B420="","",IF(F420&lt;&gt;"",F420,IFERROR(J420*1,0)))</f>
        <v>0</v>
      </c>
      <c r="M420" s="51">
        <f>IF(B420="","",IF(D420&lt;&gt;"",D420,IFERROR(INDEX(Services!$O$5:$O$64,MATCH(C420,Services!$B$5:$B$64,0)),"")))</f>
        <v>0</v>
      </c>
      <c r="N420" s="34">
        <f>IF(B420="","",IFERROR(INDEX(Services!$G$5:$G$64,MATCH(C420,Services!$B$5:$B$64,0)),0)*IF(E420="",1,IF(IFERROR(INDEX(Services!$D$5:$D$64,MATCH(C420,Services!$B$5:$B$64,0)),"")="Per hour",1,E420)))</f>
        <v>0</v>
      </c>
      <c r="O420" s="21">
        <f>IF(B420="","",ROUND(IF(E420="",1,E420)*L420,2))</f>
        <v>0</v>
      </c>
      <c r="P420" s="21">
        <f>IF(B420="","",ROUND(O420*(1-IF(G420="",0,G420)),2))</f>
        <v>0</v>
      </c>
      <c r="Q420" s="21">
        <f>IF(B420="","",ROUND(N420*CostPerHour+IF(E420="",1,E420)*IFERROR(INDEX(Services!$R$5:$R$64,MATCH(C420,Services!$B$5:$B$64,0)),0),2))</f>
        <v>0</v>
      </c>
      <c r="R420" s="38">
        <f>IF(OR(B420="",P420=0),"",(P420-Q420)/P420)</f>
        <v>0</v>
      </c>
      <c r="S420" s="31">
        <f>IF(OR(B420="",C420=""),"",COUNTIFS($B$5:B420,B420))</f>
        <v>0</v>
      </c>
      <c r="T420" s="23">
        <f>IF(S420="","",B420&amp;"|"&amp;S420)</f>
        <v>0</v>
      </c>
      <c r="U420" s="39">
        <f>IF(B420="","",IF(C420="","Add - pick a service",IF(E420="","Add - how many?",IF(L420=0,"Add - no price",IF(AND(R420&lt;&gt;"",R420&lt;MarginFloor),"Below - thin margin","OK")))))</f>
        <v>0</v>
      </c>
    </row>
    <row r="421" spans="1:21">
      <c r="A421" s="43">
        <f>IF(B421="","","QL-"&amp;TEXT(ROW()-4,"0000"))</f>
        <v>0</v>
      </c>
      <c r="J421" s="21">
        <f>IF(C421="","",IFERROR(INDEX(Services!$P$5:$P$64,MATCH(C421,Services!$B$5:$B$64,0)),"0"))</f>
        <v>0</v>
      </c>
      <c r="K421" s="23">
        <f>IF(C421="","",IFERROR(INDEX(Services!$E$5:$E$64,MATCH(C421,Services!$B$5:$B$64,0)),""))</f>
        <v>0</v>
      </c>
      <c r="L421" s="21">
        <f>IF(B421="","",IF(F421&lt;&gt;"",F421,IFERROR(J421*1,0)))</f>
        <v>0</v>
      </c>
      <c r="M421" s="51">
        <f>IF(B421="","",IF(D421&lt;&gt;"",D421,IFERROR(INDEX(Services!$O$5:$O$64,MATCH(C421,Services!$B$5:$B$64,0)),"")))</f>
        <v>0</v>
      </c>
      <c r="N421" s="34">
        <f>IF(B421="","",IFERROR(INDEX(Services!$G$5:$G$64,MATCH(C421,Services!$B$5:$B$64,0)),0)*IF(E421="",1,IF(IFERROR(INDEX(Services!$D$5:$D$64,MATCH(C421,Services!$B$5:$B$64,0)),"")="Per hour",1,E421)))</f>
        <v>0</v>
      </c>
      <c r="O421" s="21">
        <f>IF(B421="","",ROUND(IF(E421="",1,E421)*L421,2))</f>
        <v>0</v>
      </c>
      <c r="P421" s="21">
        <f>IF(B421="","",ROUND(O421*(1-IF(G421="",0,G421)),2))</f>
        <v>0</v>
      </c>
      <c r="Q421" s="21">
        <f>IF(B421="","",ROUND(N421*CostPerHour+IF(E421="",1,E421)*IFERROR(INDEX(Services!$R$5:$R$64,MATCH(C421,Services!$B$5:$B$64,0)),0),2))</f>
        <v>0</v>
      </c>
      <c r="R421" s="38">
        <f>IF(OR(B421="",P421=0),"",(P421-Q421)/P421)</f>
        <v>0</v>
      </c>
      <c r="S421" s="31">
        <f>IF(OR(B421="",C421=""),"",COUNTIFS($B$5:B421,B421))</f>
        <v>0</v>
      </c>
      <c r="T421" s="23">
        <f>IF(S421="","",B421&amp;"|"&amp;S421)</f>
        <v>0</v>
      </c>
      <c r="U421" s="39">
        <f>IF(B421="","",IF(C421="","Add - pick a service",IF(E421="","Add - how many?",IF(L421=0,"Add - no price",IF(AND(R421&lt;&gt;"",R421&lt;MarginFloor),"Below - thin margin","OK")))))</f>
        <v>0</v>
      </c>
    </row>
    <row r="422" spans="1:21">
      <c r="A422" s="43">
        <f>IF(B422="","","QL-"&amp;TEXT(ROW()-4,"0000"))</f>
        <v>0</v>
      </c>
      <c r="J422" s="21">
        <f>IF(C422="","",IFERROR(INDEX(Services!$P$5:$P$64,MATCH(C422,Services!$B$5:$B$64,0)),"0"))</f>
        <v>0</v>
      </c>
      <c r="K422" s="23">
        <f>IF(C422="","",IFERROR(INDEX(Services!$E$5:$E$64,MATCH(C422,Services!$B$5:$B$64,0)),""))</f>
        <v>0</v>
      </c>
      <c r="L422" s="21">
        <f>IF(B422="","",IF(F422&lt;&gt;"",F422,IFERROR(J422*1,0)))</f>
        <v>0</v>
      </c>
      <c r="M422" s="51">
        <f>IF(B422="","",IF(D422&lt;&gt;"",D422,IFERROR(INDEX(Services!$O$5:$O$64,MATCH(C422,Services!$B$5:$B$64,0)),"")))</f>
        <v>0</v>
      </c>
      <c r="N422" s="34">
        <f>IF(B422="","",IFERROR(INDEX(Services!$G$5:$G$64,MATCH(C422,Services!$B$5:$B$64,0)),0)*IF(E422="",1,IF(IFERROR(INDEX(Services!$D$5:$D$64,MATCH(C422,Services!$B$5:$B$64,0)),"")="Per hour",1,E422)))</f>
        <v>0</v>
      </c>
      <c r="O422" s="21">
        <f>IF(B422="","",ROUND(IF(E422="",1,E422)*L422,2))</f>
        <v>0</v>
      </c>
      <c r="P422" s="21">
        <f>IF(B422="","",ROUND(O422*(1-IF(G422="",0,G422)),2))</f>
        <v>0</v>
      </c>
      <c r="Q422" s="21">
        <f>IF(B422="","",ROUND(N422*CostPerHour+IF(E422="",1,E422)*IFERROR(INDEX(Services!$R$5:$R$64,MATCH(C422,Services!$B$5:$B$64,0)),0),2))</f>
        <v>0</v>
      </c>
      <c r="R422" s="38">
        <f>IF(OR(B422="",P422=0),"",(P422-Q422)/P422)</f>
        <v>0</v>
      </c>
      <c r="S422" s="31">
        <f>IF(OR(B422="",C422=""),"",COUNTIFS($B$5:B422,B422))</f>
        <v>0</v>
      </c>
      <c r="T422" s="23">
        <f>IF(S422="","",B422&amp;"|"&amp;S422)</f>
        <v>0</v>
      </c>
      <c r="U422" s="39">
        <f>IF(B422="","",IF(C422="","Add - pick a service",IF(E422="","Add - how many?",IF(L422=0,"Add - no price",IF(AND(R422&lt;&gt;"",R422&lt;MarginFloor),"Below - thin margin","OK")))))</f>
        <v>0</v>
      </c>
    </row>
    <row r="423" spans="1:21">
      <c r="A423" s="43">
        <f>IF(B423="","","QL-"&amp;TEXT(ROW()-4,"0000"))</f>
        <v>0</v>
      </c>
      <c r="J423" s="21">
        <f>IF(C423="","",IFERROR(INDEX(Services!$P$5:$P$64,MATCH(C423,Services!$B$5:$B$64,0)),"0"))</f>
        <v>0</v>
      </c>
      <c r="K423" s="23">
        <f>IF(C423="","",IFERROR(INDEX(Services!$E$5:$E$64,MATCH(C423,Services!$B$5:$B$64,0)),""))</f>
        <v>0</v>
      </c>
      <c r="L423" s="21">
        <f>IF(B423="","",IF(F423&lt;&gt;"",F423,IFERROR(J423*1,0)))</f>
        <v>0</v>
      </c>
      <c r="M423" s="51">
        <f>IF(B423="","",IF(D423&lt;&gt;"",D423,IFERROR(INDEX(Services!$O$5:$O$64,MATCH(C423,Services!$B$5:$B$64,0)),"")))</f>
        <v>0</v>
      </c>
      <c r="N423" s="34">
        <f>IF(B423="","",IFERROR(INDEX(Services!$G$5:$G$64,MATCH(C423,Services!$B$5:$B$64,0)),0)*IF(E423="",1,IF(IFERROR(INDEX(Services!$D$5:$D$64,MATCH(C423,Services!$B$5:$B$64,0)),"")="Per hour",1,E423)))</f>
        <v>0</v>
      </c>
      <c r="O423" s="21">
        <f>IF(B423="","",ROUND(IF(E423="",1,E423)*L423,2))</f>
        <v>0</v>
      </c>
      <c r="P423" s="21">
        <f>IF(B423="","",ROUND(O423*(1-IF(G423="",0,G423)),2))</f>
        <v>0</v>
      </c>
      <c r="Q423" s="21">
        <f>IF(B423="","",ROUND(N423*CostPerHour+IF(E423="",1,E423)*IFERROR(INDEX(Services!$R$5:$R$64,MATCH(C423,Services!$B$5:$B$64,0)),0),2))</f>
        <v>0</v>
      </c>
      <c r="R423" s="38">
        <f>IF(OR(B423="",P423=0),"",(P423-Q423)/P423)</f>
        <v>0</v>
      </c>
      <c r="S423" s="31">
        <f>IF(OR(B423="",C423=""),"",COUNTIFS($B$5:B423,B423))</f>
        <v>0</v>
      </c>
      <c r="T423" s="23">
        <f>IF(S423="","",B423&amp;"|"&amp;S423)</f>
        <v>0</v>
      </c>
      <c r="U423" s="39">
        <f>IF(B423="","",IF(C423="","Add - pick a service",IF(E423="","Add - how many?",IF(L423=0,"Add - no price",IF(AND(R423&lt;&gt;"",R423&lt;MarginFloor),"Below - thin margin","OK")))))</f>
        <v>0</v>
      </c>
    </row>
    <row r="424" spans="1:21">
      <c r="A424" s="43">
        <f>IF(B424="","","QL-"&amp;TEXT(ROW()-4,"0000"))</f>
        <v>0</v>
      </c>
      <c r="J424" s="21">
        <f>IF(C424="","",IFERROR(INDEX(Services!$P$5:$P$64,MATCH(C424,Services!$B$5:$B$64,0)),"0"))</f>
        <v>0</v>
      </c>
      <c r="K424" s="23">
        <f>IF(C424="","",IFERROR(INDEX(Services!$E$5:$E$64,MATCH(C424,Services!$B$5:$B$64,0)),""))</f>
        <v>0</v>
      </c>
      <c r="L424" s="21">
        <f>IF(B424="","",IF(F424&lt;&gt;"",F424,IFERROR(J424*1,0)))</f>
        <v>0</v>
      </c>
      <c r="M424" s="51">
        <f>IF(B424="","",IF(D424&lt;&gt;"",D424,IFERROR(INDEX(Services!$O$5:$O$64,MATCH(C424,Services!$B$5:$B$64,0)),"")))</f>
        <v>0</v>
      </c>
      <c r="N424" s="34">
        <f>IF(B424="","",IFERROR(INDEX(Services!$G$5:$G$64,MATCH(C424,Services!$B$5:$B$64,0)),0)*IF(E424="",1,IF(IFERROR(INDEX(Services!$D$5:$D$64,MATCH(C424,Services!$B$5:$B$64,0)),"")="Per hour",1,E424)))</f>
        <v>0</v>
      </c>
      <c r="O424" s="21">
        <f>IF(B424="","",ROUND(IF(E424="",1,E424)*L424,2))</f>
        <v>0</v>
      </c>
      <c r="P424" s="21">
        <f>IF(B424="","",ROUND(O424*(1-IF(G424="",0,G424)),2))</f>
        <v>0</v>
      </c>
      <c r="Q424" s="21">
        <f>IF(B424="","",ROUND(N424*CostPerHour+IF(E424="",1,E424)*IFERROR(INDEX(Services!$R$5:$R$64,MATCH(C424,Services!$B$5:$B$64,0)),0),2))</f>
        <v>0</v>
      </c>
      <c r="R424" s="38">
        <f>IF(OR(B424="",P424=0),"",(P424-Q424)/P424)</f>
        <v>0</v>
      </c>
      <c r="S424" s="31">
        <f>IF(OR(B424="",C424=""),"",COUNTIFS($B$5:B424,B424))</f>
        <v>0</v>
      </c>
      <c r="T424" s="23">
        <f>IF(S424="","",B424&amp;"|"&amp;S424)</f>
        <v>0</v>
      </c>
      <c r="U424" s="39">
        <f>IF(B424="","",IF(C424="","Add - pick a service",IF(E424="","Add - how many?",IF(L424=0,"Add - no price",IF(AND(R424&lt;&gt;"",R424&lt;MarginFloor),"Below - thin margin","OK")))))</f>
        <v>0</v>
      </c>
    </row>
    <row r="425" spans="1:21">
      <c r="A425" s="43">
        <f>IF(B425="","","QL-"&amp;TEXT(ROW()-4,"0000"))</f>
        <v>0</v>
      </c>
      <c r="J425" s="21">
        <f>IF(C425="","",IFERROR(INDEX(Services!$P$5:$P$64,MATCH(C425,Services!$B$5:$B$64,0)),"0"))</f>
        <v>0</v>
      </c>
      <c r="K425" s="23">
        <f>IF(C425="","",IFERROR(INDEX(Services!$E$5:$E$64,MATCH(C425,Services!$B$5:$B$64,0)),""))</f>
        <v>0</v>
      </c>
      <c r="L425" s="21">
        <f>IF(B425="","",IF(F425&lt;&gt;"",F425,IFERROR(J425*1,0)))</f>
        <v>0</v>
      </c>
      <c r="M425" s="51">
        <f>IF(B425="","",IF(D425&lt;&gt;"",D425,IFERROR(INDEX(Services!$O$5:$O$64,MATCH(C425,Services!$B$5:$B$64,0)),"")))</f>
        <v>0</v>
      </c>
      <c r="N425" s="34">
        <f>IF(B425="","",IFERROR(INDEX(Services!$G$5:$G$64,MATCH(C425,Services!$B$5:$B$64,0)),0)*IF(E425="",1,IF(IFERROR(INDEX(Services!$D$5:$D$64,MATCH(C425,Services!$B$5:$B$64,0)),"")="Per hour",1,E425)))</f>
        <v>0</v>
      </c>
      <c r="O425" s="21">
        <f>IF(B425="","",ROUND(IF(E425="",1,E425)*L425,2))</f>
        <v>0</v>
      </c>
      <c r="P425" s="21">
        <f>IF(B425="","",ROUND(O425*(1-IF(G425="",0,G425)),2))</f>
        <v>0</v>
      </c>
      <c r="Q425" s="21">
        <f>IF(B425="","",ROUND(N425*CostPerHour+IF(E425="",1,E425)*IFERROR(INDEX(Services!$R$5:$R$64,MATCH(C425,Services!$B$5:$B$64,0)),0),2))</f>
        <v>0</v>
      </c>
      <c r="R425" s="38">
        <f>IF(OR(B425="",P425=0),"",(P425-Q425)/P425)</f>
        <v>0</v>
      </c>
      <c r="S425" s="31">
        <f>IF(OR(B425="",C425=""),"",COUNTIFS($B$5:B425,B425))</f>
        <v>0</v>
      </c>
      <c r="T425" s="23">
        <f>IF(S425="","",B425&amp;"|"&amp;S425)</f>
        <v>0</v>
      </c>
      <c r="U425" s="39">
        <f>IF(B425="","",IF(C425="","Add - pick a service",IF(E425="","Add - how many?",IF(L425=0,"Add - no price",IF(AND(R425&lt;&gt;"",R425&lt;MarginFloor),"Below - thin margin","OK")))))</f>
        <v>0</v>
      </c>
    </row>
    <row r="426" spans="1:21">
      <c r="A426" s="43">
        <f>IF(B426="","","QL-"&amp;TEXT(ROW()-4,"0000"))</f>
        <v>0</v>
      </c>
      <c r="J426" s="21">
        <f>IF(C426="","",IFERROR(INDEX(Services!$P$5:$P$64,MATCH(C426,Services!$B$5:$B$64,0)),"0"))</f>
        <v>0</v>
      </c>
      <c r="K426" s="23">
        <f>IF(C426="","",IFERROR(INDEX(Services!$E$5:$E$64,MATCH(C426,Services!$B$5:$B$64,0)),""))</f>
        <v>0</v>
      </c>
      <c r="L426" s="21">
        <f>IF(B426="","",IF(F426&lt;&gt;"",F426,IFERROR(J426*1,0)))</f>
        <v>0</v>
      </c>
      <c r="M426" s="51">
        <f>IF(B426="","",IF(D426&lt;&gt;"",D426,IFERROR(INDEX(Services!$O$5:$O$64,MATCH(C426,Services!$B$5:$B$64,0)),"")))</f>
        <v>0</v>
      </c>
      <c r="N426" s="34">
        <f>IF(B426="","",IFERROR(INDEX(Services!$G$5:$G$64,MATCH(C426,Services!$B$5:$B$64,0)),0)*IF(E426="",1,IF(IFERROR(INDEX(Services!$D$5:$D$64,MATCH(C426,Services!$B$5:$B$64,0)),"")="Per hour",1,E426)))</f>
        <v>0</v>
      </c>
      <c r="O426" s="21">
        <f>IF(B426="","",ROUND(IF(E426="",1,E426)*L426,2))</f>
        <v>0</v>
      </c>
      <c r="P426" s="21">
        <f>IF(B426="","",ROUND(O426*(1-IF(G426="",0,G426)),2))</f>
        <v>0</v>
      </c>
      <c r="Q426" s="21">
        <f>IF(B426="","",ROUND(N426*CostPerHour+IF(E426="",1,E426)*IFERROR(INDEX(Services!$R$5:$R$64,MATCH(C426,Services!$B$5:$B$64,0)),0),2))</f>
        <v>0</v>
      </c>
      <c r="R426" s="38">
        <f>IF(OR(B426="",P426=0),"",(P426-Q426)/P426)</f>
        <v>0</v>
      </c>
      <c r="S426" s="31">
        <f>IF(OR(B426="",C426=""),"",COUNTIFS($B$5:B426,B426))</f>
        <v>0</v>
      </c>
      <c r="T426" s="23">
        <f>IF(S426="","",B426&amp;"|"&amp;S426)</f>
        <v>0</v>
      </c>
      <c r="U426" s="39">
        <f>IF(B426="","",IF(C426="","Add - pick a service",IF(E426="","Add - how many?",IF(L426=0,"Add - no price",IF(AND(R426&lt;&gt;"",R426&lt;MarginFloor),"Below - thin margin","OK")))))</f>
        <v>0</v>
      </c>
    </row>
    <row r="427" spans="1:21">
      <c r="A427" s="43">
        <f>IF(B427="","","QL-"&amp;TEXT(ROW()-4,"0000"))</f>
        <v>0</v>
      </c>
      <c r="J427" s="21">
        <f>IF(C427="","",IFERROR(INDEX(Services!$P$5:$P$64,MATCH(C427,Services!$B$5:$B$64,0)),"0"))</f>
        <v>0</v>
      </c>
      <c r="K427" s="23">
        <f>IF(C427="","",IFERROR(INDEX(Services!$E$5:$E$64,MATCH(C427,Services!$B$5:$B$64,0)),""))</f>
        <v>0</v>
      </c>
      <c r="L427" s="21">
        <f>IF(B427="","",IF(F427&lt;&gt;"",F427,IFERROR(J427*1,0)))</f>
        <v>0</v>
      </c>
      <c r="M427" s="51">
        <f>IF(B427="","",IF(D427&lt;&gt;"",D427,IFERROR(INDEX(Services!$O$5:$O$64,MATCH(C427,Services!$B$5:$B$64,0)),"")))</f>
        <v>0</v>
      </c>
      <c r="N427" s="34">
        <f>IF(B427="","",IFERROR(INDEX(Services!$G$5:$G$64,MATCH(C427,Services!$B$5:$B$64,0)),0)*IF(E427="",1,IF(IFERROR(INDEX(Services!$D$5:$D$64,MATCH(C427,Services!$B$5:$B$64,0)),"")="Per hour",1,E427)))</f>
        <v>0</v>
      </c>
      <c r="O427" s="21">
        <f>IF(B427="","",ROUND(IF(E427="",1,E427)*L427,2))</f>
        <v>0</v>
      </c>
      <c r="P427" s="21">
        <f>IF(B427="","",ROUND(O427*(1-IF(G427="",0,G427)),2))</f>
        <v>0</v>
      </c>
      <c r="Q427" s="21">
        <f>IF(B427="","",ROUND(N427*CostPerHour+IF(E427="",1,E427)*IFERROR(INDEX(Services!$R$5:$R$64,MATCH(C427,Services!$B$5:$B$64,0)),0),2))</f>
        <v>0</v>
      </c>
      <c r="R427" s="38">
        <f>IF(OR(B427="",P427=0),"",(P427-Q427)/P427)</f>
        <v>0</v>
      </c>
      <c r="S427" s="31">
        <f>IF(OR(B427="",C427=""),"",COUNTIFS($B$5:B427,B427))</f>
        <v>0</v>
      </c>
      <c r="T427" s="23">
        <f>IF(S427="","",B427&amp;"|"&amp;S427)</f>
        <v>0</v>
      </c>
      <c r="U427" s="39">
        <f>IF(B427="","",IF(C427="","Add - pick a service",IF(E427="","Add - how many?",IF(L427=0,"Add - no price",IF(AND(R427&lt;&gt;"",R427&lt;MarginFloor),"Below - thin margin","OK")))))</f>
        <v>0</v>
      </c>
    </row>
    <row r="428" spans="1:21">
      <c r="A428" s="43">
        <f>IF(B428="","","QL-"&amp;TEXT(ROW()-4,"0000"))</f>
        <v>0</v>
      </c>
      <c r="J428" s="21">
        <f>IF(C428="","",IFERROR(INDEX(Services!$P$5:$P$64,MATCH(C428,Services!$B$5:$B$64,0)),"0"))</f>
        <v>0</v>
      </c>
      <c r="K428" s="23">
        <f>IF(C428="","",IFERROR(INDEX(Services!$E$5:$E$64,MATCH(C428,Services!$B$5:$B$64,0)),""))</f>
        <v>0</v>
      </c>
      <c r="L428" s="21">
        <f>IF(B428="","",IF(F428&lt;&gt;"",F428,IFERROR(J428*1,0)))</f>
        <v>0</v>
      </c>
      <c r="M428" s="51">
        <f>IF(B428="","",IF(D428&lt;&gt;"",D428,IFERROR(INDEX(Services!$O$5:$O$64,MATCH(C428,Services!$B$5:$B$64,0)),"")))</f>
        <v>0</v>
      </c>
      <c r="N428" s="34">
        <f>IF(B428="","",IFERROR(INDEX(Services!$G$5:$G$64,MATCH(C428,Services!$B$5:$B$64,0)),0)*IF(E428="",1,IF(IFERROR(INDEX(Services!$D$5:$D$64,MATCH(C428,Services!$B$5:$B$64,0)),"")="Per hour",1,E428)))</f>
        <v>0</v>
      </c>
      <c r="O428" s="21">
        <f>IF(B428="","",ROUND(IF(E428="",1,E428)*L428,2))</f>
        <v>0</v>
      </c>
      <c r="P428" s="21">
        <f>IF(B428="","",ROUND(O428*(1-IF(G428="",0,G428)),2))</f>
        <v>0</v>
      </c>
      <c r="Q428" s="21">
        <f>IF(B428="","",ROUND(N428*CostPerHour+IF(E428="",1,E428)*IFERROR(INDEX(Services!$R$5:$R$64,MATCH(C428,Services!$B$5:$B$64,0)),0),2))</f>
        <v>0</v>
      </c>
      <c r="R428" s="38">
        <f>IF(OR(B428="",P428=0),"",(P428-Q428)/P428)</f>
        <v>0</v>
      </c>
      <c r="S428" s="31">
        <f>IF(OR(B428="",C428=""),"",COUNTIFS($B$5:B428,B428))</f>
        <v>0</v>
      </c>
      <c r="T428" s="23">
        <f>IF(S428="","",B428&amp;"|"&amp;S428)</f>
        <v>0</v>
      </c>
      <c r="U428" s="39">
        <f>IF(B428="","",IF(C428="","Add - pick a service",IF(E428="","Add - how many?",IF(L428=0,"Add - no price",IF(AND(R428&lt;&gt;"",R428&lt;MarginFloor),"Below - thin margin","OK")))))</f>
        <v>0</v>
      </c>
    </row>
    <row r="429" spans="1:21">
      <c r="A429" s="43">
        <f>IF(B429="","","QL-"&amp;TEXT(ROW()-4,"0000"))</f>
        <v>0</v>
      </c>
      <c r="J429" s="21">
        <f>IF(C429="","",IFERROR(INDEX(Services!$P$5:$P$64,MATCH(C429,Services!$B$5:$B$64,0)),"0"))</f>
        <v>0</v>
      </c>
      <c r="K429" s="23">
        <f>IF(C429="","",IFERROR(INDEX(Services!$E$5:$E$64,MATCH(C429,Services!$B$5:$B$64,0)),""))</f>
        <v>0</v>
      </c>
      <c r="L429" s="21">
        <f>IF(B429="","",IF(F429&lt;&gt;"",F429,IFERROR(J429*1,0)))</f>
        <v>0</v>
      </c>
      <c r="M429" s="51">
        <f>IF(B429="","",IF(D429&lt;&gt;"",D429,IFERROR(INDEX(Services!$O$5:$O$64,MATCH(C429,Services!$B$5:$B$64,0)),"")))</f>
        <v>0</v>
      </c>
      <c r="N429" s="34">
        <f>IF(B429="","",IFERROR(INDEX(Services!$G$5:$G$64,MATCH(C429,Services!$B$5:$B$64,0)),0)*IF(E429="",1,IF(IFERROR(INDEX(Services!$D$5:$D$64,MATCH(C429,Services!$B$5:$B$64,0)),"")="Per hour",1,E429)))</f>
        <v>0</v>
      </c>
      <c r="O429" s="21">
        <f>IF(B429="","",ROUND(IF(E429="",1,E429)*L429,2))</f>
        <v>0</v>
      </c>
      <c r="P429" s="21">
        <f>IF(B429="","",ROUND(O429*(1-IF(G429="",0,G429)),2))</f>
        <v>0</v>
      </c>
      <c r="Q429" s="21">
        <f>IF(B429="","",ROUND(N429*CostPerHour+IF(E429="",1,E429)*IFERROR(INDEX(Services!$R$5:$R$64,MATCH(C429,Services!$B$5:$B$64,0)),0),2))</f>
        <v>0</v>
      </c>
      <c r="R429" s="38">
        <f>IF(OR(B429="",P429=0),"",(P429-Q429)/P429)</f>
        <v>0</v>
      </c>
      <c r="S429" s="31">
        <f>IF(OR(B429="",C429=""),"",COUNTIFS($B$5:B429,B429))</f>
        <v>0</v>
      </c>
      <c r="T429" s="23">
        <f>IF(S429="","",B429&amp;"|"&amp;S429)</f>
        <v>0</v>
      </c>
      <c r="U429" s="39">
        <f>IF(B429="","",IF(C429="","Add - pick a service",IF(E429="","Add - how many?",IF(L429=0,"Add - no price",IF(AND(R429&lt;&gt;"",R429&lt;MarginFloor),"Below - thin margin","OK")))))</f>
        <v>0</v>
      </c>
    </row>
    <row r="430" spans="1:21">
      <c r="A430" s="43">
        <f>IF(B430="","","QL-"&amp;TEXT(ROW()-4,"0000"))</f>
        <v>0</v>
      </c>
      <c r="J430" s="21">
        <f>IF(C430="","",IFERROR(INDEX(Services!$P$5:$P$64,MATCH(C430,Services!$B$5:$B$64,0)),"0"))</f>
        <v>0</v>
      </c>
      <c r="K430" s="23">
        <f>IF(C430="","",IFERROR(INDEX(Services!$E$5:$E$64,MATCH(C430,Services!$B$5:$B$64,0)),""))</f>
        <v>0</v>
      </c>
      <c r="L430" s="21">
        <f>IF(B430="","",IF(F430&lt;&gt;"",F430,IFERROR(J430*1,0)))</f>
        <v>0</v>
      </c>
      <c r="M430" s="51">
        <f>IF(B430="","",IF(D430&lt;&gt;"",D430,IFERROR(INDEX(Services!$O$5:$O$64,MATCH(C430,Services!$B$5:$B$64,0)),"")))</f>
        <v>0</v>
      </c>
      <c r="N430" s="34">
        <f>IF(B430="","",IFERROR(INDEX(Services!$G$5:$G$64,MATCH(C430,Services!$B$5:$B$64,0)),0)*IF(E430="",1,IF(IFERROR(INDEX(Services!$D$5:$D$64,MATCH(C430,Services!$B$5:$B$64,0)),"")="Per hour",1,E430)))</f>
        <v>0</v>
      </c>
      <c r="O430" s="21">
        <f>IF(B430="","",ROUND(IF(E430="",1,E430)*L430,2))</f>
        <v>0</v>
      </c>
      <c r="P430" s="21">
        <f>IF(B430="","",ROUND(O430*(1-IF(G430="",0,G430)),2))</f>
        <v>0</v>
      </c>
      <c r="Q430" s="21">
        <f>IF(B430="","",ROUND(N430*CostPerHour+IF(E430="",1,E430)*IFERROR(INDEX(Services!$R$5:$R$64,MATCH(C430,Services!$B$5:$B$64,0)),0),2))</f>
        <v>0</v>
      </c>
      <c r="R430" s="38">
        <f>IF(OR(B430="",P430=0),"",(P430-Q430)/P430)</f>
        <v>0</v>
      </c>
      <c r="S430" s="31">
        <f>IF(OR(B430="",C430=""),"",COUNTIFS($B$5:B430,B430))</f>
        <v>0</v>
      </c>
      <c r="T430" s="23">
        <f>IF(S430="","",B430&amp;"|"&amp;S430)</f>
        <v>0</v>
      </c>
      <c r="U430" s="39">
        <f>IF(B430="","",IF(C430="","Add - pick a service",IF(E430="","Add - how many?",IF(L430=0,"Add - no price",IF(AND(R430&lt;&gt;"",R430&lt;MarginFloor),"Below - thin margin","OK")))))</f>
        <v>0</v>
      </c>
    </row>
    <row r="431" spans="1:21">
      <c r="A431" s="43">
        <f>IF(B431="","","QL-"&amp;TEXT(ROW()-4,"0000"))</f>
        <v>0</v>
      </c>
      <c r="J431" s="21">
        <f>IF(C431="","",IFERROR(INDEX(Services!$P$5:$P$64,MATCH(C431,Services!$B$5:$B$64,0)),"0"))</f>
        <v>0</v>
      </c>
      <c r="K431" s="23">
        <f>IF(C431="","",IFERROR(INDEX(Services!$E$5:$E$64,MATCH(C431,Services!$B$5:$B$64,0)),""))</f>
        <v>0</v>
      </c>
      <c r="L431" s="21">
        <f>IF(B431="","",IF(F431&lt;&gt;"",F431,IFERROR(J431*1,0)))</f>
        <v>0</v>
      </c>
      <c r="M431" s="51">
        <f>IF(B431="","",IF(D431&lt;&gt;"",D431,IFERROR(INDEX(Services!$O$5:$O$64,MATCH(C431,Services!$B$5:$B$64,0)),"")))</f>
        <v>0</v>
      </c>
      <c r="N431" s="34">
        <f>IF(B431="","",IFERROR(INDEX(Services!$G$5:$G$64,MATCH(C431,Services!$B$5:$B$64,0)),0)*IF(E431="",1,IF(IFERROR(INDEX(Services!$D$5:$D$64,MATCH(C431,Services!$B$5:$B$64,0)),"")="Per hour",1,E431)))</f>
        <v>0</v>
      </c>
      <c r="O431" s="21">
        <f>IF(B431="","",ROUND(IF(E431="",1,E431)*L431,2))</f>
        <v>0</v>
      </c>
      <c r="P431" s="21">
        <f>IF(B431="","",ROUND(O431*(1-IF(G431="",0,G431)),2))</f>
        <v>0</v>
      </c>
      <c r="Q431" s="21">
        <f>IF(B431="","",ROUND(N431*CostPerHour+IF(E431="",1,E431)*IFERROR(INDEX(Services!$R$5:$R$64,MATCH(C431,Services!$B$5:$B$64,0)),0),2))</f>
        <v>0</v>
      </c>
      <c r="R431" s="38">
        <f>IF(OR(B431="",P431=0),"",(P431-Q431)/P431)</f>
        <v>0</v>
      </c>
      <c r="S431" s="31">
        <f>IF(OR(B431="",C431=""),"",COUNTIFS($B$5:B431,B431))</f>
        <v>0</v>
      </c>
      <c r="T431" s="23">
        <f>IF(S431="","",B431&amp;"|"&amp;S431)</f>
        <v>0</v>
      </c>
      <c r="U431" s="39">
        <f>IF(B431="","",IF(C431="","Add - pick a service",IF(E431="","Add - how many?",IF(L431=0,"Add - no price",IF(AND(R431&lt;&gt;"",R431&lt;MarginFloor),"Below - thin margin","OK")))))</f>
        <v>0</v>
      </c>
    </row>
    <row r="432" spans="1:21">
      <c r="A432" s="43">
        <f>IF(B432="","","QL-"&amp;TEXT(ROW()-4,"0000"))</f>
        <v>0</v>
      </c>
      <c r="J432" s="21">
        <f>IF(C432="","",IFERROR(INDEX(Services!$P$5:$P$64,MATCH(C432,Services!$B$5:$B$64,0)),"0"))</f>
        <v>0</v>
      </c>
      <c r="K432" s="23">
        <f>IF(C432="","",IFERROR(INDEX(Services!$E$5:$E$64,MATCH(C432,Services!$B$5:$B$64,0)),""))</f>
        <v>0</v>
      </c>
      <c r="L432" s="21">
        <f>IF(B432="","",IF(F432&lt;&gt;"",F432,IFERROR(J432*1,0)))</f>
        <v>0</v>
      </c>
      <c r="M432" s="51">
        <f>IF(B432="","",IF(D432&lt;&gt;"",D432,IFERROR(INDEX(Services!$O$5:$O$64,MATCH(C432,Services!$B$5:$B$64,0)),"")))</f>
        <v>0</v>
      </c>
      <c r="N432" s="34">
        <f>IF(B432="","",IFERROR(INDEX(Services!$G$5:$G$64,MATCH(C432,Services!$B$5:$B$64,0)),0)*IF(E432="",1,IF(IFERROR(INDEX(Services!$D$5:$D$64,MATCH(C432,Services!$B$5:$B$64,0)),"")="Per hour",1,E432)))</f>
        <v>0</v>
      </c>
      <c r="O432" s="21">
        <f>IF(B432="","",ROUND(IF(E432="",1,E432)*L432,2))</f>
        <v>0</v>
      </c>
      <c r="P432" s="21">
        <f>IF(B432="","",ROUND(O432*(1-IF(G432="",0,G432)),2))</f>
        <v>0</v>
      </c>
      <c r="Q432" s="21">
        <f>IF(B432="","",ROUND(N432*CostPerHour+IF(E432="",1,E432)*IFERROR(INDEX(Services!$R$5:$R$64,MATCH(C432,Services!$B$5:$B$64,0)),0),2))</f>
        <v>0</v>
      </c>
      <c r="R432" s="38">
        <f>IF(OR(B432="",P432=0),"",(P432-Q432)/P432)</f>
        <v>0</v>
      </c>
      <c r="S432" s="31">
        <f>IF(OR(B432="",C432=""),"",COUNTIFS($B$5:B432,B432))</f>
        <v>0</v>
      </c>
      <c r="T432" s="23">
        <f>IF(S432="","",B432&amp;"|"&amp;S432)</f>
        <v>0</v>
      </c>
      <c r="U432" s="39">
        <f>IF(B432="","",IF(C432="","Add - pick a service",IF(E432="","Add - how many?",IF(L432=0,"Add - no price",IF(AND(R432&lt;&gt;"",R432&lt;MarginFloor),"Below - thin margin","OK")))))</f>
        <v>0</v>
      </c>
    </row>
    <row r="433" spans="1:21">
      <c r="A433" s="43">
        <f>IF(B433="","","QL-"&amp;TEXT(ROW()-4,"0000"))</f>
        <v>0</v>
      </c>
      <c r="J433" s="21">
        <f>IF(C433="","",IFERROR(INDEX(Services!$P$5:$P$64,MATCH(C433,Services!$B$5:$B$64,0)),"0"))</f>
        <v>0</v>
      </c>
      <c r="K433" s="23">
        <f>IF(C433="","",IFERROR(INDEX(Services!$E$5:$E$64,MATCH(C433,Services!$B$5:$B$64,0)),""))</f>
        <v>0</v>
      </c>
      <c r="L433" s="21">
        <f>IF(B433="","",IF(F433&lt;&gt;"",F433,IFERROR(J433*1,0)))</f>
        <v>0</v>
      </c>
      <c r="M433" s="51">
        <f>IF(B433="","",IF(D433&lt;&gt;"",D433,IFERROR(INDEX(Services!$O$5:$O$64,MATCH(C433,Services!$B$5:$B$64,0)),"")))</f>
        <v>0</v>
      </c>
      <c r="N433" s="34">
        <f>IF(B433="","",IFERROR(INDEX(Services!$G$5:$G$64,MATCH(C433,Services!$B$5:$B$64,0)),0)*IF(E433="",1,IF(IFERROR(INDEX(Services!$D$5:$D$64,MATCH(C433,Services!$B$5:$B$64,0)),"")="Per hour",1,E433)))</f>
        <v>0</v>
      </c>
      <c r="O433" s="21">
        <f>IF(B433="","",ROUND(IF(E433="",1,E433)*L433,2))</f>
        <v>0</v>
      </c>
      <c r="P433" s="21">
        <f>IF(B433="","",ROUND(O433*(1-IF(G433="",0,G433)),2))</f>
        <v>0</v>
      </c>
      <c r="Q433" s="21">
        <f>IF(B433="","",ROUND(N433*CostPerHour+IF(E433="",1,E433)*IFERROR(INDEX(Services!$R$5:$R$64,MATCH(C433,Services!$B$5:$B$64,0)),0),2))</f>
        <v>0</v>
      </c>
      <c r="R433" s="38">
        <f>IF(OR(B433="",P433=0),"",(P433-Q433)/P433)</f>
        <v>0</v>
      </c>
      <c r="S433" s="31">
        <f>IF(OR(B433="",C433=""),"",COUNTIFS($B$5:B433,B433))</f>
        <v>0</v>
      </c>
      <c r="T433" s="23">
        <f>IF(S433="","",B433&amp;"|"&amp;S433)</f>
        <v>0</v>
      </c>
      <c r="U433" s="39">
        <f>IF(B433="","",IF(C433="","Add - pick a service",IF(E433="","Add - how many?",IF(L433=0,"Add - no price",IF(AND(R433&lt;&gt;"",R433&lt;MarginFloor),"Below - thin margin","OK")))))</f>
        <v>0</v>
      </c>
    </row>
    <row r="434" spans="1:21">
      <c r="A434" s="43">
        <f>IF(B434="","","QL-"&amp;TEXT(ROW()-4,"0000"))</f>
        <v>0</v>
      </c>
      <c r="J434" s="21">
        <f>IF(C434="","",IFERROR(INDEX(Services!$P$5:$P$64,MATCH(C434,Services!$B$5:$B$64,0)),"0"))</f>
        <v>0</v>
      </c>
      <c r="K434" s="23">
        <f>IF(C434="","",IFERROR(INDEX(Services!$E$5:$E$64,MATCH(C434,Services!$B$5:$B$64,0)),""))</f>
        <v>0</v>
      </c>
      <c r="L434" s="21">
        <f>IF(B434="","",IF(F434&lt;&gt;"",F434,IFERROR(J434*1,0)))</f>
        <v>0</v>
      </c>
      <c r="M434" s="51">
        <f>IF(B434="","",IF(D434&lt;&gt;"",D434,IFERROR(INDEX(Services!$O$5:$O$64,MATCH(C434,Services!$B$5:$B$64,0)),"")))</f>
        <v>0</v>
      </c>
      <c r="N434" s="34">
        <f>IF(B434="","",IFERROR(INDEX(Services!$G$5:$G$64,MATCH(C434,Services!$B$5:$B$64,0)),0)*IF(E434="",1,IF(IFERROR(INDEX(Services!$D$5:$D$64,MATCH(C434,Services!$B$5:$B$64,0)),"")="Per hour",1,E434)))</f>
        <v>0</v>
      </c>
      <c r="O434" s="21">
        <f>IF(B434="","",ROUND(IF(E434="",1,E434)*L434,2))</f>
        <v>0</v>
      </c>
      <c r="P434" s="21">
        <f>IF(B434="","",ROUND(O434*(1-IF(G434="",0,G434)),2))</f>
        <v>0</v>
      </c>
      <c r="Q434" s="21">
        <f>IF(B434="","",ROUND(N434*CostPerHour+IF(E434="",1,E434)*IFERROR(INDEX(Services!$R$5:$R$64,MATCH(C434,Services!$B$5:$B$64,0)),0),2))</f>
        <v>0</v>
      </c>
      <c r="R434" s="38">
        <f>IF(OR(B434="",P434=0),"",(P434-Q434)/P434)</f>
        <v>0</v>
      </c>
      <c r="S434" s="31">
        <f>IF(OR(B434="",C434=""),"",COUNTIFS($B$5:B434,B434))</f>
        <v>0</v>
      </c>
      <c r="T434" s="23">
        <f>IF(S434="","",B434&amp;"|"&amp;S434)</f>
        <v>0</v>
      </c>
      <c r="U434" s="39">
        <f>IF(B434="","",IF(C434="","Add - pick a service",IF(E434="","Add - how many?",IF(L434=0,"Add - no price",IF(AND(R434&lt;&gt;"",R434&lt;MarginFloor),"Below - thin margin","OK")))))</f>
        <v>0</v>
      </c>
    </row>
    <row r="435" spans="1:21">
      <c r="A435" s="43">
        <f>IF(B435="","","QL-"&amp;TEXT(ROW()-4,"0000"))</f>
        <v>0</v>
      </c>
      <c r="J435" s="21">
        <f>IF(C435="","",IFERROR(INDEX(Services!$P$5:$P$64,MATCH(C435,Services!$B$5:$B$64,0)),"0"))</f>
        <v>0</v>
      </c>
      <c r="K435" s="23">
        <f>IF(C435="","",IFERROR(INDEX(Services!$E$5:$E$64,MATCH(C435,Services!$B$5:$B$64,0)),""))</f>
        <v>0</v>
      </c>
      <c r="L435" s="21">
        <f>IF(B435="","",IF(F435&lt;&gt;"",F435,IFERROR(J435*1,0)))</f>
        <v>0</v>
      </c>
      <c r="M435" s="51">
        <f>IF(B435="","",IF(D435&lt;&gt;"",D435,IFERROR(INDEX(Services!$O$5:$O$64,MATCH(C435,Services!$B$5:$B$64,0)),"")))</f>
        <v>0</v>
      </c>
      <c r="N435" s="34">
        <f>IF(B435="","",IFERROR(INDEX(Services!$G$5:$G$64,MATCH(C435,Services!$B$5:$B$64,0)),0)*IF(E435="",1,IF(IFERROR(INDEX(Services!$D$5:$D$64,MATCH(C435,Services!$B$5:$B$64,0)),"")="Per hour",1,E435)))</f>
        <v>0</v>
      </c>
      <c r="O435" s="21">
        <f>IF(B435="","",ROUND(IF(E435="",1,E435)*L435,2))</f>
        <v>0</v>
      </c>
      <c r="P435" s="21">
        <f>IF(B435="","",ROUND(O435*(1-IF(G435="",0,G435)),2))</f>
        <v>0</v>
      </c>
      <c r="Q435" s="21">
        <f>IF(B435="","",ROUND(N435*CostPerHour+IF(E435="",1,E435)*IFERROR(INDEX(Services!$R$5:$R$64,MATCH(C435,Services!$B$5:$B$64,0)),0),2))</f>
        <v>0</v>
      </c>
      <c r="R435" s="38">
        <f>IF(OR(B435="",P435=0),"",(P435-Q435)/P435)</f>
        <v>0</v>
      </c>
      <c r="S435" s="31">
        <f>IF(OR(B435="",C435=""),"",COUNTIFS($B$5:B435,B435))</f>
        <v>0</v>
      </c>
      <c r="T435" s="23">
        <f>IF(S435="","",B435&amp;"|"&amp;S435)</f>
        <v>0</v>
      </c>
      <c r="U435" s="39">
        <f>IF(B435="","",IF(C435="","Add - pick a service",IF(E435="","Add - how many?",IF(L435=0,"Add - no price",IF(AND(R435&lt;&gt;"",R435&lt;MarginFloor),"Below - thin margin","OK")))))</f>
        <v>0</v>
      </c>
    </row>
    <row r="436" spans="1:21">
      <c r="A436" s="43">
        <f>IF(B436="","","QL-"&amp;TEXT(ROW()-4,"0000"))</f>
        <v>0</v>
      </c>
      <c r="J436" s="21">
        <f>IF(C436="","",IFERROR(INDEX(Services!$P$5:$P$64,MATCH(C436,Services!$B$5:$B$64,0)),"0"))</f>
        <v>0</v>
      </c>
      <c r="K436" s="23">
        <f>IF(C436="","",IFERROR(INDEX(Services!$E$5:$E$64,MATCH(C436,Services!$B$5:$B$64,0)),""))</f>
        <v>0</v>
      </c>
      <c r="L436" s="21">
        <f>IF(B436="","",IF(F436&lt;&gt;"",F436,IFERROR(J436*1,0)))</f>
        <v>0</v>
      </c>
      <c r="M436" s="51">
        <f>IF(B436="","",IF(D436&lt;&gt;"",D436,IFERROR(INDEX(Services!$O$5:$O$64,MATCH(C436,Services!$B$5:$B$64,0)),"")))</f>
        <v>0</v>
      </c>
      <c r="N436" s="34">
        <f>IF(B436="","",IFERROR(INDEX(Services!$G$5:$G$64,MATCH(C436,Services!$B$5:$B$64,0)),0)*IF(E436="",1,IF(IFERROR(INDEX(Services!$D$5:$D$64,MATCH(C436,Services!$B$5:$B$64,0)),"")="Per hour",1,E436)))</f>
        <v>0</v>
      </c>
      <c r="O436" s="21">
        <f>IF(B436="","",ROUND(IF(E436="",1,E436)*L436,2))</f>
        <v>0</v>
      </c>
      <c r="P436" s="21">
        <f>IF(B436="","",ROUND(O436*(1-IF(G436="",0,G436)),2))</f>
        <v>0</v>
      </c>
      <c r="Q436" s="21">
        <f>IF(B436="","",ROUND(N436*CostPerHour+IF(E436="",1,E436)*IFERROR(INDEX(Services!$R$5:$R$64,MATCH(C436,Services!$B$5:$B$64,0)),0),2))</f>
        <v>0</v>
      </c>
      <c r="R436" s="38">
        <f>IF(OR(B436="",P436=0),"",(P436-Q436)/P436)</f>
        <v>0</v>
      </c>
      <c r="S436" s="31">
        <f>IF(OR(B436="",C436=""),"",COUNTIFS($B$5:B436,B436))</f>
        <v>0</v>
      </c>
      <c r="T436" s="23">
        <f>IF(S436="","",B436&amp;"|"&amp;S436)</f>
        <v>0</v>
      </c>
      <c r="U436" s="39">
        <f>IF(B436="","",IF(C436="","Add - pick a service",IF(E436="","Add - how many?",IF(L436=0,"Add - no price",IF(AND(R436&lt;&gt;"",R436&lt;MarginFloor),"Below - thin margin","OK")))))</f>
        <v>0</v>
      </c>
    </row>
    <row r="437" spans="1:21">
      <c r="A437" s="43">
        <f>IF(B437="","","QL-"&amp;TEXT(ROW()-4,"0000"))</f>
        <v>0</v>
      </c>
      <c r="J437" s="21">
        <f>IF(C437="","",IFERROR(INDEX(Services!$P$5:$P$64,MATCH(C437,Services!$B$5:$B$64,0)),"0"))</f>
        <v>0</v>
      </c>
      <c r="K437" s="23">
        <f>IF(C437="","",IFERROR(INDEX(Services!$E$5:$E$64,MATCH(C437,Services!$B$5:$B$64,0)),""))</f>
        <v>0</v>
      </c>
      <c r="L437" s="21">
        <f>IF(B437="","",IF(F437&lt;&gt;"",F437,IFERROR(J437*1,0)))</f>
        <v>0</v>
      </c>
      <c r="M437" s="51">
        <f>IF(B437="","",IF(D437&lt;&gt;"",D437,IFERROR(INDEX(Services!$O$5:$O$64,MATCH(C437,Services!$B$5:$B$64,0)),"")))</f>
        <v>0</v>
      </c>
      <c r="N437" s="34">
        <f>IF(B437="","",IFERROR(INDEX(Services!$G$5:$G$64,MATCH(C437,Services!$B$5:$B$64,0)),0)*IF(E437="",1,IF(IFERROR(INDEX(Services!$D$5:$D$64,MATCH(C437,Services!$B$5:$B$64,0)),"")="Per hour",1,E437)))</f>
        <v>0</v>
      </c>
      <c r="O437" s="21">
        <f>IF(B437="","",ROUND(IF(E437="",1,E437)*L437,2))</f>
        <v>0</v>
      </c>
      <c r="P437" s="21">
        <f>IF(B437="","",ROUND(O437*(1-IF(G437="",0,G437)),2))</f>
        <v>0</v>
      </c>
      <c r="Q437" s="21">
        <f>IF(B437="","",ROUND(N437*CostPerHour+IF(E437="",1,E437)*IFERROR(INDEX(Services!$R$5:$R$64,MATCH(C437,Services!$B$5:$B$64,0)),0),2))</f>
        <v>0</v>
      </c>
      <c r="R437" s="38">
        <f>IF(OR(B437="",P437=0),"",(P437-Q437)/P437)</f>
        <v>0</v>
      </c>
      <c r="S437" s="31">
        <f>IF(OR(B437="",C437=""),"",COUNTIFS($B$5:B437,B437))</f>
        <v>0</v>
      </c>
      <c r="T437" s="23">
        <f>IF(S437="","",B437&amp;"|"&amp;S437)</f>
        <v>0</v>
      </c>
      <c r="U437" s="39">
        <f>IF(B437="","",IF(C437="","Add - pick a service",IF(E437="","Add - how many?",IF(L437=0,"Add - no price",IF(AND(R437&lt;&gt;"",R437&lt;MarginFloor),"Below - thin margin","OK")))))</f>
        <v>0</v>
      </c>
    </row>
    <row r="438" spans="1:21">
      <c r="A438" s="43">
        <f>IF(B438="","","QL-"&amp;TEXT(ROW()-4,"0000"))</f>
        <v>0</v>
      </c>
      <c r="J438" s="21">
        <f>IF(C438="","",IFERROR(INDEX(Services!$P$5:$P$64,MATCH(C438,Services!$B$5:$B$64,0)),"0"))</f>
        <v>0</v>
      </c>
      <c r="K438" s="23">
        <f>IF(C438="","",IFERROR(INDEX(Services!$E$5:$E$64,MATCH(C438,Services!$B$5:$B$64,0)),""))</f>
        <v>0</v>
      </c>
      <c r="L438" s="21">
        <f>IF(B438="","",IF(F438&lt;&gt;"",F438,IFERROR(J438*1,0)))</f>
        <v>0</v>
      </c>
      <c r="M438" s="51">
        <f>IF(B438="","",IF(D438&lt;&gt;"",D438,IFERROR(INDEX(Services!$O$5:$O$64,MATCH(C438,Services!$B$5:$B$64,0)),"")))</f>
        <v>0</v>
      </c>
      <c r="N438" s="34">
        <f>IF(B438="","",IFERROR(INDEX(Services!$G$5:$G$64,MATCH(C438,Services!$B$5:$B$64,0)),0)*IF(E438="",1,IF(IFERROR(INDEX(Services!$D$5:$D$64,MATCH(C438,Services!$B$5:$B$64,0)),"")="Per hour",1,E438)))</f>
        <v>0</v>
      </c>
      <c r="O438" s="21">
        <f>IF(B438="","",ROUND(IF(E438="",1,E438)*L438,2))</f>
        <v>0</v>
      </c>
      <c r="P438" s="21">
        <f>IF(B438="","",ROUND(O438*(1-IF(G438="",0,G438)),2))</f>
        <v>0</v>
      </c>
      <c r="Q438" s="21">
        <f>IF(B438="","",ROUND(N438*CostPerHour+IF(E438="",1,E438)*IFERROR(INDEX(Services!$R$5:$R$64,MATCH(C438,Services!$B$5:$B$64,0)),0),2))</f>
        <v>0</v>
      </c>
      <c r="R438" s="38">
        <f>IF(OR(B438="",P438=0),"",(P438-Q438)/P438)</f>
        <v>0</v>
      </c>
      <c r="S438" s="31">
        <f>IF(OR(B438="",C438=""),"",COUNTIFS($B$5:B438,B438))</f>
        <v>0</v>
      </c>
      <c r="T438" s="23">
        <f>IF(S438="","",B438&amp;"|"&amp;S438)</f>
        <v>0</v>
      </c>
      <c r="U438" s="39">
        <f>IF(B438="","",IF(C438="","Add - pick a service",IF(E438="","Add - how many?",IF(L438=0,"Add - no price",IF(AND(R438&lt;&gt;"",R438&lt;MarginFloor),"Below - thin margin","OK")))))</f>
        <v>0</v>
      </c>
    </row>
    <row r="439" spans="1:21">
      <c r="A439" s="43">
        <f>IF(B439="","","QL-"&amp;TEXT(ROW()-4,"0000"))</f>
        <v>0</v>
      </c>
      <c r="J439" s="21">
        <f>IF(C439="","",IFERROR(INDEX(Services!$P$5:$P$64,MATCH(C439,Services!$B$5:$B$64,0)),"0"))</f>
        <v>0</v>
      </c>
      <c r="K439" s="23">
        <f>IF(C439="","",IFERROR(INDEX(Services!$E$5:$E$64,MATCH(C439,Services!$B$5:$B$64,0)),""))</f>
        <v>0</v>
      </c>
      <c r="L439" s="21">
        <f>IF(B439="","",IF(F439&lt;&gt;"",F439,IFERROR(J439*1,0)))</f>
        <v>0</v>
      </c>
      <c r="M439" s="51">
        <f>IF(B439="","",IF(D439&lt;&gt;"",D439,IFERROR(INDEX(Services!$O$5:$O$64,MATCH(C439,Services!$B$5:$B$64,0)),"")))</f>
        <v>0</v>
      </c>
      <c r="N439" s="34">
        <f>IF(B439="","",IFERROR(INDEX(Services!$G$5:$G$64,MATCH(C439,Services!$B$5:$B$64,0)),0)*IF(E439="",1,IF(IFERROR(INDEX(Services!$D$5:$D$64,MATCH(C439,Services!$B$5:$B$64,0)),"")="Per hour",1,E439)))</f>
        <v>0</v>
      </c>
      <c r="O439" s="21">
        <f>IF(B439="","",ROUND(IF(E439="",1,E439)*L439,2))</f>
        <v>0</v>
      </c>
      <c r="P439" s="21">
        <f>IF(B439="","",ROUND(O439*(1-IF(G439="",0,G439)),2))</f>
        <v>0</v>
      </c>
      <c r="Q439" s="21">
        <f>IF(B439="","",ROUND(N439*CostPerHour+IF(E439="",1,E439)*IFERROR(INDEX(Services!$R$5:$R$64,MATCH(C439,Services!$B$5:$B$64,0)),0),2))</f>
        <v>0</v>
      </c>
      <c r="R439" s="38">
        <f>IF(OR(B439="",P439=0),"",(P439-Q439)/P439)</f>
        <v>0</v>
      </c>
      <c r="S439" s="31">
        <f>IF(OR(B439="",C439=""),"",COUNTIFS($B$5:B439,B439))</f>
        <v>0</v>
      </c>
      <c r="T439" s="23">
        <f>IF(S439="","",B439&amp;"|"&amp;S439)</f>
        <v>0</v>
      </c>
      <c r="U439" s="39">
        <f>IF(B439="","",IF(C439="","Add - pick a service",IF(E439="","Add - how many?",IF(L439=0,"Add - no price",IF(AND(R439&lt;&gt;"",R439&lt;MarginFloor),"Below - thin margin","OK")))))</f>
        <v>0</v>
      </c>
    </row>
    <row r="440" spans="1:21">
      <c r="A440" s="43">
        <f>IF(B440="","","QL-"&amp;TEXT(ROW()-4,"0000"))</f>
        <v>0</v>
      </c>
      <c r="J440" s="21">
        <f>IF(C440="","",IFERROR(INDEX(Services!$P$5:$P$64,MATCH(C440,Services!$B$5:$B$64,0)),"0"))</f>
        <v>0</v>
      </c>
      <c r="K440" s="23">
        <f>IF(C440="","",IFERROR(INDEX(Services!$E$5:$E$64,MATCH(C440,Services!$B$5:$B$64,0)),""))</f>
        <v>0</v>
      </c>
      <c r="L440" s="21">
        <f>IF(B440="","",IF(F440&lt;&gt;"",F440,IFERROR(J440*1,0)))</f>
        <v>0</v>
      </c>
      <c r="M440" s="51">
        <f>IF(B440="","",IF(D440&lt;&gt;"",D440,IFERROR(INDEX(Services!$O$5:$O$64,MATCH(C440,Services!$B$5:$B$64,0)),"")))</f>
        <v>0</v>
      </c>
      <c r="N440" s="34">
        <f>IF(B440="","",IFERROR(INDEX(Services!$G$5:$G$64,MATCH(C440,Services!$B$5:$B$64,0)),0)*IF(E440="",1,IF(IFERROR(INDEX(Services!$D$5:$D$64,MATCH(C440,Services!$B$5:$B$64,0)),"")="Per hour",1,E440)))</f>
        <v>0</v>
      </c>
      <c r="O440" s="21">
        <f>IF(B440="","",ROUND(IF(E440="",1,E440)*L440,2))</f>
        <v>0</v>
      </c>
      <c r="P440" s="21">
        <f>IF(B440="","",ROUND(O440*(1-IF(G440="",0,G440)),2))</f>
        <v>0</v>
      </c>
      <c r="Q440" s="21">
        <f>IF(B440="","",ROUND(N440*CostPerHour+IF(E440="",1,E440)*IFERROR(INDEX(Services!$R$5:$R$64,MATCH(C440,Services!$B$5:$B$64,0)),0),2))</f>
        <v>0</v>
      </c>
      <c r="R440" s="38">
        <f>IF(OR(B440="",P440=0),"",(P440-Q440)/P440)</f>
        <v>0</v>
      </c>
      <c r="S440" s="31">
        <f>IF(OR(B440="",C440=""),"",COUNTIFS($B$5:B440,B440))</f>
        <v>0</v>
      </c>
      <c r="T440" s="23">
        <f>IF(S440="","",B440&amp;"|"&amp;S440)</f>
        <v>0</v>
      </c>
      <c r="U440" s="39">
        <f>IF(B440="","",IF(C440="","Add - pick a service",IF(E440="","Add - how many?",IF(L440=0,"Add - no price",IF(AND(R440&lt;&gt;"",R440&lt;MarginFloor),"Below - thin margin","OK")))))</f>
        <v>0</v>
      </c>
    </row>
    <row r="441" spans="1:21">
      <c r="A441" s="43">
        <f>IF(B441="","","QL-"&amp;TEXT(ROW()-4,"0000"))</f>
        <v>0</v>
      </c>
      <c r="J441" s="21">
        <f>IF(C441="","",IFERROR(INDEX(Services!$P$5:$P$64,MATCH(C441,Services!$B$5:$B$64,0)),"0"))</f>
        <v>0</v>
      </c>
      <c r="K441" s="23">
        <f>IF(C441="","",IFERROR(INDEX(Services!$E$5:$E$64,MATCH(C441,Services!$B$5:$B$64,0)),""))</f>
        <v>0</v>
      </c>
      <c r="L441" s="21">
        <f>IF(B441="","",IF(F441&lt;&gt;"",F441,IFERROR(J441*1,0)))</f>
        <v>0</v>
      </c>
      <c r="M441" s="51">
        <f>IF(B441="","",IF(D441&lt;&gt;"",D441,IFERROR(INDEX(Services!$O$5:$O$64,MATCH(C441,Services!$B$5:$B$64,0)),"")))</f>
        <v>0</v>
      </c>
      <c r="N441" s="34">
        <f>IF(B441="","",IFERROR(INDEX(Services!$G$5:$G$64,MATCH(C441,Services!$B$5:$B$64,0)),0)*IF(E441="",1,IF(IFERROR(INDEX(Services!$D$5:$D$64,MATCH(C441,Services!$B$5:$B$64,0)),"")="Per hour",1,E441)))</f>
        <v>0</v>
      </c>
      <c r="O441" s="21">
        <f>IF(B441="","",ROUND(IF(E441="",1,E441)*L441,2))</f>
        <v>0</v>
      </c>
      <c r="P441" s="21">
        <f>IF(B441="","",ROUND(O441*(1-IF(G441="",0,G441)),2))</f>
        <v>0</v>
      </c>
      <c r="Q441" s="21">
        <f>IF(B441="","",ROUND(N441*CostPerHour+IF(E441="",1,E441)*IFERROR(INDEX(Services!$R$5:$R$64,MATCH(C441,Services!$B$5:$B$64,0)),0),2))</f>
        <v>0</v>
      </c>
      <c r="R441" s="38">
        <f>IF(OR(B441="",P441=0),"",(P441-Q441)/P441)</f>
        <v>0</v>
      </c>
      <c r="S441" s="31">
        <f>IF(OR(B441="",C441=""),"",COUNTIFS($B$5:B441,B441))</f>
        <v>0</v>
      </c>
      <c r="T441" s="23">
        <f>IF(S441="","",B441&amp;"|"&amp;S441)</f>
        <v>0</v>
      </c>
      <c r="U441" s="39">
        <f>IF(B441="","",IF(C441="","Add - pick a service",IF(E441="","Add - how many?",IF(L441=0,"Add - no price",IF(AND(R441&lt;&gt;"",R441&lt;MarginFloor),"Below - thin margin","OK")))))</f>
        <v>0</v>
      </c>
    </row>
    <row r="442" spans="1:21">
      <c r="A442" s="43">
        <f>IF(B442="","","QL-"&amp;TEXT(ROW()-4,"0000"))</f>
        <v>0</v>
      </c>
      <c r="J442" s="21">
        <f>IF(C442="","",IFERROR(INDEX(Services!$P$5:$P$64,MATCH(C442,Services!$B$5:$B$64,0)),"0"))</f>
        <v>0</v>
      </c>
      <c r="K442" s="23">
        <f>IF(C442="","",IFERROR(INDEX(Services!$E$5:$E$64,MATCH(C442,Services!$B$5:$B$64,0)),""))</f>
        <v>0</v>
      </c>
      <c r="L442" s="21">
        <f>IF(B442="","",IF(F442&lt;&gt;"",F442,IFERROR(J442*1,0)))</f>
        <v>0</v>
      </c>
      <c r="M442" s="51">
        <f>IF(B442="","",IF(D442&lt;&gt;"",D442,IFERROR(INDEX(Services!$O$5:$O$64,MATCH(C442,Services!$B$5:$B$64,0)),"")))</f>
        <v>0</v>
      </c>
      <c r="N442" s="34">
        <f>IF(B442="","",IFERROR(INDEX(Services!$G$5:$G$64,MATCH(C442,Services!$B$5:$B$64,0)),0)*IF(E442="",1,IF(IFERROR(INDEX(Services!$D$5:$D$64,MATCH(C442,Services!$B$5:$B$64,0)),"")="Per hour",1,E442)))</f>
        <v>0</v>
      </c>
      <c r="O442" s="21">
        <f>IF(B442="","",ROUND(IF(E442="",1,E442)*L442,2))</f>
        <v>0</v>
      </c>
      <c r="P442" s="21">
        <f>IF(B442="","",ROUND(O442*(1-IF(G442="",0,G442)),2))</f>
        <v>0</v>
      </c>
      <c r="Q442" s="21">
        <f>IF(B442="","",ROUND(N442*CostPerHour+IF(E442="",1,E442)*IFERROR(INDEX(Services!$R$5:$R$64,MATCH(C442,Services!$B$5:$B$64,0)),0),2))</f>
        <v>0</v>
      </c>
      <c r="R442" s="38">
        <f>IF(OR(B442="",P442=0),"",(P442-Q442)/P442)</f>
        <v>0</v>
      </c>
      <c r="S442" s="31">
        <f>IF(OR(B442="",C442=""),"",COUNTIFS($B$5:B442,B442))</f>
        <v>0</v>
      </c>
      <c r="T442" s="23">
        <f>IF(S442="","",B442&amp;"|"&amp;S442)</f>
        <v>0</v>
      </c>
      <c r="U442" s="39">
        <f>IF(B442="","",IF(C442="","Add - pick a service",IF(E442="","Add - how many?",IF(L442=0,"Add - no price",IF(AND(R442&lt;&gt;"",R442&lt;MarginFloor),"Below - thin margin","OK")))))</f>
        <v>0</v>
      </c>
    </row>
    <row r="443" spans="1:21">
      <c r="A443" s="43">
        <f>IF(B443="","","QL-"&amp;TEXT(ROW()-4,"0000"))</f>
        <v>0</v>
      </c>
      <c r="J443" s="21">
        <f>IF(C443="","",IFERROR(INDEX(Services!$P$5:$P$64,MATCH(C443,Services!$B$5:$B$64,0)),"0"))</f>
        <v>0</v>
      </c>
      <c r="K443" s="23">
        <f>IF(C443="","",IFERROR(INDEX(Services!$E$5:$E$64,MATCH(C443,Services!$B$5:$B$64,0)),""))</f>
        <v>0</v>
      </c>
      <c r="L443" s="21">
        <f>IF(B443="","",IF(F443&lt;&gt;"",F443,IFERROR(J443*1,0)))</f>
        <v>0</v>
      </c>
      <c r="M443" s="51">
        <f>IF(B443="","",IF(D443&lt;&gt;"",D443,IFERROR(INDEX(Services!$O$5:$O$64,MATCH(C443,Services!$B$5:$B$64,0)),"")))</f>
        <v>0</v>
      </c>
      <c r="N443" s="34">
        <f>IF(B443="","",IFERROR(INDEX(Services!$G$5:$G$64,MATCH(C443,Services!$B$5:$B$64,0)),0)*IF(E443="",1,IF(IFERROR(INDEX(Services!$D$5:$D$64,MATCH(C443,Services!$B$5:$B$64,0)),"")="Per hour",1,E443)))</f>
        <v>0</v>
      </c>
      <c r="O443" s="21">
        <f>IF(B443="","",ROUND(IF(E443="",1,E443)*L443,2))</f>
        <v>0</v>
      </c>
      <c r="P443" s="21">
        <f>IF(B443="","",ROUND(O443*(1-IF(G443="",0,G443)),2))</f>
        <v>0</v>
      </c>
      <c r="Q443" s="21">
        <f>IF(B443="","",ROUND(N443*CostPerHour+IF(E443="",1,E443)*IFERROR(INDEX(Services!$R$5:$R$64,MATCH(C443,Services!$B$5:$B$64,0)),0),2))</f>
        <v>0</v>
      </c>
      <c r="R443" s="38">
        <f>IF(OR(B443="",P443=0),"",(P443-Q443)/P443)</f>
        <v>0</v>
      </c>
      <c r="S443" s="31">
        <f>IF(OR(B443="",C443=""),"",COUNTIFS($B$5:B443,B443))</f>
        <v>0</v>
      </c>
      <c r="T443" s="23">
        <f>IF(S443="","",B443&amp;"|"&amp;S443)</f>
        <v>0</v>
      </c>
      <c r="U443" s="39">
        <f>IF(B443="","",IF(C443="","Add - pick a service",IF(E443="","Add - how many?",IF(L443=0,"Add - no price",IF(AND(R443&lt;&gt;"",R443&lt;MarginFloor),"Below - thin margin","OK")))))</f>
        <v>0</v>
      </c>
    </row>
    <row r="444" spans="1:21">
      <c r="A444" s="43">
        <f>IF(B444="","","QL-"&amp;TEXT(ROW()-4,"0000"))</f>
        <v>0</v>
      </c>
      <c r="J444" s="21">
        <f>IF(C444="","",IFERROR(INDEX(Services!$P$5:$P$64,MATCH(C444,Services!$B$5:$B$64,0)),"0"))</f>
        <v>0</v>
      </c>
      <c r="K444" s="23">
        <f>IF(C444="","",IFERROR(INDEX(Services!$E$5:$E$64,MATCH(C444,Services!$B$5:$B$64,0)),""))</f>
        <v>0</v>
      </c>
      <c r="L444" s="21">
        <f>IF(B444="","",IF(F444&lt;&gt;"",F444,IFERROR(J444*1,0)))</f>
        <v>0</v>
      </c>
      <c r="M444" s="51">
        <f>IF(B444="","",IF(D444&lt;&gt;"",D444,IFERROR(INDEX(Services!$O$5:$O$64,MATCH(C444,Services!$B$5:$B$64,0)),"")))</f>
        <v>0</v>
      </c>
      <c r="N444" s="34">
        <f>IF(B444="","",IFERROR(INDEX(Services!$G$5:$G$64,MATCH(C444,Services!$B$5:$B$64,0)),0)*IF(E444="",1,IF(IFERROR(INDEX(Services!$D$5:$D$64,MATCH(C444,Services!$B$5:$B$64,0)),"")="Per hour",1,E444)))</f>
        <v>0</v>
      </c>
      <c r="O444" s="21">
        <f>IF(B444="","",ROUND(IF(E444="",1,E444)*L444,2))</f>
        <v>0</v>
      </c>
      <c r="P444" s="21">
        <f>IF(B444="","",ROUND(O444*(1-IF(G444="",0,G444)),2))</f>
        <v>0</v>
      </c>
      <c r="Q444" s="21">
        <f>IF(B444="","",ROUND(N444*CostPerHour+IF(E444="",1,E444)*IFERROR(INDEX(Services!$R$5:$R$64,MATCH(C444,Services!$B$5:$B$64,0)),0),2))</f>
        <v>0</v>
      </c>
      <c r="R444" s="38">
        <f>IF(OR(B444="",P444=0),"",(P444-Q444)/P444)</f>
        <v>0</v>
      </c>
      <c r="S444" s="31">
        <f>IF(OR(B444="",C444=""),"",COUNTIFS($B$5:B444,B444))</f>
        <v>0</v>
      </c>
      <c r="T444" s="23">
        <f>IF(S444="","",B444&amp;"|"&amp;S444)</f>
        <v>0</v>
      </c>
      <c r="U444" s="39">
        <f>IF(B444="","",IF(C444="","Add - pick a service",IF(E444="","Add - how many?",IF(L444=0,"Add - no price",IF(AND(R444&lt;&gt;"",R444&lt;MarginFloor),"Below - thin margin","OK")))))</f>
        <v>0</v>
      </c>
    </row>
    <row r="445" spans="1:21">
      <c r="A445" s="43">
        <f>IF(B445="","","QL-"&amp;TEXT(ROW()-4,"0000"))</f>
        <v>0</v>
      </c>
      <c r="J445" s="21">
        <f>IF(C445="","",IFERROR(INDEX(Services!$P$5:$P$64,MATCH(C445,Services!$B$5:$B$64,0)),"0"))</f>
        <v>0</v>
      </c>
      <c r="K445" s="23">
        <f>IF(C445="","",IFERROR(INDEX(Services!$E$5:$E$64,MATCH(C445,Services!$B$5:$B$64,0)),""))</f>
        <v>0</v>
      </c>
      <c r="L445" s="21">
        <f>IF(B445="","",IF(F445&lt;&gt;"",F445,IFERROR(J445*1,0)))</f>
        <v>0</v>
      </c>
      <c r="M445" s="51">
        <f>IF(B445="","",IF(D445&lt;&gt;"",D445,IFERROR(INDEX(Services!$O$5:$O$64,MATCH(C445,Services!$B$5:$B$64,0)),"")))</f>
        <v>0</v>
      </c>
      <c r="N445" s="34">
        <f>IF(B445="","",IFERROR(INDEX(Services!$G$5:$G$64,MATCH(C445,Services!$B$5:$B$64,0)),0)*IF(E445="",1,IF(IFERROR(INDEX(Services!$D$5:$D$64,MATCH(C445,Services!$B$5:$B$64,0)),"")="Per hour",1,E445)))</f>
        <v>0</v>
      </c>
      <c r="O445" s="21">
        <f>IF(B445="","",ROUND(IF(E445="",1,E445)*L445,2))</f>
        <v>0</v>
      </c>
      <c r="P445" s="21">
        <f>IF(B445="","",ROUND(O445*(1-IF(G445="",0,G445)),2))</f>
        <v>0</v>
      </c>
      <c r="Q445" s="21">
        <f>IF(B445="","",ROUND(N445*CostPerHour+IF(E445="",1,E445)*IFERROR(INDEX(Services!$R$5:$R$64,MATCH(C445,Services!$B$5:$B$64,0)),0),2))</f>
        <v>0</v>
      </c>
      <c r="R445" s="38">
        <f>IF(OR(B445="",P445=0),"",(P445-Q445)/P445)</f>
        <v>0</v>
      </c>
      <c r="S445" s="31">
        <f>IF(OR(B445="",C445=""),"",COUNTIFS($B$5:B445,B445))</f>
        <v>0</v>
      </c>
      <c r="T445" s="23">
        <f>IF(S445="","",B445&amp;"|"&amp;S445)</f>
        <v>0</v>
      </c>
      <c r="U445" s="39">
        <f>IF(B445="","",IF(C445="","Add - pick a service",IF(E445="","Add - how many?",IF(L445=0,"Add - no price",IF(AND(R445&lt;&gt;"",R445&lt;MarginFloor),"Below - thin margin","OK")))))</f>
        <v>0</v>
      </c>
    </row>
    <row r="446" spans="1:21">
      <c r="A446" s="43">
        <f>IF(B446="","","QL-"&amp;TEXT(ROW()-4,"0000"))</f>
        <v>0</v>
      </c>
      <c r="J446" s="21">
        <f>IF(C446="","",IFERROR(INDEX(Services!$P$5:$P$64,MATCH(C446,Services!$B$5:$B$64,0)),"0"))</f>
        <v>0</v>
      </c>
      <c r="K446" s="23">
        <f>IF(C446="","",IFERROR(INDEX(Services!$E$5:$E$64,MATCH(C446,Services!$B$5:$B$64,0)),""))</f>
        <v>0</v>
      </c>
      <c r="L446" s="21">
        <f>IF(B446="","",IF(F446&lt;&gt;"",F446,IFERROR(J446*1,0)))</f>
        <v>0</v>
      </c>
      <c r="M446" s="51">
        <f>IF(B446="","",IF(D446&lt;&gt;"",D446,IFERROR(INDEX(Services!$O$5:$O$64,MATCH(C446,Services!$B$5:$B$64,0)),"")))</f>
        <v>0</v>
      </c>
      <c r="N446" s="34">
        <f>IF(B446="","",IFERROR(INDEX(Services!$G$5:$G$64,MATCH(C446,Services!$B$5:$B$64,0)),0)*IF(E446="",1,IF(IFERROR(INDEX(Services!$D$5:$D$64,MATCH(C446,Services!$B$5:$B$64,0)),"")="Per hour",1,E446)))</f>
        <v>0</v>
      </c>
      <c r="O446" s="21">
        <f>IF(B446="","",ROUND(IF(E446="",1,E446)*L446,2))</f>
        <v>0</v>
      </c>
      <c r="P446" s="21">
        <f>IF(B446="","",ROUND(O446*(1-IF(G446="",0,G446)),2))</f>
        <v>0</v>
      </c>
      <c r="Q446" s="21">
        <f>IF(B446="","",ROUND(N446*CostPerHour+IF(E446="",1,E446)*IFERROR(INDEX(Services!$R$5:$R$64,MATCH(C446,Services!$B$5:$B$64,0)),0),2))</f>
        <v>0</v>
      </c>
      <c r="R446" s="38">
        <f>IF(OR(B446="",P446=0),"",(P446-Q446)/P446)</f>
        <v>0</v>
      </c>
      <c r="S446" s="31">
        <f>IF(OR(B446="",C446=""),"",COUNTIFS($B$5:B446,B446))</f>
        <v>0</v>
      </c>
      <c r="T446" s="23">
        <f>IF(S446="","",B446&amp;"|"&amp;S446)</f>
        <v>0</v>
      </c>
      <c r="U446" s="39">
        <f>IF(B446="","",IF(C446="","Add - pick a service",IF(E446="","Add - how many?",IF(L446=0,"Add - no price",IF(AND(R446&lt;&gt;"",R446&lt;MarginFloor),"Below - thin margin","OK")))))</f>
        <v>0</v>
      </c>
    </row>
    <row r="447" spans="1:21">
      <c r="A447" s="43">
        <f>IF(B447="","","QL-"&amp;TEXT(ROW()-4,"0000"))</f>
        <v>0</v>
      </c>
      <c r="J447" s="21">
        <f>IF(C447="","",IFERROR(INDEX(Services!$P$5:$P$64,MATCH(C447,Services!$B$5:$B$64,0)),"0"))</f>
        <v>0</v>
      </c>
      <c r="K447" s="23">
        <f>IF(C447="","",IFERROR(INDEX(Services!$E$5:$E$64,MATCH(C447,Services!$B$5:$B$64,0)),""))</f>
        <v>0</v>
      </c>
      <c r="L447" s="21">
        <f>IF(B447="","",IF(F447&lt;&gt;"",F447,IFERROR(J447*1,0)))</f>
        <v>0</v>
      </c>
      <c r="M447" s="51">
        <f>IF(B447="","",IF(D447&lt;&gt;"",D447,IFERROR(INDEX(Services!$O$5:$O$64,MATCH(C447,Services!$B$5:$B$64,0)),"")))</f>
        <v>0</v>
      </c>
      <c r="N447" s="34">
        <f>IF(B447="","",IFERROR(INDEX(Services!$G$5:$G$64,MATCH(C447,Services!$B$5:$B$64,0)),0)*IF(E447="",1,IF(IFERROR(INDEX(Services!$D$5:$D$64,MATCH(C447,Services!$B$5:$B$64,0)),"")="Per hour",1,E447)))</f>
        <v>0</v>
      </c>
      <c r="O447" s="21">
        <f>IF(B447="","",ROUND(IF(E447="",1,E447)*L447,2))</f>
        <v>0</v>
      </c>
      <c r="P447" s="21">
        <f>IF(B447="","",ROUND(O447*(1-IF(G447="",0,G447)),2))</f>
        <v>0</v>
      </c>
      <c r="Q447" s="21">
        <f>IF(B447="","",ROUND(N447*CostPerHour+IF(E447="",1,E447)*IFERROR(INDEX(Services!$R$5:$R$64,MATCH(C447,Services!$B$5:$B$64,0)),0),2))</f>
        <v>0</v>
      </c>
      <c r="R447" s="38">
        <f>IF(OR(B447="",P447=0),"",(P447-Q447)/P447)</f>
        <v>0</v>
      </c>
      <c r="S447" s="31">
        <f>IF(OR(B447="",C447=""),"",COUNTIFS($B$5:B447,B447))</f>
        <v>0</v>
      </c>
      <c r="T447" s="23">
        <f>IF(S447="","",B447&amp;"|"&amp;S447)</f>
        <v>0</v>
      </c>
      <c r="U447" s="39">
        <f>IF(B447="","",IF(C447="","Add - pick a service",IF(E447="","Add - how many?",IF(L447=0,"Add - no price",IF(AND(R447&lt;&gt;"",R447&lt;MarginFloor),"Below - thin margin","OK")))))</f>
        <v>0</v>
      </c>
    </row>
    <row r="448" spans="1:21">
      <c r="A448" s="43">
        <f>IF(B448="","","QL-"&amp;TEXT(ROW()-4,"0000"))</f>
        <v>0</v>
      </c>
      <c r="J448" s="21">
        <f>IF(C448="","",IFERROR(INDEX(Services!$P$5:$P$64,MATCH(C448,Services!$B$5:$B$64,0)),"0"))</f>
        <v>0</v>
      </c>
      <c r="K448" s="23">
        <f>IF(C448="","",IFERROR(INDEX(Services!$E$5:$E$64,MATCH(C448,Services!$B$5:$B$64,0)),""))</f>
        <v>0</v>
      </c>
      <c r="L448" s="21">
        <f>IF(B448="","",IF(F448&lt;&gt;"",F448,IFERROR(J448*1,0)))</f>
        <v>0</v>
      </c>
      <c r="M448" s="51">
        <f>IF(B448="","",IF(D448&lt;&gt;"",D448,IFERROR(INDEX(Services!$O$5:$O$64,MATCH(C448,Services!$B$5:$B$64,0)),"")))</f>
        <v>0</v>
      </c>
      <c r="N448" s="34">
        <f>IF(B448="","",IFERROR(INDEX(Services!$G$5:$G$64,MATCH(C448,Services!$B$5:$B$64,0)),0)*IF(E448="",1,IF(IFERROR(INDEX(Services!$D$5:$D$64,MATCH(C448,Services!$B$5:$B$64,0)),"")="Per hour",1,E448)))</f>
        <v>0</v>
      </c>
      <c r="O448" s="21">
        <f>IF(B448="","",ROUND(IF(E448="",1,E448)*L448,2))</f>
        <v>0</v>
      </c>
      <c r="P448" s="21">
        <f>IF(B448="","",ROUND(O448*(1-IF(G448="",0,G448)),2))</f>
        <v>0</v>
      </c>
      <c r="Q448" s="21">
        <f>IF(B448="","",ROUND(N448*CostPerHour+IF(E448="",1,E448)*IFERROR(INDEX(Services!$R$5:$R$64,MATCH(C448,Services!$B$5:$B$64,0)),0),2))</f>
        <v>0</v>
      </c>
      <c r="R448" s="38">
        <f>IF(OR(B448="",P448=0),"",(P448-Q448)/P448)</f>
        <v>0</v>
      </c>
      <c r="S448" s="31">
        <f>IF(OR(B448="",C448=""),"",COUNTIFS($B$5:B448,B448))</f>
        <v>0</v>
      </c>
      <c r="T448" s="23">
        <f>IF(S448="","",B448&amp;"|"&amp;S448)</f>
        <v>0</v>
      </c>
      <c r="U448" s="39">
        <f>IF(B448="","",IF(C448="","Add - pick a service",IF(E448="","Add - how many?",IF(L448=0,"Add - no price",IF(AND(R448&lt;&gt;"",R448&lt;MarginFloor),"Below - thin margin","OK")))))</f>
        <v>0</v>
      </c>
    </row>
    <row r="449" spans="1:21">
      <c r="A449" s="43">
        <f>IF(B449="","","QL-"&amp;TEXT(ROW()-4,"0000"))</f>
        <v>0</v>
      </c>
      <c r="J449" s="21">
        <f>IF(C449="","",IFERROR(INDEX(Services!$P$5:$P$64,MATCH(C449,Services!$B$5:$B$64,0)),"0"))</f>
        <v>0</v>
      </c>
      <c r="K449" s="23">
        <f>IF(C449="","",IFERROR(INDEX(Services!$E$5:$E$64,MATCH(C449,Services!$B$5:$B$64,0)),""))</f>
        <v>0</v>
      </c>
      <c r="L449" s="21">
        <f>IF(B449="","",IF(F449&lt;&gt;"",F449,IFERROR(J449*1,0)))</f>
        <v>0</v>
      </c>
      <c r="M449" s="51">
        <f>IF(B449="","",IF(D449&lt;&gt;"",D449,IFERROR(INDEX(Services!$O$5:$O$64,MATCH(C449,Services!$B$5:$B$64,0)),"")))</f>
        <v>0</v>
      </c>
      <c r="N449" s="34">
        <f>IF(B449="","",IFERROR(INDEX(Services!$G$5:$G$64,MATCH(C449,Services!$B$5:$B$64,0)),0)*IF(E449="",1,IF(IFERROR(INDEX(Services!$D$5:$D$64,MATCH(C449,Services!$B$5:$B$64,0)),"")="Per hour",1,E449)))</f>
        <v>0</v>
      </c>
      <c r="O449" s="21">
        <f>IF(B449="","",ROUND(IF(E449="",1,E449)*L449,2))</f>
        <v>0</v>
      </c>
      <c r="P449" s="21">
        <f>IF(B449="","",ROUND(O449*(1-IF(G449="",0,G449)),2))</f>
        <v>0</v>
      </c>
      <c r="Q449" s="21">
        <f>IF(B449="","",ROUND(N449*CostPerHour+IF(E449="",1,E449)*IFERROR(INDEX(Services!$R$5:$R$64,MATCH(C449,Services!$B$5:$B$64,0)),0),2))</f>
        <v>0</v>
      </c>
      <c r="R449" s="38">
        <f>IF(OR(B449="",P449=0),"",(P449-Q449)/P449)</f>
        <v>0</v>
      </c>
      <c r="S449" s="31">
        <f>IF(OR(B449="",C449=""),"",COUNTIFS($B$5:B449,B449))</f>
        <v>0</v>
      </c>
      <c r="T449" s="23">
        <f>IF(S449="","",B449&amp;"|"&amp;S449)</f>
        <v>0</v>
      </c>
      <c r="U449" s="39">
        <f>IF(B449="","",IF(C449="","Add - pick a service",IF(E449="","Add - how many?",IF(L449=0,"Add - no price",IF(AND(R449&lt;&gt;"",R449&lt;MarginFloor),"Below - thin margin","OK")))))</f>
        <v>0</v>
      </c>
    </row>
    <row r="450" spans="1:21">
      <c r="A450" s="43">
        <f>IF(B450="","","QL-"&amp;TEXT(ROW()-4,"0000"))</f>
        <v>0</v>
      </c>
      <c r="J450" s="21">
        <f>IF(C450="","",IFERROR(INDEX(Services!$P$5:$P$64,MATCH(C450,Services!$B$5:$B$64,0)),"0"))</f>
        <v>0</v>
      </c>
      <c r="K450" s="23">
        <f>IF(C450="","",IFERROR(INDEX(Services!$E$5:$E$64,MATCH(C450,Services!$B$5:$B$64,0)),""))</f>
        <v>0</v>
      </c>
      <c r="L450" s="21">
        <f>IF(B450="","",IF(F450&lt;&gt;"",F450,IFERROR(J450*1,0)))</f>
        <v>0</v>
      </c>
      <c r="M450" s="51">
        <f>IF(B450="","",IF(D450&lt;&gt;"",D450,IFERROR(INDEX(Services!$O$5:$O$64,MATCH(C450,Services!$B$5:$B$64,0)),"")))</f>
        <v>0</v>
      </c>
      <c r="N450" s="34">
        <f>IF(B450="","",IFERROR(INDEX(Services!$G$5:$G$64,MATCH(C450,Services!$B$5:$B$64,0)),0)*IF(E450="",1,IF(IFERROR(INDEX(Services!$D$5:$D$64,MATCH(C450,Services!$B$5:$B$64,0)),"")="Per hour",1,E450)))</f>
        <v>0</v>
      </c>
      <c r="O450" s="21">
        <f>IF(B450="","",ROUND(IF(E450="",1,E450)*L450,2))</f>
        <v>0</v>
      </c>
      <c r="P450" s="21">
        <f>IF(B450="","",ROUND(O450*(1-IF(G450="",0,G450)),2))</f>
        <v>0</v>
      </c>
      <c r="Q450" s="21">
        <f>IF(B450="","",ROUND(N450*CostPerHour+IF(E450="",1,E450)*IFERROR(INDEX(Services!$R$5:$R$64,MATCH(C450,Services!$B$5:$B$64,0)),0),2))</f>
        <v>0</v>
      </c>
      <c r="R450" s="38">
        <f>IF(OR(B450="",P450=0),"",(P450-Q450)/P450)</f>
        <v>0</v>
      </c>
      <c r="S450" s="31">
        <f>IF(OR(B450="",C450=""),"",COUNTIFS($B$5:B450,B450))</f>
        <v>0</v>
      </c>
      <c r="T450" s="23">
        <f>IF(S450="","",B450&amp;"|"&amp;S450)</f>
        <v>0</v>
      </c>
      <c r="U450" s="39">
        <f>IF(B450="","",IF(C450="","Add - pick a service",IF(E450="","Add - how many?",IF(L450=0,"Add - no price",IF(AND(R450&lt;&gt;"",R450&lt;MarginFloor),"Below - thin margin","OK")))))</f>
        <v>0</v>
      </c>
    </row>
    <row r="451" spans="1:21">
      <c r="A451" s="43">
        <f>IF(B451="","","QL-"&amp;TEXT(ROW()-4,"0000"))</f>
        <v>0</v>
      </c>
      <c r="J451" s="21">
        <f>IF(C451="","",IFERROR(INDEX(Services!$P$5:$P$64,MATCH(C451,Services!$B$5:$B$64,0)),"0"))</f>
        <v>0</v>
      </c>
      <c r="K451" s="23">
        <f>IF(C451="","",IFERROR(INDEX(Services!$E$5:$E$64,MATCH(C451,Services!$B$5:$B$64,0)),""))</f>
        <v>0</v>
      </c>
      <c r="L451" s="21">
        <f>IF(B451="","",IF(F451&lt;&gt;"",F451,IFERROR(J451*1,0)))</f>
        <v>0</v>
      </c>
      <c r="M451" s="51">
        <f>IF(B451="","",IF(D451&lt;&gt;"",D451,IFERROR(INDEX(Services!$O$5:$O$64,MATCH(C451,Services!$B$5:$B$64,0)),"")))</f>
        <v>0</v>
      </c>
      <c r="N451" s="34">
        <f>IF(B451="","",IFERROR(INDEX(Services!$G$5:$G$64,MATCH(C451,Services!$B$5:$B$64,0)),0)*IF(E451="",1,IF(IFERROR(INDEX(Services!$D$5:$D$64,MATCH(C451,Services!$B$5:$B$64,0)),"")="Per hour",1,E451)))</f>
        <v>0</v>
      </c>
      <c r="O451" s="21">
        <f>IF(B451="","",ROUND(IF(E451="",1,E451)*L451,2))</f>
        <v>0</v>
      </c>
      <c r="P451" s="21">
        <f>IF(B451="","",ROUND(O451*(1-IF(G451="",0,G451)),2))</f>
        <v>0</v>
      </c>
      <c r="Q451" s="21">
        <f>IF(B451="","",ROUND(N451*CostPerHour+IF(E451="",1,E451)*IFERROR(INDEX(Services!$R$5:$R$64,MATCH(C451,Services!$B$5:$B$64,0)),0),2))</f>
        <v>0</v>
      </c>
      <c r="R451" s="38">
        <f>IF(OR(B451="",P451=0),"",(P451-Q451)/P451)</f>
        <v>0</v>
      </c>
      <c r="S451" s="31">
        <f>IF(OR(B451="",C451=""),"",COUNTIFS($B$5:B451,B451))</f>
        <v>0</v>
      </c>
      <c r="T451" s="23">
        <f>IF(S451="","",B451&amp;"|"&amp;S451)</f>
        <v>0</v>
      </c>
      <c r="U451" s="39">
        <f>IF(B451="","",IF(C451="","Add - pick a service",IF(E451="","Add - how many?",IF(L451=0,"Add - no price",IF(AND(R451&lt;&gt;"",R451&lt;MarginFloor),"Below - thin margin","OK")))))</f>
        <v>0</v>
      </c>
    </row>
    <row r="452" spans="1:21">
      <c r="A452" s="43">
        <f>IF(B452="","","QL-"&amp;TEXT(ROW()-4,"0000"))</f>
        <v>0</v>
      </c>
      <c r="J452" s="21">
        <f>IF(C452="","",IFERROR(INDEX(Services!$P$5:$P$64,MATCH(C452,Services!$B$5:$B$64,0)),"0"))</f>
        <v>0</v>
      </c>
      <c r="K452" s="23">
        <f>IF(C452="","",IFERROR(INDEX(Services!$E$5:$E$64,MATCH(C452,Services!$B$5:$B$64,0)),""))</f>
        <v>0</v>
      </c>
      <c r="L452" s="21">
        <f>IF(B452="","",IF(F452&lt;&gt;"",F452,IFERROR(J452*1,0)))</f>
        <v>0</v>
      </c>
      <c r="M452" s="51">
        <f>IF(B452="","",IF(D452&lt;&gt;"",D452,IFERROR(INDEX(Services!$O$5:$O$64,MATCH(C452,Services!$B$5:$B$64,0)),"")))</f>
        <v>0</v>
      </c>
      <c r="N452" s="34">
        <f>IF(B452="","",IFERROR(INDEX(Services!$G$5:$G$64,MATCH(C452,Services!$B$5:$B$64,0)),0)*IF(E452="",1,IF(IFERROR(INDEX(Services!$D$5:$D$64,MATCH(C452,Services!$B$5:$B$64,0)),"")="Per hour",1,E452)))</f>
        <v>0</v>
      </c>
      <c r="O452" s="21">
        <f>IF(B452="","",ROUND(IF(E452="",1,E452)*L452,2))</f>
        <v>0</v>
      </c>
      <c r="P452" s="21">
        <f>IF(B452="","",ROUND(O452*(1-IF(G452="",0,G452)),2))</f>
        <v>0</v>
      </c>
      <c r="Q452" s="21">
        <f>IF(B452="","",ROUND(N452*CostPerHour+IF(E452="",1,E452)*IFERROR(INDEX(Services!$R$5:$R$64,MATCH(C452,Services!$B$5:$B$64,0)),0),2))</f>
        <v>0</v>
      </c>
      <c r="R452" s="38">
        <f>IF(OR(B452="",P452=0),"",(P452-Q452)/P452)</f>
        <v>0</v>
      </c>
      <c r="S452" s="31">
        <f>IF(OR(B452="",C452=""),"",COUNTIFS($B$5:B452,B452))</f>
        <v>0</v>
      </c>
      <c r="T452" s="23">
        <f>IF(S452="","",B452&amp;"|"&amp;S452)</f>
        <v>0</v>
      </c>
      <c r="U452" s="39">
        <f>IF(B452="","",IF(C452="","Add - pick a service",IF(E452="","Add - how many?",IF(L452=0,"Add - no price",IF(AND(R452&lt;&gt;"",R452&lt;MarginFloor),"Below - thin margin","OK")))))</f>
        <v>0</v>
      </c>
    </row>
    <row r="453" spans="1:21">
      <c r="A453" s="43">
        <f>IF(B453="","","QL-"&amp;TEXT(ROW()-4,"0000"))</f>
        <v>0</v>
      </c>
      <c r="J453" s="21">
        <f>IF(C453="","",IFERROR(INDEX(Services!$P$5:$P$64,MATCH(C453,Services!$B$5:$B$64,0)),"0"))</f>
        <v>0</v>
      </c>
      <c r="K453" s="23">
        <f>IF(C453="","",IFERROR(INDEX(Services!$E$5:$E$64,MATCH(C453,Services!$B$5:$B$64,0)),""))</f>
        <v>0</v>
      </c>
      <c r="L453" s="21">
        <f>IF(B453="","",IF(F453&lt;&gt;"",F453,IFERROR(J453*1,0)))</f>
        <v>0</v>
      </c>
      <c r="M453" s="51">
        <f>IF(B453="","",IF(D453&lt;&gt;"",D453,IFERROR(INDEX(Services!$O$5:$O$64,MATCH(C453,Services!$B$5:$B$64,0)),"")))</f>
        <v>0</v>
      </c>
      <c r="N453" s="34">
        <f>IF(B453="","",IFERROR(INDEX(Services!$G$5:$G$64,MATCH(C453,Services!$B$5:$B$64,0)),0)*IF(E453="",1,IF(IFERROR(INDEX(Services!$D$5:$D$64,MATCH(C453,Services!$B$5:$B$64,0)),"")="Per hour",1,E453)))</f>
        <v>0</v>
      </c>
      <c r="O453" s="21">
        <f>IF(B453="","",ROUND(IF(E453="",1,E453)*L453,2))</f>
        <v>0</v>
      </c>
      <c r="P453" s="21">
        <f>IF(B453="","",ROUND(O453*(1-IF(G453="",0,G453)),2))</f>
        <v>0</v>
      </c>
      <c r="Q453" s="21">
        <f>IF(B453="","",ROUND(N453*CostPerHour+IF(E453="",1,E453)*IFERROR(INDEX(Services!$R$5:$R$64,MATCH(C453,Services!$B$5:$B$64,0)),0),2))</f>
        <v>0</v>
      </c>
      <c r="R453" s="38">
        <f>IF(OR(B453="",P453=0),"",(P453-Q453)/P453)</f>
        <v>0</v>
      </c>
      <c r="S453" s="31">
        <f>IF(OR(B453="",C453=""),"",COUNTIFS($B$5:B453,B453))</f>
        <v>0</v>
      </c>
      <c r="T453" s="23">
        <f>IF(S453="","",B453&amp;"|"&amp;S453)</f>
        <v>0</v>
      </c>
      <c r="U453" s="39">
        <f>IF(B453="","",IF(C453="","Add - pick a service",IF(E453="","Add - how many?",IF(L453=0,"Add - no price",IF(AND(R453&lt;&gt;"",R453&lt;MarginFloor),"Below - thin margin","OK")))))</f>
        <v>0</v>
      </c>
    </row>
    <row r="454" spans="1:21">
      <c r="A454" s="43">
        <f>IF(B454="","","QL-"&amp;TEXT(ROW()-4,"0000"))</f>
        <v>0</v>
      </c>
      <c r="J454" s="21">
        <f>IF(C454="","",IFERROR(INDEX(Services!$P$5:$P$64,MATCH(C454,Services!$B$5:$B$64,0)),"0"))</f>
        <v>0</v>
      </c>
      <c r="K454" s="23">
        <f>IF(C454="","",IFERROR(INDEX(Services!$E$5:$E$64,MATCH(C454,Services!$B$5:$B$64,0)),""))</f>
        <v>0</v>
      </c>
      <c r="L454" s="21">
        <f>IF(B454="","",IF(F454&lt;&gt;"",F454,IFERROR(J454*1,0)))</f>
        <v>0</v>
      </c>
      <c r="M454" s="51">
        <f>IF(B454="","",IF(D454&lt;&gt;"",D454,IFERROR(INDEX(Services!$O$5:$O$64,MATCH(C454,Services!$B$5:$B$64,0)),"")))</f>
        <v>0</v>
      </c>
      <c r="N454" s="34">
        <f>IF(B454="","",IFERROR(INDEX(Services!$G$5:$G$64,MATCH(C454,Services!$B$5:$B$64,0)),0)*IF(E454="",1,IF(IFERROR(INDEX(Services!$D$5:$D$64,MATCH(C454,Services!$B$5:$B$64,0)),"")="Per hour",1,E454)))</f>
        <v>0</v>
      </c>
      <c r="O454" s="21">
        <f>IF(B454="","",ROUND(IF(E454="",1,E454)*L454,2))</f>
        <v>0</v>
      </c>
      <c r="P454" s="21">
        <f>IF(B454="","",ROUND(O454*(1-IF(G454="",0,G454)),2))</f>
        <v>0</v>
      </c>
      <c r="Q454" s="21">
        <f>IF(B454="","",ROUND(N454*CostPerHour+IF(E454="",1,E454)*IFERROR(INDEX(Services!$R$5:$R$64,MATCH(C454,Services!$B$5:$B$64,0)),0),2))</f>
        <v>0</v>
      </c>
      <c r="R454" s="38">
        <f>IF(OR(B454="",P454=0),"",(P454-Q454)/P454)</f>
        <v>0</v>
      </c>
      <c r="S454" s="31">
        <f>IF(OR(B454="",C454=""),"",COUNTIFS($B$5:B454,B454))</f>
        <v>0</v>
      </c>
      <c r="T454" s="23">
        <f>IF(S454="","",B454&amp;"|"&amp;S454)</f>
        <v>0</v>
      </c>
      <c r="U454" s="39">
        <f>IF(B454="","",IF(C454="","Add - pick a service",IF(E454="","Add - how many?",IF(L454=0,"Add - no price",IF(AND(R454&lt;&gt;"",R454&lt;MarginFloor),"Below - thin margin","OK")))))</f>
        <v>0</v>
      </c>
    </row>
    <row r="455" spans="1:21">
      <c r="A455" s="43">
        <f>IF(B455="","","QL-"&amp;TEXT(ROW()-4,"0000"))</f>
        <v>0</v>
      </c>
      <c r="J455" s="21">
        <f>IF(C455="","",IFERROR(INDEX(Services!$P$5:$P$64,MATCH(C455,Services!$B$5:$B$64,0)),"0"))</f>
        <v>0</v>
      </c>
      <c r="K455" s="23">
        <f>IF(C455="","",IFERROR(INDEX(Services!$E$5:$E$64,MATCH(C455,Services!$B$5:$B$64,0)),""))</f>
        <v>0</v>
      </c>
      <c r="L455" s="21">
        <f>IF(B455="","",IF(F455&lt;&gt;"",F455,IFERROR(J455*1,0)))</f>
        <v>0</v>
      </c>
      <c r="M455" s="51">
        <f>IF(B455="","",IF(D455&lt;&gt;"",D455,IFERROR(INDEX(Services!$O$5:$O$64,MATCH(C455,Services!$B$5:$B$64,0)),"")))</f>
        <v>0</v>
      </c>
      <c r="N455" s="34">
        <f>IF(B455="","",IFERROR(INDEX(Services!$G$5:$G$64,MATCH(C455,Services!$B$5:$B$64,0)),0)*IF(E455="",1,IF(IFERROR(INDEX(Services!$D$5:$D$64,MATCH(C455,Services!$B$5:$B$64,0)),"")="Per hour",1,E455)))</f>
        <v>0</v>
      </c>
      <c r="O455" s="21">
        <f>IF(B455="","",ROUND(IF(E455="",1,E455)*L455,2))</f>
        <v>0</v>
      </c>
      <c r="P455" s="21">
        <f>IF(B455="","",ROUND(O455*(1-IF(G455="",0,G455)),2))</f>
        <v>0</v>
      </c>
      <c r="Q455" s="21">
        <f>IF(B455="","",ROUND(N455*CostPerHour+IF(E455="",1,E455)*IFERROR(INDEX(Services!$R$5:$R$64,MATCH(C455,Services!$B$5:$B$64,0)),0),2))</f>
        <v>0</v>
      </c>
      <c r="R455" s="38">
        <f>IF(OR(B455="",P455=0),"",(P455-Q455)/P455)</f>
        <v>0</v>
      </c>
      <c r="S455" s="31">
        <f>IF(OR(B455="",C455=""),"",COUNTIFS($B$5:B455,B455))</f>
        <v>0</v>
      </c>
      <c r="T455" s="23">
        <f>IF(S455="","",B455&amp;"|"&amp;S455)</f>
        <v>0</v>
      </c>
      <c r="U455" s="39">
        <f>IF(B455="","",IF(C455="","Add - pick a service",IF(E455="","Add - how many?",IF(L455=0,"Add - no price",IF(AND(R455&lt;&gt;"",R455&lt;MarginFloor),"Below - thin margin","OK")))))</f>
        <v>0</v>
      </c>
    </row>
    <row r="456" spans="1:21">
      <c r="A456" s="43">
        <f>IF(B456="","","QL-"&amp;TEXT(ROW()-4,"0000"))</f>
        <v>0</v>
      </c>
      <c r="J456" s="21">
        <f>IF(C456="","",IFERROR(INDEX(Services!$P$5:$P$64,MATCH(C456,Services!$B$5:$B$64,0)),"0"))</f>
        <v>0</v>
      </c>
      <c r="K456" s="23">
        <f>IF(C456="","",IFERROR(INDEX(Services!$E$5:$E$64,MATCH(C456,Services!$B$5:$B$64,0)),""))</f>
        <v>0</v>
      </c>
      <c r="L456" s="21">
        <f>IF(B456="","",IF(F456&lt;&gt;"",F456,IFERROR(J456*1,0)))</f>
        <v>0</v>
      </c>
      <c r="M456" s="51">
        <f>IF(B456="","",IF(D456&lt;&gt;"",D456,IFERROR(INDEX(Services!$O$5:$O$64,MATCH(C456,Services!$B$5:$B$64,0)),"")))</f>
        <v>0</v>
      </c>
      <c r="N456" s="34">
        <f>IF(B456="","",IFERROR(INDEX(Services!$G$5:$G$64,MATCH(C456,Services!$B$5:$B$64,0)),0)*IF(E456="",1,IF(IFERROR(INDEX(Services!$D$5:$D$64,MATCH(C456,Services!$B$5:$B$64,0)),"")="Per hour",1,E456)))</f>
        <v>0</v>
      </c>
      <c r="O456" s="21">
        <f>IF(B456="","",ROUND(IF(E456="",1,E456)*L456,2))</f>
        <v>0</v>
      </c>
      <c r="P456" s="21">
        <f>IF(B456="","",ROUND(O456*(1-IF(G456="",0,G456)),2))</f>
        <v>0</v>
      </c>
      <c r="Q456" s="21">
        <f>IF(B456="","",ROUND(N456*CostPerHour+IF(E456="",1,E456)*IFERROR(INDEX(Services!$R$5:$R$64,MATCH(C456,Services!$B$5:$B$64,0)),0),2))</f>
        <v>0</v>
      </c>
      <c r="R456" s="38">
        <f>IF(OR(B456="",P456=0),"",(P456-Q456)/P456)</f>
        <v>0</v>
      </c>
      <c r="S456" s="31">
        <f>IF(OR(B456="",C456=""),"",COUNTIFS($B$5:B456,B456))</f>
        <v>0</v>
      </c>
      <c r="T456" s="23">
        <f>IF(S456="","",B456&amp;"|"&amp;S456)</f>
        <v>0</v>
      </c>
      <c r="U456" s="39">
        <f>IF(B456="","",IF(C456="","Add - pick a service",IF(E456="","Add - how many?",IF(L456=0,"Add - no price",IF(AND(R456&lt;&gt;"",R456&lt;MarginFloor),"Below - thin margin","OK")))))</f>
        <v>0</v>
      </c>
    </row>
    <row r="457" spans="1:21">
      <c r="A457" s="43">
        <f>IF(B457="","","QL-"&amp;TEXT(ROW()-4,"0000"))</f>
        <v>0</v>
      </c>
      <c r="J457" s="21">
        <f>IF(C457="","",IFERROR(INDEX(Services!$P$5:$P$64,MATCH(C457,Services!$B$5:$B$64,0)),"0"))</f>
        <v>0</v>
      </c>
      <c r="K457" s="23">
        <f>IF(C457="","",IFERROR(INDEX(Services!$E$5:$E$64,MATCH(C457,Services!$B$5:$B$64,0)),""))</f>
        <v>0</v>
      </c>
      <c r="L457" s="21">
        <f>IF(B457="","",IF(F457&lt;&gt;"",F457,IFERROR(J457*1,0)))</f>
        <v>0</v>
      </c>
      <c r="M457" s="51">
        <f>IF(B457="","",IF(D457&lt;&gt;"",D457,IFERROR(INDEX(Services!$O$5:$O$64,MATCH(C457,Services!$B$5:$B$64,0)),"")))</f>
        <v>0</v>
      </c>
      <c r="N457" s="34">
        <f>IF(B457="","",IFERROR(INDEX(Services!$G$5:$G$64,MATCH(C457,Services!$B$5:$B$64,0)),0)*IF(E457="",1,IF(IFERROR(INDEX(Services!$D$5:$D$64,MATCH(C457,Services!$B$5:$B$64,0)),"")="Per hour",1,E457)))</f>
        <v>0</v>
      </c>
      <c r="O457" s="21">
        <f>IF(B457="","",ROUND(IF(E457="",1,E457)*L457,2))</f>
        <v>0</v>
      </c>
      <c r="P457" s="21">
        <f>IF(B457="","",ROUND(O457*(1-IF(G457="",0,G457)),2))</f>
        <v>0</v>
      </c>
      <c r="Q457" s="21">
        <f>IF(B457="","",ROUND(N457*CostPerHour+IF(E457="",1,E457)*IFERROR(INDEX(Services!$R$5:$R$64,MATCH(C457,Services!$B$5:$B$64,0)),0),2))</f>
        <v>0</v>
      </c>
      <c r="R457" s="38">
        <f>IF(OR(B457="",P457=0),"",(P457-Q457)/P457)</f>
        <v>0</v>
      </c>
      <c r="S457" s="31">
        <f>IF(OR(B457="",C457=""),"",COUNTIFS($B$5:B457,B457))</f>
        <v>0</v>
      </c>
      <c r="T457" s="23">
        <f>IF(S457="","",B457&amp;"|"&amp;S457)</f>
        <v>0</v>
      </c>
      <c r="U457" s="39">
        <f>IF(B457="","",IF(C457="","Add - pick a service",IF(E457="","Add - how many?",IF(L457=0,"Add - no price",IF(AND(R457&lt;&gt;"",R457&lt;MarginFloor),"Below - thin margin","OK")))))</f>
        <v>0</v>
      </c>
    </row>
    <row r="458" spans="1:21">
      <c r="A458" s="43">
        <f>IF(B458="","","QL-"&amp;TEXT(ROW()-4,"0000"))</f>
        <v>0</v>
      </c>
      <c r="J458" s="21">
        <f>IF(C458="","",IFERROR(INDEX(Services!$P$5:$P$64,MATCH(C458,Services!$B$5:$B$64,0)),"0"))</f>
        <v>0</v>
      </c>
      <c r="K458" s="23">
        <f>IF(C458="","",IFERROR(INDEX(Services!$E$5:$E$64,MATCH(C458,Services!$B$5:$B$64,0)),""))</f>
        <v>0</v>
      </c>
      <c r="L458" s="21">
        <f>IF(B458="","",IF(F458&lt;&gt;"",F458,IFERROR(J458*1,0)))</f>
        <v>0</v>
      </c>
      <c r="M458" s="51">
        <f>IF(B458="","",IF(D458&lt;&gt;"",D458,IFERROR(INDEX(Services!$O$5:$O$64,MATCH(C458,Services!$B$5:$B$64,0)),"")))</f>
        <v>0</v>
      </c>
      <c r="N458" s="34">
        <f>IF(B458="","",IFERROR(INDEX(Services!$G$5:$G$64,MATCH(C458,Services!$B$5:$B$64,0)),0)*IF(E458="",1,IF(IFERROR(INDEX(Services!$D$5:$D$64,MATCH(C458,Services!$B$5:$B$64,0)),"")="Per hour",1,E458)))</f>
        <v>0</v>
      </c>
      <c r="O458" s="21">
        <f>IF(B458="","",ROUND(IF(E458="",1,E458)*L458,2))</f>
        <v>0</v>
      </c>
      <c r="P458" s="21">
        <f>IF(B458="","",ROUND(O458*(1-IF(G458="",0,G458)),2))</f>
        <v>0</v>
      </c>
      <c r="Q458" s="21">
        <f>IF(B458="","",ROUND(N458*CostPerHour+IF(E458="",1,E458)*IFERROR(INDEX(Services!$R$5:$R$64,MATCH(C458,Services!$B$5:$B$64,0)),0),2))</f>
        <v>0</v>
      </c>
      <c r="R458" s="38">
        <f>IF(OR(B458="",P458=0),"",(P458-Q458)/P458)</f>
        <v>0</v>
      </c>
      <c r="S458" s="31">
        <f>IF(OR(B458="",C458=""),"",COUNTIFS($B$5:B458,B458))</f>
        <v>0</v>
      </c>
      <c r="T458" s="23">
        <f>IF(S458="","",B458&amp;"|"&amp;S458)</f>
        <v>0</v>
      </c>
      <c r="U458" s="39">
        <f>IF(B458="","",IF(C458="","Add - pick a service",IF(E458="","Add - how many?",IF(L458=0,"Add - no price",IF(AND(R458&lt;&gt;"",R458&lt;MarginFloor),"Below - thin margin","OK")))))</f>
        <v>0</v>
      </c>
    </row>
    <row r="459" spans="1:21">
      <c r="A459" s="43">
        <f>IF(B459="","","QL-"&amp;TEXT(ROW()-4,"0000"))</f>
        <v>0</v>
      </c>
      <c r="J459" s="21">
        <f>IF(C459="","",IFERROR(INDEX(Services!$P$5:$P$64,MATCH(C459,Services!$B$5:$B$64,0)),"0"))</f>
        <v>0</v>
      </c>
      <c r="K459" s="23">
        <f>IF(C459="","",IFERROR(INDEX(Services!$E$5:$E$64,MATCH(C459,Services!$B$5:$B$64,0)),""))</f>
        <v>0</v>
      </c>
      <c r="L459" s="21">
        <f>IF(B459="","",IF(F459&lt;&gt;"",F459,IFERROR(J459*1,0)))</f>
        <v>0</v>
      </c>
      <c r="M459" s="51">
        <f>IF(B459="","",IF(D459&lt;&gt;"",D459,IFERROR(INDEX(Services!$O$5:$O$64,MATCH(C459,Services!$B$5:$B$64,0)),"")))</f>
        <v>0</v>
      </c>
      <c r="N459" s="34">
        <f>IF(B459="","",IFERROR(INDEX(Services!$G$5:$G$64,MATCH(C459,Services!$B$5:$B$64,0)),0)*IF(E459="",1,IF(IFERROR(INDEX(Services!$D$5:$D$64,MATCH(C459,Services!$B$5:$B$64,0)),"")="Per hour",1,E459)))</f>
        <v>0</v>
      </c>
      <c r="O459" s="21">
        <f>IF(B459="","",ROUND(IF(E459="",1,E459)*L459,2))</f>
        <v>0</v>
      </c>
      <c r="P459" s="21">
        <f>IF(B459="","",ROUND(O459*(1-IF(G459="",0,G459)),2))</f>
        <v>0</v>
      </c>
      <c r="Q459" s="21">
        <f>IF(B459="","",ROUND(N459*CostPerHour+IF(E459="",1,E459)*IFERROR(INDEX(Services!$R$5:$R$64,MATCH(C459,Services!$B$5:$B$64,0)),0),2))</f>
        <v>0</v>
      </c>
      <c r="R459" s="38">
        <f>IF(OR(B459="",P459=0),"",(P459-Q459)/P459)</f>
        <v>0</v>
      </c>
      <c r="S459" s="31">
        <f>IF(OR(B459="",C459=""),"",COUNTIFS($B$5:B459,B459))</f>
        <v>0</v>
      </c>
      <c r="T459" s="23">
        <f>IF(S459="","",B459&amp;"|"&amp;S459)</f>
        <v>0</v>
      </c>
      <c r="U459" s="39">
        <f>IF(B459="","",IF(C459="","Add - pick a service",IF(E459="","Add - how many?",IF(L459=0,"Add - no price",IF(AND(R459&lt;&gt;"",R459&lt;MarginFloor),"Below - thin margin","OK")))))</f>
        <v>0</v>
      </c>
    </row>
    <row r="460" spans="1:21">
      <c r="A460" s="43">
        <f>IF(B460="","","QL-"&amp;TEXT(ROW()-4,"0000"))</f>
        <v>0</v>
      </c>
      <c r="J460" s="21">
        <f>IF(C460="","",IFERROR(INDEX(Services!$P$5:$P$64,MATCH(C460,Services!$B$5:$B$64,0)),"0"))</f>
        <v>0</v>
      </c>
      <c r="K460" s="23">
        <f>IF(C460="","",IFERROR(INDEX(Services!$E$5:$E$64,MATCH(C460,Services!$B$5:$B$64,0)),""))</f>
        <v>0</v>
      </c>
      <c r="L460" s="21">
        <f>IF(B460="","",IF(F460&lt;&gt;"",F460,IFERROR(J460*1,0)))</f>
        <v>0</v>
      </c>
      <c r="M460" s="51">
        <f>IF(B460="","",IF(D460&lt;&gt;"",D460,IFERROR(INDEX(Services!$O$5:$O$64,MATCH(C460,Services!$B$5:$B$64,0)),"")))</f>
        <v>0</v>
      </c>
      <c r="N460" s="34">
        <f>IF(B460="","",IFERROR(INDEX(Services!$G$5:$G$64,MATCH(C460,Services!$B$5:$B$64,0)),0)*IF(E460="",1,IF(IFERROR(INDEX(Services!$D$5:$D$64,MATCH(C460,Services!$B$5:$B$64,0)),"")="Per hour",1,E460)))</f>
        <v>0</v>
      </c>
      <c r="O460" s="21">
        <f>IF(B460="","",ROUND(IF(E460="",1,E460)*L460,2))</f>
        <v>0</v>
      </c>
      <c r="P460" s="21">
        <f>IF(B460="","",ROUND(O460*(1-IF(G460="",0,G460)),2))</f>
        <v>0</v>
      </c>
      <c r="Q460" s="21">
        <f>IF(B460="","",ROUND(N460*CostPerHour+IF(E460="",1,E460)*IFERROR(INDEX(Services!$R$5:$R$64,MATCH(C460,Services!$B$5:$B$64,0)),0),2))</f>
        <v>0</v>
      </c>
      <c r="R460" s="38">
        <f>IF(OR(B460="",P460=0),"",(P460-Q460)/P460)</f>
        <v>0</v>
      </c>
      <c r="S460" s="31">
        <f>IF(OR(B460="",C460=""),"",COUNTIFS($B$5:B460,B460))</f>
        <v>0</v>
      </c>
      <c r="T460" s="23">
        <f>IF(S460="","",B460&amp;"|"&amp;S460)</f>
        <v>0</v>
      </c>
      <c r="U460" s="39">
        <f>IF(B460="","",IF(C460="","Add - pick a service",IF(E460="","Add - how many?",IF(L460=0,"Add - no price",IF(AND(R460&lt;&gt;"",R460&lt;MarginFloor),"Below - thin margin","OK")))))</f>
        <v>0</v>
      </c>
    </row>
    <row r="461" spans="1:21">
      <c r="A461" s="43">
        <f>IF(B461="","","QL-"&amp;TEXT(ROW()-4,"0000"))</f>
        <v>0</v>
      </c>
      <c r="J461" s="21">
        <f>IF(C461="","",IFERROR(INDEX(Services!$P$5:$P$64,MATCH(C461,Services!$B$5:$B$64,0)),"0"))</f>
        <v>0</v>
      </c>
      <c r="K461" s="23">
        <f>IF(C461="","",IFERROR(INDEX(Services!$E$5:$E$64,MATCH(C461,Services!$B$5:$B$64,0)),""))</f>
        <v>0</v>
      </c>
      <c r="L461" s="21">
        <f>IF(B461="","",IF(F461&lt;&gt;"",F461,IFERROR(J461*1,0)))</f>
        <v>0</v>
      </c>
      <c r="M461" s="51">
        <f>IF(B461="","",IF(D461&lt;&gt;"",D461,IFERROR(INDEX(Services!$O$5:$O$64,MATCH(C461,Services!$B$5:$B$64,0)),"")))</f>
        <v>0</v>
      </c>
      <c r="N461" s="34">
        <f>IF(B461="","",IFERROR(INDEX(Services!$G$5:$G$64,MATCH(C461,Services!$B$5:$B$64,0)),0)*IF(E461="",1,IF(IFERROR(INDEX(Services!$D$5:$D$64,MATCH(C461,Services!$B$5:$B$64,0)),"")="Per hour",1,E461)))</f>
        <v>0</v>
      </c>
      <c r="O461" s="21">
        <f>IF(B461="","",ROUND(IF(E461="",1,E461)*L461,2))</f>
        <v>0</v>
      </c>
      <c r="P461" s="21">
        <f>IF(B461="","",ROUND(O461*(1-IF(G461="",0,G461)),2))</f>
        <v>0</v>
      </c>
      <c r="Q461" s="21">
        <f>IF(B461="","",ROUND(N461*CostPerHour+IF(E461="",1,E461)*IFERROR(INDEX(Services!$R$5:$R$64,MATCH(C461,Services!$B$5:$B$64,0)),0),2))</f>
        <v>0</v>
      </c>
      <c r="R461" s="38">
        <f>IF(OR(B461="",P461=0),"",(P461-Q461)/P461)</f>
        <v>0</v>
      </c>
      <c r="S461" s="31">
        <f>IF(OR(B461="",C461=""),"",COUNTIFS($B$5:B461,B461))</f>
        <v>0</v>
      </c>
      <c r="T461" s="23">
        <f>IF(S461="","",B461&amp;"|"&amp;S461)</f>
        <v>0</v>
      </c>
      <c r="U461" s="39">
        <f>IF(B461="","",IF(C461="","Add - pick a service",IF(E461="","Add - how many?",IF(L461=0,"Add - no price",IF(AND(R461&lt;&gt;"",R461&lt;MarginFloor),"Below - thin margin","OK")))))</f>
        <v>0</v>
      </c>
    </row>
    <row r="462" spans="1:21">
      <c r="A462" s="43">
        <f>IF(B462="","","QL-"&amp;TEXT(ROW()-4,"0000"))</f>
        <v>0</v>
      </c>
      <c r="J462" s="21">
        <f>IF(C462="","",IFERROR(INDEX(Services!$P$5:$P$64,MATCH(C462,Services!$B$5:$B$64,0)),"0"))</f>
        <v>0</v>
      </c>
      <c r="K462" s="23">
        <f>IF(C462="","",IFERROR(INDEX(Services!$E$5:$E$64,MATCH(C462,Services!$B$5:$B$64,0)),""))</f>
        <v>0</v>
      </c>
      <c r="L462" s="21">
        <f>IF(B462="","",IF(F462&lt;&gt;"",F462,IFERROR(J462*1,0)))</f>
        <v>0</v>
      </c>
      <c r="M462" s="51">
        <f>IF(B462="","",IF(D462&lt;&gt;"",D462,IFERROR(INDEX(Services!$O$5:$O$64,MATCH(C462,Services!$B$5:$B$64,0)),"")))</f>
        <v>0</v>
      </c>
      <c r="N462" s="34">
        <f>IF(B462="","",IFERROR(INDEX(Services!$G$5:$G$64,MATCH(C462,Services!$B$5:$B$64,0)),0)*IF(E462="",1,IF(IFERROR(INDEX(Services!$D$5:$D$64,MATCH(C462,Services!$B$5:$B$64,0)),"")="Per hour",1,E462)))</f>
        <v>0</v>
      </c>
      <c r="O462" s="21">
        <f>IF(B462="","",ROUND(IF(E462="",1,E462)*L462,2))</f>
        <v>0</v>
      </c>
      <c r="P462" s="21">
        <f>IF(B462="","",ROUND(O462*(1-IF(G462="",0,G462)),2))</f>
        <v>0</v>
      </c>
      <c r="Q462" s="21">
        <f>IF(B462="","",ROUND(N462*CostPerHour+IF(E462="",1,E462)*IFERROR(INDEX(Services!$R$5:$R$64,MATCH(C462,Services!$B$5:$B$64,0)),0),2))</f>
        <v>0</v>
      </c>
      <c r="R462" s="38">
        <f>IF(OR(B462="",P462=0),"",(P462-Q462)/P462)</f>
        <v>0</v>
      </c>
      <c r="S462" s="31">
        <f>IF(OR(B462="",C462=""),"",COUNTIFS($B$5:B462,B462))</f>
        <v>0</v>
      </c>
      <c r="T462" s="23">
        <f>IF(S462="","",B462&amp;"|"&amp;S462)</f>
        <v>0</v>
      </c>
      <c r="U462" s="39">
        <f>IF(B462="","",IF(C462="","Add - pick a service",IF(E462="","Add - how many?",IF(L462=0,"Add - no price",IF(AND(R462&lt;&gt;"",R462&lt;MarginFloor),"Below - thin margin","OK")))))</f>
        <v>0</v>
      </c>
    </row>
    <row r="463" spans="1:21">
      <c r="A463" s="43">
        <f>IF(B463="","","QL-"&amp;TEXT(ROW()-4,"0000"))</f>
        <v>0</v>
      </c>
      <c r="J463" s="21">
        <f>IF(C463="","",IFERROR(INDEX(Services!$P$5:$P$64,MATCH(C463,Services!$B$5:$B$64,0)),"0"))</f>
        <v>0</v>
      </c>
      <c r="K463" s="23">
        <f>IF(C463="","",IFERROR(INDEX(Services!$E$5:$E$64,MATCH(C463,Services!$B$5:$B$64,0)),""))</f>
        <v>0</v>
      </c>
      <c r="L463" s="21">
        <f>IF(B463="","",IF(F463&lt;&gt;"",F463,IFERROR(J463*1,0)))</f>
        <v>0</v>
      </c>
      <c r="M463" s="51">
        <f>IF(B463="","",IF(D463&lt;&gt;"",D463,IFERROR(INDEX(Services!$O$5:$O$64,MATCH(C463,Services!$B$5:$B$64,0)),"")))</f>
        <v>0</v>
      </c>
      <c r="N463" s="34">
        <f>IF(B463="","",IFERROR(INDEX(Services!$G$5:$G$64,MATCH(C463,Services!$B$5:$B$64,0)),0)*IF(E463="",1,IF(IFERROR(INDEX(Services!$D$5:$D$64,MATCH(C463,Services!$B$5:$B$64,0)),"")="Per hour",1,E463)))</f>
        <v>0</v>
      </c>
      <c r="O463" s="21">
        <f>IF(B463="","",ROUND(IF(E463="",1,E463)*L463,2))</f>
        <v>0</v>
      </c>
      <c r="P463" s="21">
        <f>IF(B463="","",ROUND(O463*(1-IF(G463="",0,G463)),2))</f>
        <v>0</v>
      </c>
      <c r="Q463" s="21">
        <f>IF(B463="","",ROUND(N463*CostPerHour+IF(E463="",1,E463)*IFERROR(INDEX(Services!$R$5:$R$64,MATCH(C463,Services!$B$5:$B$64,0)),0),2))</f>
        <v>0</v>
      </c>
      <c r="R463" s="38">
        <f>IF(OR(B463="",P463=0),"",(P463-Q463)/P463)</f>
        <v>0</v>
      </c>
      <c r="S463" s="31">
        <f>IF(OR(B463="",C463=""),"",COUNTIFS($B$5:B463,B463))</f>
        <v>0</v>
      </c>
      <c r="T463" s="23">
        <f>IF(S463="","",B463&amp;"|"&amp;S463)</f>
        <v>0</v>
      </c>
      <c r="U463" s="39">
        <f>IF(B463="","",IF(C463="","Add - pick a service",IF(E463="","Add - how many?",IF(L463=0,"Add - no price",IF(AND(R463&lt;&gt;"",R463&lt;MarginFloor),"Below - thin margin","OK")))))</f>
        <v>0</v>
      </c>
    </row>
    <row r="464" spans="1:21">
      <c r="A464" s="43">
        <f>IF(B464="","","QL-"&amp;TEXT(ROW()-4,"0000"))</f>
        <v>0</v>
      </c>
      <c r="J464" s="21">
        <f>IF(C464="","",IFERROR(INDEX(Services!$P$5:$P$64,MATCH(C464,Services!$B$5:$B$64,0)),"0"))</f>
        <v>0</v>
      </c>
      <c r="K464" s="23">
        <f>IF(C464="","",IFERROR(INDEX(Services!$E$5:$E$64,MATCH(C464,Services!$B$5:$B$64,0)),""))</f>
        <v>0</v>
      </c>
      <c r="L464" s="21">
        <f>IF(B464="","",IF(F464&lt;&gt;"",F464,IFERROR(J464*1,0)))</f>
        <v>0</v>
      </c>
      <c r="M464" s="51">
        <f>IF(B464="","",IF(D464&lt;&gt;"",D464,IFERROR(INDEX(Services!$O$5:$O$64,MATCH(C464,Services!$B$5:$B$64,0)),"")))</f>
        <v>0</v>
      </c>
      <c r="N464" s="34">
        <f>IF(B464="","",IFERROR(INDEX(Services!$G$5:$G$64,MATCH(C464,Services!$B$5:$B$64,0)),0)*IF(E464="",1,IF(IFERROR(INDEX(Services!$D$5:$D$64,MATCH(C464,Services!$B$5:$B$64,0)),"")="Per hour",1,E464)))</f>
        <v>0</v>
      </c>
      <c r="O464" s="21">
        <f>IF(B464="","",ROUND(IF(E464="",1,E464)*L464,2))</f>
        <v>0</v>
      </c>
      <c r="P464" s="21">
        <f>IF(B464="","",ROUND(O464*(1-IF(G464="",0,G464)),2))</f>
        <v>0</v>
      </c>
      <c r="Q464" s="21">
        <f>IF(B464="","",ROUND(N464*CostPerHour+IF(E464="",1,E464)*IFERROR(INDEX(Services!$R$5:$R$64,MATCH(C464,Services!$B$5:$B$64,0)),0),2))</f>
        <v>0</v>
      </c>
      <c r="R464" s="38">
        <f>IF(OR(B464="",P464=0),"",(P464-Q464)/P464)</f>
        <v>0</v>
      </c>
      <c r="S464" s="31">
        <f>IF(OR(B464="",C464=""),"",COUNTIFS($B$5:B464,B464))</f>
        <v>0</v>
      </c>
      <c r="T464" s="23">
        <f>IF(S464="","",B464&amp;"|"&amp;S464)</f>
        <v>0</v>
      </c>
      <c r="U464" s="39">
        <f>IF(B464="","",IF(C464="","Add - pick a service",IF(E464="","Add - how many?",IF(L464=0,"Add - no price",IF(AND(R464&lt;&gt;"",R464&lt;MarginFloor),"Below - thin margin","OK")))))</f>
        <v>0</v>
      </c>
    </row>
    <row r="465" spans="1:21">
      <c r="A465" s="43">
        <f>IF(B465="","","QL-"&amp;TEXT(ROW()-4,"0000"))</f>
        <v>0</v>
      </c>
      <c r="J465" s="21">
        <f>IF(C465="","",IFERROR(INDEX(Services!$P$5:$P$64,MATCH(C465,Services!$B$5:$B$64,0)),"0"))</f>
        <v>0</v>
      </c>
      <c r="K465" s="23">
        <f>IF(C465="","",IFERROR(INDEX(Services!$E$5:$E$64,MATCH(C465,Services!$B$5:$B$64,0)),""))</f>
        <v>0</v>
      </c>
      <c r="L465" s="21">
        <f>IF(B465="","",IF(F465&lt;&gt;"",F465,IFERROR(J465*1,0)))</f>
        <v>0</v>
      </c>
      <c r="M465" s="51">
        <f>IF(B465="","",IF(D465&lt;&gt;"",D465,IFERROR(INDEX(Services!$O$5:$O$64,MATCH(C465,Services!$B$5:$B$64,0)),"")))</f>
        <v>0</v>
      </c>
      <c r="N465" s="34">
        <f>IF(B465="","",IFERROR(INDEX(Services!$G$5:$G$64,MATCH(C465,Services!$B$5:$B$64,0)),0)*IF(E465="",1,IF(IFERROR(INDEX(Services!$D$5:$D$64,MATCH(C465,Services!$B$5:$B$64,0)),"")="Per hour",1,E465)))</f>
        <v>0</v>
      </c>
      <c r="O465" s="21">
        <f>IF(B465="","",ROUND(IF(E465="",1,E465)*L465,2))</f>
        <v>0</v>
      </c>
      <c r="P465" s="21">
        <f>IF(B465="","",ROUND(O465*(1-IF(G465="",0,G465)),2))</f>
        <v>0</v>
      </c>
      <c r="Q465" s="21">
        <f>IF(B465="","",ROUND(N465*CostPerHour+IF(E465="",1,E465)*IFERROR(INDEX(Services!$R$5:$R$64,MATCH(C465,Services!$B$5:$B$64,0)),0),2))</f>
        <v>0</v>
      </c>
      <c r="R465" s="38">
        <f>IF(OR(B465="",P465=0),"",(P465-Q465)/P465)</f>
        <v>0</v>
      </c>
      <c r="S465" s="31">
        <f>IF(OR(B465="",C465=""),"",COUNTIFS($B$5:B465,B465))</f>
        <v>0</v>
      </c>
      <c r="T465" s="23">
        <f>IF(S465="","",B465&amp;"|"&amp;S465)</f>
        <v>0</v>
      </c>
      <c r="U465" s="39">
        <f>IF(B465="","",IF(C465="","Add - pick a service",IF(E465="","Add - how many?",IF(L465=0,"Add - no price",IF(AND(R465&lt;&gt;"",R465&lt;MarginFloor),"Below - thin margin","OK")))))</f>
        <v>0</v>
      </c>
    </row>
    <row r="466" spans="1:21">
      <c r="A466" s="43">
        <f>IF(B466="","","QL-"&amp;TEXT(ROW()-4,"0000"))</f>
        <v>0</v>
      </c>
      <c r="J466" s="21">
        <f>IF(C466="","",IFERROR(INDEX(Services!$P$5:$P$64,MATCH(C466,Services!$B$5:$B$64,0)),"0"))</f>
        <v>0</v>
      </c>
      <c r="K466" s="23">
        <f>IF(C466="","",IFERROR(INDEX(Services!$E$5:$E$64,MATCH(C466,Services!$B$5:$B$64,0)),""))</f>
        <v>0</v>
      </c>
      <c r="L466" s="21">
        <f>IF(B466="","",IF(F466&lt;&gt;"",F466,IFERROR(J466*1,0)))</f>
        <v>0</v>
      </c>
      <c r="M466" s="51">
        <f>IF(B466="","",IF(D466&lt;&gt;"",D466,IFERROR(INDEX(Services!$O$5:$O$64,MATCH(C466,Services!$B$5:$B$64,0)),"")))</f>
        <v>0</v>
      </c>
      <c r="N466" s="34">
        <f>IF(B466="","",IFERROR(INDEX(Services!$G$5:$G$64,MATCH(C466,Services!$B$5:$B$64,0)),0)*IF(E466="",1,IF(IFERROR(INDEX(Services!$D$5:$D$64,MATCH(C466,Services!$B$5:$B$64,0)),"")="Per hour",1,E466)))</f>
        <v>0</v>
      </c>
      <c r="O466" s="21">
        <f>IF(B466="","",ROUND(IF(E466="",1,E466)*L466,2))</f>
        <v>0</v>
      </c>
      <c r="P466" s="21">
        <f>IF(B466="","",ROUND(O466*(1-IF(G466="",0,G466)),2))</f>
        <v>0</v>
      </c>
      <c r="Q466" s="21">
        <f>IF(B466="","",ROUND(N466*CostPerHour+IF(E466="",1,E466)*IFERROR(INDEX(Services!$R$5:$R$64,MATCH(C466,Services!$B$5:$B$64,0)),0),2))</f>
        <v>0</v>
      </c>
      <c r="R466" s="38">
        <f>IF(OR(B466="",P466=0),"",(P466-Q466)/P466)</f>
        <v>0</v>
      </c>
      <c r="S466" s="31">
        <f>IF(OR(B466="",C466=""),"",COUNTIFS($B$5:B466,B466))</f>
        <v>0</v>
      </c>
      <c r="T466" s="23">
        <f>IF(S466="","",B466&amp;"|"&amp;S466)</f>
        <v>0</v>
      </c>
      <c r="U466" s="39">
        <f>IF(B466="","",IF(C466="","Add - pick a service",IF(E466="","Add - how many?",IF(L466=0,"Add - no price",IF(AND(R466&lt;&gt;"",R466&lt;MarginFloor),"Below - thin margin","OK")))))</f>
        <v>0</v>
      </c>
    </row>
    <row r="467" spans="1:21">
      <c r="A467" s="43">
        <f>IF(B467="","","QL-"&amp;TEXT(ROW()-4,"0000"))</f>
        <v>0</v>
      </c>
      <c r="J467" s="21">
        <f>IF(C467="","",IFERROR(INDEX(Services!$P$5:$P$64,MATCH(C467,Services!$B$5:$B$64,0)),"0"))</f>
        <v>0</v>
      </c>
      <c r="K467" s="23">
        <f>IF(C467="","",IFERROR(INDEX(Services!$E$5:$E$64,MATCH(C467,Services!$B$5:$B$64,0)),""))</f>
        <v>0</v>
      </c>
      <c r="L467" s="21">
        <f>IF(B467="","",IF(F467&lt;&gt;"",F467,IFERROR(J467*1,0)))</f>
        <v>0</v>
      </c>
      <c r="M467" s="51">
        <f>IF(B467="","",IF(D467&lt;&gt;"",D467,IFERROR(INDEX(Services!$O$5:$O$64,MATCH(C467,Services!$B$5:$B$64,0)),"")))</f>
        <v>0</v>
      </c>
      <c r="N467" s="34">
        <f>IF(B467="","",IFERROR(INDEX(Services!$G$5:$G$64,MATCH(C467,Services!$B$5:$B$64,0)),0)*IF(E467="",1,IF(IFERROR(INDEX(Services!$D$5:$D$64,MATCH(C467,Services!$B$5:$B$64,0)),"")="Per hour",1,E467)))</f>
        <v>0</v>
      </c>
      <c r="O467" s="21">
        <f>IF(B467="","",ROUND(IF(E467="",1,E467)*L467,2))</f>
        <v>0</v>
      </c>
      <c r="P467" s="21">
        <f>IF(B467="","",ROUND(O467*(1-IF(G467="",0,G467)),2))</f>
        <v>0</v>
      </c>
      <c r="Q467" s="21">
        <f>IF(B467="","",ROUND(N467*CostPerHour+IF(E467="",1,E467)*IFERROR(INDEX(Services!$R$5:$R$64,MATCH(C467,Services!$B$5:$B$64,0)),0),2))</f>
        <v>0</v>
      </c>
      <c r="R467" s="38">
        <f>IF(OR(B467="",P467=0),"",(P467-Q467)/P467)</f>
        <v>0</v>
      </c>
      <c r="S467" s="31">
        <f>IF(OR(B467="",C467=""),"",COUNTIFS($B$5:B467,B467))</f>
        <v>0</v>
      </c>
      <c r="T467" s="23">
        <f>IF(S467="","",B467&amp;"|"&amp;S467)</f>
        <v>0</v>
      </c>
      <c r="U467" s="39">
        <f>IF(B467="","",IF(C467="","Add - pick a service",IF(E467="","Add - how many?",IF(L467=0,"Add - no price",IF(AND(R467&lt;&gt;"",R467&lt;MarginFloor),"Below - thin margin","OK")))))</f>
        <v>0</v>
      </c>
    </row>
    <row r="468" spans="1:21">
      <c r="A468" s="43">
        <f>IF(B468="","","QL-"&amp;TEXT(ROW()-4,"0000"))</f>
        <v>0</v>
      </c>
      <c r="J468" s="21">
        <f>IF(C468="","",IFERROR(INDEX(Services!$P$5:$P$64,MATCH(C468,Services!$B$5:$B$64,0)),"0"))</f>
        <v>0</v>
      </c>
      <c r="K468" s="23">
        <f>IF(C468="","",IFERROR(INDEX(Services!$E$5:$E$64,MATCH(C468,Services!$B$5:$B$64,0)),""))</f>
        <v>0</v>
      </c>
      <c r="L468" s="21">
        <f>IF(B468="","",IF(F468&lt;&gt;"",F468,IFERROR(J468*1,0)))</f>
        <v>0</v>
      </c>
      <c r="M468" s="51">
        <f>IF(B468="","",IF(D468&lt;&gt;"",D468,IFERROR(INDEX(Services!$O$5:$O$64,MATCH(C468,Services!$B$5:$B$64,0)),"")))</f>
        <v>0</v>
      </c>
      <c r="N468" s="34">
        <f>IF(B468="","",IFERROR(INDEX(Services!$G$5:$G$64,MATCH(C468,Services!$B$5:$B$64,0)),0)*IF(E468="",1,IF(IFERROR(INDEX(Services!$D$5:$D$64,MATCH(C468,Services!$B$5:$B$64,0)),"")="Per hour",1,E468)))</f>
        <v>0</v>
      </c>
      <c r="O468" s="21">
        <f>IF(B468="","",ROUND(IF(E468="",1,E468)*L468,2))</f>
        <v>0</v>
      </c>
      <c r="P468" s="21">
        <f>IF(B468="","",ROUND(O468*(1-IF(G468="",0,G468)),2))</f>
        <v>0</v>
      </c>
      <c r="Q468" s="21">
        <f>IF(B468="","",ROUND(N468*CostPerHour+IF(E468="",1,E468)*IFERROR(INDEX(Services!$R$5:$R$64,MATCH(C468,Services!$B$5:$B$64,0)),0),2))</f>
        <v>0</v>
      </c>
      <c r="R468" s="38">
        <f>IF(OR(B468="",P468=0),"",(P468-Q468)/P468)</f>
        <v>0</v>
      </c>
      <c r="S468" s="31">
        <f>IF(OR(B468="",C468=""),"",COUNTIFS($B$5:B468,B468))</f>
        <v>0</v>
      </c>
      <c r="T468" s="23">
        <f>IF(S468="","",B468&amp;"|"&amp;S468)</f>
        <v>0</v>
      </c>
      <c r="U468" s="39">
        <f>IF(B468="","",IF(C468="","Add - pick a service",IF(E468="","Add - how many?",IF(L468=0,"Add - no price",IF(AND(R468&lt;&gt;"",R468&lt;MarginFloor),"Below - thin margin","OK")))))</f>
        <v>0</v>
      </c>
    </row>
    <row r="469" spans="1:21">
      <c r="A469" s="43">
        <f>IF(B469="","","QL-"&amp;TEXT(ROW()-4,"0000"))</f>
        <v>0</v>
      </c>
      <c r="J469" s="21">
        <f>IF(C469="","",IFERROR(INDEX(Services!$P$5:$P$64,MATCH(C469,Services!$B$5:$B$64,0)),"0"))</f>
        <v>0</v>
      </c>
      <c r="K469" s="23">
        <f>IF(C469="","",IFERROR(INDEX(Services!$E$5:$E$64,MATCH(C469,Services!$B$5:$B$64,0)),""))</f>
        <v>0</v>
      </c>
      <c r="L469" s="21">
        <f>IF(B469="","",IF(F469&lt;&gt;"",F469,IFERROR(J469*1,0)))</f>
        <v>0</v>
      </c>
      <c r="M469" s="51">
        <f>IF(B469="","",IF(D469&lt;&gt;"",D469,IFERROR(INDEX(Services!$O$5:$O$64,MATCH(C469,Services!$B$5:$B$64,0)),"")))</f>
        <v>0</v>
      </c>
      <c r="N469" s="34">
        <f>IF(B469="","",IFERROR(INDEX(Services!$G$5:$G$64,MATCH(C469,Services!$B$5:$B$64,0)),0)*IF(E469="",1,IF(IFERROR(INDEX(Services!$D$5:$D$64,MATCH(C469,Services!$B$5:$B$64,0)),"")="Per hour",1,E469)))</f>
        <v>0</v>
      </c>
      <c r="O469" s="21">
        <f>IF(B469="","",ROUND(IF(E469="",1,E469)*L469,2))</f>
        <v>0</v>
      </c>
      <c r="P469" s="21">
        <f>IF(B469="","",ROUND(O469*(1-IF(G469="",0,G469)),2))</f>
        <v>0</v>
      </c>
      <c r="Q469" s="21">
        <f>IF(B469="","",ROUND(N469*CostPerHour+IF(E469="",1,E469)*IFERROR(INDEX(Services!$R$5:$R$64,MATCH(C469,Services!$B$5:$B$64,0)),0),2))</f>
        <v>0</v>
      </c>
      <c r="R469" s="38">
        <f>IF(OR(B469="",P469=0),"",(P469-Q469)/P469)</f>
        <v>0</v>
      </c>
      <c r="S469" s="31">
        <f>IF(OR(B469="",C469=""),"",COUNTIFS($B$5:B469,B469))</f>
        <v>0</v>
      </c>
      <c r="T469" s="23">
        <f>IF(S469="","",B469&amp;"|"&amp;S469)</f>
        <v>0</v>
      </c>
      <c r="U469" s="39">
        <f>IF(B469="","",IF(C469="","Add - pick a service",IF(E469="","Add - how many?",IF(L469=0,"Add - no price",IF(AND(R469&lt;&gt;"",R469&lt;MarginFloor),"Below - thin margin","OK")))))</f>
        <v>0</v>
      </c>
    </row>
    <row r="470" spans="1:21">
      <c r="A470" s="43">
        <f>IF(B470="","","QL-"&amp;TEXT(ROW()-4,"0000"))</f>
        <v>0</v>
      </c>
      <c r="J470" s="21">
        <f>IF(C470="","",IFERROR(INDEX(Services!$P$5:$P$64,MATCH(C470,Services!$B$5:$B$64,0)),"0"))</f>
        <v>0</v>
      </c>
      <c r="K470" s="23">
        <f>IF(C470="","",IFERROR(INDEX(Services!$E$5:$E$64,MATCH(C470,Services!$B$5:$B$64,0)),""))</f>
        <v>0</v>
      </c>
      <c r="L470" s="21">
        <f>IF(B470="","",IF(F470&lt;&gt;"",F470,IFERROR(J470*1,0)))</f>
        <v>0</v>
      </c>
      <c r="M470" s="51">
        <f>IF(B470="","",IF(D470&lt;&gt;"",D470,IFERROR(INDEX(Services!$O$5:$O$64,MATCH(C470,Services!$B$5:$B$64,0)),"")))</f>
        <v>0</v>
      </c>
      <c r="N470" s="34">
        <f>IF(B470="","",IFERROR(INDEX(Services!$G$5:$G$64,MATCH(C470,Services!$B$5:$B$64,0)),0)*IF(E470="",1,IF(IFERROR(INDEX(Services!$D$5:$D$64,MATCH(C470,Services!$B$5:$B$64,0)),"")="Per hour",1,E470)))</f>
        <v>0</v>
      </c>
      <c r="O470" s="21">
        <f>IF(B470="","",ROUND(IF(E470="",1,E470)*L470,2))</f>
        <v>0</v>
      </c>
      <c r="P470" s="21">
        <f>IF(B470="","",ROUND(O470*(1-IF(G470="",0,G470)),2))</f>
        <v>0</v>
      </c>
      <c r="Q470" s="21">
        <f>IF(B470="","",ROUND(N470*CostPerHour+IF(E470="",1,E470)*IFERROR(INDEX(Services!$R$5:$R$64,MATCH(C470,Services!$B$5:$B$64,0)),0),2))</f>
        <v>0</v>
      </c>
      <c r="R470" s="38">
        <f>IF(OR(B470="",P470=0),"",(P470-Q470)/P470)</f>
        <v>0</v>
      </c>
      <c r="S470" s="31">
        <f>IF(OR(B470="",C470=""),"",COUNTIFS($B$5:B470,B470))</f>
        <v>0</v>
      </c>
      <c r="T470" s="23">
        <f>IF(S470="","",B470&amp;"|"&amp;S470)</f>
        <v>0</v>
      </c>
      <c r="U470" s="39">
        <f>IF(B470="","",IF(C470="","Add - pick a service",IF(E470="","Add - how many?",IF(L470=0,"Add - no price",IF(AND(R470&lt;&gt;"",R470&lt;MarginFloor),"Below - thin margin","OK")))))</f>
        <v>0</v>
      </c>
    </row>
    <row r="471" spans="1:21">
      <c r="A471" s="43">
        <f>IF(B471="","","QL-"&amp;TEXT(ROW()-4,"0000"))</f>
        <v>0</v>
      </c>
      <c r="J471" s="21">
        <f>IF(C471="","",IFERROR(INDEX(Services!$P$5:$P$64,MATCH(C471,Services!$B$5:$B$64,0)),"0"))</f>
        <v>0</v>
      </c>
      <c r="K471" s="23">
        <f>IF(C471="","",IFERROR(INDEX(Services!$E$5:$E$64,MATCH(C471,Services!$B$5:$B$64,0)),""))</f>
        <v>0</v>
      </c>
      <c r="L471" s="21">
        <f>IF(B471="","",IF(F471&lt;&gt;"",F471,IFERROR(J471*1,0)))</f>
        <v>0</v>
      </c>
      <c r="M471" s="51">
        <f>IF(B471="","",IF(D471&lt;&gt;"",D471,IFERROR(INDEX(Services!$O$5:$O$64,MATCH(C471,Services!$B$5:$B$64,0)),"")))</f>
        <v>0</v>
      </c>
      <c r="N471" s="34">
        <f>IF(B471="","",IFERROR(INDEX(Services!$G$5:$G$64,MATCH(C471,Services!$B$5:$B$64,0)),0)*IF(E471="",1,IF(IFERROR(INDEX(Services!$D$5:$D$64,MATCH(C471,Services!$B$5:$B$64,0)),"")="Per hour",1,E471)))</f>
        <v>0</v>
      </c>
      <c r="O471" s="21">
        <f>IF(B471="","",ROUND(IF(E471="",1,E471)*L471,2))</f>
        <v>0</v>
      </c>
      <c r="P471" s="21">
        <f>IF(B471="","",ROUND(O471*(1-IF(G471="",0,G471)),2))</f>
        <v>0</v>
      </c>
      <c r="Q471" s="21">
        <f>IF(B471="","",ROUND(N471*CostPerHour+IF(E471="",1,E471)*IFERROR(INDEX(Services!$R$5:$R$64,MATCH(C471,Services!$B$5:$B$64,0)),0),2))</f>
        <v>0</v>
      </c>
      <c r="R471" s="38">
        <f>IF(OR(B471="",P471=0),"",(P471-Q471)/P471)</f>
        <v>0</v>
      </c>
      <c r="S471" s="31">
        <f>IF(OR(B471="",C471=""),"",COUNTIFS($B$5:B471,B471))</f>
        <v>0</v>
      </c>
      <c r="T471" s="23">
        <f>IF(S471="","",B471&amp;"|"&amp;S471)</f>
        <v>0</v>
      </c>
      <c r="U471" s="39">
        <f>IF(B471="","",IF(C471="","Add - pick a service",IF(E471="","Add - how many?",IF(L471=0,"Add - no price",IF(AND(R471&lt;&gt;"",R471&lt;MarginFloor),"Below - thin margin","OK")))))</f>
        <v>0</v>
      </c>
    </row>
    <row r="472" spans="1:21">
      <c r="A472" s="43">
        <f>IF(B472="","","QL-"&amp;TEXT(ROW()-4,"0000"))</f>
        <v>0</v>
      </c>
      <c r="J472" s="21">
        <f>IF(C472="","",IFERROR(INDEX(Services!$P$5:$P$64,MATCH(C472,Services!$B$5:$B$64,0)),"0"))</f>
        <v>0</v>
      </c>
      <c r="K472" s="23">
        <f>IF(C472="","",IFERROR(INDEX(Services!$E$5:$E$64,MATCH(C472,Services!$B$5:$B$64,0)),""))</f>
        <v>0</v>
      </c>
      <c r="L472" s="21">
        <f>IF(B472="","",IF(F472&lt;&gt;"",F472,IFERROR(J472*1,0)))</f>
        <v>0</v>
      </c>
      <c r="M472" s="51">
        <f>IF(B472="","",IF(D472&lt;&gt;"",D472,IFERROR(INDEX(Services!$O$5:$O$64,MATCH(C472,Services!$B$5:$B$64,0)),"")))</f>
        <v>0</v>
      </c>
      <c r="N472" s="34">
        <f>IF(B472="","",IFERROR(INDEX(Services!$G$5:$G$64,MATCH(C472,Services!$B$5:$B$64,0)),0)*IF(E472="",1,IF(IFERROR(INDEX(Services!$D$5:$D$64,MATCH(C472,Services!$B$5:$B$64,0)),"")="Per hour",1,E472)))</f>
        <v>0</v>
      </c>
      <c r="O472" s="21">
        <f>IF(B472="","",ROUND(IF(E472="",1,E472)*L472,2))</f>
        <v>0</v>
      </c>
      <c r="P472" s="21">
        <f>IF(B472="","",ROUND(O472*(1-IF(G472="",0,G472)),2))</f>
        <v>0</v>
      </c>
      <c r="Q472" s="21">
        <f>IF(B472="","",ROUND(N472*CostPerHour+IF(E472="",1,E472)*IFERROR(INDEX(Services!$R$5:$R$64,MATCH(C472,Services!$B$5:$B$64,0)),0),2))</f>
        <v>0</v>
      </c>
      <c r="R472" s="38">
        <f>IF(OR(B472="",P472=0),"",(P472-Q472)/P472)</f>
        <v>0</v>
      </c>
      <c r="S472" s="31">
        <f>IF(OR(B472="",C472=""),"",COUNTIFS($B$5:B472,B472))</f>
        <v>0</v>
      </c>
      <c r="T472" s="23">
        <f>IF(S472="","",B472&amp;"|"&amp;S472)</f>
        <v>0</v>
      </c>
      <c r="U472" s="39">
        <f>IF(B472="","",IF(C472="","Add - pick a service",IF(E472="","Add - how many?",IF(L472=0,"Add - no price",IF(AND(R472&lt;&gt;"",R472&lt;MarginFloor),"Below - thin margin","OK")))))</f>
        <v>0</v>
      </c>
    </row>
    <row r="473" spans="1:21">
      <c r="A473" s="43">
        <f>IF(B473="","","QL-"&amp;TEXT(ROW()-4,"0000"))</f>
        <v>0</v>
      </c>
      <c r="J473" s="21">
        <f>IF(C473="","",IFERROR(INDEX(Services!$P$5:$P$64,MATCH(C473,Services!$B$5:$B$64,0)),"0"))</f>
        <v>0</v>
      </c>
      <c r="K473" s="23">
        <f>IF(C473="","",IFERROR(INDEX(Services!$E$5:$E$64,MATCH(C473,Services!$B$5:$B$64,0)),""))</f>
        <v>0</v>
      </c>
      <c r="L473" s="21">
        <f>IF(B473="","",IF(F473&lt;&gt;"",F473,IFERROR(J473*1,0)))</f>
        <v>0</v>
      </c>
      <c r="M473" s="51">
        <f>IF(B473="","",IF(D473&lt;&gt;"",D473,IFERROR(INDEX(Services!$O$5:$O$64,MATCH(C473,Services!$B$5:$B$64,0)),"")))</f>
        <v>0</v>
      </c>
      <c r="N473" s="34">
        <f>IF(B473="","",IFERROR(INDEX(Services!$G$5:$G$64,MATCH(C473,Services!$B$5:$B$64,0)),0)*IF(E473="",1,IF(IFERROR(INDEX(Services!$D$5:$D$64,MATCH(C473,Services!$B$5:$B$64,0)),"")="Per hour",1,E473)))</f>
        <v>0</v>
      </c>
      <c r="O473" s="21">
        <f>IF(B473="","",ROUND(IF(E473="",1,E473)*L473,2))</f>
        <v>0</v>
      </c>
      <c r="P473" s="21">
        <f>IF(B473="","",ROUND(O473*(1-IF(G473="",0,G473)),2))</f>
        <v>0</v>
      </c>
      <c r="Q473" s="21">
        <f>IF(B473="","",ROUND(N473*CostPerHour+IF(E473="",1,E473)*IFERROR(INDEX(Services!$R$5:$R$64,MATCH(C473,Services!$B$5:$B$64,0)),0),2))</f>
        <v>0</v>
      </c>
      <c r="R473" s="38">
        <f>IF(OR(B473="",P473=0),"",(P473-Q473)/P473)</f>
        <v>0</v>
      </c>
      <c r="S473" s="31">
        <f>IF(OR(B473="",C473=""),"",COUNTIFS($B$5:B473,B473))</f>
        <v>0</v>
      </c>
      <c r="T473" s="23">
        <f>IF(S473="","",B473&amp;"|"&amp;S473)</f>
        <v>0</v>
      </c>
      <c r="U473" s="39">
        <f>IF(B473="","",IF(C473="","Add - pick a service",IF(E473="","Add - how many?",IF(L473=0,"Add - no price",IF(AND(R473&lt;&gt;"",R473&lt;MarginFloor),"Below - thin margin","OK")))))</f>
        <v>0</v>
      </c>
    </row>
    <row r="474" spans="1:21">
      <c r="A474" s="43">
        <f>IF(B474="","","QL-"&amp;TEXT(ROW()-4,"0000"))</f>
        <v>0</v>
      </c>
      <c r="J474" s="21">
        <f>IF(C474="","",IFERROR(INDEX(Services!$P$5:$P$64,MATCH(C474,Services!$B$5:$B$64,0)),"0"))</f>
        <v>0</v>
      </c>
      <c r="K474" s="23">
        <f>IF(C474="","",IFERROR(INDEX(Services!$E$5:$E$64,MATCH(C474,Services!$B$5:$B$64,0)),""))</f>
        <v>0</v>
      </c>
      <c r="L474" s="21">
        <f>IF(B474="","",IF(F474&lt;&gt;"",F474,IFERROR(J474*1,0)))</f>
        <v>0</v>
      </c>
      <c r="M474" s="51">
        <f>IF(B474="","",IF(D474&lt;&gt;"",D474,IFERROR(INDEX(Services!$O$5:$O$64,MATCH(C474,Services!$B$5:$B$64,0)),"")))</f>
        <v>0</v>
      </c>
      <c r="N474" s="34">
        <f>IF(B474="","",IFERROR(INDEX(Services!$G$5:$G$64,MATCH(C474,Services!$B$5:$B$64,0)),0)*IF(E474="",1,IF(IFERROR(INDEX(Services!$D$5:$D$64,MATCH(C474,Services!$B$5:$B$64,0)),"")="Per hour",1,E474)))</f>
        <v>0</v>
      </c>
      <c r="O474" s="21">
        <f>IF(B474="","",ROUND(IF(E474="",1,E474)*L474,2))</f>
        <v>0</v>
      </c>
      <c r="P474" s="21">
        <f>IF(B474="","",ROUND(O474*(1-IF(G474="",0,G474)),2))</f>
        <v>0</v>
      </c>
      <c r="Q474" s="21">
        <f>IF(B474="","",ROUND(N474*CostPerHour+IF(E474="",1,E474)*IFERROR(INDEX(Services!$R$5:$R$64,MATCH(C474,Services!$B$5:$B$64,0)),0),2))</f>
        <v>0</v>
      </c>
      <c r="R474" s="38">
        <f>IF(OR(B474="",P474=0),"",(P474-Q474)/P474)</f>
        <v>0</v>
      </c>
      <c r="S474" s="31">
        <f>IF(OR(B474="",C474=""),"",COUNTIFS($B$5:B474,B474))</f>
        <v>0</v>
      </c>
      <c r="T474" s="23">
        <f>IF(S474="","",B474&amp;"|"&amp;S474)</f>
        <v>0</v>
      </c>
      <c r="U474" s="39">
        <f>IF(B474="","",IF(C474="","Add - pick a service",IF(E474="","Add - how many?",IF(L474=0,"Add - no price",IF(AND(R474&lt;&gt;"",R474&lt;MarginFloor),"Below - thin margin","OK")))))</f>
        <v>0</v>
      </c>
    </row>
    <row r="475" spans="1:21">
      <c r="A475" s="43">
        <f>IF(B475="","","QL-"&amp;TEXT(ROW()-4,"0000"))</f>
        <v>0</v>
      </c>
      <c r="J475" s="21">
        <f>IF(C475="","",IFERROR(INDEX(Services!$P$5:$P$64,MATCH(C475,Services!$B$5:$B$64,0)),"0"))</f>
        <v>0</v>
      </c>
      <c r="K475" s="23">
        <f>IF(C475="","",IFERROR(INDEX(Services!$E$5:$E$64,MATCH(C475,Services!$B$5:$B$64,0)),""))</f>
        <v>0</v>
      </c>
      <c r="L475" s="21">
        <f>IF(B475="","",IF(F475&lt;&gt;"",F475,IFERROR(J475*1,0)))</f>
        <v>0</v>
      </c>
      <c r="M475" s="51">
        <f>IF(B475="","",IF(D475&lt;&gt;"",D475,IFERROR(INDEX(Services!$O$5:$O$64,MATCH(C475,Services!$B$5:$B$64,0)),"")))</f>
        <v>0</v>
      </c>
      <c r="N475" s="34">
        <f>IF(B475="","",IFERROR(INDEX(Services!$G$5:$G$64,MATCH(C475,Services!$B$5:$B$64,0)),0)*IF(E475="",1,IF(IFERROR(INDEX(Services!$D$5:$D$64,MATCH(C475,Services!$B$5:$B$64,0)),"")="Per hour",1,E475)))</f>
        <v>0</v>
      </c>
      <c r="O475" s="21">
        <f>IF(B475="","",ROUND(IF(E475="",1,E475)*L475,2))</f>
        <v>0</v>
      </c>
      <c r="P475" s="21">
        <f>IF(B475="","",ROUND(O475*(1-IF(G475="",0,G475)),2))</f>
        <v>0</v>
      </c>
      <c r="Q475" s="21">
        <f>IF(B475="","",ROUND(N475*CostPerHour+IF(E475="",1,E475)*IFERROR(INDEX(Services!$R$5:$R$64,MATCH(C475,Services!$B$5:$B$64,0)),0),2))</f>
        <v>0</v>
      </c>
      <c r="R475" s="38">
        <f>IF(OR(B475="",P475=0),"",(P475-Q475)/P475)</f>
        <v>0</v>
      </c>
      <c r="S475" s="31">
        <f>IF(OR(B475="",C475=""),"",COUNTIFS($B$5:B475,B475))</f>
        <v>0</v>
      </c>
      <c r="T475" s="23">
        <f>IF(S475="","",B475&amp;"|"&amp;S475)</f>
        <v>0</v>
      </c>
      <c r="U475" s="39">
        <f>IF(B475="","",IF(C475="","Add - pick a service",IF(E475="","Add - how many?",IF(L475=0,"Add - no price",IF(AND(R475&lt;&gt;"",R475&lt;MarginFloor),"Below - thin margin","OK")))))</f>
        <v>0</v>
      </c>
    </row>
    <row r="476" spans="1:21">
      <c r="A476" s="43">
        <f>IF(B476="","","QL-"&amp;TEXT(ROW()-4,"0000"))</f>
        <v>0</v>
      </c>
      <c r="J476" s="21">
        <f>IF(C476="","",IFERROR(INDEX(Services!$P$5:$P$64,MATCH(C476,Services!$B$5:$B$64,0)),"0"))</f>
        <v>0</v>
      </c>
      <c r="K476" s="23">
        <f>IF(C476="","",IFERROR(INDEX(Services!$E$5:$E$64,MATCH(C476,Services!$B$5:$B$64,0)),""))</f>
        <v>0</v>
      </c>
      <c r="L476" s="21">
        <f>IF(B476="","",IF(F476&lt;&gt;"",F476,IFERROR(J476*1,0)))</f>
        <v>0</v>
      </c>
      <c r="M476" s="51">
        <f>IF(B476="","",IF(D476&lt;&gt;"",D476,IFERROR(INDEX(Services!$O$5:$O$64,MATCH(C476,Services!$B$5:$B$64,0)),"")))</f>
        <v>0</v>
      </c>
      <c r="N476" s="34">
        <f>IF(B476="","",IFERROR(INDEX(Services!$G$5:$G$64,MATCH(C476,Services!$B$5:$B$64,0)),0)*IF(E476="",1,IF(IFERROR(INDEX(Services!$D$5:$D$64,MATCH(C476,Services!$B$5:$B$64,0)),"")="Per hour",1,E476)))</f>
        <v>0</v>
      </c>
      <c r="O476" s="21">
        <f>IF(B476="","",ROUND(IF(E476="",1,E476)*L476,2))</f>
        <v>0</v>
      </c>
      <c r="P476" s="21">
        <f>IF(B476="","",ROUND(O476*(1-IF(G476="",0,G476)),2))</f>
        <v>0</v>
      </c>
      <c r="Q476" s="21">
        <f>IF(B476="","",ROUND(N476*CostPerHour+IF(E476="",1,E476)*IFERROR(INDEX(Services!$R$5:$R$64,MATCH(C476,Services!$B$5:$B$64,0)),0),2))</f>
        <v>0</v>
      </c>
      <c r="R476" s="38">
        <f>IF(OR(B476="",P476=0),"",(P476-Q476)/P476)</f>
        <v>0</v>
      </c>
      <c r="S476" s="31">
        <f>IF(OR(B476="",C476=""),"",COUNTIFS($B$5:B476,B476))</f>
        <v>0</v>
      </c>
      <c r="T476" s="23">
        <f>IF(S476="","",B476&amp;"|"&amp;S476)</f>
        <v>0</v>
      </c>
      <c r="U476" s="39">
        <f>IF(B476="","",IF(C476="","Add - pick a service",IF(E476="","Add - how many?",IF(L476=0,"Add - no price",IF(AND(R476&lt;&gt;"",R476&lt;MarginFloor),"Below - thin margin","OK")))))</f>
        <v>0</v>
      </c>
    </row>
    <row r="477" spans="1:21">
      <c r="A477" s="43">
        <f>IF(B477="","","QL-"&amp;TEXT(ROW()-4,"0000"))</f>
        <v>0</v>
      </c>
      <c r="J477" s="21">
        <f>IF(C477="","",IFERROR(INDEX(Services!$P$5:$P$64,MATCH(C477,Services!$B$5:$B$64,0)),"0"))</f>
        <v>0</v>
      </c>
      <c r="K477" s="23">
        <f>IF(C477="","",IFERROR(INDEX(Services!$E$5:$E$64,MATCH(C477,Services!$B$5:$B$64,0)),""))</f>
        <v>0</v>
      </c>
      <c r="L477" s="21">
        <f>IF(B477="","",IF(F477&lt;&gt;"",F477,IFERROR(J477*1,0)))</f>
        <v>0</v>
      </c>
      <c r="M477" s="51">
        <f>IF(B477="","",IF(D477&lt;&gt;"",D477,IFERROR(INDEX(Services!$O$5:$O$64,MATCH(C477,Services!$B$5:$B$64,0)),"")))</f>
        <v>0</v>
      </c>
      <c r="N477" s="34">
        <f>IF(B477="","",IFERROR(INDEX(Services!$G$5:$G$64,MATCH(C477,Services!$B$5:$B$64,0)),0)*IF(E477="",1,IF(IFERROR(INDEX(Services!$D$5:$D$64,MATCH(C477,Services!$B$5:$B$64,0)),"")="Per hour",1,E477)))</f>
        <v>0</v>
      </c>
      <c r="O477" s="21">
        <f>IF(B477="","",ROUND(IF(E477="",1,E477)*L477,2))</f>
        <v>0</v>
      </c>
      <c r="P477" s="21">
        <f>IF(B477="","",ROUND(O477*(1-IF(G477="",0,G477)),2))</f>
        <v>0</v>
      </c>
      <c r="Q477" s="21">
        <f>IF(B477="","",ROUND(N477*CostPerHour+IF(E477="",1,E477)*IFERROR(INDEX(Services!$R$5:$R$64,MATCH(C477,Services!$B$5:$B$64,0)),0),2))</f>
        <v>0</v>
      </c>
      <c r="R477" s="38">
        <f>IF(OR(B477="",P477=0),"",(P477-Q477)/P477)</f>
        <v>0</v>
      </c>
      <c r="S477" s="31">
        <f>IF(OR(B477="",C477=""),"",COUNTIFS($B$5:B477,B477))</f>
        <v>0</v>
      </c>
      <c r="T477" s="23">
        <f>IF(S477="","",B477&amp;"|"&amp;S477)</f>
        <v>0</v>
      </c>
      <c r="U477" s="39">
        <f>IF(B477="","",IF(C477="","Add - pick a service",IF(E477="","Add - how many?",IF(L477=0,"Add - no price",IF(AND(R477&lt;&gt;"",R477&lt;MarginFloor),"Below - thin margin","OK")))))</f>
        <v>0</v>
      </c>
    </row>
    <row r="478" spans="1:21">
      <c r="A478" s="43">
        <f>IF(B478="","","QL-"&amp;TEXT(ROW()-4,"0000"))</f>
        <v>0</v>
      </c>
      <c r="J478" s="21">
        <f>IF(C478="","",IFERROR(INDEX(Services!$P$5:$P$64,MATCH(C478,Services!$B$5:$B$64,0)),"0"))</f>
        <v>0</v>
      </c>
      <c r="K478" s="23">
        <f>IF(C478="","",IFERROR(INDEX(Services!$E$5:$E$64,MATCH(C478,Services!$B$5:$B$64,0)),""))</f>
        <v>0</v>
      </c>
      <c r="L478" s="21">
        <f>IF(B478="","",IF(F478&lt;&gt;"",F478,IFERROR(J478*1,0)))</f>
        <v>0</v>
      </c>
      <c r="M478" s="51">
        <f>IF(B478="","",IF(D478&lt;&gt;"",D478,IFERROR(INDEX(Services!$O$5:$O$64,MATCH(C478,Services!$B$5:$B$64,0)),"")))</f>
        <v>0</v>
      </c>
      <c r="N478" s="34">
        <f>IF(B478="","",IFERROR(INDEX(Services!$G$5:$G$64,MATCH(C478,Services!$B$5:$B$64,0)),0)*IF(E478="",1,IF(IFERROR(INDEX(Services!$D$5:$D$64,MATCH(C478,Services!$B$5:$B$64,0)),"")="Per hour",1,E478)))</f>
        <v>0</v>
      </c>
      <c r="O478" s="21">
        <f>IF(B478="","",ROUND(IF(E478="",1,E478)*L478,2))</f>
        <v>0</v>
      </c>
      <c r="P478" s="21">
        <f>IF(B478="","",ROUND(O478*(1-IF(G478="",0,G478)),2))</f>
        <v>0</v>
      </c>
      <c r="Q478" s="21">
        <f>IF(B478="","",ROUND(N478*CostPerHour+IF(E478="",1,E478)*IFERROR(INDEX(Services!$R$5:$R$64,MATCH(C478,Services!$B$5:$B$64,0)),0),2))</f>
        <v>0</v>
      </c>
      <c r="R478" s="38">
        <f>IF(OR(B478="",P478=0),"",(P478-Q478)/P478)</f>
        <v>0</v>
      </c>
      <c r="S478" s="31">
        <f>IF(OR(B478="",C478=""),"",COUNTIFS($B$5:B478,B478))</f>
        <v>0</v>
      </c>
      <c r="T478" s="23">
        <f>IF(S478="","",B478&amp;"|"&amp;S478)</f>
        <v>0</v>
      </c>
      <c r="U478" s="39">
        <f>IF(B478="","",IF(C478="","Add - pick a service",IF(E478="","Add - how many?",IF(L478=0,"Add - no price",IF(AND(R478&lt;&gt;"",R478&lt;MarginFloor),"Below - thin margin","OK")))))</f>
        <v>0</v>
      </c>
    </row>
    <row r="479" spans="1:21">
      <c r="A479" s="43">
        <f>IF(B479="","","QL-"&amp;TEXT(ROW()-4,"0000"))</f>
        <v>0</v>
      </c>
      <c r="J479" s="21">
        <f>IF(C479="","",IFERROR(INDEX(Services!$P$5:$P$64,MATCH(C479,Services!$B$5:$B$64,0)),"0"))</f>
        <v>0</v>
      </c>
      <c r="K479" s="23">
        <f>IF(C479="","",IFERROR(INDEX(Services!$E$5:$E$64,MATCH(C479,Services!$B$5:$B$64,0)),""))</f>
        <v>0</v>
      </c>
      <c r="L479" s="21">
        <f>IF(B479="","",IF(F479&lt;&gt;"",F479,IFERROR(J479*1,0)))</f>
        <v>0</v>
      </c>
      <c r="M479" s="51">
        <f>IF(B479="","",IF(D479&lt;&gt;"",D479,IFERROR(INDEX(Services!$O$5:$O$64,MATCH(C479,Services!$B$5:$B$64,0)),"")))</f>
        <v>0</v>
      </c>
      <c r="N479" s="34">
        <f>IF(B479="","",IFERROR(INDEX(Services!$G$5:$G$64,MATCH(C479,Services!$B$5:$B$64,0)),0)*IF(E479="",1,IF(IFERROR(INDEX(Services!$D$5:$D$64,MATCH(C479,Services!$B$5:$B$64,0)),"")="Per hour",1,E479)))</f>
        <v>0</v>
      </c>
      <c r="O479" s="21">
        <f>IF(B479="","",ROUND(IF(E479="",1,E479)*L479,2))</f>
        <v>0</v>
      </c>
      <c r="P479" s="21">
        <f>IF(B479="","",ROUND(O479*(1-IF(G479="",0,G479)),2))</f>
        <v>0</v>
      </c>
      <c r="Q479" s="21">
        <f>IF(B479="","",ROUND(N479*CostPerHour+IF(E479="",1,E479)*IFERROR(INDEX(Services!$R$5:$R$64,MATCH(C479,Services!$B$5:$B$64,0)),0),2))</f>
        <v>0</v>
      </c>
      <c r="R479" s="38">
        <f>IF(OR(B479="",P479=0),"",(P479-Q479)/P479)</f>
        <v>0</v>
      </c>
      <c r="S479" s="31">
        <f>IF(OR(B479="",C479=""),"",COUNTIFS($B$5:B479,B479))</f>
        <v>0</v>
      </c>
      <c r="T479" s="23">
        <f>IF(S479="","",B479&amp;"|"&amp;S479)</f>
        <v>0</v>
      </c>
      <c r="U479" s="39">
        <f>IF(B479="","",IF(C479="","Add - pick a service",IF(E479="","Add - how many?",IF(L479=0,"Add - no price",IF(AND(R479&lt;&gt;"",R479&lt;MarginFloor),"Below - thin margin","OK")))))</f>
        <v>0</v>
      </c>
    </row>
    <row r="480" spans="1:21">
      <c r="A480" s="43">
        <f>IF(B480="","","QL-"&amp;TEXT(ROW()-4,"0000"))</f>
        <v>0</v>
      </c>
      <c r="J480" s="21">
        <f>IF(C480="","",IFERROR(INDEX(Services!$P$5:$P$64,MATCH(C480,Services!$B$5:$B$64,0)),"0"))</f>
        <v>0</v>
      </c>
      <c r="K480" s="23">
        <f>IF(C480="","",IFERROR(INDEX(Services!$E$5:$E$64,MATCH(C480,Services!$B$5:$B$64,0)),""))</f>
        <v>0</v>
      </c>
      <c r="L480" s="21">
        <f>IF(B480="","",IF(F480&lt;&gt;"",F480,IFERROR(J480*1,0)))</f>
        <v>0</v>
      </c>
      <c r="M480" s="51">
        <f>IF(B480="","",IF(D480&lt;&gt;"",D480,IFERROR(INDEX(Services!$O$5:$O$64,MATCH(C480,Services!$B$5:$B$64,0)),"")))</f>
        <v>0</v>
      </c>
      <c r="N480" s="34">
        <f>IF(B480="","",IFERROR(INDEX(Services!$G$5:$G$64,MATCH(C480,Services!$B$5:$B$64,0)),0)*IF(E480="",1,IF(IFERROR(INDEX(Services!$D$5:$D$64,MATCH(C480,Services!$B$5:$B$64,0)),"")="Per hour",1,E480)))</f>
        <v>0</v>
      </c>
      <c r="O480" s="21">
        <f>IF(B480="","",ROUND(IF(E480="",1,E480)*L480,2))</f>
        <v>0</v>
      </c>
      <c r="P480" s="21">
        <f>IF(B480="","",ROUND(O480*(1-IF(G480="",0,G480)),2))</f>
        <v>0</v>
      </c>
      <c r="Q480" s="21">
        <f>IF(B480="","",ROUND(N480*CostPerHour+IF(E480="",1,E480)*IFERROR(INDEX(Services!$R$5:$R$64,MATCH(C480,Services!$B$5:$B$64,0)),0),2))</f>
        <v>0</v>
      </c>
      <c r="R480" s="38">
        <f>IF(OR(B480="",P480=0),"",(P480-Q480)/P480)</f>
        <v>0</v>
      </c>
      <c r="S480" s="31">
        <f>IF(OR(B480="",C480=""),"",COUNTIFS($B$5:B480,B480))</f>
        <v>0</v>
      </c>
      <c r="T480" s="23">
        <f>IF(S480="","",B480&amp;"|"&amp;S480)</f>
        <v>0</v>
      </c>
      <c r="U480" s="39">
        <f>IF(B480="","",IF(C480="","Add - pick a service",IF(E480="","Add - how many?",IF(L480=0,"Add - no price",IF(AND(R480&lt;&gt;"",R480&lt;MarginFloor),"Below - thin margin","OK")))))</f>
        <v>0</v>
      </c>
    </row>
    <row r="481" spans="1:21">
      <c r="A481" s="43">
        <f>IF(B481="","","QL-"&amp;TEXT(ROW()-4,"0000"))</f>
        <v>0</v>
      </c>
      <c r="J481" s="21">
        <f>IF(C481="","",IFERROR(INDEX(Services!$P$5:$P$64,MATCH(C481,Services!$B$5:$B$64,0)),"0"))</f>
        <v>0</v>
      </c>
      <c r="K481" s="23">
        <f>IF(C481="","",IFERROR(INDEX(Services!$E$5:$E$64,MATCH(C481,Services!$B$5:$B$64,0)),""))</f>
        <v>0</v>
      </c>
      <c r="L481" s="21">
        <f>IF(B481="","",IF(F481&lt;&gt;"",F481,IFERROR(J481*1,0)))</f>
        <v>0</v>
      </c>
      <c r="M481" s="51">
        <f>IF(B481="","",IF(D481&lt;&gt;"",D481,IFERROR(INDEX(Services!$O$5:$O$64,MATCH(C481,Services!$B$5:$B$64,0)),"")))</f>
        <v>0</v>
      </c>
      <c r="N481" s="34">
        <f>IF(B481="","",IFERROR(INDEX(Services!$G$5:$G$64,MATCH(C481,Services!$B$5:$B$64,0)),0)*IF(E481="",1,IF(IFERROR(INDEX(Services!$D$5:$D$64,MATCH(C481,Services!$B$5:$B$64,0)),"")="Per hour",1,E481)))</f>
        <v>0</v>
      </c>
      <c r="O481" s="21">
        <f>IF(B481="","",ROUND(IF(E481="",1,E481)*L481,2))</f>
        <v>0</v>
      </c>
      <c r="P481" s="21">
        <f>IF(B481="","",ROUND(O481*(1-IF(G481="",0,G481)),2))</f>
        <v>0</v>
      </c>
      <c r="Q481" s="21">
        <f>IF(B481="","",ROUND(N481*CostPerHour+IF(E481="",1,E481)*IFERROR(INDEX(Services!$R$5:$R$64,MATCH(C481,Services!$B$5:$B$64,0)),0),2))</f>
        <v>0</v>
      </c>
      <c r="R481" s="38">
        <f>IF(OR(B481="",P481=0),"",(P481-Q481)/P481)</f>
        <v>0</v>
      </c>
      <c r="S481" s="31">
        <f>IF(OR(B481="",C481=""),"",COUNTIFS($B$5:B481,B481))</f>
        <v>0</v>
      </c>
      <c r="T481" s="23">
        <f>IF(S481="","",B481&amp;"|"&amp;S481)</f>
        <v>0</v>
      </c>
      <c r="U481" s="39">
        <f>IF(B481="","",IF(C481="","Add - pick a service",IF(E481="","Add - how many?",IF(L481=0,"Add - no price",IF(AND(R481&lt;&gt;"",R481&lt;MarginFloor),"Below - thin margin","OK")))))</f>
        <v>0</v>
      </c>
    </row>
    <row r="482" spans="1:21">
      <c r="A482" s="43">
        <f>IF(B482="","","QL-"&amp;TEXT(ROW()-4,"0000"))</f>
        <v>0</v>
      </c>
      <c r="J482" s="21">
        <f>IF(C482="","",IFERROR(INDEX(Services!$P$5:$P$64,MATCH(C482,Services!$B$5:$B$64,0)),"0"))</f>
        <v>0</v>
      </c>
      <c r="K482" s="23">
        <f>IF(C482="","",IFERROR(INDEX(Services!$E$5:$E$64,MATCH(C482,Services!$B$5:$B$64,0)),""))</f>
        <v>0</v>
      </c>
      <c r="L482" s="21">
        <f>IF(B482="","",IF(F482&lt;&gt;"",F482,IFERROR(J482*1,0)))</f>
        <v>0</v>
      </c>
      <c r="M482" s="51">
        <f>IF(B482="","",IF(D482&lt;&gt;"",D482,IFERROR(INDEX(Services!$O$5:$O$64,MATCH(C482,Services!$B$5:$B$64,0)),"")))</f>
        <v>0</v>
      </c>
      <c r="N482" s="34">
        <f>IF(B482="","",IFERROR(INDEX(Services!$G$5:$G$64,MATCH(C482,Services!$B$5:$B$64,0)),0)*IF(E482="",1,IF(IFERROR(INDEX(Services!$D$5:$D$64,MATCH(C482,Services!$B$5:$B$64,0)),"")="Per hour",1,E482)))</f>
        <v>0</v>
      </c>
      <c r="O482" s="21">
        <f>IF(B482="","",ROUND(IF(E482="",1,E482)*L482,2))</f>
        <v>0</v>
      </c>
      <c r="P482" s="21">
        <f>IF(B482="","",ROUND(O482*(1-IF(G482="",0,G482)),2))</f>
        <v>0</v>
      </c>
      <c r="Q482" s="21">
        <f>IF(B482="","",ROUND(N482*CostPerHour+IF(E482="",1,E482)*IFERROR(INDEX(Services!$R$5:$R$64,MATCH(C482,Services!$B$5:$B$64,0)),0),2))</f>
        <v>0</v>
      </c>
      <c r="R482" s="38">
        <f>IF(OR(B482="",P482=0),"",(P482-Q482)/P482)</f>
        <v>0</v>
      </c>
      <c r="S482" s="31">
        <f>IF(OR(B482="",C482=""),"",COUNTIFS($B$5:B482,B482))</f>
        <v>0</v>
      </c>
      <c r="T482" s="23">
        <f>IF(S482="","",B482&amp;"|"&amp;S482)</f>
        <v>0</v>
      </c>
      <c r="U482" s="39">
        <f>IF(B482="","",IF(C482="","Add - pick a service",IF(E482="","Add - how many?",IF(L482=0,"Add - no price",IF(AND(R482&lt;&gt;"",R482&lt;MarginFloor),"Below - thin margin","OK")))))</f>
        <v>0</v>
      </c>
    </row>
    <row r="483" spans="1:21">
      <c r="A483" s="43">
        <f>IF(B483="","","QL-"&amp;TEXT(ROW()-4,"0000"))</f>
        <v>0</v>
      </c>
      <c r="J483" s="21">
        <f>IF(C483="","",IFERROR(INDEX(Services!$P$5:$P$64,MATCH(C483,Services!$B$5:$B$64,0)),"0"))</f>
        <v>0</v>
      </c>
      <c r="K483" s="23">
        <f>IF(C483="","",IFERROR(INDEX(Services!$E$5:$E$64,MATCH(C483,Services!$B$5:$B$64,0)),""))</f>
        <v>0</v>
      </c>
      <c r="L483" s="21">
        <f>IF(B483="","",IF(F483&lt;&gt;"",F483,IFERROR(J483*1,0)))</f>
        <v>0</v>
      </c>
      <c r="M483" s="51">
        <f>IF(B483="","",IF(D483&lt;&gt;"",D483,IFERROR(INDEX(Services!$O$5:$O$64,MATCH(C483,Services!$B$5:$B$64,0)),"")))</f>
        <v>0</v>
      </c>
      <c r="N483" s="34">
        <f>IF(B483="","",IFERROR(INDEX(Services!$G$5:$G$64,MATCH(C483,Services!$B$5:$B$64,0)),0)*IF(E483="",1,IF(IFERROR(INDEX(Services!$D$5:$D$64,MATCH(C483,Services!$B$5:$B$64,0)),"")="Per hour",1,E483)))</f>
        <v>0</v>
      </c>
      <c r="O483" s="21">
        <f>IF(B483="","",ROUND(IF(E483="",1,E483)*L483,2))</f>
        <v>0</v>
      </c>
      <c r="P483" s="21">
        <f>IF(B483="","",ROUND(O483*(1-IF(G483="",0,G483)),2))</f>
        <v>0</v>
      </c>
      <c r="Q483" s="21">
        <f>IF(B483="","",ROUND(N483*CostPerHour+IF(E483="",1,E483)*IFERROR(INDEX(Services!$R$5:$R$64,MATCH(C483,Services!$B$5:$B$64,0)),0),2))</f>
        <v>0</v>
      </c>
      <c r="R483" s="38">
        <f>IF(OR(B483="",P483=0),"",(P483-Q483)/P483)</f>
        <v>0</v>
      </c>
      <c r="S483" s="31">
        <f>IF(OR(B483="",C483=""),"",COUNTIFS($B$5:B483,B483))</f>
        <v>0</v>
      </c>
      <c r="T483" s="23">
        <f>IF(S483="","",B483&amp;"|"&amp;S483)</f>
        <v>0</v>
      </c>
      <c r="U483" s="39">
        <f>IF(B483="","",IF(C483="","Add - pick a service",IF(E483="","Add - how many?",IF(L483=0,"Add - no price",IF(AND(R483&lt;&gt;"",R483&lt;MarginFloor),"Below - thin margin","OK")))))</f>
        <v>0</v>
      </c>
    </row>
    <row r="484" spans="1:21">
      <c r="A484" s="43">
        <f>IF(B484="","","QL-"&amp;TEXT(ROW()-4,"0000"))</f>
        <v>0</v>
      </c>
      <c r="J484" s="21">
        <f>IF(C484="","",IFERROR(INDEX(Services!$P$5:$P$64,MATCH(C484,Services!$B$5:$B$64,0)),"0"))</f>
        <v>0</v>
      </c>
      <c r="K484" s="23">
        <f>IF(C484="","",IFERROR(INDEX(Services!$E$5:$E$64,MATCH(C484,Services!$B$5:$B$64,0)),""))</f>
        <v>0</v>
      </c>
      <c r="L484" s="21">
        <f>IF(B484="","",IF(F484&lt;&gt;"",F484,IFERROR(J484*1,0)))</f>
        <v>0</v>
      </c>
      <c r="M484" s="51">
        <f>IF(B484="","",IF(D484&lt;&gt;"",D484,IFERROR(INDEX(Services!$O$5:$O$64,MATCH(C484,Services!$B$5:$B$64,0)),"")))</f>
        <v>0</v>
      </c>
      <c r="N484" s="34">
        <f>IF(B484="","",IFERROR(INDEX(Services!$G$5:$G$64,MATCH(C484,Services!$B$5:$B$64,0)),0)*IF(E484="",1,IF(IFERROR(INDEX(Services!$D$5:$D$64,MATCH(C484,Services!$B$5:$B$64,0)),"")="Per hour",1,E484)))</f>
        <v>0</v>
      </c>
      <c r="O484" s="21">
        <f>IF(B484="","",ROUND(IF(E484="",1,E484)*L484,2))</f>
        <v>0</v>
      </c>
      <c r="P484" s="21">
        <f>IF(B484="","",ROUND(O484*(1-IF(G484="",0,G484)),2))</f>
        <v>0</v>
      </c>
      <c r="Q484" s="21">
        <f>IF(B484="","",ROUND(N484*CostPerHour+IF(E484="",1,E484)*IFERROR(INDEX(Services!$R$5:$R$64,MATCH(C484,Services!$B$5:$B$64,0)),0),2))</f>
        <v>0</v>
      </c>
      <c r="R484" s="38">
        <f>IF(OR(B484="",P484=0),"",(P484-Q484)/P484)</f>
        <v>0</v>
      </c>
      <c r="S484" s="31">
        <f>IF(OR(B484="",C484=""),"",COUNTIFS($B$5:B484,B484))</f>
        <v>0</v>
      </c>
      <c r="T484" s="23">
        <f>IF(S484="","",B484&amp;"|"&amp;S484)</f>
        <v>0</v>
      </c>
      <c r="U484" s="39">
        <f>IF(B484="","",IF(C484="","Add - pick a service",IF(E484="","Add - how many?",IF(L484=0,"Add - no price",IF(AND(R484&lt;&gt;"",R484&lt;MarginFloor),"Below - thin margin","OK")))))</f>
        <v>0</v>
      </c>
    </row>
    <row r="485" spans="1:21">
      <c r="A485" s="43">
        <f>IF(B485="","","QL-"&amp;TEXT(ROW()-4,"0000"))</f>
        <v>0</v>
      </c>
      <c r="J485" s="21">
        <f>IF(C485="","",IFERROR(INDEX(Services!$P$5:$P$64,MATCH(C485,Services!$B$5:$B$64,0)),"0"))</f>
        <v>0</v>
      </c>
      <c r="K485" s="23">
        <f>IF(C485="","",IFERROR(INDEX(Services!$E$5:$E$64,MATCH(C485,Services!$B$5:$B$64,0)),""))</f>
        <v>0</v>
      </c>
      <c r="L485" s="21">
        <f>IF(B485="","",IF(F485&lt;&gt;"",F485,IFERROR(J485*1,0)))</f>
        <v>0</v>
      </c>
      <c r="M485" s="51">
        <f>IF(B485="","",IF(D485&lt;&gt;"",D485,IFERROR(INDEX(Services!$O$5:$O$64,MATCH(C485,Services!$B$5:$B$64,0)),"")))</f>
        <v>0</v>
      </c>
      <c r="N485" s="34">
        <f>IF(B485="","",IFERROR(INDEX(Services!$G$5:$G$64,MATCH(C485,Services!$B$5:$B$64,0)),0)*IF(E485="",1,IF(IFERROR(INDEX(Services!$D$5:$D$64,MATCH(C485,Services!$B$5:$B$64,0)),"")="Per hour",1,E485)))</f>
        <v>0</v>
      </c>
      <c r="O485" s="21">
        <f>IF(B485="","",ROUND(IF(E485="",1,E485)*L485,2))</f>
        <v>0</v>
      </c>
      <c r="P485" s="21">
        <f>IF(B485="","",ROUND(O485*(1-IF(G485="",0,G485)),2))</f>
        <v>0</v>
      </c>
      <c r="Q485" s="21">
        <f>IF(B485="","",ROUND(N485*CostPerHour+IF(E485="",1,E485)*IFERROR(INDEX(Services!$R$5:$R$64,MATCH(C485,Services!$B$5:$B$64,0)),0),2))</f>
        <v>0</v>
      </c>
      <c r="R485" s="38">
        <f>IF(OR(B485="",P485=0),"",(P485-Q485)/P485)</f>
        <v>0</v>
      </c>
      <c r="S485" s="31">
        <f>IF(OR(B485="",C485=""),"",COUNTIFS($B$5:B485,B485))</f>
        <v>0</v>
      </c>
      <c r="T485" s="23">
        <f>IF(S485="","",B485&amp;"|"&amp;S485)</f>
        <v>0</v>
      </c>
      <c r="U485" s="39">
        <f>IF(B485="","",IF(C485="","Add - pick a service",IF(E485="","Add - how many?",IF(L485=0,"Add - no price",IF(AND(R485&lt;&gt;"",R485&lt;MarginFloor),"Below - thin margin","OK")))))</f>
        <v>0</v>
      </c>
    </row>
    <row r="486" spans="1:21">
      <c r="A486" s="43">
        <f>IF(B486="","","QL-"&amp;TEXT(ROW()-4,"0000"))</f>
        <v>0</v>
      </c>
      <c r="J486" s="21">
        <f>IF(C486="","",IFERROR(INDEX(Services!$P$5:$P$64,MATCH(C486,Services!$B$5:$B$64,0)),"0"))</f>
        <v>0</v>
      </c>
      <c r="K486" s="23">
        <f>IF(C486="","",IFERROR(INDEX(Services!$E$5:$E$64,MATCH(C486,Services!$B$5:$B$64,0)),""))</f>
        <v>0</v>
      </c>
      <c r="L486" s="21">
        <f>IF(B486="","",IF(F486&lt;&gt;"",F486,IFERROR(J486*1,0)))</f>
        <v>0</v>
      </c>
      <c r="M486" s="51">
        <f>IF(B486="","",IF(D486&lt;&gt;"",D486,IFERROR(INDEX(Services!$O$5:$O$64,MATCH(C486,Services!$B$5:$B$64,0)),"")))</f>
        <v>0</v>
      </c>
      <c r="N486" s="34">
        <f>IF(B486="","",IFERROR(INDEX(Services!$G$5:$G$64,MATCH(C486,Services!$B$5:$B$64,0)),0)*IF(E486="",1,IF(IFERROR(INDEX(Services!$D$5:$D$64,MATCH(C486,Services!$B$5:$B$64,0)),"")="Per hour",1,E486)))</f>
        <v>0</v>
      </c>
      <c r="O486" s="21">
        <f>IF(B486="","",ROUND(IF(E486="",1,E486)*L486,2))</f>
        <v>0</v>
      </c>
      <c r="P486" s="21">
        <f>IF(B486="","",ROUND(O486*(1-IF(G486="",0,G486)),2))</f>
        <v>0</v>
      </c>
      <c r="Q486" s="21">
        <f>IF(B486="","",ROUND(N486*CostPerHour+IF(E486="",1,E486)*IFERROR(INDEX(Services!$R$5:$R$64,MATCH(C486,Services!$B$5:$B$64,0)),0),2))</f>
        <v>0</v>
      </c>
      <c r="R486" s="38">
        <f>IF(OR(B486="",P486=0),"",(P486-Q486)/P486)</f>
        <v>0</v>
      </c>
      <c r="S486" s="31">
        <f>IF(OR(B486="",C486=""),"",COUNTIFS($B$5:B486,B486))</f>
        <v>0</v>
      </c>
      <c r="T486" s="23">
        <f>IF(S486="","",B486&amp;"|"&amp;S486)</f>
        <v>0</v>
      </c>
      <c r="U486" s="39">
        <f>IF(B486="","",IF(C486="","Add - pick a service",IF(E486="","Add - how many?",IF(L486=0,"Add - no price",IF(AND(R486&lt;&gt;"",R486&lt;MarginFloor),"Below - thin margin","OK")))))</f>
        <v>0</v>
      </c>
    </row>
    <row r="487" spans="1:21">
      <c r="A487" s="43">
        <f>IF(B487="","","QL-"&amp;TEXT(ROW()-4,"0000"))</f>
        <v>0</v>
      </c>
      <c r="J487" s="21">
        <f>IF(C487="","",IFERROR(INDEX(Services!$P$5:$P$64,MATCH(C487,Services!$B$5:$B$64,0)),"0"))</f>
        <v>0</v>
      </c>
      <c r="K487" s="23">
        <f>IF(C487="","",IFERROR(INDEX(Services!$E$5:$E$64,MATCH(C487,Services!$B$5:$B$64,0)),""))</f>
        <v>0</v>
      </c>
      <c r="L487" s="21">
        <f>IF(B487="","",IF(F487&lt;&gt;"",F487,IFERROR(J487*1,0)))</f>
        <v>0</v>
      </c>
      <c r="M487" s="51">
        <f>IF(B487="","",IF(D487&lt;&gt;"",D487,IFERROR(INDEX(Services!$O$5:$O$64,MATCH(C487,Services!$B$5:$B$64,0)),"")))</f>
        <v>0</v>
      </c>
      <c r="N487" s="34">
        <f>IF(B487="","",IFERROR(INDEX(Services!$G$5:$G$64,MATCH(C487,Services!$B$5:$B$64,0)),0)*IF(E487="",1,IF(IFERROR(INDEX(Services!$D$5:$D$64,MATCH(C487,Services!$B$5:$B$64,0)),"")="Per hour",1,E487)))</f>
        <v>0</v>
      </c>
      <c r="O487" s="21">
        <f>IF(B487="","",ROUND(IF(E487="",1,E487)*L487,2))</f>
        <v>0</v>
      </c>
      <c r="P487" s="21">
        <f>IF(B487="","",ROUND(O487*(1-IF(G487="",0,G487)),2))</f>
        <v>0</v>
      </c>
      <c r="Q487" s="21">
        <f>IF(B487="","",ROUND(N487*CostPerHour+IF(E487="",1,E487)*IFERROR(INDEX(Services!$R$5:$R$64,MATCH(C487,Services!$B$5:$B$64,0)),0),2))</f>
        <v>0</v>
      </c>
      <c r="R487" s="38">
        <f>IF(OR(B487="",P487=0),"",(P487-Q487)/P487)</f>
        <v>0</v>
      </c>
      <c r="S487" s="31">
        <f>IF(OR(B487="",C487=""),"",COUNTIFS($B$5:B487,B487))</f>
        <v>0</v>
      </c>
      <c r="T487" s="23">
        <f>IF(S487="","",B487&amp;"|"&amp;S487)</f>
        <v>0</v>
      </c>
      <c r="U487" s="39">
        <f>IF(B487="","",IF(C487="","Add - pick a service",IF(E487="","Add - how many?",IF(L487=0,"Add - no price",IF(AND(R487&lt;&gt;"",R487&lt;MarginFloor),"Below - thin margin","OK")))))</f>
        <v>0</v>
      </c>
    </row>
    <row r="488" spans="1:21">
      <c r="A488" s="43">
        <f>IF(B488="","","QL-"&amp;TEXT(ROW()-4,"0000"))</f>
        <v>0</v>
      </c>
      <c r="J488" s="21">
        <f>IF(C488="","",IFERROR(INDEX(Services!$P$5:$P$64,MATCH(C488,Services!$B$5:$B$64,0)),"0"))</f>
        <v>0</v>
      </c>
      <c r="K488" s="23">
        <f>IF(C488="","",IFERROR(INDEX(Services!$E$5:$E$64,MATCH(C488,Services!$B$5:$B$64,0)),""))</f>
        <v>0</v>
      </c>
      <c r="L488" s="21">
        <f>IF(B488="","",IF(F488&lt;&gt;"",F488,IFERROR(J488*1,0)))</f>
        <v>0</v>
      </c>
      <c r="M488" s="51">
        <f>IF(B488="","",IF(D488&lt;&gt;"",D488,IFERROR(INDEX(Services!$O$5:$O$64,MATCH(C488,Services!$B$5:$B$64,0)),"")))</f>
        <v>0</v>
      </c>
      <c r="N488" s="34">
        <f>IF(B488="","",IFERROR(INDEX(Services!$G$5:$G$64,MATCH(C488,Services!$B$5:$B$64,0)),0)*IF(E488="",1,IF(IFERROR(INDEX(Services!$D$5:$D$64,MATCH(C488,Services!$B$5:$B$64,0)),"")="Per hour",1,E488)))</f>
        <v>0</v>
      </c>
      <c r="O488" s="21">
        <f>IF(B488="","",ROUND(IF(E488="",1,E488)*L488,2))</f>
        <v>0</v>
      </c>
      <c r="P488" s="21">
        <f>IF(B488="","",ROUND(O488*(1-IF(G488="",0,G488)),2))</f>
        <v>0</v>
      </c>
      <c r="Q488" s="21">
        <f>IF(B488="","",ROUND(N488*CostPerHour+IF(E488="",1,E488)*IFERROR(INDEX(Services!$R$5:$R$64,MATCH(C488,Services!$B$5:$B$64,0)),0),2))</f>
        <v>0</v>
      </c>
      <c r="R488" s="38">
        <f>IF(OR(B488="",P488=0),"",(P488-Q488)/P488)</f>
        <v>0</v>
      </c>
      <c r="S488" s="31">
        <f>IF(OR(B488="",C488=""),"",COUNTIFS($B$5:B488,B488))</f>
        <v>0</v>
      </c>
      <c r="T488" s="23">
        <f>IF(S488="","",B488&amp;"|"&amp;S488)</f>
        <v>0</v>
      </c>
      <c r="U488" s="39">
        <f>IF(B488="","",IF(C488="","Add - pick a service",IF(E488="","Add - how many?",IF(L488=0,"Add - no price",IF(AND(R488&lt;&gt;"",R488&lt;MarginFloor),"Below - thin margin","OK")))))</f>
        <v>0</v>
      </c>
    </row>
    <row r="489" spans="1:21">
      <c r="A489" s="43">
        <f>IF(B489="","","QL-"&amp;TEXT(ROW()-4,"0000"))</f>
        <v>0</v>
      </c>
      <c r="J489" s="21">
        <f>IF(C489="","",IFERROR(INDEX(Services!$P$5:$P$64,MATCH(C489,Services!$B$5:$B$64,0)),"0"))</f>
        <v>0</v>
      </c>
      <c r="K489" s="23">
        <f>IF(C489="","",IFERROR(INDEX(Services!$E$5:$E$64,MATCH(C489,Services!$B$5:$B$64,0)),""))</f>
        <v>0</v>
      </c>
      <c r="L489" s="21">
        <f>IF(B489="","",IF(F489&lt;&gt;"",F489,IFERROR(J489*1,0)))</f>
        <v>0</v>
      </c>
      <c r="M489" s="51">
        <f>IF(B489="","",IF(D489&lt;&gt;"",D489,IFERROR(INDEX(Services!$O$5:$O$64,MATCH(C489,Services!$B$5:$B$64,0)),"")))</f>
        <v>0</v>
      </c>
      <c r="N489" s="34">
        <f>IF(B489="","",IFERROR(INDEX(Services!$G$5:$G$64,MATCH(C489,Services!$B$5:$B$64,0)),0)*IF(E489="",1,IF(IFERROR(INDEX(Services!$D$5:$D$64,MATCH(C489,Services!$B$5:$B$64,0)),"")="Per hour",1,E489)))</f>
        <v>0</v>
      </c>
      <c r="O489" s="21">
        <f>IF(B489="","",ROUND(IF(E489="",1,E489)*L489,2))</f>
        <v>0</v>
      </c>
      <c r="P489" s="21">
        <f>IF(B489="","",ROUND(O489*(1-IF(G489="",0,G489)),2))</f>
        <v>0</v>
      </c>
      <c r="Q489" s="21">
        <f>IF(B489="","",ROUND(N489*CostPerHour+IF(E489="",1,E489)*IFERROR(INDEX(Services!$R$5:$R$64,MATCH(C489,Services!$B$5:$B$64,0)),0),2))</f>
        <v>0</v>
      </c>
      <c r="R489" s="38">
        <f>IF(OR(B489="",P489=0),"",(P489-Q489)/P489)</f>
        <v>0</v>
      </c>
      <c r="S489" s="31">
        <f>IF(OR(B489="",C489=""),"",COUNTIFS($B$5:B489,B489))</f>
        <v>0</v>
      </c>
      <c r="T489" s="23">
        <f>IF(S489="","",B489&amp;"|"&amp;S489)</f>
        <v>0</v>
      </c>
      <c r="U489" s="39">
        <f>IF(B489="","",IF(C489="","Add - pick a service",IF(E489="","Add - how many?",IF(L489=0,"Add - no price",IF(AND(R489&lt;&gt;"",R489&lt;MarginFloor),"Below - thin margin","OK")))))</f>
        <v>0</v>
      </c>
    </row>
    <row r="490" spans="1:21">
      <c r="A490" s="43">
        <f>IF(B490="","","QL-"&amp;TEXT(ROW()-4,"0000"))</f>
        <v>0</v>
      </c>
      <c r="J490" s="21">
        <f>IF(C490="","",IFERROR(INDEX(Services!$P$5:$P$64,MATCH(C490,Services!$B$5:$B$64,0)),"0"))</f>
        <v>0</v>
      </c>
      <c r="K490" s="23">
        <f>IF(C490="","",IFERROR(INDEX(Services!$E$5:$E$64,MATCH(C490,Services!$B$5:$B$64,0)),""))</f>
        <v>0</v>
      </c>
      <c r="L490" s="21">
        <f>IF(B490="","",IF(F490&lt;&gt;"",F490,IFERROR(J490*1,0)))</f>
        <v>0</v>
      </c>
      <c r="M490" s="51">
        <f>IF(B490="","",IF(D490&lt;&gt;"",D490,IFERROR(INDEX(Services!$O$5:$O$64,MATCH(C490,Services!$B$5:$B$64,0)),"")))</f>
        <v>0</v>
      </c>
      <c r="N490" s="34">
        <f>IF(B490="","",IFERROR(INDEX(Services!$G$5:$G$64,MATCH(C490,Services!$B$5:$B$64,0)),0)*IF(E490="",1,IF(IFERROR(INDEX(Services!$D$5:$D$64,MATCH(C490,Services!$B$5:$B$64,0)),"")="Per hour",1,E490)))</f>
        <v>0</v>
      </c>
      <c r="O490" s="21">
        <f>IF(B490="","",ROUND(IF(E490="",1,E490)*L490,2))</f>
        <v>0</v>
      </c>
      <c r="P490" s="21">
        <f>IF(B490="","",ROUND(O490*(1-IF(G490="",0,G490)),2))</f>
        <v>0</v>
      </c>
      <c r="Q490" s="21">
        <f>IF(B490="","",ROUND(N490*CostPerHour+IF(E490="",1,E490)*IFERROR(INDEX(Services!$R$5:$R$64,MATCH(C490,Services!$B$5:$B$64,0)),0),2))</f>
        <v>0</v>
      </c>
      <c r="R490" s="38">
        <f>IF(OR(B490="",P490=0),"",(P490-Q490)/P490)</f>
        <v>0</v>
      </c>
      <c r="S490" s="31">
        <f>IF(OR(B490="",C490=""),"",COUNTIFS($B$5:B490,B490))</f>
        <v>0</v>
      </c>
      <c r="T490" s="23">
        <f>IF(S490="","",B490&amp;"|"&amp;S490)</f>
        <v>0</v>
      </c>
      <c r="U490" s="39">
        <f>IF(B490="","",IF(C490="","Add - pick a service",IF(E490="","Add - how many?",IF(L490=0,"Add - no price",IF(AND(R490&lt;&gt;"",R490&lt;MarginFloor),"Below - thin margin","OK")))))</f>
        <v>0</v>
      </c>
    </row>
    <row r="491" spans="1:21">
      <c r="A491" s="43">
        <f>IF(B491="","","QL-"&amp;TEXT(ROW()-4,"0000"))</f>
        <v>0</v>
      </c>
      <c r="J491" s="21">
        <f>IF(C491="","",IFERROR(INDEX(Services!$P$5:$P$64,MATCH(C491,Services!$B$5:$B$64,0)),"0"))</f>
        <v>0</v>
      </c>
      <c r="K491" s="23">
        <f>IF(C491="","",IFERROR(INDEX(Services!$E$5:$E$64,MATCH(C491,Services!$B$5:$B$64,0)),""))</f>
        <v>0</v>
      </c>
      <c r="L491" s="21">
        <f>IF(B491="","",IF(F491&lt;&gt;"",F491,IFERROR(J491*1,0)))</f>
        <v>0</v>
      </c>
      <c r="M491" s="51">
        <f>IF(B491="","",IF(D491&lt;&gt;"",D491,IFERROR(INDEX(Services!$O$5:$O$64,MATCH(C491,Services!$B$5:$B$64,0)),"")))</f>
        <v>0</v>
      </c>
      <c r="N491" s="34">
        <f>IF(B491="","",IFERROR(INDEX(Services!$G$5:$G$64,MATCH(C491,Services!$B$5:$B$64,0)),0)*IF(E491="",1,IF(IFERROR(INDEX(Services!$D$5:$D$64,MATCH(C491,Services!$B$5:$B$64,0)),"")="Per hour",1,E491)))</f>
        <v>0</v>
      </c>
      <c r="O491" s="21">
        <f>IF(B491="","",ROUND(IF(E491="",1,E491)*L491,2))</f>
        <v>0</v>
      </c>
      <c r="P491" s="21">
        <f>IF(B491="","",ROUND(O491*(1-IF(G491="",0,G491)),2))</f>
        <v>0</v>
      </c>
      <c r="Q491" s="21">
        <f>IF(B491="","",ROUND(N491*CostPerHour+IF(E491="",1,E491)*IFERROR(INDEX(Services!$R$5:$R$64,MATCH(C491,Services!$B$5:$B$64,0)),0),2))</f>
        <v>0</v>
      </c>
      <c r="R491" s="38">
        <f>IF(OR(B491="",P491=0),"",(P491-Q491)/P491)</f>
        <v>0</v>
      </c>
      <c r="S491" s="31">
        <f>IF(OR(B491="",C491=""),"",COUNTIFS($B$5:B491,B491))</f>
        <v>0</v>
      </c>
      <c r="T491" s="23">
        <f>IF(S491="","",B491&amp;"|"&amp;S491)</f>
        <v>0</v>
      </c>
      <c r="U491" s="39">
        <f>IF(B491="","",IF(C491="","Add - pick a service",IF(E491="","Add - how many?",IF(L491=0,"Add - no price",IF(AND(R491&lt;&gt;"",R491&lt;MarginFloor),"Below - thin margin","OK")))))</f>
        <v>0</v>
      </c>
    </row>
    <row r="492" spans="1:21">
      <c r="A492" s="43">
        <f>IF(B492="","","QL-"&amp;TEXT(ROW()-4,"0000"))</f>
        <v>0</v>
      </c>
      <c r="J492" s="21">
        <f>IF(C492="","",IFERROR(INDEX(Services!$P$5:$P$64,MATCH(C492,Services!$B$5:$B$64,0)),"0"))</f>
        <v>0</v>
      </c>
      <c r="K492" s="23">
        <f>IF(C492="","",IFERROR(INDEX(Services!$E$5:$E$64,MATCH(C492,Services!$B$5:$B$64,0)),""))</f>
        <v>0</v>
      </c>
      <c r="L492" s="21">
        <f>IF(B492="","",IF(F492&lt;&gt;"",F492,IFERROR(J492*1,0)))</f>
        <v>0</v>
      </c>
      <c r="M492" s="51">
        <f>IF(B492="","",IF(D492&lt;&gt;"",D492,IFERROR(INDEX(Services!$O$5:$O$64,MATCH(C492,Services!$B$5:$B$64,0)),"")))</f>
        <v>0</v>
      </c>
      <c r="N492" s="34">
        <f>IF(B492="","",IFERROR(INDEX(Services!$G$5:$G$64,MATCH(C492,Services!$B$5:$B$64,0)),0)*IF(E492="",1,IF(IFERROR(INDEX(Services!$D$5:$D$64,MATCH(C492,Services!$B$5:$B$64,0)),"")="Per hour",1,E492)))</f>
        <v>0</v>
      </c>
      <c r="O492" s="21">
        <f>IF(B492="","",ROUND(IF(E492="",1,E492)*L492,2))</f>
        <v>0</v>
      </c>
      <c r="P492" s="21">
        <f>IF(B492="","",ROUND(O492*(1-IF(G492="",0,G492)),2))</f>
        <v>0</v>
      </c>
      <c r="Q492" s="21">
        <f>IF(B492="","",ROUND(N492*CostPerHour+IF(E492="",1,E492)*IFERROR(INDEX(Services!$R$5:$R$64,MATCH(C492,Services!$B$5:$B$64,0)),0),2))</f>
        <v>0</v>
      </c>
      <c r="R492" s="38">
        <f>IF(OR(B492="",P492=0),"",(P492-Q492)/P492)</f>
        <v>0</v>
      </c>
      <c r="S492" s="31">
        <f>IF(OR(B492="",C492=""),"",COUNTIFS($B$5:B492,B492))</f>
        <v>0</v>
      </c>
      <c r="T492" s="23">
        <f>IF(S492="","",B492&amp;"|"&amp;S492)</f>
        <v>0</v>
      </c>
      <c r="U492" s="39">
        <f>IF(B492="","",IF(C492="","Add - pick a service",IF(E492="","Add - how many?",IF(L492=0,"Add - no price",IF(AND(R492&lt;&gt;"",R492&lt;MarginFloor),"Below - thin margin","OK")))))</f>
        <v>0</v>
      </c>
    </row>
    <row r="493" spans="1:21">
      <c r="A493" s="43">
        <f>IF(B493="","","QL-"&amp;TEXT(ROW()-4,"0000"))</f>
        <v>0</v>
      </c>
      <c r="J493" s="21">
        <f>IF(C493="","",IFERROR(INDEX(Services!$P$5:$P$64,MATCH(C493,Services!$B$5:$B$64,0)),"0"))</f>
        <v>0</v>
      </c>
      <c r="K493" s="23">
        <f>IF(C493="","",IFERROR(INDEX(Services!$E$5:$E$64,MATCH(C493,Services!$B$5:$B$64,0)),""))</f>
        <v>0</v>
      </c>
      <c r="L493" s="21">
        <f>IF(B493="","",IF(F493&lt;&gt;"",F493,IFERROR(J493*1,0)))</f>
        <v>0</v>
      </c>
      <c r="M493" s="51">
        <f>IF(B493="","",IF(D493&lt;&gt;"",D493,IFERROR(INDEX(Services!$O$5:$O$64,MATCH(C493,Services!$B$5:$B$64,0)),"")))</f>
        <v>0</v>
      </c>
      <c r="N493" s="34">
        <f>IF(B493="","",IFERROR(INDEX(Services!$G$5:$G$64,MATCH(C493,Services!$B$5:$B$64,0)),0)*IF(E493="",1,IF(IFERROR(INDEX(Services!$D$5:$D$64,MATCH(C493,Services!$B$5:$B$64,0)),"")="Per hour",1,E493)))</f>
        <v>0</v>
      </c>
      <c r="O493" s="21">
        <f>IF(B493="","",ROUND(IF(E493="",1,E493)*L493,2))</f>
        <v>0</v>
      </c>
      <c r="P493" s="21">
        <f>IF(B493="","",ROUND(O493*(1-IF(G493="",0,G493)),2))</f>
        <v>0</v>
      </c>
      <c r="Q493" s="21">
        <f>IF(B493="","",ROUND(N493*CostPerHour+IF(E493="",1,E493)*IFERROR(INDEX(Services!$R$5:$R$64,MATCH(C493,Services!$B$5:$B$64,0)),0),2))</f>
        <v>0</v>
      </c>
      <c r="R493" s="38">
        <f>IF(OR(B493="",P493=0),"",(P493-Q493)/P493)</f>
        <v>0</v>
      </c>
      <c r="S493" s="31">
        <f>IF(OR(B493="",C493=""),"",COUNTIFS($B$5:B493,B493))</f>
        <v>0</v>
      </c>
      <c r="T493" s="23">
        <f>IF(S493="","",B493&amp;"|"&amp;S493)</f>
        <v>0</v>
      </c>
      <c r="U493" s="39">
        <f>IF(B493="","",IF(C493="","Add - pick a service",IF(E493="","Add - how many?",IF(L493=0,"Add - no price",IF(AND(R493&lt;&gt;"",R493&lt;MarginFloor),"Below - thin margin","OK")))))</f>
        <v>0</v>
      </c>
    </row>
    <row r="494" spans="1:21">
      <c r="A494" s="43">
        <f>IF(B494="","","QL-"&amp;TEXT(ROW()-4,"0000"))</f>
        <v>0</v>
      </c>
      <c r="J494" s="21">
        <f>IF(C494="","",IFERROR(INDEX(Services!$P$5:$P$64,MATCH(C494,Services!$B$5:$B$64,0)),"0"))</f>
        <v>0</v>
      </c>
      <c r="K494" s="23">
        <f>IF(C494="","",IFERROR(INDEX(Services!$E$5:$E$64,MATCH(C494,Services!$B$5:$B$64,0)),""))</f>
        <v>0</v>
      </c>
      <c r="L494" s="21">
        <f>IF(B494="","",IF(F494&lt;&gt;"",F494,IFERROR(J494*1,0)))</f>
        <v>0</v>
      </c>
      <c r="M494" s="51">
        <f>IF(B494="","",IF(D494&lt;&gt;"",D494,IFERROR(INDEX(Services!$O$5:$O$64,MATCH(C494,Services!$B$5:$B$64,0)),"")))</f>
        <v>0</v>
      </c>
      <c r="N494" s="34">
        <f>IF(B494="","",IFERROR(INDEX(Services!$G$5:$G$64,MATCH(C494,Services!$B$5:$B$64,0)),0)*IF(E494="",1,IF(IFERROR(INDEX(Services!$D$5:$D$64,MATCH(C494,Services!$B$5:$B$64,0)),"")="Per hour",1,E494)))</f>
        <v>0</v>
      </c>
      <c r="O494" s="21">
        <f>IF(B494="","",ROUND(IF(E494="",1,E494)*L494,2))</f>
        <v>0</v>
      </c>
      <c r="P494" s="21">
        <f>IF(B494="","",ROUND(O494*(1-IF(G494="",0,G494)),2))</f>
        <v>0</v>
      </c>
      <c r="Q494" s="21">
        <f>IF(B494="","",ROUND(N494*CostPerHour+IF(E494="",1,E494)*IFERROR(INDEX(Services!$R$5:$R$64,MATCH(C494,Services!$B$5:$B$64,0)),0),2))</f>
        <v>0</v>
      </c>
      <c r="R494" s="38">
        <f>IF(OR(B494="",P494=0),"",(P494-Q494)/P494)</f>
        <v>0</v>
      </c>
      <c r="S494" s="31">
        <f>IF(OR(B494="",C494=""),"",COUNTIFS($B$5:B494,B494))</f>
        <v>0</v>
      </c>
      <c r="T494" s="23">
        <f>IF(S494="","",B494&amp;"|"&amp;S494)</f>
        <v>0</v>
      </c>
      <c r="U494" s="39">
        <f>IF(B494="","",IF(C494="","Add - pick a service",IF(E494="","Add - how many?",IF(L494=0,"Add - no price",IF(AND(R494&lt;&gt;"",R494&lt;MarginFloor),"Below - thin margin","OK")))))</f>
        <v>0</v>
      </c>
    </row>
    <row r="495" spans="1:21">
      <c r="A495" s="43">
        <f>IF(B495="","","QL-"&amp;TEXT(ROW()-4,"0000"))</f>
        <v>0</v>
      </c>
      <c r="J495" s="21">
        <f>IF(C495="","",IFERROR(INDEX(Services!$P$5:$P$64,MATCH(C495,Services!$B$5:$B$64,0)),"0"))</f>
        <v>0</v>
      </c>
      <c r="K495" s="23">
        <f>IF(C495="","",IFERROR(INDEX(Services!$E$5:$E$64,MATCH(C495,Services!$B$5:$B$64,0)),""))</f>
        <v>0</v>
      </c>
      <c r="L495" s="21">
        <f>IF(B495="","",IF(F495&lt;&gt;"",F495,IFERROR(J495*1,0)))</f>
        <v>0</v>
      </c>
      <c r="M495" s="51">
        <f>IF(B495="","",IF(D495&lt;&gt;"",D495,IFERROR(INDEX(Services!$O$5:$O$64,MATCH(C495,Services!$B$5:$B$64,0)),"")))</f>
        <v>0</v>
      </c>
      <c r="N495" s="34">
        <f>IF(B495="","",IFERROR(INDEX(Services!$G$5:$G$64,MATCH(C495,Services!$B$5:$B$64,0)),0)*IF(E495="",1,IF(IFERROR(INDEX(Services!$D$5:$D$64,MATCH(C495,Services!$B$5:$B$64,0)),"")="Per hour",1,E495)))</f>
        <v>0</v>
      </c>
      <c r="O495" s="21">
        <f>IF(B495="","",ROUND(IF(E495="",1,E495)*L495,2))</f>
        <v>0</v>
      </c>
      <c r="P495" s="21">
        <f>IF(B495="","",ROUND(O495*(1-IF(G495="",0,G495)),2))</f>
        <v>0</v>
      </c>
      <c r="Q495" s="21">
        <f>IF(B495="","",ROUND(N495*CostPerHour+IF(E495="",1,E495)*IFERROR(INDEX(Services!$R$5:$R$64,MATCH(C495,Services!$B$5:$B$64,0)),0),2))</f>
        <v>0</v>
      </c>
      <c r="R495" s="38">
        <f>IF(OR(B495="",P495=0),"",(P495-Q495)/P495)</f>
        <v>0</v>
      </c>
      <c r="S495" s="31">
        <f>IF(OR(B495="",C495=""),"",COUNTIFS($B$5:B495,B495))</f>
        <v>0</v>
      </c>
      <c r="T495" s="23">
        <f>IF(S495="","",B495&amp;"|"&amp;S495)</f>
        <v>0</v>
      </c>
      <c r="U495" s="39">
        <f>IF(B495="","",IF(C495="","Add - pick a service",IF(E495="","Add - how many?",IF(L495=0,"Add - no price",IF(AND(R495&lt;&gt;"",R495&lt;MarginFloor),"Below - thin margin","OK")))))</f>
        <v>0</v>
      </c>
    </row>
    <row r="496" spans="1:21">
      <c r="A496" s="43">
        <f>IF(B496="","","QL-"&amp;TEXT(ROW()-4,"0000"))</f>
        <v>0</v>
      </c>
      <c r="J496" s="21">
        <f>IF(C496="","",IFERROR(INDEX(Services!$P$5:$P$64,MATCH(C496,Services!$B$5:$B$64,0)),"0"))</f>
        <v>0</v>
      </c>
      <c r="K496" s="23">
        <f>IF(C496="","",IFERROR(INDEX(Services!$E$5:$E$64,MATCH(C496,Services!$B$5:$B$64,0)),""))</f>
        <v>0</v>
      </c>
      <c r="L496" s="21">
        <f>IF(B496="","",IF(F496&lt;&gt;"",F496,IFERROR(J496*1,0)))</f>
        <v>0</v>
      </c>
      <c r="M496" s="51">
        <f>IF(B496="","",IF(D496&lt;&gt;"",D496,IFERROR(INDEX(Services!$O$5:$O$64,MATCH(C496,Services!$B$5:$B$64,0)),"")))</f>
        <v>0</v>
      </c>
      <c r="N496" s="34">
        <f>IF(B496="","",IFERROR(INDEX(Services!$G$5:$G$64,MATCH(C496,Services!$B$5:$B$64,0)),0)*IF(E496="",1,IF(IFERROR(INDEX(Services!$D$5:$D$64,MATCH(C496,Services!$B$5:$B$64,0)),"")="Per hour",1,E496)))</f>
        <v>0</v>
      </c>
      <c r="O496" s="21">
        <f>IF(B496="","",ROUND(IF(E496="",1,E496)*L496,2))</f>
        <v>0</v>
      </c>
      <c r="P496" s="21">
        <f>IF(B496="","",ROUND(O496*(1-IF(G496="",0,G496)),2))</f>
        <v>0</v>
      </c>
      <c r="Q496" s="21">
        <f>IF(B496="","",ROUND(N496*CostPerHour+IF(E496="",1,E496)*IFERROR(INDEX(Services!$R$5:$R$64,MATCH(C496,Services!$B$5:$B$64,0)),0),2))</f>
        <v>0</v>
      </c>
      <c r="R496" s="38">
        <f>IF(OR(B496="",P496=0),"",(P496-Q496)/P496)</f>
        <v>0</v>
      </c>
      <c r="S496" s="31">
        <f>IF(OR(B496="",C496=""),"",COUNTIFS($B$5:B496,B496))</f>
        <v>0</v>
      </c>
      <c r="T496" s="23">
        <f>IF(S496="","",B496&amp;"|"&amp;S496)</f>
        <v>0</v>
      </c>
      <c r="U496" s="39">
        <f>IF(B496="","",IF(C496="","Add - pick a service",IF(E496="","Add - how many?",IF(L496=0,"Add - no price",IF(AND(R496&lt;&gt;"",R496&lt;MarginFloor),"Below - thin margin","OK")))))</f>
        <v>0</v>
      </c>
    </row>
    <row r="497" spans="1:21">
      <c r="A497" s="43">
        <f>IF(B497="","","QL-"&amp;TEXT(ROW()-4,"0000"))</f>
        <v>0</v>
      </c>
      <c r="J497" s="21">
        <f>IF(C497="","",IFERROR(INDEX(Services!$P$5:$P$64,MATCH(C497,Services!$B$5:$B$64,0)),"0"))</f>
        <v>0</v>
      </c>
      <c r="K497" s="23">
        <f>IF(C497="","",IFERROR(INDEX(Services!$E$5:$E$64,MATCH(C497,Services!$B$5:$B$64,0)),""))</f>
        <v>0</v>
      </c>
      <c r="L497" s="21">
        <f>IF(B497="","",IF(F497&lt;&gt;"",F497,IFERROR(J497*1,0)))</f>
        <v>0</v>
      </c>
      <c r="M497" s="51">
        <f>IF(B497="","",IF(D497&lt;&gt;"",D497,IFERROR(INDEX(Services!$O$5:$O$64,MATCH(C497,Services!$B$5:$B$64,0)),"")))</f>
        <v>0</v>
      </c>
      <c r="N497" s="34">
        <f>IF(B497="","",IFERROR(INDEX(Services!$G$5:$G$64,MATCH(C497,Services!$B$5:$B$64,0)),0)*IF(E497="",1,IF(IFERROR(INDEX(Services!$D$5:$D$64,MATCH(C497,Services!$B$5:$B$64,0)),"")="Per hour",1,E497)))</f>
        <v>0</v>
      </c>
      <c r="O497" s="21">
        <f>IF(B497="","",ROUND(IF(E497="",1,E497)*L497,2))</f>
        <v>0</v>
      </c>
      <c r="P497" s="21">
        <f>IF(B497="","",ROUND(O497*(1-IF(G497="",0,G497)),2))</f>
        <v>0</v>
      </c>
      <c r="Q497" s="21">
        <f>IF(B497="","",ROUND(N497*CostPerHour+IF(E497="",1,E497)*IFERROR(INDEX(Services!$R$5:$R$64,MATCH(C497,Services!$B$5:$B$64,0)),0),2))</f>
        <v>0</v>
      </c>
      <c r="R497" s="38">
        <f>IF(OR(B497="",P497=0),"",(P497-Q497)/P497)</f>
        <v>0</v>
      </c>
      <c r="S497" s="31">
        <f>IF(OR(B497="",C497=""),"",COUNTIFS($B$5:B497,B497))</f>
        <v>0</v>
      </c>
      <c r="T497" s="23">
        <f>IF(S497="","",B497&amp;"|"&amp;S497)</f>
        <v>0</v>
      </c>
      <c r="U497" s="39">
        <f>IF(B497="","",IF(C497="","Add - pick a service",IF(E497="","Add - how many?",IF(L497=0,"Add - no price",IF(AND(R497&lt;&gt;"",R497&lt;MarginFloor),"Below - thin margin","OK")))))</f>
        <v>0</v>
      </c>
    </row>
    <row r="498" spans="1:21">
      <c r="A498" s="43">
        <f>IF(B498="","","QL-"&amp;TEXT(ROW()-4,"0000"))</f>
        <v>0</v>
      </c>
      <c r="J498" s="21">
        <f>IF(C498="","",IFERROR(INDEX(Services!$P$5:$P$64,MATCH(C498,Services!$B$5:$B$64,0)),"0"))</f>
        <v>0</v>
      </c>
      <c r="K498" s="23">
        <f>IF(C498="","",IFERROR(INDEX(Services!$E$5:$E$64,MATCH(C498,Services!$B$5:$B$64,0)),""))</f>
        <v>0</v>
      </c>
      <c r="L498" s="21">
        <f>IF(B498="","",IF(F498&lt;&gt;"",F498,IFERROR(J498*1,0)))</f>
        <v>0</v>
      </c>
      <c r="M498" s="51">
        <f>IF(B498="","",IF(D498&lt;&gt;"",D498,IFERROR(INDEX(Services!$O$5:$O$64,MATCH(C498,Services!$B$5:$B$64,0)),"")))</f>
        <v>0</v>
      </c>
      <c r="N498" s="34">
        <f>IF(B498="","",IFERROR(INDEX(Services!$G$5:$G$64,MATCH(C498,Services!$B$5:$B$64,0)),0)*IF(E498="",1,IF(IFERROR(INDEX(Services!$D$5:$D$64,MATCH(C498,Services!$B$5:$B$64,0)),"")="Per hour",1,E498)))</f>
        <v>0</v>
      </c>
      <c r="O498" s="21">
        <f>IF(B498="","",ROUND(IF(E498="",1,E498)*L498,2))</f>
        <v>0</v>
      </c>
      <c r="P498" s="21">
        <f>IF(B498="","",ROUND(O498*(1-IF(G498="",0,G498)),2))</f>
        <v>0</v>
      </c>
      <c r="Q498" s="21">
        <f>IF(B498="","",ROUND(N498*CostPerHour+IF(E498="",1,E498)*IFERROR(INDEX(Services!$R$5:$R$64,MATCH(C498,Services!$B$5:$B$64,0)),0),2))</f>
        <v>0</v>
      </c>
      <c r="R498" s="38">
        <f>IF(OR(B498="",P498=0),"",(P498-Q498)/P498)</f>
        <v>0</v>
      </c>
      <c r="S498" s="31">
        <f>IF(OR(B498="",C498=""),"",COUNTIFS($B$5:B498,B498))</f>
        <v>0</v>
      </c>
      <c r="T498" s="23">
        <f>IF(S498="","",B498&amp;"|"&amp;S498)</f>
        <v>0</v>
      </c>
      <c r="U498" s="39">
        <f>IF(B498="","",IF(C498="","Add - pick a service",IF(E498="","Add - how many?",IF(L498=0,"Add - no price",IF(AND(R498&lt;&gt;"",R498&lt;MarginFloor),"Below - thin margin","OK")))))</f>
        <v>0</v>
      </c>
    </row>
    <row r="499" spans="1:21">
      <c r="A499" s="43">
        <f>IF(B499="","","QL-"&amp;TEXT(ROW()-4,"0000"))</f>
        <v>0</v>
      </c>
      <c r="J499" s="21">
        <f>IF(C499="","",IFERROR(INDEX(Services!$P$5:$P$64,MATCH(C499,Services!$B$5:$B$64,0)),"0"))</f>
        <v>0</v>
      </c>
      <c r="K499" s="23">
        <f>IF(C499="","",IFERROR(INDEX(Services!$E$5:$E$64,MATCH(C499,Services!$B$5:$B$64,0)),""))</f>
        <v>0</v>
      </c>
      <c r="L499" s="21">
        <f>IF(B499="","",IF(F499&lt;&gt;"",F499,IFERROR(J499*1,0)))</f>
        <v>0</v>
      </c>
      <c r="M499" s="51">
        <f>IF(B499="","",IF(D499&lt;&gt;"",D499,IFERROR(INDEX(Services!$O$5:$O$64,MATCH(C499,Services!$B$5:$B$64,0)),"")))</f>
        <v>0</v>
      </c>
      <c r="N499" s="34">
        <f>IF(B499="","",IFERROR(INDEX(Services!$G$5:$G$64,MATCH(C499,Services!$B$5:$B$64,0)),0)*IF(E499="",1,IF(IFERROR(INDEX(Services!$D$5:$D$64,MATCH(C499,Services!$B$5:$B$64,0)),"")="Per hour",1,E499)))</f>
        <v>0</v>
      </c>
      <c r="O499" s="21">
        <f>IF(B499="","",ROUND(IF(E499="",1,E499)*L499,2))</f>
        <v>0</v>
      </c>
      <c r="P499" s="21">
        <f>IF(B499="","",ROUND(O499*(1-IF(G499="",0,G499)),2))</f>
        <v>0</v>
      </c>
      <c r="Q499" s="21">
        <f>IF(B499="","",ROUND(N499*CostPerHour+IF(E499="",1,E499)*IFERROR(INDEX(Services!$R$5:$R$64,MATCH(C499,Services!$B$5:$B$64,0)),0),2))</f>
        <v>0</v>
      </c>
      <c r="R499" s="38">
        <f>IF(OR(B499="",P499=0),"",(P499-Q499)/P499)</f>
        <v>0</v>
      </c>
      <c r="S499" s="31">
        <f>IF(OR(B499="",C499=""),"",COUNTIFS($B$5:B499,B499))</f>
        <v>0</v>
      </c>
      <c r="T499" s="23">
        <f>IF(S499="","",B499&amp;"|"&amp;S499)</f>
        <v>0</v>
      </c>
      <c r="U499" s="39">
        <f>IF(B499="","",IF(C499="","Add - pick a service",IF(E499="","Add - how many?",IF(L499=0,"Add - no price",IF(AND(R499&lt;&gt;"",R499&lt;MarginFloor),"Below - thin margin","OK")))))</f>
        <v>0</v>
      </c>
    </row>
    <row r="500" spans="1:21">
      <c r="A500" s="43">
        <f>IF(B500="","","QL-"&amp;TEXT(ROW()-4,"0000"))</f>
        <v>0</v>
      </c>
      <c r="J500" s="21">
        <f>IF(C500="","",IFERROR(INDEX(Services!$P$5:$P$64,MATCH(C500,Services!$B$5:$B$64,0)),"0"))</f>
        <v>0</v>
      </c>
      <c r="K500" s="23">
        <f>IF(C500="","",IFERROR(INDEX(Services!$E$5:$E$64,MATCH(C500,Services!$B$5:$B$64,0)),""))</f>
        <v>0</v>
      </c>
      <c r="L500" s="21">
        <f>IF(B500="","",IF(F500&lt;&gt;"",F500,IFERROR(J500*1,0)))</f>
        <v>0</v>
      </c>
      <c r="M500" s="51">
        <f>IF(B500="","",IF(D500&lt;&gt;"",D500,IFERROR(INDEX(Services!$O$5:$O$64,MATCH(C500,Services!$B$5:$B$64,0)),"")))</f>
        <v>0</v>
      </c>
      <c r="N500" s="34">
        <f>IF(B500="","",IFERROR(INDEX(Services!$G$5:$G$64,MATCH(C500,Services!$B$5:$B$64,0)),0)*IF(E500="",1,IF(IFERROR(INDEX(Services!$D$5:$D$64,MATCH(C500,Services!$B$5:$B$64,0)),"")="Per hour",1,E500)))</f>
        <v>0</v>
      </c>
      <c r="O500" s="21">
        <f>IF(B500="","",ROUND(IF(E500="",1,E500)*L500,2))</f>
        <v>0</v>
      </c>
      <c r="P500" s="21">
        <f>IF(B500="","",ROUND(O500*(1-IF(G500="",0,G500)),2))</f>
        <v>0</v>
      </c>
      <c r="Q500" s="21">
        <f>IF(B500="","",ROUND(N500*CostPerHour+IF(E500="",1,E500)*IFERROR(INDEX(Services!$R$5:$R$64,MATCH(C500,Services!$B$5:$B$64,0)),0),2))</f>
        <v>0</v>
      </c>
      <c r="R500" s="38">
        <f>IF(OR(B500="",P500=0),"",(P500-Q500)/P500)</f>
        <v>0</v>
      </c>
      <c r="S500" s="31">
        <f>IF(OR(B500="",C500=""),"",COUNTIFS($B$5:B500,B500))</f>
        <v>0</v>
      </c>
      <c r="T500" s="23">
        <f>IF(S500="","",B500&amp;"|"&amp;S500)</f>
        <v>0</v>
      </c>
      <c r="U500" s="39">
        <f>IF(B500="","",IF(C500="","Add - pick a service",IF(E500="","Add - how many?",IF(L500=0,"Add - no price",IF(AND(R500&lt;&gt;"",R500&lt;MarginFloor),"Below - thin margin","OK")))))</f>
        <v>0</v>
      </c>
    </row>
    <row r="501" spans="1:21">
      <c r="A501" s="43">
        <f>IF(B501="","","QL-"&amp;TEXT(ROW()-4,"0000"))</f>
        <v>0</v>
      </c>
      <c r="J501" s="21">
        <f>IF(C501="","",IFERROR(INDEX(Services!$P$5:$P$64,MATCH(C501,Services!$B$5:$B$64,0)),"0"))</f>
        <v>0</v>
      </c>
      <c r="K501" s="23">
        <f>IF(C501="","",IFERROR(INDEX(Services!$E$5:$E$64,MATCH(C501,Services!$B$5:$B$64,0)),""))</f>
        <v>0</v>
      </c>
      <c r="L501" s="21">
        <f>IF(B501="","",IF(F501&lt;&gt;"",F501,IFERROR(J501*1,0)))</f>
        <v>0</v>
      </c>
      <c r="M501" s="51">
        <f>IF(B501="","",IF(D501&lt;&gt;"",D501,IFERROR(INDEX(Services!$O$5:$O$64,MATCH(C501,Services!$B$5:$B$64,0)),"")))</f>
        <v>0</v>
      </c>
      <c r="N501" s="34">
        <f>IF(B501="","",IFERROR(INDEX(Services!$G$5:$G$64,MATCH(C501,Services!$B$5:$B$64,0)),0)*IF(E501="",1,IF(IFERROR(INDEX(Services!$D$5:$D$64,MATCH(C501,Services!$B$5:$B$64,0)),"")="Per hour",1,E501)))</f>
        <v>0</v>
      </c>
      <c r="O501" s="21">
        <f>IF(B501="","",ROUND(IF(E501="",1,E501)*L501,2))</f>
        <v>0</v>
      </c>
      <c r="P501" s="21">
        <f>IF(B501="","",ROUND(O501*(1-IF(G501="",0,G501)),2))</f>
        <v>0</v>
      </c>
      <c r="Q501" s="21">
        <f>IF(B501="","",ROUND(N501*CostPerHour+IF(E501="",1,E501)*IFERROR(INDEX(Services!$R$5:$R$64,MATCH(C501,Services!$B$5:$B$64,0)),0),2))</f>
        <v>0</v>
      </c>
      <c r="R501" s="38">
        <f>IF(OR(B501="",P501=0),"",(P501-Q501)/P501)</f>
        <v>0</v>
      </c>
      <c r="S501" s="31">
        <f>IF(OR(B501="",C501=""),"",COUNTIFS($B$5:B501,B501))</f>
        <v>0</v>
      </c>
      <c r="T501" s="23">
        <f>IF(S501="","",B501&amp;"|"&amp;S501)</f>
        <v>0</v>
      </c>
      <c r="U501" s="39">
        <f>IF(B501="","",IF(C501="","Add - pick a service",IF(E501="","Add - how many?",IF(L501=0,"Add - no price",IF(AND(R501&lt;&gt;"",R501&lt;MarginFloor),"Below - thin margin","OK")))))</f>
        <v>0</v>
      </c>
    </row>
    <row r="502" spans="1:21">
      <c r="A502" s="43">
        <f>IF(B502="","","QL-"&amp;TEXT(ROW()-4,"0000"))</f>
        <v>0</v>
      </c>
      <c r="J502" s="21">
        <f>IF(C502="","",IFERROR(INDEX(Services!$P$5:$P$64,MATCH(C502,Services!$B$5:$B$64,0)),"0"))</f>
        <v>0</v>
      </c>
      <c r="K502" s="23">
        <f>IF(C502="","",IFERROR(INDEX(Services!$E$5:$E$64,MATCH(C502,Services!$B$5:$B$64,0)),""))</f>
        <v>0</v>
      </c>
      <c r="L502" s="21">
        <f>IF(B502="","",IF(F502&lt;&gt;"",F502,IFERROR(J502*1,0)))</f>
        <v>0</v>
      </c>
      <c r="M502" s="51">
        <f>IF(B502="","",IF(D502&lt;&gt;"",D502,IFERROR(INDEX(Services!$O$5:$O$64,MATCH(C502,Services!$B$5:$B$64,0)),"")))</f>
        <v>0</v>
      </c>
      <c r="N502" s="34">
        <f>IF(B502="","",IFERROR(INDEX(Services!$G$5:$G$64,MATCH(C502,Services!$B$5:$B$64,0)),0)*IF(E502="",1,IF(IFERROR(INDEX(Services!$D$5:$D$64,MATCH(C502,Services!$B$5:$B$64,0)),"")="Per hour",1,E502)))</f>
        <v>0</v>
      </c>
      <c r="O502" s="21">
        <f>IF(B502="","",ROUND(IF(E502="",1,E502)*L502,2))</f>
        <v>0</v>
      </c>
      <c r="P502" s="21">
        <f>IF(B502="","",ROUND(O502*(1-IF(G502="",0,G502)),2))</f>
        <v>0</v>
      </c>
      <c r="Q502" s="21">
        <f>IF(B502="","",ROUND(N502*CostPerHour+IF(E502="",1,E502)*IFERROR(INDEX(Services!$R$5:$R$64,MATCH(C502,Services!$B$5:$B$64,0)),0),2))</f>
        <v>0</v>
      </c>
      <c r="R502" s="38">
        <f>IF(OR(B502="",P502=0),"",(P502-Q502)/P502)</f>
        <v>0</v>
      </c>
      <c r="S502" s="31">
        <f>IF(OR(B502="",C502=""),"",COUNTIFS($B$5:B502,B502))</f>
        <v>0</v>
      </c>
      <c r="T502" s="23">
        <f>IF(S502="","",B502&amp;"|"&amp;S502)</f>
        <v>0</v>
      </c>
      <c r="U502" s="39">
        <f>IF(B502="","",IF(C502="","Add - pick a service",IF(E502="","Add - how many?",IF(L502=0,"Add - no price",IF(AND(R502&lt;&gt;"",R502&lt;MarginFloor),"Below - thin margin","OK")))))</f>
        <v>0</v>
      </c>
    </row>
    <row r="503" spans="1:21">
      <c r="A503" s="43">
        <f>IF(B503="","","QL-"&amp;TEXT(ROW()-4,"0000"))</f>
        <v>0</v>
      </c>
      <c r="J503" s="21">
        <f>IF(C503="","",IFERROR(INDEX(Services!$P$5:$P$64,MATCH(C503,Services!$B$5:$B$64,0)),"0"))</f>
        <v>0</v>
      </c>
      <c r="K503" s="23">
        <f>IF(C503="","",IFERROR(INDEX(Services!$E$5:$E$64,MATCH(C503,Services!$B$5:$B$64,0)),""))</f>
        <v>0</v>
      </c>
      <c r="L503" s="21">
        <f>IF(B503="","",IF(F503&lt;&gt;"",F503,IFERROR(J503*1,0)))</f>
        <v>0</v>
      </c>
      <c r="M503" s="51">
        <f>IF(B503="","",IF(D503&lt;&gt;"",D503,IFERROR(INDEX(Services!$O$5:$O$64,MATCH(C503,Services!$B$5:$B$64,0)),"")))</f>
        <v>0</v>
      </c>
      <c r="N503" s="34">
        <f>IF(B503="","",IFERROR(INDEX(Services!$G$5:$G$64,MATCH(C503,Services!$B$5:$B$64,0)),0)*IF(E503="",1,IF(IFERROR(INDEX(Services!$D$5:$D$64,MATCH(C503,Services!$B$5:$B$64,0)),"")="Per hour",1,E503)))</f>
        <v>0</v>
      </c>
      <c r="O503" s="21">
        <f>IF(B503="","",ROUND(IF(E503="",1,E503)*L503,2))</f>
        <v>0</v>
      </c>
      <c r="P503" s="21">
        <f>IF(B503="","",ROUND(O503*(1-IF(G503="",0,G503)),2))</f>
        <v>0</v>
      </c>
      <c r="Q503" s="21">
        <f>IF(B503="","",ROUND(N503*CostPerHour+IF(E503="",1,E503)*IFERROR(INDEX(Services!$R$5:$R$64,MATCH(C503,Services!$B$5:$B$64,0)),0),2))</f>
        <v>0</v>
      </c>
      <c r="R503" s="38">
        <f>IF(OR(B503="",P503=0),"",(P503-Q503)/P503)</f>
        <v>0</v>
      </c>
      <c r="S503" s="31">
        <f>IF(OR(B503="",C503=""),"",COUNTIFS($B$5:B503,B503))</f>
        <v>0</v>
      </c>
      <c r="T503" s="23">
        <f>IF(S503="","",B503&amp;"|"&amp;S503)</f>
        <v>0</v>
      </c>
      <c r="U503" s="39">
        <f>IF(B503="","",IF(C503="","Add - pick a service",IF(E503="","Add - how many?",IF(L503=0,"Add - no price",IF(AND(R503&lt;&gt;"",R503&lt;MarginFloor),"Below - thin margin","OK")))))</f>
        <v>0</v>
      </c>
    </row>
    <row r="504" spans="1:21">
      <c r="A504" s="43">
        <f>IF(B504="","","QL-"&amp;TEXT(ROW()-4,"0000"))</f>
        <v>0</v>
      </c>
      <c r="J504" s="21">
        <f>IF(C504="","",IFERROR(INDEX(Services!$P$5:$P$64,MATCH(C504,Services!$B$5:$B$64,0)),"0"))</f>
        <v>0</v>
      </c>
      <c r="K504" s="23">
        <f>IF(C504="","",IFERROR(INDEX(Services!$E$5:$E$64,MATCH(C504,Services!$B$5:$B$64,0)),""))</f>
        <v>0</v>
      </c>
      <c r="L504" s="21">
        <f>IF(B504="","",IF(F504&lt;&gt;"",F504,IFERROR(J504*1,0)))</f>
        <v>0</v>
      </c>
      <c r="M504" s="51">
        <f>IF(B504="","",IF(D504&lt;&gt;"",D504,IFERROR(INDEX(Services!$O$5:$O$64,MATCH(C504,Services!$B$5:$B$64,0)),"")))</f>
        <v>0</v>
      </c>
      <c r="N504" s="34">
        <f>IF(B504="","",IFERROR(INDEX(Services!$G$5:$G$64,MATCH(C504,Services!$B$5:$B$64,0)),0)*IF(E504="",1,IF(IFERROR(INDEX(Services!$D$5:$D$64,MATCH(C504,Services!$B$5:$B$64,0)),"")="Per hour",1,E504)))</f>
        <v>0</v>
      </c>
      <c r="O504" s="21">
        <f>IF(B504="","",ROUND(IF(E504="",1,E504)*L504,2))</f>
        <v>0</v>
      </c>
      <c r="P504" s="21">
        <f>IF(B504="","",ROUND(O504*(1-IF(G504="",0,G504)),2))</f>
        <v>0</v>
      </c>
      <c r="Q504" s="21">
        <f>IF(B504="","",ROUND(N504*CostPerHour+IF(E504="",1,E504)*IFERROR(INDEX(Services!$R$5:$R$64,MATCH(C504,Services!$B$5:$B$64,0)),0),2))</f>
        <v>0</v>
      </c>
      <c r="R504" s="38">
        <f>IF(OR(B504="",P504=0),"",(P504-Q504)/P504)</f>
        <v>0</v>
      </c>
      <c r="S504" s="31">
        <f>IF(OR(B504="",C504=""),"",COUNTIFS($B$5:B504,B504))</f>
        <v>0</v>
      </c>
      <c r="T504" s="23">
        <f>IF(S504="","",B504&amp;"|"&amp;S504)</f>
        <v>0</v>
      </c>
      <c r="U504" s="39">
        <f>IF(B504="","",IF(C504="","Add - pick a service",IF(E504="","Add - how many?",IF(L504=0,"Add - no price",IF(AND(R504&lt;&gt;"",R504&lt;MarginFloor),"Below - thin margin","OK")))))</f>
        <v>0</v>
      </c>
    </row>
    <row r="505" spans="1:21">
      <c r="A505" s="43">
        <f>IF(B505="","","QL-"&amp;TEXT(ROW()-4,"0000"))</f>
        <v>0</v>
      </c>
      <c r="J505" s="21">
        <f>IF(C505="","",IFERROR(INDEX(Services!$P$5:$P$64,MATCH(C505,Services!$B$5:$B$64,0)),"0"))</f>
        <v>0</v>
      </c>
      <c r="K505" s="23">
        <f>IF(C505="","",IFERROR(INDEX(Services!$E$5:$E$64,MATCH(C505,Services!$B$5:$B$64,0)),""))</f>
        <v>0</v>
      </c>
      <c r="L505" s="21">
        <f>IF(B505="","",IF(F505&lt;&gt;"",F505,IFERROR(J505*1,0)))</f>
        <v>0</v>
      </c>
      <c r="M505" s="51">
        <f>IF(B505="","",IF(D505&lt;&gt;"",D505,IFERROR(INDEX(Services!$O$5:$O$64,MATCH(C505,Services!$B$5:$B$64,0)),"")))</f>
        <v>0</v>
      </c>
      <c r="N505" s="34">
        <f>IF(B505="","",IFERROR(INDEX(Services!$G$5:$G$64,MATCH(C505,Services!$B$5:$B$64,0)),0)*IF(E505="",1,IF(IFERROR(INDEX(Services!$D$5:$D$64,MATCH(C505,Services!$B$5:$B$64,0)),"")="Per hour",1,E505)))</f>
        <v>0</v>
      </c>
      <c r="O505" s="21">
        <f>IF(B505="","",ROUND(IF(E505="",1,E505)*L505,2))</f>
        <v>0</v>
      </c>
      <c r="P505" s="21">
        <f>IF(B505="","",ROUND(O505*(1-IF(G505="",0,G505)),2))</f>
        <v>0</v>
      </c>
      <c r="Q505" s="21">
        <f>IF(B505="","",ROUND(N505*CostPerHour+IF(E505="",1,E505)*IFERROR(INDEX(Services!$R$5:$R$64,MATCH(C505,Services!$B$5:$B$64,0)),0),2))</f>
        <v>0</v>
      </c>
      <c r="R505" s="38">
        <f>IF(OR(B505="",P505=0),"",(P505-Q505)/P505)</f>
        <v>0</v>
      </c>
      <c r="S505" s="31">
        <f>IF(OR(B505="",C505=""),"",COUNTIFS($B$5:B505,B505))</f>
        <v>0</v>
      </c>
      <c r="T505" s="23">
        <f>IF(S505="","",B505&amp;"|"&amp;S505)</f>
        <v>0</v>
      </c>
      <c r="U505" s="39">
        <f>IF(B505="","",IF(C505="","Add - pick a service",IF(E505="","Add - how many?",IF(L505=0,"Add - no price",IF(AND(R505&lt;&gt;"",R505&lt;MarginFloor),"Below - thin margin","OK")))))</f>
        <v>0</v>
      </c>
    </row>
    <row r="506" spans="1:21">
      <c r="A506" s="43">
        <f>IF(B506="","","QL-"&amp;TEXT(ROW()-4,"0000"))</f>
        <v>0</v>
      </c>
      <c r="J506" s="21">
        <f>IF(C506="","",IFERROR(INDEX(Services!$P$5:$P$64,MATCH(C506,Services!$B$5:$B$64,0)),"0"))</f>
        <v>0</v>
      </c>
      <c r="K506" s="23">
        <f>IF(C506="","",IFERROR(INDEX(Services!$E$5:$E$64,MATCH(C506,Services!$B$5:$B$64,0)),""))</f>
        <v>0</v>
      </c>
      <c r="L506" s="21">
        <f>IF(B506="","",IF(F506&lt;&gt;"",F506,IFERROR(J506*1,0)))</f>
        <v>0</v>
      </c>
      <c r="M506" s="51">
        <f>IF(B506="","",IF(D506&lt;&gt;"",D506,IFERROR(INDEX(Services!$O$5:$O$64,MATCH(C506,Services!$B$5:$B$64,0)),"")))</f>
        <v>0</v>
      </c>
      <c r="N506" s="34">
        <f>IF(B506="","",IFERROR(INDEX(Services!$G$5:$G$64,MATCH(C506,Services!$B$5:$B$64,0)),0)*IF(E506="",1,IF(IFERROR(INDEX(Services!$D$5:$D$64,MATCH(C506,Services!$B$5:$B$64,0)),"")="Per hour",1,E506)))</f>
        <v>0</v>
      </c>
      <c r="O506" s="21">
        <f>IF(B506="","",ROUND(IF(E506="",1,E506)*L506,2))</f>
        <v>0</v>
      </c>
      <c r="P506" s="21">
        <f>IF(B506="","",ROUND(O506*(1-IF(G506="",0,G506)),2))</f>
        <v>0</v>
      </c>
      <c r="Q506" s="21">
        <f>IF(B506="","",ROUND(N506*CostPerHour+IF(E506="",1,E506)*IFERROR(INDEX(Services!$R$5:$R$64,MATCH(C506,Services!$B$5:$B$64,0)),0),2))</f>
        <v>0</v>
      </c>
      <c r="R506" s="38">
        <f>IF(OR(B506="",P506=0),"",(P506-Q506)/P506)</f>
        <v>0</v>
      </c>
      <c r="S506" s="31">
        <f>IF(OR(B506="",C506=""),"",COUNTIFS($B$5:B506,B506))</f>
        <v>0</v>
      </c>
      <c r="T506" s="23">
        <f>IF(S506="","",B506&amp;"|"&amp;S506)</f>
        <v>0</v>
      </c>
      <c r="U506" s="39">
        <f>IF(B506="","",IF(C506="","Add - pick a service",IF(E506="","Add - how many?",IF(L506=0,"Add - no price",IF(AND(R506&lt;&gt;"",R506&lt;MarginFloor),"Below - thin margin","OK")))))</f>
        <v>0</v>
      </c>
    </row>
    <row r="507" spans="1:21">
      <c r="A507" s="43">
        <f>IF(B507="","","QL-"&amp;TEXT(ROW()-4,"0000"))</f>
        <v>0</v>
      </c>
      <c r="J507" s="21">
        <f>IF(C507="","",IFERROR(INDEX(Services!$P$5:$P$64,MATCH(C507,Services!$B$5:$B$64,0)),"0"))</f>
        <v>0</v>
      </c>
      <c r="K507" s="23">
        <f>IF(C507="","",IFERROR(INDEX(Services!$E$5:$E$64,MATCH(C507,Services!$B$5:$B$64,0)),""))</f>
        <v>0</v>
      </c>
      <c r="L507" s="21">
        <f>IF(B507="","",IF(F507&lt;&gt;"",F507,IFERROR(J507*1,0)))</f>
        <v>0</v>
      </c>
      <c r="M507" s="51">
        <f>IF(B507="","",IF(D507&lt;&gt;"",D507,IFERROR(INDEX(Services!$O$5:$O$64,MATCH(C507,Services!$B$5:$B$64,0)),"")))</f>
        <v>0</v>
      </c>
      <c r="N507" s="34">
        <f>IF(B507="","",IFERROR(INDEX(Services!$G$5:$G$64,MATCH(C507,Services!$B$5:$B$64,0)),0)*IF(E507="",1,IF(IFERROR(INDEX(Services!$D$5:$D$64,MATCH(C507,Services!$B$5:$B$64,0)),"")="Per hour",1,E507)))</f>
        <v>0</v>
      </c>
      <c r="O507" s="21">
        <f>IF(B507="","",ROUND(IF(E507="",1,E507)*L507,2))</f>
        <v>0</v>
      </c>
      <c r="P507" s="21">
        <f>IF(B507="","",ROUND(O507*(1-IF(G507="",0,G507)),2))</f>
        <v>0</v>
      </c>
      <c r="Q507" s="21">
        <f>IF(B507="","",ROUND(N507*CostPerHour+IF(E507="",1,E507)*IFERROR(INDEX(Services!$R$5:$R$64,MATCH(C507,Services!$B$5:$B$64,0)),0),2))</f>
        <v>0</v>
      </c>
      <c r="R507" s="38">
        <f>IF(OR(B507="",P507=0),"",(P507-Q507)/P507)</f>
        <v>0</v>
      </c>
      <c r="S507" s="31">
        <f>IF(OR(B507="",C507=""),"",COUNTIFS($B$5:B507,B507))</f>
        <v>0</v>
      </c>
      <c r="T507" s="23">
        <f>IF(S507="","",B507&amp;"|"&amp;S507)</f>
        <v>0</v>
      </c>
      <c r="U507" s="39">
        <f>IF(B507="","",IF(C507="","Add - pick a service",IF(E507="","Add - how many?",IF(L507=0,"Add - no price",IF(AND(R507&lt;&gt;"",R507&lt;MarginFloor),"Below - thin margin","OK")))))</f>
        <v>0</v>
      </c>
    </row>
    <row r="508" spans="1:21">
      <c r="A508" s="43">
        <f>IF(B508="","","QL-"&amp;TEXT(ROW()-4,"0000"))</f>
        <v>0</v>
      </c>
      <c r="J508" s="21">
        <f>IF(C508="","",IFERROR(INDEX(Services!$P$5:$P$64,MATCH(C508,Services!$B$5:$B$64,0)),"0"))</f>
        <v>0</v>
      </c>
      <c r="K508" s="23">
        <f>IF(C508="","",IFERROR(INDEX(Services!$E$5:$E$64,MATCH(C508,Services!$B$5:$B$64,0)),""))</f>
        <v>0</v>
      </c>
      <c r="L508" s="21">
        <f>IF(B508="","",IF(F508&lt;&gt;"",F508,IFERROR(J508*1,0)))</f>
        <v>0</v>
      </c>
      <c r="M508" s="51">
        <f>IF(B508="","",IF(D508&lt;&gt;"",D508,IFERROR(INDEX(Services!$O$5:$O$64,MATCH(C508,Services!$B$5:$B$64,0)),"")))</f>
        <v>0</v>
      </c>
      <c r="N508" s="34">
        <f>IF(B508="","",IFERROR(INDEX(Services!$G$5:$G$64,MATCH(C508,Services!$B$5:$B$64,0)),0)*IF(E508="",1,IF(IFERROR(INDEX(Services!$D$5:$D$64,MATCH(C508,Services!$B$5:$B$64,0)),"")="Per hour",1,E508)))</f>
        <v>0</v>
      </c>
      <c r="O508" s="21">
        <f>IF(B508="","",ROUND(IF(E508="",1,E508)*L508,2))</f>
        <v>0</v>
      </c>
      <c r="P508" s="21">
        <f>IF(B508="","",ROUND(O508*(1-IF(G508="",0,G508)),2))</f>
        <v>0</v>
      </c>
      <c r="Q508" s="21">
        <f>IF(B508="","",ROUND(N508*CostPerHour+IF(E508="",1,E508)*IFERROR(INDEX(Services!$R$5:$R$64,MATCH(C508,Services!$B$5:$B$64,0)),0),2))</f>
        <v>0</v>
      </c>
      <c r="R508" s="38">
        <f>IF(OR(B508="",P508=0),"",(P508-Q508)/P508)</f>
        <v>0</v>
      </c>
      <c r="S508" s="31">
        <f>IF(OR(B508="",C508=""),"",COUNTIFS($B$5:B508,B508))</f>
        <v>0</v>
      </c>
      <c r="T508" s="23">
        <f>IF(S508="","",B508&amp;"|"&amp;S508)</f>
        <v>0</v>
      </c>
      <c r="U508" s="39">
        <f>IF(B508="","",IF(C508="","Add - pick a service",IF(E508="","Add - how many?",IF(L508=0,"Add - no price",IF(AND(R508&lt;&gt;"",R508&lt;MarginFloor),"Below - thin margin","OK")))))</f>
        <v>0</v>
      </c>
    </row>
    <row r="509" spans="1:21">
      <c r="A509" s="43">
        <f>IF(B509="","","QL-"&amp;TEXT(ROW()-4,"0000"))</f>
        <v>0</v>
      </c>
      <c r="J509" s="21">
        <f>IF(C509="","",IFERROR(INDEX(Services!$P$5:$P$64,MATCH(C509,Services!$B$5:$B$64,0)),"0"))</f>
        <v>0</v>
      </c>
      <c r="K509" s="23">
        <f>IF(C509="","",IFERROR(INDEX(Services!$E$5:$E$64,MATCH(C509,Services!$B$5:$B$64,0)),""))</f>
        <v>0</v>
      </c>
      <c r="L509" s="21">
        <f>IF(B509="","",IF(F509&lt;&gt;"",F509,IFERROR(J509*1,0)))</f>
        <v>0</v>
      </c>
      <c r="M509" s="51">
        <f>IF(B509="","",IF(D509&lt;&gt;"",D509,IFERROR(INDEX(Services!$O$5:$O$64,MATCH(C509,Services!$B$5:$B$64,0)),"")))</f>
        <v>0</v>
      </c>
      <c r="N509" s="34">
        <f>IF(B509="","",IFERROR(INDEX(Services!$G$5:$G$64,MATCH(C509,Services!$B$5:$B$64,0)),0)*IF(E509="",1,IF(IFERROR(INDEX(Services!$D$5:$D$64,MATCH(C509,Services!$B$5:$B$64,0)),"")="Per hour",1,E509)))</f>
        <v>0</v>
      </c>
      <c r="O509" s="21">
        <f>IF(B509="","",ROUND(IF(E509="",1,E509)*L509,2))</f>
        <v>0</v>
      </c>
      <c r="P509" s="21">
        <f>IF(B509="","",ROUND(O509*(1-IF(G509="",0,G509)),2))</f>
        <v>0</v>
      </c>
      <c r="Q509" s="21">
        <f>IF(B509="","",ROUND(N509*CostPerHour+IF(E509="",1,E509)*IFERROR(INDEX(Services!$R$5:$R$64,MATCH(C509,Services!$B$5:$B$64,0)),0),2))</f>
        <v>0</v>
      </c>
      <c r="R509" s="38">
        <f>IF(OR(B509="",P509=0),"",(P509-Q509)/P509)</f>
        <v>0</v>
      </c>
      <c r="S509" s="31">
        <f>IF(OR(B509="",C509=""),"",COUNTIFS($B$5:B509,B509))</f>
        <v>0</v>
      </c>
      <c r="T509" s="23">
        <f>IF(S509="","",B509&amp;"|"&amp;S509)</f>
        <v>0</v>
      </c>
      <c r="U509" s="39">
        <f>IF(B509="","",IF(C509="","Add - pick a service",IF(E509="","Add - how many?",IF(L509=0,"Add - no price",IF(AND(R509&lt;&gt;"",R509&lt;MarginFloor),"Below - thin margin","OK")))))</f>
        <v>0</v>
      </c>
    </row>
    <row r="510" spans="1:21">
      <c r="A510" s="43">
        <f>IF(B510="","","QL-"&amp;TEXT(ROW()-4,"0000"))</f>
        <v>0</v>
      </c>
      <c r="J510" s="21">
        <f>IF(C510="","",IFERROR(INDEX(Services!$P$5:$P$64,MATCH(C510,Services!$B$5:$B$64,0)),"0"))</f>
        <v>0</v>
      </c>
      <c r="K510" s="23">
        <f>IF(C510="","",IFERROR(INDEX(Services!$E$5:$E$64,MATCH(C510,Services!$B$5:$B$64,0)),""))</f>
        <v>0</v>
      </c>
      <c r="L510" s="21">
        <f>IF(B510="","",IF(F510&lt;&gt;"",F510,IFERROR(J510*1,0)))</f>
        <v>0</v>
      </c>
      <c r="M510" s="51">
        <f>IF(B510="","",IF(D510&lt;&gt;"",D510,IFERROR(INDEX(Services!$O$5:$O$64,MATCH(C510,Services!$B$5:$B$64,0)),"")))</f>
        <v>0</v>
      </c>
      <c r="N510" s="34">
        <f>IF(B510="","",IFERROR(INDEX(Services!$G$5:$G$64,MATCH(C510,Services!$B$5:$B$64,0)),0)*IF(E510="",1,IF(IFERROR(INDEX(Services!$D$5:$D$64,MATCH(C510,Services!$B$5:$B$64,0)),"")="Per hour",1,E510)))</f>
        <v>0</v>
      </c>
      <c r="O510" s="21">
        <f>IF(B510="","",ROUND(IF(E510="",1,E510)*L510,2))</f>
        <v>0</v>
      </c>
      <c r="P510" s="21">
        <f>IF(B510="","",ROUND(O510*(1-IF(G510="",0,G510)),2))</f>
        <v>0</v>
      </c>
      <c r="Q510" s="21">
        <f>IF(B510="","",ROUND(N510*CostPerHour+IF(E510="",1,E510)*IFERROR(INDEX(Services!$R$5:$R$64,MATCH(C510,Services!$B$5:$B$64,0)),0),2))</f>
        <v>0</v>
      </c>
      <c r="R510" s="38">
        <f>IF(OR(B510="",P510=0),"",(P510-Q510)/P510)</f>
        <v>0</v>
      </c>
      <c r="S510" s="31">
        <f>IF(OR(B510="",C510=""),"",COUNTIFS($B$5:B510,B510))</f>
        <v>0</v>
      </c>
      <c r="T510" s="23">
        <f>IF(S510="","",B510&amp;"|"&amp;S510)</f>
        <v>0</v>
      </c>
      <c r="U510" s="39">
        <f>IF(B510="","",IF(C510="","Add - pick a service",IF(E510="","Add - how many?",IF(L510=0,"Add - no price",IF(AND(R510&lt;&gt;"",R510&lt;MarginFloor),"Below - thin margin","OK")))))</f>
        <v>0</v>
      </c>
    </row>
    <row r="511" spans="1:21">
      <c r="A511" s="43">
        <f>IF(B511="","","QL-"&amp;TEXT(ROW()-4,"0000"))</f>
        <v>0</v>
      </c>
      <c r="J511" s="21">
        <f>IF(C511="","",IFERROR(INDEX(Services!$P$5:$P$64,MATCH(C511,Services!$B$5:$B$64,0)),"0"))</f>
        <v>0</v>
      </c>
      <c r="K511" s="23">
        <f>IF(C511="","",IFERROR(INDEX(Services!$E$5:$E$64,MATCH(C511,Services!$B$5:$B$64,0)),""))</f>
        <v>0</v>
      </c>
      <c r="L511" s="21">
        <f>IF(B511="","",IF(F511&lt;&gt;"",F511,IFERROR(J511*1,0)))</f>
        <v>0</v>
      </c>
      <c r="M511" s="51">
        <f>IF(B511="","",IF(D511&lt;&gt;"",D511,IFERROR(INDEX(Services!$O$5:$O$64,MATCH(C511,Services!$B$5:$B$64,0)),"")))</f>
        <v>0</v>
      </c>
      <c r="N511" s="34">
        <f>IF(B511="","",IFERROR(INDEX(Services!$G$5:$G$64,MATCH(C511,Services!$B$5:$B$64,0)),0)*IF(E511="",1,IF(IFERROR(INDEX(Services!$D$5:$D$64,MATCH(C511,Services!$B$5:$B$64,0)),"")="Per hour",1,E511)))</f>
        <v>0</v>
      </c>
      <c r="O511" s="21">
        <f>IF(B511="","",ROUND(IF(E511="",1,E511)*L511,2))</f>
        <v>0</v>
      </c>
      <c r="P511" s="21">
        <f>IF(B511="","",ROUND(O511*(1-IF(G511="",0,G511)),2))</f>
        <v>0</v>
      </c>
      <c r="Q511" s="21">
        <f>IF(B511="","",ROUND(N511*CostPerHour+IF(E511="",1,E511)*IFERROR(INDEX(Services!$R$5:$R$64,MATCH(C511,Services!$B$5:$B$64,0)),0),2))</f>
        <v>0</v>
      </c>
      <c r="R511" s="38">
        <f>IF(OR(B511="",P511=0),"",(P511-Q511)/P511)</f>
        <v>0</v>
      </c>
      <c r="S511" s="31">
        <f>IF(OR(B511="",C511=""),"",COUNTIFS($B$5:B511,B511))</f>
        <v>0</v>
      </c>
      <c r="T511" s="23">
        <f>IF(S511="","",B511&amp;"|"&amp;S511)</f>
        <v>0</v>
      </c>
      <c r="U511" s="39">
        <f>IF(B511="","",IF(C511="","Add - pick a service",IF(E511="","Add - how many?",IF(L511=0,"Add - no price",IF(AND(R511&lt;&gt;"",R511&lt;MarginFloor),"Below - thin margin","OK")))))</f>
        <v>0</v>
      </c>
    </row>
    <row r="512" spans="1:21">
      <c r="A512" s="43">
        <f>IF(B512="","","QL-"&amp;TEXT(ROW()-4,"0000"))</f>
        <v>0</v>
      </c>
      <c r="J512" s="21">
        <f>IF(C512="","",IFERROR(INDEX(Services!$P$5:$P$64,MATCH(C512,Services!$B$5:$B$64,0)),"0"))</f>
        <v>0</v>
      </c>
      <c r="K512" s="23">
        <f>IF(C512="","",IFERROR(INDEX(Services!$E$5:$E$64,MATCH(C512,Services!$B$5:$B$64,0)),""))</f>
        <v>0</v>
      </c>
      <c r="L512" s="21">
        <f>IF(B512="","",IF(F512&lt;&gt;"",F512,IFERROR(J512*1,0)))</f>
        <v>0</v>
      </c>
      <c r="M512" s="51">
        <f>IF(B512="","",IF(D512&lt;&gt;"",D512,IFERROR(INDEX(Services!$O$5:$O$64,MATCH(C512,Services!$B$5:$B$64,0)),"")))</f>
        <v>0</v>
      </c>
      <c r="N512" s="34">
        <f>IF(B512="","",IFERROR(INDEX(Services!$G$5:$G$64,MATCH(C512,Services!$B$5:$B$64,0)),0)*IF(E512="",1,IF(IFERROR(INDEX(Services!$D$5:$D$64,MATCH(C512,Services!$B$5:$B$64,0)),"")="Per hour",1,E512)))</f>
        <v>0</v>
      </c>
      <c r="O512" s="21">
        <f>IF(B512="","",ROUND(IF(E512="",1,E512)*L512,2))</f>
        <v>0</v>
      </c>
      <c r="P512" s="21">
        <f>IF(B512="","",ROUND(O512*(1-IF(G512="",0,G512)),2))</f>
        <v>0</v>
      </c>
      <c r="Q512" s="21">
        <f>IF(B512="","",ROUND(N512*CostPerHour+IF(E512="",1,E512)*IFERROR(INDEX(Services!$R$5:$R$64,MATCH(C512,Services!$B$5:$B$64,0)),0),2))</f>
        <v>0</v>
      </c>
      <c r="R512" s="38">
        <f>IF(OR(B512="",P512=0),"",(P512-Q512)/P512)</f>
        <v>0</v>
      </c>
      <c r="S512" s="31">
        <f>IF(OR(B512="",C512=""),"",COUNTIFS($B$5:B512,B512))</f>
        <v>0</v>
      </c>
      <c r="T512" s="23">
        <f>IF(S512="","",B512&amp;"|"&amp;S512)</f>
        <v>0</v>
      </c>
      <c r="U512" s="39">
        <f>IF(B512="","",IF(C512="","Add - pick a service",IF(E512="","Add - how many?",IF(L512=0,"Add - no price",IF(AND(R512&lt;&gt;"",R512&lt;MarginFloor),"Below - thin margin","OK")))))</f>
        <v>0</v>
      </c>
    </row>
    <row r="513" spans="1:21">
      <c r="A513" s="43">
        <f>IF(B513="","","QL-"&amp;TEXT(ROW()-4,"0000"))</f>
        <v>0</v>
      </c>
      <c r="J513" s="21">
        <f>IF(C513="","",IFERROR(INDEX(Services!$P$5:$P$64,MATCH(C513,Services!$B$5:$B$64,0)),"0"))</f>
        <v>0</v>
      </c>
      <c r="K513" s="23">
        <f>IF(C513="","",IFERROR(INDEX(Services!$E$5:$E$64,MATCH(C513,Services!$B$5:$B$64,0)),""))</f>
        <v>0</v>
      </c>
      <c r="L513" s="21">
        <f>IF(B513="","",IF(F513&lt;&gt;"",F513,IFERROR(J513*1,0)))</f>
        <v>0</v>
      </c>
      <c r="M513" s="51">
        <f>IF(B513="","",IF(D513&lt;&gt;"",D513,IFERROR(INDEX(Services!$O$5:$O$64,MATCH(C513,Services!$B$5:$B$64,0)),"")))</f>
        <v>0</v>
      </c>
      <c r="N513" s="34">
        <f>IF(B513="","",IFERROR(INDEX(Services!$G$5:$G$64,MATCH(C513,Services!$B$5:$B$64,0)),0)*IF(E513="",1,IF(IFERROR(INDEX(Services!$D$5:$D$64,MATCH(C513,Services!$B$5:$B$64,0)),"")="Per hour",1,E513)))</f>
        <v>0</v>
      </c>
      <c r="O513" s="21">
        <f>IF(B513="","",ROUND(IF(E513="",1,E513)*L513,2))</f>
        <v>0</v>
      </c>
      <c r="P513" s="21">
        <f>IF(B513="","",ROUND(O513*(1-IF(G513="",0,G513)),2))</f>
        <v>0</v>
      </c>
      <c r="Q513" s="21">
        <f>IF(B513="","",ROUND(N513*CostPerHour+IF(E513="",1,E513)*IFERROR(INDEX(Services!$R$5:$R$64,MATCH(C513,Services!$B$5:$B$64,0)),0),2))</f>
        <v>0</v>
      </c>
      <c r="R513" s="38">
        <f>IF(OR(B513="",P513=0),"",(P513-Q513)/P513)</f>
        <v>0</v>
      </c>
      <c r="S513" s="31">
        <f>IF(OR(B513="",C513=""),"",COUNTIFS($B$5:B513,B513))</f>
        <v>0</v>
      </c>
      <c r="T513" s="23">
        <f>IF(S513="","",B513&amp;"|"&amp;S513)</f>
        <v>0</v>
      </c>
      <c r="U513" s="39">
        <f>IF(B513="","",IF(C513="","Add - pick a service",IF(E513="","Add - how many?",IF(L513=0,"Add - no price",IF(AND(R513&lt;&gt;"",R513&lt;MarginFloor),"Below - thin margin","OK")))))</f>
        <v>0</v>
      </c>
    </row>
    <row r="514" spans="1:21">
      <c r="A514" s="43">
        <f>IF(B514="","","QL-"&amp;TEXT(ROW()-4,"0000"))</f>
        <v>0</v>
      </c>
      <c r="J514" s="21">
        <f>IF(C514="","",IFERROR(INDEX(Services!$P$5:$P$64,MATCH(C514,Services!$B$5:$B$64,0)),"0"))</f>
        <v>0</v>
      </c>
      <c r="K514" s="23">
        <f>IF(C514="","",IFERROR(INDEX(Services!$E$5:$E$64,MATCH(C514,Services!$B$5:$B$64,0)),""))</f>
        <v>0</v>
      </c>
      <c r="L514" s="21">
        <f>IF(B514="","",IF(F514&lt;&gt;"",F514,IFERROR(J514*1,0)))</f>
        <v>0</v>
      </c>
      <c r="M514" s="51">
        <f>IF(B514="","",IF(D514&lt;&gt;"",D514,IFERROR(INDEX(Services!$O$5:$O$64,MATCH(C514,Services!$B$5:$B$64,0)),"")))</f>
        <v>0</v>
      </c>
      <c r="N514" s="34">
        <f>IF(B514="","",IFERROR(INDEX(Services!$G$5:$G$64,MATCH(C514,Services!$B$5:$B$64,0)),0)*IF(E514="",1,IF(IFERROR(INDEX(Services!$D$5:$D$64,MATCH(C514,Services!$B$5:$B$64,0)),"")="Per hour",1,E514)))</f>
        <v>0</v>
      </c>
      <c r="O514" s="21">
        <f>IF(B514="","",ROUND(IF(E514="",1,E514)*L514,2))</f>
        <v>0</v>
      </c>
      <c r="P514" s="21">
        <f>IF(B514="","",ROUND(O514*(1-IF(G514="",0,G514)),2))</f>
        <v>0</v>
      </c>
      <c r="Q514" s="21">
        <f>IF(B514="","",ROUND(N514*CostPerHour+IF(E514="",1,E514)*IFERROR(INDEX(Services!$R$5:$R$64,MATCH(C514,Services!$B$5:$B$64,0)),0),2))</f>
        <v>0</v>
      </c>
      <c r="R514" s="38">
        <f>IF(OR(B514="",P514=0),"",(P514-Q514)/P514)</f>
        <v>0</v>
      </c>
      <c r="S514" s="31">
        <f>IF(OR(B514="",C514=""),"",COUNTIFS($B$5:B514,B514))</f>
        <v>0</v>
      </c>
      <c r="T514" s="23">
        <f>IF(S514="","",B514&amp;"|"&amp;S514)</f>
        <v>0</v>
      </c>
      <c r="U514" s="39">
        <f>IF(B514="","",IF(C514="","Add - pick a service",IF(E514="","Add - how many?",IF(L514=0,"Add - no price",IF(AND(R514&lt;&gt;"",R514&lt;MarginFloor),"Below - thin margin","OK")))))</f>
        <v>0</v>
      </c>
    </row>
    <row r="515" spans="1:21">
      <c r="A515" s="43">
        <f>IF(B515="","","QL-"&amp;TEXT(ROW()-4,"0000"))</f>
        <v>0</v>
      </c>
      <c r="J515" s="21">
        <f>IF(C515="","",IFERROR(INDEX(Services!$P$5:$P$64,MATCH(C515,Services!$B$5:$B$64,0)),"0"))</f>
        <v>0</v>
      </c>
      <c r="K515" s="23">
        <f>IF(C515="","",IFERROR(INDEX(Services!$E$5:$E$64,MATCH(C515,Services!$B$5:$B$64,0)),""))</f>
        <v>0</v>
      </c>
      <c r="L515" s="21">
        <f>IF(B515="","",IF(F515&lt;&gt;"",F515,IFERROR(J515*1,0)))</f>
        <v>0</v>
      </c>
      <c r="M515" s="51">
        <f>IF(B515="","",IF(D515&lt;&gt;"",D515,IFERROR(INDEX(Services!$O$5:$O$64,MATCH(C515,Services!$B$5:$B$64,0)),"")))</f>
        <v>0</v>
      </c>
      <c r="N515" s="34">
        <f>IF(B515="","",IFERROR(INDEX(Services!$G$5:$G$64,MATCH(C515,Services!$B$5:$B$64,0)),0)*IF(E515="",1,IF(IFERROR(INDEX(Services!$D$5:$D$64,MATCH(C515,Services!$B$5:$B$64,0)),"")="Per hour",1,E515)))</f>
        <v>0</v>
      </c>
      <c r="O515" s="21">
        <f>IF(B515="","",ROUND(IF(E515="",1,E515)*L515,2))</f>
        <v>0</v>
      </c>
      <c r="P515" s="21">
        <f>IF(B515="","",ROUND(O515*(1-IF(G515="",0,G515)),2))</f>
        <v>0</v>
      </c>
      <c r="Q515" s="21">
        <f>IF(B515="","",ROUND(N515*CostPerHour+IF(E515="",1,E515)*IFERROR(INDEX(Services!$R$5:$R$64,MATCH(C515,Services!$B$5:$B$64,0)),0),2))</f>
        <v>0</v>
      </c>
      <c r="R515" s="38">
        <f>IF(OR(B515="",P515=0),"",(P515-Q515)/P515)</f>
        <v>0</v>
      </c>
      <c r="S515" s="31">
        <f>IF(OR(B515="",C515=""),"",COUNTIFS($B$5:B515,B515))</f>
        <v>0</v>
      </c>
      <c r="T515" s="23">
        <f>IF(S515="","",B515&amp;"|"&amp;S515)</f>
        <v>0</v>
      </c>
      <c r="U515" s="39">
        <f>IF(B515="","",IF(C515="","Add - pick a service",IF(E515="","Add - how many?",IF(L515=0,"Add - no price",IF(AND(R515&lt;&gt;"",R515&lt;MarginFloor),"Below - thin margin","OK")))))</f>
        <v>0</v>
      </c>
    </row>
    <row r="516" spans="1:21">
      <c r="A516" s="43">
        <f>IF(B516="","","QL-"&amp;TEXT(ROW()-4,"0000"))</f>
        <v>0</v>
      </c>
      <c r="J516" s="21">
        <f>IF(C516="","",IFERROR(INDEX(Services!$P$5:$P$64,MATCH(C516,Services!$B$5:$B$64,0)),"0"))</f>
        <v>0</v>
      </c>
      <c r="K516" s="23">
        <f>IF(C516="","",IFERROR(INDEX(Services!$E$5:$E$64,MATCH(C516,Services!$B$5:$B$64,0)),""))</f>
        <v>0</v>
      </c>
      <c r="L516" s="21">
        <f>IF(B516="","",IF(F516&lt;&gt;"",F516,IFERROR(J516*1,0)))</f>
        <v>0</v>
      </c>
      <c r="M516" s="51">
        <f>IF(B516="","",IF(D516&lt;&gt;"",D516,IFERROR(INDEX(Services!$O$5:$O$64,MATCH(C516,Services!$B$5:$B$64,0)),"")))</f>
        <v>0</v>
      </c>
      <c r="N516" s="34">
        <f>IF(B516="","",IFERROR(INDEX(Services!$G$5:$G$64,MATCH(C516,Services!$B$5:$B$64,0)),0)*IF(E516="",1,IF(IFERROR(INDEX(Services!$D$5:$D$64,MATCH(C516,Services!$B$5:$B$64,0)),"")="Per hour",1,E516)))</f>
        <v>0</v>
      </c>
      <c r="O516" s="21">
        <f>IF(B516="","",ROUND(IF(E516="",1,E516)*L516,2))</f>
        <v>0</v>
      </c>
      <c r="P516" s="21">
        <f>IF(B516="","",ROUND(O516*(1-IF(G516="",0,G516)),2))</f>
        <v>0</v>
      </c>
      <c r="Q516" s="21">
        <f>IF(B516="","",ROUND(N516*CostPerHour+IF(E516="",1,E516)*IFERROR(INDEX(Services!$R$5:$R$64,MATCH(C516,Services!$B$5:$B$64,0)),0),2))</f>
        <v>0</v>
      </c>
      <c r="R516" s="38">
        <f>IF(OR(B516="",P516=0),"",(P516-Q516)/P516)</f>
        <v>0</v>
      </c>
      <c r="S516" s="31">
        <f>IF(OR(B516="",C516=""),"",COUNTIFS($B$5:B516,B516))</f>
        <v>0</v>
      </c>
      <c r="T516" s="23">
        <f>IF(S516="","",B516&amp;"|"&amp;S516)</f>
        <v>0</v>
      </c>
      <c r="U516" s="39">
        <f>IF(B516="","",IF(C516="","Add - pick a service",IF(E516="","Add - how many?",IF(L516=0,"Add - no price",IF(AND(R516&lt;&gt;"",R516&lt;MarginFloor),"Below - thin margin","OK")))))</f>
        <v>0</v>
      </c>
    </row>
    <row r="517" spans="1:21">
      <c r="A517" s="43">
        <f>IF(B517="","","QL-"&amp;TEXT(ROW()-4,"0000"))</f>
        <v>0</v>
      </c>
      <c r="J517" s="21">
        <f>IF(C517="","",IFERROR(INDEX(Services!$P$5:$P$64,MATCH(C517,Services!$B$5:$B$64,0)),"0"))</f>
        <v>0</v>
      </c>
      <c r="K517" s="23">
        <f>IF(C517="","",IFERROR(INDEX(Services!$E$5:$E$64,MATCH(C517,Services!$B$5:$B$64,0)),""))</f>
        <v>0</v>
      </c>
      <c r="L517" s="21">
        <f>IF(B517="","",IF(F517&lt;&gt;"",F517,IFERROR(J517*1,0)))</f>
        <v>0</v>
      </c>
      <c r="M517" s="51">
        <f>IF(B517="","",IF(D517&lt;&gt;"",D517,IFERROR(INDEX(Services!$O$5:$O$64,MATCH(C517,Services!$B$5:$B$64,0)),"")))</f>
        <v>0</v>
      </c>
      <c r="N517" s="34">
        <f>IF(B517="","",IFERROR(INDEX(Services!$G$5:$G$64,MATCH(C517,Services!$B$5:$B$64,0)),0)*IF(E517="",1,IF(IFERROR(INDEX(Services!$D$5:$D$64,MATCH(C517,Services!$B$5:$B$64,0)),"")="Per hour",1,E517)))</f>
        <v>0</v>
      </c>
      <c r="O517" s="21">
        <f>IF(B517="","",ROUND(IF(E517="",1,E517)*L517,2))</f>
        <v>0</v>
      </c>
      <c r="P517" s="21">
        <f>IF(B517="","",ROUND(O517*(1-IF(G517="",0,G517)),2))</f>
        <v>0</v>
      </c>
      <c r="Q517" s="21">
        <f>IF(B517="","",ROUND(N517*CostPerHour+IF(E517="",1,E517)*IFERROR(INDEX(Services!$R$5:$R$64,MATCH(C517,Services!$B$5:$B$64,0)),0),2))</f>
        <v>0</v>
      </c>
      <c r="R517" s="38">
        <f>IF(OR(B517="",P517=0),"",(P517-Q517)/P517)</f>
        <v>0</v>
      </c>
      <c r="S517" s="31">
        <f>IF(OR(B517="",C517=""),"",COUNTIFS($B$5:B517,B517))</f>
        <v>0</v>
      </c>
      <c r="T517" s="23">
        <f>IF(S517="","",B517&amp;"|"&amp;S517)</f>
        <v>0</v>
      </c>
      <c r="U517" s="39">
        <f>IF(B517="","",IF(C517="","Add - pick a service",IF(E517="","Add - how many?",IF(L517=0,"Add - no price",IF(AND(R517&lt;&gt;"",R517&lt;MarginFloor),"Below - thin margin","OK")))))</f>
        <v>0</v>
      </c>
    </row>
    <row r="518" spans="1:21">
      <c r="A518" s="43">
        <f>IF(B518="","","QL-"&amp;TEXT(ROW()-4,"0000"))</f>
        <v>0</v>
      </c>
      <c r="J518" s="21">
        <f>IF(C518="","",IFERROR(INDEX(Services!$P$5:$P$64,MATCH(C518,Services!$B$5:$B$64,0)),"0"))</f>
        <v>0</v>
      </c>
      <c r="K518" s="23">
        <f>IF(C518="","",IFERROR(INDEX(Services!$E$5:$E$64,MATCH(C518,Services!$B$5:$B$64,0)),""))</f>
        <v>0</v>
      </c>
      <c r="L518" s="21">
        <f>IF(B518="","",IF(F518&lt;&gt;"",F518,IFERROR(J518*1,0)))</f>
        <v>0</v>
      </c>
      <c r="M518" s="51">
        <f>IF(B518="","",IF(D518&lt;&gt;"",D518,IFERROR(INDEX(Services!$O$5:$O$64,MATCH(C518,Services!$B$5:$B$64,0)),"")))</f>
        <v>0</v>
      </c>
      <c r="N518" s="34">
        <f>IF(B518="","",IFERROR(INDEX(Services!$G$5:$G$64,MATCH(C518,Services!$B$5:$B$64,0)),0)*IF(E518="",1,IF(IFERROR(INDEX(Services!$D$5:$D$64,MATCH(C518,Services!$B$5:$B$64,0)),"")="Per hour",1,E518)))</f>
        <v>0</v>
      </c>
      <c r="O518" s="21">
        <f>IF(B518="","",ROUND(IF(E518="",1,E518)*L518,2))</f>
        <v>0</v>
      </c>
      <c r="P518" s="21">
        <f>IF(B518="","",ROUND(O518*(1-IF(G518="",0,G518)),2))</f>
        <v>0</v>
      </c>
      <c r="Q518" s="21">
        <f>IF(B518="","",ROUND(N518*CostPerHour+IF(E518="",1,E518)*IFERROR(INDEX(Services!$R$5:$R$64,MATCH(C518,Services!$B$5:$B$64,0)),0),2))</f>
        <v>0</v>
      </c>
      <c r="R518" s="38">
        <f>IF(OR(B518="",P518=0),"",(P518-Q518)/P518)</f>
        <v>0</v>
      </c>
      <c r="S518" s="31">
        <f>IF(OR(B518="",C518=""),"",COUNTIFS($B$5:B518,B518))</f>
        <v>0</v>
      </c>
      <c r="T518" s="23">
        <f>IF(S518="","",B518&amp;"|"&amp;S518)</f>
        <v>0</v>
      </c>
      <c r="U518" s="39">
        <f>IF(B518="","",IF(C518="","Add - pick a service",IF(E518="","Add - how many?",IF(L518=0,"Add - no price",IF(AND(R518&lt;&gt;"",R518&lt;MarginFloor),"Below - thin margin","OK")))))</f>
        <v>0</v>
      </c>
    </row>
    <row r="519" spans="1:21">
      <c r="A519" s="43">
        <f>IF(B519="","","QL-"&amp;TEXT(ROW()-4,"0000"))</f>
        <v>0</v>
      </c>
      <c r="J519" s="21">
        <f>IF(C519="","",IFERROR(INDEX(Services!$P$5:$P$64,MATCH(C519,Services!$B$5:$B$64,0)),"0"))</f>
        <v>0</v>
      </c>
      <c r="K519" s="23">
        <f>IF(C519="","",IFERROR(INDEX(Services!$E$5:$E$64,MATCH(C519,Services!$B$5:$B$64,0)),""))</f>
        <v>0</v>
      </c>
      <c r="L519" s="21">
        <f>IF(B519="","",IF(F519&lt;&gt;"",F519,IFERROR(J519*1,0)))</f>
        <v>0</v>
      </c>
      <c r="M519" s="51">
        <f>IF(B519="","",IF(D519&lt;&gt;"",D519,IFERROR(INDEX(Services!$O$5:$O$64,MATCH(C519,Services!$B$5:$B$64,0)),"")))</f>
        <v>0</v>
      </c>
      <c r="N519" s="34">
        <f>IF(B519="","",IFERROR(INDEX(Services!$G$5:$G$64,MATCH(C519,Services!$B$5:$B$64,0)),0)*IF(E519="",1,IF(IFERROR(INDEX(Services!$D$5:$D$64,MATCH(C519,Services!$B$5:$B$64,0)),"")="Per hour",1,E519)))</f>
        <v>0</v>
      </c>
      <c r="O519" s="21">
        <f>IF(B519="","",ROUND(IF(E519="",1,E519)*L519,2))</f>
        <v>0</v>
      </c>
      <c r="P519" s="21">
        <f>IF(B519="","",ROUND(O519*(1-IF(G519="",0,G519)),2))</f>
        <v>0</v>
      </c>
      <c r="Q519" s="21">
        <f>IF(B519="","",ROUND(N519*CostPerHour+IF(E519="",1,E519)*IFERROR(INDEX(Services!$R$5:$R$64,MATCH(C519,Services!$B$5:$B$64,0)),0),2))</f>
        <v>0</v>
      </c>
      <c r="R519" s="38">
        <f>IF(OR(B519="",P519=0),"",(P519-Q519)/P519)</f>
        <v>0</v>
      </c>
      <c r="S519" s="31">
        <f>IF(OR(B519="",C519=""),"",COUNTIFS($B$5:B519,B519))</f>
        <v>0</v>
      </c>
      <c r="T519" s="23">
        <f>IF(S519="","",B519&amp;"|"&amp;S519)</f>
        <v>0</v>
      </c>
      <c r="U519" s="39">
        <f>IF(B519="","",IF(C519="","Add - pick a service",IF(E519="","Add - how many?",IF(L519=0,"Add - no price",IF(AND(R519&lt;&gt;"",R519&lt;MarginFloor),"Below - thin margin","OK")))))</f>
        <v>0</v>
      </c>
    </row>
    <row r="520" spans="1:21">
      <c r="A520" s="43">
        <f>IF(B520="","","QL-"&amp;TEXT(ROW()-4,"0000"))</f>
        <v>0</v>
      </c>
      <c r="J520" s="21">
        <f>IF(C520="","",IFERROR(INDEX(Services!$P$5:$P$64,MATCH(C520,Services!$B$5:$B$64,0)),"0"))</f>
        <v>0</v>
      </c>
      <c r="K520" s="23">
        <f>IF(C520="","",IFERROR(INDEX(Services!$E$5:$E$64,MATCH(C520,Services!$B$5:$B$64,0)),""))</f>
        <v>0</v>
      </c>
      <c r="L520" s="21">
        <f>IF(B520="","",IF(F520&lt;&gt;"",F520,IFERROR(J520*1,0)))</f>
        <v>0</v>
      </c>
      <c r="M520" s="51">
        <f>IF(B520="","",IF(D520&lt;&gt;"",D520,IFERROR(INDEX(Services!$O$5:$O$64,MATCH(C520,Services!$B$5:$B$64,0)),"")))</f>
        <v>0</v>
      </c>
      <c r="N520" s="34">
        <f>IF(B520="","",IFERROR(INDEX(Services!$G$5:$G$64,MATCH(C520,Services!$B$5:$B$64,0)),0)*IF(E520="",1,IF(IFERROR(INDEX(Services!$D$5:$D$64,MATCH(C520,Services!$B$5:$B$64,0)),"")="Per hour",1,E520)))</f>
        <v>0</v>
      </c>
      <c r="O520" s="21">
        <f>IF(B520="","",ROUND(IF(E520="",1,E520)*L520,2))</f>
        <v>0</v>
      </c>
      <c r="P520" s="21">
        <f>IF(B520="","",ROUND(O520*(1-IF(G520="",0,G520)),2))</f>
        <v>0</v>
      </c>
      <c r="Q520" s="21">
        <f>IF(B520="","",ROUND(N520*CostPerHour+IF(E520="",1,E520)*IFERROR(INDEX(Services!$R$5:$R$64,MATCH(C520,Services!$B$5:$B$64,0)),0),2))</f>
        <v>0</v>
      </c>
      <c r="R520" s="38">
        <f>IF(OR(B520="",P520=0),"",(P520-Q520)/P520)</f>
        <v>0</v>
      </c>
      <c r="S520" s="31">
        <f>IF(OR(B520="",C520=""),"",COUNTIFS($B$5:B520,B520))</f>
        <v>0</v>
      </c>
      <c r="T520" s="23">
        <f>IF(S520="","",B520&amp;"|"&amp;S520)</f>
        <v>0</v>
      </c>
      <c r="U520" s="39">
        <f>IF(B520="","",IF(C520="","Add - pick a service",IF(E520="","Add - how many?",IF(L520=0,"Add - no price",IF(AND(R520&lt;&gt;"",R520&lt;MarginFloor),"Below - thin margin","OK")))))</f>
        <v>0</v>
      </c>
    </row>
    <row r="521" spans="1:21">
      <c r="A521" s="43">
        <f>IF(B521="","","QL-"&amp;TEXT(ROW()-4,"0000"))</f>
        <v>0</v>
      </c>
      <c r="J521" s="21">
        <f>IF(C521="","",IFERROR(INDEX(Services!$P$5:$P$64,MATCH(C521,Services!$B$5:$B$64,0)),"0"))</f>
        <v>0</v>
      </c>
      <c r="K521" s="23">
        <f>IF(C521="","",IFERROR(INDEX(Services!$E$5:$E$64,MATCH(C521,Services!$B$5:$B$64,0)),""))</f>
        <v>0</v>
      </c>
      <c r="L521" s="21">
        <f>IF(B521="","",IF(F521&lt;&gt;"",F521,IFERROR(J521*1,0)))</f>
        <v>0</v>
      </c>
      <c r="M521" s="51">
        <f>IF(B521="","",IF(D521&lt;&gt;"",D521,IFERROR(INDEX(Services!$O$5:$O$64,MATCH(C521,Services!$B$5:$B$64,0)),"")))</f>
        <v>0</v>
      </c>
      <c r="N521" s="34">
        <f>IF(B521="","",IFERROR(INDEX(Services!$G$5:$G$64,MATCH(C521,Services!$B$5:$B$64,0)),0)*IF(E521="",1,IF(IFERROR(INDEX(Services!$D$5:$D$64,MATCH(C521,Services!$B$5:$B$64,0)),"")="Per hour",1,E521)))</f>
        <v>0</v>
      </c>
      <c r="O521" s="21">
        <f>IF(B521="","",ROUND(IF(E521="",1,E521)*L521,2))</f>
        <v>0</v>
      </c>
      <c r="P521" s="21">
        <f>IF(B521="","",ROUND(O521*(1-IF(G521="",0,G521)),2))</f>
        <v>0</v>
      </c>
      <c r="Q521" s="21">
        <f>IF(B521="","",ROUND(N521*CostPerHour+IF(E521="",1,E521)*IFERROR(INDEX(Services!$R$5:$R$64,MATCH(C521,Services!$B$5:$B$64,0)),0),2))</f>
        <v>0</v>
      </c>
      <c r="R521" s="38">
        <f>IF(OR(B521="",P521=0),"",(P521-Q521)/P521)</f>
        <v>0</v>
      </c>
      <c r="S521" s="31">
        <f>IF(OR(B521="",C521=""),"",COUNTIFS($B$5:B521,B521))</f>
        <v>0</v>
      </c>
      <c r="T521" s="23">
        <f>IF(S521="","",B521&amp;"|"&amp;S521)</f>
        <v>0</v>
      </c>
      <c r="U521" s="39">
        <f>IF(B521="","",IF(C521="","Add - pick a service",IF(E521="","Add - how many?",IF(L521=0,"Add - no price",IF(AND(R521&lt;&gt;"",R521&lt;MarginFloor),"Below - thin margin","OK")))))</f>
        <v>0</v>
      </c>
    </row>
    <row r="522" spans="1:21">
      <c r="A522" s="43">
        <f>IF(B522="","","QL-"&amp;TEXT(ROW()-4,"0000"))</f>
        <v>0</v>
      </c>
      <c r="J522" s="21">
        <f>IF(C522="","",IFERROR(INDEX(Services!$P$5:$P$64,MATCH(C522,Services!$B$5:$B$64,0)),"0"))</f>
        <v>0</v>
      </c>
      <c r="K522" s="23">
        <f>IF(C522="","",IFERROR(INDEX(Services!$E$5:$E$64,MATCH(C522,Services!$B$5:$B$64,0)),""))</f>
        <v>0</v>
      </c>
      <c r="L522" s="21">
        <f>IF(B522="","",IF(F522&lt;&gt;"",F522,IFERROR(J522*1,0)))</f>
        <v>0</v>
      </c>
      <c r="M522" s="51">
        <f>IF(B522="","",IF(D522&lt;&gt;"",D522,IFERROR(INDEX(Services!$O$5:$O$64,MATCH(C522,Services!$B$5:$B$64,0)),"")))</f>
        <v>0</v>
      </c>
      <c r="N522" s="34">
        <f>IF(B522="","",IFERROR(INDEX(Services!$G$5:$G$64,MATCH(C522,Services!$B$5:$B$64,0)),0)*IF(E522="",1,IF(IFERROR(INDEX(Services!$D$5:$D$64,MATCH(C522,Services!$B$5:$B$64,0)),"")="Per hour",1,E522)))</f>
        <v>0</v>
      </c>
      <c r="O522" s="21">
        <f>IF(B522="","",ROUND(IF(E522="",1,E522)*L522,2))</f>
        <v>0</v>
      </c>
      <c r="P522" s="21">
        <f>IF(B522="","",ROUND(O522*(1-IF(G522="",0,G522)),2))</f>
        <v>0</v>
      </c>
      <c r="Q522" s="21">
        <f>IF(B522="","",ROUND(N522*CostPerHour+IF(E522="",1,E522)*IFERROR(INDEX(Services!$R$5:$R$64,MATCH(C522,Services!$B$5:$B$64,0)),0),2))</f>
        <v>0</v>
      </c>
      <c r="R522" s="38">
        <f>IF(OR(B522="",P522=0),"",(P522-Q522)/P522)</f>
        <v>0</v>
      </c>
      <c r="S522" s="31">
        <f>IF(OR(B522="",C522=""),"",COUNTIFS($B$5:B522,B522))</f>
        <v>0</v>
      </c>
      <c r="T522" s="23">
        <f>IF(S522="","",B522&amp;"|"&amp;S522)</f>
        <v>0</v>
      </c>
      <c r="U522" s="39">
        <f>IF(B522="","",IF(C522="","Add - pick a service",IF(E522="","Add - how many?",IF(L522=0,"Add - no price",IF(AND(R522&lt;&gt;"",R522&lt;MarginFloor),"Below - thin margin","OK")))))</f>
        <v>0</v>
      </c>
    </row>
    <row r="523" spans="1:21">
      <c r="A523" s="43">
        <f>IF(B523="","","QL-"&amp;TEXT(ROW()-4,"0000"))</f>
        <v>0</v>
      </c>
      <c r="J523" s="21">
        <f>IF(C523="","",IFERROR(INDEX(Services!$P$5:$P$64,MATCH(C523,Services!$B$5:$B$64,0)),"0"))</f>
        <v>0</v>
      </c>
      <c r="K523" s="23">
        <f>IF(C523="","",IFERROR(INDEX(Services!$E$5:$E$64,MATCH(C523,Services!$B$5:$B$64,0)),""))</f>
        <v>0</v>
      </c>
      <c r="L523" s="21">
        <f>IF(B523="","",IF(F523&lt;&gt;"",F523,IFERROR(J523*1,0)))</f>
        <v>0</v>
      </c>
      <c r="M523" s="51">
        <f>IF(B523="","",IF(D523&lt;&gt;"",D523,IFERROR(INDEX(Services!$O$5:$O$64,MATCH(C523,Services!$B$5:$B$64,0)),"")))</f>
        <v>0</v>
      </c>
      <c r="N523" s="34">
        <f>IF(B523="","",IFERROR(INDEX(Services!$G$5:$G$64,MATCH(C523,Services!$B$5:$B$64,0)),0)*IF(E523="",1,IF(IFERROR(INDEX(Services!$D$5:$D$64,MATCH(C523,Services!$B$5:$B$64,0)),"")="Per hour",1,E523)))</f>
        <v>0</v>
      </c>
      <c r="O523" s="21">
        <f>IF(B523="","",ROUND(IF(E523="",1,E523)*L523,2))</f>
        <v>0</v>
      </c>
      <c r="P523" s="21">
        <f>IF(B523="","",ROUND(O523*(1-IF(G523="",0,G523)),2))</f>
        <v>0</v>
      </c>
      <c r="Q523" s="21">
        <f>IF(B523="","",ROUND(N523*CostPerHour+IF(E523="",1,E523)*IFERROR(INDEX(Services!$R$5:$R$64,MATCH(C523,Services!$B$5:$B$64,0)),0),2))</f>
        <v>0</v>
      </c>
      <c r="R523" s="38">
        <f>IF(OR(B523="",P523=0),"",(P523-Q523)/P523)</f>
        <v>0</v>
      </c>
      <c r="S523" s="31">
        <f>IF(OR(B523="",C523=""),"",COUNTIFS($B$5:B523,B523))</f>
        <v>0</v>
      </c>
      <c r="T523" s="23">
        <f>IF(S523="","",B523&amp;"|"&amp;S523)</f>
        <v>0</v>
      </c>
      <c r="U523" s="39">
        <f>IF(B523="","",IF(C523="","Add - pick a service",IF(E523="","Add - how many?",IF(L523=0,"Add - no price",IF(AND(R523&lt;&gt;"",R523&lt;MarginFloor),"Below - thin margin","OK")))))</f>
        <v>0</v>
      </c>
    </row>
    <row r="524" spans="1:21">
      <c r="A524" s="43">
        <f>IF(B524="","","QL-"&amp;TEXT(ROW()-4,"0000"))</f>
        <v>0</v>
      </c>
      <c r="J524" s="21">
        <f>IF(C524="","",IFERROR(INDEX(Services!$P$5:$P$64,MATCH(C524,Services!$B$5:$B$64,0)),"0"))</f>
        <v>0</v>
      </c>
      <c r="K524" s="23">
        <f>IF(C524="","",IFERROR(INDEX(Services!$E$5:$E$64,MATCH(C524,Services!$B$5:$B$64,0)),""))</f>
        <v>0</v>
      </c>
      <c r="L524" s="21">
        <f>IF(B524="","",IF(F524&lt;&gt;"",F524,IFERROR(J524*1,0)))</f>
        <v>0</v>
      </c>
      <c r="M524" s="51">
        <f>IF(B524="","",IF(D524&lt;&gt;"",D524,IFERROR(INDEX(Services!$O$5:$O$64,MATCH(C524,Services!$B$5:$B$64,0)),"")))</f>
        <v>0</v>
      </c>
      <c r="N524" s="34">
        <f>IF(B524="","",IFERROR(INDEX(Services!$G$5:$G$64,MATCH(C524,Services!$B$5:$B$64,0)),0)*IF(E524="",1,IF(IFERROR(INDEX(Services!$D$5:$D$64,MATCH(C524,Services!$B$5:$B$64,0)),"")="Per hour",1,E524)))</f>
        <v>0</v>
      </c>
      <c r="O524" s="21">
        <f>IF(B524="","",ROUND(IF(E524="",1,E524)*L524,2))</f>
        <v>0</v>
      </c>
      <c r="P524" s="21">
        <f>IF(B524="","",ROUND(O524*(1-IF(G524="",0,G524)),2))</f>
        <v>0</v>
      </c>
      <c r="Q524" s="21">
        <f>IF(B524="","",ROUND(N524*CostPerHour+IF(E524="",1,E524)*IFERROR(INDEX(Services!$R$5:$R$64,MATCH(C524,Services!$B$5:$B$64,0)),0),2))</f>
        <v>0</v>
      </c>
      <c r="R524" s="38">
        <f>IF(OR(B524="",P524=0),"",(P524-Q524)/P524)</f>
        <v>0</v>
      </c>
      <c r="S524" s="31">
        <f>IF(OR(B524="",C524=""),"",COUNTIFS($B$5:B524,B524))</f>
        <v>0</v>
      </c>
      <c r="T524" s="23">
        <f>IF(S524="","",B524&amp;"|"&amp;S524)</f>
        <v>0</v>
      </c>
      <c r="U524" s="39">
        <f>IF(B524="","",IF(C524="","Add - pick a service",IF(E524="","Add - how many?",IF(L524=0,"Add - no price",IF(AND(R524&lt;&gt;"",R524&lt;MarginFloor),"Below - thin margin","OK")))))</f>
        <v>0</v>
      </c>
    </row>
    <row r="525" spans="1:21">
      <c r="A525" s="43">
        <f>IF(B525="","","QL-"&amp;TEXT(ROW()-4,"0000"))</f>
        <v>0</v>
      </c>
      <c r="J525" s="21">
        <f>IF(C525="","",IFERROR(INDEX(Services!$P$5:$P$64,MATCH(C525,Services!$B$5:$B$64,0)),"0"))</f>
        <v>0</v>
      </c>
      <c r="K525" s="23">
        <f>IF(C525="","",IFERROR(INDEX(Services!$E$5:$E$64,MATCH(C525,Services!$B$5:$B$64,0)),""))</f>
        <v>0</v>
      </c>
      <c r="L525" s="21">
        <f>IF(B525="","",IF(F525&lt;&gt;"",F525,IFERROR(J525*1,0)))</f>
        <v>0</v>
      </c>
      <c r="M525" s="51">
        <f>IF(B525="","",IF(D525&lt;&gt;"",D525,IFERROR(INDEX(Services!$O$5:$O$64,MATCH(C525,Services!$B$5:$B$64,0)),"")))</f>
        <v>0</v>
      </c>
      <c r="N525" s="34">
        <f>IF(B525="","",IFERROR(INDEX(Services!$G$5:$G$64,MATCH(C525,Services!$B$5:$B$64,0)),0)*IF(E525="",1,IF(IFERROR(INDEX(Services!$D$5:$D$64,MATCH(C525,Services!$B$5:$B$64,0)),"")="Per hour",1,E525)))</f>
        <v>0</v>
      </c>
      <c r="O525" s="21">
        <f>IF(B525="","",ROUND(IF(E525="",1,E525)*L525,2))</f>
        <v>0</v>
      </c>
      <c r="P525" s="21">
        <f>IF(B525="","",ROUND(O525*(1-IF(G525="",0,G525)),2))</f>
        <v>0</v>
      </c>
      <c r="Q525" s="21">
        <f>IF(B525="","",ROUND(N525*CostPerHour+IF(E525="",1,E525)*IFERROR(INDEX(Services!$R$5:$R$64,MATCH(C525,Services!$B$5:$B$64,0)),0),2))</f>
        <v>0</v>
      </c>
      <c r="R525" s="38">
        <f>IF(OR(B525="",P525=0),"",(P525-Q525)/P525)</f>
        <v>0</v>
      </c>
      <c r="S525" s="31">
        <f>IF(OR(B525="",C525=""),"",COUNTIFS($B$5:B525,B525))</f>
        <v>0</v>
      </c>
      <c r="T525" s="23">
        <f>IF(S525="","",B525&amp;"|"&amp;S525)</f>
        <v>0</v>
      </c>
      <c r="U525" s="39">
        <f>IF(B525="","",IF(C525="","Add - pick a service",IF(E525="","Add - how many?",IF(L525=0,"Add - no price",IF(AND(R525&lt;&gt;"",R525&lt;MarginFloor),"Below - thin margin","OK")))))</f>
        <v>0</v>
      </c>
    </row>
    <row r="526" spans="1:21">
      <c r="A526" s="43">
        <f>IF(B526="","","QL-"&amp;TEXT(ROW()-4,"0000"))</f>
        <v>0</v>
      </c>
      <c r="J526" s="21">
        <f>IF(C526="","",IFERROR(INDEX(Services!$P$5:$P$64,MATCH(C526,Services!$B$5:$B$64,0)),"0"))</f>
        <v>0</v>
      </c>
      <c r="K526" s="23">
        <f>IF(C526="","",IFERROR(INDEX(Services!$E$5:$E$64,MATCH(C526,Services!$B$5:$B$64,0)),""))</f>
        <v>0</v>
      </c>
      <c r="L526" s="21">
        <f>IF(B526="","",IF(F526&lt;&gt;"",F526,IFERROR(J526*1,0)))</f>
        <v>0</v>
      </c>
      <c r="M526" s="51">
        <f>IF(B526="","",IF(D526&lt;&gt;"",D526,IFERROR(INDEX(Services!$O$5:$O$64,MATCH(C526,Services!$B$5:$B$64,0)),"")))</f>
        <v>0</v>
      </c>
      <c r="N526" s="34">
        <f>IF(B526="","",IFERROR(INDEX(Services!$G$5:$G$64,MATCH(C526,Services!$B$5:$B$64,0)),0)*IF(E526="",1,IF(IFERROR(INDEX(Services!$D$5:$D$64,MATCH(C526,Services!$B$5:$B$64,0)),"")="Per hour",1,E526)))</f>
        <v>0</v>
      </c>
      <c r="O526" s="21">
        <f>IF(B526="","",ROUND(IF(E526="",1,E526)*L526,2))</f>
        <v>0</v>
      </c>
      <c r="P526" s="21">
        <f>IF(B526="","",ROUND(O526*(1-IF(G526="",0,G526)),2))</f>
        <v>0</v>
      </c>
      <c r="Q526" s="21">
        <f>IF(B526="","",ROUND(N526*CostPerHour+IF(E526="",1,E526)*IFERROR(INDEX(Services!$R$5:$R$64,MATCH(C526,Services!$B$5:$B$64,0)),0),2))</f>
        <v>0</v>
      </c>
      <c r="R526" s="38">
        <f>IF(OR(B526="",P526=0),"",(P526-Q526)/P526)</f>
        <v>0</v>
      </c>
      <c r="S526" s="31">
        <f>IF(OR(B526="",C526=""),"",COUNTIFS($B$5:B526,B526))</f>
        <v>0</v>
      </c>
      <c r="T526" s="23">
        <f>IF(S526="","",B526&amp;"|"&amp;S526)</f>
        <v>0</v>
      </c>
      <c r="U526" s="39">
        <f>IF(B526="","",IF(C526="","Add - pick a service",IF(E526="","Add - how many?",IF(L526=0,"Add - no price",IF(AND(R526&lt;&gt;"",R526&lt;MarginFloor),"Below - thin margin","OK")))))</f>
        <v>0</v>
      </c>
    </row>
    <row r="527" spans="1:21">
      <c r="A527" s="43">
        <f>IF(B527="","","QL-"&amp;TEXT(ROW()-4,"0000"))</f>
        <v>0</v>
      </c>
      <c r="J527" s="21">
        <f>IF(C527="","",IFERROR(INDEX(Services!$P$5:$P$64,MATCH(C527,Services!$B$5:$B$64,0)),"0"))</f>
        <v>0</v>
      </c>
      <c r="K527" s="23">
        <f>IF(C527="","",IFERROR(INDEX(Services!$E$5:$E$64,MATCH(C527,Services!$B$5:$B$64,0)),""))</f>
        <v>0</v>
      </c>
      <c r="L527" s="21">
        <f>IF(B527="","",IF(F527&lt;&gt;"",F527,IFERROR(J527*1,0)))</f>
        <v>0</v>
      </c>
      <c r="M527" s="51">
        <f>IF(B527="","",IF(D527&lt;&gt;"",D527,IFERROR(INDEX(Services!$O$5:$O$64,MATCH(C527,Services!$B$5:$B$64,0)),"")))</f>
        <v>0</v>
      </c>
      <c r="N527" s="34">
        <f>IF(B527="","",IFERROR(INDEX(Services!$G$5:$G$64,MATCH(C527,Services!$B$5:$B$64,0)),0)*IF(E527="",1,IF(IFERROR(INDEX(Services!$D$5:$D$64,MATCH(C527,Services!$B$5:$B$64,0)),"")="Per hour",1,E527)))</f>
        <v>0</v>
      </c>
      <c r="O527" s="21">
        <f>IF(B527="","",ROUND(IF(E527="",1,E527)*L527,2))</f>
        <v>0</v>
      </c>
      <c r="P527" s="21">
        <f>IF(B527="","",ROUND(O527*(1-IF(G527="",0,G527)),2))</f>
        <v>0</v>
      </c>
      <c r="Q527" s="21">
        <f>IF(B527="","",ROUND(N527*CostPerHour+IF(E527="",1,E527)*IFERROR(INDEX(Services!$R$5:$R$64,MATCH(C527,Services!$B$5:$B$64,0)),0),2))</f>
        <v>0</v>
      </c>
      <c r="R527" s="38">
        <f>IF(OR(B527="",P527=0),"",(P527-Q527)/P527)</f>
        <v>0</v>
      </c>
      <c r="S527" s="31">
        <f>IF(OR(B527="",C527=""),"",COUNTIFS($B$5:B527,B527))</f>
        <v>0</v>
      </c>
      <c r="T527" s="23">
        <f>IF(S527="","",B527&amp;"|"&amp;S527)</f>
        <v>0</v>
      </c>
      <c r="U527" s="39">
        <f>IF(B527="","",IF(C527="","Add - pick a service",IF(E527="","Add - how many?",IF(L527=0,"Add - no price",IF(AND(R527&lt;&gt;"",R527&lt;MarginFloor),"Below - thin margin","OK")))))</f>
        <v>0</v>
      </c>
    </row>
    <row r="528" spans="1:21">
      <c r="A528" s="43">
        <f>IF(B528="","","QL-"&amp;TEXT(ROW()-4,"0000"))</f>
        <v>0</v>
      </c>
      <c r="J528" s="21">
        <f>IF(C528="","",IFERROR(INDEX(Services!$P$5:$P$64,MATCH(C528,Services!$B$5:$B$64,0)),"0"))</f>
        <v>0</v>
      </c>
      <c r="K528" s="23">
        <f>IF(C528="","",IFERROR(INDEX(Services!$E$5:$E$64,MATCH(C528,Services!$B$5:$B$64,0)),""))</f>
        <v>0</v>
      </c>
      <c r="L528" s="21">
        <f>IF(B528="","",IF(F528&lt;&gt;"",F528,IFERROR(J528*1,0)))</f>
        <v>0</v>
      </c>
      <c r="M528" s="51">
        <f>IF(B528="","",IF(D528&lt;&gt;"",D528,IFERROR(INDEX(Services!$O$5:$O$64,MATCH(C528,Services!$B$5:$B$64,0)),"")))</f>
        <v>0</v>
      </c>
      <c r="N528" s="34">
        <f>IF(B528="","",IFERROR(INDEX(Services!$G$5:$G$64,MATCH(C528,Services!$B$5:$B$64,0)),0)*IF(E528="",1,IF(IFERROR(INDEX(Services!$D$5:$D$64,MATCH(C528,Services!$B$5:$B$64,0)),"")="Per hour",1,E528)))</f>
        <v>0</v>
      </c>
      <c r="O528" s="21">
        <f>IF(B528="","",ROUND(IF(E528="",1,E528)*L528,2))</f>
        <v>0</v>
      </c>
      <c r="P528" s="21">
        <f>IF(B528="","",ROUND(O528*(1-IF(G528="",0,G528)),2))</f>
        <v>0</v>
      </c>
      <c r="Q528" s="21">
        <f>IF(B528="","",ROUND(N528*CostPerHour+IF(E528="",1,E528)*IFERROR(INDEX(Services!$R$5:$R$64,MATCH(C528,Services!$B$5:$B$64,0)),0),2))</f>
        <v>0</v>
      </c>
      <c r="R528" s="38">
        <f>IF(OR(B528="",P528=0),"",(P528-Q528)/P528)</f>
        <v>0</v>
      </c>
      <c r="S528" s="31">
        <f>IF(OR(B528="",C528=""),"",COUNTIFS($B$5:B528,B528))</f>
        <v>0</v>
      </c>
      <c r="T528" s="23">
        <f>IF(S528="","",B528&amp;"|"&amp;S528)</f>
        <v>0</v>
      </c>
      <c r="U528" s="39">
        <f>IF(B528="","",IF(C528="","Add - pick a service",IF(E528="","Add - how many?",IF(L528=0,"Add - no price",IF(AND(R528&lt;&gt;"",R528&lt;MarginFloor),"Below - thin margin","OK")))))</f>
        <v>0</v>
      </c>
    </row>
    <row r="529" spans="1:21">
      <c r="A529" s="43">
        <f>IF(B529="","","QL-"&amp;TEXT(ROW()-4,"0000"))</f>
        <v>0</v>
      </c>
      <c r="J529" s="21">
        <f>IF(C529="","",IFERROR(INDEX(Services!$P$5:$P$64,MATCH(C529,Services!$B$5:$B$64,0)),"0"))</f>
        <v>0</v>
      </c>
      <c r="K529" s="23">
        <f>IF(C529="","",IFERROR(INDEX(Services!$E$5:$E$64,MATCH(C529,Services!$B$5:$B$64,0)),""))</f>
        <v>0</v>
      </c>
      <c r="L529" s="21">
        <f>IF(B529="","",IF(F529&lt;&gt;"",F529,IFERROR(J529*1,0)))</f>
        <v>0</v>
      </c>
      <c r="M529" s="51">
        <f>IF(B529="","",IF(D529&lt;&gt;"",D529,IFERROR(INDEX(Services!$O$5:$O$64,MATCH(C529,Services!$B$5:$B$64,0)),"")))</f>
        <v>0</v>
      </c>
      <c r="N529" s="34">
        <f>IF(B529="","",IFERROR(INDEX(Services!$G$5:$G$64,MATCH(C529,Services!$B$5:$B$64,0)),0)*IF(E529="",1,IF(IFERROR(INDEX(Services!$D$5:$D$64,MATCH(C529,Services!$B$5:$B$64,0)),"")="Per hour",1,E529)))</f>
        <v>0</v>
      </c>
      <c r="O529" s="21">
        <f>IF(B529="","",ROUND(IF(E529="",1,E529)*L529,2))</f>
        <v>0</v>
      </c>
      <c r="P529" s="21">
        <f>IF(B529="","",ROUND(O529*(1-IF(G529="",0,G529)),2))</f>
        <v>0</v>
      </c>
      <c r="Q529" s="21">
        <f>IF(B529="","",ROUND(N529*CostPerHour+IF(E529="",1,E529)*IFERROR(INDEX(Services!$R$5:$R$64,MATCH(C529,Services!$B$5:$B$64,0)),0),2))</f>
        <v>0</v>
      </c>
      <c r="R529" s="38">
        <f>IF(OR(B529="",P529=0),"",(P529-Q529)/P529)</f>
        <v>0</v>
      </c>
      <c r="S529" s="31">
        <f>IF(OR(B529="",C529=""),"",COUNTIFS($B$5:B529,B529))</f>
        <v>0</v>
      </c>
      <c r="T529" s="23">
        <f>IF(S529="","",B529&amp;"|"&amp;S529)</f>
        <v>0</v>
      </c>
      <c r="U529" s="39">
        <f>IF(B529="","",IF(C529="","Add - pick a service",IF(E529="","Add - how many?",IF(L529=0,"Add - no price",IF(AND(R529&lt;&gt;"",R529&lt;MarginFloor),"Below - thin margin","OK")))))</f>
        <v>0</v>
      </c>
    </row>
    <row r="530" spans="1:21">
      <c r="A530" s="43">
        <f>IF(B530="","","QL-"&amp;TEXT(ROW()-4,"0000"))</f>
        <v>0</v>
      </c>
      <c r="J530" s="21">
        <f>IF(C530="","",IFERROR(INDEX(Services!$P$5:$P$64,MATCH(C530,Services!$B$5:$B$64,0)),"0"))</f>
        <v>0</v>
      </c>
      <c r="K530" s="23">
        <f>IF(C530="","",IFERROR(INDEX(Services!$E$5:$E$64,MATCH(C530,Services!$B$5:$B$64,0)),""))</f>
        <v>0</v>
      </c>
      <c r="L530" s="21">
        <f>IF(B530="","",IF(F530&lt;&gt;"",F530,IFERROR(J530*1,0)))</f>
        <v>0</v>
      </c>
      <c r="M530" s="51">
        <f>IF(B530="","",IF(D530&lt;&gt;"",D530,IFERROR(INDEX(Services!$O$5:$O$64,MATCH(C530,Services!$B$5:$B$64,0)),"")))</f>
        <v>0</v>
      </c>
      <c r="N530" s="34">
        <f>IF(B530="","",IFERROR(INDEX(Services!$G$5:$G$64,MATCH(C530,Services!$B$5:$B$64,0)),0)*IF(E530="",1,IF(IFERROR(INDEX(Services!$D$5:$D$64,MATCH(C530,Services!$B$5:$B$64,0)),"")="Per hour",1,E530)))</f>
        <v>0</v>
      </c>
      <c r="O530" s="21">
        <f>IF(B530="","",ROUND(IF(E530="",1,E530)*L530,2))</f>
        <v>0</v>
      </c>
      <c r="P530" s="21">
        <f>IF(B530="","",ROUND(O530*(1-IF(G530="",0,G530)),2))</f>
        <v>0</v>
      </c>
      <c r="Q530" s="21">
        <f>IF(B530="","",ROUND(N530*CostPerHour+IF(E530="",1,E530)*IFERROR(INDEX(Services!$R$5:$R$64,MATCH(C530,Services!$B$5:$B$64,0)),0),2))</f>
        <v>0</v>
      </c>
      <c r="R530" s="38">
        <f>IF(OR(B530="",P530=0),"",(P530-Q530)/P530)</f>
        <v>0</v>
      </c>
      <c r="S530" s="31">
        <f>IF(OR(B530="",C530=""),"",COUNTIFS($B$5:B530,B530))</f>
        <v>0</v>
      </c>
      <c r="T530" s="23">
        <f>IF(S530="","",B530&amp;"|"&amp;S530)</f>
        <v>0</v>
      </c>
      <c r="U530" s="39">
        <f>IF(B530="","",IF(C530="","Add - pick a service",IF(E530="","Add - how many?",IF(L530=0,"Add - no price",IF(AND(R530&lt;&gt;"",R530&lt;MarginFloor),"Below - thin margin","OK")))))</f>
        <v>0</v>
      </c>
    </row>
    <row r="531" spans="1:21">
      <c r="A531" s="43">
        <f>IF(B531="","","QL-"&amp;TEXT(ROW()-4,"0000"))</f>
        <v>0</v>
      </c>
      <c r="J531" s="21">
        <f>IF(C531="","",IFERROR(INDEX(Services!$P$5:$P$64,MATCH(C531,Services!$B$5:$B$64,0)),"0"))</f>
        <v>0</v>
      </c>
      <c r="K531" s="23">
        <f>IF(C531="","",IFERROR(INDEX(Services!$E$5:$E$64,MATCH(C531,Services!$B$5:$B$64,0)),""))</f>
        <v>0</v>
      </c>
      <c r="L531" s="21">
        <f>IF(B531="","",IF(F531&lt;&gt;"",F531,IFERROR(J531*1,0)))</f>
        <v>0</v>
      </c>
      <c r="M531" s="51">
        <f>IF(B531="","",IF(D531&lt;&gt;"",D531,IFERROR(INDEX(Services!$O$5:$O$64,MATCH(C531,Services!$B$5:$B$64,0)),"")))</f>
        <v>0</v>
      </c>
      <c r="N531" s="34">
        <f>IF(B531="","",IFERROR(INDEX(Services!$G$5:$G$64,MATCH(C531,Services!$B$5:$B$64,0)),0)*IF(E531="",1,IF(IFERROR(INDEX(Services!$D$5:$D$64,MATCH(C531,Services!$B$5:$B$64,0)),"")="Per hour",1,E531)))</f>
        <v>0</v>
      </c>
      <c r="O531" s="21">
        <f>IF(B531="","",ROUND(IF(E531="",1,E531)*L531,2))</f>
        <v>0</v>
      </c>
      <c r="P531" s="21">
        <f>IF(B531="","",ROUND(O531*(1-IF(G531="",0,G531)),2))</f>
        <v>0</v>
      </c>
      <c r="Q531" s="21">
        <f>IF(B531="","",ROUND(N531*CostPerHour+IF(E531="",1,E531)*IFERROR(INDEX(Services!$R$5:$R$64,MATCH(C531,Services!$B$5:$B$64,0)),0),2))</f>
        <v>0</v>
      </c>
      <c r="R531" s="38">
        <f>IF(OR(B531="",P531=0),"",(P531-Q531)/P531)</f>
        <v>0</v>
      </c>
      <c r="S531" s="31">
        <f>IF(OR(B531="",C531=""),"",COUNTIFS($B$5:B531,B531))</f>
        <v>0</v>
      </c>
      <c r="T531" s="23">
        <f>IF(S531="","",B531&amp;"|"&amp;S531)</f>
        <v>0</v>
      </c>
      <c r="U531" s="39">
        <f>IF(B531="","",IF(C531="","Add - pick a service",IF(E531="","Add - how many?",IF(L531=0,"Add - no price",IF(AND(R531&lt;&gt;"",R531&lt;MarginFloor),"Below - thin margin","OK")))))</f>
        <v>0</v>
      </c>
    </row>
    <row r="532" spans="1:21">
      <c r="A532" s="43">
        <f>IF(B532="","","QL-"&amp;TEXT(ROW()-4,"0000"))</f>
        <v>0</v>
      </c>
      <c r="J532" s="21">
        <f>IF(C532="","",IFERROR(INDEX(Services!$P$5:$P$64,MATCH(C532,Services!$B$5:$B$64,0)),"0"))</f>
        <v>0</v>
      </c>
      <c r="K532" s="23">
        <f>IF(C532="","",IFERROR(INDEX(Services!$E$5:$E$64,MATCH(C532,Services!$B$5:$B$64,0)),""))</f>
        <v>0</v>
      </c>
      <c r="L532" s="21">
        <f>IF(B532="","",IF(F532&lt;&gt;"",F532,IFERROR(J532*1,0)))</f>
        <v>0</v>
      </c>
      <c r="M532" s="51">
        <f>IF(B532="","",IF(D532&lt;&gt;"",D532,IFERROR(INDEX(Services!$O$5:$O$64,MATCH(C532,Services!$B$5:$B$64,0)),"")))</f>
        <v>0</v>
      </c>
      <c r="N532" s="34">
        <f>IF(B532="","",IFERROR(INDEX(Services!$G$5:$G$64,MATCH(C532,Services!$B$5:$B$64,0)),0)*IF(E532="",1,IF(IFERROR(INDEX(Services!$D$5:$D$64,MATCH(C532,Services!$B$5:$B$64,0)),"")="Per hour",1,E532)))</f>
        <v>0</v>
      </c>
      <c r="O532" s="21">
        <f>IF(B532="","",ROUND(IF(E532="",1,E532)*L532,2))</f>
        <v>0</v>
      </c>
      <c r="P532" s="21">
        <f>IF(B532="","",ROUND(O532*(1-IF(G532="",0,G532)),2))</f>
        <v>0</v>
      </c>
      <c r="Q532" s="21">
        <f>IF(B532="","",ROUND(N532*CostPerHour+IF(E532="",1,E532)*IFERROR(INDEX(Services!$R$5:$R$64,MATCH(C532,Services!$B$5:$B$64,0)),0),2))</f>
        <v>0</v>
      </c>
      <c r="R532" s="38">
        <f>IF(OR(B532="",P532=0),"",(P532-Q532)/P532)</f>
        <v>0</v>
      </c>
      <c r="S532" s="31">
        <f>IF(OR(B532="",C532=""),"",COUNTIFS($B$5:B532,B532))</f>
        <v>0</v>
      </c>
      <c r="T532" s="23">
        <f>IF(S532="","",B532&amp;"|"&amp;S532)</f>
        <v>0</v>
      </c>
      <c r="U532" s="39">
        <f>IF(B532="","",IF(C532="","Add - pick a service",IF(E532="","Add - how many?",IF(L532=0,"Add - no price",IF(AND(R532&lt;&gt;"",R532&lt;MarginFloor),"Below - thin margin","OK")))))</f>
        <v>0</v>
      </c>
    </row>
    <row r="533" spans="1:21">
      <c r="A533" s="43">
        <f>IF(B533="","","QL-"&amp;TEXT(ROW()-4,"0000"))</f>
        <v>0</v>
      </c>
      <c r="J533" s="21">
        <f>IF(C533="","",IFERROR(INDEX(Services!$P$5:$P$64,MATCH(C533,Services!$B$5:$B$64,0)),"0"))</f>
        <v>0</v>
      </c>
      <c r="K533" s="23">
        <f>IF(C533="","",IFERROR(INDEX(Services!$E$5:$E$64,MATCH(C533,Services!$B$5:$B$64,0)),""))</f>
        <v>0</v>
      </c>
      <c r="L533" s="21">
        <f>IF(B533="","",IF(F533&lt;&gt;"",F533,IFERROR(J533*1,0)))</f>
        <v>0</v>
      </c>
      <c r="M533" s="51">
        <f>IF(B533="","",IF(D533&lt;&gt;"",D533,IFERROR(INDEX(Services!$O$5:$O$64,MATCH(C533,Services!$B$5:$B$64,0)),"")))</f>
        <v>0</v>
      </c>
      <c r="N533" s="34">
        <f>IF(B533="","",IFERROR(INDEX(Services!$G$5:$G$64,MATCH(C533,Services!$B$5:$B$64,0)),0)*IF(E533="",1,IF(IFERROR(INDEX(Services!$D$5:$D$64,MATCH(C533,Services!$B$5:$B$64,0)),"")="Per hour",1,E533)))</f>
        <v>0</v>
      </c>
      <c r="O533" s="21">
        <f>IF(B533="","",ROUND(IF(E533="",1,E533)*L533,2))</f>
        <v>0</v>
      </c>
      <c r="P533" s="21">
        <f>IF(B533="","",ROUND(O533*(1-IF(G533="",0,G533)),2))</f>
        <v>0</v>
      </c>
      <c r="Q533" s="21">
        <f>IF(B533="","",ROUND(N533*CostPerHour+IF(E533="",1,E533)*IFERROR(INDEX(Services!$R$5:$R$64,MATCH(C533,Services!$B$5:$B$64,0)),0),2))</f>
        <v>0</v>
      </c>
      <c r="R533" s="38">
        <f>IF(OR(B533="",P533=0),"",(P533-Q533)/P533)</f>
        <v>0</v>
      </c>
      <c r="S533" s="31">
        <f>IF(OR(B533="",C533=""),"",COUNTIFS($B$5:B533,B533))</f>
        <v>0</v>
      </c>
      <c r="T533" s="23">
        <f>IF(S533="","",B533&amp;"|"&amp;S533)</f>
        <v>0</v>
      </c>
      <c r="U533" s="39">
        <f>IF(B533="","",IF(C533="","Add - pick a service",IF(E533="","Add - how many?",IF(L533=0,"Add - no price",IF(AND(R533&lt;&gt;"",R533&lt;MarginFloor),"Below - thin margin","OK")))))</f>
        <v>0</v>
      </c>
    </row>
    <row r="534" spans="1:21">
      <c r="A534" s="43">
        <f>IF(B534="","","QL-"&amp;TEXT(ROW()-4,"0000"))</f>
        <v>0</v>
      </c>
      <c r="J534" s="21">
        <f>IF(C534="","",IFERROR(INDEX(Services!$P$5:$P$64,MATCH(C534,Services!$B$5:$B$64,0)),"0"))</f>
        <v>0</v>
      </c>
      <c r="K534" s="23">
        <f>IF(C534="","",IFERROR(INDEX(Services!$E$5:$E$64,MATCH(C534,Services!$B$5:$B$64,0)),""))</f>
        <v>0</v>
      </c>
      <c r="L534" s="21">
        <f>IF(B534="","",IF(F534&lt;&gt;"",F534,IFERROR(J534*1,0)))</f>
        <v>0</v>
      </c>
      <c r="M534" s="51">
        <f>IF(B534="","",IF(D534&lt;&gt;"",D534,IFERROR(INDEX(Services!$O$5:$O$64,MATCH(C534,Services!$B$5:$B$64,0)),"")))</f>
        <v>0</v>
      </c>
      <c r="N534" s="34">
        <f>IF(B534="","",IFERROR(INDEX(Services!$G$5:$G$64,MATCH(C534,Services!$B$5:$B$64,0)),0)*IF(E534="",1,IF(IFERROR(INDEX(Services!$D$5:$D$64,MATCH(C534,Services!$B$5:$B$64,0)),"")="Per hour",1,E534)))</f>
        <v>0</v>
      </c>
      <c r="O534" s="21">
        <f>IF(B534="","",ROUND(IF(E534="",1,E534)*L534,2))</f>
        <v>0</v>
      </c>
      <c r="P534" s="21">
        <f>IF(B534="","",ROUND(O534*(1-IF(G534="",0,G534)),2))</f>
        <v>0</v>
      </c>
      <c r="Q534" s="21">
        <f>IF(B534="","",ROUND(N534*CostPerHour+IF(E534="",1,E534)*IFERROR(INDEX(Services!$R$5:$R$64,MATCH(C534,Services!$B$5:$B$64,0)),0),2))</f>
        <v>0</v>
      </c>
      <c r="R534" s="38">
        <f>IF(OR(B534="",P534=0),"",(P534-Q534)/P534)</f>
        <v>0</v>
      </c>
      <c r="S534" s="31">
        <f>IF(OR(B534="",C534=""),"",COUNTIFS($B$5:B534,B534))</f>
        <v>0</v>
      </c>
      <c r="T534" s="23">
        <f>IF(S534="","",B534&amp;"|"&amp;S534)</f>
        <v>0</v>
      </c>
      <c r="U534" s="39">
        <f>IF(B534="","",IF(C534="","Add - pick a service",IF(E534="","Add - how many?",IF(L534=0,"Add - no price",IF(AND(R534&lt;&gt;"",R534&lt;MarginFloor),"Below - thin margin","OK")))))</f>
        <v>0</v>
      </c>
    </row>
    <row r="535" spans="1:21">
      <c r="A535" s="43">
        <f>IF(B535="","","QL-"&amp;TEXT(ROW()-4,"0000"))</f>
        <v>0</v>
      </c>
      <c r="J535" s="21">
        <f>IF(C535="","",IFERROR(INDEX(Services!$P$5:$P$64,MATCH(C535,Services!$B$5:$B$64,0)),"0"))</f>
        <v>0</v>
      </c>
      <c r="K535" s="23">
        <f>IF(C535="","",IFERROR(INDEX(Services!$E$5:$E$64,MATCH(C535,Services!$B$5:$B$64,0)),""))</f>
        <v>0</v>
      </c>
      <c r="L535" s="21">
        <f>IF(B535="","",IF(F535&lt;&gt;"",F535,IFERROR(J535*1,0)))</f>
        <v>0</v>
      </c>
      <c r="M535" s="51">
        <f>IF(B535="","",IF(D535&lt;&gt;"",D535,IFERROR(INDEX(Services!$O$5:$O$64,MATCH(C535,Services!$B$5:$B$64,0)),"")))</f>
        <v>0</v>
      </c>
      <c r="N535" s="34">
        <f>IF(B535="","",IFERROR(INDEX(Services!$G$5:$G$64,MATCH(C535,Services!$B$5:$B$64,0)),0)*IF(E535="",1,IF(IFERROR(INDEX(Services!$D$5:$D$64,MATCH(C535,Services!$B$5:$B$64,0)),"")="Per hour",1,E535)))</f>
        <v>0</v>
      </c>
      <c r="O535" s="21">
        <f>IF(B535="","",ROUND(IF(E535="",1,E535)*L535,2))</f>
        <v>0</v>
      </c>
      <c r="P535" s="21">
        <f>IF(B535="","",ROUND(O535*(1-IF(G535="",0,G535)),2))</f>
        <v>0</v>
      </c>
      <c r="Q535" s="21">
        <f>IF(B535="","",ROUND(N535*CostPerHour+IF(E535="",1,E535)*IFERROR(INDEX(Services!$R$5:$R$64,MATCH(C535,Services!$B$5:$B$64,0)),0),2))</f>
        <v>0</v>
      </c>
      <c r="R535" s="38">
        <f>IF(OR(B535="",P535=0),"",(P535-Q535)/P535)</f>
        <v>0</v>
      </c>
      <c r="S535" s="31">
        <f>IF(OR(B535="",C535=""),"",COUNTIFS($B$5:B535,B535))</f>
        <v>0</v>
      </c>
      <c r="T535" s="23">
        <f>IF(S535="","",B535&amp;"|"&amp;S535)</f>
        <v>0</v>
      </c>
      <c r="U535" s="39">
        <f>IF(B535="","",IF(C535="","Add - pick a service",IF(E535="","Add - how many?",IF(L535=0,"Add - no price",IF(AND(R535&lt;&gt;"",R535&lt;MarginFloor),"Below - thin margin","OK")))))</f>
        <v>0</v>
      </c>
    </row>
    <row r="536" spans="1:21">
      <c r="A536" s="43">
        <f>IF(B536="","","QL-"&amp;TEXT(ROW()-4,"0000"))</f>
        <v>0</v>
      </c>
      <c r="J536" s="21">
        <f>IF(C536="","",IFERROR(INDEX(Services!$P$5:$P$64,MATCH(C536,Services!$B$5:$B$64,0)),"0"))</f>
        <v>0</v>
      </c>
      <c r="K536" s="23">
        <f>IF(C536="","",IFERROR(INDEX(Services!$E$5:$E$64,MATCH(C536,Services!$B$5:$B$64,0)),""))</f>
        <v>0</v>
      </c>
      <c r="L536" s="21">
        <f>IF(B536="","",IF(F536&lt;&gt;"",F536,IFERROR(J536*1,0)))</f>
        <v>0</v>
      </c>
      <c r="M536" s="51">
        <f>IF(B536="","",IF(D536&lt;&gt;"",D536,IFERROR(INDEX(Services!$O$5:$O$64,MATCH(C536,Services!$B$5:$B$64,0)),"")))</f>
        <v>0</v>
      </c>
      <c r="N536" s="34">
        <f>IF(B536="","",IFERROR(INDEX(Services!$G$5:$G$64,MATCH(C536,Services!$B$5:$B$64,0)),0)*IF(E536="",1,IF(IFERROR(INDEX(Services!$D$5:$D$64,MATCH(C536,Services!$B$5:$B$64,0)),"")="Per hour",1,E536)))</f>
        <v>0</v>
      </c>
      <c r="O536" s="21">
        <f>IF(B536="","",ROUND(IF(E536="",1,E536)*L536,2))</f>
        <v>0</v>
      </c>
      <c r="P536" s="21">
        <f>IF(B536="","",ROUND(O536*(1-IF(G536="",0,G536)),2))</f>
        <v>0</v>
      </c>
      <c r="Q536" s="21">
        <f>IF(B536="","",ROUND(N536*CostPerHour+IF(E536="",1,E536)*IFERROR(INDEX(Services!$R$5:$R$64,MATCH(C536,Services!$B$5:$B$64,0)),0),2))</f>
        <v>0</v>
      </c>
      <c r="R536" s="38">
        <f>IF(OR(B536="",P536=0),"",(P536-Q536)/P536)</f>
        <v>0</v>
      </c>
      <c r="S536" s="31">
        <f>IF(OR(B536="",C536=""),"",COUNTIFS($B$5:B536,B536))</f>
        <v>0</v>
      </c>
      <c r="T536" s="23">
        <f>IF(S536="","",B536&amp;"|"&amp;S536)</f>
        <v>0</v>
      </c>
      <c r="U536" s="39">
        <f>IF(B536="","",IF(C536="","Add - pick a service",IF(E536="","Add - how many?",IF(L536=0,"Add - no price",IF(AND(R536&lt;&gt;"",R536&lt;MarginFloor),"Below - thin margin","OK")))))</f>
        <v>0</v>
      </c>
    </row>
    <row r="537" spans="1:21">
      <c r="A537" s="43">
        <f>IF(B537="","","QL-"&amp;TEXT(ROW()-4,"0000"))</f>
        <v>0</v>
      </c>
      <c r="J537" s="21">
        <f>IF(C537="","",IFERROR(INDEX(Services!$P$5:$P$64,MATCH(C537,Services!$B$5:$B$64,0)),"0"))</f>
        <v>0</v>
      </c>
      <c r="K537" s="23">
        <f>IF(C537="","",IFERROR(INDEX(Services!$E$5:$E$64,MATCH(C537,Services!$B$5:$B$64,0)),""))</f>
        <v>0</v>
      </c>
      <c r="L537" s="21">
        <f>IF(B537="","",IF(F537&lt;&gt;"",F537,IFERROR(J537*1,0)))</f>
        <v>0</v>
      </c>
      <c r="M537" s="51">
        <f>IF(B537="","",IF(D537&lt;&gt;"",D537,IFERROR(INDEX(Services!$O$5:$O$64,MATCH(C537,Services!$B$5:$B$64,0)),"")))</f>
        <v>0</v>
      </c>
      <c r="N537" s="34">
        <f>IF(B537="","",IFERROR(INDEX(Services!$G$5:$G$64,MATCH(C537,Services!$B$5:$B$64,0)),0)*IF(E537="",1,IF(IFERROR(INDEX(Services!$D$5:$D$64,MATCH(C537,Services!$B$5:$B$64,0)),"")="Per hour",1,E537)))</f>
        <v>0</v>
      </c>
      <c r="O537" s="21">
        <f>IF(B537="","",ROUND(IF(E537="",1,E537)*L537,2))</f>
        <v>0</v>
      </c>
      <c r="P537" s="21">
        <f>IF(B537="","",ROUND(O537*(1-IF(G537="",0,G537)),2))</f>
        <v>0</v>
      </c>
      <c r="Q537" s="21">
        <f>IF(B537="","",ROUND(N537*CostPerHour+IF(E537="",1,E537)*IFERROR(INDEX(Services!$R$5:$R$64,MATCH(C537,Services!$B$5:$B$64,0)),0),2))</f>
        <v>0</v>
      </c>
      <c r="R537" s="38">
        <f>IF(OR(B537="",P537=0),"",(P537-Q537)/P537)</f>
        <v>0</v>
      </c>
      <c r="S537" s="31">
        <f>IF(OR(B537="",C537=""),"",COUNTIFS($B$5:B537,B537))</f>
        <v>0</v>
      </c>
      <c r="T537" s="23">
        <f>IF(S537="","",B537&amp;"|"&amp;S537)</f>
        <v>0</v>
      </c>
      <c r="U537" s="39">
        <f>IF(B537="","",IF(C537="","Add - pick a service",IF(E537="","Add - how many?",IF(L537=0,"Add - no price",IF(AND(R537&lt;&gt;"",R537&lt;MarginFloor),"Below - thin margin","OK")))))</f>
        <v>0</v>
      </c>
    </row>
    <row r="538" spans="1:21">
      <c r="A538" s="43">
        <f>IF(B538="","","QL-"&amp;TEXT(ROW()-4,"0000"))</f>
        <v>0</v>
      </c>
      <c r="J538" s="21">
        <f>IF(C538="","",IFERROR(INDEX(Services!$P$5:$P$64,MATCH(C538,Services!$B$5:$B$64,0)),"0"))</f>
        <v>0</v>
      </c>
      <c r="K538" s="23">
        <f>IF(C538="","",IFERROR(INDEX(Services!$E$5:$E$64,MATCH(C538,Services!$B$5:$B$64,0)),""))</f>
        <v>0</v>
      </c>
      <c r="L538" s="21">
        <f>IF(B538="","",IF(F538&lt;&gt;"",F538,IFERROR(J538*1,0)))</f>
        <v>0</v>
      </c>
      <c r="M538" s="51">
        <f>IF(B538="","",IF(D538&lt;&gt;"",D538,IFERROR(INDEX(Services!$O$5:$O$64,MATCH(C538,Services!$B$5:$B$64,0)),"")))</f>
        <v>0</v>
      </c>
      <c r="N538" s="34">
        <f>IF(B538="","",IFERROR(INDEX(Services!$G$5:$G$64,MATCH(C538,Services!$B$5:$B$64,0)),0)*IF(E538="",1,IF(IFERROR(INDEX(Services!$D$5:$D$64,MATCH(C538,Services!$B$5:$B$64,0)),"")="Per hour",1,E538)))</f>
        <v>0</v>
      </c>
      <c r="O538" s="21">
        <f>IF(B538="","",ROUND(IF(E538="",1,E538)*L538,2))</f>
        <v>0</v>
      </c>
      <c r="P538" s="21">
        <f>IF(B538="","",ROUND(O538*(1-IF(G538="",0,G538)),2))</f>
        <v>0</v>
      </c>
      <c r="Q538" s="21">
        <f>IF(B538="","",ROUND(N538*CostPerHour+IF(E538="",1,E538)*IFERROR(INDEX(Services!$R$5:$R$64,MATCH(C538,Services!$B$5:$B$64,0)),0),2))</f>
        <v>0</v>
      </c>
      <c r="R538" s="38">
        <f>IF(OR(B538="",P538=0),"",(P538-Q538)/P538)</f>
        <v>0</v>
      </c>
      <c r="S538" s="31">
        <f>IF(OR(B538="",C538=""),"",COUNTIFS($B$5:B538,B538))</f>
        <v>0</v>
      </c>
      <c r="T538" s="23">
        <f>IF(S538="","",B538&amp;"|"&amp;S538)</f>
        <v>0</v>
      </c>
      <c r="U538" s="39">
        <f>IF(B538="","",IF(C538="","Add - pick a service",IF(E538="","Add - how many?",IF(L538=0,"Add - no price",IF(AND(R538&lt;&gt;"",R538&lt;MarginFloor),"Below - thin margin","OK")))))</f>
        <v>0</v>
      </c>
    </row>
    <row r="539" spans="1:21">
      <c r="A539" s="43">
        <f>IF(B539="","","QL-"&amp;TEXT(ROW()-4,"0000"))</f>
        <v>0</v>
      </c>
      <c r="J539" s="21">
        <f>IF(C539="","",IFERROR(INDEX(Services!$P$5:$P$64,MATCH(C539,Services!$B$5:$B$64,0)),"0"))</f>
        <v>0</v>
      </c>
      <c r="K539" s="23">
        <f>IF(C539="","",IFERROR(INDEX(Services!$E$5:$E$64,MATCH(C539,Services!$B$5:$B$64,0)),""))</f>
        <v>0</v>
      </c>
      <c r="L539" s="21">
        <f>IF(B539="","",IF(F539&lt;&gt;"",F539,IFERROR(J539*1,0)))</f>
        <v>0</v>
      </c>
      <c r="M539" s="51">
        <f>IF(B539="","",IF(D539&lt;&gt;"",D539,IFERROR(INDEX(Services!$O$5:$O$64,MATCH(C539,Services!$B$5:$B$64,0)),"")))</f>
        <v>0</v>
      </c>
      <c r="N539" s="34">
        <f>IF(B539="","",IFERROR(INDEX(Services!$G$5:$G$64,MATCH(C539,Services!$B$5:$B$64,0)),0)*IF(E539="",1,IF(IFERROR(INDEX(Services!$D$5:$D$64,MATCH(C539,Services!$B$5:$B$64,0)),"")="Per hour",1,E539)))</f>
        <v>0</v>
      </c>
      <c r="O539" s="21">
        <f>IF(B539="","",ROUND(IF(E539="",1,E539)*L539,2))</f>
        <v>0</v>
      </c>
      <c r="P539" s="21">
        <f>IF(B539="","",ROUND(O539*(1-IF(G539="",0,G539)),2))</f>
        <v>0</v>
      </c>
      <c r="Q539" s="21">
        <f>IF(B539="","",ROUND(N539*CostPerHour+IF(E539="",1,E539)*IFERROR(INDEX(Services!$R$5:$R$64,MATCH(C539,Services!$B$5:$B$64,0)),0),2))</f>
        <v>0</v>
      </c>
      <c r="R539" s="38">
        <f>IF(OR(B539="",P539=0),"",(P539-Q539)/P539)</f>
        <v>0</v>
      </c>
      <c r="S539" s="31">
        <f>IF(OR(B539="",C539=""),"",COUNTIFS($B$5:B539,B539))</f>
        <v>0</v>
      </c>
      <c r="T539" s="23">
        <f>IF(S539="","",B539&amp;"|"&amp;S539)</f>
        <v>0</v>
      </c>
      <c r="U539" s="39">
        <f>IF(B539="","",IF(C539="","Add - pick a service",IF(E539="","Add - how many?",IF(L539=0,"Add - no price",IF(AND(R539&lt;&gt;"",R539&lt;MarginFloor),"Below - thin margin","OK")))))</f>
        <v>0</v>
      </c>
    </row>
    <row r="540" spans="1:21">
      <c r="A540" s="43">
        <f>IF(B540="","","QL-"&amp;TEXT(ROW()-4,"0000"))</f>
        <v>0</v>
      </c>
      <c r="J540" s="21">
        <f>IF(C540="","",IFERROR(INDEX(Services!$P$5:$P$64,MATCH(C540,Services!$B$5:$B$64,0)),"0"))</f>
        <v>0</v>
      </c>
      <c r="K540" s="23">
        <f>IF(C540="","",IFERROR(INDEX(Services!$E$5:$E$64,MATCH(C540,Services!$B$5:$B$64,0)),""))</f>
        <v>0</v>
      </c>
      <c r="L540" s="21">
        <f>IF(B540="","",IF(F540&lt;&gt;"",F540,IFERROR(J540*1,0)))</f>
        <v>0</v>
      </c>
      <c r="M540" s="51">
        <f>IF(B540="","",IF(D540&lt;&gt;"",D540,IFERROR(INDEX(Services!$O$5:$O$64,MATCH(C540,Services!$B$5:$B$64,0)),"")))</f>
        <v>0</v>
      </c>
      <c r="N540" s="34">
        <f>IF(B540="","",IFERROR(INDEX(Services!$G$5:$G$64,MATCH(C540,Services!$B$5:$B$64,0)),0)*IF(E540="",1,IF(IFERROR(INDEX(Services!$D$5:$D$64,MATCH(C540,Services!$B$5:$B$64,0)),"")="Per hour",1,E540)))</f>
        <v>0</v>
      </c>
      <c r="O540" s="21">
        <f>IF(B540="","",ROUND(IF(E540="",1,E540)*L540,2))</f>
        <v>0</v>
      </c>
      <c r="P540" s="21">
        <f>IF(B540="","",ROUND(O540*(1-IF(G540="",0,G540)),2))</f>
        <v>0</v>
      </c>
      <c r="Q540" s="21">
        <f>IF(B540="","",ROUND(N540*CostPerHour+IF(E540="",1,E540)*IFERROR(INDEX(Services!$R$5:$R$64,MATCH(C540,Services!$B$5:$B$64,0)),0),2))</f>
        <v>0</v>
      </c>
      <c r="R540" s="38">
        <f>IF(OR(B540="",P540=0),"",(P540-Q540)/P540)</f>
        <v>0</v>
      </c>
      <c r="S540" s="31">
        <f>IF(OR(B540="",C540=""),"",COUNTIFS($B$5:B540,B540))</f>
        <v>0</v>
      </c>
      <c r="T540" s="23">
        <f>IF(S540="","",B540&amp;"|"&amp;S540)</f>
        <v>0</v>
      </c>
      <c r="U540" s="39">
        <f>IF(B540="","",IF(C540="","Add - pick a service",IF(E540="","Add - how many?",IF(L540=0,"Add - no price",IF(AND(R540&lt;&gt;"",R540&lt;MarginFloor),"Below - thin margin","OK")))))</f>
        <v>0</v>
      </c>
    </row>
    <row r="541" spans="1:21">
      <c r="A541" s="43">
        <f>IF(B541="","","QL-"&amp;TEXT(ROW()-4,"0000"))</f>
        <v>0</v>
      </c>
      <c r="J541" s="21">
        <f>IF(C541="","",IFERROR(INDEX(Services!$P$5:$P$64,MATCH(C541,Services!$B$5:$B$64,0)),"0"))</f>
        <v>0</v>
      </c>
      <c r="K541" s="23">
        <f>IF(C541="","",IFERROR(INDEX(Services!$E$5:$E$64,MATCH(C541,Services!$B$5:$B$64,0)),""))</f>
        <v>0</v>
      </c>
      <c r="L541" s="21">
        <f>IF(B541="","",IF(F541&lt;&gt;"",F541,IFERROR(J541*1,0)))</f>
        <v>0</v>
      </c>
      <c r="M541" s="51">
        <f>IF(B541="","",IF(D541&lt;&gt;"",D541,IFERROR(INDEX(Services!$O$5:$O$64,MATCH(C541,Services!$B$5:$B$64,0)),"")))</f>
        <v>0</v>
      </c>
      <c r="N541" s="34">
        <f>IF(B541="","",IFERROR(INDEX(Services!$G$5:$G$64,MATCH(C541,Services!$B$5:$B$64,0)),0)*IF(E541="",1,IF(IFERROR(INDEX(Services!$D$5:$D$64,MATCH(C541,Services!$B$5:$B$64,0)),"")="Per hour",1,E541)))</f>
        <v>0</v>
      </c>
      <c r="O541" s="21">
        <f>IF(B541="","",ROUND(IF(E541="",1,E541)*L541,2))</f>
        <v>0</v>
      </c>
      <c r="P541" s="21">
        <f>IF(B541="","",ROUND(O541*(1-IF(G541="",0,G541)),2))</f>
        <v>0</v>
      </c>
      <c r="Q541" s="21">
        <f>IF(B541="","",ROUND(N541*CostPerHour+IF(E541="",1,E541)*IFERROR(INDEX(Services!$R$5:$R$64,MATCH(C541,Services!$B$5:$B$64,0)),0),2))</f>
        <v>0</v>
      </c>
      <c r="R541" s="38">
        <f>IF(OR(B541="",P541=0),"",(P541-Q541)/P541)</f>
        <v>0</v>
      </c>
      <c r="S541" s="31">
        <f>IF(OR(B541="",C541=""),"",COUNTIFS($B$5:B541,B541))</f>
        <v>0</v>
      </c>
      <c r="T541" s="23">
        <f>IF(S541="","",B541&amp;"|"&amp;S541)</f>
        <v>0</v>
      </c>
      <c r="U541" s="39">
        <f>IF(B541="","",IF(C541="","Add - pick a service",IF(E541="","Add - how many?",IF(L541=0,"Add - no price",IF(AND(R541&lt;&gt;"",R541&lt;MarginFloor),"Below - thin margin","OK")))))</f>
        <v>0</v>
      </c>
    </row>
    <row r="542" spans="1:21">
      <c r="A542" s="43">
        <f>IF(B542="","","QL-"&amp;TEXT(ROW()-4,"0000"))</f>
        <v>0</v>
      </c>
      <c r="J542" s="21">
        <f>IF(C542="","",IFERROR(INDEX(Services!$P$5:$P$64,MATCH(C542,Services!$B$5:$B$64,0)),"0"))</f>
        <v>0</v>
      </c>
      <c r="K542" s="23">
        <f>IF(C542="","",IFERROR(INDEX(Services!$E$5:$E$64,MATCH(C542,Services!$B$5:$B$64,0)),""))</f>
        <v>0</v>
      </c>
      <c r="L542" s="21">
        <f>IF(B542="","",IF(F542&lt;&gt;"",F542,IFERROR(J542*1,0)))</f>
        <v>0</v>
      </c>
      <c r="M542" s="51">
        <f>IF(B542="","",IF(D542&lt;&gt;"",D542,IFERROR(INDEX(Services!$O$5:$O$64,MATCH(C542,Services!$B$5:$B$64,0)),"")))</f>
        <v>0</v>
      </c>
      <c r="N542" s="34">
        <f>IF(B542="","",IFERROR(INDEX(Services!$G$5:$G$64,MATCH(C542,Services!$B$5:$B$64,0)),0)*IF(E542="",1,IF(IFERROR(INDEX(Services!$D$5:$D$64,MATCH(C542,Services!$B$5:$B$64,0)),"")="Per hour",1,E542)))</f>
        <v>0</v>
      </c>
      <c r="O542" s="21">
        <f>IF(B542="","",ROUND(IF(E542="",1,E542)*L542,2))</f>
        <v>0</v>
      </c>
      <c r="P542" s="21">
        <f>IF(B542="","",ROUND(O542*(1-IF(G542="",0,G542)),2))</f>
        <v>0</v>
      </c>
      <c r="Q542" s="21">
        <f>IF(B542="","",ROUND(N542*CostPerHour+IF(E542="",1,E542)*IFERROR(INDEX(Services!$R$5:$R$64,MATCH(C542,Services!$B$5:$B$64,0)),0),2))</f>
        <v>0</v>
      </c>
      <c r="R542" s="38">
        <f>IF(OR(B542="",P542=0),"",(P542-Q542)/P542)</f>
        <v>0</v>
      </c>
      <c r="S542" s="31">
        <f>IF(OR(B542="",C542=""),"",COUNTIFS($B$5:B542,B542))</f>
        <v>0</v>
      </c>
      <c r="T542" s="23">
        <f>IF(S542="","",B542&amp;"|"&amp;S542)</f>
        <v>0</v>
      </c>
      <c r="U542" s="39">
        <f>IF(B542="","",IF(C542="","Add - pick a service",IF(E542="","Add - how many?",IF(L542=0,"Add - no price",IF(AND(R542&lt;&gt;"",R542&lt;MarginFloor),"Below - thin margin","OK")))))</f>
        <v>0</v>
      </c>
    </row>
    <row r="543" spans="1:21">
      <c r="A543" s="43">
        <f>IF(B543="","","QL-"&amp;TEXT(ROW()-4,"0000"))</f>
        <v>0</v>
      </c>
      <c r="J543" s="21">
        <f>IF(C543="","",IFERROR(INDEX(Services!$P$5:$P$64,MATCH(C543,Services!$B$5:$B$64,0)),"0"))</f>
        <v>0</v>
      </c>
      <c r="K543" s="23">
        <f>IF(C543="","",IFERROR(INDEX(Services!$E$5:$E$64,MATCH(C543,Services!$B$5:$B$64,0)),""))</f>
        <v>0</v>
      </c>
      <c r="L543" s="21">
        <f>IF(B543="","",IF(F543&lt;&gt;"",F543,IFERROR(J543*1,0)))</f>
        <v>0</v>
      </c>
      <c r="M543" s="51">
        <f>IF(B543="","",IF(D543&lt;&gt;"",D543,IFERROR(INDEX(Services!$O$5:$O$64,MATCH(C543,Services!$B$5:$B$64,0)),"")))</f>
        <v>0</v>
      </c>
      <c r="N543" s="34">
        <f>IF(B543="","",IFERROR(INDEX(Services!$G$5:$G$64,MATCH(C543,Services!$B$5:$B$64,0)),0)*IF(E543="",1,IF(IFERROR(INDEX(Services!$D$5:$D$64,MATCH(C543,Services!$B$5:$B$64,0)),"")="Per hour",1,E543)))</f>
        <v>0</v>
      </c>
      <c r="O543" s="21">
        <f>IF(B543="","",ROUND(IF(E543="",1,E543)*L543,2))</f>
        <v>0</v>
      </c>
      <c r="P543" s="21">
        <f>IF(B543="","",ROUND(O543*(1-IF(G543="",0,G543)),2))</f>
        <v>0</v>
      </c>
      <c r="Q543" s="21">
        <f>IF(B543="","",ROUND(N543*CostPerHour+IF(E543="",1,E543)*IFERROR(INDEX(Services!$R$5:$R$64,MATCH(C543,Services!$B$5:$B$64,0)),0),2))</f>
        <v>0</v>
      </c>
      <c r="R543" s="38">
        <f>IF(OR(B543="",P543=0),"",(P543-Q543)/P543)</f>
        <v>0</v>
      </c>
      <c r="S543" s="31">
        <f>IF(OR(B543="",C543=""),"",COUNTIFS($B$5:B543,B543))</f>
        <v>0</v>
      </c>
      <c r="T543" s="23">
        <f>IF(S543="","",B543&amp;"|"&amp;S543)</f>
        <v>0</v>
      </c>
      <c r="U543" s="39">
        <f>IF(B543="","",IF(C543="","Add - pick a service",IF(E543="","Add - how many?",IF(L543=0,"Add - no price",IF(AND(R543&lt;&gt;"",R543&lt;MarginFloor),"Below - thin margin","OK")))))</f>
        <v>0</v>
      </c>
    </row>
    <row r="544" spans="1:21">
      <c r="A544" s="43">
        <f>IF(B544="","","QL-"&amp;TEXT(ROW()-4,"0000"))</f>
        <v>0</v>
      </c>
      <c r="J544" s="21">
        <f>IF(C544="","",IFERROR(INDEX(Services!$P$5:$P$64,MATCH(C544,Services!$B$5:$B$64,0)),"0"))</f>
        <v>0</v>
      </c>
      <c r="K544" s="23">
        <f>IF(C544="","",IFERROR(INDEX(Services!$E$5:$E$64,MATCH(C544,Services!$B$5:$B$64,0)),""))</f>
        <v>0</v>
      </c>
      <c r="L544" s="21">
        <f>IF(B544="","",IF(F544&lt;&gt;"",F544,IFERROR(J544*1,0)))</f>
        <v>0</v>
      </c>
      <c r="M544" s="51">
        <f>IF(B544="","",IF(D544&lt;&gt;"",D544,IFERROR(INDEX(Services!$O$5:$O$64,MATCH(C544,Services!$B$5:$B$64,0)),"")))</f>
        <v>0</v>
      </c>
      <c r="N544" s="34">
        <f>IF(B544="","",IFERROR(INDEX(Services!$G$5:$G$64,MATCH(C544,Services!$B$5:$B$64,0)),0)*IF(E544="",1,IF(IFERROR(INDEX(Services!$D$5:$D$64,MATCH(C544,Services!$B$5:$B$64,0)),"")="Per hour",1,E544)))</f>
        <v>0</v>
      </c>
      <c r="O544" s="21">
        <f>IF(B544="","",ROUND(IF(E544="",1,E544)*L544,2))</f>
        <v>0</v>
      </c>
      <c r="P544" s="21">
        <f>IF(B544="","",ROUND(O544*(1-IF(G544="",0,G544)),2))</f>
        <v>0</v>
      </c>
      <c r="Q544" s="21">
        <f>IF(B544="","",ROUND(N544*CostPerHour+IF(E544="",1,E544)*IFERROR(INDEX(Services!$R$5:$R$64,MATCH(C544,Services!$B$5:$B$64,0)),0),2))</f>
        <v>0</v>
      </c>
      <c r="R544" s="38">
        <f>IF(OR(B544="",P544=0),"",(P544-Q544)/P544)</f>
        <v>0</v>
      </c>
      <c r="S544" s="31">
        <f>IF(OR(B544="",C544=""),"",COUNTIFS($B$5:B544,B544))</f>
        <v>0</v>
      </c>
      <c r="T544" s="23">
        <f>IF(S544="","",B544&amp;"|"&amp;S544)</f>
        <v>0</v>
      </c>
      <c r="U544" s="39">
        <f>IF(B544="","",IF(C544="","Add - pick a service",IF(E544="","Add - how many?",IF(L544=0,"Add - no price",IF(AND(R544&lt;&gt;"",R544&lt;MarginFloor),"Below - thin margin","OK")))))</f>
        <v>0</v>
      </c>
    </row>
    <row r="545" spans="1:21">
      <c r="A545" s="43">
        <f>IF(B545="","","QL-"&amp;TEXT(ROW()-4,"0000"))</f>
        <v>0</v>
      </c>
      <c r="J545" s="21">
        <f>IF(C545="","",IFERROR(INDEX(Services!$P$5:$P$64,MATCH(C545,Services!$B$5:$B$64,0)),"0"))</f>
        <v>0</v>
      </c>
      <c r="K545" s="23">
        <f>IF(C545="","",IFERROR(INDEX(Services!$E$5:$E$64,MATCH(C545,Services!$B$5:$B$64,0)),""))</f>
        <v>0</v>
      </c>
      <c r="L545" s="21">
        <f>IF(B545="","",IF(F545&lt;&gt;"",F545,IFERROR(J545*1,0)))</f>
        <v>0</v>
      </c>
      <c r="M545" s="51">
        <f>IF(B545="","",IF(D545&lt;&gt;"",D545,IFERROR(INDEX(Services!$O$5:$O$64,MATCH(C545,Services!$B$5:$B$64,0)),"")))</f>
        <v>0</v>
      </c>
      <c r="N545" s="34">
        <f>IF(B545="","",IFERROR(INDEX(Services!$G$5:$G$64,MATCH(C545,Services!$B$5:$B$64,0)),0)*IF(E545="",1,IF(IFERROR(INDEX(Services!$D$5:$D$64,MATCH(C545,Services!$B$5:$B$64,0)),"")="Per hour",1,E545)))</f>
        <v>0</v>
      </c>
      <c r="O545" s="21">
        <f>IF(B545="","",ROUND(IF(E545="",1,E545)*L545,2))</f>
        <v>0</v>
      </c>
      <c r="P545" s="21">
        <f>IF(B545="","",ROUND(O545*(1-IF(G545="",0,G545)),2))</f>
        <v>0</v>
      </c>
      <c r="Q545" s="21">
        <f>IF(B545="","",ROUND(N545*CostPerHour+IF(E545="",1,E545)*IFERROR(INDEX(Services!$R$5:$R$64,MATCH(C545,Services!$B$5:$B$64,0)),0),2))</f>
        <v>0</v>
      </c>
      <c r="R545" s="38">
        <f>IF(OR(B545="",P545=0),"",(P545-Q545)/P545)</f>
        <v>0</v>
      </c>
      <c r="S545" s="31">
        <f>IF(OR(B545="",C545=""),"",COUNTIFS($B$5:B545,B545))</f>
        <v>0</v>
      </c>
      <c r="T545" s="23">
        <f>IF(S545="","",B545&amp;"|"&amp;S545)</f>
        <v>0</v>
      </c>
      <c r="U545" s="39">
        <f>IF(B545="","",IF(C545="","Add - pick a service",IF(E545="","Add - how many?",IF(L545=0,"Add - no price",IF(AND(R545&lt;&gt;"",R545&lt;MarginFloor),"Below - thin margin","OK")))))</f>
        <v>0</v>
      </c>
    </row>
    <row r="546" spans="1:21">
      <c r="A546" s="43">
        <f>IF(B546="","","QL-"&amp;TEXT(ROW()-4,"0000"))</f>
        <v>0</v>
      </c>
      <c r="J546" s="21">
        <f>IF(C546="","",IFERROR(INDEX(Services!$P$5:$P$64,MATCH(C546,Services!$B$5:$B$64,0)),"0"))</f>
        <v>0</v>
      </c>
      <c r="K546" s="23">
        <f>IF(C546="","",IFERROR(INDEX(Services!$E$5:$E$64,MATCH(C546,Services!$B$5:$B$64,0)),""))</f>
        <v>0</v>
      </c>
      <c r="L546" s="21">
        <f>IF(B546="","",IF(F546&lt;&gt;"",F546,IFERROR(J546*1,0)))</f>
        <v>0</v>
      </c>
      <c r="M546" s="51">
        <f>IF(B546="","",IF(D546&lt;&gt;"",D546,IFERROR(INDEX(Services!$O$5:$O$64,MATCH(C546,Services!$B$5:$B$64,0)),"")))</f>
        <v>0</v>
      </c>
      <c r="N546" s="34">
        <f>IF(B546="","",IFERROR(INDEX(Services!$G$5:$G$64,MATCH(C546,Services!$B$5:$B$64,0)),0)*IF(E546="",1,IF(IFERROR(INDEX(Services!$D$5:$D$64,MATCH(C546,Services!$B$5:$B$64,0)),"")="Per hour",1,E546)))</f>
        <v>0</v>
      </c>
      <c r="O546" s="21">
        <f>IF(B546="","",ROUND(IF(E546="",1,E546)*L546,2))</f>
        <v>0</v>
      </c>
      <c r="P546" s="21">
        <f>IF(B546="","",ROUND(O546*(1-IF(G546="",0,G546)),2))</f>
        <v>0</v>
      </c>
      <c r="Q546" s="21">
        <f>IF(B546="","",ROUND(N546*CostPerHour+IF(E546="",1,E546)*IFERROR(INDEX(Services!$R$5:$R$64,MATCH(C546,Services!$B$5:$B$64,0)),0),2))</f>
        <v>0</v>
      </c>
      <c r="R546" s="38">
        <f>IF(OR(B546="",P546=0),"",(P546-Q546)/P546)</f>
        <v>0</v>
      </c>
      <c r="S546" s="31">
        <f>IF(OR(B546="",C546=""),"",COUNTIFS($B$5:B546,B546))</f>
        <v>0</v>
      </c>
      <c r="T546" s="23">
        <f>IF(S546="","",B546&amp;"|"&amp;S546)</f>
        <v>0</v>
      </c>
      <c r="U546" s="39">
        <f>IF(B546="","",IF(C546="","Add - pick a service",IF(E546="","Add - how many?",IF(L546=0,"Add - no price",IF(AND(R546&lt;&gt;"",R546&lt;MarginFloor),"Below - thin margin","OK")))))</f>
        <v>0</v>
      </c>
    </row>
    <row r="547" spans="1:21">
      <c r="A547" s="43">
        <f>IF(B547="","","QL-"&amp;TEXT(ROW()-4,"0000"))</f>
        <v>0</v>
      </c>
      <c r="J547" s="21">
        <f>IF(C547="","",IFERROR(INDEX(Services!$P$5:$P$64,MATCH(C547,Services!$B$5:$B$64,0)),"0"))</f>
        <v>0</v>
      </c>
      <c r="K547" s="23">
        <f>IF(C547="","",IFERROR(INDEX(Services!$E$5:$E$64,MATCH(C547,Services!$B$5:$B$64,0)),""))</f>
        <v>0</v>
      </c>
      <c r="L547" s="21">
        <f>IF(B547="","",IF(F547&lt;&gt;"",F547,IFERROR(J547*1,0)))</f>
        <v>0</v>
      </c>
      <c r="M547" s="51">
        <f>IF(B547="","",IF(D547&lt;&gt;"",D547,IFERROR(INDEX(Services!$O$5:$O$64,MATCH(C547,Services!$B$5:$B$64,0)),"")))</f>
        <v>0</v>
      </c>
      <c r="N547" s="34">
        <f>IF(B547="","",IFERROR(INDEX(Services!$G$5:$G$64,MATCH(C547,Services!$B$5:$B$64,0)),0)*IF(E547="",1,IF(IFERROR(INDEX(Services!$D$5:$D$64,MATCH(C547,Services!$B$5:$B$64,0)),"")="Per hour",1,E547)))</f>
        <v>0</v>
      </c>
      <c r="O547" s="21">
        <f>IF(B547="","",ROUND(IF(E547="",1,E547)*L547,2))</f>
        <v>0</v>
      </c>
      <c r="P547" s="21">
        <f>IF(B547="","",ROUND(O547*(1-IF(G547="",0,G547)),2))</f>
        <v>0</v>
      </c>
      <c r="Q547" s="21">
        <f>IF(B547="","",ROUND(N547*CostPerHour+IF(E547="",1,E547)*IFERROR(INDEX(Services!$R$5:$R$64,MATCH(C547,Services!$B$5:$B$64,0)),0),2))</f>
        <v>0</v>
      </c>
      <c r="R547" s="38">
        <f>IF(OR(B547="",P547=0),"",(P547-Q547)/P547)</f>
        <v>0</v>
      </c>
      <c r="S547" s="31">
        <f>IF(OR(B547="",C547=""),"",COUNTIFS($B$5:B547,B547))</f>
        <v>0</v>
      </c>
      <c r="T547" s="23">
        <f>IF(S547="","",B547&amp;"|"&amp;S547)</f>
        <v>0</v>
      </c>
      <c r="U547" s="39">
        <f>IF(B547="","",IF(C547="","Add - pick a service",IF(E547="","Add - how many?",IF(L547=0,"Add - no price",IF(AND(R547&lt;&gt;"",R547&lt;MarginFloor),"Below - thin margin","OK")))))</f>
        <v>0</v>
      </c>
    </row>
    <row r="548" spans="1:21">
      <c r="A548" s="43">
        <f>IF(B548="","","QL-"&amp;TEXT(ROW()-4,"0000"))</f>
        <v>0</v>
      </c>
      <c r="J548" s="21">
        <f>IF(C548="","",IFERROR(INDEX(Services!$P$5:$P$64,MATCH(C548,Services!$B$5:$B$64,0)),"0"))</f>
        <v>0</v>
      </c>
      <c r="K548" s="23">
        <f>IF(C548="","",IFERROR(INDEX(Services!$E$5:$E$64,MATCH(C548,Services!$B$5:$B$64,0)),""))</f>
        <v>0</v>
      </c>
      <c r="L548" s="21">
        <f>IF(B548="","",IF(F548&lt;&gt;"",F548,IFERROR(J548*1,0)))</f>
        <v>0</v>
      </c>
      <c r="M548" s="51">
        <f>IF(B548="","",IF(D548&lt;&gt;"",D548,IFERROR(INDEX(Services!$O$5:$O$64,MATCH(C548,Services!$B$5:$B$64,0)),"")))</f>
        <v>0</v>
      </c>
      <c r="N548" s="34">
        <f>IF(B548="","",IFERROR(INDEX(Services!$G$5:$G$64,MATCH(C548,Services!$B$5:$B$64,0)),0)*IF(E548="",1,IF(IFERROR(INDEX(Services!$D$5:$D$64,MATCH(C548,Services!$B$5:$B$64,0)),"")="Per hour",1,E548)))</f>
        <v>0</v>
      </c>
      <c r="O548" s="21">
        <f>IF(B548="","",ROUND(IF(E548="",1,E548)*L548,2))</f>
        <v>0</v>
      </c>
      <c r="P548" s="21">
        <f>IF(B548="","",ROUND(O548*(1-IF(G548="",0,G548)),2))</f>
        <v>0</v>
      </c>
      <c r="Q548" s="21">
        <f>IF(B548="","",ROUND(N548*CostPerHour+IF(E548="",1,E548)*IFERROR(INDEX(Services!$R$5:$R$64,MATCH(C548,Services!$B$5:$B$64,0)),0),2))</f>
        <v>0</v>
      </c>
      <c r="R548" s="38">
        <f>IF(OR(B548="",P548=0),"",(P548-Q548)/P548)</f>
        <v>0</v>
      </c>
      <c r="S548" s="31">
        <f>IF(OR(B548="",C548=""),"",COUNTIFS($B$5:B548,B548))</f>
        <v>0</v>
      </c>
      <c r="T548" s="23">
        <f>IF(S548="","",B548&amp;"|"&amp;S548)</f>
        <v>0</v>
      </c>
      <c r="U548" s="39">
        <f>IF(B548="","",IF(C548="","Add - pick a service",IF(E548="","Add - how many?",IF(L548=0,"Add - no price",IF(AND(R548&lt;&gt;"",R548&lt;MarginFloor),"Below - thin margin","OK")))))</f>
        <v>0</v>
      </c>
    </row>
    <row r="549" spans="1:21">
      <c r="A549" s="43">
        <f>IF(B549="","","QL-"&amp;TEXT(ROW()-4,"0000"))</f>
        <v>0</v>
      </c>
      <c r="J549" s="21">
        <f>IF(C549="","",IFERROR(INDEX(Services!$P$5:$P$64,MATCH(C549,Services!$B$5:$B$64,0)),"0"))</f>
        <v>0</v>
      </c>
      <c r="K549" s="23">
        <f>IF(C549="","",IFERROR(INDEX(Services!$E$5:$E$64,MATCH(C549,Services!$B$5:$B$64,0)),""))</f>
        <v>0</v>
      </c>
      <c r="L549" s="21">
        <f>IF(B549="","",IF(F549&lt;&gt;"",F549,IFERROR(J549*1,0)))</f>
        <v>0</v>
      </c>
      <c r="M549" s="51">
        <f>IF(B549="","",IF(D549&lt;&gt;"",D549,IFERROR(INDEX(Services!$O$5:$O$64,MATCH(C549,Services!$B$5:$B$64,0)),"")))</f>
        <v>0</v>
      </c>
      <c r="N549" s="34">
        <f>IF(B549="","",IFERROR(INDEX(Services!$G$5:$G$64,MATCH(C549,Services!$B$5:$B$64,0)),0)*IF(E549="",1,IF(IFERROR(INDEX(Services!$D$5:$D$64,MATCH(C549,Services!$B$5:$B$64,0)),"")="Per hour",1,E549)))</f>
        <v>0</v>
      </c>
      <c r="O549" s="21">
        <f>IF(B549="","",ROUND(IF(E549="",1,E549)*L549,2))</f>
        <v>0</v>
      </c>
      <c r="P549" s="21">
        <f>IF(B549="","",ROUND(O549*(1-IF(G549="",0,G549)),2))</f>
        <v>0</v>
      </c>
      <c r="Q549" s="21">
        <f>IF(B549="","",ROUND(N549*CostPerHour+IF(E549="",1,E549)*IFERROR(INDEX(Services!$R$5:$R$64,MATCH(C549,Services!$B$5:$B$64,0)),0),2))</f>
        <v>0</v>
      </c>
      <c r="R549" s="38">
        <f>IF(OR(B549="",P549=0),"",(P549-Q549)/P549)</f>
        <v>0</v>
      </c>
      <c r="S549" s="31">
        <f>IF(OR(B549="",C549=""),"",COUNTIFS($B$5:B549,B549))</f>
        <v>0</v>
      </c>
      <c r="T549" s="23">
        <f>IF(S549="","",B549&amp;"|"&amp;S549)</f>
        <v>0</v>
      </c>
      <c r="U549" s="39">
        <f>IF(B549="","",IF(C549="","Add - pick a service",IF(E549="","Add - how many?",IF(L549=0,"Add - no price",IF(AND(R549&lt;&gt;"",R549&lt;MarginFloor),"Below - thin margin","OK")))))</f>
        <v>0</v>
      </c>
    </row>
    <row r="550" spans="1:21">
      <c r="A550" s="43">
        <f>IF(B550="","","QL-"&amp;TEXT(ROW()-4,"0000"))</f>
        <v>0</v>
      </c>
      <c r="J550" s="21">
        <f>IF(C550="","",IFERROR(INDEX(Services!$P$5:$P$64,MATCH(C550,Services!$B$5:$B$64,0)),"0"))</f>
        <v>0</v>
      </c>
      <c r="K550" s="23">
        <f>IF(C550="","",IFERROR(INDEX(Services!$E$5:$E$64,MATCH(C550,Services!$B$5:$B$64,0)),""))</f>
        <v>0</v>
      </c>
      <c r="L550" s="21">
        <f>IF(B550="","",IF(F550&lt;&gt;"",F550,IFERROR(J550*1,0)))</f>
        <v>0</v>
      </c>
      <c r="M550" s="51">
        <f>IF(B550="","",IF(D550&lt;&gt;"",D550,IFERROR(INDEX(Services!$O$5:$O$64,MATCH(C550,Services!$B$5:$B$64,0)),"")))</f>
        <v>0</v>
      </c>
      <c r="N550" s="34">
        <f>IF(B550="","",IFERROR(INDEX(Services!$G$5:$G$64,MATCH(C550,Services!$B$5:$B$64,0)),0)*IF(E550="",1,IF(IFERROR(INDEX(Services!$D$5:$D$64,MATCH(C550,Services!$B$5:$B$64,0)),"")="Per hour",1,E550)))</f>
        <v>0</v>
      </c>
      <c r="O550" s="21">
        <f>IF(B550="","",ROUND(IF(E550="",1,E550)*L550,2))</f>
        <v>0</v>
      </c>
      <c r="P550" s="21">
        <f>IF(B550="","",ROUND(O550*(1-IF(G550="",0,G550)),2))</f>
        <v>0</v>
      </c>
      <c r="Q550" s="21">
        <f>IF(B550="","",ROUND(N550*CostPerHour+IF(E550="",1,E550)*IFERROR(INDEX(Services!$R$5:$R$64,MATCH(C550,Services!$B$5:$B$64,0)),0),2))</f>
        <v>0</v>
      </c>
      <c r="R550" s="38">
        <f>IF(OR(B550="",P550=0),"",(P550-Q550)/P550)</f>
        <v>0</v>
      </c>
      <c r="S550" s="31">
        <f>IF(OR(B550="",C550=""),"",COUNTIFS($B$5:B550,B550))</f>
        <v>0</v>
      </c>
      <c r="T550" s="23">
        <f>IF(S550="","",B550&amp;"|"&amp;S550)</f>
        <v>0</v>
      </c>
      <c r="U550" s="39">
        <f>IF(B550="","",IF(C550="","Add - pick a service",IF(E550="","Add - how many?",IF(L550=0,"Add - no price",IF(AND(R550&lt;&gt;"",R550&lt;MarginFloor),"Below - thin margin","OK")))))</f>
        <v>0</v>
      </c>
    </row>
    <row r="551" spans="1:21">
      <c r="A551" s="43">
        <f>IF(B551="","","QL-"&amp;TEXT(ROW()-4,"0000"))</f>
        <v>0</v>
      </c>
      <c r="J551" s="21">
        <f>IF(C551="","",IFERROR(INDEX(Services!$P$5:$P$64,MATCH(C551,Services!$B$5:$B$64,0)),"0"))</f>
        <v>0</v>
      </c>
      <c r="K551" s="23">
        <f>IF(C551="","",IFERROR(INDEX(Services!$E$5:$E$64,MATCH(C551,Services!$B$5:$B$64,0)),""))</f>
        <v>0</v>
      </c>
      <c r="L551" s="21">
        <f>IF(B551="","",IF(F551&lt;&gt;"",F551,IFERROR(J551*1,0)))</f>
        <v>0</v>
      </c>
      <c r="M551" s="51">
        <f>IF(B551="","",IF(D551&lt;&gt;"",D551,IFERROR(INDEX(Services!$O$5:$O$64,MATCH(C551,Services!$B$5:$B$64,0)),"")))</f>
        <v>0</v>
      </c>
      <c r="N551" s="34">
        <f>IF(B551="","",IFERROR(INDEX(Services!$G$5:$G$64,MATCH(C551,Services!$B$5:$B$64,0)),0)*IF(E551="",1,IF(IFERROR(INDEX(Services!$D$5:$D$64,MATCH(C551,Services!$B$5:$B$64,0)),"")="Per hour",1,E551)))</f>
        <v>0</v>
      </c>
      <c r="O551" s="21">
        <f>IF(B551="","",ROUND(IF(E551="",1,E551)*L551,2))</f>
        <v>0</v>
      </c>
      <c r="P551" s="21">
        <f>IF(B551="","",ROUND(O551*(1-IF(G551="",0,G551)),2))</f>
        <v>0</v>
      </c>
      <c r="Q551" s="21">
        <f>IF(B551="","",ROUND(N551*CostPerHour+IF(E551="",1,E551)*IFERROR(INDEX(Services!$R$5:$R$64,MATCH(C551,Services!$B$5:$B$64,0)),0),2))</f>
        <v>0</v>
      </c>
      <c r="R551" s="38">
        <f>IF(OR(B551="",P551=0),"",(P551-Q551)/P551)</f>
        <v>0</v>
      </c>
      <c r="S551" s="31">
        <f>IF(OR(B551="",C551=""),"",COUNTIFS($B$5:B551,B551))</f>
        <v>0</v>
      </c>
      <c r="T551" s="23">
        <f>IF(S551="","",B551&amp;"|"&amp;S551)</f>
        <v>0</v>
      </c>
      <c r="U551" s="39">
        <f>IF(B551="","",IF(C551="","Add - pick a service",IF(E551="","Add - how many?",IF(L551=0,"Add - no price",IF(AND(R551&lt;&gt;"",R551&lt;MarginFloor),"Below - thin margin","OK")))))</f>
        <v>0</v>
      </c>
    </row>
    <row r="552" spans="1:21">
      <c r="A552" s="43">
        <f>IF(B552="","","QL-"&amp;TEXT(ROW()-4,"0000"))</f>
        <v>0</v>
      </c>
      <c r="J552" s="21">
        <f>IF(C552="","",IFERROR(INDEX(Services!$P$5:$P$64,MATCH(C552,Services!$B$5:$B$64,0)),"0"))</f>
        <v>0</v>
      </c>
      <c r="K552" s="23">
        <f>IF(C552="","",IFERROR(INDEX(Services!$E$5:$E$64,MATCH(C552,Services!$B$5:$B$64,0)),""))</f>
        <v>0</v>
      </c>
      <c r="L552" s="21">
        <f>IF(B552="","",IF(F552&lt;&gt;"",F552,IFERROR(J552*1,0)))</f>
        <v>0</v>
      </c>
      <c r="M552" s="51">
        <f>IF(B552="","",IF(D552&lt;&gt;"",D552,IFERROR(INDEX(Services!$O$5:$O$64,MATCH(C552,Services!$B$5:$B$64,0)),"")))</f>
        <v>0</v>
      </c>
      <c r="N552" s="34">
        <f>IF(B552="","",IFERROR(INDEX(Services!$G$5:$G$64,MATCH(C552,Services!$B$5:$B$64,0)),0)*IF(E552="",1,IF(IFERROR(INDEX(Services!$D$5:$D$64,MATCH(C552,Services!$B$5:$B$64,0)),"")="Per hour",1,E552)))</f>
        <v>0</v>
      </c>
      <c r="O552" s="21">
        <f>IF(B552="","",ROUND(IF(E552="",1,E552)*L552,2))</f>
        <v>0</v>
      </c>
      <c r="P552" s="21">
        <f>IF(B552="","",ROUND(O552*(1-IF(G552="",0,G552)),2))</f>
        <v>0</v>
      </c>
      <c r="Q552" s="21">
        <f>IF(B552="","",ROUND(N552*CostPerHour+IF(E552="",1,E552)*IFERROR(INDEX(Services!$R$5:$R$64,MATCH(C552,Services!$B$5:$B$64,0)),0),2))</f>
        <v>0</v>
      </c>
      <c r="R552" s="38">
        <f>IF(OR(B552="",P552=0),"",(P552-Q552)/P552)</f>
        <v>0</v>
      </c>
      <c r="S552" s="31">
        <f>IF(OR(B552="",C552=""),"",COUNTIFS($B$5:B552,B552))</f>
        <v>0</v>
      </c>
      <c r="T552" s="23">
        <f>IF(S552="","",B552&amp;"|"&amp;S552)</f>
        <v>0</v>
      </c>
      <c r="U552" s="39">
        <f>IF(B552="","",IF(C552="","Add - pick a service",IF(E552="","Add - how many?",IF(L552=0,"Add - no price",IF(AND(R552&lt;&gt;"",R552&lt;MarginFloor),"Below - thin margin","OK")))))</f>
        <v>0</v>
      </c>
    </row>
    <row r="553" spans="1:21">
      <c r="A553" s="43">
        <f>IF(B553="","","QL-"&amp;TEXT(ROW()-4,"0000"))</f>
        <v>0</v>
      </c>
      <c r="J553" s="21">
        <f>IF(C553="","",IFERROR(INDEX(Services!$P$5:$P$64,MATCH(C553,Services!$B$5:$B$64,0)),"0"))</f>
        <v>0</v>
      </c>
      <c r="K553" s="23">
        <f>IF(C553="","",IFERROR(INDEX(Services!$E$5:$E$64,MATCH(C553,Services!$B$5:$B$64,0)),""))</f>
        <v>0</v>
      </c>
      <c r="L553" s="21">
        <f>IF(B553="","",IF(F553&lt;&gt;"",F553,IFERROR(J553*1,0)))</f>
        <v>0</v>
      </c>
      <c r="M553" s="51">
        <f>IF(B553="","",IF(D553&lt;&gt;"",D553,IFERROR(INDEX(Services!$O$5:$O$64,MATCH(C553,Services!$B$5:$B$64,0)),"")))</f>
        <v>0</v>
      </c>
      <c r="N553" s="34">
        <f>IF(B553="","",IFERROR(INDEX(Services!$G$5:$G$64,MATCH(C553,Services!$B$5:$B$64,0)),0)*IF(E553="",1,IF(IFERROR(INDEX(Services!$D$5:$D$64,MATCH(C553,Services!$B$5:$B$64,0)),"")="Per hour",1,E553)))</f>
        <v>0</v>
      </c>
      <c r="O553" s="21">
        <f>IF(B553="","",ROUND(IF(E553="",1,E553)*L553,2))</f>
        <v>0</v>
      </c>
      <c r="P553" s="21">
        <f>IF(B553="","",ROUND(O553*(1-IF(G553="",0,G553)),2))</f>
        <v>0</v>
      </c>
      <c r="Q553" s="21">
        <f>IF(B553="","",ROUND(N553*CostPerHour+IF(E553="",1,E553)*IFERROR(INDEX(Services!$R$5:$R$64,MATCH(C553,Services!$B$5:$B$64,0)),0),2))</f>
        <v>0</v>
      </c>
      <c r="R553" s="38">
        <f>IF(OR(B553="",P553=0),"",(P553-Q553)/P553)</f>
        <v>0</v>
      </c>
      <c r="S553" s="31">
        <f>IF(OR(B553="",C553=""),"",COUNTIFS($B$5:B553,B553))</f>
        <v>0</v>
      </c>
      <c r="T553" s="23">
        <f>IF(S553="","",B553&amp;"|"&amp;S553)</f>
        <v>0</v>
      </c>
      <c r="U553" s="39">
        <f>IF(B553="","",IF(C553="","Add - pick a service",IF(E553="","Add - how many?",IF(L553=0,"Add - no price",IF(AND(R553&lt;&gt;"",R553&lt;MarginFloor),"Below - thin margin","OK")))))</f>
        <v>0</v>
      </c>
    </row>
    <row r="554" spans="1:21">
      <c r="A554" s="43">
        <f>IF(B554="","","QL-"&amp;TEXT(ROW()-4,"0000"))</f>
        <v>0</v>
      </c>
      <c r="J554" s="21">
        <f>IF(C554="","",IFERROR(INDEX(Services!$P$5:$P$64,MATCH(C554,Services!$B$5:$B$64,0)),"0"))</f>
        <v>0</v>
      </c>
      <c r="K554" s="23">
        <f>IF(C554="","",IFERROR(INDEX(Services!$E$5:$E$64,MATCH(C554,Services!$B$5:$B$64,0)),""))</f>
        <v>0</v>
      </c>
      <c r="L554" s="21">
        <f>IF(B554="","",IF(F554&lt;&gt;"",F554,IFERROR(J554*1,0)))</f>
        <v>0</v>
      </c>
      <c r="M554" s="51">
        <f>IF(B554="","",IF(D554&lt;&gt;"",D554,IFERROR(INDEX(Services!$O$5:$O$64,MATCH(C554,Services!$B$5:$B$64,0)),"")))</f>
        <v>0</v>
      </c>
      <c r="N554" s="34">
        <f>IF(B554="","",IFERROR(INDEX(Services!$G$5:$G$64,MATCH(C554,Services!$B$5:$B$64,0)),0)*IF(E554="",1,IF(IFERROR(INDEX(Services!$D$5:$D$64,MATCH(C554,Services!$B$5:$B$64,0)),"")="Per hour",1,E554)))</f>
        <v>0</v>
      </c>
      <c r="O554" s="21">
        <f>IF(B554="","",ROUND(IF(E554="",1,E554)*L554,2))</f>
        <v>0</v>
      </c>
      <c r="P554" s="21">
        <f>IF(B554="","",ROUND(O554*(1-IF(G554="",0,G554)),2))</f>
        <v>0</v>
      </c>
      <c r="Q554" s="21">
        <f>IF(B554="","",ROUND(N554*CostPerHour+IF(E554="",1,E554)*IFERROR(INDEX(Services!$R$5:$R$64,MATCH(C554,Services!$B$5:$B$64,0)),0),2))</f>
        <v>0</v>
      </c>
      <c r="R554" s="38">
        <f>IF(OR(B554="",P554=0),"",(P554-Q554)/P554)</f>
        <v>0</v>
      </c>
      <c r="S554" s="31">
        <f>IF(OR(B554="",C554=""),"",COUNTIFS($B$5:B554,B554))</f>
        <v>0</v>
      </c>
      <c r="T554" s="23">
        <f>IF(S554="","",B554&amp;"|"&amp;S554)</f>
        <v>0</v>
      </c>
      <c r="U554" s="39">
        <f>IF(B554="","",IF(C554="","Add - pick a service",IF(E554="","Add - how many?",IF(L554=0,"Add - no price",IF(AND(R554&lt;&gt;"",R554&lt;MarginFloor),"Below - thin margin","OK")))))</f>
        <v>0</v>
      </c>
    </row>
    <row r="555" spans="1:21">
      <c r="A555" s="43">
        <f>IF(B555="","","QL-"&amp;TEXT(ROW()-4,"0000"))</f>
        <v>0</v>
      </c>
      <c r="J555" s="21">
        <f>IF(C555="","",IFERROR(INDEX(Services!$P$5:$P$64,MATCH(C555,Services!$B$5:$B$64,0)),"0"))</f>
        <v>0</v>
      </c>
      <c r="K555" s="23">
        <f>IF(C555="","",IFERROR(INDEX(Services!$E$5:$E$64,MATCH(C555,Services!$B$5:$B$64,0)),""))</f>
        <v>0</v>
      </c>
      <c r="L555" s="21">
        <f>IF(B555="","",IF(F555&lt;&gt;"",F555,IFERROR(J555*1,0)))</f>
        <v>0</v>
      </c>
      <c r="M555" s="51">
        <f>IF(B555="","",IF(D555&lt;&gt;"",D555,IFERROR(INDEX(Services!$O$5:$O$64,MATCH(C555,Services!$B$5:$B$64,0)),"")))</f>
        <v>0</v>
      </c>
      <c r="N555" s="34">
        <f>IF(B555="","",IFERROR(INDEX(Services!$G$5:$G$64,MATCH(C555,Services!$B$5:$B$64,0)),0)*IF(E555="",1,IF(IFERROR(INDEX(Services!$D$5:$D$64,MATCH(C555,Services!$B$5:$B$64,0)),"")="Per hour",1,E555)))</f>
        <v>0</v>
      </c>
      <c r="O555" s="21">
        <f>IF(B555="","",ROUND(IF(E555="",1,E555)*L555,2))</f>
        <v>0</v>
      </c>
      <c r="P555" s="21">
        <f>IF(B555="","",ROUND(O555*(1-IF(G555="",0,G555)),2))</f>
        <v>0</v>
      </c>
      <c r="Q555" s="21">
        <f>IF(B555="","",ROUND(N555*CostPerHour+IF(E555="",1,E555)*IFERROR(INDEX(Services!$R$5:$R$64,MATCH(C555,Services!$B$5:$B$64,0)),0),2))</f>
        <v>0</v>
      </c>
      <c r="R555" s="38">
        <f>IF(OR(B555="",P555=0),"",(P555-Q555)/P555)</f>
        <v>0</v>
      </c>
      <c r="S555" s="31">
        <f>IF(OR(B555="",C555=""),"",COUNTIFS($B$5:B555,B555))</f>
        <v>0</v>
      </c>
      <c r="T555" s="23">
        <f>IF(S555="","",B555&amp;"|"&amp;S555)</f>
        <v>0</v>
      </c>
      <c r="U555" s="39">
        <f>IF(B555="","",IF(C555="","Add - pick a service",IF(E555="","Add - how many?",IF(L555=0,"Add - no price",IF(AND(R555&lt;&gt;"",R555&lt;MarginFloor),"Below - thin margin","OK")))))</f>
        <v>0</v>
      </c>
    </row>
    <row r="556" spans="1:21">
      <c r="A556" s="43">
        <f>IF(B556="","","QL-"&amp;TEXT(ROW()-4,"0000"))</f>
        <v>0</v>
      </c>
      <c r="J556" s="21">
        <f>IF(C556="","",IFERROR(INDEX(Services!$P$5:$P$64,MATCH(C556,Services!$B$5:$B$64,0)),"0"))</f>
        <v>0</v>
      </c>
      <c r="K556" s="23">
        <f>IF(C556="","",IFERROR(INDEX(Services!$E$5:$E$64,MATCH(C556,Services!$B$5:$B$64,0)),""))</f>
        <v>0</v>
      </c>
      <c r="L556" s="21">
        <f>IF(B556="","",IF(F556&lt;&gt;"",F556,IFERROR(J556*1,0)))</f>
        <v>0</v>
      </c>
      <c r="M556" s="51">
        <f>IF(B556="","",IF(D556&lt;&gt;"",D556,IFERROR(INDEX(Services!$O$5:$O$64,MATCH(C556,Services!$B$5:$B$64,0)),"")))</f>
        <v>0</v>
      </c>
      <c r="N556" s="34">
        <f>IF(B556="","",IFERROR(INDEX(Services!$G$5:$G$64,MATCH(C556,Services!$B$5:$B$64,0)),0)*IF(E556="",1,IF(IFERROR(INDEX(Services!$D$5:$D$64,MATCH(C556,Services!$B$5:$B$64,0)),"")="Per hour",1,E556)))</f>
        <v>0</v>
      </c>
      <c r="O556" s="21">
        <f>IF(B556="","",ROUND(IF(E556="",1,E556)*L556,2))</f>
        <v>0</v>
      </c>
      <c r="P556" s="21">
        <f>IF(B556="","",ROUND(O556*(1-IF(G556="",0,G556)),2))</f>
        <v>0</v>
      </c>
      <c r="Q556" s="21">
        <f>IF(B556="","",ROUND(N556*CostPerHour+IF(E556="",1,E556)*IFERROR(INDEX(Services!$R$5:$R$64,MATCH(C556,Services!$B$5:$B$64,0)),0),2))</f>
        <v>0</v>
      </c>
      <c r="R556" s="38">
        <f>IF(OR(B556="",P556=0),"",(P556-Q556)/P556)</f>
        <v>0</v>
      </c>
      <c r="S556" s="31">
        <f>IF(OR(B556="",C556=""),"",COUNTIFS($B$5:B556,B556))</f>
        <v>0</v>
      </c>
      <c r="T556" s="23">
        <f>IF(S556="","",B556&amp;"|"&amp;S556)</f>
        <v>0</v>
      </c>
      <c r="U556" s="39">
        <f>IF(B556="","",IF(C556="","Add - pick a service",IF(E556="","Add - how many?",IF(L556=0,"Add - no price",IF(AND(R556&lt;&gt;"",R556&lt;MarginFloor),"Below - thin margin","OK")))))</f>
        <v>0</v>
      </c>
    </row>
    <row r="557" spans="1:21">
      <c r="A557" s="43">
        <f>IF(B557="","","QL-"&amp;TEXT(ROW()-4,"0000"))</f>
        <v>0</v>
      </c>
      <c r="J557" s="21">
        <f>IF(C557="","",IFERROR(INDEX(Services!$P$5:$P$64,MATCH(C557,Services!$B$5:$B$64,0)),"0"))</f>
        <v>0</v>
      </c>
      <c r="K557" s="23">
        <f>IF(C557="","",IFERROR(INDEX(Services!$E$5:$E$64,MATCH(C557,Services!$B$5:$B$64,0)),""))</f>
        <v>0</v>
      </c>
      <c r="L557" s="21">
        <f>IF(B557="","",IF(F557&lt;&gt;"",F557,IFERROR(J557*1,0)))</f>
        <v>0</v>
      </c>
      <c r="M557" s="51">
        <f>IF(B557="","",IF(D557&lt;&gt;"",D557,IFERROR(INDEX(Services!$O$5:$O$64,MATCH(C557,Services!$B$5:$B$64,0)),"")))</f>
        <v>0</v>
      </c>
      <c r="N557" s="34">
        <f>IF(B557="","",IFERROR(INDEX(Services!$G$5:$G$64,MATCH(C557,Services!$B$5:$B$64,0)),0)*IF(E557="",1,IF(IFERROR(INDEX(Services!$D$5:$D$64,MATCH(C557,Services!$B$5:$B$64,0)),"")="Per hour",1,E557)))</f>
        <v>0</v>
      </c>
      <c r="O557" s="21">
        <f>IF(B557="","",ROUND(IF(E557="",1,E557)*L557,2))</f>
        <v>0</v>
      </c>
      <c r="P557" s="21">
        <f>IF(B557="","",ROUND(O557*(1-IF(G557="",0,G557)),2))</f>
        <v>0</v>
      </c>
      <c r="Q557" s="21">
        <f>IF(B557="","",ROUND(N557*CostPerHour+IF(E557="",1,E557)*IFERROR(INDEX(Services!$R$5:$R$64,MATCH(C557,Services!$B$5:$B$64,0)),0),2))</f>
        <v>0</v>
      </c>
      <c r="R557" s="38">
        <f>IF(OR(B557="",P557=0),"",(P557-Q557)/P557)</f>
        <v>0</v>
      </c>
      <c r="S557" s="31">
        <f>IF(OR(B557="",C557=""),"",COUNTIFS($B$5:B557,B557))</f>
        <v>0</v>
      </c>
      <c r="T557" s="23">
        <f>IF(S557="","",B557&amp;"|"&amp;S557)</f>
        <v>0</v>
      </c>
      <c r="U557" s="39">
        <f>IF(B557="","",IF(C557="","Add - pick a service",IF(E557="","Add - how many?",IF(L557=0,"Add - no price",IF(AND(R557&lt;&gt;"",R557&lt;MarginFloor),"Below - thin margin","OK")))))</f>
        <v>0</v>
      </c>
    </row>
    <row r="558" spans="1:21">
      <c r="A558" s="43">
        <f>IF(B558="","","QL-"&amp;TEXT(ROW()-4,"0000"))</f>
        <v>0</v>
      </c>
      <c r="J558" s="21">
        <f>IF(C558="","",IFERROR(INDEX(Services!$P$5:$P$64,MATCH(C558,Services!$B$5:$B$64,0)),"0"))</f>
        <v>0</v>
      </c>
      <c r="K558" s="23">
        <f>IF(C558="","",IFERROR(INDEX(Services!$E$5:$E$64,MATCH(C558,Services!$B$5:$B$64,0)),""))</f>
        <v>0</v>
      </c>
      <c r="L558" s="21">
        <f>IF(B558="","",IF(F558&lt;&gt;"",F558,IFERROR(J558*1,0)))</f>
        <v>0</v>
      </c>
      <c r="M558" s="51">
        <f>IF(B558="","",IF(D558&lt;&gt;"",D558,IFERROR(INDEX(Services!$O$5:$O$64,MATCH(C558,Services!$B$5:$B$64,0)),"")))</f>
        <v>0</v>
      </c>
      <c r="N558" s="34">
        <f>IF(B558="","",IFERROR(INDEX(Services!$G$5:$G$64,MATCH(C558,Services!$B$5:$B$64,0)),0)*IF(E558="",1,IF(IFERROR(INDEX(Services!$D$5:$D$64,MATCH(C558,Services!$B$5:$B$64,0)),"")="Per hour",1,E558)))</f>
        <v>0</v>
      </c>
      <c r="O558" s="21">
        <f>IF(B558="","",ROUND(IF(E558="",1,E558)*L558,2))</f>
        <v>0</v>
      </c>
      <c r="P558" s="21">
        <f>IF(B558="","",ROUND(O558*(1-IF(G558="",0,G558)),2))</f>
        <v>0</v>
      </c>
      <c r="Q558" s="21">
        <f>IF(B558="","",ROUND(N558*CostPerHour+IF(E558="",1,E558)*IFERROR(INDEX(Services!$R$5:$R$64,MATCH(C558,Services!$B$5:$B$64,0)),0),2))</f>
        <v>0</v>
      </c>
      <c r="R558" s="38">
        <f>IF(OR(B558="",P558=0),"",(P558-Q558)/P558)</f>
        <v>0</v>
      </c>
      <c r="S558" s="31">
        <f>IF(OR(B558="",C558=""),"",COUNTIFS($B$5:B558,B558))</f>
        <v>0</v>
      </c>
      <c r="T558" s="23">
        <f>IF(S558="","",B558&amp;"|"&amp;S558)</f>
        <v>0</v>
      </c>
      <c r="U558" s="39">
        <f>IF(B558="","",IF(C558="","Add - pick a service",IF(E558="","Add - how many?",IF(L558=0,"Add - no price",IF(AND(R558&lt;&gt;"",R558&lt;MarginFloor),"Below - thin margin","OK")))))</f>
        <v>0</v>
      </c>
    </row>
    <row r="559" spans="1:21">
      <c r="A559" s="43">
        <f>IF(B559="","","QL-"&amp;TEXT(ROW()-4,"0000"))</f>
        <v>0</v>
      </c>
      <c r="J559" s="21">
        <f>IF(C559="","",IFERROR(INDEX(Services!$P$5:$P$64,MATCH(C559,Services!$B$5:$B$64,0)),"0"))</f>
        <v>0</v>
      </c>
      <c r="K559" s="23">
        <f>IF(C559="","",IFERROR(INDEX(Services!$E$5:$E$64,MATCH(C559,Services!$B$5:$B$64,0)),""))</f>
        <v>0</v>
      </c>
      <c r="L559" s="21">
        <f>IF(B559="","",IF(F559&lt;&gt;"",F559,IFERROR(J559*1,0)))</f>
        <v>0</v>
      </c>
      <c r="M559" s="51">
        <f>IF(B559="","",IF(D559&lt;&gt;"",D559,IFERROR(INDEX(Services!$O$5:$O$64,MATCH(C559,Services!$B$5:$B$64,0)),"")))</f>
        <v>0</v>
      </c>
      <c r="N559" s="34">
        <f>IF(B559="","",IFERROR(INDEX(Services!$G$5:$G$64,MATCH(C559,Services!$B$5:$B$64,0)),0)*IF(E559="",1,IF(IFERROR(INDEX(Services!$D$5:$D$64,MATCH(C559,Services!$B$5:$B$64,0)),"")="Per hour",1,E559)))</f>
        <v>0</v>
      </c>
      <c r="O559" s="21">
        <f>IF(B559="","",ROUND(IF(E559="",1,E559)*L559,2))</f>
        <v>0</v>
      </c>
      <c r="P559" s="21">
        <f>IF(B559="","",ROUND(O559*(1-IF(G559="",0,G559)),2))</f>
        <v>0</v>
      </c>
      <c r="Q559" s="21">
        <f>IF(B559="","",ROUND(N559*CostPerHour+IF(E559="",1,E559)*IFERROR(INDEX(Services!$R$5:$R$64,MATCH(C559,Services!$B$5:$B$64,0)),0),2))</f>
        <v>0</v>
      </c>
      <c r="R559" s="38">
        <f>IF(OR(B559="",P559=0),"",(P559-Q559)/P559)</f>
        <v>0</v>
      </c>
      <c r="S559" s="31">
        <f>IF(OR(B559="",C559=""),"",COUNTIFS($B$5:B559,B559))</f>
        <v>0</v>
      </c>
      <c r="T559" s="23">
        <f>IF(S559="","",B559&amp;"|"&amp;S559)</f>
        <v>0</v>
      </c>
      <c r="U559" s="39">
        <f>IF(B559="","",IF(C559="","Add - pick a service",IF(E559="","Add - how many?",IF(L559=0,"Add - no price",IF(AND(R559&lt;&gt;"",R559&lt;MarginFloor),"Below - thin margin","OK")))))</f>
        <v>0</v>
      </c>
    </row>
    <row r="560" spans="1:21">
      <c r="A560" s="43">
        <f>IF(B560="","","QL-"&amp;TEXT(ROW()-4,"0000"))</f>
        <v>0</v>
      </c>
      <c r="J560" s="21">
        <f>IF(C560="","",IFERROR(INDEX(Services!$P$5:$P$64,MATCH(C560,Services!$B$5:$B$64,0)),"0"))</f>
        <v>0</v>
      </c>
      <c r="K560" s="23">
        <f>IF(C560="","",IFERROR(INDEX(Services!$E$5:$E$64,MATCH(C560,Services!$B$5:$B$64,0)),""))</f>
        <v>0</v>
      </c>
      <c r="L560" s="21">
        <f>IF(B560="","",IF(F560&lt;&gt;"",F560,IFERROR(J560*1,0)))</f>
        <v>0</v>
      </c>
      <c r="M560" s="51">
        <f>IF(B560="","",IF(D560&lt;&gt;"",D560,IFERROR(INDEX(Services!$O$5:$O$64,MATCH(C560,Services!$B$5:$B$64,0)),"")))</f>
        <v>0</v>
      </c>
      <c r="N560" s="34">
        <f>IF(B560="","",IFERROR(INDEX(Services!$G$5:$G$64,MATCH(C560,Services!$B$5:$B$64,0)),0)*IF(E560="",1,IF(IFERROR(INDEX(Services!$D$5:$D$64,MATCH(C560,Services!$B$5:$B$64,0)),"")="Per hour",1,E560)))</f>
        <v>0</v>
      </c>
      <c r="O560" s="21">
        <f>IF(B560="","",ROUND(IF(E560="",1,E560)*L560,2))</f>
        <v>0</v>
      </c>
      <c r="P560" s="21">
        <f>IF(B560="","",ROUND(O560*(1-IF(G560="",0,G560)),2))</f>
        <v>0</v>
      </c>
      <c r="Q560" s="21">
        <f>IF(B560="","",ROUND(N560*CostPerHour+IF(E560="",1,E560)*IFERROR(INDEX(Services!$R$5:$R$64,MATCH(C560,Services!$B$5:$B$64,0)),0),2))</f>
        <v>0</v>
      </c>
      <c r="R560" s="38">
        <f>IF(OR(B560="",P560=0),"",(P560-Q560)/P560)</f>
        <v>0</v>
      </c>
      <c r="S560" s="31">
        <f>IF(OR(B560="",C560=""),"",COUNTIFS($B$5:B560,B560))</f>
        <v>0</v>
      </c>
      <c r="T560" s="23">
        <f>IF(S560="","",B560&amp;"|"&amp;S560)</f>
        <v>0</v>
      </c>
      <c r="U560" s="39">
        <f>IF(B560="","",IF(C560="","Add - pick a service",IF(E560="","Add - how many?",IF(L560=0,"Add - no price",IF(AND(R560&lt;&gt;"",R560&lt;MarginFloor),"Below - thin margin","OK")))))</f>
        <v>0</v>
      </c>
    </row>
    <row r="561" spans="1:21">
      <c r="A561" s="43">
        <f>IF(B561="","","QL-"&amp;TEXT(ROW()-4,"0000"))</f>
        <v>0</v>
      </c>
      <c r="J561" s="21">
        <f>IF(C561="","",IFERROR(INDEX(Services!$P$5:$P$64,MATCH(C561,Services!$B$5:$B$64,0)),"0"))</f>
        <v>0</v>
      </c>
      <c r="K561" s="23">
        <f>IF(C561="","",IFERROR(INDEX(Services!$E$5:$E$64,MATCH(C561,Services!$B$5:$B$64,0)),""))</f>
        <v>0</v>
      </c>
      <c r="L561" s="21">
        <f>IF(B561="","",IF(F561&lt;&gt;"",F561,IFERROR(J561*1,0)))</f>
        <v>0</v>
      </c>
      <c r="M561" s="51">
        <f>IF(B561="","",IF(D561&lt;&gt;"",D561,IFERROR(INDEX(Services!$O$5:$O$64,MATCH(C561,Services!$B$5:$B$64,0)),"")))</f>
        <v>0</v>
      </c>
      <c r="N561" s="34">
        <f>IF(B561="","",IFERROR(INDEX(Services!$G$5:$G$64,MATCH(C561,Services!$B$5:$B$64,0)),0)*IF(E561="",1,IF(IFERROR(INDEX(Services!$D$5:$D$64,MATCH(C561,Services!$B$5:$B$64,0)),"")="Per hour",1,E561)))</f>
        <v>0</v>
      </c>
      <c r="O561" s="21">
        <f>IF(B561="","",ROUND(IF(E561="",1,E561)*L561,2))</f>
        <v>0</v>
      </c>
      <c r="P561" s="21">
        <f>IF(B561="","",ROUND(O561*(1-IF(G561="",0,G561)),2))</f>
        <v>0</v>
      </c>
      <c r="Q561" s="21">
        <f>IF(B561="","",ROUND(N561*CostPerHour+IF(E561="",1,E561)*IFERROR(INDEX(Services!$R$5:$R$64,MATCH(C561,Services!$B$5:$B$64,0)),0),2))</f>
        <v>0</v>
      </c>
      <c r="R561" s="38">
        <f>IF(OR(B561="",P561=0),"",(P561-Q561)/P561)</f>
        <v>0</v>
      </c>
      <c r="S561" s="31">
        <f>IF(OR(B561="",C561=""),"",COUNTIFS($B$5:B561,B561))</f>
        <v>0</v>
      </c>
      <c r="T561" s="23">
        <f>IF(S561="","",B561&amp;"|"&amp;S561)</f>
        <v>0</v>
      </c>
      <c r="U561" s="39">
        <f>IF(B561="","",IF(C561="","Add - pick a service",IF(E561="","Add - how many?",IF(L561=0,"Add - no price",IF(AND(R561&lt;&gt;"",R561&lt;MarginFloor),"Below - thin margin","OK")))))</f>
        <v>0</v>
      </c>
    </row>
    <row r="562" spans="1:21">
      <c r="A562" s="43">
        <f>IF(B562="","","QL-"&amp;TEXT(ROW()-4,"0000"))</f>
        <v>0</v>
      </c>
      <c r="J562" s="21">
        <f>IF(C562="","",IFERROR(INDEX(Services!$P$5:$P$64,MATCH(C562,Services!$B$5:$B$64,0)),"0"))</f>
        <v>0</v>
      </c>
      <c r="K562" s="23">
        <f>IF(C562="","",IFERROR(INDEX(Services!$E$5:$E$64,MATCH(C562,Services!$B$5:$B$64,0)),""))</f>
        <v>0</v>
      </c>
      <c r="L562" s="21">
        <f>IF(B562="","",IF(F562&lt;&gt;"",F562,IFERROR(J562*1,0)))</f>
        <v>0</v>
      </c>
      <c r="M562" s="51">
        <f>IF(B562="","",IF(D562&lt;&gt;"",D562,IFERROR(INDEX(Services!$O$5:$O$64,MATCH(C562,Services!$B$5:$B$64,0)),"")))</f>
        <v>0</v>
      </c>
      <c r="N562" s="34">
        <f>IF(B562="","",IFERROR(INDEX(Services!$G$5:$G$64,MATCH(C562,Services!$B$5:$B$64,0)),0)*IF(E562="",1,IF(IFERROR(INDEX(Services!$D$5:$D$64,MATCH(C562,Services!$B$5:$B$64,0)),"")="Per hour",1,E562)))</f>
        <v>0</v>
      </c>
      <c r="O562" s="21">
        <f>IF(B562="","",ROUND(IF(E562="",1,E562)*L562,2))</f>
        <v>0</v>
      </c>
      <c r="P562" s="21">
        <f>IF(B562="","",ROUND(O562*(1-IF(G562="",0,G562)),2))</f>
        <v>0</v>
      </c>
      <c r="Q562" s="21">
        <f>IF(B562="","",ROUND(N562*CostPerHour+IF(E562="",1,E562)*IFERROR(INDEX(Services!$R$5:$R$64,MATCH(C562,Services!$B$5:$B$64,0)),0),2))</f>
        <v>0</v>
      </c>
      <c r="R562" s="38">
        <f>IF(OR(B562="",P562=0),"",(P562-Q562)/P562)</f>
        <v>0</v>
      </c>
      <c r="S562" s="31">
        <f>IF(OR(B562="",C562=""),"",COUNTIFS($B$5:B562,B562))</f>
        <v>0</v>
      </c>
      <c r="T562" s="23">
        <f>IF(S562="","",B562&amp;"|"&amp;S562)</f>
        <v>0</v>
      </c>
      <c r="U562" s="39">
        <f>IF(B562="","",IF(C562="","Add - pick a service",IF(E562="","Add - how many?",IF(L562=0,"Add - no price",IF(AND(R562&lt;&gt;"",R562&lt;MarginFloor),"Below - thin margin","OK")))))</f>
        <v>0</v>
      </c>
    </row>
    <row r="563" spans="1:21">
      <c r="A563" s="43">
        <f>IF(B563="","","QL-"&amp;TEXT(ROW()-4,"0000"))</f>
        <v>0</v>
      </c>
      <c r="J563" s="21">
        <f>IF(C563="","",IFERROR(INDEX(Services!$P$5:$P$64,MATCH(C563,Services!$B$5:$B$64,0)),"0"))</f>
        <v>0</v>
      </c>
      <c r="K563" s="23">
        <f>IF(C563="","",IFERROR(INDEX(Services!$E$5:$E$64,MATCH(C563,Services!$B$5:$B$64,0)),""))</f>
        <v>0</v>
      </c>
      <c r="L563" s="21">
        <f>IF(B563="","",IF(F563&lt;&gt;"",F563,IFERROR(J563*1,0)))</f>
        <v>0</v>
      </c>
      <c r="M563" s="51">
        <f>IF(B563="","",IF(D563&lt;&gt;"",D563,IFERROR(INDEX(Services!$O$5:$O$64,MATCH(C563,Services!$B$5:$B$64,0)),"")))</f>
        <v>0</v>
      </c>
      <c r="N563" s="34">
        <f>IF(B563="","",IFERROR(INDEX(Services!$G$5:$G$64,MATCH(C563,Services!$B$5:$B$64,0)),0)*IF(E563="",1,IF(IFERROR(INDEX(Services!$D$5:$D$64,MATCH(C563,Services!$B$5:$B$64,0)),"")="Per hour",1,E563)))</f>
        <v>0</v>
      </c>
      <c r="O563" s="21">
        <f>IF(B563="","",ROUND(IF(E563="",1,E563)*L563,2))</f>
        <v>0</v>
      </c>
      <c r="P563" s="21">
        <f>IF(B563="","",ROUND(O563*(1-IF(G563="",0,G563)),2))</f>
        <v>0</v>
      </c>
      <c r="Q563" s="21">
        <f>IF(B563="","",ROUND(N563*CostPerHour+IF(E563="",1,E563)*IFERROR(INDEX(Services!$R$5:$R$64,MATCH(C563,Services!$B$5:$B$64,0)),0),2))</f>
        <v>0</v>
      </c>
      <c r="R563" s="38">
        <f>IF(OR(B563="",P563=0),"",(P563-Q563)/P563)</f>
        <v>0</v>
      </c>
      <c r="S563" s="31">
        <f>IF(OR(B563="",C563=""),"",COUNTIFS($B$5:B563,B563))</f>
        <v>0</v>
      </c>
      <c r="T563" s="23">
        <f>IF(S563="","",B563&amp;"|"&amp;S563)</f>
        <v>0</v>
      </c>
      <c r="U563" s="39">
        <f>IF(B563="","",IF(C563="","Add - pick a service",IF(E563="","Add - how many?",IF(L563=0,"Add - no price",IF(AND(R563&lt;&gt;"",R563&lt;MarginFloor),"Below - thin margin","OK")))))</f>
        <v>0</v>
      </c>
    </row>
    <row r="564" spans="1:21">
      <c r="A564" s="43">
        <f>IF(B564="","","QL-"&amp;TEXT(ROW()-4,"0000"))</f>
        <v>0</v>
      </c>
      <c r="J564" s="21">
        <f>IF(C564="","",IFERROR(INDEX(Services!$P$5:$P$64,MATCH(C564,Services!$B$5:$B$64,0)),"0"))</f>
        <v>0</v>
      </c>
      <c r="K564" s="23">
        <f>IF(C564="","",IFERROR(INDEX(Services!$E$5:$E$64,MATCH(C564,Services!$B$5:$B$64,0)),""))</f>
        <v>0</v>
      </c>
      <c r="L564" s="21">
        <f>IF(B564="","",IF(F564&lt;&gt;"",F564,IFERROR(J564*1,0)))</f>
        <v>0</v>
      </c>
      <c r="M564" s="51">
        <f>IF(B564="","",IF(D564&lt;&gt;"",D564,IFERROR(INDEX(Services!$O$5:$O$64,MATCH(C564,Services!$B$5:$B$64,0)),"")))</f>
        <v>0</v>
      </c>
      <c r="N564" s="34">
        <f>IF(B564="","",IFERROR(INDEX(Services!$G$5:$G$64,MATCH(C564,Services!$B$5:$B$64,0)),0)*IF(E564="",1,IF(IFERROR(INDEX(Services!$D$5:$D$64,MATCH(C564,Services!$B$5:$B$64,0)),"")="Per hour",1,E564)))</f>
        <v>0</v>
      </c>
      <c r="O564" s="21">
        <f>IF(B564="","",ROUND(IF(E564="",1,E564)*L564,2))</f>
        <v>0</v>
      </c>
      <c r="P564" s="21">
        <f>IF(B564="","",ROUND(O564*(1-IF(G564="",0,G564)),2))</f>
        <v>0</v>
      </c>
      <c r="Q564" s="21">
        <f>IF(B564="","",ROUND(N564*CostPerHour+IF(E564="",1,E564)*IFERROR(INDEX(Services!$R$5:$R$64,MATCH(C564,Services!$B$5:$B$64,0)),0),2))</f>
        <v>0</v>
      </c>
      <c r="R564" s="38">
        <f>IF(OR(B564="",P564=0),"",(P564-Q564)/P564)</f>
        <v>0</v>
      </c>
      <c r="S564" s="31">
        <f>IF(OR(B564="",C564=""),"",COUNTIFS($B$5:B564,B564))</f>
        <v>0</v>
      </c>
      <c r="T564" s="23">
        <f>IF(S564="","",B564&amp;"|"&amp;S564)</f>
        <v>0</v>
      </c>
      <c r="U564" s="39">
        <f>IF(B564="","",IF(C564="","Add - pick a service",IF(E564="","Add - how many?",IF(L564=0,"Add - no price",IF(AND(R564&lt;&gt;"",R564&lt;MarginFloor),"Below - thin margin","OK")))))</f>
        <v>0</v>
      </c>
    </row>
    <row r="565" spans="1:21">
      <c r="A565" s="43">
        <f>IF(B565="","","QL-"&amp;TEXT(ROW()-4,"0000"))</f>
        <v>0</v>
      </c>
      <c r="J565" s="21">
        <f>IF(C565="","",IFERROR(INDEX(Services!$P$5:$P$64,MATCH(C565,Services!$B$5:$B$64,0)),"0"))</f>
        <v>0</v>
      </c>
      <c r="K565" s="23">
        <f>IF(C565="","",IFERROR(INDEX(Services!$E$5:$E$64,MATCH(C565,Services!$B$5:$B$64,0)),""))</f>
        <v>0</v>
      </c>
      <c r="L565" s="21">
        <f>IF(B565="","",IF(F565&lt;&gt;"",F565,IFERROR(J565*1,0)))</f>
        <v>0</v>
      </c>
      <c r="M565" s="51">
        <f>IF(B565="","",IF(D565&lt;&gt;"",D565,IFERROR(INDEX(Services!$O$5:$O$64,MATCH(C565,Services!$B$5:$B$64,0)),"")))</f>
        <v>0</v>
      </c>
      <c r="N565" s="34">
        <f>IF(B565="","",IFERROR(INDEX(Services!$G$5:$G$64,MATCH(C565,Services!$B$5:$B$64,0)),0)*IF(E565="",1,IF(IFERROR(INDEX(Services!$D$5:$D$64,MATCH(C565,Services!$B$5:$B$64,0)),"")="Per hour",1,E565)))</f>
        <v>0</v>
      </c>
      <c r="O565" s="21">
        <f>IF(B565="","",ROUND(IF(E565="",1,E565)*L565,2))</f>
        <v>0</v>
      </c>
      <c r="P565" s="21">
        <f>IF(B565="","",ROUND(O565*(1-IF(G565="",0,G565)),2))</f>
        <v>0</v>
      </c>
      <c r="Q565" s="21">
        <f>IF(B565="","",ROUND(N565*CostPerHour+IF(E565="",1,E565)*IFERROR(INDEX(Services!$R$5:$R$64,MATCH(C565,Services!$B$5:$B$64,0)),0),2))</f>
        <v>0</v>
      </c>
      <c r="R565" s="38">
        <f>IF(OR(B565="",P565=0),"",(P565-Q565)/P565)</f>
        <v>0</v>
      </c>
      <c r="S565" s="31">
        <f>IF(OR(B565="",C565=""),"",COUNTIFS($B$5:B565,B565))</f>
        <v>0</v>
      </c>
      <c r="T565" s="23">
        <f>IF(S565="","",B565&amp;"|"&amp;S565)</f>
        <v>0</v>
      </c>
      <c r="U565" s="39">
        <f>IF(B565="","",IF(C565="","Add - pick a service",IF(E565="","Add - how many?",IF(L565=0,"Add - no price",IF(AND(R565&lt;&gt;"",R565&lt;MarginFloor),"Below - thin margin","OK")))))</f>
        <v>0</v>
      </c>
    </row>
    <row r="566" spans="1:21">
      <c r="A566" s="43">
        <f>IF(B566="","","QL-"&amp;TEXT(ROW()-4,"0000"))</f>
        <v>0</v>
      </c>
      <c r="J566" s="21">
        <f>IF(C566="","",IFERROR(INDEX(Services!$P$5:$P$64,MATCH(C566,Services!$B$5:$B$64,0)),"0"))</f>
        <v>0</v>
      </c>
      <c r="K566" s="23">
        <f>IF(C566="","",IFERROR(INDEX(Services!$E$5:$E$64,MATCH(C566,Services!$B$5:$B$64,0)),""))</f>
        <v>0</v>
      </c>
      <c r="L566" s="21">
        <f>IF(B566="","",IF(F566&lt;&gt;"",F566,IFERROR(J566*1,0)))</f>
        <v>0</v>
      </c>
      <c r="M566" s="51">
        <f>IF(B566="","",IF(D566&lt;&gt;"",D566,IFERROR(INDEX(Services!$O$5:$O$64,MATCH(C566,Services!$B$5:$B$64,0)),"")))</f>
        <v>0</v>
      </c>
      <c r="N566" s="34">
        <f>IF(B566="","",IFERROR(INDEX(Services!$G$5:$G$64,MATCH(C566,Services!$B$5:$B$64,0)),0)*IF(E566="",1,IF(IFERROR(INDEX(Services!$D$5:$D$64,MATCH(C566,Services!$B$5:$B$64,0)),"")="Per hour",1,E566)))</f>
        <v>0</v>
      </c>
      <c r="O566" s="21">
        <f>IF(B566="","",ROUND(IF(E566="",1,E566)*L566,2))</f>
        <v>0</v>
      </c>
      <c r="P566" s="21">
        <f>IF(B566="","",ROUND(O566*(1-IF(G566="",0,G566)),2))</f>
        <v>0</v>
      </c>
      <c r="Q566" s="21">
        <f>IF(B566="","",ROUND(N566*CostPerHour+IF(E566="",1,E566)*IFERROR(INDEX(Services!$R$5:$R$64,MATCH(C566,Services!$B$5:$B$64,0)),0),2))</f>
        <v>0</v>
      </c>
      <c r="R566" s="38">
        <f>IF(OR(B566="",P566=0),"",(P566-Q566)/P566)</f>
        <v>0</v>
      </c>
      <c r="S566" s="31">
        <f>IF(OR(B566="",C566=""),"",COUNTIFS($B$5:B566,B566))</f>
        <v>0</v>
      </c>
      <c r="T566" s="23">
        <f>IF(S566="","",B566&amp;"|"&amp;S566)</f>
        <v>0</v>
      </c>
      <c r="U566" s="39">
        <f>IF(B566="","",IF(C566="","Add - pick a service",IF(E566="","Add - how many?",IF(L566=0,"Add - no price",IF(AND(R566&lt;&gt;"",R566&lt;MarginFloor),"Below - thin margin","OK")))))</f>
        <v>0</v>
      </c>
    </row>
    <row r="567" spans="1:21">
      <c r="A567" s="43">
        <f>IF(B567="","","QL-"&amp;TEXT(ROW()-4,"0000"))</f>
        <v>0</v>
      </c>
      <c r="J567" s="21">
        <f>IF(C567="","",IFERROR(INDEX(Services!$P$5:$P$64,MATCH(C567,Services!$B$5:$B$64,0)),"0"))</f>
        <v>0</v>
      </c>
      <c r="K567" s="23">
        <f>IF(C567="","",IFERROR(INDEX(Services!$E$5:$E$64,MATCH(C567,Services!$B$5:$B$64,0)),""))</f>
        <v>0</v>
      </c>
      <c r="L567" s="21">
        <f>IF(B567="","",IF(F567&lt;&gt;"",F567,IFERROR(J567*1,0)))</f>
        <v>0</v>
      </c>
      <c r="M567" s="51">
        <f>IF(B567="","",IF(D567&lt;&gt;"",D567,IFERROR(INDEX(Services!$O$5:$O$64,MATCH(C567,Services!$B$5:$B$64,0)),"")))</f>
        <v>0</v>
      </c>
      <c r="N567" s="34">
        <f>IF(B567="","",IFERROR(INDEX(Services!$G$5:$G$64,MATCH(C567,Services!$B$5:$B$64,0)),0)*IF(E567="",1,IF(IFERROR(INDEX(Services!$D$5:$D$64,MATCH(C567,Services!$B$5:$B$64,0)),"")="Per hour",1,E567)))</f>
        <v>0</v>
      </c>
      <c r="O567" s="21">
        <f>IF(B567="","",ROUND(IF(E567="",1,E567)*L567,2))</f>
        <v>0</v>
      </c>
      <c r="P567" s="21">
        <f>IF(B567="","",ROUND(O567*(1-IF(G567="",0,G567)),2))</f>
        <v>0</v>
      </c>
      <c r="Q567" s="21">
        <f>IF(B567="","",ROUND(N567*CostPerHour+IF(E567="",1,E567)*IFERROR(INDEX(Services!$R$5:$R$64,MATCH(C567,Services!$B$5:$B$64,0)),0),2))</f>
        <v>0</v>
      </c>
      <c r="R567" s="38">
        <f>IF(OR(B567="",P567=0),"",(P567-Q567)/P567)</f>
        <v>0</v>
      </c>
      <c r="S567" s="31">
        <f>IF(OR(B567="",C567=""),"",COUNTIFS($B$5:B567,B567))</f>
        <v>0</v>
      </c>
      <c r="T567" s="23">
        <f>IF(S567="","",B567&amp;"|"&amp;S567)</f>
        <v>0</v>
      </c>
      <c r="U567" s="39">
        <f>IF(B567="","",IF(C567="","Add - pick a service",IF(E567="","Add - how many?",IF(L567=0,"Add - no price",IF(AND(R567&lt;&gt;"",R567&lt;MarginFloor),"Below - thin margin","OK")))))</f>
        <v>0</v>
      </c>
    </row>
    <row r="568" spans="1:21">
      <c r="A568" s="43">
        <f>IF(B568="","","QL-"&amp;TEXT(ROW()-4,"0000"))</f>
        <v>0</v>
      </c>
      <c r="J568" s="21">
        <f>IF(C568="","",IFERROR(INDEX(Services!$P$5:$P$64,MATCH(C568,Services!$B$5:$B$64,0)),"0"))</f>
        <v>0</v>
      </c>
      <c r="K568" s="23">
        <f>IF(C568="","",IFERROR(INDEX(Services!$E$5:$E$64,MATCH(C568,Services!$B$5:$B$64,0)),""))</f>
        <v>0</v>
      </c>
      <c r="L568" s="21">
        <f>IF(B568="","",IF(F568&lt;&gt;"",F568,IFERROR(J568*1,0)))</f>
        <v>0</v>
      </c>
      <c r="M568" s="51">
        <f>IF(B568="","",IF(D568&lt;&gt;"",D568,IFERROR(INDEX(Services!$O$5:$O$64,MATCH(C568,Services!$B$5:$B$64,0)),"")))</f>
        <v>0</v>
      </c>
      <c r="N568" s="34">
        <f>IF(B568="","",IFERROR(INDEX(Services!$G$5:$G$64,MATCH(C568,Services!$B$5:$B$64,0)),0)*IF(E568="",1,IF(IFERROR(INDEX(Services!$D$5:$D$64,MATCH(C568,Services!$B$5:$B$64,0)),"")="Per hour",1,E568)))</f>
        <v>0</v>
      </c>
      <c r="O568" s="21">
        <f>IF(B568="","",ROUND(IF(E568="",1,E568)*L568,2))</f>
        <v>0</v>
      </c>
      <c r="P568" s="21">
        <f>IF(B568="","",ROUND(O568*(1-IF(G568="",0,G568)),2))</f>
        <v>0</v>
      </c>
      <c r="Q568" s="21">
        <f>IF(B568="","",ROUND(N568*CostPerHour+IF(E568="",1,E568)*IFERROR(INDEX(Services!$R$5:$R$64,MATCH(C568,Services!$B$5:$B$64,0)),0),2))</f>
        <v>0</v>
      </c>
      <c r="R568" s="38">
        <f>IF(OR(B568="",P568=0),"",(P568-Q568)/P568)</f>
        <v>0</v>
      </c>
      <c r="S568" s="31">
        <f>IF(OR(B568="",C568=""),"",COUNTIFS($B$5:B568,B568))</f>
        <v>0</v>
      </c>
      <c r="T568" s="23">
        <f>IF(S568="","",B568&amp;"|"&amp;S568)</f>
        <v>0</v>
      </c>
      <c r="U568" s="39">
        <f>IF(B568="","",IF(C568="","Add - pick a service",IF(E568="","Add - how many?",IF(L568=0,"Add - no price",IF(AND(R568&lt;&gt;"",R568&lt;MarginFloor),"Below - thin margin","OK")))))</f>
        <v>0</v>
      </c>
    </row>
    <row r="569" spans="1:21">
      <c r="A569" s="43">
        <f>IF(B569="","","QL-"&amp;TEXT(ROW()-4,"0000"))</f>
        <v>0</v>
      </c>
      <c r="J569" s="21">
        <f>IF(C569="","",IFERROR(INDEX(Services!$P$5:$P$64,MATCH(C569,Services!$B$5:$B$64,0)),"0"))</f>
        <v>0</v>
      </c>
      <c r="K569" s="23">
        <f>IF(C569="","",IFERROR(INDEX(Services!$E$5:$E$64,MATCH(C569,Services!$B$5:$B$64,0)),""))</f>
        <v>0</v>
      </c>
      <c r="L569" s="21">
        <f>IF(B569="","",IF(F569&lt;&gt;"",F569,IFERROR(J569*1,0)))</f>
        <v>0</v>
      </c>
      <c r="M569" s="51">
        <f>IF(B569="","",IF(D569&lt;&gt;"",D569,IFERROR(INDEX(Services!$O$5:$O$64,MATCH(C569,Services!$B$5:$B$64,0)),"")))</f>
        <v>0</v>
      </c>
      <c r="N569" s="34">
        <f>IF(B569="","",IFERROR(INDEX(Services!$G$5:$G$64,MATCH(C569,Services!$B$5:$B$64,0)),0)*IF(E569="",1,IF(IFERROR(INDEX(Services!$D$5:$D$64,MATCH(C569,Services!$B$5:$B$64,0)),"")="Per hour",1,E569)))</f>
        <v>0</v>
      </c>
      <c r="O569" s="21">
        <f>IF(B569="","",ROUND(IF(E569="",1,E569)*L569,2))</f>
        <v>0</v>
      </c>
      <c r="P569" s="21">
        <f>IF(B569="","",ROUND(O569*(1-IF(G569="",0,G569)),2))</f>
        <v>0</v>
      </c>
      <c r="Q569" s="21">
        <f>IF(B569="","",ROUND(N569*CostPerHour+IF(E569="",1,E569)*IFERROR(INDEX(Services!$R$5:$R$64,MATCH(C569,Services!$B$5:$B$64,0)),0),2))</f>
        <v>0</v>
      </c>
      <c r="R569" s="38">
        <f>IF(OR(B569="",P569=0),"",(P569-Q569)/P569)</f>
        <v>0</v>
      </c>
      <c r="S569" s="31">
        <f>IF(OR(B569="",C569=""),"",COUNTIFS($B$5:B569,B569))</f>
        <v>0</v>
      </c>
      <c r="T569" s="23">
        <f>IF(S569="","",B569&amp;"|"&amp;S569)</f>
        <v>0</v>
      </c>
      <c r="U569" s="39">
        <f>IF(B569="","",IF(C569="","Add - pick a service",IF(E569="","Add - how many?",IF(L569=0,"Add - no price",IF(AND(R569&lt;&gt;"",R569&lt;MarginFloor),"Below - thin margin","OK")))))</f>
        <v>0</v>
      </c>
    </row>
    <row r="570" spans="1:21">
      <c r="A570" s="43">
        <f>IF(B570="","","QL-"&amp;TEXT(ROW()-4,"0000"))</f>
        <v>0</v>
      </c>
      <c r="J570" s="21">
        <f>IF(C570="","",IFERROR(INDEX(Services!$P$5:$P$64,MATCH(C570,Services!$B$5:$B$64,0)),"0"))</f>
        <v>0</v>
      </c>
      <c r="K570" s="23">
        <f>IF(C570="","",IFERROR(INDEX(Services!$E$5:$E$64,MATCH(C570,Services!$B$5:$B$64,0)),""))</f>
        <v>0</v>
      </c>
      <c r="L570" s="21">
        <f>IF(B570="","",IF(F570&lt;&gt;"",F570,IFERROR(J570*1,0)))</f>
        <v>0</v>
      </c>
      <c r="M570" s="51">
        <f>IF(B570="","",IF(D570&lt;&gt;"",D570,IFERROR(INDEX(Services!$O$5:$O$64,MATCH(C570,Services!$B$5:$B$64,0)),"")))</f>
        <v>0</v>
      </c>
      <c r="N570" s="34">
        <f>IF(B570="","",IFERROR(INDEX(Services!$G$5:$G$64,MATCH(C570,Services!$B$5:$B$64,0)),0)*IF(E570="",1,IF(IFERROR(INDEX(Services!$D$5:$D$64,MATCH(C570,Services!$B$5:$B$64,0)),"")="Per hour",1,E570)))</f>
        <v>0</v>
      </c>
      <c r="O570" s="21">
        <f>IF(B570="","",ROUND(IF(E570="",1,E570)*L570,2))</f>
        <v>0</v>
      </c>
      <c r="P570" s="21">
        <f>IF(B570="","",ROUND(O570*(1-IF(G570="",0,G570)),2))</f>
        <v>0</v>
      </c>
      <c r="Q570" s="21">
        <f>IF(B570="","",ROUND(N570*CostPerHour+IF(E570="",1,E570)*IFERROR(INDEX(Services!$R$5:$R$64,MATCH(C570,Services!$B$5:$B$64,0)),0),2))</f>
        <v>0</v>
      </c>
      <c r="R570" s="38">
        <f>IF(OR(B570="",P570=0),"",(P570-Q570)/P570)</f>
        <v>0</v>
      </c>
      <c r="S570" s="31">
        <f>IF(OR(B570="",C570=""),"",COUNTIFS($B$5:B570,B570))</f>
        <v>0</v>
      </c>
      <c r="T570" s="23">
        <f>IF(S570="","",B570&amp;"|"&amp;S570)</f>
        <v>0</v>
      </c>
      <c r="U570" s="39">
        <f>IF(B570="","",IF(C570="","Add - pick a service",IF(E570="","Add - how many?",IF(L570=0,"Add - no price",IF(AND(R570&lt;&gt;"",R570&lt;MarginFloor),"Below - thin margin","OK")))))</f>
        <v>0</v>
      </c>
    </row>
    <row r="571" spans="1:21">
      <c r="A571" s="43">
        <f>IF(B571="","","QL-"&amp;TEXT(ROW()-4,"0000"))</f>
        <v>0</v>
      </c>
      <c r="J571" s="21">
        <f>IF(C571="","",IFERROR(INDEX(Services!$P$5:$P$64,MATCH(C571,Services!$B$5:$B$64,0)),"0"))</f>
        <v>0</v>
      </c>
      <c r="K571" s="23">
        <f>IF(C571="","",IFERROR(INDEX(Services!$E$5:$E$64,MATCH(C571,Services!$B$5:$B$64,0)),""))</f>
        <v>0</v>
      </c>
      <c r="L571" s="21">
        <f>IF(B571="","",IF(F571&lt;&gt;"",F571,IFERROR(J571*1,0)))</f>
        <v>0</v>
      </c>
      <c r="M571" s="51">
        <f>IF(B571="","",IF(D571&lt;&gt;"",D571,IFERROR(INDEX(Services!$O$5:$O$64,MATCH(C571,Services!$B$5:$B$64,0)),"")))</f>
        <v>0</v>
      </c>
      <c r="N571" s="34">
        <f>IF(B571="","",IFERROR(INDEX(Services!$G$5:$G$64,MATCH(C571,Services!$B$5:$B$64,0)),0)*IF(E571="",1,IF(IFERROR(INDEX(Services!$D$5:$D$64,MATCH(C571,Services!$B$5:$B$64,0)),"")="Per hour",1,E571)))</f>
        <v>0</v>
      </c>
      <c r="O571" s="21">
        <f>IF(B571="","",ROUND(IF(E571="",1,E571)*L571,2))</f>
        <v>0</v>
      </c>
      <c r="P571" s="21">
        <f>IF(B571="","",ROUND(O571*(1-IF(G571="",0,G571)),2))</f>
        <v>0</v>
      </c>
      <c r="Q571" s="21">
        <f>IF(B571="","",ROUND(N571*CostPerHour+IF(E571="",1,E571)*IFERROR(INDEX(Services!$R$5:$R$64,MATCH(C571,Services!$B$5:$B$64,0)),0),2))</f>
        <v>0</v>
      </c>
      <c r="R571" s="38">
        <f>IF(OR(B571="",P571=0),"",(P571-Q571)/P571)</f>
        <v>0</v>
      </c>
      <c r="S571" s="31">
        <f>IF(OR(B571="",C571=""),"",COUNTIFS($B$5:B571,B571))</f>
        <v>0</v>
      </c>
      <c r="T571" s="23">
        <f>IF(S571="","",B571&amp;"|"&amp;S571)</f>
        <v>0</v>
      </c>
      <c r="U571" s="39">
        <f>IF(B571="","",IF(C571="","Add - pick a service",IF(E571="","Add - how many?",IF(L571=0,"Add - no price",IF(AND(R571&lt;&gt;"",R571&lt;MarginFloor),"Below - thin margin","OK")))))</f>
        <v>0</v>
      </c>
    </row>
    <row r="572" spans="1:21">
      <c r="A572" s="43">
        <f>IF(B572="","","QL-"&amp;TEXT(ROW()-4,"0000"))</f>
        <v>0</v>
      </c>
      <c r="J572" s="21">
        <f>IF(C572="","",IFERROR(INDEX(Services!$P$5:$P$64,MATCH(C572,Services!$B$5:$B$64,0)),"0"))</f>
        <v>0</v>
      </c>
      <c r="K572" s="23">
        <f>IF(C572="","",IFERROR(INDEX(Services!$E$5:$E$64,MATCH(C572,Services!$B$5:$B$64,0)),""))</f>
        <v>0</v>
      </c>
      <c r="L572" s="21">
        <f>IF(B572="","",IF(F572&lt;&gt;"",F572,IFERROR(J572*1,0)))</f>
        <v>0</v>
      </c>
      <c r="M572" s="51">
        <f>IF(B572="","",IF(D572&lt;&gt;"",D572,IFERROR(INDEX(Services!$O$5:$O$64,MATCH(C572,Services!$B$5:$B$64,0)),"")))</f>
        <v>0</v>
      </c>
      <c r="N572" s="34">
        <f>IF(B572="","",IFERROR(INDEX(Services!$G$5:$G$64,MATCH(C572,Services!$B$5:$B$64,0)),0)*IF(E572="",1,IF(IFERROR(INDEX(Services!$D$5:$D$64,MATCH(C572,Services!$B$5:$B$64,0)),"")="Per hour",1,E572)))</f>
        <v>0</v>
      </c>
      <c r="O572" s="21">
        <f>IF(B572="","",ROUND(IF(E572="",1,E572)*L572,2))</f>
        <v>0</v>
      </c>
      <c r="P572" s="21">
        <f>IF(B572="","",ROUND(O572*(1-IF(G572="",0,G572)),2))</f>
        <v>0</v>
      </c>
      <c r="Q572" s="21">
        <f>IF(B572="","",ROUND(N572*CostPerHour+IF(E572="",1,E572)*IFERROR(INDEX(Services!$R$5:$R$64,MATCH(C572,Services!$B$5:$B$64,0)),0),2))</f>
        <v>0</v>
      </c>
      <c r="R572" s="38">
        <f>IF(OR(B572="",P572=0),"",(P572-Q572)/P572)</f>
        <v>0</v>
      </c>
      <c r="S572" s="31">
        <f>IF(OR(B572="",C572=""),"",COUNTIFS($B$5:B572,B572))</f>
        <v>0</v>
      </c>
      <c r="T572" s="23">
        <f>IF(S572="","",B572&amp;"|"&amp;S572)</f>
        <v>0</v>
      </c>
      <c r="U572" s="39">
        <f>IF(B572="","",IF(C572="","Add - pick a service",IF(E572="","Add - how many?",IF(L572=0,"Add - no price",IF(AND(R572&lt;&gt;"",R572&lt;MarginFloor),"Below - thin margin","OK")))))</f>
        <v>0</v>
      </c>
    </row>
    <row r="573" spans="1:21">
      <c r="A573" s="43">
        <f>IF(B573="","","QL-"&amp;TEXT(ROW()-4,"0000"))</f>
        <v>0</v>
      </c>
      <c r="J573" s="21">
        <f>IF(C573="","",IFERROR(INDEX(Services!$P$5:$P$64,MATCH(C573,Services!$B$5:$B$64,0)),"0"))</f>
        <v>0</v>
      </c>
      <c r="K573" s="23">
        <f>IF(C573="","",IFERROR(INDEX(Services!$E$5:$E$64,MATCH(C573,Services!$B$5:$B$64,0)),""))</f>
        <v>0</v>
      </c>
      <c r="L573" s="21">
        <f>IF(B573="","",IF(F573&lt;&gt;"",F573,IFERROR(J573*1,0)))</f>
        <v>0</v>
      </c>
      <c r="M573" s="51">
        <f>IF(B573="","",IF(D573&lt;&gt;"",D573,IFERROR(INDEX(Services!$O$5:$O$64,MATCH(C573,Services!$B$5:$B$64,0)),"")))</f>
        <v>0</v>
      </c>
      <c r="N573" s="34">
        <f>IF(B573="","",IFERROR(INDEX(Services!$G$5:$G$64,MATCH(C573,Services!$B$5:$B$64,0)),0)*IF(E573="",1,IF(IFERROR(INDEX(Services!$D$5:$D$64,MATCH(C573,Services!$B$5:$B$64,0)),"")="Per hour",1,E573)))</f>
        <v>0</v>
      </c>
      <c r="O573" s="21">
        <f>IF(B573="","",ROUND(IF(E573="",1,E573)*L573,2))</f>
        <v>0</v>
      </c>
      <c r="P573" s="21">
        <f>IF(B573="","",ROUND(O573*(1-IF(G573="",0,G573)),2))</f>
        <v>0</v>
      </c>
      <c r="Q573" s="21">
        <f>IF(B573="","",ROUND(N573*CostPerHour+IF(E573="",1,E573)*IFERROR(INDEX(Services!$R$5:$R$64,MATCH(C573,Services!$B$5:$B$64,0)),0),2))</f>
        <v>0</v>
      </c>
      <c r="R573" s="38">
        <f>IF(OR(B573="",P573=0),"",(P573-Q573)/P573)</f>
        <v>0</v>
      </c>
      <c r="S573" s="31">
        <f>IF(OR(B573="",C573=""),"",COUNTIFS($B$5:B573,B573))</f>
        <v>0</v>
      </c>
      <c r="T573" s="23">
        <f>IF(S573="","",B573&amp;"|"&amp;S573)</f>
        <v>0</v>
      </c>
      <c r="U573" s="39">
        <f>IF(B573="","",IF(C573="","Add - pick a service",IF(E573="","Add - how many?",IF(L573=0,"Add - no price",IF(AND(R573&lt;&gt;"",R573&lt;MarginFloor),"Below - thin margin","OK")))))</f>
        <v>0</v>
      </c>
    </row>
    <row r="574" spans="1:21">
      <c r="A574" s="43">
        <f>IF(B574="","","QL-"&amp;TEXT(ROW()-4,"0000"))</f>
        <v>0</v>
      </c>
      <c r="J574" s="21">
        <f>IF(C574="","",IFERROR(INDEX(Services!$P$5:$P$64,MATCH(C574,Services!$B$5:$B$64,0)),"0"))</f>
        <v>0</v>
      </c>
      <c r="K574" s="23">
        <f>IF(C574="","",IFERROR(INDEX(Services!$E$5:$E$64,MATCH(C574,Services!$B$5:$B$64,0)),""))</f>
        <v>0</v>
      </c>
      <c r="L574" s="21">
        <f>IF(B574="","",IF(F574&lt;&gt;"",F574,IFERROR(J574*1,0)))</f>
        <v>0</v>
      </c>
      <c r="M574" s="51">
        <f>IF(B574="","",IF(D574&lt;&gt;"",D574,IFERROR(INDEX(Services!$O$5:$O$64,MATCH(C574,Services!$B$5:$B$64,0)),"")))</f>
        <v>0</v>
      </c>
      <c r="N574" s="34">
        <f>IF(B574="","",IFERROR(INDEX(Services!$G$5:$G$64,MATCH(C574,Services!$B$5:$B$64,0)),0)*IF(E574="",1,IF(IFERROR(INDEX(Services!$D$5:$D$64,MATCH(C574,Services!$B$5:$B$64,0)),"")="Per hour",1,E574)))</f>
        <v>0</v>
      </c>
      <c r="O574" s="21">
        <f>IF(B574="","",ROUND(IF(E574="",1,E574)*L574,2))</f>
        <v>0</v>
      </c>
      <c r="P574" s="21">
        <f>IF(B574="","",ROUND(O574*(1-IF(G574="",0,G574)),2))</f>
        <v>0</v>
      </c>
      <c r="Q574" s="21">
        <f>IF(B574="","",ROUND(N574*CostPerHour+IF(E574="",1,E574)*IFERROR(INDEX(Services!$R$5:$R$64,MATCH(C574,Services!$B$5:$B$64,0)),0),2))</f>
        <v>0</v>
      </c>
      <c r="R574" s="38">
        <f>IF(OR(B574="",P574=0),"",(P574-Q574)/P574)</f>
        <v>0</v>
      </c>
      <c r="S574" s="31">
        <f>IF(OR(B574="",C574=""),"",COUNTIFS($B$5:B574,B574))</f>
        <v>0</v>
      </c>
      <c r="T574" s="23">
        <f>IF(S574="","",B574&amp;"|"&amp;S574)</f>
        <v>0</v>
      </c>
      <c r="U574" s="39">
        <f>IF(B574="","",IF(C574="","Add - pick a service",IF(E574="","Add - how many?",IF(L574=0,"Add - no price",IF(AND(R574&lt;&gt;"",R574&lt;MarginFloor),"Below - thin margin","OK")))))</f>
        <v>0</v>
      </c>
    </row>
    <row r="575" spans="1:21">
      <c r="A575" s="43">
        <f>IF(B575="","","QL-"&amp;TEXT(ROW()-4,"0000"))</f>
        <v>0</v>
      </c>
      <c r="J575" s="21">
        <f>IF(C575="","",IFERROR(INDEX(Services!$P$5:$P$64,MATCH(C575,Services!$B$5:$B$64,0)),"0"))</f>
        <v>0</v>
      </c>
      <c r="K575" s="23">
        <f>IF(C575="","",IFERROR(INDEX(Services!$E$5:$E$64,MATCH(C575,Services!$B$5:$B$64,0)),""))</f>
        <v>0</v>
      </c>
      <c r="L575" s="21">
        <f>IF(B575="","",IF(F575&lt;&gt;"",F575,IFERROR(J575*1,0)))</f>
        <v>0</v>
      </c>
      <c r="M575" s="51">
        <f>IF(B575="","",IF(D575&lt;&gt;"",D575,IFERROR(INDEX(Services!$O$5:$O$64,MATCH(C575,Services!$B$5:$B$64,0)),"")))</f>
        <v>0</v>
      </c>
      <c r="N575" s="34">
        <f>IF(B575="","",IFERROR(INDEX(Services!$G$5:$G$64,MATCH(C575,Services!$B$5:$B$64,0)),0)*IF(E575="",1,IF(IFERROR(INDEX(Services!$D$5:$D$64,MATCH(C575,Services!$B$5:$B$64,0)),"")="Per hour",1,E575)))</f>
        <v>0</v>
      </c>
      <c r="O575" s="21">
        <f>IF(B575="","",ROUND(IF(E575="",1,E575)*L575,2))</f>
        <v>0</v>
      </c>
      <c r="P575" s="21">
        <f>IF(B575="","",ROUND(O575*(1-IF(G575="",0,G575)),2))</f>
        <v>0</v>
      </c>
      <c r="Q575" s="21">
        <f>IF(B575="","",ROUND(N575*CostPerHour+IF(E575="",1,E575)*IFERROR(INDEX(Services!$R$5:$R$64,MATCH(C575,Services!$B$5:$B$64,0)),0),2))</f>
        <v>0</v>
      </c>
      <c r="R575" s="38">
        <f>IF(OR(B575="",P575=0),"",(P575-Q575)/P575)</f>
        <v>0</v>
      </c>
      <c r="S575" s="31">
        <f>IF(OR(B575="",C575=""),"",COUNTIFS($B$5:B575,B575))</f>
        <v>0</v>
      </c>
      <c r="T575" s="23">
        <f>IF(S575="","",B575&amp;"|"&amp;S575)</f>
        <v>0</v>
      </c>
      <c r="U575" s="39">
        <f>IF(B575="","",IF(C575="","Add - pick a service",IF(E575="","Add - how many?",IF(L575=0,"Add - no price",IF(AND(R575&lt;&gt;"",R575&lt;MarginFloor),"Below - thin margin","OK")))))</f>
        <v>0</v>
      </c>
    </row>
    <row r="576" spans="1:21">
      <c r="A576" s="43">
        <f>IF(B576="","","QL-"&amp;TEXT(ROW()-4,"0000"))</f>
        <v>0</v>
      </c>
      <c r="J576" s="21">
        <f>IF(C576="","",IFERROR(INDEX(Services!$P$5:$P$64,MATCH(C576,Services!$B$5:$B$64,0)),"0"))</f>
        <v>0</v>
      </c>
      <c r="K576" s="23">
        <f>IF(C576="","",IFERROR(INDEX(Services!$E$5:$E$64,MATCH(C576,Services!$B$5:$B$64,0)),""))</f>
        <v>0</v>
      </c>
      <c r="L576" s="21">
        <f>IF(B576="","",IF(F576&lt;&gt;"",F576,IFERROR(J576*1,0)))</f>
        <v>0</v>
      </c>
      <c r="M576" s="51">
        <f>IF(B576="","",IF(D576&lt;&gt;"",D576,IFERROR(INDEX(Services!$O$5:$O$64,MATCH(C576,Services!$B$5:$B$64,0)),"")))</f>
        <v>0</v>
      </c>
      <c r="N576" s="34">
        <f>IF(B576="","",IFERROR(INDEX(Services!$G$5:$G$64,MATCH(C576,Services!$B$5:$B$64,0)),0)*IF(E576="",1,IF(IFERROR(INDEX(Services!$D$5:$D$64,MATCH(C576,Services!$B$5:$B$64,0)),"")="Per hour",1,E576)))</f>
        <v>0</v>
      </c>
      <c r="O576" s="21">
        <f>IF(B576="","",ROUND(IF(E576="",1,E576)*L576,2))</f>
        <v>0</v>
      </c>
      <c r="P576" s="21">
        <f>IF(B576="","",ROUND(O576*(1-IF(G576="",0,G576)),2))</f>
        <v>0</v>
      </c>
      <c r="Q576" s="21">
        <f>IF(B576="","",ROUND(N576*CostPerHour+IF(E576="",1,E576)*IFERROR(INDEX(Services!$R$5:$R$64,MATCH(C576,Services!$B$5:$B$64,0)),0),2))</f>
        <v>0</v>
      </c>
      <c r="R576" s="38">
        <f>IF(OR(B576="",P576=0),"",(P576-Q576)/P576)</f>
        <v>0</v>
      </c>
      <c r="S576" s="31">
        <f>IF(OR(B576="",C576=""),"",COUNTIFS($B$5:B576,B576))</f>
        <v>0</v>
      </c>
      <c r="T576" s="23">
        <f>IF(S576="","",B576&amp;"|"&amp;S576)</f>
        <v>0</v>
      </c>
      <c r="U576" s="39">
        <f>IF(B576="","",IF(C576="","Add - pick a service",IF(E576="","Add - how many?",IF(L576=0,"Add - no price",IF(AND(R576&lt;&gt;"",R576&lt;MarginFloor),"Below - thin margin","OK")))))</f>
        <v>0</v>
      </c>
    </row>
    <row r="577" spans="1:21">
      <c r="A577" s="43">
        <f>IF(B577="","","QL-"&amp;TEXT(ROW()-4,"0000"))</f>
        <v>0</v>
      </c>
      <c r="J577" s="21">
        <f>IF(C577="","",IFERROR(INDEX(Services!$P$5:$P$64,MATCH(C577,Services!$B$5:$B$64,0)),"0"))</f>
        <v>0</v>
      </c>
      <c r="K577" s="23">
        <f>IF(C577="","",IFERROR(INDEX(Services!$E$5:$E$64,MATCH(C577,Services!$B$5:$B$64,0)),""))</f>
        <v>0</v>
      </c>
      <c r="L577" s="21">
        <f>IF(B577="","",IF(F577&lt;&gt;"",F577,IFERROR(J577*1,0)))</f>
        <v>0</v>
      </c>
      <c r="M577" s="51">
        <f>IF(B577="","",IF(D577&lt;&gt;"",D577,IFERROR(INDEX(Services!$O$5:$O$64,MATCH(C577,Services!$B$5:$B$64,0)),"")))</f>
        <v>0</v>
      </c>
      <c r="N577" s="34">
        <f>IF(B577="","",IFERROR(INDEX(Services!$G$5:$G$64,MATCH(C577,Services!$B$5:$B$64,0)),0)*IF(E577="",1,IF(IFERROR(INDEX(Services!$D$5:$D$64,MATCH(C577,Services!$B$5:$B$64,0)),"")="Per hour",1,E577)))</f>
        <v>0</v>
      </c>
      <c r="O577" s="21">
        <f>IF(B577="","",ROUND(IF(E577="",1,E577)*L577,2))</f>
        <v>0</v>
      </c>
      <c r="P577" s="21">
        <f>IF(B577="","",ROUND(O577*(1-IF(G577="",0,G577)),2))</f>
        <v>0</v>
      </c>
      <c r="Q577" s="21">
        <f>IF(B577="","",ROUND(N577*CostPerHour+IF(E577="",1,E577)*IFERROR(INDEX(Services!$R$5:$R$64,MATCH(C577,Services!$B$5:$B$64,0)),0),2))</f>
        <v>0</v>
      </c>
      <c r="R577" s="38">
        <f>IF(OR(B577="",P577=0),"",(P577-Q577)/P577)</f>
        <v>0</v>
      </c>
      <c r="S577" s="31">
        <f>IF(OR(B577="",C577=""),"",COUNTIFS($B$5:B577,B577))</f>
        <v>0</v>
      </c>
      <c r="T577" s="23">
        <f>IF(S577="","",B577&amp;"|"&amp;S577)</f>
        <v>0</v>
      </c>
      <c r="U577" s="39">
        <f>IF(B577="","",IF(C577="","Add - pick a service",IF(E577="","Add - how many?",IF(L577=0,"Add - no price",IF(AND(R577&lt;&gt;"",R577&lt;MarginFloor),"Below - thin margin","OK")))))</f>
        <v>0</v>
      </c>
    </row>
    <row r="578" spans="1:21">
      <c r="A578" s="43">
        <f>IF(B578="","","QL-"&amp;TEXT(ROW()-4,"0000"))</f>
        <v>0</v>
      </c>
      <c r="J578" s="21">
        <f>IF(C578="","",IFERROR(INDEX(Services!$P$5:$P$64,MATCH(C578,Services!$B$5:$B$64,0)),"0"))</f>
        <v>0</v>
      </c>
      <c r="K578" s="23">
        <f>IF(C578="","",IFERROR(INDEX(Services!$E$5:$E$64,MATCH(C578,Services!$B$5:$B$64,0)),""))</f>
        <v>0</v>
      </c>
      <c r="L578" s="21">
        <f>IF(B578="","",IF(F578&lt;&gt;"",F578,IFERROR(J578*1,0)))</f>
        <v>0</v>
      </c>
      <c r="M578" s="51">
        <f>IF(B578="","",IF(D578&lt;&gt;"",D578,IFERROR(INDEX(Services!$O$5:$O$64,MATCH(C578,Services!$B$5:$B$64,0)),"")))</f>
        <v>0</v>
      </c>
      <c r="N578" s="34">
        <f>IF(B578="","",IFERROR(INDEX(Services!$G$5:$G$64,MATCH(C578,Services!$B$5:$B$64,0)),0)*IF(E578="",1,IF(IFERROR(INDEX(Services!$D$5:$D$64,MATCH(C578,Services!$B$5:$B$64,0)),"")="Per hour",1,E578)))</f>
        <v>0</v>
      </c>
      <c r="O578" s="21">
        <f>IF(B578="","",ROUND(IF(E578="",1,E578)*L578,2))</f>
        <v>0</v>
      </c>
      <c r="P578" s="21">
        <f>IF(B578="","",ROUND(O578*(1-IF(G578="",0,G578)),2))</f>
        <v>0</v>
      </c>
      <c r="Q578" s="21">
        <f>IF(B578="","",ROUND(N578*CostPerHour+IF(E578="",1,E578)*IFERROR(INDEX(Services!$R$5:$R$64,MATCH(C578,Services!$B$5:$B$64,0)),0),2))</f>
        <v>0</v>
      </c>
      <c r="R578" s="38">
        <f>IF(OR(B578="",P578=0),"",(P578-Q578)/P578)</f>
        <v>0</v>
      </c>
      <c r="S578" s="31">
        <f>IF(OR(B578="",C578=""),"",COUNTIFS($B$5:B578,B578))</f>
        <v>0</v>
      </c>
      <c r="T578" s="23">
        <f>IF(S578="","",B578&amp;"|"&amp;S578)</f>
        <v>0</v>
      </c>
      <c r="U578" s="39">
        <f>IF(B578="","",IF(C578="","Add - pick a service",IF(E578="","Add - how many?",IF(L578=0,"Add - no price",IF(AND(R578&lt;&gt;"",R578&lt;MarginFloor),"Below - thin margin","OK")))))</f>
        <v>0</v>
      </c>
    </row>
    <row r="579" spans="1:21">
      <c r="A579" s="43">
        <f>IF(B579="","","QL-"&amp;TEXT(ROW()-4,"0000"))</f>
        <v>0</v>
      </c>
      <c r="J579" s="21">
        <f>IF(C579="","",IFERROR(INDEX(Services!$P$5:$P$64,MATCH(C579,Services!$B$5:$B$64,0)),"0"))</f>
        <v>0</v>
      </c>
      <c r="K579" s="23">
        <f>IF(C579="","",IFERROR(INDEX(Services!$E$5:$E$64,MATCH(C579,Services!$B$5:$B$64,0)),""))</f>
        <v>0</v>
      </c>
      <c r="L579" s="21">
        <f>IF(B579="","",IF(F579&lt;&gt;"",F579,IFERROR(J579*1,0)))</f>
        <v>0</v>
      </c>
      <c r="M579" s="51">
        <f>IF(B579="","",IF(D579&lt;&gt;"",D579,IFERROR(INDEX(Services!$O$5:$O$64,MATCH(C579,Services!$B$5:$B$64,0)),"")))</f>
        <v>0</v>
      </c>
      <c r="N579" s="34">
        <f>IF(B579="","",IFERROR(INDEX(Services!$G$5:$G$64,MATCH(C579,Services!$B$5:$B$64,0)),0)*IF(E579="",1,IF(IFERROR(INDEX(Services!$D$5:$D$64,MATCH(C579,Services!$B$5:$B$64,0)),"")="Per hour",1,E579)))</f>
        <v>0</v>
      </c>
      <c r="O579" s="21">
        <f>IF(B579="","",ROUND(IF(E579="",1,E579)*L579,2))</f>
        <v>0</v>
      </c>
      <c r="P579" s="21">
        <f>IF(B579="","",ROUND(O579*(1-IF(G579="",0,G579)),2))</f>
        <v>0</v>
      </c>
      <c r="Q579" s="21">
        <f>IF(B579="","",ROUND(N579*CostPerHour+IF(E579="",1,E579)*IFERROR(INDEX(Services!$R$5:$R$64,MATCH(C579,Services!$B$5:$B$64,0)),0),2))</f>
        <v>0</v>
      </c>
      <c r="R579" s="38">
        <f>IF(OR(B579="",P579=0),"",(P579-Q579)/P579)</f>
        <v>0</v>
      </c>
      <c r="S579" s="31">
        <f>IF(OR(B579="",C579=""),"",COUNTIFS($B$5:B579,B579))</f>
        <v>0</v>
      </c>
      <c r="T579" s="23">
        <f>IF(S579="","",B579&amp;"|"&amp;S579)</f>
        <v>0</v>
      </c>
      <c r="U579" s="39">
        <f>IF(B579="","",IF(C579="","Add - pick a service",IF(E579="","Add - how many?",IF(L579=0,"Add - no price",IF(AND(R579&lt;&gt;"",R579&lt;MarginFloor),"Below - thin margin","OK")))))</f>
        <v>0</v>
      </c>
    </row>
    <row r="580" spans="1:21">
      <c r="A580" s="43">
        <f>IF(B580="","","QL-"&amp;TEXT(ROW()-4,"0000"))</f>
        <v>0</v>
      </c>
      <c r="J580" s="21">
        <f>IF(C580="","",IFERROR(INDEX(Services!$P$5:$P$64,MATCH(C580,Services!$B$5:$B$64,0)),"0"))</f>
        <v>0</v>
      </c>
      <c r="K580" s="23">
        <f>IF(C580="","",IFERROR(INDEX(Services!$E$5:$E$64,MATCH(C580,Services!$B$5:$B$64,0)),""))</f>
        <v>0</v>
      </c>
      <c r="L580" s="21">
        <f>IF(B580="","",IF(F580&lt;&gt;"",F580,IFERROR(J580*1,0)))</f>
        <v>0</v>
      </c>
      <c r="M580" s="51">
        <f>IF(B580="","",IF(D580&lt;&gt;"",D580,IFERROR(INDEX(Services!$O$5:$O$64,MATCH(C580,Services!$B$5:$B$64,0)),"")))</f>
        <v>0</v>
      </c>
      <c r="N580" s="34">
        <f>IF(B580="","",IFERROR(INDEX(Services!$G$5:$G$64,MATCH(C580,Services!$B$5:$B$64,0)),0)*IF(E580="",1,IF(IFERROR(INDEX(Services!$D$5:$D$64,MATCH(C580,Services!$B$5:$B$64,0)),"")="Per hour",1,E580)))</f>
        <v>0</v>
      </c>
      <c r="O580" s="21">
        <f>IF(B580="","",ROUND(IF(E580="",1,E580)*L580,2))</f>
        <v>0</v>
      </c>
      <c r="P580" s="21">
        <f>IF(B580="","",ROUND(O580*(1-IF(G580="",0,G580)),2))</f>
        <v>0</v>
      </c>
      <c r="Q580" s="21">
        <f>IF(B580="","",ROUND(N580*CostPerHour+IF(E580="",1,E580)*IFERROR(INDEX(Services!$R$5:$R$64,MATCH(C580,Services!$B$5:$B$64,0)),0),2))</f>
        <v>0</v>
      </c>
      <c r="R580" s="38">
        <f>IF(OR(B580="",P580=0),"",(P580-Q580)/P580)</f>
        <v>0</v>
      </c>
      <c r="S580" s="31">
        <f>IF(OR(B580="",C580=""),"",COUNTIFS($B$5:B580,B580))</f>
        <v>0</v>
      </c>
      <c r="T580" s="23">
        <f>IF(S580="","",B580&amp;"|"&amp;S580)</f>
        <v>0</v>
      </c>
      <c r="U580" s="39">
        <f>IF(B580="","",IF(C580="","Add - pick a service",IF(E580="","Add - how many?",IF(L580=0,"Add - no price",IF(AND(R580&lt;&gt;"",R580&lt;MarginFloor),"Below - thin margin","OK")))))</f>
        <v>0</v>
      </c>
    </row>
    <row r="581" spans="1:21">
      <c r="A581" s="43">
        <f>IF(B581="","","QL-"&amp;TEXT(ROW()-4,"0000"))</f>
        <v>0</v>
      </c>
      <c r="J581" s="21">
        <f>IF(C581="","",IFERROR(INDEX(Services!$P$5:$P$64,MATCH(C581,Services!$B$5:$B$64,0)),"0"))</f>
        <v>0</v>
      </c>
      <c r="K581" s="23">
        <f>IF(C581="","",IFERROR(INDEX(Services!$E$5:$E$64,MATCH(C581,Services!$B$5:$B$64,0)),""))</f>
        <v>0</v>
      </c>
      <c r="L581" s="21">
        <f>IF(B581="","",IF(F581&lt;&gt;"",F581,IFERROR(J581*1,0)))</f>
        <v>0</v>
      </c>
      <c r="M581" s="51">
        <f>IF(B581="","",IF(D581&lt;&gt;"",D581,IFERROR(INDEX(Services!$O$5:$O$64,MATCH(C581,Services!$B$5:$B$64,0)),"")))</f>
        <v>0</v>
      </c>
      <c r="N581" s="34">
        <f>IF(B581="","",IFERROR(INDEX(Services!$G$5:$G$64,MATCH(C581,Services!$B$5:$B$64,0)),0)*IF(E581="",1,IF(IFERROR(INDEX(Services!$D$5:$D$64,MATCH(C581,Services!$B$5:$B$64,0)),"")="Per hour",1,E581)))</f>
        <v>0</v>
      </c>
      <c r="O581" s="21">
        <f>IF(B581="","",ROUND(IF(E581="",1,E581)*L581,2))</f>
        <v>0</v>
      </c>
      <c r="P581" s="21">
        <f>IF(B581="","",ROUND(O581*(1-IF(G581="",0,G581)),2))</f>
        <v>0</v>
      </c>
      <c r="Q581" s="21">
        <f>IF(B581="","",ROUND(N581*CostPerHour+IF(E581="",1,E581)*IFERROR(INDEX(Services!$R$5:$R$64,MATCH(C581,Services!$B$5:$B$64,0)),0),2))</f>
        <v>0</v>
      </c>
      <c r="R581" s="38">
        <f>IF(OR(B581="",P581=0),"",(P581-Q581)/P581)</f>
        <v>0</v>
      </c>
      <c r="S581" s="31">
        <f>IF(OR(B581="",C581=""),"",COUNTIFS($B$5:B581,B581))</f>
        <v>0</v>
      </c>
      <c r="T581" s="23">
        <f>IF(S581="","",B581&amp;"|"&amp;S581)</f>
        <v>0</v>
      </c>
      <c r="U581" s="39">
        <f>IF(B581="","",IF(C581="","Add - pick a service",IF(E581="","Add - how many?",IF(L581=0,"Add - no price",IF(AND(R581&lt;&gt;"",R581&lt;MarginFloor),"Below - thin margin","OK")))))</f>
        <v>0</v>
      </c>
    </row>
    <row r="582" spans="1:21">
      <c r="A582" s="43">
        <f>IF(B582="","","QL-"&amp;TEXT(ROW()-4,"0000"))</f>
        <v>0</v>
      </c>
      <c r="J582" s="21">
        <f>IF(C582="","",IFERROR(INDEX(Services!$P$5:$P$64,MATCH(C582,Services!$B$5:$B$64,0)),"0"))</f>
        <v>0</v>
      </c>
      <c r="K582" s="23">
        <f>IF(C582="","",IFERROR(INDEX(Services!$E$5:$E$64,MATCH(C582,Services!$B$5:$B$64,0)),""))</f>
        <v>0</v>
      </c>
      <c r="L582" s="21">
        <f>IF(B582="","",IF(F582&lt;&gt;"",F582,IFERROR(J582*1,0)))</f>
        <v>0</v>
      </c>
      <c r="M582" s="51">
        <f>IF(B582="","",IF(D582&lt;&gt;"",D582,IFERROR(INDEX(Services!$O$5:$O$64,MATCH(C582,Services!$B$5:$B$64,0)),"")))</f>
        <v>0</v>
      </c>
      <c r="N582" s="34">
        <f>IF(B582="","",IFERROR(INDEX(Services!$G$5:$G$64,MATCH(C582,Services!$B$5:$B$64,0)),0)*IF(E582="",1,IF(IFERROR(INDEX(Services!$D$5:$D$64,MATCH(C582,Services!$B$5:$B$64,0)),"")="Per hour",1,E582)))</f>
        <v>0</v>
      </c>
      <c r="O582" s="21">
        <f>IF(B582="","",ROUND(IF(E582="",1,E582)*L582,2))</f>
        <v>0</v>
      </c>
      <c r="P582" s="21">
        <f>IF(B582="","",ROUND(O582*(1-IF(G582="",0,G582)),2))</f>
        <v>0</v>
      </c>
      <c r="Q582" s="21">
        <f>IF(B582="","",ROUND(N582*CostPerHour+IF(E582="",1,E582)*IFERROR(INDEX(Services!$R$5:$R$64,MATCH(C582,Services!$B$5:$B$64,0)),0),2))</f>
        <v>0</v>
      </c>
      <c r="R582" s="38">
        <f>IF(OR(B582="",P582=0),"",(P582-Q582)/P582)</f>
        <v>0</v>
      </c>
      <c r="S582" s="31">
        <f>IF(OR(B582="",C582=""),"",COUNTIFS($B$5:B582,B582))</f>
        <v>0</v>
      </c>
      <c r="T582" s="23">
        <f>IF(S582="","",B582&amp;"|"&amp;S582)</f>
        <v>0</v>
      </c>
      <c r="U582" s="39">
        <f>IF(B582="","",IF(C582="","Add - pick a service",IF(E582="","Add - how many?",IF(L582=0,"Add - no price",IF(AND(R582&lt;&gt;"",R582&lt;MarginFloor),"Below - thin margin","OK")))))</f>
        <v>0</v>
      </c>
    </row>
    <row r="583" spans="1:21">
      <c r="A583" s="43">
        <f>IF(B583="","","QL-"&amp;TEXT(ROW()-4,"0000"))</f>
        <v>0</v>
      </c>
      <c r="J583" s="21">
        <f>IF(C583="","",IFERROR(INDEX(Services!$P$5:$P$64,MATCH(C583,Services!$B$5:$B$64,0)),"0"))</f>
        <v>0</v>
      </c>
      <c r="K583" s="23">
        <f>IF(C583="","",IFERROR(INDEX(Services!$E$5:$E$64,MATCH(C583,Services!$B$5:$B$64,0)),""))</f>
        <v>0</v>
      </c>
      <c r="L583" s="21">
        <f>IF(B583="","",IF(F583&lt;&gt;"",F583,IFERROR(J583*1,0)))</f>
        <v>0</v>
      </c>
      <c r="M583" s="51">
        <f>IF(B583="","",IF(D583&lt;&gt;"",D583,IFERROR(INDEX(Services!$O$5:$O$64,MATCH(C583,Services!$B$5:$B$64,0)),"")))</f>
        <v>0</v>
      </c>
      <c r="N583" s="34">
        <f>IF(B583="","",IFERROR(INDEX(Services!$G$5:$G$64,MATCH(C583,Services!$B$5:$B$64,0)),0)*IF(E583="",1,IF(IFERROR(INDEX(Services!$D$5:$D$64,MATCH(C583,Services!$B$5:$B$64,0)),"")="Per hour",1,E583)))</f>
        <v>0</v>
      </c>
      <c r="O583" s="21">
        <f>IF(B583="","",ROUND(IF(E583="",1,E583)*L583,2))</f>
        <v>0</v>
      </c>
      <c r="P583" s="21">
        <f>IF(B583="","",ROUND(O583*(1-IF(G583="",0,G583)),2))</f>
        <v>0</v>
      </c>
      <c r="Q583" s="21">
        <f>IF(B583="","",ROUND(N583*CostPerHour+IF(E583="",1,E583)*IFERROR(INDEX(Services!$R$5:$R$64,MATCH(C583,Services!$B$5:$B$64,0)),0),2))</f>
        <v>0</v>
      </c>
      <c r="R583" s="38">
        <f>IF(OR(B583="",P583=0),"",(P583-Q583)/P583)</f>
        <v>0</v>
      </c>
      <c r="S583" s="31">
        <f>IF(OR(B583="",C583=""),"",COUNTIFS($B$5:B583,B583))</f>
        <v>0</v>
      </c>
      <c r="T583" s="23">
        <f>IF(S583="","",B583&amp;"|"&amp;S583)</f>
        <v>0</v>
      </c>
      <c r="U583" s="39">
        <f>IF(B583="","",IF(C583="","Add - pick a service",IF(E583="","Add - how many?",IF(L583=0,"Add - no price",IF(AND(R583&lt;&gt;"",R583&lt;MarginFloor),"Below - thin margin","OK")))))</f>
        <v>0</v>
      </c>
    </row>
    <row r="584" spans="1:21">
      <c r="A584" s="43">
        <f>IF(B584="","","QL-"&amp;TEXT(ROW()-4,"0000"))</f>
        <v>0</v>
      </c>
      <c r="J584" s="21">
        <f>IF(C584="","",IFERROR(INDEX(Services!$P$5:$P$64,MATCH(C584,Services!$B$5:$B$64,0)),"0"))</f>
        <v>0</v>
      </c>
      <c r="K584" s="23">
        <f>IF(C584="","",IFERROR(INDEX(Services!$E$5:$E$64,MATCH(C584,Services!$B$5:$B$64,0)),""))</f>
        <v>0</v>
      </c>
      <c r="L584" s="21">
        <f>IF(B584="","",IF(F584&lt;&gt;"",F584,IFERROR(J584*1,0)))</f>
        <v>0</v>
      </c>
      <c r="M584" s="51">
        <f>IF(B584="","",IF(D584&lt;&gt;"",D584,IFERROR(INDEX(Services!$O$5:$O$64,MATCH(C584,Services!$B$5:$B$64,0)),"")))</f>
        <v>0</v>
      </c>
      <c r="N584" s="34">
        <f>IF(B584="","",IFERROR(INDEX(Services!$G$5:$G$64,MATCH(C584,Services!$B$5:$B$64,0)),0)*IF(E584="",1,IF(IFERROR(INDEX(Services!$D$5:$D$64,MATCH(C584,Services!$B$5:$B$64,0)),"")="Per hour",1,E584)))</f>
        <v>0</v>
      </c>
      <c r="O584" s="21">
        <f>IF(B584="","",ROUND(IF(E584="",1,E584)*L584,2))</f>
        <v>0</v>
      </c>
      <c r="P584" s="21">
        <f>IF(B584="","",ROUND(O584*(1-IF(G584="",0,G584)),2))</f>
        <v>0</v>
      </c>
      <c r="Q584" s="21">
        <f>IF(B584="","",ROUND(N584*CostPerHour+IF(E584="",1,E584)*IFERROR(INDEX(Services!$R$5:$R$64,MATCH(C584,Services!$B$5:$B$64,0)),0),2))</f>
        <v>0</v>
      </c>
      <c r="R584" s="38">
        <f>IF(OR(B584="",P584=0),"",(P584-Q584)/P584)</f>
        <v>0</v>
      </c>
      <c r="S584" s="31">
        <f>IF(OR(B584="",C584=""),"",COUNTIFS($B$5:B584,B584))</f>
        <v>0</v>
      </c>
      <c r="T584" s="23">
        <f>IF(S584="","",B584&amp;"|"&amp;S584)</f>
        <v>0</v>
      </c>
      <c r="U584" s="39">
        <f>IF(B584="","",IF(C584="","Add - pick a service",IF(E584="","Add - how many?",IF(L584=0,"Add - no price",IF(AND(R584&lt;&gt;"",R584&lt;MarginFloor),"Below - thin margin","OK")))))</f>
        <v>0</v>
      </c>
    </row>
    <row r="585" spans="1:21">
      <c r="A585" s="43">
        <f>IF(B585="","","QL-"&amp;TEXT(ROW()-4,"0000"))</f>
        <v>0</v>
      </c>
      <c r="J585" s="21">
        <f>IF(C585="","",IFERROR(INDEX(Services!$P$5:$P$64,MATCH(C585,Services!$B$5:$B$64,0)),"0"))</f>
        <v>0</v>
      </c>
      <c r="K585" s="23">
        <f>IF(C585="","",IFERROR(INDEX(Services!$E$5:$E$64,MATCH(C585,Services!$B$5:$B$64,0)),""))</f>
        <v>0</v>
      </c>
      <c r="L585" s="21">
        <f>IF(B585="","",IF(F585&lt;&gt;"",F585,IFERROR(J585*1,0)))</f>
        <v>0</v>
      </c>
      <c r="M585" s="51">
        <f>IF(B585="","",IF(D585&lt;&gt;"",D585,IFERROR(INDEX(Services!$O$5:$O$64,MATCH(C585,Services!$B$5:$B$64,0)),"")))</f>
        <v>0</v>
      </c>
      <c r="N585" s="34">
        <f>IF(B585="","",IFERROR(INDEX(Services!$G$5:$G$64,MATCH(C585,Services!$B$5:$B$64,0)),0)*IF(E585="",1,IF(IFERROR(INDEX(Services!$D$5:$D$64,MATCH(C585,Services!$B$5:$B$64,0)),"")="Per hour",1,E585)))</f>
        <v>0</v>
      </c>
      <c r="O585" s="21">
        <f>IF(B585="","",ROUND(IF(E585="",1,E585)*L585,2))</f>
        <v>0</v>
      </c>
      <c r="P585" s="21">
        <f>IF(B585="","",ROUND(O585*(1-IF(G585="",0,G585)),2))</f>
        <v>0</v>
      </c>
      <c r="Q585" s="21">
        <f>IF(B585="","",ROUND(N585*CostPerHour+IF(E585="",1,E585)*IFERROR(INDEX(Services!$R$5:$R$64,MATCH(C585,Services!$B$5:$B$64,0)),0),2))</f>
        <v>0</v>
      </c>
      <c r="R585" s="38">
        <f>IF(OR(B585="",P585=0),"",(P585-Q585)/P585)</f>
        <v>0</v>
      </c>
      <c r="S585" s="31">
        <f>IF(OR(B585="",C585=""),"",COUNTIFS($B$5:B585,B585))</f>
        <v>0</v>
      </c>
      <c r="T585" s="23">
        <f>IF(S585="","",B585&amp;"|"&amp;S585)</f>
        <v>0</v>
      </c>
      <c r="U585" s="39">
        <f>IF(B585="","",IF(C585="","Add - pick a service",IF(E585="","Add - how many?",IF(L585=0,"Add - no price",IF(AND(R585&lt;&gt;"",R585&lt;MarginFloor),"Below - thin margin","OK")))))</f>
        <v>0</v>
      </c>
    </row>
    <row r="586" spans="1:21">
      <c r="A586" s="43">
        <f>IF(B586="","","QL-"&amp;TEXT(ROW()-4,"0000"))</f>
        <v>0</v>
      </c>
      <c r="J586" s="21">
        <f>IF(C586="","",IFERROR(INDEX(Services!$P$5:$P$64,MATCH(C586,Services!$B$5:$B$64,0)),"0"))</f>
        <v>0</v>
      </c>
      <c r="K586" s="23">
        <f>IF(C586="","",IFERROR(INDEX(Services!$E$5:$E$64,MATCH(C586,Services!$B$5:$B$64,0)),""))</f>
        <v>0</v>
      </c>
      <c r="L586" s="21">
        <f>IF(B586="","",IF(F586&lt;&gt;"",F586,IFERROR(J586*1,0)))</f>
        <v>0</v>
      </c>
      <c r="M586" s="51">
        <f>IF(B586="","",IF(D586&lt;&gt;"",D586,IFERROR(INDEX(Services!$O$5:$O$64,MATCH(C586,Services!$B$5:$B$64,0)),"")))</f>
        <v>0</v>
      </c>
      <c r="N586" s="34">
        <f>IF(B586="","",IFERROR(INDEX(Services!$G$5:$G$64,MATCH(C586,Services!$B$5:$B$64,0)),0)*IF(E586="",1,IF(IFERROR(INDEX(Services!$D$5:$D$64,MATCH(C586,Services!$B$5:$B$64,0)),"")="Per hour",1,E586)))</f>
        <v>0</v>
      </c>
      <c r="O586" s="21">
        <f>IF(B586="","",ROUND(IF(E586="",1,E586)*L586,2))</f>
        <v>0</v>
      </c>
      <c r="P586" s="21">
        <f>IF(B586="","",ROUND(O586*(1-IF(G586="",0,G586)),2))</f>
        <v>0</v>
      </c>
      <c r="Q586" s="21">
        <f>IF(B586="","",ROUND(N586*CostPerHour+IF(E586="",1,E586)*IFERROR(INDEX(Services!$R$5:$R$64,MATCH(C586,Services!$B$5:$B$64,0)),0),2))</f>
        <v>0</v>
      </c>
      <c r="R586" s="38">
        <f>IF(OR(B586="",P586=0),"",(P586-Q586)/P586)</f>
        <v>0</v>
      </c>
      <c r="S586" s="31">
        <f>IF(OR(B586="",C586=""),"",COUNTIFS($B$5:B586,B586))</f>
        <v>0</v>
      </c>
      <c r="T586" s="23">
        <f>IF(S586="","",B586&amp;"|"&amp;S586)</f>
        <v>0</v>
      </c>
      <c r="U586" s="39">
        <f>IF(B586="","",IF(C586="","Add - pick a service",IF(E586="","Add - how many?",IF(L586=0,"Add - no price",IF(AND(R586&lt;&gt;"",R586&lt;MarginFloor),"Below - thin margin","OK")))))</f>
        <v>0</v>
      </c>
    </row>
    <row r="587" spans="1:21">
      <c r="A587" s="43">
        <f>IF(B587="","","QL-"&amp;TEXT(ROW()-4,"0000"))</f>
        <v>0</v>
      </c>
      <c r="J587" s="21">
        <f>IF(C587="","",IFERROR(INDEX(Services!$P$5:$P$64,MATCH(C587,Services!$B$5:$B$64,0)),"0"))</f>
        <v>0</v>
      </c>
      <c r="K587" s="23">
        <f>IF(C587="","",IFERROR(INDEX(Services!$E$5:$E$64,MATCH(C587,Services!$B$5:$B$64,0)),""))</f>
        <v>0</v>
      </c>
      <c r="L587" s="21">
        <f>IF(B587="","",IF(F587&lt;&gt;"",F587,IFERROR(J587*1,0)))</f>
        <v>0</v>
      </c>
      <c r="M587" s="51">
        <f>IF(B587="","",IF(D587&lt;&gt;"",D587,IFERROR(INDEX(Services!$O$5:$O$64,MATCH(C587,Services!$B$5:$B$64,0)),"")))</f>
        <v>0</v>
      </c>
      <c r="N587" s="34">
        <f>IF(B587="","",IFERROR(INDEX(Services!$G$5:$G$64,MATCH(C587,Services!$B$5:$B$64,0)),0)*IF(E587="",1,IF(IFERROR(INDEX(Services!$D$5:$D$64,MATCH(C587,Services!$B$5:$B$64,0)),"")="Per hour",1,E587)))</f>
        <v>0</v>
      </c>
      <c r="O587" s="21">
        <f>IF(B587="","",ROUND(IF(E587="",1,E587)*L587,2))</f>
        <v>0</v>
      </c>
      <c r="P587" s="21">
        <f>IF(B587="","",ROUND(O587*(1-IF(G587="",0,G587)),2))</f>
        <v>0</v>
      </c>
      <c r="Q587" s="21">
        <f>IF(B587="","",ROUND(N587*CostPerHour+IF(E587="",1,E587)*IFERROR(INDEX(Services!$R$5:$R$64,MATCH(C587,Services!$B$5:$B$64,0)),0),2))</f>
        <v>0</v>
      </c>
      <c r="R587" s="38">
        <f>IF(OR(B587="",P587=0),"",(P587-Q587)/P587)</f>
        <v>0</v>
      </c>
      <c r="S587" s="31">
        <f>IF(OR(B587="",C587=""),"",COUNTIFS($B$5:B587,B587))</f>
        <v>0</v>
      </c>
      <c r="T587" s="23">
        <f>IF(S587="","",B587&amp;"|"&amp;S587)</f>
        <v>0</v>
      </c>
      <c r="U587" s="39">
        <f>IF(B587="","",IF(C587="","Add - pick a service",IF(E587="","Add - how many?",IF(L587=0,"Add - no price",IF(AND(R587&lt;&gt;"",R587&lt;MarginFloor),"Below - thin margin","OK")))))</f>
        <v>0</v>
      </c>
    </row>
    <row r="588" spans="1:21">
      <c r="A588" s="43">
        <f>IF(B588="","","QL-"&amp;TEXT(ROW()-4,"0000"))</f>
        <v>0</v>
      </c>
      <c r="J588" s="21">
        <f>IF(C588="","",IFERROR(INDEX(Services!$P$5:$P$64,MATCH(C588,Services!$B$5:$B$64,0)),"0"))</f>
        <v>0</v>
      </c>
      <c r="K588" s="23">
        <f>IF(C588="","",IFERROR(INDEX(Services!$E$5:$E$64,MATCH(C588,Services!$B$5:$B$64,0)),""))</f>
        <v>0</v>
      </c>
      <c r="L588" s="21">
        <f>IF(B588="","",IF(F588&lt;&gt;"",F588,IFERROR(J588*1,0)))</f>
        <v>0</v>
      </c>
      <c r="M588" s="51">
        <f>IF(B588="","",IF(D588&lt;&gt;"",D588,IFERROR(INDEX(Services!$O$5:$O$64,MATCH(C588,Services!$B$5:$B$64,0)),"")))</f>
        <v>0</v>
      </c>
      <c r="N588" s="34">
        <f>IF(B588="","",IFERROR(INDEX(Services!$G$5:$G$64,MATCH(C588,Services!$B$5:$B$64,0)),0)*IF(E588="",1,IF(IFERROR(INDEX(Services!$D$5:$D$64,MATCH(C588,Services!$B$5:$B$64,0)),"")="Per hour",1,E588)))</f>
        <v>0</v>
      </c>
      <c r="O588" s="21">
        <f>IF(B588="","",ROUND(IF(E588="",1,E588)*L588,2))</f>
        <v>0</v>
      </c>
      <c r="P588" s="21">
        <f>IF(B588="","",ROUND(O588*(1-IF(G588="",0,G588)),2))</f>
        <v>0</v>
      </c>
      <c r="Q588" s="21">
        <f>IF(B588="","",ROUND(N588*CostPerHour+IF(E588="",1,E588)*IFERROR(INDEX(Services!$R$5:$R$64,MATCH(C588,Services!$B$5:$B$64,0)),0),2))</f>
        <v>0</v>
      </c>
      <c r="R588" s="38">
        <f>IF(OR(B588="",P588=0),"",(P588-Q588)/P588)</f>
        <v>0</v>
      </c>
      <c r="S588" s="31">
        <f>IF(OR(B588="",C588=""),"",COUNTIFS($B$5:B588,B588))</f>
        <v>0</v>
      </c>
      <c r="T588" s="23">
        <f>IF(S588="","",B588&amp;"|"&amp;S588)</f>
        <v>0</v>
      </c>
      <c r="U588" s="39">
        <f>IF(B588="","",IF(C588="","Add - pick a service",IF(E588="","Add - how many?",IF(L588=0,"Add - no price",IF(AND(R588&lt;&gt;"",R588&lt;MarginFloor),"Below - thin margin","OK")))))</f>
        <v>0</v>
      </c>
    </row>
    <row r="589" spans="1:21">
      <c r="A589" s="43">
        <f>IF(B589="","","QL-"&amp;TEXT(ROW()-4,"0000"))</f>
        <v>0</v>
      </c>
      <c r="J589" s="21">
        <f>IF(C589="","",IFERROR(INDEX(Services!$P$5:$P$64,MATCH(C589,Services!$B$5:$B$64,0)),"0"))</f>
        <v>0</v>
      </c>
      <c r="K589" s="23">
        <f>IF(C589="","",IFERROR(INDEX(Services!$E$5:$E$64,MATCH(C589,Services!$B$5:$B$64,0)),""))</f>
        <v>0</v>
      </c>
      <c r="L589" s="21">
        <f>IF(B589="","",IF(F589&lt;&gt;"",F589,IFERROR(J589*1,0)))</f>
        <v>0</v>
      </c>
      <c r="M589" s="51">
        <f>IF(B589="","",IF(D589&lt;&gt;"",D589,IFERROR(INDEX(Services!$O$5:$O$64,MATCH(C589,Services!$B$5:$B$64,0)),"")))</f>
        <v>0</v>
      </c>
      <c r="N589" s="34">
        <f>IF(B589="","",IFERROR(INDEX(Services!$G$5:$G$64,MATCH(C589,Services!$B$5:$B$64,0)),0)*IF(E589="",1,IF(IFERROR(INDEX(Services!$D$5:$D$64,MATCH(C589,Services!$B$5:$B$64,0)),"")="Per hour",1,E589)))</f>
        <v>0</v>
      </c>
      <c r="O589" s="21">
        <f>IF(B589="","",ROUND(IF(E589="",1,E589)*L589,2))</f>
        <v>0</v>
      </c>
      <c r="P589" s="21">
        <f>IF(B589="","",ROUND(O589*(1-IF(G589="",0,G589)),2))</f>
        <v>0</v>
      </c>
      <c r="Q589" s="21">
        <f>IF(B589="","",ROUND(N589*CostPerHour+IF(E589="",1,E589)*IFERROR(INDEX(Services!$R$5:$R$64,MATCH(C589,Services!$B$5:$B$64,0)),0),2))</f>
        <v>0</v>
      </c>
      <c r="R589" s="38">
        <f>IF(OR(B589="",P589=0),"",(P589-Q589)/P589)</f>
        <v>0</v>
      </c>
      <c r="S589" s="31">
        <f>IF(OR(B589="",C589=""),"",COUNTIFS($B$5:B589,B589))</f>
        <v>0</v>
      </c>
      <c r="T589" s="23">
        <f>IF(S589="","",B589&amp;"|"&amp;S589)</f>
        <v>0</v>
      </c>
      <c r="U589" s="39">
        <f>IF(B589="","",IF(C589="","Add - pick a service",IF(E589="","Add - how many?",IF(L589=0,"Add - no price",IF(AND(R589&lt;&gt;"",R589&lt;MarginFloor),"Below - thin margin","OK")))))</f>
        <v>0</v>
      </c>
    </row>
    <row r="590" spans="1:21">
      <c r="A590" s="43">
        <f>IF(B590="","","QL-"&amp;TEXT(ROW()-4,"0000"))</f>
        <v>0</v>
      </c>
      <c r="J590" s="21">
        <f>IF(C590="","",IFERROR(INDEX(Services!$P$5:$P$64,MATCH(C590,Services!$B$5:$B$64,0)),"0"))</f>
        <v>0</v>
      </c>
      <c r="K590" s="23">
        <f>IF(C590="","",IFERROR(INDEX(Services!$E$5:$E$64,MATCH(C590,Services!$B$5:$B$64,0)),""))</f>
        <v>0</v>
      </c>
      <c r="L590" s="21">
        <f>IF(B590="","",IF(F590&lt;&gt;"",F590,IFERROR(J590*1,0)))</f>
        <v>0</v>
      </c>
      <c r="M590" s="51">
        <f>IF(B590="","",IF(D590&lt;&gt;"",D590,IFERROR(INDEX(Services!$O$5:$O$64,MATCH(C590,Services!$B$5:$B$64,0)),"")))</f>
        <v>0</v>
      </c>
      <c r="N590" s="34">
        <f>IF(B590="","",IFERROR(INDEX(Services!$G$5:$G$64,MATCH(C590,Services!$B$5:$B$64,0)),0)*IF(E590="",1,IF(IFERROR(INDEX(Services!$D$5:$D$64,MATCH(C590,Services!$B$5:$B$64,0)),"")="Per hour",1,E590)))</f>
        <v>0</v>
      </c>
      <c r="O590" s="21">
        <f>IF(B590="","",ROUND(IF(E590="",1,E590)*L590,2))</f>
        <v>0</v>
      </c>
      <c r="P590" s="21">
        <f>IF(B590="","",ROUND(O590*(1-IF(G590="",0,G590)),2))</f>
        <v>0</v>
      </c>
      <c r="Q590" s="21">
        <f>IF(B590="","",ROUND(N590*CostPerHour+IF(E590="",1,E590)*IFERROR(INDEX(Services!$R$5:$R$64,MATCH(C590,Services!$B$5:$B$64,0)),0),2))</f>
        <v>0</v>
      </c>
      <c r="R590" s="38">
        <f>IF(OR(B590="",P590=0),"",(P590-Q590)/P590)</f>
        <v>0</v>
      </c>
      <c r="S590" s="31">
        <f>IF(OR(B590="",C590=""),"",COUNTIFS($B$5:B590,B590))</f>
        <v>0</v>
      </c>
      <c r="T590" s="23">
        <f>IF(S590="","",B590&amp;"|"&amp;S590)</f>
        <v>0</v>
      </c>
      <c r="U590" s="39">
        <f>IF(B590="","",IF(C590="","Add - pick a service",IF(E590="","Add - how many?",IF(L590=0,"Add - no price",IF(AND(R590&lt;&gt;"",R590&lt;MarginFloor),"Below - thin margin","OK")))))</f>
        <v>0</v>
      </c>
    </row>
    <row r="591" spans="1:21">
      <c r="A591" s="43">
        <f>IF(B591="","","QL-"&amp;TEXT(ROW()-4,"0000"))</f>
        <v>0</v>
      </c>
      <c r="J591" s="21">
        <f>IF(C591="","",IFERROR(INDEX(Services!$P$5:$P$64,MATCH(C591,Services!$B$5:$B$64,0)),"0"))</f>
        <v>0</v>
      </c>
      <c r="K591" s="23">
        <f>IF(C591="","",IFERROR(INDEX(Services!$E$5:$E$64,MATCH(C591,Services!$B$5:$B$64,0)),""))</f>
        <v>0</v>
      </c>
      <c r="L591" s="21">
        <f>IF(B591="","",IF(F591&lt;&gt;"",F591,IFERROR(J591*1,0)))</f>
        <v>0</v>
      </c>
      <c r="M591" s="51">
        <f>IF(B591="","",IF(D591&lt;&gt;"",D591,IFERROR(INDEX(Services!$O$5:$O$64,MATCH(C591,Services!$B$5:$B$64,0)),"")))</f>
        <v>0</v>
      </c>
      <c r="N591" s="34">
        <f>IF(B591="","",IFERROR(INDEX(Services!$G$5:$G$64,MATCH(C591,Services!$B$5:$B$64,0)),0)*IF(E591="",1,IF(IFERROR(INDEX(Services!$D$5:$D$64,MATCH(C591,Services!$B$5:$B$64,0)),"")="Per hour",1,E591)))</f>
        <v>0</v>
      </c>
      <c r="O591" s="21">
        <f>IF(B591="","",ROUND(IF(E591="",1,E591)*L591,2))</f>
        <v>0</v>
      </c>
      <c r="P591" s="21">
        <f>IF(B591="","",ROUND(O591*(1-IF(G591="",0,G591)),2))</f>
        <v>0</v>
      </c>
      <c r="Q591" s="21">
        <f>IF(B591="","",ROUND(N591*CostPerHour+IF(E591="",1,E591)*IFERROR(INDEX(Services!$R$5:$R$64,MATCH(C591,Services!$B$5:$B$64,0)),0),2))</f>
        <v>0</v>
      </c>
      <c r="R591" s="38">
        <f>IF(OR(B591="",P591=0),"",(P591-Q591)/P591)</f>
        <v>0</v>
      </c>
      <c r="S591" s="31">
        <f>IF(OR(B591="",C591=""),"",COUNTIFS($B$5:B591,B591))</f>
        <v>0</v>
      </c>
      <c r="T591" s="23">
        <f>IF(S591="","",B591&amp;"|"&amp;S591)</f>
        <v>0</v>
      </c>
      <c r="U591" s="39">
        <f>IF(B591="","",IF(C591="","Add - pick a service",IF(E591="","Add - how many?",IF(L591=0,"Add - no price",IF(AND(R591&lt;&gt;"",R591&lt;MarginFloor),"Below - thin margin","OK")))))</f>
        <v>0</v>
      </c>
    </row>
    <row r="592" spans="1:21">
      <c r="A592" s="43">
        <f>IF(B592="","","QL-"&amp;TEXT(ROW()-4,"0000"))</f>
        <v>0</v>
      </c>
      <c r="J592" s="21">
        <f>IF(C592="","",IFERROR(INDEX(Services!$P$5:$P$64,MATCH(C592,Services!$B$5:$B$64,0)),"0"))</f>
        <v>0</v>
      </c>
      <c r="K592" s="23">
        <f>IF(C592="","",IFERROR(INDEX(Services!$E$5:$E$64,MATCH(C592,Services!$B$5:$B$64,0)),""))</f>
        <v>0</v>
      </c>
      <c r="L592" s="21">
        <f>IF(B592="","",IF(F592&lt;&gt;"",F592,IFERROR(J592*1,0)))</f>
        <v>0</v>
      </c>
      <c r="M592" s="51">
        <f>IF(B592="","",IF(D592&lt;&gt;"",D592,IFERROR(INDEX(Services!$O$5:$O$64,MATCH(C592,Services!$B$5:$B$64,0)),"")))</f>
        <v>0</v>
      </c>
      <c r="N592" s="34">
        <f>IF(B592="","",IFERROR(INDEX(Services!$G$5:$G$64,MATCH(C592,Services!$B$5:$B$64,0)),0)*IF(E592="",1,IF(IFERROR(INDEX(Services!$D$5:$D$64,MATCH(C592,Services!$B$5:$B$64,0)),"")="Per hour",1,E592)))</f>
        <v>0</v>
      </c>
      <c r="O592" s="21">
        <f>IF(B592="","",ROUND(IF(E592="",1,E592)*L592,2))</f>
        <v>0</v>
      </c>
      <c r="P592" s="21">
        <f>IF(B592="","",ROUND(O592*(1-IF(G592="",0,G592)),2))</f>
        <v>0</v>
      </c>
      <c r="Q592" s="21">
        <f>IF(B592="","",ROUND(N592*CostPerHour+IF(E592="",1,E592)*IFERROR(INDEX(Services!$R$5:$R$64,MATCH(C592,Services!$B$5:$B$64,0)),0),2))</f>
        <v>0</v>
      </c>
      <c r="R592" s="38">
        <f>IF(OR(B592="",P592=0),"",(P592-Q592)/P592)</f>
        <v>0</v>
      </c>
      <c r="S592" s="31">
        <f>IF(OR(B592="",C592=""),"",COUNTIFS($B$5:B592,B592))</f>
        <v>0</v>
      </c>
      <c r="T592" s="23">
        <f>IF(S592="","",B592&amp;"|"&amp;S592)</f>
        <v>0</v>
      </c>
      <c r="U592" s="39">
        <f>IF(B592="","",IF(C592="","Add - pick a service",IF(E592="","Add - how many?",IF(L592=0,"Add - no price",IF(AND(R592&lt;&gt;"",R592&lt;MarginFloor),"Below - thin margin","OK")))))</f>
        <v>0</v>
      </c>
    </row>
    <row r="593" spans="1:21">
      <c r="A593" s="43">
        <f>IF(B593="","","QL-"&amp;TEXT(ROW()-4,"0000"))</f>
        <v>0</v>
      </c>
      <c r="J593" s="21">
        <f>IF(C593="","",IFERROR(INDEX(Services!$P$5:$P$64,MATCH(C593,Services!$B$5:$B$64,0)),"0"))</f>
        <v>0</v>
      </c>
      <c r="K593" s="23">
        <f>IF(C593="","",IFERROR(INDEX(Services!$E$5:$E$64,MATCH(C593,Services!$B$5:$B$64,0)),""))</f>
        <v>0</v>
      </c>
      <c r="L593" s="21">
        <f>IF(B593="","",IF(F593&lt;&gt;"",F593,IFERROR(J593*1,0)))</f>
        <v>0</v>
      </c>
      <c r="M593" s="51">
        <f>IF(B593="","",IF(D593&lt;&gt;"",D593,IFERROR(INDEX(Services!$O$5:$O$64,MATCH(C593,Services!$B$5:$B$64,0)),"")))</f>
        <v>0</v>
      </c>
      <c r="N593" s="34">
        <f>IF(B593="","",IFERROR(INDEX(Services!$G$5:$G$64,MATCH(C593,Services!$B$5:$B$64,0)),0)*IF(E593="",1,IF(IFERROR(INDEX(Services!$D$5:$D$64,MATCH(C593,Services!$B$5:$B$64,0)),"")="Per hour",1,E593)))</f>
        <v>0</v>
      </c>
      <c r="O593" s="21">
        <f>IF(B593="","",ROUND(IF(E593="",1,E593)*L593,2))</f>
        <v>0</v>
      </c>
      <c r="P593" s="21">
        <f>IF(B593="","",ROUND(O593*(1-IF(G593="",0,G593)),2))</f>
        <v>0</v>
      </c>
      <c r="Q593" s="21">
        <f>IF(B593="","",ROUND(N593*CostPerHour+IF(E593="",1,E593)*IFERROR(INDEX(Services!$R$5:$R$64,MATCH(C593,Services!$B$5:$B$64,0)),0),2))</f>
        <v>0</v>
      </c>
      <c r="R593" s="38">
        <f>IF(OR(B593="",P593=0),"",(P593-Q593)/P593)</f>
        <v>0</v>
      </c>
      <c r="S593" s="31">
        <f>IF(OR(B593="",C593=""),"",COUNTIFS($B$5:B593,B593))</f>
        <v>0</v>
      </c>
      <c r="T593" s="23">
        <f>IF(S593="","",B593&amp;"|"&amp;S593)</f>
        <v>0</v>
      </c>
      <c r="U593" s="39">
        <f>IF(B593="","",IF(C593="","Add - pick a service",IF(E593="","Add - how many?",IF(L593=0,"Add - no price",IF(AND(R593&lt;&gt;"",R593&lt;MarginFloor),"Below - thin margin","OK")))))</f>
        <v>0</v>
      </c>
    </row>
    <row r="594" spans="1:21">
      <c r="A594" s="43">
        <f>IF(B594="","","QL-"&amp;TEXT(ROW()-4,"0000"))</f>
        <v>0</v>
      </c>
      <c r="J594" s="21">
        <f>IF(C594="","",IFERROR(INDEX(Services!$P$5:$P$64,MATCH(C594,Services!$B$5:$B$64,0)),"0"))</f>
        <v>0</v>
      </c>
      <c r="K594" s="23">
        <f>IF(C594="","",IFERROR(INDEX(Services!$E$5:$E$64,MATCH(C594,Services!$B$5:$B$64,0)),""))</f>
        <v>0</v>
      </c>
      <c r="L594" s="21">
        <f>IF(B594="","",IF(F594&lt;&gt;"",F594,IFERROR(J594*1,0)))</f>
        <v>0</v>
      </c>
      <c r="M594" s="51">
        <f>IF(B594="","",IF(D594&lt;&gt;"",D594,IFERROR(INDEX(Services!$O$5:$O$64,MATCH(C594,Services!$B$5:$B$64,0)),"")))</f>
        <v>0</v>
      </c>
      <c r="N594" s="34">
        <f>IF(B594="","",IFERROR(INDEX(Services!$G$5:$G$64,MATCH(C594,Services!$B$5:$B$64,0)),0)*IF(E594="",1,IF(IFERROR(INDEX(Services!$D$5:$D$64,MATCH(C594,Services!$B$5:$B$64,0)),"")="Per hour",1,E594)))</f>
        <v>0</v>
      </c>
      <c r="O594" s="21">
        <f>IF(B594="","",ROUND(IF(E594="",1,E594)*L594,2))</f>
        <v>0</v>
      </c>
      <c r="P594" s="21">
        <f>IF(B594="","",ROUND(O594*(1-IF(G594="",0,G594)),2))</f>
        <v>0</v>
      </c>
      <c r="Q594" s="21">
        <f>IF(B594="","",ROUND(N594*CostPerHour+IF(E594="",1,E594)*IFERROR(INDEX(Services!$R$5:$R$64,MATCH(C594,Services!$B$5:$B$64,0)),0),2))</f>
        <v>0</v>
      </c>
      <c r="R594" s="38">
        <f>IF(OR(B594="",P594=0),"",(P594-Q594)/P594)</f>
        <v>0</v>
      </c>
      <c r="S594" s="31">
        <f>IF(OR(B594="",C594=""),"",COUNTIFS($B$5:B594,B594))</f>
        <v>0</v>
      </c>
      <c r="T594" s="23">
        <f>IF(S594="","",B594&amp;"|"&amp;S594)</f>
        <v>0</v>
      </c>
      <c r="U594" s="39">
        <f>IF(B594="","",IF(C594="","Add - pick a service",IF(E594="","Add - how many?",IF(L594=0,"Add - no price",IF(AND(R594&lt;&gt;"",R594&lt;MarginFloor),"Below - thin margin","OK")))))</f>
        <v>0</v>
      </c>
    </row>
    <row r="595" spans="1:21">
      <c r="A595" s="43">
        <f>IF(B595="","","QL-"&amp;TEXT(ROW()-4,"0000"))</f>
        <v>0</v>
      </c>
      <c r="J595" s="21">
        <f>IF(C595="","",IFERROR(INDEX(Services!$P$5:$P$64,MATCH(C595,Services!$B$5:$B$64,0)),"0"))</f>
        <v>0</v>
      </c>
      <c r="K595" s="23">
        <f>IF(C595="","",IFERROR(INDEX(Services!$E$5:$E$64,MATCH(C595,Services!$B$5:$B$64,0)),""))</f>
        <v>0</v>
      </c>
      <c r="L595" s="21">
        <f>IF(B595="","",IF(F595&lt;&gt;"",F595,IFERROR(J595*1,0)))</f>
        <v>0</v>
      </c>
      <c r="M595" s="51">
        <f>IF(B595="","",IF(D595&lt;&gt;"",D595,IFERROR(INDEX(Services!$O$5:$O$64,MATCH(C595,Services!$B$5:$B$64,0)),"")))</f>
        <v>0</v>
      </c>
      <c r="N595" s="34">
        <f>IF(B595="","",IFERROR(INDEX(Services!$G$5:$G$64,MATCH(C595,Services!$B$5:$B$64,0)),0)*IF(E595="",1,IF(IFERROR(INDEX(Services!$D$5:$D$64,MATCH(C595,Services!$B$5:$B$64,0)),"")="Per hour",1,E595)))</f>
        <v>0</v>
      </c>
      <c r="O595" s="21">
        <f>IF(B595="","",ROUND(IF(E595="",1,E595)*L595,2))</f>
        <v>0</v>
      </c>
      <c r="P595" s="21">
        <f>IF(B595="","",ROUND(O595*(1-IF(G595="",0,G595)),2))</f>
        <v>0</v>
      </c>
      <c r="Q595" s="21">
        <f>IF(B595="","",ROUND(N595*CostPerHour+IF(E595="",1,E595)*IFERROR(INDEX(Services!$R$5:$R$64,MATCH(C595,Services!$B$5:$B$64,0)),0),2))</f>
        <v>0</v>
      </c>
      <c r="R595" s="38">
        <f>IF(OR(B595="",P595=0),"",(P595-Q595)/P595)</f>
        <v>0</v>
      </c>
      <c r="S595" s="31">
        <f>IF(OR(B595="",C595=""),"",COUNTIFS($B$5:B595,B595))</f>
        <v>0</v>
      </c>
      <c r="T595" s="23">
        <f>IF(S595="","",B595&amp;"|"&amp;S595)</f>
        <v>0</v>
      </c>
      <c r="U595" s="39">
        <f>IF(B595="","",IF(C595="","Add - pick a service",IF(E595="","Add - how many?",IF(L595=0,"Add - no price",IF(AND(R595&lt;&gt;"",R595&lt;MarginFloor),"Below - thin margin","OK")))))</f>
        <v>0</v>
      </c>
    </row>
    <row r="596" spans="1:21">
      <c r="A596" s="43">
        <f>IF(B596="","","QL-"&amp;TEXT(ROW()-4,"0000"))</f>
        <v>0</v>
      </c>
      <c r="J596" s="21">
        <f>IF(C596="","",IFERROR(INDEX(Services!$P$5:$P$64,MATCH(C596,Services!$B$5:$B$64,0)),"0"))</f>
        <v>0</v>
      </c>
      <c r="K596" s="23">
        <f>IF(C596="","",IFERROR(INDEX(Services!$E$5:$E$64,MATCH(C596,Services!$B$5:$B$64,0)),""))</f>
        <v>0</v>
      </c>
      <c r="L596" s="21">
        <f>IF(B596="","",IF(F596&lt;&gt;"",F596,IFERROR(J596*1,0)))</f>
        <v>0</v>
      </c>
      <c r="M596" s="51">
        <f>IF(B596="","",IF(D596&lt;&gt;"",D596,IFERROR(INDEX(Services!$O$5:$O$64,MATCH(C596,Services!$B$5:$B$64,0)),"")))</f>
        <v>0</v>
      </c>
      <c r="N596" s="34">
        <f>IF(B596="","",IFERROR(INDEX(Services!$G$5:$G$64,MATCH(C596,Services!$B$5:$B$64,0)),0)*IF(E596="",1,IF(IFERROR(INDEX(Services!$D$5:$D$64,MATCH(C596,Services!$B$5:$B$64,0)),"")="Per hour",1,E596)))</f>
        <v>0</v>
      </c>
      <c r="O596" s="21">
        <f>IF(B596="","",ROUND(IF(E596="",1,E596)*L596,2))</f>
        <v>0</v>
      </c>
      <c r="P596" s="21">
        <f>IF(B596="","",ROUND(O596*(1-IF(G596="",0,G596)),2))</f>
        <v>0</v>
      </c>
      <c r="Q596" s="21">
        <f>IF(B596="","",ROUND(N596*CostPerHour+IF(E596="",1,E596)*IFERROR(INDEX(Services!$R$5:$R$64,MATCH(C596,Services!$B$5:$B$64,0)),0),2))</f>
        <v>0</v>
      </c>
      <c r="R596" s="38">
        <f>IF(OR(B596="",P596=0),"",(P596-Q596)/P596)</f>
        <v>0</v>
      </c>
      <c r="S596" s="31">
        <f>IF(OR(B596="",C596=""),"",COUNTIFS($B$5:B596,B596))</f>
        <v>0</v>
      </c>
      <c r="T596" s="23">
        <f>IF(S596="","",B596&amp;"|"&amp;S596)</f>
        <v>0</v>
      </c>
      <c r="U596" s="39">
        <f>IF(B596="","",IF(C596="","Add - pick a service",IF(E596="","Add - how many?",IF(L596=0,"Add - no price",IF(AND(R596&lt;&gt;"",R596&lt;MarginFloor),"Below - thin margin","OK")))))</f>
        <v>0</v>
      </c>
    </row>
    <row r="597" spans="1:21">
      <c r="A597" s="43">
        <f>IF(B597="","","QL-"&amp;TEXT(ROW()-4,"0000"))</f>
        <v>0</v>
      </c>
      <c r="J597" s="21">
        <f>IF(C597="","",IFERROR(INDEX(Services!$P$5:$P$64,MATCH(C597,Services!$B$5:$B$64,0)),"0"))</f>
        <v>0</v>
      </c>
      <c r="K597" s="23">
        <f>IF(C597="","",IFERROR(INDEX(Services!$E$5:$E$64,MATCH(C597,Services!$B$5:$B$64,0)),""))</f>
        <v>0</v>
      </c>
      <c r="L597" s="21">
        <f>IF(B597="","",IF(F597&lt;&gt;"",F597,IFERROR(J597*1,0)))</f>
        <v>0</v>
      </c>
      <c r="M597" s="51">
        <f>IF(B597="","",IF(D597&lt;&gt;"",D597,IFERROR(INDEX(Services!$O$5:$O$64,MATCH(C597,Services!$B$5:$B$64,0)),"")))</f>
        <v>0</v>
      </c>
      <c r="N597" s="34">
        <f>IF(B597="","",IFERROR(INDEX(Services!$G$5:$G$64,MATCH(C597,Services!$B$5:$B$64,0)),0)*IF(E597="",1,IF(IFERROR(INDEX(Services!$D$5:$D$64,MATCH(C597,Services!$B$5:$B$64,0)),"")="Per hour",1,E597)))</f>
        <v>0</v>
      </c>
      <c r="O597" s="21">
        <f>IF(B597="","",ROUND(IF(E597="",1,E597)*L597,2))</f>
        <v>0</v>
      </c>
      <c r="P597" s="21">
        <f>IF(B597="","",ROUND(O597*(1-IF(G597="",0,G597)),2))</f>
        <v>0</v>
      </c>
      <c r="Q597" s="21">
        <f>IF(B597="","",ROUND(N597*CostPerHour+IF(E597="",1,E597)*IFERROR(INDEX(Services!$R$5:$R$64,MATCH(C597,Services!$B$5:$B$64,0)),0),2))</f>
        <v>0</v>
      </c>
      <c r="R597" s="38">
        <f>IF(OR(B597="",P597=0),"",(P597-Q597)/P597)</f>
        <v>0</v>
      </c>
      <c r="S597" s="31">
        <f>IF(OR(B597="",C597=""),"",COUNTIFS($B$5:B597,B597))</f>
        <v>0</v>
      </c>
      <c r="T597" s="23">
        <f>IF(S597="","",B597&amp;"|"&amp;S597)</f>
        <v>0</v>
      </c>
      <c r="U597" s="39">
        <f>IF(B597="","",IF(C597="","Add - pick a service",IF(E597="","Add - how many?",IF(L597=0,"Add - no price",IF(AND(R597&lt;&gt;"",R597&lt;MarginFloor),"Below - thin margin","OK")))))</f>
        <v>0</v>
      </c>
    </row>
    <row r="598" spans="1:21">
      <c r="A598" s="43">
        <f>IF(B598="","","QL-"&amp;TEXT(ROW()-4,"0000"))</f>
        <v>0</v>
      </c>
      <c r="J598" s="21">
        <f>IF(C598="","",IFERROR(INDEX(Services!$P$5:$P$64,MATCH(C598,Services!$B$5:$B$64,0)),"0"))</f>
        <v>0</v>
      </c>
      <c r="K598" s="23">
        <f>IF(C598="","",IFERROR(INDEX(Services!$E$5:$E$64,MATCH(C598,Services!$B$5:$B$64,0)),""))</f>
        <v>0</v>
      </c>
      <c r="L598" s="21">
        <f>IF(B598="","",IF(F598&lt;&gt;"",F598,IFERROR(J598*1,0)))</f>
        <v>0</v>
      </c>
      <c r="M598" s="51">
        <f>IF(B598="","",IF(D598&lt;&gt;"",D598,IFERROR(INDEX(Services!$O$5:$O$64,MATCH(C598,Services!$B$5:$B$64,0)),"")))</f>
        <v>0</v>
      </c>
      <c r="N598" s="34">
        <f>IF(B598="","",IFERROR(INDEX(Services!$G$5:$G$64,MATCH(C598,Services!$B$5:$B$64,0)),0)*IF(E598="",1,IF(IFERROR(INDEX(Services!$D$5:$D$64,MATCH(C598,Services!$B$5:$B$64,0)),"")="Per hour",1,E598)))</f>
        <v>0</v>
      </c>
      <c r="O598" s="21">
        <f>IF(B598="","",ROUND(IF(E598="",1,E598)*L598,2))</f>
        <v>0</v>
      </c>
      <c r="P598" s="21">
        <f>IF(B598="","",ROUND(O598*(1-IF(G598="",0,G598)),2))</f>
        <v>0</v>
      </c>
      <c r="Q598" s="21">
        <f>IF(B598="","",ROUND(N598*CostPerHour+IF(E598="",1,E598)*IFERROR(INDEX(Services!$R$5:$R$64,MATCH(C598,Services!$B$5:$B$64,0)),0),2))</f>
        <v>0</v>
      </c>
      <c r="R598" s="38">
        <f>IF(OR(B598="",P598=0),"",(P598-Q598)/P598)</f>
        <v>0</v>
      </c>
      <c r="S598" s="31">
        <f>IF(OR(B598="",C598=""),"",COUNTIFS($B$5:B598,B598))</f>
        <v>0</v>
      </c>
      <c r="T598" s="23">
        <f>IF(S598="","",B598&amp;"|"&amp;S598)</f>
        <v>0</v>
      </c>
      <c r="U598" s="39">
        <f>IF(B598="","",IF(C598="","Add - pick a service",IF(E598="","Add - how many?",IF(L598=0,"Add - no price",IF(AND(R598&lt;&gt;"",R598&lt;MarginFloor),"Below - thin margin","OK")))))</f>
        <v>0</v>
      </c>
    </row>
    <row r="599" spans="1:21">
      <c r="A599" s="43">
        <f>IF(B599="","","QL-"&amp;TEXT(ROW()-4,"0000"))</f>
        <v>0</v>
      </c>
      <c r="J599" s="21">
        <f>IF(C599="","",IFERROR(INDEX(Services!$P$5:$P$64,MATCH(C599,Services!$B$5:$B$64,0)),"0"))</f>
        <v>0</v>
      </c>
      <c r="K599" s="23">
        <f>IF(C599="","",IFERROR(INDEX(Services!$E$5:$E$64,MATCH(C599,Services!$B$5:$B$64,0)),""))</f>
        <v>0</v>
      </c>
      <c r="L599" s="21">
        <f>IF(B599="","",IF(F599&lt;&gt;"",F599,IFERROR(J599*1,0)))</f>
        <v>0</v>
      </c>
      <c r="M599" s="51">
        <f>IF(B599="","",IF(D599&lt;&gt;"",D599,IFERROR(INDEX(Services!$O$5:$O$64,MATCH(C599,Services!$B$5:$B$64,0)),"")))</f>
        <v>0</v>
      </c>
      <c r="N599" s="34">
        <f>IF(B599="","",IFERROR(INDEX(Services!$G$5:$G$64,MATCH(C599,Services!$B$5:$B$64,0)),0)*IF(E599="",1,IF(IFERROR(INDEX(Services!$D$5:$D$64,MATCH(C599,Services!$B$5:$B$64,0)),"")="Per hour",1,E599)))</f>
        <v>0</v>
      </c>
      <c r="O599" s="21">
        <f>IF(B599="","",ROUND(IF(E599="",1,E599)*L599,2))</f>
        <v>0</v>
      </c>
      <c r="P599" s="21">
        <f>IF(B599="","",ROUND(O599*(1-IF(G599="",0,G599)),2))</f>
        <v>0</v>
      </c>
      <c r="Q599" s="21">
        <f>IF(B599="","",ROUND(N599*CostPerHour+IF(E599="",1,E599)*IFERROR(INDEX(Services!$R$5:$R$64,MATCH(C599,Services!$B$5:$B$64,0)),0),2))</f>
        <v>0</v>
      </c>
      <c r="R599" s="38">
        <f>IF(OR(B599="",P599=0),"",(P599-Q599)/P599)</f>
        <v>0</v>
      </c>
      <c r="S599" s="31">
        <f>IF(OR(B599="",C599=""),"",COUNTIFS($B$5:B599,B599))</f>
        <v>0</v>
      </c>
      <c r="T599" s="23">
        <f>IF(S599="","",B599&amp;"|"&amp;S599)</f>
        <v>0</v>
      </c>
      <c r="U599" s="39">
        <f>IF(B599="","",IF(C599="","Add - pick a service",IF(E599="","Add - how many?",IF(L599=0,"Add - no price",IF(AND(R599&lt;&gt;"",R599&lt;MarginFloor),"Below - thin margin","OK")))))</f>
        <v>0</v>
      </c>
    </row>
    <row r="600" spans="1:21">
      <c r="A600" s="43">
        <f>IF(B600="","","QL-"&amp;TEXT(ROW()-4,"0000"))</f>
        <v>0</v>
      </c>
      <c r="J600" s="21">
        <f>IF(C600="","",IFERROR(INDEX(Services!$P$5:$P$64,MATCH(C600,Services!$B$5:$B$64,0)),"0"))</f>
        <v>0</v>
      </c>
      <c r="K600" s="23">
        <f>IF(C600="","",IFERROR(INDEX(Services!$E$5:$E$64,MATCH(C600,Services!$B$5:$B$64,0)),""))</f>
        <v>0</v>
      </c>
      <c r="L600" s="21">
        <f>IF(B600="","",IF(F600&lt;&gt;"",F600,IFERROR(J600*1,0)))</f>
        <v>0</v>
      </c>
      <c r="M600" s="51">
        <f>IF(B600="","",IF(D600&lt;&gt;"",D600,IFERROR(INDEX(Services!$O$5:$O$64,MATCH(C600,Services!$B$5:$B$64,0)),"")))</f>
        <v>0</v>
      </c>
      <c r="N600" s="34">
        <f>IF(B600="","",IFERROR(INDEX(Services!$G$5:$G$64,MATCH(C600,Services!$B$5:$B$64,0)),0)*IF(E600="",1,IF(IFERROR(INDEX(Services!$D$5:$D$64,MATCH(C600,Services!$B$5:$B$64,0)),"")="Per hour",1,E600)))</f>
        <v>0</v>
      </c>
      <c r="O600" s="21">
        <f>IF(B600="","",ROUND(IF(E600="",1,E600)*L600,2))</f>
        <v>0</v>
      </c>
      <c r="P600" s="21">
        <f>IF(B600="","",ROUND(O600*(1-IF(G600="",0,G600)),2))</f>
        <v>0</v>
      </c>
      <c r="Q600" s="21">
        <f>IF(B600="","",ROUND(N600*CostPerHour+IF(E600="",1,E600)*IFERROR(INDEX(Services!$R$5:$R$64,MATCH(C600,Services!$B$5:$B$64,0)),0),2))</f>
        <v>0</v>
      </c>
      <c r="R600" s="38">
        <f>IF(OR(B600="",P600=0),"",(P600-Q600)/P600)</f>
        <v>0</v>
      </c>
      <c r="S600" s="31">
        <f>IF(OR(B600="",C600=""),"",COUNTIFS($B$5:B600,B600))</f>
        <v>0</v>
      </c>
      <c r="T600" s="23">
        <f>IF(S600="","",B600&amp;"|"&amp;S600)</f>
        <v>0</v>
      </c>
      <c r="U600" s="39">
        <f>IF(B600="","",IF(C600="","Add - pick a service",IF(E600="","Add - how many?",IF(L600=0,"Add - no price",IF(AND(R600&lt;&gt;"",R600&lt;MarginFloor),"Below - thin margin","OK")))))</f>
        <v>0</v>
      </c>
    </row>
    <row r="601" spans="1:21">
      <c r="A601" s="43">
        <f>IF(B601="","","QL-"&amp;TEXT(ROW()-4,"0000"))</f>
        <v>0</v>
      </c>
      <c r="J601" s="21">
        <f>IF(C601="","",IFERROR(INDEX(Services!$P$5:$P$64,MATCH(C601,Services!$B$5:$B$64,0)),"0"))</f>
        <v>0</v>
      </c>
      <c r="K601" s="23">
        <f>IF(C601="","",IFERROR(INDEX(Services!$E$5:$E$64,MATCH(C601,Services!$B$5:$B$64,0)),""))</f>
        <v>0</v>
      </c>
      <c r="L601" s="21">
        <f>IF(B601="","",IF(F601&lt;&gt;"",F601,IFERROR(J601*1,0)))</f>
        <v>0</v>
      </c>
      <c r="M601" s="51">
        <f>IF(B601="","",IF(D601&lt;&gt;"",D601,IFERROR(INDEX(Services!$O$5:$O$64,MATCH(C601,Services!$B$5:$B$64,0)),"")))</f>
        <v>0</v>
      </c>
      <c r="N601" s="34">
        <f>IF(B601="","",IFERROR(INDEX(Services!$G$5:$G$64,MATCH(C601,Services!$B$5:$B$64,0)),0)*IF(E601="",1,IF(IFERROR(INDEX(Services!$D$5:$D$64,MATCH(C601,Services!$B$5:$B$64,0)),"")="Per hour",1,E601)))</f>
        <v>0</v>
      </c>
      <c r="O601" s="21">
        <f>IF(B601="","",ROUND(IF(E601="",1,E601)*L601,2))</f>
        <v>0</v>
      </c>
      <c r="P601" s="21">
        <f>IF(B601="","",ROUND(O601*(1-IF(G601="",0,G601)),2))</f>
        <v>0</v>
      </c>
      <c r="Q601" s="21">
        <f>IF(B601="","",ROUND(N601*CostPerHour+IF(E601="",1,E601)*IFERROR(INDEX(Services!$R$5:$R$64,MATCH(C601,Services!$B$5:$B$64,0)),0),2))</f>
        <v>0</v>
      </c>
      <c r="R601" s="38">
        <f>IF(OR(B601="",P601=0),"",(P601-Q601)/P601)</f>
        <v>0</v>
      </c>
      <c r="S601" s="31">
        <f>IF(OR(B601="",C601=""),"",COUNTIFS($B$5:B601,B601))</f>
        <v>0</v>
      </c>
      <c r="T601" s="23">
        <f>IF(S601="","",B601&amp;"|"&amp;S601)</f>
        <v>0</v>
      </c>
      <c r="U601" s="39">
        <f>IF(B601="","",IF(C601="","Add - pick a service",IF(E601="","Add - how many?",IF(L601=0,"Add - no price",IF(AND(R601&lt;&gt;"",R601&lt;MarginFloor),"Below - thin margin","OK")))))</f>
        <v>0</v>
      </c>
    </row>
    <row r="602" spans="1:21">
      <c r="A602" s="43">
        <f>IF(B602="","","QL-"&amp;TEXT(ROW()-4,"0000"))</f>
        <v>0</v>
      </c>
      <c r="J602" s="21">
        <f>IF(C602="","",IFERROR(INDEX(Services!$P$5:$P$64,MATCH(C602,Services!$B$5:$B$64,0)),"0"))</f>
        <v>0</v>
      </c>
      <c r="K602" s="23">
        <f>IF(C602="","",IFERROR(INDEX(Services!$E$5:$E$64,MATCH(C602,Services!$B$5:$B$64,0)),""))</f>
        <v>0</v>
      </c>
      <c r="L602" s="21">
        <f>IF(B602="","",IF(F602&lt;&gt;"",F602,IFERROR(J602*1,0)))</f>
        <v>0</v>
      </c>
      <c r="M602" s="51">
        <f>IF(B602="","",IF(D602&lt;&gt;"",D602,IFERROR(INDEX(Services!$O$5:$O$64,MATCH(C602,Services!$B$5:$B$64,0)),"")))</f>
        <v>0</v>
      </c>
      <c r="N602" s="34">
        <f>IF(B602="","",IFERROR(INDEX(Services!$G$5:$G$64,MATCH(C602,Services!$B$5:$B$64,0)),0)*IF(E602="",1,IF(IFERROR(INDEX(Services!$D$5:$D$64,MATCH(C602,Services!$B$5:$B$64,0)),"")="Per hour",1,E602)))</f>
        <v>0</v>
      </c>
      <c r="O602" s="21">
        <f>IF(B602="","",ROUND(IF(E602="",1,E602)*L602,2))</f>
        <v>0</v>
      </c>
      <c r="P602" s="21">
        <f>IF(B602="","",ROUND(O602*(1-IF(G602="",0,G602)),2))</f>
        <v>0</v>
      </c>
      <c r="Q602" s="21">
        <f>IF(B602="","",ROUND(N602*CostPerHour+IF(E602="",1,E602)*IFERROR(INDEX(Services!$R$5:$R$64,MATCH(C602,Services!$B$5:$B$64,0)),0),2))</f>
        <v>0</v>
      </c>
      <c r="R602" s="38">
        <f>IF(OR(B602="",P602=0),"",(P602-Q602)/P602)</f>
        <v>0</v>
      </c>
      <c r="S602" s="31">
        <f>IF(OR(B602="",C602=""),"",COUNTIFS($B$5:B602,B602))</f>
        <v>0</v>
      </c>
      <c r="T602" s="23">
        <f>IF(S602="","",B602&amp;"|"&amp;S602)</f>
        <v>0</v>
      </c>
      <c r="U602" s="39">
        <f>IF(B602="","",IF(C602="","Add - pick a service",IF(E602="","Add - how many?",IF(L602=0,"Add - no price",IF(AND(R602&lt;&gt;"",R602&lt;MarginFloor),"Below - thin margin","OK")))))</f>
        <v>0</v>
      </c>
    </row>
    <row r="603" spans="1:21">
      <c r="A603" s="43">
        <f>IF(B603="","","QL-"&amp;TEXT(ROW()-4,"0000"))</f>
        <v>0</v>
      </c>
      <c r="J603" s="21">
        <f>IF(C603="","",IFERROR(INDEX(Services!$P$5:$P$64,MATCH(C603,Services!$B$5:$B$64,0)),"0"))</f>
        <v>0</v>
      </c>
      <c r="K603" s="23">
        <f>IF(C603="","",IFERROR(INDEX(Services!$E$5:$E$64,MATCH(C603,Services!$B$5:$B$64,0)),""))</f>
        <v>0</v>
      </c>
      <c r="L603" s="21">
        <f>IF(B603="","",IF(F603&lt;&gt;"",F603,IFERROR(J603*1,0)))</f>
        <v>0</v>
      </c>
      <c r="M603" s="51">
        <f>IF(B603="","",IF(D603&lt;&gt;"",D603,IFERROR(INDEX(Services!$O$5:$O$64,MATCH(C603,Services!$B$5:$B$64,0)),"")))</f>
        <v>0</v>
      </c>
      <c r="N603" s="34">
        <f>IF(B603="","",IFERROR(INDEX(Services!$G$5:$G$64,MATCH(C603,Services!$B$5:$B$64,0)),0)*IF(E603="",1,IF(IFERROR(INDEX(Services!$D$5:$D$64,MATCH(C603,Services!$B$5:$B$64,0)),"")="Per hour",1,E603)))</f>
        <v>0</v>
      </c>
      <c r="O603" s="21">
        <f>IF(B603="","",ROUND(IF(E603="",1,E603)*L603,2))</f>
        <v>0</v>
      </c>
      <c r="P603" s="21">
        <f>IF(B603="","",ROUND(O603*(1-IF(G603="",0,G603)),2))</f>
        <v>0</v>
      </c>
      <c r="Q603" s="21">
        <f>IF(B603="","",ROUND(N603*CostPerHour+IF(E603="",1,E603)*IFERROR(INDEX(Services!$R$5:$R$64,MATCH(C603,Services!$B$5:$B$64,0)),0),2))</f>
        <v>0</v>
      </c>
      <c r="R603" s="38">
        <f>IF(OR(B603="",P603=0),"",(P603-Q603)/P603)</f>
        <v>0</v>
      </c>
      <c r="S603" s="31">
        <f>IF(OR(B603="",C603=""),"",COUNTIFS($B$5:B603,B603))</f>
        <v>0</v>
      </c>
      <c r="T603" s="23">
        <f>IF(S603="","",B603&amp;"|"&amp;S603)</f>
        <v>0</v>
      </c>
      <c r="U603" s="39">
        <f>IF(B603="","",IF(C603="","Add - pick a service",IF(E603="","Add - how many?",IF(L603=0,"Add - no price",IF(AND(R603&lt;&gt;"",R603&lt;MarginFloor),"Below - thin margin","OK")))))</f>
        <v>0</v>
      </c>
    </row>
    <row r="604" spans="1:21">
      <c r="A604" s="43">
        <f>IF(B604="","","QL-"&amp;TEXT(ROW()-4,"0000"))</f>
        <v>0</v>
      </c>
      <c r="J604" s="21">
        <f>IF(C604="","",IFERROR(INDEX(Services!$P$5:$P$64,MATCH(C604,Services!$B$5:$B$64,0)),"0"))</f>
        <v>0</v>
      </c>
      <c r="K604" s="23">
        <f>IF(C604="","",IFERROR(INDEX(Services!$E$5:$E$64,MATCH(C604,Services!$B$5:$B$64,0)),""))</f>
        <v>0</v>
      </c>
      <c r="L604" s="21">
        <f>IF(B604="","",IF(F604&lt;&gt;"",F604,IFERROR(J604*1,0)))</f>
        <v>0</v>
      </c>
      <c r="M604" s="51">
        <f>IF(B604="","",IF(D604&lt;&gt;"",D604,IFERROR(INDEX(Services!$O$5:$O$64,MATCH(C604,Services!$B$5:$B$64,0)),"")))</f>
        <v>0</v>
      </c>
      <c r="N604" s="34">
        <f>IF(B604="","",IFERROR(INDEX(Services!$G$5:$G$64,MATCH(C604,Services!$B$5:$B$64,0)),0)*IF(E604="",1,IF(IFERROR(INDEX(Services!$D$5:$D$64,MATCH(C604,Services!$B$5:$B$64,0)),"")="Per hour",1,E604)))</f>
        <v>0</v>
      </c>
      <c r="O604" s="21">
        <f>IF(B604="","",ROUND(IF(E604="",1,E604)*L604,2))</f>
        <v>0</v>
      </c>
      <c r="P604" s="21">
        <f>IF(B604="","",ROUND(O604*(1-IF(G604="",0,G604)),2))</f>
        <v>0</v>
      </c>
      <c r="Q604" s="21">
        <f>IF(B604="","",ROUND(N604*CostPerHour+IF(E604="",1,E604)*IFERROR(INDEX(Services!$R$5:$R$64,MATCH(C604,Services!$B$5:$B$64,0)),0),2))</f>
        <v>0</v>
      </c>
      <c r="R604" s="38">
        <f>IF(OR(B604="",P604=0),"",(P604-Q604)/P604)</f>
        <v>0</v>
      </c>
      <c r="S604" s="31">
        <f>IF(OR(B604="",C604=""),"",COUNTIFS($B$5:B604,B604))</f>
        <v>0</v>
      </c>
      <c r="T604" s="23">
        <f>IF(S604="","",B604&amp;"|"&amp;S604)</f>
        <v>0</v>
      </c>
      <c r="U604" s="39">
        <f>IF(B604="","",IF(C604="","Add - pick a service",IF(E604="","Add - how many?",IF(L604=0,"Add - no price",IF(AND(R604&lt;&gt;"",R604&lt;MarginFloor),"Below - thin margin","OK")))))</f>
        <v>0</v>
      </c>
    </row>
  </sheetData>
  <sheetProtection password="EC7C" sheet="1" objects="1" scenarios="1" formatCells="0" formatColumns="0" formatRows="0" insertRows="0" insertHyperlinks="0" deleteRows="0" autoFilter="0"/>
  <autoFilter ref="A4:U604"/>
  <mergeCells count="13">
    <mergeCell ref="A1:R1"/>
    <mergeCell ref="S1:U1"/>
    <mergeCell ref="A2:U2"/>
    <mergeCell ref="A3:B3"/>
    <mergeCell ref="C3:D3"/>
    <mergeCell ref="E3:F3"/>
    <mergeCell ref="G3:H3"/>
    <mergeCell ref="I3:J3"/>
    <mergeCell ref="K3:L3"/>
    <mergeCell ref="M3:N3"/>
    <mergeCell ref="O3:P3"/>
    <mergeCell ref="Q3:R3"/>
    <mergeCell ref="S3:U3"/>
  </mergeCells>
  <conditionalFormatting sqref="H5:H604">
    <cfRule type="containsText" dxfId="0" priority="1" operator="containsText" text="No">
      <formula>NOT(ISERROR(SEARCH("No",H5)))</formula>
    </cfRule>
    <cfRule type="containsText" dxfId="1" priority="2" operator="containsText" text="Yes">
      <formula>NOT(ISERROR(SEARCH("Yes",H5)))</formula>
    </cfRule>
  </conditionalFormatting>
  <conditionalFormatting sqref="P5:P604">
    <cfRule type="dataBar" priority="3">
      <dataBar>
        <cfvo type="min" val="0"/>
        <cfvo type="max" val="0"/>
        <color rgb="FFE8A33D"/>
      </dataBar>
    </cfRule>
  </conditionalFormatting>
  <conditionalFormatting sqref="R5:R604">
    <cfRule type="cellIs" dxfId="2" priority="4" operator="lessThan">
      <formula>MarginFloor</formula>
    </cfRule>
    <cfRule type="cellIs" dxfId="1" priority="5" operator="greaterThanOrEqual">
      <formula>TargetMargin</formula>
    </cfRule>
  </conditionalFormatting>
  <conditionalFormatting sqref="U5:U604">
    <cfRule type="beginsWith" dxfId="1" priority="6" operator="beginsWith" text="OK">
      <formula>LEFT(U5,2)="OK"</formula>
    </cfRule>
    <cfRule type="containsText" dxfId="2" priority="7" operator="containsText" text="Overdue">
      <formula>NOT(ISERROR(SEARCH("Overdue",U5)))</formula>
    </cfRule>
    <cfRule type="containsText" dxfId="2" priority="8" operator="containsText" text="Late">
      <formula>NOT(ISERROR(SEARCH("Late",U5)))</formula>
    </cfRule>
    <cfRule type="containsText" dxfId="2" priority="9" operator="containsText" text="Missing">
      <formula>NOT(ISERROR(SEARCH("Missing",U5)))</formula>
    </cfRule>
    <cfRule type="containsText" dxfId="2" priority="10" operator="containsText" text="Conflict">
      <formula>NOT(ISERROR(SEARCH("Conflict",U5)))</formula>
    </cfRule>
    <cfRule type="containsText" dxfId="2" priority="11" operator="containsText" text="Clash">
      <formula>NOT(ISERROR(SEARCH("Clash",U5)))</formula>
    </cfRule>
    <cfRule type="containsText" dxfId="2" priority="12" operator="containsText" text="Expired">
      <formula>NOT(ISERROR(SEARCH("Expired",U5)))</formula>
    </cfRule>
    <cfRule type="containsText" dxfId="2" priority="13" operator="containsText" text="Duplicate">
      <formula>NOT(ISERROR(SEARCH("Duplicate",U5)))</formula>
    </cfRule>
    <cfRule type="containsText" dxfId="2" priority="14" operator="containsText" text="Unpaid">
      <formula>NOT(ISERROR(SEARCH("Unpaid",U5)))</formula>
    </cfRule>
    <cfRule type="containsText" dxfId="2" priority="15" operator="containsText" text="Loss">
      <formula>NOT(ISERROR(SEARCH("Loss",U5)))</formula>
    </cfRule>
    <cfRule type="containsText" dxfId="2" priority="16" operator="containsText" text="Below">
      <formula>NOT(ISERROR(SEARCH("Below",U5)))</formula>
    </cfRule>
    <cfRule type="containsText" dxfId="0" priority="17" operator="containsText" text="Action">
      <formula>NOT(ISERROR(SEARCH("Action",U5)))</formula>
    </cfRule>
    <cfRule type="containsText" dxfId="0" priority="18" operator="containsText" text="Due">
      <formula>NOT(ISERROR(SEARCH("Due",U5)))</formula>
    </cfRule>
    <cfRule type="containsText" dxfId="0" priority="19" operator="containsText" text="Check">
      <formula>NOT(ISERROR(SEARCH("Check",U5)))</formula>
    </cfRule>
    <cfRule type="containsText" dxfId="0" priority="20" operator="containsText" text="Chase">
      <formula>NOT(ISERROR(SEARCH("Chase",U5)))</formula>
    </cfRule>
    <cfRule type="containsText" dxfId="0" priority="21" operator="containsText" text="Assign">
      <formula>NOT(ISERROR(SEARCH("Assign",U5)))</formula>
    </cfRule>
    <cfRule type="containsText" dxfId="0" priority="22" operator="containsText" text="Confirm">
      <formula>NOT(ISERROR(SEARCH("Confirm",U5)))</formula>
    </cfRule>
    <cfRule type="containsText" dxfId="0" priority="23" operator="containsText" text="Order">
      <formula>NOT(ISERROR(SEARCH("Order",U5)))</formula>
    </cfRule>
    <cfRule type="containsText" dxfId="3" priority="24" operator="containsText" text="Today">
      <formula>NOT(ISERROR(SEARCH("Today",U5)))</formula>
    </cfRule>
    <cfRule type="containsText" dxfId="3" priority="25" operator="containsText" text="Upcoming">
      <formula>NOT(ISERROR(SEARCH("Upcoming",U5)))</formula>
    </cfRule>
    <cfRule type="containsText" dxfId="3" priority="26" operator="containsText" text="Tomorrow">
      <formula>NOT(ISERROR(SEARCH("Tomorrow",U5)))</formula>
    </cfRule>
  </conditionalFormatting>
  <dataValidations count="6">
    <dataValidation type="list" allowBlank="1" showInputMessage="1" showErrorMessage="1" promptTitle="Quote ID" prompt="Which quote this line belongs to. Pick it from the drop down." sqref="B5:B604">
      <formula1>QuoteIDs</formula1>
    </dataValidation>
    <dataValidation type="list" allowBlank="1" showInputMessage="1" showErrorMessage="1" promptTitle="Service" prompt="From the Services tab. The unit price and the hours come with it." sqref="C5:C604">
      <formula1>ServiceNames</formula1>
    </dataValidation>
    <dataValidation type="decimal" allowBlank="1" showInputMessage="1" showErrorMessage="1" errorTitle="Check the value" error="Enter a number between 0 and 100000." promptTitle="Quantity" prompt="Hours, rooms, ovens, visits - whatever the service is priced per." sqref="E5:E604">
      <formula1>0</formula1>
      <formula2>100000</formula2>
    </dataValidation>
    <dataValidation type="decimal" allowBlank="1" showInputMessage="1" showErrorMessage="1" errorTitle="Check the value" error="Enter a number between 0 and 1000000." promptTitle="Price each (override)" prompt="Blank uses the catalogue price." sqref="F5:F604">
      <formula1>0</formula1>
      <formula2>1000000</formula2>
    </dataValidation>
    <dataValidation type="decimal" allowBlank="1" showInputMessage="1" showErrorMessage="1" errorTitle="Check the value" error="Enter a number between 0 and 1." sqref="G5:G604">
      <formula1>0</formula1>
      <formula2>1</formula2>
    </dataValidation>
    <dataValidation type="list" allowBlank="1" showInputMessage="1" showErrorMessage="1" promptTitle="Optional extra?" prompt="Shown on the quote but not counted in the headline total until the client says yes. Optional lines still add to the subtotal here - take them off the quote if they decline." sqref="H5:H604">
      <formula1>YesNoList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&amp;L&amp;"Calibri,Bold"&amp;12&amp;C&amp;"Calibri,Bold"&amp;11Quote Lines&amp;R&amp;"Calibri,Italic"&amp;9Cleaning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11.xml><?xml version="1.0" encoding="utf-8"?>
<worksheet xmlns="http://schemas.openxmlformats.org/spreadsheetml/2006/main" xmlns:r="http://schemas.openxmlformats.org/officeDocument/2006/relationships">
  <sheetPr>
    <tabColor rgb="FF14616B"/>
    <pageSetUpPr fitToPage="1"/>
  </sheetPr>
  <dimension ref="A1:AX6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3" customWidth="1"/>
    <col min="2" max="2" width="11.7109375" style="46" customWidth="1"/>
    <col min="3" max="3" width="9.7109375" style="23" customWidth="1"/>
    <col min="4" max="4" width="7.7109375" style="31" customWidth="1"/>
    <col min="5" max="5" width="10.7109375" style="23" customWidth="1"/>
    <col min="6" max="6" width="9.7109375" style="52" customWidth="1"/>
    <col min="7" max="7" width="11.7109375" style="49" customWidth="1"/>
    <col min="8" max="8" width="22.7109375" style="23" customWidth="1"/>
    <col min="9" max="9" width="16.7109375" style="23" hidden="1" customWidth="1"/>
    <col min="10" max="10" width="11.7109375" style="49" customWidth="1"/>
    <col min="11" max="11" width="24.7109375" style="23" customWidth="1"/>
    <col min="12" max="12" width="30.7109375" style="23" customWidth="1"/>
    <col min="13" max="13" width="22.7109375" style="15" customWidth="1"/>
    <col min="14" max="14" width="16.7109375" style="15" customWidth="1"/>
    <col min="15" max="15" width="14.7109375" style="15" customWidth="1"/>
    <col min="16" max="16" width="13.7109375" style="45" customWidth="1"/>
    <col min="17" max="17" width="11.7109375" style="15" customWidth="1"/>
    <col min="18" max="18" width="18.7109375" style="15" customWidth="1"/>
    <col min="19" max="19" width="18.7109375" style="15" customWidth="1"/>
    <col min="20" max="20" width="9.7109375" style="16" customWidth="1"/>
    <col min="21" max="21" width="12.7109375" style="17" customWidth="1"/>
    <col min="22" max="22" width="12.7109375" style="19" customWidth="1"/>
    <col min="23" max="23" width="11.7109375" style="17" customWidth="1"/>
    <col min="24" max="24" width="10.7109375" style="47" customWidth="1"/>
    <col min="25" max="25" width="11.7109375" style="47" customWidth="1"/>
    <col min="26" max="26" width="12.7109375" style="17" customWidth="1"/>
    <col min="27" max="27" width="10.7109375" style="47" customWidth="1"/>
    <col min="28" max="28" width="30.7109375" style="44" customWidth="1"/>
    <col min="29" max="29" width="34.7109375" style="44" customWidth="1"/>
    <col min="30" max="30" width="11.7109375" style="34" customWidth="1"/>
    <col min="31" max="31" width="8.7109375" style="31" hidden="1" customWidth="1"/>
    <col min="32" max="32" width="11.7109375" style="34" customWidth="1"/>
    <col min="33" max="33" width="9.7109375" style="53" customWidth="1"/>
    <col min="34" max="34" width="10.7109375" style="21" hidden="1" customWidth="1"/>
    <col min="35" max="35" width="11.7109375" style="21" hidden="1" customWidth="1"/>
    <col min="36" max="36" width="12.7109375" style="21" customWidth="1"/>
    <col min="37" max="37" width="11.7109375" style="34" customWidth="1"/>
    <col min="38" max="38" width="10.7109375" style="34" customWidth="1"/>
    <col min="39" max="39" width="10.7109375" style="31" hidden="1" customWidth="1"/>
    <col min="40" max="40" width="10.7109375" style="31" hidden="1" customWidth="1"/>
    <col min="41" max="41" width="11.7109375" style="38" customWidth="1"/>
    <col min="42" max="42" width="11.7109375" style="43" customWidth="1"/>
    <col min="43" max="43" width="12.7109375" style="18" customWidth="1"/>
    <col min="44" max="44" width="16.7109375" style="39" customWidth="1"/>
    <col min="45" max="45" width="11.7109375" style="18" hidden="1" customWidth="1"/>
    <col min="46" max="46" width="9.7109375" style="31" hidden="1" customWidth="1"/>
    <col min="47" max="47" width="11.7109375" style="18" hidden="1" customWidth="1"/>
    <col min="48" max="48" width="9.7109375" style="31" hidden="1" customWidth="1"/>
    <col min="49" max="49" width="9.7109375" style="31" hidden="1" customWidth="1"/>
    <col min="50" max="50" width="30.7109375" style="39" customWidth="1"/>
  </cols>
  <sheetData>
    <row r="1" spans="1:50" ht="34" customHeight="1">
      <c r="A1" s="2" t="s">
        <v>37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3" t="s">
        <v>1</v>
      </c>
      <c r="AW1" s="3"/>
      <c r="AX1" s="3"/>
    </row>
    <row r="2" spans="1:50" ht="18" customHeight="1">
      <c r="A2" s="4" t="s">
        <v>1098</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row>
    <row r="3" spans="1:50"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1099</v>
      </c>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row>
    <row r="4" spans="1:50" ht="30" customHeight="1">
      <c r="A4" s="8" t="s">
        <v>545</v>
      </c>
      <c r="B4" s="8" t="s">
        <v>1100</v>
      </c>
      <c r="C4" s="9" t="s">
        <v>395</v>
      </c>
      <c r="D4" s="9" t="s">
        <v>396</v>
      </c>
      <c r="E4" s="9" t="s">
        <v>340</v>
      </c>
      <c r="F4" s="9" t="s">
        <v>1101</v>
      </c>
      <c r="G4" s="9" t="s">
        <v>719</v>
      </c>
      <c r="H4" s="9" t="s">
        <v>403</v>
      </c>
      <c r="I4" s="9" t="s">
        <v>439</v>
      </c>
      <c r="J4" s="9" t="s">
        <v>1029</v>
      </c>
      <c r="K4" s="9" t="s">
        <v>718</v>
      </c>
      <c r="L4" s="9" t="s">
        <v>183</v>
      </c>
      <c r="M4" s="9" t="s">
        <v>436</v>
      </c>
      <c r="N4" s="9" t="s">
        <v>1102</v>
      </c>
      <c r="O4" s="9" t="s">
        <v>532</v>
      </c>
      <c r="P4" s="9" t="s">
        <v>548</v>
      </c>
      <c r="Q4" s="9" t="s">
        <v>1103</v>
      </c>
      <c r="R4" s="9" t="s">
        <v>1104</v>
      </c>
      <c r="S4" s="9" t="s">
        <v>1105</v>
      </c>
      <c r="T4" s="9" t="s">
        <v>1106</v>
      </c>
      <c r="U4" s="9" t="s">
        <v>1107</v>
      </c>
      <c r="V4" s="9" t="s">
        <v>1108</v>
      </c>
      <c r="W4" s="9" t="s">
        <v>1109</v>
      </c>
      <c r="X4" s="9" t="s">
        <v>1110</v>
      </c>
      <c r="Y4" s="9" t="s">
        <v>1111</v>
      </c>
      <c r="Z4" s="9" t="s">
        <v>1112</v>
      </c>
      <c r="AA4" s="9" t="s">
        <v>1113</v>
      </c>
      <c r="AB4" s="9" t="s">
        <v>1114</v>
      </c>
      <c r="AC4" s="9" t="s">
        <v>1115</v>
      </c>
      <c r="AD4" s="9" t="s">
        <v>1116</v>
      </c>
      <c r="AE4" s="9" t="s">
        <v>1117</v>
      </c>
      <c r="AF4" s="9" t="s">
        <v>398</v>
      </c>
      <c r="AG4" s="9" t="s">
        <v>1118</v>
      </c>
      <c r="AH4" s="9" t="s">
        <v>490</v>
      </c>
      <c r="AI4" s="9" t="s">
        <v>1119</v>
      </c>
      <c r="AJ4" s="9" t="s">
        <v>1120</v>
      </c>
      <c r="AK4" s="9" t="s">
        <v>1121</v>
      </c>
      <c r="AL4" s="9" t="s">
        <v>1122</v>
      </c>
      <c r="AM4" s="9" t="s">
        <v>729</v>
      </c>
      <c r="AN4" s="9" t="s">
        <v>1123</v>
      </c>
      <c r="AO4" s="9" t="s">
        <v>1124</v>
      </c>
      <c r="AP4" s="9" t="s">
        <v>1125</v>
      </c>
      <c r="AQ4" s="9" t="s">
        <v>1126</v>
      </c>
      <c r="AR4" s="9" t="s">
        <v>1127</v>
      </c>
      <c r="AS4" s="9" t="s">
        <v>1128</v>
      </c>
      <c r="AT4" s="9" t="s">
        <v>1129</v>
      </c>
      <c r="AU4" s="9" t="s">
        <v>1130</v>
      </c>
      <c r="AV4" s="9" t="s">
        <v>1131</v>
      </c>
      <c r="AW4" s="9" t="s">
        <v>1132</v>
      </c>
      <c r="AX4" s="9" t="s">
        <v>574</v>
      </c>
    </row>
    <row r="5" spans="1:50">
      <c r="A5" s="43">
        <f>IF(G5="","",JobPrefix&amp;TEXT(ROW()-4,"0000"))</f>
        <v>0</v>
      </c>
      <c r="B5" s="46">
        <v>46272</v>
      </c>
      <c r="C5" s="23">
        <f>IF(B5="","",TEXT(B5,"ddd"))</f>
        <v>0</v>
      </c>
      <c r="D5" s="31">
        <f>IF(B5="","",WEEKNUM(B5,IF(WeekStart="Sunday",1,2)))</f>
        <v>0</v>
      </c>
      <c r="E5" s="23">
        <f>IF(B5="","",TEXT(B5,"yyyy-mm"))</f>
        <v>0</v>
      </c>
      <c r="F5" s="52">
        <v>0.291666666666667</v>
      </c>
      <c r="G5" s="49" t="s">
        <v>813</v>
      </c>
      <c r="H5" s="23">
        <f>IF(G5="","",IFERROR(INDEX(Clients!$B$5:$B$204,MATCH(G5,Clients!$A$5:$A$204,0)),"Not found"))</f>
        <v>0</v>
      </c>
      <c r="I5" s="23">
        <f>IF(G5="","",IFERROR(INDEX(Clients!$C$5:$C$204,MATCH(G5,Clients!$A$5:$A$204,0)),""))</f>
        <v>0</v>
      </c>
      <c r="J5" s="49" t="s">
        <v>1052</v>
      </c>
      <c r="K5" s="23">
        <f>IF(J5="","",IFERROR(INDEX(Properties!$B$5:$B$254,MATCH(J5,Properties!$A$5:$A$254,0)),""))</f>
        <v>0</v>
      </c>
      <c r="L5" s="23">
        <f>IF(J5="","",IFERROR(INDEX(Properties!$F$5:$F$254,MATCH(J5,Properties!$A$5:$A$254,0)),""))</f>
        <v>0</v>
      </c>
      <c r="M5" s="15" t="s">
        <v>770</v>
      </c>
      <c r="N5" s="15" t="s">
        <v>1133</v>
      </c>
      <c r="O5" s="15" t="s">
        <v>617</v>
      </c>
      <c r="P5" s="45" t="s">
        <v>406</v>
      </c>
      <c r="Q5" s="15" t="s">
        <v>448</v>
      </c>
      <c r="R5" s="15" t="s">
        <v>664</v>
      </c>
      <c r="S5" s="15" t="s">
        <v>172</v>
      </c>
      <c r="T5" s="16">
        <v>1</v>
      </c>
      <c r="W5" s="17">
        <v>7.6</v>
      </c>
      <c r="X5" s="47" t="s">
        <v>454</v>
      </c>
      <c r="Y5" s="47" t="s">
        <v>454</v>
      </c>
      <c r="AA5" s="47">
        <v>4</v>
      </c>
      <c r="AB5" s="44" t="s">
        <v>172</v>
      </c>
      <c r="AC5" s="44" t="s">
        <v>172</v>
      </c>
      <c r="AD5" s="34">
        <f>IF(G5="","",IF(U5&lt;&gt;"",U5,IF(AND(IFERROR(INDEX(Services!$D$5:$D$64,MATCH(M5,Services!$B$5:$B$64,0)),"")="Per hour",IFERROR(INDEX(Properties!$X$5:$X$254,MATCH(J5,Properties!$A$5:$A$254,0)),0)&gt;0),IFERROR(INDEX(Properties!$X$5:$X$254,MATCH(J5,Properties!$A$5:$A$254,0)),0),IF(IFERROR(INDEX(Services!$G$5:$G$64,MATCH(M5,Services!$B$5:$B$64,0)),0)&gt;0,IFERROR(INDEX(Services!$G$5:$G$64,MATCH(M5,Services!$B$5:$B$64,0)),0),IFERROR(INDEX(Properties!$X$5:$X$254,MATCH(J5,Properties!$A$5:$A$254,0)),0)))))</f>
        <v>0</v>
      </c>
      <c r="AE5" s="31">
        <f>IF(G5="","",IF(T5="",CleanersPerJob,MAX(1,T5)))</f>
        <v>0</v>
      </c>
      <c r="AF5" s="34">
        <f>IF(G5="","",ROUND(AD5/AE5,2))</f>
        <v>0</v>
      </c>
      <c r="AG5" s="53">
        <f>IF(OR(G5="",F5="",AF5=""),"",F5+AF5/24)</f>
        <v>0</v>
      </c>
      <c r="AH5" s="21">
        <f>IF(G5="","",IF(IFERROR(INDEX(Clients!$O$5:$O$204,MATCH(G5,Clients!$A$5:$A$204,0)),0)&gt;0,IFERROR(INDEX(Clients!$O$5:$O$204,MATCH(G5,Clients!$A$5:$A$204,0)),0),HourlyRate))</f>
        <v>0</v>
      </c>
      <c r="AI5" s="21">
        <f>IF(G5="","",IF(AND(M5&lt;&gt;"",IFERROR(INDEX(Services!$P$5:$P$64,MATCH(M5,Services!$B$5:$B$64,0)),0)&gt;0,IFERROR(INDEX(Services!$D$5:$D$64,MATCH(M5,Services!$B$5:$B$64,0)),"")&lt;&gt;"Per hour"),IFERROR(INDEX(Services!$P$5:$P$64,MATCH(M5,Services!$B$5:$B$64,0)),0),AD5*AH5))</f>
        <v>0</v>
      </c>
      <c r="AJ5" s="21">
        <f>IF(G5="","",IF(V5&lt;&gt;"",V5,IF(P5="Cancelled",0,MAX(MinimumCharge,ROUND(AI5*IFERROR(INDEX(FreqFactors,MATCH(O5,FreqNames,0)),1),2)))))</f>
        <v>0</v>
      </c>
      <c r="AK5" s="34">
        <f>IF(G5="","",IF(SUMIFS(Timesheets!$U$5:$U$804,Timesheets!$G$5:$G$804,A5)&gt;0,SUMIFS(Timesheets!$U$5:$U$804,Timesheets!$G$5:$G$804,A5),IF(Z5="","",Z5)))</f>
        <v>0</v>
      </c>
      <c r="AL5" s="34">
        <f>IF(OR(AK5="",AD5=""),"",AK5-AD5)</f>
        <v>0</v>
      </c>
      <c r="AM5" s="31">
        <f>IF(A5="","",COUNTIFS('Job Tasks'!$B$5:$B$904,A5))</f>
        <v>0</v>
      </c>
      <c r="AN5" s="31">
        <f>IF(A5="","",COUNTIFS('Job Tasks'!$B$5:$B$904,A5,'Job Tasks'!$H$5:$H$904,"Done"))</f>
        <v>0</v>
      </c>
      <c r="AO5" s="38">
        <f>IF(OR(A5="",AM5=0),"",AN5/AM5)</f>
        <v>0</v>
      </c>
      <c r="AP5" s="43">
        <f>IF(A5="","",IFERROR(INDEX('Invoice Lines'!$B$5:$B$804,MATCH(A5,'Invoice Lines'!$C$5:$C$804,0)),""))</f>
        <v>0</v>
      </c>
      <c r="AQ5" s="18">
        <f>IF(OR(G5="",B5="",X5&lt;&gt;"Yes"),"",IF(IFERROR(INDEX(FreqDays,MATCH(O5,FreqNames,0)),0)=0,"",B5+IFERROR(INDEX(FreqDays,MATCH(O5,FreqNames,0)),0)))</f>
        <v>0</v>
      </c>
      <c r="AR5" s="39">
        <f>IF(G5="","",IF(R5="","Unassigned",IF(COUNTIFS($R$5:$R$604,R5,$B$5:$B$604,B5,$F$5:$F$604,F5)&gt;1,"Clash",IF(SUMIFS($AF$5:$AF$604,$R$5:$R$604,R5,$B$5:$B$604,B5)&gt;ProductiveHours,"Long day","OK"))))</f>
        <v>0</v>
      </c>
      <c r="AS5" s="18">
        <f>IF(OR(G5="",B5=""),"",IF(AND(B5&gt;=TodayDate,P5&lt;&gt;"Cancelled"),B5,""))</f>
        <v>0</v>
      </c>
      <c r="AT5" s="31">
        <f>IF(AS5="","",COUNTIFS($AS$5:$AS$604,"&lt;"&amp;AS5)+COUNTIFS($AS$5:AS5,AS5))</f>
        <v>0</v>
      </c>
      <c r="AU5" s="18">
        <f>IF(OR(G5="",B5="",R5&lt;&gt;""),"",IF(AND(B5&gt;=TodayDate,P5&lt;&gt;"Cancelled"),B5,""))</f>
        <v>0</v>
      </c>
      <c r="AV5" s="31">
        <f>IF(AU5="","",COUNTIFS($AU$5:$AU$604,"&lt;"&amp;AU5)+COUNTIFS($AU$5:AU5,AU5))</f>
        <v>0</v>
      </c>
      <c r="AW5" s="31">
        <f>IF(OR(G5="",B5=""),"",B5-TodayDate)</f>
        <v>0</v>
      </c>
      <c r="AX5" s="39">
        <f>IF(G5="","",IF(P5="Cancelled","Cancelled",IF(P5="No access","Action - no access, rebook",IF(AND(B5&lt;&gt;"",AW5&lt;0,OR(P5="Booked",P5="Confirmed",P5="In progress")),"Late - mark it completed",IF(AND(P5="Completed",AP5=""),"Action - not invoiced yet",IF(AND(AW5&gt;=0,AW5&lt;=ReminderDays,Y5&lt;&gt;"Yes"),"Confirm - visit coming up",IF(R5="","Assign - no cleaner booked",IF(AND(P5="Completed",AO5&lt;&gt;"",AO5&lt;1),"Check - checklist unfinished","OK"))))))))</f>
        <v>0</v>
      </c>
    </row>
    <row r="6" spans="1:50">
      <c r="A6" s="43">
        <f>IF(G6="","",JobPrefix&amp;TEXT(ROW()-4,"0000"))</f>
        <v>0</v>
      </c>
      <c r="B6" s="46">
        <v>46272</v>
      </c>
      <c r="C6" s="23">
        <f>IF(B6="","",TEXT(B6,"ddd"))</f>
        <v>0</v>
      </c>
      <c r="D6" s="31">
        <f>IF(B6="","",WEEKNUM(B6,IF(WeekStart="Sunday",1,2)))</f>
        <v>0</v>
      </c>
      <c r="E6" s="23">
        <f>IF(B6="","",TEXT(B6,"yyyy-mm"))</f>
        <v>0</v>
      </c>
      <c r="F6" s="52">
        <v>0.770833333333333</v>
      </c>
      <c r="G6" s="49" t="s">
        <v>773</v>
      </c>
      <c r="H6" s="23">
        <f>IF(G6="","",IFERROR(INDEX(Clients!$B$5:$B$204,MATCH(G6,Clients!$A$5:$A$204,0)),"Not found"))</f>
        <v>0</v>
      </c>
      <c r="I6" s="23">
        <f>IF(G6="","",IFERROR(INDEX(Clients!$C$5:$C$204,MATCH(G6,Clients!$A$5:$A$204,0)),""))</f>
        <v>0</v>
      </c>
      <c r="J6" s="49" t="s">
        <v>1134</v>
      </c>
      <c r="K6" s="23">
        <f>IF(J6="","",IFERROR(INDEX(Properties!$B$5:$B$254,MATCH(J6,Properties!$A$5:$A$254,0)),""))</f>
        <v>0</v>
      </c>
      <c r="L6" s="23">
        <f>IF(J6="","",IFERROR(INDEX(Properties!$F$5:$F$254,MATCH(J6,Properties!$A$5:$A$254,0)),""))</f>
        <v>0</v>
      </c>
      <c r="M6" s="15" t="s">
        <v>770</v>
      </c>
      <c r="N6" s="15" t="s">
        <v>1133</v>
      </c>
      <c r="O6" s="15" t="s">
        <v>617</v>
      </c>
      <c r="P6" s="45" t="s">
        <v>406</v>
      </c>
      <c r="Q6" s="15" t="s">
        <v>448</v>
      </c>
      <c r="R6" s="15" t="s">
        <v>608</v>
      </c>
      <c r="S6" s="15" t="s">
        <v>172</v>
      </c>
      <c r="T6" s="16">
        <v>1</v>
      </c>
      <c r="W6" s="17">
        <v>4.8</v>
      </c>
      <c r="X6" s="47" t="s">
        <v>454</v>
      </c>
      <c r="Y6" s="47" t="s">
        <v>454</v>
      </c>
      <c r="AA6" s="47">
        <v>5</v>
      </c>
      <c r="AB6" s="44" t="s">
        <v>172</v>
      </c>
      <c r="AC6" s="44" t="s">
        <v>172</v>
      </c>
      <c r="AD6" s="34">
        <f>IF(G6="","",IF(U6&lt;&gt;"",U6,IF(AND(IFERROR(INDEX(Services!$D$5:$D$64,MATCH(M6,Services!$B$5:$B$64,0)),"")="Per hour",IFERROR(INDEX(Properties!$X$5:$X$254,MATCH(J6,Properties!$A$5:$A$254,0)),0)&gt;0),IFERROR(INDEX(Properties!$X$5:$X$254,MATCH(J6,Properties!$A$5:$A$254,0)),0),IF(IFERROR(INDEX(Services!$G$5:$G$64,MATCH(M6,Services!$B$5:$B$64,0)),0)&gt;0,IFERROR(INDEX(Services!$G$5:$G$64,MATCH(M6,Services!$B$5:$B$64,0)),0),IFERROR(INDEX(Properties!$X$5:$X$254,MATCH(J6,Properties!$A$5:$A$254,0)),0)))))</f>
        <v>0</v>
      </c>
      <c r="AE6" s="31">
        <f>IF(G6="","",IF(T6="",CleanersPerJob,MAX(1,T6)))</f>
        <v>0</v>
      </c>
      <c r="AF6" s="34">
        <f>IF(G6="","",ROUND(AD6/AE6,2))</f>
        <v>0</v>
      </c>
      <c r="AG6" s="53">
        <f>IF(OR(G6="",F6="",AF6=""),"",F6+AF6/24)</f>
        <v>0</v>
      </c>
      <c r="AH6" s="21">
        <f>IF(G6="","",IF(IFERROR(INDEX(Clients!$O$5:$O$204,MATCH(G6,Clients!$A$5:$A$204,0)),0)&gt;0,IFERROR(INDEX(Clients!$O$5:$O$204,MATCH(G6,Clients!$A$5:$A$204,0)),0),HourlyRate))</f>
        <v>0</v>
      </c>
      <c r="AI6" s="21">
        <f>IF(G6="","",IF(AND(M6&lt;&gt;"",IFERROR(INDEX(Services!$P$5:$P$64,MATCH(M6,Services!$B$5:$B$64,0)),0)&gt;0,IFERROR(INDEX(Services!$D$5:$D$64,MATCH(M6,Services!$B$5:$B$64,0)),"")&lt;&gt;"Per hour"),IFERROR(INDEX(Services!$P$5:$P$64,MATCH(M6,Services!$B$5:$B$64,0)),0),AD6*AH6))</f>
        <v>0</v>
      </c>
      <c r="AJ6" s="21">
        <f>IF(G6="","",IF(V6&lt;&gt;"",V6,IF(P6="Cancelled",0,MAX(MinimumCharge,ROUND(AI6*IFERROR(INDEX(FreqFactors,MATCH(O6,FreqNames,0)),1),2)))))</f>
        <v>0</v>
      </c>
      <c r="AK6" s="34">
        <f>IF(G6="","",IF(SUMIFS(Timesheets!$U$5:$U$804,Timesheets!$G$5:$G$804,A6)&gt;0,SUMIFS(Timesheets!$U$5:$U$804,Timesheets!$G$5:$G$804,A6),IF(Z6="","",Z6)))</f>
        <v>0</v>
      </c>
      <c r="AL6" s="34">
        <f>IF(OR(AK6="",AD6=""),"",AK6-AD6)</f>
        <v>0</v>
      </c>
      <c r="AM6" s="31">
        <f>IF(A6="","",COUNTIFS('Job Tasks'!$B$5:$B$904,A6))</f>
        <v>0</v>
      </c>
      <c r="AN6" s="31">
        <f>IF(A6="","",COUNTIFS('Job Tasks'!$B$5:$B$904,A6,'Job Tasks'!$H$5:$H$904,"Done"))</f>
        <v>0</v>
      </c>
      <c r="AO6" s="38">
        <f>IF(OR(A6="",AM6=0),"",AN6/AM6)</f>
        <v>0</v>
      </c>
      <c r="AP6" s="43">
        <f>IF(A6="","",IFERROR(INDEX('Invoice Lines'!$B$5:$B$804,MATCH(A6,'Invoice Lines'!$C$5:$C$804,0)),""))</f>
        <v>0</v>
      </c>
      <c r="AQ6" s="18">
        <f>IF(OR(G6="",B6="",X6&lt;&gt;"Yes"),"",IF(IFERROR(INDEX(FreqDays,MATCH(O6,FreqNames,0)),0)=0,"",B6+IFERROR(INDEX(FreqDays,MATCH(O6,FreqNames,0)),0)))</f>
        <v>0</v>
      </c>
      <c r="AR6" s="39">
        <f>IF(G6="","",IF(R6="","Unassigned",IF(COUNTIFS($R$5:$R$604,R6,$B$5:$B$604,B6,$F$5:$F$604,F6)&gt;1,"Clash",IF(SUMIFS($AF$5:$AF$604,$R$5:$R$604,R6,$B$5:$B$604,B6)&gt;ProductiveHours,"Long day","OK"))))</f>
        <v>0</v>
      </c>
      <c r="AS6" s="18">
        <f>IF(OR(G6="",B6=""),"",IF(AND(B6&gt;=TodayDate,P6&lt;&gt;"Cancelled"),B6,""))</f>
        <v>0</v>
      </c>
      <c r="AT6" s="31">
        <f>IF(AS6="","",COUNTIFS($AS$5:$AS$604,"&lt;"&amp;AS6)+COUNTIFS($AS$5:AS6,AS6))</f>
        <v>0</v>
      </c>
      <c r="AU6" s="18">
        <f>IF(OR(G6="",B6="",R6&lt;&gt;""),"",IF(AND(B6&gt;=TodayDate,P6&lt;&gt;"Cancelled"),B6,""))</f>
        <v>0</v>
      </c>
      <c r="AV6" s="31">
        <f>IF(AU6="","",COUNTIFS($AU$5:$AU$604,"&lt;"&amp;AU6)+COUNTIFS($AU$5:AU6,AU6))</f>
        <v>0</v>
      </c>
      <c r="AW6" s="31">
        <f>IF(OR(G6="",B6=""),"",B6-TodayDate)</f>
        <v>0</v>
      </c>
      <c r="AX6" s="39">
        <f>IF(G6="","",IF(P6="Cancelled","Cancelled",IF(P6="No access","Action - no access, rebook",IF(AND(B6&lt;&gt;"",AW6&lt;0,OR(P6="Booked",P6="Confirmed",P6="In progress")),"Late - mark it completed",IF(AND(P6="Completed",AP6=""),"Action - not invoiced yet",IF(AND(AW6&gt;=0,AW6&lt;=ReminderDays,Y6&lt;&gt;"Yes"),"Confirm - visit coming up",IF(R6="","Assign - no cleaner booked",IF(AND(P6="Completed",AO6&lt;&gt;"",AO6&lt;1),"Check - checklist unfinished","OK"))))))))</f>
        <v>0</v>
      </c>
    </row>
    <row r="7" spans="1:50">
      <c r="A7" s="43">
        <f>IF(G7="","",JobPrefix&amp;TEXT(ROW()-4,"0000"))</f>
        <v>0</v>
      </c>
      <c r="B7" s="46">
        <v>46273</v>
      </c>
      <c r="C7" s="23">
        <f>IF(B7="","",TEXT(B7,"ddd"))</f>
        <v>0</v>
      </c>
      <c r="D7" s="31">
        <f>IF(B7="","",WEEKNUM(B7,IF(WeekStart="Sunday",1,2)))</f>
        <v>0</v>
      </c>
      <c r="E7" s="23">
        <f>IF(B7="","",TEXT(B7,"yyyy-mm"))</f>
        <v>0</v>
      </c>
      <c r="F7" s="52">
        <v>0.375</v>
      </c>
      <c r="G7" s="49" t="s">
        <v>743</v>
      </c>
      <c r="H7" s="23">
        <f>IF(G7="","",IFERROR(INDEX(Clients!$B$5:$B$204,MATCH(G7,Clients!$A$5:$A$204,0)),"Not found"))</f>
        <v>0</v>
      </c>
      <c r="I7" s="23">
        <f>IF(G7="","",IFERROR(INDEX(Clients!$C$5:$C$204,MATCH(G7,Clients!$A$5:$A$204,0)),""))</f>
        <v>0</v>
      </c>
      <c r="J7" s="49" t="s">
        <v>1135</v>
      </c>
      <c r="K7" s="23">
        <f>IF(J7="","",IFERROR(INDEX(Properties!$B$5:$B$254,MATCH(J7,Properties!$A$5:$A$254,0)),""))</f>
        <v>0</v>
      </c>
      <c r="L7" s="23">
        <f>IF(J7="","",IFERROR(INDEX(Properties!$F$5:$F$254,MATCH(J7,Properties!$A$5:$A$254,0)),""))</f>
        <v>0</v>
      </c>
      <c r="M7" s="15" t="s">
        <v>437</v>
      </c>
      <c r="N7" s="15" t="s">
        <v>1133</v>
      </c>
      <c r="O7" s="15" t="s">
        <v>451</v>
      </c>
      <c r="P7" s="45" t="s">
        <v>406</v>
      </c>
      <c r="Q7" s="15" t="s">
        <v>448</v>
      </c>
      <c r="R7" s="15" t="s">
        <v>584</v>
      </c>
      <c r="S7" s="15" t="s">
        <v>172</v>
      </c>
      <c r="T7" s="16">
        <v>1</v>
      </c>
      <c r="W7" s="17">
        <v>8.4</v>
      </c>
      <c r="X7" s="47" t="s">
        <v>454</v>
      </c>
      <c r="Y7" s="47" t="s">
        <v>454</v>
      </c>
      <c r="AA7" s="47" t="s">
        <v>172</v>
      </c>
      <c r="AB7" s="44" t="s">
        <v>172</v>
      </c>
      <c r="AC7" s="44" t="s">
        <v>172</v>
      </c>
      <c r="AD7" s="34">
        <f>IF(G7="","",IF(U7&lt;&gt;"",U7,IF(AND(IFERROR(INDEX(Services!$D$5:$D$64,MATCH(M7,Services!$B$5:$B$64,0)),"")="Per hour",IFERROR(INDEX(Properties!$X$5:$X$254,MATCH(J7,Properties!$A$5:$A$254,0)),0)&gt;0),IFERROR(INDEX(Properties!$X$5:$X$254,MATCH(J7,Properties!$A$5:$A$254,0)),0),IF(IFERROR(INDEX(Services!$G$5:$G$64,MATCH(M7,Services!$B$5:$B$64,0)),0)&gt;0,IFERROR(INDEX(Services!$G$5:$G$64,MATCH(M7,Services!$B$5:$B$64,0)),0),IFERROR(INDEX(Properties!$X$5:$X$254,MATCH(J7,Properties!$A$5:$A$254,0)),0)))))</f>
        <v>0</v>
      </c>
      <c r="AE7" s="31">
        <f>IF(G7="","",IF(T7="",CleanersPerJob,MAX(1,T7)))</f>
        <v>0</v>
      </c>
      <c r="AF7" s="34">
        <f>IF(G7="","",ROUND(AD7/AE7,2))</f>
        <v>0</v>
      </c>
      <c r="AG7" s="53">
        <f>IF(OR(G7="",F7="",AF7=""),"",F7+AF7/24)</f>
        <v>0</v>
      </c>
      <c r="AH7" s="21">
        <f>IF(G7="","",IF(IFERROR(INDEX(Clients!$O$5:$O$204,MATCH(G7,Clients!$A$5:$A$204,0)),0)&gt;0,IFERROR(INDEX(Clients!$O$5:$O$204,MATCH(G7,Clients!$A$5:$A$204,0)),0),HourlyRate))</f>
        <v>0</v>
      </c>
      <c r="AI7" s="21">
        <f>IF(G7="","",IF(AND(M7&lt;&gt;"",IFERROR(INDEX(Services!$P$5:$P$64,MATCH(M7,Services!$B$5:$B$64,0)),0)&gt;0,IFERROR(INDEX(Services!$D$5:$D$64,MATCH(M7,Services!$B$5:$B$64,0)),"")&lt;&gt;"Per hour"),IFERROR(INDEX(Services!$P$5:$P$64,MATCH(M7,Services!$B$5:$B$64,0)),0),AD7*AH7))</f>
        <v>0</v>
      </c>
      <c r="AJ7" s="21">
        <f>IF(G7="","",IF(V7&lt;&gt;"",V7,IF(P7="Cancelled",0,MAX(MinimumCharge,ROUND(AI7*IFERROR(INDEX(FreqFactors,MATCH(O7,FreqNames,0)),1),2)))))</f>
        <v>0</v>
      </c>
      <c r="AK7" s="34">
        <f>IF(G7="","",IF(SUMIFS(Timesheets!$U$5:$U$804,Timesheets!$G$5:$G$804,A7)&gt;0,SUMIFS(Timesheets!$U$5:$U$804,Timesheets!$G$5:$G$804,A7),IF(Z7="","",Z7)))</f>
        <v>0</v>
      </c>
      <c r="AL7" s="34">
        <f>IF(OR(AK7="",AD7=""),"",AK7-AD7)</f>
        <v>0</v>
      </c>
      <c r="AM7" s="31">
        <f>IF(A7="","",COUNTIFS('Job Tasks'!$B$5:$B$904,A7))</f>
        <v>0</v>
      </c>
      <c r="AN7" s="31">
        <f>IF(A7="","",COUNTIFS('Job Tasks'!$B$5:$B$904,A7,'Job Tasks'!$H$5:$H$904,"Done"))</f>
        <v>0</v>
      </c>
      <c r="AO7" s="38">
        <f>IF(OR(A7="",AM7=0),"",AN7/AM7)</f>
        <v>0</v>
      </c>
      <c r="AP7" s="43">
        <f>IF(A7="","",IFERROR(INDEX('Invoice Lines'!$B$5:$B$804,MATCH(A7,'Invoice Lines'!$C$5:$C$804,0)),""))</f>
        <v>0</v>
      </c>
      <c r="AQ7" s="18">
        <f>IF(OR(G7="",B7="",X7&lt;&gt;"Yes"),"",IF(IFERROR(INDEX(FreqDays,MATCH(O7,FreqNames,0)),0)=0,"",B7+IFERROR(INDEX(FreqDays,MATCH(O7,FreqNames,0)),0)))</f>
        <v>0</v>
      </c>
      <c r="AR7" s="39">
        <f>IF(G7="","",IF(R7="","Unassigned",IF(COUNTIFS($R$5:$R$604,R7,$B$5:$B$604,B7,$F$5:$F$604,F7)&gt;1,"Clash",IF(SUMIFS($AF$5:$AF$604,$R$5:$R$604,R7,$B$5:$B$604,B7)&gt;ProductiveHours,"Long day","OK"))))</f>
        <v>0</v>
      </c>
      <c r="AS7" s="18">
        <f>IF(OR(G7="",B7=""),"",IF(AND(B7&gt;=TodayDate,P7&lt;&gt;"Cancelled"),B7,""))</f>
        <v>0</v>
      </c>
      <c r="AT7" s="31">
        <f>IF(AS7="","",COUNTIFS($AS$5:$AS$604,"&lt;"&amp;AS7)+COUNTIFS($AS$5:AS7,AS7))</f>
        <v>0</v>
      </c>
      <c r="AU7" s="18">
        <f>IF(OR(G7="",B7="",R7&lt;&gt;""),"",IF(AND(B7&gt;=TodayDate,P7&lt;&gt;"Cancelled"),B7,""))</f>
        <v>0</v>
      </c>
      <c r="AV7" s="31">
        <f>IF(AU7="","",COUNTIFS($AU$5:$AU$604,"&lt;"&amp;AU7)+COUNTIFS($AU$5:AU7,AU7))</f>
        <v>0</v>
      </c>
      <c r="AW7" s="31">
        <f>IF(OR(G7="",B7=""),"",B7-TodayDate)</f>
        <v>0</v>
      </c>
      <c r="AX7" s="39">
        <f>IF(G7="","",IF(P7="Cancelled","Cancelled",IF(P7="No access","Action - no access, rebook",IF(AND(B7&lt;&gt;"",AW7&lt;0,OR(P7="Booked",P7="Confirmed",P7="In progress")),"Late - mark it completed",IF(AND(P7="Completed",AP7=""),"Action - not invoiced yet",IF(AND(AW7&gt;=0,AW7&lt;=ReminderDays,Y7&lt;&gt;"Yes"),"Confirm - visit coming up",IF(R7="","Assign - no cleaner booked",IF(AND(P7="Completed",AO7&lt;&gt;"",AO7&lt;1),"Check - checklist unfinished","OK"))))))))</f>
        <v>0</v>
      </c>
    </row>
    <row r="8" spans="1:50">
      <c r="A8" s="43">
        <f>IF(G8="","",JobPrefix&amp;TEXT(ROW()-4,"0000"))</f>
        <v>0</v>
      </c>
      <c r="B8" s="46">
        <v>46273</v>
      </c>
      <c r="C8" s="23">
        <f>IF(B8="","",TEXT(B8,"ddd"))</f>
        <v>0</v>
      </c>
      <c r="D8" s="31">
        <f>IF(B8="","",WEEKNUM(B8,IF(WeekStart="Sunday",1,2)))</f>
        <v>0</v>
      </c>
      <c r="E8" s="23">
        <f>IF(B8="","",TEXT(B8,"yyyy-mm"))</f>
        <v>0</v>
      </c>
      <c r="F8" s="52">
        <v>0.583333333333333</v>
      </c>
      <c r="G8" s="49" t="s">
        <v>845</v>
      </c>
      <c r="H8" s="23">
        <f>IF(G8="","",IFERROR(INDEX(Clients!$B$5:$B$204,MATCH(G8,Clients!$A$5:$A$204,0)),"Not found"))</f>
        <v>0</v>
      </c>
      <c r="I8" s="23">
        <f>IF(G8="","",IFERROR(INDEX(Clients!$C$5:$C$204,MATCH(G8,Clients!$A$5:$A$204,0)),""))</f>
        <v>0</v>
      </c>
      <c r="J8" s="49" t="s">
        <v>1049</v>
      </c>
      <c r="K8" s="23">
        <f>IF(J8="","",IFERROR(INDEX(Properties!$B$5:$B$254,MATCH(J8,Properties!$A$5:$A$254,0)),""))</f>
        <v>0</v>
      </c>
      <c r="L8" s="23">
        <f>IF(J8="","",IFERROR(INDEX(Properties!$F$5:$F$254,MATCH(J8,Properties!$A$5:$A$254,0)),""))</f>
        <v>0</v>
      </c>
      <c r="M8" s="15" t="s">
        <v>437</v>
      </c>
      <c r="N8" s="15" t="s">
        <v>1133</v>
      </c>
      <c r="O8" s="15" t="s">
        <v>593</v>
      </c>
      <c r="P8" s="45" t="s">
        <v>406</v>
      </c>
      <c r="Q8" s="15" t="s">
        <v>448</v>
      </c>
      <c r="R8" s="15" t="s">
        <v>584</v>
      </c>
      <c r="S8" s="15" t="s">
        <v>172</v>
      </c>
      <c r="T8" s="16">
        <v>1</v>
      </c>
      <c r="W8" s="17">
        <v>11</v>
      </c>
      <c r="X8" s="47" t="s">
        <v>454</v>
      </c>
      <c r="Y8" s="47" t="s">
        <v>454</v>
      </c>
      <c r="AA8" s="47">
        <v>4</v>
      </c>
      <c r="AB8" s="44" t="s">
        <v>172</v>
      </c>
      <c r="AC8" s="44" t="s">
        <v>172</v>
      </c>
      <c r="AD8" s="34">
        <f>IF(G8="","",IF(U8&lt;&gt;"",U8,IF(AND(IFERROR(INDEX(Services!$D$5:$D$64,MATCH(M8,Services!$B$5:$B$64,0)),"")="Per hour",IFERROR(INDEX(Properties!$X$5:$X$254,MATCH(J8,Properties!$A$5:$A$254,0)),0)&gt;0),IFERROR(INDEX(Properties!$X$5:$X$254,MATCH(J8,Properties!$A$5:$A$254,0)),0),IF(IFERROR(INDEX(Services!$G$5:$G$64,MATCH(M8,Services!$B$5:$B$64,0)),0)&gt;0,IFERROR(INDEX(Services!$G$5:$G$64,MATCH(M8,Services!$B$5:$B$64,0)),0),IFERROR(INDEX(Properties!$X$5:$X$254,MATCH(J8,Properties!$A$5:$A$254,0)),0)))))</f>
        <v>0</v>
      </c>
      <c r="AE8" s="31">
        <f>IF(G8="","",IF(T8="",CleanersPerJob,MAX(1,T8)))</f>
        <v>0</v>
      </c>
      <c r="AF8" s="34">
        <f>IF(G8="","",ROUND(AD8/AE8,2))</f>
        <v>0</v>
      </c>
      <c r="AG8" s="53">
        <f>IF(OR(G8="",F8="",AF8=""),"",F8+AF8/24)</f>
        <v>0</v>
      </c>
      <c r="AH8" s="21">
        <f>IF(G8="","",IF(IFERROR(INDEX(Clients!$O$5:$O$204,MATCH(G8,Clients!$A$5:$A$204,0)),0)&gt;0,IFERROR(INDEX(Clients!$O$5:$O$204,MATCH(G8,Clients!$A$5:$A$204,0)),0),HourlyRate))</f>
        <v>0</v>
      </c>
      <c r="AI8" s="21">
        <f>IF(G8="","",IF(AND(M8&lt;&gt;"",IFERROR(INDEX(Services!$P$5:$P$64,MATCH(M8,Services!$B$5:$B$64,0)),0)&gt;0,IFERROR(INDEX(Services!$D$5:$D$64,MATCH(M8,Services!$B$5:$B$64,0)),"")&lt;&gt;"Per hour"),IFERROR(INDEX(Services!$P$5:$P$64,MATCH(M8,Services!$B$5:$B$64,0)),0),AD8*AH8))</f>
        <v>0</v>
      </c>
      <c r="AJ8" s="21">
        <f>IF(G8="","",IF(V8&lt;&gt;"",V8,IF(P8="Cancelled",0,MAX(MinimumCharge,ROUND(AI8*IFERROR(INDEX(FreqFactors,MATCH(O8,FreqNames,0)),1),2)))))</f>
        <v>0</v>
      </c>
      <c r="AK8" s="34">
        <f>IF(G8="","",IF(SUMIFS(Timesheets!$U$5:$U$804,Timesheets!$G$5:$G$804,A8)&gt;0,SUMIFS(Timesheets!$U$5:$U$804,Timesheets!$G$5:$G$804,A8),IF(Z8="","",Z8)))</f>
        <v>0</v>
      </c>
      <c r="AL8" s="34">
        <f>IF(OR(AK8="",AD8=""),"",AK8-AD8)</f>
        <v>0</v>
      </c>
      <c r="AM8" s="31">
        <f>IF(A8="","",COUNTIFS('Job Tasks'!$B$5:$B$904,A8))</f>
        <v>0</v>
      </c>
      <c r="AN8" s="31">
        <f>IF(A8="","",COUNTIFS('Job Tasks'!$B$5:$B$904,A8,'Job Tasks'!$H$5:$H$904,"Done"))</f>
        <v>0</v>
      </c>
      <c r="AO8" s="38">
        <f>IF(OR(A8="",AM8=0),"",AN8/AM8)</f>
        <v>0</v>
      </c>
      <c r="AP8" s="43">
        <f>IF(A8="","",IFERROR(INDEX('Invoice Lines'!$B$5:$B$804,MATCH(A8,'Invoice Lines'!$C$5:$C$804,0)),""))</f>
        <v>0</v>
      </c>
      <c r="AQ8" s="18">
        <f>IF(OR(G8="",B8="",X8&lt;&gt;"Yes"),"",IF(IFERROR(INDEX(FreqDays,MATCH(O8,FreqNames,0)),0)=0,"",B8+IFERROR(INDEX(FreqDays,MATCH(O8,FreqNames,0)),0)))</f>
        <v>0</v>
      </c>
      <c r="AR8" s="39">
        <f>IF(G8="","",IF(R8="","Unassigned",IF(COUNTIFS($R$5:$R$604,R8,$B$5:$B$604,B8,$F$5:$F$604,F8)&gt;1,"Clash",IF(SUMIFS($AF$5:$AF$604,$R$5:$R$604,R8,$B$5:$B$604,B8)&gt;ProductiveHours,"Long day","OK"))))</f>
        <v>0</v>
      </c>
      <c r="AS8" s="18">
        <f>IF(OR(G8="",B8=""),"",IF(AND(B8&gt;=TodayDate,P8&lt;&gt;"Cancelled"),B8,""))</f>
        <v>0</v>
      </c>
      <c r="AT8" s="31">
        <f>IF(AS8="","",COUNTIFS($AS$5:$AS$604,"&lt;"&amp;AS8)+COUNTIFS($AS$5:AS8,AS8))</f>
        <v>0</v>
      </c>
      <c r="AU8" s="18">
        <f>IF(OR(G8="",B8="",R8&lt;&gt;""),"",IF(AND(B8&gt;=TodayDate,P8&lt;&gt;"Cancelled"),B8,""))</f>
        <v>0</v>
      </c>
      <c r="AV8" s="31">
        <f>IF(AU8="","",COUNTIFS($AU$5:$AU$604,"&lt;"&amp;AU8)+COUNTIFS($AU$5:AU8,AU8))</f>
        <v>0</v>
      </c>
      <c r="AW8" s="31">
        <f>IF(OR(G8="",B8=""),"",B8-TodayDate)</f>
        <v>0</v>
      </c>
      <c r="AX8" s="39">
        <f>IF(G8="","",IF(P8="Cancelled","Cancelled",IF(P8="No access","Action - no access, rebook",IF(AND(B8&lt;&gt;"",AW8&lt;0,OR(P8="Booked",P8="Confirmed",P8="In progress")),"Late - mark it completed",IF(AND(P8="Completed",AP8=""),"Action - not invoiced yet",IF(AND(AW8&gt;=0,AW8&lt;=ReminderDays,Y8&lt;&gt;"Yes"),"Confirm - visit coming up",IF(R8="","Assign - no cleaner booked",IF(AND(P8="Completed",AO8&lt;&gt;"",AO8&lt;1),"Check - checklist unfinished","OK"))))))))</f>
        <v>0</v>
      </c>
    </row>
    <row r="9" spans="1:50">
      <c r="A9" s="43">
        <f>IF(G9="","",JobPrefix&amp;TEXT(ROW()-4,"0000"))</f>
        <v>0</v>
      </c>
      <c r="B9" s="46">
        <v>46274</v>
      </c>
      <c r="C9" s="23">
        <f>IF(B9="","",TEXT(B9,"ddd"))</f>
        <v>0</v>
      </c>
      <c r="D9" s="31">
        <f>IF(B9="","",WEEKNUM(B9,IF(WeekStart="Sunday",1,2)))</f>
        <v>0</v>
      </c>
      <c r="E9" s="23">
        <f>IF(B9="","",TEXT(B9,"yyyy-mm"))</f>
        <v>0</v>
      </c>
      <c r="F9" s="52">
        <v>0.395833333333333</v>
      </c>
      <c r="G9" s="49" t="s">
        <v>806</v>
      </c>
      <c r="H9" s="23">
        <f>IF(G9="","",IFERROR(INDEX(Clients!$B$5:$B$204,MATCH(G9,Clients!$A$5:$A$204,0)),"Not found"))</f>
        <v>0</v>
      </c>
      <c r="I9" s="23">
        <f>IF(G9="","",IFERROR(INDEX(Clients!$C$5:$C$204,MATCH(G9,Clients!$A$5:$A$204,0)),""))</f>
        <v>0</v>
      </c>
      <c r="J9" s="49" t="s">
        <v>1136</v>
      </c>
      <c r="K9" s="23">
        <f>IF(J9="","",IFERROR(INDEX(Properties!$B$5:$B$254,MATCH(J9,Properties!$A$5:$A$254,0)),""))</f>
        <v>0</v>
      </c>
      <c r="L9" s="23">
        <f>IF(J9="","",IFERROR(INDEX(Properties!$F$5:$F$254,MATCH(J9,Properties!$A$5:$A$254,0)),""))</f>
        <v>0</v>
      </c>
      <c r="M9" s="15" t="s">
        <v>437</v>
      </c>
      <c r="N9" s="15" t="s">
        <v>1133</v>
      </c>
      <c r="O9" s="15" t="s">
        <v>124</v>
      </c>
      <c r="P9" s="45" t="s">
        <v>406</v>
      </c>
      <c r="Q9" s="15" t="s">
        <v>448</v>
      </c>
      <c r="R9" s="15" t="s">
        <v>596</v>
      </c>
      <c r="S9" s="15" t="s">
        <v>172</v>
      </c>
      <c r="T9" s="16">
        <v>1</v>
      </c>
      <c r="W9" s="17">
        <v>16.4</v>
      </c>
      <c r="X9" s="47" t="s">
        <v>454</v>
      </c>
      <c r="Y9" s="47" t="s">
        <v>454</v>
      </c>
      <c r="AA9" s="47">
        <v>4</v>
      </c>
      <c r="AB9" s="44" t="s">
        <v>172</v>
      </c>
      <c r="AC9" s="44" t="s">
        <v>172</v>
      </c>
      <c r="AD9" s="34">
        <f>IF(G9="","",IF(U9&lt;&gt;"",U9,IF(AND(IFERROR(INDEX(Services!$D$5:$D$64,MATCH(M9,Services!$B$5:$B$64,0)),"")="Per hour",IFERROR(INDEX(Properties!$X$5:$X$254,MATCH(J9,Properties!$A$5:$A$254,0)),0)&gt;0),IFERROR(INDEX(Properties!$X$5:$X$254,MATCH(J9,Properties!$A$5:$A$254,0)),0),IF(IFERROR(INDEX(Services!$G$5:$G$64,MATCH(M9,Services!$B$5:$B$64,0)),0)&gt;0,IFERROR(INDEX(Services!$G$5:$G$64,MATCH(M9,Services!$B$5:$B$64,0)),0),IFERROR(INDEX(Properties!$X$5:$X$254,MATCH(J9,Properties!$A$5:$A$254,0)),0)))))</f>
        <v>0</v>
      </c>
      <c r="AE9" s="31">
        <f>IF(G9="","",IF(T9="",CleanersPerJob,MAX(1,T9)))</f>
        <v>0</v>
      </c>
      <c r="AF9" s="34">
        <f>IF(G9="","",ROUND(AD9/AE9,2))</f>
        <v>0</v>
      </c>
      <c r="AG9" s="53">
        <f>IF(OR(G9="",F9="",AF9=""),"",F9+AF9/24)</f>
        <v>0</v>
      </c>
      <c r="AH9" s="21">
        <f>IF(G9="","",IF(IFERROR(INDEX(Clients!$O$5:$O$204,MATCH(G9,Clients!$A$5:$A$204,0)),0)&gt;0,IFERROR(INDEX(Clients!$O$5:$O$204,MATCH(G9,Clients!$A$5:$A$204,0)),0),HourlyRate))</f>
        <v>0</v>
      </c>
      <c r="AI9" s="21">
        <f>IF(G9="","",IF(AND(M9&lt;&gt;"",IFERROR(INDEX(Services!$P$5:$P$64,MATCH(M9,Services!$B$5:$B$64,0)),0)&gt;0,IFERROR(INDEX(Services!$D$5:$D$64,MATCH(M9,Services!$B$5:$B$64,0)),"")&lt;&gt;"Per hour"),IFERROR(INDEX(Services!$P$5:$P$64,MATCH(M9,Services!$B$5:$B$64,0)),0),AD9*AH9))</f>
        <v>0</v>
      </c>
      <c r="AJ9" s="21">
        <f>IF(G9="","",IF(V9&lt;&gt;"",V9,IF(P9="Cancelled",0,MAX(MinimumCharge,ROUND(AI9*IFERROR(INDEX(FreqFactors,MATCH(O9,FreqNames,0)),1),2)))))</f>
        <v>0</v>
      </c>
      <c r="AK9" s="34">
        <f>IF(G9="","",IF(SUMIFS(Timesheets!$U$5:$U$804,Timesheets!$G$5:$G$804,A9)&gt;0,SUMIFS(Timesheets!$U$5:$U$804,Timesheets!$G$5:$G$804,A9),IF(Z9="","",Z9)))</f>
        <v>0</v>
      </c>
      <c r="AL9" s="34">
        <f>IF(OR(AK9="",AD9=""),"",AK9-AD9)</f>
        <v>0</v>
      </c>
      <c r="AM9" s="31">
        <f>IF(A9="","",COUNTIFS('Job Tasks'!$B$5:$B$904,A9))</f>
        <v>0</v>
      </c>
      <c r="AN9" s="31">
        <f>IF(A9="","",COUNTIFS('Job Tasks'!$B$5:$B$904,A9,'Job Tasks'!$H$5:$H$904,"Done"))</f>
        <v>0</v>
      </c>
      <c r="AO9" s="38">
        <f>IF(OR(A9="",AM9=0),"",AN9/AM9)</f>
        <v>0</v>
      </c>
      <c r="AP9" s="43">
        <f>IF(A9="","",IFERROR(INDEX('Invoice Lines'!$B$5:$B$804,MATCH(A9,'Invoice Lines'!$C$5:$C$804,0)),""))</f>
        <v>0</v>
      </c>
      <c r="AQ9" s="18">
        <f>IF(OR(G9="",B9="",X9&lt;&gt;"Yes"),"",IF(IFERROR(INDEX(FreqDays,MATCH(O9,FreqNames,0)),0)=0,"",B9+IFERROR(INDEX(FreqDays,MATCH(O9,FreqNames,0)),0)))</f>
        <v>0</v>
      </c>
      <c r="AR9" s="39">
        <f>IF(G9="","",IF(R9="","Unassigned",IF(COUNTIFS($R$5:$R$604,R9,$B$5:$B$604,B9,$F$5:$F$604,F9)&gt;1,"Clash",IF(SUMIFS($AF$5:$AF$604,$R$5:$R$604,R9,$B$5:$B$604,B9)&gt;ProductiveHours,"Long day","OK"))))</f>
        <v>0</v>
      </c>
      <c r="AS9" s="18">
        <f>IF(OR(G9="",B9=""),"",IF(AND(B9&gt;=TodayDate,P9&lt;&gt;"Cancelled"),B9,""))</f>
        <v>0</v>
      </c>
      <c r="AT9" s="31">
        <f>IF(AS9="","",COUNTIFS($AS$5:$AS$604,"&lt;"&amp;AS9)+COUNTIFS($AS$5:AS9,AS9))</f>
        <v>0</v>
      </c>
      <c r="AU9" s="18">
        <f>IF(OR(G9="",B9="",R9&lt;&gt;""),"",IF(AND(B9&gt;=TodayDate,P9&lt;&gt;"Cancelled"),B9,""))</f>
        <v>0</v>
      </c>
      <c r="AV9" s="31">
        <f>IF(AU9="","",COUNTIFS($AU$5:$AU$604,"&lt;"&amp;AU9)+COUNTIFS($AU$5:AU9,AU9))</f>
        <v>0</v>
      </c>
      <c r="AW9" s="31">
        <f>IF(OR(G9="",B9=""),"",B9-TodayDate)</f>
        <v>0</v>
      </c>
      <c r="AX9" s="39">
        <f>IF(G9="","",IF(P9="Cancelled","Cancelled",IF(P9="No access","Action - no access, rebook",IF(AND(B9&lt;&gt;"",AW9&lt;0,OR(P9="Booked",P9="Confirmed",P9="In progress")),"Late - mark it completed",IF(AND(P9="Completed",AP9=""),"Action - not invoiced yet",IF(AND(AW9&gt;=0,AW9&lt;=ReminderDays,Y9&lt;&gt;"Yes"),"Confirm - visit coming up",IF(R9="","Assign - no cleaner booked",IF(AND(P9="Completed",AO9&lt;&gt;"",AO9&lt;1),"Check - checklist unfinished","OK"))))))))</f>
        <v>0</v>
      </c>
    </row>
    <row r="10" spans="1:50">
      <c r="A10" s="43">
        <f>IF(G10="","",JobPrefix&amp;TEXT(ROW()-4,"0000"))</f>
        <v>0</v>
      </c>
      <c r="B10" s="46">
        <v>46274</v>
      </c>
      <c r="C10" s="23">
        <f>IF(B10="","",TEXT(B10,"ddd"))</f>
        <v>0</v>
      </c>
      <c r="D10" s="31">
        <f>IF(B10="","",WEEKNUM(B10,IF(WeekStart="Sunday",1,2)))</f>
        <v>0</v>
      </c>
      <c r="E10" s="23">
        <f>IF(B10="","",TEXT(B10,"yyyy-mm"))</f>
        <v>0</v>
      </c>
      <c r="F10" s="52">
        <v>0.583333333333333</v>
      </c>
      <c r="G10" s="49" t="s">
        <v>833</v>
      </c>
      <c r="H10" s="23">
        <f>IF(G10="","",IFERROR(INDEX(Clients!$B$5:$B$204,MATCH(G10,Clients!$A$5:$A$204,0)),"Not found"))</f>
        <v>0</v>
      </c>
      <c r="I10" s="23">
        <f>IF(G10="","",IFERROR(INDEX(Clients!$C$5:$C$204,MATCH(G10,Clients!$A$5:$A$204,0)),""))</f>
        <v>0</v>
      </c>
      <c r="J10" s="49" t="s">
        <v>1137</v>
      </c>
      <c r="K10" s="23">
        <f>IF(J10="","",IFERROR(INDEX(Properties!$B$5:$B$254,MATCH(J10,Properties!$A$5:$A$254,0)),""))</f>
        <v>0</v>
      </c>
      <c r="L10" s="23">
        <f>IF(J10="","",IFERROR(INDEX(Properties!$F$5:$F$254,MATCH(J10,Properties!$A$5:$A$254,0)),""))</f>
        <v>0</v>
      </c>
      <c r="M10" s="15" t="s">
        <v>839</v>
      </c>
      <c r="N10" s="15" t="s">
        <v>1133</v>
      </c>
      <c r="O10" s="15" t="s">
        <v>124</v>
      </c>
      <c r="P10" s="45" t="s">
        <v>406</v>
      </c>
      <c r="Q10" s="15" t="s">
        <v>448</v>
      </c>
      <c r="R10" s="15" t="s">
        <v>664</v>
      </c>
      <c r="S10" s="15" t="s">
        <v>172</v>
      </c>
      <c r="T10" s="16">
        <v>1</v>
      </c>
      <c r="W10" s="17">
        <v>18.2</v>
      </c>
      <c r="X10" s="47" t="s">
        <v>454</v>
      </c>
      <c r="Y10" s="47" t="s">
        <v>454</v>
      </c>
      <c r="AA10" s="47" t="s">
        <v>172</v>
      </c>
      <c r="AB10" s="44" t="s">
        <v>172</v>
      </c>
      <c r="AC10" s="44" t="s">
        <v>172</v>
      </c>
      <c r="AD10" s="34">
        <f>IF(G10="","",IF(U10&lt;&gt;"",U10,IF(AND(IFERROR(INDEX(Services!$D$5:$D$64,MATCH(M10,Services!$B$5:$B$64,0)),"")="Per hour",IFERROR(INDEX(Properties!$X$5:$X$254,MATCH(J10,Properties!$A$5:$A$254,0)),0)&gt;0),IFERROR(INDEX(Properties!$X$5:$X$254,MATCH(J10,Properties!$A$5:$A$254,0)),0),IF(IFERROR(INDEX(Services!$G$5:$G$64,MATCH(M10,Services!$B$5:$B$64,0)),0)&gt;0,IFERROR(INDEX(Services!$G$5:$G$64,MATCH(M10,Services!$B$5:$B$64,0)),0),IFERROR(INDEX(Properties!$X$5:$X$254,MATCH(J10,Properties!$A$5:$A$254,0)),0)))))</f>
        <v>0</v>
      </c>
      <c r="AE10" s="31">
        <f>IF(G10="","",IF(T10="",CleanersPerJob,MAX(1,T10)))</f>
        <v>0</v>
      </c>
      <c r="AF10" s="34">
        <f>IF(G10="","",ROUND(AD10/AE10,2))</f>
        <v>0</v>
      </c>
      <c r="AG10" s="53">
        <f>IF(OR(G10="",F10="",AF10=""),"",F10+AF10/24)</f>
        <v>0</v>
      </c>
      <c r="AH10" s="21">
        <f>IF(G10="","",IF(IFERROR(INDEX(Clients!$O$5:$O$204,MATCH(G10,Clients!$A$5:$A$204,0)),0)&gt;0,IFERROR(INDEX(Clients!$O$5:$O$204,MATCH(G10,Clients!$A$5:$A$204,0)),0),HourlyRate))</f>
        <v>0</v>
      </c>
      <c r="AI10" s="21">
        <f>IF(G10="","",IF(AND(M10&lt;&gt;"",IFERROR(INDEX(Services!$P$5:$P$64,MATCH(M10,Services!$B$5:$B$64,0)),0)&gt;0,IFERROR(INDEX(Services!$D$5:$D$64,MATCH(M10,Services!$B$5:$B$64,0)),"")&lt;&gt;"Per hour"),IFERROR(INDEX(Services!$P$5:$P$64,MATCH(M10,Services!$B$5:$B$64,0)),0),AD10*AH10))</f>
        <v>0</v>
      </c>
      <c r="AJ10" s="21">
        <f>IF(G10="","",IF(V10&lt;&gt;"",V10,IF(P10="Cancelled",0,MAX(MinimumCharge,ROUND(AI10*IFERROR(INDEX(FreqFactors,MATCH(O10,FreqNames,0)),1),2)))))</f>
        <v>0</v>
      </c>
      <c r="AK10" s="34">
        <f>IF(G10="","",IF(SUMIFS(Timesheets!$U$5:$U$804,Timesheets!$G$5:$G$804,A10)&gt;0,SUMIFS(Timesheets!$U$5:$U$804,Timesheets!$G$5:$G$804,A10),IF(Z10="","",Z10)))</f>
        <v>0</v>
      </c>
      <c r="AL10" s="34">
        <f>IF(OR(AK10="",AD10=""),"",AK10-AD10)</f>
        <v>0</v>
      </c>
      <c r="AM10" s="31">
        <f>IF(A10="","",COUNTIFS('Job Tasks'!$B$5:$B$904,A10))</f>
        <v>0</v>
      </c>
      <c r="AN10" s="31">
        <f>IF(A10="","",COUNTIFS('Job Tasks'!$B$5:$B$904,A10,'Job Tasks'!$H$5:$H$904,"Done"))</f>
        <v>0</v>
      </c>
      <c r="AO10" s="38">
        <f>IF(OR(A10="",AM10=0),"",AN10/AM10)</f>
        <v>0</v>
      </c>
      <c r="AP10" s="43">
        <f>IF(A10="","",IFERROR(INDEX('Invoice Lines'!$B$5:$B$804,MATCH(A10,'Invoice Lines'!$C$5:$C$804,0)),""))</f>
        <v>0</v>
      </c>
      <c r="AQ10" s="18">
        <f>IF(OR(G10="",B10="",X10&lt;&gt;"Yes"),"",IF(IFERROR(INDEX(FreqDays,MATCH(O10,FreqNames,0)),0)=0,"",B10+IFERROR(INDEX(FreqDays,MATCH(O10,FreqNames,0)),0)))</f>
        <v>0</v>
      </c>
      <c r="AR10" s="39">
        <f>IF(G10="","",IF(R10="","Unassigned",IF(COUNTIFS($R$5:$R$604,R10,$B$5:$B$604,B10,$F$5:$F$604,F10)&gt;1,"Clash",IF(SUMIFS($AF$5:$AF$604,$R$5:$R$604,R10,$B$5:$B$604,B10)&gt;ProductiveHours,"Long day","OK"))))</f>
        <v>0</v>
      </c>
      <c r="AS10" s="18">
        <f>IF(OR(G10="",B10=""),"",IF(AND(B10&gt;=TodayDate,P10&lt;&gt;"Cancelled"),B10,""))</f>
        <v>0</v>
      </c>
      <c r="AT10" s="31">
        <f>IF(AS10="","",COUNTIFS($AS$5:$AS$604,"&lt;"&amp;AS10)+COUNTIFS($AS$5:AS10,AS10))</f>
        <v>0</v>
      </c>
      <c r="AU10" s="18">
        <f>IF(OR(G10="",B10="",R10&lt;&gt;""),"",IF(AND(B10&gt;=TodayDate,P10&lt;&gt;"Cancelled"),B10,""))</f>
        <v>0</v>
      </c>
      <c r="AV10" s="31">
        <f>IF(AU10="","",COUNTIFS($AU$5:$AU$604,"&lt;"&amp;AU10)+COUNTIFS($AU$5:AU10,AU10))</f>
        <v>0</v>
      </c>
      <c r="AW10" s="31">
        <f>IF(OR(G10="",B10=""),"",B10-TodayDate)</f>
        <v>0</v>
      </c>
      <c r="AX10" s="39">
        <f>IF(G10="","",IF(P10="Cancelled","Cancelled",IF(P10="No access","Action - no access, rebook",IF(AND(B10&lt;&gt;"",AW10&lt;0,OR(P10="Booked",P10="Confirmed",P10="In progress")),"Late - mark it completed",IF(AND(P10="Completed",AP10=""),"Action - not invoiced yet",IF(AND(AW10&gt;=0,AW10&lt;=ReminderDays,Y10&lt;&gt;"Yes"),"Confirm - visit coming up",IF(R10="","Assign - no cleaner booked",IF(AND(P10="Completed",AO10&lt;&gt;"",AO10&lt;1),"Check - checklist unfinished","OK"))))))))</f>
        <v>0</v>
      </c>
    </row>
    <row r="11" spans="1:50">
      <c r="A11" s="43">
        <f>IF(G11="","",JobPrefix&amp;TEXT(ROW()-4,"0000"))</f>
        <v>0</v>
      </c>
      <c r="B11" s="46">
        <v>46274</v>
      </c>
      <c r="C11" s="23">
        <f>IF(B11="","",TEXT(B11,"ddd"))</f>
        <v>0</v>
      </c>
      <c r="D11" s="31">
        <f>IF(B11="","",WEEKNUM(B11,IF(WeekStart="Sunday",1,2)))</f>
        <v>0</v>
      </c>
      <c r="E11" s="23">
        <f>IF(B11="","",TEXT(B11,"yyyy-mm"))</f>
        <v>0</v>
      </c>
      <c r="F11" s="52">
        <v>0.645833333333333</v>
      </c>
      <c r="G11" s="49" t="s">
        <v>833</v>
      </c>
      <c r="H11" s="23">
        <f>IF(G11="","",IFERROR(INDEX(Clients!$B$5:$B$204,MATCH(G11,Clients!$A$5:$A$204,0)),"Not found"))</f>
        <v>0</v>
      </c>
      <c r="I11" s="23">
        <f>IF(G11="","",IFERROR(INDEX(Clients!$C$5:$C$204,MATCH(G11,Clients!$A$5:$A$204,0)),""))</f>
        <v>0</v>
      </c>
      <c r="J11" s="49" t="s">
        <v>1138</v>
      </c>
      <c r="K11" s="23">
        <f>IF(J11="","",IFERROR(INDEX(Properties!$B$5:$B$254,MATCH(J11,Properties!$A$5:$A$254,0)),""))</f>
        <v>0</v>
      </c>
      <c r="L11" s="23">
        <f>IF(J11="","",IFERROR(INDEX(Properties!$F$5:$F$254,MATCH(J11,Properties!$A$5:$A$254,0)),""))</f>
        <v>0</v>
      </c>
      <c r="M11" s="15" t="s">
        <v>839</v>
      </c>
      <c r="N11" s="15" t="s">
        <v>1133</v>
      </c>
      <c r="O11" s="15" t="s">
        <v>124</v>
      </c>
      <c r="P11" s="45" t="s">
        <v>406</v>
      </c>
      <c r="Q11" s="15" t="s">
        <v>448</v>
      </c>
      <c r="R11" s="15" t="s">
        <v>664</v>
      </c>
      <c r="S11" s="15" t="s">
        <v>172</v>
      </c>
      <c r="T11" s="16">
        <v>1</v>
      </c>
      <c r="W11" s="17">
        <v>18.2</v>
      </c>
      <c r="X11" s="47" t="s">
        <v>454</v>
      </c>
      <c r="Y11" s="47" t="s">
        <v>454</v>
      </c>
      <c r="AA11" s="47">
        <v>5</v>
      </c>
      <c r="AB11" s="44" t="s">
        <v>172</v>
      </c>
      <c r="AC11" s="44" t="s">
        <v>172</v>
      </c>
      <c r="AD11" s="34">
        <f>IF(G11="","",IF(U11&lt;&gt;"",U11,IF(AND(IFERROR(INDEX(Services!$D$5:$D$64,MATCH(M11,Services!$B$5:$B$64,0)),"")="Per hour",IFERROR(INDEX(Properties!$X$5:$X$254,MATCH(J11,Properties!$A$5:$A$254,0)),0)&gt;0),IFERROR(INDEX(Properties!$X$5:$X$254,MATCH(J11,Properties!$A$5:$A$254,0)),0),IF(IFERROR(INDEX(Services!$G$5:$G$64,MATCH(M11,Services!$B$5:$B$64,0)),0)&gt;0,IFERROR(INDEX(Services!$G$5:$G$64,MATCH(M11,Services!$B$5:$B$64,0)),0),IFERROR(INDEX(Properties!$X$5:$X$254,MATCH(J11,Properties!$A$5:$A$254,0)),0)))))</f>
        <v>0</v>
      </c>
      <c r="AE11" s="31">
        <f>IF(G11="","",IF(T11="",CleanersPerJob,MAX(1,T11)))</f>
        <v>0</v>
      </c>
      <c r="AF11" s="34">
        <f>IF(G11="","",ROUND(AD11/AE11,2))</f>
        <v>0</v>
      </c>
      <c r="AG11" s="53">
        <f>IF(OR(G11="",F11="",AF11=""),"",F11+AF11/24)</f>
        <v>0</v>
      </c>
      <c r="AH11" s="21">
        <f>IF(G11="","",IF(IFERROR(INDEX(Clients!$O$5:$O$204,MATCH(G11,Clients!$A$5:$A$204,0)),0)&gt;0,IFERROR(INDEX(Clients!$O$5:$O$204,MATCH(G11,Clients!$A$5:$A$204,0)),0),HourlyRate))</f>
        <v>0</v>
      </c>
      <c r="AI11" s="21">
        <f>IF(G11="","",IF(AND(M11&lt;&gt;"",IFERROR(INDEX(Services!$P$5:$P$64,MATCH(M11,Services!$B$5:$B$64,0)),0)&gt;0,IFERROR(INDEX(Services!$D$5:$D$64,MATCH(M11,Services!$B$5:$B$64,0)),"")&lt;&gt;"Per hour"),IFERROR(INDEX(Services!$P$5:$P$64,MATCH(M11,Services!$B$5:$B$64,0)),0),AD11*AH11))</f>
        <v>0</v>
      </c>
      <c r="AJ11" s="21">
        <f>IF(G11="","",IF(V11&lt;&gt;"",V11,IF(P11="Cancelled",0,MAX(MinimumCharge,ROUND(AI11*IFERROR(INDEX(FreqFactors,MATCH(O11,FreqNames,0)),1),2)))))</f>
        <v>0</v>
      </c>
      <c r="AK11" s="34">
        <f>IF(G11="","",IF(SUMIFS(Timesheets!$U$5:$U$804,Timesheets!$G$5:$G$804,A11)&gt;0,SUMIFS(Timesheets!$U$5:$U$804,Timesheets!$G$5:$G$804,A11),IF(Z11="","",Z11)))</f>
        <v>0</v>
      </c>
      <c r="AL11" s="34">
        <f>IF(OR(AK11="",AD11=""),"",AK11-AD11)</f>
        <v>0</v>
      </c>
      <c r="AM11" s="31">
        <f>IF(A11="","",COUNTIFS('Job Tasks'!$B$5:$B$904,A11))</f>
        <v>0</v>
      </c>
      <c r="AN11" s="31">
        <f>IF(A11="","",COUNTIFS('Job Tasks'!$B$5:$B$904,A11,'Job Tasks'!$H$5:$H$904,"Done"))</f>
        <v>0</v>
      </c>
      <c r="AO11" s="38">
        <f>IF(OR(A11="",AM11=0),"",AN11/AM11)</f>
        <v>0</v>
      </c>
      <c r="AP11" s="43">
        <f>IF(A11="","",IFERROR(INDEX('Invoice Lines'!$B$5:$B$804,MATCH(A11,'Invoice Lines'!$C$5:$C$804,0)),""))</f>
        <v>0</v>
      </c>
      <c r="AQ11" s="18">
        <f>IF(OR(G11="",B11="",X11&lt;&gt;"Yes"),"",IF(IFERROR(INDEX(FreqDays,MATCH(O11,FreqNames,0)),0)=0,"",B11+IFERROR(INDEX(FreqDays,MATCH(O11,FreqNames,0)),0)))</f>
        <v>0</v>
      </c>
      <c r="AR11" s="39">
        <f>IF(G11="","",IF(R11="","Unassigned",IF(COUNTIFS($R$5:$R$604,R11,$B$5:$B$604,B11,$F$5:$F$604,F11)&gt;1,"Clash",IF(SUMIFS($AF$5:$AF$604,$R$5:$R$604,R11,$B$5:$B$604,B11)&gt;ProductiveHours,"Long day","OK"))))</f>
        <v>0</v>
      </c>
      <c r="AS11" s="18">
        <f>IF(OR(G11="",B11=""),"",IF(AND(B11&gt;=TodayDate,P11&lt;&gt;"Cancelled"),B11,""))</f>
        <v>0</v>
      </c>
      <c r="AT11" s="31">
        <f>IF(AS11="","",COUNTIFS($AS$5:$AS$604,"&lt;"&amp;AS11)+COUNTIFS($AS$5:AS11,AS11))</f>
        <v>0</v>
      </c>
      <c r="AU11" s="18">
        <f>IF(OR(G11="",B11="",R11&lt;&gt;""),"",IF(AND(B11&gt;=TodayDate,P11&lt;&gt;"Cancelled"),B11,""))</f>
        <v>0</v>
      </c>
      <c r="AV11" s="31">
        <f>IF(AU11="","",COUNTIFS($AU$5:$AU$604,"&lt;"&amp;AU11)+COUNTIFS($AU$5:AU11,AU11))</f>
        <v>0</v>
      </c>
      <c r="AW11" s="31">
        <f>IF(OR(G11="",B11=""),"",B11-TodayDate)</f>
        <v>0</v>
      </c>
      <c r="AX11" s="39">
        <f>IF(G11="","",IF(P11="Cancelled","Cancelled",IF(P11="No access","Action - no access, rebook",IF(AND(B11&lt;&gt;"",AW11&lt;0,OR(P11="Booked",P11="Confirmed",P11="In progress")),"Late - mark it completed",IF(AND(P11="Completed",AP11=""),"Action - not invoiced yet",IF(AND(AW11&gt;=0,AW11&lt;=ReminderDays,Y11&lt;&gt;"Yes"),"Confirm - visit coming up",IF(R11="","Assign - no cleaner booked",IF(AND(P11="Completed",AO11&lt;&gt;"",AO11&lt;1),"Check - checklist unfinished","OK"))))))))</f>
        <v>0</v>
      </c>
    </row>
    <row r="12" spans="1:50">
      <c r="A12" s="43">
        <f>IF(G12="","",JobPrefix&amp;TEXT(ROW()-4,"0000"))</f>
        <v>0</v>
      </c>
      <c r="B12" s="46">
        <v>46275</v>
      </c>
      <c r="C12" s="23">
        <f>IF(B12="","",TEXT(B12,"ddd"))</f>
        <v>0</v>
      </c>
      <c r="D12" s="31">
        <f>IF(B12="","",WEEKNUM(B12,IF(WeekStart="Sunday",1,2)))</f>
        <v>0</v>
      </c>
      <c r="E12" s="23">
        <f>IF(B12="","",TEXT(B12,"yyyy-mm"))</f>
        <v>0</v>
      </c>
      <c r="F12" s="52">
        <v>0.291666666666667</v>
      </c>
      <c r="G12" s="49" t="s">
        <v>813</v>
      </c>
      <c r="H12" s="23">
        <f>IF(G12="","",IFERROR(INDEX(Clients!$B$5:$B$204,MATCH(G12,Clients!$A$5:$A$204,0)),"Not found"))</f>
        <v>0</v>
      </c>
      <c r="I12" s="23">
        <f>IF(G12="","",IFERROR(INDEX(Clients!$C$5:$C$204,MATCH(G12,Clients!$A$5:$A$204,0)),""))</f>
        <v>0</v>
      </c>
      <c r="J12" s="49" t="s">
        <v>1052</v>
      </c>
      <c r="K12" s="23">
        <f>IF(J12="","",IFERROR(INDEX(Properties!$B$5:$B$254,MATCH(J12,Properties!$A$5:$A$254,0)),""))</f>
        <v>0</v>
      </c>
      <c r="L12" s="23">
        <f>IF(J12="","",IFERROR(INDEX(Properties!$F$5:$F$254,MATCH(J12,Properties!$A$5:$A$254,0)),""))</f>
        <v>0</v>
      </c>
      <c r="M12" s="15" t="s">
        <v>770</v>
      </c>
      <c r="N12" s="15" t="s">
        <v>1133</v>
      </c>
      <c r="O12" s="15" t="s">
        <v>617</v>
      </c>
      <c r="P12" s="45" t="s">
        <v>406</v>
      </c>
      <c r="Q12" s="15" t="s">
        <v>448</v>
      </c>
      <c r="R12" s="15" t="s">
        <v>664</v>
      </c>
      <c r="S12" s="15" t="s">
        <v>172</v>
      </c>
      <c r="T12" s="16">
        <v>1</v>
      </c>
      <c r="W12" s="17">
        <v>7.6</v>
      </c>
      <c r="X12" s="47" t="s">
        <v>454</v>
      </c>
      <c r="Y12" s="47" t="s">
        <v>454</v>
      </c>
      <c r="AA12" s="47" t="s">
        <v>172</v>
      </c>
      <c r="AB12" s="44" t="s">
        <v>172</v>
      </c>
      <c r="AC12" s="44" t="s">
        <v>172</v>
      </c>
      <c r="AD12" s="34">
        <f>IF(G12="","",IF(U12&lt;&gt;"",U12,IF(AND(IFERROR(INDEX(Services!$D$5:$D$64,MATCH(M12,Services!$B$5:$B$64,0)),"")="Per hour",IFERROR(INDEX(Properties!$X$5:$X$254,MATCH(J12,Properties!$A$5:$A$254,0)),0)&gt;0),IFERROR(INDEX(Properties!$X$5:$X$254,MATCH(J12,Properties!$A$5:$A$254,0)),0),IF(IFERROR(INDEX(Services!$G$5:$G$64,MATCH(M12,Services!$B$5:$B$64,0)),0)&gt;0,IFERROR(INDEX(Services!$G$5:$G$64,MATCH(M12,Services!$B$5:$B$64,0)),0),IFERROR(INDEX(Properties!$X$5:$X$254,MATCH(J12,Properties!$A$5:$A$254,0)),0)))))</f>
        <v>0</v>
      </c>
      <c r="AE12" s="31">
        <f>IF(G12="","",IF(T12="",CleanersPerJob,MAX(1,T12)))</f>
        <v>0</v>
      </c>
      <c r="AF12" s="34">
        <f>IF(G12="","",ROUND(AD12/AE12,2))</f>
        <v>0</v>
      </c>
      <c r="AG12" s="53">
        <f>IF(OR(G12="",F12="",AF12=""),"",F12+AF12/24)</f>
        <v>0</v>
      </c>
      <c r="AH12" s="21">
        <f>IF(G12="","",IF(IFERROR(INDEX(Clients!$O$5:$O$204,MATCH(G12,Clients!$A$5:$A$204,0)),0)&gt;0,IFERROR(INDEX(Clients!$O$5:$O$204,MATCH(G12,Clients!$A$5:$A$204,0)),0),HourlyRate))</f>
        <v>0</v>
      </c>
      <c r="AI12" s="21">
        <f>IF(G12="","",IF(AND(M12&lt;&gt;"",IFERROR(INDEX(Services!$P$5:$P$64,MATCH(M12,Services!$B$5:$B$64,0)),0)&gt;0,IFERROR(INDEX(Services!$D$5:$D$64,MATCH(M12,Services!$B$5:$B$64,0)),"")&lt;&gt;"Per hour"),IFERROR(INDEX(Services!$P$5:$P$64,MATCH(M12,Services!$B$5:$B$64,0)),0),AD12*AH12))</f>
        <v>0</v>
      </c>
      <c r="AJ12" s="21">
        <f>IF(G12="","",IF(V12&lt;&gt;"",V12,IF(P12="Cancelled",0,MAX(MinimumCharge,ROUND(AI12*IFERROR(INDEX(FreqFactors,MATCH(O12,FreqNames,0)),1),2)))))</f>
        <v>0</v>
      </c>
      <c r="AK12" s="34">
        <f>IF(G12="","",IF(SUMIFS(Timesheets!$U$5:$U$804,Timesheets!$G$5:$G$804,A12)&gt;0,SUMIFS(Timesheets!$U$5:$U$804,Timesheets!$G$5:$G$804,A12),IF(Z12="","",Z12)))</f>
        <v>0</v>
      </c>
      <c r="AL12" s="34">
        <f>IF(OR(AK12="",AD12=""),"",AK12-AD12)</f>
        <v>0</v>
      </c>
      <c r="AM12" s="31">
        <f>IF(A12="","",COUNTIFS('Job Tasks'!$B$5:$B$904,A12))</f>
        <v>0</v>
      </c>
      <c r="AN12" s="31">
        <f>IF(A12="","",COUNTIFS('Job Tasks'!$B$5:$B$904,A12,'Job Tasks'!$H$5:$H$904,"Done"))</f>
        <v>0</v>
      </c>
      <c r="AO12" s="38">
        <f>IF(OR(A12="",AM12=0),"",AN12/AM12)</f>
        <v>0</v>
      </c>
      <c r="AP12" s="43">
        <f>IF(A12="","",IFERROR(INDEX('Invoice Lines'!$B$5:$B$804,MATCH(A12,'Invoice Lines'!$C$5:$C$804,0)),""))</f>
        <v>0</v>
      </c>
      <c r="AQ12" s="18">
        <f>IF(OR(G12="",B12="",X12&lt;&gt;"Yes"),"",IF(IFERROR(INDEX(FreqDays,MATCH(O12,FreqNames,0)),0)=0,"",B12+IFERROR(INDEX(FreqDays,MATCH(O12,FreqNames,0)),0)))</f>
        <v>0</v>
      </c>
      <c r="AR12" s="39">
        <f>IF(G12="","",IF(R12="","Unassigned",IF(COUNTIFS($R$5:$R$604,R12,$B$5:$B$604,B12,$F$5:$F$604,F12)&gt;1,"Clash",IF(SUMIFS($AF$5:$AF$604,$R$5:$R$604,R12,$B$5:$B$604,B12)&gt;ProductiveHours,"Long day","OK"))))</f>
        <v>0</v>
      </c>
      <c r="AS12" s="18">
        <f>IF(OR(G12="",B12=""),"",IF(AND(B12&gt;=TodayDate,P12&lt;&gt;"Cancelled"),B12,""))</f>
        <v>0</v>
      </c>
      <c r="AT12" s="31">
        <f>IF(AS12="","",COUNTIFS($AS$5:$AS$604,"&lt;"&amp;AS12)+COUNTIFS($AS$5:AS12,AS12))</f>
        <v>0</v>
      </c>
      <c r="AU12" s="18">
        <f>IF(OR(G12="",B12="",R12&lt;&gt;""),"",IF(AND(B12&gt;=TodayDate,P12&lt;&gt;"Cancelled"),B12,""))</f>
        <v>0</v>
      </c>
      <c r="AV12" s="31">
        <f>IF(AU12="","",COUNTIFS($AU$5:$AU$604,"&lt;"&amp;AU12)+COUNTIFS($AU$5:AU12,AU12))</f>
        <v>0</v>
      </c>
      <c r="AW12" s="31">
        <f>IF(OR(G12="",B12=""),"",B12-TodayDate)</f>
        <v>0</v>
      </c>
      <c r="AX12" s="39">
        <f>IF(G12="","",IF(P12="Cancelled","Cancelled",IF(P12="No access","Action - no access, rebook",IF(AND(B12&lt;&gt;"",AW12&lt;0,OR(P12="Booked",P12="Confirmed",P12="In progress")),"Late - mark it completed",IF(AND(P12="Completed",AP12=""),"Action - not invoiced yet",IF(AND(AW12&gt;=0,AW12&lt;=ReminderDays,Y12&lt;&gt;"Yes"),"Confirm - visit coming up",IF(R12="","Assign - no cleaner booked",IF(AND(P12="Completed",AO12&lt;&gt;"",AO12&lt;1),"Check - checklist unfinished","OK"))))))))</f>
        <v>0</v>
      </c>
    </row>
    <row r="13" spans="1:50">
      <c r="A13" s="43">
        <f>IF(G13="","",JobPrefix&amp;TEXT(ROW()-4,"0000"))</f>
        <v>0</v>
      </c>
      <c r="B13" s="46">
        <v>46275</v>
      </c>
      <c r="C13" s="23">
        <f>IF(B13="","",TEXT(B13,"ddd"))</f>
        <v>0</v>
      </c>
      <c r="D13" s="31">
        <f>IF(B13="","",WEEKNUM(B13,IF(WeekStart="Sunday",1,2)))</f>
        <v>0</v>
      </c>
      <c r="E13" s="23">
        <f>IF(B13="","",TEXT(B13,"yyyy-mm"))</f>
        <v>0</v>
      </c>
      <c r="F13" s="52">
        <v>0.583333333333333</v>
      </c>
      <c r="G13" s="49" t="s">
        <v>753</v>
      </c>
      <c r="H13" s="23">
        <f>IF(G13="","",IFERROR(INDEX(Clients!$B$5:$B$204,MATCH(G13,Clients!$A$5:$A$204,0)),"Not found"))</f>
        <v>0</v>
      </c>
      <c r="I13" s="23">
        <f>IF(G13="","",IFERROR(INDEX(Clients!$C$5:$C$204,MATCH(G13,Clients!$A$5:$A$204,0)),""))</f>
        <v>0</v>
      </c>
      <c r="J13" s="49" t="s">
        <v>1139</v>
      </c>
      <c r="K13" s="23">
        <f>IF(J13="","",IFERROR(INDEX(Properties!$B$5:$B$254,MATCH(J13,Properties!$A$5:$A$254,0)),""))</f>
        <v>0</v>
      </c>
      <c r="L13" s="23">
        <f>IF(J13="","",IFERROR(INDEX(Properties!$F$5:$F$254,MATCH(J13,Properties!$A$5:$A$254,0)),""))</f>
        <v>0</v>
      </c>
      <c r="M13" s="15" t="s">
        <v>437</v>
      </c>
      <c r="N13" s="15" t="s">
        <v>1133</v>
      </c>
      <c r="O13" s="15" t="s">
        <v>593</v>
      </c>
      <c r="P13" s="45" t="s">
        <v>406</v>
      </c>
      <c r="Q13" s="15" t="s">
        <v>448</v>
      </c>
      <c r="R13" s="15" t="s">
        <v>596</v>
      </c>
      <c r="S13" s="15" t="s">
        <v>172</v>
      </c>
      <c r="T13" s="16">
        <v>1</v>
      </c>
      <c r="W13" s="17">
        <v>12</v>
      </c>
      <c r="X13" s="47" t="s">
        <v>454</v>
      </c>
      <c r="Y13" s="47" t="s">
        <v>454</v>
      </c>
      <c r="AA13" s="47" t="s">
        <v>172</v>
      </c>
      <c r="AB13" s="44" t="s">
        <v>172</v>
      </c>
      <c r="AC13" s="44" t="s">
        <v>172</v>
      </c>
      <c r="AD13" s="34">
        <f>IF(G13="","",IF(U13&lt;&gt;"",U13,IF(AND(IFERROR(INDEX(Services!$D$5:$D$64,MATCH(M13,Services!$B$5:$B$64,0)),"")="Per hour",IFERROR(INDEX(Properties!$X$5:$X$254,MATCH(J13,Properties!$A$5:$A$254,0)),0)&gt;0),IFERROR(INDEX(Properties!$X$5:$X$254,MATCH(J13,Properties!$A$5:$A$254,0)),0),IF(IFERROR(INDEX(Services!$G$5:$G$64,MATCH(M13,Services!$B$5:$B$64,0)),0)&gt;0,IFERROR(INDEX(Services!$G$5:$G$64,MATCH(M13,Services!$B$5:$B$64,0)),0),IFERROR(INDEX(Properties!$X$5:$X$254,MATCH(J13,Properties!$A$5:$A$254,0)),0)))))</f>
        <v>0</v>
      </c>
      <c r="AE13" s="31">
        <f>IF(G13="","",IF(T13="",CleanersPerJob,MAX(1,T13)))</f>
        <v>0</v>
      </c>
      <c r="AF13" s="34">
        <f>IF(G13="","",ROUND(AD13/AE13,2))</f>
        <v>0</v>
      </c>
      <c r="AG13" s="53">
        <f>IF(OR(G13="",F13="",AF13=""),"",F13+AF13/24)</f>
        <v>0</v>
      </c>
      <c r="AH13" s="21">
        <f>IF(G13="","",IF(IFERROR(INDEX(Clients!$O$5:$O$204,MATCH(G13,Clients!$A$5:$A$204,0)),0)&gt;0,IFERROR(INDEX(Clients!$O$5:$O$204,MATCH(G13,Clients!$A$5:$A$204,0)),0),HourlyRate))</f>
        <v>0</v>
      </c>
      <c r="AI13" s="21">
        <f>IF(G13="","",IF(AND(M13&lt;&gt;"",IFERROR(INDEX(Services!$P$5:$P$64,MATCH(M13,Services!$B$5:$B$64,0)),0)&gt;0,IFERROR(INDEX(Services!$D$5:$D$64,MATCH(M13,Services!$B$5:$B$64,0)),"")&lt;&gt;"Per hour"),IFERROR(INDEX(Services!$P$5:$P$64,MATCH(M13,Services!$B$5:$B$64,0)),0),AD13*AH13))</f>
        <v>0</v>
      </c>
      <c r="AJ13" s="21">
        <f>IF(G13="","",IF(V13&lt;&gt;"",V13,IF(P13="Cancelled",0,MAX(MinimumCharge,ROUND(AI13*IFERROR(INDEX(FreqFactors,MATCH(O13,FreqNames,0)),1),2)))))</f>
        <v>0</v>
      </c>
      <c r="AK13" s="34">
        <f>IF(G13="","",IF(SUMIFS(Timesheets!$U$5:$U$804,Timesheets!$G$5:$G$804,A13)&gt;0,SUMIFS(Timesheets!$U$5:$U$804,Timesheets!$G$5:$G$804,A13),IF(Z13="","",Z13)))</f>
        <v>0</v>
      </c>
      <c r="AL13" s="34">
        <f>IF(OR(AK13="",AD13=""),"",AK13-AD13)</f>
        <v>0</v>
      </c>
      <c r="AM13" s="31">
        <f>IF(A13="","",COUNTIFS('Job Tasks'!$B$5:$B$904,A13))</f>
        <v>0</v>
      </c>
      <c r="AN13" s="31">
        <f>IF(A13="","",COUNTIFS('Job Tasks'!$B$5:$B$904,A13,'Job Tasks'!$H$5:$H$904,"Done"))</f>
        <v>0</v>
      </c>
      <c r="AO13" s="38">
        <f>IF(OR(A13="",AM13=0),"",AN13/AM13)</f>
        <v>0</v>
      </c>
      <c r="AP13" s="43">
        <f>IF(A13="","",IFERROR(INDEX('Invoice Lines'!$B$5:$B$804,MATCH(A13,'Invoice Lines'!$C$5:$C$804,0)),""))</f>
        <v>0</v>
      </c>
      <c r="AQ13" s="18">
        <f>IF(OR(G13="",B13="",X13&lt;&gt;"Yes"),"",IF(IFERROR(INDEX(FreqDays,MATCH(O13,FreqNames,0)),0)=0,"",B13+IFERROR(INDEX(FreqDays,MATCH(O13,FreqNames,0)),0)))</f>
        <v>0</v>
      </c>
      <c r="AR13" s="39">
        <f>IF(G13="","",IF(R13="","Unassigned",IF(COUNTIFS($R$5:$R$604,R13,$B$5:$B$604,B13,$F$5:$F$604,F13)&gt;1,"Clash",IF(SUMIFS($AF$5:$AF$604,$R$5:$R$604,R13,$B$5:$B$604,B13)&gt;ProductiveHours,"Long day","OK"))))</f>
        <v>0</v>
      </c>
      <c r="AS13" s="18">
        <f>IF(OR(G13="",B13=""),"",IF(AND(B13&gt;=TodayDate,P13&lt;&gt;"Cancelled"),B13,""))</f>
        <v>0</v>
      </c>
      <c r="AT13" s="31">
        <f>IF(AS13="","",COUNTIFS($AS$5:$AS$604,"&lt;"&amp;AS13)+COUNTIFS($AS$5:AS13,AS13))</f>
        <v>0</v>
      </c>
      <c r="AU13" s="18">
        <f>IF(OR(G13="",B13="",R13&lt;&gt;""),"",IF(AND(B13&gt;=TodayDate,P13&lt;&gt;"Cancelled"),B13,""))</f>
        <v>0</v>
      </c>
      <c r="AV13" s="31">
        <f>IF(AU13="","",COUNTIFS($AU$5:$AU$604,"&lt;"&amp;AU13)+COUNTIFS($AU$5:AU13,AU13))</f>
        <v>0</v>
      </c>
      <c r="AW13" s="31">
        <f>IF(OR(G13="",B13=""),"",B13-TodayDate)</f>
        <v>0</v>
      </c>
      <c r="AX13" s="39">
        <f>IF(G13="","",IF(P13="Cancelled","Cancelled",IF(P13="No access","Action - no access, rebook",IF(AND(B13&lt;&gt;"",AW13&lt;0,OR(P13="Booked",P13="Confirmed",P13="In progress")),"Late - mark it completed",IF(AND(P13="Completed",AP13=""),"Action - not invoiced yet",IF(AND(AW13&gt;=0,AW13&lt;=ReminderDays,Y13&lt;&gt;"Yes"),"Confirm - visit coming up",IF(R13="","Assign - no cleaner booked",IF(AND(P13="Completed",AO13&lt;&gt;"",AO13&lt;1),"Check - checklist unfinished","OK"))))))))</f>
        <v>0</v>
      </c>
    </row>
    <row r="14" spans="1:50">
      <c r="A14" s="43">
        <f>IF(G14="","",JobPrefix&amp;TEXT(ROW()-4,"0000"))</f>
        <v>0</v>
      </c>
      <c r="B14" s="46">
        <v>46275</v>
      </c>
      <c r="C14" s="23">
        <f>IF(B14="","",TEXT(B14,"ddd"))</f>
        <v>0</v>
      </c>
      <c r="D14" s="31">
        <f>IF(B14="","",WEEKNUM(B14,IF(WeekStart="Sunday",1,2)))</f>
        <v>0</v>
      </c>
      <c r="E14" s="23">
        <f>IF(B14="","",TEXT(B14,"yyyy-mm"))</f>
        <v>0</v>
      </c>
      <c r="F14" s="52">
        <v>0.770833333333333</v>
      </c>
      <c r="G14" s="49" t="s">
        <v>773</v>
      </c>
      <c r="H14" s="23">
        <f>IF(G14="","",IFERROR(INDEX(Clients!$B$5:$B$204,MATCH(G14,Clients!$A$5:$A$204,0)),"Not found"))</f>
        <v>0</v>
      </c>
      <c r="I14" s="23">
        <f>IF(G14="","",IFERROR(INDEX(Clients!$C$5:$C$204,MATCH(G14,Clients!$A$5:$A$204,0)),""))</f>
        <v>0</v>
      </c>
      <c r="J14" s="49" t="s">
        <v>1134</v>
      </c>
      <c r="K14" s="23">
        <f>IF(J14="","",IFERROR(INDEX(Properties!$B$5:$B$254,MATCH(J14,Properties!$A$5:$A$254,0)),""))</f>
        <v>0</v>
      </c>
      <c r="L14" s="23">
        <f>IF(J14="","",IFERROR(INDEX(Properties!$F$5:$F$254,MATCH(J14,Properties!$A$5:$A$254,0)),""))</f>
        <v>0</v>
      </c>
      <c r="M14" s="15" t="s">
        <v>770</v>
      </c>
      <c r="N14" s="15" t="s">
        <v>1133</v>
      </c>
      <c r="O14" s="15" t="s">
        <v>617</v>
      </c>
      <c r="P14" s="45" t="s">
        <v>406</v>
      </c>
      <c r="Q14" s="15" t="s">
        <v>448</v>
      </c>
      <c r="R14" s="15" t="s">
        <v>608</v>
      </c>
      <c r="S14" s="15" t="s">
        <v>172</v>
      </c>
      <c r="T14" s="16">
        <v>1</v>
      </c>
      <c r="W14" s="17">
        <v>4.8</v>
      </c>
      <c r="X14" s="47" t="s">
        <v>454</v>
      </c>
      <c r="Y14" s="47" t="s">
        <v>454</v>
      </c>
      <c r="AA14" s="47">
        <v>4</v>
      </c>
      <c r="AB14" s="44" t="s">
        <v>172</v>
      </c>
      <c r="AC14" s="44" t="s">
        <v>172</v>
      </c>
      <c r="AD14" s="34">
        <f>IF(G14="","",IF(U14&lt;&gt;"",U14,IF(AND(IFERROR(INDEX(Services!$D$5:$D$64,MATCH(M14,Services!$B$5:$B$64,0)),"")="Per hour",IFERROR(INDEX(Properties!$X$5:$X$254,MATCH(J14,Properties!$A$5:$A$254,0)),0)&gt;0),IFERROR(INDEX(Properties!$X$5:$X$254,MATCH(J14,Properties!$A$5:$A$254,0)),0),IF(IFERROR(INDEX(Services!$G$5:$G$64,MATCH(M14,Services!$B$5:$B$64,0)),0)&gt;0,IFERROR(INDEX(Services!$G$5:$G$64,MATCH(M14,Services!$B$5:$B$64,0)),0),IFERROR(INDEX(Properties!$X$5:$X$254,MATCH(J14,Properties!$A$5:$A$254,0)),0)))))</f>
        <v>0</v>
      </c>
      <c r="AE14" s="31">
        <f>IF(G14="","",IF(T14="",CleanersPerJob,MAX(1,T14)))</f>
        <v>0</v>
      </c>
      <c r="AF14" s="34">
        <f>IF(G14="","",ROUND(AD14/AE14,2))</f>
        <v>0</v>
      </c>
      <c r="AG14" s="53">
        <f>IF(OR(G14="",F14="",AF14=""),"",F14+AF14/24)</f>
        <v>0</v>
      </c>
      <c r="AH14" s="21">
        <f>IF(G14="","",IF(IFERROR(INDEX(Clients!$O$5:$O$204,MATCH(G14,Clients!$A$5:$A$204,0)),0)&gt;0,IFERROR(INDEX(Clients!$O$5:$O$204,MATCH(G14,Clients!$A$5:$A$204,0)),0),HourlyRate))</f>
        <v>0</v>
      </c>
      <c r="AI14" s="21">
        <f>IF(G14="","",IF(AND(M14&lt;&gt;"",IFERROR(INDEX(Services!$P$5:$P$64,MATCH(M14,Services!$B$5:$B$64,0)),0)&gt;0,IFERROR(INDEX(Services!$D$5:$D$64,MATCH(M14,Services!$B$5:$B$64,0)),"")&lt;&gt;"Per hour"),IFERROR(INDEX(Services!$P$5:$P$64,MATCH(M14,Services!$B$5:$B$64,0)),0),AD14*AH14))</f>
        <v>0</v>
      </c>
      <c r="AJ14" s="21">
        <f>IF(G14="","",IF(V14&lt;&gt;"",V14,IF(P14="Cancelled",0,MAX(MinimumCharge,ROUND(AI14*IFERROR(INDEX(FreqFactors,MATCH(O14,FreqNames,0)),1),2)))))</f>
        <v>0</v>
      </c>
      <c r="AK14" s="34">
        <f>IF(G14="","",IF(SUMIFS(Timesheets!$U$5:$U$804,Timesheets!$G$5:$G$804,A14)&gt;0,SUMIFS(Timesheets!$U$5:$U$804,Timesheets!$G$5:$G$804,A14),IF(Z14="","",Z14)))</f>
        <v>0</v>
      </c>
      <c r="AL14" s="34">
        <f>IF(OR(AK14="",AD14=""),"",AK14-AD14)</f>
        <v>0</v>
      </c>
      <c r="AM14" s="31">
        <f>IF(A14="","",COUNTIFS('Job Tasks'!$B$5:$B$904,A14))</f>
        <v>0</v>
      </c>
      <c r="AN14" s="31">
        <f>IF(A14="","",COUNTIFS('Job Tasks'!$B$5:$B$904,A14,'Job Tasks'!$H$5:$H$904,"Done"))</f>
        <v>0</v>
      </c>
      <c r="AO14" s="38">
        <f>IF(OR(A14="",AM14=0),"",AN14/AM14)</f>
        <v>0</v>
      </c>
      <c r="AP14" s="43">
        <f>IF(A14="","",IFERROR(INDEX('Invoice Lines'!$B$5:$B$804,MATCH(A14,'Invoice Lines'!$C$5:$C$804,0)),""))</f>
        <v>0</v>
      </c>
      <c r="AQ14" s="18">
        <f>IF(OR(G14="",B14="",X14&lt;&gt;"Yes"),"",IF(IFERROR(INDEX(FreqDays,MATCH(O14,FreqNames,0)),0)=0,"",B14+IFERROR(INDEX(FreqDays,MATCH(O14,FreqNames,0)),0)))</f>
        <v>0</v>
      </c>
      <c r="AR14" s="39">
        <f>IF(G14="","",IF(R14="","Unassigned",IF(COUNTIFS($R$5:$R$604,R14,$B$5:$B$604,B14,$F$5:$F$604,F14)&gt;1,"Clash",IF(SUMIFS($AF$5:$AF$604,$R$5:$R$604,R14,$B$5:$B$604,B14)&gt;ProductiveHours,"Long day","OK"))))</f>
        <v>0</v>
      </c>
      <c r="AS14" s="18">
        <f>IF(OR(G14="",B14=""),"",IF(AND(B14&gt;=TodayDate,P14&lt;&gt;"Cancelled"),B14,""))</f>
        <v>0</v>
      </c>
      <c r="AT14" s="31">
        <f>IF(AS14="","",COUNTIFS($AS$5:$AS$604,"&lt;"&amp;AS14)+COUNTIFS($AS$5:AS14,AS14))</f>
        <v>0</v>
      </c>
      <c r="AU14" s="18">
        <f>IF(OR(G14="",B14="",R14&lt;&gt;""),"",IF(AND(B14&gt;=TodayDate,P14&lt;&gt;"Cancelled"),B14,""))</f>
        <v>0</v>
      </c>
      <c r="AV14" s="31">
        <f>IF(AU14="","",COUNTIFS($AU$5:$AU$604,"&lt;"&amp;AU14)+COUNTIFS($AU$5:AU14,AU14))</f>
        <v>0</v>
      </c>
      <c r="AW14" s="31">
        <f>IF(OR(G14="",B14=""),"",B14-TodayDate)</f>
        <v>0</v>
      </c>
      <c r="AX14" s="39">
        <f>IF(G14="","",IF(P14="Cancelled","Cancelled",IF(P14="No access","Action - no access, rebook",IF(AND(B14&lt;&gt;"",AW14&lt;0,OR(P14="Booked",P14="Confirmed",P14="In progress")),"Late - mark it completed",IF(AND(P14="Completed",AP14=""),"Action - not invoiced yet",IF(AND(AW14&gt;=0,AW14&lt;=ReminderDays,Y14&lt;&gt;"Yes"),"Confirm - visit coming up",IF(R14="","Assign - no cleaner booked",IF(AND(P14="Completed",AO14&lt;&gt;"",AO14&lt;1),"Check - checklist unfinished","OK"))))))))</f>
        <v>0</v>
      </c>
    </row>
    <row r="15" spans="1:50">
      <c r="A15" s="43">
        <f>IF(G15="","",JobPrefix&amp;TEXT(ROW()-4,"0000"))</f>
        <v>0</v>
      </c>
      <c r="B15" s="46">
        <v>46276</v>
      </c>
      <c r="C15" s="23">
        <f>IF(B15="","",TEXT(B15,"ddd"))</f>
        <v>0</v>
      </c>
      <c r="D15" s="31">
        <f>IF(B15="","",WEEKNUM(B15,IF(WeekStart="Sunday",1,2)))</f>
        <v>0</v>
      </c>
      <c r="E15" s="23">
        <f>IF(B15="","",TEXT(B15,"yyyy-mm"))</f>
        <v>0</v>
      </c>
      <c r="F15" s="52">
        <v>0.729166666666667</v>
      </c>
      <c r="G15" s="49" t="s">
        <v>800</v>
      </c>
      <c r="H15" s="23">
        <f>IF(G15="","",IFERROR(INDEX(Clients!$B$5:$B$204,MATCH(G15,Clients!$A$5:$A$204,0)),"Not found"))</f>
        <v>0</v>
      </c>
      <c r="I15" s="23">
        <f>IF(G15="","",IFERROR(INDEX(Clients!$C$5:$C$204,MATCH(G15,Clients!$A$5:$A$204,0)),""))</f>
        <v>0</v>
      </c>
      <c r="J15" s="49" t="s">
        <v>1140</v>
      </c>
      <c r="K15" s="23">
        <f>IF(J15="","",IFERROR(INDEX(Properties!$B$5:$B$254,MATCH(J15,Properties!$A$5:$A$254,0)),""))</f>
        <v>0</v>
      </c>
      <c r="L15" s="23">
        <f>IF(J15="","",IFERROR(INDEX(Properties!$F$5:$F$254,MATCH(J15,Properties!$A$5:$A$254,0)),""))</f>
        <v>0</v>
      </c>
      <c r="M15" s="15" t="s">
        <v>803</v>
      </c>
      <c r="N15" s="15" t="s">
        <v>1133</v>
      </c>
      <c r="O15" s="15" t="s">
        <v>451</v>
      </c>
      <c r="P15" s="45" t="s">
        <v>406</v>
      </c>
      <c r="Q15" s="15" t="s">
        <v>448</v>
      </c>
      <c r="R15" s="15" t="s">
        <v>639</v>
      </c>
      <c r="S15" s="15" t="s">
        <v>664</v>
      </c>
      <c r="T15" s="16">
        <v>2</v>
      </c>
      <c r="W15" s="17">
        <v>9.2</v>
      </c>
      <c r="X15" s="47" t="s">
        <v>454</v>
      </c>
      <c r="Y15" s="47" t="s">
        <v>454</v>
      </c>
      <c r="AA15" s="47" t="s">
        <v>172</v>
      </c>
      <c r="AB15" s="44" t="s">
        <v>172</v>
      </c>
      <c r="AC15" s="44" t="s">
        <v>172</v>
      </c>
      <c r="AD15" s="34">
        <f>IF(G15="","",IF(U15&lt;&gt;"",U15,IF(AND(IFERROR(INDEX(Services!$D$5:$D$64,MATCH(M15,Services!$B$5:$B$64,0)),"")="Per hour",IFERROR(INDEX(Properties!$X$5:$X$254,MATCH(J15,Properties!$A$5:$A$254,0)),0)&gt;0),IFERROR(INDEX(Properties!$X$5:$X$254,MATCH(J15,Properties!$A$5:$A$254,0)),0),IF(IFERROR(INDEX(Services!$G$5:$G$64,MATCH(M15,Services!$B$5:$B$64,0)),0)&gt;0,IFERROR(INDEX(Services!$G$5:$G$64,MATCH(M15,Services!$B$5:$B$64,0)),0),IFERROR(INDEX(Properties!$X$5:$X$254,MATCH(J15,Properties!$A$5:$A$254,0)),0)))))</f>
        <v>0</v>
      </c>
      <c r="AE15" s="31">
        <f>IF(G15="","",IF(T15="",CleanersPerJob,MAX(1,T15)))</f>
        <v>0</v>
      </c>
      <c r="AF15" s="34">
        <f>IF(G15="","",ROUND(AD15/AE15,2))</f>
        <v>0</v>
      </c>
      <c r="AG15" s="53">
        <f>IF(OR(G15="",F15="",AF15=""),"",F15+AF15/24)</f>
        <v>0</v>
      </c>
      <c r="AH15" s="21">
        <f>IF(G15="","",IF(IFERROR(INDEX(Clients!$O$5:$O$204,MATCH(G15,Clients!$A$5:$A$204,0)),0)&gt;0,IFERROR(INDEX(Clients!$O$5:$O$204,MATCH(G15,Clients!$A$5:$A$204,0)),0),HourlyRate))</f>
        <v>0</v>
      </c>
      <c r="AI15" s="21">
        <f>IF(G15="","",IF(AND(M15&lt;&gt;"",IFERROR(INDEX(Services!$P$5:$P$64,MATCH(M15,Services!$B$5:$B$64,0)),0)&gt;0,IFERROR(INDEX(Services!$D$5:$D$64,MATCH(M15,Services!$B$5:$B$64,0)),"")&lt;&gt;"Per hour"),IFERROR(INDEX(Services!$P$5:$P$64,MATCH(M15,Services!$B$5:$B$64,0)),0),AD15*AH15))</f>
        <v>0</v>
      </c>
      <c r="AJ15" s="21">
        <f>IF(G15="","",IF(V15&lt;&gt;"",V15,IF(P15="Cancelled",0,MAX(MinimumCharge,ROUND(AI15*IFERROR(INDEX(FreqFactors,MATCH(O15,FreqNames,0)),1),2)))))</f>
        <v>0</v>
      </c>
      <c r="AK15" s="34">
        <f>IF(G15="","",IF(SUMIFS(Timesheets!$U$5:$U$804,Timesheets!$G$5:$G$804,A15)&gt;0,SUMIFS(Timesheets!$U$5:$U$804,Timesheets!$G$5:$G$804,A15),IF(Z15="","",Z15)))</f>
        <v>0</v>
      </c>
      <c r="AL15" s="34">
        <f>IF(OR(AK15="",AD15=""),"",AK15-AD15)</f>
        <v>0</v>
      </c>
      <c r="AM15" s="31">
        <f>IF(A15="","",COUNTIFS('Job Tasks'!$B$5:$B$904,A15))</f>
        <v>0</v>
      </c>
      <c r="AN15" s="31">
        <f>IF(A15="","",COUNTIFS('Job Tasks'!$B$5:$B$904,A15,'Job Tasks'!$H$5:$H$904,"Done"))</f>
        <v>0</v>
      </c>
      <c r="AO15" s="38">
        <f>IF(OR(A15="",AM15=0),"",AN15/AM15)</f>
        <v>0</v>
      </c>
      <c r="AP15" s="43">
        <f>IF(A15="","",IFERROR(INDEX('Invoice Lines'!$B$5:$B$804,MATCH(A15,'Invoice Lines'!$C$5:$C$804,0)),""))</f>
        <v>0</v>
      </c>
      <c r="AQ15" s="18">
        <f>IF(OR(G15="",B15="",X15&lt;&gt;"Yes"),"",IF(IFERROR(INDEX(FreqDays,MATCH(O15,FreqNames,0)),0)=0,"",B15+IFERROR(INDEX(FreqDays,MATCH(O15,FreqNames,0)),0)))</f>
        <v>0</v>
      </c>
      <c r="AR15" s="39">
        <f>IF(G15="","",IF(R15="","Unassigned",IF(COUNTIFS($R$5:$R$604,R15,$B$5:$B$604,B15,$F$5:$F$604,F15)&gt;1,"Clash",IF(SUMIFS($AF$5:$AF$604,$R$5:$R$604,R15,$B$5:$B$604,B15)&gt;ProductiveHours,"Long day","OK"))))</f>
        <v>0</v>
      </c>
      <c r="AS15" s="18">
        <f>IF(OR(G15="",B15=""),"",IF(AND(B15&gt;=TodayDate,P15&lt;&gt;"Cancelled"),B15,""))</f>
        <v>0</v>
      </c>
      <c r="AT15" s="31">
        <f>IF(AS15="","",COUNTIFS($AS$5:$AS$604,"&lt;"&amp;AS15)+COUNTIFS($AS$5:AS15,AS15))</f>
        <v>0</v>
      </c>
      <c r="AU15" s="18">
        <f>IF(OR(G15="",B15="",R15&lt;&gt;""),"",IF(AND(B15&gt;=TodayDate,P15&lt;&gt;"Cancelled"),B15,""))</f>
        <v>0</v>
      </c>
      <c r="AV15" s="31">
        <f>IF(AU15="","",COUNTIFS($AU$5:$AU$604,"&lt;"&amp;AU15)+COUNTIFS($AU$5:AU15,AU15))</f>
        <v>0</v>
      </c>
      <c r="AW15" s="31">
        <f>IF(OR(G15="",B15=""),"",B15-TodayDate)</f>
        <v>0</v>
      </c>
      <c r="AX15" s="39">
        <f>IF(G15="","",IF(P15="Cancelled","Cancelled",IF(P15="No access","Action - no access, rebook",IF(AND(B15&lt;&gt;"",AW15&lt;0,OR(P15="Booked",P15="Confirmed",P15="In progress")),"Late - mark it completed",IF(AND(P15="Completed",AP15=""),"Action - not invoiced yet",IF(AND(AW15&gt;=0,AW15&lt;=ReminderDays,Y15&lt;&gt;"Yes"),"Confirm - visit coming up",IF(R15="","Assign - no cleaner booked",IF(AND(P15="Completed",AO15&lt;&gt;"",AO15&lt;1),"Check - checklist unfinished","OK"))))))))</f>
        <v>0</v>
      </c>
    </row>
    <row r="16" spans="1:50">
      <c r="A16" s="43">
        <f>IF(G16="","",JobPrefix&amp;TEXT(ROW()-4,"0000"))</f>
        <v>0</v>
      </c>
      <c r="B16" s="46">
        <v>46276</v>
      </c>
      <c r="C16" s="23">
        <f>IF(B16="","",TEXT(B16,"ddd"))</f>
        <v>0</v>
      </c>
      <c r="D16" s="31">
        <f>IF(B16="","",WEEKNUM(B16,IF(WeekStart="Sunday",1,2)))</f>
        <v>0</v>
      </c>
      <c r="E16" s="23">
        <f>IF(B16="","",TEXT(B16,"yyyy-mm"))</f>
        <v>0</v>
      </c>
      <c r="F16" s="52">
        <v>0.75</v>
      </c>
      <c r="G16" s="49" t="s">
        <v>764</v>
      </c>
      <c r="H16" s="23">
        <f>IF(G16="","",IFERROR(INDEX(Clients!$B$5:$B$204,MATCH(G16,Clients!$A$5:$A$204,0)),"Not found"))</f>
        <v>0</v>
      </c>
      <c r="I16" s="23">
        <f>IF(G16="","",IFERROR(INDEX(Clients!$C$5:$C$204,MATCH(G16,Clients!$A$5:$A$204,0)),""))</f>
        <v>0</v>
      </c>
      <c r="J16" s="49" t="s">
        <v>1141</v>
      </c>
      <c r="K16" s="23">
        <f>IF(J16="","",IFERROR(INDEX(Properties!$B$5:$B$254,MATCH(J16,Properties!$A$5:$A$254,0)),""))</f>
        <v>0</v>
      </c>
      <c r="L16" s="23">
        <f>IF(J16="","",IFERROR(INDEX(Properties!$F$5:$F$254,MATCH(J16,Properties!$A$5:$A$254,0)),""))</f>
        <v>0</v>
      </c>
      <c r="M16" s="15" t="s">
        <v>770</v>
      </c>
      <c r="N16" s="15" t="s">
        <v>1133</v>
      </c>
      <c r="O16" s="15" t="s">
        <v>451</v>
      </c>
      <c r="P16" s="45" t="s">
        <v>406</v>
      </c>
      <c r="Q16" s="15" t="s">
        <v>448</v>
      </c>
      <c r="R16" s="15" t="s">
        <v>608</v>
      </c>
      <c r="S16" s="15" t="s">
        <v>172</v>
      </c>
      <c r="T16" s="16">
        <v>1</v>
      </c>
      <c r="W16" s="17">
        <v>6.2</v>
      </c>
      <c r="X16" s="47" t="s">
        <v>454</v>
      </c>
      <c r="Y16" s="47" t="s">
        <v>454</v>
      </c>
      <c r="AA16" s="47" t="s">
        <v>172</v>
      </c>
      <c r="AB16" s="44" t="s">
        <v>172</v>
      </c>
      <c r="AC16" s="44" t="s">
        <v>172</v>
      </c>
      <c r="AD16" s="34">
        <f>IF(G16="","",IF(U16&lt;&gt;"",U16,IF(AND(IFERROR(INDEX(Services!$D$5:$D$64,MATCH(M16,Services!$B$5:$B$64,0)),"")="Per hour",IFERROR(INDEX(Properties!$X$5:$X$254,MATCH(J16,Properties!$A$5:$A$254,0)),0)&gt;0),IFERROR(INDEX(Properties!$X$5:$X$254,MATCH(J16,Properties!$A$5:$A$254,0)),0),IF(IFERROR(INDEX(Services!$G$5:$G$64,MATCH(M16,Services!$B$5:$B$64,0)),0)&gt;0,IFERROR(INDEX(Services!$G$5:$G$64,MATCH(M16,Services!$B$5:$B$64,0)),0),IFERROR(INDEX(Properties!$X$5:$X$254,MATCH(J16,Properties!$A$5:$A$254,0)),0)))))</f>
        <v>0</v>
      </c>
      <c r="AE16" s="31">
        <f>IF(G16="","",IF(T16="",CleanersPerJob,MAX(1,T16)))</f>
        <v>0</v>
      </c>
      <c r="AF16" s="34">
        <f>IF(G16="","",ROUND(AD16/AE16,2))</f>
        <v>0</v>
      </c>
      <c r="AG16" s="53">
        <f>IF(OR(G16="",F16="",AF16=""),"",F16+AF16/24)</f>
        <v>0</v>
      </c>
      <c r="AH16" s="21">
        <f>IF(G16="","",IF(IFERROR(INDEX(Clients!$O$5:$O$204,MATCH(G16,Clients!$A$5:$A$204,0)),0)&gt;0,IFERROR(INDEX(Clients!$O$5:$O$204,MATCH(G16,Clients!$A$5:$A$204,0)),0),HourlyRate))</f>
        <v>0</v>
      </c>
      <c r="AI16" s="21">
        <f>IF(G16="","",IF(AND(M16&lt;&gt;"",IFERROR(INDEX(Services!$P$5:$P$64,MATCH(M16,Services!$B$5:$B$64,0)),0)&gt;0,IFERROR(INDEX(Services!$D$5:$D$64,MATCH(M16,Services!$B$5:$B$64,0)),"")&lt;&gt;"Per hour"),IFERROR(INDEX(Services!$P$5:$P$64,MATCH(M16,Services!$B$5:$B$64,0)),0),AD16*AH16))</f>
        <v>0</v>
      </c>
      <c r="AJ16" s="21">
        <f>IF(G16="","",IF(V16&lt;&gt;"",V16,IF(P16="Cancelled",0,MAX(MinimumCharge,ROUND(AI16*IFERROR(INDEX(FreqFactors,MATCH(O16,FreqNames,0)),1),2)))))</f>
        <v>0</v>
      </c>
      <c r="AK16" s="34">
        <f>IF(G16="","",IF(SUMIFS(Timesheets!$U$5:$U$804,Timesheets!$G$5:$G$804,A16)&gt;0,SUMIFS(Timesheets!$U$5:$U$804,Timesheets!$G$5:$G$804,A16),IF(Z16="","",Z16)))</f>
        <v>0</v>
      </c>
      <c r="AL16" s="34">
        <f>IF(OR(AK16="",AD16=""),"",AK16-AD16)</f>
        <v>0</v>
      </c>
      <c r="AM16" s="31">
        <f>IF(A16="","",COUNTIFS('Job Tasks'!$B$5:$B$904,A16))</f>
        <v>0</v>
      </c>
      <c r="AN16" s="31">
        <f>IF(A16="","",COUNTIFS('Job Tasks'!$B$5:$B$904,A16,'Job Tasks'!$H$5:$H$904,"Done"))</f>
        <v>0</v>
      </c>
      <c r="AO16" s="38">
        <f>IF(OR(A16="",AM16=0),"",AN16/AM16)</f>
        <v>0</v>
      </c>
      <c r="AP16" s="43">
        <f>IF(A16="","",IFERROR(INDEX('Invoice Lines'!$B$5:$B$804,MATCH(A16,'Invoice Lines'!$C$5:$C$804,0)),""))</f>
        <v>0</v>
      </c>
      <c r="AQ16" s="18">
        <f>IF(OR(G16="",B16="",X16&lt;&gt;"Yes"),"",IF(IFERROR(INDEX(FreqDays,MATCH(O16,FreqNames,0)),0)=0,"",B16+IFERROR(INDEX(FreqDays,MATCH(O16,FreqNames,0)),0)))</f>
        <v>0</v>
      </c>
      <c r="AR16" s="39">
        <f>IF(G16="","",IF(R16="","Unassigned",IF(COUNTIFS($R$5:$R$604,R16,$B$5:$B$604,B16,$F$5:$F$604,F16)&gt;1,"Clash",IF(SUMIFS($AF$5:$AF$604,$R$5:$R$604,R16,$B$5:$B$604,B16)&gt;ProductiveHours,"Long day","OK"))))</f>
        <v>0</v>
      </c>
      <c r="AS16" s="18">
        <f>IF(OR(G16="",B16=""),"",IF(AND(B16&gt;=TodayDate,P16&lt;&gt;"Cancelled"),B16,""))</f>
        <v>0</v>
      </c>
      <c r="AT16" s="31">
        <f>IF(AS16="","",COUNTIFS($AS$5:$AS$604,"&lt;"&amp;AS16)+COUNTIFS($AS$5:AS16,AS16))</f>
        <v>0</v>
      </c>
      <c r="AU16" s="18">
        <f>IF(OR(G16="",B16="",R16&lt;&gt;""),"",IF(AND(B16&gt;=TodayDate,P16&lt;&gt;"Cancelled"),B16,""))</f>
        <v>0</v>
      </c>
      <c r="AV16" s="31">
        <f>IF(AU16="","",COUNTIFS($AU$5:$AU$604,"&lt;"&amp;AU16)+COUNTIFS($AU$5:AU16,AU16))</f>
        <v>0</v>
      </c>
      <c r="AW16" s="31">
        <f>IF(OR(G16="",B16=""),"",B16-TodayDate)</f>
        <v>0</v>
      </c>
      <c r="AX16" s="39">
        <f>IF(G16="","",IF(P16="Cancelled","Cancelled",IF(P16="No access","Action - no access, rebook",IF(AND(B16&lt;&gt;"",AW16&lt;0,OR(P16="Booked",P16="Confirmed",P16="In progress")),"Late - mark it completed",IF(AND(P16="Completed",AP16=""),"Action - not invoiced yet",IF(AND(AW16&gt;=0,AW16&lt;=ReminderDays,Y16&lt;&gt;"Yes"),"Confirm - visit coming up",IF(R16="","Assign - no cleaner booked",IF(AND(P16="Completed",AO16&lt;&gt;"",AO16&lt;1),"Check - checklist unfinished","OK"))))))))</f>
        <v>0</v>
      </c>
    </row>
    <row r="17" spans="1:50">
      <c r="A17" s="43">
        <f>IF(G17="","",JobPrefix&amp;TEXT(ROW()-4,"0000"))</f>
        <v>0</v>
      </c>
      <c r="B17" s="46">
        <v>46276</v>
      </c>
      <c r="C17" s="23">
        <f>IF(B17="","",TEXT(B17,"ddd"))</f>
        <v>0</v>
      </c>
      <c r="D17" s="31">
        <f>IF(B17="","",WEEKNUM(B17,IF(WeekStart="Sunday",1,2)))</f>
        <v>0</v>
      </c>
      <c r="E17" s="23">
        <f>IF(B17="","",TEXT(B17,"yyyy-mm"))</f>
        <v>0</v>
      </c>
      <c r="F17" s="52">
        <v>0.833333333333333</v>
      </c>
      <c r="G17" s="49" t="s">
        <v>848</v>
      </c>
      <c r="H17" s="23">
        <f>IF(G17="","",IFERROR(INDEX(Clients!$B$5:$B$204,MATCH(G17,Clients!$A$5:$A$204,0)),"Not found"))</f>
        <v>0</v>
      </c>
      <c r="I17" s="23">
        <f>IF(G17="","",IFERROR(INDEX(Clients!$C$5:$C$204,MATCH(G17,Clients!$A$5:$A$204,0)),""))</f>
        <v>0</v>
      </c>
      <c r="J17" s="49" t="s">
        <v>1142</v>
      </c>
      <c r="K17" s="23">
        <f>IF(J17="","",IFERROR(INDEX(Properties!$B$5:$B$254,MATCH(J17,Properties!$A$5:$A$254,0)),""))</f>
        <v>0</v>
      </c>
      <c r="L17" s="23">
        <f>IF(J17="","",IFERROR(INDEX(Properties!$F$5:$F$254,MATCH(J17,Properties!$A$5:$A$254,0)),""))</f>
        <v>0</v>
      </c>
      <c r="M17" s="15" t="s">
        <v>770</v>
      </c>
      <c r="N17" s="15" t="s">
        <v>1133</v>
      </c>
      <c r="O17" s="15" t="s">
        <v>451</v>
      </c>
      <c r="P17" s="45" t="s">
        <v>406</v>
      </c>
      <c r="Q17" s="15" t="s">
        <v>448</v>
      </c>
      <c r="R17" s="15" t="s">
        <v>608</v>
      </c>
      <c r="S17" s="15" t="s">
        <v>172</v>
      </c>
      <c r="T17" s="16">
        <v>1</v>
      </c>
      <c r="W17" s="17">
        <v>4.4</v>
      </c>
      <c r="X17" s="47" t="s">
        <v>454</v>
      </c>
      <c r="Y17" s="47" t="s">
        <v>454</v>
      </c>
      <c r="AA17" s="47" t="s">
        <v>172</v>
      </c>
      <c r="AB17" s="44" t="s">
        <v>172</v>
      </c>
      <c r="AC17" s="44" t="s">
        <v>172</v>
      </c>
      <c r="AD17" s="34">
        <f>IF(G17="","",IF(U17&lt;&gt;"",U17,IF(AND(IFERROR(INDEX(Services!$D$5:$D$64,MATCH(M17,Services!$B$5:$B$64,0)),"")="Per hour",IFERROR(INDEX(Properties!$X$5:$X$254,MATCH(J17,Properties!$A$5:$A$254,0)),0)&gt;0),IFERROR(INDEX(Properties!$X$5:$X$254,MATCH(J17,Properties!$A$5:$A$254,0)),0),IF(IFERROR(INDEX(Services!$G$5:$G$64,MATCH(M17,Services!$B$5:$B$64,0)),0)&gt;0,IFERROR(INDEX(Services!$G$5:$G$64,MATCH(M17,Services!$B$5:$B$64,0)),0),IFERROR(INDEX(Properties!$X$5:$X$254,MATCH(J17,Properties!$A$5:$A$254,0)),0)))))</f>
        <v>0</v>
      </c>
      <c r="AE17" s="31">
        <f>IF(G17="","",IF(T17="",CleanersPerJob,MAX(1,T17)))</f>
        <v>0</v>
      </c>
      <c r="AF17" s="34">
        <f>IF(G17="","",ROUND(AD17/AE17,2))</f>
        <v>0</v>
      </c>
      <c r="AG17" s="53">
        <f>IF(OR(G17="",F17="",AF17=""),"",F17+AF17/24)</f>
        <v>0</v>
      </c>
      <c r="AH17" s="21">
        <f>IF(G17="","",IF(IFERROR(INDEX(Clients!$O$5:$O$204,MATCH(G17,Clients!$A$5:$A$204,0)),0)&gt;0,IFERROR(INDEX(Clients!$O$5:$O$204,MATCH(G17,Clients!$A$5:$A$204,0)),0),HourlyRate))</f>
        <v>0</v>
      </c>
      <c r="AI17" s="21">
        <f>IF(G17="","",IF(AND(M17&lt;&gt;"",IFERROR(INDEX(Services!$P$5:$P$64,MATCH(M17,Services!$B$5:$B$64,0)),0)&gt;0,IFERROR(INDEX(Services!$D$5:$D$64,MATCH(M17,Services!$B$5:$B$64,0)),"")&lt;&gt;"Per hour"),IFERROR(INDEX(Services!$P$5:$P$64,MATCH(M17,Services!$B$5:$B$64,0)),0),AD17*AH17))</f>
        <v>0</v>
      </c>
      <c r="AJ17" s="21">
        <f>IF(G17="","",IF(V17&lt;&gt;"",V17,IF(P17="Cancelled",0,MAX(MinimumCharge,ROUND(AI17*IFERROR(INDEX(FreqFactors,MATCH(O17,FreqNames,0)),1),2)))))</f>
        <v>0</v>
      </c>
      <c r="AK17" s="34">
        <f>IF(G17="","",IF(SUMIFS(Timesheets!$U$5:$U$804,Timesheets!$G$5:$G$804,A17)&gt;0,SUMIFS(Timesheets!$U$5:$U$804,Timesheets!$G$5:$G$804,A17),IF(Z17="","",Z17)))</f>
        <v>0</v>
      </c>
      <c r="AL17" s="34">
        <f>IF(OR(AK17="",AD17=""),"",AK17-AD17)</f>
        <v>0</v>
      </c>
      <c r="AM17" s="31">
        <f>IF(A17="","",COUNTIFS('Job Tasks'!$B$5:$B$904,A17))</f>
        <v>0</v>
      </c>
      <c r="AN17" s="31">
        <f>IF(A17="","",COUNTIFS('Job Tasks'!$B$5:$B$904,A17,'Job Tasks'!$H$5:$H$904,"Done"))</f>
        <v>0</v>
      </c>
      <c r="AO17" s="38">
        <f>IF(OR(A17="",AM17=0),"",AN17/AM17)</f>
        <v>0</v>
      </c>
      <c r="AP17" s="43">
        <f>IF(A17="","",IFERROR(INDEX('Invoice Lines'!$B$5:$B$804,MATCH(A17,'Invoice Lines'!$C$5:$C$804,0)),""))</f>
        <v>0</v>
      </c>
      <c r="AQ17" s="18">
        <f>IF(OR(G17="",B17="",X17&lt;&gt;"Yes"),"",IF(IFERROR(INDEX(FreqDays,MATCH(O17,FreqNames,0)),0)=0,"",B17+IFERROR(INDEX(FreqDays,MATCH(O17,FreqNames,0)),0)))</f>
        <v>0</v>
      </c>
      <c r="AR17" s="39">
        <f>IF(G17="","",IF(R17="","Unassigned",IF(COUNTIFS($R$5:$R$604,R17,$B$5:$B$604,B17,$F$5:$F$604,F17)&gt;1,"Clash",IF(SUMIFS($AF$5:$AF$604,$R$5:$R$604,R17,$B$5:$B$604,B17)&gt;ProductiveHours,"Long day","OK"))))</f>
        <v>0</v>
      </c>
      <c r="AS17" s="18">
        <f>IF(OR(G17="",B17=""),"",IF(AND(B17&gt;=TodayDate,P17&lt;&gt;"Cancelled"),B17,""))</f>
        <v>0</v>
      </c>
      <c r="AT17" s="31">
        <f>IF(AS17="","",COUNTIFS($AS$5:$AS$604,"&lt;"&amp;AS17)+COUNTIFS($AS$5:AS17,AS17))</f>
        <v>0</v>
      </c>
      <c r="AU17" s="18">
        <f>IF(OR(G17="",B17="",R17&lt;&gt;""),"",IF(AND(B17&gt;=TodayDate,P17&lt;&gt;"Cancelled"),B17,""))</f>
        <v>0</v>
      </c>
      <c r="AV17" s="31">
        <f>IF(AU17="","",COUNTIFS($AU$5:$AU$604,"&lt;"&amp;AU17)+COUNTIFS($AU$5:AU17,AU17))</f>
        <v>0</v>
      </c>
      <c r="AW17" s="31">
        <f>IF(OR(G17="",B17=""),"",B17-TodayDate)</f>
        <v>0</v>
      </c>
      <c r="AX17" s="39">
        <f>IF(G17="","",IF(P17="Cancelled","Cancelled",IF(P17="No access","Action - no access, rebook",IF(AND(B17&lt;&gt;"",AW17&lt;0,OR(P17="Booked",P17="Confirmed",P17="In progress")),"Late - mark it completed",IF(AND(P17="Completed",AP17=""),"Action - not invoiced yet",IF(AND(AW17&gt;=0,AW17&lt;=ReminderDays,Y17&lt;&gt;"Yes"),"Confirm - visit coming up",IF(R17="","Assign - no cleaner booked",IF(AND(P17="Completed",AO17&lt;&gt;"",AO17&lt;1),"Check - checklist unfinished","OK"))))))))</f>
        <v>0</v>
      </c>
    </row>
    <row r="18" spans="1:50">
      <c r="A18" s="43">
        <f>IF(G18="","",JobPrefix&amp;TEXT(ROW()-4,"0000"))</f>
        <v>0</v>
      </c>
      <c r="B18" s="46">
        <v>46277</v>
      </c>
      <c r="C18" s="23">
        <f>IF(B18="","",TEXT(B18,"ddd"))</f>
        <v>0</v>
      </c>
      <c r="D18" s="31">
        <f>IF(B18="","",WEEKNUM(B18,IF(WeekStart="Sunday",1,2)))</f>
        <v>0</v>
      </c>
      <c r="E18" s="23">
        <f>IF(B18="","",TEXT(B18,"yyyy-mm"))</f>
        <v>0</v>
      </c>
      <c r="F18" s="52">
        <v>0.458333333333333</v>
      </c>
      <c r="G18" s="49" t="s">
        <v>818</v>
      </c>
      <c r="H18" s="23">
        <f>IF(G18="","",IFERROR(INDEX(Clients!$B$5:$B$204,MATCH(G18,Clients!$A$5:$A$204,0)),"Not found"))</f>
        <v>0</v>
      </c>
      <c r="I18" s="23">
        <f>IF(G18="","",IFERROR(INDEX(Clients!$C$5:$C$204,MATCH(G18,Clients!$A$5:$A$204,0)),""))</f>
        <v>0</v>
      </c>
      <c r="J18" s="49" t="s">
        <v>1143</v>
      </c>
      <c r="K18" s="23">
        <f>IF(J18="","",IFERROR(INDEX(Properties!$B$5:$B$254,MATCH(J18,Properties!$A$5:$A$254,0)),""))</f>
        <v>0</v>
      </c>
      <c r="L18" s="23">
        <f>IF(J18="","",IFERROR(INDEX(Properties!$F$5:$F$254,MATCH(J18,Properties!$A$5:$A$254,0)),""))</f>
        <v>0</v>
      </c>
      <c r="M18" s="15" t="s">
        <v>821</v>
      </c>
      <c r="N18" s="15" t="s">
        <v>1133</v>
      </c>
      <c r="O18" s="15" t="s">
        <v>451</v>
      </c>
      <c r="P18" s="45" t="s">
        <v>406</v>
      </c>
      <c r="Q18" s="15" t="s">
        <v>448</v>
      </c>
      <c r="R18" s="15" t="s">
        <v>596</v>
      </c>
      <c r="S18" s="15" t="s">
        <v>172</v>
      </c>
      <c r="T18" s="16">
        <v>1</v>
      </c>
      <c r="W18" s="17">
        <v>5.8</v>
      </c>
      <c r="X18" s="47" t="s">
        <v>454</v>
      </c>
      <c r="Y18" s="47" t="s">
        <v>454</v>
      </c>
      <c r="AA18" s="47" t="s">
        <v>172</v>
      </c>
      <c r="AB18" s="44" t="s">
        <v>172</v>
      </c>
      <c r="AC18" s="44" t="s">
        <v>172</v>
      </c>
      <c r="AD18" s="34">
        <f>IF(G18="","",IF(U18&lt;&gt;"",U18,IF(AND(IFERROR(INDEX(Services!$D$5:$D$64,MATCH(M18,Services!$B$5:$B$64,0)),"")="Per hour",IFERROR(INDEX(Properties!$X$5:$X$254,MATCH(J18,Properties!$A$5:$A$254,0)),0)&gt;0),IFERROR(INDEX(Properties!$X$5:$X$254,MATCH(J18,Properties!$A$5:$A$254,0)),0),IF(IFERROR(INDEX(Services!$G$5:$G$64,MATCH(M18,Services!$B$5:$B$64,0)),0)&gt;0,IFERROR(INDEX(Services!$G$5:$G$64,MATCH(M18,Services!$B$5:$B$64,0)),0),IFERROR(INDEX(Properties!$X$5:$X$254,MATCH(J18,Properties!$A$5:$A$254,0)),0)))))</f>
        <v>0</v>
      </c>
      <c r="AE18" s="31">
        <f>IF(G18="","",IF(T18="",CleanersPerJob,MAX(1,T18)))</f>
        <v>0</v>
      </c>
      <c r="AF18" s="34">
        <f>IF(G18="","",ROUND(AD18/AE18,2))</f>
        <v>0</v>
      </c>
      <c r="AG18" s="53">
        <f>IF(OR(G18="",F18="",AF18=""),"",F18+AF18/24)</f>
        <v>0</v>
      </c>
      <c r="AH18" s="21">
        <f>IF(G18="","",IF(IFERROR(INDEX(Clients!$O$5:$O$204,MATCH(G18,Clients!$A$5:$A$204,0)),0)&gt;0,IFERROR(INDEX(Clients!$O$5:$O$204,MATCH(G18,Clients!$A$5:$A$204,0)),0),HourlyRate))</f>
        <v>0</v>
      </c>
      <c r="AI18" s="21">
        <f>IF(G18="","",IF(AND(M18&lt;&gt;"",IFERROR(INDEX(Services!$P$5:$P$64,MATCH(M18,Services!$B$5:$B$64,0)),0)&gt;0,IFERROR(INDEX(Services!$D$5:$D$64,MATCH(M18,Services!$B$5:$B$64,0)),"")&lt;&gt;"Per hour"),IFERROR(INDEX(Services!$P$5:$P$64,MATCH(M18,Services!$B$5:$B$64,0)),0),AD18*AH18))</f>
        <v>0</v>
      </c>
      <c r="AJ18" s="21">
        <f>IF(G18="","",IF(V18&lt;&gt;"",V18,IF(P18="Cancelled",0,MAX(MinimumCharge,ROUND(AI18*IFERROR(INDEX(FreqFactors,MATCH(O18,FreqNames,0)),1),2)))))</f>
        <v>0</v>
      </c>
      <c r="AK18" s="34">
        <f>IF(G18="","",IF(SUMIFS(Timesheets!$U$5:$U$804,Timesheets!$G$5:$G$804,A18)&gt;0,SUMIFS(Timesheets!$U$5:$U$804,Timesheets!$G$5:$G$804,A18),IF(Z18="","",Z18)))</f>
        <v>0</v>
      </c>
      <c r="AL18" s="34">
        <f>IF(OR(AK18="",AD18=""),"",AK18-AD18)</f>
        <v>0</v>
      </c>
      <c r="AM18" s="31">
        <f>IF(A18="","",COUNTIFS('Job Tasks'!$B$5:$B$904,A18))</f>
        <v>0</v>
      </c>
      <c r="AN18" s="31">
        <f>IF(A18="","",COUNTIFS('Job Tasks'!$B$5:$B$904,A18,'Job Tasks'!$H$5:$H$904,"Done"))</f>
        <v>0</v>
      </c>
      <c r="AO18" s="38">
        <f>IF(OR(A18="",AM18=0),"",AN18/AM18)</f>
        <v>0</v>
      </c>
      <c r="AP18" s="43">
        <f>IF(A18="","",IFERROR(INDEX('Invoice Lines'!$B$5:$B$804,MATCH(A18,'Invoice Lines'!$C$5:$C$804,0)),""))</f>
        <v>0</v>
      </c>
      <c r="AQ18" s="18">
        <f>IF(OR(G18="",B18="",X18&lt;&gt;"Yes"),"",IF(IFERROR(INDEX(FreqDays,MATCH(O18,FreqNames,0)),0)=0,"",B18+IFERROR(INDEX(FreqDays,MATCH(O18,FreqNames,0)),0)))</f>
        <v>0</v>
      </c>
      <c r="AR18" s="39">
        <f>IF(G18="","",IF(R18="","Unassigned",IF(COUNTIFS($R$5:$R$604,R18,$B$5:$B$604,B18,$F$5:$F$604,F18)&gt;1,"Clash",IF(SUMIFS($AF$5:$AF$604,$R$5:$R$604,R18,$B$5:$B$604,B18)&gt;ProductiveHours,"Long day","OK"))))</f>
        <v>0</v>
      </c>
      <c r="AS18" s="18">
        <f>IF(OR(G18="",B18=""),"",IF(AND(B18&gt;=TodayDate,P18&lt;&gt;"Cancelled"),B18,""))</f>
        <v>0</v>
      </c>
      <c r="AT18" s="31">
        <f>IF(AS18="","",COUNTIFS($AS$5:$AS$604,"&lt;"&amp;AS18)+COUNTIFS($AS$5:AS18,AS18))</f>
        <v>0</v>
      </c>
      <c r="AU18" s="18">
        <f>IF(OR(G18="",B18="",R18&lt;&gt;""),"",IF(AND(B18&gt;=TodayDate,P18&lt;&gt;"Cancelled"),B18,""))</f>
        <v>0</v>
      </c>
      <c r="AV18" s="31">
        <f>IF(AU18="","",COUNTIFS($AU$5:$AU$604,"&lt;"&amp;AU18)+COUNTIFS($AU$5:AU18,AU18))</f>
        <v>0</v>
      </c>
      <c r="AW18" s="31">
        <f>IF(OR(G18="",B18=""),"",B18-TodayDate)</f>
        <v>0</v>
      </c>
      <c r="AX18" s="39">
        <f>IF(G18="","",IF(P18="Cancelled","Cancelled",IF(P18="No access","Action - no access, rebook",IF(AND(B18&lt;&gt;"",AW18&lt;0,OR(P18="Booked",P18="Confirmed",P18="In progress")),"Late - mark it completed",IF(AND(P18="Completed",AP18=""),"Action - not invoiced yet",IF(AND(AW18&gt;=0,AW18&lt;=ReminderDays,Y18&lt;&gt;"Yes"),"Confirm - visit coming up",IF(R18="","Assign - no cleaner booked",IF(AND(P18="Completed",AO18&lt;&gt;"",AO18&lt;1),"Check - checklist unfinished","OK"))))))))</f>
        <v>0</v>
      </c>
    </row>
    <row r="19" spans="1:50">
      <c r="A19" s="43">
        <f>IF(G19="","",JobPrefix&amp;TEXT(ROW()-4,"0000"))</f>
        <v>0</v>
      </c>
      <c r="B19" s="46">
        <v>46277</v>
      </c>
      <c r="C19" s="23">
        <f>IF(B19="","",TEXT(B19,"ddd"))</f>
        <v>0</v>
      </c>
      <c r="D19" s="31">
        <f>IF(B19="","",WEEKNUM(B19,IF(WeekStart="Sunday",1,2)))</f>
        <v>0</v>
      </c>
      <c r="E19" s="23">
        <f>IF(B19="","",TEXT(B19,"yyyy-mm"))</f>
        <v>0</v>
      </c>
      <c r="F19" s="52">
        <v>0.583333333333333</v>
      </c>
      <c r="G19" s="49" t="s">
        <v>818</v>
      </c>
      <c r="H19" s="23">
        <f>IF(G19="","",IFERROR(INDEX(Clients!$B$5:$B$204,MATCH(G19,Clients!$A$5:$A$204,0)),"Not found"))</f>
        <v>0</v>
      </c>
      <c r="I19" s="23">
        <f>IF(G19="","",IFERROR(INDEX(Clients!$C$5:$C$204,MATCH(G19,Clients!$A$5:$A$204,0)),""))</f>
        <v>0</v>
      </c>
      <c r="J19" s="49" t="s">
        <v>1144</v>
      </c>
      <c r="K19" s="23">
        <f>IF(J19="","",IFERROR(INDEX(Properties!$B$5:$B$254,MATCH(J19,Properties!$A$5:$A$254,0)),""))</f>
        <v>0</v>
      </c>
      <c r="L19" s="23">
        <f>IF(J19="","",IFERROR(INDEX(Properties!$F$5:$F$254,MATCH(J19,Properties!$A$5:$A$254,0)),""))</f>
        <v>0</v>
      </c>
      <c r="M19" s="15" t="s">
        <v>821</v>
      </c>
      <c r="N19" s="15" t="s">
        <v>1133</v>
      </c>
      <c r="O19" s="15" t="s">
        <v>451</v>
      </c>
      <c r="P19" s="45" t="s">
        <v>406</v>
      </c>
      <c r="Q19" s="15" t="s">
        <v>448</v>
      </c>
      <c r="R19" s="15" t="s">
        <v>596</v>
      </c>
      <c r="S19" s="15" t="s">
        <v>172</v>
      </c>
      <c r="T19" s="16">
        <v>1</v>
      </c>
      <c r="W19" s="17">
        <v>6.8</v>
      </c>
      <c r="X19" s="47" t="s">
        <v>454</v>
      </c>
      <c r="Y19" s="47" t="s">
        <v>454</v>
      </c>
      <c r="AA19" s="47" t="s">
        <v>172</v>
      </c>
      <c r="AB19" s="44" t="s">
        <v>172</v>
      </c>
      <c r="AC19" s="44" t="s">
        <v>172</v>
      </c>
      <c r="AD19" s="34">
        <f>IF(G19="","",IF(U19&lt;&gt;"",U19,IF(AND(IFERROR(INDEX(Services!$D$5:$D$64,MATCH(M19,Services!$B$5:$B$64,0)),"")="Per hour",IFERROR(INDEX(Properties!$X$5:$X$254,MATCH(J19,Properties!$A$5:$A$254,0)),0)&gt;0),IFERROR(INDEX(Properties!$X$5:$X$254,MATCH(J19,Properties!$A$5:$A$254,0)),0),IF(IFERROR(INDEX(Services!$G$5:$G$64,MATCH(M19,Services!$B$5:$B$64,0)),0)&gt;0,IFERROR(INDEX(Services!$G$5:$G$64,MATCH(M19,Services!$B$5:$B$64,0)),0),IFERROR(INDEX(Properties!$X$5:$X$254,MATCH(J19,Properties!$A$5:$A$254,0)),0)))))</f>
        <v>0</v>
      </c>
      <c r="AE19" s="31">
        <f>IF(G19="","",IF(T19="",CleanersPerJob,MAX(1,T19)))</f>
        <v>0</v>
      </c>
      <c r="AF19" s="34">
        <f>IF(G19="","",ROUND(AD19/AE19,2))</f>
        <v>0</v>
      </c>
      <c r="AG19" s="53">
        <f>IF(OR(G19="",F19="",AF19=""),"",F19+AF19/24)</f>
        <v>0</v>
      </c>
      <c r="AH19" s="21">
        <f>IF(G19="","",IF(IFERROR(INDEX(Clients!$O$5:$O$204,MATCH(G19,Clients!$A$5:$A$204,0)),0)&gt;0,IFERROR(INDEX(Clients!$O$5:$O$204,MATCH(G19,Clients!$A$5:$A$204,0)),0),HourlyRate))</f>
        <v>0</v>
      </c>
      <c r="AI19" s="21">
        <f>IF(G19="","",IF(AND(M19&lt;&gt;"",IFERROR(INDEX(Services!$P$5:$P$64,MATCH(M19,Services!$B$5:$B$64,0)),0)&gt;0,IFERROR(INDEX(Services!$D$5:$D$64,MATCH(M19,Services!$B$5:$B$64,0)),"")&lt;&gt;"Per hour"),IFERROR(INDEX(Services!$P$5:$P$64,MATCH(M19,Services!$B$5:$B$64,0)),0),AD19*AH19))</f>
        <v>0</v>
      </c>
      <c r="AJ19" s="21">
        <f>IF(G19="","",IF(V19&lt;&gt;"",V19,IF(P19="Cancelled",0,MAX(MinimumCharge,ROUND(AI19*IFERROR(INDEX(FreqFactors,MATCH(O19,FreqNames,0)),1),2)))))</f>
        <v>0</v>
      </c>
      <c r="AK19" s="34">
        <f>IF(G19="","",IF(SUMIFS(Timesheets!$U$5:$U$804,Timesheets!$G$5:$G$804,A19)&gt;0,SUMIFS(Timesheets!$U$5:$U$804,Timesheets!$G$5:$G$804,A19),IF(Z19="","",Z19)))</f>
        <v>0</v>
      </c>
      <c r="AL19" s="34">
        <f>IF(OR(AK19="",AD19=""),"",AK19-AD19)</f>
        <v>0</v>
      </c>
      <c r="AM19" s="31">
        <f>IF(A19="","",COUNTIFS('Job Tasks'!$B$5:$B$904,A19))</f>
        <v>0</v>
      </c>
      <c r="AN19" s="31">
        <f>IF(A19="","",COUNTIFS('Job Tasks'!$B$5:$B$904,A19,'Job Tasks'!$H$5:$H$904,"Done"))</f>
        <v>0</v>
      </c>
      <c r="AO19" s="38">
        <f>IF(OR(A19="",AM19=0),"",AN19/AM19)</f>
        <v>0</v>
      </c>
      <c r="AP19" s="43">
        <f>IF(A19="","",IFERROR(INDEX('Invoice Lines'!$B$5:$B$804,MATCH(A19,'Invoice Lines'!$C$5:$C$804,0)),""))</f>
        <v>0</v>
      </c>
      <c r="AQ19" s="18">
        <f>IF(OR(G19="",B19="",X19&lt;&gt;"Yes"),"",IF(IFERROR(INDEX(FreqDays,MATCH(O19,FreqNames,0)),0)=0,"",B19+IFERROR(INDEX(FreqDays,MATCH(O19,FreqNames,0)),0)))</f>
        <v>0</v>
      </c>
      <c r="AR19" s="39">
        <f>IF(G19="","",IF(R19="","Unassigned",IF(COUNTIFS($R$5:$R$604,R19,$B$5:$B$604,B19,$F$5:$F$604,F19)&gt;1,"Clash",IF(SUMIFS($AF$5:$AF$604,$R$5:$R$604,R19,$B$5:$B$604,B19)&gt;ProductiveHours,"Long day","OK"))))</f>
        <v>0</v>
      </c>
      <c r="AS19" s="18">
        <f>IF(OR(G19="",B19=""),"",IF(AND(B19&gt;=TodayDate,P19&lt;&gt;"Cancelled"),B19,""))</f>
        <v>0</v>
      </c>
      <c r="AT19" s="31">
        <f>IF(AS19="","",COUNTIFS($AS$5:$AS$604,"&lt;"&amp;AS19)+COUNTIFS($AS$5:AS19,AS19))</f>
        <v>0</v>
      </c>
      <c r="AU19" s="18">
        <f>IF(OR(G19="",B19="",R19&lt;&gt;""),"",IF(AND(B19&gt;=TodayDate,P19&lt;&gt;"Cancelled"),B19,""))</f>
        <v>0</v>
      </c>
      <c r="AV19" s="31">
        <f>IF(AU19="","",COUNTIFS($AU$5:$AU$604,"&lt;"&amp;AU19)+COUNTIFS($AU$5:AU19,AU19))</f>
        <v>0</v>
      </c>
      <c r="AW19" s="31">
        <f>IF(OR(G19="",B19=""),"",B19-TodayDate)</f>
        <v>0</v>
      </c>
      <c r="AX19" s="39">
        <f>IF(G19="","",IF(P19="Cancelled","Cancelled",IF(P19="No access","Action - no access, rebook",IF(AND(B19&lt;&gt;"",AW19&lt;0,OR(P19="Booked",P19="Confirmed",P19="In progress")),"Late - mark it completed",IF(AND(P19="Completed",AP19=""),"Action - not invoiced yet",IF(AND(AW19&gt;=0,AW19&lt;=ReminderDays,Y19&lt;&gt;"Yes"),"Confirm - visit coming up",IF(R19="","Assign - no cleaner booked",IF(AND(P19="Completed",AO19&lt;&gt;"",AO19&lt;1),"Check - checklist unfinished","OK"))))))))</f>
        <v>0</v>
      </c>
    </row>
    <row r="20" spans="1:50">
      <c r="A20" s="43">
        <f>IF(G20="","",JobPrefix&amp;TEXT(ROW()-4,"0000"))</f>
        <v>0</v>
      </c>
      <c r="B20" s="46">
        <v>46278</v>
      </c>
      <c r="C20" s="23">
        <f>IF(B20="","",TEXT(B20,"ddd"))</f>
        <v>0</v>
      </c>
      <c r="D20" s="31">
        <f>IF(B20="","",WEEKNUM(B20,IF(WeekStart="Sunday",1,2)))</f>
        <v>0</v>
      </c>
      <c r="E20" s="23">
        <f>IF(B20="","",TEXT(B20,"yyyy-mm"))</f>
        <v>0</v>
      </c>
      <c r="F20" s="52">
        <v>0.291666666666667</v>
      </c>
      <c r="G20" s="49" t="s">
        <v>793</v>
      </c>
      <c r="H20" s="23">
        <f>IF(G20="","",IFERROR(INDEX(Clients!$B$5:$B$204,MATCH(G20,Clients!$A$5:$A$204,0)),"Not found"))</f>
        <v>0</v>
      </c>
      <c r="I20" s="23">
        <f>IF(G20="","",IFERROR(INDEX(Clients!$C$5:$C$204,MATCH(G20,Clients!$A$5:$A$204,0)),""))</f>
        <v>0</v>
      </c>
      <c r="J20" s="49" t="s">
        <v>1145</v>
      </c>
      <c r="K20" s="23">
        <f>IF(J20="","",IFERROR(INDEX(Properties!$B$5:$B$254,MATCH(J20,Properties!$A$5:$A$254,0)),""))</f>
        <v>0</v>
      </c>
      <c r="L20" s="23">
        <f>IF(J20="","",IFERROR(INDEX(Properties!$F$5:$F$254,MATCH(J20,Properties!$A$5:$A$254,0)),""))</f>
        <v>0</v>
      </c>
      <c r="M20" s="15" t="s">
        <v>797</v>
      </c>
      <c r="N20" s="15" t="s">
        <v>1133</v>
      </c>
      <c r="O20" s="15" t="s">
        <v>451</v>
      </c>
      <c r="P20" s="45" t="s">
        <v>406</v>
      </c>
      <c r="Q20" s="15" t="s">
        <v>448</v>
      </c>
      <c r="R20" s="15" t="s">
        <v>639</v>
      </c>
      <c r="S20" s="15" t="s">
        <v>172</v>
      </c>
      <c r="T20" s="16">
        <v>1</v>
      </c>
      <c r="W20" s="17">
        <v>10</v>
      </c>
      <c r="X20" s="47" t="s">
        <v>454</v>
      </c>
      <c r="Y20" s="47" t="s">
        <v>454</v>
      </c>
      <c r="AA20" s="47">
        <v>5</v>
      </c>
      <c r="AB20" s="44" t="s">
        <v>172</v>
      </c>
      <c r="AC20" s="44" t="s">
        <v>172</v>
      </c>
      <c r="AD20" s="34">
        <f>IF(G20="","",IF(U20&lt;&gt;"",U20,IF(AND(IFERROR(INDEX(Services!$D$5:$D$64,MATCH(M20,Services!$B$5:$B$64,0)),"")="Per hour",IFERROR(INDEX(Properties!$X$5:$X$254,MATCH(J20,Properties!$A$5:$A$254,0)),0)&gt;0),IFERROR(INDEX(Properties!$X$5:$X$254,MATCH(J20,Properties!$A$5:$A$254,0)),0),IF(IFERROR(INDEX(Services!$G$5:$G$64,MATCH(M20,Services!$B$5:$B$64,0)),0)&gt;0,IFERROR(INDEX(Services!$G$5:$G$64,MATCH(M20,Services!$B$5:$B$64,0)),0),IFERROR(INDEX(Properties!$X$5:$X$254,MATCH(J20,Properties!$A$5:$A$254,0)),0)))))</f>
        <v>0</v>
      </c>
      <c r="AE20" s="31">
        <f>IF(G20="","",IF(T20="",CleanersPerJob,MAX(1,T20)))</f>
        <v>0</v>
      </c>
      <c r="AF20" s="34">
        <f>IF(G20="","",ROUND(AD20/AE20,2))</f>
        <v>0</v>
      </c>
      <c r="AG20" s="53">
        <f>IF(OR(G20="",F20="",AF20=""),"",F20+AF20/24)</f>
        <v>0</v>
      </c>
      <c r="AH20" s="21">
        <f>IF(G20="","",IF(IFERROR(INDEX(Clients!$O$5:$O$204,MATCH(G20,Clients!$A$5:$A$204,0)),0)&gt;0,IFERROR(INDEX(Clients!$O$5:$O$204,MATCH(G20,Clients!$A$5:$A$204,0)),0),HourlyRate))</f>
        <v>0</v>
      </c>
      <c r="AI20" s="21">
        <f>IF(G20="","",IF(AND(M20&lt;&gt;"",IFERROR(INDEX(Services!$P$5:$P$64,MATCH(M20,Services!$B$5:$B$64,0)),0)&gt;0,IFERROR(INDEX(Services!$D$5:$D$64,MATCH(M20,Services!$B$5:$B$64,0)),"")&lt;&gt;"Per hour"),IFERROR(INDEX(Services!$P$5:$P$64,MATCH(M20,Services!$B$5:$B$64,0)),0),AD20*AH20))</f>
        <v>0</v>
      </c>
      <c r="AJ20" s="21">
        <f>IF(G20="","",IF(V20&lt;&gt;"",V20,IF(P20="Cancelled",0,MAX(MinimumCharge,ROUND(AI20*IFERROR(INDEX(FreqFactors,MATCH(O20,FreqNames,0)),1),2)))))</f>
        <v>0</v>
      </c>
      <c r="AK20" s="34">
        <f>IF(G20="","",IF(SUMIFS(Timesheets!$U$5:$U$804,Timesheets!$G$5:$G$804,A20)&gt;0,SUMIFS(Timesheets!$U$5:$U$804,Timesheets!$G$5:$G$804,A20),IF(Z20="","",Z20)))</f>
        <v>0</v>
      </c>
      <c r="AL20" s="34">
        <f>IF(OR(AK20="",AD20=""),"",AK20-AD20)</f>
        <v>0</v>
      </c>
      <c r="AM20" s="31">
        <f>IF(A20="","",COUNTIFS('Job Tasks'!$B$5:$B$904,A20))</f>
        <v>0</v>
      </c>
      <c r="AN20" s="31">
        <f>IF(A20="","",COUNTIFS('Job Tasks'!$B$5:$B$904,A20,'Job Tasks'!$H$5:$H$904,"Done"))</f>
        <v>0</v>
      </c>
      <c r="AO20" s="38">
        <f>IF(OR(A20="",AM20=0),"",AN20/AM20)</f>
        <v>0</v>
      </c>
      <c r="AP20" s="43">
        <f>IF(A20="","",IFERROR(INDEX('Invoice Lines'!$B$5:$B$804,MATCH(A20,'Invoice Lines'!$C$5:$C$804,0)),""))</f>
        <v>0</v>
      </c>
      <c r="AQ20" s="18">
        <f>IF(OR(G20="",B20="",X20&lt;&gt;"Yes"),"",IF(IFERROR(INDEX(FreqDays,MATCH(O20,FreqNames,0)),0)=0,"",B20+IFERROR(INDEX(FreqDays,MATCH(O20,FreqNames,0)),0)))</f>
        <v>0</v>
      </c>
      <c r="AR20" s="39">
        <f>IF(G20="","",IF(R20="","Unassigned",IF(COUNTIFS($R$5:$R$604,R20,$B$5:$B$604,B20,$F$5:$F$604,F20)&gt;1,"Clash",IF(SUMIFS($AF$5:$AF$604,$R$5:$R$604,R20,$B$5:$B$604,B20)&gt;ProductiveHours,"Long day","OK"))))</f>
        <v>0</v>
      </c>
      <c r="AS20" s="18">
        <f>IF(OR(G20="",B20=""),"",IF(AND(B20&gt;=TodayDate,P20&lt;&gt;"Cancelled"),B20,""))</f>
        <v>0</v>
      </c>
      <c r="AT20" s="31">
        <f>IF(AS20="","",COUNTIFS($AS$5:$AS$604,"&lt;"&amp;AS20)+COUNTIFS($AS$5:AS20,AS20))</f>
        <v>0</v>
      </c>
      <c r="AU20" s="18">
        <f>IF(OR(G20="",B20="",R20&lt;&gt;""),"",IF(AND(B20&gt;=TodayDate,P20&lt;&gt;"Cancelled"),B20,""))</f>
        <v>0</v>
      </c>
      <c r="AV20" s="31">
        <f>IF(AU20="","",COUNTIFS($AU$5:$AU$604,"&lt;"&amp;AU20)+COUNTIFS($AU$5:AU20,AU20))</f>
        <v>0</v>
      </c>
      <c r="AW20" s="31">
        <f>IF(OR(G20="",B20=""),"",B20-TodayDate)</f>
        <v>0</v>
      </c>
      <c r="AX20" s="39">
        <f>IF(G20="","",IF(P20="Cancelled","Cancelled",IF(P20="No access","Action - no access, rebook",IF(AND(B20&lt;&gt;"",AW20&lt;0,OR(P20="Booked",P20="Confirmed",P20="In progress")),"Late - mark it completed",IF(AND(P20="Completed",AP20=""),"Action - not invoiced yet",IF(AND(AW20&gt;=0,AW20&lt;=ReminderDays,Y20&lt;&gt;"Yes"),"Confirm - visit coming up",IF(R20="","Assign - no cleaner booked",IF(AND(P20="Completed",AO20&lt;&gt;"",AO20&lt;1),"Check - checklist unfinished","OK"))))))))</f>
        <v>0</v>
      </c>
    </row>
    <row r="21" spans="1:50">
      <c r="A21" s="43">
        <f>IF(G21="","",JobPrefix&amp;TEXT(ROW()-4,"0000"))</f>
        <v>0</v>
      </c>
      <c r="B21" s="46">
        <v>46279</v>
      </c>
      <c r="C21" s="23">
        <f>IF(B21="","",TEXT(B21,"ddd"))</f>
        <v>0</v>
      </c>
      <c r="D21" s="31">
        <f>IF(B21="","",WEEKNUM(B21,IF(WeekStart="Sunday",1,2)))</f>
        <v>0</v>
      </c>
      <c r="E21" s="23">
        <f>IF(B21="","",TEXT(B21,"yyyy-mm"))</f>
        <v>0</v>
      </c>
      <c r="F21" s="52">
        <v>0.291666666666667</v>
      </c>
      <c r="G21" s="49" t="s">
        <v>813</v>
      </c>
      <c r="H21" s="23">
        <f>IF(G21="","",IFERROR(INDEX(Clients!$B$5:$B$204,MATCH(G21,Clients!$A$5:$A$204,0)),"Not found"))</f>
        <v>0</v>
      </c>
      <c r="I21" s="23">
        <f>IF(G21="","",IFERROR(INDEX(Clients!$C$5:$C$204,MATCH(G21,Clients!$A$5:$A$204,0)),""))</f>
        <v>0</v>
      </c>
      <c r="J21" s="49" t="s">
        <v>1052</v>
      </c>
      <c r="K21" s="23">
        <f>IF(J21="","",IFERROR(INDEX(Properties!$B$5:$B$254,MATCH(J21,Properties!$A$5:$A$254,0)),""))</f>
        <v>0</v>
      </c>
      <c r="L21" s="23">
        <f>IF(J21="","",IFERROR(INDEX(Properties!$F$5:$F$254,MATCH(J21,Properties!$A$5:$A$254,0)),""))</f>
        <v>0</v>
      </c>
      <c r="M21" s="15" t="s">
        <v>770</v>
      </c>
      <c r="N21" s="15" t="s">
        <v>1133</v>
      </c>
      <c r="O21" s="15" t="s">
        <v>617</v>
      </c>
      <c r="P21" s="45" t="s">
        <v>406</v>
      </c>
      <c r="Q21" s="15" t="s">
        <v>448</v>
      </c>
      <c r="R21" s="15" t="s">
        <v>664</v>
      </c>
      <c r="S21" s="15" t="s">
        <v>172</v>
      </c>
      <c r="T21" s="16">
        <v>1</v>
      </c>
      <c r="W21" s="17">
        <v>7.6</v>
      </c>
      <c r="X21" s="47" t="s">
        <v>454</v>
      </c>
      <c r="Y21" s="47" t="s">
        <v>454</v>
      </c>
      <c r="AA21" s="47">
        <v>4</v>
      </c>
      <c r="AB21" s="44" t="s">
        <v>172</v>
      </c>
      <c r="AC21" s="44" t="s">
        <v>172</v>
      </c>
      <c r="AD21" s="34">
        <f>IF(G21="","",IF(U21&lt;&gt;"",U21,IF(AND(IFERROR(INDEX(Services!$D$5:$D$64,MATCH(M21,Services!$B$5:$B$64,0)),"")="Per hour",IFERROR(INDEX(Properties!$X$5:$X$254,MATCH(J21,Properties!$A$5:$A$254,0)),0)&gt;0),IFERROR(INDEX(Properties!$X$5:$X$254,MATCH(J21,Properties!$A$5:$A$254,0)),0),IF(IFERROR(INDEX(Services!$G$5:$G$64,MATCH(M21,Services!$B$5:$B$64,0)),0)&gt;0,IFERROR(INDEX(Services!$G$5:$G$64,MATCH(M21,Services!$B$5:$B$64,0)),0),IFERROR(INDEX(Properties!$X$5:$X$254,MATCH(J21,Properties!$A$5:$A$254,0)),0)))))</f>
        <v>0</v>
      </c>
      <c r="AE21" s="31">
        <f>IF(G21="","",IF(T21="",CleanersPerJob,MAX(1,T21)))</f>
        <v>0</v>
      </c>
      <c r="AF21" s="34">
        <f>IF(G21="","",ROUND(AD21/AE21,2))</f>
        <v>0</v>
      </c>
      <c r="AG21" s="53">
        <f>IF(OR(G21="",F21="",AF21=""),"",F21+AF21/24)</f>
        <v>0</v>
      </c>
      <c r="AH21" s="21">
        <f>IF(G21="","",IF(IFERROR(INDEX(Clients!$O$5:$O$204,MATCH(G21,Clients!$A$5:$A$204,0)),0)&gt;0,IFERROR(INDEX(Clients!$O$5:$O$204,MATCH(G21,Clients!$A$5:$A$204,0)),0),HourlyRate))</f>
        <v>0</v>
      </c>
      <c r="AI21" s="21">
        <f>IF(G21="","",IF(AND(M21&lt;&gt;"",IFERROR(INDEX(Services!$P$5:$P$64,MATCH(M21,Services!$B$5:$B$64,0)),0)&gt;0,IFERROR(INDEX(Services!$D$5:$D$64,MATCH(M21,Services!$B$5:$B$64,0)),"")&lt;&gt;"Per hour"),IFERROR(INDEX(Services!$P$5:$P$64,MATCH(M21,Services!$B$5:$B$64,0)),0),AD21*AH21))</f>
        <v>0</v>
      </c>
      <c r="AJ21" s="21">
        <f>IF(G21="","",IF(V21&lt;&gt;"",V21,IF(P21="Cancelled",0,MAX(MinimumCharge,ROUND(AI21*IFERROR(INDEX(FreqFactors,MATCH(O21,FreqNames,0)),1),2)))))</f>
        <v>0</v>
      </c>
      <c r="AK21" s="34">
        <f>IF(G21="","",IF(SUMIFS(Timesheets!$U$5:$U$804,Timesheets!$G$5:$G$804,A21)&gt;0,SUMIFS(Timesheets!$U$5:$U$804,Timesheets!$G$5:$G$804,A21),IF(Z21="","",Z21)))</f>
        <v>0</v>
      </c>
      <c r="AL21" s="34">
        <f>IF(OR(AK21="",AD21=""),"",AK21-AD21)</f>
        <v>0</v>
      </c>
      <c r="AM21" s="31">
        <f>IF(A21="","",COUNTIFS('Job Tasks'!$B$5:$B$904,A21))</f>
        <v>0</v>
      </c>
      <c r="AN21" s="31">
        <f>IF(A21="","",COUNTIFS('Job Tasks'!$B$5:$B$904,A21,'Job Tasks'!$H$5:$H$904,"Done"))</f>
        <v>0</v>
      </c>
      <c r="AO21" s="38">
        <f>IF(OR(A21="",AM21=0),"",AN21/AM21)</f>
        <v>0</v>
      </c>
      <c r="AP21" s="43">
        <f>IF(A21="","",IFERROR(INDEX('Invoice Lines'!$B$5:$B$804,MATCH(A21,'Invoice Lines'!$C$5:$C$804,0)),""))</f>
        <v>0</v>
      </c>
      <c r="AQ21" s="18">
        <f>IF(OR(G21="",B21="",X21&lt;&gt;"Yes"),"",IF(IFERROR(INDEX(FreqDays,MATCH(O21,FreqNames,0)),0)=0,"",B21+IFERROR(INDEX(FreqDays,MATCH(O21,FreqNames,0)),0)))</f>
        <v>0</v>
      </c>
      <c r="AR21" s="39">
        <f>IF(G21="","",IF(R21="","Unassigned",IF(COUNTIFS($R$5:$R$604,R21,$B$5:$B$604,B21,$F$5:$F$604,F21)&gt;1,"Clash",IF(SUMIFS($AF$5:$AF$604,$R$5:$R$604,R21,$B$5:$B$604,B21)&gt;ProductiveHours,"Long day","OK"))))</f>
        <v>0</v>
      </c>
      <c r="AS21" s="18">
        <f>IF(OR(G21="",B21=""),"",IF(AND(B21&gt;=TodayDate,P21&lt;&gt;"Cancelled"),B21,""))</f>
        <v>0</v>
      </c>
      <c r="AT21" s="31">
        <f>IF(AS21="","",COUNTIFS($AS$5:$AS$604,"&lt;"&amp;AS21)+COUNTIFS($AS$5:AS21,AS21))</f>
        <v>0</v>
      </c>
      <c r="AU21" s="18">
        <f>IF(OR(G21="",B21="",R21&lt;&gt;""),"",IF(AND(B21&gt;=TodayDate,P21&lt;&gt;"Cancelled"),B21,""))</f>
        <v>0</v>
      </c>
      <c r="AV21" s="31">
        <f>IF(AU21="","",COUNTIFS($AU$5:$AU$604,"&lt;"&amp;AU21)+COUNTIFS($AU$5:AU21,AU21))</f>
        <v>0</v>
      </c>
      <c r="AW21" s="31">
        <f>IF(OR(G21="",B21=""),"",B21-TodayDate)</f>
        <v>0</v>
      </c>
      <c r="AX21" s="39">
        <f>IF(G21="","",IF(P21="Cancelled","Cancelled",IF(P21="No access","Action - no access, rebook",IF(AND(B21&lt;&gt;"",AW21&lt;0,OR(P21="Booked",P21="Confirmed",P21="In progress")),"Late - mark it completed",IF(AND(P21="Completed",AP21=""),"Action - not invoiced yet",IF(AND(AW21&gt;=0,AW21&lt;=ReminderDays,Y21&lt;&gt;"Yes"),"Confirm - visit coming up",IF(R21="","Assign - no cleaner booked",IF(AND(P21="Completed",AO21&lt;&gt;"",AO21&lt;1),"Check - checklist unfinished","OK"))))))))</f>
        <v>0</v>
      </c>
    </row>
    <row r="22" spans="1:50">
      <c r="A22" s="43">
        <f>IF(G22="","",JobPrefix&amp;TEXT(ROW()-4,"0000"))</f>
        <v>0</v>
      </c>
      <c r="B22" s="46">
        <v>46279</v>
      </c>
      <c r="C22" s="23">
        <f>IF(B22="","",TEXT(B22,"ddd"))</f>
        <v>0</v>
      </c>
      <c r="D22" s="31">
        <f>IF(B22="","",WEEKNUM(B22,IF(WeekStart="Sunday",1,2)))</f>
        <v>0</v>
      </c>
      <c r="E22" s="23">
        <f>IF(B22="","",TEXT(B22,"yyyy-mm"))</f>
        <v>0</v>
      </c>
      <c r="F22" s="52">
        <v>0.770833333333333</v>
      </c>
      <c r="G22" s="49" t="s">
        <v>773</v>
      </c>
      <c r="H22" s="23">
        <f>IF(G22="","",IFERROR(INDEX(Clients!$B$5:$B$204,MATCH(G22,Clients!$A$5:$A$204,0)),"Not found"))</f>
        <v>0</v>
      </c>
      <c r="I22" s="23">
        <f>IF(G22="","",IFERROR(INDEX(Clients!$C$5:$C$204,MATCH(G22,Clients!$A$5:$A$204,0)),""))</f>
        <v>0</v>
      </c>
      <c r="J22" s="49" t="s">
        <v>1134</v>
      </c>
      <c r="K22" s="23">
        <f>IF(J22="","",IFERROR(INDEX(Properties!$B$5:$B$254,MATCH(J22,Properties!$A$5:$A$254,0)),""))</f>
        <v>0</v>
      </c>
      <c r="L22" s="23">
        <f>IF(J22="","",IFERROR(INDEX(Properties!$F$5:$F$254,MATCH(J22,Properties!$A$5:$A$254,0)),""))</f>
        <v>0</v>
      </c>
      <c r="M22" s="15" t="s">
        <v>770</v>
      </c>
      <c r="N22" s="15" t="s">
        <v>1133</v>
      </c>
      <c r="O22" s="15" t="s">
        <v>617</v>
      </c>
      <c r="P22" s="45" t="s">
        <v>406</v>
      </c>
      <c r="Q22" s="15" t="s">
        <v>448</v>
      </c>
      <c r="R22" s="15" t="s">
        <v>608</v>
      </c>
      <c r="S22" s="15" t="s">
        <v>172</v>
      </c>
      <c r="T22" s="16">
        <v>1</v>
      </c>
      <c r="W22" s="17">
        <v>4.8</v>
      </c>
      <c r="X22" s="47" t="s">
        <v>454</v>
      </c>
      <c r="Y22" s="47" t="s">
        <v>454</v>
      </c>
      <c r="AA22" s="47">
        <v>5</v>
      </c>
      <c r="AB22" s="44" t="s">
        <v>172</v>
      </c>
      <c r="AC22" s="44" t="s">
        <v>172</v>
      </c>
      <c r="AD22" s="34">
        <f>IF(G22="","",IF(U22&lt;&gt;"",U22,IF(AND(IFERROR(INDEX(Services!$D$5:$D$64,MATCH(M22,Services!$B$5:$B$64,0)),"")="Per hour",IFERROR(INDEX(Properties!$X$5:$X$254,MATCH(J22,Properties!$A$5:$A$254,0)),0)&gt;0),IFERROR(INDEX(Properties!$X$5:$X$254,MATCH(J22,Properties!$A$5:$A$254,0)),0),IF(IFERROR(INDEX(Services!$G$5:$G$64,MATCH(M22,Services!$B$5:$B$64,0)),0)&gt;0,IFERROR(INDEX(Services!$G$5:$G$64,MATCH(M22,Services!$B$5:$B$64,0)),0),IFERROR(INDEX(Properties!$X$5:$X$254,MATCH(J22,Properties!$A$5:$A$254,0)),0)))))</f>
        <v>0</v>
      </c>
      <c r="AE22" s="31">
        <f>IF(G22="","",IF(T22="",CleanersPerJob,MAX(1,T22)))</f>
        <v>0</v>
      </c>
      <c r="AF22" s="34">
        <f>IF(G22="","",ROUND(AD22/AE22,2))</f>
        <v>0</v>
      </c>
      <c r="AG22" s="53">
        <f>IF(OR(G22="",F22="",AF22=""),"",F22+AF22/24)</f>
        <v>0</v>
      </c>
      <c r="AH22" s="21">
        <f>IF(G22="","",IF(IFERROR(INDEX(Clients!$O$5:$O$204,MATCH(G22,Clients!$A$5:$A$204,0)),0)&gt;0,IFERROR(INDEX(Clients!$O$5:$O$204,MATCH(G22,Clients!$A$5:$A$204,0)),0),HourlyRate))</f>
        <v>0</v>
      </c>
      <c r="AI22" s="21">
        <f>IF(G22="","",IF(AND(M22&lt;&gt;"",IFERROR(INDEX(Services!$P$5:$P$64,MATCH(M22,Services!$B$5:$B$64,0)),0)&gt;0,IFERROR(INDEX(Services!$D$5:$D$64,MATCH(M22,Services!$B$5:$B$64,0)),"")&lt;&gt;"Per hour"),IFERROR(INDEX(Services!$P$5:$P$64,MATCH(M22,Services!$B$5:$B$64,0)),0),AD22*AH22))</f>
        <v>0</v>
      </c>
      <c r="AJ22" s="21">
        <f>IF(G22="","",IF(V22&lt;&gt;"",V22,IF(P22="Cancelled",0,MAX(MinimumCharge,ROUND(AI22*IFERROR(INDEX(FreqFactors,MATCH(O22,FreqNames,0)),1),2)))))</f>
        <v>0</v>
      </c>
      <c r="AK22" s="34">
        <f>IF(G22="","",IF(SUMIFS(Timesheets!$U$5:$U$804,Timesheets!$G$5:$G$804,A22)&gt;0,SUMIFS(Timesheets!$U$5:$U$804,Timesheets!$G$5:$G$804,A22),IF(Z22="","",Z22)))</f>
        <v>0</v>
      </c>
      <c r="AL22" s="34">
        <f>IF(OR(AK22="",AD22=""),"",AK22-AD22)</f>
        <v>0</v>
      </c>
      <c r="AM22" s="31">
        <f>IF(A22="","",COUNTIFS('Job Tasks'!$B$5:$B$904,A22))</f>
        <v>0</v>
      </c>
      <c r="AN22" s="31">
        <f>IF(A22="","",COUNTIFS('Job Tasks'!$B$5:$B$904,A22,'Job Tasks'!$H$5:$H$904,"Done"))</f>
        <v>0</v>
      </c>
      <c r="AO22" s="38">
        <f>IF(OR(A22="",AM22=0),"",AN22/AM22)</f>
        <v>0</v>
      </c>
      <c r="AP22" s="43">
        <f>IF(A22="","",IFERROR(INDEX('Invoice Lines'!$B$5:$B$804,MATCH(A22,'Invoice Lines'!$C$5:$C$804,0)),""))</f>
        <v>0</v>
      </c>
      <c r="AQ22" s="18">
        <f>IF(OR(G22="",B22="",X22&lt;&gt;"Yes"),"",IF(IFERROR(INDEX(FreqDays,MATCH(O22,FreqNames,0)),0)=0,"",B22+IFERROR(INDEX(FreqDays,MATCH(O22,FreqNames,0)),0)))</f>
        <v>0</v>
      </c>
      <c r="AR22" s="39">
        <f>IF(G22="","",IF(R22="","Unassigned",IF(COUNTIFS($R$5:$R$604,R22,$B$5:$B$604,B22,$F$5:$F$604,F22)&gt;1,"Clash",IF(SUMIFS($AF$5:$AF$604,$R$5:$R$604,R22,$B$5:$B$604,B22)&gt;ProductiveHours,"Long day","OK"))))</f>
        <v>0</v>
      </c>
      <c r="AS22" s="18">
        <f>IF(OR(G22="",B22=""),"",IF(AND(B22&gt;=TodayDate,P22&lt;&gt;"Cancelled"),B22,""))</f>
        <v>0</v>
      </c>
      <c r="AT22" s="31">
        <f>IF(AS22="","",COUNTIFS($AS$5:$AS$604,"&lt;"&amp;AS22)+COUNTIFS($AS$5:AS22,AS22))</f>
        <v>0</v>
      </c>
      <c r="AU22" s="18">
        <f>IF(OR(G22="",B22="",R22&lt;&gt;""),"",IF(AND(B22&gt;=TodayDate,P22&lt;&gt;"Cancelled"),B22,""))</f>
        <v>0</v>
      </c>
      <c r="AV22" s="31">
        <f>IF(AU22="","",COUNTIFS($AU$5:$AU$604,"&lt;"&amp;AU22)+COUNTIFS($AU$5:AU22,AU22))</f>
        <v>0</v>
      </c>
      <c r="AW22" s="31">
        <f>IF(OR(G22="",B22=""),"",B22-TodayDate)</f>
        <v>0</v>
      </c>
      <c r="AX22" s="39">
        <f>IF(G22="","",IF(P22="Cancelled","Cancelled",IF(P22="No access","Action - no access, rebook",IF(AND(B22&lt;&gt;"",AW22&lt;0,OR(P22="Booked",P22="Confirmed",P22="In progress")),"Late - mark it completed",IF(AND(P22="Completed",AP22=""),"Action - not invoiced yet",IF(AND(AW22&gt;=0,AW22&lt;=ReminderDays,Y22&lt;&gt;"Yes"),"Confirm - visit coming up",IF(R22="","Assign - no cleaner booked",IF(AND(P22="Completed",AO22&lt;&gt;"",AO22&lt;1),"Check - checklist unfinished","OK"))))))))</f>
        <v>0</v>
      </c>
    </row>
    <row r="23" spans="1:50">
      <c r="A23" s="43">
        <f>IF(G23="","",JobPrefix&amp;TEXT(ROW()-4,"0000"))</f>
        <v>0</v>
      </c>
      <c r="B23" s="46">
        <v>46280</v>
      </c>
      <c r="C23" s="23">
        <f>IF(B23="","",TEXT(B23,"ddd"))</f>
        <v>0</v>
      </c>
      <c r="D23" s="31">
        <f>IF(B23="","",WEEKNUM(B23,IF(WeekStart="Sunday",1,2)))</f>
        <v>0</v>
      </c>
      <c r="E23" s="23">
        <f>IF(B23="","",TEXT(B23,"yyyy-mm"))</f>
        <v>0</v>
      </c>
      <c r="F23" s="52">
        <v>0.375</v>
      </c>
      <c r="G23" s="49" t="s">
        <v>743</v>
      </c>
      <c r="H23" s="23">
        <f>IF(G23="","",IFERROR(INDEX(Clients!$B$5:$B$204,MATCH(G23,Clients!$A$5:$A$204,0)),"Not found"))</f>
        <v>0</v>
      </c>
      <c r="I23" s="23">
        <f>IF(G23="","",IFERROR(INDEX(Clients!$C$5:$C$204,MATCH(G23,Clients!$A$5:$A$204,0)),""))</f>
        <v>0</v>
      </c>
      <c r="J23" s="49" t="s">
        <v>1135</v>
      </c>
      <c r="K23" s="23">
        <f>IF(J23="","",IFERROR(INDEX(Properties!$B$5:$B$254,MATCH(J23,Properties!$A$5:$A$254,0)),""))</f>
        <v>0</v>
      </c>
      <c r="L23" s="23">
        <f>IF(J23="","",IFERROR(INDEX(Properties!$F$5:$F$254,MATCH(J23,Properties!$A$5:$A$254,0)),""))</f>
        <v>0</v>
      </c>
      <c r="M23" s="15" t="s">
        <v>437</v>
      </c>
      <c r="N23" s="15" t="s">
        <v>1133</v>
      </c>
      <c r="O23" s="15" t="s">
        <v>451</v>
      </c>
      <c r="P23" s="45" t="s">
        <v>406</v>
      </c>
      <c r="Q23" s="15" t="s">
        <v>448</v>
      </c>
      <c r="R23" s="15" t="s">
        <v>584</v>
      </c>
      <c r="S23" s="15" t="s">
        <v>172</v>
      </c>
      <c r="T23" s="16">
        <v>1</v>
      </c>
      <c r="W23" s="17">
        <v>8.4</v>
      </c>
      <c r="X23" s="47" t="s">
        <v>454</v>
      </c>
      <c r="Y23" s="47" t="s">
        <v>454</v>
      </c>
      <c r="AA23" s="47" t="s">
        <v>172</v>
      </c>
      <c r="AB23" s="44" t="s">
        <v>172</v>
      </c>
      <c r="AC23" s="44" t="s">
        <v>172</v>
      </c>
      <c r="AD23" s="34">
        <f>IF(G23="","",IF(U23&lt;&gt;"",U23,IF(AND(IFERROR(INDEX(Services!$D$5:$D$64,MATCH(M23,Services!$B$5:$B$64,0)),"")="Per hour",IFERROR(INDEX(Properties!$X$5:$X$254,MATCH(J23,Properties!$A$5:$A$254,0)),0)&gt;0),IFERROR(INDEX(Properties!$X$5:$X$254,MATCH(J23,Properties!$A$5:$A$254,0)),0),IF(IFERROR(INDEX(Services!$G$5:$G$64,MATCH(M23,Services!$B$5:$B$64,0)),0)&gt;0,IFERROR(INDEX(Services!$G$5:$G$64,MATCH(M23,Services!$B$5:$B$64,0)),0),IFERROR(INDEX(Properties!$X$5:$X$254,MATCH(J23,Properties!$A$5:$A$254,0)),0)))))</f>
        <v>0</v>
      </c>
      <c r="AE23" s="31">
        <f>IF(G23="","",IF(T23="",CleanersPerJob,MAX(1,T23)))</f>
        <v>0</v>
      </c>
      <c r="AF23" s="34">
        <f>IF(G23="","",ROUND(AD23/AE23,2))</f>
        <v>0</v>
      </c>
      <c r="AG23" s="53">
        <f>IF(OR(G23="",F23="",AF23=""),"",F23+AF23/24)</f>
        <v>0</v>
      </c>
      <c r="AH23" s="21">
        <f>IF(G23="","",IF(IFERROR(INDEX(Clients!$O$5:$O$204,MATCH(G23,Clients!$A$5:$A$204,0)),0)&gt;0,IFERROR(INDEX(Clients!$O$5:$O$204,MATCH(G23,Clients!$A$5:$A$204,0)),0),HourlyRate))</f>
        <v>0</v>
      </c>
      <c r="AI23" s="21">
        <f>IF(G23="","",IF(AND(M23&lt;&gt;"",IFERROR(INDEX(Services!$P$5:$P$64,MATCH(M23,Services!$B$5:$B$64,0)),0)&gt;0,IFERROR(INDEX(Services!$D$5:$D$64,MATCH(M23,Services!$B$5:$B$64,0)),"")&lt;&gt;"Per hour"),IFERROR(INDEX(Services!$P$5:$P$64,MATCH(M23,Services!$B$5:$B$64,0)),0),AD23*AH23))</f>
        <v>0</v>
      </c>
      <c r="AJ23" s="21">
        <f>IF(G23="","",IF(V23&lt;&gt;"",V23,IF(P23="Cancelled",0,MAX(MinimumCharge,ROUND(AI23*IFERROR(INDEX(FreqFactors,MATCH(O23,FreqNames,0)),1),2)))))</f>
        <v>0</v>
      </c>
      <c r="AK23" s="34">
        <f>IF(G23="","",IF(SUMIFS(Timesheets!$U$5:$U$804,Timesheets!$G$5:$G$804,A23)&gt;0,SUMIFS(Timesheets!$U$5:$U$804,Timesheets!$G$5:$G$804,A23),IF(Z23="","",Z23)))</f>
        <v>0</v>
      </c>
      <c r="AL23" s="34">
        <f>IF(OR(AK23="",AD23=""),"",AK23-AD23)</f>
        <v>0</v>
      </c>
      <c r="AM23" s="31">
        <f>IF(A23="","",COUNTIFS('Job Tasks'!$B$5:$B$904,A23))</f>
        <v>0</v>
      </c>
      <c r="AN23" s="31">
        <f>IF(A23="","",COUNTIFS('Job Tasks'!$B$5:$B$904,A23,'Job Tasks'!$H$5:$H$904,"Done"))</f>
        <v>0</v>
      </c>
      <c r="AO23" s="38">
        <f>IF(OR(A23="",AM23=0),"",AN23/AM23)</f>
        <v>0</v>
      </c>
      <c r="AP23" s="43">
        <f>IF(A23="","",IFERROR(INDEX('Invoice Lines'!$B$5:$B$804,MATCH(A23,'Invoice Lines'!$C$5:$C$804,0)),""))</f>
        <v>0</v>
      </c>
      <c r="AQ23" s="18">
        <f>IF(OR(G23="",B23="",X23&lt;&gt;"Yes"),"",IF(IFERROR(INDEX(FreqDays,MATCH(O23,FreqNames,0)),0)=0,"",B23+IFERROR(INDEX(FreqDays,MATCH(O23,FreqNames,0)),0)))</f>
        <v>0</v>
      </c>
      <c r="AR23" s="39">
        <f>IF(G23="","",IF(R23="","Unassigned",IF(COUNTIFS($R$5:$R$604,R23,$B$5:$B$604,B23,$F$5:$F$604,F23)&gt;1,"Clash",IF(SUMIFS($AF$5:$AF$604,$R$5:$R$604,R23,$B$5:$B$604,B23)&gt;ProductiveHours,"Long day","OK"))))</f>
        <v>0</v>
      </c>
      <c r="AS23" s="18">
        <f>IF(OR(G23="",B23=""),"",IF(AND(B23&gt;=TodayDate,P23&lt;&gt;"Cancelled"),B23,""))</f>
        <v>0</v>
      </c>
      <c r="AT23" s="31">
        <f>IF(AS23="","",COUNTIFS($AS$5:$AS$604,"&lt;"&amp;AS23)+COUNTIFS($AS$5:AS23,AS23))</f>
        <v>0</v>
      </c>
      <c r="AU23" s="18">
        <f>IF(OR(G23="",B23="",R23&lt;&gt;""),"",IF(AND(B23&gt;=TodayDate,P23&lt;&gt;"Cancelled"),B23,""))</f>
        <v>0</v>
      </c>
      <c r="AV23" s="31">
        <f>IF(AU23="","",COUNTIFS($AU$5:$AU$604,"&lt;"&amp;AU23)+COUNTIFS($AU$5:AU23,AU23))</f>
        <v>0</v>
      </c>
      <c r="AW23" s="31">
        <f>IF(OR(G23="",B23=""),"",B23-TodayDate)</f>
        <v>0</v>
      </c>
      <c r="AX23" s="39">
        <f>IF(G23="","",IF(P23="Cancelled","Cancelled",IF(P23="No access","Action - no access, rebook",IF(AND(B23&lt;&gt;"",AW23&lt;0,OR(P23="Booked",P23="Confirmed",P23="In progress")),"Late - mark it completed",IF(AND(P23="Completed",AP23=""),"Action - not invoiced yet",IF(AND(AW23&gt;=0,AW23&lt;=ReminderDays,Y23&lt;&gt;"Yes"),"Confirm - visit coming up",IF(R23="","Assign - no cleaner booked",IF(AND(P23="Completed",AO23&lt;&gt;"",AO23&lt;1),"Check - checklist unfinished","OK"))))))))</f>
        <v>0</v>
      </c>
    </row>
    <row r="24" spans="1:50">
      <c r="A24" s="43">
        <f>IF(G24="","",JobPrefix&amp;TEXT(ROW()-4,"0000"))</f>
        <v>0</v>
      </c>
      <c r="B24" s="46">
        <v>46282</v>
      </c>
      <c r="C24" s="23">
        <f>IF(B24="","",TEXT(B24,"ddd"))</f>
        <v>0</v>
      </c>
      <c r="D24" s="31">
        <f>IF(B24="","",WEEKNUM(B24,IF(WeekStart="Sunday",1,2)))</f>
        <v>0</v>
      </c>
      <c r="E24" s="23">
        <f>IF(B24="","",TEXT(B24,"yyyy-mm"))</f>
        <v>0</v>
      </c>
      <c r="F24" s="52">
        <v>0.291666666666667</v>
      </c>
      <c r="G24" s="49" t="s">
        <v>813</v>
      </c>
      <c r="H24" s="23">
        <f>IF(G24="","",IFERROR(INDEX(Clients!$B$5:$B$204,MATCH(G24,Clients!$A$5:$A$204,0)),"Not found"))</f>
        <v>0</v>
      </c>
      <c r="I24" s="23">
        <f>IF(G24="","",IFERROR(INDEX(Clients!$C$5:$C$204,MATCH(G24,Clients!$A$5:$A$204,0)),""))</f>
        <v>0</v>
      </c>
      <c r="J24" s="49" t="s">
        <v>1052</v>
      </c>
      <c r="K24" s="23">
        <f>IF(J24="","",IFERROR(INDEX(Properties!$B$5:$B$254,MATCH(J24,Properties!$A$5:$A$254,0)),""))</f>
        <v>0</v>
      </c>
      <c r="L24" s="23">
        <f>IF(J24="","",IFERROR(INDEX(Properties!$F$5:$F$254,MATCH(J24,Properties!$A$5:$A$254,0)),""))</f>
        <v>0</v>
      </c>
      <c r="M24" s="15" t="s">
        <v>770</v>
      </c>
      <c r="N24" s="15" t="s">
        <v>1133</v>
      </c>
      <c r="O24" s="15" t="s">
        <v>617</v>
      </c>
      <c r="P24" s="45" t="s">
        <v>406</v>
      </c>
      <c r="Q24" s="15" t="s">
        <v>448</v>
      </c>
      <c r="R24" s="15" t="s">
        <v>664</v>
      </c>
      <c r="S24" s="15" t="s">
        <v>172</v>
      </c>
      <c r="T24" s="16">
        <v>1</v>
      </c>
      <c r="W24" s="17">
        <v>7.6</v>
      </c>
      <c r="X24" s="47" t="s">
        <v>454</v>
      </c>
      <c r="Y24" s="47" t="s">
        <v>454</v>
      </c>
      <c r="AA24" s="47">
        <v>4</v>
      </c>
      <c r="AB24" s="44" t="s">
        <v>172</v>
      </c>
      <c r="AC24" s="44" t="s">
        <v>172</v>
      </c>
      <c r="AD24" s="34">
        <f>IF(G24="","",IF(U24&lt;&gt;"",U24,IF(AND(IFERROR(INDEX(Services!$D$5:$D$64,MATCH(M24,Services!$B$5:$B$64,0)),"")="Per hour",IFERROR(INDEX(Properties!$X$5:$X$254,MATCH(J24,Properties!$A$5:$A$254,0)),0)&gt;0),IFERROR(INDEX(Properties!$X$5:$X$254,MATCH(J24,Properties!$A$5:$A$254,0)),0),IF(IFERROR(INDEX(Services!$G$5:$G$64,MATCH(M24,Services!$B$5:$B$64,0)),0)&gt;0,IFERROR(INDEX(Services!$G$5:$G$64,MATCH(M24,Services!$B$5:$B$64,0)),0),IFERROR(INDEX(Properties!$X$5:$X$254,MATCH(J24,Properties!$A$5:$A$254,0)),0)))))</f>
        <v>0</v>
      </c>
      <c r="AE24" s="31">
        <f>IF(G24="","",IF(T24="",CleanersPerJob,MAX(1,T24)))</f>
        <v>0</v>
      </c>
      <c r="AF24" s="34">
        <f>IF(G24="","",ROUND(AD24/AE24,2))</f>
        <v>0</v>
      </c>
      <c r="AG24" s="53">
        <f>IF(OR(G24="",F24="",AF24=""),"",F24+AF24/24)</f>
        <v>0</v>
      </c>
      <c r="AH24" s="21">
        <f>IF(G24="","",IF(IFERROR(INDEX(Clients!$O$5:$O$204,MATCH(G24,Clients!$A$5:$A$204,0)),0)&gt;0,IFERROR(INDEX(Clients!$O$5:$O$204,MATCH(G24,Clients!$A$5:$A$204,0)),0),HourlyRate))</f>
        <v>0</v>
      </c>
      <c r="AI24" s="21">
        <f>IF(G24="","",IF(AND(M24&lt;&gt;"",IFERROR(INDEX(Services!$P$5:$P$64,MATCH(M24,Services!$B$5:$B$64,0)),0)&gt;0,IFERROR(INDEX(Services!$D$5:$D$64,MATCH(M24,Services!$B$5:$B$64,0)),"")&lt;&gt;"Per hour"),IFERROR(INDEX(Services!$P$5:$P$64,MATCH(M24,Services!$B$5:$B$64,0)),0),AD24*AH24))</f>
        <v>0</v>
      </c>
      <c r="AJ24" s="21">
        <f>IF(G24="","",IF(V24&lt;&gt;"",V24,IF(P24="Cancelled",0,MAX(MinimumCharge,ROUND(AI24*IFERROR(INDEX(FreqFactors,MATCH(O24,FreqNames,0)),1),2)))))</f>
        <v>0</v>
      </c>
      <c r="AK24" s="34">
        <f>IF(G24="","",IF(SUMIFS(Timesheets!$U$5:$U$804,Timesheets!$G$5:$G$804,A24)&gt;0,SUMIFS(Timesheets!$U$5:$U$804,Timesheets!$G$5:$G$804,A24),IF(Z24="","",Z24)))</f>
        <v>0</v>
      </c>
      <c r="AL24" s="34">
        <f>IF(OR(AK24="",AD24=""),"",AK24-AD24)</f>
        <v>0</v>
      </c>
      <c r="AM24" s="31">
        <f>IF(A24="","",COUNTIFS('Job Tasks'!$B$5:$B$904,A24))</f>
        <v>0</v>
      </c>
      <c r="AN24" s="31">
        <f>IF(A24="","",COUNTIFS('Job Tasks'!$B$5:$B$904,A24,'Job Tasks'!$H$5:$H$904,"Done"))</f>
        <v>0</v>
      </c>
      <c r="AO24" s="38">
        <f>IF(OR(A24="",AM24=0),"",AN24/AM24)</f>
        <v>0</v>
      </c>
      <c r="AP24" s="43">
        <f>IF(A24="","",IFERROR(INDEX('Invoice Lines'!$B$5:$B$804,MATCH(A24,'Invoice Lines'!$C$5:$C$804,0)),""))</f>
        <v>0</v>
      </c>
      <c r="AQ24" s="18">
        <f>IF(OR(G24="",B24="",X24&lt;&gt;"Yes"),"",IF(IFERROR(INDEX(FreqDays,MATCH(O24,FreqNames,0)),0)=0,"",B24+IFERROR(INDEX(FreqDays,MATCH(O24,FreqNames,0)),0)))</f>
        <v>0</v>
      </c>
      <c r="AR24" s="39">
        <f>IF(G24="","",IF(R24="","Unassigned",IF(COUNTIFS($R$5:$R$604,R24,$B$5:$B$604,B24,$F$5:$F$604,F24)&gt;1,"Clash",IF(SUMIFS($AF$5:$AF$604,$R$5:$R$604,R24,$B$5:$B$604,B24)&gt;ProductiveHours,"Long day","OK"))))</f>
        <v>0</v>
      </c>
      <c r="AS24" s="18">
        <f>IF(OR(G24="",B24=""),"",IF(AND(B24&gt;=TodayDate,P24&lt;&gt;"Cancelled"),B24,""))</f>
        <v>0</v>
      </c>
      <c r="AT24" s="31">
        <f>IF(AS24="","",COUNTIFS($AS$5:$AS$604,"&lt;"&amp;AS24)+COUNTIFS($AS$5:AS24,AS24))</f>
        <v>0</v>
      </c>
      <c r="AU24" s="18">
        <f>IF(OR(G24="",B24="",R24&lt;&gt;""),"",IF(AND(B24&gt;=TodayDate,P24&lt;&gt;"Cancelled"),B24,""))</f>
        <v>0</v>
      </c>
      <c r="AV24" s="31">
        <f>IF(AU24="","",COUNTIFS($AU$5:$AU$604,"&lt;"&amp;AU24)+COUNTIFS($AU$5:AU24,AU24))</f>
        <v>0</v>
      </c>
      <c r="AW24" s="31">
        <f>IF(OR(G24="",B24=""),"",B24-TodayDate)</f>
        <v>0</v>
      </c>
      <c r="AX24" s="39">
        <f>IF(G24="","",IF(P24="Cancelled","Cancelled",IF(P24="No access","Action - no access, rebook",IF(AND(B24&lt;&gt;"",AW24&lt;0,OR(P24="Booked",P24="Confirmed",P24="In progress")),"Late - mark it completed",IF(AND(P24="Completed",AP24=""),"Action - not invoiced yet",IF(AND(AW24&gt;=0,AW24&lt;=ReminderDays,Y24&lt;&gt;"Yes"),"Confirm - visit coming up",IF(R24="","Assign - no cleaner booked",IF(AND(P24="Completed",AO24&lt;&gt;"",AO24&lt;1),"Check - checklist unfinished","OK"))))))))</f>
        <v>0</v>
      </c>
    </row>
    <row r="25" spans="1:50">
      <c r="A25" s="43">
        <f>IF(G25="","",JobPrefix&amp;TEXT(ROW()-4,"0000"))</f>
        <v>0</v>
      </c>
      <c r="B25" s="46">
        <v>46282</v>
      </c>
      <c r="C25" s="23">
        <f>IF(B25="","",TEXT(B25,"ddd"))</f>
        <v>0</v>
      </c>
      <c r="D25" s="31">
        <f>IF(B25="","",WEEKNUM(B25,IF(WeekStart="Sunday",1,2)))</f>
        <v>0</v>
      </c>
      <c r="E25" s="23">
        <f>IF(B25="","",TEXT(B25,"yyyy-mm"))</f>
        <v>0</v>
      </c>
      <c r="F25" s="52">
        <v>0.770833333333333</v>
      </c>
      <c r="G25" s="49" t="s">
        <v>773</v>
      </c>
      <c r="H25" s="23">
        <f>IF(G25="","",IFERROR(INDEX(Clients!$B$5:$B$204,MATCH(G25,Clients!$A$5:$A$204,0)),"Not found"))</f>
        <v>0</v>
      </c>
      <c r="I25" s="23">
        <f>IF(G25="","",IFERROR(INDEX(Clients!$C$5:$C$204,MATCH(G25,Clients!$A$5:$A$204,0)),""))</f>
        <v>0</v>
      </c>
      <c r="J25" s="49" t="s">
        <v>1134</v>
      </c>
      <c r="K25" s="23">
        <f>IF(J25="","",IFERROR(INDEX(Properties!$B$5:$B$254,MATCH(J25,Properties!$A$5:$A$254,0)),""))</f>
        <v>0</v>
      </c>
      <c r="L25" s="23">
        <f>IF(J25="","",IFERROR(INDEX(Properties!$F$5:$F$254,MATCH(J25,Properties!$A$5:$A$254,0)),""))</f>
        <v>0</v>
      </c>
      <c r="M25" s="15" t="s">
        <v>770</v>
      </c>
      <c r="N25" s="15" t="s">
        <v>1133</v>
      </c>
      <c r="O25" s="15" t="s">
        <v>617</v>
      </c>
      <c r="P25" s="45" t="s">
        <v>406</v>
      </c>
      <c r="Q25" s="15" t="s">
        <v>448</v>
      </c>
      <c r="R25" s="15" t="s">
        <v>608</v>
      </c>
      <c r="S25" s="15" t="s">
        <v>172</v>
      </c>
      <c r="T25" s="16">
        <v>1</v>
      </c>
      <c r="W25" s="17">
        <v>4.8</v>
      </c>
      <c r="X25" s="47" t="s">
        <v>454</v>
      </c>
      <c r="Y25" s="47" t="s">
        <v>454</v>
      </c>
      <c r="AA25" s="47" t="s">
        <v>172</v>
      </c>
      <c r="AB25" s="44" t="s">
        <v>172</v>
      </c>
      <c r="AC25" s="44" t="s">
        <v>172</v>
      </c>
      <c r="AD25" s="34">
        <f>IF(G25="","",IF(U25&lt;&gt;"",U25,IF(AND(IFERROR(INDEX(Services!$D$5:$D$64,MATCH(M25,Services!$B$5:$B$64,0)),"")="Per hour",IFERROR(INDEX(Properties!$X$5:$X$254,MATCH(J25,Properties!$A$5:$A$254,0)),0)&gt;0),IFERROR(INDEX(Properties!$X$5:$X$254,MATCH(J25,Properties!$A$5:$A$254,0)),0),IF(IFERROR(INDEX(Services!$G$5:$G$64,MATCH(M25,Services!$B$5:$B$64,0)),0)&gt;0,IFERROR(INDEX(Services!$G$5:$G$64,MATCH(M25,Services!$B$5:$B$64,0)),0),IFERROR(INDEX(Properties!$X$5:$X$254,MATCH(J25,Properties!$A$5:$A$254,0)),0)))))</f>
        <v>0</v>
      </c>
      <c r="AE25" s="31">
        <f>IF(G25="","",IF(T25="",CleanersPerJob,MAX(1,T25)))</f>
        <v>0</v>
      </c>
      <c r="AF25" s="34">
        <f>IF(G25="","",ROUND(AD25/AE25,2))</f>
        <v>0</v>
      </c>
      <c r="AG25" s="53">
        <f>IF(OR(G25="",F25="",AF25=""),"",F25+AF25/24)</f>
        <v>0</v>
      </c>
      <c r="AH25" s="21">
        <f>IF(G25="","",IF(IFERROR(INDEX(Clients!$O$5:$O$204,MATCH(G25,Clients!$A$5:$A$204,0)),0)&gt;0,IFERROR(INDEX(Clients!$O$5:$O$204,MATCH(G25,Clients!$A$5:$A$204,0)),0),HourlyRate))</f>
        <v>0</v>
      </c>
      <c r="AI25" s="21">
        <f>IF(G25="","",IF(AND(M25&lt;&gt;"",IFERROR(INDEX(Services!$P$5:$P$64,MATCH(M25,Services!$B$5:$B$64,0)),0)&gt;0,IFERROR(INDEX(Services!$D$5:$D$64,MATCH(M25,Services!$B$5:$B$64,0)),"")&lt;&gt;"Per hour"),IFERROR(INDEX(Services!$P$5:$P$64,MATCH(M25,Services!$B$5:$B$64,0)),0),AD25*AH25))</f>
        <v>0</v>
      </c>
      <c r="AJ25" s="21">
        <f>IF(G25="","",IF(V25&lt;&gt;"",V25,IF(P25="Cancelled",0,MAX(MinimumCharge,ROUND(AI25*IFERROR(INDEX(FreqFactors,MATCH(O25,FreqNames,0)),1),2)))))</f>
        <v>0</v>
      </c>
      <c r="AK25" s="34">
        <f>IF(G25="","",IF(SUMIFS(Timesheets!$U$5:$U$804,Timesheets!$G$5:$G$804,A25)&gt;0,SUMIFS(Timesheets!$U$5:$U$804,Timesheets!$G$5:$G$804,A25),IF(Z25="","",Z25)))</f>
        <v>0</v>
      </c>
      <c r="AL25" s="34">
        <f>IF(OR(AK25="",AD25=""),"",AK25-AD25)</f>
        <v>0</v>
      </c>
      <c r="AM25" s="31">
        <f>IF(A25="","",COUNTIFS('Job Tasks'!$B$5:$B$904,A25))</f>
        <v>0</v>
      </c>
      <c r="AN25" s="31">
        <f>IF(A25="","",COUNTIFS('Job Tasks'!$B$5:$B$904,A25,'Job Tasks'!$H$5:$H$904,"Done"))</f>
        <v>0</v>
      </c>
      <c r="AO25" s="38">
        <f>IF(OR(A25="",AM25=0),"",AN25/AM25)</f>
        <v>0</v>
      </c>
      <c r="AP25" s="43">
        <f>IF(A25="","",IFERROR(INDEX('Invoice Lines'!$B$5:$B$804,MATCH(A25,'Invoice Lines'!$C$5:$C$804,0)),""))</f>
        <v>0</v>
      </c>
      <c r="AQ25" s="18">
        <f>IF(OR(G25="",B25="",X25&lt;&gt;"Yes"),"",IF(IFERROR(INDEX(FreqDays,MATCH(O25,FreqNames,0)),0)=0,"",B25+IFERROR(INDEX(FreqDays,MATCH(O25,FreqNames,0)),0)))</f>
        <v>0</v>
      </c>
      <c r="AR25" s="39">
        <f>IF(G25="","",IF(R25="","Unassigned",IF(COUNTIFS($R$5:$R$604,R25,$B$5:$B$604,B25,$F$5:$F$604,F25)&gt;1,"Clash",IF(SUMIFS($AF$5:$AF$604,$R$5:$R$604,R25,$B$5:$B$604,B25)&gt;ProductiveHours,"Long day","OK"))))</f>
        <v>0</v>
      </c>
      <c r="AS25" s="18">
        <f>IF(OR(G25="",B25=""),"",IF(AND(B25&gt;=TodayDate,P25&lt;&gt;"Cancelled"),B25,""))</f>
        <v>0</v>
      </c>
      <c r="AT25" s="31">
        <f>IF(AS25="","",COUNTIFS($AS$5:$AS$604,"&lt;"&amp;AS25)+COUNTIFS($AS$5:AS25,AS25))</f>
        <v>0</v>
      </c>
      <c r="AU25" s="18">
        <f>IF(OR(G25="",B25="",R25&lt;&gt;""),"",IF(AND(B25&gt;=TodayDate,P25&lt;&gt;"Cancelled"),B25,""))</f>
        <v>0</v>
      </c>
      <c r="AV25" s="31">
        <f>IF(AU25="","",COUNTIFS($AU$5:$AU$604,"&lt;"&amp;AU25)+COUNTIFS($AU$5:AU25,AU25))</f>
        <v>0</v>
      </c>
      <c r="AW25" s="31">
        <f>IF(OR(G25="",B25=""),"",B25-TodayDate)</f>
        <v>0</v>
      </c>
      <c r="AX25" s="39">
        <f>IF(G25="","",IF(P25="Cancelled","Cancelled",IF(P25="No access","Action - no access, rebook",IF(AND(B25&lt;&gt;"",AW25&lt;0,OR(P25="Booked",P25="Confirmed",P25="In progress")),"Late - mark it completed",IF(AND(P25="Completed",AP25=""),"Action - not invoiced yet",IF(AND(AW25&gt;=0,AW25&lt;=ReminderDays,Y25&lt;&gt;"Yes"),"Confirm - visit coming up",IF(R25="","Assign - no cleaner booked",IF(AND(P25="Completed",AO25&lt;&gt;"",AO25&lt;1),"Check - checklist unfinished","OK"))))))))</f>
        <v>0</v>
      </c>
    </row>
    <row r="26" spans="1:50">
      <c r="A26" s="43">
        <f>IF(G26="","",JobPrefix&amp;TEXT(ROW()-4,"0000"))</f>
        <v>0</v>
      </c>
      <c r="B26" s="46">
        <v>46283</v>
      </c>
      <c r="C26" s="23">
        <f>IF(B26="","",TEXT(B26,"ddd"))</f>
        <v>0</v>
      </c>
      <c r="D26" s="31">
        <f>IF(B26="","",WEEKNUM(B26,IF(WeekStart="Sunday",1,2)))</f>
        <v>0</v>
      </c>
      <c r="E26" s="23">
        <f>IF(B26="","",TEXT(B26,"yyyy-mm"))</f>
        <v>0</v>
      </c>
      <c r="F26" s="52">
        <v>0.729166666666667</v>
      </c>
      <c r="G26" s="49" t="s">
        <v>800</v>
      </c>
      <c r="H26" s="23">
        <f>IF(G26="","",IFERROR(INDEX(Clients!$B$5:$B$204,MATCH(G26,Clients!$A$5:$A$204,0)),"Not found"))</f>
        <v>0</v>
      </c>
      <c r="I26" s="23">
        <f>IF(G26="","",IFERROR(INDEX(Clients!$C$5:$C$204,MATCH(G26,Clients!$A$5:$A$204,0)),""))</f>
        <v>0</v>
      </c>
      <c r="J26" s="49" t="s">
        <v>1140</v>
      </c>
      <c r="K26" s="23">
        <f>IF(J26="","",IFERROR(INDEX(Properties!$B$5:$B$254,MATCH(J26,Properties!$A$5:$A$254,0)),""))</f>
        <v>0</v>
      </c>
      <c r="L26" s="23">
        <f>IF(J26="","",IFERROR(INDEX(Properties!$F$5:$F$254,MATCH(J26,Properties!$A$5:$A$254,0)),""))</f>
        <v>0</v>
      </c>
      <c r="M26" s="15" t="s">
        <v>803</v>
      </c>
      <c r="N26" s="15" t="s">
        <v>1133</v>
      </c>
      <c r="O26" s="15" t="s">
        <v>451</v>
      </c>
      <c r="P26" s="45" t="s">
        <v>406</v>
      </c>
      <c r="Q26" s="15" t="s">
        <v>448</v>
      </c>
      <c r="R26" s="15" t="s">
        <v>639</v>
      </c>
      <c r="S26" s="15" t="s">
        <v>664</v>
      </c>
      <c r="T26" s="16">
        <v>2</v>
      </c>
      <c r="W26" s="17">
        <v>9.2</v>
      </c>
      <c r="X26" s="47" t="s">
        <v>454</v>
      </c>
      <c r="Y26" s="47" t="s">
        <v>454</v>
      </c>
      <c r="AA26" s="47">
        <v>5</v>
      </c>
      <c r="AB26" s="44" t="s">
        <v>172</v>
      </c>
      <c r="AC26" s="44" t="s">
        <v>172</v>
      </c>
      <c r="AD26" s="34">
        <f>IF(G26="","",IF(U26&lt;&gt;"",U26,IF(AND(IFERROR(INDEX(Services!$D$5:$D$64,MATCH(M26,Services!$B$5:$B$64,0)),"")="Per hour",IFERROR(INDEX(Properties!$X$5:$X$254,MATCH(J26,Properties!$A$5:$A$254,0)),0)&gt;0),IFERROR(INDEX(Properties!$X$5:$X$254,MATCH(J26,Properties!$A$5:$A$254,0)),0),IF(IFERROR(INDEX(Services!$G$5:$G$64,MATCH(M26,Services!$B$5:$B$64,0)),0)&gt;0,IFERROR(INDEX(Services!$G$5:$G$64,MATCH(M26,Services!$B$5:$B$64,0)),0),IFERROR(INDEX(Properties!$X$5:$X$254,MATCH(J26,Properties!$A$5:$A$254,0)),0)))))</f>
        <v>0</v>
      </c>
      <c r="AE26" s="31">
        <f>IF(G26="","",IF(T26="",CleanersPerJob,MAX(1,T26)))</f>
        <v>0</v>
      </c>
      <c r="AF26" s="34">
        <f>IF(G26="","",ROUND(AD26/AE26,2))</f>
        <v>0</v>
      </c>
      <c r="AG26" s="53">
        <f>IF(OR(G26="",F26="",AF26=""),"",F26+AF26/24)</f>
        <v>0</v>
      </c>
      <c r="AH26" s="21">
        <f>IF(G26="","",IF(IFERROR(INDEX(Clients!$O$5:$O$204,MATCH(G26,Clients!$A$5:$A$204,0)),0)&gt;0,IFERROR(INDEX(Clients!$O$5:$O$204,MATCH(G26,Clients!$A$5:$A$204,0)),0),HourlyRate))</f>
        <v>0</v>
      </c>
      <c r="AI26" s="21">
        <f>IF(G26="","",IF(AND(M26&lt;&gt;"",IFERROR(INDEX(Services!$P$5:$P$64,MATCH(M26,Services!$B$5:$B$64,0)),0)&gt;0,IFERROR(INDEX(Services!$D$5:$D$64,MATCH(M26,Services!$B$5:$B$64,0)),"")&lt;&gt;"Per hour"),IFERROR(INDEX(Services!$P$5:$P$64,MATCH(M26,Services!$B$5:$B$64,0)),0),AD26*AH26))</f>
        <v>0</v>
      </c>
      <c r="AJ26" s="21">
        <f>IF(G26="","",IF(V26&lt;&gt;"",V26,IF(P26="Cancelled",0,MAX(MinimumCharge,ROUND(AI26*IFERROR(INDEX(FreqFactors,MATCH(O26,FreqNames,0)),1),2)))))</f>
        <v>0</v>
      </c>
      <c r="AK26" s="34">
        <f>IF(G26="","",IF(SUMIFS(Timesheets!$U$5:$U$804,Timesheets!$G$5:$G$804,A26)&gt;0,SUMIFS(Timesheets!$U$5:$U$804,Timesheets!$G$5:$G$804,A26),IF(Z26="","",Z26)))</f>
        <v>0</v>
      </c>
      <c r="AL26" s="34">
        <f>IF(OR(AK26="",AD26=""),"",AK26-AD26)</f>
        <v>0</v>
      </c>
      <c r="AM26" s="31">
        <f>IF(A26="","",COUNTIFS('Job Tasks'!$B$5:$B$904,A26))</f>
        <v>0</v>
      </c>
      <c r="AN26" s="31">
        <f>IF(A26="","",COUNTIFS('Job Tasks'!$B$5:$B$904,A26,'Job Tasks'!$H$5:$H$904,"Done"))</f>
        <v>0</v>
      </c>
      <c r="AO26" s="38">
        <f>IF(OR(A26="",AM26=0),"",AN26/AM26)</f>
        <v>0</v>
      </c>
      <c r="AP26" s="43">
        <f>IF(A26="","",IFERROR(INDEX('Invoice Lines'!$B$5:$B$804,MATCH(A26,'Invoice Lines'!$C$5:$C$804,0)),""))</f>
        <v>0</v>
      </c>
      <c r="AQ26" s="18">
        <f>IF(OR(G26="",B26="",X26&lt;&gt;"Yes"),"",IF(IFERROR(INDEX(FreqDays,MATCH(O26,FreqNames,0)),0)=0,"",B26+IFERROR(INDEX(FreqDays,MATCH(O26,FreqNames,0)),0)))</f>
        <v>0</v>
      </c>
      <c r="AR26" s="39">
        <f>IF(G26="","",IF(R26="","Unassigned",IF(COUNTIFS($R$5:$R$604,R26,$B$5:$B$604,B26,$F$5:$F$604,F26)&gt;1,"Clash",IF(SUMIFS($AF$5:$AF$604,$R$5:$R$604,R26,$B$5:$B$604,B26)&gt;ProductiveHours,"Long day","OK"))))</f>
        <v>0</v>
      </c>
      <c r="AS26" s="18">
        <f>IF(OR(G26="",B26=""),"",IF(AND(B26&gt;=TodayDate,P26&lt;&gt;"Cancelled"),B26,""))</f>
        <v>0</v>
      </c>
      <c r="AT26" s="31">
        <f>IF(AS26="","",COUNTIFS($AS$5:$AS$604,"&lt;"&amp;AS26)+COUNTIFS($AS$5:AS26,AS26))</f>
        <v>0</v>
      </c>
      <c r="AU26" s="18">
        <f>IF(OR(G26="",B26="",R26&lt;&gt;""),"",IF(AND(B26&gt;=TodayDate,P26&lt;&gt;"Cancelled"),B26,""))</f>
        <v>0</v>
      </c>
      <c r="AV26" s="31">
        <f>IF(AU26="","",COUNTIFS($AU$5:$AU$604,"&lt;"&amp;AU26)+COUNTIFS($AU$5:AU26,AU26))</f>
        <v>0</v>
      </c>
      <c r="AW26" s="31">
        <f>IF(OR(G26="",B26=""),"",B26-TodayDate)</f>
        <v>0</v>
      </c>
      <c r="AX26" s="39">
        <f>IF(G26="","",IF(P26="Cancelled","Cancelled",IF(P26="No access","Action - no access, rebook",IF(AND(B26&lt;&gt;"",AW26&lt;0,OR(P26="Booked",P26="Confirmed",P26="In progress")),"Late - mark it completed",IF(AND(P26="Completed",AP26=""),"Action - not invoiced yet",IF(AND(AW26&gt;=0,AW26&lt;=ReminderDays,Y26&lt;&gt;"Yes"),"Confirm - visit coming up",IF(R26="","Assign - no cleaner booked",IF(AND(P26="Completed",AO26&lt;&gt;"",AO26&lt;1),"Check - checklist unfinished","OK"))))))))</f>
        <v>0</v>
      </c>
    </row>
    <row r="27" spans="1:50">
      <c r="A27" s="43">
        <f>IF(G27="","",JobPrefix&amp;TEXT(ROW()-4,"0000"))</f>
        <v>0</v>
      </c>
      <c r="B27" s="46">
        <v>46283</v>
      </c>
      <c r="C27" s="23">
        <f>IF(B27="","",TEXT(B27,"ddd"))</f>
        <v>0</v>
      </c>
      <c r="D27" s="31">
        <f>IF(B27="","",WEEKNUM(B27,IF(WeekStart="Sunday",1,2)))</f>
        <v>0</v>
      </c>
      <c r="E27" s="23">
        <f>IF(B27="","",TEXT(B27,"yyyy-mm"))</f>
        <v>0</v>
      </c>
      <c r="F27" s="52">
        <v>0.75</v>
      </c>
      <c r="G27" s="49" t="s">
        <v>764</v>
      </c>
      <c r="H27" s="23">
        <f>IF(G27="","",IFERROR(INDEX(Clients!$B$5:$B$204,MATCH(G27,Clients!$A$5:$A$204,0)),"Not found"))</f>
        <v>0</v>
      </c>
      <c r="I27" s="23">
        <f>IF(G27="","",IFERROR(INDEX(Clients!$C$5:$C$204,MATCH(G27,Clients!$A$5:$A$204,0)),""))</f>
        <v>0</v>
      </c>
      <c r="J27" s="49" t="s">
        <v>1141</v>
      </c>
      <c r="K27" s="23">
        <f>IF(J27="","",IFERROR(INDEX(Properties!$B$5:$B$254,MATCH(J27,Properties!$A$5:$A$254,0)),""))</f>
        <v>0</v>
      </c>
      <c r="L27" s="23">
        <f>IF(J27="","",IFERROR(INDEX(Properties!$F$5:$F$254,MATCH(J27,Properties!$A$5:$A$254,0)),""))</f>
        <v>0</v>
      </c>
      <c r="M27" s="15" t="s">
        <v>770</v>
      </c>
      <c r="N27" s="15" t="s">
        <v>1133</v>
      </c>
      <c r="O27" s="15" t="s">
        <v>451</v>
      </c>
      <c r="P27" s="45" t="s">
        <v>406</v>
      </c>
      <c r="Q27" s="15" t="s">
        <v>448</v>
      </c>
      <c r="R27" s="15" t="s">
        <v>608</v>
      </c>
      <c r="S27" s="15" t="s">
        <v>172</v>
      </c>
      <c r="T27" s="16">
        <v>1</v>
      </c>
      <c r="W27" s="17">
        <v>6.2</v>
      </c>
      <c r="X27" s="47" t="s">
        <v>454</v>
      </c>
      <c r="Y27" s="47" t="s">
        <v>454</v>
      </c>
      <c r="AA27" s="47" t="s">
        <v>172</v>
      </c>
      <c r="AB27" s="44" t="s">
        <v>172</v>
      </c>
      <c r="AC27" s="44" t="s">
        <v>172</v>
      </c>
      <c r="AD27" s="34">
        <f>IF(G27="","",IF(U27&lt;&gt;"",U27,IF(AND(IFERROR(INDEX(Services!$D$5:$D$64,MATCH(M27,Services!$B$5:$B$64,0)),"")="Per hour",IFERROR(INDEX(Properties!$X$5:$X$254,MATCH(J27,Properties!$A$5:$A$254,0)),0)&gt;0),IFERROR(INDEX(Properties!$X$5:$X$254,MATCH(J27,Properties!$A$5:$A$254,0)),0),IF(IFERROR(INDEX(Services!$G$5:$G$64,MATCH(M27,Services!$B$5:$B$64,0)),0)&gt;0,IFERROR(INDEX(Services!$G$5:$G$64,MATCH(M27,Services!$B$5:$B$64,0)),0),IFERROR(INDEX(Properties!$X$5:$X$254,MATCH(J27,Properties!$A$5:$A$254,0)),0)))))</f>
        <v>0</v>
      </c>
      <c r="AE27" s="31">
        <f>IF(G27="","",IF(T27="",CleanersPerJob,MAX(1,T27)))</f>
        <v>0</v>
      </c>
      <c r="AF27" s="34">
        <f>IF(G27="","",ROUND(AD27/AE27,2))</f>
        <v>0</v>
      </c>
      <c r="AG27" s="53">
        <f>IF(OR(G27="",F27="",AF27=""),"",F27+AF27/24)</f>
        <v>0</v>
      </c>
      <c r="AH27" s="21">
        <f>IF(G27="","",IF(IFERROR(INDEX(Clients!$O$5:$O$204,MATCH(G27,Clients!$A$5:$A$204,0)),0)&gt;0,IFERROR(INDEX(Clients!$O$5:$O$204,MATCH(G27,Clients!$A$5:$A$204,0)),0),HourlyRate))</f>
        <v>0</v>
      </c>
      <c r="AI27" s="21">
        <f>IF(G27="","",IF(AND(M27&lt;&gt;"",IFERROR(INDEX(Services!$P$5:$P$64,MATCH(M27,Services!$B$5:$B$64,0)),0)&gt;0,IFERROR(INDEX(Services!$D$5:$D$64,MATCH(M27,Services!$B$5:$B$64,0)),"")&lt;&gt;"Per hour"),IFERROR(INDEX(Services!$P$5:$P$64,MATCH(M27,Services!$B$5:$B$64,0)),0),AD27*AH27))</f>
        <v>0</v>
      </c>
      <c r="AJ27" s="21">
        <f>IF(G27="","",IF(V27&lt;&gt;"",V27,IF(P27="Cancelled",0,MAX(MinimumCharge,ROUND(AI27*IFERROR(INDEX(FreqFactors,MATCH(O27,FreqNames,0)),1),2)))))</f>
        <v>0</v>
      </c>
      <c r="AK27" s="34">
        <f>IF(G27="","",IF(SUMIFS(Timesheets!$U$5:$U$804,Timesheets!$G$5:$G$804,A27)&gt;0,SUMIFS(Timesheets!$U$5:$U$804,Timesheets!$G$5:$G$804,A27),IF(Z27="","",Z27)))</f>
        <v>0</v>
      </c>
      <c r="AL27" s="34">
        <f>IF(OR(AK27="",AD27=""),"",AK27-AD27)</f>
        <v>0</v>
      </c>
      <c r="AM27" s="31">
        <f>IF(A27="","",COUNTIFS('Job Tasks'!$B$5:$B$904,A27))</f>
        <v>0</v>
      </c>
      <c r="AN27" s="31">
        <f>IF(A27="","",COUNTIFS('Job Tasks'!$B$5:$B$904,A27,'Job Tasks'!$H$5:$H$904,"Done"))</f>
        <v>0</v>
      </c>
      <c r="AO27" s="38">
        <f>IF(OR(A27="",AM27=0),"",AN27/AM27)</f>
        <v>0</v>
      </c>
      <c r="AP27" s="43">
        <f>IF(A27="","",IFERROR(INDEX('Invoice Lines'!$B$5:$B$804,MATCH(A27,'Invoice Lines'!$C$5:$C$804,0)),""))</f>
        <v>0</v>
      </c>
      <c r="AQ27" s="18">
        <f>IF(OR(G27="",B27="",X27&lt;&gt;"Yes"),"",IF(IFERROR(INDEX(FreqDays,MATCH(O27,FreqNames,0)),0)=0,"",B27+IFERROR(INDEX(FreqDays,MATCH(O27,FreqNames,0)),0)))</f>
        <v>0</v>
      </c>
      <c r="AR27" s="39">
        <f>IF(G27="","",IF(R27="","Unassigned",IF(COUNTIFS($R$5:$R$604,R27,$B$5:$B$604,B27,$F$5:$F$604,F27)&gt;1,"Clash",IF(SUMIFS($AF$5:$AF$604,$R$5:$R$604,R27,$B$5:$B$604,B27)&gt;ProductiveHours,"Long day","OK"))))</f>
        <v>0</v>
      </c>
      <c r="AS27" s="18">
        <f>IF(OR(G27="",B27=""),"",IF(AND(B27&gt;=TodayDate,P27&lt;&gt;"Cancelled"),B27,""))</f>
        <v>0</v>
      </c>
      <c r="AT27" s="31">
        <f>IF(AS27="","",COUNTIFS($AS$5:$AS$604,"&lt;"&amp;AS27)+COUNTIFS($AS$5:AS27,AS27))</f>
        <v>0</v>
      </c>
      <c r="AU27" s="18">
        <f>IF(OR(G27="",B27="",R27&lt;&gt;""),"",IF(AND(B27&gt;=TodayDate,P27&lt;&gt;"Cancelled"),B27,""))</f>
        <v>0</v>
      </c>
      <c r="AV27" s="31">
        <f>IF(AU27="","",COUNTIFS($AU$5:$AU$604,"&lt;"&amp;AU27)+COUNTIFS($AU$5:AU27,AU27))</f>
        <v>0</v>
      </c>
      <c r="AW27" s="31">
        <f>IF(OR(G27="",B27=""),"",B27-TodayDate)</f>
        <v>0</v>
      </c>
      <c r="AX27" s="39">
        <f>IF(G27="","",IF(P27="Cancelled","Cancelled",IF(P27="No access","Action - no access, rebook",IF(AND(B27&lt;&gt;"",AW27&lt;0,OR(P27="Booked",P27="Confirmed",P27="In progress")),"Late - mark it completed",IF(AND(P27="Completed",AP27=""),"Action - not invoiced yet",IF(AND(AW27&gt;=0,AW27&lt;=ReminderDays,Y27&lt;&gt;"Yes"),"Confirm - visit coming up",IF(R27="","Assign - no cleaner booked",IF(AND(P27="Completed",AO27&lt;&gt;"",AO27&lt;1),"Check - checklist unfinished","OK"))))))))</f>
        <v>0</v>
      </c>
    </row>
    <row r="28" spans="1:50">
      <c r="A28" s="43">
        <f>IF(G28="","",JobPrefix&amp;TEXT(ROW()-4,"0000"))</f>
        <v>0</v>
      </c>
      <c r="B28" s="46">
        <v>46283</v>
      </c>
      <c r="C28" s="23">
        <f>IF(B28="","",TEXT(B28,"ddd"))</f>
        <v>0</v>
      </c>
      <c r="D28" s="31">
        <f>IF(B28="","",WEEKNUM(B28,IF(WeekStart="Sunday",1,2)))</f>
        <v>0</v>
      </c>
      <c r="E28" s="23">
        <f>IF(B28="","",TEXT(B28,"yyyy-mm"))</f>
        <v>0</v>
      </c>
      <c r="F28" s="52">
        <v>0.833333333333333</v>
      </c>
      <c r="G28" s="49" t="s">
        <v>848</v>
      </c>
      <c r="H28" s="23">
        <f>IF(G28="","",IFERROR(INDEX(Clients!$B$5:$B$204,MATCH(G28,Clients!$A$5:$A$204,0)),"Not found"))</f>
        <v>0</v>
      </c>
      <c r="I28" s="23">
        <f>IF(G28="","",IFERROR(INDEX(Clients!$C$5:$C$204,MATCH(G28,Clients!$A$5:$A$204,0)),""))</f>
        <v>0</v>
      </c>
      <c r="J28" s="49" t="s">
        <v>1142</v>
      </c>
      <c r="K28" s="23">
        <f>IF(J28="","",IFERROR(INDEX(Properties!$B$5:$B$254,MATCH(J28,Properties!$A$5:$A$254,0)),""))</f>
        <v>0</v>
      </c>
      <c r="L28" s="23">
        <f>IF(J28="","",IFERROR(INDEX(Properties!$F$5:$F$254,MATCH(J28,Properties!$A$5:$A$254,0)),""))</f>
        <v>0</v>
      </c>
      <c r="M28" s="15" t="s">
        <v>770</v>
      </c>
      <c r="N28" s="15" t="s">
        <v>1133</v>
      </c>
      <c r="O28" s="15" t="s">
        <v>451</v>
      </c>
      <c r="P28" s="45" t="s">
        <v>406</v>
      </c>
      <c r="Q28" s="15" t="s">
        <v>448</v>
      </c>
      <c r="R28" s="15" t="s">
        <v>608</v>
      </c>
      <c r="S28" s="15" t="s">
        <v>172</v>
      </c>
      <c r="T28" s="16">
        <v>1</v>
      </c>
      <c r="W28" s="17">
        <v>4.4</v>
      </c>
      <c r="X28" s="47" t="s">
        <v>454</v>
      </c>
      <c r="Y28" s="47" t="s">
        <v>454</v>
      </c>
      <c r="AA28" s="47" t="s">
        <v>172</v>
      </c>
      <c r="AB28" s="44" t="s">
        <v>172</v>
      </c>
      <c r="AC28" s="44" t="s">
        <v>172</v>
      </c>
      <c r="AD28" s="34">
        <f>IF(G28="","",IF(U28&lt;&gt;"",U28,IF(AND(IFERROR(INDEX(Services!$D$5:$D$64,MATCH(M28,Services!$B$5:$B$64,0)),"")="Per hour",IFERROR(INDEX(Properties!$X$5:$X$254,MATCH(J28,Properties!$A$5:$A$254,0)),0)&gt;0),IFERROR(INDEX(Properties!$X$5:$X$254,MATCH(J28,Properties!$A$5:$A$254,0)),0),IF(IFERROR(INDEX(Services!$G$5:$G$64,MATCH(M28,Services!$B$5:$B$64,0)),0)&gt;0,IFERROR(INDEX(Services!$G$5:$G$64,MATCH(M28,Services!$B$5:$B$64,0)),0),IFERROR(INDEX(Properties!$X$5:$X$254,MATCH(J28,Properties!$A$5:$A$254,0)),0)))))</f>
        <v>0</v>
      </c>
      <c r="AE28" s="31">
        <f>IF(G28="","",IF(T28="",CleanersPerJob,MAX(1,T28)))</f>
        <v>0</v>
      </c>
      <c r="AF28" s="34">
        <f>IF(G28="","",ROUND(AD28/AE28,2))</f>
        <v>0</v>
      </c>
      <c r="AG28" s="53">
        <f>IF(OR(G28="",F28="",AF28=""),"",F28+AF28/24)</f>
        <v>0</v>
      </c>
      <c r="AH28" s="21">
        <f>IF(G28="","",IF(IFERROR(INDEX(Clients!$O$5:$O$204,MATCH(G28,Clients!$A$5:$A$204,0)),0)&gt;0,IFERROR(INDEX(Clients!$O$5:$O$204,MATCH(G28,Clients!$A$5:$A$204,0)),0),HourlyRate))</f>
        <v>0</v>
      </c>
      <c r="AI28" s="21">
        <f>IF(G28="","",IF(AND(M28&lt;&gt;"",IFERROR(INDEX(Services!$P$5:$P$64,MATCH(M28,Services!$B$5:$B$64,0)),0)&gt;0,IFERROR(INDEX(Services!$D$5:$D$64,MATCH(M28,Services!$B$5:$B$64,0)),"")&lt;&gt;"Per hour"),IFERROR(INDEX(Services!$P$5:$P$64,MATCH(M28,Services!$B$5:$B$64,0)),0),AD28*AH28))</f>
        <v>0</v>
      </c>
      <c r="AJ28" s="21">
        <f>IF(G28="","",IF(V28&lt;&gt;"",V28,IF(P28="Cancelled",0,MAX(MinimumCharge,ROUND(AI28*IFERROR(INDEX(FreqFactors,MATCH(O28,FreqNames,0)),1),2)))))</f>
        <v>0</v>
      </c>
      <c r="AK28" s="34">
        <f>IF(G28="","",IF(SUMIFS(Timesheets!$U$5:$U$804,Timesheets!$G$5:$G$804,A28)&gt;0,SUMIFS(Timesheets!$U$5:$U$804,Timesheets!$G$5:$G$804,A28),IF(Z28="","",Z28)))</f>
        <v>0</v>
      </c>
      <c r="AL28" s="34">
        <f>IF(OR(AK28="",AD28=""),"",AK28-AD28)</f>
        <v>0</v>
      </c>
      <c r="AM28" s="31">
        <f>IF(A28="","",COUNTIFS('Job Tasks'!$B$5:$B$904,A28))</f>
        <v>0</v>
      </c>
      <c r="AN28" s="31">
        <f>IF(A28="","",COUNTIFS('Job Tasks'!$B$5:$B$904,A28,'Job Tasks'!$H$5:$H$904,"Done"))</f>
        <v>0</v>
      </c>
      <c r="AO28" s="38">
        <f>IF(OR(A28="",AM28=0),"",AN28/AM28)</f>
        <v>0</v>
      </c>
      <c r="AP28" s="43">
        <f>IF(A28="","",IFERROR(INDEX('Invoice Lines'!$B$5:$B$804,MATCH(A28,'Invoice Lines'!$C$5:$C$804,0)),""))</f>
        <v>0</v>
      </c>
      <c r="AQ28" s="18">
        <f>IF(OR(G28="",B28="",X28&lt;&gt;"Yes"),"",IF(IFERROR(INDEX(FreqDays,MATCH(O28,FreqNames,0)),0)=0,"",B28+IFERROR(INDEX(FreqDays,MATCH(O28,FreqNames,0)),0)))</f>
        <v>0</v>
      </c>
      <c r="AR28" s="39">
        <f>IF(G28="","",IF(R28="","Unassigned",IF(COUNTIFS($R$5:$R$604,R28,$B$5:$B$604,B28,$F$5:$F$604,F28)&gt;1,"Clash",IF(SUMIFS($AF$5:$AF$604,$R$5:$R$604,R28,$B$5:$B$604,B28)&gt;ProductiveHours,"Long day","OK"))))</f>
        <v>0</v>
      </c>
      <c r="AS28" s="18">
        <f>IF(OR(G28="",B28=""),"",IF(AND(B28&gt;=TodayDate,P28&lt;&gt;"Cancelled"),B28,""))</f>
        <v>0</v>
      </c>
      <c r="AT28" s="31">
        <f>IF(AS28="","",COUNTIFS($AS$5:$AS$604,"&lt;"&amp;AS28)+COUNTIFS($AS$5:AS28,AS28))</f>
        <v>0</v>
      </c>
      <c r="AU28" s="18">
        <f>IF(OR(G28="",B28="",R28&lt;&gt;""),"",IF(AND(B28&gt;=TodayDate,P28&lt;&gt;"Cancelled"),B28,""))</f>
        <v>0</v>
      </c>
      <c r="AV28" s="31">
        <f>IF(AU28="","",COUNTIFS($AU$5:$AU$604,"&lt;"&amp;AU28)+COUNTIFS($AU$5:AU28,AU28))</f>
        <v>0</v>
      </c>
      <c r="AW28" s="31">
        <f>IF(OR(G28="",B28=""),"",B28-TodayDate)</f>
        <v>0</v>
      </c>
      <c r="AX28" s="39">
        <f>IF(G28="","",IF(P28="Cancelled","Cancelled",IF(P28="No access","Action - no access, rebook",IF(AND(B28&lt;&gt;"",AW28&lt;0,OR(P28="Booked",P28="Confirmed",P28="In progress")),"Late - mark it completed",IF(AND(P28="Completed",AP28=""),"Action - not invoiced yet",IF(AND(AW28&gt;=0,AW28&lt;=ReminderDays,Y28&lt;&gt;"Yes"),"Confirm - visit coming up",IF(R28="","Assign - no cleaner booked",IF(AND(P28="Completed",AO28&lt;&gt;"",AO28&lt;1),"Check - checklist unfinished","OK"))))))))</f>
        <v>0</v>
      </c>
    </row>
    <row r="29" spans="1:50">
      <c r="A29" s="43">
        <f>IF(G29="","",JobPrefix&amp;TEXT(ROW()-4,"0000"))</f>
        <v>0</v>
      </c>
      <c r="B29" s="46">
        <v>46284</v>
      </c>
      <c r="C29" s="23">
        <f>IF(B29="","",TEXT(B29,"ddd"))</f>
        <v>0</v>
      </c>
      <c r="D29" s="31">
        <f>IF(B29="","",WEEKNUM(B29,IF(WeekStart="Sunday",1,2)))</f>
        <v>0</v>
      </c>
      <c r="E29" s="23">
        <f>IF(B29="","",TEXT(B29,"yyyy-mm"))</f>
        <v>0</v>
      </c>
      <c r="F29" s="52">
        <v>0.458333333333333</v>
      </c>
      <c r="G29" s="49" t="s">
        <v>818</v>
      </c>
      <c r="H29" s="23">
        <f>IF(G29="","",IFERROR(INDEX(Clients!$B$5:$B$204,MATCH(G29,Clients!$A$5:$A$204,0)),"Not found"))</f>
        <v>0</v>
      </c>
      <c r="I29" s="23">
        <f>IF(G29="","",IFERROR(INDEX(Clients!$C$5:$C$204,MATCH(G29,Clients!$A$5:$A$204,0)),""))</f>
        <v>0</v>
      </c>
      <c r="J29" s="49" t="s">
        <v>1143</v>
      </c>
      <c r="K29" s="23">
        <f>IF(J29="","",IFERROR(INDEX(Properties!$B$5:$B$254,MATCH(J29,Properties!$A$5:$A$254,0)),""))</f>
        <v>0</v>
      </c>
      <c r="L29" s="23">
        <f>IF(J29="","",IFERROR(INDEX(Properties!$F$5:$F$254,MATCH(J29,Properties!$A$5:$A$254,0)),""))</f>
        <v>0</v>
      </c>
      <c r="M29" s="15" t="s">
        <v>821</v>
      </c>
      <c r="N29" s="15" t="s">
        <v>1133</v>
      </c>
      <c r="O29" s="15" t="s">
        <v>451</v>
      </c>
      <c r="P29" s="45" t="s">
        <v>406</v>
      </c>
      <c r="Q29" s="15" t="s">
        <v>448</v>
      </c>
      <c r="R29" s="15" t="s">
        <v>596</v>
      </c>
      <c r="S29" s="15" t="s">
        <v>172</v>
      </c>
      <c r="T29" s="16">
        <v>1</v>
      </c>
      <c r="W29" s="17">
        <v>5.8</v>
      </c>
      <c r="X29" s="47" t="s">
        <v>454</v>
      </c>
      <c r="Y29" s="47" t="s">
        <v>454</v>
      </c>
      <c r="AA29" s="47">
        <v>5</v>
      </c>
      <c r="AB29" s="44" t="s">
        <v>172</v>
      </c>
      <c r="AC29" s="44" t="s">
        <v>172</v>
      </c>
      <c r="AD29" s="34">
        <f>IF(G29="","",IF(U29&lt;&gt;"",U29,IF(AND(IFERROR(INDEX(Services!$D$5:$D$64,MATCH(M29,Services!$B$5:$B$64,0)),"")="Per hour",IFERROR(INDEX(Properties!$X$5:$X$254,MATCH(J29,Properties!$A$5:$A$254,0)),0)&gt;0),IFERROR(INDEX(Properties!$X$5:$X$254,MATCH(J29,Properties!$A$5:$A$254,0)),0),IF(IFERROR(INDEX(Services!$G$5:$G$64,MATCH(M29,Services!$B$5:$B$64,0)),0)&gt;0,IFERROR(INDEX(Services!$G$5:$G$64,MATCH(M29,Services!$B$5:$B$64,0)),0),IFERROR(INDEX(Properties!$X$5:$X$254,MATCH(J29,Properties!$A$5:$A$254,0)),0)))))</f>
        <v>0</v>
      </c>
      <c r="AE29" s="31">
        <f>IF(G29="","",IF(T29="",CleanersPerJob,MAX(1,T29)))</f>
        <v>0</v>
      </c>
      <c r="AF29" s="34">
        <f>IF(G29="","",ROUND(AD29/AE29,2))</f>
        <v>0</v>
      </c>
      <c r="AG29" s="53">
        <f>IF(OR(G29="",F29="",AF29=""),"",F29+AF29/24)</f>
        <v>0</v>
      </c>
      <c r="AH29" s="21">
        <f>IF(G29="","",IF(IFERROR(INDEX(Clients!$O$5:$O$204,MATCH(G29,Clients!$A$5:$A$204,0)),0)&gt;0,IFERROR(INDEX(Clients!$O$5:$O$204,MATCH(G29,Clients!$A$5:$A$204,0)),0),HourlyRate))</f>
        <v>0</v>
      </c>
      <c r="AI29" s="21">
        <f>IF(G29="","",IF(AND(M29&lt;&gt;"",IFERROR(INDEX(Services!$P$5:$P$64,MATCH(M29,Services!$B$5:$B$64,0)),0)&gt;0,IFERROR(INDEX(Services!$D$5:$D$64,MATCH(M29,Services!$B$5:$B$64,0)),"")&lt;&gt;"Per hour"),IFERROR(INDEX(Services!$P$5:$P$64,MATCH(M29,Services!$B$5:$B$64,0)),0),AD29*AH29))</f>
        <v>0</v>
      </c>
      <c r="AJ29" s="21">
        <f>IF(G29="","",IF(V29&lt;&gt;"",V29,IF(P29="Cancelled",0,MAX(MinimumCharge,ROUND(AI29*IFERROR(INDEX(FreqFactors,MATCH(O29,FreqNames,0)),1),2)))))</f>
        <v>0</v>
      </c>
      <c r="AK29" s="34">
        <f>IF(G29="","",IF(SUMIFS(Timesheets!$U$5:$U$804,Timesheets!$G$5:$G$804,A29)&gt;0,SUMIFS(Timesheets!$U$5:$U$804,Timesheets!$G$5:$G$804,A29),IF(Z29="","",Z29)))</f>
        <v>0</v>
      </c>
      <c r="AL29" s="34">
        <f>IF(OR(AK29="",AD29=""),"",AK29-AD29)</f>
        <v>0</v>
      </c>
      <c r="AM29" s="31">
        <f>IF(A29="","",COUNTIFS('Job Tasks'!$B$5:$B$904,A29))</f>
        <v>0</v>
      </c>
      <c r="AN29" s="31">
        <f>IF(A29="","",COUNTIFS('Job Tasks'!$B$5:$B$904,A29,'Job Tasks'!$H$5:$H$904,"Done"))</f>
        <v>0</v>
      </c>
      <c r="AO29" s="38">
        <f>IF(OR(A29="",AM29=0),"",AN29/AM29)</f>
        <v>0</v>
      </c>
      <c r="AP29" s="43">
        <f>IF(A29="","",IFERROR(INDEX('Invoice Lines'!$B$5:$B$804,MATCH(A29,'Invoice Lines'!$C$5:$C$804,0)),""))</f>
        <v>0</v>
      </c>
      <c r="AQ29" s="18">
        <f>IF(OR(G29="",B29="",X29&lt;&gt;"Yes"),"",IF(IFERROR(INDEX(FreqDays,MATCH(O29,FreqNames,0)),0)=0,"",B29+IFERROR(INDEX(FreqDays,MATCH(O29,FreqNames,0)),0)))</f>
        <v>0</v>
      </c>
      <c r="AR29" s="39">
        <f>IF(G29="","",IF(R29="","Unassigned",IF(COUNTIFS($R$5:$R$604,R29,$B$5:$B$604,B29,$F$5:$F$604,F29)&gt;1,"Clash",IF(SUMIFS($AF$5:$AF$604,$R$5:$R$604,R29,$B$5:$B$604,B29)&gt;ProductiveHours,"Long day","OK"))))</f>
        <v>0</v>
      </c>
      <c r="AS29" s="18">
        <f>IF(OR(G29="",B29=""),"",IF(AND(B29&gt;=TodayDate,P29&lt;&gt;"Cancelled"),B29,""))</f>
        <v>0</v>
      </c>
      <c r="AT29" s="31">
        <f>IF(AS29="","",COUNTIFS($AS$5:$AS$604,"&lt;"&amp;AS29)+COUNTIFS($AS$5:AS29,AS29))</f>
        <v>0</v>
      </c>
      <c r="AU29" s="18">
        <f>IF(OR(G29="",B29="",R29&lt;&gt;""),"",IF(AND(B29&gt;=TodayDate,P29&lt;&gt;"Cancelled"),B29,""))</f>
        <v>0</v>
      </c>
      <c r="AV29" s="31">
        <f>IF(AU29="","",COUNTIFS($AU$5:$AU$604,"&lt;"&amp;AU29)+COUNTIFS($AU$5:AU29,AU29))</f>
        <v>0</v>
      </c>
      <c r="AW29" s="31">
        <f>IF(OR(G29="",B29=""),"",B29-TodayDate)</f>
        <v>0</v>
      </c>
      <c r="AX29" s="39">
        <f>IF(G29="","",IF(P29="Cancelled","Cancelled",IF(P29="No access","Action - no access, rebook",IF(AND(B29&lt;&gt;"",AW29&lt;0,OR(P29="Booked",P29="Confirmed",P29="In progress")),"Late - mark it completed",IF(AND(P29="Completed",AP29=""),"Action - not invoiced yet",IF(AND(AW29&gt;=0,AW29&lt;=ReminderDays,Y29&lt;&gt;"Yes"),"Confirm - visit coming up",IF(R29="","Assign - no cleaner booked",IF(AND(P29="Completed",AO29&lt;&gt;"",AO29&lt;1),"Check - checklist unfinished","OK"))))))))</f>
        <v>0</v>
      </c>
    </row>
    <row r="30" spans="1:50">
      <c r="A30" s="43">
        <f>IF(G30="","",JobPrefix&amp;TEXT(ROW()-4,"0000"))</f>
        <v>0</v>
      </c>
      <c r="B30" s="46">
        <v>46284</v>
      </c>
      <c r="C30" s="23">
        <f>IF(B30="","",TEXT(B30,"ddd"))</f>
        <v>0</v>
      </c>
      <c r="D30" s="31">
        <f>IF(B30="","",WEEKNUM(B30,IF(WeekStart="Sunday",1,2)))</f>
        <v>0</v>
      </c>
      <c r="E30" s="23">
        <f>IF(B30="","",TEXT(B30,"yyyy-mm"))</f>
        <v>0</v>
      </c>
      <c r="F30" s="52">
        <v>0.583333333333333</v>
      </c>
      <c r="G30" s="49" t="s">
        <v>818</v>
      </c>
      <c r="H30" s="23">
        <f>IF(G30="","",IFERROR(INDEX(Clients!$B$5:$B$204,MATCH(G30,Clients!$A$5:$A$204,0)),"Not found"))</f>
        <v>0</v>
      </c>
      <c r="I30" s="23">
        <f>IF(G30="","",IFERROR(INDEX(Clients!$C$5:$C$204,MATCH(G30,Clients!$A$5:$A$204,0)),""))</f>
        <v>0</v>
      </c>
      <c r="J30" s="49" t="s">
        <v>1144</v>
      </c>
      <c r="K30" s="23">
        <f>IF(J30="","",IFERROR(INDEX(Properties!$B$5:$B$254,MATCH(J30,Properties!$A$5:$A$254,0)),""))</f>
        <v>0</v>
      </c>
      <c r="L30" s="23">
        <f>IF(J30="","",IFERROR(INDEX(Properties!$F$5:$F$254,MATCH(J30,Properties!$A$5:$A$254,0)),""))</f>
        <v>0</v>
      </c>
      <c r="M30" s="15" t="s">
        <v>821</v>
      </c>
      <c r="N30" s="15" t="s">
        <v>1133</v>
      </c>
      <c r="O30" s="15" t="s">
        <v>451</v>
      </c>
      <c r="P30" s="45" t="s">
        <v>406</v>
      </c>
      <c r="Q30" s="15" t="s">
        <v>448</v>
      </c>
      <c r="R30" s="15" t="s">
        <v>596</v>
      </c>
      <c r="S30" s="15" t="s">
        <v>172</v>
      </c>
      <c r="T30" s="16">
        <v>1</v>
      </c>
      <c r="W30" s="17">
        <v>6.8</v>
      </c>
      <c r="X30" s="47" t="s">
        <v>454</v>
      </c>
      <c r="Y30" s="47" t="s">
        <v>454</v>
      </c>
      <c r="AA30" s="47">
        <v>5</v>
      </c>
      <c r="AB30" s="44" t="s">
        <v>172</v>
      </c>
      <c r="AC30" s="44" t="s">
        <v>172</v>
      </c>
      <c r="AD30" s="34">
        <f>IF(G30="","",IF(U30&lt;&gt;"",U30,IF(AND(IFERROR(INDEX(Services!$D$5:$D$64,MATCH(M30,Services!$B$5:$B$64,0)),"")="Per hour",IFERROR(INDEX(Properties!$X$5:$X$254,MATCH(J30,Properties!$A$5:$A$254,0)),0)&gt;0),IFERROR(INDEX(Properties!$X$5:$X$254,MATCH(J30,Properties!$A$5:$A$254,0)),0),IF(IFERROR(INDEX(Services!$G$5:$G$64,MATCH(M30,Services!$B$5:$B$64,0)),0)&gt;0,IFERROR(INDEX(Services!$G$5:$G$64,MATCH(M30,Services!$B$5:$B$64,0)),0),IFERROR(INDEX(Properties!$X$5:$X$254,MATCH(J30,Properties!$A$5:$A$254,0)),0)))))</f>
        <v>0</v>
      </c>
      <c r="AE30" s="31">
        <f>IF(G30="","",IF(T30="",CleanersPerJob,MAX(1,T30)))</f>
        <v>0</v>
      </c>
      <c r="AF30" s="34">
        <f>IF(G30="","",ROUND(AD30/AE30,2))</f>
        <v>0</v>
      </c>
      <c r="AG30" s="53">
        <f>IF(OR(G30="",F30="",AF30=""),"",F30+AF30/24)</f>
        <v>0</v>
      </c>
      <c r="AH30" s="21">
        <f>IF(G30="","",IF(IFERROR(INDEX(Clients!$O$5:$O$204,MATCH(G30,Clients!$A$5:$A$204,0)),0)&gt;0,IFERROR(INDEX(Clients!$O$5:$O$204,MATCH(G30,Clients!$A$5:$A$204,0)),0),HourlyRate))</f>
        <v>0</v>
      </c>
      <c r="AI30" s="21">
        <f>IF(G30="","",IF(AND(M30&lt;&gt;"",IFERROR(INDEX(Services!$P$5:$P$64,MATCH(M30,Services!$B$5:$B$64,0)),0)&gt;0,IFERROR(INDEX(Services!$D$5:$D$64,MATCH(M30,Services!$B$5:$B$64,0)),"")&lt;&gt;"Per hour"),IFERROR(INDEX(Services!$P$5:$P$64,MATCH(M30,Services!$B$5:$B$64,0)),0),AD30*AH30))</f>
        <v>0</v>
      </c>
      <c r="AJ30" s="21">
        <f>IF(G30="","",IF(V30&lt;&gt;"",V30,IF(P30="Cancelled",0,MAX(MinimumCharge,ROUND(AI30*IFERROR(INDEX(FreqFactors,MATCH(O30,FreqNames,0)),1),2)))))</f>
        <v>0</v>
      </c>
      <c r="AK30" s="34">
        <f>IF(G30="","",IF(SUMIFS(Timesheets!$U$5:$U$804,Timesheets!$G$5:$G$804,A30)&gt;0,SUMIFS(Timesheets!$U$5:$U$804,Timesheets!$G$5:$G$804,A30),IF(Z30="","",Z30)))</f>
        <v>0</v>
      </c>
      <c r="AL30" s="34">
        <f>IF(OR(AK30="",AD30=""),"",AK30-AD30)</f>
        <v>0</v>
      </c>
      <c r="AM30" s="31">
        <f>IF(A30="","",COUNTIFS('Job Tasks'!$B$5:$B$904,A30))</f>
        <v>0</v>
      </c>
      <c r="AN30" s="31">
        <f>IF(A30="","",COUNTIFS('Job Tasks'!$B$5:$B$904,A30,'Job Tasks'!$H$5:$H$904,"Done"))</f>
        <v>0</v>
      </c>
      <c r="AO30" s="38">
        <f>IF(OR(A30="",AM30=0),"",AN30/AM30)</f>
        <v>0</v>
      </c>
      <c r="AP30" s="43">
        <f>IF(A30="","",IFERROR(INDEX('Invoice Lines'!$B$5:$B$804,MATCH(A30,'Invoice Lines'!$C$5:$C$804,0)),""))</f>
        <v>0</v>
      </c>
      <c r="AQ30" s="18">
        <f>IF(OR(G30="",B30="",X30&lt;&gt;"Yes"),"",IF(IFERROR(INDEX(FreqDays,MATCH(O30,FreqNames,0)),0)=0,"",B30+IFERROR(INDEX(FreqDays,MATCH(O30,FreqNames,0)),0)))</f>
        <v>0</v>
      </c>
      <c r="AR30" s="39">
        <f>IF(G30="","",IF(R30="","Unassigned",IF(COUNTIFS($R$5:$R$604,R30,$B$5:$B$604,B30,$F$5:$F$604,F30)&gt;1,"Clash",IF(SUMIFS($AF$5:$AF$604,$R$5:$R$604,R30,$B$5:$B$604,B30)&gt;ProductiveHours,"Long day","OK"))))</f>
        <v>0</v>
      </c>
      <c r="AS30" s="18">
        <f>IF(OR(G30="",B30=""),"",IF(AND(B30&gt;=TodayDate,P30&lt;&gt;"Cancelled"),B30,""))</f>
        <v>0</v>
      </c>
      <c r="AT30" s="31">
        <f>IF(AS30="","",COUNTIFS($AS$5:$AS$604,"&lt;"&amp;AS30)+COUNTIFS($AS$5:AS30,AS30))</f>
        <v>0</v>
      </c>
      <c r="AU30" s="18">
        <f>IF(OR(G30="",B30="",R30&lt;&gt;""),"",IF(AND(B30&gt;=TodayDate,P30&lt;&gt;"Cancelled"),B30,""))</f>
        <v>0</v>
      </c>
      <c r="AV30" s="31">
        <f>IF(AU30="","",COUNTIFS($AU$5:$AU$604,"&lt;"&amp;AU30)+COUNTIFS($AU$5:AU30,AU30))</f>
        <v>0</v>
      </c>
      <c r="AW30" s="31">
        <f>IF(OR(G30="",B30=""),"",B30-TodayDate)</f>
        <v>0</v>
      </c>
      <c r="AX30" s="39">
        <f>IF(G30="","",IF(P30="Cancelled","Cancelled",IF(P30="No access","Action - no access, rebook",IF(AND(B30&lt;&gt;"",AW30&lt;0,OR(P30="Booked",P30="Confirmed",P30="In progress")),"Late - mark it completed",IF(AND(P30="Completed",AP30=""),"Action - not invoiced yet",IF(AND(AW30&gt;=0,AW30&lt;=ReminderDays,Y30&lt;&gt;"Yes"),"Confirm - visit coming up",IF(R30="","Assign - no cleaner booked",IF(AND(P30="Completed",AO30&lt;&gt;"",AO30&lt;1),"Check - checklist unfinished","OK"))))))))</f>
        <v>0</v>
      </c>
    </row>
    <row r="31" spans="1:50">
      <c r="A31" s="43">
        <f>IF(G31="","",JobPrefix&amp;TEXT(ROW()-4,"0000"))</f>
        <v>0</v>
      </c>
      <c r="B31" s="46">
        <v>46285</v>
      </c>
      <c r="C31" s="23">
        <f>IF(B31="","",TEXT(B31,"ddd"))</f>
        <v>0</v>
      </c>
      <c r="D31" s="31">
        <f>IF(B31="","",WEEKNUM(B31,IF(WeekStart="Sunday",1,2)))</f>
        <v>0</v>
      </c>
      <c r="E31" s="23">
        <f>IF(B31="","",TEXT(B31,"yyyy-mm"))</f>
        <v>0</v>
      </c>
      <c r="F31" s="52">
        <v>0.291666666666667</v>
      </c>
      <c r="G31" s="49" t="s">
        <v>793</v>
      </c>
      <c r="H31" s="23">
        <f>IF(G31="","",IFERROR(INDEX(Clients!$B$5:$B$204,MATCH(G31,Clients!$A$5:$A$204,0)),"Not found"))</f>
        <v>0</v>
      </c>
      <c r="I31" s="23">
        <f>IF(G31="","",IFERROR(INDEX(Clients!$C$5:$C$204,MATCH(G31,Clients!$A$5:$A$204,0)),""))</f>
        <v>0</v>
      </c>
      <c r="J31" s="49" t="s">
        <v>1145</v>
      </c>
      <c r="K31" s="23">
        <f>IF(J31="","",IFERROR(INDEX(Properties!$B$5:$B$254,MATCH(J31,Properties!$A$5:$A$254,0)),""))</f>
        <v>0</v>
      </c>
      <c r="L31" s="23">
        <f>IF(J31="","",IFERROR(INDEX(Properties!$F$5:$F$254,MATCH(J31,Properties!$A$5:$A$254,0)),""))</f>
        <v>0</v>
      </c>
      <c r="M31" s="15" t="s">
        <v>797</v>
      </c>
      <c r="N31" s="15" t="s">
        <v>1133</v>
      </c>
      <c r="O31" s="15" t="s">
        <v>451</v>
      </c>
      <c r="P31" s="45" t="s">
        <v>406</v>
      </c>
      <c r="Q31" s="15" t="s">
        <v>448</v>
      </c>
      <c r="R31" s="15" t="s">
        <v>639</v>
      </c>
      <c r="S31" s="15" t="s">
        <v>172</v>
      </c>
      <c r="T31" s="16">
        <v>1</v>
      </c>
      <c r="W31" s="17">
        <v>10</v>
      </c>
      <c r="X31" s="47" t="s">
        <v>454</v>
      </c>
      <c r="Y31" s="47" t="s">
        <v>454</v>
      </c>
      <c r="AA31" s="47">
        <v>5</v>
      </c>
      <c r="AB31" s="44" t="s">
        <v>172</v>
      </c>
      <c r="AC31" s="44" t="s">
        <v>172</v>
      </c>
      <c r="AD31" s="34">
        <f>IF(G31="","",IF(U31&lt;&gt;"",U31,IF(AND(IFERROR(INDEX(Services!$D$5:$D$64,MATCH(M31,Services!$B$5:$B$64,0)),"")="Per hour",IFERROR(INDEX(Properties!$X$5:$X$254,MATCH(J31,Properties!$A$5:$A$254,0)),0)&gt;0),IFERROR(INDEX(Properties!$X$5:$X$254,MATCH(J31,Properties!$A$5:$A$254,0)),0),IF(IFERROR(INDEX(Services!$G$5:$G$64,MATCH(M31,Services!$B$5:$B$64,0)),0)&gt;0,IFERROR(INDEX(Services!$G$5:$G$64,MATCH(M31,Services!$B$5:$B$64,0)),0),IFERROR(INDEX(Properties!$X$5:$X$254,MATCH(J31,Properties!$A$5:$A$254,0)),0)))))</f>
        <v>0</v>
      </c>
      <c r="AE31" s="31">
        <f>IF(G31="","",IF(T31="",CleanersPerJob,MAX(1,T31)))</f>
        <v>0</v>
      </c>
      <c r="AF31" s="34">
        <f>IF(G31="","",ROUND(AD31/AE31,2))</f>
        <v>0</v>
      </c>
      <c r="AG31" s="53">
        <f>IF(OR(G31="",F31="",AF31=""),"",F31+AF31/24)</f>
        <v>0</v>
      </c>
      <c r="AH31" s="21">
        <f>IF(G31="","",IF(IFERROR(INDEX(Clients!$O$5:$O$204,MATCH(G31,Clients!$A$5:$A$204,0)),0)&gt;0,IFERROR(INDEX(Clients!$O$5:$O$204,MATCH(G31,Clients!$A$5:$A$204,0)),0),HourlyRate))</f>
        <v>0</v>
      </c>
      <c r="AI31" s="21">
        <f>IF(G31="","",IF(AND(M31&lt;&gt;"",IFERROR(INDEX(Services!$P$5:$P$64,MATCH(M31,Services!$B$5:$B$64,0)),0)&gt;0,IFERROR(INDEX(Services!$D$5:$D$64,MATCH(M31,Services!$B$5:$B$64,0)),"")&lt;&gt;"Per hour"),IFERROR(INDEX(Services!$P$5:$P$64,MATCH(M31,Services!$B$5:$B$64,0)),0),AD31*AH31))</f>
        <v>0</v>
      </c>
      <c r="AJ31" s="21">
        <f>IF(G31="","",IF(V31&lt;&gt;"",V31,IF(P31="Cancelled",0,MAX(MinimumCharge,ROUND(AI31*IFERROR(INDEX(FreqFactors,MATCH(O31,FreqNames,0)),1),2)))))</f>
        <v>0</v>
      </c>
      <c r="AK31" s="34">
        <f>IF(G31="","",IF(SUMIFS(Timesheets!$U$5:$U$804,Timesheets!$G$5:$G$804,A31)&gt;0,SUMIFS(Timesheets!$U$5:$U$804,Timesheets!$G$5:$G$804,A31),IF(Z31="","",Z31)))</f>
        <v>0</v>
      </c>
      <c r="AL31" s="34">
        <f>IF(OR(AK31="",AD31=""),"",AK31-AD31)</f>
        <v>0</v>
      </c>
      <c r="AM31" s="31">
        <f>IF(A31="","",COUNTIFS('Job Tasks'!$B$5:$B$904,A31))</f>
        <v>0</v>
      </c>
      <c r="AN31" s="31">
        <f>IF(A31="","",COUNTIFS('Job Tasks'!$B$5:$B$904,A31,'Job Tasks'!$H$5:$H$904,"Done"))</f>
        <v>0</v>
      </c>
      <c r="AO31" s="38">
        <f>IF(OR(A31="",AM31=0),"",AN31/AM31)</f>
        <v>0</v>
      </c>
      <c r="AP31" s="43">
        <f>IF(A31="","",IFERROR(INDEX('Invoice Lines'!$B$5:$B$804,MATCH(A31,'Invoice Lines'!$C$5:$C$804,0)),""))</f>
        <v>0</v>
      </c>
      <c r="AQ31" s="18">
        <f>IF(OR(G31="",B31="",X31&lt;&gt;"Yes"),"",IF(IFERROR(INDEX(FreqDays,MATCH(O31,FreqNames,0)),0)=0,"",B31+IFERROR(INDEX(FreqDays,MATCH(O31,FreqNames,0)),0)))</f>
        <v>0</v>
      </c>
      <c r="AR31" s="39">
        <f>IF(G31="","",IF(R31="","Unassigned",IF(COUNTIFS($R$5:$R$604,R31,$B$5:$B$604,B31,$F$5:$F$604,F31)&gt;1,"Clash",IF(SUMIFS($AF$5:$AF$604,$R$5:$R$604,R31,$B$5:$B$604,B31)&gt;ProductiveHours,"Long day","OK"))))</f>
        <v>0</v>
      </c>
      <c r="AS31" s="18">
        <f>IF(OR(G31="",B31=""),"",IF(AND(B31&gt;=TodayDate,P31&lt;&gt;"Cancelled"),B31,""))</f>
        <v>0</v>
      </c>
      <c r="AT31" s="31">
        <f>IF(AS31="","",COUNTIFS($AS$5:$AS$604,"&lt;"&amp;AS31)+COUNTIFS($AS$5:AS31,AS31))</f>
        <v>0</v>
      </c>
      <c r="AU31" s="18">
        <f>IF(OR(G31="",B31="",R31&lt;&gt;""),"",IF(AND(B31&gt;=TodayDate,P31&lt;&gt;"Cancelled"),B31,""))</f>
        <v>0</v>
      </c>
      <c r="AV31" s="31">
        <f>IF(AU31="","",COUNTIFS($AU$5:$AU$604,"&lt;"&amp;AU31)+COUNTIFS($AU$5:AU31,AU31))</f>
        <v>0</v>
      </c>
      <c r="AW31" s="31">
        <f>IF(OR(G31="",B31=""),"",B31-TodayDate)</f>
        <v>0</v>
      </c>
      <c r="AX31" s="39">
        <f>IF(G31="","",IF(P31="Cancelled","Cancelled",IF(P31="No access","Action - no access, rebook",IF(AND(B31&lt;&gt;"",AW31&lt;0,OR(P31="Booked",P31="Confirmed",P31="In progress")),"Late - mark it completed",IF(AND(P31="Completed",AP31=""),"Action - not invoiced yet",IF(AND(AW31&gt;=0,AW31&lt;=ReminderDays,Y31&lt;&gt;"Yes"),"Confirm - visit coming up",IF(R31="","Assign - no cleaner booked",IF(AND(P31="Completed",AO31&lt;&gt;"",AO31&lt;1),"Check - checklist unfinished","OK"))))))))</f>
        <v>0</v>
      </c>
    </row>
    <row r="32" spans="1:50">
      <c r="A32" s="43">
        <f>IF(G32="","",JobPrefix&amp;TEXT(ROW()-4,"0000"))</f>
        <v>0</v>
      </c>
      <c r="B32" s="46">
        <v>46286</v>
      </c>
      <c r="C32" s="23">
        <f>IF(B32="","",TEXT(B32,"ddd"))</f>
        <v>0</v>
      </c>
      <c r="D32" s="31">
        <f>IF(B32="","",WEEKNUM(B32,IF(WeekStart="Sunday",1,2)))</f>
        <v>0</v>
      </c>
      <c r="E32" s="23">
        <f>IF(B32="","",TEXT(B32,"yyyy-mm"))</f>
        <v>0</v>
      </c>
      <c r="F32" s="52">
        <v>0.291666666666667</v>
      </c>
      <c r="G32" s="49" t="s">
        <v>813</v>
      </c>
      <c r="H32" s="23">
        <f>IF(G32="","",IFERROR(INDEX(Clients!$B$5:$B$204,MATCH(G32,Clients!$A$5:$A$204,0)),"Not found"))</f>
        <v>0</v>
      </c>
      <c r="I32" s="23">
        <f>IF(G32="","",IFERROR(INDEX(Clients!$C$5:$C$204,MATCH(G32,Clients!$A$5:$A$204,0)),""))</f>
        <v>0</v>
      </c>
      <c r="J32" s="49" t="s">
        <v>1052</v>
      </c>
      <c r="K32" s="23">
        <f>IF(J32="","",IFERROR(INDEX(Properties!$B$5:$B$254,MATCH(J32,Properties!$A$5:$A$254,0)),""))</f>
        <v>0</v>
      </c>
      <c r="L32" s="23">
        <f>IF(J32="","",IFERROR(INDEX(Properties!$F$5:$F$254,MATCH(J32,Properties!$A$5:$A$254,0)),""))</f>
        <v>0</v>
      </c>
      <c r="M32" s="15" t="s">
        <v>770</v>
      </c>
      <c r="N32" s="15" t="s">
        <v>1133</v>
      </c>
      <c r="O32" s="15" t="s">
        <v>617</v>
      </c>
      <c r="P32" s="45" t="s">
        <v>406</v>
      </c>
      <c r="Q32" s="15" t="s">
        <v>448</v>
      </c>
      <c r="R32" s="15" t="s">
        <v>664</v>
      </c>
      <c r="S32" s="15" t="s">
        <v>172</v>
      </c>
      <c r="T32" s="16">
        <v>1</v>
      </c>
      <c r="W32" s="17">
        <v>7.6</v>
      </c>
      <c r="X32" s="47" t="s">
        <v>454</v>
      </c>
      <c r="Y32" s="47" t="s">
        <v>454</v>
      </c>
      <c r="AA32" s="47">
        <v>5</v>
      </c>
      <c r="AB32" s="44" t="s">
        <v>172</v>
      </c>
      <c r="AC32" s="44" t="s">
        <v>172</v>
      </c>
      <c r="AD32" s="34">
        <f>IF(G32="","",IF(U32&lt;&gt;"",U32,IF(AND(IFERROR(INDEX(Services!$D$5:$D$64,MATCH(M32,Services!$B$5:$B$64,0)),"")="Per hour",IFERROR(INDEX(Properties!$X$5:$X$254,MATCH(J32,Properties!$A$5:$A$254,0)),0)&gt;0),IFERROR(INDEX(Properties!$X$5:$X$254,MATCH(J32,Properties!$A$5:$A$254,0)),0),IF(IFERROR(INDEX(Services!$G$5:$G$64,MATCH(M32,Services!$B$5:$B$64,0)),0)&gt;0,IFERROR(INDEX(Services!$G$5:$G$64,MATCH(M32,Services!$B$5:$B$64,0)),0),IFERROR(INDEX(Properties!$X$5:$X$254,MATCH(J32,Properties!$A$5:$A$254,0)),0)))))</f>
        <v>0</v>
      </c>
      <c r="AE32" s="31">
        <f>IF(G32="","",IF(T32="",CleanersPerJob,MAX(1,T32)))</f>
        <v>0</v>
      </c>
      <c r="AF32" s="34">
        <f>IF(G32="","",ROUND(AD32/AE32,2))</f>
        <v>0</v>
      </c>
      <c r="AG32" s="53">
        <f>IF(OR(G32="",F32="",AF32=""),"",F32+AF32/24)</f>
        <v>0</v>
      </c>
      <c r="AH32" s="21">
        <f>IF(G32="","",IF(IFERROR(INDEX(Clients!$O$5:$O$204,MATCH(G32,Clients!$A$5:$A$204,0)),0)&gt;0,IFERROR(INDEX(Clients!$O$5:$O$204,MATCH(G32,Clients!$A$5:$A$204,0)),0),HourlyRate))</f>
        <v>0</v>
      </c>
      <c r="AI32" s="21">
        <f>IF(G32="","",IF(AND(M32&lt;&gt;"",IFERROR(INDEX(Services!$P$5:$P$64,MATCH(M32,Services!$B$5:$B$64,0)),0)&gt;0,IFERROR(INDEX(Services!$D$5:$D$64,MATCH(M32,Services!$B$5:$B$64,0)),"")&lt;&gt;"Per hour"),IFERROR(INDEX(Services!$P$5:$P$64,MATCH(M32,Services!$B$5:$B$64,0)),0),AD32*AH32))</f>
        <v>0</v>
      </c>
      <c r="AJ32" s="21">
        <f>IF(G32="","",IF(V32&lt;&gt;"",V32,IF(P32="Cancelled",0,MAX(MinimumCharge,ROUND(AI32*IFERROR(INDEX(FreqFactors,MATCH(O32,FreqNames,0)),1),2)))))</f>
        <v>0</v>
      </c>
      <c r="AK32" s="34">
        <f>IF(G32="","",IF(SUMIFS(Timesheets!$U$5:$U$804,Timesheets!$G$5:$G$804,A32)&gt;0,SUMIFS(Timesheets!$U$5:$U$804,Timesheets!$G$5:$G$804,A32),IF(Z32="","",Z32)))</f>
        <v>0</v>
      </c>
      <c r="AL32" s="34">
        <f>IF(OR(AK32="",AD32=""),"",AK32-AD32)</f>
        <v>0</v>
      </c>
      <c r="AM32" s="31">
        <f>IF(A32="","",COUNTIFS('Job Tasks'!$B$5:$B$904,A32))</f>
        <v>0</v>
      </c>
      <c r="AN32" s="31">
        <f>IF(A32="","",COUNTIFS('Job Tasks'!$B$5:$B$904,A32,'Job Tasks'!$H$5:$H$904,"Done"))</f>
        <v>0</v>
      </c>
      <c r="AO32" s="38">
        <f>IF(OR(A32="",AM32=0),"",AN32/AM32)</f>
        <v>0</v>
      </c>
      <c r="AP32" s="43">
        <f>IF(A32="","",IFERROR(INDEX('Invoice Lines'!$B$5:$B$804,MATCH(A32,'Invoice Lines'!$C$5:$C$804,0)),""))</f>
        <v>0</v>
      </c>
      <c r="AQ32" s="18">
        <f>IF(OR(G32="",B32="",X32&lt;&gt;"Yes"),"",IF(IFERROR(INDEX(FreqDays,MATCH(O32,FreqNames,0)),0)=0,"",B32+IFERROR(INDEX(FreqDays,MATCH(O32,FreqNames,0)),0)))</f>
        <v>0</v>
      </c>
      <c r="AR32" s="39">
        <f>IF(G32="","",IF(R32="","Unassigned",IF(COUNTIFS($R$5:$R$604,R32,$B$5:$B$604,B32,$F$5:$F$604,F32)&gt;1,"Clash",IF(SUMIFS($AF$5:$AF$604,$R$5:$R$604,R32,$B$5:$B$604,B32)&gt;ProductiveHours,"Long day","OK"))))</f>
        <v>0</v>
      </c>
      <c r="AS32" s="18">
        <f>IF(OR(G32="",B32=""),"",IF(AND(B32&gt;=TodayDate,P32&lt;&gt;"Cancelled"),B32,""))</f>
        <v>0</v>
      </c>
      <c r="AT32" s="31">
        <f>IF(AS32="","",COUNTIFS($AS$5:$AS$604,"&lt;"&amp;AS32)+COUNTIFS($AS$5:AS32,AS32))</f>
        <v>0</v>
      </c>
      <c r="AU32" s="18">
        <f>IF(OR(G32="",B32="",R32&lt;&gt;""),"",IF(AND(B32&gt;=TodayDate,P32&lt;&gt;"Cancelled"),B32,""))</f>
        <v>0</v>
      </c>
      <c r="AV32" s="31">
        <f>IF(AU32="","",COUNTIFS($AU$5:$AU$604,"&lt;"&amp;AU32)+COUNTIFS($AU$5:AU32,AU32))</f>
        <v>0</v>
      </c>
      <c r="AW32" s="31">
        <f>IF(OR(G32="",B32=""),"",B32-TodayDate)</f>
        <v>0</v>
      </c>
      <c r="AX32" s="39">
        <f>IF(G32="","",IF(P32="Cancelled","Cancelled",IF(P32="No access","Action - no access, rebook",IF(AND(B32&lt;&gt;"",AW32&lt;0,OR(P32="Booked",P32="Confirmed",P32="In progress")),"Late - mark it completed",IF(AND(P32="Completed",AP32=""),"Action - not invoiced yet",IF(AND(AW32&gt;=0,AW32&lt;=ReminderDays,Y32&lt;&gt;"Yes"),"Confirm - visit coming up",IF(R32="","Assign - no cleaner booked",IF(AND(P32="Completed",AO32&lt;&gt;"",AO32&lt;1),"Check - checklist unfinished","OK"))))))))</f>
        <v>0</v>
      </c>
    </row>
    <row r="33" spans="1:50">
      <c r="A33" s="43">
        <f>IF(G33="","",JobPrefix&amp;TEXT(ROW()-4,"0000"))</f>
        <v>0</v>
      </c>
      <c r="B33" s="46">
        <v>46286</v>
      </c>
      <c r="C33" s="23">
        <f>IF(B33="","",TEXT(B33,"ddd"))</f>
        <v>0</v>
      </c>
      <c r="D33" s="31">
        <f>IF(B33="","",WEEKNUM(B33,IF(WeekStart="Sunday",1,2)))</f>
        <v>0</v>
      </c>
      <c r="E33" s="23">
        <f>IF(B33="","",TEXT(B33,"yyyy-mm"))</f>
        <v>0</v>
      </c>
      <c r="F33" s="52">
        <v>0.770833333333333</v>
      </c>
      <c r="G33" s="49" t="s">
        <v>773</v>
      </c>
      <c r="H33" s="23">
        <f>IF(G33="","",IFERROR(INDEX(Clients!$B$5:$B$204,MATCH(G33,Clients!$A$5:$A$204,0)),"Not found"))</f>
        <v>0</v>
      </c>
      <c r="I33" s="23">
        <f>IF(G33="","",IFERROR(INDEX(Clients!$C$5:$C$204,MATCH(G33,Clients!$A$5:$A$204,0)),""))</f>
        <v>0</v>
      </c>
      <c r="J33" s="49" t="s">
        <v>1134</v>
      </c>
      <c r="K33" s="23">
        <f>IF(J33="","",IFERROR(INDEX(Properties!$B$5:$B$254,MATCH(J33,Properties!$A$5:$A$254,0)),""))</f>
        <v>0</v>
      </c>
      <c r="L33" s="23">
        <f>IF(J33="","",IFERROR(INDEX(Properties!$F$5:$F$254,MATCH(J33,Properties!$A$5:$A$254,0)),""))</f>
        <v>0</v>
      </c>
      <c r="M33" s="15" t="s">
        <v>770</v>
      </c>
      <c r="N33" s="15" t="s">
        <v>1133</v>
      </c>
      <c r="O33" s="15" t="s">
        <v>617</v>
      </c>
      <c r="P33" s="45" t="s">
        <v>406</v>
      </c>
      <c r="Q33" s="15" t="s">
        <v>448</v>
      </c>
      <c r="R33" s="15" t="s">
        <v>608</v>
      </c>
      <c r="S33" s="15" t="s">
        <v>172</v>
      </c>
      <c r="T33" s="16">
        <v>1</v>
      </c>
      <c r="W33" s="17">
        <v>4.8</v>
      </c>
      <c r="X33" s="47" t="s">
        <v>454</v>
      </c>
      <c r="Y33" s="47" t="s">
        <v>454</v>
      </c>
      <c r="AA33" s="47" t="s">
        <v>172</v>
      </c>
      <c r="AB33" s="44" t="s">
        <v>172</v>
      </c>
      <c r="AC33" s="44" t="s">
        <v>172</v>
      </c>
      <c r="AD33" s="34">
        <f>IF(G33="","",IF(U33&lt;&gt;"",U33,IF(AND(IFERROR(INDEX(Services!$D$5:$D$64,MATCH(M33,Services!$B$5:$B$64,0)),"")="Per hour",IFERROR(INDEX(Properties!$X$5:$X$254,MATCH(J33,Properties!$A$5:$A$254,0)),0)&gt;0),IFERROR(INDEX(Properties!$X$5:$X$254,MATCH(J33,Properties!$A$5:$A$254,0)),0),IF(IFERROR(INDEX(Services!$G$5:$G$64,MATCH(M33,Services!$B$5:$B$64,0)),0)&gt;0,IFERROR(INDEX(Services!$G$5:$G$64,MATCH(M33,Services!$B$5:$B$64,0)),0),IFERROR(INDEX(Properties!$X$5:$X$254,MATCH(J33,Properties!$A$5:$A$254,0)),0)))))</f>
        <v>0</v>
      </c>
      <c r="AE33" s="31">
        <f>IF(G33="","",IF(T33="",CleanersPerJob,MAX(1,T33)))</f>
        <v>0</v>
      </c>
      <c r="AF33" s="34">
        <f>IF(G33="","",ROUND(AD33/AE33,2))</f>
        <v>0</v>
      </c>
      <c r="AG33" s="53">
        <f>IF(OR(G33="",F33="",AF33=""),"",F33+AF33/24)</f>
        <v>0</v>
      </c>
      <c r="AH33" s="21">
        <f>IF(G33="","",IF(IFERROR(INDEX(Clients!$O$5:$O$204,MATCH(G33,Clients!$A$5:$A$204,0)),0)&gt;0,IFERROR(INDEX(Clients!$O$5:$O$204,MATCH(G33,Clients!$A$5:$A$204,0)),0),HourlyRate))</f>
        <v>0</v>
      </c>
      <c r="AI33" s="21">
        <f>IF(G33="","",IF(AND(M33&lt;&gt;"",IFERROR(INDEX(Services!$P$5:$P$64,MATCH(M33,Services!$B$5:$B$64,0)),0)&gt;0,IFERROR(INDEX(Services!$D$5:$D$64,MATCH(M33,Services!$B$5:$B$64,0)),"")&lt;&gt;"Per hour"),IFERROR(INDEX(Services!$P$5:$P$64,MATCH(M33,Services!$B$5:$B$64,0)),0),AD33*AH33))</f>
        <v>0</v>
      </c>
      <c r="AJ33" s="21">
        <f>IF(G33="","",IF(V33&lt;&gt;"",V33,IF(P33="Cancelled",0,MAX(MinimumCharge,ROUND(AI33*IFERROR(INDEX(FreqFactors,MATCH(O33,FreqNames,0)),1),2)))))</f>
        <v>0</v>
      </c>
      <c r="AK33" s="34">
        <f>IF(G33="","",IF(SUMIFS(Timesheets!$U$5:$U$804,Timesheets!$G$5:$G$804,A33)&gt;0,SUMIFS(Timesheets!$U$5:$U$804,Timesheets!$G$5:$G$804,A33),IF(Z33="","",Z33)))</f>
        <v>0</v>
      </c>
      <c r="AL33" s="34">
        <f>IF(OR(AK33="",AD33=""),"",AK33-AD33)</f>
        <v>0</v>
      </c>
      <c r="AM33" s="31">
        <f>IF(A33="","",COUNTIFS('Job Tasks'!$B$5:$B$904,A33))</f>
        <v>0</v>
      </c>
      <c r="AN33" s="31">
        <f>IF(A33="","",COUNTIFS('Job Tasks'!$B$5:$B$904,A33,'Job Tasks'!$H$5:$H$904,"Done"))</f>
        <v>0</v>
      </c>
      <c r="AO33" s="38">
        <f>IF(OR(A33="",AM33=0),"",AN33/AM33)</f>
        <v>0</v>
      </c>
      <c r="AP33" s="43">
        <f>IF(A33="","",IFERROR(INDEX('Invoice Lines'!$B$5:$B$804,MATCH(A33,'Invoice Lines'!$C$5:$C$804,0)),""))</f>
        <v>0</v>
      </c>
      <c r="AQ33" s="18">
        <f>IF(OR(G33="",B33="",X33&lt;&gt;"Yes"),"",IF(IFERROR(INDEX(FreqDays,MATCH(O33,FreqNames,0)),0)=0,"",B33+IFERROR(INDEX(FreqDays,MATCH(O33,FreqNames,0)),0)))</f>
        <v>0</v>
      </c>
      <c r="AR33" s="39">
        <f>IF(G33="","",IF(R33="","Unassigned",IF(COUNTIFS($R$5:$R$604,R33,$B$5:$B$604,B33,$F$5:$F$604,F33)&gt;1,"Clash",IF(SUMIFS($AF$5:$AF$604,$R$5:$R$604,R33,$B$5:$B$604,B33)&gt;ProductiveHours,"Long day","OK"))))</f>
        <v>0</v>
      </c>
      <c r="AS33" s="18">
        <f>IF(OR(G33="",B33=""),"",IF(AND(B33&gt;=TodayDate,P33&lt;&gt;"Cancelled"),B33,""))</f>
        <v>0</v>
      </c>
      <c r="AT33" s="31">
        <f>IF(AS33="","",COUNTIFS($AS$5:$AS$604,"&lt;"&amp;AS33)+COUNTIFS($AS$5:AS33,AS33))</f>
        <v>0</v>
      </c>
      <c r="AU33" s="18">
        <f>IF(OR(G33="",B33="",R33&lt;&gt;""),"",IF(AND(B33&gt;=TodayDate,P33&lt;&gt;"Cancelled"),B33,""))</f>
        <v>0</v>
      </c>
      <c r="AV33" s="31">
        <f>IF(AU33="","",COUNTIFS($AU$5:$AU$604,"&lt;"&amp;AU33)+COUNTIFS($AU$5:AU33,AU33))</f>
        <v>0</v>
      </c>
      <c r="AW33" s="31">
        <f>IF(OR(G33="",B33=""),"",B33-TodayDate)</f>
        <v>0</v>
      </c>
      <c r="AX33" s="39">
        <f>IF(G33="","",IF(P33="Cancelled","Cancelled",IF(P33="No access","Action - no access, rebook",IF(AND(B33&lt;&gt;"",AW33&lt;0,OR(P33="Booked",P33="Confirmed",P33="In progress")),"Late - mark it completed",IF(AND(P33="Completed",AP33=""),"Action - not invoiced yet",IF(AND(AW33&gt;=0,AW33&lt;=ReminderDays,Y33&lt;&gt;"Yes"),"Confirm - visit coming up",IF(R33="","Assign - no cleaner booked",IF(AND(P33="Completed",AO33&lt;&gt;"",AO33&lt;1),"Check - checklist unfinished","OK"))))))))</f>
        <v>0</v>
      </c>
    </row>
    <row r="34" spans="1:50">
      <c r="A34" s="43">
        <f>IF(G34="","",JobPrefix&amp;TEXT(ROW()-4,"0000"))</f>
        <v>0</v>
      </c>
      <c r="B34" s="46">
        <v>46287</v>
      </c>
      <c r="C34" s="23">
        <f>IF(B34="","",TEXT(B34,"ddd"))</f>
        <v>0</v>
      </c>
      <c r="D34" s="31">
        <f>IF(B34="","",WEEKNUM(B34,IF(WeekStart="Sunday",1,2)))</f>
        <v>0</v>
      </c>
      <c r="E34" s="23">
        <f>IF(B34="","",TEXT(B34,"yyyy-mm"))</f>
        <v>0</v>
      </c>
      <c r="F34" s="52">
        <v>0.375</v>
      </c>
      <c r="G34" s="49" t="s">
        <v>743</v>
      </c>
      <c r="H34" s="23">
        <f>IF(G34="","",IFERROR(INDEX(Clients!$B$5:$B$204,MATCH(G34,Clients!$A$5:$A$204,0)),"Not found"))</f>
        <v>0</v>
      </c>
      <c r="I34" s="23">
        <f>IF(G34="","",IFERROR(INDEX(Clients!$C$5:$C$204,MATCH(G34,Clients!$A$5:$A$204,0)),""))</f>
        <v>0</v>
      </c>
      <c r="J34" s="49" t="s">
        <v>1135</v>
      </c>
      <c r="K34" s="23">
        <f>IF(J34="","",IFERROR(INDEX(Properties!$B$5:$B$254,MATCH(J34,Properties!$A$5:$A$254,0)),""))</f>
        <v>0</v>
      </c>
      <c r="L34" s="23">
        <f>IF(J34="","",IFERROR(INDEX(Properties!$F$5:$F$254,MATCH(J34,Properties!$A$5:$A$254,0)),""))</f>
        <v>0</v>
      </c>
      <c r="M34" s="15" t="s">
        <v>437</v>
      </c>
      <c r="N34" s="15" t="s">
        <v>1133</v>
      </c>
      <c r="O34" s="15" t="s">
        <v>451</v>
      </c>
      <c r="P34" s="45" t="s">
        <v>406</v>
      </c>
      <c r="Q34" s="15" t="s">
        <v>448</v>
      </c>
      <c r="R34" s="15" t="s">
        <v>584</v>
      </c>
      <c r="S34" s="15" t="s">
        <v>172</v>
      </c>
      <c r="T34" s="16">
        <v>1</v>
      </c>
      <c r="W34" s="17">
        <v>8.4</v>
      </c>
      <c r="X34" s="47" t="s">
        <v>454</v>
      </c>
      <c r="Y34" s="47" t="s">
        <v>454</v>
      </c>
      <c r="AA34" s="47" t="s">
        <v>172</v>
      </c>
      <c r="AB34" s="44" t="s">
        <v>172</v>
      </c>
      <c r="AC34" s="44" t="s">
        <v>172</v>
      </c>
      <c r="AD34" s="34">
        <f>IF(G34="","",IF(U34&lt;&gt;"",U34,IF(AND(IFERROR(INDEX(Services!$D$5:$D$64,MATCH(M34,Services!$B$5:$B$64,0)),"")="Per hour",IFERROR(INDEX(Properties!$X$5:$X$254,MATCH(J34,Properties!$A$5:$A$254,0)),0)&gt;0),IFERROR(INDEX(Properties!$X$5:$X$254,MATCH(J34,Properties!$A$5:$A$254,0)),0),IF(IFERROR(INDEX(Services!$G$5:$G$64,MATCH(M34,Services!$B$5:$B$64,0)),0)&gt;0,IFERROR(INDEX(Services!$G$5:$G$64,MATCH(M34,Services!$B$5:$B$64,0)),0),IFERROR(INDEX(Properties!$X$5:$X$254,MATCH(J34,Properties!$A$5:$A$254,0)),0)))))</f>
        <v>0</v>
      </c>
      <c r="AE34" s="31">
        <f>IF(G34="","",IF(T34="",CleanersPerJob,MAX(1,T34)))</f>
        <v>0</v>
      </c>
      <c r="AF34" s="34">
        <f>IF(G34="","",ROUND(AD34/AE34,2))</f>
        <v>0</v>
      </c>
      <c r="AG34" s="53">
        <f>IF(OR(G34="",F34="",AF34=""),"",F34+AF34/24)</f>
        <v>0</v>
      </c>
      <c r="AH34" s="21">
        <f>IF(G34="","",IF(IFERROR(INDEX(Clients!$O$5:$O$204,MATCH(G34,Clients!$A$5:$A$204,0)),0)&gt;0,IFERROR(INDEX(Clients!$O$5:$O$204,MATCH(G34,Clients!$A$5:$A$204,0)),0),HourlyRate))</f>
        <v>0</v>
      </c>
      <c r="AI34" s="21">
        <f>IF(G34="","",IF(AND(M34&lt;&gt;"",IFERROR(INDEX(Services!$P$5:$P$64,MATCH(M34,Services!$B$5:$B$64,0)),0)&gt;0,IFERROR(INDEX(Services!$D$5:$D$64,MATCH(M34,Services!$B$5:$B$64,0)),"")&lt;&gt;"Per hour"),IFERROR(INDEX(Services!$P$5:$P$64,MATCH(M34,Services!$B$5:$B$64,0)),0),AD34*AH34))</f>
        <v>0</v>
      </c>
      <c r="AJ34" s="21">
        <f>IF(G34="","",IF(V34&lt;&gt;"",V34,IF(P34="Cancelled",0,MAX(MinimumCharge,ROUND(AI34*IFERROR(INDEX(FreqFactors,MATCH(O34,FreqNames,0)),1),2)))))</f>
        <v>0</v>
      </c>
      <c r="AK34" s="34">
        <f>IF(G34="","",IF(SUMIFS(Timesheets!$U$5:$U$804,Timesheets!$G$5:$G$804,A34)&gt;0,SUMIFS(Timesheets!$U$5:$U$804,Timesheets!$G$5:$G$804,A34),IF(Z34="","",Z34)))</f>
        <v>0</v>
      </c>
      <c r="AL34" s="34">
        <f>IF(OR(AK34="",AD34=""),"",AK34-AD34)</f>
        <v>0</v>
      </c>
      <c r="AM34" s="31">
        <f>IF(A34="","",COUNTIFS('Job Tasks'!$B$5:$B$904,A34))</f>
        <v>0</v>
      </c>
      <c r="AN34" s="31">
        <f>IF(A34="","",COUNTIFS('Job Tasks'!$B$5:$B$904,A34,'Job Tasks'!$H$5:$H$904,"Done"))</f>
        <v>0</v>
      </c>
      <c r="AO34" s="38">
        <f>IF(OR(A34="",AM34=0),"",AN34/AM34)</f>
        <v>0</v>
      </c>
      <c r="AP34" s="43">
        <f>IF(A34="","",IFERROR(INDEX('Invoice Lines'!$B$5:$B$804,MATCH(A34,'Invoice Lines'!$C$5:$C$804,0)),""))</f>
        <v>0</v>
      </c>
      <c r="AQ34" s="18">
        <f>IF(OR(G34="",B34="",X34&lt;&gt;"Yes"),"",IF(IFERROR(INDEX(FreqDays,MATCH(O34,FreqNames,0)),0)=0,"",B34+IFERROR(INDEX(FreqDays,MATCH(O34,FreqNames,0)),0)))</f>
        <v>0</v>
      </c>
      <c r="AR34" s="39">
        <f>IF(G34="","",IF(R34="","Unassigned",IF(COUNTIFS($R$5:$R$604,R34,$B$5:$B$604,B34,$F$5:$F$604,F34)&gt;1,"Clash",IF(SUMIFS($AF$5:$AF$604,$R$5:$R$604,R34,$B$5:$B$604,B34)&gt;ProductiveHours,"Long day","OK"))))</f>
        <v>0</v>
      </c>
      <c r="AS34" s="18">
        <f>IF(OR(G34="",B34=""),"",IF(AND(B34&gt;=TodayDate,P34&lt;&gt;"Cancelled"),B34,""))</f>
        <v>0</v>
      </c>
      <c r="AT34" s="31">
        <f>IF(AS34="","",COUNTIFS($AS$5:$AS$604,"&lt;"&amp;AS34)+COUNTIFS($AS$5:AS34,AS34))</f>
        <v>0</v>
      </c>
      <c r="AU34" s="18">
        <f>IF(OR(G34="",B34="",R34&lt;&gt;""),"",IF(AND(B34&gt;=TodayDate,P34&lt;&gt;"Cancelled"),B34,""))</f>
        <v>0</v>
      </c>
      <c r="AV34" s="31">
        <f>IF(AU34="","",COUNTIFS($AU$5:$AU$604,"&lt;"&amp;AU34)+COUNTIFS($AU$5:AU34,AU34))</f>
        <v>0</v>
      </c>
      <c r="AW34" s="31">
        <f>IF(OR(G34="",B34=""),"",B34-TodayDate)</f>
        <v>0</v>
      </c>
      <c r="AX34" s="39">
        <f>IF(G34="","",IF(P34="Cancelled","Cancelled",IF(P34="No access","Action - no access, rebook",IF(AND(B34&lt;&gt;"",AW34&lt;0,OR(P34="Booked",P34="Confirmed",P34="In progress")),"Late - mark it completed",IF(AND(P34="Completed",AP34=""),"Action - not invoiced yet",IF(AND(AW34&gt;=0,AW34&lt;=ReminderDays,Y34&lt;&gt;"Yes"),"Confirm - visit coming up",IF(R34="","Assign - no cleaner booked",IF(AND(P34="Completed",AO34&lt;&gt;"",AO34&lt;1),"Check - checklist unfinished","OK"))))))))</f>
        <v>0</v>
      </c>
    </row>
    <row r="35" spans="1:50">
      <c r="A35" s="43">
        <f>IF(G35="","",JobPrefix&amp;TEXT(ROW()-4,"0000"))</f>
        <v>0</v>
      </c>
      <c r="B35" s="46">
        <v>46287</v>
      </c>
      <c r="C35" s="23">
        <f>IF(B35="","",TEXT(B35,"ddd"))</f>
        <v>0</v>
      </c>
      <c r="D35" s="31">
        <f>IF(B35="","",WEEKNUM(B35,IF(WeekStart="Sunday",1,2)))</f>
        <v>0</v>
      </c>
      <c r="E35" s="23">
        <f>IF(B35="","",TEXT(B35,"yyyy-mm"))</f>
        <v>0</v>
      </c>
      <c r="F35" s="52">
        <v>0.583333333333333</v>
      </c>
      <c r="G35" s="49" t="s">
        <v>845</v>
      </c>
      <c r="H35" s="23">
        <f>IF(G35="","",IFERROR(INDEX(Clients!$B$5:$B$204,MATCH(G35,Clients!$A$5:$A$204,0)),"Not found"))</f>
        <v>0</v>
      </c>
      <c r="I35" s="23">
        <f>IF(G35="","",IFERROR(INDEX(Clients!$C$5:$C$204,MATCH(G35,Clients!$A$5:$A$204,0)),""))</f>
        <v>0</v>
      </c>
      <c r="J35" s="49" t="s">
        <v>1049</v>
      </c>
      <c r="K35" s="23">
        <f>IF(J35="","",IFERROR(INDEX(Properties!$B$5:$B$254,MATCH(J35,Properties!$A$5:$A$254,0)),""))</f>
        <v>0</v>
      </c>
      <c r="L35" s="23">
        <f>IF(J35="","",IFERROR(INDEX(Properties!$F$5:$F$254,MATCH(J35,Properties!$A$5:$A$254,0)),""))</f>
        <v>0</v>
      </c>
      <c r="M35" s="15" t="s">
        <v>437</v>
      </c>
      <c r="N35" s="15" t="s">
        <v>1133</v>
      </c>
      <c r="O35" s="15" t="s">
        <v>593</v>
      </c>
      <c r="P35" s="45" t="s">
        <v>406</v>
      </c>
      <c r="Q35" s="15" t="s">
        <v>448</v>
      </c>
      <c r="R35" s="15" t="s">
        <v>584</v>
      </c>
      <c r="S35" s="15" t="s">
        <v>172</v>
      </c>
      <c r="T35" s="16">
        <v>1</v>
      </c>
      <c r="W35" s="17">
        <v>11</v>
      </c>
      <c r="X35" s="47" t="s">
        <v>454</v>
      </c>
      <c r="Y35" s="47" t="s">
        <v>454</v>
      </c>
      <c r="AA35" s="47">
        <v>5</v>
      </c>
      <c r="AB35" s="44" t="s">
        <v>172</v>
      </c>
      <c r="AC35" s="44" t="s">
        <v>172</v>
      </c>
      <c r="AD35" s="34">
        <f>IF(G35="","",IF(U35&lt;&gt;"",U35,IF(AND(IFERROR(INDEX(Services!$D$5:$D$64,MATCH(M35,Services!$B$5:$B$64,0)),"")="Per hour",IFERROR(INDEX(Properties!$X$5:$X$254,MATCH(J35,Properties!$A$5:$A$254,0)),0)&gt;0),IFERROR(INDEX(Properties!$X$5:$X$254,MATCH(J35,Properties!$A$5:$A$254,0)),0),IF(IFERROR(INDEX(Services!$G$5:$G$64,MATCH(M35,Services!$B$5:$B$64,0)),0)&gt;0,IFERROR(INDEX(Services!$G$5:$G$64,MATCH(M35,Services!$B$5:$B$64,0)),0),IFERROR(INDEX(Properties!$X$5:$X$254,MATCH(J35,Properties!$A$5:$A$254,0)),0)))))</f>
        <v>0</v>
      </c>
      <c r="AE35" s="31">
        <f>IF(G35="","",IF(T35="",CleanersPerJob,MAX(1,T35)))</f>
        <v>0</v>
      </c>
      <c r="AF35" s="34">
        <f>IF(G35="","",ROUND(AD35/AE35,2))</f>
        <v>0</v>
      </c>
      <c r="AG35" s="53">
        <f>IF(OR(G35="",F35="",AF35=""),"",F35+AF35/24)</f>
        <v>0</v>
      </c>
      <c r="AH35" s="21">
        <f>IF(G35="","",IF(IFERROR(INDEX(Clients!$O$5:$O$204,MATCH(G35,Clients!$A$5:$A$204,0)),0)&gt;0,IFERROR(INDEX(Clients!$O$5:$O$204,MATCH(G35,Clients!$A$5:$A$204,0)),0),HourlyRate))</f>
        <v>0</v>
      </c>
      <c r="AI35" s="21">
        <f>IF(G35="","",IF(AND(M35&lt;&gt;"",IFERROR(INDEX(Services!$P$5:$P$64,MATCH(M35,Services!$B$5:$B$64,0)),0)&gt;0,IFERROR(INDEX(Services!$D$5:$D$64,MATCH(M35,Services!$B$5:$B$64,0)),"")&lt;&gt;"Per hour"),IFERROR(INDEX(Services!$P$5:$P$64,MATCH(M35,Services!$B$5:$B$64,0)),0),AD35*AH35))</f>
        <v>0</v>
      </c>
      <c r="AJ35" s="21">
        <f>IF(G35="","",IF(V35&lt;&gt;"",V35,IF(P35="Cancelled",0,MAX(MinimumCharge,ROUND(AI35*IFERROR(INDEX(FreqFactors,MATCH(O35,FreqNames,0)),1),2)))))</f>
        <v>0</v>
      </c>
      <c r="AK35" s="34">
        <f>IF(G35="","",IF(SUMIFS(Timesheets!$U$5:$U$804,Timesheets!$G$5:$G$804,A35)&gt;0,SUMIFS(Timesheets!$U$5:$U$804,Timesheets!$G$5:$G$804,A35),IF(Z35="","",Z35)))</f>
        <v>0</v>
      </c>
      <c r="AL35" s="34">
        <f>IF(OR(AK35="",AD35=""),"",AK35-AD35)</f>
        <v>0</v>
      </c>
      <c r="AM35" s="31">
        <f>IF(A35="","",COUNTIFS('Job Tasks'!$B$5:$B$904,A35))</f>
        <v>0</v>
      </c>
      <c r="AN35" s="31">
        <f>IF(A35="","",COUNTIFS('Job Tasks'!$B$5:$B$904,A35,'Job Tasks'!$H$5:$H$904,"Done"))</f>
        <v>0</v>
      </c>
      <c r="AO35" s="38">
        <f>IF(OR(A35="",AM35=0),"",AN35/AM35)</f>
        <v>0</v>
      </c>
      <c r="AP35" s="43">
        <f>IF(A35="","",IFERROR(INDEX('Invoice Lines'!$B$5:$B$804,MATCH(A35,'Invoice Lines'!$C$5:$C$804,0)),""))</f>
        <v>0</v>
      </c>
      <c r="AQ35" s="18">
        <f>IF(OR(G35="",B35="",X35&lt;&gt;"Yes"),"",IF(IFERROR(INDEX(FreqDays,MATCH(O35,FreqNames,0)),0)=0,"",B35+IFERROR(INDEX(FreqDays,MATCH(O35,FreqNames,0)),0)))</f>
        <v>0</v>
      </c>
      <c r="AR35" s="39">
        <f>IF(G35="","",IF(R35="","Unassigned",IF(COUNTIFS($R$5:$R$604,R35,$B$5:$B$604,B35,$F$5:$F$604,F35)&gt;1,"Clash",IF(SUMIFS($AF$5:$AF$604,$R$5:$R$604,R35,$B$5:$B$604,B35)&gt;ProductiveHours,"Long day","OK"))))</f>
        <v>0</v>
      </c>
      <c r="AS35" s="18">
        <f>IF(OR(G35="",B35=""),"",IF(AND(B35&gt;=TodayDate,P35&lt;&gt;"Cancelled"),B35,""))</f>
        <v>0</v>
      </c>
      <c r="AT35" s="31">
        <f>IF(AS35="","",COUNTIFS($AS$5:$AS$604,"&lt;"&amp;AS35)+COUNTIFS($AS$5:AS35,AS35))</f>
        <v>0</v>
      </c>
      <c r="AU35" s="18">
        <f>IF(OR(G35="",B35="",R35&lt;&gt;""),"",IF(AND(B35&gt;=TodayDate,P35&lt;&gt;"Cancelled"),B35,""))</f>
        <v>0</v>
      </c>
      <c r="AV35" s="31">
        <f>IF(AU35="","",COUNTIFS($AU$5:$AU$604,"&lt;"&amp;AU35)+COUNTIFS($AU$5:AU35,AU35))</f>
        <v>0</v>
      </c>
      <c r="AW35" s="31">
        <f>IF(OR(G35="",B35=""),"",B35-TodayDate)</f>
        <v>0</v>
      </c>
      <c r="AX35" s="39">
        <f>IF(G35="","",IF(P35="Cancelled","Cancelled",IF(P35="No access","Action - no access, rebook",IF(AND(B35&lt;&gt;"",AW35&lt;0,OR(P35="Booked",P35="Confirmed",P35="In progress")),"Late - mark it completed",IF(AND(P35="Completed",AP35=""),"Action - not invoiced yet",IF(AND(AW35&gt;=0,AW35&lt;=ReminderDays,Y35&lt;&gt;"Yes"),"Confirm - visit coming up",IF(R35="","Assign - no cleaner booked",IF(AND(P35="Completed",AO35&lt;&gt;"",AO35&lt;1),"Check - checklist unfinished","OK"))))))))</f>
        <v>0</v>
      </c>
    </row>
    <row r="36" spans="1:50">
      <c r="A36" s="43">
        <f>IF(G36="","",JobPrefix&amp;TEXT(ROW()-4,"0000"))</f>
        <v>0</v>
      </c>
      <c r="B36" s="46">
        <v>46289</v>
      </c>
      <c r="C36" s="23">
        <f>IF(B36="","",TEXT(B36,"ddd"))</f>
        <v>0</v>
      </c>
      <c r="D36" s="31">
        <f>IF(B36="","",WEEKNUM(B36,IF(WeekStart="Sunday",1,2)))</f>
        <v>0</v>
      </c>
      <c r="E36" s="23">
        <f>IF(B36="","",TEXT(B36,"yyyy-mm"))</f>
        <v>0</v>
      </c>
      <c r="F36" s="52">
        <v>0.291666666666667</v>
      </c>
      <c r="G36" s="49" t="s">
        <v>813</v>
      </c>
      <c r="H36" s="23">
        <f>IF(G36="","",IFERROR(INDEX(Clients!$B$5:$B$204,MATCH(G36,Clients!$A$5:$A$204,0)),"Not found"))</f>
        <v>0</v>
      </c>
      <c r="I36" s="23">
        <f>IF(G36="","",IFERROR(INDEX(Clients!$C$5:$C$204,MATCH(G36,Clients!$A$5:$A$204,0)),""))</f>
        <v>0</v>
      </c>
      <c r="J36" s="49" t="s">
        <v>1052</v>
      </c>
      <c r="K36" s="23">
        <f>IF(J36="","",IFERROR(INDEX(Properties!$B$5:$B$254,MATCH(J36,Properties!$A$5:$A$254,0)),""))</f>
        <v>0</v>
      </c>
      <c r="L36" s="23">
        <f>IF(J36="","",IFERROR(INDEX(Properties!$F$5:$F$254,MATCH(J36,Properties!$A$5:$A$254,0)),""))</f>
        <v>0</v>
      </c>
      <c r="M36" s="15" t="s">
        <v>770</v>
      </c>
      <c r="N36" s="15" t="s">
        <v>1133</v>
      </c>
      <c r="O36" s="15" t="s">
        <v>617</v>
      </c>
      <c r="P36" s="45" t="s">
        <v>406</v>
      </c>
      <c r="Q36" s="15" t="s">
        <v>448</v>
      </c>
      <c r="R36" s="15" t="s">
        <v>664</v>
      </c>
      <c r="S36" s="15" t="s">
        <v>172</v>
      </c>
      <c r="T36" s="16">
        <v>1</v>
      </c>
      <c r="W36" s="17">
        <v>7.6</v>
      </c>
      <c r="X36" s="47" t="s">
        <v>454</v>
      </c>
      <c r="Y36" s="47" t="s">
        <v>454</v>
      </c>
      <c r="AA36" s="47">
        <v>5</v>
      </c>
      <c r="AB36" s="44" t="s">
        <v>172</v>
      </c>
      <c r="AC36" s="44" t="s">
        <v>172</v>
      </c>
      <c r="AD36" s="34">
        <f>IF(G36="","",IF(U36&lt;&gt;"",U36,IF(AND(IFERROR(INDEX(Services!$D$5:$D$64,MATCH(M36,Services!$B$5:$B$64,0)),"")="Per hour",IFERROR(INDEX(Properties!$X$5:$X$254,MATCH(J36,Properties!$A$5:$A$254,0)),0)&gt;0),IFERROR(INDEX(Properties!$X$5:$X$254,MATCH(J36,Properties!$A$5:$A$254,0)),0),IF(IFERROR(INDEX(Services!$G$5:$G$64,MATCH(M36,Services!$B$5:$B$64,0)),0)&gt;0,IFERROR(INDEX(Services!$G$5:$G$64,MATCH(M36,Services!$B$5:$B$64,0)),0),IFERROR(INDEX(Properties!$X$5:$X$254,MATCH(J36,Properties!$A$5:$A$254,0)),0)))))</f>
        <v>0</v>
      </c>
      <c r="AE36" s="31">
        <f>IF(G36="","",IF(T36="",CleanersPerJob,MAX(1,T36)))</f>
        <v>0</v>
      </c>
      <c r="AF36" s="34">
        <f>IF(G36="","",ROUND(AD36/AE36,2))</f>
        <v>0</v>
      </c>
      <c r="AG36" s="53">
        <f>IF(OR(G36="",F36="",AF36=""),"",F36+AF36/24)</f>
        <v>0</v>
      </c>
      <c r="AH36" s="21">
        <f>IF(G36="","",IF(IFERROR(INDEX(Clients!$O$5:$O$204,MATCH(G36,Clients!$A$5:$A$204,0)),0)&gt;0,IFERROR(INDEX(Clients!$O$5:$O$204,MATCH(G36,Clients!$A$5:$A$204,0)),0),HourlyRate))</f>
        <v>0</v>
      </c>
      <c r="AI36" s="21">
        <f>IF(G36="","",IF(AND(M36&lt;&gt;"",IFERROR(INDEX(Services!$P$5:$P$64,MATCH(M36,Services!$B$5:$B$64,0)),0)&gt;0,IFERROR(INDEX(Services!$D$5:$D$64,MATCH(M36,Services!$B$5:$B$64,0)),"")&lt;&gt;"Per hour"),IFERROR(INDEX(Services!$P$5:$P$64,MATCH(M36,Services!$B$5:$B$64,0)),0),AD36*AH36))</f>
        <v>0</v>
      </c>
      <c r="AJ36" s="21">
        <f>IF(G36="","",IF(V36&lt;&gt;"",V36,IF(P36="Cancelled",0,MAX(MinimumCharge,ROUND(AI36*IFERROR(INDEX(FreqFactors,MATCH(O36,FreqNames,0)),1),2)))))</f>
        <v>0</v>
      </c>
      <c r="AK36" s="34">
        <f>IF(G36="","",IF(SUMIFS(Timesheets!$U$5:$U$804,Timesheets!$G$5:$G$804,A36)&gt;0,SUMIFS(Timesheets!$U$5:$U$804,Timesheets!$G$5:$G$804,A36),IF(Z36="","",Z36)))</f>
        <v>0</v>
      </c>
      <c r="AL36" s="34">
        <f>IF(OR(AK36="",AD36=""),"",AK36-AD36)</f>
        <v>0</v>
      </c>
      <c r="AM36" s="31">
        <f>IF(A36="","",COUNTIFS('Job Tasks'!$B$5:$B$904,A36))</f>
        <v>0</v>
      </c>
      <c r="AN36" s="31">
        <f>IF(A36="","",COUNTIFS('Job Tasks'!$B$5:$B$904,A36,'Job Tasks'!$H$5:$H$904,"Done"))</f>
        <v>0</v>
      </c>
      <c r="AO36" s="38">
        <f>IF(OR(A36="",AM36=0),"",AN36/AM36)</f>
        <v>0</v>
      </c>
      <c r="AP36" s="43">
        <f>IF(A36="","",IFERROR(INDEX('Invoice Lines'!$B$5:$B$804,MATCH(A36,'Invoice Lines'!$C$5:$C$804,0)),""))</f>
        <v>0</v>
      </c>
      <c r="AQ36" s="18">
        <f>IF(OR(G36="",B36="",X36&lt;&gt;"Yes"),"",IF(IFERROR(INDEX(FreqDays,MATCH(O36,FreqNames,0)),0)=0,"",B36+IFERROR(INDEX(FreqDays,MATCH(O36,FreqNames,0)),0)))</f>
        <v>0</v>
      </c>
      <c r="AR36" s="39">
        <f>IF(G36="","",IF(R36="","Unassigned",IF(COUNTIFS($R$5:$R$604,R36,$B$5:$B$604,B36,$F$5:$F$604,F36)&gt;1,"Clash",IF(SUMIFS($AF$5:$AF$604,$R$5:$R$604,R36,$B$5:$B$604,B36)&gt;ProductiveHours,"Long day","OK"))))</f>
        <v>0</v>
      </c>
      <c r="AS36" s="18">
        <f>IF(OR(G36="",B36=""),"",IF(AND(B36&gt;=TodayDate,P36&lt;&gt;"Cancelled"),B36,""))</f>
        <v>0</v>
      </c>
      <c r="AT36" s="31">
        <f>IF(AS36="","",COUNTIFS($AS$5:$AS$604,"&lt;"&amp;AS36)+COUNTIFS($AS$5:AS36,AS36))</f>
        <v>0</v>
      </c>
      <c r="AU36" s="18">
        <f>IF(OR(G36="",B36="",R36&lt;&gt;""),"",IF(AND(B36&gt;=TodayDate,P36&lt;&gt;"Cancelled"),B36,""))</f>
        <v>0</v>
      </c>
      <c r="AV36" s="31">
        <f>IF(AU36="","",COUNTIFS($AU$5:$AU$604,"&lt;"&amp;AU36)+COUNTIFS($AU$5:AU36,AU36))</f>
        <v>0</v>
      </c>
      <c r="AW36" s="31">
        <f>IF(OR(G36="",B36=""),"",B36-TodayDate)</f>
        <v>0</v>
      </c>
      <c r="AX36" s="39">
        <f>IF(G36="","",IF(P36="Cancelled","Cancelled",IF(P36="No access","Action - no access, rebook",IF(AND(B36&lt;&gt;"",AW36&lt;0,OR(P36="Booked",P36="Confirmed",P36="In progress")),"Late - mark it completed",IF(AND(P36="Completed",AP36=""),"Action - not invoiced yet",IF(AND(AW36&gt;=0,AW36&lt;=ReminderDays,Y36&lt;&gt;"Yes"),"Confirm - visit coming up",IF(R36="","Assign - no cleaner booked",IF(AND(P36="Completed",AO36&lt;&gt;"",AO36&lt;1),"Check - checklist unfinished","OK"))))))))</f>
        <v>0</v>
      </c>
    </row>
    <row r="37" spans="1:50">
      <c r="A37" s="43">
        <f>IF(G37="","",JobPrefix&amp;TEXT(ROW()-4,"0000"))</f>
        <v>0</v>
      </c>
      <c r="B37" s="46">
        <v>46289</v>
      </c>
      <c r="C37" s="23">
        <f>IF(B37="","",TEXT(B37,"ddd"))</f>
        <v>0</v>
      </c>
      <c r="D37" s="31">
        <f>IF(B37="","",WEEKNUM(B37,IF(WeekStart="Sunday",1,2)))</f>
        <v>0</v>
      </c>
      <c r="E37" s="23">
        <f>IF(B37="","",TEXT(B37,"yyyy-mm"))</f>
        <v>0</v>
      </c>
      <c r="F37" s="52">
        <v>0.583333333333333</v>
      </c>
      <c r="G37" s="49" t="s">
        <v>753</v>
      </c>
      <c r="H37" s="23">
        <f>IF(G37="","",IFERROR(INDEX(Clients!$B$5:$B$204,MATCH(G37,Clients!$A$5:$A$204,0)),"Not found"))</f>
        <v>0</v>
      </c>
      <c r="I37" s="23">
        <f>IF(G37="","",IFERROR(INDEX(Clients!$C$5:$C$204,MATCH(G37,Clients!$A$5:$A$204,0)),""))</f>
        <v>0</v>
      </c>
      <c r="J37" s="49" t="s">
        <v>1139</v>
      </c>
      <c r="K37" s="23">
        <f>IF(J37="","",IFERROR(INDEX(Properties!$B$5:$B$254,MATCH(J37,Properties!$A$5:$A$254,0)),""))</f>
        <v>0</v>
      </c>
      <c r="L37" s="23">
        <f>IF(J37="","",IFERROR(INDEX(Properties!$F$5:$F$254,MATCH(J37,Properties!$A$5:$A$254,0)),""))</f>
        <v>0</v>
      </c>
      <c r="M37" s="15" t="s">
        <v>437</v>
      </c>
      <c r="N37" s="15" t="s">
        <v>1133</v>
      </c>
      <c r="O37" s="15" t="s">
        <v>593</v>
      </c>
      <c r="P37" s="45" t="s">
        <v>406</v>
      </c>
      <c r="Q37" s="15" t="s">
        <v>448</v>
      </c>
      <c r="R37" s="15" t="s">
        <v>596</v>
      </c>
      <c r="S37" s="15" t="s">
        <v>172</v>
      </c>
      <c r="T37" s="16">
        <v>1</v>
      </c>
      <c r="W37" s="17">
        <v>12</v>
      </c>
      <c r="X37" s="47" t="s">
        <v>454</v>
      </c>
      <c r="Y37" s="47" t="s">
        <v>454</v>
      </c>
      <c r="AA37" s="47">
        <v>5</v>
      </c>
      <c r="AB37" s="44" t="s">
        <v>172</v>
      </c>
      <c r="AC37" s="44" t="s">
        <v>172</v>
      </c>
      <c r="AD37" s="34">
        <f>IF(G37="","",IF(U37&lt;&gt;"",U37,IF(AND(IFERROR(INDEX(Services!$D$5:$D$64,MATCH(M37,Services!$B$5:$B$64,0)),"")="Per hour",IFERROR(INDEX(Properties!$X$5:$X$254,MATCH(J37,Properties!$A$5:$A$254,0)),0)&gt;0),IFERROR(INDEX(Properties!$X$5:$X$254,MATCH(J37,Properties!$A$5:$A$254,0)),0),IF(IFERROR(INDEX(Services!$G$5:$G$64,MATCH(M37,Services!$B$5:$B$64,0)),0)&gt;0,IFERROR(INDEX(Services!$G$5:$G$64,MATCH(M37,Services!$B$5:$B$64,0)),0),IFERROR(INDEX(Properties!$X$5:$X$254,MATCH(J37,Properties!$A$5:$A$254,0)),0)))))</f>
        <v>0</v>
      </c>
      <c r="AE37" s="31">
        <f>IF(G37="","",IF(T37="",CleanersPerJob,MAX(1,T37)))</f>
        <v>0</v>
      </c>
      <c r="AF37" s="34">
        <f>IF(G37="","",ROUND(AD37/AE37,2))</f>
        <v>0</v>
      </c>
      <c r="AG37" s="53">
        <f>IF(OR(G37="",F37="",AF37=""),"",F37+AF37/24)</f>
        <v>0</v>
      </c>
      <c r="AH37" s="21">
        <f>IF(G37="","",IF(IFERROR(INDEX(Clients!$O$5:$O$204,MATCH(G37,Clients!$A$5:$A$204,0)),0)&gt;0,IFERROR(INDEX(Clients!$O$5:$O$204,MATCH(G37,Clients!$A$5:$A$204,0)),0),HourlyRate))</f>
        <v>0</v>
      </c>
      <c r="AI37" s="21">
        <f>IF(G37="","",IF(AND(M37&lt;&gt;"",IFERROR(INDEX(Services!$P$5:$P$64,MATCH(M37,Services!$B$5:$B$64,0)),0)&gt;0,IFERROR(INDEX(Services!$D$5:$D$64,MATCH(M37,Services!$B$5:$B$64,0)),"")&lt;&gt;"Per hour"),IFERROR(INDEX(Services!$P$5:$P$64,MATCH(M37,Services!$B$5:$B$64,0)),0),AD37*AH37))</f>
        <v>0</v>
      </c>
      <c r="AJ37" s="21">
        <f>IF(G37="","",IF(V37&lt;&gt;"",V37,IF(P37="Cancelled",0,MAX(MinimumCharge,ROUND(AI37*IFERROR(INDEX(FreqFactors,MATCH(O37,FreqNames,0)),1),2)))))</f>
        <v>0</v>
      </c>
      <c r="AK37" s="34">
        <f>IF(G37="","",IF(SUMIFS(Timesheets!$U$5:$U$804,Timesheets!$G$5:$G$804,A37)&gt;0,SUMIFS(Timesheets!$U$5:$U$804,Timesheets!$G$5:$G$804,A37),IF(Z37="","",Z37)))</f>
        <v>0</v>
      </c>
      <c r="AL37" s="34">
        <f>IF(OR(AK37="",AD37=""),"",AK37-AD37)</f>
        <v>0</v>
      </c>
      <c r="AM37" s="31">
        <f>IF(A37="","",COUNTIFS('Job Tasks'!$B$5:$B$904,A37))</f>
        <v>0</v>
      </c>
      <c r="AN37" s="31">
        <f>IF(A37="","",COUNTIFS('Job Tasks'!$B$5:$B$904,A37,'Job Tasks'!$H$5:$H$904,"Done"))</f>
        <v>0</v>
      </c>
      <c r="AO37" s="38">
        <f>IF(OR(A37="",AM37=0),"",AN37/AM37)</f>
        <v>0</v>
      </c>
      <c r="AP37" s="43">
        <f>IF(A37="","",IFERROR(INDEX('Invoice Lines'!$B$5:$B$804,MATCH(A37,'Invoice Lines'!$C$5:$C$804,0)),""))</f>
        <v>0</v>
      </c>
      <c r="AQ37" s="18">
        <f>IF(OR(G37="",B37="",X37&lt;&gt;"Yes"),"",IF(IFERROR(INDEX(FreqDays,MATCH(O37,FreqNames,0)),0)=0,"",B37+IFERROR(INDEX(FreqDays,MATCH(O37,FreqNames,0)),0)))</f>
        <v>0</v>
      </c>
      <c r="AR37" s="39">
        <f>IF(G37="","",IF(R37="","Unassigned",IF(COUNTIFS($R$5:$R$604,R37,$B$5:$B$604,B37,$F$5:$F$604,F37)&gt;1,"Clash",IF(SUMIFS($AF$5:$AF$604,$R$5:$R$604,R37,$B$5:$B$604,B37)&gt;ProductiveHours,"Long day","OK"))))</f>
        <v>0</v>
      </c>
      <c r="AS37" s="18">
        <f>IF(OR(G37="",B37=""),"",IF(AND(B37&gt;=TodayDate,P37&lt;&gt;"Cancelled"),B37,""))</f>
        <v>0</v>
      </c>
      <c r="AT37" s="31">
        <f>IF(AS37="","",COUNTIFS($AS$5:$AS$604,"&lt;"&amp;AS37)+COUNTIFS($AS$5:AS37,AS37))</f>
        <v>0</v>
      </c>
      <c r="AU37" s="18">
        <f>IF(OR(G37="",B37="",R37&lt;&gt;""),"",IF(AND(B37&gt;=TodayDate,P37&lt;&gt;"Cancelled"),B37,""))</f>
        <v>0</v>
      </c>
      <c r="AV37" s="31">
        <f>IF(AU37="","",COUNTIFS($AU$5:$AU$604,"&lt;"&amp;AU37)+COUNTIFS($AU$5:AU37,AU37))</f>
        <v>0</v>
      </c>
      <c r="AW37" s="31">
        <f>IF(OR(G37="",B37=""),"",B37-TodayDate)</f>
        <v>0</v>
      </c>
      <c r="AX37" s="39">
        <f>IF(G37="","",IF(P37="Cancelled","Cancelled",IF(P37="No access","Action - no access, rebook",IF(AND(B37&lt;&gt;"",AW37&lt;0,OR(P37="Booked",P37="Confirmed",P37="In progress")),"Late - mark it completed",IF(AND(P37="Completed",AP37=""),"Action - not invoiced yet",IF(AND(AW37&gt;=0,AW37&lt;=ReminderDays,Y37&lt;&gt;"Yes"),"Confirm - visit coming up",IF(R37="","Assign - no cleaner booked",IF(AND(P37="Completed",AO37&lt;&gt;"",AO37&lt;1),"Check - checklist unfinished","OK"))))))))</f>
        <v>0</v>
      </c>
    </row>
    <row r="38" spans="1:50">
      <c r="A38" s="43">
        <f>IF(G38="","",JobPrefix&amp;TEXT(ROW()-4,"0000"))</f>
        <v>0</v>
      </c>
      <c r="B38" s="46">
        <v>46289</v>
      </c>
      <c r="C38" s="23">
        <f>IF(B38="","",TEXT(B38,"ddd"))</f>
        <v>0</v>
      </c>
      <c r="D38" s="31">
        <f>IF(B38="","",WEEKNUM(B38,IF(WeekStart="Sunday",1,2)))</f>
        <v>0</v>
      </c>
      <c r="E38" s="23">
        <f>IF(B38="","",TEXT(B38,"yyyy-mm"))</f>
        <v>0</v>
      </c>
      <c r="F38" s="52">
        <v>0.770833333333333</v>
      </c>
      <c r="G38" s="49" t="s">
        <v>773</v>
      </c>
      <c r="H38" s="23">
        <f>IF(G38="","",IFERROR(INDEX(Clients!$B$5:$B$204,MATCH(G38,Clients!$A$5:$A$204,0)),"Not found"))</f>
        <v>0</v>
      </c>
      <c r="I38" s="23">
        <f>IF(G38="","",IFERROR(INDEX(Clients!$C$5:$C$204,MATCH(G38,Clients!$A$5:$A$204,0)),""))</f>
        <v>0</v>
      </c>
      <c r="J38" s="49" t="s">
        <v>1134</v>
      </c>
      <c r="K38" s="23">
        <f>IF(J38="","",IFERROR(INDEX(Properties!$B$5:$B$254,MATCH(J38,Properties!$A$5:$A$254,0)),""))</f>
        <v>0</v>
      </c>
      <c r="L38" s="23">
        <f>IF(J38="","",IFERROR(INDEX(Properties!$F$5:$F$254,MATCH(J38,Properties!$A$5:$A$254,0)),""))</f>
        <v>0</v>
      </c>
      <c r="M38" s="15" t="s">
        <v>770</v>
      </c>
      <c r="N38" s="15" t="s">
        <v>1133</v>
      </c>
      <c r="O38" s="15" t="s">
        <v>617</v>
      </c>
      <c r="P38" s="45" t="s">
        <v>406</v>
      </c>
      <c r="Q38" s="15" t="s">
        <v>448</v>
      </c>
      <c r="R38" s="15" t="s">
        <v>608</v>
      </c>
      <c r="S38" s="15" t="s">
        <v>172</v>
      </c>
      <c r="T38" s="16">
        <v>1</v>
      </c>
      <c r="W38" s="17">
        <v>4.8</v>
      </c>
      <c r="X38" s="47" t="s">
        <v>454</v>
      </c>
      <c r="Y38" s="47" t="s">
        <v>454</v>
      </c>
      <c r="AA38" s="47" t="s">
        <v>172</v>
      </c>
      <c r="AB38" s="44" t="s">
        <v>172</v>
      </c>
      <c r="AC38" s="44" t="s">
        <v>172</v>
      </c>
      <c r="AD38" s="34">
        <f>IF(G38="","",IF(U38&lt;&gt;"",U38,IF(AND(IFERROR(INDEX(Services!$D$5:$D$64,MATCH(M38,Services!$B$5:$B$64,0)),"")="Per hour",IFERROR(INDEX(Properties!$X$5:$X$254,MATCH(J38,Properties!$A$5:$A$254,0)),0)&gt;0),IFERROR(INDEX(Properties!$X$5:$X$254,MATCH(J38,Properties!$A$5:$A$254,0)),0),IF(IFERROR(INDEX(Services!$G$5:$G$64,MATCH(M38,Services!$B$5:$B$64,0)),0)&gt;0,IFERROR(INDEX(Services!$G$5:$G$64,MATCH(M38,Services!$B$5:$B$64,0)),0),IFERROR(INDEX(Properties!$X$5:$X$254,MATCH(J38,Properties!$A$5:$A$254,0)),0)))))</f>
        <v>0</v>
      </c>
      <c r="AE38" s="31">
        <f>IF(G38="","",IF(T38="",CleanersPerJob,MAX(1,T38)))</f>
        <v>0</v>
      </c>
      <c r="AF38" s="34">
        <f>IF(G38="","",ROUND(AD38/AE38,2))</f>
        <v>0</v>
      </c>
      <c r="AG38" s="53">
        <f>IF(OR(G38="",F38="",AF38=""),"",F38+AF38/24)</f>
        <v>0</v>
      </c>
      <c r="AH38" s="21">
        <f>IF(G38="","",IF(IFERROR(INDEX(Clients!$O$5:$O$204,MATCH(G38,Clients!$A$5:$A$204,0)),0)&gt;0,IFERROR(INDEX(Clients!$O$5:$O$204,MATCH(G38,Clients!$A$5:$A$204,0)),0),HourlyRate))</f>
        <v>0</v>
      </c>
      <c r="AI38" s="21">
        <f>IF(G38="","",IF(AND(M38&lt;&gt;"",IFERROR(INDEX(Services!$P$5:$P$64,MATCH(M38,Services!$B$5:$B$64,0)),0)&gt;0,IFERROR(INDEX(Services!$D$5:$D$64,MATCH(M38,Services!$B$5:$B$64,0)),"")&lt;&gt;"Per hour"),IFERROR(INDEX(Services!$P$5:$P$64,MATCH(M38,Services!$B$5:$B$64,0)),0),AD38*AH38))</f>
        <v>0</v>
      </c>
      <c r="AJ38" s="21">
        <f>IF(G38="","",IF(V38&lt;&gt;"",V38,IF(P38="Cancelled",0,MAX(MinimumCharge,ROUND(AI38*IFERROR(INDEX(FreqFactors,MATCH(O38,FreqNames,0)),1),2)))))</f>
        <v>0</v>
      </c>
      <c r="AK38" s="34">
        <f>IF(G38="","",IF(SUMIFS(Timesheets!$U$5:$U$804,Timesheets!$G$5:$G$804,A38)&gt;0,SUMIFS(Timesheets!$U$5:$U$804,Timesheets!$G$5:$G$804,A38),IF(Z38="","",Z38)))</f>
        <v>0</v>
      </c>
      <c r="AL38" s="34">
        <f>IF(OR(AK38="",AD38=""),"",AK38-AD38)</f>
        <v>0</v>
      </c>
      <c r="AM38" s="31">
        <f>IF(A38="","",COUNTIFS('Job Tasks'!$B$5:$B$904,A38))</f>
        <v>0</v>
      </c>
      <c r="AN38" s="31">
        <f>IF(A38="","",COUNTIFS('Job Tasks'!$B$5:$B$904,A38,'Job Tasks'!$H$5:$H$904,"Done"))</f>
        <v>0</v>
      </c>
      <c r="AO38" s="38">
        <f>IF(OR(A38="",AM38=0),"",AN38/AM38)</f>
        <v>0</v>
      </c>
      <c r="AP38" s="43">
        <f>IF(A38="","",IFERROR(INDEX('Invoice Lines'!$B$5:$B$804,MATCH(A38,'Invoice Lines'!$C$5:$C$804,0)),""))</f>
        <v>0</v>
      </c>
      <c r="AQ38" s="18">
        <f>IF(OR(G38="",B38="",X38&lt;&gt;"Yes"),"",IF(IFERROR(INDEX(FreqDays,MATCH(O38,FreqNames,0)),0)=0,"",B38+IFERROR(INDEX(FreqDays,MATCH(O38,FreqNames,0)),0)))</f>
        <v>0</v>
      </c>
      <c r="AR38" s="39">
        <f>IF(G38="","",IF(R38="","Unassigned",IF(COUNTIFS($R$5:$R$604,R38,$B$5:$B$604,B38,$F$5:$F$604,F38)&gt;1,"Clash",IF(SUMIFS($AF$5:$AF$604,$R$5:$R$604,R38,$B$5:$B$604,B38)&gt;ProductiveHours,"Long day","OK"))))</f>
        <v>0</v>
      </c>
      <c r="AS38" s="18">
        <f>IF(OR(G38="",B38=""),"",IF(AND(B38&gt;=TodayDate,P38&lt;&gt;"Cancelled"),B38,""))</f>
        <v>0</v>
      </c>
      <c r="AT38" s="31">
        <f>IF(AS38="","",COUNTIFS($AS$5:$AS$604,"&lt;"&amp;AS38)+COUNTIFS($AS$5:AS38,AS38))</f>
        <v>0</v>
      </c>
      <c r="AU38" s="18">
        <f>IF(OR(G38="",B38="",R38&lt;&gt;""),"",IF(AND(B38&gt;=TodayDate,P38&lt;&gt;"Cancelled"),B38,""))</f>
        <v>0</v>
      </c>
      <c r="AV38" s="31">
        <f>IF(AU38="","",COUNTIFS($AU$5:$AU$604,"&lt;"&amp;AU38)+COUNTIFS($AU$5:AU38,AU38))</f>
        <v>0</v>
      </c>
      <c r="AW38" s="31">
        <f>IF(OR(G38="",B38=""),"",B38-TodayDate)</f>
        <v>0</v>
      </c>
      <c r="AX38" s="39">
        <f>IF(G38="","",IF(P38="Cancelled","Cancelled",IF(P38="No access","Action - no access, rebook",IF(AND(B38&lt;&gt;"",AW38&lt;0,OR(P38="Booked",P38="Confirmed",P38="In progress")),"Late - mark it completed",IF(AND(P38="Completed",AP38=""),"Action - not invoiced yet",IF(AND(AW38&gt;=0,AW38&lt;=ReminderDays,Y38&lt;&gt;"Yes"),"Confirm - visit coming up",IF(R38="","Assign - no cleaner booked",IF(AND(P38="Completed",AO38&lt;&gt;"",AO38&lt;1),"Check - checklist unfinished","OK"))))))))</f>
        <v>0</v>
      </c>
    </row>
    <row r="39" spans="1:50">
      <c r="A39" s="43">
        <f>IF(G39="","",JobPrefix&amp;TEXT(ROW()-4,"0000"))</f>
        <v>0</v>
      </c>
      <c r="B39" s="46">
        <v>46290</v>
      </c>
      <c r="C39" s="23">
        <f>IF(B39="","",TEXT(B39,"ddd"))</f>
        <v>0</v>
      </c>
      <c r="D39" s="31">
        <f>IF(B39="","",WEEKNUM(B39,IF(WeekStart="Sunday",1,2)))</f>
        <v>0</v>
      </c>
      <c r="E39" s="23">
        <f>IF(B39="","",TEXT(B39,"yyyy-mm"))</f>
        <v>0</v>
      </c>
      <c r="F39" s="52">
        <v>0.729166666666667</v>
      </c>
      <c r="G39" s="49" t="s">
        <v>800</v>
      </c>
      <c r="H39" s="23">
        <f>IF(G39="","",IFERROR(INDEX(Clients!$B$5:$B$204,MATCH(G39,Clients!$A$5:$A$204,0)),"Not found"))</f>
        <v>0</v>
      </c>
      <c r="I39" s="23">
        <f>IF(G39="","",IFERROR(INDEX(Clients!$C$5:$C$204,MATCH(G39,Clients!$A$5:$A$204,0)),""))</f>
        <v>0</v>
      </c>
      <c r="J39" s="49" t="s">
        <v>1140</v>
      </c>
      <c r="K39" s="23">
        <f>IF(J39="","",IFERROR(INDEX(Properties!$B$5:$B$254,MATCH(J39,Properties!$A$5:$A$254,0)),""))</f>
        <v>0</v>
      </c>
      <c r="L39" s="23">
        <f>IF(J39="","",IFERROR(INDEX(Properties!$F$5:$F$254,MATCH(J39,Properties!$A$5:$A$254,0)),""))</f>
        <v>0</v>
      </c>
      <c r="M39" s="15" t="s">
        <v>803</v>
      </c>
      <c r="N39" s="15" t="s">
        <v>1133</v>
      </c>
      <c r="O39" s="15" t="s">
        <v>451</v>
      </c>
      <c r="P39" s="45" t="s">
        <v>406</v>
      </c>
      <c r="Q39" s="15" t="s">
        <v>448</v>
      </c>
      <c r="R39" s="15" t="s">
        <v>639</v>
      </c>
      <c r="S39" s="15" t="s">
        <v>664</v>
      </c>
      <c r="T39" s="16">
        <v>2</v>
      </c>
      <c r="W39" s="17">
        <v>9.2</v>
      </c>
      <c r="X39" s="47" t="s">
        <v>454</v>
      </c>
      <c r="Y39" s="47" t="s">
        <v>454</v>
      </c>
      <c r="AA39" s="47" t="s">
        <v>172</v>
      </c>
      <c r="AB39" s="44" t="s">
        <v>172</v>
      </c>
      <c r="AC39" s="44" t="s">
        <v>172</v>
      </c>
      <c r="AD39" s="34">
        <f>IF(G39="","",IF(U39&lt;&gt;"",U39,IF(AND(IFERROR(INDEX(Services!$D$5:$D$64,MATCH(M39,Services!$B$5:$B$64,0)),"")="Per hour",IFERROR(INDEX(Properties!$X$5:$X$254,MATCH(J39,Properties!$A$5:$A$254,0)),0)&gt;0),IFERROR(INDEX(Properties!$X$5:$X$254,MATCH(J39,Properties!$A$5:$A$254,0)),0),IF(IFERROR(INDEX(Services!$G$5:$G$64,MATCH(M39,Services!$B$5:$B$64,0)),0)&gt;0,IFERROR(INDEX(Services!$G$5:$G$64,MATCH(M39,Services!$B$5:$B$64,0)),0),IFERROR(INDEX(Properties!$X$5:$X$254,MATCH(J39,Properties!$A$5:$A$254,0)),0)))))</f>
        <v>0</v>
      </c>
      <c r="AE39" s="31">
        <f>IF(G39="","",IF(T39="",CleanersPerJob,MAX(1,T39)))</f>
        <v>0</v>
      </c>
      <c r="AF39" s="34">
        <f>IF(G39="","",ROUND(AD39/AE39,2))</f>
        <v>0</v>
      </c>
      <c r="AG39" s="53">
        <f>IF(OR(G39="",F39="",AF39=""),"",F39+AF39/24)</f>
        <v>0</v>
      </c>
      <c r="AH39" s="21">
        <f>IF(G39="","",IF(IFERROR(INDEX(Clients!$O$5:$O$204,MATCH(G39,Clients!$A$5:$A$204,0)),0)&gt;0,IFERROR(INDEX(Clients!$O$5:$O$204,MATCH(G39,Clients!$A$5:$A$204,0)),0),HourlyRate))</f>
        <v>0</v>
      </c>
      <c r="AI39" s="21">
        <f>IF(G39="","",IF(AND(M39&lt;&gt;"",IFERROR(INDEX(Services!$P$5:$P$64,MATCH(M39,Services!$B$5:$B$64,0)),0)&gt;0,IFERROR(INDEX(Services!$D$5:$D$64,MATCH(M39,Services!$B$5:$B$64,0)),"")&lt;&gt;"Per hour"),IFERROR(INDEX(Services!$P$5:$P$64,MATCH(M39,Services!$B$5:$B$64,0)),0),AD39*AH39))</f>
        <v>0</v>
      </c>
      <c r="AJ39" s="21">
        <f>IF(G39="","",IF(V39&lt;&gt;"",V39,IF(P39="Cancelled",0,MAX(MinimumCharge,ROUND(AI39*IFERROR(INDEX(FreqFactors,MATCH(O39,FreqNames,0)),1),2)))))</f>
        <v>0</v>
      </c>
      <c r="AK39" s="34">
        <f>IF(G39="","",IF(SUMIFS(Timesheets!$U$5:$U$804,Timesheets!$G$5:$G$804,A39)&gt;0,SUMIFS(Timesheets!$U$5:$U$804,Timesheets!$G$5:$G$804,A39),IF(Z39="","",Z39)))</f>
        <v>0</v>
      </c>
      <c r="AL39" s="34">
        <f>IF(OR(AK39="",AD39=""),"",AK39-AD39)</f>
        <v>0</v>
      </c>
      <c r="AM39" s="31">
        <f>IF(A39="","",COUNTIFS('Job Tasks'!$B$5:$B$904,A39))</f>
        <v>0</v>
      </c>
      <c r="AN39" s="31">
        <f>IF(A39="","",COUNTIFS('Job Tasks'!$B$5:$B$904,A39,'Job Tasks'!$H$5:$H$904,"Done"))</f>
        <v>0</v>
      </c>
      <c r="AO39" s="38">
        <f>IF(OR(A39="",AM39=0),"",AN39/AM39)</f>
        <v>0</v>
      </c>
      <c r="AP39" s="43">
        <f>IF(A39="","",IFERROR(INDEX('Invoice Lines'!$B$5:$B$804,MATCH(A39,'Invoice Lines'!$C$5:$C$804,0)),""))</f>
        <v>0</v>
      </c>
      <c r="AQ39" s="18">
        <f>IF(OR(G39="",B39="",X39&lt;&gt;"Yes"),"",IF(IFERROR(INDEX(FreqDays,MATCH(O39,FreqNames,0)),0)=0,"",B39+IFERROR(INDEX(FreqDays,MATCH(O39,FreqNames,0)),0)))</f>
        <v>0</v>
      </c>
      <c r="AR39" s="39">
        <f>IF(G39="","",IF(R39="","Unassigned",IF(COUNTIFS($R$5:$R$604,R39,$B$5:$B$604,B39,$F$5:$F$604,F39)&gt;1,"Clash",IF(SUMIFS($AF$5:$AF$604,$R$5:$R$604,R39,$B$5:$B$604,B39)&gt;ProductiveHours,"Long day","OK"))))</f>
        <v>0</v>
      </c>
      <c r="AS39" s="18">
        <f>IF(OR(G39="",B39=""),"",IF(AND(B39&gt;=TodayDate,P39&lt;&gt;"Cancelled"),B39,""))</f>
        <v>0</v>
      </c>
      <c r="AT39" s="31">
        <f>IF(AS39="","",COUNTIFS($AS$5:$AS$604,"&lt;"&amp;AS39)+COUNTIFS($AS$5:AS39,AS39))</f>
        <v>0</v>
      </c>
      <c r="AU39" s="18">
        <f>IF(OR(G39="",B39="",R39&lt;&gt;""),"",IF(AND(B39&gt;=TodayDate,P39&lt;&gt;"Cancelled"),B39,""))</f>
        <v>0</v>
      </c>
      <c r="AV39" s="31">
        <f>IF(AU39="","",COUNTIFS($AU$5:$AU$604,"&lt;"&amp;AU39)+COUNTIFS($AU$5:AU39,AU39))</f>
        <v>0</v>
      </c>
      <c r="AW39" s="31">
        <f>IF(OR(G39="",B39=""),"",B39-TodayDate)</f>
        <v>0</v>
      </c>
      <c r="AX39" s="39">
        <f>IF(G39="","",IF(P39="Cancelled","Cancelled",IF(P39="No access","Action - no access, rebook",IF(AND(B39&lt;&gt;"",AW39&lt;0,OR(P39="Booked",P39="Confirmed",P39="In progress")),"Late - mark it completed",IF(AND(P39="Completed",AP39=""),"Action - not invoiced yet",IF(AND(AW39&gt;=0,AW39&lt;=ReminderDays,Y39&lt;&gt;"Yes"),"Confirm - visit coming up",IF(R39="","Assign - no cleaner booked",IF(AND(P39="Completed",AO39&lt;&gt;"",AO39&lt;1),"Check - checklist unfinished","OK"))))))))</f>
        <v>0</v>
      </c>
    </row>
    <row r="40" spans="1:50">
      <c r="A40" s="43">
        <f>IF(G40="","",JobPrefix&amp;TEXT(ROW()-4,"0000"))</f>
        <v>0</v>
      </c>
      <c r="B40" s="46">
        <v>46290</v>
      </c>
      <c r="C40" s="23">
        <f>IF(B40="","",TEXT(B40,"ddd"))</f>
        <v>0</v>
      </c>
      <c r="D40" s="31">
        <f>IF(B40="","",WEEKNUM(B40,IF(WeekStart="Sunday",1,2)))</f>
        <v>0</v>
      </c>
      <c r="E40" s="23">
        <f>IF(B40="","",TEXT(B40,"yyyy-mm"))</f>
        <v>0</v>
      </c>
      <c r="F40" s="52">
        <v>0.75</v>
      </c>
      <c r="G40" s="49" t="s">
        <v>764</v>
      </c>
      <c r="H40" s="23">
        <f>IF(G40="","",IFERROR(INDEX(Clients!$B$5:$B$204,MATCH(G40,Clients!$A$5:$A$204,0)),"Not found"))</f>
        <v>0</v>
      </c>
      <c r="I40" s="23">
        <f>IF(G40="","",IFERROR(INDEX(Clients!$C$5:$C$204,MATCH(G40,Clients!$A$5:$A$204,0)),""))</f>
        <v>0</v>
      </c>
      <c r="J40" s="49" t="s">
        <v>1141</v>
      </c>
      <c r="K40" s="23">
        <f>IF(J40="","",IFERROR(INDEX(Properties!$B$5:$B$254,MATCH(J40,Properties!$A$5:$A$254,0)),""))</f>
        <v>0</v>
      </c>
      <c r="L40" s="23">
        <f>IF(J40="","",IFERROR(INDEX(Properties!$F$5:$F$254,MATCH(J40,Properties!$A$5:$A$254,0)),""))</f>
        <v>0</v>
      </c>
      <c r="M40" s="15" t="s">
        <v>770</v>
      </c>
      <c r="N40" s="15" t="s">
        <v>1133</v>
      </c>
      <c r="O40" s="15" t="s">
        <v>451</v>
      </c>
      <c r="P40" s="45" t="s">
        <v>406</v>
      </c>
      <c r="Q40" s="15" t="s">
        <v>448</v>
      </c>
      <c r="R40" s="15" t="s">
        <v>608</v>
      </c>
      <c r="S40" s="15" t="s">
        <v>172</v>
      </c>
      <c r="T40" s="16">
        <v>1</v>
      </c>
      <c r="W40" s="17">
        <v>6.2</v>
      </c>
      <c r="X40" s="47" t="s">
        <v>454</v>
      </c>
      <c r="Y40" s="47" t="s">
        <v>454</v>
      </c>
      <c r="AA40" s="47">
        <v>4</v>
      </c>
      <c r="AB40" s="44" t="s">
        <v>172</v>
      </c>
      <c r="AC40" s="44" t="s">
        <v>172</v>
      </c>
      <c r="AD40" s="34">
        <f>IF(G40="","",IF(U40&lt;&gt;"",U40,IF(AND(IFERROR(INDEX(Services!$D$5:$D$64,MATCH(M40,Services!$B$5:$B$64,0)),"")="Per hour",IFERROR(INDEX(Properties!$X$5:$X$254,MATCH(J40,Properties!$A$5:$A$254,0)),0)&gt;0),IFERROR(INDEX(Properties!$X$5:$X$254,MATCH(J40,Properties!$A$5:$A$254,0)),0),IF(IFERROR(INDEX(Services!$G$5:$G$64,MATCH(M40,Services!$B$5:$B$64,0)),0)&gt;0,IFERROR(INDEX(Services!$G$5:$G$64,MATCH(M40,Services!$B$5:$B$64,0)),0),IFERROR(INDEX(Properties!$X$5:$X$254,MATCH(J40,Properties!$A$5:$A$254,0)),0)))))</f>
        <v>0</v>
      </c>
      <c r="AE40" s="31">
        <f>IF(G40="","",IF(T40="",CleanersPerJob,MAX(1,T40)))</f>
        <v>0</v>
      </c>
      <c r="AF40" s="34">
        <f>IF(G40="","",ROUND(AD40/AE40,2))</f>
        <v>0</v>
      </c>
      <c r="AG40" s="53">
        <f>IF(OR(G40="",F40="",AF40=""),"",F40+AF40/24)</f>
        <v>0</v>
      </c>
      <c r="AH40" s="21">
        <f>IF(G40="","",IF(IFERROR(INDEX(Clients!$O$5:$O$204,MATCH(G40,Clients!$A$5:$A$204,0)),0)&gt;0,IFERROR(INDEX(Clients!$O$5:$O$204,MATCH(G40,Clients!$A$5:$A$204,0)),0),HourlyRate))</f>
        <v>0</v>
      </c>
      <c r="AI40" s="21">
        <f>IF(G40="","",IF(AND(M40&lt;&gt;"",IFERROR(INDEX(Services!$P$5:$P$64,MATCH(M40,Services!$B$5:$B$64,0)),0)&gt;0,IFERROR(INDEX(Services!$D$5:$D$64,MATCH(M40,Services!$B$5:$B$64,0)),"")&lt;&gt;"Per hour"),IFERROR(INDEX(Services!$P$5:$P$64,MATCH(M40,Services!$B$5:$B$64,0)),0),AD40*AH40))</f>
        <v>0</v>
      </c>
      <c r="AJ40" s="21">
        <f>IF(G40="","",IF(V40&lt;&gt;"",V40,IF(P40="Cancelled",0,MAX(MinimumCharge,ROUND(AI40*IFERROR(INDEX(FreqFactors,MATCH(O40,FreqNames,0)),1),2)))))</f>
        <v>0</v>
      </c>
      <c r="AK40" s="34">
        <f>IF(G40="","",IF(SUMIFS(Timesheets!$U$5:$U$804,Timesheets!$G$5:$G$804,A40)&gt;0,SUMIFS(Timesheets!$U$5:$U$804,Timesheets!$G$5:$G$804,A40),IF(Z40="","",Z40)))</f>
        <v>0</v>
      </c>
      <c r="AL40" s="34">
        <f>IF(OR(AK40="",AD40=""),"",AK40-AD40)</f>
        <v>0</v>
      </c>
      <c r="AM40" s="31">
        <f>IF(A40="","",COUNTIFS('Job Tasks'!$B$5:$B$904,A40))</f>
        <v>0</v>
      </c>
      <c r="AN40" s="31">
        <f>IF(A40="","",COUNTIFS('Job Tasks'!$B$5:$B$904,A40,'Job Tasks'!$H$5:$H$904,"Done"))</f>
        <v>0</v>
      </c>
      <c r="AO40" s="38">
        <f>IF(OR(A40="",AM40=0),"",AN40/AM40)</f>
        <v>0</v>
      </c>
      <c r="AP40" s="43">
        <f>IF(A40="","",IFERROR(INDEX('Invoice Lines'!$B$5:$B$804,MATCH(A40,'Invoice Lines'!$C$5:$C$804,0)),""))</f>
        <v>0</v>
      </c>
      <c r="AQ40" s="18">
        <f>IF(OR(G40="",B40="",X40&lt;&gt;"Yes"),"",IF(IFERROR(INDEX(FreqDays,MATCH(O40,FreqNames,0)),0)=0,"",B40+IFERROR(INDEX(FreqDays,MATCH(O40,FreqNames,0)),0)))</f>
        <v>0</v>
      </c>
      <c r="AR40" s="39">
        <f>IF(G40="","",IF(R40="","Unassigned",IF(COUNTIFS($R$5:$R$604,R40,$B$5:$B$604,B40,$F$5:$F$604,F40)&gt;1,"Clash",IF(SUMIFS($AF$5:$AF$604,$R$5:$R$604,R40,$B$5:$B$604,B40)&gt;ProductiveHours,"Long day","OK"))))</f>
        <v>0</v>
      </c>
      <c r="AS40" s="18">
        <f>IF(OR(G40="",B40=""),"",IF(AND(B40&gt;=TodayDate,P40&lt;&gt;"Cancelled"),B40,""))</f>
        <v>0</v>
      </c>
      <c r="AT40" s="31">
        <f>IF(AS40="","",COUNTIFS($AS$5:$AS$604,"&lt;"&amp;AS40)+COUNTIFS($AS$5:AS40,AS40))</f>
        <v>0</v>
      </c>
      <c r="AU40" s="18">
        <f>IF(OR(G40="",B40="",R40&lt;&gt;""),"",IF(AND(B40&gt;=TodayDate,P40&lt;&gt;"Cancelled"),B40,""))</f>
        <v>0</v>
      </c>
      <c r="AV40" s="31">
        <f>IF(AU40="","",COUNTIFS($AU$5:$AU$604,"&lt;"&amp;AU40)+COUNTIFS($AU$5:AU40,AU40))</f>
        <v>0</v>
      </c>
      <c r="AW40" s="31">
        <f>IF(OR(G40="",B40=""),"",B40-TodayDate)</f>
        <v>0</v>
      </c>
      <c r="AX40" s="39">
        <f>IF(G40="","",IF(P40="Cancelled","Cancelled",IF(P40="No access","Action - no access, rebook",IF(AND(B40&lt;&gt;"",AW40&lt;0,OR(P40="Booked",P40="Confirmed",P40="In progress")),"Late - mark it completed",IF(AND(P40="Completed",AP40=""),"Action - not invoiced yet",IF(AND(AW40&gt;=0,AW40&lt;=ReminderDays,Y40&lt;&gt;"Yes"),"Confirm - visit coming up",IF(R40="","Assign - no cleaner booked",IF(AND(P40="Completed",AO40&lt;&gt;"",AO40&lt;1),"Check - checklist unfinished","OK"))))))))</f>
        <v>0</v>
      </c>
    </row>
    <row r="41" spans="1:50">
      <c r="A41" s="43">
        <f>IF(G41="","",JobPrefix&amp;TEXT(ROW()-4,"0000"))</f>
        <v>0</v>
      </c>
      <c r="B41" s="46">
        <v>46290</v>
      </c>
      <c r="C41" s="23">
        <f>IF(B41="","",TEXT(B41,"ddd"))</f>
        <v>0</v>
      </c>
      <c r="D41" s="31">
        <f>IF(B41="","",WEEKNUM(B41,IF(WeekStart="Sunday",1,2)))</f>
        <v>0</v>
      </c>
      <c r="E41" s="23">
        <f>IF(B41="","",TEXT(B41,"yyyy-mm"))</f>
        <v>0</v>
      </c>
      <c r="F41" s="52">
        <v>0.833333333333333</v>
      </c>
      <c r="G41" s="49" t="s">
        <v>848</v>
      </c>
      <c r="H41" s="23">
        <f>IF(G41="","",IFERROR(INDEX(Clients!$B$5:$B$204,MATCH(G41,Clients!$A$5:$A$204,0)),"Not found"))</f>
        <v>0</v>
      </c>
      <c r="I41" s="23">
        <f>IF(G41="","",IFERROR(INDEX(Clients!$C$5:$C$204,MATCH(G41,Clients!$A$5:$A$204,0)),""))</f>
        <v>0</v>
      </c>
      <c r="J41" s="49" t="s">
        <v>1142</v>
      </c>
      <c r="K41" s="23">
        <f>IF(J41="","",IFERROR(INDEX(Properties!$B$5:$B$254,MATCH(J41,Properties!$A$5:$A$254,0)),""))</f>
        <v>0</v>
      </c>
      <c r="L41" s="23">
        <f>IF(J41="","",IFERROR(INDEX(Properties!$F$5:$F$254,MATCH(J41,Properties!$A$5:$A$254,0)),""))</f>
        <v>0</v>
      </c>
      <c r="M41" s="15" t="s">
        <v>770</v>
      </c>
      <c r="N41" s="15" t="s">
        <v>1133</v>
      </c>
      <c r="O41" s="15" t="s">
        <v>451</v>
      </c>
      <c r="P41" s="45" t="s">
        <v>406</v>
      </c>
      <c r="Q41" s="15" t="s">
        <v>448</v>
      </c>
      <c r="R41" s="15" t="s">
        <v>608</v>
      </c>
      <c r="S41" s="15" t="s">
        <v>172</v>
      </c>
      <c r="T41" s="16">
        <v>1</v>
      </c>
      <c r="W41" s="17">
        <v>4.4</v>
      </c>
      <c r="X41" s="47" t="s">
        <v>454</v>
      </c>
      <c r="Y41" s="47" t="s">
        <v>454</v>
      </c>
      <c r="AA41" s="47" t="s">
        <v>172</v>
      </c>
      <c r="AB41" s="44" t="s">
        <v>172</v>
      </c>
      <c r="AC41" s="44" t="s">
        <v>172</v>
      </c>
      <c r="AD41" s="34">
        <f>IF(G41="","",IF(U41&lt;&gt;"",U41,IF(AND(IFERROR(INDEX(Services!$D$5:$D$64,MATCH(M41,Services!$B$5:$B$64,0)),"")="Per hour",IFERROR(INDEX(Properties!$X$5:$X$254,MATCH(J41,Properties!$A$5:$A$254,0)),0)&gt;0),IFERROR(INDEX(Properties!$X$5:$X$254,MATCH(J41,Properties!$A$5:$A$254,0)),0),IF(IFERROR(INDEX(Services!$G$5:$G$64,MATCH(M41,Services!$B$5:$B$64,0)),0)&gt;0,IFERROR(INDEX(Services!$G$5:$G$64,MATCH(M41,Services!$B$5:$B$64,0)),0),IFERROR(INDEX(Properties!$X$5:$X$254,MATCH(J41,Properties!$A$5:$A$254,0)),0)))))</f>
        <v>0</v>
      </c>
      <c r="AE41" s="31">
        <f>IF(G41="","",IF(T41="",CleanersPerJob,MAX(1,T41)))</f>
        <v>0</v>
      </c>
      <c r="AF41" s="34">
        <f>IF(G41="","",ROUND(AD41/AE41,2))</f>
        <v>0</v>
      </c>
      <c r="AG41" s="53">
        <f>IF(OR(G41="",F41="",AF41=""),"",F41+AF41/24)</f>
        <v>0</v>
      </c>
      <c r="AH41" s="21">
        <f>IF(G41="","",IF(IFERROR(INDEX(Clients!$O$5:$O$204,MATCH(G41,Clients!$A$5:$A$204,0)),0)&gt;0,IFERROR(INDEX(Clients!$O$5:$O$204,MATCH(G41,Clients!$A$5:$A$204,0)),0),HourlyRate))</f>
        <v>0</v>
      </c>
      <c r="AI41" s="21">
        <f>IF(G41="","",IF(AND(M41&lt;&gt;"",IFERROR(INDEX(Services!$P$5:$P$64,MATCH(M41,Services!$B$5:$B$64,0)),0)&gt;0,IFERROR(INDEX(Services!$D$5:$D$64,MATCH(M41,Services!$B$5:$B$64,0)),"")&lt;&gt;"Per hour"),IFERROR(INDEX(Services!$P$5:$P$64,MATCH(M41,Services!$B$5:$B$64,0)),0),AD41*AH41))</f>
        <v>0</v>
      </c>
      <c r="AJ41" s="21">
        <f>IF(G41="","",IF(V41&lt;&gt;"",V41,IF(P41="Cancelled",0,MAX(MinimumCharge,ROUND(AI41*IFERROR(INDEX(FreqFactors,MATCH(O41,FreqNames,0)),1),2)))))</f>
        <v>0</v>
      </c>
      <c r="AK41" s="34">
        <f>IF(G41="","",IF(SUMIFS(Timesheets!$U$5:$U$804,Timesheets!$G$5:$G$804,A41)&gt;0,SUMIFS(Timesheets!$U$5:$U$804,Timesheets!$G$5:$G$804,A41),IF(Z41="","",Z41)))</f>
        <v>0</v>
      </c>
      <c r="AL41" s="34">
        <f>IF(OR(AK41="",AD41=""),"",AK41-AD41)</f>
        <v>0</v>
      </c>
      <c r="AM41" s="31">
        <f>IF(A41="","",COUNTIFS('Job Tasks'!$B$5:$B$904,A41))</f>
        <v>0</v>
      </c>
      <c r="AN41" s="31">
        <f>IF(A41="","",COUNTIFS('Job Tasks'!$B$5:$B$904,A41,'Job Tasks'!$H$5:$H$904,"Done"))</f>
        <v>0</v>
      </c>
      <c r="AO41" s="38">
        <f>IF(OR(A41="",AM41=0),"",AN41/AM41)</f>
        <v>0</v>
      </c>
      <c r="AP41" s="43">
        <f>IF(A41="","",IFERROR(INDEX('Invoice Lines'!$B$5:$B$804,MATCH(A41,'Invoice Lines'!$C$5:$C$804,0)),""))</f>
        <v>0</v>
      </c>
      <c r="AQ41" s="18">
        <f>IF(OR(G41="",B41="",X41&lt;&gt;"Yes"),"",IF(IFERROR(INDEX(FreqDays,MATCH(O41,FreqNames,0)),0)=0,"",B41+IFERROR(INDEX(FreqDays,MATCH(O41,FreqNames,0)),0)))</f>
        <v>0</v>
      </c>
      <c r="AR41" s="39">
        <f>IF(G41="","",IF(R41="","Unassigned",IF(COUNTIFS($R$5:$R$604,R41,$B$5:$B$604,B41,$F$5:$F$604,F41)&gt;1,"Clash",IF(SUMIFS($AF$5:$AF$604,$R$5:$R$604,R41,$B$5:$B$604,B41)&gt;ProductiveHours,"Long day","OK"))))</f>
        <v>0</v>
      </c>
      <c r="AS41" s="18">
        <f>IF(OR(G41="",B41=""),"",IF(AND(B41&gt;=TodayDate,P41&lt;&gt;"Cancelled"),B41,""))</f>
        <v>0</v>
      </c>
      <c r="AT41" s="31">
        <f>IF(AS41="","",COUNTIFS($AS$5:$AS$604,"&lt;"&amp;AS41)+COUNTIFS($AS$5:AS41,AS41))</f>
        <v>0</v>
      </c>
      <c r="AU41" s="18">
        <f>IF(OR(G41="",B41="",R41&lt;&gt;""),"",IF(AND(B41&gt;=TodayDate,P41&lt;&gt;"Cancelled"),B41,""))</f>
        <v>0</v>
      </c>
      <c r="AV41" s="31">
        <f>IF(AU41="","",COUNTIFS($AU$5:$AU$604,"&lt;"&amp;AU41)+COUNTIFS($AU$5:AU41,AU41))</f>
        <v>0</v>
      </c>
      <c r="AW41" s="31">
        <f>IF(OR(G41="",B41=""),"",B41-TodayDate)</f>
        <v>0</v>
      </c>
      <c r="AX41" s="39">
        <f>IF(G41="","",IF(P41="Cancelled","Cancelled",IF(P41="No access","Action - no access, rebook",IF(AND(B41&lt;&gt;"",AW41&lt;0,OR(P41="Booked",P41="Confirmed",P41="In progress")),"Late - mark it completed",IF(AND(P41="Completed",AP41=""),"Action - not invoiced yet",IF(AND(AW41&gt;=0,AW41&lt;=ReminderDays,Y41&lt;&gt;"Yes"),"Confirm - visit coming up",IF(R41="","Assign - no cleaner booked",IF(AND(P41="Completed",AO41&lt;&gt;"",AO41&lt;1),"Check - checklist unfinished","OK"))))))))</f>
        <v>0</v>
      </c>
    </row>
    <row r="42" spans="1:50">
      <c r="A42" s="43">
        <f>IF(G42="","",JobPrefix&amp;TEXT(ROW()-4,"0000"))</f>
        <v>0</v>
      </c>
      <c r="B42" s="46">
        <v>46291</v>
      </c>
      <c r="C42" s="23">
        <f>IF(B42="","",TEXT(B42,"ddd"))</f>
        <v>0</v>
      </c>
      <c r="D42" s="31">
        <f>IF(B42="","",WEEKNUM(B42,IF(WeekStart="Sunday",1,2)))</f>
        <v>0</v>
      </c>
      <c r="E42" s="23">
        <f>IF(B42="","",TEXT(B42,"yyyy-mm"))</f>
        <v>0</v>
      </c>
      <c r="F42" s="52">
        <v>0.458333333333333</v>
      </c>
      <c r="G42" s="49" t="s">
        <v>818</v>
      </c>
      <c r="H42" s="23">
        <f>IF(G42="","",IFERROR(INDEX(Clients!$B$5:$B$204,MATCH(G42,Clients!$A$5:$A$204,0)),"Not found"))</f>
        <v>0</v>
      </c>
      <c r="I42" s="23">
        <f>IF(G42="","",IFERROR(INDEX(Clients!$C$5:$C$204,MATCH(G42,Clients!$A$5:$A$204,0)),""))</f>
        <v>0</v>
      </c>
      <c r="J42" s="49" t="s">
        <v>1143</v>
      </c>
      <c r="K42" s="23">
        <f>IF(J42="","",IFERROR(INDEX(Properties!$B$5:$B$254,MATCH(J42,Properties!$A$5:$A$254,0)),""))</f>
        <v>0</v>
      </c>
      <c r="L42" s="23">
        <f>IF(J42="","",IFERROR(INDEX(Properties!$F$5:$F$254,MATCH(J42,Properties!$A$5:$A$254,0)),""))</f>
        <v>0</v>
      </c>
      <c r="M42" s="15" t="s">
        <v>821</v>
      </c>
      <c r="N42" s="15" t="s">
        <v>1133</v>
      </c>
      <c r="O42" s="15" t="s">
        <v>451</v>
      </c>
      <c r="P42" s="45" t="s">
        <v>406</v>
      </c>
      <c r="Q42" s="15" t="s">
        <v>448</v>
      </c>
      <c r="R42" s="15" t="s">
        <v>596</v>
      </c>
      <c r="S42" s="15" t="s">
        <v>172</v>
      </c>
      <c r="T42" s="16">
        <v>1</v>
      </c>
      <c r="W42" s="17">
        <v>5.8</v>
      </c>
      <c r="X42" s="47" t="s">
        <v>454</v>
      </c>
      <c r="Y42" s="47" t="s">
        <v>454</v>
      </c>
      <c r="AA42" s="47">
        <v>5</v>
      </c>
      <c r="AB42" s="44" t="s">
        <v>172</v>
      </c>
      <c r="AC42" s="44" t="s">
        <v>172</v>
      </c>
      <c r="AD42" s="34">
        <f>IF(G42="","",IF(U42&lt;&gt;"",U42,IF(AND(IFERROR(INDEX(Services!$D$5:$D$64,MATCH(M42,Services!$B$5:$B$64,0)),"")="Per hour",IFERROR(INDEX(Properties!$X$5:$X$254,MATCH(J42,Properties!$A$5:$A$254,0)),0)&gt;0),IFERROR(INDEX(Properties!$X$5:$X$254,MATCH(J42,Properties!$A$5:$A$254,0)),0),IF(IFERROR(INDEX(Services!$G$5:$G$64,MATCH(M42,Services!$B$5:$B$64,0)),0)&gt;0,IFERROR(INDEX(Services!$G$5:$G$64,MATCH(M42,Services!$B$5:$B$64,0)),0),IFERROR(INDEX(Properties!$X$5:$X$254,MATCH(J42,Properties!$A$5:$A$254,0)),0)))))</f>
        <v>0</v>
      </c>
      <c r="AE42" s="31">
        <f>IF(G42="","",IF(T42="",CleanersPerJob,MAX(1,T42)))</f>
        <v>0</v>
      </c>
      <c r="AF42" s="34">
        <f>IF(G42="","",ROUND(AD42/AE42,2))</f>
        <v>0</v>
      </c>
      <c r="AG42" s="53">
        <f>IF(OR(G42="",F42="",AF42=""),"",F42+AF42/24)</f>
        <v>0</v>
      </c>
      <c r="AH42" s="21">
        <f>IF(G42="","",IF(IFERROR(INDEX(Clients!$O$5:$O$204,MATCH(G42,Clients!$A$5:$A$204,0)),0)&gt;0,IFERROR(INDEX(Clients!$O$5:$O$204,MATCH(G42,Clients!$A$5:$A$204,0)),0),HourlyRate))</f>
        <v>0</v>
      </c>
      <c r="AI42" s="21">
        <f>IF(G42="","",IF(AND(M42&lt;&gt;"",IFERROR(INDEX(Services!$P$5:$P$64,MATCH(M42,Services!$B$5:$B$64,0)),0)&gt;0,IFERROR(INDEX(Services!$D$5:$D$64,MATCH(M42,Services!$B$5:$B$64,0)),"")&lt;&gt;"Per hour"),IFERROR(INDEX(Services!$P$5:$P$64,MATCH(M42,Services!$B$5:$B$64,0)),0),AD42*AH42))</f>
        <v>0</v>
      </c>
      <c r="AJ42" s="21">
        <f>IF(G42="","",IF(V42&lt;&gt;"",V42,IF(P42="Cancelled",0,MAX(MinimumCharge,ROUND(AI42*IFERROR(INDEX(FreqFactors,MATCH(O42,FreqNames,0)),1),2)))))</f>
        <v>0</v>
      </c>
      <c r="AK42" s="34">
        <f>IF(G42="","",IF(SUMIFS(Timesheets!$U$5:$U$804,Timesheets!$G$5:$G$804,A42)&gt;0,SUMIFS(Timesheets!$U$5:$U$804,Timesheets!$G$5:$G$804,A42),IF(Z42="","",Z42)))</f>
        <v>0</v>
      </c>
      <c r="AL42" s="34">
        <f>IF(OR(AK42="",AD42=""),"",AK42-AD42)</f>
        <v>0</v>
      </c>
      <c r="AM42" s="31">
        <f>IF(A42="","",COUNTIFS('Job Tasks'!$B$5:$B$904,A42))</f>
        <v>0</v>
      </c>
      <c r="AN42" s="31">
        <f>IF(A42="","",COUNTIFS('Job Tasks'!$B$5:$B$904,A42,'Job Tasks'!$H$5:$H$904,"Done"))</f>
        <v>0</v>
      </c>
      <c r="AO42" s="38">
        <f>IF(OR(A42="",AM42=0),"",AN42/AM42)</f>
        <v>0</v>
      </c>
      <c r="AP42" s="43">
        <f>IF(A42="","",IFERROR(INDEX('Invoice Lines'!$B$5:$B$804,MATCH(A42,'Invoice Lines'!$C$5:$C$804,0)),""))</f>
        <v>0</v>
      </c>
      <c r="AQ42" s="18">
        <f>IF(OR(G42="",B42="",X42&lt;&gt;"Yes"),"",IF(IFERROR(INDEX(FreqDays,MATCH(O42,FreqNames,0)),0)=0,"",B42+IFERROR(INDEX(FreqDays,MATCH(O42,FreqNames,0)),0)))</f>
        <v>0</v>
      </c>
      <c r="AR42" s="39">
        <f>IF(G42="","",IF(R42="","Unassigned",IF(COUNTIFS($R$5:$R$604,R42,$B$5:$B$604,B42,$F$5:$F$604,F42)&gt;1,"Clash",IF(SUMIFS($AF$5:$AF$604,$R$5:$R$604,R42,$B$5:$B$604,B42)&gt;ProductiveHours,"Long day","OK"))))</f>
        <v>0</v>
      </c>
      <c r="AS42" s="18">
        <f>IF(OR(G42="",B42=""),"",IF(AND(B42&gt;=TodayDate,P42&lt;&gt;"Cancelled"),B42,""))</f>
        <v>0</v>
      </c>
      <c r="AT42" s="31">
        <f>IF(AS42="","",COUNTIFS($AS$5:$AS$604,"&lt;"&amp;AS42)+COUNTIFS($AS$5:AS42,AS42))</f>
        <v>0</v>
      </c>
      <c r="AU42" s="18">
        <f>IF(OR(G42="",B42="",R42&lt;&gt;""),"",IF(AND(B42&gt;=TodayDate,P42&lt;&gt;"Cancelled"),B42,""))</f>
        <v>0</v>
      </c>
      <c r="AV42" s="31">
        <f>IF(AU42="","",COUNTIFS($AU$5:$AU$604,"&lt;"&amp;AU42)+COUNTIFS($AU$5:AU42,AU42))</f>
        <v>0</v>
      </c>
      <c r="AW42" s="31">
        <f>IF(OR(G42="",B42=""),"",B42-TodayDate)</f>
        <v>0</v>
      </c>
      <c r="AX42" s="39">
        <f>IF(G42="","",IF(P42="Cancelled","Cancelled",IF(P42="No access","Action - no access, rebook",IF(AND(B42&lt;&gt;"",AW42&lt;0,OR(P42="Booked",P42="Confirmed",P42="In progress")),"Late - mark it completed",IF(AND(P42="Completed",AP42=""),"Action - not invoiced yet",IF(AND(AW42&gt;=0,AW42&lt;=ReminderDays,Y42&lt;&gt;"Yes"),"Confirm - visit coming up",IF(R42="","Assign - no cleaner booked",IF(AND(P42="Completed",AO42&lt;&gt;"",AO42&lt;1),"Check - checklist unfinished","OK"))))))))</f>
        <v>0</v>
      </c>
    </row>
    <row r="43" spans="1:50">
      <c r="A43" s="43">
        <f>IF(G43="","",JobPrefix&amp;TEXT(ROW()-4,"0000"))</f>
        <v>0</v>
      </c>
      <c r="B43" s="46">
        <v>46291</v>
      </c>
      <c r="C43" s="23">
        <f>IF(B43="","",TEXT(B43,"ddd"))</f>
        <v>0</v>
      </c>
      <c r="D43" s="31">
        <f>IF(B43="","",WEEKNUM(B43,IF(WeekStart="Sunday",1,2)))</f>
        <v>0</v>
      </c>
      <c r="E43" s="23">
        <f>IF(B43="","",TEXT(B43,"yyyy-mm"))</f>
        <v>0</v>
      </c>
      <c r="F43" s="52">
        <v>0.583333333333333</v>
      </c>
      <c r="G43" s="49" t="s">
        <v>818</v>
      </c>
      <c r="H43" s="23">
        <f>IF(G43="","",IFERROR(INDEX(Clients!$B$5:$B$204,MATCH(G43,Clients!$A$5:$A$204,0)),"Not found"))</f>
        <v>0</v>
      </c>
      <c r="I43" s="23">
        <f>IF(G43="","",IFERROR(INDEX(Clients!$C$5:$C$204,MATCH(G43,Clients!$A$5:$A$204,0)),""))</f>
        <v>0</v>
      </c>
      <c r="J43" s="49" t="s">
        <v>1144</v>
      </c>
      <c r="K43" s="23">
        <f>IF(J43="","",IFERROR(INDEX(Properties!$B$5:$B$254,MATCH(J43,Properties!$A$5:$A$254,0)),""))</f>
        <v>0</v>
      </c>
      <c r="L43" s="23">
        <f>IF(J43="","",IFERROR(INDEX(Properties!$F$5:$F$254,MATCH(J43,Properties!$A$5:$A$254,0)),""))</f>
        <v>0</v>
      </c>
      <c r="M43" s="15" t="s">
        <v>821</v>
      </c>
      <c r="N43" s="15" t="s">
        <v>1133</v>
      </c>
      <c r="O43" s="15" t="s">
        <v>451</v>
      </c>
      <c r="P43" s="45" t="s">
        <v>406</v>
      </c>
      <c r="Q43" s="15" t="s">
        <v>448</v>
      </c>
      <c r="R43" s="15" t="s">
        <v>596</v>
      </c>
      <c r="S43" s="15" t="s">
        <v>172</v>
      </c>
      <c r="T43" s="16">
        <v>1</v>
      </c>
      <c r="W43" s="17">
        <v>6.8</v>
      </c>
      <c r="X43" s="47" t="s">
        <v>454</v>
      </c>
      <c r="Y43" s="47" t="s">
        <v>454</v>
      </c>
      <c r="AA43" s="47">
        <v>5</v>
      </c>
      <c r="AB43" s="44" t="s">
        <v>172</v>
      </c>
      <c r="AC43" s="44" t="s">
        <v>172</v>
      </c>
      <c r="AD43" s="34">
        <f>IF(G43="","",IF(U43&lt;&gt;"",U43,IF(AND(IFERROR(INDEX(Services!$D$5:$D$64,MATCH(M43,Services!$B$5:$B$64,0)),"")="Per hour",IFERROR(INDEX(Properties!$X$5:$X$254,MATCH(J43,Properties!$A$5:$A$254,0)),0)&gt;0),IFERROR(INDEX(Properties!$X$5:$X$254,MATCH(J43,Properties!$A$5:$A$254,0)),0),IF(IFERROR(INDEX(Services!$G$5:$G$64,MATCH(M43,Services!$B$5:$B$64,0)),0)&gt;0,IFERROR(INDEX(Services!$G$5:$G$64,MATCH(M43,Services!$B$5:$B$64,0)),0),IFERROR(INDEX(Properties!$X$5:$X$254,MATCH(J43,Properties!$A$5:$A$254,0)),0)))))</f>
        <v>0</v>
      </c>
      <c r="AE43" s="31">
        <f>IF(G43="","",IF(T43="",CleanersPerJob,MAX(1,T43)))</f>
        <v>0</v>
      </c>
      <c r="AF43" s="34">
        <f>IF(G43="","",ROUND(AD43/AE43,2))</f>
        <v>0</v>
      </c>
      <c r="AG43" s="53">
        <f>IF(OR(G43="",F43="",AF43=""),"",F43+AF43/24)</f>
        <v>0</v>
      </c>
      <c r="AH43" s="21">
        <f>IF(G43="","",IF(IFERROR(INDEX(Clients!$O$5:$O$204,MATCH(G43,Clients!$A$5:$A$204,0)),0)&gt;0,IFERROR(INDEX(Clients!$O$5:$O$204,MATCH(G43,Clients!$A$5:$A$204,0)),0),HourlyRate))</f>
        <v>0</v>
      </c>
      <c r="AI43" s="21">
        <f>IF(G43="","",IF(AND(M43&lt;&gt;"",IFERROR(INDEX(Services!$P$5:$P$64,MATCH(M43,Services!$B$5:$B$64,0)),0)&gt;0,IFERROR(INDEX(Services!$D$5:$D$64,MATCH(M43,Services!$B$5:$B$64,0)),"")&lt;&gt;"Per hour"),IFERROR(INDEX(Services!$P$5:$P$64,MATCH(M43,Services!$B$5:$B$64,0)),0),AD43*AH43))</f>
        <v>0</v>
      </c>
      <c r="AJ43" s="21">
        <f>IF(G43="","",IF(V43&lt;&gt;"",V43,IF(P43="Cancelled",0,MAX(MinimumCharge,ROUND(AI43*IFERROR(INDEX(FreqFactors,MATCH(O43,FreqNames,0)),1),2)))))</f>
        <v>0</v>
      </c>
      <c r="AK43" s="34">
        <f>IF(G43="","",IF(SUMIFS(Timesheets!$U$5:$U$804,Timesheets!$G$5:$G$804,A43)&gt;0,SUMIFS(Timesheets!$U$5:$U$804,Timesheets!$G$5:$G$804,A43),IF(Z43="","",Z43)))</f>
        <v>0</v>
      </c>
      <c r="AL43" s="34">
        <f>IF(OR(AK43="",AD43=""),"",AK43-AD43)</f>
        <v>0</v>
      </c>
      <c r="AM43" s="31">
        <f>IF(A43="","",COUNTIFS('Job Tasks'!$B$5:$B$904,A43))</f>
        <v>0</v>
      </c>
      <c r="AN43" s="31">
        <f>IF(A43="","",COUNTIFS('Job Tasks'!$B$5:$B$904,A43,'Job Tasks'!$H$5:$H$904,"Done"))</f>
        <v>0</v>
      </c>
      <c r="AO43" s="38">
        <f>IF(OR(A43="",AM43=0),"",AN43/AM43)</f>
        <v>0</v>
      </c>
      <c r="AP43" s="43">
        <f>IF(A43="","",IFERROR(INDEX('Invoice Lines'!$B$5:$B$804,MATCH(A43,'Invoice Lines'!$C$5:$C$804,0)),""))</f>
        <v>0</v>
      </c>
      <c r="AQ43" s="18">
        <f>IF(OR(G43="",B43="",X43&lt;&gt;"Yes"),"",IF(IFERROR(INDEX(FreqDays,MATCH(O43,FreqNames,0)),0)=0,"",B43+IFERROR(INDEX(FreqDays,MATCH(O43,FreqNames,0)),0)))</f>
        <v>0</v>
      </c>
      <c r="AR43" s="39">
        <f>IF(G43="","",IF(R43="","Unassigned",IF(COUNTIFS($R$5:$R$604,R43,$B$5:$B$604,B43,$F$5:$F$604,F43)&gt;1,"Clash",IF(SUMIFS($AF$5:$AF$604,$R$5:$R$604,R43,$B$5:$B$604,B43)&gt;ProductiveHours,"Long day","OK"))))</f>
        <v>0</v>
      </c>
      <c r="AS43" s="18">
        <f>IF(OR(G43="",B43=""),"",IF(AND(B43&gt;=TodayDate,P43&lt;&gt;"Cancelled"),B43,""))</f>
        <v>0</v>
      </c>
      <c r="AT43" s="31">
        <f>IF(AS43="","",COUNTIFS($AS$5:$AS$604,"&lt;"&amp;AS43)+COUNTIFS($AS$5:AS43,AS43))</f>
        <v>0</v>
      </c>
      <c r="AU43" s="18">
        <f>IF(OR(G43="",B43="",R43&lt;&gt;""),"",IF(AND(B43&gt;=TodayDate,P43&lt;&gt;"Cancelled"),B43,""))</f>
        <v>0</v>
      </c>
      <c r="AV43" s="31">
        <f>IF(AU43="","",COUNTIFS($AU$5:$AU$604,"&lt;"&amp;AU43)+COUNTIFS($AU$5:AU43,AU43))</f>
        <v>0</v>
      </c>
      <c r="AW43" s="31">
        <f>IF(OR(G43="",B43=""),"",B43-TodayDate)</f>
        <v>0</v>
      </c>
      <c r="AX43" s="39">
        <f>IF(G43="","",IF(P43="Cancelled","Cancelled",IF(P43="No access","Action - no access, rebook",IF(AND(B43&lt;&gt;"",AW43&lt;0,OR(P43="Booked",P43="Confirmed",P43="In progress")),"Late - mark it completed",IF(AND(P43="Completed",AP43=""),"Action - not invoiced yet",IF(AND(AW43&gt;=0,AW43&lt;=ReminderDays,Y43&lt;&gt;"Yes"),"Confirm - visit coming up",IF(R43="","Assign - no cleaner booked",IF(AND(P43="Completed",AO43&lt;&gt;"",AO43&lt;1),"Check - checklist unfinished","OK"))))))))</f>
        <v>0</v>
      </c>
    </row>
    <row r="44" spans="1:50">
      <c r="A44" s="43">
        <f>IF(G44="","",JobPrefix&amp;TEXT(ROW()-4,"0000"))</f>
        <v>0</v>
      </c>
      <c r="B44" s="46">
        <v>46292</v>
      </c>
      <c r="C44" s="23">
        <f>IF(B44="","",TEXT(B44,"ddd"))</f>
        <v>0</v>
      </c>
      <c r="D44" s="31">
        <f>IF(B44="","",WEEKNUM(B44,IF(WeekStart="Sunday",1,2)))</f>
        <v>0</v>
      </c>
      <c r="E44" s="23">
        <f>IF(B44="","",TEXT(B44,"yyyy-mm"))</f>
        <v>0</v>
      </c>
      <c r="F44" s="52">
        <v>0.291666666666667</v>
      </c>
      <c r="G44" s="49" t="s">
        <v>793</v>
      </c>
      <c r="H44" s="23">
        <f>IF(G44="","",IFERROR(INDEX(Clients!$B$5:$B$204,MATCH(G44,Clients!$A$5:$A$204,0)),"Not found"))</f>
        <v>0</v>
      </c>
      <c r="I44" s="23">
        <f>IF(G44="","",IFERROR(INDEX(Clients!$C$5:$C$204,MATCH(G44,Clients!$A$5:$A$204,0)),""))</f>
        <v>0</v>
      </c>
      <c r="J44" s="49" t="s">
        <v>1145</v>
      </c>
      <c r="K44" s="23">
        <f>IF(J44="","",IFERROR(INDEX(Properties!$B$5:$B$254,MATCH(J44,Properties!$A$5:$A$254,0)),""))</f>
        <v>0</v>
      </c>
      <c r="L44" s="23">
        <f>IF(J44="","",IFERROR(INDEX(Properties!$F$5:$F$254,MATCH(J44,Properties!$A$5:$A$254,0)),""))</f>
        <v>0</v>
      </c>
      <c r="M44" s="15" t="s">
        <v>797</v>
      </c>
      <c r="N44" s="15" t="s">
        <v>1133</v>
      </c>
      <c r="O44" s="15" t="s">
        <v>451</v>
      </c>
      <c r="P44" s="45" t="s">
        <v>406</v>
      </c>
      <c r="Q44" s="15" t="s">
        <v>448</v>
      </c>
      <c r="R44" s="15" t="s">
        <v>639</v>
      </c>
      <c r="S44" s="15" t="s">
        <v>172</v>
      </c>
      <c r="T44" s="16">
        <v>1</v>
      </c>
      <c r="W44" s="17">
        <v>10</v>
      </c>
      <c r="X44" s="47" t="s">
        <v>454</v>
      </c>
      <c r="Y44" s="47" t="s">
        <v>454</v>
      </c>
      <c r="AA44" s="47" t="s">
        <v>172</v>
      </c>
      <c r="AB44" s="44" t="s">
        <v>172</v>
      </c>
      <c r="AC44" s="44" t="s">
        <v>172</v>
      </c>
      <c r="AD44" s="34">
        <f>IF(G44="","",IF(U44&lt;&gt;"",U44,IF(AND(IFERROR(INDEX(Services!$D$5:$D$64,MATCH(M44,Services!$B$5:$B$64,0)),"")="Per hour",IFERROR(INDEX(Properties!$X$5:$X$254,MATCH(J44,Properties!$A$5:$A$254,0)),0)&gt;0),IFERROR(INDEX(Properties!$X$5:$X$254,MATCH(J44,Properties!$A$5:$A$254,0)),0),IF(IFERROR(INDEX(Services!$G$5:$G$64,MATCH(M44,Services!$B$5:$B$64,0)),0)&gt;0,IFERROR(INDEX(Services!$G$5:$G$64,MATCH(M44,Services!$B$5:$B$64,0)),0),IFERROR(INDEX(Properties!$X$5:$X$254,MATCH(J44,Properties!$A$5:$A$254,0)),0)))))</f>
        <v>0</v>
      </c>
      <c r="AE44" s="31">
        <f>IF(G44="","",IF(T44="",CleanersPerJob,MAX(1,T44)))</f>
        <v>0</v>
      </c>
      <c r="AF44" s="34">
        <f>IF(G44="","",ROUND(AD44/AE44,2))</f>
        <v>0</v>
      </c>
      <c r="AG44" s="53">
        <f>IF(OR(G44="",F44="",AF44=""),"",F44+AF44/24)</f>
        <v>0</v>
      </c>
      <c r="AH44" s="21">
        <f>IF(G44="","",IF(IFERROR(INDEX(Clients!$O$5:$O$204,MATCH(G44,Clients!$A$5:$A$204,0)),0)&gt;0,IFERROR(INDEX(Clients!$O$5:$O$204,MATCH(G44,Clients!$A$5:$A$204,0)),0),HourlyRate))</f>
        <v>0</v>
      </c>
      <c r="AI44" s="21">
        <f>IF(G44="","",IF(AND(M44&lt;&gt;"",IFERROR(INDEX(Services!$P$5:$P$64,MATCH(M44,Services!$B$5:$B$64,0)),0)&gt;0,IFERROR(INDEX(Services!$D$5:$D$64,MATCH(M44,Services!$B$5:$B$64,0)),"")&lt;&gt;"Per hour"),IFERROR(INDEX(Services!$P$5:$P$64,MATCH(M44,Services!$B$5:$B$64,0)),0),AD44*AH44))</f>
        <v>0</v>
      </c>
      <c r="AJ44" s="21">
        <f>IF(G44="","",IF(V44&lt;&gt;"",V44,IF(P44="Cancelled",0,MAX(MinimumCharge,ROUND(AI44*IFERROR(INDEX(FreqFactors,MATCH(O44,FreqNames,0)),1),2)))))</f>
        <v>0</v>
      </c>
      <c r="AK44" s="34">
        <f>IF(G44="","",IF(SUMIFS(Timesheets!$U$5:$U$804,Timesheets!$G$5:$G$804,A44)&gt;0,SUMIFS(Timesheets!$U$5:$U$804,Timesheets!$G$5:$G$804,A44),IF(Z44="","",Z44)))</f>
        <v>0</v>
      </c>
      <c r="AL44" s="34">
        <f>IF(OR(AK44="",AD44=""),"",AK44-AD44)</f>
        <v>0</v>
      </c>
      <c r="AM44" s="31">
        <f>IF(A44="","",COUNTIFS('Job Tasks'!$B$5:$B$904,A44))</f>
        <v>0</v>
      </c>
      <c r="AN44" s="31">
        <f>IF(A44="","",COUNTIFS('Job Tasks'!$B$5:$B$904,A44,'Job Tasks'!$H$5:$H$904,"Done"))</f>
        <v>0</v>
      </c>
      <c r="AO44" s="38">
        <f>IF(OR(A44="",AM44=0),"",AN44/AM44)</f>
        <v>0</v>
      </c>
      <c r="AP44" s="43">
        <f>IF(A44="","",IFERROR(INDEX('Invoice Lines'!$B$5:$B$804,MATCH(A44,'Invoice Lines'!$C$5:$C$804,0)),""))</f>
        <v>0</v>
      </c>
      <c r="AQ44" s="18">
        <f>IF(OR(G44="",B44="",X44&lt;&gt;"Yes"),"",IF(IFERROR(INDEX(FreqDays,MATCH(O44,FreqNames,0)),0)=0,"",B44+IFERROR(INDEX(FreqDays,MATCH(O44,FreqNames,0)),0)))</f>
        <v>0</v>
      </c>
      <c r="AR44" s="39">
        <f>IF(G44="","",IF(R44="","Unassigned",IF(COUNTIFS($R$5:$R$604,R44,$B$5:$B$604,B44,$F$5:$F$604,F44)&gt;1,"Clash",IF(SUMIFS($AF$5:$AF$604,$R$5:$R$604,R44,$B$5:$B$604,B44)&gt;ProductiveHours,"Long day","OK"))))</f>
        <v>0</v>
      </c>
      <c r="AS44" s="18">
        <f>IF(OR(G44="",B44=""),"",IF(AND(B44&gt;=TodayDate,P44&lt;&gt;"Cancelled"),B44,""))</f>
        <v>0</v>
      </c>
      <c r="AT44" s="31">
        <f>IF(AS44="","",COUNTIFS($AS$5:$AS$604,"&lt;"&amp;AS44)+COUNTIFS($AS$5:AS44,AS44))</f>
        <v>0</v>
      </c>
      <c r="AU44" s="18">
        <f>IF(OR(G44="",B44="",R44&lt;&gt;""),"",IF(AND(B44&gt;=TodayDate,P44&lt;&gt;"Cancelled"),B44,""))</f>
        <v>0</v>
      </c>
      <c r="AV44" s="31">
        <f>IF(AU44="","",COUNTIFS($AU$5:$AU$604,"&lt;"&amp;AU44)+COUNTIFS($AU$5:AU44,AU44))</f>
        <v>0</v>
      </c>
      <c r="AW44" s="31">
        <f>IF(OR(G44="",B44=""),"",B44-TodayDate)</f>
        <v>0</v>
      </c>
      <c r="AX44" s="39">
        <f>IF(G44="","",IF(P44="Cancelled","Cancelled",IF(P44="No access","Action - no access, rebook",IF(AND(B44&lt;&gt;"",AW44&lt;0,OR(P44="Booked",P44="Confirmed",P44="In progress")),"Late - mark it completed",IF(AND(P44="Completed",AP44=""),"Action - not invoiced yet",IF(AND(AW44&gt;=0,AW44&lt;=ReminderDays,Y44&lt;&gt;"Yes"),"Confirm - visit coming up",IF(R44="","Assign - no cleaner booked",IF(AND(P44="Completed",AO44&lt;&gt;"",AO44&lt;1),"Check - checklist unfinished","OK"))))))))</f>
        <v>0</v>
      </c>
    </row>
    <row r="45" spans="1:50">
      <c r="A45" s="43">
        <f>IF(G45="","",JobPrefix&amp;TEXT(ROW()-4,"0000"))</f>
        <v>0</v>
      </c>
      <c r="B45" s="46">
        <v>46293</v>
      </c>
      <c r="C45" s="23">
        <f>IF(B45="","",TEXT(B45,"ddd"))</f>
        <v>0</v>
      </c>
      <c r="D45" s="31">
        <f>IF(B45="","",WEEKNUM(B45,IF(WeekStart="Sunday",1,2)))</f>
        <v>0</v>
      </c>
      <c r="E45" s="23">
        <f>IF(B45="","",TEXT(B45,"yyyy-mm"))</f>
        <v>0</v>
      </c>
      <c r="F45" s="52">
        <v>0.291666666666667</v>
      </c>
      <c r="G45" s="49" t="s">
        <v>813</v>
      </c>
      <c r="H45" s="23">
        <f>IF(G45="","",IFERROR(INDEX(Clients!$B$5:$B$204,MATCH(G45,Clients!$A$5:$A$204,0)),"Not found"))</f>
        <v>0</v>
      </c>
      <c r="I45" s="23">
        <f>IF(G45="","",IFERROR(INDEX(Clients!$C$5:$C$204,MATCH(G45,Clients!$A$5:$A$204,0)),""))</f>
        <v>0</v>
      </c>
      <c r="J45" s="49" t="s">
        <v>1052</v>
      </c>
      <c r="K45" s="23">
        <f>IF(J45="","",IFERROR(INDEX(Properties!$B$5:$B$254,MATCH(J45,Properties!$A$5:$A$254,0)),""))</f>
        <v>0</v>
      </c>
      <c r="L45" s="23">
        <f>IF(J45="","",IFERROR(INDEX(Properties!$F$5:$F$254,MATCH(J45,Properties!$A$5:$A$254,0)),""))</f>
        <v>0</v>
      </c>
      <c r="M45" s="15" t="s">
        <v>770</v>
      </c>
      <c r="N45" s="15" t="s">
        <v>1133</v>
      </c>
      <c r="O45" s="15" t="s">
        <v>617</v>
      </c>
      <c r="P45" s="45" t="s">
        <v>406</v>
      </c>
      <c r="Q45" s="15" t="s">
        <v>448</v>
      </c>
      <c r="R45" s="15" t="s">
        <v>664</v>
      </c>
      <c r="S45" s="15" t="s">
        <v>172</v>
      </c>
      <c r="T45" s="16">
        <v>1</v>
      </c>
      <c r="W45" s="17">
        <v>7.6</v>
      </c>
      <c r="X45" s="47" t="s">
        <v>454</v>
      </c>
      <c r="Y45" s="47" t="s">
        <v>454</v>
      </c>
      <c r="AA45" s="47" t="s">
        <v>172</v>
      </c>
      <c r="AB45" s="44" t="s">
        <v>172</v>
      </c>
      <c r="AC45" s="44" t="s">
        <v>172</v>
      </c>
      <c r="AD45" s="34">
        <f>IF(G45="","",IF(U45&lt;&gt;"",U45,IF(AND(IFERROR(INDEX(Services!$D$5:$D$64,MATCH(M45,Services!$B$5:$B$64,0)),"")="Per hour",IFERROR(INDEX(Properties!$X$5:$X$254,MATCH(J45,Properties!$A$5:$A$254,0)),0)&gt;0),IFERROR(INDEX(Properties!$X$5:$X$254,MATCH(J45,Properties!$A$5:$A$254,0)),0),IF(IFERROR(INDEX(Services!$G$5:$G$64,MATCH(M45,Services!$B$5:$B$64,0)),0)&gt;0,IFERROR(INDEX(Services!$G$5:$G$64,MATCH(M45,Services!$B$5:$B$64,0)),0),IFERROR(INDEX(Properties!$X$5:$X$254,MATCH(J45,Properties!$A$5:$A$254,0)),0)))))</f>
        <v>0</v>
      </c>
      <c r="AE45" s="31">
        <f>IF(G45="","",IF(T45="",CleanersPerJob,MAX(1,T45)))</f>
        <v>0</v>
      </c>
      <c r="AF45" s="34">
        <f>IF(G45="","",ROUND(AD45/AE45,2))</f>
        <v>0</v>
      </c>
      <c r="AG45" s="53">
        <f>IF(OR(G45="",F45="",AF45=""),"",F45+AF45/24)</f>
        <v>0</v>
      </c>
      <c r="AH45" s="21">
        <f>IF(G45="","",IF(IFERROR(INDEX(Clients!$O$5:$O$204,MATCH(G45,Clients!$A$5:$A$204,0)),0)&gt;0,IFERROR(INDEX(Clients!$O$5:$O$204,MATCH(G45,Clients!$A$5:$A$204,0)),0),HourlyRate))</f>
        <v>0</v>
      </c>
      <c r="AI45" s="21">
        <f>IF(G45="","",IF(AND(M45&lt;&gt;"",IFERROR(INDEX(Services!$P$5:$P$64,MATCH(M45,Services!$B$5:$B$64,0)),0)&gt;0,IFERROR(INDEX(Services!$D$5:$D$64,MATCH(M45,Services!$B$5:$B$64,0)),"")&lt;&gt;"Per hour"),IFERROR(INDEX(Services!$P$5:$P$64,MATCH(M45,Services!$B$5:$B$64,0)),0),AD45*AH45))</f>
        <v>0</v>
      </c>
      <c r="AJ45" s="21">
        <f>IF(G45="","",IF(V45&lt;&gt;"",V45,IF(P45="Cancelled",0,MAX(MinimumCharge,ROUND(AI45*IFERROR(INDEX(FreqFactors,MATCH(O45,FreqNames,0)),1),2)))))</f>
        <v>0</v>
      </c>
      <c r="AK45" s="34">
        <f>IF(G45="","",IF(SUMIFS(Timesheets!$U$5:$U$804,Timesheets!$G$5:$G$804,A45)&gt;0,SUMIFS(Timesheets!$U$5:$U$804,Timesheets!$G$5:$G$804,A45),IF(Z45="","",Z45)))</f>
        <v>0</v>
      </c>
      <c r="AL45" s="34">
        <f>IF(OR(AK45="",AD45=""),"",AK45-AD45)</f>
        <v>0</v>
      </c>
      <c r="AM45" s="31">
        <f>IF(A45="","",COUNTIFS('Job Tasks'!$B$5:$B$904,A45))</f>
        <v>0</v>
      </c>
      <c r="AN45" s="31">
        <f>IF(A45="","",COUNTIFS('Job Tasks'!$B$5:$B$904,A45,'Job Tasks'!$H$5:$H$904,"Done"))</f>
        <v>0</v>
      </c>
      <c r="AO45" s="38">
        <f>IF(OR(A45="",AM45=0),"",AN45/AM45)</f>
        <v>0</v>
      </c>
      <c r="AP45" s="43">
        <f>IF(A45="","",IFERROR(INDEX('Invoice Lines'!$B$5:$B$804,MATCH(A45,'Invoice Lines'!$C$5:$C$804,0)),""))</f>
        <v>0</v>
      </c>
      <c r="AQ45" s="18">
        <f>IF(OR(G45="",B45="",X45&lt;&gt;"Yes"),"",IF(IFERROR(INDEX(FreqDays,MATCH(O45,FreqNames,0)),0)=0,"",B45+IFERROR(INDEX(FreqDays,MATCH(O45,FreqNames,0)),0)))</f>
        <v>0</v>
      </c>
      <c r="AR45" s="39">
        <f>IF(G45="","",IF(R45="","Unassigned",IF(COUNTIFS($R$5:$R$604,R45,$B$5:$B$604,B45,$F$5:$F$604,F45)&gt;1,"Clash",IF(SUMIFS($AF$5:$AF$604,$R$5:$R$604,R45,$B$5:$B$604,B45)&gt;ProductiveHours,"Long day","OK"))))</f>
        <v>0</v>
      </c>
      <c r="AS45" s="18">
        <f>IF(OR(G45="",B45=""),"",IF(AND(B45&gt;=TodayDate,P45&lt;&gt;"Cancelled"),B45,""))</f>
        <v>0</v>
      </c>
      <c r="AT45" s="31">
        <f>IF(AS45="","",COUNTIFS($AS$5:$AS$604,"&lt;"&amp;AS45)+COUNTIFS($AS$5:AS45,AS45))</f>
        <v>0</v>
      </c>
      <c r="AU45" s="18">
        <f>IF(OR(G45="",B45="",R45&lt;&gt;""),"",IF(AND(B45&gt;=TodayDate,P45&lt;&gt;"Cancelled"),B45,""))</f>
        <v>0</v>
      </c>
      <c r="AV45" s="31">
        <f>IF(AU45="","",COUNTIFS($AU$5:$AU$604,"&lt;"&amp;AU45)+COUNTIFS($AU$5:AU45,AU45))</f>
        <v>0</v>
      </c>
      <c r="AW45" s="31">
        <f>IF(OR(G45="",B45=""),"",B45-TodayDate)</f>
        <v>0</v>
      </c>
      <c r="AX45" s="39">
        <f>IF(G45="","",IF(P45="Cancelled","Cancelled",IF(P45="No access","Action - no access, rebook",IF(AND(B45&lt;&gt;"",AW45&lt;0,OR(P45="Booked",P45="Confirmed",P45="In progress")),"Late - mark it completed",IF(AND(P45="Completed",AP45=""),"Action - not invoiced yet",IF(AND(AW45&gt;=0,AW45&lt;=ReminderDays,Y45&lt;&gt;"Yes"),"Confirm - visit coming up",IF(R45="","Assign - no cleaner booked",IF(AND(P45="Completed",AO45&lt;&gt;"",AO45&lt;1),"Check - checklist unfinished","OK"))))))))</f>
        <v>0</v>
      </c>
    </row>
    <row r="46" spans="1:50">
      <c r="A46" s="43">
        <f>IF(G46="","",JobPrefix&amp;TEXT(ROW()-4,"0000"))</f>
        <v>0</v>
      </c>
      <c r="B46" s="46">
        <v>46293</v>
      </c>
      <c r="C46" s="23">
        <f>IF(B46="","",TEXT(B46,"ddd"))</f>
        <v>0</v>
      </c>
      <c r="D46" s="31">
        <f>IF(B46="","",WEEKNUM(B46,IF(WeekStart="Sunday",1,2)))</f>
        <v>0</v>
      </c>
      <c r="E46" s="23">
        <f>IF(B46="","",TEXT(B46,"yyyy-mm"))</f>
        <v>0</v>
      </c>
      <c r="F46" s="52">
        <v>0.770833333333333</v>
      </c>
      <c r="G46" s="49" t="s">
        <v>773</v>
      </c>
      <c r="H46" s="23">
        <f>IF(G46="","",IFERROR(INDEX(Clients!$B$5:$B$204,MATCH(G46,Clients!$A$5:$A$204,0)),"Not found"))</f>
        <v>0</v>
      </c>
      <c r="I46" s="23">
        <f>IF(G46="","",IFERROR(INDEX(Clients!$C$5:$C$204,MATCH(G46,Clients!$A$5:$A$204,0)),""))</f>
        <v>0</v>
      </c>
      <c r="J46" s="49" t="s">
        <v>1134</v>
      </c>
      <c r="K46" s="23">
        <f>IF(J46="","",IFERROR(INDEX(Properties!$B$5:$B$254,MATCH(J46,Properties!$A$5:$A$254,0)),""))</f>
        <v>0</v>
      </c>
      <c r="L46" s="23">
        <f>IF(J46="","",IFERROR(INDEX(Properties!$F$5:$F$254,MATCH(J46,Properties!$A$5:$A$254,0)),""))</f>
        <v>0</v>
      </c>
      <c r="M46" s="15" t="s">
        <v>770</v>
      </c>
      <c r="N46" s="15" t="s">
        <v>1133</v>
      </c>
      <c r="O46" s="15" t="s">
        <v>617</v>
      </c>
      <c r="P46" s="45" t="s">
        <v>406</v>
      </c>
      <c r="Q46" s="15" t="s">
        <v>448</v>
      </c>
      <c r="R46" s="15" t="s">
        <v>608</v>
      </c>
      <c r="S46" s="15" t="s">
        <v>172</v>
      </c>
      <c r="T46" s="16">
        <v>1</v>
      </c>
      <c r="W46" s="17">
        <v>4.8</v>
      </c>
      <c r="X46" s="47" t="s">
        <v>454</v>
      </c>
      <c r="Y46" s="47" t="s">
        <v>454</v>
      </c>
      <c r="AA46" s="47" t="s">
        <v>172</v>
      </c>
      <c r="AB46" s="44" t="s">
        <v>172</v>
      </c>
      <c r="AC46" s="44" t="s">
        <v>172</v>
      </c>
      <c r="AD46" s="34">
        <f>IF(G46="","",IF(U46&lt;&gt;"",U46,IF(AND(IFERROR(INDEX(Services!$D$5:$D$64,MATCH(M46,Services!$B$5:$B$64,0)),"")="Per hour",IFERROR(INDEX(Properties!$X$5:$X$254,MATCH(J46,Properties!$A$5:$A$254,0)),0)&gt;0),IFERROR(INDEX(Properties!$X$5:$X$254,MATCH(J46,Properties!$A$5:$A$254,0)),0),IF(IFERROR(INDEX(Services!$G$5:$G$64,MATCH(M46,Services!$B$5:$B$64,0)),0)&gt;0,IFERROR(INDEX(Services!$G$5:$G$64,MATCH(M46,Services!$B$5:$B$64,0)),0),IFERROR(INDEX(Properties!$X$5:$X$254,MATCH(J46,Properties!$A$5:$A$254,0)),0)))))</f>
        <v>0</v>
      </c>
      <c r="AE46" s="31">
        <f>IF(G46="","",IF(T46="",CleanersPerJob,MAX(1,T46)))</f>
        <v>0</v>
      </c>
      <c r="AF46" s="34">
        <f>IF(G46="","",ROUND(AD46/AE46,2))</f>
        <v>0</v>
      </c>
      <c r="AG46" s="53">
        <f>IF(OR(G46="",F46="",AF46=""),"",F46+AF46/24)</f>
        <v>0</v>
      </c>
      <c r="AH46" s="21">
        <f>IF(G46="","",IF(IFERROR(INDEX(Clients!$O$5:$O$204,MATCH(G46,Clients!$A$5:$A$204,0)),0)&gt;0,IFERROR(INDEX(Clients!$O$5:$O$204,MATCH(G46,Clients!$A$5:$A$204,0)),0),HourlyRate))</f>
        <v>0</v>
      </c>
      <c r="AI46" s="21">
        <f>IF(G46="","",IF(AND(M46&lt;&gt;"",IFERROR(INDEX(Services!$P$5:$P$64,MATCH(M46,Services!$B$5:$B$64,0)),0)&gt;0,IFERROR(INDEX(Services!$D$5:$D$64,MATCH(M46,Services!$B$5:$B$64,0)),"")&lt;&gt;"Per hour"),IFERROR(INDEX(Services!$P$5:$P$64,MATCH(M46,Services!$B$5:$B$64,0)),0),AD46*AH46))</f>
        <v>0</v>
      </c>
      <c r="AJ46" s="21">
        <f>IF(G46="","",IF(V46&lt;&gt;"",V46,IF(P46="Cancelled",0,MAX(MinimumCharge,ROUND(AI46*IFERROR(INDEX(FreqFactors,MATCH(O46,FreqNames,0)),1),2)))))</f>
        <v>0</v>
      </c>
      <c r="AK46" s="34">
        <f>IF(G46="","",IF(SUMIFS(Timesheets!$U$5:$U$804,Timesheets!$G$5:$G$804,A46)&gt;0,SUMIFS(Timesheets!$U$5:$U$804,Timesheets!$G$5:$G$804,A46),IF(Z46="","",Z46)))</f>
        <v>0</v>
      </c>
      <c r="AL46" s="34">
        <f>IF(OR(AK46="",AD46=""),"",AK46-AD46)</f>
        <v>0</v>
      </c>
      <c r="AM46" s="31">
        <f>IF(A46="","",COUNTIFS('Job Tasks'!$B$5:$B$904,A46))</f>
        <v>0</v>
      </c>
      <c r="AN46" s="31">
        <f>IF(A46="","",COUNTIFS('Job Tasks'!$B$5:$B$904,A46,'Job Tasks'!$H$5:$H$904,"Done"))</f>
        <v>0</v>
      </c>
      <c r="AO46" s="38">
        <f>IF(OR(A46="",AM46=0),"",AN46/AM46)</f>
        <v>0</v>
      </c>
      <c r="AP46" s="43">
        <f>IF(A46="","",IFERROR(INDEX('Invoice Lines'!$B$5:$B$804,MATCH(A46,'Invoice Lines'!$C$5:$C$804,0)),""))</f>
        <v>0</v>
      </c>
      <c r="AQ46" s="18">
        <f>IF(OR(G46="",B46="",X46&lt;&gt;"Yes"),"",IF(IFERROR(INDEX(FreqDays,MATCH(O46,FreqNames,0)),0)=0,"",B46+IFERROR(INDEX(FreqDays,MATCH(O46,FreqNames,0)),0)))</f>
        <v>0</v>
      </c>
      <c r="AR46" s="39">
        <f>IF(G46="","",IF(R46="","Unassigned",IF(COUNTIFS($R$5:$R$604,R46,$B$5:$B$604,B46,$F$5:$F$604,F46)&gt;1,"Clash",IF(SUMIFS($AF$5:$AF$604,$R$5:$R$604,R46,$B$5:$B$604,B46)&gt;ProductiveHours,"Long day","OK"))))</f>
        <v>0</v>
      </c>
      <c r="AS46" s="18">
        <f>IF(OR(G46="",B46=""),"",IF(AND(B46&gt;=TodayDate,P46&lt;&gt;"Cancelled"),B46,""))</f>
        <v>0</v>
      </c>
      <c r="AT46" s="31">
        <f>IF(AS46="","",COUNTIFS($AS$5:$AS$604,"&lt;"&amp;AS46)+COUNTIFS($AS$5:AS46,AS46))</f>
        <v>0</v>
      </c>
      <c r="AU46" s="18">
        <f>IF(OR(G46="",B46="",R46&lt;&gt;""),"",IF(AND(B46&gt;=TodayDate,P46&lt;&gt;"Cancelled"),B46,""))</f>
        <v>0</v>
      </c>
      <c r="AV46" s="31">
        <f>IF(AU46="","",COUNTIFS($AU$5:$AU$604,"&lt;"&amp;AU46)+COUNTIFS($AU$5:AU46,AU46))</f>
        <v>0</v>
      </c>
      <c r="AW46" s="31">
        <f>IF(OR(G46="",B46=""),"",B46-TodayDate)</f>
        <v>0</v>
      </c>
      <c r="AX46" s="39">
        <f>IF(G46="","",IF(P46="Cancelled","Cancelled",IF(P46="No access","Action - no access, rebook",IF(AND(B46&lt;&gt;"",AW46&lt;0,OR(P46="Booked",P46="Confirmed",P46="In progress")),"Late - mark it completed",IF(AND(P46="Completed",AP46=""),"Action - not invoiced yet",IF(AND(AW46&gt;=0,AW46&lt;=ReminderDays,Y46&lt;&gt;"Yes"),"Confirm - visit coming up",IF(R46="","Assign - no cleaner booked",IF(AND(P46="Completed",AO46&lt;&gt;"",AO46&lt;1),"Check - checklist unfinished","OK"))))))))</f>
        <v>0</v>
      </c>
    </row>
    <row r="47" spans="1:50">
      <c r="A47" s="43">
        <f>IF(G47="","",JobPrefix&amp;TEXT(ROW()-4,"0000"))</f>
        <v>0</v>
      </c>
      <c r="B47" s="46">
        <v>46294</v>
      </c>
      <c r="C47" s="23">
        <f>IF(B47="","",TEXT(B47,"ddd"))</f>
        <v>0</v>
      </c>
      <c r="D47" s="31">
        <f>IF(B47="","",WEEKNUM(B47,IF(WeekStart="Sunday",1,2)))</f>
        <v>0</v>
      </c>
      <c r="E47" s="23">
        <f>IF(B47="","",TEXT(B47,"yyyy-mm"))</f>
        <v>0</v>
      </c>
      <c r="F47" s="52">
        <v>0.375</v>
      </c>
      <c r="G47" s="49" t="s">
        <v>743</v>
      </c>
      <c r="H47" s="23">
        <f>IF(G47="","",IFERROR(INDEX(Clients!$B$5:$B$204,MATCH(G47,Clients!$A$5:$A$204,0)),"Not found"))</f>
        <v>0</v>
      </c>
      <c r="I47" s="23">
        <f>IF(G47="","",IFERROR(INDEX(Clients!$C$5:$C$204,MATCH(G47,Clients!$A$5:$A$204,0)),""))</f>
        <v>0</v>
      </c>
      <c r="J47" s="49" t="s">
        <v>1135</v>
      </c>
      <c r="K47" s="23">
        <f>IF(J47="","",IFERROR(INDEX(Properties!$B$5:$B$254,MATCH(J47,Properties!$A$5:$A$254,0)),""))</f>
        <v>0</v>
      </c>
      <c r="L47" s="23">
        <f>IF(J47="","",IFERROR(INDEX(Properties!$F$5:$F$254,MATCH(J47,Properties!$A$5:$A$254,0)),""))</f>
        <v>0</v>
      </c>
      <c r="M47" s="15" t="s">
        <v>437</v>
      </c>
      <c r="N47" s="15" t="s">
        <v>1133</v>
      </c>
      <c r="O47" s="15" t="s">
        <v>451</v>
      </c>
      <c r="P47" s="45" t="s">
        <v>406</v>
      </c>
      <c r="Q47" s="15" t="s">
        <v>448</v>
      </c>
      <c r="R47" s="15" t="s">
        <v>584</v>
      </c>
      <c r="S47" s="15" t="s">
        <v>172</v>
      </c>
      <c r="T47" s="16">
        <v>1</v>
      </c>
      <c r="W47" s="17">
        <v>8.4</v>
      </c>
      <c r="X47" s="47" t="s">
        <v>454</v>
      </c>
      <c r="Y47" s="47" t="s">
        <v>454</v>
      </c>
      <c r="AA47" s="47">
        <v>5</v>
      </c>
      <c r="AB47" s="44" t="s">
        <v>172</v>
      </c>
      <c r="AC47" s="44" t="s">
        <v>172</v>
      </c>
      <c r="AD47" s="34">
        <f>IF(G47="","",IF(U47&lt;&gt;"",U47,IF(AND(IFERROR(INDEX(Services!$D$5:$D$64,MATCH(M47,Services!$B$5:$B$64,0)),"")="Per hour",IFERROR(INDEX(Properties!$X$5:$X$254,MATCH(J47,Properties!$A$5:$A$254,0)),0)&gt;0),IFERROR(INDEX(Properties!$X$5:$X$254,MATCH(J47,Properties!$A$5:$A$254,0)),0),IF(IFERROR(INDEX(Services!$G$5:$G$64,MATCH(M47,Services!$B$5:$B$64,0)),0)&gt;0,IFERROR(INDEX(Services!$G$5:$G$64,MATCH(M47,Services!$B$5:$B$64,0)),0),IFERROR(INDEX(Properties!$X$5:$X$254,MATCH(J47,Properties!$A$5:$A$254,0)),0)))))</f>
        <v>0</v>
      </c>
      <c r="AE47" s="31">
        <f>IF(G47="","",IF(T47="",CleanersPerJob,MAX(1,T47)))</f>
        <v>0</v>
      </c>
      <c r="AF47" s="34">
        <f>IF(G47="","",ROUND(AD47/AE47,2))</f>
        <v>0</v>
      </c>
      <c r="AG47" s="53">
        <f>IF(OR(G47="",F47="",AF47=""),"",F47+AF47/24)</f>
        <v>0</v>
      </c>
      <c r="AH47" s="21">
        <f>IF(G47="","",IF(IFERROR(INDEX(Clients!$O$5:$O$204,MATCH(G47,Clients!$A$5:$A$204,0)),0)&gt;0,IFERROR(INDEX(Clients!$O$5:$O$204,MATCH(G47,Clients!$A$5:$A$204,0)),0),HourlyRate))</f>
        <v>0</v>
      </c>
      <c r="AI47" s="21">
        <f>IF(G47="","",IF(AND(M47&lt;&gt;"",IFERROR(INDEX(Services!$P$5:$P$64,MATCH(M47,Services!$B$5:$B$64,0)),0)&gt;0,IFERROR(INDEX(Services!$D$5:$D$64,MATCH(M47,Services!$B$5:$B$64,0)),"")&lt;&gt;"Per hour"),IFERROR(INDEX(Services!$P$5:$P$64,MATCH(M47,Services!$B$5:$B$64,0)),0),AD47*AH47))</f>
        <v>0</v>
      </c>
      <c r="AJ47" s="21">
        <f>IF(G47="","",IF(V47&lt;&gt;"",V47,IF(P47="Cancelled",0,MAX(MinimumCharge,ROUND(AI47*IFERROR(INDEX(FreqFactors,MATCH(O47,FreqNames,0)),1),2)))))</f>
        <v>0</v>
      </c>
      <c r="AK47" s="34">
        <f>IF(G47="","",IF(SUMIFS(Timesheets!$U$5:$U$804,Timesheets!$G$5:$G$804,A47)&gt;0,SUMIFS(Timesheets!$U$5:$U$804,Timesheets!$G$5:$G$804,A47),IF(Z47="","",Z47)))</f>
        <v>0</v>
      </c>
      <c r="AL47" s="34">
        <f>IF(OR(AK47="",AD47=""),"",AK47-AD47)</f>
        <v>0</v>
      </c>
      <c r="AM47" s="31">
        <f>IF(A47="","",COUNTIFS('Job Tasks'!$B$5:$B$904,A47))</f>
        <v>0</v>
      </c>
      <c r="AN47" s="31">
        <f>IF(A47="","",COUNTIFS('Job Tasks'!$B$5:$B$904,A47,'Job Tasks'!$H$5:$H$904,"Done"))</f>
        <v>0</v>
      </c>
      <c r="AO47" s="38">
        <f>IF(OR(A47="",AM47=0),"",AN47/AM47)</f>
        <v>0</v>
      </c>
      <c r="AP47" s="43">
        <f>IF(A47="","",IFERROR(INDEX('Invoice Lines'!$B$5:$B$804,MATCH(A47,'Invoice Lines'!$C$5:$C$804,0)),""))</f>
        <v>0</v>
      </c>
      <c r="AQ47" s="18">
        <f>IF(OR(G47="",B47="",X47&lt;&gt;"Yes"),"",IF(IFERROR(INDEX(FreqDays,MATCH(O47,FreqNames,0)),0)=0,"",B47+IFERROR(INDEX(FreqDays,MATCH(O47,FreqNames,0)),0)))</f>
        <v>0</v>
      </c>
      <c r="AR47" s="39">
        <f>IF(G47="","",IF(R47="","Unassigned",IF(COUNTIFS($R$5:$R$604,R47,$B$5:$B$604,B47,$F$5:$F$604,F47)&gt;1,"Clash",IF(SUMIFS($AF$5:$AF$604,$R$5:$R$604,R47,$B$5:$B$604,B47)&gt;ProductiveHours,"Long day","OK"))))</f>
        <v>0</v>
      </c>
      <c r="AS47" s="18">
        <f>IF(OR(G47="",B47=""),"",IF(AND(B47&gt;=TodayDate,P47&lt;&gt;"Cancelled"),B47,""))</f>
        <v>0</v>
      </c>
      <c r="AT47" s="31">
        <f>IF(AS47="","",COUNTIFS($AS$5:$AS$604,"&lt;"&amp;AS47)+COUNTIFS($AS$5:AS47,AS47))</f>
        <v>0</v>
      </c>
      <c r="AU47" s="18">
        <f>IF(OR(G47="",B47="",R47&lt;&gt;""),"",IF(AND(B47&gt;=TodayDate,P47&lt;&gt;"Cancelled"),B47,""))</f>
        <v>0</v>
      </c>
      <c r="AV47" s="31">
        <f>IF(AU47="","",COUNTIFS($AU$5:$AU$604,"&lt;"&amp;AU47)+COUNTIFS($AU$5:AU47,AU47))</f>
        <v>0</v>
      </c>
      <c r="AW47" s="31">
        <f>IF(OR(G47="",B47=""),"",B47-TodayDate)</f>
        <v>0</v>
      </c>
      <c r="AX47" s="39">
        <f>IF(G47="","",IF(P47="Cancelled","Cancelled",IF(P47="No access","Action - no access, rebook",IF(AND(B47&lt;&gt;"",AW47&lt;0,OR(P47="Booked",P47="Confirmed",P47="In progress")),"Late - mark it completed",IF(AND(P47="Completed",AP47=""),"Action - not invoiced yet",IF(AND(AW47&gt;=0,AW47&lt;=ReminderDays,Y47&lt;&gt;"Yes"),"Confirm - visit coming up",IF(R47="","Assign - no cleaner booked",IF(AND(P47="Completed",AO47&lt;&gt;"",AO47&lt;1),"Check - checklist unfinished","OK"))))))))</f>
        <v>0</v>
      </c>
    </row>
    <row r="48" spans="1:50">
      <c r="A48" s="43">
        <f>IF(G48="","",JobPrefix&amp;TEXT(ROW()-4,"0000"))</f>
        <v>0</v>
      </c>
      <c r="B48" s="46">
        <v>46295</v>
      </c>
      <c r="C48" s="23">
        <f>IF(B48="","",TEXT(B48,"ddd"))</f>
        <v>0</v>
      </c>
      <c r="D48" s="31">
        <f>IF(B48="","",WEEKNUM(B48,IF(WeekStart="Sunday",1,2)))</f>
        <v>0</v>
      </c>
      <c r="E48" s="23">
        <f>IF(B48="","",TEXT(B48,"yyyy-mm"))</f>
        <v>0</v>
      </c>
      <c r="F48" s="52">
        <v>0.375</v>
      </c>
      <c r="G48" s="49" t="s">
        <v>845</v>
      </c>
      <c r="H48" s="23">
        <f>IF(G48="","",IFERROR(INDEX(Clients!$B$5:$B$204,MATCH(G48,Clients!$A$5:$A$204,0)),"Not found"))</f>
        <v>0</v>
      </c>
      <c r="I48" s="23">
        <f>IF(G48="","",IFERROR(INDEX(Clients!$C$5:$C$204,MATCH(G48,Clients!$A$5:$A$204,0)),""))</f>
        <v>0</v>
      </c>
      <c r="J48" s="49" t="s">
        <v>1049</v>
      </c>
      <c r="K48" s="23">
        <f>IF(J48="","",IFERROR(INDEX(Properties!$B$5:$B$254,MATCH(J48,Properties!$A$5:$A$254,0)),""))</f>
        <v>0</v>
      </c>
      <c r="L48" s="23">
        <f>IF(J48="","",IFERROR(INDEX(Properties!$F$5:$F$254,MATCH(J48,Properties!$A$5:$A$254,0)),""))</f>
        <v>0</v>
      </c>
      <c r="M48" s="15" t="s">
        <v>914</v>
      </c>
      <c r="N48" s="15" t="s">
        <v>914</v>
      </c>
      <c r="O48" s="15" t="s">
        <v>625</v>
      </c>
      <c r="P48" s="45" t="s">
        <v>406</v>
      </c>
      <c r="Q48" s="15" t="s">
        <v>448</v>
      </c>
      <c r="R48" s="15" t="s">
        <v>627</v>
      </c>
      <c r="S48" s="15" t="s">
        <v>584</v>
      </c>
      <c r="T48" s="16">
        <v>2</v>
      </c>
      <c r="U48" s="17">
        <v>6</v>
      </c>
      <c r="W48" s="17">
        <v>11</v>
      </c>
      <c r="X48" s="47" t="s">
        <v>457</v>
      </c>
      <c r="Y48" s="47" t="s">
        <v>454</v>
      </c>
      <c r="AA48" s="47">
        <v>5</v>
      </c>
      <c r="AB48" s="44" t="s">
        <v>1146</v>
      </c>
      <c r="AC48" s="44" t="s">
        <v>1147</v>
      </c>
      <c r="AD48" s="34">
        <f>IF(G48="","",IF(U48&lt;&gt;"",U48,IF(AND(IFERROR(INDEX(Services!$D$5:$D$64,MATCH(M48,Services!$B$5:$B$64,0)),"")="Per hour",IFERROR(INDEX(Properties!$X$5:$X$254,MATCH(J48,Properties!$A$5:$A$254,0)),0)&gt;0),IFERROR(INDEX(Properties!$X$5:$X$254,MATCH(J48,Properties!$A$5:$A$254,0)),0),IF(IFERROR(INDEX(Services!$G$5:$G$64,MATCH(M48,Services!$B$5:$B$64,0)),0)&gt;0,IFERROR(INDEX(Services!$G$5:$G$64,MATCH(M48,Services!$B$5:$B$64,0)),0),IFERROR(INDEX(Properties!$X$5:$X$254,MATCH(J48,Properties!$A$5:$A$254,0)),0)))))</f>
        <v>0</v>
      </c>
      <c r="AE48" s="31">
        <f>IF(G48="","",IF(T48="",CleanersPerJob,MAX(1,T48)))</f>
        <v>0</v>
      </c>
      <c r="AF48" s="34">
        <f>IF(G48="","",ROUND(AD48/AE48,2))</f>
        <v>0</v>
      </c>
      <c r="AG48" s="53">
        <f>IF(OR(G48="",F48="",AF48=""),"",F48+AF48/24)</f>
        <v>0</v>
      </c>
      <c r="AH48" s="21">
        <f>IF(G48="","",IF(IFERROR(INDEX(Clients!$O$5:$O$204,MATCH(G48,Clients!$A$5:$A$204,0)),0)&gt;0,IFERROR(INDEX(Clients!$O$5:$O$204,MATCH(G48,Clients!$A$5:$A$204,0)),0),HourlyRate))</f>
        <v>0</v>
      </c>
      <c r="AI48" s="21">
        <f>IF(G48="","",IF(AND(M48&lt;&gt;"",IFERROR(INDEX(Services!$P$5:$P$64,MATCH(M48,Services!$B$5:$B$64,0)),0)&gt;0,IFERROR(INDEX(Services!$D$5:$D$64,MATCH(M48,Services!$B$5:$B$64,0)),"")&lt;&gt;"Per hour"),IFERROR(INDEX(Services!$P$5:$P$64,MATCH(M48,Services!$B$5:$B$64,0)),0),AD48*AH48))</f>
        <v>0</v>
      </c>
      <c r="AJ48" s="21">
        <f>IF(G48="","",IF(V48&lt;&gt;"",V48,IF(P48="Cancelled",0,MAX(MinimumCharge,ROUND(AI48*IFERROR(INDEX(FreqFactors,MATCH(O48,FreqNames,0)),1),2)))))</f>
        <v>0</v>
      </c>
      <c r="AK48" s="34">
        <f>IF(G48="","",IF(SUMIFS(Timesheets!$U$5:$U$804,Timesheets!$G$5:$G$804,A48)&gt;0,SUMIFS(Timesheets!$U$5:$U$804,Timesheets!$G$5:$G$804,A48),IF(Z48="","",Z48)))</f>
        <v>0</v>
      </c>
      <c r="AL48" s="34">
        <f>IF(OR(AK48="",AD48=""),"",AK48-AD48)</f>
        <v>0</v>
      </c>
      <c r="AM48" s="31">
        <f>IF(A48="","",COUNTIFS('Job Tasks'!$B$5:$B$904,A48))</f>
        <v>0</v>
      </c>
      <c r="AN48" s="31">
        <f>IF(A48="","",COUNTIFS('Job Tasks'!$B$5:$B$904,A48,'Job Tasks'!$H$5:$H$904,"Done"))</f>
        <v>0</v>
      </c>
      <c r="AO48" s="38">
        <f>IF(OR(A48="",AM48=0),"",AN48/AM48)</f>
        <v>0</v>
      </c>
      <c r="AP48" s="43">
        <f>IF(A48="","",IFERROR(INDEX('Invoice Lines'!$B$5:$B$804,MATCH(A48,'Invoice Lines'!$C$5:$C$804,0)),""))</f>
        <v>0</v>
      </c>
      <c r="AQ48" s="18">
        <f>IF(OR(G48="",B48="",X48&lt;&gt;"Yes"),"",IF(IFERROR(INDEX(FreqDays,MATCH(O48,FreqNames,0)),0)=0,"",B48+IFERROR(INDEX(FreqDays,MATCH(O48,FreqNames,0)),0)))</f>
        <v>0</v>
      </c>
      <c r="AR48" s="39">
        <f>IF(G48="","",IF(R48="","Unassigned",IF(COUNTIFS($R$5:$R$604,R48,$B$5:$B$604,B48,$F$5:$F$604,F48)&gt;1,"Clash",IF(SUMIFS($AF$5:$AF$604,$R$5:$R$604,R48,$B$5:$B$604,B48)&gt;ProductiveHours,"Long day","OK"))))</f>
        <v>0</v>
      </c>
      <c r="AS48" s="18">
        <f>IF(OR(G48="",B48=""),"",IF(AND(B48&gt;=TodayDate,P48&lt;&gt;"Cancelled"),B48,""))</f>
        <v>0</v>
      </c>
      <c r="AT48" s="31">
        <f>IF(AS48="","",COUNTIFS($AS$5:$AS$604,"&lt;"&amp;AS48)+COUNTIFS($AS$5:AS48,AS48))</f>
        <v>0</v>
      </c>
      <c r="AU48" s="18">
        <f>IF(OR(G48="",B48="",R48&lt;&gt;""),"",IF(AND(B48&gt;=TodayDate,P48&lt;&gt;"Cancelled"),B48,""))</f>
        <v>0</v>
      </c>
      <c r="AV48" s="31">
        <f>IF(AU48="","",COUNTIFS($AU$5:$AU$604,"&lt;"&amp;AU48)+COUNTIFS($AU$5:AU48,AU48))</f>
        <v>0</v>
      </c>
      <c r="AW48" s="31">
        <f>IF(OR(G48="",B48=""),"",B48-TodayDate)</f>
        <v>0</v>
      </c>
      <c r="AX48" s="39">
        <f>IF(G48="","",IF(P48="Cancelled","Cancelled",IF(P48="No access","Action - no access, rebook",IF(AND(B48&lt;&gt;"",AW48&lt;0,OR(P48="Booked",P48="Confirmed",P48="In progress")),"Late - mark it completed",IF(AND(P48="Completed",AP48=""),"Action - not invoiced yet",IF(AND(AW48&gt;=0,AW48&lt;=ReminderDays,Y48&lt;&gt;"Yes"),"Confirm - visit coming up",IF(R48="","Assign - no cleaner booked",IF(AND(P48="Completed",AO48&lt;&gt;"",AO48&lt;1),"Check - checklist unfinished","OK"))))))))</f>
        <v>0</v>
      </c>
    </row>
    <row r="49" spans="1:50">
      <c r="A49" s="43">
        <f>IF(G49="","",JobPrefix&amp;TEXT(ROW()-4,"0000"))</f>
        <v>0</v>
      </c>
      <c r="B49" s="46">
        <v>46296</v>
      </c>
      <c r="C49" s="23">
        <f>IF(B49="","",TEXT(B49,"ddd"))</f>
        <v>0</v>
      </c>
      <c r="D49" s="31">
        <f>IF(B49="","",WEEKNUM(B49,IF(WeekStart="Sunday",1,2)))</f>
        <v>0</v>
      </c>
      <c r="E49" s="23">
        <f>IF(B49="","",TEXT(B49,"yyyy-mm"))</f>
        <v>0</v>
      </c>
      <c r="F49" s="52">
        <v>0.291666666666667</v>
      </c>
      <c r="G49" s="49" t="s">
        <v>813</v>
      </c>
      <c r="H49" s="23">
        <f>IF(G49="","",IFERROR(INDEX(Clients!$B$5:$B$204,MATCH(G49,Clients!$A$5:$A$204,0)),"Not found"))</f>
        <v>0</v>
      </c>
      <c r="I49" s="23">
        <f>IF(G49="","",IFERROR(INDEX(Clients!$C$5:$C$204,MATCH(G49,Clients!$A$5:$A$204,0)),""))</f>
        <v>0</v>
      </c>
      <c r="J49" s="49" t="s">
        <v>1052</v>
      </c>
      <c r="K49" s="23">
        <f>IF(J49="","",IFERROR(INDEX(Properties!$B$5:$B$254,MATCH(J49,Properties!$A$5:$A$254,0)),""))</f>
        <v>0</v>
      </c>
      <c r="L49" s="23">
        <f>IF(J49="","",IFERROR(INDEX(Properties!$F$5:$F$254,MATCH(J49,Properties!$A$5:$A$254,0)),""))</f>
        <v>0</v>
      </c>
      <c r="M49" s="15" t="s">
        <v>770</v>
      </c>
      <c r="N49" s="15" t="s">
        <v>1133</v>
      </c>
      <c r="O49" s="15" t="s">
        <v>617</v>
      </c>
      <c r="P49" s="45" t="s">
        <v>406</v>
      </c>
      <c r="Q49" s="15" t="s">
        <v>448</v>
      </c>
      <c r="R49" s="15" t="s">
        <v>664</v>
      </c>
      <c r="S49" s="15" t="s">
        <v>172</v>
      </c>
      <c r="T49" s="16">
        <v>1</v>
      </c>
      <c r="W49" s="17">
        <v>7.6</v>
      </c>
      <c r="X49" s="47" t="s">
        <v>454</v>
      </c>
      <c r="Y49" s="47" t="s">
        <v>454</v>
      </c>
      <c r="AA49" s="47" t="s">
        <v>172</v>
      </c>
      <c r="AB49" s="44" t="s">
        <v>172</v>
      </c>
      <c r="AC49" s="44" t="s">
        <v>172</v>
      </c>
      <c r="AD49" s="34">
        <f>IF(G49="","",IF(U49&lt;&gt;"",U49,IF(AND(IFERROR(INDEX(Services!$D$5:$D$64,MATCH(M49,Services!$B$5:$B$64,0)),"")="Per hour",IFERROR(INDEX(Properties!$X$5:$X$254,MATCH(J49,Properties!$A$5:$A$254,0)),0)&gt;0),IFERROR(INDEX(Properties!$X$5:$X$254,MATCH(J49,Properties!$A$5:$A$254,0)),0),IF(IFERROR(INDEX(Services!$G$5:$G$64,MATCH(M49,Services!$B$5:$B$64,0)),0)&gt;0,IFERROR(INDEX(Services!$G$5:$G$64,MATCH(M49,Services!$B$5:$B$64,0)),0),IFERROR(INDEX(Properties!$X$5:$X$254,MATCH(J49,Properties!$A$5:$A$254,0)),0)))))</f>
        <v>0</v>
      </c>
      <c r="AE49" s="31">
        <f>IF(G49="","",IF(T49="",CleanersPerJob,MAX(1,T49)))</f>
        <v>0</v>
      </c>
      <c r="AF49" s="34">
        <f>IF(G49="","",ROUND(AD49/AE49,2))</f>
        <v>0</v>
      </c>
      <c r="AG49" s="53">
        <f>IF(OR(G49="",F49="",AF49=""),"",F49+AF49/24)</f>
        <v>0</v>
      </c>
      <c r="AH49" s="21">
        <f>IF(G49="","",IF(IFERROR(INDEX(Clients!$O$5:$O$204,MATCH(G49,Clients!$A$5:$A$204,0)),0)&gt;0,IFERROR(INDEX(Clients!$O$5:$O$204,MATCH(G49,Clients!$A$5:$A$204,0)),0),HourlyRate))</f>
        <v>0</v>
      </c>
      <c r="AI49" s="21">
        <f>IF(G49="","",IF(AND(M49&lt;&gt;"",IFERROR(INDEX(Services!$P$5:$P$64,MATCH(M49,Services!$B$5:$B$64,0)),0)&gt;0,IFERROR(INDEX(Services!$D$5:$D$64,MATCH(M49,Services!$B$5:$B$64,0)),"")&lt;&gt;"Per hour"),IFERROR(INDEX(Services!$P$5:$P$64,MATCH(M49,Services!$B$5:$B$64,0)),0),AD49*AH49))</f>
        <v>0</v>
      </c>
      <c r="AJ49" s="21">
        <f>IF(G49="","",IF(V49&lt;&gt;"",V49,IF(P49="Cancelled",0,MAX(MinimumCharge,ROUND(AI49*IFERROR(INDEX(FreqFactors,MATCH(O49,FreqNames,0)),1),2)))))</f>
        <v>0</v>
      </c>
      <c r="AK49" s="34">
        <f>IF(G49="","",IF(SUMIFS(Timesheets!$U$5:$U$804,Timesheets!$G$5:$G$804,A49)&gt;0,SUMIFS(Timesheets!$U$5:$U$804,Timesheets!$G$5:$G$804,A49),IF(Z49="","",Z49)))</f>
        <v>0</v>
      </c>
      <c r="AL49" s="34">
        <f>IF(OR(AK49="",AD49=""),"",AK49-AD49)</f>
        <v>0</v>
      </c>
      <c r="AM49" s="31">
        <f>IF(A49="","",COUNTIFS('Job Tasks'!$B$5:$B$904,A49))</f>
        <v>0</v>
      </c>
      <c r="AN49" s="31">
        <f>IF(A49="","",COUNTIFS('Job Tasks'!$B$5:$B$904,A49,'Job Tasks'!$H$5:$H$904,"Done"))</f>
        <v>0</v>
      </c>
      <c r="AO49" s="38">
        <f>IF(OR(A49="",AM49=0),"",AN49/AM49)</f>
        <v>0</v>
      </c>
      <c r="AP49" s="43">
        <f>IF(A49="","",IFERROR(INDEX('Invoice Lines'!$B$5:$B$804,MATCH(A49,'Invoice Lines'!$C$5:$C$804,0)),""))</f>
        <v>0</v>
      </c>
      <c r="AQ49" s="18">
        <f>IF(OR(G49="",B49="",X49&lt;&gt;"Yes"),"",IF(IFERROR(INDEX(FreqDays,MATCH(O49,FreqNames,0)),0)=0,"",B49+IFERROR(INDEX(FreqDays,MATCH(O49,FreqNames,0)),0)))</f>
        <v>0</v>
      </c>
      <c r="AR49" s="39">
        <f>IF(G49="","",IF(R49="","Unassigned",IF(COUNTIFS($R$5:$R$604,R49,$B$5:$B$604,B49,$F$5:$F$604,F49)&gt;1,"Clash",IF(SUMIFS($AF$5:$AF$604,$R$5:$R$604,R49,$B$5:$B$604,B49)&gt;ProductiveHours,"Long day","OK"))))</f>
        <v>0</v>
      </c>
      <c r="AS49" s="18">
        <f>IF(OR(G49="",B49=""),"",IF(AND(B49&gt;=TodayDate,P49&lt;&gt;"Cancelled"),B49,""))</f>
        <v>0</v>
      </c>
      <c r="AT49" s="31">
        <f>IF(AS49="","",COUNTIFS($AS$5:$AS$604,"&lt;"&amp;AS49)+COUNTIFS($AS$5:AS49,AS49))</f>
        <v>0</v>
      </c>
      <c r="AU49" s="18">
        <f>IF(OR(G49="",B49="",R49&lt;&gt;""),"",IF(AND(B49&gt;=TodayDate,P49&lt;&gt;"Cancelled"),B49,""))</f>
        <v>0</v>
      </c>
      <c r="AV49" s="31">
        <f>IF(AU49="","",COUNTIFS($AU$5:$AU$604,"&lt;"&amp;AU49)+COUNTIFS($AU$5:AU49,AU49))</f>
        <v>0</v>
      </c>
      <c r="AW49" s="31">
        <f>IF(OR(G49="",B49=""),"",B49-TodayDate)</f>
        <v>0</v>
      </c>
      <c r="AX49" s="39">
        <f>IF(G49="","",IF(P49="Cancelled","Cancelled",IF(P49="No access","Action - no access, rebook",IF(AND(B49&lt;&gt;"",AW49&lt;0,OR(P49="Booked",P49="Confirmed",P49="In progress")),"Late - mark it completed",IF(AND(P49="Completed",AP49=""),"Action - not invoiced yet",IF(AND(AW49&gt;=0,AW49&lt;=ReminderDays,Y49&lt;&gt;"Yes"),"Confirm - visit coming up",IF(R49="","Assign - no cleaner booked",IF(AND(P49="Completed",AO49&lt;&gt;"",AO49&lt;1),"Check - checklist unfinished","OK"))))))))</f>
        <v>0</v>
      </c>
    </row>
    <row r="50" spans="1:50">
      <c r="A50" s="43">
        <f>IF(G50="","",JobPrefix&amp;TEXT(ROW()-4,"0000"))</f>
        <v>0</v>
      </c>
      <c r="B50" s="46">
        <v>46296</v>
      </c>
      <c r="C50" s="23">
        <f>IF(B50="","",TEXT(B50,"ddd"))</f>
        <v>0</v>
      </c>
      <c r="D50" s="31">
        <f>IF(B50="","",WEEKNUM(B50,IF(WeekStart="Sunday",1,2)))</f>
        <v>0</v>
      </c>
      <c r="E50" s="23">
        <f>IF(B50="","",TEXT(B50,"yyyy-mm"))</f>
        <v>0</v>
      </c>
      <c r="F50" s="52">
        <v>0.770833333333333</v>
      </c>
      <c r="G50" s="49" t="s">
        <v>773</v>
      </c>
      <c r="H50" s="23">
        <f>IF(G50="","",IFERROR(INDEX(Clients!$B$5:$B$204,MATCH(G50,Clients!$A$5:$A$204,0)),"Not found"))</f>
        <v>0</v>
      </c>
      <c r="I50" s="23">
        <f>IF(G50="","",IFERROR(INDEX(Clients!$C$5:$C$204,MATCH(G50,Clients!$A$5:$A$204,0)),""))</f>
        <v>0</v>
      </c>
      <c r="J50" s="49" t="s">
        <v>1134</v>
      </c>
      <c r="K50" s="23">
        <f>IF(J50="","",IFERROR(INDEX(Properties!$B$5:$B$254,MATCH(J50,Properties!$A$5:$A$254,0)),""))</f>
        <v>0</v>
      </c>
      <c r="L50" s="23">
        <f>IF(J50="","",IFERROR(INDEX(Properties!$F$5:$F$254,MATCH(J50,Properties!$A$5:$A$254,0)),""))</f>
        <v>0</v>
      </c>
      <c r="M50" s="15" t="s">
        <v>770</v>
      </c>
      <c r="N50" s="15" t="s">
        <v>1133</v>
      </c>
      <c r="O50" s="15" t="s">
        <v>617</v>
      </c>
      <c r="P50" s="45" t="s">
        <v>406</v>
      </c>
      <c r="Q50" s="15" t="s">
        <v>448</v>
      </c>
      <c r="R50" s="15" t="s">
        <v>608</v>
      </c>
      <c r="S50" s="15" t="s">
        <v>172</v>
      </c>
      <c r="T50" s="16">
        <v>1</v>
      </c>
      <c r="W50" s="17">
        <v>4.8</v>
      </c>
      <c r="X50" s="47" t="s">
        <v>454</v>
      </c>
      <c r="Y50" s="47" t="s">
        <v>454</v>
      </c>
      <c r="AA50" s="47">
        <v>4</v>
      </c>
      <c r="AB50" s="44" t="s">
        <v>172</v>
      </c>
      <c r="AC50" s="44" t="s">
        <v>172</v>
      </c>
      <c r="AD50" s="34">
        <f>IF(G50="","",IF(U50&lt;&gt;"",U50,IF(AND(IFERROR(INDEX(Services!$D$5:$D$64,MATCH(M50,Services!$B$5:$B$64,0)),"")="Per hour",IFERROR(INDEX(Properties!$X$5:$X$254,MATCH(J50,Properties!$A$5:$A$254,0)),0)&gt;0),IFERROR(INDEX(Properties!$X$5:$X$254,MATCH(J50,Properties!$A$5:$A$254,0)),0),IF(IFERROR(INDEX(Services!$G$5:$G$64,MATCH(M50,Services!$B$5:$B$64,0)),0)&gt;0,IFERROR(INDEX(Services!$G$5:$G$64,MATCH(M50,Services!$B$5:$B$64,0)),0),IFERROR(INDEX(Properties!$X$5:$X$254,MATCH(J50,Properties!$A$5:$A$254,0)),0)))))</f>
        <v>0</v>
      </c>
      <c r="AE50" s="31">
        <f>IF(G50="","",IF(T50="",CleanersPerJob,MAX(1,T50)))</f>
        <v>0</v>
      </c>
      <c r="AF50" s="34">
        <f>IF(G50="","",ROUND(AD50/AE50,2))</f>
        <v>0</v>
      </c>
      <c r="AG50" s="53">
        <f>IF(OR(G50="",F50="",AF50=""),"",F50+AF50/24)</f>
        <v>0</v>
      </c>
      <c r="AH50" s="21">
        <f>IF(G50="","",IF(IFERROR(INDEX(Clients!$O$5:$O$204,MATCH(G50,Clients!$A$5:$A$204,0)),0)&gt;0,IFERROR(INDEX(Clients!$O$5:$O$204,MATCH(G50,Clients!$A$5:$A$204,0)),0),HourlyRate))</f>
        <v>0</v>
      </c>
      <c r="AI50" s="21">
        <f>IF(G50="","",IF(AND(M50&lt;&gt;"",IFERROR(INDEX(Services!$P$5:$P$64,MATCH(M50,Services!$B$5:$B$64,0)),0)&gt;0,IFERROR(INDEX(Services!$D$5:$D$64,MATCH(M50,Services!$B$5:$B$64,0)),"")&lt;&gt;"Per hour"),IFERROR(INDEX(Services!$P$5:$P$64,MATCH(M50,Services!$B$5:$B$64,0)),0),AD50*AH50))</f>
        <v>0</v>
      </c>
      <c r="AJ50" s="21">
        <f>IF(G50="","",IF(V50&lt;&gt;"",V50,IF(P50="Cancelled",0,MAX(MinimumCharge,ROUND(AI50*IFERROR(INDEX(FreqFactors,MATCH(O50,FreqNames,0)),1),2)))))</f>
        <v>0</v>
      </c>
      <c r="AK50" s="34">
        <f>IF(G50="","",IF(SUMIFS(Timesheets!$U$5:$U$804,Timesheets!$G$5:$G$804,A50)&gt;0,SUMIFS(Timesheets!$U$5:$U$804,Timesheets!$G$5:$G$804,A50),IF(Z50="","",Z50)))</f>
        <v>0</v>
      </c>
      <c r="AL50" s="34">
        <f>IF(OR(AK50="",AD50=""),"",AK50-AD50)</f>
        <v>0</v>
      </c>
      <c r="AM50" s="31">
        <f>IF(A50="","",COUNTIFS('Job Tasks'!$B$5:$B$904,A50))</f>
        <v>0</v>
      </c>
      <c r="AN50" s="31">
        <f>IF(A50="","",COUNTIFS('Job Tasks'!$B$5:$B$904,A50,'Job Tasks'!$H$5:$H$904,"Done"))</f>
        <v>0</v>
      </c>
      <c r="AO50" s="38">
        <f>IF(OR(A50="",AM50=0),"",AN50/AM50)</f>
        <v>0</v>
      </c>
      <c r="AP50" s="43">
        <f>IF(A50="","",IFERROR(INDEX('Invoice Lines'!$B$5:$B$804,MATCH(A50,'Invoice Lines'!$C$5:$C$804,0)),""))</f>
        <v>0</v>
      </c>
      <c r="AQ50" s="18">
        <f>IF(OR(G50="",B50="",X50&lt;&gt;"Yes"),"",IF(IFERROR(INDEX(FreqDays,MATCH(O50,FreqNames,0)),0)=0,"",B50+IFERROR(INDEX(FreqDays,MATCH(O50,FreqNames,0)),0)))</f>
        <v>0</v>
      </c>
      <c r="AR50" s="39">
        <f>IF(G50="","",IF(R50="","Unassigned",IF(COUNTIFS($R$5:$R$604,R50,$B$5:$B$604,B50,$F$5:$F$604,F50)&gt;1,"Clash",IF(SUMIFS($AF$5:$AF$604,$R$5:$R$604,R50,$B$5:$B$604,B50)&gt;ProductiveHours,"Long day","OK"))))</f>
        <v>0</v>
      </c>
      <c r="AS50" s="18">
        <f>IF(OR(G50="",B50=""),"",IF(AND(B50&gt;=TodayDate,P50&lt;&gt;"Cancelled"),B50,""))</f>
        <v>0</v>
      </c>
      <c r="AT50" s="31">
        <f>IF(AS50="","",COUNTIFS($AS$5:$AS$604,"&lt;"&amp;AS50)+COUNTIFS($AS$5:AS50,AS50))</f>
        <v>0</v>
      </c>
      <c r="AU50" s="18">
        <f>IF(OR(G50="",B50="",R50&lt;&gt;""),"",IF(AND(B50&gt;=TodayDate,P50&lt;&gt;"Cancelled"),B50,""))</f>
        <v>0</v>
      </c>
      <c r="AV50" s="31">
        <f>IF(AU50="","",COUNTIFS($AU$5:$AU$604,"&lt;"&amp;AU50)+COUNTIFS($AU$5:AU50,AU50))</f>
        <v>0</v>
      </c>
      <c r="AW50" s="31">
        <f>IF(OR(G50="",B50=""),"",B50-TodayDate)</f>
        <v>0</v>
      </c>
      <c r="AX50" s="39">
        <f>IF(G50="","",IF(P50="Cancelled","Cancelled",IF(P50="No access","Action - no access, rebook",IF(AND(B50&lt;&gt;"",AW50&lt;0,OR(P50="Booked",P50="Confirmed",P50="In progress")),"Late - mark it completed",IF(AND(P50="Completed",AP50=""),"Action - not invoiced yet",IF(AND(AW50&gt;=0,AW50&lt;=ReminderDays,Y50&lt;&gt;"Yes"),"Confirm - visit coming up",IF(R50="","Assign - no cleaner booked",IF(AND(P50="Completed",AO50&lt;&gt;"",AO50&lt;1),"Check - checklist unfinished","OK"))))))))</f>
        <v>0</v>
      </c>
    </row>
    <row r="51" spans="1:50">
      <c r="A51" s="43">
        <f>IF(G51="","",JobPrefix&amp;TEXT(ROW()-4,"0000"))</f>
        <v>0</v>
      </c>
      <c r="B51" s="46">
        <v>46297</v>
      </c>
      <c r="C51" s="23">
        <f>IF(B51="","",TEXT(B51,"ddd"))</f>
        <v>0</v>
      </c>
      <c r="D51" s="31">
        <f>IF(B51="","",WEEKNUM(B51,IF(WeekStart="Sunday",1,2)))</f>
        <v>0</v>
      </c>
      <c r="E51" s="23">
        <f>IF(B51="","",TEXT(B51,"yyyy-mm"))</f>
        <v>0</v>
      </c>
      <c r="F51" s="52">
        <v>0.729166666666667</v>
      </c>
      <c r="G51" s="49" t="s">
        <v>800</v>
      </c>
      <c r="H51" s="23">
        <f>IF(G51="","",IFERROR(INDEX(Clients!$B$5:$B$204,MATCH(G51,Clients!$A$5:$A$204,0)),"Not found"))</f>
        <v>0</v>
      </c>
      <c r="I51" s="23">
        <f>IF(G51="","",IFERROR(INDEX(Clients!$C$5:$C$204,MATCH(G51,Clients!$A$5:$A$204,0)),""))</f>
        <v>0</v>
      </c>
      <c r="J51" s="49" t="s">
        <v>1140</v>
      </c>
      <c r="K51" s="23">
        <f>IF(J51="","",IFERROR(INDEX(Properties!$B$5:$B$254,MATCH(J51,Properties!$A$5:$A$254,0)),""))</f>
        <v>0</v>
      </c>
      <c r="L51" s="23">
        <f>IF(J51="","",IFERROR(INDEX(Properties!$F$5:$F$254,MATCH(J51,Properties!$A$5:$A$254,0)),""))</f>
        <v>0</v>
      </c>
      <c r="M51" s="15" t="s">
        <v>803</v>
      </c>
      <c r="N51" s="15" t="s">
        <v>1133</v>
      </c>
      <c r="O51" s="15" t="s">
        <v>451</v>
      </c>
      <c r="P51" s="45" t="s">
        <v>406</v>
      </c>
      <c r="Q51" s="15" t="s">
        <v>448</v>
      </c>
      <c r="R51" s="15" t="s">
        <v>639</v>
      </c>
      <c r="S51" s="15" t="s">
        <v>664</v>
      </c>
      <c r="T51" s="16">
        <v>2</v>
      </c>
      <c r="W51" s="17">
        <v>9.2</v>
      </c>
      <c r="X51" s="47" t="s">
        <v>454</v>
      </c>
      <c r="Y51" s="47" t="s">
        <v>454</v>
      </c>
      <c r="AA51" s="47">
        <v>5</v>
      </c>
      <c r="AB51" s="44" t="s">
        <v>172</v>
      </c>
      <c r="AC51" s="44" t="s">
        <v>172</v>
      </c>
      <c r="AD51" s="34">
        <f>IF(G51="","",IF(U51&lt;&gt;"",U51,IF(AND(IFERROR(INDEX(Services!$D$5:$D$64,MATCH(M51,Services!$B$5:$B$64,0)),"")="Per hour",IFERROR(INDEX(Properties!$X$5:$X$254,MATCH(J51,Properties!$A$5:$A$254,0)),0)&gt;0),IFERROR(INDEX(Properties!$X$5:$X$254,MATCH(J51,Properties!$A$5:$A$254,0)),0),IF(IFERROR(INDEX(Services!$G$5:$G$64,MATCH(M51,Services!$B$5:$B$64,0)),0)&gt;0,IFERROR(INDEX(Services!$G$5:$G$64,MATCH(M51,Services!$B$5:$B$64,0)),0),IFERROR(INDEX(Properties!$X$5:$X$254,MATCH(J51,Properties!$A$5:$A$254,0)),0)))))</f>
        <v>0</v>
      </c>
      <c r="AE51" s="31">
        <f>IF(G51="","",IF(T51="",CleanersPerJob,MAX(1,T51)))</f>
        <v>0</v>
      </c>
      <c r="AF51" s="34">
        <f>IF(G51="","",ROUND(AD51/AE51,2))</f>
        <v>0</v>
      </c>
      <c r="AG51" s="53">
        <f>IF(OR(G51="",F51="",AF51=""),"",F51+AF51/24)</f>
        <v>0</v>
      </c>
      <c r="AH51" s="21">
        <f>IF(G51="","",IF(IFERROR(INDEX(Clients!$O$5:$O$204,MATCH(G51,Clients!$A$5:$A$204,0)),0)&gt;0,IFERROR(INDEX(Clients!$O$5:$O$204,MATCH(G51,Clients!$A$5:$A$204,0)),0),HourlyRate))</f>
        <v>0</v>
      </c>
      <c r="AI51" s="21">
        <f>IF(G51="","",IF(AND(M51&lt;&gt;"",IFERROR(INDEX(Services!$P$5:$P$64,MATCH(M51,Services!$B$5:$B$64,0)),0)&gt;0,IFERROR(INDEX(Services!$D$5:$D$64,MATCH(M51,Services!$B$5:$B$64,0)),"")&lt;&gt;"Per hour"),IFERROR(INDEX(Services!$P$5:$P$64,MATCH(M51,Services!$B$5:$B$64,0)),0),AD51*AH51))</f>
        <v>0</v>
      </c>
      <c r="AJ51" s="21">
        <f>IF(G51="","",IF(V51&lt;&gt;"",V51,IF(P51="Cancelled",0,MAX(MinimumCharge,ROUND(AI51*IFERROR(INDEX(FreqFactors,MATCH(O51,FreqNames,0)),1),2)))))</f>
        <v>0</v>
      </c>
      <c r="AK51" s="34">
        <f>IF(G51="","",IF(SUMIFS(Timesheets!$U$5:$U$804,Timesheets!$G$5:$G$804,A51)&gt;0,SUMIFS(Timesheets!$U$5:$U$804,Timesheets!$G$5:$G$804,A51),IF(Z51="","",Z51)))</f>
        <v>0</v>
      </c>
      <c r="AL51" s="34">
        <f>IF(OR(AK51="",AD51=""),"",AK51-AD51)</f>
        <v>0</v>
      </c>
      <c r="AM51" s="31">
        <f>IF(A51="","",COUNTIFS('Job Tasks'!$B$5:$B$904,A51))</f>
        <v>0</v>
      </c>
      <c r="AN51" s="31">
        <f>IF(A51="","",COUNTIFS('Job Tasks'!$B$5:$B$904,A51,'Job Tasks'!$H$5:$H$904,"Done"))</f>
        <v>0</v>
      </c>
      <c r="AO51" s="38">
        <f>IF(OR(A51="",AM51=0),"",AN51/AM51)</f>
        <v>0</v>
      </c>
      <c r="AP51" s="43">
        <f>IF(A51="","",IFERROR(INDEX('Invoice Lines'!$B$5:$B$804,MATCH(A51,'Invoice Lines'!$C$5:$C$804,0)),""))</f>
        <v>0</v>
      </c>
      <c r="AQ51" s="18">
        <f>IF(OR(G51="",B51="",X51&lt;&gt;"Yes"),"",IF(IFERROR(INDEX(FreqDays,MATCH(O51,FreqNames,0)),0)=0,"",B51+IFERROR(INDEX(FreqDays,MATCH(O51,FreqNames,0)),0)))</f>
        <v>0</v>
      </c>
      <c r="AR51" s="39">
        <f>IF(G51="","",IF(R51="","Unassigned",IF(COUNTIFS($R$5:$R$604,R51,$B$5:$B$604,B51,$F$5:$F$604,F51)&gt;1,"Clash",IF(SUMIFS($AF$5:$AF$604,$R$5:$R$604,R51,$B$5:$B$604,B51)&gt;ProductiveHours,"Long day","OK"))))</f>
        <v>0</v>
      </c>
      <c r="AS51" s="18">
        <f>IF(OR(G51="",B51=""),"",IF(AND(B51&gt;=TodayDate,P51&lt;&gt;"Cancelled"),B51,""))</f>
        <v>0</v>
      </c>
      <c r="AT51" s="31">
        <f>IF(AS51="","",COUNTIFS($AS$5:$AS$604,"&lt;"&amp;AS51)+COUNTIFS($AS$5:AS51,AS51))</f>
        <v>0</v>
      </c>
      <c r="AU51" s="18">
        <f>IF(OR(G51="",B51="",R51&lt;&gt;""),"",IF(AND(B51&gt;=TodayDate,P51&lt;&gt;"Cancelled"),B51,""))</f>
        <v>0</v>
      </c>
      <c r="AV51" s="31">
        <f>IF(AU51="","",COUNTIFS($AU$5:$AU$604,"&lt;"&amp;AU51)+COUNTIFS($AU$5:AU51,AU51))</f>
        <v>0</v>
      </c>
      <c r="AW51" s="31">
        <f>IF(OR(G51="",B51=""),"",B51-TodayDate)</f>
        <v>0</v>
      </c>
      <c r="AX51" s="39">
        <f>IF(G51="","",IF(P51="Cancelled","Cancelled",IF(P51="No access","Action - no access, rebook",IF(AND(B51&lt;&gt;"",AW51&lt;0,OR(P51="Booked",P51="Confirmed",P51="In progress")),"Late - mark it completed",IF(AND(P51="Completed",AP51=""),"Action - not invoiced yet",IF(AND(AW51&gt;=0,AW51&lt;=ReminderDays,Y51&lt;&gt;"Yes"),"Confirm - visit coming up",IF(R51="","Assign - no cleaner booked",IF(AND(P51="Completed",AO51&lt;&gt;"",AO51&lt;1),"Check - checklist unfinished","OK"))))))))</f>
        <v>0</v>
      </c>
    </row>
    <row r="52" spans="1:50">
      <c r="A52" s="43">
        <f>IF(G52="","",JobPrefix&amp;TEXT(ROW()-4,"0000"))</f>
        <v>0</v>
      </c>
      <c r="B52" s="46">
        <v>46297</v>
      </c>
      <c r="C52" s="23">
        <f>IF(B52="","",TEXT(B52,"ddd"))</f>
        <v>0</v>
      </c>
      <c r="D52" s="31">
        <f>IF(B52="","",WEEKNUM(B52,IF(WeekStart="Sunday",1,2)))</f>
        <v>0</v>
      </c>
      <c r="E52" s="23">
        <f>IF(B52="","",TEXT(B52,"yyyy-mm"))</f>
        <v>0</v>
      </c>
      <c r="F52" s="52">
        <v>0.75</v>
      </c>
      <c r="G52" s="49" t="s">
        <v>764</v>
      </c>
      <c r="H52" s="23">
        <f>IF(G52="","",IFERROR(INDEX(Clients!$B$5:$B$204,MATCH(G52,Clients!$A$5:$A$204,0)),"Not found"))</f>
        <v>0</v>
      </c>
      <c r="I52" s="23">
        <f>IF(G52="","",IFERROR(INDEX(Clients!$C$5:$C$204,MATCH(G52,Clients!$A$5:$A$204,0)),""))</f>
        <v>0</v>
      </c>
      <c r="J52" s="49" t="s">
        <v>1141</v>
      </c>
      <c r="K52" s="23">
        <f>IF(J52="","",IFERROR(INDEX(Properties!$B$5:$B$254,MATCH(J52,Properties!$A$5:$A$254,0)),""))</f>
        <v>0</v>
      </c>
      <c r="L52" s="23">
        <f>IF(J52="","",IFERROR(INDEX(Properties!$F$5:$F$254,MATCH(J52,Properties!$A$5:$A$254,0)),""))</f>
        <v>0</v>
      </c>
      <c r="M52" s="15" t="s">
        <v>770</v>
      </c>
      <c r="N52" s="15" t="s">
        <v>1133</v>
      </c>
      <c r="O52" s="15" t="s">
        <v>451</v>
      </c>
      <c r="P52" s="45" t="s">
        <v>406</v>
      </c>
      <c r="Q52" s="15" t="s">
        <v>448</v>
      </c>
      <c r="R52" s="15" t="s">
        <v>608</v>
      </c>
      <c r="S52" s="15" t="s">
        <v>172</v>
      </c>
      <c r="T52" s="16">
        <v>1</v>
      </c>
      <c r="W52" s="17">
        <v>6.2</v>
      </c>
      <c r="X52" s="47" t="s">
        <v>454</v>
      </c>
      <c r="Y52" s="47" t="s">
        <v>454</v>
      </c>
      <c r="AA52" s="47">
        <v>5</v>
      </c>
      <c r="AB52" s="44" t="s">
        <v>172</v>
      </c>
      <c r="AC52" s="44" t="s">
        <v>172</v>
      </c>
      <c r="AD52" s="34">
        <f>IF(G52="","",IF(U52&lt;&gt;"",U52,IF(AND(IFERROR(INDEX(Services!$D$5:$D$64,MATCH(M52,Services!$B$5:$B$64,0)),"")="Per hour",IFERROR(INDEX(Properties!$X$5:$X$254,MATCH(J52,Properties!$A$5:$A$254,0)),0)&gt;0),IFERROR(INDEX(Properties!$X$5:$X$254,MATCH(J52,Properties!$A$5:$A$254,0)),0),IF(IFERROR(INDEX(Services!$G$5:$G$64,MATCH(M52,Services!$B$5:$B$64,0)),0)&gt;0,IFERROR(INDEX(Services!$G$5:$G$64,MATCH(M52,Services!$B$5:$B$64,0)),0),IFERROR(INDEX(Properties!$X$5:$X$254,MATCH(J52,Properties!$A$5:$A$254,0)),0)))))</f>
        <v>0</v>
      </c>
      <c r="AE52" s="31">
        <f>IF(G52="","",IF(T52="",CleanersPerJob,MAX(1,T52)))</f>
        <v>0</v>
      </c>
      <c r="AF52" s="34">
        <f>IF(G52="","",ROUND(AD52/AE52,2))</f>
        <v>0</v>
      </c>
      <c r="AG52" s="53">
        <f>IF(OR(G52="",F52="",AF52=""),"",F52+AF52/24)</f>
        <v>0</v>
      </c>
      <c r="AH52" s="21">
        <f>IF(G52="","",IF(IFERROR(INDEX(Clients!$O$5:$O$204,MATCH(G52,Clients!$A$5:$A$204,0)),0)&gt;0,IFERROR(INDEX(Clients!$O$5:$O$204,MATCH(G52,Clients!$A$5:$A$204,0)),0),HourlyRate))</f>
        <v>0</v>
      </c>
      <c r="AI52" s="21">
        <f>IF(G52="","",IF(AND(M52&lt;&gt;"",IFERROR(INDEX(Services!$P$5:$P$64,MATCH(M52,Services!$B$5:$B$64,0)),0)&gt;0,IFERROR(INDEX(Services!$D$5:$D$64,MATCH(M52,Services!$B$5:$B$64,0)),"")&lt;&gt;"Per hour"),IFERROR(INDEX(Services!$P$5:$P$64,MATCH(M52,Services!$B$5:$B$64,0)),0),AD52*AH52))</f>
        <v>0</v>
      </c>
      <c r="AJ52" s="21">
        <f>IF(G52="","",IF(V52&lt;&gt;"",V52,IF(P52="Cancelled",0,MAX(MinimumCharge,ROUND(AI52*IFERROR(INDEX(FreqFactors,MATCH(O52,FreqNames,0)),1),2)))))</f>
        <v>0</v>
      </c>
      <c r="AK52" s="34">
        <f>IF(G52="","",IF(SUMIFS(Timesheets!$U$5:$U$804,Timesheets!$G$5:$G$804,A52)&gt;0,SUMIFS(Timesheets!$U$5:$U$804,Timesheets!$G$5:$G$804,A52),IF(Z52="","",Z52)))</f>
        <v>0</v>
      </c>
      <c r="AL52" s="34">
        <f>IF(OR(AK52="",AD52=""),"",AK52-AD52)</f>
        <v>0</v>
      </c>
      <c r="AM52" s="31">
        <f>IF(A52="","",COUNTIFS('Job Tasks'!$B$5:$B$904,A52))</f>
        <v>0</v>
      </c>
      <c r="AN52" s="31">
        <f>IF(A52="","",COUNTIFS('Job Tasks'!$B$5:$B$904,A52,'Job Tasks'!$H$5:$H$904,"Done"))</f>
        <v>0</v>
      </c>
      <c r="AO52" s="38">
        <f>IF(OR(A52="",AM52=0),"",AN52/AM52)</f>
        <v>0</v>
      </c>
      <c r="AP52" s="43">
        <f>IF(A52="","",IFERROR(INDEX('Invoice Lines'!$B$5:$B$804,MATCH(A52,'Invoice Lines'!$C$5:$C$804,0)),""))</f>
        <v>0</v>
      </c>
      <c r="AQ52" s="18">
        <f>IF(OR(G52="",B52="",X52&lt;&gt;"Yes"),"",IF(IFERROR(INDEX(FreqDays,MATCH(O52,FreqNames,0)),0)=0,"",B52+IFERROR(INDEX(FreqDays,MATCH(O52,FreqNames,0)),0)))</f>
        <v>0</v>
      </c>
      <c r="AR52" s="39">
        <f>IF(G52="","",IF(R52="","Unassigned",IF(COUNTIFS($R$5:$R$604,R52,$B$5:$B$604,B52,$F$5:$F$604,F52)&gt;1,"Clash",IF(SUMIFS($AF$5:$AF$604,$R$5:$R$604,R52,$B$5:$B$604,B52)&gt;ProductiveHours,"Long day","OK"))))</f>
        <v>0</v>
      </c>
      <c r="AS52" s="18">
        <f>IF(OR(G52="",B52=""),"",IF(AND(B52&gt;=TodayDate,P52&lt;&gt;"Cancelled"),B52,""))</f>
        <v>0</v>
      </c>
      <c r="AT52" s="31">
        <f>IF(AS52="","",COUNTIFS($AS$5:$AS$604,"&lt;"&amp;AS52)+COUNTIFS($AS$5:AS52,AS52))</f>
        <v>0</v>
      </c>
      <c r="AU52" s="18">
        <f>IF(OR(G52="",B52="",R52&lt;&gt;""),"",IF(AND(B52&gt;=TodayDate,P52&lt;&gt;"Cancelled"),B52,""))</f>
        <v>0</v>
      </c>
      <c r="AV52" s="31">
        <f>IF(AU52="","",COUNTIFS($AU$5:$AU$604,"&lt;"&amp;AU52)+COUNTIFS($AU$5:AU52,AU52))</f>
        <v>0</v>
      </c>
      <c r="AW52" s="31">
        <f>IF(OR(G52="",B52=""),"",B52-TodayDate)</f>
        <v>0</v>
      </c>
      <c r="AX52" s="39">
        <f>IF(G52="","",IF(P52="Cancelled","Cancelled",IF(P52="No access","Action - no access, rebook",IF(AND(B52&lt;&gt;"",AW52&lt;0,OR(P52="Booked",P52="Confirmed",P52="In progress")),"Late - mark it completed",IF(AND(P52="Completed",AP52=""),"Action - not invoiced yet",IF(AND(AW52&gt;=0,AW52&lt;=ReminderDays,Y52&lt;&gt;"Yes"),"Confirm - visit coming up",IF(R52="","Assign - no cleaner booked",IF(AND(P52="Completed",AO52&lt;&gt;"",AO52&lt;1),"Check - checklist unfinished","OK"))))))))</f>
        <v>0</v>
      </c>
    </row>
    <row r="53" spans="1:50">
      <c r="A53" s="43">
        <f>IF(G53="","",JobPrefix&amp;TEXT(ROW()-4,"0000"))</f>
        <v>0</v>
      </c>
      <c r="B53" s="46">
        <v>46297</v>
      </c>
      <c r="C53" s="23">
        <f>IF(B53="","",TEXT(B53,"ddd"))</f>
        <v>0</v>
      </c>
      <c r="D53" s="31">
        <f>IF(B53="","",WEEKNUM(B53,IF(WeekStart="Sunday",1,2)))</f>
        <v>0</v>
      </c>
      <c r="E53" s="23">
        <f>IF(B53="","",TEXT(B53,"yyyy-mm"))</f>
        <v>0</v>
      </c>
      <c r="F53" s="52">
        <v>0.833333333333333</v>
      </c>
      <c r="G53" s="49" t="s">
        <v>848</v>
      </c>
      <c r="H53" s="23">
        <f>IF(G53="","",IFERROR(INDEX(Clients!$B$5:$B$204,MATCH(G53,Clients!$A$5:$A$204,0)),"Not found"))</f>
        <v>0</v>
      </c>
      <c r="I53" s="23">
        <f>IF(G53="","",IFERROR(INDEX(Clients!$C$5:$C$204,MATCH(G53,Clients!$A$5:$A$204,0)),""))</f>
        <v>0</v>
      </c>
      <c r="J53" s="49" t="s">
        <v>1142</v>
      </c>
      <c r="K53" s="23">
        <f>IF(J53="","",IFERROR(INDEX(Properties!$B$5:$B$254,MATCH(J53,Properties!$A$5:$A$254,0)),""))</f>
        <v>0</v>
      </c>
      <c r="L53" s="23">
        <f>IF(J53="","",IFERROR(INDEX(Properties!$F$5:$F$254,MATCH(J53,Properties!$A$5:$A$254,0)),""))</f>
        <v>0</v>
      </c>
      <c r="M53" s="15" t="s">
        <v>770</v>
      </c>
      <c r="N53" s="15" t="s">
        <v>1133</v>
      </c>
      <c r="O53" s="15" t="s">
        <v>451</v>
      </c>
      <c r="P53" s="45" t="s">
        <v>406</v>
      </c>
      <c r="Q53" s="15" t="s">
        <v>448</v>
      </c>
      <c r="R53" s="15" t="s">
        <v>608</v>
      </c>
      <c r="S53" s="15" t="s">
        <v>172</v>
      </c>
      <c r="T53" s="16">
        <v>1</v>
      </c>
      <c r="W53" s="17">
        <v>4.4</v>
      </c>
      <c r="X53" s="47" t="s">
        <v>454</v>
      </c>
      <c r="Y53" s="47" t="s">
        <v>454</v>
      </c>
      <c r="AA53" s="47">
        <v>4</v>
      </c>
      <c r="AB53" s="44" t="s">
        <v>172</v>
      </c>
      <c r="AC53" s="44" t="s">
        <v>172</v>
      </c>
      <c r="AD53" s="34">
        <f>IF(G53="","",IF(U53&lt;&gt;"",U53,IF(AND(IFERROR(INDEX(Services!$D$5:$D$64,MATCH(M53,Services!$B$5:$B$64,0)),"")="Per hour",IFERROR(INDEX(Properties!$X$5:$X$254,MATCH(J53,Properties!$A$5:$A$254,0)),0)&gt;0),IFERROR(INDEX(Properties!$X$5:$X$254,MATCH(J53,Properties!$A$5:$A$254,0)),0),IF(IFERROR(INDEX(Services!$G$5:$G$64,MATCH(M53,Services!$B$5:$B$64,0)),0)&gt;0,IFERROR(INDEX(Services!$G$5:$G$64,MATCH(M53,Services!$B$5:$B$64,0)),0),IFERROR(INDEX(Properties!$X$5:$X$254,MATCH(J53,Properties!$A$5:$A$254,0)),0)))))</f>
        <v>0</v>
      </c>
      <c r="AE53" s="31">
        <f>IF(G53="","",IF(T53="",CleanersPerJob,MAX(1,T53)))</f>
        <v>0</v>
      </c>
      <c r="AF53" s="34">
        <f>IF(G53="","",ROUND(AD53/AE53,2))</f>
        <v>0</v>
      </c>
      <c r="AG53" s="53">
        <f>IF(OR(G53="",F53="",AF53=""),"",F53+AF53/24)</f>
        <v>0</v>
      </c>
      <c r="AH53" s="21">
        <f>IF(G53="","",IF(IFERROR(INDEX(Clients!$O$5:$O$204,MATCH(G53,Clients!$A$5:$A$204,0)),0)&gt;0,IFERROR(INDEX(Clients!$O$5:$O$204,MATCH(G53,Clients!$A$5:$A$204,0)),0),HourlyRate))</f>
        <v>0</v>
      </c>
      <c r="AI53" s="21">
        <f>IF(G53="","",IF(AND(M53&lt;&gt;"",IFERROR(INDEX(Services!$P$5:$P$64,MATCH(M53,Services!$B$5:$B$64,0)),0)&gt;0,IFERROR(INDEX(Services!$D$5:$D$64,MATCH(M53,Services!$B$5:$B$64,0)),"")&lt;&gt;"Per hour"),IFERROR(INDEX(Services!$P$5:$P$64,MATCH(M53,Services!$B$5:$B$64,0)),0),AD53*AH53))</f>
        <v>0</v>
      </c>
      <c r="AJ53" s="21">
        <f>IF(G53="","",IF(V53&lt;&gt;"",V53,IF(P53="Cancelled",0,MAX(MinimumCharge,ROUND(AI53*IFERROR(INDEX(FreqFactors,MATCH(O53,FreqNames,0)),1),2)))))</f>
        <v>0</v>
      </c>
      <c r="AK53" s="34">
        <f>IF(G53="","",IF(SUMIFS(Timesheets!$U$5:$U$804,Timesheets!$G$5:$G$804,A53)&gt;0,SUMIFS(Timesheets!$U$5:$U$804,Timesheets!$G$5:$G$804,A53),IF(Z53="","",Z53)))</f>
        <v>0</v>
      </c>
      <c r="AL53" s="34">
        <f>IF(OR(AK53="",AD53=""),"",AK53-AD53)</f>
        <v>0</v>
      </c>
      <c r="AM53" s="31">
        <f>IF(A53="","",COUNTIFS('Job Tasks'!$B$5:$B$904,A53))</f>
        <v>0</v>
      </c>
      <c r="AN53" s="31">
        <f>IF(A53="","",COUNTIFS('Job Tasks'!$B$5:$B$904,A53,'Job Tasks'!$H$5:$H$904,"Done"))</f>
        <v>0</v>
      </c>
      <c r="AO53" s="38">
        <f>IF(OR(A53="",AM53=0),"",AN53/AM53)</f>
        <v>0</v>
      </c>
      <c r="AP53" s="43">
        <f>IF(A53="","",IFERROR(INDEX('Invoice Lines'!$B$5:$B$804,MATCH(A53,'Invoice Lines'!$C$5:$C$804,0)),""))</f>
        <v>0</v>
      </c>
      <c r="AQ53" s="18">
        <f>IF(OR(G53="",B53="",X53&lt;&gt;"Yes"),"",IF(IFERROR(INDEX(FreqDays,MATCH(O53,FreqNames,0)),0)=0,"",B53+IFERROR(INDEX(FreqDays,MATCH(O53,FreqNames,0)),0)))</f>
        <v>0</v>
      </c>
      <c r="AR53" s="39">
        <f>IF(G53="","",IF(R53="","Unassigned",IF(COUNTIFS($R$5:$R$604,R53,$B$5:$B$604,B53,$F$5:$F$604,F53)&gt;1,"Clash",IF(SUMIFS($AF$5:$AF$604,$R$5:$R$604,R53,$B$5:$B$604,B53)&gt;ProductiveHours,"Long day","OK"))))</f>
        <v>0</v>
      </c>
      <c r="AS53" s="18">
        <f>IF(OR(G53="",B53=""),"",IF(AND(B53&gt;=TodayDate,P53&lt;&gt;"Cancelled"),B53,""))</f>
        <v>0</v>
      </c>
      <c r="AT53" s="31">
        <f>IF(AS53="","",COUNTIFS($AS$5:$AS$604,"&lt;"&amp;AS53)+COUNTIFS($AS$5:AS53,AS53))</f>
        <v>0</v>
      </c>
      <c r="AU53" s="18">
        <f>IF(OR(G53="",B53="",R53&lt;&gt;""),"",IF(AND(B53&gt;=TodayDate,P53&lt;&gt;"Cancelled"),B53,""))</f>
        <v>0</v>
      </c>
      <c r="AV53" s="31">
        <f>IF(AU53="","",COUNTIFS($AU$5:$AU$604,"&lt;"&amp;AU53)+COUNTIFS($AU$5:AU53,AU53))</f>
        <v>0</v>
      </c>
      <c r="AW53" s="31">
        <f>IF(OR(G53="",B53=""),"",B53-TodayDate)</f>
        <v>0</v>
      </c>
      <c r="AX53" s="39">
        <f>IF(G53="","",IF(P53="Cancelled","Cancelled",IF(P53="No access","Action - no access, rebook",IF(AND(B53&lt;&gt;"",AW53&lt;0,OR(P53="Booked",P53="Confirmed",P53="In progress")),"Late - mark it completed",IF(AND(P53="Completed",AP53=""),"Action - not invoiced yet",IF(AND(AW53&gt;=0,AW53&lt;=ReminderDays,Y53&lt;&gt;"Yes"),"Confirm - visit coming up",IF(R53="","Assign - no cleaner booked",IF(AND(P53="Completed",AO53&lt;&gt;"",AO53&lt;1),"Check - checklist unfinished","OK"))))))))</f>
        <v>0</v>
      </c>
    </row>
    <row r="54" spans="1:50">
      <c r="A54" s="43">
        <f>IF(G54="","",JobPrefix&amp;TEXT(ROW()-4,"0000"))</f>
        <v>0</v>
      </c>
      <c r="B54" s="46">
        <v>46298</v>
      </c>
      <c r="C54" s="23">
        <f>IF(B54="","",TEXT(B54,"ddd"))</f>
        <v>0</v>
      </c>
      <c r="D54" s="31">
        <f>IF(B54="","",WEEKNUM(B54,IF(WeekStart="Sunday",1,2)))</f>
        <v>0</v>
      </c>
      <c r="E54" s="23">
        <f>IF(B54="","",TEXT(B54,"yyyy-mm"))</f>
        <v>0</v>
      </c>
      <c r="F54" s="52">
        <v>0.458333333333333</v>
      </c>
      <c r="G54" s="49" t="s">
        <v>818</v>
      </c>
      <c r="H54" s="23">
        <f>IF(G54="","",IFERROR(INDEX(Clients!$B$5:$B$204,MATCH(G54,Clients!$A$5:$A$204,0)),"Not found"))</f>
        <v>0</v>
      </c>
      <c r="I54" s="23">
        <f>IF(G54="","",IFERROR(INDEX(Clients!$C$5:$C$204,MATCH(G54,Clients!$A$5:$A$204,0)),""))</f>
        <v>0</v>
      </c>
      <c r="J54" s="49" t="s">
        <v>1143</v>
      </c>
      <c r="K54" s="23">
        <f>IF(J54="","",IFERROR(INDEX(Properties!$B$5:$B$254,MATCH(J54,Properties!$A$5:$A$254,0)),""))</f>
        <v>0</v>
      </c>
      <c r="L54" s="23">
        <f>IF(J54="","",IFERROR(INDEX(Properties!$F$5:$F$254,MATCH(J54,Properties!$A$5:$A$254,0)),""))</f>
        <v>0</v>
      </c>
      <c r="M54" s="15" t="s">
        <v>821</v>
      </c>
      <c r="N54" s="15" t="s">
        <v>1133</v>
      </c>
      <c r="O54" s="15" t="s">
        <v>451</v>
      </c>
      <c r="P54" s="45" t="s">
        <v>406</v>
      </c>
      <c r="Q54" s="15" t="s">
        <v>448</v>
      </c>
      <c r="R54" s="15" t="s">
        <v>596</v>
      </c>
      <c r="S54" s="15" t="s">
        <v>172</v>
      </c>
      <c r="T54" s="16">
        <v>1</v>
      </c>
      <c r="W54" s="17">
        <v>5.8</v>
      </c>
      <c r="X54" s="47" t="s">
        <v>454</v>
      </c>
      <c r="Y54" s="47" t="s">
        <v>454</v>
      </c>
      <c r="AA54" s="47">
        <v>5</v>
      </c>
      <c r="AB54" s="44" t="s">
        <v>172</v>
      </c>
      <c r="AC54" s="44" t="s">
        <v>172</v>
      </c>
      <c r="AD54" s="34">
        <f>IF(G54="","",IF(U54&lt;&gt;"",U54,IF(AND(IFERROR(INDEX(Services!$D$5:$D$64,MATCH(M54,Services!$B$5:$B$64,0)),"")="Per hour",IFERROR(INDEX(Properties!$X$5:$X$254,MATCH(J54,Properties!$A$5:$A$254,0)),0)&gt;0),IFERROR(INDEX(Properties!$X$5:$X$254,MATCH(J54,Properties!$A$5:$A$254,0)),0),IF(IFERROR(INDEX(Services!$G$5:$G$64,MATCH(M54,Services!$B$5:$B$64,0)),0)&gt;0,IFERROR(INDEX(Services!$G$5:$G$64,MATCH(M54,Services!$B$5:$B$64,0)),0),IFERROR(INDEX(Properties!$X$5:$X$254,MATCH(J54,Properties!$A$5:$A$254,0)),0)))))</f>
        <v>0</v>
      </c>
      <c r="AE54" s="31">
        <f>IF(G54="","",IF(T54="",CleanersPerJob,MAX(1,T54)))</f>
        <v>0</v>
      </c>
      <c r="AF54" s="34">
        <f>IF(G54="","",ROUND(AD54/AE54,2))</f>
        <v>0</v>
      </c>
      <c r="AG54" s="53">
        <f>IF(OR(G54="",F54="",AF54=""),"",F54+AF54/24)</f>
        <v>0</v>
      </c>
      <c r="AH54" s="21">
        <f>IF(G54="","",IF(IFERROR(INDEX(Clients!$O$5:$O$204,MATCH(G54,Clients!$A$5:$A$204,0)),0)&gt;0,IFERROR(INDEX(Clients!$O$5:$O$204,MATCH(G54,Clients!$A$5:$A$204,0)),0),HourlyRate))</f>
        <v>0</v>
      </c>
      <c r="AI54" s="21">
        <f>IF(G54="","",IF(AND(M54&lt;&gt;"",IFERROR(INDEX(Services!$P$5:$P$64,MATCH(M54,Services!$B$5:$B$64,0)),0)&gt;0,IFERROR(INDEX(Services!$D$5:$D$64,MATCH(M54,Services!$B$5:$B$64,0)),"")&lt;&gt;"Per hour"),IFERROR(INDEX(Services!$P$5:$P$64,MATCH(M54,Services!$B$5:$B$64,0)),0),AD54*AH54))</f>
        <v>0</v>
      </c>
      <c r="AJ54" s="21">
        <f>IF(G54="","",IF(V54&lt;&gt;"",V54,IF(P54="Cancelled",0,MAX(MinimumCharge,ROUND(AI54*IFERROR(INDEX(FreqFactors,MATCH(O54,FreqNames,0)),1),2)))))</f>
        <v>0</v>
      </c>
      <c r="AK54" s="34">
        <f>IF(G54="","",IF(SUMIFS(Timesheets!$U$5:$U$804,Timesheets!$G$5:$G$804,A54)&gt;0,SUMIFS(Timesheets!$U$5:$U$804,Timesheets!$G$5:$G$804,A54),IF(Z54="","",Z54)))</f>
        <v>0</v>
      </c>
      <c r="AL54" s="34">
        <f>IF(OR(AK54="",AD54=""),"",AK54-AD54)</f>
        <v>0</v>
      </c>
      <c r="AM54" s="31">
        <f>IF(A54="","",COUNTIFS('Job Tasks'!$B$5:$B$904,A54))</f>
        <v>0</v>
      </c>
      <c r="AN54" s="31">
        <f>IF(A54="","",COUNTIFS('Job Tasks'!$B$5:$B$904,A54,'Job Tasks'!$H$5:$H$904,"Done"))</f>
        <v>0</v>
      </c>
      <c r="AO54" s="38">
        <f>IF(OR(A54="",AM54=0),"",AN54/AM54)</f>
        <v>0</v>
      </c>
      <c r="AP54" s="43">
        <f>IF(A54="","",IFERROR(INDEX('Invoice Lines'!$B$5:$B$804,MATCH(A54,'Invoice Lines'!$C$5:$C$804,0)),""))</f>
        <v>0</v>
      </c>
      <c r="AQ54" s="18">
        <f>IF(OR(G54="",B54="",X54&lt;&gt;"Yes"),"",IF(IFERROR(INDEX(FreqDays,MATCH(O54,FreqNames,0)),0)=0,"",B54+IFERROR(INDEX(FreqDays,MATCH(O54,FreqNames,0)),0)))</f>
        <v>0</v>
      </c>
      <c r="AR54" s="39">
        <f>IF(G54="","",IF(R54="","Unassigned",IF(COUNTIFS($R$5:$R$604,R54,$B$5:$B$604,B54,$F$5:$F$604,F54)&gt;1,"Clash",IF(SUMIFS($AF$5:$AF$604,$R$5:$R$604,R54,$B$5:$B$604,B54)&gt;ProductiveHours,"Long day","OK"))))</f>
        <v>0</v>
      </c>
      <c r="AS54" s="18">
        <f>IF(OR(G54="",B54=""),"",IF(AND(B54&gt;=TodayDate,P54&lt;&gt;"Cancelled"),B54,""))</f>
        <v>0</v>
      </c>
      <c r="AT54" s="31">
        <f>IF(AS54="","",COUNTIFS($AS$5:$AS$604,"&lt;"&amp;AS54)+COUNTIFS($AS$5:AS54,AS54))</f>
        <v>0</v>
      </c>
      <c r="AU54" s="18">
        <f>IF(OR(G54="",B54="",R54&lt;&gt;""),"",IF(AND(B54&gt;=TodayDate,P54&lt;&gt;"Cancelled"),B54,""))</f>
        <v>0</v>
      </c>
      <c r="AV54" s="31">
        <f>IF(AU54="","",COUNTIFS($AU$5:$AU$604,"&lt;"&amp;AU54)+COUNTIFS($AU$5:AU54,AU54))</f>
        <v>0</v>
      </c>
      <c r="AW54" s="31">
        <f>IF(OR(G54="",B54=""),"",B54-TodayDate)</f>
        <v>0</v>
      </c>
      <c r="AX54" s="39">
        <f>IF(G54="","",IF(P54="Cancelled","Cancelled",IF(P54="No access","Action - no access, rebook",IF(AND(B54&lt;&gt;"",AW54&lt;0,OR(P54="Booked",P54="Confirmed",P54="In progress")),"Late - mark it completed",IF(AND(P54="Completed",AP54=""),"Action - not invoiced yet",IF(AND(AW54&gt;=0,AW54&lt;=ReminderDays,Y54&lt;&gt;"Yes"),"Confirm - visit coming up",IF(R54="","Assign - no cleaner booked",IF(AND(P54="Completed",AO54&lt;&gt;"",AO54&lt;1),"Check - checklist unfinished","OK"))))))))</f>
        <v>0</v>
      </c>
    </row>
    <row r="55" spans="1:50">
      <c r="A55" s="43">
        <f>IF(G55="","",JobPrefix&amp;TEXT(ROW()-4,"0000"))</f>
        <v>0</v>
      </c>
      <c r="B55" s="46">
        <v>46298</v>
      </c>
      <c r="C55" s="23">
        <f>IF(B55="","",TEXT(B55,"ddd"))</f>
        <v>0</v>
      </c>
      <c r="D55" s="31">
        <f>IF(B55="","",WEEKNUM(B55,IF(WeekStart="Sunday",1,2)))</f>
        <v>0</v>
      </c>
      <c r="E55" s="23">
        <f>IF(B55="","",TEXT(B55,"yyyy-mm"))</f>
        <v>0</v>
      </c>
      <c r="F55" s="52">
        <v>0.583333333333333</v>
      </c>
      <c r="G55" s="49" t="s">
        <v>818</v>
      </c>
      <c r="H55" s="23">
        <f>IF(G55="","",IFERROR(INDEX(Clients!$B$5:$B$204,MATCH(G55,Clients!$A$5:$A$204,0)),"Not found"))</f>
        <v>0</v>
      </c>
      <c r="I55" s="23">
        <f>IF(G55="","",IFERROR(INDEX(Clients!$C$5:$C$204,MATCH(G55,Clients!$A$5:$A$204,0)),""))</f>
        <v>0</v>
      </c>
      <c r="J55" s="49" t="s">
        <v>1144</v>
      </c>
      <c r="K55" s="23">
        <f>IF(J55="","",IFERROR(INDEX(Properties!$B$5:$B$254,MATCH(J55,Properties!$A$5:$A$254,0)),""))</f>
        <v>0</v>
      </c>
      <c r="L55" s="23">
        <f>IF(J55="","",IFERROR(INDEX(Properties!$F$5:$F$254,MATCH(J55,Properties!$A$5:$A$254,0)),""))</f>
        <v>0</v>
      </c>
      <c r="M55" s="15" t="s">
        <v>821</v>
      </c>
      <c r="N55" s="15" t="s">
        <v>1133</v>
      </c>
      <c r="O55" s="15" t="s">
        <v>451</v>
      </c>
      <c r="P55" s="45" t="s">
        <v>406</v>
      </c>
      <c r="Q55" s="15" t="s">
        <v>448</v>
      </c>
      <c r="R55" s="15" t="s">
        <v>596</v>
      </c>
      <c r="S55" s="15" t="s">
        <v>172</v>
      </c>
      <c r="T55" s="16">
        <v>1</v>
      </c>
      <c r="W55" s="17">
        <v>6.8</v>
      </c>
      <c r="X55" s="47" t="s">
        <v>454</v>
      </c>
      <c r="Y55" s="47" t="s">
        <v>454</v>
      </c>
      <c r="AA55" s="47" t="s">
        <v>172</v>
      </c>
      <c r="AB55" s="44" t="s">
        <v>172</v>
      </c>
      <c r="AC55" s="44" t="s">
        <v>172</v>
      </c>
      <c r="AD55" s="34">
        <f>IF(G55="","",IF(U55&lt;&gt;"",U55,IF(AND(IFERROR(INDEX(Services!$D$5:$D$64,MATCH(M55,Services!$B$5:$B$64,0)),"")="Per hour",IFERROR(INDEX(Properties!$X$5:$X$254,MATCH(J55,Properties!$A$5:$A$254,0)),0)&gt;0),IFERROR(INDEX(Properties!$X$5:$X$254,MATCH(J55,Properties!$A$5:$A$254,0)),0),IF(IFERROR(INDEX(Services!$G$5:$G$64,MATCH(M55,Services!$B$5:$B$64,0)),0)&gt;0,IFERROR(INDEX(Services!$G$5:$G$64,MATCH(M55,Services!$B$5:$B$64,0)),0),IFERROR(INDEX(Properties!$X$5:$X$254,MATCH(J55,Properties!$A$5:$A$254,0)),0)))))</f>
        <v>0</v>
      </c>
      <c r="AE55" s="31">
        <f>IF(G55="","",IF(T55="",CleanersPerJob,MAX(1,T55)))</f>
        <v>0</v>
      </c>
      <c r="AF55" s="34">
        <f>IF(G55="","",ROUND(AD55/AE55,2))</f>
        <v>0</v>
      </c>
      <c r="AG55" s="53">
        <f>IF(OR(G55="",F55="",AF55=""),"",F55+AF55/24)</f>
        <v>0</v>
      </c>
      <c r="AH55" s="21">
        <f>IF(G55="","",IF(IFERROR(INDEX(Clients!$O$5:$O$204,MATCH(G55,Clients!$A$5:$A$204,0)),0)&gt;0,IFERROR(INDEX(Clients!$O$5:$O$204,MATCH(G55,Clients!$A$5:$A$204,0)),0),HourlyRate))</f>
        <v>0</v>
      </c>
      <c r="AI55" s="21">
        <f>IF(G55="","",IF(AND(M55&lt;&gt;"",IFERROR(INDEX(Services!$P$5:$P$64,MATCH(M55,Services!$B$5:$B$64,0)),0)&gt;0,IFERROR(INDEX(Services!$D$5:$D$64,MATCH(M55,Services!$B$5:$B$64,0)),"")&lt;&gt;"Per hour"),IFERROR(INDEX(Services!$P$5:$P$64,MATCH(M55,Services!$B$5:$B$64,0)),0),AD55*AH55))</f>
        <v>0</v>
      </c>
      <c r="AJ55" s="21">
        <f>IF(G55="","",IF(V55&lt;&gt;"",V55,IF(P55="Cancelled",0,MAX(MinimumCharge,ROUND(AI55*IFERROR(INDEX(FreqFactors,MATCH(O55,FreqNames,0)),1),2)))))</f>
        <v>0</v>
      </c>
      <c r="AK55" s="34">
        <f>IF(G55="","",IF(SUMIFS(Timesheets!$U$5:$U$804,Timesheets!$G$5:$G$804,A55)&gt;0,SUMIFS(Timesheets!$U$5:$U$804,Timesheets!$G$5:$G$804,A55),IF(Z55="","",Z55)))</f>
        <v>0</v>
      </c>
      <c r="AL55" s="34">
        <f>IF(OR(AK55="",AD55=""),"",AK55-AD55)</f>
        <v>0</v>
      </c>
      <c r="AM55" s="31">
        <f>IF(A55="","",COUNTIFS('Job Tasks'!$B$5:$B$904,A55))</f>
        <v>0</v>
      </c>
      <c r="AN55" s="31">
        <f>IF(A55="","",COUNTIFS('Job Tasks'!$B$5:$B$904,A55,'Job Tasks'!$H$5:$H$904,"Done"))</f>
        <v>0</v>
      </c>
      <c r="AO55" s="38">
        <f>IF(OR(A55="",AM55=0),"",AN55/AM55)</f>
        <v>0</v>
      </c>
      <c r="AP55" s="43">
        <f>IF(A55="","",IFERROR(INDEX('Invoice Lines'!$B$5:$B$804,MATCH(A55,'Invoice Lines'!$C$5:$C$804,0)),""))</f>
        <v>0</v>
      </c>
      <c r="AQ55" s="18">
        <f>IF(OR(G55="",B55="",X55&lt;&gt;"Yes"),"",IF(IFERROR(INDEX(FreqDays,MATCH(O55,FreqNames,0)),0)=0,"",B55+IFERROR(INDEX(FreqDays,MATCH(O55,FreqNames,0)),0)))</f>
        <v>0</v>
      </c>
      <c r="AR55" s="39">
        <f>IF(G55="","",IF(R55="","Unassigned",IF(COUNTIFS($R$5:$R$604,R55,$B$5:$B$604,B55,$F$5:$F$604,F55)&gt;1,"Clash",IF(SUMIFS($AF$5:$AF$604,$R$5:$R$604,R55,$B$5:$B$604,B55)&gt;ProductiveHours,"Long day","OK"))))</f>
        <v>0</v>
      </c>
      <c r="AS55" s="18">
        <f>IF(OR(G55="",B55=""),"",IF(AND(B55&gt;=TodayDate,P55&lt;&gt;"Cancelled"),B55,""))</f>
        <v>0</v>
      </c>
      <c r="AT55" s="31">
        <f>IF(AS55="","",COUNTIFS($AS$5:$AS$604,"&lt;"&amp;AS55)+COUNTIFS($AS$5:AS55,AS55))</f>
        <v>0</v>
      </c>
      <c r="AU55" s="18">
        <f>IF(OR(G55="",B55="",R55&lt;&gt;""),"",IF(AND(B55&gt;=TodayDate,P55&lt;&gt;"Cancelled"),B55,""))</f>
        <v>0</v>
      </c>
      <c r="AV55" s="31">
        <f>IF(AU55="","",COUNTIFS($AU$5:$AU$604,"&lt;"&amp;AU55)+COUNTIFS($AU$5:AU55,AU55))</f>
        <v>0</v>
      </c>
      <c r="AW55" s="31">
        <f>IF(OR(G55="",B55=""),"",B55-TodayDate)</f>
        <v>0</v>
      </c>
      <c r="AX55" s="39">
        <f>IF(G55="","",IF(P55="Cancelled","Cancelled",IF(P55="No access","Action - no access, rebook",IF(AND(B55&lt;&gt;"",AW55&lt;0,OR(P55="Booked",P55="Confirmed",P55="In progress")),"Late - mark it completed",IF(AND(P55="Completed",AP55=""),"Action - not invoiced yet",IF(AND(AW55&gt;=0,AW55&lt;=ReminderDays,Y55&lt;&gt;"Yes"),"Confirm - visit coming up",IF(R55="","Assign - no cleaner booked",IF(AND(P55="Completed",AO55&lt;&gt;"",AO55&lt;1),"Check - checklist unfinished","OK"))))))))</f>
        <v>0</v>
      </c>
    </row>
    <row r="56" spans="1:50">
      <c r="A56" s="43">
        <f>IF(G56="","",JobPrefix&amp;TEXT(ROW()-4,"0000"))</f>
        <v>0</v>
      </c>
      <c r="B56" s="46">
        <v>46299</v>
      </c>
      <c r="C56" s="23">
        <f>IF(B56="","",TEXT(B56,"ddd"))</f>
        <v>0</v>
      </c>
      <c r="D56" s="31">
        <f>IF(B56="","",WEEKNUM(B56,IF(WeekStart="Sunday",1,2)))</f>
        <v>0</v>
      </c>
      <c r="E56" s="23">
        <f>IF(B56="","",TEXT(B56,"yyyy-mm"))</f>
        <v>0</v>
      </c>
      <c r="F56" s="52">
        <v>0.291666666666667</v>
      </c>
      <c r="G56" s="49" t="s">
        <v>793</v>
      </c>
      <c r="H56" s="23">
        <f>IF(G56="","",IFERROR(INDEX(Clients!$B$5:$B$204,MATCH(G56,Clients!$A$5:$A$204,0)),"Not found"))</f>
        <v>0</v>
      </c>
      <c r="I56" s="23">
        <f>IF(G56="","",IFERROR(INDEX(Clients!$C$5:$C$204,MATCH(G56,Clients!$A$5:$A$204,0)),""))</f>
        <v>0</v>
      </c>
      <c r="J56" s="49" t="s">
        <v>1145</v>
      </c>
      <c r="K56" s="23">
        <f>IF(J56="","",IFERROR(INDEX(Properties!$B$5:$B$254,MATCH(J56,Properties!$A$5:$A$254,0)),""))</f>
        <v>0</v>
      </c>
      <c r="L56" s="23">
        <f>IF(J56="","",IFERROR(INDEX(Properties!$F$5:$F$254,MATCH(J56,Properties!$A$5:$A$254,0)),""))</f>
        <v>0</v>
      </c>
      <c r="M56" s="15" t="s">
        <v>797</v>
      </c>
      <c r="N56" s="15" t="s">
        <v>1133</v>
      </c>
      <c r="O56" s="15" t="s">
        <v>451</v>
      </c>
      <c r="P56" s="45" t="s">
        <v>406</v>
      </c>
      <c r="Q56" s="15" t="s">
        <v>448</v>
      </c>
      <c r="R56" s="15" t="s">
        <v>639</v>
      </c>
      <c r="S56" s="15" t="s">
        <v>172</v>
      </c>
      <c r="T56" s="16">
        <v>1</v>
      </c>
      <c r="W56" s="17">
        <v>10</v>
      </c>
      <c r="X56" s="47" t="s">
        <v>454</v>
      </c>
      <c r="Y56" s="47" t="s">
        <v>454</v>
      </c>
      <c r="AA56" s="47" t="s">
        <v>172</v>
      </c>
      <c r="AB56" s="44" t="s">
        <v>172</v>
      </c>
      <c r="AC56" s="44" t="s">
        <v>172</v>
      </c>
      <c r="AD56" s="34">
        <f>IF(G56="","",IF(U56&lt;&gt;"",U56,IF(AND(IFERROR(INDEX(Services!$D$5:$D$64,MATCH(M56,Services!$B$5:$B$64,0)),"")="Per hour",IFERROR(INDEX(Properties!$X$5:$X$254,MATCH(J56,Properties!$A$5:$A$254,0)),0)&gt;0),IFERROR(INDEX(Properties!$X$5:$X$254,MATCH(J56,Properties!$A$5:$A$254,0)),0),IF(IFERROR(INDEX(Services!$G$5:$G$64,MATCH(M56,Services!$B$5:$B$64,0)),0)&gt;0,IFERROR(INDEX(Services!$G$5:$G$64,MATCH(M56,Services!$B$5:$B$64,0)),0),IFERROR(INDEX(Properties!$X$5:$X$254,MATCH(J56,Properties!$A$5:$A$254,0)),0)))))</f>
        <v>0</v>
      </c>
      <c r="AE56" s="31">
        <f>IF(G56="","",IF(T56="",CleanersPerJob,MAX(1,T56)))</f>
        <v>0</v>
      </c>
      <c r="AF56" s="34">
        <f>IF(G56="","",ROUND(AD56/AE56,2))</f>
        <v>0</v>
      </c>
      <c r="AG56" s="53">
        <f>IF(OR(G56="",F56="",AF56=""),"",F56+AF56/24)</f>
        <v>0</v>
      </c>
      <c r="AH56" s="21">
        <f>IF(G56="","",IF(IFERROR(INDEX(Clients!$O$5:$O$204,MATCH(G56,Clients!$A$5:$A$204,0)),0)&gt;0,IFERROR(INDEX(Clients!$O$5:$O$204,MATCH(G56,Clients!$A$5:$A$204,0)),0),HourlyRate))</f>
        <v>0</v>
      </c>
      <c r="AI56" s="21">
        <f>IF(G56="","",IF(AND(M56&lt;&gt;"",IFERROR(INDEX(Services!$P$5:$P$64,MATCH(M56,Services!$B$5:$B$64,0)),0)&gt;0,IFERROR(INDEX(Services!$D$5:$D$64,MATCH(M56,Services!$B$5:$B$64,0)),"")&lt;&gt;"Per hour"),IFERROR(INDEX(Services!$P$5:$P$64,MATCH(M56,Services!$B$5:$B$64,0)),0),AD56*AH56))</f>
        <v>0</v>
      </c>
      <c r="AJ56" s="21">
        <f>IF(G56="","",IF(V56&lt;&gt;"",V56,IF(P56="Cancelled",0,MAX(MinimumCharge,ROUND(AI56*IFERROR(INDEX(FreqFactors,MATCH(O56,FreqNames,0)),1),2)))))</f>
        <v>0</v>
      </c>
      <c r="AK56" s="34">
        <f>IF(G56="","",IF(SUMIFS(Timesheets!$U$5:$U$804,Timesheets!$G$5:$G$804,A56)&gt;0,SUMIFS(Timesheets!$U$5:$U$804,Timesheets!$G$5:$G$804,A56),IF(Z56="","",Z56)))</f>
        <v>0</v>
      </c>
      <c r="AL56" s="34">
        <f>IF(OR(AK56="",AD56=""),"",AK56-AD56)</f>
        <v>0</v>
      </c>
      <c r="AM56" s="31">
        <f>IF(A56="","",COUNTIFS('Job Tasks'!$B$5:$B$904,A56))</f>
        <v>0</v>
      </c>
      <c r="AN56" s="31">
        <f>IF(A56="","",COUNTIFS('Job Tasks'!$B$5:$B$904,A56,'Job Tasks'!$H$5:$H$904,"Done"))</f>
        <v>0</v>
      </c>
      <c r="AO56" s="38">
        <f>IF(OR(A56="",AM56=0),"",AN56/AM56)</f>
        <v>0</v>
      </c>
      <c r="AP56" s="43">
        <f>IF(A56="","",IFERROR(INDEX('Invoice Lines'!$B$5:$B$804,MATCH(A56,'Invoice Lines'!$C$5:$C$804,0)),""))</f>
        <v>0</v>
      </c>
      <c r="AQ56" s="18">
        <f>IF(OR(G56="",B56="",X56&lt;&gt;"Yes"),"",IF(IFERROR(INDEX(FreqDays,MATCH(O56,FreqNames,0)),0)=0,"",B56+IFERROR(INDEX(FreqDays,MATCH(O56,FreqNames,0)),0)))</f>
        <v>0</v>
      </c>
      <c r="AR56" s="39">
        <f>IF(G56="","",IF(R56="","Unassigned",IF(COUNTIFS($R$5:$R$604,R56,$B$5:$B$604,B56,$F$5:$F$604,F56)&gt;1,"Clash",IF(SUMIFS($AF$5:$AF$604,$R$5:$R$604,R56,$B$5:$B$604,B56)&gt;ProductiveHours,"Long day","OK"))))</f>
        <v>0</v>
      </c>
      <c r="AS56" s="18">
        <f>IF(OR(G56="",B56=""),"",IF(AND(B56&gt;=TodayDate,P56&lt;&gt;"Cancelled"),B56,""))</f>
        <v>0</v>
      </c>
      <c r="AT56" s="31">
        <f>IF(AS56="","",COUNTIFS($AS$5:$AS$604,"&lt;"&amp;AS56)+COUNTIFS($AS$5:AS56,AS56))</f>
        <v>0</v>
      </c>
      <c r="AU56" s="18">
        <f>IF(OR(G56="",B56="",R56&lt;&gt;""),"",IF(AND(B56&gt;=TodayDate,P56&lt;&gt;"Cancelled"),B56,""))</f>
        <v>0</v>
      </c>
      <c r="AV56" s="31">
        <f>IF(AU56="","",COUNTIFS($AU$5:$AU$604,"&lt;"&amp;AU56)+COUNTIFS($AU$5:AU56,AU56))</f>
        <v>0</v>
      </c>
      <c r="AW56" s="31">
        <f>IF(OR(G56="",B56=""),"",B56-TodayDate)</f>
        <v>0</v>
      </c>
      <c r="AX56" s="39">
        <f>IF(G56="","",IF(P56="Cancelled","Cancelled",IF(P56="No access","Action - no access, rebook",IF(AND(B56&lt;&gt;"",AW56&lt;0,OR(P56="Booked",P56="Confirmed",P56="In progress")),"Late - mark it completed",IF(AND(P56="Completed",AP56=""),"Action - not invoiced yet",IF(AND(AW56&gt;=0,AW56&lt;=ReminderDays,Y56&lt;&gt;"Yes"),"Confirm - visit coming up",IF(R56="","Assign - no cleaner booked",IF(AND(P56="Completed",AO56&lt;&gt;"",AO56&lt;1),"Check - checklist unfinished","OK"))))))))</f>
        <v>0</v>
      </c>
    </row>
    <row r="57" spans="1:50">
      <c r="A57" s="43">
        <f>IF(G57="","",JobPrefix&amp;TEXT(ROW()-4,"0000"))</f>
        <v>0</v>
      </c>
      <c r="B57" s="46">
        <v>46300</v>
      </c>
      <c r="C57" s="23">
        <f>IF(B57="","",TEXT(B57,"ddd"))</f>
        <v>0</v>
      </c>
      <c r="D57" s="31">
        <f>IF(B57="","",WEEKNUM(B57,IF(WeekStart="Sunday",1,2)))</f>
        <v>0</v>
      </c>
      <c r="E57" s="23">
        <f>IF(B57="","",TEXT(B57,"yyyy-mm"))</f>
        <v>0</v>
      </c>
      <c r="F57" s="52">
        <v>0.291666666666667</v>
      </c>
      <c r="G57" s="49" t="s">
        <v>813</v>
      </c>
      <c r="H57" s="23">
        <f>IF(G57="","",IFERROR(INDEX(Clients!$B$5:$B$204,MATCH(G57,Clients!$A$5:$A$204,0)),"Not found"))</f>
        <v>0</v>
      </c>
      <c r="I57" s="23">
        <f>IF(G57="","",IFERROR(INDEX(Clients!$C$5:$C$204,MATCH(G57,Clients!$A$5:$A$204,0)),""))</f>
        <v>0</v>
      </c>
      <c r="J57" s="49" t="s">
        <v>1052</v>
      </c>
      <c r="K57" s="23">
        <f>IF(J57="","",IFERROR(INDEX(Properties!$B$5:$B$254,MATCH(J57,Properties!$A$5:$A$254,0)),""))</f>
        <v>0</v>
      </c>
      <c r="L57" s="23">
        <f>IF(J57="","",IFERROR(INDEX(Properties!$F$5:$F$254,MATCH(J57,Properties!$A$5:$A$254,0)),""))</f>
        <v>0</v>
      </c>
      <c r="M57" s="15" t="s">
        <v>770</v>
      </c>
      <c r="N57" s="15" t="s">
        <v>1133</v>
      </c>
      <c r="O57" s="15" t="s">
        <v>617</v>
      </c>
      <c r="P57" s="45" t="s">
        <v>406</v>
      </c>
      <c r="Q57" s="15" t="s">
        <v>448</v>
      </c>
      <c r="R57" s="15" t="s">
        <v>664</v>
      </c>
      <c r="S57" s="15" t="s">
        <v>172</v>
      </c>
      <c r="T57" s="16">
        <v>1</v>
      </c>
      <c r="W57" s="17">
        <v>7.6</v>
      </c>
      <c r="X57" s="47" t="s">
        <v>454</v>
      </c>
      <c r="Y57" s="47" t="s">
        <v>454</v>
      </c>
      <c r="AA57" s="47" t="s">
        <v>172</v>
      </c>
      <c r="AB57" s="44" t="s">
        <v>172</v>
      </c>
      <c r="AC57" s="44" t="s">
        <v>172</v>
      </c>
      <c r="AD57" s="34">
        <f>IF(G57="","",IF(U57&lt;&gt;"",U57,IF(AND(IFERROR(INDEX(Services!$D$5:$D$64,MATCH(M57,Services!$B$5:$B$64,0)),"")="Per hour",IFERROR(INDEX(Properties!$X$5:$X$254,MATCH(J57,Properties!$A$5:$A$254,0)),0)&gt;0),IFERROR(INDEX(Properties!$X$5:$X$254,MATCH(J57,Properties!$A$5:$A$254,0)),0),IF(IFERROR(INDEX(Services!$G$5:$G$64,MATCH(M57,Services!$B$5:$B$64,0)),0)&gt;0,IFERROR(INDEX(Services!$G$5:$G$64,MATCH(M57,Services!$B$5:$B$64,0)),0),IFERROR(INDEX(Properties!$X$5:$X$254,MATCH(J57,Properties!$A$5:$A$254,0)),0)))))</f>
        <v>0</v>
      </c>
      <c r="AE57" s="31">
        <f>IF(G57="","",IF(T57="",CleanersPerJob,MAX(1,T57)))</f>
        <v>0</v>
      </c>
      <c r="AF57" s="34">
        <f>IF(G57="","",ROUND(AD57/AE57,2))</f>
        <v>0</v>
      </c>
      <c r="AG57" s="53">
        <f>IF(OR(G57="",F57="",AF57=""),"",F57+AF57/24)</f>
        <v>0</v>
      </c>
      <c r="AH57" s="21">
        <f>IF(G57="","",IF(IFERROR(INDEX(Clients!$O$5:$O$204,MATCH(G57,Clients!$A$5:$A$204,0)),0)&gt;0,IFERROR(INDEX(Clients!$O$5:$O$204,MATCH(G57,Clients!$A$5:$A$204,0)),0),HourlyRate))</f>
        <v>0</v>
      </c>
      <c r="AI57" s="21">
        <f>IF(G57="","",IF(AND(M57&lt;&gt;"",IFERROR(INDEX(Services!$P$5:$P$64,MATCH(M57,Services!$B$5:$B$64,0)),0)&gt;0,IFERROR(INDEX(Services!$D$5:$D$64,MATCH(M57,Services!$B$5:$B$64,0)),"")&lt;&gt;"Per hour"),IFERROR(INDEX(Services!$P$5:$P$64,MATCH(M57,Services!$B$5:$B$64,0)),0),AD57*AH57))</f>
        <v>0</v>
      </c>
      <c r="AJ57" s="21">
        <f>IF(G57="","",IF(V57&lt;&gt;"",V57,IF(P57="Cancelled",0,MAX(MinimumCharge,ROUND(AI57*IFERROR(INDEX(FreqFactors,MATCH(O57,FreqNames,0)),1),2)))))</f>
        <v>0</v>
      </c>
      <c r="AK57" s="34">
        <f>IF(G57="","",IF(SUMIFS(Timesheets!$U$5:$U$804,Timesheets!$G$5:$G$804,A57)&gt;0,SUMIFS(Timesheets!$U$5:$U$804,Timesheets!$G$5:$G$804,A57),IF(Z57="","",Z57)))</f>
        <v>0</v>
      </c>
      <c r="AL57" s="34">
        <f>IF(OR(AK57="",AD57=""),"",AK57-AD57)</f>
        <v>0</v>
      </c>
      <c r="AM57" s="31">
        <f>IF(A57="","",COUNTIFS('Job Tasks'!$B$5:$B$904,A57))</f>
        <v>0</v>
      </c>
      <c r="AN57" s="31">
        <f>IF(A57="","",COUNTIFS('Job Tasks'!$B$5:$B$904,A57,'Job Tasks'!$H$5:$H$904,"Done"))</f>
        <v>0</v>
      </c>
      <c r="AO57" s="38">
        <f>IF(OR(A57="",AM57=0),"",AN57/AM57)</f>
        <v>0</v>
      </c>
      <c r="AP57" s="43">
        <f>IF(A57="","",IFERROR(INDEX('Invoice Lines'!$B$5:$B$804,MATCH(A57,'Invoice Lines'!$C$5:$C$804,0)),""))</f>
        <v>0</v>
      </c>
      <c r="AQ57" s="18">
        <f>IF(OR(G57="",B57="",X57&lt;&gt;"Yes"),"",IF(IFERROR(INDEX(FreqDays,MATCH(O57,FreqNames,0)),0)=0,"",B57+IFERROR(INDEX(FreqDays,MATCH(O57,FreqNames,0)),0)))</f>
        <v>0</v>
      </c>
      <c r="AR57" s="39">
        <f>IF(G57="","",IF(R57="","Unassigned",IF(COUNTIFS($R$5:$R$604,R57,$B$5:$B$604,B57,$F$5:$F$604,F57)&gt;1,"Clash",IF(SUMIFS($AF$5:$AF$604,$R$5:$R$604,R57,$B$5:$B$604,B57)&gt;ProductiveHours,"Long day","OK"))))</f>
        <v>0</v>
      </c>
      <c r="AS57" s="18">
        <f>IF(OR(G57="",B57=""),"",IF(AND(B57&gt;=TodayDate,P57&lt;&gt;"Cancelled"),B57,""))</f>
        <v>0</v>
      </c>
      <c r="AT57" s="31">
        <f>IF(AS57="","",COUNTIFS($AS$5:$AS$604,"&lt;"&amp;AS57)+COUNTIFS($AS$5:AS57,AS57))</f>
        <v>0</v>
      </c>
      <c r="AU57" s="18">
        <f>IF(OR(G57="",B57="",R57&lt;&gt;""),"",IF(AND(B57&gt;=TodayDate,P57&lt;&gt;"Cancelled"),B57,""))</f>
        <v>0</v>
      </c>
      <c r="AV57" s="31">
        <f>IF(AU57="","",COUNTIFS($AU$5:$AU$604,"&lt;"&amp;AU57)+COUNTIFS($AU$5:AU57,AU57))</f>
        <v>0</v>
      </c>
      <c r="AW57" s="31">
        <f>IF(OR(G57="",B57=""),"",B57-TodayDate)</f>
        <v>0</v>
      </c>
      <c r="AX57" s="39">
        <f>IF(G57="","",IF(P57="Cancelled","Cancelled",IF(P57="No access","Action - no access, rebook",IF(AND(B57&lt;&gt;"",AW57&lt;0,OR(P57="Booked",P57="Confirmed",P57="In progress")),"Late - mark it completed",IF(AND(P57="Completed",AP57=""),"Action - not invoiced yet",IF(AND(AW57&gt;=0,AW57&lt;=ReminderDays,Y57&lt;&gt;"Yes"),"Confirm - visit coming up",IF(R57="","Assign - no cleaner booked",IF(AND(P57="Completed",AO57&lt;&gt;"",AO57&lt;1),"Check - checklist unfinished","OK"))))))))</f>
        <v>0</v>
      </c>
    </row>
    <row r="58" spans="1:50">
      <c r="A58" s="43">
        <f>IF(G58="","",JobPrefix&amp;TEXT(ROW()-4,"0000"))</f>
        <v>0</v>
      </c>
      <c r="B58" s="46">
        <v>46300</v>
      </c>
      <c r="C58" s="23">
        <f>IF(B58="","",TEXT(B58,"ddd"))</f>
        <v>0</v>
      </c>
      <c r="D58" s="31">
        <f>IF(B58="","",WEEKNUM(B58,IF(WeekStart="Sunday",1,2)))</f>
        <v>0</v>
      </c>
      <c r="E58" s="23">
        <f>IF(B58="","",TEXT(B58,"yyyy-mm"))</f>
        <v>0</v>
      </c>
      <c r="F58" s="52">
        <v>0.395833333333333</v>
      </c>
      <c r="G58" s="49" t="s">
        <v>806</v>
      </c>
      <c r="H58" s="23">
        <f>IF(G58="","",IFERROR(INDEX(Clients!$B$5:$B$204,MATCH(G58,Clients!$A$5:$A$204,0)),"Not found"))</f>
        <v>0</v>
      </c>
      <c r="I58" s="23">
        <f>IF(G58="","",IFERROR(INDEX(Clients!$C$5:$C$204,MATCH(G58,Clients!$A$5:$A$204,0)),""))</f>
        <v>0</v>
      </c>
      <c r="J58" s="49" t="s">
        <v>1136</v>
      </c>
      <c r="K58" s="23">
        <f>IF(J58="","",IFERROR(INDEX(Properties!$B$5:$B$254,MATCH(J58,Properties!$A$5:$A$254,0)),""))</f>
        <v>0</v>
      </c>
      <c r="L58" s="23">
        <f>IF(J58="","",IFERROR(INDEX(Properties!$F$5:$F$254,MATCH(J58,Properties!$A$5:$A$254,0)),""))</f>
        <v>0</v>
      </c>
      <c r="M58" s="15" t="s">
        <v>437</v>
      </c>
      <c r="N58" s="15" t="s">
        <v>1133</v>
      </c>
      <c r="O58" s="15" t="s">
        <v>451</v>
      </c>
      <c r="P58" s="45" t="s">
        <v>1148</v>
      </c>
      <c r="Q58" s="15" t="s">
        <v>448</v>
      </c>
      <c r="R58" s="15" t="s">
        <v>596</v>
      </c>
      <c r="S58" s="15" t="s">
        <v>172</v>
      </c>
      <c r="T58" s="16">
        <v>1</v>
      </c>
      <c r="V58" s="19">
        <v>0</v>
      </c>
      <c r="W58" s="17">
        <v>16.4</v>
      </c>
      <c r="X58" s="47" t="s">
        <v>457</v>
      </c>
      <c r="Y58" s="47" t="s">
        <v>454</v>
      </c>
      <c r="AA58" s="47" t="s">
        <v>172</v>
      </c>
      <c r="AB58" s="44" t="s">
        <v>172</v>
      </c>
      <c r="AC58" s="44" t="s">
        <v>1149</v>
      </c>
      <c r="AD58" s="34">
        <f>IF(G58="","",IF(U58&lt;&gt;"",U58,IF(AND(IFERROR(INDEX(Services!$D$5:$D$64,MATCH(M58,Services!$B$5:$B$64,0)),"")="Per hour",IFERROR(INDEX(Properties!$X$5:$X$254,MATCH(J58,Properties!$A$5:$A$254,0)),0)&gt;0),IFERROR(INDEX(Properties!$X$5:$X$254,MATCH(J58,Properties!$A$5:$A$254,0)),0),IF(IFERROR(INDEX(Services!$G$5:$G$64,MATCH(M58,Services!$B$5:$B$64,0)),0)&gt;0,IFERROR(INDEX(Services!$G$5:$G$64,MATCH(M58,Services!$B$5:$B$64,0)),0),IFERROR(INDEX(Properties!$X$5:$X$254,MATCH(J58,Properties!$A$5:$A$254,0)),0)))))</f>
        <v>0</v>
      </c>
      <c r="AE58" s="31">
        <f>IF(G58="","",IF(T58="",CleanersPerJob,MAX(1,T58)))</f>
        <v>0</v>
      </c>
      <c r="AF58" s="34">
        <f>IF(G58="","",ROUND(AD58/AE58,2))</f>
        <v>0</v>
      </c>
      <c r="AG58" s="53">
        <f>IF(OR(G58="",F58="",AF58=""),"",F58+AF58/24)</f>
        <v>0</v>
      </c>
      <c r="AH58" s="21">
        <f>IF(G58="","",IF(IFERROR(INDEX(Clients!$O$5:$O$204,MATCH(G58,Clients!$A$5:$A$204,0)),0)&gt;0,IFERROR(INDEX(Clients!$O$5:$O$204,MATCH(G58,Clients!$A$5:$A$204,0)),0),HourlyRate))</f>
        <v>0</v>
      </c>
      <c r="AI58" s="21">
        <f>IF(G58="","",IF(AND(M58&lt;&gt;"",IFERROR(INDEX(Services!$P$5:$P$64,MATCH(M58,Services!$B$5:$B$64,0)),0)&gt;0,IFERROR(INDEX(Services!$D$5:$D$64,MATCH(M58,Services!$B$5:$B$64,0)),"")&lt;&gt;"Per hour"),IFERROR(INDEX(Services!$P$5:$P$64,MATCH(M58,Services!$B$5:$B$64,0)),0),AD58*AH58))</f>
        <v>0</v>
      </c>
      <c r="AJ58" s="21">
        <f>IF(G58="","",IF(V58&lt;&gt;"",V58,IF(P58="Cancelled",0,MAX(MinimumCharge,ROUND(AI58*IFERROR(INDEX(FreqFactors,MATCH(O58,FreqNames,0)),1),2)))))</f>
        <v>0</v>
      </c>
      <c r="AK58" s="34">
        <f>IF(G58="","",IF(SUMIFS(Timesheets!$U$5:$U$804,Timesheets!$G$5:$G$804,A58)&gt;0,SUMIFS(Timesheets!$U$5:$U$804,Timesheets!$G$5:$G$804,A58),IF(Z58="","",Z58)))</f>
        <v>0</v>
      </c>
      <c r="AL58" s="34">
        <f>IF(OR(AK58="",AD58=""),"",AK58-AD58)</f>
        <v>0</v>
      </c>
      <c r="AM58" s="31">
        <f>IF(A58="","",COUNTIFS('Job Tasks'!$B$5:$B$904,A58))</f>
        <v>0</v>
      </c>
      <c r="AN58" s="31">
        <f>IF(A58="","",COUNTIFS('Job Tasks'!$B$5:$B$904,A58,'Job Tasks'!$H$5:$H$904,"Done"))</f>
        <v>0</v>
      </c>
      <c r="AO58" s="38">
        <f>IF(OR(A58="",AM58=0),"",AN58/AM58)</f>
        <v>0</v>
      </c>
      <c r="AP58" s="43">
        <f>IF(A58="","",IFERROR(INDEX('Invoice Lines'!$B$5:$B$804,MATCH(A58,'Invoice Lines'!$C$5:$C$804,0)),""))</f>
        <v>0</v>
      </c>
      <c r="AQ58" s="18">
        <f>IF(OR(G58="",B58="",X58&lt;&gt;"Yes"),"",IF(IFERROR(INDEX(FreqDays,MATCH(O58,FreqNames,0)),0)=0,"",B58+IFERROR(INDEX(FreqDays,MATCH(O58,FreqNames,0)),0)))</f>
        <v>0</v>
      </c>
      <c r="AR58" s="39">
        <f>IF(G58="","",IF(R58="","Unassigned",IF(COUNTIFS($R$5:$R$604,R58,$B$5:$B$604,B58,$F$5:$F$604,F58)&gt;1,"Clash",IF(SUMIFS($AF$5:$AF$604,$R$5:$R$604,R58,$B$5:$B$604,B58)&gt;ProductiveHours,"Long day","OK"))))</f>
        <v>0</v>
      </c>
      <c r="AS58" s="18">
        <f>IF(OR(G58="",B58=""),"",IF(AND(B58&gt;=TodayDate,P58&lt;&gt;"Cancelled"),B58,""))</f>
        <v>0</v>
      </c>
      <c r="AT58" s="31">
        <f>IF(AS58="","",COUNTIFS($AS$5:$AS$604,"&lt;"&amp;AS58)+COUNTIFS($AS$5:AS58,AS58))</f>
        <v>0</v>
      </c>
      <c r="AU58" s="18">
        <f>IF(OR(G58="",B58="",R58&lt;&gt;""),"",IF(AND(B58&gt;=TodayDate,P58&lt;&gt;"Cancelled"),B58,""))</f>
        <v>0</v>
      </c>
      <c r="AV58" s="31">
        <f>IF(AU58="","",COUNTIFS($AU$5:$AU$604,"&lt;"&amp;AU58)+COUNTIFS($AU$5:AU58,AU58))</f>
        <v>0</v>
      </c>
      <c r="AW58" s="31">
        <f>IF(OR(G58="",B58=""),"",B58-TodayDate)</f>
        <v>0</v>
      </c>
      <c r="AX58" s="39">
        <f>IF(G58="","",IF(P58="Cancelled","Cancelled",IF(P58="No access","Action - no access, rebook",IF(AND(B58&lt;&gt;"",AW58&lt;0,OR(P58="Booked",P58="Confirmed",P58="In progress")),"Late - mark it completed",IF(AND(P58="Completed",AP58=""),"Action - not invoiced yet",IF(AND(AW58&gt;=0,AW58&lt;=ReminderDays,Y58&lt;&gt;"Yes"),"Confirm - visit coming up",IF(R58="","Assign - no cleaner booked",IF(AND(P58="Completed",AO58&lt;&gt;"",AO58&lt;1),"Check - checklist unfinished","OK"))))))))</f>
        <v>0</v>
      </c>
    </row>
    <row r="59" spans="1:50">
      <c r="A59" s="43">
        <f>IF(G59="","",JobPrefix&amp;TEXT(ROW()-4,"0000"))</f>
        <v>0</v>
      </c>
      <c r="B59" s="46">
        <v>46300</v>
      </c>
      <c r="C59" s="23">
        <f>IF(B59="","",TEXT(B59,"ddd"))</f>
        <v>0</v>
      </c>
      <c r="D59" s="31">
        <f>IF(B59="","",WEEKNUM(B59,IF(WeekStart="Sunday",1,2)))</f>
        <v>0</v>
      </c>
      <c r="E59" s="23">
        <f>IF(B59="","",TEXT(B59,"yyyy-mm"))</f>
        <v>0</v>
      </c>
      <c r="F59" s="52">
        <v>0.770833333333333</v>
      </c>
      <c r="G59" s="49" t="s">
        <v>773</v>
      </c>
      <c r="H59" s="23">
        <f>IF(G59="","",IFERROR(INDEX(Clients!$B$5:$B$204,MATCH(G59,Clients!$A$5:$A$204,0)),"Not found"))</f>
        <v>0</v>
      </c>
      <c r="I59" s="23">
        <f>IF(G59="","",IFERROR(INDEX(Clients!$C$5:$C$204,MATCH(G59,Clients!$A$5:$A$204,0)),""))</f>
        <v>0</v>
      </c>
      <c r="J59" s="49" t="s">
        <v>1134</v>
      </c>
      <c r="K59" s="23">
        <f>IF(J59="","",IFERROR(INDEX(Properties!$B$5:$B$254,MATCH(J59,Properties!$A$5:$A$254,0)),""))</f>
        <v>0</v>
      </c>
      <c r="L59" s="23">
        <f>IF(J59="","",IFERROR(INDEX(Properties!$F$5:$F$254,MATCH(J59,Properties!$A$5:$A$254,0)),""))</f>
        <v>0</v>
      </c>
      <c r="M59" s="15" t="s">
        <v>770</v>
      </c>
      <c r="N59" s="15" t="s">
        <v>1133</v>
      </c>
      <c r="O59" s="15" t="s">
        <v>617</v>
      </c>
      <c r="P59" s="45" t="s">
        <v>406</v>
      </c>
      <c r="Q59" s="15" t="s">
        <v>448</v>
      </c>
      <c r="R59" s="15" t="s">
        <v>608</v>
      </c>
      <c r="S59" s="15" t="s">
        <v>172</v>
      </c>
      <c r="T59" s="16">
        <v>1</v>
      </c>
      <c r="W59" s="17">
        <v>4.8</v>
      </c>
      <c r="X59" s="47" t="s">
        <v>454</v>
      </c>
      <c r="Y59" s="47" t="s">
        <v>454</v>
      </c>
      <c r="AA59" s="47" t="s">
        <v>172</v>
      </c>
      <c r="AB59" s="44" t="s">
        <v>172</v>
      </c>
      <c r="AC59" s="44" t="s">
        <v>172</v>
      </c>
      <c r="AD59" s="34">
        <f>IF(G59="","",IF(U59&lt;&gt;"",U59,IF(AND(IFERROR(INDEX(Services!$D$5:$D$64,MATCH(M59,Services!$B$5:$B$64,0)),"")="Per hour",IFERROR(INDEX(Properties!$X$5:$X$254,MATCH(J59,Properties!$A$5:$A$254,0)),0)&gt;0),IFERROR(INDEX(Properties!$X$5:$X$254,MATCH(J59,Properties!$A$5:$A$254,0)),0),IF(IFERROR(INDEX(Services!$G$5:$G$64,MATCH(M59,Services!$B$5:$B$64,0)),0)&gt;0,IFERROR(INDEX(Services!$G$5:$G$64,MATCH(M59,Services!$B$5:$B$64,0)),0),IFERROR(INDEX(Properties!$X$5:$X$254,MATCH(J59,Properties!$A$5:$A$254,0)),0)))))</f>
        <v>0</v>
      </c>
      <c r="AE59" s="31">
        <f>IF(G59="","",IF(T59="",CleanersPerJob,MAX(1,T59)))</f>
        <v>0</v>
      </c>
      <c r="AF59" s="34">
        <f>IF(G59="","",ROUND(AD59/AE59,2))</f>
        <v>0</v>
      </c>
      <c r="AG59" s="53">
        <f>IF(OR(G59="",F59="",AF59=""),"",F59+AF59/24)</f>
        <v>0</v>
      </c>
      <c r="AH59" s="21">
        <f>IF(G59="","",IF(IFERROR(INDEX(Clients!$O$5:$O$204,MATCH(G59,Clients!$A$5:$A$204,0)),0)&gt;0,IFERROR(INDEX(Clients!$O$5:$O$204,MATCH(G59,Clients!$A$5:$A$204,0)),0),HourlyRate))</f>
        <v>0</v>
      </c>
      <c r="AI59" s="21">
        <f>IF(G59="","",IF(AND(M59&lt;&gt;"",IFERROR(INDEX(Services!$P$5:$P$64,MATCH(M59,Services!$B$5:$B$64,0)),0)&gt;0,IFERROR(INDEX(Services!$D$5:$D$64,MATCH(M59,Services!$B$5:$B$64,0)),"")&lt;&gt;"Per hour"),IFERROR(INDEX(Services!$P$5:$P$64,MATCH(M59,Services!$B$5:$B$64,0)),0),AD59*AH59))</f>
        <v>0</v>
      </c>
      <c r="AJ59" s="21">
        <f>IF(G59="","",IF(V59&lt;&gt;"",V59,IF(P59="Cancelled",0,MAX(MinimumCharge,ROUND(AI59*IFERROR(INDEX(FreqFactors,MATCH(O59,FreqNames,0)),1),2)))))</f>
        <v>0</v>
      </c>
      <c r="AK59" s="34">
        <f>IF(G59="","",IF(SUMIFS(Timesheets!$U$5:$U$804,Timesheets!$G$5:$G$804,A59)&gt;0,SUMIFS(Timesheets!$U$5:$U$804,Timesheets!$G$5:$G$804,A59),IF(Z59="","",Z59)))</f>
        <v>0</v>
      </c>
      <c r="AL59" s="34">
        <f>IF(OR(AK59="",AD59=""),"",AK59-AD59)</f>
        <v>0</v>
      </c>
      <c r="AM59" s="31">
        <f>IF(A59="","",COUNTIFS('Job Tasks'!$B$5:$B$904,A59))</f>
        <v>0</v>
      </c>
      <c r="AN59" s="31">
        <f>IF(A59="","",COUNTIFS('Job Tasks'!$B$5:$B$904,A59,'Job Tasks'!$H$5:$H$904,"Done"))</f>
        <v>0</v>
      </c>
      <c r="AO59" s="38">
        <f>IF(OR(A59="",AM59=0),"",AN59/AM59)</f>
        <v>0</v>
      </c>
      <c r="AP59" s="43">
        <f>IF(A59="","",IFERROR(INDEX('Invoice Lines'!$B$5:$B$804,MATCH(A59,'Invoice Lines'!$C$5:$C$804,0)),""))</f>
        <v>0</v>
      </c>
      <c r="AQ59" s="18">
        <f>IF(OR(G59="",B59="",X59&lt;&gt;"Yes"),"",IF(IFERROR(INDEX(FreqDays,MATCH(O59,FreqNames,0)),0)=0,"",B59+IFERROR(INDEX(FreqDays,MATCH(O59,FreqNames,0)),0)))</f>
        <v>0</v>
      </c>
      <c r="AR59" s="39">
        <f>IF(G59="","",IF(R59="","Unassigned",IF(COUNTIFS($R$5:$R$604,R59,$B$5:$B$604,B59,$F$5:$F$604,F59)&gt;1,"Clash",IF(SUMIFS($AF$5:$AF$604,$R$5:$R$604,R59,$B$5:$B$604,B59)&gt;ProductiveHours,"Long day","OK"))))</f>
        <v>0</v>
      </c>
      <c r="AS59" s="18">
        <f>IF(OR(G59="",B59=""),"",IF(AND(B59&gt;=TodayDate,P59&lt;&gt;"Cancelled"),B59,""))</f>
        <v>0</v>
      </c>
      <c r="AT59" s="31">
        <f>IF(AS59="","",COUNTIFS($AS$5:$AS$604,"&lt;"&amp;AS59)+COUNTIFS($AS$5:AS59,AS59))</f>
        <v>0</v>
      </c>
      <c r="AU59" s="18">
        <f>IF(OR(G59="",B59="",R59&lt;&gt;""),"",IF(AND(B59&gt;=TodayDate,P59&lt;&gt;"Cancelled"),B59,""))</f>
        <v>0</v>
      </c>
      <c r="AV59" s="31">
        <f>IF(AU59="","",COUNTIFS($AU$5:$AU$604,"&lt;"&amp;AU59)+COUNTIFS($AU$5:AU59,AU59))</f>
        <v>0</v>
      </c>
      <c r="AW59" s="31">
        <f>IF(OR(G59="",B59=""),"",B59-TodayDate)</f>
        <v>0</v>
      </c>
      <c r="AX59" s="39">
        <f>IF(G59="","",IF(P59="Cancelled","Cancelled",IF(P59="No access","Action - no access, rebook",IF(AND(B59&lt;&gt;"",AW59&lt;0,OR(P59="Booked",P59="Confirmed",P59="In progress")),"Late - mark it completed",IF(AND(P59="Completed",AP59=""),"Action - not invoiced yet",IF(AND(AW59&gt;=0,AW59&lt;=ReminderDays,Y59&lt;&gt;"Yes"),"Confirm - visit coming up",IF(R59="","Assign - no cleaner booked",IF(AND(P59="Completed",AO59&lt;&gt;"",AO59&lt;1),"Check - checklist unfinished","OK"))))))))</f>
        <v>0</v>
      </c>
    </row>
    <row r="60" spans="1:50">
      <c r="A60" s="43">
        <f>IF(G60="","",JobPrefix&amp;TEXT(ROW()-4,"0000"))</f>
        <v>0</v>
      </c>
      <c r="B60" s="46">
        <v>46301</v>
      </c>
      <c r="C60" s="23">
        <f>IF(B60="","",TEXT(B60,"ddd"))</f>
        <v>0</v>
      </c>
      <c r="D60" s="31">
        <f>IF(B60="","",WEEKNUM(B60,IF(WeekStart="Sunday",1,2)))</f>
        <v>0</v>
      </c>
      <c r="E60" s="23">
        <f>IF(B60="","",TEXT(B60,"yyyy-mm"))</f>
        <v>0</v>
      </c>
      <c r="F60" s="52">
        <v>0.375</v>
      </c>
      <c r="G60" s="49" t="s">
        <v>743</v>
      </c>
      <c r="H60" s="23">
        <f>IF(G60="","",IFERROR(INDEX(Clients!$B$5:$B$204,MATCH(G60,Clients!$A$5:$A$204,0)),"Not found"))</f>
        <v>0</v>
      </c>
      <c r="I60" s="23">
        <f>IF(G60="","",IFERROR(INDEX(Clients!$C$5:$C$204,MATCH(G60,Clients!$A$5:$A$204,0)),""))</f>
        <v>0</v>
      </c>
      <c r="J60" s="49" t="s">
        <v>1135</v>
      </c>
      <c r="K60" s="23">
        <f>IF(J60="","",IFERROR(INDEX(Properties!$B$5:$B$254,MATCH(J60,Properties!$A$5:$A$254,0)),""))</f>
        <v>0</v>
      </c>
      <c r="L60" s="23">
        <f>IF(J60="","",IFERROR(INDEX(Properties!$F$5:$F$254,MATCH(J60,Properties!$A$5:$A$254,0)),""))</f>
        <v>0</v>
      </c>
      <c r="M60" s="15" t="s">
        <v>437</v>
      </c>
      <c r="N60" s="15" t="s">
        <v>1133</v>
      </c>
      <c r="O60" s="15" t="s">
        <v>451</v>
      </c>
      <c r="P60" s="45" t="s">
        <v>406</v>
      </c>
      <c r="Q60" s="15" t="s">
        <v>448</v>
      </c>
      <c r="R60" s="15" t="s">
        <v>584</v>
      </c>
      <c r="S60" s="15" t="s">
        <v>172</v>
      </c>
      <c r="T60" s="16">
        <v>1</v>
      </c>
      <c r="W60" s="17">
        <v>8.4</v>
      </c>
      <c r="X60" s="47" t="s">
        <v>454</v>
      </c>
      <c r="Y60" s="47" t="s">
        <v>454</v>
      </c>
      <c r="AA60" s="47" t="s">
        <v>172</v>
      </c>
      <c r="AB60" s="44" t="s">
        <v>172</v>
      </c>
      <c r="AC60" s="44" t="s">
        <v>172</v>
      </c>
      <c r="AD60" s="34">
        <f>IF(G60="","",IF(U60&lt;&gt;"",U60,IF(AND(IFERROR(INDEX(Services!$D$5:$D$64,MATCH(M60,Services!$B$5:$B$64,0)),"")="Per hour",IFERROR(INDEX(Properties!$X$5:$X$254,MATCH(J60,Properties!$A$5:$A$254,0)),0)&gt;0),IFERROR(INDEX(Properties!$X$5:$X$254,MATCH(J60,Properties!$A$5:$A$254,0)),0),IF(IFERROR(INDEX(Services!$G$5:$G$64,MATCH(M60,Services!$B$5:$B$64,0)),0)&gt;0,IFERROR(INDEX(Services!$G$5:$G$64,MATCH(M60,Services!$B$5:$B$64,0)),0),IFERROR(INDEX(Properties!$X$5:$X$254,MATCH(J60,Properties!$A$5:$A$254,0)),0)))))</f>
        <v>0</v>
      </c>
      <c r="AE60" s="31">
        <f>IF(G60="","",IF(T60="",CleanersPerJob,MAX(1,T60)))</f>
        <v>0</v>
      </c>
      <c r="AF60" s="34">
        <f>IF(G60="","",ROUND(AD60/AE60,2))</f>
        <v>0</v>
      </c>
      <c r="AG60" s="53">
        <f>IF(OR(G60="",F60="",AF60=""),"",F60+AF60/24)</f>
        <v>0</v>
      </c>
      <c r="AH60" s="21">
        <f>IF(G60="","",IF(IFERROR(INDEX(Clients!$O$5:$O$204,MATCH(G60,Clients!$A$5:$A$204,0)),0)&gt;0,IFERROR(INDEX(Clients!$O$5:$O$204,MATCH(G60,Clients!$A$5:$A$204,0)),0),HourlyRate))</f>
        <v>0</v>
      </c>
      <c r="AI60" s="21">
        <f>IF(G60="","",IF(AND(M60&lt;&gt;"",IFERROR(INDEX(Services!$P$5:$P$64,MATCH(M60,Services!$B$5:$B$64,0)),0)&gt;0,IFERROR(INDEX(Services!$D$5:$D$64,MATCH(M60,Services!$B$5:$B$64,0)),"")&lt;&gt;"Per hour"),IFERROR(INDEX(Services!$P$5:$P$64,MATCH(M60,Services!$B$5:$B$64,0)),0),AD60*AH60))</f>
        <v>0</v>
      </c>
      <c r="AJ60" s="21">
        <f>IF(G60="","",IF(V60&lt;&gt;"",V60,IF(P60="Cancelled",0,MAX(MinimumCharge,ROUND(AI60*IFERROR(INDEX(FreqFactors,MATCH(O60,FreqNames,0)),1),2)))))</f>
        <v>0</v>
      </c>
      <c r="AK60" s="34">
        <f>IF(G60="","",IF(SUMIFS(Timesheets!$U$5:$U$804,Timesheets!$G$5:$G$804,A60)&gt;0,SUMIFS(Timesheets!$U$5:$U$804,Timesheets!$G$5:$G$804,A60),IF(Z60="","",Z60)))</f>
        <v>0</v>
      </c>
      <c r="AL60" s="34">
        <f>IF(OR(AK60="",AD60=""),"",AK60-AD60)</f>
        <v>0</v>
      </c>
      <c r="AM60" s="31">
        <f>IF(A60="","",COUNTIFS('Job Tasks'!$B$5:$B$904,A60))</f>
        <v>0</v>
      </c>
      <c r="AN60" s="31">
        <f>IF(A60="","",COUNTIFS('Job Tasks'!$B$5:$B$904,A60,'Job Tasks'!$H$5:$H$904,"Done"))</f>
        <v>0</v>
      </c>
      <c r="AO60" s="38">
        <f>IF(OR(A60="",AM60=0),"",AN60/AM60)</f>
        <v>0</v>
      </c>
      <c r="AP60" s="43">
        <f>IF(A60="","",IFERROR(INDEX('Invoice Lines'!$B$5:$B$804,MATCH(A60,'Invoice Lines'!$C$5:$C$804,0)),""))</f>
        <v>0</v>
      </c>
      <c r="AQ60" s="18">
        <f>IF(OR(G60="",B60="",X60&lt;&gt;"Yes"),"",IF(IFERROR(INDEX(FreqDays,MATCH(O60,FreqNames,0)),0)=0,"",B60+IFERROR(INDEX(FreqDays,MATCH(O60,FreqNames,0)),0)))</f>
        <v>0</v>
      </c>
      <c r="AR60" s="39">
        <f>IF(G60="","",IF(R60="","Unassigned",IF(COUNTIFS($R$5:$R$604,R60,$B$5:$B$604,B60,$F$5:$F$604,F60)&gt;1,"Clash",IF(SUMIFS($AF$5:$AF$604,$R$5:$R$604,R60,$B$5:$B$604,B60)&gt;ProductiveHours,"Long day","OK"))))</f>
        <v>0</v>
      </c>
      <c r="AS60" s="18">
        <f>IF(OR(G60="",B60=""),"",IF(AND(B60&gt;=TodayDate,P60&lt;&gt;"Cancelled"),B60,""))</f>
        <v>0</v>
      </c>
      <c r="AT60" s="31">
        <f>IF(AS60="","",COUNTIFS($AS$5:$AS$604,"&lt;"&amp;AS60)+COUNTIFS($AS$5:AS60,AS60))</f>
        <v>0</v>
      </c>
      <c r="AU60" s="18">
        <f>IF(OR(G60="",B60="",R60&lt;&gt;""),"",IF(AND(B60&gt;=TodayDate,P60&lt;&gt;"Cancelled"),B60,""))</f>
        <v>0</v>
      </c>
      <c r="AV60" s="31">
        <f>IF(AU60="","",COUNTIFS($AU$5:$AU$604,"&lt;"&amp;AU60)+COUNTIFS($AU$5:AU60,AU60))</f>
        <v>0</v>
      </c>
      <c r="AW60" s="31">
        <f>IF(OR(G60="",B60=""),"",B60-TodayDate)</f>
        <v>0</v>
      </c>
      <c r="AX60" s="39">
        <f>IF(G60="","",IF(P60="Cancelled","Cancelled",IF(P60="No access","Action - no access, rebook",IF(AND(B60&lt;&gt;"",AW60&lt;0,OR(P60="Booked",P60="Confirmed",P60="In progress")),"Late - mark it completed",IF(AND(P60="Completed",AP60=""),"Action - not invoiced yet",IF(AND(AW60&gt;=0,AW60&lt;=ReminderDays,Y60&lt;&gt;"Yes"),"Confirm - visit coming up",IF(R60="","Assign - no cleaner booked",IF(AND(P60="Completed",AO60&lt;&gt;"",AO60&lt;1),"Check - checklist unfinished","OK"))))))))</f>
        <v>0</v>
      </c>
    </row>
    <row r="61" spans="1:50">
      <c r="A61" s="43">
        <f>IF(G61="","",JobPrefix&amp;TEXT(ROW()-4,"0000"))</f>
        <v>0</v>
      </c>
      <c r="B61" s="46">
        <v>46301</v>
      </c>
      <c r="C61" s="23">
        <f>IF(B61="","",TEXT(B61,"ddd"))</f>
        <v>0</v>
      </c>
      <c r="D61" s="31">
        <f>IF(B61="","",WEEKNUM(B61,IF(WeekStart="Sunday",1,2)))</f>
        <v>0</v>
      </c>
      <c r="E61" s="23">
        <f>IF(B61="","",TEXT(B61,"yyyy-mm"))</f>
        <v>0</v>
      </c>
      <c r="F61" s="52">
        <v>0.583333333333333</v>
      </c>
      <c r="G61" s="49" t="s">
        <v>845</v>
      </c>
      <c r="H61" s="23">
        <f>IF(G61="","",IFERROR(INDEX(Clients!$B$5:$B$204,MATCH(G61,Clients!$A$5:$A$204,0)),"Not found"))</f>
        <v>0</v>
      </c>
      <c r="I61" s="23">
        <f>IF(G61="","",IFERROR(INDEX(Clients!$C$5:$C$204,MATCH(G61,Clients!$A$5:$A$204,0)),""))</f>
        <v>0</v>
      </c>
      <c r="J61" s="49" t="s">
        <v>1049</v>
      </c>
      <c r="K61" s="23">
        <f>IF(J61="","",IFERROR(INDEX(Properties!$B$5:$B$254,MATCH(J61,Properties!$A$5:$A$254,0)),""))</f>
        <v>0</v>
      </c>
      <c r="L61" s="23">
        <f>IF(J61="","",IFERROR(INDEX(Properties!$F$5:$F$254,MATCH(J61,Properties!$A$5:$A$254,0)),""))</f>
        <v>0</v>
      </c>
      <c r="M61" s="15" t="s">
        <v>437</v>
      </c>
      <c r="N61" s="15" t="s">
        <v>1133</v>
      </c>
      <c r="O61" s="15" t="s">
        <v>593</v>
      </c>
      <c r="P61" s="45" t="s">
        <v>406</v>
      </c>
      <c r="Q61" s="15" t="s">
        <v>448</v>
      </c>
      <c r="R61" s="15" t="s">
        <v>584</v>
      </c>
      <c r="S61" s="15" t="s">
        <v>172</v>
      </c>
      <c r="T61" s="16">
        <v>1</v>
      </c>
      <c r="W61" s="17">
        <v>11</v>
      </c>
      <c r="X61" s="47" t="s">
        <v>454</v>
      </c>
      <c r="Y61" s="47" t="s">
        <v>454</v>
      </c>
      <c r="AA61" s="47" t="s">
        <v>172</v>
      </c>
      <c r="AB61" s="44" t="s">
        <v>172</v>
      </c>
      <c r="AC61" s="44" t="s">
        <v>172</v>
      </c>
      <c r="AD61" s="34">
        <f>IF(G61="","",IF(U61&lt;&gt;"",U61,IF(AND(IFERROR(INDEX(Services!$D$5:$D$64,MATCH(M61,Services!$B$5:$B$64,0)),"")="Per hour",IFERROR(INDEX(Properties!$X$5:$X$254,MATCH(J61,Properties!$A$5:$A$254,0)),0)&gt;0),IFERROR(INDEX(Properties!$X$5:$X$254,MATCH(J61,Properties!$A$5:$A$254,0)),0),IF(IFERROR(INDEX(Services!$G$5:$G$64,MATCH(M61,Services!$B$5:$B$64,0)),0)&gt;0,IFERROR(INDEX(Services!$G$5:$G$64,MATCH(M61,Services!$B$5:$B$64,0)),0),IFERROR(INDEX(Properties!$X$5:$X$254,MATCH(J61,Properties!$A$5:$A$254,0)),0)))))</f>
        <v>0</v>
      </c>
      <c r="AE61" s="31">
        <f>IF(G61="","",IF(T61="",CleanersPerJob,MAX(1,T61)))</f>
        <v>0</v>
      </c>
      <c r="AF61" s="34">
        <f>IF(G61="","",ROUND(AD61/AE61,2))</f>
        <v>0</v>
      </c>
      <c r="AG61" s="53">
        <f>IF(OR(G61="",F61="",AF61=""),"",F61+AF61/24)</f>
        <v>0</v>
      </c>
      <c r="AH61" s="21">
        <f>IF(G61="","",IF(IFERROR(INDEX(Clients!$O$5:$O$204,MATCH(G61,Clients!$A$5:$A$204,0)),0)&gt;0,IFERROR(INDEX(Clients!$O$5:$O$204,MATCH(G61,Clients!$A$5:$A$204,0)),0),HourlyRate))</f>
        <v>0</v>
      </c>
      <c r="AI61" s="21">
        <f>IF(G61="","",IF(AND(M61&lt;&gt;"",IFERROR(INDEX(Services!$P$5:$P$64,MATCH(M61,Services!$B$5:$B$64,0)),0)&gt;0,IFERROR(INDEX(Services!$D$5:$D$64,MATCH(M61,Services!$B$5:$B$64,0)),"")&lt;&gt;"Per hour"),IFERROR(INDEX(Services!$P$5:$P$64,MATCH(M61,Services!$B$5:$B$64,0)),0),AD61*AH61))</f>
        <v>0</v>
      </c>
      <c r="AJ61" s="21">
        <f>IF(G61="","",IF(V61&lt;&gt;"",V61,IF(P61="Cancelled",0,MAX(MinimumCharge,ROUND(AI61*IFERROR(INDEX(FreqFactors,MATCH(O61,FreqNames,0)),1),2)))))</f>
        <v>0</v>
      </c>
      <c r="AK61" s="34">
        <f>IF(G61="","",IF(SUMIFS(Timesheets!$U$5:$U$804,Timesheets!$G$5:$G$804,A61)&gt;0,SUMIFS(Timesheets!$U$5:$U$804,Timesheets!$G$5:$G$804,A61),IF(Z61="","",Z61)))</f>
        <v>0</v>
      </c>
      <c r="AL61" s="34">
        <f>IF(OR(AK61="",AD61=""),"",AK61-AD61)</f>
        <v>0</v>
      </c>
      <c r="AM61" s="31">
        <f>IF(A61="","",COUNTIFS('Job Tasks'!$B$5:$B$904,A61))</f>
        <v>0</v>
      </c>
      <c r="AN61" s="31">
        <f>IF(A61="","",COUNTIFS('Job Tasks'!$B$5:$B$904,A61,'Job Tasks'!$H$5:$H$904,"Done"))</f>
        <v>0</v>
      </c>
      <c r="AO61" s="38">
        <f>IF(OR(A61="",AM61=0),"",AN61/AM61)</f>
        <v>0</v>
      </c>
      <c r="AP61" s="43">
        <f>IF(A61="","",IFERROR(INDEX('Invoice Lines'!$B$5:$B$804,MATCH(A61,'Invoice Lines'!$C$5:$C$804,0)),""))</f>
        <v>0</v>
      </c>
      <c r="AQ61" s="18">
        <f>IF(OR(G61="",B61="",X61&lt;&gt;"Yes"),"",IF(IFERROR(INDEX(FreqDays,MATCH(O61,FreqNames,0)),0)=0,"",B61+IFERROR(INDEX(FreqDays,MATCH(O61,FreqNames,0)),0)))</f>
        <v>0</v>
      </c>
      <c r="AR61" s="39">
        <f>IF(G61="","",IF(R61="","Unassigned",IF(COUNTIFS($R$5:$R$604,R61,$B$5:$B$604,B61,$F$5:$F$604,F61)&gt;1,"Clash",IF(SUMIFS($AF$5:$AF$604,$R$5:$R$604,R61,$B$5:$B$604,B61)&gt;ProductiveHours,"Long day","OK"))))</f>
        <v>0</v>
      </c>
      <c r="AS61" s="18">
        <f>IF(OR(G61="",B61=""),"",IF(AND(B61&gt;=TodayDate,P61&lt;&gt;"Cancelled"),B61,""))</f>
        <v>0</v>
      </c>
      <c r="AT61" s="31">
        <f>IF(AS61="","",COUNTIFS($AS$5:$AS$604,"&lt;"&amp;AS61)+COUNTIFS($AS$5:AS61,AS61))</f>
        <v>0</v>
      </c>
      <c r="AU61" s="18">
        <f>IF(OR(G61="",B61="",R61&lt;&gt;""),"",IF(AND(B61&gt;=TodayDate,P61&lt;&gt;"Cancelled"),B61,""))</f>
        <v>0</v>
      </c>
      <c r="AV61" s="31">
        <f>IF(AU61="","",COUNTIFS($AU$5:$AU$604,"&lt;"&amp;AU61)+COUNTIFS($AU$5:AU61,AU61))</f>
        <v>0</v>
      </c>
      <c r="AW61" s="31">
        <f>IF(OR(G61="",B61=""),"",B61-TodayDate)</f>
        <v>0</v>
      </c>
      <c r="AX61" s="39">
        <f>IF(G61="","",IF(P61="Cancelled","Cancelled",IF(P61="No access","Action - no access, rebook",IF(AND(B61&lt;&gt;"",AW61&lt;0,OR(P61="Booked",P61="Confirmed",P61="In progress")),"Late - mark it completed",IF(AND(P61="Completed",AP61=""),"Action - not invoiced yet",IF(AND(AW61&gt;=0,AW61&lt;=ReminderDays,Y61&lt;&gt;"Yes"),"Confirm - visit coming up",IF(R61="","Assign - no cleaner booked",IF(AND(P61="Completed",AO61&lt;&gt;"",AO61&lt;1),"Check - checklist unfinished","OK"))))))))</f>
        <v>0</v>
      </c>
    </row>
    <row r="62" spans="1:50">
      <c r="A62" s="43">
        <f>IF(G62="","",JobPrefix&amp;TEXT(ROW()-4,"0000"))</f>
        <v>0</v>
      </c>
      <c r="B62" s="46">
        <v>46302</v>
      </c>
      <c r="C62" s="23">
        <f>IF(B62="","",TEXT(B62,"ddd"))</f>
        <v>0</v>
      </c>
      <c r="D62" s="31">
        <f>IF(B62="","",WEEKNUM(B62,IF(WeekStart="Sunday",1,2)))</f>
        <v>0</v>
      </c>
      <c r="E62" s="23">
        <f>IF(B62="","",TEXT(B62,"yyyy-mm"))</f>
        <v>0</v>
      </c>
      <c r="F62" s="52">
        <v>0.395833333333333</v>
      </c>
      <c r="G62" s="49" t="s">
        <v>806</v>
      </c>
      <c r="H62" s="23">
        <f>IF(G62="","",IFERROR(INDEX(Clients!$B$5:$B$204,MATCH(G62,Clients!$A$5:$A$204,0)),"Not found"))</f>
        <v>0</v>
      </c>
      <c r="I62" s="23">
        <f>IF(G62="","",IFERROR(INDEX(Clients!$C$5:$C$204,MATCH(G62,Clients!$A$5:$A$204,0)),""))</f>
        <v>0</v>
      </c>
      <c r="J62" s="49" t="s">
        <v>1136</v>
      </c>
      <c r="K62" s="23">
        <f>IF(J62="","",IFERROR(INDEX(Properties!$B$5:$B$254,MATCH(J62,Properties!$A$5:$A$254,0)),""))</f>
        <v>0</v>
      </c>
      <c r="L62" s="23">
        <f>IF(J62="","",IFERROR(INDEX(Properties!$F$5:$F$254,MATCH(J62,Properties!$A$5:$A$254,0)),""))</f>
        <v>0</v>
      </c>
      <c r="M62" s="15" t="s">
        <v>437</v>
      </c>
      <c r="N62" s="15" t="s">
        <v>1133</v>
      </c>
      <c r="O62" s="15" t="s">
        <v>124</v>
      </c>
      <c r="P62" s="45" t="s">
        <v>406</v>
      </c>
      <c r="Q62" s="15" t="s">
        <v>448</v>
      </c>
      <c r="R62" s="15" t="s">
        <v>596</v>
      </c>
      <c r="S62" s="15" t="s">
        <v>172</v>
      </c>
      <c r="T62" s="16">
        <v>1</v>
      </c>
      <c r="W62" s="17">
        <v>16.4</v>
      </c>
      <c r="X62" s="47" t="s">
        <v>454</v>
      </c>
      <c r="Y62" s="47" t="s">
        <v>454</v>
      </c>
      <c r="AA62" s="47">
        <v>5</v>
      </c>
      <c r="AB62" s="44" t="s">
        <v>172</v>
      </c>
      <c r="AC62" s="44" t="s">
        <v>172</v>
      </c>
      <c r="AD62" s="34">
        <f>IF(G62="","",IF(U62&lt;&gt;"",U62,IF(AND(IFERROR(INDEX(Services!$D$5:$D$64,MATCH(M62,Services!$B$5:$B$64,0)),"")="Per hour",IFERROR(INDEX(Properties!$X$5:$X$254,MATCH(J62,Properties!$A$5:$A$254,0)),0)&gt;0),IFERROR(INDEX(Properties!$X$5:$X$254,MATCH(J62,Properties!$A$5:$A$254,0)),0),IF(IFERROR(INDEX(Services!$G$5:$G$64,MATCH(M62,Services!$B$5:$B$64,0)),0)&gt;0,IFERROR(INDEX(Services!$G$5:$G$64,MATCH(M62,Services!$B$5:$B$64,0)),0),IFERROR(INDEX(Properties!$X$5:$X$254,MATCH(J62,Properties!$A$5:$A$254,0)),0)))))</f>
        <v>0</v>
      </c>
      <c r="AE62" s="31">
        <f>IF(G62="","",IF(T62="",CleanersPerJob,MAX(1,T62)))</f>
        <v>0</v>
      </c>
      <c r="AF62" s="34">
        <f>IF(G62="","",ROUND(AD62/AE62,2))</f>
        <v>0</v>
      </c>
      <c r="AG62" s="53">
        <f>IF(OR(G62="",F62="",AF62=""),"",F62+AF62/24)</f>
        <v>0</v>
      </c>
      <c r="AH62" s="21">
        <f>IF(G62="","",IF(IFERROR(INDEX(Clients!$O$5:$O$204,MATCH(G62,Clients!$A$5:$A$204,0)),0)&gt;0,IFERROR(INDEX(Clients!$O$5:$O$204,MATCH(G62,Clients!$A$5:$A$204,0)),0),HourlyRate))</f>
        <v>0</v>
      </c>
      <c r="AI62" s="21">
        <f>IF(G62="","",IF(AND(M62&lt;&gt;"",IFERROR(INDEX(Services!$P$5:$P$64,MATCH(M62,Services!$B$5:$B$64,0)),0)&gt;0,IFERROR(INDEX(Services!$D$5:$D$64,MATCH(M62,Services!$B$5:$B$64,0)),"")&lt;&gt;"Per hour"),IFERROR(INDEX(Services!$P$5:$P$64,MATCH(M62,Services!$B$5:$B$64,0)),0),AD62*AH62))</f>
        <v>0</v>
      </c>
      <c r="AJ62" s="21">
        <f>IF(G62="","",IF(V62&lt;&gt;"",V62,IF(P62="Cancelled",0,MAX(MinimumCharge,ROUND(AI62*IFERROR(INDEX(FreqFactors,MATCH(O62,FreqNames,0)),1),2)))))</f>
        <v>0</v>
      </c>
      <c r="AK62" s="34">
        <f>IF(G62="","",IF(SUMIFS(Timesheets!$U$5:$U$804,Timesheets!$G$5:$G$804,A62)&gt;0,SUMIFS(Timesheets!$U$5:$U$804,Timesheets!$G$5:$G$804,A62),IF(Z62="","",Z62)))</f>
        <v>0</v>
      </c>
      <c r="AL62" s="34">
        <f>IF(OR(AK62="",AD62=""),"",AK62-AD62)</f>
        <v>0</v>
      </c>
      <c r="AM62" s="31">
        <f>IF(A62="","",COUNTIFS('Job Tasks'!$B$5:$B$904,A62))</f>
        <v>0</v>
      </c>
      <c r="AN62" s="31">
        <f>IF(A62="","",COUNTIFS('Job Tasks'!$B$5:$B$904,A62,'Job Tasks'!$H$5:$H$904,"Done"))</f>
        <v>0</v>
      </c>
      <c r="AO62" s="38">
        <f>IF(OR(A62="",AM62=0),"",AN62/AM62)</f>
        <v>0</v>
      </c>
      <c r="AP62" s="43">
        <f>IF(A62="","",IFERROR(INDEX('Invoice Lines'!$B$5:$B$804,MATCH(A62,'Invoice Lines'!$C$5:$C$804,0)),""))</f>
        <v>0</v>
      </c>
      <c r="AQ62" s="18">
        <f>IF(OR(G62="",B62="",X62&lt;&gt;"Yes"),"",IF(IFERROR(INDEX(FreqDays,MATCH(O62,FreqNames,0)),0)=0,"",B62+IFERROR(INDEX(FreqDays,MATCH(O62,FreqNames,0)),0)))</f>
        <v>0</v>
      </c>
      <c r="AR62" s="39">
        <f>IF(G62="","",IF(R62="","Unassigned",IF(COUNTIFS($R$5:$R$604,R62,$B$5:$B$604,B62,$F$5:$F$604,F62)&gt;1,"Clash",IF(SUMIFS($AF$5:$AF$604,$R$5:$R$604,R62,$B$5:$B$604,B62)&gt;ProductiveHours,"Long day","OK"))))</f>
        <v>0</v>
      </c>
      <c r="AS62" s="18">
        <f>IF(OR(G62="",B62=""),"",IF(AND(B62&gt;=TodayDate,P62&lt;&gt;"Cancelled"),B62,""))</f>
        <v>0</v>
      </c>
      <c r="AT62" s="31">
        <f>IF(AS62="","",COUNTIFS($AS$5:$AS$604,"&lt;"&amp;AS62)+COUNTIFS($AS$5:AS62,AS62))</f>
        <v>0</v>
      </c>
      <c r="AU62" s="18">
        <f>IF(OR(G62="",B62="",R62&lt;&gt;""),"",IF(AND(B62&gt;=TodayDate,P62&lt;&gt;"Cancelled"),B62,""))</f>
        <v>0</v>
      </c>
      <c r="AV62" s="31">
        <f>IF(AU62="","",COUNTIFS($AU$5:$AU$604,"&lt;"&amp;AU62)+COUNTIFS($AU$5:AU62,AU62))</f>
        <v>0</v>
      </c>
      <c r="AW62" s="31">
        <f>IF(OR(G62="",B62=""),"",B62-TodayDate)</f>
        <v>0</v>
      </c>
      <c r="AX62" s="39">
        <f>IF(G62="","",IF(P62="Cancelled","Cancelled",IF(P62="No access","Action - no access, rebook",IF(AND(B62&lt;&gt;"",AW62&lt;0,OR(P62="Booked",P62="Confirmed",P62="In progress")),"Late - mark it completed",IF(AND(P62="Completed",AP62=""),"Action - not invoiced yet",IF(AND(AW62&gt;=0,AW62&lt;=ReminderDays,Y62&lt;&gt;"Yes"),"Confirm - visit coming up",IF(R62="","Assign - no cleaner booked",IF(AND(P62="Completed",AO62&lt;&gt;"",AO62&lt;1),"Check - checklist unfinished","OK"))))))))</f>
        <v>0</v>
      </c>
    </row>
    <row r="63" spans="1:50">
      <c r="A63" s="43">
        <f>IF(G63="","",JobPrefix&amp;TEXT(ROW()-4,"0000"))</f>
        <v>0</v>
      </c>
      <c r="B63" s="46">
        <v>46302</v>
      </c>
      <c r="C63" s="23">
        <f>IF(B63="","",TEXT(B63,"ddd"))</f>
        <v>0</v>
      </c>
      <c r="D63" s="31">
        <f>IF(B63="","",WEEKNUM(B63,IF(WeekStart="Sunday",1,2)))</f>
        <v>0</v>
      </c>
      <c r="E63" s="23">
        <f>IF(B63="","",TEXT(B63,"yyyy-mm"))</f>
        <v>0</v>
      </c>
      <c r="F63" s="52">
        <v>0.583333333333333</v>
      </c>
      <c r="G63" s="49" t="s">
        <v>833</v>
      </c>
      <c r="H63" s="23">
        <f>IF(G63="","",IFERROR(INDEX(Clients!$B$5:$B$204,MATCH(G63,Clients!$A$5:$A$204,0)),"Not found"))</f>
        <v>0</v>
      </c>
      <c r="I63" s="23">
        <f>IF(G63="","",IFERROR(INDEX(Clients!$C$5:$C$204,MATCH(G63,Clients!$A$5:$A$204,0)),""))</f>
        <v>0</v>
      </c>
      <c r="J63" s="49" t="s">
        <v>1137</v>
      </c>
      <c r="K63" s="23">
        <f>IF(J63="","",IFERROR(INDEX(Properties!$B$5:$B$254,MATCH(J63,Properties!$A$5:$A$254,0)),""))</f>
        <v>0</v>
      </c>
      <c r="L63" s="23">
        <f>IF(J63="","",IFERROR(INDEX(Properties!$F$5:$F$254,MATCH(J63,Properties!$A$5:$A$254,0)),""))</f>
        <v>0</v>
      </c>
      <c r="M63" s="15" t="s">
        <v>839</v>
      </c>
      <c r="N63" s="15" t="s">
        <v>1133</v>
      </c>
      <c r="O63" s="15" t="s">
        <v>124</v>
      </c>
      <c r="P63" s="45" t="s">
        <v>406</v>
      </c>
      <c r="Q63" s="15" t="s">
        <v>448</v>
      </c>
      <c r="R63" s="15" t="s">
        <v>664</v>
      </c>
      <c r="S63" s="15" t="s">
        <v>172</v>
      </c>
      <c r="T63" s="16">
        <v>1</v>
      </c>
      <c r="W63" s="17">
        <v>18.2</v>
      </c>
      <c r="X63" s="47" t="s">
        <v>454</v>
      </c>
      <c r="Y63" s="47" t="s">
        <v>454</v>
      </c>
      <c r="AA63" s="47" t="s">
        <v>172</v>
      </c>
      <c r="AB63" s="44" t="s">
        <v>172</v>
      </c>
      <c r="AC63" s="44" t="s">
        <v>172</v>
      </c>
      <c r="AD63" s="34">
        <f>IF(G63="","",IF(U63&lt;&gt;"",U63,IF(AND(IFERROR(INDEX(Services!$D$5:$D$64,MATCH(M63,Services!$B$5:$B$64,0)),"")="Per hour",IFERROR(INDEX(Properties!$X$5:$X$254,MATCH(J63,Properties!$A$5:$A$254,0)),0)&gt;0),IFERROR(INDEX(Properties!$X$5:$X$254,MATCH(J63,Properties!$A$5:$A$254,0)),0),IF(IFERROR(INDEX(Services!$G$5:$G$64,MATCH(M63,Services!$B$5:$B$64,0)),0)&gt;0,IFERROR(INDEX(Services!$G$5:$G$64,MATCH(M63,Services!$B$5:$B$64,0)),0),IFERROR(INDEX(Properties!$X$5:$X$254,MATCH(J63,Properties!$A$5:$A$254,0)),0)))))</f>
        <v>0</v>
      </c>
      <c r="AE63" s="31">
        <f>IF(G63="","",IF(T63="",CleanersPerJob,MAX(1,T63)))</f>
        <v>0</v>
      </c>
      <c r="AF63" s="34">
        <f>IF(G63="","",ROUND(AD63/AE63,2))</f>
        <v>0</v>
      </c>
      <c r="AG63" s="53">
        <f>IF(OR(G63="",F63="",AF63=""),"",F63+AF63/24)</f>
        <v>0</v>
      </c>
      <c r="AH63" s="21">
        <f>IF(G63="","",IF(IFERROR(INDEX(Clients!$O$5:$O$204,MATCH(G63,Clients!$A$5:$A$204,0)),0)&gt;0,IFERROR(INDEX(Clients!$O$5:$O$204,MATCH(G63,Clients!$A$5:$A$204,0)),0),HourlyRate))</f>
        <v>0</v>
      </c>
      <c r="AI63" s="21">
        <f>IF(G63="","",IF(AND(M63&lt;&gt;"",IFERROR(INDEX(Services!$P$5:$P$64,MATCH(M63,Services!$B$5:$B$64,0)),0)&gt;0,IFERROR(INDEX(Services!$D$5:$D$64,MATCH(M63,Services!$B$5:$B$64,0)),"")&lt;&gt;"Per hour"),IFERROR(INDEX(Services!$P$5:$P$64,MATCH(M63,Services!$B$5:$B$64,0)),0),AD63*AH63))</f>
        <v>0</v>
      </c>
      <c r="AJ63" s="21">
        <f>IF(G63="","",IF(V63&lt;&gt;"",V63,IF(P63="Cancelled",0,MAX(MinimumCharge,ROUND(AI63*IFERROR(INDEX(FreqFactors,MATCH(O63,FreqNames,0)),1),2)))))</f>
        <v>0</v>
      </c>
      <c r="AK63" s="34">
        <f>IF(G63="","",IF(SUMIFS(Timesheets!$U$5:$U$804,Timesheets!$G$5:$G$804,A63)&gt;0,SUMIFS(Timesheets!$U$5:$U$804,Timesheets!$G$5:$G$804,A63),IF(Z63="","",Z63)))</f>
        <v>0</v>
      </c>
      <c r="AL63" s="34">
        <f>IF(OR(AK63="",AD63=""),"",AK63-AD63)</f>
        <v>0</v>
      </c>
      <c r="AM63" s="31">
        <f>IF(A63="","",COUNTIFS('Job Tasks'!$B$5:$B$904,A63))</f>
        <v>0</v>
      </c>
      <c r="AN63" s="31">
        <f>IF(A63="","",COUNTIFS('Job Tasks'!$B$5:$B$904,A63,'Job Tasks'!$H$5:$H$904,"Done"))</f>
        <v>0</v>
      </c>
      <c r="AO63" s="38">
        <f>IF(OR(A63="",AM63=0),"",AN63/AM63)</f>
        <v>0</v>
      </c>
      <c r="AP63" s="43">
        <f>IF(A63="","",IFERROR(INDEX('Invoice Lines'!$B$5:$B$804,MATCH(A63,'Invoice Lines'!$C$5:$C$804,0)),""))</f>
        <v>0</v>
      </c>
      <c r="AQ63" s="18">
        <f>IF(OR(G63="",B63="",X63&lt;&gt;"Yes"),"",IF(IFERROR(INDEX(FreqDays,MATCH(O63,FreqNames,0)),0)=0,"",B63+IFERROR(INDEX(FreqDays,MATCH(O63,FreqNames,0)),0)))</f>
        <v>0</v>
      </c>
      <c r="AR63" s="39">
        <f>IF(G63="","",IF(R63="","Unassigned",IF(COUNTIFS($R$5:$R$604,R63,$B$5:$B$604,B63,$F$5:$F$604,F63)&gt;1,"Clash",IF(SUMIFS($AF$5:$AF$604,$R$5:$R$604,R63,$B$5:$B$604,B63)&gt;ProductiveHours,"Long day","OK"))))</f>
        <v>0</v>
      </c>
      <c r="AS63" s="18">
        <f>IF(OR(G63="",B63=""),"",IF(AND(B63&gt;=TodayDate,P63&lt;&gt;"Cancelled"),B63,""))</f>
        <v>0</v>
      </c>
      <c r="AT63" s="31">
        <f>IF(AS63="","",COUNTIFS($AS$5:$AS$604,"&lt;"&amp;AS63)+COUNTIFS($AS$5:AS63,AS63))</f>
        <v>0</v>
      </c>
      <c r="AU63" s="18">
        <f>IF(OR(G63="",B63="",R63&lt;&gt;""),"",IF(AND(B63&gt;=TodayDate,P63&lt;&gt;"Cancelled"),B63,""))</f>
        <v>0</v>
      </c>
      <c r="AV63" s="31">
        <f>IF(AU63="","",COUNTIFS($AU$5:$AU$604,"&lt;"&amp;AU63)+COUNTIFS($AU$5:AU63,AU63))</f>
        <v>0</v>
      </c>
      <c r="AW63" s="31">
        <f>IF(OR(G63="",B63=""),"",B63-TodayDate)</f>
        <v>0</v>
      </c>
      <c r="AX63" s="39">
        <f>IF(G63="","",IF(P63="Cancelled","Cancelled",IF(P63="No access","Action - no access, rebook",IF(AND(B63&lt;&gt;"",AW63&lt;0,OR(P63="Booked",P63="Confirmed",P63="In progress")),"Late - mark it completed",IF(AND(P63="Completed",AP63=""),"Action - not invoiced yet",IF(AND(AW63&gt;=0,AW63&lt;=ReminderDays,Y63&lt;&gt;"Yes"),"Confirm - visit coming up",IF(R63="","Assign - no cleaner booked",IF(AND(P63="Completed",AO63&lt;&gt;"",AO63&lt;1),"Check - checklist unfinished","OK"))))))))</f>
        <v>0</v>
      </c>
    </row>
    <row r="64" spans="1:50">
      <c r="A64" s="43">
        <f>IF(G64="","",JobPrefix&amp;TEXT(ROW()-4,"0000"))</f>
        <v>0</v>
      </c>
      <c r="B64" s="46">
        <v>46302</v>
      </c>
      <c r="C64" s="23">
        <f>IF(B64="","",TEXT(B64,"ddd"))</f>
        <v>0</v>
      </c>
      <c r="D64" s="31">
        <f>IF(B64="","",WEEKNUM(B64,IF(WeekStart="Sunday",1,2)))</f>
        <v>0</v>
      </c>
      <c r="E64" s="23">
        <f>IF(B64="","",TEXT(B64,"yyyy-mm"))</f>
        <v>0</v>
      </c>
      <c r="F64" s="52">
        <v>0.645833333333333</v>
      </c>
      <c r="G64" s="49" t="s">
        <v>833</v>
      </c>
      <c r="H64" s="23">
        <f>IF(G64="","",IFERROR(INDEX(Clients!$B$5:$B$204,MATCH(G64,Clients!$A$5:$A$204,0)),"Not found"))</f>
        <v>0</v>
      </c>
      <c r="I64" s="23">
        <f>IF(G64="","",IFERROR(INDEX(Clients!$C$5:$C$204,MATCH(G64,Clients!$A$5:$A$204,0)),""))</f>
        <v>0</v>
      </c>
      <c r="J64" s="49" t="s">
        <v>1138</v>
      </c>
      <c r="K64" s="23">
        <f>IF(J64="","",IFERROR(INDEX(Properties!$B$5:$B$254,MATCH(J64,Properties!$A$5:$A$254,0)),""))</f>
        <v>0</v>
      </c>
      <c r="L64" s="23">
        <f>IF(J64="","",IFERROR(INDEX(Properties!$F$5:$F$254,MATCH(J64,Properties!$A$5:$A$254,0)),""))</f>
        <v>0</v>
      </c>
      <c r="M64" s="15" t="s">
        <v>839</v>
      </c>
      <c r="N64" s="15" t="s">
        <v>1133</v>
      </c>
      <c r="O64" s="15" t="s">
        <v>124</v>
      </c>
      <c r="P64" s="45" t="s">
        <v>406</v>
      </c>
      <c r="Q64" s="15" t="s">
        <v>448</v>
      </c>
      <c r="R64" s="15" t="s">
        <v>664</v>
      </c>
      <c r="S64" s="15" t="s">
        <v>172</v>
      </c>
      <c r="T64" s="16">
        <v>1</v>
      </c>
      <c r="W64" s="17">
        <v>18.2</v>
      </c>
      <c r="X64" s="47" t="s">
        <v>454</v>
      </c>
      <c r="Y64" s="47" t="s">
        <v>454</v>
      </c>
      <c r="AA64" s="47" t="s">
        <v>172</v>
      </c>
      <c r="AB64" s="44" t="s">
        <v>172</v>
      </c>
      <c r="AC64" s="44" t="s">
        <v>172</v>
      </c>
      <c r="AD64" s="34">
        <f>IF(G64="","",IF(U64&lt;&gt;"",U64,IF(AND(IFERROR(INDEX(Services!$D$5:$D$64,MATCH(M64,Services!$B$5:$B$64,0)),"")="Per hour",IFERROR(INDEX(Properties!$X$5:$X$254,MATCH(J64,Properties!$A$5:$A$254,0)),0)&gt;0),IFERROR(INDEX(Properties!$X$5:$X$254,MATCH(J64,Properties!$A$5:$A$254,0)),0),IF(IFERROR(INDEX(Services!$G$5:$G$64,MATCH(M64,Services!$B$5:$B$64,0)),0)&gt;0,IFERROR(INDEX(Services!$G$5:$G$64,MATCH(M64,Services!$B$5:$B$64,0)),0),IFERROR(INDEX(Properties!$X$5:$X$254,MATCH(J64,Properties!$A$5:$A$254,0)),0)))))</f>
        <v>0</v>
      </c>
      <c r="AE64" s="31">
        <f>IF(G64="","",IF(T64="",CleanersPerJob,MAX(1,T64)))</f>
        <v>0</v>
      </c>
      <c r="AF64" s="34">
        <f>IF(G64="","",ROUND(AD64/AE64,2))</f>
        <v>0</v>
      </c>
      <c r="AG64" s="53">
        <f>IF(OR(G64="",F64="",AF64=""),"",F64+AF64/24)</f>
        <v>0</v>
      </c>
      <c r="AH64" s="21">
        <f>IF(G64="","",IF(IFERROR(INDEX(Clients!$O$5:$O$204,MATCH(G64,Clients!$A$5:$A$204,0)),0)&gt;0,IFERROR(INDEX(Clients!$O$5:$O$204,MATCH(G64,Clients!$A$5:$A$204,0)),0),HourlyRate))</f>
        <v>0</v>
      </c>
      <c r="AI64" s="21">
        <f>IF(G64="","",IF(AND(M64&lt;&gt;"",IFERROR(INDEX(Services!$P$5:$P$64,MATCH(M64,Services!$B$5:$B$64,0)),0)&gt;0,IFERROR(INDEX(Services!$D$5:$D$64,MATCH(M64,Services!$B$5:$B$64,0)),"")&lt;&gt;"Per hour"),IFERROR(INDEX(Services!$P$5:$P$64,MATCH(M64,Services!$B$5:$B$64,0)),0),AD64*AH64))</f>
        <v>0</v>
      </c>
      <c r="AJ64" s="21">
        <f>IF(G64="","",IF(V64&lt;&gt;"",V64,IF(P64="Cancelled",0,MAX(MinimumCharge,ROUND(AI64*IFERROR(INDEX(FreqFactors,MATCH(O64,FreqNames,0)),1),2)))))</f>
        <v>0</v>
      </c>
      <c r="AK64" s="34">
        <f>IF(G64="","",IF(SUMIFS(Timesheets!$U$5:$U$804,Timesheets!$G$5:$G$804,A64)&gt;0,SUMIFS(Timesheets!$U$5:$U$804,Timesheets!$G$5:$G$804,A64),IF(Z64="","",Z64)))</f>
        <v>0</v>
      </c>
      <c r="AL64" s="34">
        <f>IF(OR(AK64="",AD64=""),"",AK64-AD64)</f>
        <v>0</v>
      </c>
      <c r="AM64" s="31">
        <f>IF(A64="","",COUNTIFS('Job Tasks'!$B$5:$B$904,A64))</f>
        <v>0</v>
      </c>
      <c r="AN64" s="31">
        <f>IF(A64="","",COUNTIFS('Job Tasks'!$B$5:$B$904,A64,'Job Tasks'!$H$5:$H$904,"Done"))</f>
        <v>0</v>
      </c>
      <c r="AO64" s="38">
        <f>IF(OR(A64="",AM64=0),"",AN64/AM64)</f>
        <v>0</v>
      </c>
      <c r="AP64" s="43">
        <f>IF(A64="","",IFERROR(INDEX('Invoice Lines'!$B$5:$B$804,MATCH(A64,'Invoice Lines'!$C$5:$C$804,0)),""))</f>
        <v>0</v>
      </c>
      <c r="AQ64" s="18">
        <f>IF(OR(G64="",B64="",X64&lt;&gt;"Yes"),"",IF(IFERROR(INDEX(FreqDays,MATCH(O64,FreqNames,0)),0)=0,"",B64+IFERROR(INDEX(FreqDays,MATCH(O64,FreqNames,0)),0)))</f>
        <v>0</v>
      </c>
      <c r="AR64" s="39">
        <f>IF(G64="","",IF(R64="","Unassigned",IF(COUNTIFS($R$5:$R$604,R64,$B$5:$B$604,B64,$F$5:$F$604,F64)&gt;1,"Clash",IF(SUMIFS($AF$5:$AF$604,$R$5:$R$604,R64,$B$5:$B$604,B64)&gt;ProductiveHours,"Long day","OK"))))</f>
        <v>0</v>
      </c>
      <c r="AS64" s="18">
        <f>IF(OR(G64="",B64=""),"",IF(AND(B64&gt;=TodayDate,P64&lt;&gt;"Cancelled"),B64,""))</f>
        <v>0</v>
      </c>
      <c r="AT64" s="31">
        <f>IF(AS64="","",COUNTIFS($AS$5:$AS$604,"&lt;"&amp;AS64)+COUNTIFS($AS$5:AS64,AS64))</f>
        <v>0</v>
      </c>
      <c r="AU64" s="18">
        <f>IF(OR(G64="",B64="",R64&lt;&gt;""),"",IF(AND(B64&gt;=TodayDate,P64&lt;&gt;"Cancelled"),B64,""))</f>
        <v>0</v>
      </c>
      <c r="AV64" s="31">
        <f>IF(AU64="","",COUNTIFS($AU$5:$AU$604,"&lt;"&amp;AU64)+COUNTIFS($AU$5:AU64,AU64))</f>
        <v>0</v>
      </c>
      <c r="AW64" s="31">
        <f>IF(OR(G64="",B64=""),"",B64-TodayDate)</f>
        <v>0</v>
      </c>
      <c r="AX64" s="39">
        <f>IF(G64="","",IF(P64="Cancelled","Cancelled",IF(P64="No access","Action - no access, rebook",IF(AND(B64&lt;&gt;"",AW64&lt;0,OR(P64="Booked",P64="Confirmed",P64="In progress")),"Late - mark it completed",IF(AND(P64="Completed",AP64=""),"Action - not invoiced yet",IF(AND(AW64&gt;=0,AW64&lt;=ReminderDays,Y64&lt;&gt;"Yes"),"Confirm - visit coming up",IF(R64="","Assign - no cleaner booked",IF(AND(P64="Completed",AO64&lt;&gt;"",AO64&lt;1),"Check - checklist unfinished","OK"))))))))</f>
        <v>0</v>
      </c>
    </row>
    <row r="65" spans="1:50">
      <c r="A65" s="43">
        <f>IF(G65="","",JobPrefix&amp;TEXT(ROW()-4,"0000"))</f>
        <v>0</v>
      </c>
      <c r="B65" s="46">
        <v>46303</v>
      </c>
      <c r="C65" s="23">
        <f>IF(B65="","",TEXT(B65,"ddd"))</f>
        <v>0</v>
      </c>
      <c r="D65" s="31">
        <f>IF(B65="","",WEEKNUM(B65,IF(WeekStart="Sunday",1,2)))</f>
        <v>0</v>
      </c>
      <c r="E65" s="23">
        <f>IF(B65="","",TEXT(B65,"yyyy-mm"))</f>
        <v>0</v>
      </c>
      <c r="F65" s="52">
        <v>0.291666666666667</v>
      </c>
      <c r="G65" s="49" t="s">
        <v>813</v>
      </c>
      <c r="H65" s="23">
        <f>IF(G65="","",IFERROR(INDEX(Clients!$B$5:$B$204,MATCH(G65,Clients!$A$5:$A$204,0)),"Not found"))</f>
        <v>0</v>
      </c>
      <c r="I65" s="23">
        <f>IF(G65="","",IFERROR(INDEX(Clients!$C$5:$C$204,MATCH(G65,Clients!$A$5:$A$204,0)),""))</f>
        <v>0</v>
      </c>
      <c r="J65" s="49" t="s">
        <v>1052</v>
      </c>
      <c r="K65" s="23">
        <f>IF(J65="","",IFERROR(INDEX(Properties!$B$5:$B$254,MATCH(J65,Properties!$A$5:$A$254,0)),""))</f>
        <v>0</v>
      </c>
      <c r="L65" s="23">
        <f>IF(J65="","",IFERROR(INDEX(Properties!$F$5:$F$254,MATCH(J65,Properties!$A$5:$A$254,0)),""))</f>
        <v>0</v>
      </c>
      <c r="M65" s="15" t="s">
        <v>770</v>
      </c>
      <c r="N65" s="15" t="s">
        <v>1133</v>
      </c>
      <c r="O65" s="15" t="s">
        <v>617</v>
      </c>
      <c r="P65" s="45" t="s">
        <v>406</v>
      </c>
      <c r="Q65" s="15" t="s">
        <v>448</v>
      </c>
      <c r="R65" s="15" t="s">
        <v>664</v>
      </c>
      <c r="S65" s="15" t="s">
        <v>172</v>
      </c>
      <c r="T65" s="16">
        <v>1</v>
      </c>
      <c r="W65" s="17">
        <v>7.6</v>
      </c>
      <c r="X65" s="47" t="s">
        <v>454</v>
      </c>
      <c r="Y65" s="47" t="s">
        <v>454</v>
      </c>
      <c r="AA65" s="47">
        <v>5</v>
      </c>
      <c r="AB65" s="44" t="s">
        <v>172</v>
      </c>
      <c r="AC65" s="44" t="s">
        <v>172</v>
      </c>
      <c r="AD65" s="34">
        <f>IF(G65="","",IF(U65&lt;&gt;"",U65,IF(AND(IFERROR(INDEX(Services!$D$5:$D$64,MATCH(M65,Services!$B$5:$B$64,0)),"")="Per hour",IFERROR(INDEX(Properties!$X$5:$X$254,MATCH(J65,Properties!$A$5:$A$254,0)),0)&gt;0),IFERROR(INDEX(Properties!$X$5:$X$254,MATCH(J65,Properties!$A$5:$A$254,0)),0),IF(IFERROR(INDEX(Services!$G$5:$G$64,MATCH(M65,Services!$B$5:$B$64,0)),0)&gt;0,IFERROR(INDEX(Services!$G$5:$G$64,MATCH(M65,Services!$B$5:$B$64,0)),0),IFERROR(INDEX(Properties!$X$5:$X$254,MATCH(J65,Properties!$A$5:$A$254,0)),0)))))</f>
        <v>0</v>
      </c>
      <c r="AE65" s="31">
        <f>IF(G65="","",IF(T65="",CleanersPerJob,MAX(1,T65)))</f>
        <v>0</v>
      </c>
      <c r="AF65" s="34">
        <f>IF(G65="","",ROUND(AD65/AE65,2))</f>
        <v>0</v>
      </c>
      <c r="AG65" s="53">
        <f>IF(OR(G65="",F65="",AF65=""),"",F65+AF65/24)</f>
        <v>0</v>
      </c>
      <c r="AH65" s="21">
        <f>IF(G65="","",IF(IFERROR(INDEX(Clients!$O$5:$O$204,MATCH(G65,Clients!$A$5:$A$204,0)),0)&gt;0,IFERROR(INDEX(Clients!$O$5:$O$204,MATCH(G65,Clients!$A$5:$A$204,0)),0),HourlyRate))</f>
        <v>0</v>
      </c>
      <c r="AI65" s="21">
        <f>IF(G65="","",IF(AND(M65&lt;&gt;"",IFERROR(INDEX(Services!$P$5:$P$64,MATCH(M65,Services!$B$5:$B$64,0)),0)&gt;0,IFERROR(INDEX(Services!$D$5:$D$64,MATCH(M65,Services!$B$5:$B$64,0)),"")&lt;&gt;"Per hour"),IFERROR(INDEX(Services!$P$5:$P$64,MATCH(M65,Services!$B$5:$B$64,0)),0),AD65*AH65))</f>
        <v>0</v>
      </c>
      <c r="AJ65" s="21">
        <f>IF(G65="","",IF(V65&lt;&gt;"",V65,IF(P65="Cancelled",0,MAX(MinimumCharge,ROUND(AI65*IFERROR(INDEX(FreqFactors,MATCH(O65,FreqNames,0)),1),2)))))</f>
        <v>0</v>
      </c>
      <c r="AK65" s="34">
        <f>IF(G65="","",IF(SUMIFS(Timesheets!$U$5:$U$804,Timesheets!$G$5:$G$804,A65)&gt;0,SUMIFS(Timesheets!$U$5:$U$804,Timesheets!$G$5:$G$804,A65),IF(Z65="","",Z65)))</f>
        <v>0</v>
      </c>
      <c r="AL65" s="34">
        <f>IF(OR(AK65="",AD65=""),"",AK65-AD65)</f>
        <v>0</v>
      </c>
      <c r="AM65" s="31">
        <f>IF(A65="","",COUNTIFS('Job Tasks'!$B$5:$B$904,A65))</f>
        <v>0</v>
      </c>
      <c r="AN65" s="31">
        <f>IF(A65="","",COUNTIFS('Job Tasks'!$B$5:$B$904,A65,'Job Tasks'!$H$5:$H$904,"Done"))</f>
        <v>0</v>
      </c>
      <c r="AO65" s="38">
        <f>IF(OR(A65="",AM65=0),"",AN65/AM65)</f>
        <v>0</v>
      </c>
      <c r="AP65" s="43">
        <f>IF(A65="","",IFERROR(INDEX('Invoice Lines'!$B$5:$B$804,MATCH(A65,'Invoice Lines'!$C$5:$C$804,0)),""))</f>
        <v>0</v>
      </c>
      <c r="AQ65" s="18">
        <f>IF(OR(G65="",B65="",X65&lt;&gt;"Yes"),"",IF(IFERROR(INDEX(FreqDays,MATCH(O65,FreqNames,0)),0)=0,"",B65+IFERROR(INDEX(FreqDays,MATCH(O65,FreqNames,0)),0)))</f>
        <v>0</v>
      </c>
      <c r="AR65" s="39">
        <f>IF(G65="","",IF(R65="","Unassigned",IF(COUNTIFS($R$5:$R$604,R65,$B$5:$B$604,B65,$F$5:$F$604,F65)&gt;1,"Clash",IF(SUMIFS($AF$5:$AF$604,$R$5:$R$604,R65,$B$5:$B$604,B65)&gt;ProductiveHours,"Long day","OK"))))</f>
        <v>0</v>
      </c>
      <c r="AS65" s="18">
        <f>IF(OR(G65="",B65=""),"",IF(AND(B65&gt;=TodayDate,P65&lt;&gt;"Cancelled"),B65,""))</f>
        <v>0</v>
      </c>
      <c r="AT65" s="31">
        <f>IF(AS65="","",COUNTIFS($AS$5:$AS$604,"&lt;"&amp;AS65)+COUNTIFS($AS$5:AS65,AS65))</f>
        <v>0</v>
      </c>
      <c r="AU65" s="18">
        <f>IF(OR(G65="",B65="",R65&lt;&gt;""),"",IF(AND(B65&gt;=TodayDate,P65&lt;&gt;"Cancelled"),B65,""))</f>
        <v>0</v>
      </c>
      <c r="AV65" s="31">
        <f>IF(AU65="","",COUNTIFS($AU$5:$AU$604,"&lt;"&amp;AU65)+COUNTIFS($AU$5:AU65,AU65))</f>
        <v>0</v>
      </c>
      <c r="AW65" s="31">
        <f>IF(OR(G65="",B65=""),"",B65-TodayDate)</f>
        <v>0</v>
      </c>
      <c r="AX65" s="39">
        <f>IF(G65="","",IF(P65="Cancelled","Cancelled",IF(P65="No access","Action - no access, rebook",IF(AND(B65&lt;&gt;"",AW65&lt;0,OR(P65="Booked",P65="Confirmed",P65="In progress")),"Late - mark it completed",IF(AND(P65="Completed",AP65=""),"Action - not invoiced yet",IF(AND(AW65&gt;=0,AW65&lt;=ReminderDays,Y65&lt;&gt;"Yes"),"Confirm - visit coming up",IF(R65="","Assign - no cleaner booked",IF(AND(P65="Completed",AO65&lt;&gt;"",AO65&lt;1),"Check - checklist unfinished","OK"))))))))</f>
        <v>0</v>
      </c>
    </row>
    <row r="66" spans="1:50">
      <c r="A66" s="43">
        <f>IF(G66="","",JobPrefix&amp;TEXT(ROW()-4,"0000"))</f>
        <v>0</v>
      </c>
      <c r="B66" s="46">
        <v>46303</v>
      </c>
      <c r="C66" s="23">
        <f>IF(B66="","",TEXT(B66,"ddd"))</f>
        <v>0</v>
      </c>
      <c r="D66" s="31">
        <f>IF(B66="","",WEEKNUM(B66,IF(WeekStart="Sunday",1,2)))</f>
        <v>0</v>
      </c>
      <c r="E66" s="23">
        <f>IF(B66="","",TEXT(B66,"yyyy-mm"))</f>
        <v>0</v>
      </c>
      <c r="F66" s="52">
        <v>0.541666666666667</v>
      </c>
      <c r="G66" s="49" t="s">
        <v>743</v>
      </c>
      <c r="H66" s="23">
        <f>IF(G66="","",IFERROR(INDEX(Clients!$B$5:$B$204,MATCH(G66,Clients!$A$5:$A$204,0)),"Not found"))</f>
        <v>0</v>
      </c>
      <c r="I66" s="23">
        <f>IF(G66="","",IFERROR(INDEX(Clients!$C$5:$C$204,MATCH(G66,Clients!$A$5:$A$204,0)),""))</f>
        <v>0</v>
      </c>
      <c r="J66" s="49" t="s">
        <v>1135</v>
      </c>
      <c r="K66" s="23">
        <f>IF(J66="","",IFERROR(INDEX(Properties!$B$5:$B$254,MATCH(J66,Properties!$A$5:$A$254,0)),""))</f>
        <v>0</v>
      </c>
      <c r="L66" s="23">
        <f>IF(J66="","",IFERROR(INDEX(Properties!$F$5:$F$254,MATCH(J66,Properties!$A$5:$A$254,0)),""))</f>
        <v>0</v>
      </c>
      <c r="M66" s="15" t="s">
        <v>473</v>
      </c>
      <c r="N66" s="15" t="s">
        <v>1150</v>
      </c>
      <c r="O66" s="15" t="s">
        <v>625</v>
      </c>
      <c r="P66" s="45" t="s">
        <v>406</v>
      </c>
      <c r="Q66" s="15" t="s">
        <v>1151</v>
      </c>
      <c r="R66" s="15" t="s">
        <v>627</v>
      </c>
      <c r="S66" s="15" t="s">
        <v>172</v>
      </c>
      <c r="T66" s="16">
        <v>1</v>
      </c>
      <c r="W66" s="17">
        <v>8.4</v>
      </c>
      <c r="X66" s="47" t="s">
        <v>457</v>
      </c>
      <c r="Y66" s="47" t="s">
        <v>454</v>
      </c>
      <c r="AA66" s="47">
        <v>5</v>
      </c>
      <c r="AB66" s="44" t="s">
        <v>172</v>
      </c>
      <c r="AC66" s="44" t="s">
        <v>1152</v>
      </c>
      <c r="AD66" s="34">
        <f>IF(G66="","",IF(U66&lt;&gt;"",U66,IF(AND(IFERROR(INDEX(Services!$D$5:$D$64,MATCH(M66,Services!$B$5:$B$64,0)),"")="Per hour",IFERROR(INDEX(Properties!$X$5:$X$254,MATCH(J66,Properties!$A$5:$A$254,0)),0)&gt;0),IFERROR(INDEX(Properties!$X$5:$X$254,MATCH(J66,Properties!$A$5:$A$254,0)),0),IF(IFERROR(INDEX(Services!$G$5:$G$64,MATCH(M66,Services!$B$5:$B$64,0)),0)&gt;0,IFERROR(INDEX(Services!$G$5:$G$64,MATCH(M66,Services!$B$5:$B$64,0)),0),IFERROR(INDEX(Properties!$X$5:$X$254,MATCH(J66,Properties!$A$5:$A$254,0)),0)))))</f>
        <v>0</v>
      </c>
      <c r="AE66" s="31">
        <f>IF(G66="","",IF(T66="",CleanersPerJob,MAX(1,T66)))</f>
        <v>0</v>
      </c>
      <c r="AF66" s="34">
        <f>IF(G66="","",ROUND(AD66/AE66,2))</f>
        <v>0</v>
      </c>
      <c r="AG66" s="53">
        <f>IF(OR(G66="",F66="",AF66=""),"",F66+AF66/24)</f>
        <v>0</v>
      </c>
      <c r="AH66" s="21">
        <f>IF(G66="","",IF(IFERROR(INDEX(Clients!$O$5:$O$204,MATCH(G66,Clients!$A$5:$A$204,0)),0)&gt;0,IFERROR(INDEX(Clients!$O$5:$O$204,MATCH(G66,Clients!$A$5:$A$204,0)),0),HourlyRate))</f>
        <v>0</v>
      </c>
      <c r="AI66" s="21">
        <f>IF(G66="","",IF(AND(M66&lt;&gt;"",IFERROR(INDEX(Services!$P$5:$P$64,MATCH(M66,Services!$B$5:$B$64,0)),0)&gt;0,IFERROR(INDEX(Services!$D$5:$D$64,MATCH(M66,Services!$B$5:$B$64,0)),"")&lt;&gt;"Per hour"),IFERROR(INDEX(Services!$P$5:$P$64,MATCH(M66,Services!$B$5:$B$64,0)),0),AD66*AH66))</f>
        <v>0</v>
      </c>
      <c r="AJ66" s="21">
        <f>IF(G66="","",IF(V66&lt;&gt;"",V66,IF(P66="Cancelled",0,MAX(MinimumCharge,ROUND(AI66*IFERROR(INDEX(FreqFactors,MATCH(O66,FreqNames,0)),1),2)))))</f>
        <v>0</v>
      </c>
      <c r="AK66" s="34">
        <f>IF(G66="","",IF(SUMIFS(Timesheets!$U$5:$U$804,Timesheets!$G$5:$G$804,A66)&gt;0,SUMIFS(Timesheets!$U$5:$U$804,Timesheets!$G$5:$G$804,A66),IF(Z66="","",Z66)))</f>
        <v>0</v>
      </c>
      <c r="AL66" s="34">
        <f>IF(OR(AK66="",AD66=""),"",AK66-AD66)</f>
        <v>0</v>
      </c>
      <c r="AM66" s="31">
        <f>IF(A66="","",COUNTIFS('Job Tasks'!$B$5:$B$904,A66))</f>
        <v>0</v>
      </c>
      <c r="AN66" s="31">
        <f>IF(A66="","",COUNTIFS('Job Tasks'!$B$5:$B$904,A66,'Job Tasks'!$H$5:$H$904,"Done"))</f>
        <v>0</v>
      </c>
      <c r="AO66" s="38">
        <f>IF(OR(A66="",AM66=0),"",AN66/AM66)</f>
        <v>0</v>
      </c>
      <c r="AP66" s="43">
        <f>IF(A66="","",IFERROR(INDEX('Invoice Lines'!$B$5:$B$804,MATCH(A66,'Invoice Lines'!$C$5:$C$804,0)),""))</f>
        <v>0</v>
      </c>
      <c r="AQ66" s="18">
        <f>IF(OR(G66="",B66="",X66&lt;&gt;"Yes"),"",IF(IFERROR(INDEX(FreqDays,MATCH(O66,FreqNames,0)),0)=0,"",B66+IFERROR(INDEX(FreqDays,MATCH(O66,FreqNames,0)),0)))</f>
        <v>0</v>
      </c>
      <c r="AR66" s="39">
        <f>IF(G66="","",IF(R66="","Unassigned",IF(COUNTIFS($R$5:$R$604,R66,$B$5:$B$604,B66,$F$5:$F$604,F66)&gt;1,"Clash",IF(SUMIFS($AF$5:$AF$604,$R$5:$R$604,R66,$B$5:$B$604,B66)&gt;ProductiveHours,"Long day","OK"))))</f>
        <v>0</v>
      </c>
      <c r="AS66" s="18">
        <f>IF(OR(G66="",B66=""),"",IF(AND(B66&gt;=TodayDate,P66&lt;&gt;"Cancelled"),B66,""))</f>
        <v>0</v>
      </c>
      <c r="AT66" s="31">
        <f>IF(AS66="","",COUNTIFS($AS$5:$AS$604,"&lt;"&amp;AS66)+COUNTIFS($AS$5:AS66,AS66))</f>
        <v>0</v>
      </c>
      <c r="AU66" s="18">
        <f>IF(OR(G66="",B66="",R66&lt;&gt;""),"",IF(AND(B66&gt;=TodayDate,P66&lt;&gt;"Cancelled"),B66,""))</f>
        <v>0</v>
      </c>
      <c r="AV66" s="31">
        <f>IF(AU66="","",COUNTIFS($AU$5:$AU$604,"&lt;"&amp;AU66)+COUNTIFS($AU$5:AU66,AU66))</f>
        <v>0</v>
      </c>
      <c r="AW66" s="31">
        <f>IF(OR(G66="",B66=""),"",B66-TodayDate)</f>
        <v>0</v>
      </c>
      <c r="AX66" s="39">
        <f>IF(G66="","",IF(P66="Cancelled","Cancelled",IF(P66="No access","Action - no access, rebook",IF(AND(B66&lt;&gt;"",AW66&lt;0,OR(P66="Booked",P66="Confirmed",P66="In progress")),"Late - mark it completed",IF(AND(P66="Completed",AP66=""),"Action - not invoiced yet",IF(AND(AW66&gt;=0,AW66&lt;=ReminderDays,Y66&lt;&gt;"Yes"),"Confirm - visit coming up",IF(R66="","Assign - no cleaner booked",IF(AND(P66="Completed",AO66&lt;&gt;"",AO66&lt;1),"Check - checklist unfinished","OK"))))))))</f>
        <v>0</v>
      </c>
    </row>
    <row r="67" spans="1:50">
      <c r="A67" s="43">
        <f>IF(G67="","",JobPrefix&amp;TEXT(ROW()-4,"0000"))</f>
        <v>0</v>
      </c>
      <c r="B67" s="46">
        <v>46303</v>
      </c>
      <c r="C67" s="23">
        <f>IF(B67="","",TEXT(B67,"ddd"))</f>
        <v>0</v>
      </c>
      <c r="D67" s="31">
        <f>IF(B67="","",WEEKNUM(B67,IF(WeekStart="Sunday",1,2)))</f>
        <v>0</v>
      </c>
      <c r="E67" s="23">
        <f>IF(B67="","",TEXT(B67,"yyyy-mm"))</f>
        <v>0</v>
      </c>
      <c r="F67" s="52">
        <v>0.583333333333333</v>
      </c>
      <c r="G67" s="49" t="s">
        <v>753</v>
      </c>
      <c r="H67" s="23">
        <f>IF(G67="","",IFERROR(INDEX(Clients!$B$5:$B$204,MATCH(G67,Clients!$A$5:$A$204,0)),"Not found"))</f>
        <v>0</v>
      </c>
      <c r="I67" s="23">
        <f>IF(G67="","",IFERROR(INDEX(Clients!$C$5:$C$204,MATCH(G67,Clients!$A$5:$A$204,0)),""))</f>
        <v>0</v>
      </c>
      <c r="J67" s="49" t="s">
        <v>1139</v>
      </c>
      <c r="K67" s="23">
        <f>IF(J67="","",IFERROR(INDEX(Properties!$B$5:$B$254,MATCH(J67,Properties!$A$5:$A$254,0)),""))</f>
        <v>0</v>
      </c>
      <c r="L67" s="23">
        <f>IF(J67="","",IFERROR(INDEX(Properties!$F$5:$F$254,MATCH(J67,Properties!$A$5:$A$254,0)),""))</f>
        <v>0</v>
      </c>
      <c r="M67" s="15" t="s">
        <v>437</v>
      </c>
      <c r="N67" s="15" t="s">
        <v>1133</v>
      </c>
      <c r="O67" s="15" t="s">
        <v>593</v>
      </c>
      <c r="P67" s="45" t="s">
        <v>406</v>
      </c>
      <c r="Q67" s="15" t="s">
        <v>448</v>
      </c>
      <c r="R67" s="15" t="s">
        <v>596</v>
      </c>
      <c r="S67" s="15" t="s">
        <v>172</v>
      </c>
      <c r="T67" s="16">
        <v>1</v>
      </c>
      <c r="W67" s="17">
        <v>12</v>
      </c>
      <c r="X67" s="47" t="s">
        <v>454</v>
      </c>
      <c r="Y67" s="47" t="s">
        <v>454</v>
      </c>
      <c r="AA67" s="47">
        <v>5</v>
      </c>
      <c r="AB67" s="44" t="s">
        <v>172</v>
      </c>
      <c r="AC67" s="44" t="s">
        <v>172</v>
      </c>
      <c r="AD67" s="34">
        <f>IF(G67="","",IF(U67&lt;&gt;"",U67,IF(AND(IFERROR(INDEX(Services!$D$5:$D$64,MATCH(M67,Services!$B$5:$B$64,0)),"")="Per hour",IFERROR(INDEX(Properties!$X$5:$X$254,MATCH(J67,Properties!$A$5:$A$254,0)),0)&gt;0),IFERROR(INDEX(Properties!$X$5:$X$254,MATCH(J67,Properties!$A$5:$A$254,0)),0),IF(IFERROR(INDEX(Services!$G$5:$G$64,MATCH(M67,Services!$B$5:$B$64,0)),0)&gt;0,IFERROR(INDEX(Services!$G$5:$G$64,MATCH(M67,Services!$B$5:$B$64,0)),0),IFERROR(INDEX(Properties!$X$5:$X$254,MATCH(J67,Properties!$A$5:$A$254,0)),0)))))</f>
        <v>0</v>
      </c>
      <c r="AE67" s="31">
        <f>IF(G67="","",IF(T67="",CleanersPerJob,MAX(1,T67)))</f>
        <v>0</v>
      </c>
      <c r="AF67" s="34">
        <f>IF(G67="","",ROUND(AD67/AE67,2))</f>
        <v>0</v>
      </c>
      <c r="AG67" s="53">
        <f>IF(OR(G67="",F67="",AF67=""),"",F67+AF67/24)</f>
        <v>0</v>
      </c>
      <c r="AH67" s="21">
        <f>IF(G67="","",IF(IFERROR(INDEX(Clients!$O$5:$O$204,MATCH(G67,Clients!$A$5:$A$204,0)),0)&gt;0,IFERROR(INDEX(Clients!$O$5:$O$204,MATCH(G67,Clients!$A$5:$A$204,0)),0),HourlyRate))</f>
        <v>0</v>
      </c>
      <c r="AI67" s="21">
        <f>IF(G67="","",IF(AND(M67&lt;&gt;"",IFERROR(INDEX(Services!$P$5:$P$64,MATCH(M67,Services!$B$5:$B$64,0)),0)&gt;0,IFERROR(INDEX(Services!$D$5:$D$64,MATCH(M67,Services!$B$5:$B$64,0)),"")&lt;&gt;"Per hour"),IFERROR(INDEX(Services!$P$5:$P$64,MATCH(M67,Services!$B$5:$B$64,0)),0),AD67*AH67))</f>
        <v>0</v>
      </c>
      <c r="AJ67" s="21">
        <f>IF(G67="","",IF(V67&lt;&gt;"",V67,IF(P67="Cancelled",0,MAX(MinimumCharge,ROUND(AI67*IFERROR(INDEX(FreqFactors,MATCH(O67,FreqNames,0)),1),2)))))</f>
        <v>0</v>
      </c>
      <c r="AK67" s="34">
        <f>IF(G67="","",IF(SUMIFS(Timesheets!$U$5:$U$804,Timesheets!$G$5:$G$804,A67)&gt;0,SUMIFS(Timesheets!$U$5:$U$804,Timesheets!$G$5:$G$804,A67),IF(Z67="","",Z67)))</f>
        <v>0</v>
      </c>
      <c r="AL67" s="34">
        <f>IF(OR(AK67="",AD67=""),"",AK67-AD67)</f>
        <v>0</v>
      </c>
      <c r="AM67" s="31">
        <f>IF(A67="","",COUNTIFS('Job Tasks'!$B$5:$B$904,A67))</f>
        <v>0</v>
      </c>
      <c r="AN67" s="31">
        <f>IF(A67="","",COUNTIFS('Job Tasks'!$B$5:$B$904,A67,'Job Tasks'!$H$5:$H$904,"Done"))</f>
        <v>0</v>
      </c>
      <c r="AO67" s="38">
        <f>IF(OR(A67="",AM67=0),"",AN67/AM67)</f>
        <v>0</v>
      </c>
      <c r="AP67" s="43">
        <f>IF(A67="","",IFERROR(INDEX('Invoice Lines'!$B$5:$B$804,MATCH(A67,'Invoice Lines'!$C$5:$C$804,0)),""))</f>
        <v>0</v>
      </c>
      <c r="AQ67" s="18">
        <f>IF(OR(G67="",B67="",X67&lt;&gt;"Yes"),"",IF(IFERROR(INDEX(FreqDays,MATCH(O67,FreqNames,0)),0)=0,"",B67+IFERROR(INDEX(FreqDays,MATCH(O67,FreqNames,0)),0)))</f>
        <v>0</v>
      </c>
      <c r="AR67" s="39">
        <f>IF(G67="","",IF(R67="","Unassigned",IF(COUNTIFS($R$5:$R$604,R67,$B$5:$B$604,B67,$F$5:$F$604,F67)&gt;1,"Clash",IF(SUMIFS($AF$5:$AF$604,$R$5:$R$604,R67,$B$5:$B$604,B67)&gt;ProductiveHours,"Long day","OK"))))</f>
        <v>0</v>
      </c>
      <c r="AS67" s="18">
        <f>IF(OR(G67="",B67=""),"",IF(AND(B67&gt;=TodayDate,P67&lt;&gt;"Cancelled"),B67,""))</f>
        <v>0</v>
      </c>
      <c r="AT67" s="31">
        <f>IF(AS67="","",COUNTIFS($AS$5:$AS$604,"&lt;"&amp;AS67)+COUNTIFS($AS$5:AS67,AS67))</f>
        <v>0</v>
      </c>
      <c r="AU67" s="18">
        <f>IF(OR(G67="",B67="",R67&lt;&gt;""),"",IF(AND(B67&gt;=TodayDate,P67&lt;&gt;"Cancelled"),B67,""))</f>
        <v>0</v>
      </c>
      <c r="AV67" s="31">
        <f>IF(AU67="","",COUNTIFS($AU$5:$AU$604,"&lt;"&amp;AU67)+COUNTIFS($AU$5:AU67,AU67))</f>
        <v>0</v>
      </c>
      <c r="AW67" s="31">
        <f>IF(OR(G67="",B67=""),"",B67-TodayDate)</f>
        <v>0</v>
      </c>
      <c r="AX67" s="39">
        <f>IF(G67="","",IF(P67="Cancelled","Cancelled",IF(P67="No access","Action - no access, rebook",IF(AND(B67&lt;&gt;"",AW67&lt;0,OR(P67="Booked",P67="Confirmed",P67="In progress")),"Late - mark it completed",IF(AND(P67="Completed",AP67=""),"Action - not invoiced yet",IF(AND(AW67&gt;=0,AW67&lt;=ReminderDays,Y67&lt;&gt;"Yes"),"Confirm - visit coming up",IF(R67="","Assign - no cleaner booked",IF(AND(P67="Completed",AO67&lt;&gt;"",AO67&lt;1),"Check - checklist unfinished","OK"))))))))</f>
        <v>0</v>
      </c>
    </row>
    <row r="68" spans="1:50">
      <c r="A68" s="43">
        <f>IF(G68="","",JobPrefix&amp;TEXT(ROW()-4,"0000"))</f>
        <v>0</v>
      </c>
      <c r="B68" s="46">
        <v>46303</v>
      </c>
      <c r="C68" s="23">
        <f>IF(B68="","",TEXT(B68,"ddd"))</f>
        <v>0</v>
      </c>
      <c r="D68" s="31">
        <f>IF(B68="","",WEEKNUM(B68,IF(WeekStart="Sunday",1,2)))</f>
        <v>0</v>
      </c>
      <c r="E68" s="23">
        <f>IF(B68="","",TEXT(B68,"yyyy-mm"))</f>
        <v>0</v>
      </c>
      <c r="F68" s="52">
        <v>0.770833333333333</v>
      </c>
      <c r="G68" s="49" t="s">
        <v>773</v>
      </c>
      <c r="H68" s="23">
        <f>IF(G68="","",IFERROR(INDEX(Clients!$B$5:$B$204,MATCH(G68,Clients!$A$5:$A$204,0)),"Not found"))</f>
        <v>0</v>
      </c>
      <c r="I68" s="23">
        <f>IF(G68="","",IFERROR(INDEX(Clients!$C$5:$C$204,MATCH(G68,Clients!$A$5:$A$204,0)),""))</f>
        <v>0</v>
      </c>
      <c r="J68" s="49" t="s">
        <v>1134</v>
      </c>
      <c r="K68" s="23">
        <f>IF(J68="","",IFERROR(INDEX(Properties!$B$5:$B$254,MATCH(J68,Properties!$A$5:$A$254,0)),""))</f>
        <v>0</v>
      </c>
      <c r="L68" s="23">
        <f>IF(J68="","",IFERROR(INDEX(Properties!$F$5:$F$254,MATCH(J68,Properties!$A$5:$A$254,0)),""))</f>
        <v>0</v>
      </c>
      <c r="M68" s="15" t="s">
        <v>770</v>
      </c>
      <c r="N68" s="15" t="s">
        <v>1133</v>
      </c>
      <c r="O68" s="15" t="s">
        <v>617</v>
      </c>
      <c r="P68" s="45" t="s">
        <v>406</v>
      </c>
      <c r="Q68" s="15" t="s">
        <v>448</v>
      </c>
      <c r="R68" s="15" t="s">
        <v>608</v>
      </c>
      <c r="S68" s="15" t="s">
        <v>172</v>
      </c>
      <c r="T68" s="16">
        <v>1</v>
      </c>
      <c r="W68" s="17">
        <v>4.8</v>
      </c>
      <c r="X68" s="47" t="s">
        <v>454</v>
      </c>
      <c r="Y68" s="47" t="s">
        <v>454</v>
      </c>
      <c r="AA68" s="47">
        <v>5</v>
      </c>
      <c r="AB68" s="44" t="s">
        <v>172</v>
      </c>
      <c r="AC68" s="44" t="s">
        <v>172</v>
      </c>
      <c r="AD68" s="34">
        <f>IF(G68="","",IF(U68&lt;&gt;"",U68,IF(AND(IFERROR(INDEX(Services!$D$5:$D$64,MATCH(M68,Services!$B$5:$B$64,0)),"")="Per hour",IFERROR(INDEX(Properties!$X$5:$X$254,MATCH(J68,Properties!$A$5:$A$254,0)),0)&gt;0),IFERROR(INDEX(Properties!$X$5:$X$254,MATCH(J68,Properties!$A$5:$A$254,0)),0),IF(IFERROR(INDEX(Services!$G$5:$G$64,MATCH(M68,Services!$B$5:$B$64,0)),0)&gt;0,IFERROR(INDEX(Services!$G$5:$G$64,MATCH(M68,Services!$B$5:$B$64,0)),0),IFERROR(INDEX(Properties!$X$5:$X$254,MATCH(J68,Properties!$A$5:$A$254,0)),0)))))</f>
        <v>0</v>
      </c>
      <c r="AE68" s="31">
        <f>IF(G68="","",IF(T68="",CleanersPerJob,MAX(1,T68)))</f>
        <v>0</v>
      </c>
      <c r="AF68" s="34">
        <f>IF(G68="","",ROUND(AD68/AE68,2))</f>
        <v>0</v>
      </c>
      <c r="AG68" s="53">
        <f>IF(OR(G68="",F68="",AF68=""),"",F68+AF68/24)</f>
        <v>0</v>
      </c>
      <c r="AH68" s="21">
        <f>IF(G68="","",IF(IFERROR(INDEX(Clients!$O$5:$O$204,MATCH(G68,Clients!$A$5:$A$204,0)),0)&gt;0,IFERROR(INDEX(Clients!$O$5:$O$204,MATCH(G68,Clients!$A$5:$A$204,0)),0),HourlyRate))</f>
        <v>0</v>
      </c>
      <c r="AI68" s="21">
        <f>IF(G68="","",IF(AND(M68&lt;&gt;"",IFERROR(INDEX(Services!$P$5:$P$64,MATCH(M68,Services!$B$5:$B$64,0)),0)&gt;0,IFERROR(INDEX(Services!$D$5:$D$64,MATCH(M68,Services!$B$5:$B$64,0)),"")&lt;&gt;"Per hour"),IFERROR(INDEX(Services!$P$5:$P$64,MATCH(M68,Services!$B$5:$B$64,0)),0),AD68*AH68))</f>
        <v>0</v>
      </c>
      <c r="AJ68" s="21">
        <f>IF(G68="","",IF(V68&lt;&gt;"",V68,IF(P68="Cancelled",0,MAX(MinimumCharge,ROUND(AI68*IFERROR(INDEX(FreqFactors,MATCH(O68,FreqNames,0)),1),2)))))</f>
        <v>0</v>
      </c>
      <c r="AK68" s="34">
        <f>IF(G68="","",IF(SUMIFS(Timesheets!$U$5:$U$804,Timesheets!$G$5:$G$804,A68)&gt;0,SUMIFS(Timesheets!$U$5:$U$804,Timesheets!$G$5:$G$804,A68),IF(Z68="","",Z68)))</f>
        <v>0</v>
      </c>
      <c r="AL68" s="34">
        <f>IF(OR(AK68="",AD68=""),"",AK68-AD68)</f>
        <v>0</v>
      </c>
      <c r="AM68" s="31">
        <f>IF(A68="","",COUNTIFS('Job Tasks'!$B$5:$B$904,A68))</f>
        <v>0</v>
      </c>
      <c r="AN68" s="31">
        <f>IF(A68="","",COUNTIFS('Job Tasks'!$B$5:$B$904,A68,'Job Tasks'!$H$5:$H$904,"Done"))</f>
        <v>0</v>
      </c>
      <c r="AO68" s="38">
        <f>IF(OR(A68="",AM68=0),"",AN68/AM68)</f>
        <v>0</v>
      </c>
      <c r="AP68" s="43">
        <f>IF(A68="","",IFERROR(INDEX('Invoice Lines'!$B$5:$B$804,MATCH(A68,'Invoice Lines'!$C$5:$C$804,0)),""))</f>
        <v>0</v>
      </c>
      <c r="AQ68" s="18">
        <f>IF(OR(G68="",B68="",X68&lt;&gt;"Yes"),"",IF(IFERROR(INDEX(FreqDays,MATCH(O68,FreqNames,0)),0)=0,"",B68+IFERROR(INDEX(FreqDays,MATCH(O68,FreqNames,0)),0)))</f>
        <v>0</v>
      </c>
      <c r="AR68" s="39">
        <f>IF(G68="","",IF(R68="","Unassigned",IF(COUNTIFS($R$5:$R$604,R68,$B$5:$B$604,B68,$F$5:$F$604,F68)&gt;1,"Clash",IF(SUMIFS($AF$5:$AF$604,$R$5:$R$604,R68,$B$5:$B$604,B68)&gt;ProductiveHours,"Long day","OK"))))</f>
        <v>0</v>
      </c>
      <c r="AS68" s="18">
        <f>IF(OR(G68="",B68=""),"",IF(AND(B68&gt;=TodayDate,P68&lt;&gt;"Cancelled"),B68,""))</f>
        <v>0</v>
      </c>
      <c r="AT68" s="31">
        <f>IF(AS68="","",COUNTIFS($AS$5:$AS$604,"&lt;"&amp;AS68)+COUNTIFS($AS$5:AS68,AS68))</f>
        <v>0</v>
      </c>
      <c r="AU68" s="18">
        <f>IF(OR(G68="",B68="",R68&lt;&gt;""),"",IF(AND(B68&gt;=TodayDate,P68&lt;&gt;"Cancelled"),B68,""))</f>
        <v>0</v>
      </c>
      <c r="AV68" s="31">
        <f>IF(AU68="","",COUNTIFS($AU$5:$AU$604,"&lt;"&amp;AU68)+COUNTIFS($AU$5:AU68,AU68))</f>
        <v>0</v>
      </c>
      <c r="AW68" s="31">
        <f>IF(OR(G68="",B68=""),"",B68-TodayDate)</f>
        <v>0</v>
      </c>
      <c r="AX68" s="39">
        <f>IF(G68="","",IF(P68="Cancelled","Cancelled",IF(P68="No access","Action - no access, rebook",IF(AND(B68&lt;&gt;"",AW68&lt;0,OR(P68="Booked",P68="Confirmed",P68="In progress")),"Late - mark it completed",IF(AND(P68="Completed",AP68=""),"Action - not invoiced yet",IF(AND(AW68&gt;=0,AW68&lt;=ReminderDays,Y68&lt;&gt;"Yes"),"Confirm - visit coming up",IF(R68="","Assign - no cleaner booked",IF(AND(P68="Completed",AO68&lt;&gt;"",AO68&lt;1),"Check - checklist unfinished","OK"))))))))</f>
        <v>0</v>
      </c>
    </row>
    <row r="69" spans="1:50">
      <c r="A69" s="43">
        <f>IF(G69="","",JobPrefix&amp;TEXT(ROW()-4,"0000"))</f>
        <v>0</v>
      </c>
      <c r="B69" s="46">
        <v>46304</v>
      </c>
      <c r="C69" s="23">
        <f>IF(B69="","",TEXT(B69,"ddd"))</f>
        <v>0</v>
      </c>
      <c r="D69" s="31">
        <f>IF(B69="","",WEEKNUM(B69,IF(WeekStart="Sunday",1,2)))</f>
        <v>0</v>
      </c>
      <c r="E69" s="23">
        <f>IF(B69="","",TEXT(B69,"yyyy-mm"))</f>
        <v>0</v>
      </c>
      <c r="F69" s="52">
        <v>0.729166666666667</v>
      </c>
      <c r="G69" s="49" t="s">
        <v>800</v>
      </c>
      <c r="H69" s="23">
        <f>IF(G69="","",IFERROR(INDEX(Clients!$B$5:$B$204,MATCH(G69,Clients!$A$5:$A$204,0)),"Not found"))</f>
        <v>0</v>
      </c>
      <c r="I69" s="23">
        <f>IF(G69="","",IFERROR(INDEX(Clients!$C$5:$C$204,MATCH(G69,Clients!$A$5:$A$204,0)),""))</f>
        <v>0</v>
      </c>
      <c r="J69" s="49" t="s">
        <v>1140</v>
      </c>
      <c r="K69" s="23">
        <f>IF(J69="","",IFERROR(INDEX(Properties!$B$5:$B$254,MATCH(J69,Properties!$A$5:$A$254,0)),""))</f>
        <v>0</v>
      </c>
      <c r="L69" s="23">
        <f>IF(J69="","",IFERROR(INDEX(Properties!$F$5:$F$254,MATCH(J69,Properties!$A$5:$A$254,0)),""))</f>
        <v>0</v>
      </c>
      <c r="M69" s="15" t="s">
        <v>803</v>
      </c>
      <c r="N69" s="15" t="s">
        <v>1133</v>
      </c>
      <c r="O69" s="15" t="s">
        <v>451</v>
      </c>
      <c r="P69" s="45" t="s">
        <v>406</v>
      </c>
      <c r="Q69" s="15" t="s">
        <v>448</v>
      </c>
      <c r="R69" s="15" t="s">
        <v>639</v>
      </c>
      <c r="S69" s="15" t="s">
        <v>664</v>
      </c>
      <c r="T69" s="16">
        <v>2</v>
      </c>
      <c r="W69" s="17">
        <v>9.2</v>
      </c>
      <c r="X69" s="47" t="s">
        <v>454</v>
      </c>
      <c r="Y69" s="47" t="s">
        <v>454</v>
      </c>
      <c r="AA69" s="47">
        <v>5</v>
      </c>
      <c r="AB69" s="44" t="s">
        <v>172</v>
      </c>
      <c r="AC69" s="44" t="s">
        <v>172</v>
      </c>
      <c r="AD69" s="34">
        <f>IF(G69="","",IF(U69&lt;&gt;"",U69,IF(AND(IFERROR(INDEX(Services!$D$5:$D$64,MATCH(M69,Services!$B$5:$B$64,0)),"")="Per hour",IFERROR(INDEX(Properties!$X$5:$X$254,MATCH(J69,Properties!$A$5:$A$254,0)),0)&gt;0),IFERROR(INDEX(Properties!$X$5:$X$254,MATCH(J69,Properties!$A$5:$A$254,0)),0),IF(IFERROR(INDEX(Services!$G$5:$G$64,MATCH(M69,Services!$B$5:$B$64,0)),0)&gt;0,IFERROR(INDEX(Services!$G$5:$G$64,MATCH(M69,Services!$B$5:$B$64,0)),0),IFERROR(INDEX(Properties!$X$5:$X$254,MATCH(J69,Properties!$A$5:$A$254,0)),0)))))</f>
        <v>0</v>
      </c>
      <c r="AE69" s="31">
        <f>IF(G69="","",IF(T69="",CleanersPerJob,MAX(1,T69)))</f>
        <v>0</v>
      </c>
      <c r="AF69" s="34">
        <f>IF(G69="","",ROUND(AD69/AE69,2))</f>
        <v>0</v>
      </c>
      <c r="AG69" s="53">
        <f>IF(OR(G69="",F69="",AF69=""),"",F69+AF69/24)</f>
        <v>0</v>
      </c>
      <c r="AH69" s="21">
        <f>IF(G69="","",IF(IFERROR(INDEX(Clients!$O$5:$O$204,MATCH(G69,Clients!$A$5:$A$204,0)),0)&gt;0,IFERROR(INDEX(Clients!$O$5:$O$204,MATCH(G69,Clients!$A$5:$A$204,0)),0),HourlyRate))</f>
        <v>0</v>
      </c>
      <c r="AI69" s="21">
        <f>IF(G69="","",IF(AND(M69&lt;&gt;"",IFERROR(INDEX(Services!$P$5:$P$64,MATCH(M69,Services!$B$5:$B$64,0)),0)&gt;0,IFERROR(INDEX(Services!$D$5:$D$64,MATCH(M69,Services!$B$5:$B$64,0)),"")&lt;&gt;"Per hour"),IFERROR(INDEX(Services!$P$5:$P$64,MATCH(M69,Services!$B$5:$B$64,0)),0),AD69*AH69))</f>
        <v>0</v>
      </c>
      <c r="AJ69" s="21">
        <f>IF(G69="","",IF(V69&lt;&gt;"",V69,IF(P69="Cancelled",0,MAX(MinimumCharge,ROUND(AI69*IFERROR(INDEX(FreqFactors,MATCH(O69,FreqNames,0)),1),2)))))</f>
        <v>0</v>
      </c>
      <c r="AK69" s="34">
        <f>IF(G69="","",IF(SUMIFS(Timesheets!$U$5:$U$804,Timesheets!$G$5:$G$804,A69)&gt;0,SUMIFS(Timesheets!$U$5:$U$804,Timesheets!$G$5:$G$804,A69),IF(Z69="","",Z69)))</f>
        <v>0</v>
      </c>
      <c r="AL69" s="34">
        <f>IF(OR(AK69="",AD69=""),"",AK69-AD69)</f>
        <v>0</v>
      </c>
      <c r="AM69" s="31">
        <f>IF(A69="","",COUNTIFS('Job Tasks'!$B$5:$B$904,A69))</f>
        <v>0</v>
      </c>
      <c r="AN69" s="31">
        <f>IF(A69="","",COUNTIFS('Job Tasks'!$B$5:$B$904,A69,'Job Tasks'!$H$5:$H$904,"Done"))</f>
        <v>0</v>
      </c>
      <c r="AO69" s="38">
        <f>IF(OR(A69="",AM69=0),"",AN69/AM69)</f>
        <v>0</v>
      </c>
      <c r="AP69" s="43">
        <f>IF(A69="","",IFERROR(INDEX('Invoice Lines'!$B$5:$B$804,MATCH(A69,'Invoice Lines'!$C$5:$C$804,0)),""))</f>
        <v>0</v>
      </c>
      <c r="AQ69" s="18">
        <f>IF(OR(G69="",B69="",X69&lt;&gt;"Yes"),"",IF(IFERROR(INDEX(FreqDays,MATCH(O69,FreqNames,0)),0)=0,"",B69+IFERROR(INDEX(FreqDays,MATCH(O69,FreqNames,0)),0)))</f>
        <v>0</v>
      </c>
      <c r="AR69" s="39">
        <f>IF(G69="","",IF(R69="","Unassigned",IF(COUNTIFS($R$5:$R$604,R69,$B$5:$B$604,B69,$F$5:$F$604,F69)&gt;1,"Clash",IF(SUMIFS($AF$5:$AF$604,$R$5:$R$604,R69,$B$5:$B$604,B69)&gt;ProductiveHours,"Long day","OK"))))</f>
        <v>0</v>
      </c>
      <c r="AS69" s="18">
        <f>IF(OR(G69="",B69=""),"",IF(AND(B69&gt;=TodayDate,P69&lt;&gt;"Cancelled"),B69,""))</f>
        <v>0</v>
      </c>
      <c r="AT69" s="31">
        <f>IF(AS69="","",COUNTIFS($AS$5:$AS$604,"&lt;"&amp;AS69)+COUNTIFS($AS$5:AS69,AS69))</f>
        <v>0</v>
      </c>
      <c r="AU69" s="18">
        <f>IF(OR(G69="",B69="",R69&lt;&gt;""),"",IF(AND(B69&gt;=TodayDate,P69&lt;&gt;"Cancelled"),B69,""))</f>
        <v>0</v>
      </c>
      <c r="AV69" s="31">
        <f>IF(AU69="","",COUNTIFS($AU$5:$AU$604,"&lt;"&amp;AU69)+COUNTIFS($AU$5:AU69,AU69))</f>
        <v>0</v>
      </c>
      <c r="AW69" s="31">
        <f>IF(OR(G69="",B69=""),"",B69-TodayDate)</f>
        <v>0</v>
      </c>
      <c r="AX69" s="39">
        <f>IF(G69="","",IF(P69="Cancelled","Cancelled",IF(P69="No access","Action - no access, rebook",IF(AND(B69&lt;&gt;"",AW69&lt;0,OR(P69="Booked",P69="Confirmed",P69="In progress")),"Late - mark it completed",IF(AND(P69="Completed",AP69=""),"Action - not invoiced yet",IF(AND(AW69&gt;=0,AW69&lt;=ReminderDays,Y69&lt;&gt;"Yes"),"Confirm - visit coming up",IF(R69="","Assign - no cleaner booked",IF(AND(P69="Completed",AO69&lt;&gt;"",AO69&lt;1),"Check - checklist unfinished","OK"))))))))</f>
        <v>0</v>
      </c>
    </row>
    <row r="70" spans="1:50">
      <c r="A70" s="43">
        <f>IF(G70="","",JobPrefix&amp;TEXT(ROW()-4,"0000"))</f>
        <v>0</v>
      </c>
      <c r="B70" s="46">
        <v>46304</v>
      </c>
      <c r="C70" s="23">
        <f>IF(B70="","",TEXT(B70,"ddd"))</f>
        <v>0</v>
      </c>
      <c r="D70" s="31">
        <f>IF(B70="","",WEEKNUM(B70,IF(WeekStart="Sunday",1,2)))</f>
        <v>0</v>
      </c>
      <c r="E70" s="23">
        <f>IF(B70="","",TEXT(B70,"yyyy-mm"))</f>
        <v>0</v>
      </c>
      <c r="F70" s="52">
        <v>0.75</v>
      </c>
      <c r="G70" s="49" t="s">
        <v>764</v>
      </c>
      <c r="H70" s="23">
        <f>IF(G70="","",IFERROR(INDEX(Clients!$B$5:$B$204,MATCH(G70,Clients!$A$5:$A$204,0)),"Not found"))</f>
        <v>0</v>
      </c>
      <c r="I70" s="23">
        <f>IF(G70="","",IFERROR(INDEX(Clients!$C$5:$C$204,MATCH(G70,Clients!$A$5:$A$204,0)),""))</f>
        <v>0</v>
      </c>
      <c r="J70" s="49" t="s">
        <v>1141</v>
      </c>
      <c r="K70" s="23">
        <f>IF(J70="","",IFERROR(INDEX(Properties!$B$5:$B$254,MATCH(J70,Properties!$A$5:$A$254,0)),""))</f>
        <v>0</v>
      </c>
      <c r="L70" s="23">
        <f>IF(J70="","",IFERROR(INDEX(Properties!$F$5:$F$254,MATCH(J70,Properties!$A$5:$A$254,0)),""))</f>
        <v>0</v>
      </c>
      <c r="M70" s="15" t="s">
        <v>770</v>
      </c>
      <c r="N70" s="15" t="s">
        <v>1133</v>
      </c>
      <c r="O70" s="15" t="s">
        <v>451</v>
      </c>
      <c r="P70" s="45" t="s">
        <v>406</v>
      </c>
      <c r="Q70" s="15" t="s">
        <v>448</v>
      </c>
      <c r="R70" s="15" t="s">
        <v>608</v>
      </c>
      <c r="S70" s="15" t="s">
        <v>172</v>
      </c>
      <c r="T70" s="16">
        <v>1</v>
      </c>
      <c r="W70" s="17">
        <v>6.2</v>
      </c>
      <c r="X70" s="47" t="s">
        <v>454</v>
      </c>
      <c r="Y70" s="47" t="s">
        <v>454</v>
      </c>
      <c r="AA70" s="47" t="s">
        <v>172</v>
      </c>
      <c r="AB70" s="44" t="s">
        <v>172</v>
      </c>
      <c r="AC70" s="44" t="s">
        <v>172</v>
      </c>
      <c r="AD70" s="34">
        <f>IF(G70="","",IF(U70&lt;&gt;"",U70,IF(AND(IFERROR(INDEX(Services!$D$5:$D$64,MATCH(M70,Services!$B$5:$B$64,0)),"")="Per hour",IFERROR(INDEX(Properties!$X$5:$X$254,MATCH(J70,Properties!$A$5:$A$254,0)),0)&gt;0),IFERROR(INDEX(Properties!$X$5:$X$254,MATCH(J70,Properties!$A$5:$A$254,0)),0),IF(IFERROR(INDEX(Services!$G$5:$G$64,MATCH(M70,Services!$B$5:$B$64,0)),0)&gt;0,IFERROR(INDEX(Services!$G$5:$G$64,MATCH(M70,Services!$B$5:$B$64,0)),0),IFERROR(INDEX(Properties!$X$5:$X$254,MATCH(J70,Properties!$A$5:$A$254,0)),0)))))</f>
        <v>0</v>
      </c>
      <c r="AE70" s="31">
        <f>IF(G70="","",IF(T70="",CleanersPerJob,MAX(1,T70)))</f>
        <v>0</v>
      </c>
      <c r="AF70" s="34">
        <f>IF(G70="","",ROUND(AD70/AE70,2))</f>
        <v>0</v>
      </c>
      <c r="AG70" s="53">
        <f>IF(OR(G70="",F70="",AF70=""),"",F70+AF70/24)</f>
        <v>0</v>
      </c>
      <c r="AH70" s="21">
        <f>IF(G70="","",IF(IFERROR(INDEX(Clients!$O$5:$O$204,MATCH(G70,Clients!$A$5:$A$204,0)),0)&gt;0,IFERROR(INDEX(Clients!$O$5:$O$204,MATCH(G70,Clients!$A$5:$A$204,0)),0),HourlyRate))</f>
        <v>0</v>
      </c>
      <c r="AI70" s="21">
        <f>IF(G70="","",IF(AND(M70&lt;&gt;"",IFERROR(INDEX(Services!$P$5:$P$64,MATCH(M70,Services!$B$5:$B$64,0)),0)&gt;0,IFERROR(INDEX(Services!$D$5:$D$64,MATCH(M70,Services!$B$5:$B$64,0)),"")&lt;&gt;"Per hour"),IFERROR(INDEX(Services!$P$5:$P$64,MATCH(M70,Services!$B$5:$B$64,0)),0),AD70*AH70))</f>
        <v>0</v>
      </c>
      <c r="AJ70" s="21">
        <f>IF(G70="","",IF(V70&lt;&gt;"",V70,IF(P70="Cancelled",0,MAX(MinimumCharge,ROUND(AI70*IFERROR(INDEX(FreqFactors,MATCH(O70,FreqNames,0)),1),2)))))</f>
        <v>0</v>
      </c>
      <c r="AK70" s="34">
        <f>IF(G70="","",IF(SUMIFS(Timesheets!$U$5:$U$804,Timesheets!$G$5:$G$804,A70)&gt;0,SUMIFS(Timesheets!$U$5:$U$804,Timesheets!$G$5:$G$804,A70),IF(Z70="","",Z70)))</f>
        <v>0</v>
      </c>
      <c r="AL70" s="34">
        <f>IF(OR(AK70="",AD70=""),"",AK70-AD70)</f>
        <v>0</v>
      </c>
      <c r="AM70" s="31">
        <f>IF(A70="","",COUNTIFS('Job Tasks'!$B$5:$B$904,A70))</f>
        <v>0</v>
      </c>
      <c r="AN70" s="31">
        <f>IF(A70="","",COUNTIFS('Job Tasks'!$B$5:$B$904,A70,'Job Tasks'!$H$5:$H$904,"Done"))</f>
        <v>0</v>
      </c>
      <c r="AO70" s="38">
        <f>IF(OR(A70="",AM70=0),"",AN70/AM70)</f>
        <v>0</v>
      </c>
      <c r="AP70" s="43">
        <f>IF(A70="","",IFERROR(INDEX('Invoice Lines'!$B$5:$B$804,MATCH(A70,'Invoice Lines'!$C$5:$C$804,0)),""))</f>
        <v>0</v>
      </c>
      <c r="AQ70" s="18">
        <f>IF(OR(G70="",B70="",X70&lt;&gt;"Yes"),"",IF(IFERROR(INDEX(FreqDays,MATCH(O70,FreqNames,0)),0)=0,"",B70+IFERROR(INDEX(FreqDays,MATCH(O70,FreqNames,0)),0)))</f>
        <v>0</v>
      </c>
      <c r="AR70" s="39">
        <f>IF(G70="","",IF(R70="","Unassigned",IF(COUNTIFS($R$5:$R$604,R70,$B$5:$B$604,B70,$F$5:$F$604,F70)&gt;1,"Clash",IF(SUMIFS($AF$5:$AF$604,$R$5:$R$604,R70,$B$5:$B$604,B70)&gt;ProductiveHours,"Long day","OK"))))</f>
        <v>0</v>
      </c>
      <c r="AS70" s="18">
        <f>IF(OR(G70="",B70=""),"",IF(AND(B70&gt;=TodayDate,P70&lt;&gt;"Cancelled"),B70,""))</f>
        <v>0</v>
      </c>
      <c r="AT70" s="31">
        <f>IF(AS70="","",COUNTIFS($AS$5:$AS$604,"&lt;"&amp;AS70)+COUNTIFS($AS$5:AS70,AS70))</f>
        <v>0</v>
      </c>
      <c r="AU70" s="18">
        <f>IF(OR(G70="",B70="",R70&lt;&gt;""),"",IF(AND(B70&gt;=TodayDate,P70&lt;&gt;"Cancelled"),B70,""))</f>
        <v>0</v>
      </c>
      <c r="AV70" s="31">
        <f>IF(AU70="","",COUNTIFS($AU$5:$AU$604,"&lt;"&amp;AU70)+COUNTIFS($AU$5:AU70,AU70))</f>
        <v>0</v>
      </c>
      <c r="AW70" s="31">
        <f>IF(OR(G70="",B70=""),"",B70-TodayDate)</f>
        <v>0</v>
      </c>
      <c r="AX70" s="39">
        <f>IF(G70="","",IF(P70="Cancelled","Cancelled",IF(P70="No access","Action - no access, rebook",IF(AND(B70&lt;&gt;"",AW70&lt;0,OR(P70="Booked",P70="Confirmed",P70="In progress")),"Late - mark it completed",IF(AND(P70="Completed",AP70=""),"Action - not invoiced yet",IF(AND(AW70&gt;=0,AW70&lt;=ReminderDays,Y70&lt;&gt;"Yes"),"Confirm - visit coming up",IF(R70="","Assign - no cleaner booked",IF(AND(P70="Completed",AO70&lt;&gt;"",AO70&lt;1),"Check - checklist unfinished","OK"))))))))</f>
        <v>0</v>
      </c>
    </row>
    <row r="71" spans="1:50">
      <c r="A71" s="43">
        <f>IF(G71="","",JobPrefix&amp;TEXT(ROW()-4,"0000"))</f>
        <v>0</v>
      </c>
      <c r="B71" s="46">
        <v>46304</v>
      </c>
      <c r="C71" s="23">
        <f>IF(B71="","",TEXT(B71,"ddd"))</f>
        <v>0</v>
      </c>
      <c r="D71" s="31">
        <f>IF(B71="","",WEEKNUM(B71,IF(WeekStart="Sunday",1,2)))</f>
        <v>0</v>
      </c>
      <c r="E71" s="23">
        <f>IF(B71="","",TEXT(B71,"yyyy-mm"))</f>
        <v>0</v>
      </c>
      <c r="F71" s="52">
        <v>0.833333333333333</v>
      </c>
      <c r="G71" s="49" t="s">
        <v>848</v>
      </c>
      <c r="H71" s="23">
        <f>IF(G71="","",IFERROR(INDEX(Clients!$B$5:$B$204,MATCH(G71,Clients!$A$5:$A$204,0)),"Not found"))</f>
        <v>0</v>
      </c>
      <c r="I71" s="23">
        <f>IF(G71="","",IFERROR(INDEX(Clients!$C$5:$C$204,MATCH(G71,Clients!$A$5:$A$204,0)),""))</f>
        <v>0</v>
      </c>
      <c r="J71" s="49" t="s">
        <v>1142</v>
      </c>
      <c r="K71" s="23">
        <f>IF(J71="","",IFERROR(INDEX(Properties!$B$5:$B$254,MATCH(J71,Properties!$A$5:$A$254,0)),""))</f>
        <v>0</v>
      </c>
      <c r="L71" s="23">
        <f>IF(J71="","",IFERROR(INDEX(Properties!$F$5:$F$254,MATCH(J71,Properties!$A$5:$A$254,0)),""))</f>
        <v>0</v>
      </c>
      <c r="M71" s="15" t="s">
        <v>770</v>
      </c>
      <c r="N71" s="15" t="s">
        <v>1133</v>
      </c>
      <c r="O71" s="15" t="s">
        <v>451</v>
      </c>
      <c r="P71" s="45" t="s">
        <v>406</v>
      </c>
      <c r="Q71" s="15" t="s">
        <v>448</v>
      </c>
      <c r="R71" s="15" t="s">
        <v>608</v>
      </c>
      <c r="S71" s="15" t="s">
        <v>172</v>
      </c>
      <c r="T71" s="16">
        <v>1</v>
      </c>
      <c r="W71" s="17">
        <v>4.4</v>
      </c>
      <c r="X71" s="47" t="s">
        <v>454</v>
      </c>
      <c r="Y71" s="47" t="s">
        <v>454</v>
      </c>
      <c r="AA71" s="47" t="s">
        <v>172</v>
      </c>
      <c r="AB71" s="44" t="s">
        <v>172</v>
      </c>
      <c r="AC71" s="44" t="s">
        <v>172</v>
      </c>
      <c r="AD71" s="34">
        <f>IF(G71="","",IF(U71&lt;&gt;"",U71,IF(AND(IFERROR(INDEX(Services!$D$5:$D$64,MATCH(M71,Services!$B$5:$B$64,0)),"")="Per hour",IFERROR(INDEX(Properties!$X$5:$X$254,MATCH(J71,Properties!$A$5:$A$254,0)),0)&gt;0),IFERROR(INDEX(Properties!$X$5:$X$254,MATCH(J71,Properties!$A$5:$A$254,0)),0),IF(IFERROR(INDEX(Services!$G$5:$G$64,MATCH(M71,Services!$B$5:$B$64,0)),0)&gt;0,IFERROR(INDEX(Services!$G$5:$G$64,MATCH(M71,Services!$B$5:$B$64,0)),0),IFERROR(INDEX(Properties!$X$5:$X$254,MATCH(J71,Properties!$A$5:$A$254,0)),0)))))</f>
        <v>0</v>
      </c>
      <c r="AE71" s="31">
        <f>IF(G71="","",IF(T71="",CleanersPerJob,MAX(1,T71)))</f>
        <v>0</v>
      </c>
      <c r="AF71" s="34">
        <f>IF(G71="","",ROUND(AD71/AE71,2))</f>
        <v>0</v>
      </c>
      <c r="AG71" s="53">
        <f>IF(OR(G71="",F71="",AF71=""),"",F71+AF71/24)</f>
        <v>0</v>
      </c>
      <c r="AH71" s="21">
        <f>IF(G71="","",IF(IFERROR(INDEX(Clients!$O$5:$O$204,MATCH(G71,Clients!$A$5:$A$204,0)),0)&gt;0,IFERROR(INDEX(Clients!$O$5:$O$204,MATCH(G71,Clients!$A$5:$A$204,0)),0),HourlyRate))</f>
        <v>0</v>
      </c>
      <c r="AI71" s="21">
        <f>IF(G71="","",IF(AND(M71&lt;&gt;"",IFERROR(INDEX(Services!$P$5:$P$64,MATCH(M71,Services!$B$5:$B$64,0)),0)&gt;0,IFERROR(INDEX(Services!$D$5:$D$64,MATCH(M71,Services!$B$5:$B$64,0)),"")&lt;&gt;"Per hour"),IFERROR(INDEX(Services!$P$5:$P$64,MATCH(M71,Services!$B$5:$B$64,0)),0),AD71*AH71))</f>
        <v>0</v>
      </c>
      <c r="AJ71" s="21">
        <f>IF(G71="","",IF(V71&lt;&gt;"",V71,IF(P71="Cancelled",0,MAX(MinimumCharge,ROUND(AI71*IFERROR(INDEX(FreqFactors,MATCH(O71,FreqNames,0)),1),2)))))</f>
        <v>0</v>
      </c>
      <c r="AK71" s="34">
        <f>IF(G71="","",IF(SUMIFS(Timesheets!$U$5:$U$804,Timesheets!$G$5:$G$804,A71)&gt;0,SUMIFS(Timesheets!$U$5:$U$804,Timesheets!$G$5:$G$804,A71),IF(Z71="","",Z71)))</f>
        <v>0</v>
      </c>
      <c r="AL71" s="34">
        <f>IF(OR(AK71="",AD71=""),"",AK71-AD71)</f>
        <v>0</v>
      </c>
      <c r="AM71" s="31">
        <f>IF(A71="","",COUNTIFS('Job Tasks'!$B$5:$B$904,A71))</f>
        <v>0</v>
      </c>
      <c r="AN71" s="31">
        <f>IF(A71="","",COUNTIFS('Job Tasks'!$B$5:$B$904,A71,'Job Tasks'!$H$5:$H$904,"Done"))</f>
        <v>0</v>
      </c>
      <c r="AO71" s="38">
        <f>IF(OR(A71="",AM71=0),"",AN71/AM71)</f>
        <v>0</v>
      </c>
      <c r="AP71" s="43">
        <f>IF(A71="","",IFERROR(INDEX('Invoice Lines'!$B$5:$B$804,MATCH(A71,'Invoice Lines'!$C$5:$C$804,0)),""))</f>
        <v>0</v>
      </c>
      <c r="AQ71" s="18">
        <f>IF(OR(G71="",B71="",X71&lt;&gt;"Yes"),"",IF(IFERROR(INDEX(FreqDays,MATCH(O71,FreqNames,0)),0)=0,"",B71+IFERROR(INDEX(FreqDays,MATCH(O71,FreqNames,0)),0)))</f>
        <v>0</v>
      </c>
      <c r="AR71" s="39">
        <f>IF(G71="","",IF(R71="","Unassigned",IF(COUNTIFS($R$5:$R$604,R71,$B$5:$B$604,B71,$F$5:$F$604,F71)&gt;1,"Clash",IF(SUMIFS($AF$5:$AF$604,$R$5:$R$604,R71,$B$5:$B$604,B71)&gt;ProductiveHours,"Long day","OK"))))</f>
        <v>0</v>
      </c>
      <c r="AS71" s="18">
        <f>IF(OR(G71="",B71=""),"",IF(AND(B71&gt;=TodayDate,P71&lt;&gt;"Cancelled"),B71,""))</f>
        <v>0</v>
      </c>
      <c r="AT71" s="31">
        <f>IF(AS71="","",COUNTIFS($AS$5:$AS$604,"&lt;"&amp;AS71)+COUNTIFS($AS$5:AS71,AS71))</f>
        <v>0</v>
      </c>
      <c r="AU71" s="18">
        <f>IF(OR(G71="",B71="",R71&lt;&gt;""),"",IF(AND(B71&gt;=TodayDate,P71&lt;&gt;"Cancelled"),B71,""))</f>
        <v>0</v>
      </c>
      <c r="AV71" s="31">
        <f>IF(AU71="","",COUNTIFS($AU$5:$AU$604,"&lt;"&amp;AU71)+COUNTIFS($AU$5:AU71,AU71))</f>
        <v>0</v>
      </c>
      <c r="AW71" s="31">
        <f>IF(OR(G71="",B71=""),"",B71-TodayDate)</f>
        <v>0</v>
      </c>
      <c r="AX71" s="39">
        <f>IF(G71="","",IF(P71="Cancelled","Cancelled",IF(P71="No access","Action - no access, rebook",IF(AND(B71&lt;&gt;"",AW71&lt;0,OR(P71="Booked",P71="Confirmed",P71="In progress")),"Late - mark it completed",IF(AND(P71="Completed",AP71=""),"Action - not invoiced yet",IF(AND(AW71&gt;=0,AW71&lt;=ReminderDays,Y71&lt;&gt;"Yes"),"Confirm - visit coming up",IF(R71="","Assign - no cleaner booked",IF(AND(P71="Completed",AO71&lt;&gt;"",AO71&lt;1),"Check - checklist unfinished","OK"))))))))</f>
        <v>0</v>
      </c>
    </row>
    <row r="72" spans="1:50">
      <c r="A72" s="43">
        <f>IF(G72="","",JobPrefix&amp;TEXT(ROW()-4,"0000"))</f>
        <v>0</v>
      </c>
      <c r="B72" s="46">
        <v>46305</v>
      </c>
      <c r="C72" s="23">
        <f>IF(B72="","",TEXT(B72,"ddd"))</f>
        <v>0</v>
      </c>
      <c r="D72" s="31">
        <f>IF(B72="","",WEEKNUM(B72,IF(WeekStart="Sunday",1,2)))</f>
        <v>0</v>
      </c>
      <c r="E72" s="23">
        <f>IF(B72="","",TEXT(B72,"yyyy-mm"))</f>
        <v>0</v>
      </c>
      <c r="F72" s="52">
        <v>0.354166666666667</v>
      </c>
      <c r="G72" s="49" t="s">
        <v>782</v>
      </c>
      <c r="H72" s="23">
        <f>IF(G72="","",IFERROR(INDEX(Clients!$B$5:$B$204,MATCH(G72,Clients!$A$5:$A$204,0)),"Not found"))</f>
        <v>0</v>
      </c>
      <c r="I72" s="23">
        <f>IF(G72="","",IFERROR(INDEX(Clients!$C$5:$C$204,MATCH(G72,Clients!$A$5:$A$204,0)),""))</f>
        <v>0</v>
      </c>
      <c r="J72" s="49" t="s">
        <v>1062</v>
      </c>
      <c r="K72" s="23">
        <f>IF(J72="","",IFERROR(INDEX(Properties!$B$5:$B$254,MATCH(J72,Properties!$A$5:$A$254,0)),""))</f>
        <v>0</v>
      </c>
      <c r="L72" s="23">
        <f>IF(J72="","",IFERROR(INDEX(Properties!$F$5:$F$254,MATCH(J72,Properties!$A$5:$A$254,0)),""))</f>
        <v>0</v>
      </c>
      <c r="M72" s="15" t="s">
        <v>790</v>
      </c>
      <c r="N72" s="15" t="s">
        <v>1150</v>
      </c>
      <c r="O72" s="15" t="s">
        <v>625</v>
      </c>
      <c r="P72" s="45" t="s">
        <v>406</v>
      </c>
      <c r="Q72" s="15" t="s">
        <v>1151</v>
      </c>
      <c r="R72" s="15" t="s">
        <v>627</v>
      </c>
      <c r="S72" s="15" t="s">
        <v>639</v>
      </c>
      <c r="T72" s="16">
        <v>2</v>
      </c>
      <c r="U72" s="17">
        <v>6.5</v>
      </c>
      <c r="V72" s="19">
        <v>395</v>
      </c>
      <c r="W72" s="17">
        <v>15</v>
      </c>
      <c r="X72" s="47" t="s">
        <v>457</v>
      </c>
      <c r="Y72" s="47" t="s">
        <v>454</v>
      </c>
      <c r="AA72" s="47">
        <v>5</v>
      </c>
      <c r="AB72" s="44" t="s">
        <v>1153</v>
      </c>
      <c r="AC72" s="44" t="s">
        <v>1154</v>
      </c>
      <c r="AD72" s="34">
        <f>IF(G72="","",IF(U72&lt;&gt;"",U72,IF(AND(IFERROR(INDEX(Services!$D$5:$D$64,MATCH(M72,Services!$B$5:$B$64,0)),"")="Per hour",IFERROR(INDEX(Properties!$X$5:$X$254,MATCH(J72,Properties!$A$5:$A$254,0)),0)&gt;0),IFERROR(INDEX(Properties!$X$5:$X$254,MATCH(J72,Properties!$A$5:$A$254,0)),0),IF(IFERROR(INDEX(Services!$G$5:$G$64,MATCH(M72,Services!$B$5:$B$64,0)),0)&gt;0,IFERROR(INDEX(Services!$G$5:$G$64,MATCH(M72,Services!$B$5:$B$64,0)),0),IFERROR(INDEX(Properties!$X$5:$X$254,MATCH(J72,Properties!$A$5:$A$254,0)),0)))))</f>
        <v>0</v>
      </c>
      <c r="AE72" s="31">
        <f>IF(G72="","",IF(T72="",CleanersPerJob,MAX(1,T72)))</f>
        <v>0</v>
      </c>
      <c r="AF72" s="34">
        <f>IF(G72="","",ROUND(AD72/AE72,2))</f>
        <v>0</v>
      </c>
      <c r="AG72" s="53">
        <f>IF(OR(G72="",F72="",AF72=""),"",F72+AF72/24)</f>
        <v>0</v>
      </c>
      <c r="AH72" s="21">
        <f>IF(G72="","",IF(IFERROR(INDEX(Clients!$O$5:$O$204,MATCH(G72,Clients!$A$5:$A$204,0)),0)&gt;0,IFERROR(INDEX(Clients!$O$5:$O$204,MATCH(G72,Clients!$A$5:$A$204,0)),0),HourlyRate))</f>
        <v>0</v>
      </c>
      <c r="AI72" s="21">
        <f>IF(G72="","",IF(AND(M72&lt;&gt;"",IFERROR(INDEX(Services!$P$5:$P$64,MATCH(M72,Services!$B$5:$B$64,0)),0)&gt;0,IFERROR(INDEX(Services!$D$5:$D$64,MATCH(M72,Services!$B$5:$B$64,0)),"")&lt;&gt;"Per hour"),IFERROR(INDEX(Services!$P$5:$P$64,MATCH(M72,Services!$B$5:$B$64,0)),0),AD72*AH72))</f>
        <v>0</v>
      </c>
      <c r="AJ72" s="21">
        <f>IF(G72="","",IF(V72&lt;&gt;"",V72,IF(P72="Cancelled",0,MAX(MinimumCharge,ROUND(AI72*IFERROR(INDEX(FreqFactors,MATCH(O72,FreqNames,0)),1),2)))))</f>
        <v>0</v>
      </c>
      <c r="AK72" s="34">
        <f>IF(G72="","",IF(SUMIFS(Timesheets!$U$5:$U$804,Timesheets!$G$5:$G$804,A72)&gt;0,SUMIFS(Timesheets!$U$5:$U$804,Timesheets!$G$5:$G$804,A72),IF(Z72="","",Z72)))</f>
        <v>0</v>
      </c>
      <c r="AL72" s="34">
        <f>IF(OR(AK72="",AD72=""),"",AK72-AD72)</f>
        <v>0</v>
      </c>
      <c r="AM72" s="31">
        <f>IF(A72="","",COUNTIFS('Job Tasks'!$B$5:$B$904,A72))</f>
        <v>0</v>
      </c>
      <c r="AN72" s="31">
        <f>IF(A72="","",COUNTIFS('Job Tasks'!$B$5:$B$904,A72,'Job Tasks'!$H$5:$H$904,"Done"))</f>
        <v>0</v>
      </c>
      <c r="AO72" s="38">
        <f>IF(OR(A72="",AM72=0),"",AN72/AM72)</f>
        <v>0</v>
      </c>
      <c r="AP72" s="43">
        <f>IF(A72="","",IFERROR(INDEX('Invoice Lines'!$B$5:$B$804,MATCH(A72,'Invoice Lines'!$C$5:$C$804,0)),""))</f>
        <v>0</v>
      </c>
      <c r="AQ72" s="18">
        <f>IF(OR(G72="",B72="",X72&lt;&gt;"Yes"),"",IF(IFERROR(INDEX(FreqDays,MATCH(O72,FreqNames,0)),0)=0,"",B72+IFERROR(INDEX(FreqDays,MATCH(O72,FreqNames,0)),0)))</f>
        <v>0</v>
      </c>
      <c r="AR72" s="39">
        <f>IF(G72="","",IF(R72="","Unassigned",IF(COUNTIFS($R$5:$R$604,R72,$B$5:$B$604,B72,$F$5:$F$604,F72)&gt;1,"Clash",IF(SUMIFS($AF$5:$AF$604,$R$5:$R$604,R72,$B$5:$B$604,B72)&gt;ProductiveHours,"Long day","OK"))))</f>
        <v>0</v>
      </c>
      <c r="AS72" s="18">
        <f>IF(OR(G72="",B72=""),"",IF(AND(B72&gt;=TodayDate,P72&lt;&gt;"Cancelled"),B72,""))</f>
        <v>0</v>
      </c>
      <c r="AT72" s="31">
        <f>IF(AS72="","",COUNTIFS($AS$5:$AS$604,"&lt;"&amp;AS72)+COUNTIFS($AS$5:AS72,AS72))</f>
        <v>0</v>
      </c>
      <c r="AU72" s="18">
        <f>IF(OR(G72="",B72="",R72&lt;&gt;""),"",IF(AND(B72&gt;=TodayDate,P72&lt;&gt;"Cancelled"),B72,""))</f>
        <v>0</v>
      </c>
      <c r="AV72" s="31">
        <f>IF(AU72="","",COUNTIFS($AU$5:$AU$604,"&lt;"&amp;AU72)+COUNTIFS($AU$5:AU72,AU72))</f>
        <v>0</v>
      </c>
      <c r="AW72" s="31">
        <f>IF(OR(G72="",B72=""),"",B72-TodayDate)</f>
        <v>0</v>
      </c>
      <c r="AX72" s="39">
        <f>IF(G72="","",IF(P72="Cancelled","Cancelled",IF(P72="No access","Action - no access, rebook",IF(AND(B72&lt;&gt;"",AW72&lt;0,OR(P72="Booked",P72="Confirmed",P72="In progress")),"Late - mark it completed",IF(AND(P72="Completed",AP72=""),"Action - not invoiced yet",IF(AND(AW72&gt;=0,AW72&lt;=ReminderDays,Y72&lt;&gt;"Yes"),"Confirm - visit coming up",IF(R72="","Assign - no cleaner booked",IF(AND(P72="Completed",AO72&lt;&gt;"",AO72&lt;1),"Check - checklist unfinished","OK"))))))))</f>
        <v>0</v>
      </c>
    </row>
    <row r="73" spans="1:50">
      <c r="A73" s="43">
        <f>IF(G73="","",JobPrefix&amp;TEXT(ROW()-4,"0000"))</f>
        <v>0</v>
      </c>
      <c r="B73" s="46">
        <v>46305</v>
      </c>
      <c r="C73" s="23">
        <f>IF(B73="","",TEXT(B73,"ddd"))</f>
        <v>0</v>
      </c>
      <c r="D73" s="31">
        <f>IF(B73="","",WEEKNUM(B73,IF(WeekStart="Sunday",1,2)))</f>
        <v>0</v>
      </c>
      <c r="E73" s="23">
        <f>IF(B73="","",TEXT(B73,"yyyy-mm"))</f>
        <v>0</v>
      </c>
      <c r="F73" s="52">
        <v>0.458333333333333</v>
      </c>
      <c r="G73" s="49" t="s">
        <v>818</v>
      </c>
      <c r="H73" s="23">
        <f>IF(G73="","",IFERROR(INDEX(Clients!$B$5:$B$204,MATCH(G73,Clients!$A$5:$A$204,0)),"Not found"))</f>
        <v>0</v>
      </c>
      <c r="I73" s="23">
        <f>IF(G73="","",IFERROR(INDEX(Clients!$C$5:$C$204,MATCH(G73,Clients!$A$5:$A$204,0)),""))</f>
        <v>0</v>
      </c>
      <c r="J73" s="49" t="s">
        <v>1143</v>
      </c>
      <c r="K73" s="23">
        <f>IF(J73="","",IFERROR(INDEX(Properties!$B$5:$B$254,MATCH(J73,Properties!$A$5:$A$254,0)),""))</f>
        <v>0</v>
      </c>
      <c r="L73" s="23">
        <f>IF(J73="","",IFERROR(INDEX(Properties!$F$5:$F$254,MATCH(J73,Properties!$A$5:$A$254,0)),""))</f>
        <v>0</v>
      </c>
      <c r="M73" s="15" t="s">
        <v>821</v>
      </c>
      <c r="N73" s="15" t="s">
        <v>1133</v>
      </c>
      <c r="O73" s="15" t="s">
        <v>451</v>
      </c>
      <c r="P73" s="45" t="s">
        <v>406</v>
      </c>
      <c r="Q73" s="15" t="s">
        <v>448</v>
      </c>
      <c r="R73" s="15" t="s">
        <v>596</v>
      </c>
      <c r="S73" s="15" t="s">
        <v>172</v>
      </c>
      <c r="T73" s="16">
        <v>1</v>
      </c>
      <c r="W73" s="17">
        <v>5.8</v>
      </c>
      <c r="X73" s="47" t="s">
        <v>454</v>
      </c>
      <c r="Y73" s="47" t="s">
        <v>454</v>
      </c>
      <c r="AA73" s="47" t="s">
        <v>172</v>
      </c>
      <c r="AB73" s="44" t="s">
        <v>172</v>
      </c>
      <c r="AC73" s="44" t="s">
        <v>172</v>
      </c>
      <c r="AD73" s="34">
        <f>IF(G73="","",IF(U73&lt;&gt;"",U73,IF(AND(IFERROR(INDEX(Services!$D$5:$D$64,MATCH(M73,Services!$B$5:$B$64,0)),"")="Per hour",IFERROR(INDEX(Properties!$X$5:$X$254,MATCH(J73,Properties!$A$5:$A$254,0)),0)&gt;0),IFERROR(INDEX(Properties!$X$5:$X$254,MATCH(J73,Properties!$A$5:$A$254,0)),0),IF(IFERROR(INDEX(Services!$G$5:$G$64,MATCH(M73,Services!$B$5:$B$64,0)),0)&gt;0,IFERROR(INDEX(Services!$G$5:$G$64,MATCH(M73,Services!$B$5:$B$64,0)),0),IFERROR(INDEX(Properties!$X$5:$X$254,MATCH(J73,Properties!$A$5:$A$254,0)),0)))))</f>
        <v>0</v>
      </c>
      <c r="AE73" s="31">
        <f>IF(G73="","",IF(T73="",CleanersPerJob,MAX(1,T73)))</f>
        <v>0</v>
      </c>
      <c r="AF73" s="34">
        <f>IF(G73="","",ROUND(AD73/AE73,2))</f>
        <v>0</v>
      </c>
      <c r="AG73" s="53">
        <f>IF(OR(G73="",F73="",AF73=""),"",F73+AF73/24)</f>
        <v>0</v>
      </c>
      <c r="AH73" s="21">
        <f>IF(G73="","",IF(IFERROR(INDEX(Clients!$O$5:$O$204,MATCH(G73,Clients!$A$5:$A$204,0)),0)&gt;0,IFERROR(INDEX(Clients!$O$5:$O$204,MATCH(G73,Clients!$A$5:$A$204,0)),0),HourlyRate))</f>
        <v>0</v>
      </c>
      <c r="AI73" s="21">
        <f>IF(G73="","",IF(AND(M73&lt;&gt;"",IFERROR(INDEX(Services!$P$5:$P$64,MATCH(M73,Services!$B$5:$B$64,0)),0)&gt;0,IFERROR(INDEX(Services!$D$5:$D$64,MATCH(M73,Services!$B$5:$B$64,0)),"")&lt;&gt;"Per hour"),IFERROR(INDEX(Services!$P$5:$P$64,MATCH(M73,Services!$B$5:$B$64,0)),0),AD73*AH73))</f>
        <v>0</v>
      </c>
      <c r="AJ73" s="21">
        <f>IF(G73="","",IF(V73&lt;&gt;"",V73,IF(P73="Cancelled",0,MAX(MinimumCharge,ROUND(AI73*IFERROR(INDEX(FreqFactors,MATCH(O73,FreqNames,0)),1),2)))))</f>
        <v>0</v>
      </c>
      <c r="AK73" s="34">
        <f>IF(G73="","",IF(SUMIFS(Timesheets!$U$5:$U$804,Timesheets!$G$5:$G$804,A73)&gt;0,SUMIFS(Timesheets!$U$5:$U$804,Timesheets!$G$5:$G$804,A73),IF(Z73="","",Z73)))</f>
        <v>0</v>
      </c>
      <c r="AL73" s="34">
        <f>IF(OR(AK73="",AD73=""),"",AK73-AD73)</f>
        <v>0</v>
      </c>
      <c r="AM73" s="31">
        <f>IF(A73="","",COUNTIFS('Job Tasks'!$B$5:$B$904,A73))</f>
        <v>0</v>
      </c>
      <c r="AN73" s="31">
        <f>IF(A73="","",COUNTIFS('Job Tasks'!$B$5:$B$904,A73,'Job Tasks'!$H$5:$H$904,"Done"))</f>
        <v>0</v>
      </c>
      <c r="AO73" s="38">
        <f>IF(OR(A73="",AM73=0),"",AN73/AM73)</f>
        <v>0</v>
      </c>
      <c r="AP73" s="43">
        <f>IF(A73="","",IFERROR(INDEX('Invoice Lines'!$B$5:$B$804,MATCH(A73,'Invoice Lines'!$C$5:$C$804,0)),""))</f>
        <v>0</v>
      </c>
      <c r="AQ73" s="18">
        <f>IF(OR(G73="",B73="",X73&lt;&gt;"Yes"),"",IF(IFERROR(INDEX(FreqDays,MATCH(O73,FreqNames,0)),0)=0,"",B73+IFERROR(INDEX(FreqDays,MATCH(O73,FreqNames,0)),0)))</f>
        <v>0</v>
      </c>
      <c r="AR73" s="39">
        <f>IF(G73="","",IF(R73="","Unassigned",IF(COUNTIFS($R$5:$R$604,R73,$B$5:$B$604,B73,$F$5:$F$604,F73)&gt;1,"Clash",IF(SUMIFS($AF$5:$AF$604,$R$5:$R$604,R73,$B$5:$B$604,B73)&gt;ProductiveHours,"Long day","OK"))))</f>
        <v>0</v>
      </c>
      <c r="AS73" s="18">
        <f>IF(OR(G73="",B73=""),"",IF(AND(B73&gt;=TodayDate,P73&lt;&gt;"Cancelled"),B73,""))</f>
        <v>0</v>
      </c>
      <c r="AT73" s="31">
        <f>IF(AS73="","",COUNTIFS($AS$5:$AS$604,"&lt;"&amp;AS73)+COUNTIFS($AS$5:AS73,AS73))</f>
        <v>0</v>
      </c>
      <c r="AU73" s="18">
        <f>IF(OR(G73="",B73="",R73&lt;&gt;""),"",IF(AND(B73&gt;=TodayDate,P73&lt;&gt;"Cancelled"),B73,""))</f>
        <v>0</v>
      </c>
      <c r="AV73" s="31">
        <f>IF(AU73="","",COUNTIFS($AU$5:$AU$604,"&lt;"&amp;AU73)+COUNTIFS($AU$5:AU73,AU73))</f>
        <v>0</v>
      </c>
      <c r="AW73" s="31">
        <f>IF(OR(G73="",B73=""),"",B73-TodayDate)</f>
        <v>0</v>
      </c>
      <c r="AX73" s="39">
        <f>IF(G73="","",IF(P73="Cancelled","Cancelled",IF(P73="No access","Action - no access, rebook",IF(AND(B73&lt;&gt;"",AW73&lt;0,OR(P73="Booked",P73="Confirmed",P73="In progress")),"Late - mark it completed",IF(AND(P73="Completed",AP73=""),"Action - not invoiced yet",IF(AND(AW73&gt;=0,AW73&lt;=ReminderDays,Y73&lt;&gt;"Yes"),"Confirm - visit coming up",IF(R73="","Assign - no cleaner booked",IF(AND(P73="Completed",AO73&lt;&gt;"",AO73&lt;1),"Check - checklist unfinished","OK"))))))))</f>
        <v>0</v>
      </c>
    </row>
    <row r="74" spans="1:50">
      <c r="A74" s="43">
        <f>IF(G74="","",JobPrefix&amp;TEXT(ROW()-4,"0000"))</f>
        <v>0</v>
      </c>
      <c r="B74" s="46">
        <v>46305</v>
      </c>
      <c r="C74" s="23">
        <f>IF(B74="","",TEXT(B74,"ddd"))</f>
        <v>0</v>
      </c>
      <c r="D74" s="31">
        <f>IF(B74="","",WEEKNUM(B74,IF(WeekStart="Sunday",1,2)))</f>
        <v>0</v>
      </c>
      <c r="E74" s="23">
        <f>IF(B74="","",TEXT(B74,"yyyy-mm"))</f>
        <v>0</v>
      </c>
      <c r="F74" s="52">
        <v>0.583333333333333</v>
      </c>
      <c r="G74" s="49" t="s">
        <v>818</v>
      </c>
      <c r="H74" s="23">
        <f>IF(G74="","",IFERROR(INDEX(Clients!$B$5:$B$204,MATCH(G74,Clients!$A$5:$A$204,0)),"Not found"))</f>
        <v>0</v>
      </c>
      <c r="I74" s="23">
        <f>IF(G74="","",IFERROR(INDEX(Clients!$C$5:$C$204,MATCH(G74,Clients!$A$5:$A$204,0)),""))</f>
        <v>0</v>
      </c>
      <c r="J74" s="49" t="s">
        <v>1144</v>
      </c>
      <c r="K74" s="23">
        <f>IF(J74="","",IFERROR(INDEX(Properties!$B$5:$B$254,MATCH(J74,Properties!$A$5:$A$254,0)),""))</f>
        <v>0</v>
      </c>
      <c r="L74" s="23">
        <f>IF(J74="","",IFERROR(INDEX(Properties!$F$5:$F$254,MATCH(J74,Properties!$A$5:$A$254,0)),""))</f>
        <v>0</v>
      </c>
      <c r="M74" s="15" t="s">
        <v>821</v>
      </c>
      <c r="N74" s="15" t="s">
        <v>1133</v>
      </c>
      <c r="O74" s="15" t="s">
        <v>451</v>
      </c>
      <c r="P74" s="45" t="s">
        <v>406</v>
      </c>
      <c r="Q74" s="15" t="s">
        <v>448</v>
      </c>
      <c r="R74" s="15" t="s">
        <v>596</v>
      </c>
      <c r="S74" s="15" t="s">
        <v>172</v>
      </c>
      <c r="T74" s="16">
        <v>1</v>
      </c>
      <c r="W74" s="17">
        <v>6.8</v>
      </c>
      <c r="X74" s="47" t="s">
        <v>454</v>
      </c>
      <c r="Y74" s="47" t="s">
        <v>454</v>
      </c>
      <c r="AA74" s="47">
        <v>5</v>
      </c>
      <c r="AB74" s="44" t="s">
        <v>172</v>
      </c>
      <c r="AC74" s="44" t="s">
        <v>172</v>
      </c>
      <c r="AD74" s="34">
        <f>IF(G74="","",IF(U74&lt;&gt;"",U74,IF(AND(IFERROR(INDEX(Services!$D$5:$D$64,MATCH(M74,Services!$B$5:$B$64,0)),"")="Per hour",IFERROR(INDEX(Properties!$X$5:$X$254,MATCH(J74,Properties!$A$5:$A$254,0)),0)&gt;0),IFERROR(INDEX(Properties!$X$5:$X$254,MATCH(J74,Properties!$A$5:$A$254,0)),0),IF(IFERROR(INDEX(Services!$G$5:$G$64,MATCH(M74,Services!$B$5:$B$64,0)),0)&gt;0,IFERROR(INDEX(Services!$G$5:$G$64,MATCH(M74,Services!$B$5:$B$64,0)),0),IFERROR(INDEX(Properties!$X$5:$X$254,MATCH(J74,Properties!$A$5:$A$254,0)),0)))))</f>
        <v>0</v>
      </c>
      <c r="AE74" s="31">
        <f>IF(G74="","",IF(T74="",CleanersPerJob,MAX(1,T74)))</f>
        <v>0</v>
      </c>
      <c r="AF74" s="34">
        <f>IF(G74="","",ROUND(AD74/AE74,2))</f>
        <v>0</v>
      </c>
      <c r="AG74" s="53">
        <f>IF(OR(G74="",F74="",AF74=""),"",F74+AF74/24)</f>
        <v>0</v>
      </c>
      <c r="AH74" s="21">
        <f>IF(G74="","",IF(IFERROR(INDEX(Clients!$O$5:$O$204,MATCH(G74,Clients!$A$5:$A$204,0)),0)&gt;0,IFERROR(INDEX(Clients!$O$5:$O$204,MATCH(G74,Clients!$A$5:$A$204,0)),0),HourlyRate))</f>
        <v>0</v>
      </c>
      <c r="AI74" s="21">
        <f>IF(G74="","",IF(AND(M74&lt;&gt;"",IFERROR(INDEX(Services!$P$5:$P$64,MATCH(M74,Services!$B$5:$B$64,0)),0)&gt;0,IFERROR(INDEX(Services!$D$5:$D$64,MATCH(M74,Services!$B$5:$B$64,0)),"")&lt;&gt;"Per hour"),IFERROR(INDEX(Services!$P$5:$P$64,MATCH(M74,Services!$B$5:$B$64,0)),0),AD74*AH74))</f>
        <v>0</v>
      </c>
      <c r="AJ74" s="21">
        <f>IF(G74="","",IF(V74&lt;&gt;"",V74,IF(P74="Cancelled",0,MAX(MinimumCharge,ROUND(AI74*IFERROR(INDEX(FreqFactors,MATCH(O74,FreqNames,0)),1),2)))))</f>
        <v>0</v>
      </c>
      <c r="AK74" s="34">
        <f>IF(G74="","",IF(SUMIFS(Timesheets!$U$5:$U$804,Timesheets!$G$5:$G$804,A74)&gt;0,SUMIFS(Timesheets!$U$5:$U$804,Timesheets!$G$5:$G$804,A74),IF(Z74="","",Z74)))</f>
        <v>0</v>
      </c>
      <c r="AL74" s="34">
        <f>IF(OR(AK74="",AD74=""),"",AK74-AD74)</f>
        <v>0</v>
      </c>
      <c r="AM74" s="31">
        <f>IF(A74="","",COUNTIFS('Job Tasks'!$B$5:$B$904,A74))</f>
        <v>0</v>
      </c>
      <c r="AN74" s="31">
        <f>IF(A74="","",COUNTIFS('Job Tasks'!$B$5:$B$904,A74,'Job Tasks'!$H$5:$H$904,"Done"))</f>
        <v>0</v>
      </c>
      <c r="AO74" s="38">
        <f>IF(OR(A74="",AM74=0),"",AN74/AM74)</f>
        <v>0</v>
      </c>
      <c r="AP74" s="43">
        <f>IF(A74="","",IFERROR(INDEX('Invoice Lines'!$B$5:$B$804,MATCH(A74,'Invoice Lines'!$C$5:$C$804,0)),""))</f>
        <v>0</v>
      </c>
      <c r="AQ74" s="18">
        <f>IF(OR(G74="",B74="",X74&lt;&gt;"Yes"),"",IF(IFERROR(INDEX(FreqDays,MATCH(O74,FreqNames,0)),0)=0,"",B74+IFERROR(INDEX(FreqDays,MATCH(O74,FreqNames,0)),0)))</f>
        <v>0</v>
      </c>
      <c r="AR74" s="39">
        <f>IF(G74="","",IF(R74="","Unassigned",IF(COUNTIFS($R$5:$R$604,R74,$B$5:$B$604,B74,$F$5:$F$604,F74)&gt;1,"Clash",IF(SUMIFS($AF$5:$AF$604,$R$5:$R$604,R74,$B$5:$B$604,B74)&gt;ProductiveHours,"Long day","OK"))))</f>
        <v>0</v>
      </c>
      <c r="AS74" s="18">
        <f>IF(OR(G74="",B74=""),"",IF(AND(B74&gt;=TodayDate,P74&lt;&gt;"Cancelled"),B74,""))</f>
        <v>0</v>
      </c>
      <c r="AT74" s="31">
        <f>IF(AS74="","",COUNTIFS($AS$5:$AS$604,"&lt;"&amp;AS74)+COUNTIFS($AS$5:AS74,AS74))</f>
        <v>0</v>
      </c>
      <c r="AU74" s="18">
        <f>IF(OR(G74="",B74="",R74&lt;&gt;""),"",IF(AND(B74&gt;=TodayDate,P74&lt;&gt;"Cancelled"),B74,""))</f>
        <v>0</v>
      </c>
      <c r="AV74" s="31">
        <f>IF(AU74="","",COUNTIFS($AU$5:$AU$604,"&lt;"&amp;AU74)+COUNTIFS($AU$5:AU74,AU74))</f>
        <v>0</v>
      </c>
      <c r="AW74" s="31">
        <f>IF(OR(G74="",B74=""),"",B74-TodayDate)</f>
        <v>0</v>
      </c>
      <c r="AX74" s="39">
        <f>IF(G74="","",IF(P74="Cancelled","Cancelled",IF(P74="No access","Action - no access, rebook",IF(AND(B74&lt;&gt;"",AW74&lt;0,OR(P74="Booked",P74="Confirmed",P74="In progress")),"Late - mark it completed",IF(AND(P74="Completed",AP74=""),"Action - not invoiced yet",IF(AND(AW74&gt;=0,AW74&lt;=ReminderDays,Y74&lt;&gt;"Yes"),"Confirm - visit coming up",IF(R74="","Assign - no cleaner booked",IF(AND(P74="Completed",AO74&lt;&gt;"",AO74&lt;1),"Check - checklist unfinished","OK"))))))))</f>
        <v>0</v>
      </c>
    </row>
    <row r="75" spans="1:50">
      <c r="A75" s="43">
        <f>IF(G75="","",JobPrefix&amp;TEXT(ROW()-4,"0000"))</f>
        <v>0</v>
      </c>
      <c r="B75" s="46">
        <v>46306</v>
      </c>
      <c r="C75" s="23">
        <f>IF(B75="","",TEXT(B75,"ddd"))</f>
        <v>0</v>
      </c>
      <c r="D75" s="31">
        <f>IF(B75="","",WEEKNUM(B75,IF(WeekStart="Sunday",1,2)))</f>
        <v>0</v>
      </c>
      <c r="E75" s="23">
        <f>IF(B75="","",TEXT(B75,"yyyy-mm"))</f>
        <v>0</v>
      </c>
      <c r="F75" s="52">
        <v>0.291666666666667</v>
      </c>
      <c r="G75" s="49" t="s">
        <v>793</v>
      </c>
      <c r="H75" s="23">
        <f>IF(G75="","",IFERROR(INDEX(Clients!$B$5:$B$204,MATCH(G75,Clients!$A$5:$A$204,0)),"Not found"))</f>
        <v>0</v>
      </c>
      <c r="I75" s="23">
        <f>IF(G75="","",IFERROR(INDEX(Clients!$C$5:$C$204,MATCH(G75,Clients!$A$5:$A$204,0)),""))</f>
        <v>0</v>
      </c>
      <c r="J75" s="49" t="s">
        <v>1145</v>
      </c>
      <c r="K75" s="23">
        <f>IF(J75="","",IFERROR(INDEX(Properties!$B$5:$B$254,MATCH(J75,Properties!$A$5:$A$254,0)),""))</f>
        <v>0</v>
      </c>
      <c r="L75" s="23">
        <f>IF(J75="","",IFERROR(INDEX(Properties!$F$5:$F$254,MATCH(J75,Properties!$A$5:$A$254,0)),""))</f>
        <v>0</v>
      </c>
      <c r="M75" s="15" t="s">
        <v>797</v>
      </c>
      <c r="N75" s="15" t="s">
        <v>1133</v>
      </c>
      <c r="O75" s="15" t="s">
        <v>451</v>
      </c>
      <c r="P75" s="45" t="s">
        <v>406</v>
      </c>
      <c r="Q75" s="15" t="s">
        <v>448</v>
      </c>
      <c r="R75" s="15" t="s">
        <v>639</v>
      </c>
      <c r="S75" s="15" t="s">
        <v>172</v>
      </c>
      <c r="T75" s="16">
        <v>1</v>
      </c>
      <c r="W75" s="17">
        <v>10</v>
      </c>
      <c r="X75" s="47" t="s">
        <v>454</v>
      </c>
      <c r="Y75" s="47" t="s">
        <v>454</v>
      </c>
      <c r="AA75" s="47">
        <v>4</v>
      </c>
      <c r="AB75" s="44" t="s">
        <v>172</v>
      </c>
      <c r="AC75" s="44" t="s">
        <v>172</v>
      </c>
      <c r="AD75" s="34">
        <f>IF(G75="","",IF(U75&lt;&gt;"",U75,IF(AND(IFERROR(INDEX(Services!$D$5:$D$64,MATCH(M75,Services!$B$5:$B$64,0)),"")="Per hour",IFERROR(INDEX(Properties!$X$5:$X$254,MATCH(J75,Properties!$A$5:$A$254,0)),0)&gt;0),IFERROR(INDEX(Properties!$X$5:$X$254,MATCH(J75,Properties!$A$5:$A$254,0)),0),IF(IFERROR(INDEX(Services!$G$5:$G$64,MATCH(M75,Services!$B$5:$B$64,0)),0)&gt;0,IFERROR(INDEX(Services!$G$5:$G$64,MATCH(M75,Services!$B$5:$B$64,0)),0),IFERROR(INDEX(Properties!$X$5:$X$254,MATCH(J75,Properties!$A$5:$A$254,0)),0)))))</f>
        <v>0</v>
      </c>
      <c r="AE75" s="31">
        <f>IF(G75="","",IF(T75="",CleanersPerJob,MAX(1,T75)))</f>
        <v>0</v>
      </c>
      <c r="AF75" s="34">
        <f>IF(G75="","",ROUND(AD75/AE75,2))</f>
        <v>0</v>
      </c>
      <c r="AG75" s="53">
        <f>IF(OR(G75="",F75="",AF75=""),"",F75+AF75/24)</f>
        <v>0</v>
      </c>
      <c r="AH75" s="21">
        <f>IF(G75="","",IF(IFERROR(INDEX(Clients!$O$5:$O$204,MATCH(G75,Clients!$A$5:$A$204,0)),0)&gt;0,IFERROR(INDEX(Clients!$O$5:$O$204,MATCH(G75,Clients!$A$5:$A$204,0)),0),HourlyRate))</f>
        <v>0</v>
      </c>
      <c r="AI75" s="21">
        <f>IF(G75="","",IF(AND(M75&lt;&gt;"",IFERROR(INDEX(Services!$P$5:$P$64,MATCH(M75,Services!$B$5:$B$64,0)),0)&gt;0,IFERROR(INDEX(Services!$D$5:$D$64,MATCH(M75,Services!$B$5:$B$64,0)),"")&lt;&gt;"Per hour"),IFERROR(INDEX(Services!$P$5:$P$64,MATCH(M75,Services!$B$5:$B$64,0)),0),AD75*AH75))</f>
        <v>0</v>
      </c>
      <c r="AJ75" s="21">
        <f>IF(G75="","",IF(V75&lt;&gt;"",V75,IF(P75="Cancelled",0,MAX(MinimumCharge,ROUND(AI75*IFERROR(INDEX(FreqFactors,MATCH(O75,FreqNames,0)),1),2)))))</f>
        <v>0</v>
      </c>
      <c r="AK75" s="34">
        <f>IF(G75="","",IF(SUMIFS(Timesheets!$U$5:$U$804,Timesheets!$G$5:$G$804,A75)&gt;0,SUMIFS(Timesheets!$U$5:$U$804,Timesheets!$G$5:$G$804,A75),IF(Z75="","",Z75)))</f>
        <v>0</v>
      </c>
      <c r="AL75" s="34">
        <f>IF(OR(AK75="",AD75=""),"",AK75-AD75)</f>
        <v>0</v>
      </c>
      <c r="AM75" s="31">
        <f>IF(A75="","",COUNTIFS('Job Tasks'!$B$5:$B$904,A75))</f>
        <v>0</v>
      </c>
      <c r="AN75" s="31">
        <f>IF(A75="","",COUNTIFS('Job Tasks'!$B$5:$B$904,A75,'Job Tasks'!$H$5:$H$904,"Done"))</f>
        <v>0</v>
      </c>
      <c r="AO75" s="38">
        <f>IF(OR(A75="",AM75=0),"",AN75/AM75)</f>
        <v>0</v>
      </c>
      <c r="AP75" s="43">
        <f>IF(A75="","",IFERROR(INDEX('Invoice Lines'!$B$5:$B$804,MATCH(A75,'Invoice Lines'!$C$5:$C$804,0)),""))</f>
        <v>0</v>
      </c>
      <c r="AQ75" s="18">
        <f>IF(OR(G75="",B75="",X75&lt;&gt;"Yes"),"",IF(IFERROR(INDEX(FreqDays,MATCH(O75,FreqNames,0)),0)=0,"",B75+IFERROR(INDEX(FreqDays,MATCH(O75,FreqNames,0)),0)))</f>
        <v>0</v>
      </c>
      <c r="AR75" s="39">
        <f>IF(G75="","",IF(R75="","Unassigned",IF(COUNTIFS($R$5:$R$604,R75,$B$5:$B$604,B75,$F$5:$F$604,F75)&gt;1,"Clash",IF(SUMIFS($AF$5:$AF$604,$R$5:$R$604,R75,$B$5:$B$604,B75)&gt;ProductiveHours,"Long day","OK"))))</f>
        <v>0</v>
      </c>
      <c r="AS75" s="18">
        <f>IF(OR(G75="",B75=""),"",IF(AND(B75&gt;=TodayDate,P75&lt;&gt;"Cancelled"),B75,""))</f>
        <v>0</v>
      </c>
      <c r="AT75" s="31">
        <f>IF(AS75="","",COUNTIFS($AS$5:$AS$604,"&lt;"&amp;AS75)+COUNTIFS($AS$5:AS75,AS75))</f>
        <v>0</v>
      </c>
      <c r="AU75" s="18">
        <f>IF(OR(G75="",B75="",R75&lt;&gt;""),"",IF(AND(B75&gt;=TodayDate,P75&lt;&gt;"Cancelled"),B75,""))</f>
        <v>0</v>
      </c>
      <c r="AV75" s="31">
        <f>IF(AU75="","",COUNTIFS($AU$5:$AU$604,"&lt;"&amp;AU75)+COUNTIFS($AU$5:AU75,AU75))</f>
        <v>0</v>
      </c>
      <c r="AW75" s="31">
        <f>IF(OR(G75="",B75=""),"",B75-TodayDate)</f>
        <v>0</v>
      </c>
      <c r="AX75" s="39">
        <f>IF(G75="","",IF(P75="Cancelled","Cancelled",IF(P75="No access","Action - no access, rebook",IF(AND(B75&lt;&gt;"",AW75&lt;0,OR(P75="Booked",P75="Confirmed",P75="In progress")),"Late - mark it completed",IF(AND(P75="Completed",AP75=""),"Action - not invoiced yet",IF(AND(AW75&gt;=0,AW75&lt;=ReminderDays,Y75&lt;&gt;"Yes"),"Confirm - visit coming up",IF(R75="","Assign - no cleaner booked",IF(AND(P75="Completed",AO75&lt;&gt;"",AO75&lt;1),"Check - checklist unfinished","OK"))))))))</f>
        <v>0</v>
      </c>
    </row>
    <row r="76" spans="1:50">
      <c r="A76" s="43">
        <f>IF(G76="","",JobPrefix&amp;TEXT(ROW()-4,"0000"))</f>
        <v>0</v>
      </c>
      <c r="B76" s="46">
        <v>46307</v>
      </c>
      <c r="C76" s="23">
        <f>IF(B76="","",TEXT(B76,"ddd"))</f>
        <v>0</v>
      </c>
      <c r="D76" s="31">
        <f>IF(B76="","",WEEKNUM(B76,IF(WeekStart="Sunday",1,2)))</f>
        <v>0</v>
      </c>
      <c r="E76" s="23">
        <f>IF(B76="","",TEXT(B76,"yyyy-mm"))</f>
        <v>0</v>
      </c>
      <c r="F76" s="52">
        <v>0.291666666666667</v>
      </c>
      <c r="G76" s="49" t="s">
        <v>813</v>
      </c>
      <c r="H76" s="23">
        <f>IF(G76="","",IFERROR(INDEX(Clients!$B$5:$B$204,MATCH(G76,Clients!$A$5:$A$204,0)),"Not found"))</f>
        <v>0</v>
      </c>
      <c r="I76" s="23">
        <f>IF(G76="","",IFERROR(INDEX(Clients!$C$5:$C$204,MATCH(G76,Clients!$A$5:$A$204,0)),""))</f>
        <v>0</v>
      </c>
      <c r="J76" s="49" t="s">
        <v>1052</v>
      </c>
      <c r="K76" s="23">
        <f>IF(J76="","",IFERROR(INDEX(Properties!$B$5:$B$254,MATCH(J76,Properties!$A$5:$A$254,0)),""))</f>
        <v>0</v>
      </c>
      <c r="L76" s="23">
        <f>IF(J76="","",IFERROR(INDEX(Properties!$F$5:$F$254,MATCH(J76,Properties!$A$5:$A$254,0)),""))</f>
        <v>0</v>
      </c>
      <c r="M76" s="15" t="s">
        <v>770</v>
      </c>
      <c r="N76" s="15" t="s">
        <v>1133</v>
      </c>
      <c r="O76" s="15" t="s">
        <v>617</v>
      </c>
      <c r="P76" s="45" t="s">
        <v>406</v>
      </c>
      <c r="Q76" s="15" t="s">
        <v>448</v>
      </c>
      <c r="R76" s="15" t="s">
        <v>664</v>
      </c>
      <c r="S76" s="15" t="s">
        <v>172</v>
      </c>
      <c r="T76" s="16">
        <v>1</v>
      </c>
      <c r="W76" s="17">
        <v>7.6</v>
      </c>
      <c r="X76" s="47" t="s">
        <v>454</v>
      </c>
      <c r="Y76" s="47" t="s">
        <v>454</v>
      </c>
      <c r="AA76" s="47" t="s">
        <v>172</v>
      </c>
      <c r="AB76" s="44" t="s">
        <v>172</v>
      </c>
      <c r="AC76" s="44" t="s">
        <v>172</v>
      </c>
      <c r="AD76" s="34">
        <f>IF(G76="","",IF(U76&lt;&gt;"",U76,IF(AND(IFERROR(INDEX(Services!$D$5:$D$64,MATCH(M76,Services!$B$5:$B$64,0)),"")="Per hour",IFERROR(INDEX(Properties!$X$5:$X$254,MATCH(J76,Properties!$A$5:$A$254,0)),0)&gt;0),IFERROR(INDEX(Properties!$X$5:$X$254,MATCH(J76,Properties!$A$5:$A$254,0)),0),IF(IFERROR(INDEX(Services!$G$5:$G$64,MATCH(M76,Services!$B$5:$B$64,0)),0)&gt;0,IFERROR(INDEX(Services!$G$5:$G$64,MATCH(M76,Services!$B$5:$B$64,0)),0),IFERROR(INDEX(Properties!$X$5:$X$254,MATCH(J76,Properties!$A$5:$A$254,0)),0)))))</f>
        <v>0</v>
      </c>
      <c r="AE76" s="31">
        <f>IF(G76="","",IF(T76="",CleanersPerJob,MAX(1,T76)))</f>
        <v>0</v>
      </c>
      <c r="AF76" s="34">
        <f>IF(G76="","",ROUND(AD76/AE76,2))</f>
        <v>0</v>
      </c>
      <c r="AG76" s="53">
        <f>IF(OR(G76="",F76="",AF76=""),"",F76+AF76/24)</f>
        <v>0</v>
      </c>
      <c r="AH76" s="21">
        <f>IF(G76="","",IF(IFERROR(INDEX(Clients!$O$5:$O$204,MATCH(G76,Clients!$A$5:$A$204,0)),0)&gt;0,IFERROR(INDEX(Clients!$O$5:$O$204,MATCH(G76,Clients!$A$5:$A$204,0)),0),HourlyRate))</f>
        <v>0</v>
      </c>
      <c r="AI76" s="21">
        <f>IF(G76="","",IF(AND(M76&lt;&gt;"",IFERROR(INDEX(Services!$P$5:$P$64,MATCH(M76,Services!$B$5:$B$64,0)),0)&gt;0,IFERROR(INDEX(Services!$D$5:$D$64,MATCH(M76,Services!$B$5:$B$64,0)),"")&lt;&gt;"Per hour"),IFERROR(INDEX(Services!$P$5:$P$64,MATCH(M76,Services!$B$5:$B$64,0)),0),AD76*AH76))</f>
        <v>0</v>
      </c>
      <c r="AJ76" s="21">
        <f>IF(G76="","",IF(V76&lt;&gt;"",V76,IF(P76="Cancelled",0,MAX(MinimumCharge,ROUND(AI76*IFERROR(INDEX(FreqFactors,MATCH(O76,FreqNames,0)),1),2)))))</f>
        <v>0</v>
      </c>
      <c r="AK76" s="34">
        <f>IF(G76="","",IF(SUMIFS(Timesheets!$U$5:$U$804,Timesheets!$G$5:$G$804,A76)&gt;0,SUMIFS(Timesheets!$U$5:$U$804,Timesheets!$G$5:$G$804,A76),IF(Z76="","",Z76)))</f>
        <v>0</v>
      </c>
      <c r="AL76" s="34">
        <f>IF(OR(AK76="",AD76=""),"",AK76-AD76)</f>
        <v>0</v>
      </c>
      <c r="AM76" s="31">
        <f>IF(A76="","",COUNTIFS('Job Tasks'!$B$5:$B$904,A76))</f>
        <v>0</v>
      </c>
      <c r="AN76" s="31">
        <f>IF(A76="","",COUNTIFS('Job Tasks'!$B$5:$B$904,A76,'Job Tasks'!$H$5:$H$904,"Done"))</f>
        <v>0</v>
      </c>
      <c r="AO76" s="38">
        <f>IF(OR(A76="",AM76=0),"",AN76/AM76)</f>
        <v>0</v>
      </c>
      <c r="AP76" s="43">
        <f>IF(A76="","",IFERROR(INDEX('Invoice Lines'!$B$5:$B$804,MATCH(A76,'Invoice Lines'!$C$5:$C$804,0)),""))</f>
        <v>0</v>
      </c>
      <c r="AQ76" s="18">
        <f>IF(OR(G76="",B76="",X76&lt;&gt;"Yes"),"",IF(IFERROR(INDEX(FreqDays,MATCH(O76,FreqNames,0)),0)=0,"",B76+IFERROR(INDEX(FreqDays,MATCH(O76,FreqNames,0)),0)))</f>
        <v>0</v>
      </c>
      <c r="AR76" s="39">
        <f>IF(G76="","",IF(R76="","Unassigned",IF(COUNTIFS($R$5:$R$604,R76,$B$5:$B$604,B76,$F$5:$F$604,F76)&gt;1,"Clash",IF(SUMIFS($AF$5:$AF$604,$R$5:$R$604,R76,$B$5:$B$604,B76)&gt;ProductiveHours,"Long day","OK"))))</f>
        <v>0</v>
      </c>
      <c r="AS76" s="18">
        <f>IF(OR(G76="",B76=""),"",IF(AND(B76&gt;=TodayDate,P76&lt;&gt;"Cancelled"),B76,""))</f>
        <v>0</v>
      </c>
      <c r="AT76" s="31">
        <f>IF(AS76="","",COUNTIFS($AS$5:$AS$604,"&lt;"&amp;AS76)+COUNTIFS($AS$5:AS76,AS76))</f>
        <v>0</v>
      </c>
      <c r="AU76" s="18">
        <f>IF(OR(G76="",B76="",R76&lt;&gt;""),"",IF(AND(B76&gt;=TodayDate,P76&lt;&gt;"Cancelled"),B76,""))</f>
        <v>0</v>
      </c>
      <c r="AV76" s="31">
        <f>IF(AU76="","",COUNTIFS($AU$5:$AU$604,"&lt;"&amp;AU76)+COUNTIFS($AU$5:AU76,AU76))</f>
        <v>0</v>
      </c>
      <c r="AW76" s="31">
        <f>IF(OR(G76="",B76=""),"",B76-TodayDate)</f>
        <v>0</v>
      </c>
      <c r="AX76" s="39">
        <f>IF(G76="","",IF(P76="Cancelled","Cancelled",IF(P76="No access","Action - no access, rebook",IF(AND(B76&lt;&gt;"",AW76&lt;0,OR(P76="Booked",P76="Confirmed",P76="In progress")),"Late - mark it completed",IF(AND(P76="Completed",AP76=""),"Action - not invoiced yet",IF(AND(AW76&gt;=0,AW76&lt;=ReminderDays,Y76&lt;&gt;"Yes"),"Confirm - visit coming up",IF(R76="","Assign - no cleaner booked",IF(AND(P76="Completed",AO76&lt;&gt;"",AO76&lt;1),"Check - checklist unfinished","OK"))))))))</f>
        <v>0</v>
      </c>
    </row>
    <row r="77" spans="1:50">
      <c r="A77" s="43">
        <f>IF(G77="","",JobPrefix&amp;TEXT(ROW()-4,"0000"))</f>
        <v>0</v>
      </c>
      <c r="B77" s="46">
        <v>46307</v>
      </c>
      <c r="C77" s="23">
        <f>IF(B77="","",TEXT(B77,"ddd"))</f>
        <v>0</v>
      </c>
      <c r="D77" s="31">
        <f>IF(B77="","",WEEKNUM(B77,IF(WeekStart="Sunday",1,2)))</f>
        <v>0</v>
      </c>
      <c r="E77" s="23">
        <f>IF(B77="","",TEXT(B77,"yyyy-mm"))</f>
        <v>0</v>
      </c>
      <c r="F77" s="52">
        <v>0.770833333333333</v>
      </c>
      <c r="G77" s="49" t="s">
        <v>773</v>
      </c>
      <c r="H77" s="23">
        <f>IF(G77="","",IFERROR(INDEX(Clients!$B$5:$B$204,MATCH(G77,Clients!$A$5:$A$204,0)),"Not found"))</f>
        <v>0</v>
      </c>
      <c r="I77" s="23">
        <f>IF(G77="","",IFERROR(INDEX(Clients!$C$5:$C$204,MATCH(G77,Clients!$A$5:$A$204,0)),""))</f>
        <v>0</v>
      </c>
      <c r="J77" s="49" t="s">
        <v>1134</v>
      </c>
      <c r="K77" s="23">
        <f>IF(J77="","",IFERROR(INDEX(Properties!$B$5:$B$254,MATCH(J77,Properties!$A$5:$A$254,0)),""))</f>
        <v>0</v>
      </c>
      <c r="L77" s="23">
        <f>IF(J77="","",IFERROR(INDEX(Properties!$F$5:$F$254,MATCH(J77,Properties!$A$5:$A$254,0)),""))</f>
        <v>0</v>
      </c>
      <c r="M77" s="15" t="s">
        <v>770</v>
      </c>
      <c r="N77" s="15" t="s">
        <v>1133</v>
      </c>
      <c r="O77" s="15" t="s">
        <v>617</v>
      </c>
      <c r="P77" s="45" t="s">
        <v>406</v>
      </c>
      <c r="Q77" s="15" t="s">
        <v>448</v>
      </c>
      <c r="R77" s="15" t="s">
        <v>608</v>
      </c>
      <c r="S77" s="15" t="s">
        <v>172</v>
      </c>
      <c r="T77" s="16">
        <v>1</v>
      </c>
      <c r="W77" s="17">
        <v>4.8</v>
      </c>
      <c r="X77" s="47" t="s">
        <v>454</v>
      </c>
      <c r="Y77" s="47" t="s">
        <v>454</v>
      </c>
      <c r="AA77" s="47" t="s">
        <v>172</v>
      </c>
      <c r="AB77" s="44" t="s">
        <v>172</v>
      </c>
      <c r="AC77" s="44" t="s">
        <v>172</v>
      </c>
      <c r="AD77" s="34">
        <f>IF(G77="","",IF(U77&lt;&gt;"",U77,IF(AND(IFERROR(INDEX(Services!$D$5:$D$64,MATCH(M77,Services!$B$5:$B$64,0)),"")="Per hour",IFERROR(INDEX(Properties!$X$5:$X$254,MATCH(J77,Properties!$A$5:$A$254,0)),0)&gt;0),IFERROR(INDEX(Properties!$X$5:$X$254,MATCH(J77,Properties!$A$5:$A$254,0)),0),IF(IFERROR(INDEX(Services!$G$5:$G$64,MATCH(M77,Services!$B$5:$B$64,0)),0)&gt;0,IFERROR(INDEX(Services!$G$5:$G$64,MATCH(M77,Services!$B$5:$B$64,0)),0),IFERROR(INDEX(Properties!$X$5:$X$254,MATCH(J77,Properties!$A$5:$A$254,0)),0)))))</f>
        <v>0</v>
      </c>
      <c r="AE77" s="31">
        <f>IF(G77="","",IF(T77="",CleanersPerJob,MAX(1,T77)))</f>
        <v>0</v>
      </c>
      <c r="AF77" s="34">
        <f>IF(G77="","",ROUND(AD77/AE77,2))</f>
        <v>0</v>
      </c>
      <c r="AG77" s="53">
        <f>IF(OR(G77="",F77="",AF77=""),"",F77+AF77/24)</f>
        <v>0</v>
      </c>
      <c r="AH77" s="21">
        <f>IF(G77="","",IF(IFERROR(INDEX(Clients!$O$5:$O$204,MATCH(G77,Clients!$A$5:$A$204,0)),0)&gt;0,IFERROR(INDEX(Clients!$O$5:$O$204,MATCH(G77,Clients!$A$5:$A$204,0)),0),HourlyRate))</f>
        <v>0</v>
      </c>
      <c r="AI77" s="21">
        <f>IF(G77="","",IF(AND(M77&lt;&gt;"",IFERROR(INDEX(Services!$P$5:$P$64,MATCH(M77,Services!$B$5:$B$64,0)),0)&gt;0,IFERROR(INDEX(Services!$D$5:$D$64,MATCH(M77,Services!$B$5:$B$64,0)),"")&lt;&gt;"Per hour"),IFERROR(INDEX(Services!$P$5:$P$64,MATCH(M77,Services!$B$5:$B$64,0)),0),AD77*AH77))</f>
        <v>0</v>
      </c>
      <c r="AJ77" s="21">
        <f>IF(G77="","",IF(V77&lt;&gt;"",V77,IF(P77="Cancelled",0,MAX(MinimumCharge,ROUND(AI77*IFERROR(INDEX(FreqFactors,MATCH(O77,FreqNames,0)),1),2)))))</f>
        <v>0</v>
      </c>
      <c r="AK77" s="34">
        <f>IF(G77="","",IF(SUMIFS(Timesheets!$U$5:$U$804,Timesheets!$G$5:$G$804,A77)&gt;0,SUMIFS(Timesheets!$U$5:$U$804,Timesheets!$G$5:$G$804,A77),IF(Z77="","",Z77)))</f>
        <v>0</v>
      </c>
      <c r="AL77" s="34">
        <f>IF(OR(AK77="",AD77=""),"",AK77-AD77)</f>
        <v>0</v>
      </c>
      <c r="AM77" s="31">
        <f>IF(A77="","",COUNTIFS('Job Tasks'!$B$5:$B$904,A77))</f>
        <v>0</v>
      </c>
      <c r="AN77" s="31">
        <f>IF(A77="","",COUNTIFS('Job Tasks'!$B$5:$B$904,A77,'Job Tasks'!$H$5:$H$904,"Done"))</f>
        <v>0</v>
      </c>
      <c r="AO77" s="38">
        <f>IF(OR(A77="",AM77=0),"",AN77/AM77)</f>
        <v>0</v>
      </c>
      <c r="AP77" s="43">
        <f>IF(A77="","",IFERROR(INDEX('Invoice Lines'!$B$5:$B$804,MATCH(A77,'Invoice Lines'!$C$5:$C$804,0)),""))</f>
        <v>0</v>
      </c>
      <c r="AQ77" s="18">
        <f>IF(OR(G77="",B77="",X77&lt;&gt;"Yes"),"",IF(IFERROR(INDEX(FreqDays,MATCH(O77,FreqNames,0)),0)=0,"",B77+IFERROR(INDEX(FreqDays,MATCH(O77,FreqNames,0)),0)))</f>
        <v>0</v>
      </c>
      <c r="AR77" s="39">
        <f>IF(G77="","",IF(R77="","Unassigned",IF(COUNTIFS($R$5:$R$604,R77,$B$5:$B$604,B77,$F$5:$F$604,F77)&gt;1,"Clash",IF(SUMIFS($AF$5:$AF$604,$R$5:$R$604,R77,$B$5:$B$604,B77)&gt;ProductiveHours,"Long day","OK"))))</f>
        <v>0</v>
      </c>
      <c r="AS77" s="18">
        <f>IF(OR(G77="",B77=""),"",IF(AND(B77&gt;=TodayDate,P77&lt;&gt;"Cancelled"),B77,""))</f>
        <v>0</v>
      </c>
      <c r="AT77" s="31">
        <f>IF(AS77="","",COUNTIFS($AS$5:$AS$604,"&lt;"&amp;AS77)+COUNTIFS($AS$5:AS77,AS77))</f>
        <v>0</v>
      </c>
      <c r="AU77" s="18">
        <f>IF(OR(G77="",B77="",R77&lt;&gt;""),"",IF(AND(B77&gt;=TodayDate,P77&lt;&gt;"Cancelled"),B77,""))</f>
        <v>0</v>
      </c>
      <c r="AV77" s="31">
        <f>IF(AU77="","",COUNTIFS($AU$5:$AU$604,"&lt;"&amp;AU77)+COUNTIFS($AU$5:AU77,AU77))</f>
        <v>0</v>
      </c>
      <c r="AW77" s="31">
        <f>IF(OR(G77="",B77=""),"",B77-TodayDate)</f>
        <v>0</v>
      </c>
      <c r="AX77" s="39">
        <f>IF(G77="","",IF(P77="Cancelled","Cancelled",IF(P77="No access","Action - no access, rebook",IF(AND(B77&lt;&gt;"",AW77&lt;0,OR(P77="Booked",P77="Confirmed",P77="In progress")),"Late - mark it completed",IF(AND(P77="Completed",AP77=""),"Action - not invoiced yet",IF(AND(AW77&gt;=0,AW77&lt;=ReminderDays,Y77&lt;&gt;"Yes"),"Confirm - visit coming up",IF(R77="","Assign - no cleaner booked",IF(AND(P77="Completed",AO77&lt;&gt;"",AO77&lt;1),"Check - checklist unfinished","OK"))))))))</f>
        <v>0</v>
      </c>
    </row>
    <row r="78" spans="1:50">
      <c r="A78" s="43">
        <f>IF(G78="","",JobPrefix&amp;TEXT(ROW()-4,"0000"))</f>
        <v>0</v>
      </c>
      <c r="B78" s="46">
        <v>46308</v>
      </c>
      <c r="C78" s="23">
        <f>IF(B78="","",TEXT(B78,"ddd"))</f>
        <v>0</v>
      </c>
      <c r="D78" s="31">
        <f>IF(B78="","",WEEKNUM(B78,IF(WeekStart="Sunday",1,2)))</f>
        <v>0</v>
      </c>
      <c r="E78" s="23">
        <f>IF(B78="","",TEXT(B78,"yyyy-mm"))</f>
        <v>0</v>
      </c>
      <c r="F78" s="52">
        <v>0.291666666666667</v>
      </c>
      <c r="G78" s="49" t="s">
        <v>793</v>
      </c>
      <c r="H78" s="23">
        <f>IF(G78="","",IFERROR(INDEX(Clients!$B$5:$B$204,MATCH(G78,Clients!$A$5:$A$204,0)),"Not found"))</f>
        <v>0</v>
      </c>
      <c r="I78" s="23">
        <f>IF(G78="","",IFERROR(INDEX(Clients!$C$5:$C$204,MATCH(G78,Clients!$A$5:$A$204,0)),""))</f>
        <v>0</v>
      </c>
      <c r="J78" s="49" t="s">
        <v>1145</v>
      </c>
      <c r="K78" s="23">
        <f>IF(J78="","",IFERROR(INDEX(Properties!$B$5:$B$254,MATCH(J78,Properties!$A$5:$A$254,0)),""))</f>
        <v>0</v>
      </c>
      <c r="L78" s="23">
        <f>IF(J78="","",IFERROR(INDEX(Properties!$F$5:$F$254,MATCH(J78,Properties!$A$5:$A$254,0)),""))</f>
        <v>0</v>
      </c>
      <c r="M78" s="15" t="s">
        <v>797</v>
      </c>
      <c r="N78" s="15" t="s">
        <v>1155</v>
      </c>
      <c r="O78" s="15" t="s">
        <v>625</v>
      </c>
      <c r="P78" s="45" t="s">
        <v>1156</v>
      </c>
      <c r="Q78" s="15" t="s">
        <v>448</v>
      </c>
      <c r="R78" s="15" t="s">
        <v>584</v>
      </c>
      <c r="S78" s="15" t="s">
        <v>172</v>
      </c>
      <c r="T78" s="16">
        <v>1</v>
      </c>
      <c r="U78" s="17">
        <v>1.5</v>
      </c>
      <c r="V78" s="19">
        <v>0</v>
      </c>
      <c r="W78" s="17">
        <v>10</v>
      </c>
      <c r="X78" s="47" t="s">
        <v>457</v>
      </c>
      <c r="Y78" s="47" t="s">
        <v>454</v>
      </c>
      <c r="AA78" s="47">
        <v>4</v>
      </c>
      <c r="AB78" s="44" t="s">
        <v>1157</v>
      </c>
      <c r="AC78" s="44" t="s">
        <v>1158</v>
      </c>
      <c r="AD78" s="34">
        <f>IF(G78="","",IF(U78&lt;&gt;"",U78,IF(AND(IFERROR(INDEX(Services!$D$5:$D$64,MATCH(M78,Services!$B$5:$B$64,0)),"")="Per hour",IFERROR(INDEX(Properties!$X$5:$X$254,MATCH(J78,Properties!$A$5:$A$254,0)),0)&gt;0),IFERROR(INDEX(Properties!$X$5:$X$254,MATCH(J78,Properties!$A$5:$A$254,0)),0),IF(IFERROR(INDEX(Services!$G$5:$G$64,MATCH(M78,Services!$B$5:$B$64,0)),0)&gt;0,IFERROR(INDEX(Services!$G$5:$G$64,MATCH(M78,Services!$B$5:$B$64,0)),0),IFERROR(INDEX(Properties!$X$5:$X$254,MATCH(J78,Properties!$A$5:$A$254,0)),0)))))</f>
        <v>0</v>
      </c>
      <c r="AE78" s="31">
        <f>IF(G78="","",IF(T78="",CleanersPerJob,MAX(1,T78)))</f>
        <v>0</v>
      </c>
      <c r="AF78" s="34">
        <f>IF(G78="","",ROUND(AD78/AE78,2))</f>
        <v>0</v>
      </c>
      <c r="AG78" s="53">
        <f>IF(OR(G78="",F78="",AF78=""),"",F78+AF78/24)</f>
        <v>0</v>
      </c>
      <c r="AH78" s="21">
        <f>IF(G78="","",IF(IFERROR(INDEX(Clients!$O$5:$O$204,MATCH(G78,Clients!$A$5:$A$204,0)),0)&gt;0,IFERROR(INDEX(Clients!$O$5:$O$204,MATCH(G78,Clients!$A$5:$A$204,0)),0),HourlyRate))</f>
        <v>0</v>
      </c>
      <c r="AI78" s="21">
        <f>IF(G78="","",IF(AND(M78&lt;&gt;"",IFERROR(INDEX(Services!$P$5:$P$64,MATCH(M78,Services!$B$5:$B$64,0)),0)&gt;0,IFERROR(INDEX(Services!$D$5:$D$64,MATCH(M78,Services!$B$5:$B$64,0)),"")&lt;&gt;"Per hour"),IFERROR(INDEX(Services!$P$5:$P$64,MATCH(M78,Services!$B$5:$B$64,0)),0),AD78*AH78))</f>
        <v>0</v>
      </c>
      <c r="AJ78" s="21">
        <f>IF(G78="","",IF(V78&lt;&gt;"",V78,IF(P78="Cancelled",0,MAX(MinimumCharge,ROUND(AI78*IFERROR(INDEX(FreqFactors,MATCH(O78,FreqNames,0)),1),2)))))</f>
        <v>0</v>
      </c>
      <c r="AK78" s="34">
        <f>IF(G78="","",IF(SUMIFS(Timesheets!$U$5:$U$804,Timesheets!$G$5:$G$804,A78)&gt;0,SUMIFS(Timesheets!$U$5:$U$804,Timesheets!$G$5:$G$804,A78),IF(Z78="","",Z78)))</f>
        <v>0</v>
      </c>
      <c r="AL78" s="34">
        <f>IF(OR(AK78="",AD78=""),"",AK78-AD78)</f>
        <v>0</v>
      </c>
      <c r="AM78" s="31">
        <f>IF(A78="","",COUNTIFS('Job Tasks'!$B$5:$B$904,A78))</f>
        <v>0</v>
      </c>
      <c r="AN78" s="31">
        <f>IF(A78="","",COUNTIFS('Job Tasks'!$B$5:$B$904,A78,'Job Tasks'!$H$5:$H$904,"Done"))</f>
        <v>0</v>
      </c>
      <c r="AO78" s="38">
        <f>IF(OR(A78="",AM78=0),"",AN78/AM78)</f>
        <v>0</v>
      </c>
      <c r="AP78" s="43">
        <f>IF(A78="","",IFERROR(INDEX('Invoice Lines'!$B$5:$B$804,MATCH(A78,'Invoice Lines'!$C$5:$C$804,0)),""))</f>
        <v>0</v>
      </c>
      <c r="AQ78" s="18">
        <f>IF(OR(G78="",B78="",X78&lt;&gt;"Yes"),"",IF(IFERROR(INDEX(FreqDays,MATCH(O78,FreqNames,0)),0)=0,"",B78+IFERROR(INDEX(FreqDays,MATCH(O78,FreqNames,0)),0)))</f>
        <v>0</v>
      </c>
      <c r="AR78" s="39">
        <f>IF(G78="","",IF(R78="","Unassigned",IF(COUNTIFS($R$5:$R$604,R78,$B$5:$B$604,B78,$F$5:$F$604,F78)&gt;1,"Clash",IF(SUMIFS($AF$5:$AF$604,$R$5:$R$604,R78,$B$5:$B$604,B78)&gt;ProductiveHours,"Long day","OK"))))</f>
        <v>0</v>
      </c>
      <c r="AS78" s="18">
        <f>IF(OR(G78="",B78=""),"",IF(AND(B78&gt;=TodayDate,P78&lt;&gt;"Cancelled"),B78,""))</f>
        <v>0</v>
      </c>
      <c r="AT78" s="31">
        <f>IF(AS78="","",COUNTIFS($AS$5:$AS$604,"&lt;"&amp;AS78)+COUNTIFS($AS$5:AS78,AS78))</f>
        <v>0</v>
      </c>
      <c r="AU78" s="18">
        <f>IF(OR(G78="",B78="",R78&lt;&gt;""),"",IF(AND(B78&gt;=TodayDate,P78&lt;&gt;"Cancelled"),B78,""))</f>
        <v>0</v>
      </c>
      <c r="AV78" s="31">
        <f>IF(AU78="","",COUNTIFS($AU$5:$AU$604,"&lt;"&amp;AU78)+COUNTIFS($AU$5:AU78,AU78))</f>
        <v>0</v>
      </c>
      <c r="AW78" s="31">
        <f>IF(OR(G78="",B78=""),"",B78-TodayDate)</f>
        <v>0</v>
      </c>
      <c r="AX78" s="39">
        <f>IF(G78="","",IF(P78="Cancelled","Cancelled",IF(P78="No access","Action - no access, rebook",IF(AND(B78&lt;&gt;"",AW78&lt;0,OR(P78="Booked",P78="Confirmed",P78="In progress")),"Late - mark it completed",IF(AND(P78="Completed",AP78=""),"Action - not invoiced yet",IF(AND(AW78&gt;=0,AW78&lt;=ReminderDays,Y78&lt;&gt;"Yes"),"Confirm - visit coming up",IF(R78="","Assign - no cleaner booked",IF(AND(P78="Completed",AO78&lt;&gt;"",AO78&lt;1),"Check - checklist unfinished","OK"))))))))</f>
        <v>0</v>
      </c>
    </row>
    <row r="79" spans="1:50">
      <c r="A79" s="43">
        <f>IF(G79="","",JobPrefix&amp;TEXT(ROW()-4,"0000"))</f>
        <v>0</v>
      </c>
      <c r="B79" s="46">
        <v>46308</v>
      </c>
      <c r="C79" s="23">
        <f>IF(B79="","",TEXT(B79,"ddd"))</f>
        <v>0</v>
      </c>
      <c r="D79" s="31">
        <f>IF(B79="","",WEEKNUM(B79,IF(WeekStart="Sunday",1,2)))</f>
        <v>0</v>
      </c>
      <c r="E79" s="23">
        <f>IF(B79="","",TEXT(B79,"yyyy-mm"))</f>
        <v>0</v>
      </c>
      <c r="F79" s="52">
        <v>0.375</v>
      </c>
      <c r="G79" s="49" t="s">
        <v>743</v>
      </c>
      <c r="H79" s="23">
        <f>IF(G79="","",IFERROR(INDEX(Clients!$B$5:$B$204,MATCH(G79,Clients!$A$5:$A$204,0)),"Not found"))</f>
        <v>0</v>
      </c>
      <c r="I79" s="23">
        <f>IF(G79="","",IFERROR(INDEX(Clients!$C$5:$C$204,MATCH(G79,Clients!$A$5:$A$204,0)),""))</f>
        <v>0</v>
      </c>
      <c r="J79" s="49" t="s">
        <v>1135</v>
      </c>
      <c r="K79" s="23">
        <f>IF(J79="","",IFERROR(INDEX(Properties!$B$5:$B$254,MATCH(J79,Properties!$A$5:$A$254,0)),""))</f>
        <v>0</v>
      </c>
      <c r="L79" s="23">
        <f>IF(J79="","",IFERROR(INDEX(Properties!$F$5:$F$254,MATCH(J79,Properties!$A$5:$A$254,0)),""))</f>
        <v>0</v>
      </c>
      <c r="M79" s="15" t="s">
        <v>437</v>
      </c>
      <c r="N79" s="15" t="s">
        <v>1133</v>
      </c>
      <c r="O79" s="15" t="s">
        <v>451</v>
      </c>
      <c r="P79" s="45" t="s">
        <v>406</v>
      </c>
      <c r="Q79" s="15" t="s">
        <v>448</v>
      </c>
      <c r="R79" s="15" t="s">
        <v>584</v>
      </c>
      <c r="S79" s="15" t="s">
        <v>172</v>
      </c>
      <c r="T79" s="16">
        <v>1</v>
      </c>
      <c r="W79" s="17">
        <v>8.4</v>
      </c>
      <c r="X79" s="47" t="s">
        <v>454</v>
      </c>
      <c r="Y79" s="47" t="s">
        <v>454</v>
      </c>
      <c r="AA79" s="47" t="s">
        <v>172</v>
      </c>
      <c r="AB79" s="44" t="s">
        <v>172</v>
      </c>
      <c r="AC79" s="44" t="s">
        <v>172</v>
      </c>
      <c r="AD79" s="34">
        <f>IF(G79="","",IF(U79&lt;&gt;"",U79,IF(AND(IFERROR(INDEX(Services!$D$5:$D$64,MATCH(M79,Services!$B$5:$B$64,0)),"")="Per hour",IFERROR(INDEX(Properties!$X$5:$X$254,MATCH(J79,Properties!$A$5:$A$254,0)),0)&gt;0),IFERROR(INDEX(Properties!$X$5:$X$254,MATCH(J79,Properties!$A$5:$A$254,0)),0),IF(IFERROR(INDEX(Services!$G$5:$G$64,MATCH(M79,Services!$B$5:$B$64,0)),0)&gt;0,IFERROR(INDEX(Services!$G$5:$G$64,MATCH(M79,Services!$B$5:$B$64,0)),0),IFERROR(INDEX(Properties!$X$5:$X$254,MATCH(J79,Properties!$A$5:$A$254,0)),0)))))</f>
        <v>0</v>
      </c>
      <c r="AE79" s="31">
        <f>IF(G79="","",IF(T79="",CleanersPerJob,MAX(1,T79)))</f>
        <v>0</v>
      </c>
      <c r="AF79" s="34">
        <f>IF(G79="","",ROUND(AD79/AE79,2))</f>
        <v>0</v>
      </c>
      <c r="AG79" s="53">
        <f>IF(OR(G79="",F79="",AF79=""),"",F79+AF79/24)</f>
        <v>0</v>
      </c>
      <c r="AH79" s="21">
        <f>IF(G79="","",IF(IFERROR(INDEX(Clients!$O$5:$O$204,MATCH(G79,Clients!$A$5:$A$204,0)),0)&gt;0,IFERROR(INDEX(Clients!$O$5:$O$204,MATCH(G79,Clients!$A$5:$A$204,0)),0),HourlyRate))</f>
        <v>0</v>
      </c>
      <c r="AI79" s="21">
        <f>IF(G79="","",IF(AND(M79&lt;&gt;"",IFERROR(INDEX(Services!$P$5:$P$64,MATCH(M79,Services!$B$5:$B$64,0)),0)&gt;0,IFERROR(INDEX(Services!$D$5:$D$64,MATCH(M79,Services!$B$5:$B$64,0)),"")&lt;&gt;"Per hour"),IFERROR(INDEX(Services!$P$5:$P$64,MATCH(M79,Services!$B$5:$B$64,0)),0),AD79*AH79))</f>
        <v>0</v>
      </c>
      <c r="AJ79" s="21">
        <f>IF(G79="","",IF(V79&lt;&gt;"",V79,IF(P79="Cancelled",0,MAX(MinimumCharge,ROUND(AI79*IFERROR(INDEX(FreqFactors,MATCH(O79,FreqNames,0)),1),2)))))</f>
        <v>0</v>
      </c>
      <c r="AK79" s="34">
        <f>IF(G79="","",IF(SUMIFS(Timesheets!$U$5:$U$804,Timesheets!$G$5:$G$804,A79)&gt;0,SUMIFS(Timesheets!$U$5:$U$804,Timesheets!$G$5:$G$804,A79),IF(Z79="","",Z79)))</f>
        <v>0</v>
      </c>
      <c r="AL79" s="34">
        <f>IF(OR(AK79="",AD79=""),"",AK79-AD79)</f>
        <v>0</v>
      </c>
      <c r="AM79" s="31">
        <f>IF(A79="","",COUNTIFS('Job Tasks'!$B$5:$B$904,A79))</f>
        <v>0</v>
      </c>
      <c r="AN79" s="31">
        <f>IF(A79="","",COUNTIFS('Job Tasks'!$B$5:$B$904,A79,'Job Tasks'!$H$5:$H$904,"Done"))</f>
        <v>0</v>
      </c>
      <c r="AO79" s="38">
        <f>IF(OR(A79="",AM79=0),"",AN79/AM79)</f>
        <v>0</v>
      </c>
      <c r="AP79" s="43">
        <f>IF(A79="","",IFERROR(INDEX('Invoice Lines'!$B$5:$B$804,MATCH(A79,'Invoice Lines'!$C$5:$C$804,0)),""))</f>
        <v>0</v>
      </c>
      <c r="AQ79" s="18">
        <f>IF(OR(G79="",B79="",X79&lt;&gt;"Yes"),"",IF(IFERROR(INDEX(FreqDays,MATCH(O79,FreqNames,0)),0)=0,"",B79+IFERROR(INDEX(FreqDays,MATCH(O79,FreqNames,0)),0)))</f>
        <v>0</v>
      </c>
      <c r="AR79" s="39">
        <f>IF(G79="","",IF(R79="","Unassigned",IF(COUNTIFS($R$5:$R$604,R79,$B$5:$B$604,B79,$F$5:$F$604,F79)&gt;1,"Clash",IF(SUMIFS($AF$5:$AF$604,$R$5:$R$604,R79,$B$5:$B$604,B79)&gt;ProductiveHours,"Long day","OK"))))</f>
        <v>0</v>
      </c>
      <c r="AS79" s="18">
        <f>IF(OR(G79="",B79=""),"",IF(AND(B79&gt;=TodayDate,P79&lt;&gt;"Cancelled"),B79,""))</f>
        <v>0</v>
      </c>
      <c r="AT79" s="31">
        <f>IF(AS79="","",COUNTIFS($AS$5:$AS$604,"&lt;"&amp;AS79)+COUNTIFS($AS$5:AS79,AS79))</f>
        <v>0</v>
      </c>
      <c r="AU79" s="18">
        <f>IF(OR(G79="",B79="",R79&lt;&gt;""),"",IF(AND(B79&gt;=TodayDate,P79&lt;&gt;"Cancelled"),B79,""))</f>
        <v>0</v>
      </c>
      <c r="AV79" s="31">
        <f>IF(AU79="","",COUNTIFS($AU$5:$AU$604,"&lt;"&amp;AU79)+COUNTIFS($AU$5:AU79,AU79))</f>
        <v>0</v>
      </c>
      <c r="AW79" s="31">
        <f>IF(OR(G79="",B79=""),"",B79-TodayDate)</f>
        <v>0</v>
      </c>
      <c r="AX79" s="39">
        <f>IF(G79="","",IF(P79="Cancelled","Cancelled",IF(P79="No access","Action - no access, rebook",IF(AND(B79&lt;&gt;"",AW79&lt;0,OR(P79="Booked",P79="Confirmed",P79="In progress")),"Late - mark it completed",IF(AND(P79="Completed",AP79=""),"Action - not invoiced yet",IF(AND(AW79&gt;=0,AW79&lt;=ReminderDays,Y79&lt;&gt;"Yes"),"Confirm - visit coming up",IF(R79="","Assign - no cleaner booked",IF(AND(P79="Completed",AO79&lt;&gt;"",AO79&lt;1),"Check - checklist unfinished","OK"))))))))</f>
        <v>0</v>
      </c>
    </row>
    <row r="80" spans="1:50">
      <c r="A80" s="43">
        <f>IF(G80="","",JobPrefix&amp;TEXT(ROW()-4,"0000"))</f>
        <v>0</v>
      </c>
      <c r="B80" s="46">
        <v>46309</v>
      </c>
      <c r="C80" s="23">
        <f>IF(B80="","",TEXT(B80,"ddd"))</f>
        <v>0</v>
      </c>
      <c r="D80" s="31">
        <f>IF(B80="","",WEEKNUM(B80,IF(WeekStart="Sunday",1,2)))</f>
        <v>0</v>
      </c>
      <c r="E80" s="23">
        <f>IF(B80="","",TEXT(B80,"yyyy-mm"))</f>
        <v>0</v>
      </c>
      <c r="F80" s="52">
        <v>0.583333333333333</v>
      </c>
      <c r="G80" s="49" t="s">
        <v>753</v>
      </c>
      <c r="H80" s="23">
        <f>IF(G80="","",IFERROR(INDEX(Clients!$B$5:$B$204,MATCH(G80,Clients!$A$5:$A$204,0)),"Not found"))</f>
        <v>0</v>
      </c>
      <c r="I80" s="23">
        <f>IF(G80="","",IFERROR(INDEX(Clients!$C$5:$C$204,MATCH(G80,Clients!$A$5:$A$204,0)),""))</f>
        <v>0</v>
      </c>
      <c r="J80" s="49" t="s">
        <v>1139</v>
      </c>
      <c r="K80" s="23">
        <f>IF(J80="","",IFERROR(INDEX(Properties!$B$5:$B$254,MATCH(J80,Properties!$A$5:$A$254,0)),""))</f>
        <v>0</v>
      </c>
      <c r="L80" s="23">
        <f>IF(J80="","",IFERROR(INDEX(Properties!$F$5:$F$254,MATCH(J80,Properties!$A$5:$A$254,0)),""))</f>
        <v>0</v>
      </c>
      <c r="M80" s="15" t="s">
        <v>437</v>
      </c>
      <c r="N80" s="15" t="s">
        <v>1133</v>
      </c>
      <c r="O80" s="15" t="s">
        <v>451</v>
      </c>
      <c r="P80" s="45" t="s">
        <v>562</v>
      </c>
      <c r="Q80" s="15" t="s">
        <v>448</v>
      </c>
      <c r="R80" s="15" t="s">
        <v>596</v>
      </c>
      <c r="S80" s="15" t="s">
        <v>172</v>
      </c>
      <c r="T80" s="16">
        <v>1</v>
      </c>
      <c r="W80" s="17">
        <v>12</v>
      </c>
      <c r="X80" s="47" t="s">
        <v>457</v>
      </c>
      <c r="Y80" s="47" t="s">
        <v>454</v>
      </c>
      <c r="AA80" s="47" t="s">
        <v>172</v>
      </c>
      <c r="AB80" s="44" t="s">
        <v>172</v>
      </c>
      <c r="AC80" s="44" t="s">
        <v>1159</v>
      </c>
      <c r="AD80" s="34">
        <f>IF(G80="","",IF(U80&lt;&gt;"",U80,IF(AND(IFERROR(INDEX(Services!$D$5:$D$64,MATCH(M80,Services!$B$5:$B$64,0)),"")="Per hour",IFERROR(INDEX(Properties!$X$5:$X$254,MATCH(J80,Properties!$A$5:$A$254,0)),0)&gt;0),IFERROR(INDEX(Properties!$X$5:$X$254,MATCH(J80,Properties!$A$5:$A$254,0)),0),IF(IFERROR(INDEX(Services!$G$5:$G$64,MATCH(M80,Services!$B$5:$B$64,0)),0)&gt;0,IFERROR(INDEX(Services!$G$5:$G$64,MATCH(M80,Services!$B$5:$B$64,0)),0),IFERROR(INDEX(Properties!$X$5:$X$254,MATCH(J80,Properties!$A$5:$A$254,0)),0)))))</f>
        <v>0</v>
      </c>
      <c r="AE80" s="31">
        <f>IF(G80="","",IF(T80="",CleanersPerJob,MAX(1,T80)))</f>
        <v>0</v>
      </c>
      <c r="AF80" s="34">
        <f>IF(G80="","",ROUND(AD80/AE80,2))</f>
        <v>0</v>
      </c>
      <c r="AG80" s="53">
        <f>IF(OR(G80="",F80="",AF80=""),"",F80+AF80/24)</f>
        <v>0</v>
      </c>
      <c r="AH80" s="21">
        <f>IF(G80="","",IF(IFERROR(INDEX(Clients!$O$5:$O$204,MATCH(G80,Clients!$A$5:$A$204,0)),0)&gt;0,IFERROR(INDEX(Clients!$O$5:$O$204,MATCH(G80,Clients!$A$5:$A$204,0)),0),HourlyRate))</f>
        <v>0</v>
      </c>
      <c r="AI80" s="21">
        <f>IF(G80="","",IF(AND(M80&lt;&gt;"",IFERROR(INDEX(Services!$P$5:$P$64,MATCH(M80,Services!$B$5:$B$64,0)),0)&gt;0,IFERROR(INDEX(Services!$D$5:$D$64,MATCH(M80,Services!$B$5:$B$64,0)),"")&lt;&gt;"Per hour"),IFERROR(INDEX(Services!$P$5:$P$64,MATCH(M80,Services!$B$5:$B$64,0)),0),AD80*AH80))</f>
        <v>0</v>
      </c>
      <c r="AJ80" s="21">
        <f>IF(G80="","",IF(V80&lt;&gt;"",V80,IF(P80="Cancelled",0,MAX(MinimumCharge,ROUND(AI80*IFERROR(INDEX(FreqFactors,MATCH(O80,FreqNames,0)),1),2)))))</f>
        <v>0</v>
      </c>
      <c r="AK80" s="34">
        <f>IF(G80="","",IF(SUMIFS(Timesheets!$U$5:$U$804,Timesheets!$G$5:$G$804,A80)&gt;0,SUMIFS(Timesheets!$U$5:$U$804,Timesheets!$G$5:$G$804,A80),IF(Z80="","",Z80)))</f>
        <v>0</v>
      </c>
      <c r="AL80" s="34">
        <f>IF(OR(AK80="",AD80=""),"",AK80-AD80)</f>
        <v>0</v>
      </c>
      <c r="AM80" s="31">
        <f>IF(A80="","",COUNTIFS('Job Tasks'!$B$5:$B$904,A80))</f>
        <v>0</v>
      </c>
      <c r="AN80" s="31">
        <f>IF(A80="","",COUNTIFS('Job Tasks'!$B$5:$B$904,A80,'Job Tasks'!$H$5:$H$904,"Done"))</f>
        <v>0</v>
      </c>
      <c r="AO80" s="38">
        <f>IF(OR(A80="",AM80=0),"",AN80/AM80)</f>
        <v>0</v>
      </c>
      <c r="AP80" s="43">
        <f>IF(A80="","",IFERROR(INDEX('Invoice Lines'!$B$5:$B$804,MATCH(A80,'Invoice Lines'!$C$5:$C$804,0)),""))</f>
        <v>0</v>
      </c>
      <c r="AQ80" s="18">
        <f>IF(OR(G80="",B80="",X80&lt;&gt;"Yes"),"",IF(IFERROR(INDEX(FreqDays,MATCH(O80,FreqNames,0)),0)=0,"",B80+IFERROR(INDEX(FreqDays,MATCH(O80,FreqNames,0)),0)))</f>
        <v>0</v>
      </c>
      <c r="AR80" s="39">
        <f>IF(G80="","",IF(R80="","Unassigned",IF(COUNTIFS($R$5:$R$604,R80,$B$5:$B$604,B80,$F$5:$F$604,F80)&gt;1,"Clash",IF(SUMIFS($AF$5:$AF$604,$R$5:$R$604,R80,$B$5:$B$604,B80)&gt;ProductiveHours,"Long day","OK"))))</f>
        <v>0</v>
      </c>
      <c r="AS80" s="18">
        <f>IF(OR(G80="",B80=""),"",IF(AND(B80&gt;=TodayDate,P80&lt;&gt;"Cancelled"),B80,""))</f>
        <v>0</v>
      </c>
      <c r="AT80" s="31">
        <f>IF(AS80="","",COUNTIFS($AS$5:$AS$604,"&lt;"&amp;AS80)+COUNTIFS($AS$5:AS80,AS80))</f>
        <v>0</v>
      </c>
      <c r="AU80" s="18">
        <f>IF(OR(G80="",B80="",R80&lt;&gt;""),"",IF(AND(B80&gt;=TodayDate,P80&lt;&gt;"Cancelled"),B80,""))</f>
        <v>0</v>
      </c>
      <c r="AV80" s="31">
        <f>IF(AU80="","",COUNTIFS($AU$5:$AU$604,"&lt;"&amp;AU80)+COUNTIFS($AU$5:AU80,AU80))</f>
        <v>0</v>
      </c>
      <c r="AW80" s="31">
        <f>IF(OR(G80="",B80=""),"",B80-TodayDate)</f>
        <v>0</v>
      </c>
      <c r="AX80" s="39">
        <f>IF(G80="","",IF(P80="Cancelled","Cancelled",IF(P80="No access","Action - no access, rebook",IF(AND(B80&lt;&gt;"",AW80&lt;0,OR(P80="Booked",P80="Confirmed",P80="In progress")),"Late - mark it completed",IF(AND(P80="Completed",AP80=""),"Action - not invoiced yet",IF(AND(AW80&gt;=0,AW80&lt;=ReminderDays,Y80&lt;&gt;"Yes"),"Confirm - visit coming up",IF(R80="","Assign - no cleaner booked",IF(AND(P80="Completed",AO80&lt;&gt;"",AO80&lt;1),"Check - checklist unfinished","OK"))))))))</f>
        <v>0</v>
      </c>
    </row>
    <row r="81" spans="1:50">
      <c r="A81" s="43">
        <f>IF(G81="","",JobPrefix&amp;TEXT(ROW()-4,"0000"))</f>
        <v>0</v>
      </c>
      <c r="B81" s="46">
        <v>46310</v>
      </c>
      <c r="C81" s="23">
        <f>IF(B81="","",TEXT(B81,"ddd"))</f>
        <v>0</v>
      </c>
      <c r="D81" s="31">
        <f>IF(B81="","",WEEKNUM(B81,IF(WeekStart="Sunday",1,2)))</f>
        <v>0</v>
      </c>
      <c r="E81" s="23">
        <f>IF(B81="","",TEXT(B81,"yyyy-mm"))</f>
        <v>0</v>
      </c>
      <c r="F81" s="52">
        <v>0.291666666666667</v>
      </c>
      <c r="G81" s="49" t="s">
        <v>813</v>
      </c>
      <c r="H81" s="23">
        <f>IF(G81="","",IFERROR(INDEX(Clients!$B$5:$B$204,MATCH(G81,Clients!$A$5:$A$204,0)),"Not found"))</f>
        <v>0</v>
      </c>
      <c r="I81" s="23">
        <f>IF(G81="","",IFERROR(INDEX(Clients!$C$5:$C$204,MATCH(G81,Clients!$A$5:$A$204,0)),""))</f>
        <v>0</v>
      </c>
      <c r="J81" s="49" t="s">
        <v>1052</v>
      </c>
      <c r="K81" s="23">
        <f>IF(J81="","",IFERROR(INDEX(Properties!$B$5:$B$254,MATCH(J81,Properties!$A$5:$A$254,0)),""))</f>
        <v>0</v>
      </c>
      <c r="L81" s="23">
        <f>IF(J81="","",IFERROR(INDEX(Properties!$F$5:$F$254,MATCH(J81,Properties!$A$5:$A$254,0)),""))</f>
        <v>0</v>
      </c>
      <c r="M81" s="15" t="s">
        <v>770</v>
      </c>
      <c r="N81" s="15" t="s">
        <v>1133</v>
      </c>
      <c r="O81" s="15" t="s">
        <v>617</v>
      </c>
      <c r="P81" s="45" t="s">
        <v>1156</v>
      </c>
      <c r="Q81" s="15" t="s">
        <v>448</v>
      </c>
      <c r="R81" s="15" t="s">
        <v>664</v>
      </c>
      <c r="S81" s="15" t="s">
        <v>172</v>
      </c>
      <c r="T81" s="16">
        <v>1</v>
      </c>
      <c r="W81" s="17">
        <v>7.6</v>
      </c>
      <c r="X81" s="47" t="s">
        <v>454</v>
      </c>
      <c r="Y81" s="47" t="s">
        <v>454</v>
      </c>
      <c r="AA81" s="47">
        <v>4</v>
      </c>
      <c r="AB81" s="44" t="s">
        <v>172</v>
      </c>
      <c r="AC81" s="44" t="s">
        <v>172</v>
      </c>
      <c r="AD81" s="34">
        <f>IF(G81="","",IF(U81&lt;&gt;"",U81,IF(AND(IFERROR(INDEX(Services!$D$5:$D$64,MATCH(M81,Services!$B$5:$B$64,0)),"")="Per hour",IFERROR(INDEX(Properties!$X$5:$X$254,MATCH(J81,Properties!$A$5:$A$254,0)),0)&gt;0),IFERROR(INDEX(Properties!$X$5:$X$254,MATCH(J81,Properties!$A$5:$A$254,0)),0),IF(IFERROR(INDEX(Services!$G$5:$G$64,MATCH(M81,Services!$B$5:$B$64,0)),0)&gt;0,IFERROR(INDEX(Services!$G$5:$G$64,MATCH(M81,Services!$B$5:$B$64,0)),0),IFERROR(INDEX(Properties!$X$5:$X$254,MATCH(J81,Properties!$A$5:$A$254,0)),0)))))</f>
        <v>0</v>
      </c>
      <c r="AE81" s="31">
        <f>IF(G81="","",IF(T81="",CleanersPerJob,MAX(1,T81)))</f>
        <v>0</v>
      </c>
      <c r="AF81" s="34">
        <f>IF(G81="","",ROUND(AD81/AE81,2))</f>
        <v>0</v>
      </c>
      <c r="AG81" s="53">
        <f>IF(OR(G81="",F81="",AF81=""),"",F81+AF81/24)</f>
        <v>0</v>
      </c>
      <c r="AH81" s="21">
        <f>IF(G81="","",IF(IFERROR(INDEX(Clients!$O$5:$O$204,MATCH(G81,Clients!$A$5:$A$204,0)),0)&gt;0,IFERROR(INDEX(Clients!$O$5:$O$204,MATCH(G81,Clients!$A$5:$A$204,0)),0),HourlyRate))</f>
        <v>0</v>
      </c>
      <c r="AI81" s="21">
        <f>IF(G81="","",IF(AND(M81&lt;&gt;"",IFERROR(INDEX(Services!$P$5:$P$64,MATCH(M81,Services!$B$5:$B$64,0)),0)&gt;0,IFERROR(INDEX(Services!$D$5:$D$64,MATCH(M81,Services!$B$5:$B$64,0)),"")&lt;&gt;"Per hour"),IFERROR(INDEX(Services!$P$5:$P$64,MATCH(M81,Services!$B$5:$B$64,0)),0),AD81*AH81))</f>
        <v>0</v>
      </c>
      <c r="AJ81" s="21">
        <f>IF(G81="","",IF(V81&lt;&gt;"",V81,IF(P81="Cancelled",0,MAX(MinimumCharge,ROUND(AI81*IFERROR(INDEX(FreqFactors,MATCH(O81,FreqNames,0)),1),2)))))</f>
        <v>0</v>
      </c>
      <c r="AK81" s="34">
        <f>IF(G81="","",IF(SUMIFS(Timesheets!$U$5:$U$804,Timesheets!$G$5:$G$804,A81)&gt;0,SUMIFS(Timesheets!$U$5:$U$804,Timesheets!$G$5:$G$804,A81),IF(Z81="","",Z81)))</f>
        <v>0</v>
      </c>
      <c r="AL81" s="34">
        <f>IF(OR(AK81="",AD81=""),"",AK81-AD81)</f>
        <v>0</v>
      </c>
      <c r="AM81" s="31">
        <f>IF(A81="","",COUNTIFS('Job Tasks'!$B$5:$B$904,A81))</f>
        <v>0</v>
      </c>
      <c r="AN81" s="31">
        <f>IF(A81="","",COUNTIFS('Job Tasks'!$B$5:$B$904,A81,'Job Tasks'!$H$5:$H$904,"Done"))</f>
        <v>0</v>
      </c>
      <c r="AO81" s="38">
        <f>IF(OR(A81="",AM81=0),"",AN81/AM81)</f>
        <v>0</v>
      </c>
      <c r="AP81" s="43">
        <f>IF(A81="","",IFERROR(INDEX('Invoice Lines'!$B$5:$B$804,MATCH(A81,'Invoice Lines'!$C$5:$C$804,0)),""))</f>
        <v>0</v>
      </c>
      <c r="AQ81" s="18">
        <f>IF(OR(G81="",B81="",X81&lt;&gt;"Yes"),"",IF(IFERROR(INDEX(FreqDays,MATCH(O81,FreqNames,0)),0)=0,"",B81+IFERROR(INDEX(FreqDays,MATCH(O81,FreqNames,0)),0)))</f>
        <v>0</v>
      </c>
      <c r="AR81" s="39">
        <f>IF(G81="","",IF(R81="","Unassigned",IF(COUNTIFS($R$5:$R$604,R81,$B$5:$B$604,B81,$F$5:$F$604,F81)&gt;1,"Clash",IF(SUMIFS($AF$5:$AF$604,$R$5:$R$604,R81,$B$5:$B$604,B81)&gt;ProductiveHours,"Long day","OK"))))</f>
        <v>0</v>
      </c>
      <c r="AS81" s="18">
        <f>IF(OR(G81="",B81=""),"",IF(AND(B81&gt;=TodayDate,P81&lt;&gt;"Cancelled"),B81,""))</f>
        <v>0</v>
      </c>
      <c r="AT81" s="31">
        <f>IF(AS81="","",COUNTIFS($AS$5:$AS$604,"&lt;"&amp;AS81)+COUNTIFS($AS$5:AS81,AS81))</f>
        <v>0</v>
      </c>
      <c r="AU81" s="18">
        <f>IF(OR(G81="",B81="",R81&lt;&gt;""),"",IF(AND(B81&gt;=TodayDate,P81&lt;&gt;"Cancelled"),B81,""))</f>
        <v>0</v>
      </c>
      <c r="AV81" s="31">
        <f>IF(AU81="","",COUNTIFS($AU$5:$AU$604,"&lt;"&amp;AU81)+COUNTIFS($AU$5:AU81,AU81))</f>
        <v>0</v>
      </c>
      <c r="AW81" s="31">
        <f>IF(OR(G81="",B81=""),"",B81-TodayDate)</f>
        <v>0</v>
      </c>
      <c r="AX81" s="39">
        <f>IF(G81="","",IF(P81="Cancelled","Cancelled",IF(P81="No access","Action - no access, rebook",IF(AND(B81&lt;&gt;"",AW81&lt;0,OR(P81="Booked",P81="Confirmed",P81="In progress")),"Late - mark it completed",IF(AND(P81="Completed",AP81=""),"Action - not invoiced yet",IF(AND(AW81&gt;=0,AW81&lt;=ReminderDays,Y81&lt;&gt;"Yes"),"Confirm - visit coming up",IF(R81="","Assign - no cleaner booked",IF(AND(P81="Completed",AO81&lt;&gt;"",AO81&lt;1),"Check - checklist unfinished","OK"))))))))</f>
        <v>0</v>
      </c>
    </row>
    <row r="82" spans="1:50">
      <c r="A82" s="43">
        <f>IF(G82="","",JobPrefix&amp;TEXT(ROW()-4,"0000"))</f>
        <v>0</v>
      </c>
      <c r="B82" s="46">
        <v>46310</v>
      </c>
      <c r="C82" s="23">
        <f>IF(B82="","",TEXT(B82,"ddd"))</f>
        <v>0</v>
      </c>
      <c r="D82" s="31">
        <f>IF(B82="","",WEEKNUM(B82,IF(WeekStart="Sunday",1,2)))</f>
        <v>0</v>
      </c>
      <c r="E82" s="23">
        <f>IF(B82="","",TEXT(B82,"yyyy-mm"))</f>
        <v>0</v>
      </c>
      <c r="F82" s="52">
        <v>0.770833333333333</v>
      </c>
      <c r="G82" s="49" t="s">
        <v>773</v>
      </c>
      <c r="H82" s="23">
        <f>IF(G82="","",IFERROR(INDEX(Clients!$B$5:$B$204,MATCH(G82,Clients!$A$5:$A$204,0)),"Not found"))</f>
        <v>0</v>
      </c>
      <c r="I82" s="23">
        <f>IF(G82="","",IFERROR(INDEX(Clients!$C$5:$C$204,MATCH(G82,Clients!$A$5:$A$204,0)),""))</f>
        <v>0</v>
      </c>
      <c r="J82" s="49" t="s">
        <v>1134</v>
      </c>
      <c r="K82" s="23">
        <f>IF(J82="","",IFERROR(INDEX(Properties!$B$5:$B$254,MATCH(J82,Properties!$A$5:$A$254,0)),""))</f>
        <v>0</v>
      </c>
      <c r="L82" s="23">
        <f>IF(J82="","",IFERROR(INDEX(Properties!$F$5:$F$254,MATCH(J82,Properties!$A$5:$A$254,0)),""))</f>
        <v>0</v>
      </c>
      <c r="M82" s="15" t="s">
        <v>770</v>
      </c>
      <c r="N82" s="15" t="s">
        <v>1133</v>
      </c>
      <c r="O82" s="15" t="s">
        <v>617</v>
      </c>
      <c r="P82" s="45" t="s">
        <v>1156</v>
      </c>
      <c r="Q82" s="15" t="s">
        <v>448</v>
      </c>
      <c r="R82" s="15" t="s">
        <v>608</v>
      </c>
      <c r="S82" s="15" t="s">
        <v>172</v>
      </c>
      <c r="T82" s="16">
        <v>1</v>
      </c>
      <c r="W82" s="17">
        <v>4.8</v>
      </c>
      <c r="X82" s="47" t="s">
        <v>454</v>
      </c>
      <c r="Y82" s="47" t="s">
        <v>454</v>
      </c>
      <c r="AA82" s="47" t="s">
        <v>172</v>
      </c>
      <c r="AB82" s="44" t="s">
        <v>172</v>
      </c>
      <c r="AC82" s="44" t="s">
        <v>172</v>
      </c>
      <c r="AD82" s="34">
        <f>IF(G82="","",IF(U82&lt;&gt;"",U82,IF(AND(IFERROR(INDEX(Services!$D$5:$D$64,MATCH(M82,Services!$B$5:$B$64,0)),"")="Per hour",IFERROR(INDEX(Properties!$X$5:$X$254,MATCH(J82,Properties!$A$5:$A$254,0)),0)&gt;0),IFERROR(INDEX(Properties!$X$5:$X$254,MATCH(J82,Properties!$A$5:$A$254,0)),0),IF(IFERROR(INDEX(Services!$G$5:$G$64,MATCH(M82,Services!$B$5:$B$64,0)),0)&gt;0,IFERROR(INDEX(Services!$G$5:$G$64,MATCH(M82,Services!$B$5:$B$64,0)),0),IFERROR(INDEX(Properties!$X$5:$X$254,MATCH(J82,Properties!$A$5:$A$254,0)),0)))))</f>
        <v>0</v>
      </c>
      <c r="AE82" s="31">
        <f>IF(G82="","",IF(T82="",CleanersPerJob,MAX(1,T82)))</f>
        <v>0</v>
      </c>
      <c r="AF82" s="34">
        <f>IF(G82="","",ROUND(AD82/AE82,2))</f>
        <v>0</v>
      </c>
      <c r="AG82" s="53">
        <f>IF(OR(G82="",F82="",AF82=""),"",F82+AF82/24)</f>
        <v>0</v>
      </c>
      <c r="AH82" s="21">
        <f>IF(G82="","",IF(IFERROR(INDEX(Clients!$O$5:$O$204,MATCH(G82,Clients!$A$5:$A$204,0)),0)&gt;0,IFERROR(INDEX(Clients!$O$5:$O$204,MATCH(G82,Clients!$A$5:$A$204,0)),0),HourlyRate))</f>
        <v>0</v>
      </c>
      <c r="AI82" s="21">
        <f>IF(G82="","",IF(AND(M82&lt;&gt;"",IFERROR(INDEX(Services!$P$5:$P$64,MATCH(M82,Services!$B$5:$B$64,0)),0)&gt;0,IFERROR(INDEX(Services!$D$5:$D$64,MATCH(M82,Services!$B$5:$B$64,0)),"")&lt;&gt;"Per hour"),IFERROR(INDEX(Services!$P$5:$P$64,MATCH(M82,Services!$B$5:$B$64,0)),0),AD82*AH82))</f>
        <v>0</v>
      </c>
      <c r="AJ82" s="21">
        <f>IF(G82="","",IF(V82&lt;&gt;"",V82,IF(P82="Cancelled",0,MAX(MinimumCharge,ROUND(AI82*IFERROR(INDEX(FreqFactors,MATCH(O82,FreqNames,0)),1),2)))))</f>
        <v>0</v>
      </c>
      <c r="AK82" s="34">
        <f>IF(G82="","",IF(SUMIFS(Timesheets!$U$5:$U$804,Timesheets!$G$5:$G$804,A82)&gt;0,SUMIFS(Timesheets!$U$5:$U$804,Timesheets!$G$5:$G$804,A82),IF(Z82="","",Z82)))</f>
        <v>0</v>
      </c>
      <c r="AL82" s="34">
        <f>IF(OR(AK82="",AD82=""),"",AK82-AD82)</f>
        <v>0</v>
      </c>
      <c r="AM82" s="31">
        <f>IF(A82="","",COUNTIFS('Job Tasks'!$B$5:$B$904,A82))</f>
        <v>0</v>
      </c>
      <c r="AN82" s="31">
        <f>IF(A82="","",COUNTIFS('Job Tasks'!$B$5:$B$904,A82,'Job Tasks'!$H$5:$H$904,"Done"))</f>
        <v>0</v>
      </c>
      <c r="AO82" s="38">
        <f>IF(OR(A82="",AM82=0),"",AN82/AM82)</f>
        <v>0</v>
      </c>
      <c r="AP82" s="43">
        <f>IF(A82="","",IFERROR(INDEX('Invoice Lines'!$B$5:$B$804,MATCH(A82,'Invoice Lines'!$C$5:$C$804,0)),""))</f>
        <v>0</v>
      </c>
      <c r="AQ82" s="18">
        <f>IF(OR(G82="",B82="",X82&lt;&gt;"Yes"),"",IF(IFERROR(INDEX(FreqDays,MATCH(O82,FreqNames,0)),0)=0,"",B82+IFERROR(INDEX(FreqDays,MATCH(O82,FreqNames,0)),0)))</f>
        <v>0</v>
      </c>
      <c r="AR82" s="39">
        <f>IF(G82="","",IF(R82="","Unassigned",IF(COUNTIFS($R$5:$R$604,R82,$B$5:$B$604,B82,$F$5:$F$604,F82)&gt;1,"Clash",IF(SUMIFS($AF$5:$AF$604,$R$5:$R$604,R82,$B$5:$B$604,B82)&gt;ProductiveHours,"Long day","OK"))))</f>
        <v>0</v>
      </c>
      <c r="AS82" s="18">
        <f>IF(OR(G82="",B82=""),"",IF(AND(B82&gt;=TodayDate,P82&lt;&gt;"Cancelled"),B82,""))</f>
        <v>0</v>
      </c>
      <c r="AT82" s="31">
        <f>IF(AS82="","",COUNTIFS($AS$5:$AS$604,"&lt;"&amp;AS82)+COUNTIFS($AS$5:AS82,AS82))</f>
        <v>0</v>
      </c>
      <c r="AU82" s="18">
        <f>IF(OR(G82="",B82="",R82&lt;&gt;""),"",IF(AND(B82&gt;=TodayDate,P82&lt;&gt;"Cancelled"),B82,""))</f>
        <v>0</v>
      </c>
      <c r="AV82" s="31">
        <f>IF(AU82="","",COUNTIFS($AU$5:$AU$604,"&lt;"&amp;AU82)+COUNTIFS($AU$5:AU82,AU82))</f>
        <v>0</v>
      </c>
      <c r="AW82" s="31">
        <f>IF(OR(G82="",B82=""),"",B82-TodayDate)</f>
        <v>0</v>
      </c>
      <c r="AX82" s="39">
        <f>IF(G82="","",IF(P82="Cancelled","Cancelled",IF(P82="No access","Action - no access, rebook",IF(AND(B82&lt;&gt;"",AW82&lt;0,OR(P82="Booked",P82="Confirmed",P82="In progress")),"Late - mark it completed",IF(AND(P82="Completed",AP82=""),"Action - not invoiced yet",IF(AND(AW82&gt;=0,AW82&lt;=ReminderDays,Y82&lt;&gt;"Yes"),"Confirm - visit coming up",IF(R82="","Assign - no cleaner booked",IF(AND(P82="Completed",AO82&lt;&gt;"",AO82&lt;1),"Check - checklist unfinished","OK"))))))))</f>
        <v>0</v>
      </c>
    </row>
    <row r="83" spans="1:50">
      <c r="A83" s="43">
        <f>IF(G83="","",JobPrefix&amp;TEXT(ROW()-4,"0000"))</f>
        <v>0</v>
      </c>
      <c r="B83" s="46">
        <v>46311</v>
      </c>
      <c r="C83" s="23">
        <f>IF(B83="","",TEXT(B83,"ddd"))</f>
        <v>0</v>
      </c>
      <c r="D83" s="31">
        <f>IF(B83="","",WEEKNUM(B83,IF(WeekStart="Sunday",1,2)))</f>
        <v>0</v>
      </c>
      <c r="E83" s="23">
        <f>IF(B83="","",TEXT(B83,"yyyy-mm"))</f>
        <v>0</v>
      </c>
      <c r="F83" s="52">
        <v>0.729166666666667</v>
      </c>
      <c r="G83" s="49" t="s">
        <v>800</v>
      </c>
      <c r="H83" s="23">
        <f>IF(G83="","",IFERROR(INDEX(Clients!$B$5:$B$204,MATCH(G83,Clients!$A$5:$A$204,0)),"Not found"))</f>
        <v>0</v>
      </c>
      <c r="I83" s="23">
        <f>IF(G83="","",IFERROR(INDEX(Clients!$C$5:$C$204,MATCH(G83,Clients!$A$5:$A$204,0)),""))</f>
        <v>0</v>
      </c>
      <c r="J83" s="49" t="s">
        <v>1140</v>
      </c>
      <c r="K83" s="23">
        <f>IF(J83="","",IFERROR(INDEX(Properties!$B$5:$B$254,MATCH(J83,Properties!$A$5:$A$254,0)),""))</f>
        <v>0</v>
      </c>
      <c r="L83" s="23">
        <f>IF(J83="","",IFERROR(INDEX(Properties!$F$5:$F$254,MATCH(J83,Properties!$A$5:$A$254,0)),""))</f>
        <v>0</v>
      </c>
      <c r="M83" s="15" t="s">
        <v>803</v>
      </c>
      <c r="N83" s="15" t="s">
        <v>1133</v>
      </c>
      <c r="O83" s="15" t="s">
        <v>451</v>
      </c>
      <c r="P83" s="45" t="s">
        <v>1156</v>
      </c>
      <c r="Q83" s="15" t="s">
        <v>448</v>
      </c>
      <c r="R83" s="15" t="s">
        <v>639</v>
      </c>
      <c r="S83" s="15" t="s">
        <v>664</v>
      </c>
      <c r="T83" s="16">
        <v>2</v>
      </c>
      <c r="W83" s="17">
        <v>9.2</v>
      </c>
      <c r="X83" s="47" t="s">
        <v>454</v>
      </c>
      <c r="Y83" s="47" t="s">
        <v>454</v>
      </c>
      <c r="AA83" s="47" t="s">
        <v>172</v>
      </c>
      <c r="AB83" s="44" t="s">
        <v>172</v>
      </c>
      <c r="AC83" s="44" t="s">
        <v>172</v>
      </c>
      <c r="AD83" s="34">
        <f>IF(G83="","",IF(U83&lt;&gt;"",U83,IF(AND(IFERROR(INDEX(Services!$D$5:$D$64,MATCH(M83,Services!$B$5:$B$64,0)),"")="Per hour",IFERROR(INDEX(Properties!$X$5:$X$254,MATCH(J83,Properties!$A$5:$A$254,0)),0)&gt;0),IFERROR(INDEX(Properties!$X$5:$X$254,MATCH(J83,Properties!$A$5:$A$254,0)),0),IF(IFERROR(INDEX(Services!$G$5:$G$64,MATCH(M83,Services!$B$5:$B$64,0)),0)&gt;0,IFERROR(INDEX(Services!$G$5:$G$64,MATCH(M83,Services!$B$5:$B$64,0)),0),IFERROR(INDEX(Properties!$X$5:$X$254,MATCH(J83,Properties!$A$5:$A$254,0)),0)))))</f>
        <v>0</v>
      </c>
      <c r="AE83" s="31">
        <f>IF(G83="","",IF(T83="",CleanersPerJob,MAX(1,T83)))</f>
        <v>0</v>
      </c>
      <c r="AF83" s="34">
        <f>IF(G83="","",ROUND(AD83/AE83,2))</f>
        <v>0</v>
      </c>
      <c r="AG83" s="53">
        <f>IF(OR(G83="",F83="",AF83=""),"",F83+AF83/24)</f>
        <v>0</v>
      </c>
      <c r="AH83" s="21">
        <f>IF(G83="","",IF(IFERROR(INDEX(Clients!$O$5:$O$204,MATCH(G83,Clients!$A$5:$A$204,0)),0)&gt;0,IFERROR(INDEX(Clients!$O$5:$O$204,MATCH(G83,Clients!$A$5:$A$204,0)),0),HourlyRate))</f>
        <v>0</v>
      </c>
      <c r="AI83" s="21">
        <f>IF(G83="","",IF(AND(M83&lt;&gt;"",IFERROR(INDEX(Services!$P$5:$P$64,MATCH(M83,Services!$B$5:$B$64,0)),0)&gt;0,IFERROR(INDEX(Services!$D$5:$D$64,MATCH(M83,Services!$B$5:$B$64,0)),"")&lt;&gt;"Per hour"),IFERROR(INDEX(Services!$P$5:$P$64,MATCH(M83,Services!$B$5:$B$64,0)),0),AD83*AH83))</f>
        <v>0</v>
      </c>
      <c r="AJ83" s="21">
        <f>IF(G83="","",IF(V83&lt;&gt;"",V83,IF(P83="Cancelled",0,MAX(MinimumCharge,ROUND(AI83*IFERROR(INDEX(FreqFactors,MATCH(O83,FreqNames,0)),1),2)))))</f>
        <v>0</v>
      </c>
      <c r="AK83" s="34">
        <f>IF(G83="","",IF(SUMIFS(Timesheets!$U$5:$U$804,Timesheets!$G$5:$G$804,A83)&gt;0,SUMIFS(Timesheets!$U$5:$U$804,Timesheets!$G$5:$G$804,A83),IF(Z83="","",Z83)))</f>
        <v>0</v>
      </c>
      <c r="AL83" s="34">
        <f>IF(OR(AK83="",AD83=""),"",AK83-AD83)</f>
        <v>0</v>
      </c>
      <c r="AM83" s="31">
        <f>IF(A83="","",COUNTIFS('Job Tasks'!$B$5:$B$904,A83))</f>
        <v>0</v>
      </c>
      <c r="AN83" s="31">
        <f>IF(A83="","",COUNTIFS('Job Tasks'!$B$5:$B$904,A83,'Job Tasks'!$H$5:$H$904,"Done"))</f>
        <v>0</v>
      </c>
      <c r="AO83" s="38">
        <f>IF(OR(A83="",AM83=0),"",AN83/AM83)</f>
        <v>0</v>
      </c>
      <c r="AP83" s="43">
        <f>IF(A83="","",IFERROR(INDEX('Invoice Lines'!$B$5:$B$804,MATCH(A83,'Invoice Lines'!$C$5:$C$804,0)),""))</f>
        <v>0</v>
      </c>
      <c r="AQ83" s="18">
        <f>IF(OR(G83="",B83="",X83&lt;&gt;"Yes"),"",IF(IFERROR(INDEX(FreqDays,MATCH(O83,FreqNames,0)),0)=0,"",B83+IFERROR(INDEX(FreqDays,MATCH(O83,FreqNames,0)),0)))</f>
        <v>0</v>
      </c>
      <c r="AR83" s="39">
        <f>IF(G83="","",IF(R83="","Unassigned",IF(COUNTIFS($R$5:$R$604,R83,$B$5:$B$604,B83,$F$5:$F$604,F83)&gt;1,"Clash",IF(SUMIFS($AF$5:$AF$604,$R$5:$R$604,R83,$B$5:$B$604,B83)&gt;ProductiveHours,"Long day","OK"))))</f>
        <v>0</v>
      </c>
      <c r="AS83" s="18">
        <f>IF(OR(G83="",B83=""),"",IF(AND(B83&gt;=TodayDate,P83&lt;&gt;"Cancelled"),B83,""))</f>
        <v>0</v>
      </c>
      <c r="AT83" s="31">
        <f>IF(AS83="","",COUNTIFS($AS$5:$AS$604,"&lt;"&amp;AS83)+COUNTIFS($AS$5:AS83,AS83))</f>
        <v>0</v>
      </c>
      <c r="AU83" s="18">
        <f>IF(OR(G83="",B83="",R83&lt;&gt;""),"",IF(AND(B83&gt;=TodayDate,P83&lt;&gt;"Cancelled"),B83,""))</f>
        <v>0</v>
      </c>
      <c r="AV83" s="31">
        <f>IF(AU83="","",COUNTIFS($AU$5:$AU$604,"&lt;"&amp;AU83)+COUNTIFS($AU$5:AU83,AU83))</f>
        <v>0</v>
      </c>
      <c r="AW83" s="31">
        <f>IF(OR(G83="",B83=""),"",B83-TodayDate)</f>
        <v>0</v>
      </c>
      <c r="AX83" s="39">
        <f>IF(G83="","",IF(P83="Cancelled","Cancelled",IF(P83="No access","Action - no access, rebook",IF(AND(B83&lt;&gt;"",AW83&lt;0,OR(P83="Booked",P83="Confirmed",P83="In progress")),"Late - mark it completed",IF(AND(P83="Completed",AP83=""),"Action - not invoiced yet",IF(AND(AW83&gt;=0,AW83&lt;=ReminderDays,Y83&lt;&gt;"Yes"),"Confirm - visit coming up",IF(R83="","Assign - no cleaner booked",IF(AND(P83="Completed",AO83&lt;&gt;"",AO83&lt;1),"Check - checklist unfinished","OK"))))))))</f>
        <v>0</v>
      </c>
    </row>
    <row r="84" spans="1:50">
      <c r="A84" s="43">
        <f>IF(G84="","",JobPrefix&amp;TEXT(ROW()-4,"0000"))</f>
        <v>0</v>
      </c>
      <c r="B84" s="46">
        <v>46311</v>
      </c>
      <c r="C84" s="23">
        <f>IF(B84="","",TEXT(B84,"ddd"))</f>
        <v>0</v>
      </c>
      <c r="D84" s="31">
        <f>IF(B84="","",WEEKNUM(B84,IF(WeekStart="Sunday",1,2)))</f>
        <v>0</v>
      </c>
      <c r="E84" s="23">
        <f>IF(B84="","",TEXT(B84,"yyyy-mm"))</f>
        <v>0</v>
      </c>
      <c r="F84" s="52">
        <v>0.75</v>
      </c>
      <c r="G84" s="49" t="s">
        <v>764</v>
      </c>
      <c r="H84" s="23">
        <f>IF(G84="","",IFERROR(INDEX(Clients!$B$5:$B$204,MATCH(G84,Clients!$A$5:$A$204,0)),"Not found"))</f>
        <v>0</v>
      </c>
      <c r="I84" s="23">
        <f>IF(G84="","",IFERROR(INDEX(Clients!$C$5:$C$204,MATCH(G84,Clients!$A$5:$A$204,0)),""))</f>
        <v>0</v>
      </c>
      <c r="J84" s="49" t="s">
        <v>1141</v>
      </c>
      <c r="K84" s="23">
        <f>IF(J84="","",IFERROR(INDEX(Properties!$B$5:$B$254,MATCH(J84,Properties!$A$5:$A$254,0)),""))</f>
        <v>0</v>
      </c>
      <c r="L84" s="23">
        <f>IF(J84="","",IFERROR(INDEX(Properties!$F$5:$F$254,MATCH(J84,Properties!$A$5:$A$254,0)),""))</f>
        <v>0</v>
      </c>
      <c r="M84" s="15" t="s">
        <v>770</v>
      </c>
      <c r="N84" s="15" t="s">
        <v>1133</v>
      </c>
      <c r="O84" s="15" t="s">
        <v>451</v>
      </c>
      <c r="P84" s="45" t="s">
        <v>1156</v>
      </c>
      <c r="Q84" s="15" t="s">
        <v>448</v>
      </c>
      <c r="R84" s="15" t="s">
        <v>608</v>
      </c>
      <c r="S84" s="15" t="s">
        <v>172</v>
      </c>
      <c r="T84" s="16">
        <v>1</v>
      </c>
      <c r="W84" s="17">
        <v>6.2</v>
      </c>
      <c r="X84" s="47" t="s">
        <v>454</v>
      </c>
      <c r="Y84" s="47" t="s">
        <v>454</v>
      </c>
      <c r="AA84" s="47" t="s">
        <v>172</v>
      </c>
      <c r="AB84" s="44" t="s">
        <v>172</v>
      </c>
      <c r="AC84" s="44" t="s">
        <v>172</v>
      </c>
      <c r="AD84" s="34">
        <f>IF(G84="","",IF(U84&lt;&gt;"",U84,IF(AND(IFERROR(INDEX(Services!$D$5:$D$64,MATCH(M84,Services!$B$5:$B$64,0)),"")="Per hour",IFERROR(INDEX(Properties!$X$5:$X$254,MATCH(J84,Properties!$A$5:$A$254,0)),0)&gt;0),IFERROR(INDEX(Properties!$X$5:$X$254,MATCH(J84,Properties!$A$5:$A$254,0)),0),IF(IFERROR(INDEX(Services!$G$5:$G$64,MATCH(M84,Services!$B$5:$B$64,0)),0)&gt;0,IFERROR(INDEX(Services!$G$5:$G$64,MATCH(M84,Services!$B$5:$B$64,0)),0),IFERROR(INDEX(Properties!$X$5:$X$254,MATCH(J84,Properties!$A$5:$A$254,0)),0)))))</f>
        <v>0</v>
      </c>
      <c r="AE84" s="31">
        <f>IF(G84="","",IF(T84="",CleanersPerJob,MAX(1,T84)))</f>
        <v>0</v>
      </c>
      <c r="AF84" s="34">
        <f>IF(G84="","",ROUND(AD84/AE84,2))</f>
        <v>0</v>
      </c>
      <c r="AG84" s="53">
        <f>IF(OR(G84="",F84="",AF84=""),"",F84+AF84/24)</f>
        <v>0</v>
      </c>
      <c r="AH84" s="21">
        <f>IF(G84="","",IF(IFERROR(INDEX(Clients!$O$5:$O$204,MATCH(G84,Clients!$A$5:$A$204,0)),0)&gt;0,IFERROR(INDEX(Clients!$O$5:$O$204,MATCH(G84,Clients!$A$5:$A$204,0)),0),HourlyRate))</f>
        <v>0</v>
      </c>
      <c r="AI84" s="21">
        <f>IF(G84="","",IF(AND(M84&lt;&gt;"",IFERROR(INDEX(Services!$P$5:$P$64,MATCH(M84,Services!$B$5:$B$64,0)),0)&gt;0,IFERROR(INDEX(Services!$D$5:$D$64,MATCH(M84,Services!$B$5:$B$64,0)),"")&lt;&gt;"Per hour"),IFERROR(INDEX(Services!$P$5:$P$64,MATCH(M84,Services!$B$5:$B$64,0)),0),AD84*AH84))</f>
        <v>0</v>
      </c>
      <c r="AJ84" s="21">
        <f>IF(G84="","",IF(V84&lt;&gt;"",V84,IF(P84="Cancelled",0,MAX(MinimumCharge,ROUND(AI84*IFERROR(INDEX(FreqFactors,MATCH(O84,FreqNames,0)),1),2)))))</f>
        <v>0</v>
      </c>
      <c r="AK84" s="34">
        <f>IF(G84="","",IF(SUMIFS(Timesheets!$U$5:$U$804,Timesheets!$G$5:$G$804,A84)&gt;0,SUMIFS(Timesheets!$U$5:$U$804,Timesheets!$G$5:$G$804,A84),IF(Z84="","",Z84)))</f>
        <v>0</v>
      </c>
      <c r="AL84" s="34">
        <f>IF(OR(AK84="",AD84=""),"",AK84-AD84)</f>
        <v>0</v>
      </c>
      <c r="AM84" s="31">
        <f>IF(A84="","",COUNTIFS('Job Tasks'!$B$5:$B$904,A84))</f>
        <v>0</v>
      </c>
      <c r="AN84" s="31">
        <f>IF(A84="","",COUNTIFS('Job Tasks'!$B$5:$B$904,A84,'Job Tasks'!$H$5:$H$904,"Done"))</f>
        <v>0</v>
      </c>
      <c r="AO84" s="38">
        <f>IF(OR(A84="",AM84=0),"",AN84/AM84)</f>
        <v>0</v>
      </c>
      <c r="AP84" s="43">
        <f>IF(A84="","",IFERROR(INDEX('Invoice Lines'!$B$5:$B$804,MATCH(A84,'Invoice Lines'!$C$5:$C$804,0)),""))</f>
        <v>0</v>
      </c>
      <c r="AQ84" s="18">
        <f>IF(OR(G84="",B84="",X84&lt;&gt;"Yes"),"",IF(IFERROR(INDEX(FreqDays,MATCH(O84,FreqNames,0)),0)=0,"",B84+IFERROR(INDEX(FreqDays,MATCH(O84,FreqNames,0)),0)))</f>
        <v>0</v>
      </c>
      <c r="AR84" s="39">
        <f>IF(G84="","",IF(R84="","Unassigned",IF(COUNTIFS($R$5:$R$604,R84,$B$5:$B$604,B84,$F$5:$F$604,F84)&gt;1,"Clash",IF(SUMIFS($AF$5:$AF$604,$R$5:$R$604,R84,$B$5:$B$604,B84)&gt;ProductiveHours,"Long day","OK"))))</f>
        <v>0</v>
      </c>
      <c r="AS84" s="18">
        <f>IF(OR(G84="",B84=""),"",IF(AND(B84&gt;=TodayDate,P84&lt;&gt;"Cancelled"),B84,""))</f>
        <v>0</v>
      </c>
      <c r="AT84" s="31">
        <f>IF(AS84="","",COUNTIFS($AS$5:$AS$604,"&lt;"&amp;AS84)+COUNTIFS($AS$5:AS84,AS84))</f>
        <v>0</v>
      </c>
      <c r="AU84" s="18">
        <f>IF(OR(G84="",B84="",R84&lt;&gt;""),"",IF(AND(B84&gt;=TodayDate,P84&lt;&gt;"Cancelled"),B84,""))</f>
        <v>0</v>
      </c>
      <c r="AV84" s="31">
        <f>IF(AU84="","",COUNTIFS($AU$5:$AU$604,"&lt;"&amp;AU84)+COUNTIFS($AU$5:AU84,AU84))</f>
        <v>0</v>
      </c>
      <c r="AW84" s="31">
        <f>IF(OR(G84="",B84=""),"",B84-TodayDate)</f>
        <v>0</v>
      </c>
      <c r="AX84" s="39">
        <f>IF(G84="","",IF(P84="Cancelled","Cancelled",IF(P84="No access","Action - no access, rebook",IF(AND(B84&lt;&gt;"",AW84&lt;0,OR(P84="Booked",P84="Confirmed",P84="In progress")),"Late - mark it completed",IF(AND(P84="Completed",AP84=""),"Action - not invoiced yet",IF(AND(AW84&gt;=0,AW84&lt;=ReminderDays,Y84&lt;&gt;"Yes"),"Confirm - visit coming up",IF(R84="","Assign - no cleaner booked",IF(AND(P84="Completed",AO84&lt;&gt;"",AO84&lt;1),"Check - checklist unfinished","OK"))))))))</f>
        <v>0</v>
      </c>
    </row>
    <row r="85" spans="1:50">
      <c r="A85" s="43">
        <f>IF(G85="","",JobPrefix&amp;TEXT(ROW()-4,"0000"))</f>
        <v>0</v>
      </c>
      <c r="B85" s="46">
        <v>46311</v>
      </c>
      <c r="C85" s="23">
        <f>IF(B85="","",TEXT(B85,"ddd"))</f>
        <v>0</v>
      </c>
      <c r="D85" s="31">
        <f>IF(B85="","",WEEKNUM(B85,IF(WeekStart="Sunday",1,2)))</f>
        <v>0</v>
      </c>
      <c r="E85" s="23">
        <f>IF(B85="","",TEXT(B85,"yyyy-mm"))</f>
        <v>0</v>
      </c>
      <c r="F85" s="52">
        <v>0.833333333333333</v>
      </c>
      <c r="G85" s="49" t="s">
        <v>848</v>
      </c>
      <c r="H85" s="23">
        <f>IF(G85="","",IFERROR(INDEX(Clients!$B$5:$B$204,MATCH(G85,Clients!$A$5:$A$204,0)),"Not found"))</f>
        <v>0</v>
      </c>
      <c r="I85" s="23">
        <f>IF(G85="","",IFERROR(INDEX(Clients!$C$5:$C$204,MATCH(G85,Clients!$A$5:$A$204,0)),""))</f>
        <v>0</v>
      </c>
      <c r="J85" s="49" t="s">
        <v>1142</v>
      </c>
      <c r="K85" s="23">
        <f>IF(J85="","",IFERROR(INDEX(Properties!$B$5:$B$254,MATCH(J85,Properties!$A$5:$A$254,0)),""))</f>
        <v>0</v>
      </c>
      <c r="L85" s="23">
        <f>IF(J85="","",IFERROR(INDEX(Properties!$F$5:$F$254,MATCH(J85,Properties!$A$5:$A$254,0)),""))</f>
        <v>0</v>
      </c>
      <c r="M85" s="15" t="s">
        <v>770</v>
      </c>
      <c r="N85" s="15" t="s">
        <v>1133</v>
      </c>
      <c r="O85" s="15" t="s">
        <v>451</v>
      </c>
      <c r="P85" s="45" t="s">
        <v>1156</v>
      </c>
      <c r="Q85" s="15" t="s">
        <v>448</v>
      </c>
      <c r="R85" s="15" t="s">
        <v>608</v>
      </c>
      <c r="S85" s="15" t="s">
        <v>172</v>
      </c>
      <c r="T85" s="16">
        <v>1</v>
      </c>
      <c r="W85" s="17">
        <v>4.4</v>
      </c>
      <c r="X85" s="47" t="s">
        <v>454</v>
      </c>
      <c r="Y85" s="47" t="s">
        <v>454</v>
      </c>
      <c r="AA85" s="47" t="s">
        <v>172</v>
      </c>
      <c r="AB85" s="44" t="s">
        <v>172</v>
      </c>
      <c r="AC85" s="44" t="s">
        <v>172</v>
      </c>
      <c r="AD85" s="34">
        <f>IF(G85="","",IF(U85&lt;&gt;"",U85,IF(AND(IFERROR(INDEX(Services!$D$5:$D$64,MATCH(M85,Services!$B$5:$B$64,0)),"")="Per hour",IFERROR(INDEX(Properties!$X$5:$X$254,MATCH(J85,Properties!$A$5:$A$254,0)),0)&gt;0),IFERROR(INDEX(Properties!$X$5:$X$254,MATCH(J85,Properties!$A$5:$A$254,0)),0),IF(IFERROR(INDEX(Services!$G$5:$G$64,MATCH(M85,Services!$B$5:$B$64,0)),0)&gt;0,IFERROR(INDEX(Services!$G$5:$G$64,MATCH(M85,Services!$B$5:$B$64,0)),0),IFERROR(INDEX(Properties!$X$5:$X$254,MATCH(J85,Properties!$A$5:$A$254,0)),0)))))</f>
        <v>0</v>
      </c>
      <c r="AE85" s="31">
        <f>IF(G85="","",IF(T85="",CleanersPerJob,MAX(1,T85)))</f>
        <v>0</v>
      </c>
      <c r="AF85" s="34">
        <f>IF(G85="","",ROUND(AD85/AE85,2))</f>
        <v>0</v>
      </c>
      <c r="AG85" s="53">
        <f>IF(OR(G85="",F85="",AF85=""),"",F85+AF85/24)</f>
        <v>0</v>
      </c>
      <c r="AH85" s="21">
        <f>IF(G85="","",IF(IFERROR(INDEX(Clients!$O$5:$O$204,MATCH(G85,Clients!$A$5:$A$204,0)),0)&gt;0,IFERROR(INDEX(Clients!$O$5:$O$204,MATCH(G85,Clients!$A$5:$A$204,0)),0),HourlyRate))</f>
        <v>0</v>
      </c>
      <c r="AI85" s="21">
        <f>IF(G85="","",IF(AND(M85&lt;&gt;"",IFERROR(INDEX(Services!$P$5:$P$64,MATCH(M85,Services!$B$5:$B$64,0)),0)&gt;0,IFERROR(INDEX(Services!$D$5:$D$64,MATCH(M85,Services!$B$5:$B$64,0)),"")&lt;&gt;"Per hour"),IFERROR(INDEX(Services!$P$5:$P$64,MATCH(M85,Services!$B$5:$B$64,0)),0),AD85*AH85))</f>
        <v>0</v>
      </c>
      <c r="AJ85" s="21">
        <f>IF(G85="","",IF(V85&lt;&gt;"",V85,IF(P85="Cancelled",0,MAX(MinimumCharge,ROUND(AI85*IFERROR(INDEX(FreqFactors,MATCH(O85,FreqNames,0)),1),2)))))</f>
        <v>0</v>
      </c>
      <c r="AK85" s="34">
        <f>IF(G85="","",IF(SUMIFS(Timesheets!$U$5:$U$804,Timesheets!$G$5:$G$804,A85)&gt;0,SUMIFS(Timesheets!$U$5:$U$804,Timesheets!$G$5:$G$804,A85),IF(Z85="","",Z85)))</f>
        <v>0</v>
      </c>
      <c r="AL85" s="34">
        <f>IF(OR(AK85="",AD85=""),"",AK85-AD85)</f>
        <v>0</v>
      </c>
      <c r="AM85" s="31">
        <f>IF(A85="","",COUNTIFS('Job Tasks'!$B$5:$B$904,A85))</f>
        <v>0</v>
      </c>
      <c r="AN85" s="31">
        <f>IF(A85="","",COUNTIFS('Job Tasks'!$B$5:$B$904,A85,'Job Tasks'!$H$5:$H$904,"Done"))</f>
        <v>0</v>
      </c>
      <c r="AO85" s="38">
        <f>IF(OR(A85="",AM85=0),"",AN85/AM85)</f>
        <v>0</v>
      </c>
      <c r="AP85" s="43">
        <f>IF(A85="","",IFERROR(INDEX('Invoice Lines'!$B$5:$B$804,MATCH(A85,'Invoice Lines'!$C$5:$C$804,0)),""))</f>
        <v>0</v>
      </c>
      <c r="AQ85" s="18">
        <f>IF(OR(G85="",B85="",X85&lt;&gt;"Yes"),"",IF(IFERROR(INDEX(FreqDays,MATCH(O85,FreqNames,0)),0)=0,"",B85+IFERROR(INDEX(FreqDays,MATCH(O85,FreqNames,0)),0)))</f>
        <v>0</v>
      </c>
      <c r="AR85" s="39">
        <f>IF(G85="","",IF(R85="","Unassigned",IF(COUNTIFS($R$5:$R$604,R85,$B$5:$B$604,B85,$F$5:$F$604,F85)&gt;1,"Clash",IF(SUMIFS($AF$5:$AF$604,$R$5:$R$604,R85,$B$5:$B$604,B85)&gt;ProductiveHours,"Long day","OK"))))</f>
        <v>0</v>
      </c>
      <c r="AS85" s="18">
        <f>IF(OR(G85="",B85=""),"",IF(AND(B85&gt;=TodayDate,P85&lt;&gt;"Cancelled"),B85,""))</f>
        <v>0</v>
      </c>
      <c r="AT85" s="31">
        <f>IF(AS85="","",COUNTIFS($AS$5:$AS$604,"&lt;"&amp;AS85)+COUNTIFS($AS$5:AS85,AS85))</f>
        <v>0</v>
      </c>
      <c r="AU85" s="18">
        <f>IF(OR(G85="",B85="",R85&lt;&gt;""),"",IF(AND(B85&gt;=TodayDate,P85&lt;&gt;"Cancelled"),B85,""))</f>
        <v>0</v>
      </c>
      <c r="AV85" s="31">
        <f>IF(AU85="","",COUNTIFS($AU$5:$AU$604,"&lt;"&amp;AU85)+COUNTIFS($AU$5:AU85,AU85))</f>
        <v>0</v>
      </c>
      <c r="AW85" s="31">
        <f>IF(OR(G85="",B85=""),"",B85-TodayDate)</f>
        <v>0</v>
      </c>
      <c r="AX85" s="39">
        <f>IF(G85="","",IF(P85="Cancelled","Cancelled",IF(P85="No access","Action - no access, rebook",IF(AND(B85&lt;&gt;"",AW85&lt;0,OR(P85="Booked",P85="Confirmed",P85="In progress")),"Late - mark it completed",IF(AND(P85="Completed",AP85=""),"Action - not invoiced yet",IF(AND(AW85&gt;=0,AW85&lt;=ReminderDays,Y85&lt;&gt;"Yes"),"Confirm - visit coming up",IF(R85="","Assign - no cleaner booked",IF(AND(P85="Completed",AO85&lt;&gt;"",AO85&lt;1),"Check - checklist unfinished","OK"))))))))</f>
        <v>0</v>
      </c>
    </row>
    <row r="86" spans="1:50">
      <c r="A86" s="43">
        <f>IF(G86="","",JobPrefix&amp;TEXT(ROW()-4,"0000"))</f>
        <v>0</v>
      </c>
      <c r="B86" s="46">
        <v>46312</v>
      </c>
      <c r="C86" s="23">
        <f>IF(B86="","",TEXT(B86,"ddd"))</f>
        <v>0</v>
      </c>
      <c r="D86" s="31">
        <f>IF(B86="","",WEEKNUM(B86,IF(WeekStart="Sunday",1,2)))</f>
        <v>0</v>
      </c>
      <c r="E86" s="23">
        <f>IF(B86="","",TEXT(B86,"yyyy-mm"))</f>
        <v>0</v>
      </c>
      <c r="F86" s="52">
        <v>0.458333333333333</v>
      </c>
      <c r="G86" s="49" t="s">
        <v>818</v>
      </c>
      <c r="H86" s="23">
        <f>IF(G86="","",IFERROR(INDEX(Clients!$B$5:$B$204,MATCH(G86,Clients!$A$5:$A$204,0)),"Not found"))</f>
        <v>0</v>
      </c>
      <c r="I86" s="23">
        <f>IF(G86="","",IFERROR(INDEX(Clients!$C$5:$C$204,MATCH(G86,Clients!$A$5:$A$204,0)),""))</f>
        <v>0</v>
      </c>
      <c r="J86" s="49" t="s">
        <v>1143</v>
      </c>
      <c r="K86" s="23">
        <f>IF(J86="","",IFERROR(INDEX(Properties!$B$5:$B$254,MATCH(J86,Properties!$A$5:$A$254,0)),""))</f>
        <v>0</v>
      </c>
      <c r="L86" s="23">
        <f>IF(J86="","",IFERROR(INDEX(Properties!$F$5:$F$254,MATCH(J86,Properties!$A$5:$A$254,0)),""))</f>
        <v>0</v>
      </c>
      <c r="M86" s="15" t="s">
        <v>821</v>
      </c>
      <c r="N86" s="15" t="s">
        <v>1133</v>
      </c>
      <c r="O86" s="15" t="s">
        <v>451</v>
      </c>
      <c r="P86" s="45" t="s">
        <v>1156</v>
      </c>
      <c r="Q86" s="15" t="s">
        <v>448</v>
      </c>
      <c r="R86" s="15" t="s">
        <v>596</v>
      </c>
      <c r="S86" s="15" t="s">
        <v>172</v>
      </c>
      <c r="T86" s="16">
        <v>1</v>
      </c>
      <c r="W86" s="17">
        <v>5.8</v>
      </c>
      <c r="X86" s="47" t="s">
        <v>454</v>
      </c>
      <c r="Y86" s="47" t="s">
        <v>454</v>
      </c>
      <c r="AA86" s="47">
        <v>5</v>
      </c>
      <c r="AB86" s="44" t="s">
        <v>172</v>
      </c>
      <c r="AC86" s="44" t="s">
        <v>172</v>
      </c>
      <c r="AD86" s="34">
        <f>IF(G86="","",IF(U86&lt;&gt;"",U86,IF(AND(IFERROR(INDEX(Services!$D$5:$D$64,MATCH(M86,Services!$B$5:$B$64,0)),"")="Per hour",IFERROR(INDEX(Properties!$X$5:$X$254,MATCH(J86,Properties!$A$5:$A$254,0)),0)&gt;0),IFERROR(INDEX(Properties!$X$5:$X$254,MATCH(J86,Properties!$A$5:$A$254,0)),0),IF(IFERROR(INDEX(Services!$G$5:$G$64,MATCH(M86,Services!$B$5:$B$64,0)),0)&gt;0,IFERROR(INDEX(Services!$G$5:$G$64,MATCH(M86,Services!$B$5:$B$64,0)),0),IFERROR(INDEX(Properties!$X$5:$X$254,MATCH(J86,Properties!$A$5:$A$254,0)),0)))))</f>
        <v>0</v>
      </c>
      <c r="AE86" s="31">
        <f>IF(G86="","",IF(T86="",CleanersPerJob,MAX(1,T86)))</f>
        <v>0</v>
      </c>
      <c r="AF86" s="34">
        <f>IF(G86="","",ROUND(AD86/AE86,2))</f>
        <v>0</v>
      </c>
      <c r="AG86" s="53">
        <f>IF(OR(G86="",F86="",AF86=""),"",F86+AF86/24)</f>
        <v>0</v>
      </c>
      <c r="AH86" s="21">
        <f>IF(G86="","",IF(IFERROR(INDEX(Clients!$O$5:$O$204,MATCH(G86,Clients!$A$5:$A$204,0)),0)&gt;0,IFERROR(INDEX(Clients!$O$5:$O$204,MATCH(G86,Clients!$A$5:$A$204,0)),0),HourlyRate))</f>
        <v>0</v>
      </c>
      <c r="AI86" s="21">
        <f>IF(G86="","",IF(AND(M86&lt;&gt;"",IFERROR(INDEX(Services!$P$5:$P$64,MATCH(M86,Services!$B$5:$B$64,0)),0)&gt;0,IFERROR(INDEX(Services!$D$5:$D$64,MATCH(M86,Services!$B$5:$B$64,0)),"")&lt;&gt;"Per hour"),IFERROR(INDEX(Services!$P$5:$P$64,MATCH(M86,Services!$B$5:$B$64,0)),0),AD86*AH86))</f>
        <v>0</v>
      </c>
      <c r="AJ86" s="21">
        <f>IF(G86="","",IF(V86&lt;&gt;"",V86,IF(P86="Cancelled",0,MAX(MinimumCharge,ROUND(AI86*IFERROR(INDEX(FreqFactors,MATCH(O86,FreqNames,0)),1),2)))))</f>
        <v>0</v>
      </c>
      <c r="AK86" s="34">
        <f>IF(G86="","",IF(SUMIFS(Timesheets!$U$5:$U$804,Timesheets!$G$5:$G$804,A86)&gt;0,SUMIFS(Timesheets!$U$5:$U$804,Timesheets!$G$5:$G$804,A86),IF(Z86="","",Z86)))</f>
        <v>0</v>
      </c>
      <c r="AL86" s="34">
        <f>IF(OR(AK86="",AD86=""),"",AK86-AD86)</f>
        <v>0</v>
      </c>
      <c r="AM86" s="31">
        <f>IF(A86="","",COUNTIFS('Job Tasks'!$B$5:$B$904,A86))</f>
        <v>0</v>
      </c>
      <c r="AN86" s="31">
        <f>IF(A86="","",COUNTIFS('Job Tasks'!$B$5:$B$904,A86,'Job Tasks'!$H$5:$H$904,"Done"))</f>
        <v>0</v>
      </c>
      <c r="AO86" s="38">
        <f>IF(OR(A86="",AM86=0),"",AN86/AM86)</f>
        <v>0</v>
      </c>
      <c r="AP86" s="43">
        <f>IF(A86="","",IFERROR(INDEX('Invoice Lines'!$B$5:$B$804,MATCH(A86,'Invoice Lines'!$C$5:$C$804,0)),""))</f>
        <v>0</v>
      </c>
      <c r="AQ86" s="18">
        <f>IF(OR(G86="",B86="",X86&lt;&gt;"Yes"),"",IF(IFERROR(INDEX(FreqDays,MATCH(O86,FreqNames,0)),0)=0,"",B86+IFERROR(INDEX(FreqDays,MATCH(O86,FreqNames,0)),0)))</f>
        <v>0</v>
      </c>
      <c r="AR86" s="39">
        <f>IF(G86="","",IF(R86="","Unassigned",IF(COUNTIFS($R$5:$R$604,R86,$B$5:$B$604,B86,$F$5:$F$604,F86)&gt;1,"Clash",IF(SUMIFS($AF$5:$AF$604,$R$5:$R$604,R86,$B$5:$B$604,B86)&gt;ProductiveHours,"Long day","OK"))))</f>
        <v>0</v>
      </c>
      <c r="AS86" s="18">
        <f>IF(OR(G86="",B86=""),"",IF(AND(B86&gt;=TodayDate,P86&lt;&gt;"Cancelled"),B86,""))</f>
        <v>0</v>
      </c>
      <c r="AT86" s="31">
        <f>IF(AS86="","",COUNTIFS($AS$5:$AS$604,"&lt;"&amp;AS86)+COUNTIFS($AS$5:AS86,AS86))</f>
        <v>0</v>
      </c>
      <c r="AU86" s="18">
        <f>IF(OR(G86="",B86="",R86&lt;&gt;""),"",IF(AND(B86&gt;=TodayDate,P86&lt;&gt;"Cancelled"),B86,""))</f>
        <v>0</v>
      </c>
      <c r="AV86" s="31">
        <f>IF(AU86="","",COUNTIFS($AU$5:$AU$604,"&lt;"&amp;AU86)+COUNTIFS($AU$5:AU86,AU86))</f>
        <v>0</v>
      </c>
      <c r="AW86" s="31">
        <f>IF(OR(G86="",B86=""),"",B86-TodayDate)</f>
        <v>0</v>
      </c>
      <c r="AX86" s="39">
        <f>IF(G86="","",IF(P86="Cancelled","Cancelled",IF(P86="No access","Action - no access, rebook",IF(AND(B86&lt;&gt;"",AW86&lt;0,OR(P86="Booked",P86="Confirmed",P86="In progress")),"Late - mark it completed",IF(AND(P86="Completed",AP86=""),"Action - not invoiced yet",IF(AND(AW86&gt;=0,AW86&lt;=ReminderDays,Y86&lt;&gt;"Yes"),"Confirm - visit coming up",IF(R86="","Assign - no cleaner booked",IF(AND(P86="Completed",AO86&lt;&gt;"",AO86&lt;1),"Check - checklist unfinished","OK"))))))))</f>
        <v>0</v>
      </c>
    </row>
    <row r="87" spans="1:50">
      <c r="A87" s="43">
        <f>IF(G87="","",JobPrefix&amp;TEXT(ROW()-4,"0000"))</f>
        <v>0</v>
      </c>
      <c r="B87" s="46">
        <v>46312</v>
      </c>
      <c r="C87" s="23">
        <f>IF(B87="","",TEXT(B87,"ddd"))</f>
        <v>0</v>
      </c>
      <c r="D87" s="31">
        <f>IF(B87="","",WEEKNUM(B87,IF(WeekStart="Sunday",1,2)))</f>
        <v>0</v>
      </c>
      <c r="E87" s="23">
        <f>IF(B87="","",TEXT(B87,"yyyy-mm"))</f>
        <v>0</v>
      </c>
      <c r="F87" s="52">
        <v>0.583333333333333</v>
      </c>
      <c r="G87" s="49" t="s">
        <v>818</v>
      </c>
      <c r="H87" s="23">
        <f>IF(G87="","",IFERROR(INDEX(Clients!$B$5:$B$204,MATCH(G87,Clients!$A$5:$A$204,0)),"Not found"))</f>
        <v>0</v>
      </c>
      <c r="I87" s="23">
        <f>IF(G87="","",IFERROR(INDEX(Clients!$C$5:$C$204,MATCH(G87,Clients!$A$5:$A$204,0)),""))</f>
        <v>0</v>
      </c>
      <c r="J87" s="49" t="s">
        <v>1144</v>
      </c>
      <c r="K87" s="23">
        <f>IF(J87="","",IFERROR(INDEX(Properties!$B$5:$B$254,MATCH(J87,Properties!$A$5:$A$254,0)),""))</f>
        <v>0</v>
      </c>
      <c r="L87" s="23">
        <f>IF(J87="","",IFERROR(INDEX(Properties!$F$5:$F$254,MATCH(J87,Properties!$A$5:$A$254,0)),""))</f>
        <v>0</v>
      </c>
      <c r="M87" s="15" t="s">
        <v>821</v>
      </c>
      <c r="N87" s="15" t="s">
        <v>1133</v>
      </c>
      <c r="O87" s="15" t="s">
        <v>451</v>
      </c>
      <c r="P87" s="45" t="s">
        <v>1156</v>
      </c>
      <c r="Q87" s="15" t="s">
        <v>448</v>
      </c>
      <c r="R87" s="15" t="s">
        <v>596</v>
      </c>
      <c r="S87" s="15" t="s">
        <v>172</v>
      </c>
      <c r="T87" s="16">
        <v>1</v>
      </c>
      <c r="W87" s="17">
        <v>6.8</v>
      </c>
      <c r="X87" s="47" t="s">
        <v>454</v>
      </c>
      <c r="Y87" s="47" t="s">
        <v>454</v>
      </c>
      <c r="AA87" s="47" t="s">
        <v>172</v>
      </c>
      <c r="AB87" s="44" t="s">
        <v>172</v>
      </c>
      <c r="AC87" s="44" t="s">
        <v>172</v>
      </c>
      <c r="AD87" s="34">
        <f>IF(G87="","",IF(U87&lt;&gt;"",U87,IF(AND(IFERROR(INDEX(Services!$D$5:$D$64,MATCH(M87,Services!$B$5:$B$64,0)),"")="Per hour",IFERROR(INDEX(Properties!$X$5:$X$254,MATCH(J87,Properties!$A$5:$A$254,0)),0)&gt;0),IFERROR(INDEX(Properties!$X$5:$X$254,MATCH(J87,Properties!$A$5:$A$254,0)),0),IF(IFERROR(INDEX(Services!$G$5:$G$64,MATCH(M87,Services!$B$5:$B$64,0)),0)&gt;0,IFERROR(INDEX(Services!$G$5:$G$64,MATCH(M87,Services!$B$5:$B$64,0)),0),IFERROR(INDEX(Properties!$X$5:$X$254,MATCH(J87,Properties!$A$5:$A$254,0)),0)))))</f>
        <v>0</v>
      </c>
      <c r="AE87" s="31">
        <f>IF(G87="","",IF(T87="",CleanersPerJob,MAX(1,T87)))</f>
        <v>0</v>
      </c>
      <c r="AF87" s="34">
        <f>IF(G87="","",ROUND(AD87/AE87,2))</f>
        <v>0</v>
      </c>
      <c r="AG87" s="53">
        <f>IF(OR(G87="",F87="",AF87=""),"",F87+AF87/24)</f>
        <v>0</v>
      </c>
      <c r="AH87" s="21">
        <f>IF(G87="","",IF(IFERROR(INDEX(Clients!$O$5:$O$204,MATCH(G87,Clients!$A$5:$A$204,0)),0)&gt;0,IFERROR(INDEX(Clients!$O$5:$O$204,MATCH(G87,Clients!$A$5:$A$204,0)),0),HourlyRate))</f>
        <v>0</v>
      </c>
      <c r="AI87" s="21">
        <f>IF(G87="","",IF(AND(M87&lt;&gt;"",IFERROR(INDEX(Services!$P$5:$P$64,MATCH(M87,Services!$B$5:$B$64,0)),0)&gt;0,IFERROR(INDEX(Services!$D$5:$D$64,MATCH(M87,Services!$B$5:$B$64,0)),"")&lt;&gt;"Per hour"),IFERROR(INDEX(Services!$P$5:$P$64,MATCH(M87,Services!$B$5:$B$64,0)),0),AD87*AH87))</f>
        <v>0</v>
      </c>
      <c r="AJ87" s="21">
        <f>IF(G87="","",IF(V87&lt;&gt;"",V87,IF(P87="Cancelled",0,MAX(MinimumCharge,ROUND(AI87*IFERROR(INDEX(FreqFactors,MATCH(O87,FreqNames,0)),1),2)))))</f>
        <v>0</v>
      </c>
      <c r="AK87" s="34">
        <f>IF(G87="","",IF(SUMIFS(Timesheets!$U$5:$U$804,Timesheets!$G$5:$G$804,A87)&gt;0,SUMIFS(Timesheets!$U$5:$U$804,Timesheets!$G$5:$G$804,A87),IF(Z87="","",Z87)))</f>
        <v>0</v>
      </c>
      <c r="AL87" s="34">
        <f>IF(OR(AK87="",AD87=""),"",AK87-AD87)</f>
        <v>0</v>
      </c>
      <c r="AM87" s="31">
        <f>IF(A87="","",COUNTIFS('Job Tasks'!$B$5:$B$904,A87))</f>
        <v>0</v>
      </c>
      <c r="AN87" s="31">
        <f>IF(A87="","",COUNTIFS('Job Tasks'!$B$5:$B$904,A87,'Job Tasks'!$H$5:$H$904,"Done"))</f>
        <v>0</v>
      </c>
      <c r="AO87" s="38">
        <f>IF(OR(A87="",AM87=0),"",AN87/AM87)</f>
        <v>0</v>
      </c>
      <c r="AP87" s="43">
        <f>IF(A87="","",IFERROR(INDEX('Invoice Lines'!$B$5:$B$804,MATCH(A87,'Invoice Lines'!$C$5:$C$804,0)),""))</f>
        <v>0</v>
      </c>
      <c r="AQ87" s="18">
        <f>IF(OR(G87="",B87="",X87&lt;&gt;"Yes"),"",IF(IFERROR(INDEX(FreqDays,MATCH(O87,FreqNames,0)),0)=0,"",B87+IFERROR(INDEX(FreqDays,MATCH(O87,FreqNames,0)),0)))</f>
        <v>0</v>
      </c>
      <c r="AR87" s="39">
        <f>IF(G87="","",IF(R87="","Unassigned",IF(COUNTIFS($R$5:$R$604,R87,$B$5:$B$604,B87,$F$5:$F$604,F87)&gt;1,"Clash",IF(SUMIFS($AF$5:$AF$604,$R$5:$R$604,R87,$B$5:$B$604,B87)&gt;ProductiveHours,"Long day","OK"))))</f>
        <v>0</v>
      </c>
      <c r="AS87" s="18">
        <f>IF(OR(G87="",B87=""),"",IF(AND(B87&gt;=TodayDate,P87&lt;&gt;"Cancelled"),B87,""))</f>
        <v>0</v>
      </c>
      <c r="AT87" s="31">
        <f>IF(AS87="","",COUNTIFS($AS$5:$AS$604,"&lt;"&amp;AS87)+COUNTIFS($AS$5:AS87,AS87))</f>
        <v>0</v>
      </c>
      <c r="AU87" s="18">
        <f>IF(OR(G87="",B87="",R87&lt;&gt;""),"",IF(AND(B87&gt;=TodayDate,P87&lt;&gt;"Cancelled"),B87,""))</f>
        <v>0</v>
      </c>
      <c r="AV87" s="31">
        <f>IF(AU87="","",COUNTIFS($AU$5:$AU$604,"&lt;"&amp;AU87)+COUNTIFS($AU$5:AU87,AU87))</f>
        <v>0</v>
      </c>
      <c r="AW87" s="31">
        <f>IF(OR(G87="",B87=""),"",B87-TodayDate)</f>
        <v>0</v>
      </c>
      <c r="AX87" s="39">
        <f>IF(G87="","",IF(P87="Cancelled","Cancelled",IF(P87="No access","Action - no access, rebook",IF(AND(B87&lt;&gt;"",AW87&lt;0,OR(P87="Booked",P87="Confirmed",P87="In progress")),"Late - mark it completed",IF(AND(P87="Completed",AP87=""),"Action - not invoiced yet",IF(AND(AW87&gt;=0,AW87&lt;=ReminderDays,Y87&lt;&gt;"Yes"),"Confirm - visit coming up",IF(R87="","Assign - no cleaner booked",IF(AND(P87="Completed",AO87&lt;&gt;"",AO87&lt;1),"Check - checklist unfinished","OK"))))))))</f>
        <v>0</v>
      </c>
    </row>
    <row r="88" spans="1:50">
      <c r="A88" s="43">
        <f>IF(G88="","",JobPrefix&amp;TEXT(ROW()-4,"0000"))</f>
        <v>0</v>
      </c>
      <c r="B88" s="46">
        <v>46313</v>
      </c>
      <c r="C88" s="23">
        <f>IF(B88="","",TEXT(B88,"ddd"))</f>
        <v>0</v>
      </c>
      <c r="D88" s="31">
        <f>IF(B88="","",WEEKNUM(B88,IF(WeekStart="Sunday",1,2)))</f>
        <v>0</v>
      </c>
      <c r="E88" s="23">
        <f>IF(B88="","",TEXT(B88,"yyyy-mm"))</f>
        <v>0</v>
      </c>
      <c r="F88" s="52">
        <v>0.291666666666667</v>
      </c>
      <c r="G88" s="49" t="s">
        <v>793</v>
      </c>
      <c r="H88" s="23">
        <f>IF(G88="","",IFERROR(INDEX(Clients!$B$5:$B$204,MATCH(G88,Clients!$A$5:$A$204,0)),"Not found"))</f>
        <v>0</v>
      </c>
      <c r="I88" s="23">
        <f>IF(G88="","",IFERROR(INDEX(Clients!$C$5:$C$204,MATCH(G88,Clients!$A$5:$A$204,0)),""))</f>
        <v>0</v>
      </c>
      <c r="J88" s="49" t="s">
        <v>1145</v>
      </c>
      <c r="K88" s="23">
        <f>IF(J88="","",IFERROR(INDEX(Properties!$B$5:$B$254,MATCH(J88,Properties!$A$5:$A$254,0)),""))</f>
        <v>0</v>
      </c>
      <c r="L88" s="23">
        <f>IF(J88="","",IFERROR(INDEX(Properties!$F$5:$F$254,MATCH(J88,Properties!$A$5:$A$254,0)),""))</f>
        <v>0</v>
      </c>
      <c r="M88" s="15" t="s">
        <v>797</v>
      </c>
      <c r="N88" s="15" t="s">
        <v>1133</v>
      </c>
      <c r="O88" s="15" t="s">
        <v>451</v>
      </c>
      <c r="P88" s="45" t="s">
        <v>1160</v>
      </c>
      <c r="Q88" s="15" t="s">
        <v>448</v>
      </c>
      <c r="R88" s="15" t="s">
        <v>639</v>
      </c>
      <c r="S88" s="15" t="s">
        <v>172</v>
      </c>
      <c r="T88" s="16">
        <v>1</v>
      </c>
      <c r="W88" s="17">
        <v>10</v>
      </c>
      <c r="X88" s="47" t="s">
        <v>454</v>
      </c>
      <c r="Y88" s="47" t="s">
        <v>454</v>
      </c>
      <c r="AA88" s="47" t="s">
        <v>172</v>
      </c>
      <c r="AB88" s="44" t="s">
        <v>172</v>
      </c>
      <c r="AC88" s="44" t="s">
        <v>172</v>
      </c>
      <c r="AD88" s="34">
        <f>IF(G88="","",IF(U88&lt;&gt;"",U88,IF(AND(IFERROR(INDEX(Services!$D$5:$D$64,MATCH(M88,Services!$B$5:$B$64,0)),"")="Per hour",IFERROR(INDEX(Properties!$X$5:$X$254,MATCH(J88,Properties!$A$5:$A$254,0)),0)&gt;0),IFERROR(INDEX(Properties!$X$5:$X$254,MATCH(J88,Properties!$A$5:$A$254,0)),0),IF(IFERROR(INDEX(Services!$G$5:$G$64,MATCH(M88,Services!$B$5:$B$64,0)),0)&gt;0,IFERROR(INDEX(Services!$G$5:$G$64,MATCH(M88,Services!$B$5:$B$64,0)),0),IFERROR(INDEX(Properties!$X$5:$X$254,MATCH(J88,Properties!$A$5:$A$254,0)),0)))))</f>
        <v>0</v>
      </c>
      <c r="AE88" s="31">
        <f>IF(G88="","",IF(T88="",CleanersPerJob,MAX(1,T88)))</f>
        <v>0</v>
      </c>
      <c r="AF88" s="34">
        <f>IF(G88="","",ROUND(AD88/AE88,2))</f>
        <v>0</v>
      </c>
      <c r="AG88" s="53">
        <f>IF(OR(G88="",F88="",AF88=""),"",F88+AF88/24)</f>
        <v>0</v>
      </c>
      <c r="AH88" s="21">
        <f>IF(G88="","",IF(IFERROR(INDEX(Clients!$O$5:$O$204,MATCH(G88,Clients!$A$5:$A$204,0)),0)&gt;0,IFERROR(INDEX(Clients!$O$5:$O$204,MATCH(G88,Clients!$A$5:$A$204,0)),0),HourlyRate))</f>
        <v>0</v>
      </c>
      <c r="AI88" s="21">
        <f>IF(G88="","",IF(AND(M88&lt;&gt;"",IFERROR(INDEX(Services!$P$5:$P$64,MATCH(M88,Services!$B$5:$B$64,0)),0)&gt;0,IFERROR(INDEX(Services!$D$5:$D$64,MATCH(M88,Services!$B$5:$B$64,0)),"")&lt;&gt;"Per hour"),IFERROR(INDEX(Services!$P$5:$P$64,MATCH(M88,Services!$B$5:$B$64,0)),0),AD88*AH88))</f>
        <v>0</v>
      </c>
      <c r="AJ88" s="21">
        <f>IF(G88="","",IF(V88&lt;&gt;"",V88,IF(P88="Cancelled",0,MAX(MinimumCharge,ROUND(AI88*IFERROR(INDEX(FreqFactors,MATCH(O88,FreqNames,0)),1),2)))))</f>
        <v>0</v>
      </c>
      <c r="AK88" s="34">
        <f>IF(G88="","",IF(SUMIFS(Timesheets!$U$5:$U$804,Timesheets!$G$5:$G$804,A88)&gt;0,SUMIFS(Timesheets!$U$5:$U$804,Timesheets!$G$5:$G$804,A88),IF(Z88="","",Z88)))</f>
        <v>0</v>
      </c>
      <c r="AL88" s="34">
        <f>IF(OR(AK88="",AD88=""),"",AK88-AD88)</f>
        <v>0</v>
      </c>
      <c r="AM88" s="31">
        <f>IF(A88="","",COUNTIFS('Job Tasks'!$B$5:$B$904,A88))</f>
        <v>0</v>
      </c>
      <c r="AN88" s="31">
        <f>IF(A88="","",COUNTIFS('Job Tasks'!$B$5:$B$904,A88,'Job Tasks'!$H$5:$H$904,"Done"))</f>
        <v>0</v>
      </c>
      <c r="AO88" s="38">
        <f>IF(OR(A88="",AM88=0),"",AN88/AM88)</f>
        <v>0</v>
      </c>
      <c r="AP88" s="43">
        <f>IF(A88="","",IFERROR(INDEX('Invoice Lines'!$B$5:$B$804,MATCH(A88,'Invoice Lines'!$C$5:$C$804,0)),""))</f>
        <v>0</v>
      </c>
      <c r="AQ88" s="18">
        <f>IF(OR(G88="",B88="",X88&lt;&gt;"Yes"),"",IF(IFERROR(INDEX(FreqDays,MATCH(O88,FreqNames,0)),0)=0,"",B88+IFERROR(INDEX(FreqDays,MATCH(O88,FreqNames,0)),0)))</f>
        <v>0</v>
      </c>
      <c r="AR88" s="39">
        <f>IF(G88="","",IF(R88="","Unassigned",IF(COUNTIFS($R$5:$R$604,R88,$B$5:$B$604,B88,$F$5:$F$604,F88)&gt;1,"Clash",IF(SUMIFS($AF$5:$AF$604,$R$5:$R$604,R88,$B$5:$B$604,B88)&gt;ProductiveHours,"Long day","OK"))))</f>
        <v>0</v>
      </c>
      <c r="AS88" s="18">
        <f>IF(OR(G88="",B88=""),"",IF(AND(B88&gt;=TodayDate,P88&lt;&gt;"Cancelled"),B88,""))</f>
        <v>0</v>
      </c>
      <c r="AT88" s="31">
        <f>IF(AS88="","",COUNTIFS($AS$5:$AS$604,"&lt;"&amp;AS88)+COUNTIFS($AS$5:AS88,AS88))</f>
        <v>0</v>
      </c>
      <c r="AU88" s="18">
        <f>IF(OR(G88="",B88="",R88&lt;&gt;""),"",IF(AND(B88&gt;=TodayDate,P88&lt;&gt;"Cancelled"),B88,""))</f>
        <v>0</v>
      </c>
      <c r="AV88" s="31">
        <f>IF(AU88="","",COUNTIFS($AU$5:$AU$604,"&lt;"&amp;AU88)+COUNTIFS($AU$5:AU88,AU88))</f>
        <v>0</v>
      </c>
      <c r="AW88" s="31">
        <f>IF(OR(G88="",B88=""),"",B88-TodayDate)</f>
        <v>0</v>
      </c>
      <c r="AX88" s="39">
        <f>IF(G88="","",IF(P88="Cancelled","Cancelled",IF(P88="No access","Action - no access, rebook",IF(AND(B88&lt;&gt;"",AW88&lt;0,OR(P88="Booked",P88="Confirmed",P88="In progress")),"Late - mark it completed",IF(AND(P88="Completed",AP88=""),"Action - not invoiced yet",IF(AND(AW88&gt;=0,AW88&lt;=ReminderDays,Y88&lt;&gt;"Yes"),"Confirm - visit coming up",IF(R88="","Assign - no cleaner booked",IF(AND(P88="Completed",AO88&lt;&gt;"",AO88&lt;1),"Check - checklist unfinished","OK"))))))))</f>
        <v>0</v>
      </c>
    </row>
    <row r="89" spans="1:50">
      <c r="A89" s="43">
        <f>IF(G89="","",JobPrefix&amp;TEXT(ROW()-4,"0000"))</f>
        <v>0</v>
      </c>
      <c r="B89" s="46">
        <v>46314</v>
      </c>
      <c r="C89" s="23">
        <f>IF(B89="","",TEXT(B89,"ddd"))</f>
        <v>0</v>
      </c>
      <c r="D89" s="31">
        <f>IF(B89="","",WEEKNUM(B89,IF(WeekStart="Sunday",1,2)))</f>
        <v>0</v>
      </c>
      <c r="E89" s="23">
        <f>IF(B89="","",TEXT(B89,"yyyy-mm"))</f>
        <v>0</v>
      </c>
      <c r="F89" s="52">
        <v>0.291666666666667</v>
      </c>
      <c r="G89" s="49" t="s">
        <v>813</v>
      </c>
      <c r="H89" s="23">
        <f>IF(G89="","",IFERROR(INDEX(Clients!$B$5:$B$204,MATCH(G89,Clients!$A$5:$A$204,0)),"Not found"))</f>
        <v>0</v>
      </c>
      <c r="I89" s="23">
        <f>IF(G89="","",IFERROR(INDEX(Clients!$C$5:$C$204,MATCH(G89,Clients!$A$5:$A$204,0)),""))</f>
        <v>0</v>
      </c>
      <c r="J89" s="49" t="s">
        <v>1052</v>
      </c>
      <c r="K89" s="23">
        <f>IF(J89="","",IFERROR(INDEX(Properties!$B$5:$B$254,MATCH(J89,Properties!$A$5:$A$254,0)),""))</f>
        <v>0</v>
      </c>
      <c r="L89" s="23">
        <f>IF(J89="","",IFERROR(INDEX(Properties!$F$5:$F$254,MATCH(J89,Properties!$A$5:$A$254,0)),""))</f>
        <v>0</v>
      </c>
      <c r="M89" s="15" t="s">
        <v>770</v>
      </c>
      <c r="N89" s="15" t="s">
        <v>1133</v>
      </c>
      <c r="O89" s="15" t="s">
        <v>617</v>
      </c>
      <c r="P89" s="45" t="s">
        <v>1161</v>
      </c>
      <c r="Q89" s="15" t="s">
        <v>448</v>
      </c>
      <c r="R89" s="15" t="s">
        <v>664</v>
      </c>
      <c r="S89" s="15" t="s">
        <v>172</v>
      </c>
      <c r="T89" s="16">
        <v>1</v>
      </c>
      <c r="W89" s="17">
        <v>7.6</v>
      </c>
      <c r="X89" s="47" t="s">
        <v>454</v>
      </c>
      <c r="Y89" s="47" t="s">
        <v>454</v>
      </c>
      <c r="AA89" s="47" t="s">
        <v>172</v>
      </c>
      <c r="AB89" s="44" t="s">
        <v>172</v>
      </c>
      <c r="AC89" s="44" t="s">
        <v>172</v>
      </c>
      <c r="AD89" s="34">
        <f>IF(G89="","",IF(U89&lt;&gt;"",U89,IF(AND(IFERROR(INDEX(Services!$D$5:$D$64,MATCH(M89,Services!$B$5:$B$64,0)),"")="Per hour",IFERROR(INDEX(Properties!$X$5:$X$254,MATCH(J89,Properties!$A$5:$A$254,0)),0)&gt;0),IFERROR(INDEX(Properties!$X$5:$X$254,MATCH(J89,Properties!$A$5:$A$254,0)),0),IF(IFERROR(INDEX(Services!$G$5:$G$64,MATCH(M89,Services!$B$5:$B$64,0)),0)&gt;0,IFERROR(INDEX(Services!$G$5:$G$64,MATCH(M89,Services!$B$5:$B$64,0)),0),IFERROR(INDEX(Properties!$X$5:$X$254,MATCH(J89,Properties!$A$5:$A$254,0)),0)))))</f>
        <v>0</v>
      </c>
      <c r="AE89" s="31">
        <f>IF(G89="","",IF(T89="",CleanersPerJob,MAX(1,T89)))</f>
        <v>0</v>
      </c>
      <c r="AF89" s="34">
        <f>IF(G89="","",ROUND(AD89/AE89,2))</f>
        <v>0</v>
      </c>
      <c r="AG89" s="53">
        <f>IF(OR(G89="",F89="",AF89=""),"",F89+AF89/24)</f>
        <v>0</v>
      </c>
      <c r="AH89" s="21">
        <f>IF(G89="","",IF(IFERROR(INDEX(Clients!$O$5:$O$204,MATCH(G89,Clients!$A$5:$A$204,0)),0)&gt;0,IFERROR(INDEX(Clients!$O$5:$O$204,MATCH(G89,Clients!$A$5:$A$204,0)),0),HourlyRate))</f>
        <v>0</v>
      </c>
      <c r="AI89" s="21">
        <f>IF(G89="","",IF(AND(M89&lt;&gt;"",IFERROR(INDEX(Services!$P$5:$P$64,MATCH(M89,Services!$B$5:$B$64,0)),0)&gt;0,IFERROR(INDEX(Services!$D$5:$D$64,MATCH(M89,Services!$B$5:$B$64,0)),"")&lt;&gt;"Per hour"),IFERROR(INDEX(Services!$P$5:$P$64,MATCH(M89,Services!$B$5:$B$64,0)),0),AD89*AH89))</f>
        <v>0</v>
      </c>
      <c r="AJ89" s="21">
        <f>IF(G89="","",IF(V89&lt;&gt;"",V89,IF(P89="Cancelled",0,MAX(MinimumCharge,ROUND(AI89*IFERROR(INDEX(FreqFactors,MATCH(O89,FreqNames,0)),1),2)))))</f>
        <v>0</v>
      </c>
      <c r="AK89" s="34">
        <f>IF(G89="","",IF(SUMIFS(Timesheets!$U$5:$U$804,Timesheets!$G$5:$G$804,A89)&gt;0,SUMIFS(Timesheets!$U$5:$U$804,Timesheets!$G$5:$G$804,A89),IF(Z89="","",Z89)))</f>
        <v>0</v>
      </c>
      <c r="AL89" s="34">
        <f>IF(OR(AK89="",AD89=""),"",AK89-AD89)</f>
        <v>0</v>
      </c>
      <c r="AM89" s="31">
        <f>IF(A89="","",COUNTIFS('Job Tasks'!$B$5:$B$904,A89))</f>
        <v>0</v>
      </c>
      <c r="AN89" s="31">
        <f>IF(A89="","",COUNTIFS('Job Tasks'!$B$5:$B$904,A89,'Job Tasks'!$H$5:$H$904,"Done"))</f>
        <v>0</v>
      </c>
      <c r="AO89" s="38">
        <f>IF(OR(A89="",AM89=0),"",AN89/AM89)</f>
        <v>0</v>
      </c>
      <c r="AP89" s="43">
        <f>IF(A89="","",IFERROR(INDEX('Invoice Lines'!$B$5:$B$804,MATCH(A89,'Invoice Lines'!$C$5:$C$804,0)),""))</f>
        <v>0</v>
      </c>
      <c r="AQ89" s="18">
        <f>IF(OR(G89="",B89="",X89&lt;&gt;"Yes"),"",IF(IFERROR(INDEX(FreqDays,MATCH(O89,FreqNames,0)),0)=0,"",B89+IFERROR(INDEX(FreqDays,MATCH(O89,FreqNames,0)),0)))</f>
        <v>0</v>
      </c>
      <c r="AR89" s="39">
        <f>IF(G89="","",IF(R89="","Unassigned",IF(COUNTIFS($R$5:$R$604,R89,$B$5:$B$604,B89,$F$5:$F$604,F89)&gt;1,"Clash",IF(SUMIFS($AF$5:$AF$604,$R$5:$R$604,R89,$B$5:$B$604,B89)&gt;ProductiveHours,"Long day","OK"))))</f>
        <v>0</v>
      </c>
      <c r="AS89" s="18">
        <f>IF(OR(G89="",B89=""),"",IF(AND(B89&gt;=TodayDate,P89&lt;&gt;"Cancelled"),B89,""))</f>
        <v>0</v>
      </c>
      <c r="AT89" s="31">
        <f>IF(AS89="","",COUNTIFS($AS$5:$AS$604,"&lt;"&amp;AS89)+COUNTIFS($AS$5:AS89,AS89))</f>
        <v>0</v>
      </c>
      <c r="AU89" s="18">
        <f>IF(OR(G89="",B89="",R89&lt;&gt;""),"",IF(AND(B89&gt;=TodayDate,P89&lt;&gt;"Cancelled"),B89,""))</f>
        <v>0</v>
      </c>
      <c r="AV89" s="31">
        <f>IF(AU89="","",COUNTIFS($AU$5:$AU$604,"&lt;"&amp;AU89)+COUNTIFS($AU$5:AU89,AU89))</f>
        <v>0</v>
      </c>
      <c r="AW89" s="31">
        <f>IF(OR(G89="",B89=""),"",B89-TodayDate)</f>
        <v>0</v>
      </c>
      <c r="AX89" s="39">
        <f>IF(G89="","",IF(P89="Cancelled","Cancelled",IF(P89="No access","Action - no access, rebook",IF(AND(B89&lt;&gt;"",AW89&lt;0,OR(P89="Booked",P89="Confirmed",P89="In progress")),"Late - mark it completed",IF(AND(P89="Completed",AP89=""),"Action - not invoiced yet",IF(AND(AW89&gt;=0,AW89&lt;=ReminderDays,Y89&lt;&gt;"Yes"),"Confirm - visit coming up",IF(R89="","Assign - no cleaner booked",IF(AND(P89="Completed",AO89&lt;&gt;"",AO89&lt;1),"Check - checklist unfinished","OK"))))))))</f>
        <v>0</v>
      </c>
    </row>
    <row r="90" spans="1:50">
      <c r="A90" s="43">
        <f>IF(G90="","",JobPrefix&amp;TEXT(ROW()-4,"0000"))</f>
        <v>0</v>
      </c>
      <c r="B90" s="46">
        <v>46314</v>
      </c>
      <c r="C90" s="23">
        <f>IF(B90="","",TEXT(B90,"ddd"))</f>
        <v>0</v>
      </c>
      <c r="D90" s="31">
        <f>IF(B90="","",WEEKNUM(B90,IF(WeekStart="Sunday",1,2)))</f>
        <v>0</v>
      </c>
      <c r="E90" s="23">
        <f>IF(B90="","",TEXT(B90,"yyyy-mm"))</f>
        <v>0</v>
      </c>
      <c r="F90" s="52">
        <v>0.770833333333333</v>
      </c>
      <c r="G90" s="49" t="s">
        <v>773</v>
      </c>
      <c r="H90" s="23">
        <f>IF(G90="","",IFERROR(INDEX(Clients!$B$5:$B$204,MATCH(G90,Clients!$A$5:$A$204,0)),"Not found"))</f>
        <v>0</v>
      </c>
      <c r="I90" s="23">
        <f>IF(G90="","",IFERROR(INDEX(Clients!$C$5:$C$204,MATCH(G90,Clients!$A$5:$A$204,0)),""))</f>
        <v>0</v>
      </c>
      <c r="J90" s="49" t="s">
        <v>1134</v>
      </c>
      <c r="K90" s="23">
        <f>IF(J90="","",IFERROR(INDEX(Properties!$B$5:$B$254,MATCH(J90,Properties!$A$5:$A$254,0)),""))</f>
        <v>0</v>
      </c>
      <c r="L90" s="23">
        <f>IF(J90="","",IFERROR(INDEX(Properties!$F$5:$F$254,MATCH(J90,Properties!$A$5:$A$254,0)),""))</f>
        <v>0</v>
      </c>
      <c r="M90" s="15" t="s">
        <v>770</v>
      </c>
      <c r="N90" s="15" t="s">
        <v>1133</v>
      </c>
      <c r="O90" s="15" t="s">
        <v>617</v>
      </c>
      <c r="P90" s="45" t="s">
        <v>1161</v>
      </c>
      <c r="Q90" s="15" t="s">
        <v>448</v>
      </c>
      <c r="R90" s="15" t="s">
        <v>608</v>
      </c>
      <c r="S90" s="15" t="s">
        <v>172</v>
      </c>
      <c r="T90" s="16">
        <v>1</v>
      </c>
      <c r="W90" s="17">
        <v>4.8</v>
      </c>
      <c r="X90" s="47" t="s">
        <v>454</v>
      </c>
      <c r="Y90" s="47" t="s">
        <v>454</v>
      </c>
      <c r="AA90" s="47" t="s">
        <v>172</v>
      </c>
      <c r="AB90" s="44" t="s">
        <v>172</v>
      </c>
      <c r="AC90" s="44" t="s">
        <v>172</v>
      </c>
      <c r="AD90" s="34">
        <f>IF(G90="","",IF(U90&lt;&gt;"",U90,IF(AND(IFERROR(INDEX(Services!$D$5:$D$64,MATCH(M90,Services!$B$5:$B$64,0)),"")="Per hour",IFERROR(INDEX(Properties!$X$5:$X$254,MATCH(J90,Properties!$A$5:$A$254,0)),0)&gt;0),IFERROR(INDEX(Properties!$X$5:$X$254,MATCH(J90,Properties!$A$5:$A$254,0)),0),IF(IFERROR(INDEX(Services!$G$5:$G$64,MATCH(M90,Services!$B$5:$B$64,0)),0)&gt;0,IFERROR(INDEX(Services!$G$5:$G$64,MATCH(M90,Services!$B$5:$B$64,0)),0),IFERROR(INDEX(Properties!$X$5:$X$254,MATCH(J90,Properties!$A$5:$A$254,0)),0)))))</f>
        <v>0</v>
      </c>
      <c r="AE90" s="31">
        <f>IF(G90="","",IF(T90="",CleanersPerJob,MAX(1,T90)))</f>
        <v>0</v>
      </c>
      <c r="AF90" s="34">
        <f>IF(G90="","",ROUND(AD90/AE90,2))</f>
        <v>0</v>
      </c>
      <c r="AG90" s="53">
        <f>IF(OR(G90="",F90="",AF90=""),"",F90+AF90/24)</f>
        <v>0</v>
      </c>
      <c r="AH90" s="21">
        <f>IF(G90="","",IF(IFERROR(INDEX(Clients!$O$5:$O$204,MATCH(G90,Clients!$A$5:$A$204,0)),0)&gt;0,IFERROR(INDEX(Clients!$O$5:$O$204,MATCH(G90,Clients!$A$5:$A$204,0)),0),HourlyRate))</f>
        <v>0</v>
      </c>
      <c r="AI90" s="21">
        <f>IF(G90="","",IF(AND(M90&lt;&gt;"",IFERROR(INDEX(Services!$P$5:$P$64,MATCH(M90,Services!$B$5:$B$64,0)),0)&gt;0,IFERROR(INDEX(Services!$D$5:$D$64,MATCH(M90,Services!$B$5:$B$64,0)),"")&lt;&gt;"Per hour"),IFERROR(INDEX(Services!$P$5:$P$64,MATCH(M90,Services!$B$5:$B$64,0)),0),AD90*AH90))</f>
        <v>0</v>
      </c>
      <c r="AJ90" s="21">
        <f>IF(G90="","",IF(V90&lt;&gt;"",V90,IF(P90="Cancelled",0,MAX(MinimumCharge,ROUND(AI90*IFERROR(INDEX(FreqFactors,MATCH(O90,FreqNames,0)),1),2)))))</f>
        <v>0</v>
      </c>
      <c r="AK90" s="34">
        <f>IF(G90="","",IF(SUMIFS(Timesheets!$U$5:$U$804,Timesheets!$G$5:$G$804,A90)&gt;0,SUMIFS(Timesheets!$U$5:$U$804,Timesheets!$G$5:$G$804,A90),IF(Z90="","",Z90)))</f>
        <v>0</v>
      </c>
      <c r="AL90" s="34">
        <f>IF(OR(AK90="",AD90=""),"",AK90-AD90)</f>
        <v>0</v>
      </c>
      <c r="AM90" s="31">
        <f>IF(A90="","",COUNTIFS('Job Tasks'!$B$5:$B$904,A90))</f>
        <v>0</v>
      </c>
      <c r="AN90" s="31">
        <f>IF(A90="","",COUNTIFS('Job Tasks'!$B$5:$B$904,A90,'Job Tasks'!$H$5:$H$904,"Done"))</f>
        <v>0</v>
      </c>
      <c r="AO90" s="38">
        <f>IF(OR(A90="",AM90=0),"",AN90/AM90)</f>
        <v>0</v>
      </c>
      <c r="AP90" s="43">
        <f>IF(A90="","",IFERROR(INDEX('Invoice Lines'!$B$5:$B$804,MATCH(A90,'Invoice Lines'!$C$5:$C$804,0)),""))</f>
        <v>0</v>
      </c>
      <c r="AQ90" s="18">
        <f>IF(OR(G90="",B90="",X90&lt;&gt;"Yes"),"",IF(IFERROR(INDEX(FreqDays,MATCH(O90,FreqNames,0)),0)=0,"",B90+IFERROR(INDEX(FreqDays,MATCH(O90,FreqNames,0)),0)))</f>
        <v>0</v>
      </c>
      <c r="AR90" s="39">
        <f>IF(G90="","",IF(R90="","Unassigned",IF(COUNTIFS($R$5:$R$604,R90,$B$5:$B$604,B90,$F$5:$F$604,F90)&gt;1,"Clash",IF(SUMIFS($AF$5:$AF$604,$R$5:$R$604,R90,$B$5:$B$604,B90)&gt;ProductiveHours,"Long day","OK"))))</f>
        <v>0</v>
      </c>
      <c r="AS90" s="18">
        <f>IF(OR(G90="",B90=""),"",IF(AND(B90&gt;=TodayDate,P90&lt;&gt;"Cancelled"),B90,""))</f>
        <v>0</v>
      </c>
      <c r="AT90" s="31">
        <f>IF(AS90="","",COUNTIFS($AS$5:$AS$604,"&lt;"&amp;AS90)+COUNTIFS($AS$5:AS90,AS90))</f>
        <v>0</v>
      </c>
      <c r="AU90" s="18">
        <f>IF(OR(G90="",B90="",R90&lt;&gt;""),"",IF(AND(B90&gt;=TodayDate,P90&lt;&gt;"Cancelled"),B90,""))</f>
        <v>0</v>
      </c>
      <c r="AV90" s="31">
        <f>IF(AU90="","",COUNTIFS($AU$5:$AU$604,"&lt;"&amp;AU90)+COUNTIFS($AU$5:AU90,AU90))</f>
        <v>0</v>
      </c>
      <c r="AW90" s="31">
        <f>IF(OR(G90="",B90=""),"",B90-TodayDate)</f>
        <v>0</v>
      </c>
      <c r="AX90" s="39">
        <f>IF(G90="","",IF(P90="Cancelled","Cancelled",IF(P90="No access","Action - no access, rebook",IF(AND(B90&lt;&gt;"",AW90&lt;0,OR(P90="Booked",P90="Confirmed",P90="In progress")),"Late - mark it completed",IF(AND(P90="Completed",AP90=""),"Action - not invoiced yet",IF(AND(AW90&gt;=0,AW90&lt;=ReminderDays,Y90&lt;&gt;"Yes"),"Confirm - visit coming up",IF(R90="","Assign - no cleaner booked",IF(AND(P90="Completed",AO90&lt;&gt;"",AO90&lt;1),"Check - checklist unfinished","OK"))))))))</f>
        <v>0</v>
      </c>
    </row>
    <row r="91" spans="1:50">
      <c r="A91" s="43">
        <f>IF(G91="","",JobPrefix&amp;TEXT(ROW()-4,"0000"))</f>
        <v>0</v>
      </c>
      <c r="B91" s="46">
        <v>46315</v>
      </c>
      <c r="C91" s="23">
        <f>IF(B91="","",TEXT(B91,"ddd"))</f>
        <v>0</v>
      </c>
      <c r="D91" s="31">
        <f>IF(B91="","",WEEKNUM(B91,IF(WeekStart="Sunday",1,2)))</f>
        <v>0</v>
      </c>
      <c r="E91" s="23">
        <f>IF(B91="","",TEXT(B91,"yyyy-mm"))</f>
        <v>0</v>
      </c>
      <c r="F91" s="52">
        <v>0.375</v>
      </c>
      <c r="G91" s="49" t="s">
        <v>743</v>
      </c>
      <c r="H91" s="23">
        <f>IF(G91="","",IFERROR(INDEX(Clients!$B$5:$B$204,MATCH(G91,Clients!$A$5:$A$204,0)),"Not found"))</f>
        <v>0</v>
      </c>
      <c r="I91" s="23">
        <f>IF(G91="","",IFERROR(INDEX(Clients!$C$5:$C$204,MATCH(G91,Clients!$A$5:$A$204,0)),""))</f>
        <v>0</v>
      </c>
      <c r="J91" s="49" t="s">
        <v>1135</v>
      </c>
      <c r="K91" s="23">
        <f>IF(J91="","",IFERROR(INDEX(Properties!$B$5:$B$254,MATCH(J91,Properties!$A$5:$A$254,0)),""))</f>
        <v>0</v>
      </c>
      <c r="L91" s="23">
        <f>IF(J91="","",IFERROR(INDEX(Properties!$F$5:$F$254,MATCH(J91,Properties!$A$5:$A$254,0)),""))</f>
        <v>0</v>
      </c>
      <c r="M91" s="15" t="s">
        <v>437</v>
      </c>
      <c r="N91" s="15" t="s">
        <v>1133</v>
      </c>
      <c r="O91" s="15" t="s">
        <v>451</v>
      </c>
      <c r="P91" s="45" t="s">
        <v>1161</v>
      </c>
      <c r="Q91" s="15" t="s">
        <v>448</v>
      </c>
      <c r="R91" s="15" t="s">
        <v>584</v>
      </c>
      <c r="S91" s="15" t="s">
        <v>172</v>
      </c>
      <c r="T91" s="16">
        <v>1</v>
      </c>
      <c r="W91" s="17">
        <v>8.4</v>
      </c>
      <c r="X91" s="47" t="s">
        <v>454</v>
      </c>
      <c r="Y91" s="47" t="s">
        <v>454</v>
      </c>
      <c r="AA91" s="47" t="s">
        <v>172</v>
      </c>
      <c r="AB91" s="44" t="s">
        <v>172</v>
      </c>
      <c r="AC91" s="44" t="s">
        <v>172</v>
      </c>
      <c r="AD91" s="34">
        <f>IF(G91="","",IF(U91&lt;&gt;"",U91,IF(AND(IFERROR(INDEX(Services!$D$5:$D$64,MATCH(M91,Services!$B$5:$B$64,0)),"")="Per hour",IFERROR(INDEX(Properties!$X$5:$X$254,MATCH(J91,Properties!$A$5:$A$254,0)),0)&gt;0),IFERROR(INDEX(Properties!$X$5:$X$254,MATCH(J91,Properties!$A$5:$A$254,0)),0),IF(IFERROR(INDEX(Services!$G$5:$G$64,MATCH(M91,Services!$B$5:$B$64,0)),0)&gt;0,IFERROR(INDEX(Services!$G$5:$G$64,MATCH(M91,Services!$B$5:$B$64,0)),0),IFERROR(INDEX(Properties!$X$5:$X$254,MATCH(J91,Properties!$A$5:$A$254,0)),0)))))</f>
        <v>0</v>
      </c>
      <c r="AE91" s="31">
        <f>IF(G91="","",IF(T91="",CleanersPerJob,MAX(1,T91)))</f>
        <v>0</v>
      </c>
      <c r="AF91" s="34">
        <f>IF(G91="","",ROUND(AD91/AE91,2))</f>
        <v>0</v>
      </c>
      <c r="AG91" s="53">
        <f>IF(OR(G91="",F91="",AF91=""),"",F91+AF91/24)</f>
        <v>0</v>
      </c>
      <c r="AH91" s="21">
        <f>IF(G91="","",IF(IFERROR(INDEX(Clients!$O$5:$O$204,MATCH(G91,Clients!$A$5:$A$204,0)),0)&gt;0,IFERROR(INDEX(Clients!$O$5:$O$204,MATCH(G91,Clients!$A$5:$A$204,0)),0),HourlyRate))</f>
        <v>0</v>
      </c>
      <c r="AI91" s="21">
        <f>IF(G91="","",IF(AND(M91&lt;&gt;"",IFERROR(INDEX(Services!$P$5:$P$64,MATCH(M91,Services!$B$5:$B$64,0)),0)&gt;0,IFERROR(INDEX(Services!$D$5:$D$64,MATCH(M91,Services!$B$5:$B$64,0)),"")&lt;&gt;"Per hour"),IFERROR(INDEX(Services!$P$5:$P$64,MATCH(M91,Services!$B$5:$B$64,0)),0),AD91*AH91))</f>
        <v>0</v>
      </c>
      <c r="AJ91" s="21">
        <f>IF(G91="","",IF(V91&lt;&gt;"",V91,IF(P91="Cancelled",0,MAX(MinimumCharge,ROUND(AI91*IFERROR(INDEX(FreqFactors,MATCH(O91,FreqNames,0)),1),2)))))</f>
        <v>0</v>
      </c>
      <c r="AK91" s="34">
        <f>IF(G91="","",IF(SUMIFS(Timesheets!$U$5:$U$804,Timesheets!$G$5:$G$804,A91)&gt;0,SUMIFS(Timesheets!$U$5:$U$804,Timesheets!$G$5:$G$804,A91),IF(Z91="","",Z91)))</f>
        <v>0</v>
      </c>
      <c r="AL91" s="34">
        <f>IF(OR(AK91="",AD91=""),"",AK91-AD91)</f>
        <v>0</v>
      </c>
      <c r="AM91" s="31">
        <f>IF(A91="","",COUNTIFS('Job Tasks'!$B$5:$B$904,A91))</f>
        <v>0</v>
      </c>
      <c r="AN91" s="31">
        <f>IF(A91="","",COUNTIFS('Job Tasks'!$B$5:$B$904,A91,'Job Tasks'!$H$5:$H$904,"Done"))</f>
        <v>0</v>
      </c>
      <c r="AO91" s="38">
        <f>IF(OR(A91="",AM91=0),"",AN91/AM91)</f>
        <v>0</v>
      </c>
      <c r="AP91" s="43">
        <f>IF(A91="","",IFERROR(INDEX('Invoice Lines'!$B$5:$B$804,MATCH(A91,'Invoice Lines'!$C$5:$C$804,0)),""))</f>
        <v>0</v>
      </c>
      <c r="AQ91" s="18">
        <f>IF(OR(G91="",B91="",X91&lt;&gt;"Yes"),"",IF(IFERROR(INDEX(FreqDays,MATCH(O91,FreqNames,0)),0)=0,"",B91+IFERROR(INDEX(FreqDays,MATCH(O91,FreqNames,0)),0)))</f>
        <v>0</v>
      </c>
      <c r="AR91" s="39">
        <f>IF(G91="","",IF(R91="","Unassigned",IF(COUNTIFS($R$5:$R$604,R91,$B$5:$B$604,B91,$F$5:$F$604,F91)&gt;1,"Clash",IF(SUMIFS($AF$5:$AF$604,$R$5:$R$604,R91,$B$5:$B$604,B91)&gt;ProductiveHours,"Long day","OK"))))</f>
        <v>0</v>
      </c>
      <c r="AS91" s="18">
        <f>IF(OR(G91="",B91=""),"",IF(AND(B91&gt;=TodayDate,P91&lt;&gt;"Cancelled"),B91,""))</f>
        <v>0</v>
      </c>
      <c r="AT91" s="31">
        <f>IF(AS91="","",COUNTIFS($AS$5:$AS$604,"&lt;"&amp;AS91)+COUNTIFS($AS$5:AS91,AS91))</f>
        <v>0</v>
      </c>
      <c r="AU91" s="18">
        <f>IF(OR(G91="",B91="",R91&lt;&gt;""),"",IF(AND(B91&gt;=TodayDate,P91&lt;&gt;"Cancelled"),B91,""))</f>
        <v>0</v>
      </c>
      <c r="AV91" s="31">
        <f>IF(AU91="","",COUNTIFS($AU$5:$AU$604,"&lt;"&amp;AU91)+COUNTIFS($AU$5:AU91,AU91))</f>
        <v>0</v>
      </c>
      <c r="AW91" s="31">
        <f>IF(OR(G91="",B91=""),"",B91-TodayDate)</f>
        <v>0</v>
      </c>
      <c r="AX91" s="39">
        <f>IF(G91="","",IF(P91="Cancelled","Cancelled",IF(P91="No access","Action - no access, rebook",IF(AND(B91&lt;&gt;"",AW91&lt;0,OR(P91="Booked",P91="Confirmed",P91="In progress")),"Late - mark it completed",IF(AND(P91="Completed",AP91=""),"Action - not invoiced yet",IF(AND(AW91&gt;=0,AW91&lt;=ReminderDays,Y91&lt;&gt;"Yes"),"Confirm - visit coming up",IF(R91="","Assign - no cleaner booked",IF(AND(P91="Completed",AO91&lt;&gt;"",AO91&lt;1),"Check - checklist unfinished","OK"))))))))</f>
        <v>0</v>
      </c>
    </row>
    <row r="92" spans="1:50">
      <c r="A92" s="43">
        <f>IF(G92="","",JobPrefix&amp;TEXT(ROW()-4,"0000"))</f>
        <v>0</v>
      </c>
      <c r="B92" s="46">
        <v>46315</v>
      </c>
      <c r="C92" s="23">
        <f>IF(B92="","",TEXT(B92,"ddd"))</f>
        <v>0</v>
      </c>
      <c r="D92" s="31">
        <f>IF(B92="","",WEEKNUM(B92,IF(WeekStart="Sunday",1,2)))</f>
        <v>0</v>
      </c>
      <c r="E92" s="23">
        <f>IF(B92="","",TEXT(B92,"yyyy-mm"))</f>
        <v>0</v>
      </c>
      <c r="F92" s="52">
        <v>0.583333333333333</v>
      </c>
      <c r="G92" s="49" t="s">
        <v>845</v>
      </c>
      <c r="H92" s="23">
        <f>IF(G92="","",IFERROR(INDEX(Clients!$B$5:$B$204,MATCH(G92,Clients!$A$5:$A$204,0)),"Not found"))</f>
        <v>0</v>
      </c>
      <c r="I92" s="23">
        <f>IF(G92="","",IFERROR(INDEX(Clients!$C$5:$C$204,MATCH(G92,Clients!$A$5:$A$204,0)),""))</f>
        <v>0</v>
      </c>
      <c r="J92" s="49" t="s">
        <v>1049</v>
      </c>
      <c r="K92" s="23">
        <f>IF(J92="","",IFERROR(INDEX(Properties!$B$5:$B$254,MATCH(J92,Properties!$A$5:$A$254,0)),""))</f>
        <v>0</v>
      </c>
      <c r="L92" s="23">
        <f>IF(J92="","",IFERROR(INDEX(Properties!$F$5:$F$254,MATCH(J92,Properties!$A$5:$A$254,0)),""))</f>
        <v>0</v>
      </c>
      <c r="M92" s="15" t="s">
        <v>437</v>
      </c>
      <c r="N92" s="15" t="s">
        <v>1133</v>
      </c>
      <c r="O92" s="15" t="s">
        <v>593</v>
      </c>
      <c r="P92" s="45" t="s">
        <v>1161</v>
      </c>
      <c r="Q92" s="15" t="s">
        <v>448</v>
      </c>
      <c r="R92" s="15" t="s">
        <v>584</v>
      </c>
      <c r="S92" s="15" t="s">
        <v>172</v>
      </c>
      <c r="T92" s="16">
        <v>1</v>
      </c>
      <c r="W92" s="17">
        <v>11</v>
      </c>
      <c r="X92" s="47" t="s">
        <v>454</v>
      </c>
      <c r="Y92" s="47" t="s">
        <v>454</v>
      </c>
      <c r="AA92" s="47" t="s">
        <v>172</v>
      </c>
      <c r="AB92" s="44" t="s">
        <v>172</v>
      </c>
      <c r="AC92" s="44" t="s">
        <v>172</v>
      </c>
      <c r="AD92" s="34">
        <f>IF(G92="","",IF(U92&lt;&gt;"",U92,IF(AND(IFERROR(INDEX(Services!$D$5:$D$64,MATCH(M92,Services!$B$5:$B$64,0)),"")="Per hour",IFERROR(INDEX(Properties!$X$5:$X$254,MATCH(J92,Properties!$A$5:$A$254,0)),0)&gt;0),IFERROR(INDEX(Properties!$X$5:$X$254,MATCH(J92,Properties!$A$5:$A$254,0)),0),IF(IFERROR(INDEX(Services!$G$5:$G$64,MATCH(M92,Services!$B$5:$B$64,0)),0)&gt;0,IFERROR(INDEX(Services!$G$5:$G$64,MATCH(M92,Services!$B$5:$B$64,0)),0),IFERROR(INDEX(Properties!$X$5:$X$254,MATCH(J92,Properties!$A$5:$A$254,0)),0)))))</f>
        <v>0</v>
      </c>
      <c r="AE92" s="31">
        <f>IF(G92="","",IF(T92="",CleanersPerJob,MAX(1,T92)))</f>
        <v>0</v>
      </c>
      <c r="AF92" s="34">
        <f>IF(G92="","",ROUND(AD92/AE92,2))</f>
        <v>0</v>
      </c>
      <c r="AG92" s="53">
        <f>IF(OR(G92="",F92="",AF92=""),"",F92+AF92/24)</f>
        <v>0</v>
      </c>
      <c r="AH92" s="21">
        <f>IF(G92="","",IF(IFERROR(INDEX(Clients!$O$5:$O$204,MATCH(G92,Clients!$A$5:$A$204,0)),0)&gt;0,IFERROR(INDEX(Clients!$O$5:$O$204,MATCH(G92,Clients!$A$5:$A$204,0)),0),HourlyRate))</f>
        <v>0</v>
      </c>
      <c r="AI92" s="21">
        <f>IF(G92="","",IF(AND(M92&lt;&gt;"",IFERROR(INDEX(Services!$P$5:$P$64,MATCH(M92,Services!$B$5:$B$64,0)),0)&gt;0,IFERROR(INDEX(Services!$D$5:$D$64,MATCH(M92,Services!$B$5:$B$64,0)),"")&lt;&gt;"Per hour"),IFERROR(INDEX(Services!$P$5:$P$64,MATCH(M92,Services!$B$5:$B$64,0)),0),AD92*AH92))</f>
        <v>0</v>
      </c>
      <c r="AJ92" s="21">
        <f>IF(G92="","",IF(V92&lt;&gt;"",V92,IF(P92="Cancelled",0,MAX(MinimumCharge,ROUND(AI92*IFERROR(INDEX(FreqFactors,MATCH(O92,FreqNames,0)),1),2)))))</f>
        <v>0</v>
      </c>
      <c r="AK92" s="34">
        <f>IF(G92="","",IF(SUMIFS(Timesheets!$U$5:$U$804,Timesheets!$G$5:$G$804,A92)&gt;0,SUMIFS(Timesheets!$U$5:$U$804,Timesheets!$G$5:$G$804,A92),IF(Z92="","",Z92)))</f>
        <v>0</v>
      </c>
      <c r="AL92" s="34">
        <f>IF(OR(AK92="",AD92=""),"",AK92-AD92)</f>
        <v>0</v>
      </c>
      <c r="AM92" s="31">
        <f>IF(A92="","",COUNTIFS('Job Tasks'!$B$5:$B$904,A92))</f>
        <v>0</v>
      </c>
      <c r="AN92" s="31">
        <f>IF(A92="","",COUNTIFS('Job Tasks'!$B$5:$B$904,A92,'Job Tasks'!$H$5:$H$904,"Done"))</f>
        <v>0</v>
      </c>
      <c r="AO92" s="38">
        <f>IF(OR(A92="",AM92=0),"",AN92/AM92)</f>
        <v>0</v>
      </c>
      <c r="AP92" s="43">
        <f>IF(A92="","",IFERROR(INDEX('Invoice Lines'!$B$5:$B$804,MATCH(A92,'Invoice Lines'!$C$5:$C$804,0)),""))</f>
        <v>0</v>
      </c>
      <c r="AQ92" s="18">
        <f>IF(OR(G92="",B92="",X92&lt;&gt;"Yes"),"",IF(IFERROR(INDEX(FreqDays,MATCH(O92,FreqNames,0)),0)=0,"",B92+IFERROR(INDEX(FreqDays,MATCH(O92,FreqNames,0)),0)))</f>
        <v>0</v>
      </c>
      <c r="AR92" s="39">
        <f>IF(G92="","",IF(R92="","Unassigned",IF(COUNTIFS($R$5:$R$604,R92,$B$5:$B$604,B92,$F$5:$F$604,F92)&gt;1,"Clash",IF(SUMIFS($AF$5:$AF$604,$R$5:$R$604,R92,$B$5:$B$604,B92)&gt;ProductiveHours,"Long day","OK"))))</f>
        <v>0</v>
      </c>
      <c r="AS92" s="18">
        <f>IF(OR(G92="",B92=""),"",IF(AND(B92&gt;=TodayDate,P92&lt;&gt;"Cancelled"),B92,""))</f>
        <v>0</v>
      </c>
      <c r="AT92" s="31">
        <f>IF(AS92="","",COUNTIFS($AS$5:$AS$604,"&lt;"&amp;AS92)+COUNTIFS($AS$5:AS92,AS92))</f>
        <v>0</v>
      </c>
      <c r="AU92" s="18">
        <f>IF(OR(G92="",B92="",R92&lt;&gt;""),"",IF(AND(B92&gt;=TodayDate,P92&lt;&gt;"Cancelled"),B92,""))</f>
        <v>0</v>
      </c>
      <c r="AV92" s="31">
        <f>IF(AU92="","",COUNTIFS($AU$5:$AU$604,"&lt;"&amp;AU92)+COUNTIFS($AU$5:AU92,AU92))</f>
        <v>0</v>
      </c>
      <c r="AW92" s="31">
        <f>IF(OR(G92="",B92=""),"",B92-TodayDate)</f>
        <v>0</v>
      </c>
      <c r="AX92" s="39">
        <f>IF(G92="","",IF(P92="Cancelled","Cancelled",IF(P92="No access","Action - no access, rebook",IF(AND(B92&lt;&gt;"",AW92&lt;0,OR(P92="Booked",P92="Confirmed",P92="In progress")),"Late - mark it completed",IF(AND(P92="Completed",AP92=""),"Action - not invoiced yet",IF(AND(AW92&gt;=0,AW92&lt;=ReminderDays,Y92&lt;&gt;"Yes"),"Confirm - visit coming up",IF(R92="","Assign - no cleaner booked",IF(AND(P92="Completed",AO92&lt;&gt;"",AO92&lt;1),"Check - checklist unfinished","OK"))))))))</f>
        <v>0</v>
      </c>
    </row>
    <row r="93" spans="1:50">
      <c r="A93" s="43">
        <f>IF(G93="","",JobPrefix&amp;TEXT(ROW()-4,"0000"))</f>
        <v>0</v>
      </c>
      <c r="B93" s="46">
        <v>46315</v>
      </c>
      <c r="C93" s="23">
        <f>IF(B93="","",TEXT(B93,"ddd"))</f>
        <v>0</v>
      </c>
      <c r="D93" s="31">
        <f>IF(B93="","",WEEKNUM(B93,IF(WeekStart="Sunday",1,2)))</f>
        <v>0</v>
      </c>
      <c r="E93" s="23">
        <f>IF(B93="","",TEXT(B93,"yyyy-mm"))</f>
        <v>0</v>
      </c>
      <c r="F93" s="52">
        <v>0.708333333333333</v>
      </c>
      <c r="G93" s="49" t="s">
        <v>172</v>
      </c>
      <c r="H93" s="23">
        <f>IF(G93="","",IFERROR(INDEX(Clients!$B$5:$B$204,MATCH(G93,Clients!$A$5:$A$204,0)),"Not found"))</f>
        <v>0</v>
      </c>
      <c r="I93" s="23">
        <f>IF(G93="","",IFERROR(INDEX(Clients!$C$5:$C$204,MATCH(G93,Clients!$A$5:$A$204,0)),""))</f>
        <v>0</v>
      </c>
      <c r="J93" s="49" t="s">
        <v>172</v>
      </c>
      <c r="K93" s="23">
        <f>IF(J93="","",IFERROR(INDEX(Properties!$B$5:$B$254,MATCH(J93,Properties!$A$5:$A$254,0)),""))</f>
        <v>0</v>
      </c>
      <c r="L93" s="23">
        <f>IF(J93="","",IFERROR(INDEX(Properties!$F$5:$F$254,MATCH(J93,Properties!$A$5:$A$254,0)),""))</f>
        <v>0</v>
      </c>
      <c r="M93" s="15" t="s">
        <v>172</v>
      </c>
      <c r="N93" s="15" t="s">
        <v>1162</v>
      </c>
      <c r="O93" s="15" t="s">
        <v>625</v>
      </c>
      <c r="P93" s="45" t="s">
        <v>1163</v>
      </c>
      <c r="Q93" s="15" t="s">
        <v>448</v>
      </c>
      <c r="R93" s="15" t="s">
        <v>178</v>
      </c>
      <c r="S93" s="15" t="s">
        <v>172</v>
      </c>
      <c r="T93" s="16">
        <v>1</v>
      </c>
      <c r="U93" s="17">
        <v>0.5</v>
      </c>
      <c r="V93" s="19">
        <v>0</v>
      </c>
      <c r="W93" s="17">
        <v>6</v>
      </c>
      <c r="X93" s="47" t="s">
        <v>457</v>
      </c>
      <c r="Y93" s="47" t="s">
        <v>457</v>
      </c>
      <c r="AA93" s="47" t="s">
        <v>172</v>
      </c>
      <c r="AB93" s="44" t="s">
        <v>172</v>
      </c>
      <c r="AC93" s="44" t="s">
        <v>1164</v>
      </c>
      <c r="AD93" s="34">
        <f>IF(G93="","",IF(U93&lt;&gt;"",U93,IF(AND(IFERROR(INDEX(Services!$D$5:$D$64,MATCH(M93,Services!$B$5:$B$64,0)),"")="Per hour",IFERROR(INDEX(Properties!$X$5:$X$254,MATCH(J93,Properties!$A$5:$A$254,0)),0)&gt;0),IFERROR(INDEX(Properties!$X$5:$X$254,MATCH(J93,Properties!$A$5:$A$254,0)),0),IF(IFERROR(INDEX(Services!$G$5:$G$64,MATCH(M93,Services!$B$5:$B$64,0)),0)&gt;0,IFERROR(INDEX(Services!$G$5:$G$64,MATCH(M93,Services!$B$5:$B$64,0)),0),IFERROR(INDEX(Properties!$X$5:$X$254,MATCH(J93,Properties!$A$5:$A$254,0)),0)))))</f>
        <v>0</v>
      </c>
      <c r="AE93" s="31">
        <f>IF(G93="","",IF(T93="",CleanersPerJob,MAX(1,T93)))</f>
        <v>0</v>
      </c>
      <c r="AF93" s="34">
        <f>IF(G93="","",ROUND(AD93/AE93,2))</f>
        <v>0</v>
      </c>
      <c r="AG93" s="53">
        <f>IF(OR(G93="",F93="",AF93=""),"",F93+AF93/24)</f>
        <v>0</v>
      </c>
      <c r="AH93" s="21">
        <f>IF(G93="","",IF(IFERROR(INDEX(Clients!$O$5:$O$204,MATCH(G93,Clients!$A$5:$A$204,0)),0)&gt;0,IFERROR(INDEX(Clients!$O$5:$O$204,MATCH(G93,Clients!$A$5:$A$204,0)),0),HourlyRate))</f>
        <v>0</v>
      </c>
      <c r="AI93" s="21">
        <f>IF(G93="","",IF(AND(M93&lt;&gt;"",IFERROR(INDEX(Services!$P$5:$P$64,MATCH(M93,Services!$B$5:$B$64,0)),0)&gt;0,IFERROR(INDEX(Services!$D$5:$D$64,MATCH(M93,Services!$B$5:$B$64,0)),"")&lt;&gt;"Per hour"),IFERROR(INDEX(Services!$P$5:$P$64,MATCH(M93,Services!$B$5:$B$64,0)),0),AD93*AH93))</f>
        <v>0</v>
      </c>
      <c r="AJ93" s="21">
        <f>IF(G93="","",IF(V93&lt;&gt;"",V93,IF(P93="Cancelled",0,MAX(MinimumCharge,ROUND(AI93*IFERROR(INDEX(FreqFactors,MATCH(O93,FreqNames,0)),1),2)))))</f>
        <v>0</v>
      </c>
      <c r="AK93" s="34">
        <f>IF(G93="","",IF(SUMIFS(Timesheets!$U$5:$U$804,Timesheets!$G$5:$G$804,A93)&gt;0,SUMIFS(Timesheets!$U$5:$U$804,Timesheets!$G$5:$G$804,A93),IF(Z93="","",Z93)))</f>
        <v>0</v>
      </c>
      <c r="AL93" s="34">
        <f>IF(OR(AK93="",AD93=""),"",AK93-AD93)</f>
        <v>0</v>
      </c>
      <c r="AM93" s="31">
        <f>IF(A93="","",COUNTIFS('Job Tasks'!$B$5:$B$904,A93))</f>
        <v>0</v>
      </c>
      <c r="AN93" s="31">
        <f>IF(A93="","",COUNTIFS('Job Tasks'!$B$5:$B$904,A93,'Job Tasks'!$H$5:$H$904,"Done"))</f>
        <v>0</v>
      </c>
      <c r="AO93" s="38">
        <f>IF(OR(A93="",AM93=0),"",AN93/AM93)</f>
        <v>0</v>
      </c>
      <c r="AP93" s="43">
        <f>IF(A93="","",IFERROR(INDEX('Invoice Lines'!$B$5:$B$804,MATCH(A93,'Invoice Lines'!$C$5:$C$804,0)),""))</f>
        <v>0</v>
      </c>
      <c r="AQ93" s="18">
        <f>IF(OR(G93="",B93="",X93&lt;&gt;"Yes"),"",IF(IFERROR(INDEX(FreqDays,MATCH(O93,FreqNames,0)),0)=0,"",B93+IFERROR(INDEX(FreqDays,MATCH(O93,FreqNames,0)),0)))</f>
        <v>0</v>
      </c>
      <c r="AR93" s="39">
        <f>IF(G93="","",IF(R93="","Unassigned",IF(COUNTIFS($R$5:$R$604,R93,$B$5:$B$604,B93,$F$5:$F$604,F93)&gt;1,"Clash",IF(SUMIFS($AF$5:$AF$604,$R$5:$R$604,R93,$B$5:$B$604,B93)&gt;ProductiveHours,"Long day","OK"))))</f>
        <v>0</v>
      </c>
      <c r="AS93" s="18">
        <f>IF(OR(G93="",B93=""),"",IF(AND(B93&gt;=TodayDate,P93&lt;&gt;"Cancelled"),B93,""))</f>
        <v>0</v>
      </c>
      <c r="AT93" s="31">
        <f>IF(AS93="","",COUNTIFS($AS$5:$AS$604,"&lt;"&amp;AS93)+COUNTIFS($AS$5:AS93,AS93))</f>
        <v>0</v>
      </c>
      <c r="AU93" s="18">
        <f>IF(OR(G93="",B93="",R93&lt;&gt;""),"",IF(AND(B93&gt;=TodayDate,P93&lt;&gt;"Cancelled"),B93,""))</f>
        <v>0</v>
      </c>
      <c r="AV93" s="31">
        <f>IF(AU93="","",COUNTIFS($AU$5:$AU$604,"&lt;"&amp;AU93)+COUNTIFS($AU$5:AU93,AU93))</f>
        <v>0</v>
      </c>
      <c r="AW93" s="31">
        <f>IF(OR(G93="",B93=""),"",B93-TodayDate)</f>
        <v>0</v>
      </c>
      <c r="AX93" s="39">
        <f>IF(G93="","",IF(P93="Cancelled","Cancelled",IF(P93="No access","Action - no access, rebook",IF(AND(B93&lt;&gt;"",AW93&lt;0,OR(P93="Booked",P93="Confirmed",P93="In progress")),"Late - mark it completed",IF(AND(P93="Completed",AP93=""),"Action - not invoiced yet",IF(AND(AW93&gt;=0,AW93&lt;=ReminderDays,Y93&lt;&gt;"Yes"),"Confirm - visit coming up",IF(R93="","Assign - no cleaner booked",IF(AND(P93="Completed",AO93&lt;&gt;"",AO93&lt;1),"Check - checklist unfinished","OK"))))))))</f>
        <v>0</v>
      </c>
    </row>
    <row r="94" spans="1:50">
      <c r="A94" s="43">
        <f>IF(G94="","",JobPrefix&amp;TEXT(ROW()-4,"0000"))</f>
        <v>0</v>
      </c>
      <c r="B94" s="46">
        <v>46317</v>
      </c>
      <c r="C94" s="23">
        <f>IF(B94="","",TEXT(B94,"ddd"))</f>
        <v>0</v>
      </c>
      <c r="D94" s="31">
        <f>IF(B94="","",WEEKNUM(B94,IF(WeekStart="Sunday",1,2)))</f>
        <v>0</v>
      </c>
      <c r="E94" s="23">
        <f>IF(B94="","",TEXT(B94,"yyyy-mm"))</f>
        <v>0</v>
      </c>
      <c r="F94" s="52">
        <v>0.291666666666667</v>
      </c>
      <c r="G94" s="49" t="s">
        <v>813</v>
      </c>
      <c r="H94" s="23">
        <f>IF(G94="","",IFERROR(INDEX(Clients!$B$5:$B$204,MATCH(G94,Clients!$A$5:$A$204,0)),"Not found"))</f>
        <v>0</v>
      </c>
      <c r="I94" s="23">
        <f>IF(G94="","",IFERROR(INDEX(Clients!$C$5:$C$204,MATCH(G94,Clients!$A$5:$A$204,0)),""))</f>
        <v>0</v>
      </c>
      <c r="J94" s="49" t="s">
        <v>1052</v>
      </c>
      <c r="K94" s="23">
        <f>IF(J94="","",IFERROR(INDEX(Properties!$B$5:$B$254,MATCH(J94,Properties!$A$5:$A$254,0)),""))</f>
        <v>0</v>
      </c>
      <c r="L94" s="23">
        <f>IF(J94="","",IFERROR(INDEX(Properties!$F$5:$F$254,MATCH(J94,Properties!$A$5:$A$254,0)),""))</f>
        <v>0</v>
      </c>
      <c r="M94" s="15" t="s">
        <v>770</v>
      </c>
      <c r="N94" s="15" t="s">
        <v>1133</v>
      </c>
      <c r="O94" s="15" t="s">
        <v>617</v>
      </c>
      <c r="P94" s="45" t="s">
        <v>1161</v>
      </c>
      <c r="Q94" s="15" t="s">
        <v>448</v>
      </c>
      <c r="R94" s="15" t="s">
        <v>664</v>
      </c>
      <c r="S94" s="15" t="s">
        <v>172</v>
      </c>
      <c r="T94" s="16">
        <v>1</v>
      </c>
      <c r="W94" s="17">
        <v>7.6</v>
      </c>
      <c r="X94" s="47" t="s">
        <v>454</v>
      </c>
      <c r="Y94" s="47" t="s">
        <v>454</v>
      </c>
      <c r="AA94" s="47" t="s">
        <v>172</v>
      </c>
      <c r="AB94" s="44" t="s">
        <v>172</v>
      </c>
      <c r="AC94" s="44" t="s">
        <v>172</v>
      </c>
      <c r="AD94" s="34">
        <f>IF(G94="","",IF(U94&lt;&gt;"",U94,IF(AND(IFERROR(INDEX(Services!$D$5:$D$64,MATCH(M94,Services!$B$5:$B$64,0)),"")="Per hour",IFERROR(INDEX(Properties!$X$5:$X$254,MATCH(J94,Properties!$A$5:$A$254,0)),0)&gt;0),IFERROR(INDEX(Properties!$X$5:$X$254,MATCH(J94,Properties!$A$5:$A$254,0)),0),IF(IFERROR(INDEX(Services!$G$5:$G$64,MATCH(M94,Services!$B$5:$B$64,0)),0)&gt;0,IFERROR(INDEX(Services!$G$5:$G$64,MATCH(M94,Services!$B$5:$B$64,0)),0),IFERROR(INDEX(Properties!$X$5:$X$254,MATCH(J94,Properties!$A$5:$A$254,0)),0)))))</f>
        <v>0</v>
      </c>
      <c r="AE94" s="31">
        <f>IF(G94="","",IF(T94="",CleanersPerJob,MAX(1,T94)))</f>
        <v>0</v>
      </c>
      <c r="AF94" s="34">
        <f>IF(G94="","",ROUND(AD94/AE94,2))</f>
        <v>0</v>
      </c>
      <c r="AG94" s="53">
        <f>IF(OR(G94="",F94="",AF94=""),"",F94+AF94/24)</f>
        <v>0</v>
      </c>
      <c r="AH94" s="21">
        <f>IF(G94="","",IF(IFERROR(INDEX(Clients!$O$5:$O$204,MATCH(G94,Clients!$A$5:$A$204,0)),0)&gt;0,IFERROR(INDEX(Clients!$O$5:$O$204,MATCH(G94,Clients!$A$5:$A$204,0)),0),HourlyRate))</f>
        <v>0</v>
      </c>
      <c r="AI94" s="21">
        <f>IF(G94="","",IF(AND(M94&lt;&gt;"",IFERROR(INDEX(Services!$P$5:$P$64,MATCH(M94,Services!$B$5:$B$64,0)),0)&gt;0,IFERROR(INDEX(Services!$D$5:$D$64,MATCH(M94,Services!$B$5:$B$64,0)),"")&lt;&gt;"Per hour"),IFERROR(INDEX(Services!$P$5:$P$64,MATCH(M94,Services!$B$5:$B$64,0)),0),AD94*AH94))</f>
        <v>0</v>
      </c>
      <c r="AJ94" s="21">
        <f>IF(G94="","",IF(V94&lt;&gt;"",V94,IF(P94="Cancelled",0,MAX(MinimumCharge,ROUND(AI94*IFERROR(INDEX(FreqFactors,MATCH(O94,FreqNames,0)),1),2)))))</f>
        <v>0</v>
      </c>
      <c r="AK94" s="34">
        <f>IF(G94="","",IF(SUMIFS(Timesheets!$U$5:$U$804,Timesheets!$G$5:$G$804,A94)&gt;0,SUMIFS(Timesheets!$U$5:$U$804,Timesheets!$G$5:$G$804,A94),IF(Z94="","",Z94)))</f>
        <v>0</v>
      </c>
      <c r="AL94" s="34">
        <f>IF(OR(AK94="",AD94=""),"",AK94-AD94)</f>
        <v>0</v>
      </c>
      <c r="AM94" s="31">
        <f>IF(A94="","",COUNTIFS('Job Tasks'!$B$5:$B$904,A94))</f>
        <v>0</v>
      </c>
      <c r="AN94" s="31">
        <f>IF(A94="","",COUNTIFS('Job Tasks'!$B$5:$B$904,A94,'Job Tasks'!$H$5:$H$904,"Done"))</f>
        <v>0</v>
      </c>
      <c r="AO94" s="38">
        <f>IF(OR(A94="",AM94=0),"",AN94/AM94)</f>
        <v>0</v>
      </c>
      <c r="AP94" s="43">
        <f>IF(A94="","",IFERROR(INDEX('Invoice Lines'!$B$5:$B$804,MATCH(A94,'Invoice Lines'!$C$5:$C$804,0)),""))</f>
        <v>0</v>
      </c>
      <c r="AQ94" s="18">
        <f>IF(OR(G94="",B94="",X94&lt;&gt;"Yes"),"",IF(IFERROR(INDEX(FreqDays,MATCH(O94,FreqNames,0)),0)=0,"",B94+IFERROR(INDEX(FreqDays,MATCH(O94,FreqNames,0)),0)))</f>
        <v>0</v>
      </c>
      <c r="AR94" s="39">
        <f>IF(G94="","",IF(R94="","Unassigned",IF(COUNTIFS($R$5:$R$604,R94,$B$5:$B$604,B94,$F$5:$F$604,F94)&gt;1,"Clash",IF(SUMIFS($AF$5:$AF$604,$R$5:$R$604,R94,$B$5:$B$604,B94)&gt;ProductiveHours,"Long day","OK"))))</f>
        <v>0</v>
      </c>
      <c r="AS94" s="18">
        <f>IF(OR(G94="",B94=""),"",IF(AND(B94&gt;=TodayDate,P94&lt;&gt;"Cancelled"),B94,""))</f>
        <v>0</v>
      </c>
      <c r="AT94" s="31">
        <f>IF(AS94="","",COUNTIFS($AS$5:$AS$604,"&lt;"&amp;AS94)+COUNTIFS($AS$5:AS94,AS94))</f>
        <v>0</v>
      </c>
      <c r="AU94" s="18">
        <f>IF(OR(G94="",B94="",R94&lt;&gt;""),"",IF(AND(B94&gt;=TodayDate,P94&lt;&gt;"Cancelled"),B94,""))</f>
        <v>0</v>
      </c>
      <c r="AV94" s="31">
        <f>IF(AU94="","",COUNTIFS($AU$5:$AU$604,"&lt;"&amp;AU94)+COUNTIFS($AU$5:AU94,AU94))</f>
        <v>0</v>
      </c>
      <c r="AW94" s="31">
        <f>IF(OR(G94="",B94=""),"",B94-TodayDate)</f>
        <v>0</v>
      </c>
      <c r="AX94" s="39">
        <f>IF(G94="","",IF(P94="Cancelled","Cancelled",IF(P94="No access","Action - no access, rebook",IF(AND(B94&lt;&gt;"",AW94&lt;0,OR(P94="Booked",P94="Confirmed",P94="In progress")),"Late - mark it completed",IF(AND(P94="Completed",AP94=""),"Action - not invoiced yet",IF(AND(AW94&gt;=0,AW94&lt;=ReminderDays,Y94&lt;&gt;"Yes"),"Confirm - visit coming up",IF(R94="","Assign - no cleaner booked",IF(AND(P94="Completed",AO94&lt;&gt;"",AO94&lt;1),"Check - checklist unfinished","OK"))))))))</f>
        <v>0</v>
      </c>
    </row>
    <row r="95" spans="1:50">
      <c r="A95" s="43">
        <f>IF(G95="","",JobPrefix&amp;TEXT(ROW()-4,"0000"))</f>
        <v>0</v>
      </c>
      <c r="B95" s="46">
        <v>46317</v>
      </c>
      <c r="C95" s="23">
        <f>IF(B95="","",TEXT(B95,"ddd"))</f>
        <v>0</v>
      </c>
      <c r="D95" s="31">
        <f>IF(B95="","",WEEKNUM(B95,IF(WeekStart="Sunday",1,2)))</f>
        <v>0</v>
      </c>
      <c r="E95" s="23">
        <f>IF(B95="","",TEXT(B95,"yyyy-mm"))</f>
        <v>0</v>
      </c>
      <c r="F95" s="52">
        <v>0.583333333333333</v>
      </c>
      <c r="G95" s="49" t="s">
        <v>753</v>
      </c>
      <c r="H95" s="23">
        <f>IF(G95="","",IFERROR(INDEX(Clients!$B$5:$B$204,MATCH(G95,Clients!$A$5:$A$204,0)),"Not found"))</f>
        <v>0</v>
      </c>
      <c r="I95" s="23">
        <f>IF(G95="","",IFERROR(INDEX(Clients!$C$5:$C$204,MATCH(G95,Clients!$A$5:$A$204,0)),""))</f>
        <v>0</v>
      </c>
      <c r="J95" s="49" t="s">
        <v>1139</v>
      </c>
      <c r="K95" s="23">
        <f>IF(J95="","",IFERROR(INDEX(Properties!$B$5:$B$254,MATCH(J95,Properties!$A$5:$A$254,0)),""))</f>
        <v>0</v>
      </c>
      <c r="L95" s="23">
        <f>IF(J95="","",IFERROR(INDEX(Properties!$F$5:$F$254,MATCH(J95,Properties!$A$5:$A$254,0)),""))</f>
        <v>0</v>
      </c>
      <c r="M95" s="15" t="s">
        <v>437</v>
      </c>
      <c r="N95" s="15" t="s">
        <v>1133</v>
      </c>
      <c r="O95" s="15" t="s">
        <v>593</v>
      </c>
      <c r="P95" s="45" t="s">
        <v>1161</v>
      </c>
      <c r="Q95" s="15" t="s">
        <v>448</v>
      </c>
      <c r="R95" s="15" t="s">
        <v>596</v>
      </c>
      <c r="S95" s="15" t="s">
        <v>172</v>
      </c>
      <c r="T95" s="16">
        <v>1</v>
      </c>
      <c r="W95" s="17">
        <v>12</v>
      </c>
      <c r="X95" s="47" t="s">
        <v>454</v>
      </c>
      <c r="Y95" s="47" t="s">
        <v>454</v>
      </c>
      <c r="AA95" s="47" t="s">
        <v>172</v>
      </c>
      <c r="AB95" s="44" t="s">
        <v>172</v>
      </c>
      <c r="AC95" s="44" t="s">
        <v>172</v>
      </c>
      <c r="AD95" s="34">
        <f>IF(G95="","",IF(U95&lt;&gt;"",U95,IF(AND(IFERROR(INDEX(Services!$D$5:$D$64,MATCH(M95,Services!$B$5:$B$64,0)),"")="Per hour",IFERROR(INDEX(Properties!$X$5:$X$254,MATCH(J95,Properties!$A$5:$A$254,0)),0)&gt;0),IFERROR(INDEX(Properties!$X$5:$X$254,MATCH(J95,Properties!$A$5:$A$254,0)),0),IF(IFERROR(INDEX(Services!$G$5:$G$64,MATCH(M95,Services!$B$5:$B$64,0)),0)&gt;0,IFERROR(INDEX(Services!$G$5:$G$64,MATCH(M95,Services!$B$5:$B$64,0)),0),IFERROR(INDEX(Properties!$X$5:$X$254,MATCH(J95,Properties!$A$5:$A$254,0)),0)))))</f>
        <v>0</v>
      </c>
      <c r="AE95" s="31">
        <f>IF(G95="","",IF(T95="",CleanersPerJob,MAX(1,T95)))</f>
        <v>0</v>
      </c>
      <c r="AF95" s="34">
        <f>IF(G95="","",ROUND(AD95/AE95,2))</f>
        <v>0</v>
      </c>
      <c r="AG95" s="53">
        <f>IF(OR(G95="",F95="",AF95=""),"",F95+AF95/24)</f>
        <v>0</v>
      </c>
      <c r="AH95" s="21">
        <f>IF(G95="","",IF(IFERROR(INDEX(Clients!$O$5:$O$204,MATCH(G95,Clients!$A$5:$A$204,0)),0)&gt;0,IFERROR(INDEX(Clients!$O$5:$O$204,MATCH(G95,Clients!$A$5:$A$204,0)),0),HourlyRate))</f>
        <v>0</v>
      </c>
      <c r="AI95" s="21">
        <f>IF(G95="","",IF(AND(M95&lt;&gt;"",IFERROR(INDEX(Services!$P$5:$P$64,MATCH(M95,Services!$B$5:$B$64,0)),0)&gt;0,IFERROR(INDEX(Services!$D$5:$D$64,MATCH(M95,Services!$B$5:$B$64,0)),"")&lt;&gt;"Per hour"),IFERROR(INDEX(Services!$P$5:$P$64,MATCH(M95,Services!$B$5:$B$64,0)),0),AD95*AH95))</f>
        <v>0</v>
      </c>
      <c r="AJ95" s="21">
        <f>IF(G95="","",IF(V95&lt;&gt;"",V95,IF(P95="Cancelled",0,MAX(MinimumCharge,ROUND(AI95*IFERROR(INDEX(FreqFactors,MATCH(O95,FreqNames,0)),1),2)))))</f>
        <v>0</v>
      </c>
      <c r="AK95" s="34">
        <f>IF(G95="","",IF(SUMIFS(Timesheets!$U$5:$U$804,Timesheets!$G$5:$G$804,A95)&gt;0,SUMIFS(Timesheets!$U$5:$U$804,Timesheets!$G$5:$G$804,A95),IF(Z95="","",Z95)))</f>
        <v>0</v>
      </c>
      <c r="AL95" s="34">
        <f>IF(OR(AK95="",AD95=""),"",AK95-AD95)</f>
        <v>0</v>
      </c>
      <c r="AM95" s="31">
        <f>IF(A95="","",COUNTIFS('Job Tasks'!$B$5:$B$904,A95))</f>
        <v>0</v>
      </c>
      <c r="AN95" s="31">
        <f>IF(A95="","",COUNTIFS('Job Tasks'!$B$5:$B$904,A95,'Job Tasks'!$H$5:$H$904,"Done"))</f>
        <v>0</v>
      </c>
      <c r="AO95" s="38">
        <f>IF(OR(A95="",AM95=0),"",AN95/AM95)</f>
        <v>0</v>
      </c>
      <c r="AP95" s="43">
        <f>IF(A95="","",IFERROR(INDEX('Invoice Lines'!$B$5:$B$804,MATCH(A95,'Invoice Lines'!$C$5:$C$804,0)),""))</f>
        <v>0</v>
      </c>
      <c r="AQ95" s="18">
        <f>IF(OR(G95="",B95="",X95&lt;&gt;"Yes"),"",IF(IFERROR(INDEX(FreqDays,MATCH(O95,FreqNames,0)),0)=0,"",B95+IFERROR(INDEX(FreqDays,MATCH(O95,FreqNames,0)),0)))</f>
        <v>0</v>
      </c>
      <c r="AR95" s="39">
        <f>IF(G95="","",IF(R95="","Unassigned",IF(COUNTIFS($R$5:$R$604,R95,$B$5:$B$604,B95,$F$5:$F$604,F95)&gt;1,"Clash",IF(SUMIFS($AF$5:$AF$604,$R$5:$R$604,R95,$B$5:$B$604,B95)&gt;ProductiveHours,"Long day","OK"))))</f>
        <v>0</v>
      </c>
      <c r="AS95" s="18">
        <f>IF(OR(G95="",B95=""),"",IF(AND(B95&gt;=TodayDate,P95&lt;&gt;"Cancelled"),B95,""))</f>
        <v>0</v>
      </c>
      <c r="AT95" s="31">
        <f>IF(AS95="","",COUNTIFS($AS$5:$AS$604,"&lt;"&amp;AS95)+COUNTIFS($AS$5:AS95,AS95))</f>
        <v>0</v>
      </c>
      <c r="AU95" s="18">
        <f>IF(OR(G95="",B95="",R95&lt;&gt;""),"",IF(AND(B95&gt;=TodayDate,P95&lt;&gt;"Cancelled"),B95,""))</f>
        <v>0</v>
      </c>
      <c r="AV95" s="31">
        <f>IF(AU95="","",COUNTIFS($AU$5:$AU$604,"&lt;"&amp;AU95)+COUNTIFS($AU$5:AU95,AU95))</f>
        <v>0</v>
      </c>
      <c r="AW95" s="31">
        <f>IF(OR(G95="",B95=""),"",B95-TodayDate)</f>
        <v>0</v>
      </c>
      <c r="AX95" s="39">
        <f>IF(G95="","",IF(P95="Cancelled","Cancelled",IF(P95="No access","Action - no access, rebook",IF(AND(B95&lt;&gt;"",AW95&lt;0,OR(P95="Booked",P95="Confirmed",P95="In progress")),"Late - mark it completed",IF(AND(P95="Completed",AP95=""),"Action - not invoiced yet",IF(AND(AW95&gt;=0,AW95&lt;=ReminderDays,Y95&lt;&gt;"Yes"),"Confirm - visit coming up",IF(R95="","Assign - no cleaner booked",IF(AND(P95="Completed",AO95&lt;&gt;"",AO95&lt;1),"Check - checklist unfinished","OK"))))))))</f>
        <v>0</v>
      </c>
    </row>
    <row r="96" spans="1:50">
      <c r="A96" s="43">
        <f>IF(G96="","",JobPrefix&amp;TEXT(ROW()-4,"0000"))</f>
        <v>0</v>
      </c>
      <c r="B96" s="46">
        <v>46317</v>
      </c>
      <c r="C96" s="23">
        <f>IF(B96="","",TEXT(B96,"ddd"))</f>
        <v>0</v>
      </c>
      <c r="D96" s="31">
        <f>IF(B96="","",WEEKNUM(B96,IF(WeekStart="Sunday",1,2)))</f>
        <v>0</v>
      </c>
      <c r="E96" s="23">
        <f>IF(B96="","",TEXT(B96,"yyyy-mm"))</f>
        <v>0</v>
      </c>
      <c r="F96" s="52">
        <v>0.770833333333333</v>
      </c>
      <c r="G96" s="49" t="s">
        <v>773</v>
      </c>
      <c r="H96" s="23">
        <f>IF(G96="","",IFERROR(INDEX(Clients!$B$5:$B$204,MATCH(G96,Clients!$A$5:$A$204,0)),"Not found"))</f>
        <v>0</v>
      </c>
      <c r="I96" s="23">
        <f>IF(G96="","",IFERROR(INDEX(Clients!$C$5:$C$204,MATCH(G96,Clients!$A$5:$A$204,0)),""))</f>
        <v>0</v>
      </c>
      <c r="J96" s="49" t="s">
        <v>1134</v>
      </c>
      <c r="K96" s="23">
        <f>IF(J96="","",IFERROR(INDEX(Properties!$B$5:$B$254,MATCH(J96,Properties!$A$5:$A$254,0)),""))</f>
        <v>0</v>
      </c>
      <c r="L96" s="23">
        <f>IF(J96="","",IFERROR(INDEX(Properties!$F$5:$F$254,MATCH(J96,Properties!$A$5:$A$254,0)),""))</f>
        <v>0</v>
      </c>
      <c r="M96" s="15" t="s">
        <v>770</v>
      </c>
      <c r="N96" s="15" t="s">
        <v>1133</v>
      </c>
      <c r="O96" s="15" t="s">
        <v>617</v>
      </c>
      <c r="P96" s="45" t="s">
        <v>1161</v>
      </c>
      <c r="Q96" s="15" t="s">
        <v>448</v>
      </c>
      <c r="R96" s="15" t="s">
        <v>608</v>
      </c>
      <c r="S96" s="15" t="s">
        <v>172</v>
      </c>
      <c r="T96" s="16">
        <v>1</v>
      </c>
      <c r="W96" s="17">
        <v>4.8</v>
      </c>
      <c r="X96" s="47" t="s">
        <v>454</v>
      </c>
      <c r="Y96" s="47" t="s">
        <v>454</v>
      </c>
      <c r="AA96" s="47" t="s">
        <v>172</v>
      </c>
      <c r="AB96" s="44" t="s">
        <v>172</v>
      </c>
      <c r="AC96" s="44" t="s">
        <v>172</v>
      </c>
      <c r="AD96" s="34">
        <f>IF(G96="","",IF(U96&lt;&gt;"",U96,IF(AND(IFERROR(INDEX(Services!$D$5:$D$64,MATCH(M96,Services!$B$5:$B$64,0)),"")="Per hour",IFERROR(INDEX(Properties!$X$5:$X$254,MATCH(J96,Properties!$A$5:$A$254,0)),0)&gt;0),IFERROR(INDEX(Properties!$X$5:$X$254,MATCH(J96,Properties!$A$5:$A$254,0)),0),IF(IFERROR(INDEX(Services!$G$5:$G$64,MATCH(M96,Services!$B$5:$B$64,0)),0)&gt;0,IFERROR(INDEX(Services!$G$5:$G$64,MATCH(M96,Services!$B$5:$B$64,0)),0),IFERROR(INDEX(Properties!$X$5:$X$254,MATCH(J96,Properties!$A$5:$A$254,0)),0)))))</f>
        <v>0</v>
      </c>
      <c r="AE96" s="31">
        <f>IF(G96="","",IF(T96="",CleanersPerJob,MAX(1,T96)))</f>
        <v>0</v>
      </c>
      <c r="AF96" s="34">
        <f>IF(G96="","",ROUND(AD96/AE96,2))</f>
        <v>0</v>
      </c>
      <c r="AG96" s="53">
        <f>IF(OR(G96="",F96="",AF96=""),"",F96+AF96/24)</f>
        <v>0</v>
      </c>
      <c r="AH96" s="21">
        <f>IF(G96="","",IF(IFERROR(INDEX(Clients!$O$5:$O$204,MATCH(G96,Clients!$A$5:$A$204,0)),0)&gt;0,IFERROR(INDEX(Clients!$O$5:$O$204,MATCH(G96,Clients!$A$5:$A$204,0)),0),HourlyRate))</f>
        <v>0</v>
      </c>
      <c r="AI96" s="21">
        <f>IF(G96="","",IF(AND(M96&lt;&gt;"",IFERROR(INDEX(Services!$P$5:$P$64,MATCH(M96,Services!$B$5:$B$64,0)),0)&gt;0,IFERROR(INDEX(Services!$D$5:$D$64,MATCH(M96,Services!$B$5:$B$64,0)),"")&lt;&gt;"Per hour"),IFERROR(INDEX(Services!$P$5:$P$64,MATCH(M96,Services!$B$5:$B$64,0)),0),AD96*AH96))</f>
        <v>0</v>
      </c>
      <c r="AJ96" s="21">
        <f>IF(G96="","",IF(V96&lt;&gt;"",V96,IF(P96="Cancelled",0,MAX(MinimumCharge,ROUND(AI96*IFERROR(INDEX(FreqFactors,MATCH(O96,FreqNames,0)),1),2)))))</f>
        <v>0</v>
      </c>
      <c r="AK96" s="34">
        <f>IF(G96="","",IF(SUMIFS(Timesheets!$U$5:$U$804,Timesheets!$G$5:$G$804,A96)&gt;0,SUMIFS(Timesheets!$U$5:$U$804,Timesheets!$G$5:$G$804,A96),IF(Z96="","",Z96)))</f>
        <v>0</v>
      </c>
      <c r="AL96" s="34">
        <f>IF(OR(AK96="",AD96=""),"",AK96-AD96)</f>
        <v>0</v>
      </c>
      <c r="AM96" s="31">
        <f>IF(A96="","",COUNTIFS('Job Tasks'!$B$5:$B$904,A96))</f>
        <v>0</v>
      </c>
      <c r="AN96" s="31">
        <f>IF(A96="","",COUNTIFS('Job Tasks'!$B$5:$B$904,A96,'Job Tasks'!$H$5:$H$904,"Done"))</f>
        <v>0</v>
      </c>
      <c r="AO96" s="38">
        <f>IF(OR(A96="",AM96=0),"",AN96/AM96)</f>
        <v>0</v>
      </c>
      <c r="AP96" s="43">
        <f>IF(A96="","",IFERROR(INDEX('Invoice Lines'!$B$5:$B$804,MATCH(A96,'Invoice Lines'!$C$5:$C$804,0)),""))</f>
        <v>0</v>
      </c>
      <c r="AQ96" s="18">
        <f>IF(OR(G96="",B96="",X96&lt;&gt;"Yes"),"",IF(IFERROR(INDEX(FreqDays,MATCH(O96,FreqNames,0)),0)=0,"",B96+IFERROR(INDEX(FreqDays,MATCH(O96,FreqNames,0)),0)))</f>
        <v>0</v>
      </c>
      <c r="AR96" s="39">
        <f>IF(G96="","",IF(R96="","Unassigned",IF(COUNTIFS($R$5:$R$604,R96,$B$5:$B$604,B96,$F$5:$F$604,F96)&gt;1,"Clash",IF(SUMIFS($AF$5:$AF$604,$R$5:$R$604,R96,$B$5:$B$604,B96)&gt;ProductiveHours,"Long day","OK"))))</f>
        <v>0</v>
      </c>
      <c r="AS96" s="18">
        <f>IF(OR(G96="",B96=""),"",IF(AND(B96&gt;=TodayDate,P96&lt;&gt;"Cancelled"),B96,""))</f>
        <v>0</v>
      </c>
      <c r="AT96" s="31">
        <f>IF(AS96="","",COUNTIFS($AS$5:$AS$604,"&lt;"&amp;AS96)+COUNTIFS($AS$5:AS96,AS96))</f>
        <v>0</v>
      </c>
      <c r="AU96" s="18">
        <f>IF(OR(G96="",B96="",R96&lt;&gt;""),"",IF(AND(B96&gt;=TodayDate,P96&lt;&gt;"Cancelled"),B96,""))</f>
        <v>0</v>
      </c>
      <c r="AV96" s="31">
        <f>IF(AU96="","",COUNTIFS($AU$5:$AU$604,"&lt;"&amp;AU96)+COUNTIFS($AU$5:AU96,AU96))</f>
        <v>0</v>
      </c>
      <c r="AW96" s="31">
        <f>IF(OR(G96="",B96=""),"",B96-TodayDate)</f>
        <v>0</v>
      </c>
      <c r="AX96" s="39">
        <f>IF(G96="","",IF(P96="Cancelled","Cancelled",IF(P96="No access","Action - no access, rebook",IF(AND(B96&lt;&gt;"",AW96&lt;0,OR(P96="Booked",P96="Confirmed",P96="In progress")),"Late - mark it completed",IF(AND(P96="Completed",AP96=""),"Action - not invoiced yet",IF(AND(AW96&gt;=0,AW96&lt;=ReminderDays,Y96&lt;&gt;"Yes"),"Confirm - visit coming up",IF(R96="","Assign - no cleaner booked",IF(AND(P96="Completed",AO96&lt;&gt;"",AO96&lt;1),"Check - checklist unfinished","OK"))))))))</f>
        <v>0</v>
      </c>
    </row>
    <row r="97" spans="1:50">
      <c r="A97" s="43">
        <f>IF(G97="","",JobPrefix&amp;TEXT(ROW()-4,"0000"))</f>
        <v>0</v>
      </c>
      <c r="B97" s="46">
        <v>46318</v>
      </c>
      <c r="C97" s="23">
        <f>IF(B97="","",TEXT(B97,"ddd"))</f>
        <v>0</v>
      </c>
      <c r="D97" s="31">
        <f>IF(B97="","",WEEKNUM(B97,IF(WeekStart="Sunday",1,2)))</f>
        <v>0</v>
      </c>
      <c r="E97" s="23">
        <f>IF(B97="","",TEXT(B97,"yyyy-mm"))</f>
        <v>0</v>
      </c>
      <c r="F97" s="52">
        <v>0.729166666666667</v>
      </c>
      <c r="G97" s="49" t="s">
        <v>800</v>
      </c>
      <c r="H97" s="23">
        <f>IF(G97="","",IFERROR(INDEX(Clients!$B$5:$B$204,MATCH(G97,Clients!$A$5:$A$204,0)),"Not found"))</f>
        <v>0</v>
      </c>
      <c r="I97" s="23">
        <f>IF(G97="","",IFERROR(INDEX(Clients!$C$5:$C$204,MATCH(G97,Clients!$A$5:$A$204,0)),""))</f>
        <v>0</v>
      </c>
      <c r="J97" s="49" t="s">
        <v>1140</v>
      </c>
      <c r="K97" s="23">
        <f>IF(J97="","",IFERROR(INDEX(Properties!$B$5:$B$254,MATCH(J97,Properties!$A$5:$A$254,0)),""))</f>
        <v>0</v>
      </c>
      <c r="L97" s="23">
        <f>IF(J97="","",IFERROR(INDEX(Properties!$F$5:$F$254,MATCH(J97,Properties!$A$5:$A$254,0)),""))</f>
        <v>0</v>
      </c>
      <c r="M97" s="15" t="s">
        <v>803</v>
      </c>
      <c r="N97" s="15" t="s">
        <v>1133</v>
      </c>
      <c r="O97" s="15" t="s">
        <v>451</v>
      </c>
      <c r="P97" s="45" t="s">
        <v>1161</v>
      </c>
      <c r="Q97" s="15" t="s">
        <v>448</v>
      </c>
      <c r="R97" s="15" t="s">
        <v>639</v>
      </c>
      <c r="S97" s="15" t="s">
        <v>664</v>
      </c>
      <c r="T97" s="16">
        <v>2</v>
      </c>
      <c r="W97" s="17">
        <v>9.2</v>
      </c>
      <c r="X97" s="47" t="s">
        <v>454</v>
      </c>
      <c r="Y97" s="47" t="s">
        <v>454</v>
      </c>
      <c r="AA97" s="47" t="s">
        <v>172</v>
      </c>
      <c r="AB97" s="44" t="s">
        <v>172</v>
      </c>
      <c r="AC97" s="44" t="s">
        <v>172</v>
      </c>
      <c r="AD97" s="34">
        <f>IF(G97="","",IF(U97&lt;&gt;"",U97,IF(AND(IFERROR(INDEX(Services!$D$5:$D$64,MATCH(M97,Services!$B$5:$B$64,0)),"")="Per hour",IFERROR(INDEX(Properties!$X$5:$X$254,MATCH(J97,Properties!$A$5:$A$254,0)),0)&gt;0),IFERROR(INDEX(Properties!$X$5:$X$254,MATCH(J97,Properties!$A$5:$A$254,0)),0),IF(IFERROR(INDEX(Services!$G$5:$G$64,MATCH(M97,Services!$B$5:$B$64,0)),0)&gt;0,IFERROR(INDEX(Services!$G$5:$G$64,MATCH(M97,Services!$B$5:$B$64,0)),0),IFERROR(INDEX(Properties!$X$5:$X$254,MATCH(J97,Properties!$A$5:$A$254,0)),0)))))</f>
        <v>0</v>
      </c>
      <c r="AE97" s="31">
        <f>IF(G97="","",IF(T97="",CleanersPerJob,MAX(1,T97)))</f>
        <v>0</v>
      </c>
      <c r="AF97" s="34">
        <f>IF(G97="","",ROUND(AD97/AE97,2))</f>
        <v>0</v>
      </c>
      <c r="AG97" s="53">
        <f>IF(OR(G97="",F97="",AF97=""),"",F97+AF97/24)</f>
        <v>0</v>
      </c>
      <c r="AH97" s="21">
        <f>IF(G97="","",IF(IFERROR(INDEX(Clients!$O$5:$O$204,MATCH(G97,Clients!$A$5:$A$204,0)),0)&gt;0,IFERROR(INDEX(Clients!$O$5:$O$204,MATCH(G97,Clients!$A$5:$A$204,0)),0),HourlyRate))</f>
        <v>0</v>
      </c>
      <c r="AI97" s="21">
        <f>IF(G97="","",IF(AND(M97&lt;&gt;"",IFERROR(INDEX(Services!$P$5:$P$64,MATCH(M97,Services!$B$5:$B$64,0)),0)&gt;0,IFERROR(INDEX(Services!$D$5:$D$64,MATCH(M97,Services!$B$5:$B$64,0)),"")&lt;&gt;"Per hour"),IFERROR(INDEX(Services!$P$5:$P$64,MATCH(M97,Services!$B$5:$B$64,0)),0),AD97*AH97))</f>
        <v>0</v>
      </c>
      <c r="AJ97" s="21">
        <f>IF(G97="","",IF(V97&lt;&gt;"",V97,IF(P97="Cancelled",0,MAX(MinimumCharge,ROUND(AI97*IFERROR(INDEX(FreqFactors,MATCH(O97,FreqNames,0)),1),2)))))</f>
        <v>0</v>
      </c>
      <c r="AK97" s="34">
        <f>IF(G97="","",IF(SUMIFS(Timesheets!$U$5:$U$804,Timesheets!$G$5:$G$804,A97)&gt;0,SUMIFS(Timesheets!$U$5:$U$804,Timesheets!$G$5:$G$804,A97),IF(Z97="","",Z97)))</f>
        <v>0</v>
      </c>
      <c r="AL97" s="34">
        <f>IF(OR(AK97="",AD97=""),"",AK97-AD97)</f>
        <v>0</v>
      </c>
      <c r="AM97" s="31">
        <f>IF(A97="","",COUNTIFS('Job Tasks'!$B$5:$B$904,A97))</f>
        <v>0</v>
      </c>
      <c r="AN97" s="31">
        <f>IF(A97="","",COUNTIFS('Job Tasks'!$B$5:$B$904,A97,'Job Tasks'!$H$5:$H$904,"Done"))</f>
        <v>0</v>
      </c>
      <c r="AO97" s="38">
        <f>IF(OR(A97="",AM97=0),"",AN97/AM97)</f>
        <v>0</v>
      </c>
      <c r="AP97" s="43">
        <f>IF(A97="","",IFERROR(INDEX('Invoice Lines'!$B$5:$B$804,MATCH(A97,'Invoice Lines'!$C$5:$C$804,0)),""))</f>
        <v>0</v>
      </c>
      <c r="AQ97" s="18">
        <f>IF(OR(G97="",B97="",X97&lt;&gt;"Yes"),"",IF(IFERROR(INDEX(FreqDays,MATCH(O97,FreqNames,0)),0)=0,"",B97+IFERROR(INDEX(FreqDays,MATCH(O97,FreqNames,0)),0)))</f>
        <v>0</v>
      </c>
      <c r="AR97" s="39">
        <f>IF(G97="","",IF(R97="","Unassigned",IF(COUNTIFS($R$5:$R$604,R97,$B$5:$B$604,B97,$F$5:$F$604,F97)&gt;1,"Clash",IF(SUMIFS($AF$5:$AF$604,$R$5:$R$604,R97,$B$5:$B$604,B97)&gt;ProductiveHours,"Long day","OK"))))</f>
        <v>0</v>
      </c>
      <c r="AS97" s="18">
        <f>IF(OR(G97="",B97=""),"",IF(AND(B97&gt;=TodayDate,P97&lt;&gt;"Cancelled"),B97,""))</f>
        <v>0</v>
      </c>
      <c r="AT97" s="31">
        <f>IF(AS97="","",COUNTIFS($AS$5:$AS$604,"&lt;"&amp;AS97)+COUNTIFS($AS$5:AS97,AS97))</f>
        <v>0</v>
      </c>
      <c r="AU97" s="18">
        <f>IF(OR(G97="",B97="",R97&lt;&gt;""),"",IF(AND(B97&gt;=TodayDate,P97&lt;&gt;"Cancelled"),B97,""))</f>
        <v>0</v>
      </c>
      <c r="AV97" s="31">
        <f>IF(AU97="","",COUNTIFS($AU$5:$AU$604,"&lt;"&amp;AU97)+COUNTIFS($AU$5:AU97,AU97))</f>
        <v>0</v>
      </c>
      <c r="AW97" s="31">
        <f>IF(OR(G97="",B97=""),"",B97-TodayDate)</f>
        <v>0</v>
      </c>
      <c r="AX97" s="39">
        <f>IF(G97="","",IF(P97="Cancelled","Cancelled",IF(P97="No access","Action - no access, rebook",IF(AND(B97&lt;&gt;"",AW97&lt;0,OR(P97="Booked",P97="Confirmed",P97="In progress")),"Late - mark it completed",IF(AND(P97="Completed",AP97=""),"Action - not invoiced yet",IF(AND(AW97&gt;=0,AW97&lt;=ReminderDays,Y97&lt;&gt;"Yes"),"Confirm - visit coming up",IF(R97="","Assign - no cleaner booked",IF(AND(P97="Completed",AO97&lt;&gt;"",AO97&lt;1),"Check - checklist unfinished","OK"))))))))</f>
        <v>0</v>
      </c>
    </row>
    <row r="98" spans="1:50">
      <c r="A98" s="43">
        <f>IF(G98="","",JobPrefix&amp;TEXT(ROW()-4,"0000"))</f>
        <v>0</v>
      </c>
      <c r="B98" s="46">
        <v>46318</v>
      </c>
      <c r="C98" s="23">
        <f>IF(B98="","",TEXT(B98,"ddd"))</f>
        <v>0</v>
      </c>
      <c r="D98" s="31">
        <f>IF(B98="","",WEEKNUM(B98,IF(WeekStart="Sunday",1,2)))</f>
        <v>0</v>
      </c>
      <c r="E98" s="23">
        <f>IF(B98="","",TEXT(B98,"yyyy-mm"))</f>
        <v>0</v>
      </c>
      <c r="F98" s="52">
        <v>0.75</v>
      </c>
      <c r="G98" s="49" t="s">
        <v>764</v>
      </c>
      <c r="H98" s="23">
        <f>IF(G98="","",IFERROR(INDEX(Clients!$B$5:$B$204,MATCH(G98,Clients!$A$5:$A$204,0)),"Not found"))</f>
        <v>0</v>
      </c>
      <c r="I98" s="23">
        <f>IF(G98="","",IFERROR(INDEX(Clients!$C$5:$C$204,MATCH(G98,Clients!$A$5:$A$204,0)),""))</f>
        <v>0</v>
      </c>
      <c r="J98" s="49" t="s">
        <v>1141</v>
      </c>
      <c r="K98" s="23">
        <f>IF(J98="","",IFERROR(INDEX(Properties!$B$5:$B$254,MATCH(J98,Properties!$A$5:$A$254,0)),""))</f>
        <v>0</v>
      </c>
      <c r="L98" s="23">
        <f>IF(J98="","",IFERROR(INDEX(Properties!$F$5:$F$254,MATCH(J98,Properties!$A$5:$A$254,0)),""))</f>
        <v>0</v>
      </c>
      <c r="M98" s="15" t="s">
        <v>770</v>
      </c>
      <c r="N98" s="15" t="s">
        <v>1133</v>
      </c>
      <c r="O98" s="15" t="s">
        <v>451</v>
      </c>
      <c r="P98" s="45" t="s">
        <v>1161</v>
      </c>
      <c r="Q98" s="15" t="s">
        <v>448</v>
      </c>
      <c r="R98" s="15" t="s">
        <v>608</v>
      </c>
      <c r="S98" s="15" t="s">
        <v>172</v>
      </c>
      <c r="T98" s="16">
        <v>1</v>
      </c>
      <c r="W98" s="17">
        <v>6.2</v>
      </c>
      <c r="X98" s="47" t="s">
        <v>454</v>
      </c>
      <c r="Y98" s="47" t="s">
        <v>454</v>
      </c>
      <c r="AA98" s="47" t="s">
        <v>172</v>
      </c>
      <c r="AB98" s="44" t="s">
        <v>172</v>
      </c>
      <c r="AC98" s="44" t="s">
        <v>172</v>
      </c>
      <c r="AD98" s="34">
        <f>IF(G98="","",IF(U98&lt;&gt;"",U98,IF(AND(IFERROR(INDEX(Services!$D$5:$D$64,MATCH(M98,Services!$B$5:$B$64,0)),"")="Per hour",IFERROR(INDEX(Properties!$X$5:$X$254,MATCH(J98,Properties!$A$5:$A$254,0)),0)&gt;0),IFERROR(INDEX(Properties!$X$5:$X$254,MATCH(J98,Properties!$A$5:$A$254,0)),0),IF(IFERROR(INDEX(Services!$G$5:$G$64,MATCH(M98,Services!$B$5:$B$64,0)),0)&gt;0,IFERROR(INDEX(Services!$G$5:$G$64,MATCH(M98,Services!$B$5:$B$64,0)),0),IFERROR(INDEX(Properties!$X$5:$X$254,MATCH(J98,Properties!$A$5:$A$254,0)),0)))))</f>
        <v>0</v>
      </c>
      <c r="AE98" s="31">
        <f>IF(G98="","",IF(T98="",CleanersPerJob,MAX(1,T98)))</f>
        <v>0</v>
      </c>
      <c r="AF98" s="34">
        <f>IF(G98="","",ROUND(AD98/AE98,2))</f>
        <v>0</v>
      </c>
      <c r="AG98" s="53">
        <f>IF(OR(G98="",F98="",AF98=""),"",F98+AF98/24)</f>
        <v>0</v>
      </c>
      <c r="AH98" s="21">
        <f>IF(G98="","",IF(IFERROR(INDEX(Clients!$O$5:$O$204,MATCH(G98,Clients!$A$5:$A$204,0)),0)&gt;0,IFERROR(INDEX(Clients!$O$5:$O$204,MATCH(G98,Clients!$A$5:$A$204,0)),0),HourlyRate))</f>
        <v>0</v>
      </c>
      <c r="AI98" s="21">
        <f>IF(G98="","",IF(AND(M98&lt;&gt;"",IFERROR(INDEX(Services!$P$5:$P$64,MATCH(M98,Services!$B$5:$B$64,0)),0)&gt;0,IFERROR(INDEX(Services!$D$5:$D$64,MATCH(M98,Services!$B$5:$B$64,0)),"")&lt;&gt;"Per hour"),IFERROR(INDEX(Services!$P$5:$P$64,MATCH(M98,Services!$B$5:$B$64,0)),0),AD98*AH98))</f>
        <v>0</v>
      </c>
      <c r="AJ98" s="21">
        <f>IF(G98="","",IF(V98&lt;&gt;"",V98,IF(P98="Cancelled",0,MAX(MinimumCharge,ROUND(AI98*IFERROR(INDEX(FreqFactors,MATCH(O98,FreqNames,0)),1),2)))))</f>
        <v>0</v>
      </c>
      <c r="AK98" s="34">
        <f>IF(G98="","",IF(SUMIFS(Timesheets!$U$5:$U$804,Timesheets!$G$5:$G$804,A98)&gt;0,SUMIFS(Timesheets!$U$5:$U$804,Timesheets!$G$5:$G$804,A98),IF(Z98="","",Z98)))</f>
        <v>0</v>
      </c>
      <c r="AL98" s="34">
        <f>IF(OR(AK98="",AD98=""),"",AK98-AD98)</f>
        <v>0</v>
      </c>
      <c r="AM98" s="31">
        <f>IF(A98="","",COUNTIFS('Job Tasks'!$B$5:$B$904,A98))</f>
        <v>0</v>
      </c>
      <c r="AN98" s="31">
        <f>IF(A98="","",COUNTIFS('Job Tasks'!$B$5:$B$904,A98,'Job Tasks'!$H$5:$H$904,"Done"))</f>
        <v>0</v>
      </c>
      <c r="AO98" s="38">
        <f>IF(OR(A98="",AM98=0),"",AN98/AM98)</f>
        <v>0</v>
      </c>
      <c r="AP98" s="43">
        <f>IF(A98="","",IFERROR(INDEX('Invoice Lines'!$B$5:$B$804,MATCH(A98,'Invoice Lines'!$C$5:$C$804,0)),""))</f>
        <v>0</v>
      </c>
      <c r="AQ98" s="18">
        <f>IF(OR(G98="",B98="",X98&lt;&gt;"Yes"),"",IF(IFERROR(INDEX(FreqDays,MATCH(O98,FreqNames,0)),0)=0,"",B98+IFERROR(INDEX(FreqDays,MATCH(O98,FreqNames,0)),0)))</f>
        <v>0</v>
      </c>
      <c r="AR98" s="39">
        <f>IF(G98="","",IF(R98="","Unassigned",IF(COUNTIFS($R$5:$R$604,R98,$B$5:$B$604,B98,$F$5:$F$604,F98)&gt;1,"Clash",IF(SUMIFS($AF$5:$AF$604,$R$5:$R$604,R98,$B$5:$B$604,B98)&gt;ProductiveHours,"Long day","OK"))))</f>
        <v>0</v>
      </c>
      <c r="AS98" s="18">
        <f>IF(OR(G98="",B98=""),"",IF(AND(B98&gt;=TodayDate,P98&lt;&gt;"Cancelled"),B98,""))</f>
        <v>0</v>
      </c>
      <c r="AT98" s="31">
        <f>IF(AS98="","",COUNTIFS($AS$5:$AS$604,"&lt;"&amp;AS98)+COUNTIFS($AS$5:AS98,AS98))</f>
        <v>0</v>
      </c>
      <c r="AU98" s="18">
        <f>IF(OR(G98="",B98="",R98&lt;&gt;""),"",IF(AND(B98&gt;=TodayDate,P98&lt;&gt;"Cancelled"),B98,""))</f>
        <v>0</v>
      </c>
      <c r="AV98" s="31">
        <f>IF(AU98="","",COUNTIFS($AU$5:$AU$604,"&lt;"&amp;AU98)+COUNTIFS($AU$5:AU98,AU98))</f>
        <v>0</v>
      </c>
      <c r="AW98" s="31">
        <f>IF(OR(G98="",B98=""),"",B98-TodayDate)</f>
        <v>0</v>
      </c>
      <c r="AX98" s="39">
        <f>IF(G98="","",IF(P98="Cancelled","Cancelled",IF(P98="No access","Action - no access, rebook",IF(AND(B98&lt;&gt;"",AW98&lt;0,OR(P98="Booked",P98="Confirmed",P98="In progress")),"Late - mark it completed",IF(AND(P98="Completed",AP98=""),"Action - not invoiced yet",IF(AND(AW98&gt;=0,AW98&lt;=ReminderDays,Y98&lt;&gt;"Yes"),"Confirm - visit coming up",IF(R98="","Assign - no cleaner booked",IF(AND(P98="Completed",AO98&lt;&gt;"",AO98&lt;1),"Check - checklist unfinished","OK"))))))))</f>
        <v>0</v>
      </c>
    </row>
    <row r="99" spans="1:50">
      <c r="A99" s="43">
        <f>IF(G99="","",JobPrefix&amp;TEXT(ROW()-4,"0000"))</f>
        <v>0</v>
      </c>
      <c r="B99" s="46">
        <v>46318</v>
      </c>
      <c r="C99" s="23">
        <f>IF(B99="","",TEXT(B99,"ddd"))</f>
        <v>0</v>
      </c>
      <c r="D99" s="31">
        <f>IF(B99="","",WEEKNUM(B99,IF(WeekStart="Sunday",1,2)))</f>
        <v>0</v>
      </c>
      <c r="E99" s="23">
        <f>IF(B99="","",TEXT(B99,"yyyy-mm"))</f>
        <v>0</v>
      </c>
      <c r="F99" s="52">
        <v>0.833333333333333</v>
      </c>
      <c r="G99" s="49" t="s">
        <v>848</v>
      </c>
      <c r="H99" s="23">
        <f>IF(G99="","",IFERROR(INDEX(Clients!$B$5:$B$204,MATCH(G99,Clients!$A$5:$A$204,0)),"Not found"))</f>
        <v>0</v>
      </c>
      <c r="I99" s="23">
        <f>IF(G99="","",IFERROR(INDEX(Clients!$C$5:$C$204,MATCH(G99,Clients!$A$5:$A$204,0)),""))</f>
        <v>0</v>
      </c>
      <c r="J99" s="49" t="s">
        <v>1142</v>
      </c>
      <c r="K99" s="23">
        <f>IF(J99="","",IFERROR(INDEX(Properties!$B$5:$B$254,MATCH(J99,Properties!$A$5:$A$254,0)),""))</f>
        <v>0</v>
      </c>
      <c r="L99" s="23">
        <f>IF(J99="","",IFERROR(INDEX(Properties!$F$5:$F$254,MATCH(J99,Properties!$A$5:$A$254,0)),""))</f>
        <v>0</v>
      </c>
      <c r="M99" s="15" t="s">
        <v>770</v>
      </c>
      <c r="N99" s="15" t="s">
        <v>1133</v>
      </c>
      <c r="O99" s="15" t="s">
        <v>451</v>
      </c>
      <c r="P99" s="45" t="s">
        <v>1161</v>
      </c>
      <c r="Q99" s="15" t="s">
        <v>448</v>
      </c>
      <c r="R99" s="15" t="s">
        <v>608</v>
      </c>
      <c r="S99" s="15" t="s">
        <v>172</v>
      </c>
      <c r="T99" s="16">
        <v>1</v>
      </c>
      <c r="W99" s="17">
        <v>4.4</v>
      </c>
      <c r="X99" s="47" t="s">
        <v>454</v>
      </c>
      <c r="Y99" s="47" t="s">
        <v>454</v>
      </c>
      <c r="AA99" s="47" t="s">
        <v>172</v>
      </c>
      <c r="AB99" s="44" t="s">
        <v>172</v>
      </c>
      <c r="AC99" s="44" t="s">
        <v>172</v>
      </c>
      <c r="AD99" s="34">
        <f>IF(G99="","",IF(U99&lt;&gt;"",U99,IF(AND(IFERROR(INDEX(Services!$D$5:$D$64,MATCH(M99,Services!$B$5:$B$64,0)),"")="Per hour",IFERROR(INDEX(Properties!$X$5:$X$254,MATCH(J99,Properties!$A$5:$A$254,0)),0)&gt;0),IFERROR(INDEX(Properties!$X$5:$X$254,MATCH(J99,Properties!$A$5:$A$254,0)),0),IF(IFERROR(INDEX(Services!$G$5:$G$64,MATCH(M99,Services!$B$5:$B$64,0)),0)&gt;0,IFERROR(INDEX(Services!$G$5:$G$64,MATCH(M99,Services!$B$5:$B$64,0)),0),IFERROR(INDEX(Properties!$X$5:$X$254,MATCH(J99,Properties!$A$5:$A$254,0)),0)))))</f>
        <v>0</v>
      </c>
      <c r="AE99" s="31">
        <f>IF(G99="","",IF(T99="",CleanersPerJob,MAX(1,T99)))</f>
        <v>0</v>
      </c>
      <c r="AF99" s="34">
        <f>IF(G99="","",ROUND(AD99/AE99,2))</f>
        <v>0</v>
      </c>
      <c r="AG99" s="53">
        <f>IF(OR(G99="",F99="",AF99=""),"",F99+AF99/24)</f>
        <v>0</v>
      </c>
      <c r="AH99" s="21">
        <f>IF(G99="","",IF(IFERROR(INDEX(Clients!$O$5:$O$204,MATCH(G99,Clients!$A$5:$A$204,0)),0)&gt;0,IFERROR(INDEX(Clients!$O$5:$O$204,MATCH(G99,Clients!$A$5:$A$204,0)),0),HourlyRate))</f>
        <v>0</v>
      </c>
      <c r="AI99" s="21">
        <f>IF(G99="","",IF(AND(M99&lt;&gt;"",IFERROR(INDEX(Services!$P$5:$P$64,MATCH(M99,Services!$B$5:$B$64,0)),0)&gt;0,IFERROR(INDEX(Services!$D$5:$D$64,MATCH(M99,Services!$B$5:$B$64,0)),"")&lt;&gt;"Per hour"),IFERROR(INDEX(Services!$P$5:$P$64,MATCH(M99,Services!$B$5:$B$64,0)),0),AD99*AH99))</f>
        <v>0</v>
      </c>
      <c r="AJ99" s="21">
        <f>IF(G99="","",IF(V99&lt;&gt;"",V99,IF(P99="Cancelled",0,MAX(MinimumCharge,ROUND(AI99*IFERROR(INDEX(FreqFactors,MATCH(O99,FreqNames,0)),1),2)))))</f>
        <v>0</v>
      </c>
      <c r="AK99" s="34">
        <f>IF(G99="","",IF(SUMIFS(Timesheets!$U$5:$U$804,Timesheets!$G$5:$G$804,A99)&gt;0,SUMIFS(Timesheets!$U$5:$U$804,Timesheets!$G$5:$G$804,A99),IF(Z99="","",Z99)))</f>
        <v>0</v>
      </c>
      <c r="AL99" s="34">
        <f>IF(OR(AK99="",AD99=""),"",AK99-AD99)</f>
        <v>0</v>
      </c>
      <c r="AM99" s="31">
        <f>IF(A99="","",COUNTIFS('Job Tasks'!$B$5:$B$904,A99))</f>
        <v>0</v>
      </c>
      <c r="AN99" s="31">
        <f>IF(A99="","",COUNTIFS('Job Tasks'!$B$5:$B$904,A99,'Job Tasks'!$H$5:$H$904,"Done"))</f>
        <v>0</v>
      </c>
      <c r="AO99" s="38">
        <f>IF(OR(A99="",AM99=0),"",AN99/AM99)</f>
        <v>0</v>
      </c>
      <c r="AP99" s="43">
        <f>IF(A99="","",IFERROR(INDEX('Invoice Lines'!$B$5:$B$804,MATCH(A99,'Invoice Lines'!$C$5:$C$804,0)),""))</f>
        <v>0</v>
      </c>
      <c r="AQ99" s="18">
        <f>IF(OR(G99="",B99="",X99&lt;&gt;"Yes"),"",IF(IFERROR(INDEX(FreqDays,MATCH(O99,FreqNames,0)),0)=0,"",B99+IFERROR(INDEX(FreqDays,MATCH(O99,FreqNames,0)),0)))</f>
        <v>0</v>
      </c>
      <c r="AR99" s="39">
        <f>IF(G99="","",IF(R99="","Unassigned",IF(COUNTIFS($R$5:$R$604,R99,$B$5:$B$604,B99,$F$5:$F$604,F99)&gt;1,"Clash",IF(SUMIFS($AF$5:$AF$604,$R$5:$R$604,R99,$B$5:$B$604,B99)&gt;ProductiveHours,"Long day","OK"))))</f>
        <v>0</v>
      </c>
      <c r="AS99" s="18">
        <f>IF(OR(G99="",B99=""),"",IF(AND(B99&gt;=TodayDate,P99&lt;&gt;"Cancelled"),B99,""))</f>
        <v>0</v>
      </c>
      <c r="AT99" s="31">
        <f>IF(AS99="","",COUNTIFS($AS$5:$AS$604,"&lt;"&amp;AS99)+COUNTIFS($AS$5:AS99,AS99))</f>
        <v>0</v>
      </c>
      <c r="AU99" s="18">
        <f>IF(OR(G99="",B99="",R99&lt;&gt;""),"",IF(AND(B99&gt;=TodayDate,P99&lt;&gt;"Cancelled"),B99,""))</f>
        <v>0</v>
      </c>
      <c r="AV99" s="31">
        <f>IF(AU99="","",COUNTIFS($AU$5:$AU$604,"&lt;"&amp;AU99)+COUNTIFS($AU$5:AU99,AU99))</f>
        <v>0</v>
      </c>
      <c r="AW99" s="31">
        <f>IF(OR(G99="",B99=""),"",B99-TodayDate)</f>
        <v>0</v>
      </c>
      <c r="AX99" s="39">
        <f>IF(G99="","",IF(P99="Cancelled","Cancelled",IF(P99="No access","Action - no access, rebook",IF(AND(B99&lt;&gt;"",AW99&lt;0,OR(P99="Booked",P99="Confirmed",P99="In progress")),"Late - mark it completed",IF(AND(P99="Completed",AP99=""),"Action - not invoiced yet",IF(AND(AW99&gt;=0,AW99&lt;=ReminderDays,Y99&lt;&gt;"Yes"),"Confirm - visit coming up",IF(R99="","Assign - no cleaner booked",IF(AND(P99="Completed",AO99&lt;&gt;"",AO99&lt;1),"Check - checklist unfinished","OK"))))))))</f>
        <v>0</v>
      </c>
    </row>
    <row r="100" spans="1:50">
      <c r="A100" s="43">
        <f>IF(G100="","",JobPrefix&amp;TEXT(ROW()-4,"0000"))</f>
        <v>0</v>
      </c>
      <c r="B100" s="46">
        <v>46319</v>
      </c>
      <c r="C100" s="23">
        <f>IF(B100="","",TEXT(B100,"ddd"))</f>
        <v>0</v>
      </c>
      <c r="D100" s="31">
        <f>IF(B100="","",WEEKNUM(B100,IF(WeekStart="Sunday",1,2)))</f>
        <v>0</v>
      </c>
      <c r="E100" s="23">
        <f>IF(B100="","",TEXT(B100,"yyyy-mm"))</f>
        <v>0</v>
      </c>
      <c r="F100" s="52">
        <v>0.458333333333333</v>
      </c>
      <c r="G100" s="49" t="s">
        <v>818</v>
      </c>
      <c r="H100" s="23">
        <f>IF(G100="","",IFERROR(INDEX(Clients!$B$5:$B$204,MATCH(G100,Clients!$A$5:$A$204,0)),"Not found"))</f>
        <v>0</v>
      </c>
      <c r="I100" s="23">
        <f>IF(G100="","",IFERROR(INDEX(Clients!$C$5:$C$204,MATCH(G100,Clients!$A$5:$A$204,0)),""))</f>
        <v>0</v>
      </c>
      <c r="J100" s="49" t="s">
        <v>1143</v>
      </c>
      <c r="K100" s="23">
        <f>IF(J100="","",IFERROR(INDEX(Properties!$B$5:$B$254,MATCH(J100,Properties!$A$5:$A$254,0)),""))</f>
        <v>0</v>
      </c>
      <c r="L100" s="23">
        <f>IF(J100="","",IFERROR(INDEX(Properties!$F$5:$F$254,MATCH(J100,Properties!$A$5:$A$254,0)),""))</f>
        <v>0</v>
      </c>
      <c r="M100" s="15" t="s">
        <v>821</v>
      </c>
      <c r="N100" s="15" t="s">
        <v>1133</v>
      </c>
      <c r="O100" s="15" t="s">
        <v>451</v>
      </c>
      <c r="P100" s="45" t="s">
        <v>1163</v>
      </c>
      <c r="Q100" s="15" t="s">
        <v>448</v>
      </c>
      <c r="R100" s="15" t="s">
        <v>596</v>
      </c>
      <c r="S100" s="15" t="s">
        <v>172</v>
      </c>
      <c r="T100" s="16">
        <v>1</v>
      </c>
      <c r="W100" s="17">
        <v>5.8</v>
      </c>
      <c r="X100" s="47" t="s">
        <v>454</v>
      </c>
      <c r="Y100" s="47" t="s">
        <v>457</v>
      </c>
      <c r="AA100" s="47" t="s">
        <v>172</v>
      </c>
      <c r="AB100" s="44" t="s">
        <v>172</v>
      </c>
      <c r="AC100" s="44" t="s">
        <v>172</v>
      </c>
      <c r="AD100" s="34">
        <f>IF(G100="","",IF(U100&lt;&gt;"",U100,IF(AND(IFERROR(INDEX(Services!$D$5:$D$64,MATCH(M100,Services!$B$5:$B$64,0)),"")="Per hour",IFERROR(INDEX(Properties!$X$5:$X$254,MATCH(J100,Properties!$A$5:$A$254,0)),0)&gt;0),IFERROR(INDEX(Properties!$X$5:$X$254,MATCH(J100,Properties!$A$5:$A$254,0)),0),IF(IFERROR(INDEX(Services!$G$5:$G$64,MATCH(M100,Services!$B$5:$B$64,0)),0)&gt;0,IFERROR(INDEX(Services!$G$5:$G$64,MATCH(M100,Services!$B$5:$B$64,0)),0),IFERROR(INDEX(Properties!$X$5:$X$254,MATCH(J100,Properties!$A$5:$A$254,0)),0)))))</f>
        <v>0</v>
      </c>
      <c r="AE100" s="31">
        <f>IF(G100="","",IF(T100="",CleanersPerJob,MAX(1,T100)))</f>
        <v>0</v>
      </c>
      <c r="AF100" s="34">
        <f>IF(G100="","",ROUND(AD100/AE100,2))</f>
        <v>0</v>
      </c>
      <c r="AG100" s="53">
        <f>IF(OR(G100="",F100="",AF100=""),"",F100+AF100/24)</f>
        <v>0</v>
      </c>
      <c r="AH100" s="21">
        <f>IF(G100="","",IF(IFERROR(INDEX(Clients!$O$5:$O$204,MATCH(G100,Clients!$A$5:$A$204,0)),0)&gt;0,IFERROR(INDEX(Clients!$O$5:$O$204,MATCH(G100,Clients!$A$5:$A$204,0)),0),HourlyRate))</f>
        <v>0</v>
      </c>
      <c r="AI100" s="21">
        <f>IF(G100="","",IF(AND(M100&lt;&gt;"",IFERROR(INDEX(Services!$P$5:$P$64,MATCH(M100,Services!$B$5:$B$64,0)),0)&gt;0,IFERROR(INDEX(Services!$D$5:$D$64,MATCH(M100,Services!$B$5:$B$64,0)),"")&lt;&gt;"Per hour"),IFERROR(INDEX(Services!$P$5:$P$64,MATCH(M100,Services!$B$5:$B$64,0)),0),AD100*AH100))</f>
        <v>0</v>
      </c>
      <c r="AJ100" s="21">
        <f>IF(G100="","",IF(V100&lt;&gt;"",V100,IF(P100="Cancelled",0,MAX(MinimumCharge,ROUND(AI100*IFERROR(INDEX(FreqFactors,MATCH(O100,FreqNames,0)),1),2)))))</f>
        <v>0</v>
      </c>
      <c r="AK100" s="34">
        <f>IF(G100="","",IF(SUMIFS(Timesheets!$U$5:$U$804,Timesheets!$G$5:$G$804,A100)&gt;0,SUMIFS(Timesheets!$U$5:$U$804,Timesheets!$G$5:$G$804,A100),IF(Z100="","",Z100)))</f>
        <v>0</v>
      </c>
      <c r="AL100" s="34">
        <f>IF(OR(AK100="",AD100=""),"",AK100-AD100)</f>
        <v>0</v>
      </c>
      <c r="AM100" s="31">
        <f>IF(A100="","",COUNTIFS('Job Tasks'!$B$5:$B$904,A100))</f>
        <v>0</v>
      </c>
      <c r="AN100" s="31">
        <f>IF(A100="","",COUNTIFS('Job Tasks'!$B$5:$B$904,A100,'Job Tasks'!$H$5:$H$904,"Done"))</f>
        <v>0</v>
      </c>
      <c r="AO100" s="38">
        <f>IF(OR(A100="",AM100=0),"",AN100/AM100)</f>
        <v>0</v>
      </c>
      <c r="AP100" s="43">
        <f>IF(A100="","",IFERROR(INDEX('Invoice Lines'!$B$5:$B$804,MATCH(A100,'Invoice Lines'!$C$5:$C$804,0)),""))</f>
        <v>0</v>
      </c>
      <c r="AQ100" s="18">
        <f>IF(OR(G100="",B100="",X100&lt;&gt;"Yes"),"",IF(IFERROR(INDEX(FreqDays,MATCH(O100,FreqNames,0)),0)=0,"",B100+IFERROR(INDEX(FreqDays,MATCH(O100,FreqNames,0)),0)))</f>
        <v>0</v>
      </c>
      <c r="AR100" s="39">
        <f>IF(G100="","",IF(R100="","Unassigned",IF(COUNTIFS($R$5:$R$604,R100,$B$5:$B$604,B100,$F$5:$F$604,F100)&gt;1,"Clash",IF(SUMIFS($AF$5:$AF$604,$R$5:$R$604,R100,$B$5:$B$604,B100)&gt;ProductiveHours,"Long day","OK"))))</f>
        <v>0</v>
      </c>
      <c r="AS100" s="18">
        <f>IF(OR(G100="",B100=""),"",IF(AND(B100&gt;=TodayDate,P100&lt;&gt;"Cancelled"),B100,""))</f>
        <v>0</v>
      </c>
      <c r="AT100" s="31">
        <f>IF(AS100="","",COUNTIFS($AS$5:$AS$604,"&lt;"&amp;AS100)+COUNTIFS($AS$5:AS100,AS100))</f>
        <v>0</v>
      </c>
      <c r="AU100" s="18">
        <f>IF(OR(G100="",B100="",R100&lt;&gt;""),"",IF(AND(B100&gt;=TodayDate,P100&lt;&gt;"Cancelled"),B100,""))</f>
        <v>0</v>
      </c>
      <c r="AV100" s="31">
        <f>IF(AU100="","",COUNTIFS($AU$5:$AU$604,"&lt;"&amp;AU100)+COUNTIFS($AU$5:AU100,AU100))</f>
        <v>0</v>
      </c>
      <c r="AW100" s="31">
        <f>IF(OR(G100="",B100=""),"",B100-TodayDate)</f>
        <v>0</v>
      </c>
      <c r="AX100" s="39">
        <f>IF(G100="","",IF(P100="Cancelled","Cancelled",IF(P100="No access","Action - no access, rebook",IF(AND(B100&lt;&gt;"",AW100&lt;0,OR(P100="Booked",P100="Confirmed",P100="In progress")),"Late - mark it completed",IF(AND(P100="Completed",AP100=""),"Action - not invoiced yet",IF(AND(AW100&gt;=0,AW100&lt;=ReminderDays,Y100&lt;&gt;"Yes"),"Confirm - visit coming up",IF(R100="","Assign - no cleaner booked",IF(AND(P100="Completed",AO100&lt;&gt;"",AO100&lt;1),"Check - checklist unfinished","OK"))))))))</f>
        <v>0</v>
      </c>
    </row>
    <row r="101" spans="1:50">
      <c r="A101" s="43">
        <f>IF(G101="","",JobPrefix&amp;TEXT(ROW()-4,"0000"))</f>
        <v>0</v>
      </c>
      <c r="B101" s="46">
        <v>46319</v>
      </c>
      <c r="C101" s="23">
        <f>IF(B101="","",TEXT(B101,"ddd"))</f>
        <v>0</v>
      </c>
      <c r="D101" s="31">
        <f>IF(B101="","",WEEKNUM(B101,IF(WeekStart="Sunday",1,2)))</f>
        <v>0</v>
      </c>
      <c r="E101" s="23">
        <f>IF(B101="","",TEXT(B101,"yyyy-mm"))</f>
        <v>0</v>
      </c>
      <c r="F101" s="52">
        <v>0.583333333333333</v>
      </c>
      <c r="G101" s="49" t="s">
        <v>818</v>
      </c>
      <c r="H101" s="23">
        <f>IF(G101="","",IFERROR(INDEX(Clients!$B$5:$B$204,MATCH(G101,Clients!$A$5:$A$204,0)),"Not found"))</f>
        <v>0</v>
      </c>
      <c r="I101" s="23">
        <f>IF(G101="","",IFERROR(INDEX(Clients!$C$5:$C$204,MATCH(G101,Clients!$A$5:$A$204,0)),""))</f>
        <v>0</v>
      </c>
      <c r="J101" s="49" t="s">
        <v>1144</v>
      </c>
      <c r="K101" s="23">
        <f>IF(J101="","",IFERROR(INDEX(Properties!$B$5:$B$254,MATCH(J101,Properties!$A$5:$A$254,0)),""))</f>
        <v>0</v>
      </c>
      <c r="L101" s="23">
        <f>IF(J101="","",IFERROR(INDEX(Properties!$F$5:$F$254,MATCH(J101,Properties!$A$5:$A$254,0)),""))</f>
        <v>0</v>
      </c>
      <c r="M101" s="15" t="s">
        <v>821</v>
      </c>
      <c r="N101" s="15" t="s">
        <v>1133</v>
      </c>
      <c r="O101" s="15" t="s">
        <v>451</v>
      </c>
      <c r="P101" s="45" t="s">
        <v>1163</v>
      </c>
      <c r="Q101" s="15" t="s">
        <v>448</v>
      </c>
      <c r="R101" s="15" t="s">
        <v>596</v>
      </c>
      <c r="S101" s="15" t="s">
        <v>172</v>
      </c>
      <c r="T101" s="16">
        <v>1</v>
      </c>
      <c r="W101" s="17">
        <v>6.8</v>
      </c>
      <c r="X101" s="47" t="s">
        <v>454</v>
      </c>
      <c r="Y101" s="47" t="s">
        <v>457</v>
      </c>
      <c r="AA101" s="47" t="s">
        <v>172</v>
      </c>
      <c r="AB101" s="44" t="s">
        <v>172</v>
      </c>
      <c r="AC101" s="44" t="s">
        <v>172</v>
      </c>
      <c r="AD101" s="34">
        <f>IF(G101="","",IF(U101&lt;&gt;"",U101,IF(AND(IFERROR(INDEX(Services!$D$5:$D$64,MATCH(M101,Services!$B$5:$B$64,0)),"")="Per hour",IFERROR(INDEX(Properties!$X$5:$X$254,MATCH(J101,Properties!$A$5:$A$254,0)),0)&gt;0),IFERROR(INDEX(Properties!$X$5:$X$254,MATCH(J101,Properties!$A$5:$A$254,0)),0),IF(IFERROR(INDEX(Services!$G$5:$G$64,MATCH(M101,Services!$B$5:$B$64,0)),0)&gt;0,IFERROR(INDEX(Services!$G$5:$G$64,MATCH(M101,Services!$B$5:$B$64,0)),0),IFERROR(INDEX(Properties!$X$5:$X$254,MATCH(J101,Properties!$A$5:$A$254,0)),0)))))</f>
        <v>0</v>
      </c>
      <c r="AE101" s="31">
        <f>IF(G101="","",IF(T101="",CleanersPerJob,MAX(1,T101)))</f>
        <v>0</v>
      </c>
      <c r="AF101" s="34">
        <f>IF(G101="","",ROUND(AD101/AE101,2))</f>
        <v>0</v>
      </c>
      <c r="AG101" s="53">
        <f>IF(OR(G101="",F101="",AF101=""),"",F101+AF101/24)</f>
        <v>0</v>
      </c>
      <c r="AH101" s="21">
        <f>IF(G101="","",IF(IFERROR(INDEX(Clients!$O$5:$O$204,MATCH(G101,Clients!$A$5:$A$204,0)),0)&gt;0,IFERROR(INDEX(Clients!$O$5:$O$204,MATCH(G101,Clients!$A$5:$A$204,0)),0),HourlyRate))</f>
        <v>0</v>
      </c>
      <c r="AI101" s="21">
        <f>IF(G101="","",IF(AND(M101&lt;&gt;"",IFERROR(INDEX(Services!$P$5:$P$64,MATCH(M101,Services!$B$5:$B$64,0)),0)&gt;0,IFERROR(INDEX(Services!$D$5:$D$64,MATCH(M101,Services!$B$5:$B$64,0)),"")&lt;&gt;"Per hour"),IFERROR(INDEX(Services!$P$5:$P$64,MATCH(M101,Services!$B$5:$B$64,0)),0),AD101*AH101))</f>
        <v>0</v>
      </c>
      <c r="AJ101" s="21">
        <f>IF(G101="","",IF(V101&lt;&gt;"",V101,IF(P101="Cancelled",0,MAX(MinimumCharge,ROUND(AI101*IFERROR(INDEX(FreqFactors,MATCH(O101,FreqNames,0)),1),2)))))</f>
        <v>0</v>
      </c>
      <c r="AK101" s="34">
        <f>IF(G101="","",IF(SUMIFS(Timesheets!$U$5:$U$804,Timesheets!$G$5:$G$804,A101)&gt;0,SUMIFS(Timesheets!$U$5:$U$804,Timesheets!$G$5:$G$804,A101),IF(Z101="","",Z101)))</f>
        <v>0</v>
      </c>
      <c r="AL101" s="34">
        <f>IF(OR(AK101="",AD101=""),"",AK101-AD101)</f>
        <v>0</v>
      </c>
      <c r="AM101" s="31">
        <f>IF(A101="","",COUNTIFS('Job Tasks'!$B$5:$B$904,A101))</f>
        <v>0</v>
      </c>
      <c r="AN101" s="31">
        <f>IF(A101="","",COUNTIFS('Job Tasks'!$B$5:$B$904,A101,'Job Tasks'!$H$5:$H$904,"Done"))</f>
        <v>0</v>
      </c>
      <c r="AO101" s="38">
        <f>IF(OR(A101="",AM101=0),"",AN101/AM101)</f>
        <v>0</v>
      </c>
      <c r="AP101" s="43">
        <f>IF(A101="","",IFERROR(INDEX('Invoice Lines'!$B$5:$B$804,MATCH(A101,'Invoice Lines'!$C$5:$C$804,0)),""))</f>
        <v>0</v>
      </c>
      <c r="AQ101" s="18">
        <f>IF(OR(G101="",B101="",X101&lt;&gt;"Yes"),"",IF(IFERROR(INDEX(FreqDays,MATCH(O101,FreqNames,0)),0)=0,"",B101+IFERROR(INDEX(FreqDays,MATCH(O101,FreqNames,0)),0)))</f>
        <v>0</v>
      </c>
      <c r="AR101" s="39">
        <f>IF(G101="","",IF(R101="","Unassigned",IF(COUNTIFS($R$5:$R$604,R101,$B$5:$B$604,B101,$F$5:$F$604,F101)&gt;1,"Clash",IF(SUMIFS($AF$5:$AF$604,$R$5:$R$604,R101,$B$5:$B$604,B101)&gt;ProductiveHours,"Long day","OK"))))</f>
        <v>0</v>
      </c>
      <c r="AS101" s="18">
        <f>IF(OR(G101="",B101=""),"",IF(AND(B101&gt;=TodayDate,P101&lt;&gt;"Cancelled"),B101,""))</f>
        <v>0</v>
      </c>
      <c r="AT101" s="31">
        <f>IF(AS101="","",COUNTIFS($AS$5:$AS$604,"&lt;"&amp;AS101)+COUNTIFS($AS$5:AS101,AS101))</f>
        <v>0</v>
      </c>
      <c r="AU101" s="18">
        <f>IF(OR(G101="",B101="",R101&lt;&gt;""),"",IF(AND(B101&gt;=TodayDate,P101&lt;&gt;"Cancelled"),B101,""))</f>
        <v>0</v>
      </c>
      <c r="AV101" s="31">
        <f>IF(AU101="","",COUNTIFS($AU$5:$AU$604,"&lt;"&amp;AU101)+COUNTIFS($AU$5:AU101,AU101))</f>
        <v>0</v>
      </c>
      <c r="AW101" s="31">
        <f>IF(OR(G101="",B101=""),"",B101-TodayDate)</f>
        <v>0</v>
      </c>
      <c r="AX101" s="39">
        <f>IF(G101="","",IF(P101="Cancelled","Cancelled",IF(P101="No access","Action - no access, rebook",IF(AND(B101&lt;&gt;"",AW101&lt;0,OR(P101="Booked",P101="Confirmed",P101="In progress")),"Late - mark it completed",IF(AND(P101="Completed",AP101=""),"Action - not invoiced yet",IF(AND(AW101&gt;=0,AW101&lt;=ReminderDays,Y101&lt;&gt;"Yes"),"Confirm - visit coming up",IF(R101="","Assign - no cleaner booked",IF(AND(P101="Completed",AO101&lt;&gt;"",AO101&lt;1),"Check - checklist unfinished","OK"))))))))</f>
        <v>0</v>
      </c>
    </row>
    <row r="102" spans="1:50">
      <c r="A102" s="43">
        <f>IF(G102="","",JobPrefix&amp;TEXT(ROW()-4,"0000"))</f>
        <v>0</v>
      </c>
      <c r="B102" s="46">
        <v>46319</v>
      </c>
      <c r="C102" s="23">
        <f>IF(B102="","",TEXT(B102,"ddd"))</f>
        <v>0</v>
      </c>
      <c r="D102" s="31">
        <f>IF(B102="","",WEEKNUM(B102,IF(WeekStart="Sunday",1,2)))</f>
        <v>0</v>
      </c>
      <c r="E102" s="23">
        <f>IF(B102="","",TEXT(B102,"yyyy-mm"))</f>
        <v>0</v>
      </c>
      <c r="F102" s="52">
        <v>0.75</v>
      </c>
      <c r="G102" s="49" t="s">
        <v>773</v>
      </c>
      <c r="H102" s="23">
        <f>IF(G102="","",IFERROR(INDEX(Clients!$B$5:$B$204,MATCH(G102,Clients!$A$5:$A$204,0)),"Not found"))</f>
        <v>0</v>
      </c>
      <c r="I102" s="23">
        <f>IF(G102="","",IFERROR(INDEX(Clients!$C$5:$C$204,MATCH(G102,Clients!$A$5:$A$204,0)),""))</f>
        <v>0</v>
      </c>
      <c r="J102" s="49" t="s">
        <v>1134</v>
      </c>
      <c r="K102" s="23">
        <f>IF(J102="","",IFERROR(INDEX(Properties!$B$5:$B$254,MATCH(J102,Properties!$A$5:$A$254,0)),""))</f>
        <v>0</v>
      </c>
      <c r="L102" s="23">
        <f>IF(J102="","",IFERROR(INDEX(Properties!$F$5:$F$254,MATCH(J102,Properties!$A$5:$A$254,0)),""))</f>
        <v>0</v>
      </c>
      <c r="M102" s="15" t="s">
        <v>1002</v>
      </c>
      <c r="N102" s="15" t="s">
        <v>1150</v>
      </c>
      <c r="O102" s="15" t="s">
        <v>625</v>
      </c>
      <c r="P102" s="45" t="s">
        <v>1163</v>
      </c>
      <c r="Q102" s="15" t="s">
        <v>1151</v>
      </c>
      <c r="R102" s="15" t="s">
        <v>627</v>
      </c>
      <c r="S102" s="15" t="s">
        <v>172</v>
      </c>
      <c r="T102" s="16">
        <v>1</v>
      </c>
      <c r="U102" s="17">
        <v>3</v>
      </c>
      <c r="W102" s="17">
        <v>4.8</v>
      </c>
      <c r="X102" s="47" t="s">
        <v>457</v>
      </c>
      <c r="Y102" s="47" t="s">
        <v>457</v>
      </c>
      <c r="AA102" s="47" t="s">
        <v>172</v>
      </c>
      <c r="AB102" s="44" t="s">
        <v>172</v>
      </c>
      <c r="AC102" s="44" t="s">
        <v>1165</v>
      </c>
      <c r="AD102" s="34">
        <f>IF(G102="","",IF(U102&lt;&gt;"",U102,IF(AND(IFERROR(INDEX(Services!$D$5:$D$64,MATCH(M102,Services!$B$5:$B$64,0)),"")="Per hour",IFERROR(INDEX(Properties!$X$5:$X$254,MATCH(J102,Properties!$A$5:$A$254,0)),0)&gt;0),IFERROR(INDEX(Properties!$X$5:$X$254,MATCH(J102,Properties!$A$5:$A$254,0)),0),IF(IFERROR(INDEX(Services!$G$5:$G$64,MATCH(M102,Services!$B$5:$B$64,0)),0)&gt;0,IFERROR(INDEX(Services!$G$5:$G$64,MATCH(M102,Services!$B$5:$B$64,0)),0),IFERROR(INDEX(Properties!$X$5:$X$254,MATCH(J102,Properties!$A$5:$A$254,0)),0)))))</f>
        <v>0</v>
      </c>
      <c r="AE102" s="31">
        <f>IF(G102="","",IF(T102="",CleanersPerJob,MAX(1,T102)))</f>
        <v>0</v>
      </c>
      <c r="AF102" s="34">
        <f>IF(G102="","",ROUND(AD102/AE102,2))</f>
        <v>0</v>
      </c>
      <c r="AG102" s="53">
        <f>IF(OR(G102="",F102="",AF102=""),"",F102+AF102/24)</f>
        <v>0</v>
      </c>
      <c r="AH102" s="21">
        <f>IF(G102="","",IF(IFERROR(INDEX(Clients!$O$5:$O$204,MATCH(G102,Clients!$A$5:$A$204,0)),0)&gt;0,IFERROR(INDEX(Clients!$O$5:$O$204,MATCH(G102,Clients!$A$5:$A$204,0)),0),HourlyRate))</f>
        <v>0</v>
      </c>
      <c r="AI102" s="21">
        <f>IF(G102="","",IF(AND(M102&lt;&gt;"",IFERROR(INDEX(Services!$P$5:$P$64,MATCH(M102,Services!$B$5:$B$64,0)),0)&gt;0,IFERROR(INDEX(Services!$D$5:$D$64,MATCH(M102,Services!$B$5:$B$64,0)),"")&lt;&gt;"Per hour"),IFERROR(INDEX(Services!$P$5:$P$64,MATCH(M102,Services!$B$5:$B$64,0)),0),AD102*AH102))</f>
        <v>0</v>
      </c>
      <c r="AJ102" s="21">
        <f>IF(G102="","",IF(V102&lt;&gt;"",V102,IF(P102="Cancelled",0,MAX(MinimumCharge,ROUND(AI102*IFERROR(INDEX(FreqFactors,MATCH(O102,FreqNames,0)),1),2)))))</f>
        <v>0</v>
      </c>
      <c r="AK102" s="34">
        <f>IF(G102="","",IF(SUMIFS(Timesheets!$U$5:$U$804,Timesheets!$G$5:$G$804,A102)&gt;0,SUMIFS(Timesheets!$U$5:$U$804,Timesheets!$G$5:$G$804,A102),IF(Z102="","",Z102)))</f>
        <v>0</v>
      </c>
      <c r="AL102" s="34">
        <f>IF(OR(AK102="",AD102=""),"",AK102-AD102)</f>
        <v>0</v>
      </c>
      <c r="AM102" s="31">
        <f>IF(A102="","",COUNTIFS('Job Tasks'!$B$5:$B$904,A102))</f>
        <v>0</v>
      </c>
      <c r="AN102" s="31">
        <f>IF(A102="","",COUNTIFS('Job Tasks'!$B$5:$B$904,A102,'Job Tasks'!$H$5:$H$904,"Done"))</f>
        <v>0</v>
      </c>
      <c r="AO102" s="38">
        <f>IF(OR(A102="",AM102=0),"",AN102/AM102)</f>
        <v>0</v>
      </c>
      <c r="AP102" s="43">
        <f>IF(A102="","",IFERROR(INDEX('Invoice Lines'!$B$5:$B$804,MATCH(A102,'Invoice Lines'!$C$5:$C$804,0)),""))</f>
        <v>0</v>
      </c>
      <c r="AQ102" s="18">
        <f>IF(OR(G102="",B102="",X102&lt;&gt;"Yes"),"",IF(IFERROR(INDEX(FreqDays,MATCH(O102,FreqNames,0)),0)=0,"",B102+IFERROR(INDEX(FreqDays,MATCH(O102,FreqNames,0)),0)))</f>
        <v>0</v>
      </c>
      <c r="AR102" s="39">
        <f>IF(G102="","",IF(R102="","Unassigned",IF(COUNTIFS($R$5:$R$604,R102,$B$5:$B$604,B102,$F$5:$F$604,F102)&gt;1,"Clash",IF(SUMIFS($AF$5:$AF$604,$R$5:$R$604,R102,$B$5:$B$604,B102)&gt;ProductiveHours,"Long day","OK"))))</f>
        <v>0</v>
      </c>
      <c r="AS102" s="18">
        <f>IF(OR(G102="",B102=""),"",IF(AND(B102&gt;=TodayDate,P102&lt;&gt;"Cancelled"),B102,""))</f>
        <v>0</v>
      </c>
      <c r="AT102" s="31">
        <f>IF(AS102="","",COUNTIFS($AS$5:$AS$604,"&lt;"&amp;AS102)+COUNTIFS($AS$5:AS102,AS102))</f>
        <v>0</v>
      </c>
      <c r="AU102" s="18">
        <f>IF(OR(G102="",B102="",R102&lt;&gt;""),"",IF(AND(B102&gt;=TodayDate,P102&lt;&gt;"Cancelled"),B102,""))</f>
        <v>0</v>
      </c>
      <c r="AV102" s="31">
        <f>IF(AU102="","",COUNTIFS($AU$5:$AU$604,"&lt;"&amp;AU102)+COUNTIFS($AU$5:AU102,AU102))</f>
        <v>0</v>
      </c>
      <c r="AW102" s="31">
        <f>IF(OR(G102="",B102=""),"",B102-TodayDate)</f>
        <v>0</v>
      </c>
      <c r="AX102" s="39">
        <f>IF(G102="","",IF(P102="Cancelled","Cancelled",IF(P102="No access","Action - no access, rebook",IF(AND(B102&lt;&gt;"",AW102&lt;0,OR(P102="Booked",P102="Confirmed",P102="In progress")),"Late - mark it completed",IF(AND(P102="Completed",AP102=""),"Action - not invoiced yet",IF(AND(AW102&gt;=0,AW102&lt;=ReminderDays,Y102&lt;&gt;"Yes"),"Confirm - visit coming up",IF(R102="","Assign - no cleaner booked",IF(AND(P102="Completed",AO102&lt;&gt;"",AO102&lt;1),"Check - checklist unfinished","OK"))))))))</f>
        <v>0</v>
      </c>
    </row>
    <row r="103" spans="1:50">
      <c r="A103" s="43">
        <f>IF(G103="","",JobPrefix&amp;TEXT(ROW()-4,"0000"))</f>
        <v>0</v>
      </c>
      <c r="B103" s="46">
        <v>46320</v>
      </c>
      <c r="C103" s="23">
        <f>IF(B103="","",TEXT(B103,"ddd"))</f>
        <v>0</v>
      </c>
      <c r="D103" s="31">
        <f>IF(B103="","",WEEKNUM(B103,IF(WeekStart="Sunday",1,2)))</f>
        <v>0</v>
      </c>
      <c r="E103" s="23">
        <f>IF(B103="","",TEXT(B103,"yyyy-mm"))</f>
        <v>0</v>
      </c>
      <c r="F103" s="52">
        <v>0.291666666666667</v>
      </c>
      <c r="G103" s="49" t="s">
        <v>793</v>
      </c>
      <c r="H103" s="23">
        <f>IF(G103="","",IFERROR(INDEX(Clients!$B$5:$B$204,MATCH(G103,Clients!$A$5:$A$204,0)),"Not found"))</f>
        <v>0</v>
      </c>
      <c r="I103" s="23">
        <f>IF(G103="","",IFERROR(INDEX(Clients!$C$5:$C$204,MATCH(G103,Clients!$A$5:$A$204,0)),""))</f>
        <v>0</v>
      </c>
      <c r="J103" s="49" t="s">
        <v>1145</v>
      </c>
      <c r="K103" s="23">
        <f>IF(J103="","",IFERROR(INDEX(Properties!$B$5:$B$254,MATCH(J103,Properties!$A$5:$A$254,0)),""))</f>
        <v>0</v>
      </c>
      <c r="L103" s="23">
        <f>IF(J103="","",IFERROR(INDEX(Properties!$F$5:$F$254,MATCH(J103,Properties!$A$5:$A$254,0)),""))</f>
        <v>0</v>
      </c>
      <c r="M103" s="15" t="s">
        <v>797</v>
      </c>
      <c r="N103" s="15" t="s">
        <v>1133</v>
      </c>
      <c r="O103" s="15" t="s">
        <v>451</v>
      </c>
      <c r="P103" s="45" t="s">
        <v>1163</v>
      </c>
      <c r="Q103" s="15" t="s">
        <v>448</v>
      </c>
      <c r="R103" s="15" t="s">
        <v>639</v>
      </c>
      <c r="S103" s="15" t="s">
        <v>172</v>
      </c>
      <c r="T103" s="16">
        <v>1</v>
      </c>
      <c r="W103" s="17">
        <v>10</v>
      </c>
      <c r="X103" s="47" t="s">
        <v>454</v>
      </c>
      <c r="Y103" s="47" t="s">
        <v>457</v>
      </c>
      <c r="AA103" s="47" t="s">
        <v>172</v>
      </c>
      <c r="AB103" s="44" t="s">
        <v>172</v>
      </c>
      <c r="AC103" s="44" t="s">
        <v>172</v>
      </c>
      <c r="AD103" s="34">
        <f>IF(G103="","",IF(U103&lt;&gt;"",U103,IF(AND(IFERROR(INDEX(Services!$D$5:$D$64,MATCH(M103,Services!$B$5:$B$64,0)),"")="Per hour",IFERROR(INDEX(Properties!$X$5:$X$254,MATCH(J103,Properties!$A$5:$A$254,0)),0)&gt;0),IFERROR(INDEX(Properties!$X$5:$X$254,MATCH(J103,Properties!$A$5:$A$254,0)),0),IF(IFERROR(INDEX(Services!$G$5:$G$64,MATCH(M103,Services!$B$5:$B$64,0)),0)&gt;0,IFERROR(INDEX(Services!$G$5:$G$64,MATCH(M103,Services!$B$5:$B$64,0)),0),IFERROR(INDEX(Properties!$X$5:$X$254,MATCH(J103,Properties!$A$5:$A$254,0)),0)))))</f>
        <v>0</v>
      </c>
      <c r="AE103" s="31">
        <f>IF(G103="","",IF(T103="",CleanersPerJob,MAX(1,T103)))</f>
        <v>0</v>
      </c>
      <c r="AF103" s="34">
        <f>IF(G103="","",ROUND(AD103/AE103,2))</f>
        <v>0</v>
      </c>
      <c r="AG103" s="53">
        <f>IF(OR(G103="",F103="",AF103=""),"",F103+AF103/24)</f>
        <v>0</v>
      </c>
      <c r="AH103" s="21">
        <f>IF(G103="","",IF(IFERROR(INDEX(Clients!$O$5:$O$204,MATCH(G103,Clients!$A$5:$A$204,0)),0)&gt;0,IFERROR(INDEX(Clients!$O$5:$O$204,MATCH(G103,Clients!$A$5:$A$204,0)),0),HourlyRate))</f>
        <v>0</v>
      </c>
      <c r="AI103" s="21">
        <f>IF(G103="","",IF(AND(M103&lt;&gt;"",IFERROR(INDEX(Services!$P$5:$P$64,MATCH(M103,Services!$B$5:$B$64,0)),0)&gt;0,IFERROR(INDEX(Services!$D$5:$D$64,MATCH(M103,Services!$B$5:$B$64,0)),"")&lt;&gt;"Per hour"),IFERROR(INDEX(Services!$P$5:$P$64,MATCH(M103,Services!$B$5:$B$64,0)),0),AD103*AH103))</f>
        <v>0</v>
      </c>
      <c r="AJ103" s="21">
        <f>IF(G103="","",IF(V103&lt;&gt;"",V103,IF(P103="Cancelled",0,MAX(MinimumCharge,ROUND(AI103*IFERROR(INDEX(FreqFactors,MATCH(O103,FreqNames,0)),1),2)))))</f>
        <v>0</v>
      </c>
      <c r="AK103" s="34">
        <f>IF(G103="","",IF(SUMIFS(Timesheets!$U$5:$U$804,Timesheets!$G$5:$G$804,A103)&gt;0,SUMIFS(Timesheets!$U$5:$U$804,Timesheets!$G$5:$G$804,A103),IF(Z103="","",Z103)))</f>
        <v>0</v>
      </c>
      <c r="AL103" s="34">
        <f>IF(OR(AK103="",AD103=""),"",AK103-AD103)</f>
        <v>0</v>
      </c>
      <c r="AM103" s="31">
        <f>IF(A103="","",COUNTIFS('Job Tasks'!$B$5:$B$904,A103))</f>
        <v>0</v>
      </c>
      <c r="AN103" s="31">
        <f>IF(A103="","",COUNTIFS('Job Tasks'!$B$5:$B$904,A103,'Job Tasks'!$H$5:$H$904,"Done"))</f>
        <v>0</v>
      </c>
      <c r="AO103" s="38">
        <f>IF(OR(A103="",AM103=0),"",AN103/AM103)</f>
        <v>0</v>
      </c>
      <c r="AP103" s="43">
        <f>IF(A103="","",IFERROR(INDEX('Invoice Lines'!$B$5:$B$804,MATCH(A103,'Invoice Lines'!$C$5:$C$804,0)),""))</f>
        <v>0</v>
      </c>
      <c r="AQ103" s="18">
        <f>IF(OR(G103="",B103="",X103&lt;&gt;"Yes"),"",IF(IFERROR(INDEX(FreqDays,MATCH(O103,FreqNames,0)),0)=0,"",B103+IFERROR(INDEX(FreqDays,MATCH(O103,FreqNames,0)),0)))</f>
        <v>0</v>
      </c>
      <c r="AR103" s="39">
        <f>IF(G103="","",IF(R103="","Unassigned",IF(COUNTIFS($R$5:$R$604,R103,$B$5:$B$604,B103,$F$5:$F$604,F103)&gt;1,"Clash",IF(SUMIFS($AF$5:$AF$604,$R$5:$R$604,R103,$B$5:$B$604,B103)&gt;ProductiveHours,"Long day","OK"))))</f>
        <v>0</v>
      </c>
      <c r="AS103" s="18">
        <f>IF(OR(G103="",B103=""),"",IF(AND(B103&gt;=TodayDate,P103&lt;&gt;"Cancelled"),B103,""))</f>
        <v>0</v>
      </c>
      <c r="AT103" s="31">
        <f>IF(AS103="","",COUNTIFS($AS$5:$AS$604,"&lt;"&amp;AS103)+COUNTIFS($AS$5:AS103,AS103))</f>
        <v>0</v>
      </c>
      <c r="AU103" s="18">
        <f>IF(OR(G103="",B103="",R103&lt;&gt;""),"",IF(AND(B103&gt;=TodayDate,P103&lt;&gt;"Cancelled"),B103,""))</f>
        <v>0</v>
      </c>
      <c r="AV103" s="31">
        <f>IF(AU103="","",COUNTIFS($AU$5:$AU$604,"&lt;"&amp;AU103)+COUNTIFS($AU$5:AU103,AU103))</f>
        <v>0</v>
      </c>
      <c r="AW103" s="31">
        <f>IF(OR(G103="",B103=""),"",B103-TodayDate)</f>
        <v>0</v>
      </c>
      <c r="AX103" s="39">
        <f>IF(G103="","",IF(P103="Cancelled","Cancelled",IF(P103="No access","Action - no access, rebook",IF(AND(B103&lt;&gt;"",AW103&lt;0,OR(P103="Booked",P103="Confirmed",P103="In progress")),"Late - mark it completed",IF(AND(P103="Completed",AP103=""),"Action - not invoiced yet",IF(AND(AW103&gt;=0,AW103&lt;=ReminderDays,Y103&lt;&gt;"Yes"),"Confirm - visit coming up",IF(R103="","Assign - no cleaner booked",IF(AND(P103="Completed",AO103&lt;&gt;"",AO103&lt;1),"Check - checklist unfinished","OK"))))))))</f>
        <v>0</v>
      </c>
    </row>
    <row r="104" spans="1:50">
      <c r="A104" s="43">
        <f>IF(G104="","",JobPrefix&amp;TEXT(ROW()-4,"0000"))</f>
        <v>0</v>
      </c>
      <c r="B104" s="46">
        <v>46321</v>
      </c>
      <c r="C104" s="23">
        <f>IF(B104="","",TEXT(B104,"ddd"))</f>
        <v>0</v>
      </c>
      <c r="D104" s="31">
        <f>IF(B104="","",WEEKNUM(B104,IF(WeekStart="Sunday",1,2)))</f>
        <v>0</v>
      </c>
      <c r="E104" s="23">
        <f>IF(B104="","",TEXT(B104,"yyyy-mm"))</f>
        <v>0</v>
      </c>
      <c r="F104" s="52">
        <v>0.291666666666667</v>
      </c>
      <c r="G104" s="49" t="s">
        <v>813</v>
      </c>
      <c r="H104" s="23">
        <f>IF(G104="","",IFERROR(INDEX(Clients!$B$5:$B$204,MATCH(G104,Clients!$A$5:$A$204,0)),"Not found"))</f>
        <v>0</v>
      </c>
      <c r="I104" s="23">
        <f>IF(G104="","",IFERROR(INDEX(Clients!$C$5:$C$204,MATCH(G104,Clients!$A$5:$A$204,0)),""))</f>
        <v>0</v>
      </c>
      <c r="J104" s="49" t="s">
        <v>1052</v>
      </c>
      <c r="K104" s="23">
        <f>IF(J104="","",IFERROR(INDEX(Properties!$B$5:$B$254,MATCH(J104,Properties!$A$5:$A$254,0)),""))</f>
        <v>0</v>
      </c>
      <c r="L104" s="23">
        <f>IF(J104="","",IFERROR(INDEX(Properties!$F$5:$F$254,MATCH(J104,Properties!$A$5:$A$254,0)),""))</f>
        <v>0</v>
      </c>
      <c r="M104" s="15" t="s">
        <v>770</v>
      </c>
      <c r="N104" s="15" t="s">
        <v>1133</v>
      </c>
      <c r="O104" s="15" t="s">
        <v>617</v>
      </c>
      <c r="P104" s="45" t="s">
        <v>1163</v>
      </c>
      <c r="Q104" s="15" t="s">
        <v>448</v>
      </c>
      <c r="R104" s="15" t="s">
        <v>664</v>
      </c>
      <c r="S104" s="15" t="s">
        <v>172</v>
      </c>
      <c r="T104" s="16">
        <v>1</v>
      </c>
      <c r="W104" s="17">
        <v>7.6</v>
      </c>
      <c r="X104" s="47" t="s">
        <v>454</v>
      </c>
      <c r="Y104" s="47" t="s">
        <v>457</v>
      </c>
      <c r="AA104" s="47" t="s">
        <v>172</v>
      </c>
      <c r="AB104" s="44" t="s">
        <v>172</v>
      </c>
      <c r="AC104" s="44" t="s">
        <v>172</v>
      </c>
      <c r="AD104" s="34">
        <f>IF(G104="","",IF(U104&lt;&gt;"",U104,IF(AND(IFERROR(INDEX(Services!$D$5:$D$64,MATCH(M104,Services!$B$5:$B$64,0)),"")="Per hour",IFERROR(INDEX(Properties!$X$5:$X$254,MATCH(J104,Properties!$A$5:$A$254,0)),0)&gt;0),IFERROR(INDEX(Properties!$X$5:$X$254,MATCH(J104,Properties!$A$5:$A$254,0)),0),IF(IFERROR(INDEX(Services!$G$5:$G$64,MATCH(M104,Services!$B$5:$B$64,0)),0)&gt;0,IFERROR(INDEX(Services!$G$5:$G$64,MATCH(M104,Services!$B$5:$B$64,0)),0),IFERROR(INDEX(Properties!$X$5:$X$254,MATCH(J104,Properties!$A$5:$A$254,0)),0)))))</f>
        <v>0</v>
      </c>
      <c r="AE104" s="31">
        <f>IF(G104="","",IF(T104="",CleanersPerJob,MAX(1,T104)))</f>
        <v>0</v>
      </c>
      <c r="AF104" s="34">
        <f>IF(G104="","",ROUND(AD104/AE104,2))</f>
        <v>0</v>
      </c>
      <c r="AG104" s="53">
        <f>IF(OR(G104="",F104="",AF104=""),"",F104+AF104/24)</f>
        <v>0</v>
      </c>
      <c r="AH104" s="21">
        <f>IF(G104="","",IF(IFERROR(INDEX(Clients!$O$5:$O$204,MATCH(G104,Clients!$A$5:$A$204,0)),0)&gt;0,IFERROR(INDEX(Clients!$O$5:$O$204,MATCH(G104,Clients!$A$5:$A$204,0)),0),HourlyRate))</f>
        <v>0</v>
      </c>
      <c r="AI104" s="21">
        <f>IF(G104="","",IF(AND(M104&lt;&gt;"",IFERROR(INDEX(Services!$P$5:$P$64,MATCH(M104,Services!$B$5:$B$64,0)),0)&gt;0,IFERROR(INDEX(Services!$D$5:$D$64,MATCH(M104,Services!$B$5:$B$64,0)),"")&lt;&gt;"Per hour"),IFERROR(INDEX(Services!$P$5:$P$64,MATCH(M104,Services!$B$5:$B$64,0)),0),AD104*AH104))</f>
        <v>0</v>
      </c>
      <c r="AJ104" s="21">
        <f>IF(G104="","",IF(V104&lt;&gt;"",V104,IF(P104="Cancelled",0,MAX(MinimumCharge,ROUND(AI104*IFERROR(INDEX(FreqFactors,MATCH(O104,FreqNames,0)),1),2)))))</f>
        <v>0</v>
      </c>
      <c r="AK104" s="34">
        <f>IF(G104="","",IF(SUMIFS(Timesheets!$U$5:$U$804,Timesheets!$G$5:$G$804,A104)&gt;0,SUMIFS(Timesheets!$U$5:$U$804,Timesheets!$G$5:$G$804,A104),IF(Z104="","",Z104)))</f>
        <v>0</v>
      </c>
      <c r="AL104" s="34">
        <f>IF(OR(AK104="",AD104=""),"",AK104-AD104)</f>
        <v>0</v>
      </c>
      <c r="AM104" s="31">
        <f>IF(A104="","",COUNTIFS('Job Tasks'!$B$5:$B$904,A104))</f>
        <v>0</v>
      </c>
      <c r="AN104" s="31">
        <f>IF(A104="","",COUNTIFS('Job Tasks'!$B$5:$B$904,A104,'Job Tasks'!$H$5:$H$904,"Done"))</f>
        <v>0</v>
      </c>
      <c r="AO104" s="38">
        <f>IF(OR(A104="",AM104=0),"",AN104/AM104)</f>
        <v>0</v>
      </c>
      <c r="AP104" s="43">
        <f>IF(A104="","",IFERROR(INDEX('Invoice Lines'!$B$5:$B$804,MATCH(A104,'Invoice Lines'!$C$5:$C$804,0)),""))</f>
        <v>0</v>
      </c>
      <c r="AQ104" s="18">
        <f>IF(OR(G104="",B104="",X104&lt;&gt;"Yes"),"",IF(IFERROR(INDEX(FreqDays,MATCH(O104,FreqNames,0)),0)=0,"",B104+IFERROR(INDEX(FreqDays,MATCH(O104,FreqNames,0)),0)))</f>
        <v>0</v>
      </c>
      <c r="AR104" s="39">
        <f>IF(G104="","",IF(R104="","Unassigned",IF(COUNTIFS($R$5:$R$604,R104,$B$5:$B$604,B104,$F$5:$F$604,F104)&gt;1,"Clash",IF(SUMIFS($AF$5:$AF$604,$R$5:$R$604,R104,$B$5:$B$604,B104)&gt;ProductiveHours,"Long day","OK"))))</f>
        <v>0</v>
      </c>
      <c r="AS104" s="18">
        <f>IF(OR(G104="",B104=""),"",IF(AND(B104&gt;=TodayDate,P104&lt;&gt;"Cancelled"),B104,""))</f>
        <v>0</v>
      </c>
      <c r="AT104" s="31">
        <f>IF(AS104="","",COUNTIFS($AS$5:$AS$604,"&lt;"&amp;AS104)+COUNTIFS($AS$5:AS104,AS104))</f>
        <v>0</v>
      </c>
      <c r="AU104" s="18">
        <f>IF(OR(G104="",B104="",R104&lt;&gt;""),"",IF(AND(B104&gt;=TodayDate,P104&lt;&gt;"Cancelled"),B104,""))</f>
        <v>0</v>
      </c>
      <c r="AV104" s="31">
        <f>IF(AU104="","",COUNTIFS($AU$5:$AU$604,"&lt;"&amp;AU104)+COUNTIFS($AU$5:AU104,AU104))</f>
        <v>0</v>
      </c>
      <c r="AW104" s="31">
        <f>IF(OR(G104="",B104=""),"",B104-TodayDate)</f>
        <v>0</v>
      </c>
      <c r="AX104" s="39">
        <f>IF(G104="","",IF(P104="Cancelled","Cancelled",IF(P104="No access","Action - no access, rebook",IF(AND(B104&lt;&gt;"",AW104&lt;0,OR(P104="Booked",P104="Confirmed",P104="In progress")),"Late - mark it completed",IF(AND(P104="Completed",AP104=""),"Action - not invoiced yet",IF(AND(AW104&gt;=0,AW104&lt;=ReminderDays,Y104&lt;&gt;"Yes"),"Confirm - visit coming up",IF(R104="","Assign - no cleaner booked",IF(AND(P104="Completed",AO104&lt;&gt;"",AO104&lt;1),"Check - checklist unfinished","OK"))))))))</f>
        <v>0</v>
      </c>
    </row>
    <row r="105" spans="1:50">
      <c r="A105" s="43">
        <f>IF(G105="","",JobPrefix&amp;TEXT(ROW()-4,"0000"))</f>
        <v>0</v>
      </c>
      <c r="B105" s="46">
        <v>46321</v>
      </c>
      <c r="C105" s="23">
        <f>IF(B105="","",TEXT(B105,"ddd"))</f>
        <v>0</v>
      </c>
      <c r="D105" s="31">
        <f>IF(B105="","",WEEKNUM(B105,IF(WeekStart="Sunday",1,2)))</f>
        <v>0</v>
      </c>
      <c r="E105" s="23">
        <f>IF(B105="","",TEXT(B105,"yyyy-mm"))</f>
        <v>0</v>
      </c>
      <c r="F105" s="52">
        <v>0.770833333333333</v>
      </c>
      <c r="G105" s="49" t="s">
        <v>773</v>
      </c>
      <c r="H105" s="23">
        <f>IF(G105="","",IFERROR(INDEX(Clients!$B$5:$B$204,MATCH(G105,Clients!$A$5:$A$204,0)),"Not found"))</f>
        <v>0</v>
      </c>
      <c r="I105" s="23">
        <f>IF(G105="","",IFERROR(INDEX(Clients!$C$5:$C$204,MATCH(G105,Clients!$A$5:$A$204,0)),""))</f>
        <v>0</v>
      </c>
      <c r="J105" s="49" t="s">
        <v>1134</v>
      </c>
      <c r="K105" s="23">
        <f>IF(J105="","",IFERROR(INDEX(Properties!$B$5:$B$254,MATCH(J105,Properties!$A$5:$A$254,0)),""))</f>
        <v>0</v>
      </c>
      <c r="L105" s="23">
        <f>IF(J105="","",IFERROR(INDEX(Properties!$F$5:$F$254,MATCH(J105,Properties!$A$5:$A$254,0)),""))</f>
        <v>0</v>
      </c>
      <c r="M105" s="15" t="s">
        <v>770</v>
      </c>
      <c r="N105" s="15" t="s">
        <v>1133</v>
      </c>
      <c r="O105" s="15" t="s">
        <v>617</v>
      </c>
      <c r="P105" s="45" t="s">
        <v>1163</v>
      </c>
      <c r="Q105" s="15" t="s">
        <v>448</v>
      </c>
      <c r="R105" s="15" t="s">
        <v>608</v>
      </c>
      <c r="S105" s="15" t="s">
        <v>172</v>
      </c>
      <c r="T105" s="16">
        <v>1</v>
      </c>
      <c r="W105" s="17">
        <v>4.8</v>
      </c>
      <c r="X105" s="47" t="s">
        <v>454</v>
      </c>
      <c r="Y105" s="47" t="s">
        <v>457</v>
      </c>
      <c r="AA105" s="47" t="s">
        <v>172</v>
      </c>
      <c r="AB105" s="44" t="s">
        <v>172</v>
      </c>
      <c r="AC105" s="44" t="s">
        <v>172</v>
      </c>
      <c r="AD105" s="34">
        <f>IF(G105="","",IF(U105&lt;&gt;"",U105,IF(AND(IFERROR(INDEX(Services!$D$5:$D$64,MATCH(M105,Services!$B$5:$B$64,0)),"")="Per hour",IFERROR(INDEX(Properties!$X$5:$X$254,MATCH(J105,Properties!$A$5:$A$254,0)),0)&gt;0),IFERROR(INDEX(Properties!$X$5:$X$254,MATCH(J105,Properties!$A$5:$A$254,0)),0),IF(IFERROR(INDEX(Services!$G$5:$G$64,MATCH(M105,Services!$B$5:$B$64,0)),0)&gt;0,IFERROR(INDEX(Services!$G$5:$G$64,MATCH(M105,Services!$B$5:$B$64,0)),0),IFERROR(INDEX(Properties!$X$5:$X$254,MATCH(J105,Properties!$A$5:$A$254,0)),0)))))</f>
        <v>0</v>
      </c>
      <c r="AE105" s="31">
        <f>IF(G105="","",IF(T105="",CleanersPerJob,MAX(1,T105)))</f>
        <v>0</v>
      </c>
      <c r="AF105" s="34">
        <f>IF(G105="","",ROUND(AD105/AE105,2))</f>
        <v>0</v>
      </c>
      <c r="AG105" s="53">
        <f>IF(OR(G105="",F105="",AF105=""),"",F105+AF105/24)</f>
        <v>0</v>
      </c>
      <c r="AH105" s="21">
        <f>IF(G105="","",IF(IFERROR(INDEX(Clients!$O$5:$O$204,MATCH(G105,Clients!$A$5:$A$204,0)),0)&gt;0,IFERROR(INDEX(Clients!$O$5:$O$204,MATCH(G105,Clients!$A$5:$A$204,0)),0),HourlyRate))</f>
        <v>0</v>
      </c>
      <c r="AI105" s="21">
        <f>IF(G105="","",IF(AND(M105&lt;&gt;"",IFERROR(INDEX(Services!$P$5:$P$64,MATCH(M105,Services!$B$5:$B$64,0)),0)&gt;0,IFERROR(INDEX(Services!$D$5:$D$64,MATCH(M105,Services!$B$5:$B$64,0)),"")&lt;&gt;"Per hour"),IFERROR(INDEX(Services!$P$5:$P$64,MATCH(M105,Services!$B$5:$B$64,0)),0),AD105*AH105))</f>
        <v>0</v>
      </c>
      <c r="AJ105" s="21">
        <f>IF(G105="","",IF(V105&lt;&gt;"",V105,IF(P105="Cancelled",0,MAX(MinimumCharge,ROUND(AI105*IFERROR(INDEX(FreqFactors,MATCH(O105,FreqNames,0)),1),2)))))</f>
        <v>0</v>
      </c>
      <c r="AK105" s="34">
        <f>IF(G105="","",IF(SUMIFS(Timesheets!$U$5:$U$804,Timesheets!$G$5:$G$804,A105)&gt;0,SUMIFS(Timesheets!$U$5:$U$804,Timesheets!$G$5:$G$804,A105),IF(Z105="","",Z105)))</f>
        <v>0</v>
      </c>
      <c r="AL105" s="34">
        <f>IF(OR(AK105="",AD105=""),"",AK105-AD105)</f>
        <v>0</v>
      </c>
      <c r="AM105" s="31">
        <f>IF(A105="","",COUNTIFS('Job Tasks'!$B$5:$B$904,A105))</f>
        <v>0</v>
      </c>
      <c r="AN105" s="31">
        <f>IF(A105="","",COUNTIFS('Job Tasks'!$B$5:$B$904,A105,'Job Tasks'!$H$5:$H$904,"Done"))</f>
        <v>0</v>
      </c>
      <c r="AO105" s="38">
        <f>IF(OR(A105="",AM105=0),"",AN105/AM105)</f>
        <v>0</v>
      </c>
      <c r="AP105" s="43">
        <f>IF(A105="","",IFERROR(INDEX('Invoice Lines'!$B$5:$B$804,MATCH(A105,'Invoice Lines'!$C$5:$C$804,0)),""))</f>
        <v>0</v>
      </c>
      <c r="AQ105" s="18">
        <f>IF(OR(G105="",B105="",X105&lt;&gt;"Yes"),"",IF(IFERROR(INDEX(FreqDays,MATCH(O105,FreqNames,0)),0)=0,"",B105+IFERROR(INDEX(FreqDays,MATCH(O105,FreqNames,0)),0)))</f>
        <v>0</v>
      </c>
      <c r="AR105" s="39">
        <f>IF(G105="","",IF(R105="","Unassigned",IF(COUNTIFS($R$5:$R$604,R105,$B$5:$B$604,B105,$F$5:$F$604,F105)&gt;1,"Clash",IF(SUMIFS($AF$5:$AF$604,$R$5:$R$604,R105,$B$5:$B$604,B105)&gt;ProductiveHours,"Long day","OK"))))</f>
        <v>0</v>
      </c>
      <c r="AS105" s="18">
        <f>IF(OR(G105="",B105=""),"",IF(AND(B105&gt;=TodayDate,P105&lt;&gt;"Cancelled"),B105,""))</f>
        <v>0</v>
      </c>
      <c r="AT105" s="31">
        <f>IF(AS105="","",COUNTIFS($AS$5:$AS$604,"&lt;"&amp;AS105)+COUNTIFS($AS$5:AS105,AS105))</f>
        <v>0</v>
      </c>
      <c r="AU105" s="18">
        <f>IF(OR(G105="",B105="",R105&lt;&gt;""),"",IF(AND(B105&gt;=TodayDate,P105&lt;&gt;"Cancelled"),B105,""))</f>
        <v>0</v>
      </c>
      <c r="AV105" s="31">
        <f>IF(AU105="","",COUNTIFS($AU$5:$AU$604,"&lt;"&amp;AU105)+COUNTIFS($AU$5:AU105,AU105))</f>
        <v>0</v>
      </c>
      <c r="AW105" s="31">
        <f>IF(OR(G105="",B105=""),"",B105-TodayDate)</f>
        <v>0</v>
      </c>
      <c r="AX105" s="39">
        <f>IF(G105="","",IF(P105="Cancelled","Cancelled",IF(P105="No access","Action - no access, rebook",IF(AND(B105&lt;&gt;"",AW105&lt;0,OR(P105="Booked",P105="Confirmed",P105="In progress")),"Late - mark it completed",IF(AND(P105="Completed",AP105=""),"Action - not invoiced yet",IF(AND(AW105&gt;=0,AW105&lt;=ReminderDays,Y105&lt;&gt;"Yes"),"Confirm - visit coming up",IF(R105="","Assign - no cleaner booked",IF(AND(P105="Completed",AO105&lt;&gt;"",AO105&lt;1),"Check - checklist unfinished","OK"))))))))</f>
        <v>0</v>
      </c>
    </row>
    <row r="106" spans="1:50">
      <c r="A106" s="43">
        <f>IF(G106="","",JobPrefix&amp;TEXT(ROW()-4,"0000"))</f>
        <v>0</v>
      </c>
      <c r="B106" s="46">
        <v>46322</v>
      </c>
      <c r="C106" s="23">
        <f>IF(B106="","",TEXT(B106,"ddd"))</f>
        <v>0</v>
      </c>
      <c r="D106" s="31">
        <f>IF(B106="","",WEEKNUM(B106,IF(WeekStart="Sunday",1,2)))</f>
        <v>0</v>
      </c>
      <c r="E106" s="23">
        <f>IF(B106="","",TEXT(B106,"yyyy-mm"))</f>
        <v>0</v>
      </c>
      <c r="F106" s="52">
        <v>0.375</v>
      </c>
      <c r="G106" s="49" t="s">
        <v>743</v>
      </c>
      <c r="H106" s="23">
        <f>IF(G106="","",IFERROR(INDEX(Clients!$B$5:$B$204,MATCH(G106,Clients!$A$5:$A$204,0)),"Not found"))</f>
        <v>0</v>
      </c>
      <c r="I106" s="23">
        <f>IF(G106="","",IFERROR(INDEX(Clients!$C$5:$C$204,MATCH(G106,Clients!$A$5:$A$204,0)),""))</f>
        <v>0</v>
      </c>
      <c r="J106" s="49" t="s">
        <v>1135</v>
      </c>
      <c r="K106" s="23">
        <f>IF(J106="","",IFERROR(INDEX(Properties!$B$5:$B$254,MATCH(J106,Properties!$A$5:$A$254,0)),""))</f>
        <v>0</v>
      </c>
      <c r="L106" s="23">
        <f>IF(J106="","",IFERROR(INDEX(Properties!$F$5:$F$254,MATCH(J106,Properties!$A$5:$A$254,0)),""))</f>
        <v>0</v>
      </c>
      <c r="M106" s="15" t="s">
        <v>437</v>
      </c>
      <c r="N106" s="15" t="s">
        <v>1133</v>
      </c>
      <c r="O106" s="15" t="s">
        <v>451</v>
      </c>
      <c r="P106" s="45" t="s">
        <v>1163</v>
      </c>
      <c r="Q106" s="15" t="s">
        <v>448</v>
      </c>
      <c r="R106" s="15" t="s">
        <v>584</v>
      </c>
      <c r="S106" s="15" t="s">
        <v>172</v>
      </c>
      <c r="T106" s="16">
        <v>1</v>
      </c>
      <c r="W106" s="17">
        <v>8.4</v>
      </c>
      <c r="X106" s="47" t="s">
        <v>454</v>
      </c>
      <c r="Y106" s="47" t="s">
        <v>457</v>
      </c>
      <c r="AA106" s="47" t="s">
        <v>172</v>
      </c>
      <c r="AB106" s="44" t="s">
        <v>172</v>
      </c>
      <c r="AC106" s="44" t="s">
        <v>172</v>
      </c>
      <c r="AD106" s="34">
        <f>IF(G106="","",IF(U106&lt;&gt;"",U106,IF(AND(IFERROR(INDEX(Services!$D$5:$D$64,MATCH(M106,Services!$B$5:$B$64,0)),"")="Per hour",IFERROR(INDEX(Properties!$X$5:$X$254,MATCH(J106,Properties!$A$5:$A$254,0)),0)&gt;0),IFERROR(INDEX(Properties!$X$5:$X$254,MATCH(J106,Properties!$A$5:$A$254,0)),0),IF(IFERROR(INDEX(Services!$G$5:$G$64,MATCH(M106,Services!$B$5:$B$64,0)),0)&gt;0,IFERROR(INDEX(Services!$G$5:$G$64,MATCH(M106,Services!$B$5:$B$64,0)),0),IFERROR(INDEX(Properties!$X$5:$X$254,MATCH(J106,Properties!$A$5:$A$254,0)),0)))))</f>
        <v>0</v>
      </c>
      <c r="AE106" s="31">
        <f>IF(G106="","",IF(T106="",CleanersPerJob,MAX(1,T106)))</f>
        <v>0</v>
      </c>
      <c r="AF106" s="34">
        <f>IF(G106="","",ROUND(AD106/AE106,2))</f>
        <v>0</v>
      </c>
      <c r="AG106" s="53">
        <f>IF(OR(G106="",F106="",AF106=""),"",F106+AF106/24)</f>
        <v>0</v>
      </c>
      <c r="AH106" s="21">
        <f>IF(G106="","",IF(IFERROR(INDEX(Clients!$O$5:$O$204,MATCH(G106,Clients!$A$5:$A$204,0)),0)&gt;0,IFERROR(INDEX(Clients!$O$5:$O$204,MATCH(G106,Clients!$A$5:$A$204,0)),0),HourlyRate))</f>
        <v>0</v>
      </c>
      <c r="AI106" s="21">
        <f>IF(G106="","",IF(AND(M106&lt;&gt;"",IFERROR(INDEX(Services!$P$5:$P$64,MATCH(M106,Services!$B$5:$B$64,0)),0)&gt;0,IFERROR(INDEX(Services!$D$5:$D$64,MATCH(M106,Services!$B$5:$B$64,0)),"")&lt;&gt;"Per hour"),IFERROR(INDEX(Services!$P$5:$P$64,MATCH(M106,Services!$B$5:$B$64,0)),0),AD106*AH106))</f>
        <v>0</v>
      </c>
      <c r="AJ106" s="21">
        <f>IF(G106="","",IF(V106&lt;&gt;"",V106,IF(P106="Cancelled",0,MAX(MinimumCharge,ROUND(AI106*IFERROR(INDEX(FreqFactors,MATCH(O106,FreqNames,0)),1),2)))))</f>
        <v>0</v>
      </c>
      <c r="AK106" s="34">
        <f>IF(G106="","",IF(SUMIFS(Timesheets!$U$5:$U$804,Timesheets!$G$5:$G$804,A106)&gt;0,SUMIFS(Timesheets!$U$5:$U$804,Timesheets!$G$5:$G$804,A106),IF(Z106="","",Z106)))</f>
        <v>0</v>
      </c>
      <c r="AL106" s="34">
        <f>IF(OR(AK106="",AD106=""),"",AK106-AD106)</f>
        <v>0</v>
      </c>
      <c r="AM106" s="31">
        <f>IF(A106="","",COUNTIFS('Job Tasks'!$B$5:$B$904,A106))</f>
        <v>0</v>
      </c>
      <c r="AN106" s="31">
        <f>IF(A106="","",COUNTIFS('Job Tasks'!$B$5:$B$904,A106,'Job Tasks'!$H$5:$H$904,"Done"))</f>
        <v>0</v>
      </c>
      <c r="AO106" s="38">
        <f>IF(OR(A106="",AM106=0),"",AN106/AM106)</f>
        <v>0</v>
      </c>
      <c r="AP106" s="43">
        <f>IF(A106="","",IFERROR(INDEX('Invoice Lines'!$B$5:$B$804,MATCH(A106,'Invoice Lines'!$C$5:$C$804,0)),""))</f>
        <v>0</v>
      </c>
      <c r="AQ106" s="18">
        <f>IF(OR(G106="",B106="",X106&lt;&gt;"Yes"),"",IF(IFERROR(INDEX(FreqDays,MATCH(O106,FreqNames,0)),0)=0,"",B106+IFERROR(INDEX(FreqDays,MATCH(O106,FreqNames,0)),0)))</f>
        <v>0</v>
      </c>
      <c r="AR106" s="39">
        <f>IF(G106="","",IF(R106="","Unassigned",IF(COUNTIFS($R$5:$R$604,R106,$B$5:$B$604,B106,$F$5:$F$604,F106)&gt;1,"Clash",IF(SUMIFS($AF$5:$AF$604,$R$5:$R$604,R106,$B$5:$B$604,B106)&gt;ProductiveHours,"Long day","OK"))))</f>
        <v>0</v>
      </c>
      <c r="AS106" s="18">
        <f>IF(OR(G106="",B106=""),"",IF(AND(B106&gt;=TodayDate,P106&lt;&gt;"Cancelled"),B106,""))</f>
        <v>0</v>
      </c>
      <c r="AT106" s="31">
        <f>IF(AS106="","",COUNTIFS($AS$5:$AS$604,"&lt;"&amp;AS106)+COUNTIFS($AS$5:AS106,AS106))</f>
        <v>0</v>
      </c>
      <c r="AU106" s="18">
        <f>IF(OR(G106="",B106="",R106&lt;&gt;""),"",IF(AND(B106&gt;=TodayDate,P106&lt;&gt;"Cancelled"),B106,""))</f>
        <v>0</v>
      </c>
      <c r="AV106" s="31">
        <f>IF(AU106="","",COUNTIFS($AU$5:$AU$604,"&lt;"&amp;AU106)+COUNTIFS($AU$5:AU106,AU106))</f>
        <v>0</v>
      </c>
      <c r="AW106" s="31">
        <f>IF(OR(G106="",B106=""),"",B106-TodayDate)</f>
        <v>0</v>
      </c>
      <c r="AX106" s="39">
        <f>IF(G106="","",IF(P106="Cancelled","Cancelled",IF(P106="No access","Action - no access, rebook",IF(AND(B106&lt;&gt;"",AW106&lt;0,OR(P106="Booked",P106="Confirmed",P106="In progress")),"Late - mark it completed",IF(AND(P106="Completed",AP106=""),"Action - not invoiced yet",IF(AND(AW106&gt;=0,AW106&lt;=ReminderDays,Y106&lt;&gt;"Yes"),"Confirm - visit coming up",IF(R106="","Assign - no cleaner booked",IF(AND(P106="Completed",AO106&lt;&gt;"",AO106&lt;1),"Check - checklist unfinished","OK"))))))))</f>
        <v>0</v>
      </c>
    </row>
    <row r="107" spans="1:50">
      <c r="A107" s="43">
        <f>IF(G107="","",JobPrefix&amp;TEXT(ROW()-4,"0000"))</f>
        <v>0</v>
      </c>
      <c r="B107" s="46">
        <v>46322</v>
      </c>
      <c r="C107" s="23">
        <f>IF(B107="","",TEXT(B107,"ddd"))</f>
        <v>0</v>
      </c>
      <c r="D107" s="31">
        <f>IF(B107="","",WEEKNUM(B107,IF(WeekStart="Sunday",1,2)))</f>
        <v>0</v>
      </c>
      <c r="E107" s="23">
        <f>IF(B107="","",TEXT(B107,"yyyy-mm"))</f>
        <v>0</v>
      </c>
      <c r="F107" s="52">
        <v>0.375</v>
      </c>
      <c r="G107" s="49" t="s">
        <v>806</v>
      </c>
      <c r="H107" s="23">
        <f>IF(G107="","",IFERROR(INDEX(Clients!$B$5:$B$204,MATCH(G107,Clients!$A$5:$A$204,0)),"Not found"))</f>
        <v>0</v>
      </c>
      <c r="I107" s="23">
        <f>IF(G107="","",IFERROR(INDEX(Clients!$C$5:$C$204,MATCH(G107,Clients!$A$5:$A$204,0)),""))</f>
        <v>0</v>
      </c>
      <c r="J107" s="49" t="s">
        <v>1136</v>
      </c>
      <c r="K107" s="23">
        <f>IF(J107="","",IFERROR(INDEX(Properties!$B$5:$B$254,MATCH(J107,Properties!$A$5:$A$254,0)),""))</f>
        <v>0</v>
      </c>
      <c r="L107" s="23">
        <f>IF(J107="","",IFERROR(INDEX(Properties!$F$5:$F$254,MATCH(J107,Properties!$A$5:$A$254,0)),""))</f>
        <v>0</v>
      </c>
      <c r="M107" s="15" t="s">
        <v>1015</v>
      </c>
      <c r="N107" s="15" t="s">
        <v>1150</v>
      </c>
      <c r="O107" s="15" t="s">
        <v>625</v>
      </c>
      <c r="P107" s="45" t="s">
        <v>1163</v>
      </c>
      <c r="Q107" s="15" t="s">
        <v>1151</v>
      </c>
      <c r="R107" s="15" t="s">
        <v>584</v>
      </c>
      <c r="S107" s="15" t="s">
        <v>596</v>
      </c>
      <c r="T107" s="16">
        <v>2</v>
      </c>
      <c r="U107" s="17">
        <v>5</v>
      </c>
      <c r="W107" s="17">
        <v>16.4</v>
      </c>
      <c r="X107" s="47" t="s">
        <v>457</v>
      </c>
      <c r="Y107" s="47" t="s">
        <v>457</v>
      </c>
      <c r="AA107" s="47" t="s">
        <v>172</v>
      </c>
      <c r="AB107" s="44" t="s">
        <v>172</v>
      </c>
      <c r="AC107" s="44" t="s">
        <v>1166</v>
      </c>
      <c r="AD107" s="34">
        <f>IF(G107="","",IF(U107&lt;&gt;"",U107,IF(AND(IFERROR(INDEX(Services!$D$5:$D$64,MATCH(M107,Services!$B$5:$B$64,0)),"")="Per hour",IFERROR(INDEX(Properties!$X$5:$X$254,MATCH(J107,Properties!$A$5:$A$254,0)),0)&gt;0),IFERROR(INDEX(Properties!$X$5:$X$254,MATCH(J107,Properties!$A$5:$A$254,0)),0),IF(IFERROR(INDEX(Services!$G$5:$G$64,MATCH(M107,Services!$B$5:$B$64,0)),0)&gt;0,IFERROR(INDEX(Services!$G$5:$G$64,MATCH(M107,Services!$B$5:$B$64,0)),0),IFERROR(INDEX(Properties!$X$5:$X$254,MATCH(J107,Properties!$A$5:$A$254,0)),0)))))</f>
        <v>0</v>
      </c>
      <c r="AE107" s="31">
        <f>IF(G107="","",IF(T107="",CleanersPerJob,MAX(1,T107)))</f>
        <v>0</v>
      </c>
      <c r="AF107" s="34">
        <f>IF(G107="","",ROUND(AD107/AE107,2))</f>
        <v>0</v>
      </c>
      <c r="AG107" s="53">
        <f>IF(OR(G107="",F107="",AF107=""),"",F107+AF107/24)</f>
        <v>0</v>
      </c>
      <c r="AH107" s="21">
        <f>IF(G107="","",IF(IFERROR(INDEX(Clients!$O$5:$O$204,MATCH(G107,Clients!$A$5:$A$204,0)),0)&gt;0,IFERROR(INDEX(Clients!$O$5:$O$204,MATCH(G107,Clients!$A$5:$A$204,0)),0),HourlyRate))</f>
        <v>0</v>
      </c>
      <c r="AI107" s="21">
        <f>IF(G107="","",IF(AND(M107&lt;&gt;"",IFERROR(INDEX(Services!$P$5:$P$64,MATCH(M107,Services!$B$5:$B$64,0)),0)&gt;0,IFERROR(INDEX(Services!$D$5:$D$64,MATCH(M107,Services!$B$5:$B$64,0)),"")&lt;&gt;"Per hour"),IFERROR(INDEX(Services!$P$5:$P$64,MATCH(M107,Services!$B$5:$B$64,0)),0),AD107*AH107))</f>
        <v>0</v>
      </c>
      <c r="AJ107" s="21">
        <f>IF(G107="","",IF(V107&lt;&gt;"",V107,IF(P107="Cancelled",0,MAX(MinimumCharge,ROUND(AI107*IFERROR(INDEX(FreqFactors,MATCH(O107,FreqNames,0)),1),2)))))</f>
        <v>0</v>
      </c>
      <c r="AK107" s="34">
        <f>IF(G107="","",IF(SUMIFS(Timesheets!$U$5:$U$804,Timesheets!$G$5:$G$804,A107)&gt;0,SUMIFS(Timesheets!$U$5:$U$804,Timesheets!$G$5:$G$804,A107),IF(Z107="","",Z107)))</f>
        <v>0</v>
      </c>
      <c r="AL107" s="34">
        <f>IF(OR(AK107="",AD107=""),"",AK107-AD107)</f>
        <v>0</v>
      </c>
      <c r="AM107" s="31">
        <f>IF(A107="","",COUNTIFS('Job Tasks'!$B$5:$B$904,A107))</f>
        <v>0</v>
      </c>
      <c r="AN107" s="31">
        <f>IF(A107="","",COUNTIFS('Job Tasks'!$B$5:$B$904,A107,'Job Tasks'!$H$5:$H$904,"Done"))</f>
        <v>0</v>
      </c>
      <c r="AO107" s="38">
        <f>IF(OR(A107="",AM107=0),"",AN107/AM107)</f>
        <v>0</v>
      </c>
      <c r="AP107" s="43">
        <f>IF(A107="","",IFERROR(INDEX('Invoice Lines'!$B$5:$B$804,MATCH(A107,'Invoice Lines'!$C$5:$C$804,0)),""))</f>
        <v>0</v>
      </c>
      <c r="AQ107" s="18">
        <f>IF(OR(G107="",B107="",X107&lt;&gt;"Yes"),"",IF(IFERROR(INDEX(FreqDays,MATCH(O107,FreqNames,0)),0)=0,"",B107+IFERROR(INDEX(FreqDays,MATCH(O107,FreqNames,0)),0)))</f>
        <v>0</v>
      </c>
      <c r="AR107" s="39">
        <f>IF(G107="","",IF(R107="","Unassigned",IF(COUNTIFS($R$5:$R$604,R107,$B$5:$B$604,B107,$F$5:$F$604,F107)&gt;1,"Clash",IF(SUMIFS($AF$5:$AF$604,$R$5:$R$604,R107,$B$5:$B$604,B107)&gt;ProductiveHours,"Long day","OK"))))</f>
        <v>0</v>
      </c>
      <c r="AS107" s="18">
        <f>IF(OR(G107="",B107=""),"",IF(AND(B107&gt;=TodayDate,P107&lt;&gt;"Cancelled"),B107,""))</f>
        <v>0</v>
      </c>
      <c r="AT107" s="31">
        <f>IF(AS107="","",COUNTIFS($AS$5:$AS$604,"&lt;"&amp;AS107)+COUNTIFS($AS$5:AS107,AS107))</f>
        <v>0</v>
      </c>
      <c r="AU107" s="18">
        <f>IF(OR(G107="",B107="",R107&lt;&gt;""),"",IF(AND(B107&gt;=TodayDate,P107&lt;&gt;"Cancelled"),B107,""))</f>
        <v>0</v>
      </c>
      <c r="AV107" s="31">
        <f>IF(AU107="","",COUNTIFS($AU$5:$AU$604,"&lt;"&amp;AU107)+COUNTIFS($AU$5:AU107,AU107))</f>
        <v>0</v>
      </c>
      <c r="AW107" s="31">
        <f>IF(OR(G107="",B107=""),"",B107-TodayDate)</f>
        <v>0</v>
      </c>
      <c r="AX107" s="39">
        <f>IF(G107="","",IF(P107="Cancelled","Cancelled",IF(P107="No access","Action - no access, rebook",IF(AND(B107&lt;&gt;"",AW107&lt;0,OR(P107="Booked",P107="Confirmed",P107="In progress")),"Late - mark it completed",IF(AND(P107="Completed",AP107=""),"Action - not invoiced yet",IF(AND(AW107&gt;=0,AW107&lt;=ReminderDays,Y107&lt;&gt;"Yes"),"Confirm - visit coming up",IF(R107="","Assign - no cleaner booked",IF(AND(P107="Completed",AO107&lt;&gt;"",AO107&lt;1),"Check - checklist unfinished","OK"))))))))</f>
        <v>0</v>
      </c>
    </row>
    <row r="108" spans="1:50">
      <c r="A108" s="43">
        <f>IF(G108="","",JobPrefix&amp;TEXT(ROW()-4,"0000"))</f>
        <v>0</v>
      </c>
      <c r="B108" s="46">
        <v>46324</v>
      </c>
      <c r="C108" s="23">
        <f>IF(B108="","",TEXT(B108,"ddd"))</f>
        <v>0</v>
      </c>
      <c r="D108" s="31">
        <f>IF(B108="","",WEEKNUM(B108,IF(WeekStart="Sunday",1,2)))</f>
        <v>0</v>
      </c>
      <c r="E108" s="23">
        <f>IF(B108="","",TEXT(B108,"yyyy-mm"))</f>
        <v>0</v>
      </c>
      <c r="F108" s="52">
        <v>0.291666666666667</v>
      </c>
      <c r="G108" s="49" t="s">
        <v>813</v>
      </c>
      <c r="H108" s="23">
        <f>IF(G108="","",IFERROR(INDEX(Clients!$B$5:$B$204,MATCH(G108,Clients!$A$5:$A$204,0)),"Not found"))</f>
        <v>0</v>
      </c>
      <c r="I108" s="23">
        <f>IF(G108="","",IFERROR(INDEX(Clients!$C$5:$C$204,MATCH(G108,Clients!$A$5:$A$204,0)),""))</f>
        <v>0</v>
      </c>
      <c r="J108" s="49" t="s">
        <v>1052</v>
      </c>
      <c r="K108" s="23">
        <f>IF(J108="","",IFERROR(INDEX(Properties!$B$5:$B$254,MATCH(J108,Properties!$A$5:$A$254,0)),""))</f>
        <v>0</v>
      </c>
      <c r="L108" s="23">
        <f>IF(J108="","",IFERROR(INDEX(Properties!$F$5:$F$254,MATCH(J108,Properties!$A$5:$A$254,0)),""))</f>
        <v>0</v>
      </c>
      <c r="M108" s="15" t="s">
        <v>770</v>
      </c>
      <c r="N108" s="15" t="s">
        <v>1133</v>
      </c>
      <c r="O108" s="15" t="s">
        <v>617</v>
      </c>
      <c r="P108" s="45" t="s">
        <v>1163</v>
      </c>
      <c r="Q108" s="15" t="s">
        <v>448</v>
      </c>
      <c r="R108" s="15" t="s">
        <v>664</v>
      </c>
      <c r="S108" s="15" t="s">
        <v>172</v>
      </c>
      <c r="T108" s="16">
        <v>1</v>
      </c>
      <c r="W108" s="17">
        <v>7.6</v>
      </c>
      <c r="X108" s="47" t="s">
        <v>454</v>
      </c>
      <c r="Y108" s="47" t="s">
        <v>457</v>
      </c>
      <c r="AA108" s="47" t="s">
        <v>172</v>
      </c>
      <c r="AB108" s="44" t="s">
        <v>172</v>
      </c>
      <c r="AC108" s="44" t="s">
        <v>172</v>
      </c>
      <c r="AD108" s="34">
        <f>IF(G108="","",IF(U108&lt;&gt;"",U108,IF(AND(IFERROR(INDEX(Services!$D$5:$D$64,MATCH(M108,Services!$B$5:$B$64,0)),"")="Per hour",IFERROR(INDEX(Properties!$X$5:$X$254,MATCH(J108,Properties!$A$5:$A$254,0)),0)&gt;0),IFERROR(INDEX(Properties!$X$5:$X$254,MATCH(J108,Properties!$A$5:$A$254,0)),0),IF(IFERROR(INDEX(Services!$G$5:$G$64,MATCH(M108,Services!$B$5:$B$64,0)),0)&gt;0,IFERROR(INDEX(Services!$G$5:$G$64,MATCH(M108,Services!$B$5:$B$64,0)),0),IFERROR(INDEX(Properties!$X$5:$X$254,MATCH(J108,Properties!$A$5:$A$254,0)),0)))))</f>
        <v>0</v>
      </c>
      <c r="AE108" s="31">
        <f>IF(G108="","",IF(T108="",CleanersPerJob,MAX(1,T108)))</f>
        <v>0</v>
      </c>
      <c r="AF108" s="34">
        <f>IF(G108="","",ROUND(AD108/AE108,2))</f>
        <v>0</v>
      </c>
      <c r="AG108" s="53">
        <f>IF(OR(G108="",F108="",AF108=""),"",F108+AF108/24)</f>
        <v>0</v>
      </c>
      <c r="AH108" s="21">
        <f>IF(G108="","",IF(IFERROR(INDEX(Clients!$O$5:$O$204,MATCH(G108,Clients!$A$5:$A$204,0)),0)&gt;0,IFERROR(INDEX(Clients!$O$5:$O$204,MATCH(G108,Clients!$A$5:$A$204,0)),0),HourlyRate))</f>
        <v>0</v>
      </c>
      <c r="AI108" s="21">
        <f>IF(G108="","",IF(AND(M108&lt;&gt;"",IFERROR(INDEX(Services!$P$5:$P$64,MATCH(M108,Services!$B$5:$B$64,0)),0)&gt;0,IFERROR(INDEX(Services!$D$5:$D$64,MATCH(M108,Services!$B$5:$B$64,0)),"")&lt;&gt;"Per hour"),IFERROR(INDEX(Services!$P$5:$P$64,MATCH(M108,Services!$B$5:$B$64,0)),0),AD108*AH108))</f>
        <v>0</v>
      </c>
      <c r="AJ108" s="21">
        <f>IF(G108="","",IF(V108&lt;&gt;"",V108,IF(P108="Cancelled",0,MAX(MinimumCharge,ROUND(AI108*IFERROR(INDEX(FreqFactors,MATCH(O108,FreqNames,0)),1),2)))))</f>
        <v>0</v>
      </c>
      <c r="AK108" s="34">
        <f>IF(G108="","",IF(SUMIFS(Timesheets!$U$5:$U$804,Timesheets!$G$5:$G$804,A108)&gt;0,SUMIFS(Timesheets!$U$5:$U$804,Timesheets!$G$5:$G$804,A108),IF(Z108="","",Z108)))</f>
        <v>0</v>
      </c>
      <c r="AL108" s="34">
        <f>IF(OR(AK108="",AD108=""),"",AK108-AD108)</f>
        <v>0</v>
      </c>
      <c r="AM108" s="31">
        <f>IF(A108="","",COUNTIFS('Job Tasks'!$B$5:$B$904,A108))</f>
        <v>0</v>
      </c>
      <c r="AN108" s="31">
        <f>IF(A108="","",COUNTIFS('Job Tasks'!$B$5:$B$904,A108,'Job Tasks'!$H$5:$H$904,"Done"))</f>
        <v>0</v>
      </c>
      <c r="AO108" s="38">
        <f>IF(OR(A108="",AM108=0),"",AN108/AM108)</f>
        <v>0</v>
      </c>
      <c r="AP108" s="43">
        <f>IF(A108="","",IFERROR(INDEX('Invoice Lines'!$B$5:$B$804,MATCH(A108,'Invoice Lines'!$C$5:$C$804,0)),""))</f>
        <v>0</v>
      </c>
      <c r="AQ108" s="18">
        <f>IF(OR(G108="",B108="",X108&lt;&gt;"Yes"),"",IF(IFERROR(INDEX(FreqDays,MATCH(O108,FreqNames,0)),0)=0,"",B108+IFERROR(INDEX(FreqDays,MATCH(O108,FreqNames,0)),0)))</f>
        <v>0</v>
      </c>
      <c r="AR108" s="39">
        <f>IF(G108="","",IF(R108="","Unassigned",IF(COUNTIFS($R$5:$R$604,R108,$B$5:$B$604,B108,$F$5:$F$604,F108)&gt;1,"Clash",IF(SUMIFS($AF$5:$AF$604,$R$5:$R$604,R108,$B$5:$B$604,B108)&gt;ProductiveHours,"Long day","OK"))))</f>
        <v>0</v>
      </c>
      <c r="AS108" s="18">
        <f>IF(OR(G108="",B108=""),"",IF(AND(B108&gt;=TodayDate,P108&lt;&gt;"Cancelled"),B108,""))</f>
        <v>0</v>
      </c>
      <c r="AT108" s="31">
        <f>IF(AS108="","",COUNTIFS($AS$5:$AS$604,"&lt;"&amp;AS108)+COUNTIFS($AS$5:AS108,AS108))</f>
        <v>0</v>
      </c>
      <c r="AU108" s="18">
        <f>IF(OR(G108="",B108="",R108&lt;&gt;""),"",IF(AND(B108&gt;=TodayDate,P108&lt;&gt;"Cancelled"),B108,""))</f>
        <v>0</v>
      </c>
      <c r="AV108" s="31">
        <f>IF(AU108="","",COUNTIFS($AU$5:$AU$604,"&lt;"&amp;AU108)+COUNTIFS($AU$5:AU108,AU108))</f>
        <v>0</v>
      </c>
      <c r="AW108" s="31">
        <f>IF(OR(G108="",B108=""),"",B108-TodayDate)</f>
        <v>0</v>
      </c>
      <c r="AX108" s="39">
        <f>IF(G108="","",IF(P108="Cancelled","Cancelled",IF(P108="No access","Action - no access, rebook",IF(AND(B108&lt;&gt;"",AW108&lt;0,OR(P108="Booked",P108="Confirmed",P108="In progress")),"Late - mark it completed",IF(AND(P108="Completed",AP108=""),"Action - not invoiced yet",IF(AND(AW108&gt;=0,AW108&lt;=ReminderDays,Y108&lt;&gt;"Yes"),"Confirm - visit coming up",IF(R108="","Assign - no cleaner booked",IF(AND(P108="Completed",AO108&lt;&gt;"",AO108&lt;1),"Check - checklist unfinished","OK"))))))))</f>
        <v>0</v>
      </c>
    </row>
    <row r="109" spans="1:50">
      <c r="A109" s="43">
        <f>IF(G109="","",JobPrefix&amp;TEXT(ROW()-4,"0000"))</f>
        <v>0</v>
      </c>
      <c r="B109" s="46">
        <v>46324</v>
      </c>
      <c r="C109" s="23">
        <f>IF(B109="","",TEXT(B109,"ddd"))</f>
        <v>0</v>
      </c>
      <c r="D109" s="31">
        <f>IF(B109="","",WEEKNUM(B109,IF(WeekStart="Sunday",1,2)))</f>
        <v>0</v>
      </c>
      <c r="E109" s="23">
        <f>IF(B109="","",TEXT(B109,"yyyy-mm"))</f>
        <v>0</v>
      </c>
      <c r="F109" s="52">
        <v>0.770833333333333</v>
      </c>
      <c r="G109" s="49" t="s">
        <v>773</v>
      </c>
      <c r="H109" s="23">
        <f>IF(G109="","",IFERROR(INDEX(Clients!$B$5:$B$204,MATCH(G109,Clients!$A$5:$A$204,0)),"Not found"))</f>
        <v>0</v>
      </c>
      <c r="I109" s="23">
        <f>IF(G109="","",IFERROR(INDEX(Clients!$C$5:$C$204,MATCH(G109,Clients!$A$5:$A$204,0)),""))</f>
        <v>0</v>
      </c>
      <c r="J109" s="49" t="s">
        <v>1134</v>
      </c>
      <c r="K109" s="23">
        <f>IF(J109="","",IFERROR(INDEX(Properties!$B$5:$B$254,MATCH(J109,Properties!$A$5:$A$254,0)),""))</f>
        <v>0</v>
      </c>
      <c r="L109" s="23">
        <f>IF(J109="","",IFERROR(INDEX(Properties!$F$5:$F$254,MATCH(J109,Properties!$A$5:$A$254,0)),""))</f>
        <v>0</v>
      </c>
      <c r="M109" s="15" t="s">
        <v>770</v>
      </c>
      <c r="N109" s="15" t="s">
        <v>1133</v>
      </c>
      <c r="O109" s="15" t="s">
        <v>617</v>
      </c>
      <c r="P109" s="45" t="s">
        <v>1163</v>
      </c>
      <c r="Q109" s="15" t="s">
        <v>448</v>
      </c>
      <c r="R109" s="15" t="s">
        <v>608</v>
      </c>
      <c r="S109" s="15" t="s">
        <v>172</v>
      </c>
      <c r="T109" s="16">
        <v>1</v>
      </c>
      <c r="W109" s="17">
        <v>4.8</v>
      </c>
      <c r="X109" s="47" t="s">
        <v>454</v>
      </c>
      <c r="Y109" s="47" t="s">
        <v>457</v>
      </c>
      <c r="AA109" s="47" t="s">
        <v>172</v>
      </c>
      <c r="AB109" s="44" t="s">
        <v>172</v>
      </c>
      <c r="AC109" s="44" t="s">
        <v>172</v>
      </c>
      <c r="AD109" s="34">
        <f>IF(G109="","",IF(U109&lt;&gt;"",U109,IF(AND(IFERROR(INDEX(Services!$D$5:$D$64,MATCH(M109,Services!$B$5:$B$64,0)),"")="Per hour",IFERROR(INDEX(Properties!$X$5:$X$254,MATCH(J109,Properties!$A$5:$A$254,0)),0)&gt;0),IFERROR(INDEX(Properties!$X$5:$X$254,MATCH(J109,Properties!$A$5:$A$254,0)),0),IF(IFERROR(INDEX(Services!$G$5:$G$64,MATCH(M109,Services!$B$5:$B$64,0)),0)&gt;0,IFERROR(INDEX(Services!$G$5:$G$64,MATCH(M109,Services!$B$5:$B$64,0)),0),IFERROR(INDEX(Properties!$X$5:$X$254,MATCH(J109,Properties!$A$5:$A$254,0)),0)))))</f>
        <v>0</v>
      </c>
      <c r="AE109" s="31">
        <f>IF(G109="","",IF(T109="",CleanersPerJob,MAX(1,T109)))</f>
        <v>0</v>
      </c>
      <c r="AF109" s="34">
        <f>IF(G109="","",ROUND(AD109/AE109,2))</f>
        <v>0</v>
      </c>
      <c r="AG109" s="53">
        <f>IF(OR(G109="",F109="",AF109=""),"",F109+AF109/24)</f>
        <v>0</v>
      </c>
      <c r="AH109" s="21">
        <f>IF(G109="","",IF(IFERROR(INDEX(Clients!$O$5:$O$204,MATCH(G109,Clients!$A$5:$A$204,0)),0)&gt;0,IFERROR(INDEX(Clients!$O$5:$O$204,MATCH(G109,Clients!$A$5:$A$204,0)),0),HourlyRate))</f>
        <v>0</v>
      </c>
      <c r="AI109" s="21">
        <f>IF(G109="","",IF(AND(M109&lt;&gt;"",IFERROR(INDEX(Services!$P$5:$P$64,MATCH(M109,Services!$B$5:$B$64,0)),0)&gt;0,IFERROR(INDEX(Services!$D$5:$D$64,MATCH(M109,Services!$B$5:$B$64,0)),"")&lt;&gt;"Per hour"),IFERROR(INDEX(Services!$P$5:$P$64,MATCH(M109,Services!$B$5:$B$64,0)),0),AD109*AH109))</f>
        <v>0</v>
      </c>
      <c r="AJ109" s="21">
        <f>IF(G109="","",IF(V109&lt;&gt;"",V109,IF(P109="Cancelled",0,MAX(MinimumCharge,ROUND(AI109*IFERROR(INDEX(FreqFactors,MATCH(O109,FreqNames,0)),1),2)))))</f>
        <v>0</v>
      </c>
      <c r="AK109" s="34">
        <f>IF(G109="","",IF(SUMIFS(Timesheets!$U$5:$U$804,Timesheets!$G$5:$G$804,A109)&gt;0,SUMIFS(Timesheets!$U$5:$U$804,Timesheets!$G$5:$G$804,A109),IF(Z109="","",Z109)))</f>
        <v>0</v>
      </c>
      <c r="AL109" s="34">
        <f>IF(OR(AK109="",AD109=""),"",AK109-AD109)</f>
        <v>0</v>
      </c>
      <c r="AM109" s="31">
        <f>IF(A109="","",COUNTIFS('Job Tasks'!$B$5:$B$904,A109))</f>
        <v>0</v>
      </c>
      <c r="AN109" s="31">
        <f>IF(A109="","",COUNTIFS('Job Tasks'!$B$5:$B$904,A109,'Job Tasks'!$H$5:$H$904,"Done"))</f>
        <v>0</v>
      </c>
      <c r="AO109" s="38">
        <f>IF(OR(A109="",AM109=0),"",AN109/AM109)</f>
        <v>0</v>
      </c>
      <c r="AP109" s="43">
        <f>IF(A109="","",IFERROR(INDEX('Invoice Lines'!$B$5:$B$804,MATCH(A109,'Invoice Lines'!$C$5:$C$804,0)),""))</f>
        <v>0</v>
      </c>
      <c r="AQ109" s="18">
        <f>IF(OR(G109="",B109="",X109&lt;&gt;"Yes"),"",IF(IFERROR(INDEX(FreqDays,MATCH(O109,FreqNames,0)),0)=0,"",B109+IFERROR(INDEX(FreqDays,MATCH(O109,FreqNames,0)),0)))</f>
        <v>0</v>
      </c>
      <c r="AR109" s="39">
        <f>IF(G109="","",IF(R109="","Unassigned",IF(COUNTIFS($R$5:$R$604,R109,$B$5:$B$604,B109,$F$5:$F$604,F109)&gt;1,"Clash",IF(SUMIFS($AF$5:$AF$604,$R$5:$R$604,R109,$B$5:$B$604,B109)&gt;ProductiveHours,"Long day","OK"))))</f>
        <v>0</v>
      </c>
      <c r="AS109" s="18">
        <f>IF(OR(G109="",B109=""),"",IF(AND(B109&gt;=TodayDate,P109&lt;&gt;"Cancelled"),B109,""))</f>
        <v>0</v>
      </c>
      <c r="AT109" s="31">
        <f>IF(AS109="","",COUNTIFS($AS$5:$AS$604,"&lt;"&amp;AS109)+COUNTIFS($AS$5:AS109,AS109))</f>
        <v>0</v>
      </c>
      <c r="AU109" s="18">
        <f>IF(OR(G109="",B109="",R109&lt;&gt;""),"",IF(AND(B109&gt;=TodayDate,P109&lt;&gt;"Cancelled"),B109,""))</f>
        <v>0</v>
      </c>
      <c r="AV109" s="31">
        <f>IF(AU109="","",COUNTIFS($AU$5:$AU$604,"&lt;"&amp;AU109)+COUNTIFS($AU$5:AU109,AU109))</f>
        <v>0</v>
      </c>
      <c r="AW109" s="31">
        <f>IF(OR(G109="",B109=""),"",B109-TodayDate)</f>
        <v>0</v>
      </c>
      <c r="AX109" s="39">
        <f>IF(G109="","",IF(P109="Cancelled","Cancelled",IF(P109="No access","Action - no access, rebook",IF(AND(B109&lt;&gt;"",AW109&lt;0,OR(P109="Booked",P109="Confirmed",P109="In progress")),"Late - mark it completed",IF(AND(P109="Completed",AP109=""),"Action - not invoiced yet",IF(AND(AW109&gt;=0,AW109&lt;=ReminderDays,Y109&lt;&gt;"Yes"),"Confirm - visit coming up",IF(R109="","Assign - no cleaner booked",IF(AND(P109="Completed",AO109&lt;&gt;"",AO109&lt;1),"Check - checklist unfinished","OK"))))))))</f>
        <v>0</v>
      </c>
    </row>
    <row r="110" spans="1:50">
      <c r="A110" s="43">
        <f>IF(G110="","",JobPrefix&amp;TEXT(ROW()-4,"0000"))</f>
        <v>0</v>
      </c>
      <c r="B110" s="46">
        <v>46325</v>
      </c>
      <c r="C110" s="23">
        <f>IF(B110="","",TEXT(B110,"ddd"))</f>
        <v>0</v>
      </c>
      <c r="D110" s="31">
        <f>IF(B110="","",WEEKNUM(B110,IF(WeekStart="Sunday",1,2)))</f>
        <v>0</v>
      </c>
      <c r="E110" s="23">
        <f>IF(B110="","",TEXT(B110,"yyyy-mm"))</f>
        <v>0</v>
      </c>
      <c r="F110" s="52">
        <v>0.729166666666667</v>
      </c>
      <c r="G110" s="49" t="s">
        <v>800</v>
      </c>
      <c r="H110" s="23">
        <f>IF(G110="","",IFERROR(INDEX(Clients!$B$5:$B$204,MATCH(G110,Clients!$A$5:$A$204,0)),"Not found"))</f>
        <v>0</v>
      </c>
      <c r="I110" s="23">
        <f>IF(G110="","",IFERROR(INDEX(Clients!$C$5:$C$204,MATCH(G110,Clients!$A$5:$A$204,0)),""))</f>
        <v>0</v>
      </c>
      <c r="J110" s="49" t="s">
        <v>1140</v>
      </c>
      <c r="K110" s="23">
        <f>IF(J110="","",IFERROR(INDEX(Properties!$B$5:$B$254,MATCH(J110,Properties!$A$5:$A$254,0)),""))</f>
        <v>0</v>
      </c>
      <c r="L110" s="23">
        <f>IF(J110="","",IFERROR(INDEX(Properties!$F$5:$F$254,MATCH(J110,Properties!$A$5:$A$254,0)),""))</f>
        <v>0</v>
      </c>
      <c r="M110" s="15" t="s">
        <v>803</v>
      </c>
      <c r="N110" s="15" t="s">
        <v>1133</v>
      </c>
      <c r="O110" s="15" t="s">
        <v>451</v>
      </c>
      <c r="P110" s="45" t="s">
        <v>1163</v>
      </c>
      <c r="Q110" s="15" t="s">
        <v>448</v>
      </c>
      <c r="R110" s="15" t="s">
        <v>639</v>
      </c>
      <c r="S110" s="15" t="s">
        <v>664</v>
      </c>
      <c r="T110" s="16">
        <v>2</v>
      </c>
      <c r="W110" s="17">
        <v>9.2</v>
      </c>
      <c r="X110" s="47" t="s">
        <v>454</v>
      </c>
      <c r="Y110" s="47" t="s">
        <v>457</v>
      </c>
      <c r="AA110" s="47" t="s">
        <v>172</v>
      </c>
      <c r="AB110" s="44" t="s">
        <v>172</v>
      </c>
      <c r="AC110" s="44" t="s">
        <v>172</v>
      </c>
      <c r="AD110" s="34">
        <f>IF(G110="","",IF(U110&lt;&gt;"",U110,IF(AND(IFERROR(INDEX(Services!$D$5:$D$64,MATCH(M110,Services!$B$5:$B$64,0)),"")="Per hour",IFERROR(INDEX(Properties!$X$5:$X$254,MATCH(J110,Properties!$A$5:$A$254,0)),0)&gt;0),IFERROR(INDEX(Properties!$X$5:$X$254,MATCH(J110,Properties!$A$5:$A$254,0)),0),IF(IFERROR(INDEX(Services!$G$5:$G$64,MATCH(M110,Services!$B$5:$B$64,0)),0)&gt;0,IFERROR(INDEX(Services!$G$5:$G$64,MATCH(M110,Services!$B$5:$B$64,0)),0),IFERROR(INDEX(Properties!$X$5:$X$254,MATCH(J110,Properties!$A$5:$A$254,0)),0)))))</f>
        <v>0</v>
      </c>
      <c r="AE110" s="31">
        <f>IF(G110="","",IF(T110="",CleanersPerJob,MAX(1,T110)))</f>
        <v>0</v>
      </c>
      <c r="AF110" s="34">
        <f>IF(G110="","",ROUND(AD110/AE110,2))</f>
        <v>0</v>
      </c>
      <c r="AG110" s="53">
        <f>IF(OR(G110="",F110="",AF110=""),"",F110+AF110/24)</f>
        <v>0</v>
      </c>
      <c r="AH110" s="21">
        <f>IF(G110="","",IF(IFERROR(INDEX(Clients!$O$5:$O$204,MATCH(G110,Clients!$A$5:$A$204,0)),0)&gt;0,IFERROR(INDEX(Clients!$O$5:$O$204,MATCH(G110,Clients!$A$5:$A$204,0)),0),HourlyRate))</f>
        <v>0</v>
      </c>
      <c r="AI110" s="21">
        <f>IF(G110="","",IF(AND(M110&lt;&gt;"",IFERROR(INDEX(Services!$P$5:$P$64,MATCH(M110,Services!$B$5:$B$64,0)),0)&gt;0,IFERROR(INDEX(Services!$D$5:$D$64,MATCH(M110,Services!$B$5:$B$64,0)),"")&lt;&gt;"Per hour"),IFERROR(INDEX(Services!$P$5:$P$64,MATCH(M110,Services!$B$5:$B$64,0)),0),AD110*AH110))</f>
        <v>0</v>
      </c>
      <c r="AJ110" s="21">
        <f>IF(G110="","",IF(V110&lt;&gt;"",V110,IF(P110="Cancelled",0,MAX(MinimumCharge,ROUND(AI110*IFERROR(INDEX(FreqFactors,MATCH(O110,FreqNames,0)),1),2)))))</f>
        <v>0</v>
      </c>
      <c r="AK110" s="34">
        <f>IF(G110="","",IF(SUMIFS(Timesheets!$U$5:$U$804,Timesheets!$G$5:$G$804,A110)&gt;0,SUMIFS(Timesheets!$U$5:$U$804,Timesheets!$G$5:$G$804,A110),IF(Z110="","",Z110)))</f>
        <v>0</v>
      </c>
      <c r="AL110" s="34">
        <f>IF(OR(AK110="",AD110=""),"",AK110-AD110)</f>
        <v>0</v>
      </c>
      <c r="AM110" s="31">
        <f>IF(A110="","",COUNTIFS('Job Tasks'!$B$5:$B$904,A110))</f>
        <v>0</v>
      </c>
      <c r="AN110" s="31">
        <f>IF(A110="","",COUNTIFS('Job Tasks'!$B$5:$B$904,A110,'Job Tasks'!$H$5:$H$904,"Done"))</f>
        <v>0</v>
      </c>
      <c r="AO110" s="38">
        <f>IF(OR(A110="",AM110=0),"",AN110/AM110)</f>
        <v>0</v>
      </c>
      <c r="AP110" s="43">
        <f>IF(A110="","",IFERROR(INDEX('Invoice Lines'!$B$5:$B$804,MATCH(A110,'Invoice Lines'!$C$5:$C$804,0)),""))</f>
        <v>0</v>
      </c>
      <c r="AQ110" s="18">
        <f>IF(OR(G110="",B110="",X110&lt;&gt;"Yes"),"",IF(IFERROR(INDEX(FreqDays,MATCH(O110,FreqNames,0)),0)=0,"",B110+IFERROR(INDEX(FreqDays,MATCH(O110,FreqNames,0)),0)))</f>
        <v>0</v>
      </c>
      <c r="AR110" s="39">
        <f>IF(G110="","",IF(R110="","Unassigned",IF(COUNTIFS($R$5:$R$604,R110,$B$5:$B$604,B110,$F$5:$F$604,F110)&gt;1,"Clash",IF(SUMIFS($AF$5:$AF$604,$R$5:$R$604,R110,$B$5:$B$604,B110)&gt;ProductiveHours,"Long day","OK"))))</f>
        <v>0</v>
      </c>
      <c r="AS110" s="18">
        <f>IF(OR(G110="",B110=""),"",IF(AND(B110&gt;=TodayDate,P110&lt;&gt;"Cancelled"),B110,""))</f>
        <v>0</v>
      </c>
      <c r="AT110" s="31">
        <f>IF(AS110="","",COUNTIFS($AS$5:$AS$604,"&lt;"&amp;AS110)+COUNTIFS($AS$5:AS110,AS110))</f>
        <v>0</v>
      </c>
      <c r="AU110" s="18">
        <f>IF(OR(G110="",B110="",R110&lt;&gt;""),"",IF(AND(B110&gt;=TodayDate,P110&lt;&gt;"Cancelled"),B110,""))</f>
        <v>0</v>
      </c>
      <c r="AV110" s="31">
        <f>IF(AU110="","",COUNTIFS($AU$5:$AU$604,"&lt;"&amp;AU110)+COUNTIFS($AU$5:AU110,AU110))</f>
        <v>0</v>
      </c>
      <c r="AW110" s="31">
        <f>IF(OR(G110="",B110=""),"",B110-TodayDate)</f>
        <v>0</v>
      </c>
      <c r="AX110" s="39">
        <f>IF(G110="","",IF(P110="Cancelled","Cancelled",IF(P110="No access","Action - no access, rebook",IF(AND(B110&lt;&gt;"",AW110&lt;0,OR(P110="Booked",P110="Confirmed",P110="In progress")),"Late - mark it completed",IF(AND(P110="Completed",AP110=""),"Action - not invoiced yet",IF(AND(AW110&gt;=0,AW110&lt;=ReminderDays,Y110&lt;&gt;"Yes"),"Confirm - visit coming up",IF(R110="","Assign - no cleaner booked",IF(AND(P110="Completed",AO110&lt;&gt;"",AO110&lt;1),"Check - checklist unfinished","OK"))))))))</f>
        <v>0</v>
      </c>
    </row>
    <row r="111" spans="1:50">
      <c r="A111" s="43">
        <f>IF(G111="","",JobPrefix&amp;TEXT(ROW()-4,"0000"))</f>
        <v>0</v>
      </c>
      <c r="B111" s="46">
        <v>46325</v>
      </c>
      <c r="C111" s="23">
        <f>IF(B111="","",TEXT(B111,"ddd"))</f>
        <v>0</v>
      </c>
      <c r="D111" s="31">
        <f>IF(B111="","",WEEKNUM(B111,IF(WeekStart="Sunday",1,2)))</f>
        <v>0</v>
      </c>
      <c r="E111" s="23">
        <f>IF(B111="","",TEXT(B111,"yyyy-mm"))</f>
        <v>0</v>
      </c>
      <c r="F111" s="52">
        <v>0.75</v>
      </c>
      <c r="G111" s="49" t="s">
        <v>764</v>
      </c>
      <c r="H111" s="23">
        <f>IF(G111="","",IFERROR(INDEX(Clients!$B$5:$B$204,MATCH(G111,Clients!$A$5:$A$204,0)),"Not found"))</f>
        <v>0</v>
      </c>
      <c r="I111" s="23">
        <f>IF(G111="","",IFERROR(INDEX(Clients!$C$5:$C$204,MATCH(G111,Clients!$A$5:$A$204,0)),""))</f>
        <v>0</v>
      </c>
      <c r="J111" s="49" t="s">
        <v>1141</v>
      </c>
      <c r="K111" s="23">
        <f>IF(J111="","",IFERROR(INDEX(Properties!$B$5:$B$254,MATCH(J111,Properties!$A$5:$A$254,0)),""))</f>
        <v>0</v>
      </c>
      <c r="L111" s="23">
        <f>IF(J111="","",IFERROR(INDEX(Properties!$F$5:$F$254,MATCH(J111,Properties!$A$5:$A$254,0)),""))</f>
        <v>0</v>
      </c>
      <c r="M111" s="15" t="s">
        <v>770</v>
      </c>
      <c r="N111" s="15" t="s">
        <v>1133</v>
      </c>
      <c r="O111" s="15" t="s">
        <v>451</v>
      </c>
      <c r="P111" s="45" t="s">
        <v>1163</v>
      </c>
      <c r="Q111" s="15" t="s">
        <v>448</v>
      </c>
      <c r="R111" s="15" t="s">
        <v>608</v>
      </c>
      <c r="S111" s="15" t="s">
        <v>172</v>
      </c>
      <c r="T111" s="16">
        <v>1</v>
      </c>
      <c r="W111" s="17">
        <v>6.2</v>
      </c>
      <c r="X111" s="47" t="s">
        <v>454</v>
      </c>
      <c r="Y111" s="47" t="s">
        <v>457</v>
      </c>
      <c r="AA111" s="47" t="s">
        <v>172</v>
      </c>
      <c r="AB111" s="44" t="s">
        <v>172</v>
      </c>
      <c r="AC111" s="44" t="s">
        <v>172</v>
      </c>
      <c r="AD111" s="34">
        <f>IF(G111="","",IF(U111&lt;&gt;"",U111,IF(AND(IFERROR(INDEX(Services!$D$5:$D$64,MATCH(M111,Services!$B$5:$B$64,0)),"")="Per hour",IFERROR(INDEX(Properties!$X$5:$X$254,MATCH(J111,Properties!$A$5:$A$254,0)),0)&gt;0),IFERROR(INDEX(Properties!$X$5:$X$254,MATCH(J111,Properties!$A$5:$A$254,0)),0),IF(IFERROR(INDEX(Services!$G$5:$G$64,MATCH(M111,Services!$B$5:$B$64,0)),0)&gt;0,IFERROR(INDEX(Services!$G$5:$G$64,MATCH(M111,Services!$B$5:$B$64,0)),0),IFERROR(INDEX(Properties!$X$5:$X$254,MATCH(J111,Properties!$A$5:$A$254,0)),0)))))</f>
        <v>0</v>
      </c>
      <c r="AE111" s="31">
        <f>IF(G111="","",IF(T111="",CleanersPerJob,MAX(1,T111)))</f>
        <v>0</v>
      </c>
      <c r="AF111" s="34">
        <f>IF(G111="","",ROUND(AD111/AE111,2))</f>
        <v>0</v>
      </c>
      <c r="AG111" s="53">
        <f>IF(OR(G111="",F111="",AF111=""),"",F111+AF111/24)</f>
        <v>0</v>
      </c>
      <c r="AH111" s="21">
        <f>IF(G111="","",IF(IFERROR(INDEX(Clients!$O$5:$O$204,MATCH(G111,Clients!$A$5:$A$204,0)),0)&gt;0,IFERROR(INDEX(Clients!$O$5:$O$204,MATCH(G111,Clients!$A$5:$A$204,0)),0),HourlyRate))</f>
        <v>0</v>
      </c>
      <c r="AI111" s="21">
        <f>IF(G111="","",IF(AND(M111&lt;&gt;"",IFERROR(INDEX(Services!$P$5:$P$64,MATCH(M111,Services!$B$5:$B$64,0)),0)&gt;0,IFERROR(INDEX(Services!$D$5:$D$64,MATCH(M111,Services!$B$5:$B$64,0)),"")&lt;&gt;"Per hour"),IFERROR(INDEX(Services!$P$5:$P$64,MATCH(M111,Services!$B$5:$B$64,0)),0),AD111*AH111))</f>
        <v>0</v>
      </c>
      <c r="AJ111" s="21">
        <f>IF(G111="","",IF(V111&lt;&gt;"",V111,IF(P111="Cancelled",0,MAX(MinimumCharge,ROUND(AI111*IFERROR(INDEX(FreqFactors,MATCH(O111,FreqNames,0)),1),2)))))</f>
        <v>0</v>
      </c>
      <c r="AK111" s="34">
        <f>IF(G111="","",IF(SUMIFS(Timesheets!$U$5:$U$804,Timesheets!$G$5:$G$804,A111)&gt;0,SUMIFS(Timesheets!$U$5:$U$804,Timesheets!$G$5:$G$804,A111),IF(Z111="","",Z111)))</f>
        <v>0</v>
      </c>
      <c r="AL111" s="34">
        <f>IF(OR(AK111="",AD111=""),"",AK111-AD111)</f>
        <v>0</v>
      </c>
      <c r="AM111" s="31">
        <f>IF(A111="","",COUNTIFS('Job Tasks'!$B$5:$B$904,A111))</f>
        <v>0</v>
      </c>
      <c r="AN111" s="31">
        <f>IF(A111="","",COUNTIFS('Job Tasks'!$B$5:$B$904,A111,'Job Tasks'!$H$5:$H$904,"Done"))</f>
        <v>0</v>
      </c>
      <c r="AO111" s="38">
        <f>IF(OR(A111="",AM111=0),"",AN111/AM111)</f>
        <v>0</v>
      </c>
      <c r="AP111" s="43">
        <f>IF(A111="","",IFERROR(INDEX('Invoice Lines'!$B$5:$B$804,MATCH(A111,'Invoice Lines'!$C$5:$C$804,0)),""))</f>
        <v>0</v>
      </c>
      <c r="AQ111" s="18">
        <f>IF(OR(G111="",B111="",X111&lt;&gt;"Yes"),"",IF(IFERROR(INDEX(FreqDays,MATCH(O111,FreqNames,0)),0)=0,"",B111+IFERROR(INDEX(FreqDays,MATCH(O111,FreqNames,0)),0)))</f>
        <v>0</v>
      </c>
      <c r="AR111" s="39">
        <f>IF(G111="","",IF(R111="","Unassigned",IF(COUNTIFS($R$5:$R$604,R111,$B$5:$B$604,B111,$F$5:$F$604,F111)&gt;1,"Clash",IF(SUMIFS($AF$5:$AF$604,$R$5:$R$604,R111,$B$5:$B$604,B111)&gt;ProductiveHours,"Long day","OK"))))</f>
        <v>0</v>
      </c>
      <c r="AS111" s="18">
        <f>IF(OR(G111="",B111=""),"",IF(AND(B111&gt;=TodayDate,P111&lt;&gt;"Cancelled"),B111,""))</f>
        <v>0</v>
      </c>
      <c r="AT111" s="31">
        <f>IF(AS111="","",COUNTIFS($AS$5:$AS$604,"&lt;"&amp;AS111)+COUNTIFS($AS$5:AS111,AS111))</f>
        <v>0</v>
      </c>
      <c r="AU111" s="18">
        <f>IF(OR(G111="",B111="",R111&lt;&gt;""),"",IF(AND(B111&gt;=TodayDate,P111&lt;&gt;"Cancelled"),B111,""))</f>
        <v>0</v>
      </c>
      <c r="AV111" s="31">
        <f>IF(AU111="","",COUNTIFS($AU$5:$AU$604,"&lt;"&amp;AU111)+COUNTIFS($AU$5:AU111,AU111))</f>
        <v>0</v>
      </c>
      <c r="AW111" s="31">
        <f>IF(OR(G111="",B111=""),"",B111-TodayDate)</f>
        <v>0</v>
      </c>
      <c r="AX111" s="39">
        <f>IF(G111="","",IF(P111="Cancelled","Cancelled",IF(P111="No access","Action - no access, rebook",IF(AND(B111&lt;&gt;"",AW111&lt;0,OR(P111="Booked",P111="Confirmed",P111="In progress")),"Late - mark it completed",IF(AND(P111="Completed",AP111=""),"Action - not invoiced yet",IF(AND(AW111&gt;=0,AW111&lt;=ReminderDays,Y111&lt;&gt;"Yes"),"Confirm - visit coming up",IF(R111="","Assign - no cleaner booked",IF(AND(P111="Completed",AO111&lt;&gt;"",AO111&lt;1),"Check - checklist unfinished","OK"))))))))</f>
        <v>0</v>
      </c>
    </row>
    <row r="112" spans="1:50">
      <c r="A112" s="43">
        <f>IF(G112="","",JobPrefix&amp;TEXT(ROW()-4,"0000"))</f>
        <v>0</v>
      </c>
      <c r="B112" s="46">
        <v>46325</v>
      </c>
      <c r="C112" s="23">
        <f>IF(B112="","",TEXT(B112,"ddd"))</f>
        <v>0</v>
      </c>
      <c r="D112" s="31">
        <f>IF(B112="","",WEEKNUM(B112,IF(WeekStart="Sunday",1,2)))</f>
        <v>0</v>
      </c>
      <c r="E112" s="23">
        <f>IF(B112="","",TEXT(B112,"yyyy-mm"))</f>
        <v>0</v>
      </c>
      <c r="F112" s="52">
        <v>0.833333333333333</v>
      </c>
      <c r="G112" s="49" t="s">
        <v>848</v>
      </c>
      <c r="H112" s="23">
        <f>IF(G112="","",IFERROR(INDEX(Clients!$B$5:$B$204,MATCH(G112,Clients!$A$5:$A$204,0)),"Not found"))</f>
        <v>0</v>
      </c>
      <c r="I112" s="23">
        <f>IF(G112="","",IFERROR(INDEX(Clients!$C$5:$C$204,MATCH(G112,Clients!$A$5:$A$204,0)),""))</f>
        <v>0</v>
      </c>
      <c r="J112" s="49" t="s">
        <v>1142</v>
      </c>
      <c r="K112" s="23">
        <f>IF(J112="","",IFERROR(INDEX(Properties!$B$5:$B$254,MATCH(J112,Properties!$A$5:$A$254,0)),""))</f>
        <v>0</v>
      </c>
      <c r="L112" s="23">
        <f>IF(J112="","",IFERROR(INDEX(Properties!$F$5:$F$254,MATCH(J112,Properties!$A$5:$A$254,0)),""))</f>
        <v>0</v>
      </c>
      <c r="M112" s="15" t="s">
        <v>770</v>
      </c>
      <c r="N112" s="15" t="s">
        <v>1133</v>
      </c>
      <c r="O112" s="15" t="s">
        <v>451</v>
      </c>
      <c r="P112" s="45" t="s">
        <v>1163</v>
      </c>
      <c r="Q112" s="15" t="s">
        <v>448</v>
      </c>
      <c r="R112" s="15" t="s">
        <v>608</v>
      </c>
      <c r="S112" s="15" t="s">
        <v>172</v>
      </c>
      <c r="T112" s="16">
        <v>1</v>
      </c>
      <c r="W112" s="17">
        <v>4.4</v>
      </c>
      <c r="X112" s="47" t="s">
        <v>454</v>
      </c>
      <c r="Y112" s="47" t="s">
        <v>457</v>
      </c>
      <c r="AA112" s="47" t="s">
        <v>172</v>
      </c>
      <c r="AB112" s="44" t="s">
        <v>172</v>
      </c>
      <c r="AC112" s="44" t="s">
        <v>172</v>
      </c>
      <c r="AD112" s="34">
        <f>IF(G112="","",IF(U112&lt;&gt;"",U112,IF(AND(IFERROR(INDEX(Services!$D$5:$D$64,MATCH(M112,Services!$B$5:$B$64,0)),"")="Per hour",IFERROR(INDEX(Properties!$X$5:$X$254,MATCH(J112,Properties!$A$5:$A$254,0)),0)&gt;0),IFERROR(INDEX(Properties!$X$5:$X$254,MATCH(J112,Properties!$A$5:$A$254,0)),0),IF(IFERROR(INDEX(Services!$G$5:$G$64,MATCH(M112,Services!$B$5:$B$64,0)),0)&gt;0,IFERROR(INDEX(Services!$G$5:$G$64,MATCH(M112,Services!$B$5:$B$64,0)),0),IFERROR(INDEX(Properties!$X$5:$X$254,MATCH(J112,Properties!$A$5:$A$254,0)),0)))))</f>
        <v>0</v>
      </c>
      <c r="AE112" s="31">
        <f>IF(G112="","",IF(T112="",CleanersPerJob,MAX(1,T112)))</f>
        <v>0</v>
      </c>
      <c r="AF112" s="34">
        <f>IF(G112="","",ROUND(AD112/AE112,2))</f>
        <v>0</v>
      </c>
      <c r="AG112" s="53">
        <f>IF(OR(G112="",F112="",AF112=""),"",F112+AF112/24)</f>
        <v>0</v>
      </c>
      <c r="AH112" s="21">
        <f>IF(G112="","",IF(IFERROR(INDEX(Clients!$O$5:$O$204,MATCH(G112,Clients!$A$5:$A$204,0)),0)&gt;0,IFERROR(INDEX(Clients!$O$5:$O$204,MATCH(G112,Clients!$A$5:$A$204,0)),0),HourlyRate))</f>
        <v>0</v>
      </c>
      <c r="AI112" s="21">
        <f>IF(G112="","",IF(AND(M112&lt;&gt;"",IFERROR(INDEX(Services!$P$5:$P$64,MATCH(M112,Services!$B$5:$B$64,0)),0)&gt;0,IFERROR(INDEX(Services!$D$5:$D$64,MATCH(M112,Services!$B$5:$B$64,0)),"")&lt;&gt;"Per hour"),IFERROR(INDEX(Services!$P$5:$P$64,MATCH(M112,Services!$B$5:$B$64,0)),0),AD112*AH112))</f>
        <v>0</v>
      </c>
      <c r="AJ112" s="21">
        <f>IF(G112="","",IF(V112&lt;&gt;"",V112,IF(P112="Cancelled",0,MAX(MinimumCharge,ROUND(AI112*IFERROR(INDEX(FreqFactors,MATCH(O112,FreqNames,0)),1),2)))))</f>
        <v>0</v>
      </c>
      <c r="AK112" s="34">
        <f>IF(G112="","",IF(SUMIFS(Timesheets!$U$5:$U$804,Timesheets!$G$5:$G$804,A112)&gt;0,SUMIFS(Timesheets!$U$5:$U$804,Timesheets!$G$5:$G$804,A112),IF(Z112="","",Z112)))</f>
        <v>0</v>
      </c>
      <c r="AL112" s="34">
        <f>IF(OR(AK112="",AD112=""),"",AK112-AD112)</f>
        <v>0</v>
      </c>
      <c r="AM112" s="31">
        <f>IF(A112="","",COUNTIFS('Job Tasks'!$B$5:$B$904,A112))</f>
        <v>0</v>
      </c>
      <c r="AN112" s="31">
        <f>IF(A112="","",COUNTIFS('Job Tasks'!$B$5:$B$904,A112,'Job Tasks'!$H$5:$H$904,"Done"))</f>
        <v>0</v>
      </c>
      <c r="AO112" s="38">
        <f>IF(OR(A112="",AM112=0),"",AN112/AM112)</f>
        <v>0</v>
      </c>
      <c r="AP112" s="43">
        <f>IF(A112="","",IFERROR(INDEX('Invoice Lines'!$B$5:$B$804,MATCH(A112,'Invoice Lines'!$C$5:$C$804,0)),""))</f>
        <v>0</v>
      </c>
      <c r="AQ112" s="18">
        <f>IF(OR(G112="",B112="",X112&lt;&gt;"Yes"),"",IF(IFERROR(INDEX(FreqDays,MATCH(O112,FreqNames,0)),0)=0,"",B112+IFERROR(INDEX(FreqDays,MATCH(O112,FreqNames,0)),0)))</f>
        <v>0</v>
      </c>
      <c r="AR112" s="39">
        <f>IF(G112="","",IF(R112="","Unassigned",IF(COUNTIFS($R$5:$R$604,R112,$B$5:$B$604,B112,$F$5:$F$604,F112)&gt;1,"Clash",IF(SUMIFS($AF$5:$AF$604,$R$5:$R$604,R112,$B$5:$B$604,B112)&gt;ProductiveHours,"Long day","OK"))))</f>
        <v>0</v>
      </c>
      <c r="AS112" s="18">
        <f>IF(OR(G112="",B112=""),"",IF(AND(B112&gt;=TodayDate,P112&lt;&gt;"Cancelled"),B112,""))</f>
        <v>0</v>
      </c>
      <c r="AT112" s="31">
        <f>IF(AS112="","",COUNTIFS($AS$5:$AS$604,"&lt;"&amp;AS112)+COUNTIFS($AS$5:AS112,AS112))</f>
        <v>0</v>
      </c>
      <c r="AU112" s="18">
        <f>IF(OR(G112="",B112="",R112&lt;&gt;""),"",IF(AND(B112&gt;=TodayDate,P112&lt;&gt;"Cancelled"),B112,""))</f>
        <v>0</v>
      </c>
      <c r="AV112" s="31">
        <f>IF(AU112="","",COUNTIFS($AU$5:$AU$604,"&lt;"&amp;AU112)+COUNTIFS($AU$5:AU112,AU112))</f>
        <v>0</v>
      </c>
      <c r="AW112" s="31">
        <f>IF(OR(G112="",B112=""),"",B112-TodayDate)</f>
        <v>0</v>
      </c>
      <c r="AX112" s="39">
        <f>IF(G112="","",IF(P112="Cancelled","Cancelled",IF(P112="No access","Action - no access, rebook",IF(AND(B112&lt;&gt;"",AW112&lt;0,OR(P112="Booked",P112="Confirmed",P112="In progress")),"Late - mark it completed",IF(AND(P112="Completed",AP112=""),"Action - not invoiced yet",IF(AND(AW112&gt;=0,AW112&lt;=ReminderDays,Y112&lt;&gt;"Yes"),"Confirm - visit coming up",IF(R112="","Assign - no cleaner booked",IF(AND(P112="Completed",AO112&lt;&gt;"",AO112&lt;1),"Check - checklist unfinished","OK"))))))))</f>
        <v>0</v>
      </c>
    </row>
    <row r="113" spans="1:50">
      <c r="A113" s="43">
        <f>IF(G113="","",JobPrefix&amp;TEXT(ROW()-4,"0000"))</f>
        <v>0</v>
      </c>
      <c r="B113" s="46">
        <v>46326</v>
      </c>
      <c r="C113" s="23">
        <f>IF(B113="","",TEXT(B113,"ddd"))</f>
        <v>0</v>
      </c>
      <c r="D113" s="31">
        <f>IF(B113="","",WEEKNUM(B113,IF(WeekStart="Sunday",1,2)))</f>
        <v>0</v>
      </c>
      <c r="E113" s="23">
        <f>IF(B113="","",TEXT(B113,"yyyy-mm"))</f>
        <v>0</v>
      </c>
      <c r="F113" s="52">
        <v>0.458333333333333</v>
      </c>
      <c r="G113" s="49" t="s">
        <v>818</v>
      </c>
      <c r="H113" s="23">
        <f>IF(G113="","",IFERROR(INDEX(Clients!$B$5:$B$204,MATCH(G113,Clients!$A$5:$A$204,0)),"Not found"))</f>
        <v>0</v>
      </c>
      <c r="I113" s="23">
        <f>IF(G113="","",IFERROR(INDEX(Clients!$C$5:$C$204,MATCH(G113,Clients!$A$5:$A$204,0)),""))</f>
        <v>0</v>
      </c>
      <c r="J113" s="49" t="s">
        <v>1143</v>
      </c>
      <c r="K113" s="23">
        <f>IF(J113="","",IFERROR(INDEX(Properties!$B$5:$B$254,MATCH(J113,Properties!$A$5:$A$254,0)),""))</f>
        <v>0</v>
      </c>
      <c r="L113" s="23">
        <f>IF(J113="","",IFERROR(INDEX(Properties!$F$5:$F$254,MATCH(J113,Properties!$A$5:$A$254,0)),""))</f>
        <v>0</v>
      </c>
      <c r="M113" s="15" t="s">
        <v>821</v>
      </c>
      <c r="N113" s="15" t="s">
        <v>1133</v>
      </c>
      <c r="O113" s="15" t="s">
        <v>451</v>
      </c>
      <c r="P113" s="45" t="s">
        <v>1163</v>
      </c>
      <c r="Q113" s="15" t="s">
        <v>448</v>
      </c>
      <c r="R113" s="15" t="s">
        <v>596</v>
      </c>
      <c r="S113" s="15" t="s">
        <v>172</v>
      </c>
      <c r="T113" s="16">
        <v>1</v>
      </c>
      <c r="W113" s="17">
        <v>5.8</v>
      </c>
      <c r="X113" s="47" t="s">
        <v>454</v>
      </c>
      <c r="Y113" s="47" t="s">
        <v>457</v>
      </c>
      <c r="AA113" s="47" t="s">
        <v>172</v>
      </c>
      <c r="AB113" s="44" t="s">
        <v>172</v>
      </c>
      <c r="AC113" s="44" t="s">
        <v>172</v>
      </c>
      <c r="AD113" s="34">
        <f>IF(G113="","",IF(U113&lt;&gt;"",U113,IF(AND(IFERROR(INDEX(Services!$D$5:$D$64,MATCH(M113,Services!$B$5:$B$64,0)),"")="Per hour",IFERROR(INDEX(Properties!$X$5:$X$254,MATCH(J113,Properties!$A$5:$A$254,0)),0)&gt;0),IFERROR(INDEX(Properties!$X$5:$X$254,MATCH(J113,Properties!$A$5:$A$254,0)),0),IF(IFERROR(INDEX(Services!$G$5:$G$64,MATCH(M113,Services!$B$5:$B$64,0)),0)&gt;0,IFERROR(INDEX(Services!$G$5:$G$64,MATCH(M113,Services!$B$5:$B$64,0)),0),IFERROR(INDEX(Properties!$X$5:$X$254,MATCH(J113,Properties!$A$5:$A$254,0)),0)))))</f>
        <v>0</v>
      </c>
      <c r="AE113" s="31">
        <f>IF(G113="","",IF(T113="",CleanersPerJob,MAX(1,T113)))</f>
        <v>0</v>
      </c>
      <c r="AF113" s="34">
        <f>IF(G113="","",ROUND(AD113/AE113,2))</f>
        <v>0</v>
      </c>
      <c r="AG113" s="53">
        <f>IF(OR(G113="",F113="",AF113=""),"",F113+AF113/24)</f>
        <v>0</v>
      </c>
      <c r="AH113" s="21">
        <f>IF(G113="","",IF(IFERROR(INDEX(Clients!$O$5:$O$204,MATCH(G113,Clients!$A$5:$A$204,0)),0)&gt;0,IFERROR(INDEX(Clients!$O$5:$O$204,MATCH(G113,Clients!$A$5:$A$204,0)),0),HourlyRate))</f>
        <v>0</v>
      </c>
      <c r="AI113" s="21">
        <f>IF(G113="","",IF(AND(M113&lt;&gt;"",IFERROR(INDEX(Services!$P$5:$P$64,MATCH(M113,Services!$B$5:$B$64,0)),0)&gt;0,IFERROR(INDEX(Services!$D$5:$D$64,MATCH(M113,Services!$B$5:$B$64,0)),"")&lt;&gt;"Per hour"),IFERROR(INDEX(Services!$P$5:$P$64,MATCH(M113,Services!$B$5:$B$64,0)),0),AD113*AH113))</f>
        <v>0</v>
      </c>
      <c r="AJ113" s="21">
        <f>IF(G113="","",IF(V113&lt;&gt;"",V113,IF(P113="Cancelled",0,MAX(MinimumCharge,ROUND(AI113*IFERROR(INDEX(FreqFactors,MATCH(O113,FreqNames,0)),1),2)))))</f>
        <v>0</v>
      </c>
      <c r="AK113" s="34">
        <f>IF(G113="","",IF(SUMIFS(Timesheets!$U$5:$U$804,Timesheets!$G$5:$G$804,A113)&gt;0,SUMIFS(Timesheets!$U$5:$U$804,Timesheets!$G$5:$G$804,A113),IF(Z113="","",Z113)))</f>
        <v>0</v>
      </c>
      <c r="AL113" s="34">
        <f>IF(OR(AK113="",AD113=""),"",AK113-AD113)</f>
        <v>0</v>
      </c>
      <c r="AM113" s="31">
        <f>IF(A113="","",COUNTIFS('Job Tasks'!$B$5:$B$904,A113))</f>
        <v>0</v>
      </c>
      <c r="AN113" s="31">
        <f>IF(A113="","",COUNTIFS('Job Tasks'!$B$5:$B$904,A113,'Job Tasks'!$H$5:$H$904,"Done"))</f>
        <v>0</v>
      </c>
      <c r="AO113" s="38">
        <f>IF(OR(A113="",AM113=0),"",AN113/AM113)</f>
        <v>0</v>
      </c>
      <c r="AP113" s="43">
        <f>IF(A113="","",IFERROR(INDEX('Invoice Lines'!$B$5:$B$804,MATCH(A113,'Invoice Lines'!$C$5:$C$804,0)),""))</f>
        <v>0</v>
      </c>
      <c r="AQ113" s="18">
        <f>IF(OR(G113="",B113="",X113&lt;&gt;"Yes"),"",IF(IFERROR(INDEX(FreqDays,MATCH(O113,FreqNames,0)),0)=0,"",B113+IFERROR(INDEX(FreqDays,MATCH(O113,FreqNames,0)),0)))</f>
        <v>0</v>
      </c>
      <c r="AR113" s="39">
        <f>IF(G113="","",IF(R113="","Unassigned",IF(COUNTIFS($R$5:$R$604,R113,$B$5:$B$604,B113,$F$5:$F$604,F113)&gt;1,"Clash",IF(SUMIFS($AF$5:$AF$604,$R$5:$R$604,R113,$B$5:$B$604,B113)&gt;ProductiveHours,"Long day","OK"))))</f>
        <v>0</v>
      </c>
      <c r="AS113" s="18">
        <f>IF(OR(G113="",B113=""),"",IF(AND(B113&gt;=TodayDate,P113&lt;&gt;"Cancelled"),B113,""))</f>
        <v>0</v>
      </c>
      <c r="AT113" s="31">
        <f>IF(AS113="","",COUNTIFS($AS$5:$AS$604,"&lt;"&amp;AS113)+COUNTIFS($AS$5:AS113,AS113))</f>
        <v>0</v>
      </c>
      <c r="AU113" s="18">
        <f>IF(OR(G113="",B113="",R113&lt;&gt;""),"",IF(AND(B113&gt;=TodayDate,P113&lt;&gt;"Cancelled"),B113,""))</f>
        <v>0</v>
      </c>
      <c r="AV113" s="31">
        <f>IF(AU113="","",COUNTIFS($AU$5:$AU$604,"&lt;"&amp;AU113)+COUNTIFS($AU$5:AU113,AU113))</f>
        <v>0</v>
      </c>
      <c r="AW113" s="31">
        <f>IF(OR(G113="",B113=""),"",B113-TodayDate)</f>
        <v>0</v>
      </c>
      <c r="AX113" s="39">
        <f>IF(G113="","",IF(P113="Cancelled","Cancelled",IF(P113="No access","Action - no access, rebook",IF(AND(B113&lt;&gt;"",AW113&lt;0,OR(P113="Booked",P113="Confirmed",P113="In progress")),"Late - mark it completed",IF(AND(P113="Completed",AP113=""),"Action - not invoiced yet",IF(AND(AW113&gt;=0,AW113&lt;=ReminderDays,Y113&lt;&gt;"Yes"),"Confirm - visit coming up",IF(R113="","Assign - no cleaner booked",IF(AND(P113="Completed",AO113&lt;&gt;"",AO113&lt;1),"Check - checklist unfinished","OK"))))))))</f>
        <v>0</v>
      </c>
    </row>
    <row r="114" spans="1:50">
      <c r="A114" s="43">
        <f>IF(G114="","",JobPrefix&amp;TEXT(ROW()-4,"0000"))</f>
        <v>0</v>
      </c>
      <c r="B114" s="46">
        <v>46326</v>
      </c>
      <c r="C114" s="23">
        <f>IF(B114="","",TEXT(B114,"ddd"))</f>
        <v>0</v>
      </c>
      <c r="D114" s="31">
        <f>IF(B114="","",WEEKNUM(B114,IF(WeekStart="Sunday",1,2)))</f>
        <v>0</v>
      </c>
      <c r="E114" s="23">
        <f>IF(B114="","",TEXT(B114,"yyyy-mm"))</f>
        <v>0</v>
      </c>
      <c r="F114" s="52">
        <v>0.583333333333333</v>
      </c>
      <c r="G114" s="49" t="s">
        <v>818</v>
      </c>
      <c r="H114" s="23">
        <f>IF(G114="","",IFERROR(INDEX(Clients!$B$5:$B$204,MATCH(G114,Clients!$A$5:$A$204,0)),"Not found"))</f>
        <v>0</v>
      </c>
      <c r="I114" s="23">
        <f>IF(G114="","",IFERROR(INDEX(Clients!$C$5:$C$204,MATCH(G114,Clients!$A$5:$A$204,0)),""))</f>
        <v>0</v>
      </c>
      <c r="J114" s="49" t="s">
        <v>1144</v>
      </c>
      <c r="K114" s="23">
        <f>IF(J114="","",IFERROR(INDEX(Properties!$B$5:$B$254,MATCH(J114,Properties!$A$5:$A$254,0)),""))</f>
        <v>0</v>
      </c>
      <c r="L114" s="23">
        <f>IF(J114="","",IFERROR(INDEX(Properties!$F$5:$F$254,MATCH(J114,Properties!$A$5:$A$254,0)),""))</f>
        <v>0</v>
      </c>
      <c r="M114" s="15" t="s">
        <v>821</v>
      </c>
      <c r="N114" s="15" t="s">
        <v>1133</v>
      </c>
      <c r="O114" s="15" t="s">
        <v>451</v>
      </c>
      <c r="P114" s="45" t="s">
        <v>1163</v>
      </c>
      <c r="Q114" s="15" t="s">
        <v>448</v>
      </c>
      <c r="R114" s="15" t="s">
        <v>596</v>
      </c>
      <c r="S114" s="15" t="s">
        <v>172</v>
      </c>
      <c r="T114" s="16">
        <v>1</v>
      </c>
      <c r="W114" s="17">
        <v>6.8</v>
      </c>
      <c r="X114" s="47" t="s">
        <v>454</v>
      </c>
      <c r="Y114" s="47" t="s">
        <v>457</v>
      </c>
      <c r="AA114" s="47" t="s">
        <v>172</v>
      </c>
      <c r="AB114" s="44" t="s">
        <v>172</v>
      </c>
      <c r="AC114" s="44" t="s">
        <v>172</v>
      </c>
      <c r="AD114" s="34">
        <f>IF(G114="","",IF(U114&lt;&gt;"",U114,IF(AND(IFERROR(INDEX(Services!$D$5:$D$64,MATCH(M114,Services!$B$5:$B$64,0)),"")="Per hour",IFERROR(INDEX(Properties!$X$5:$X$254,MATCH(J114,Properties!$A$5:$A$254,0)),0)&gt;0),IFERROR(INDEX(Properties!$X$5:$X$254,MATCH(J114,Properties!$A$5:$A$254,0)),0),IF(IFERROR(INDEX(Services!$G$5:$G$64,MATCH(M114,Services!$B$5:$B$64,0)),0)&gt;0,IFERROR(INDEX(Services!$G$5:$G$64,MATCH(M114,Services!$B$5:$B$64,0)),0),IFERROR(INDEX(Properties!$X$5:$X$254,MATCH(J114,Properties!$A$5:$A$254,0)),0)))))</f>
        <v>0</v>
      </c>
      <c r="AE114" s="31">
        <f>IF(G114="","",IF(T114="",CleanersPerJob,MAX(1,T114)))</f>
        <v>0</v>
      </c>
      <c r="AF114" s="34">
        <f>IF(G114="","",ROUND(AD114/AE114,2))</f>
        <v>0</v>
      </c>
      <c r="AG114" s="53">
        <f>IF(OR(G114="",F114="",AF114=""),"",F114+AF114/24)</f>
        <v>0</v>
      </c>
      <c r="AH114" s="21">
        <f>IF(G114="","",IF(IFERROR(INDEX(Clients!$O$5:$O$204,MATCH(G114,Clients!$A$5:$A$204,0)),0)&gt;0,IFERROR(INDEX(Clients!$O$5:$O$204,MATCH(G114,Clients!$A$5:$A$204,0)),0),HourlyRate))</f>
        <v>0</v>
      </c>
      <c r="AI114" s="21">
        <f>IF(G114="","",IF(AND(M114&lt;&gt;"",IFERROR(INDEX(Services!$P$5:$P$64,MATCH(M114,Services!$B$5:$B$64,0)),0)&gt;0,IFERROR(INDEX(Services!$D$5:$D$64,MATCH(M114,Services!$B$5:$B$64,0)),"")&lt;&gt;"Per hour"),IFERROR(INDEX(Services!$P$5:$P$64,MATCH(M114,Services!$B$5:$B$64,0)),0),AD114*AH114))</f>
        <v>0</v>
      </c>
      <c r="AJ114" s="21">
        <f>IF(G114="","",IF(V114&lt;&gt;"",V114,IF(P114="Cancelled",0,MAX(MinimumCharge,ROUND(AI114*IFERROR(INDEX(FreqFactors,MATCH(O114,FreqNames,0)),1),2)))))</f>
        <v>0</v>
      </c>
      <c r="AK114" s="34">
        <f>IF(G114="","",IF(SUMIFS(Timesheets!$U$5:$U$804,Timesheets!$G$5:$G$804,A114)&gt;0,SUMIFS(Timesheets!$U$5:$U$804,Timesheets!$G$5:$G$804,A114),IF(Z114="","",Z114)))</f>
        <v>0</v>
      </c>
      <c r="AL114" s="34">
        <f>IF(OR(AK114="",AD114=""),"",AK114-AD114)</f>
        <v>0</v>
      </c>
      <c r="AM114" s="31">
        <f>IF(A114="","",COUNTIFS('Job Tasks'!$B$5:$B$904,A114))</f>
        <v>0</v>
      </c>
      <c r="AN114" s="31">
        <f>IF(A114="","",COUNTIFS('Job Tasks'!$B$5:$B$904,A114,'Job Tasks'!$H$5:$H$904,"Done"))</f>
        <v>0</v>
      </c>
      <c r="AO114" s="38">
        <f>IF(OR(A114="",AM114=0),"",AN114/AM114)</f>
        <v>0</v>
      </c>
      <c r="AP114" s="43">
        <f>IF(A114="","",IFERROR(INDEX('Invoice Lines'!$B$5:$B$804,MATCH(A114,'Invoice Lines'!$C$5:$C$804,0)),""))</f>
        <v>0</v>
      </c>
      <c r="AQ114" s="18">
        <f>IF(OR(G114="",B114="",X114&lt;&gt;"Yes"),"",IF(IFERROR(INDEX(FreqDays,MATCH(O114,FreqNames,0)),0)=0,"",B114+IFERROR(INDEX(FreqDays,MATCH(O114,FreqNames,0)),0)))</f>
        <v>0</v>
      </c>
      <c r="AR114" s="39">
        <f>IF(G114="","",IF(R114="","Unassigned",IF(COUNTIFS($R$5:$R$604,R114,$B$5:$B$604,B114,$F$5:$F$604,F114)&gt;1,"Clash",IF(SUMIFS($AF$5:$AF$604,$R$5:$R$604,R114,$B$5:$B$604,B114)&gt;ProductiveHours,"Long day","OK"))))</f>
        <v>0</v>
      </c>
      <c r="AS114" s="18">
        <f>IF(OR(G114="",B114=""),"",IF(AND(B114&gt;=TodayDate,P114&lt;&gt;"Cancelled"),B114,""))</f>
        <v>0</v>
      </c>
      <c r="AT114" s="31">
        <f>IF(AS114="","",COUNTIFS($AS$5:$AS$604,"&lt;"&amp;AS114)+COUNTIFS($AS$5:AS114,AS114))</f>
        <v>0</v>
      </c>
      <c r="AU114" s="18">
        <f>IF(OR(G114="",B114="",R114&lt;&gt;""),"",IF(AND(B114&gt;=TodayDate,P114&lt;&gt;"Cancelled"),B114,""))</f>
        <v>0</v>
      </c>
      <c r="AV114" s="31">
        <f>IF(AU114="","",COUNTIFS($AU$5:$AU$604,"&lt;"&amp;AU114)+COUNTIFS($AU$5:AU114,AU114))</f>
        <v>0</v>
      </c>
      <c r="AW114" s="31">
        <f>IF(OR(G114="",B114=""),"",B114-TodayDate)</f>
        <v>0</v>
      </c>
      <c r="AX114" s="39">
        <f>IF(G114="","",IF(P114="Cancelled","Cancelled",IF(P114="No access","Action - no access, rebook",IF(AND(B114&lt;&gt;"",AW114&lt;0,OR(P114="Booked",P114="Confirmed",P114="In progress")),"Late - mark it completed",IF(AND(P114="Completed",AP114=""),"Action - not invoiced yet",IF(AND(AW114&gt;=0,AW114&lt;=ReminderDays,Y114&lt;&gt;"Yes"),"Confirm - visit coming up",IF(R114="","Assign - no cleaner booked",IF(AND(P114="Completed",AO114&lt;&gt;"",AO114&lt;1),"Check - checklist unfinished","OK"))))))))</f>
        <v>0</v>
      </c>
    </row>
    <row r="115" spans="1:50">
      <c r="A115" s="43">
        <f>IF(G115="","",JobPrefix&amp;TEXT(ROW()-4,"0000"))</f>
        <v>0</v>
      </c>
      <c r="B115" s="46">
        <v>46327</v>
      </c>
      <c r="C115" s="23">
        <f>IF(B115="","",TEXT(B115,"ddd"))</f>
        <v>0</v>
      </c>
      <c r="D115" s="31">
        <f>IF(B115="","",WEEKNUM(B115,IF(WeekStart="Sunday",1,2)))</f>
        <v>0</v>
      </c>
      <c r="E115" s="23">
        <f>IF(B115="","",TEXT(B115,"yyyy-mm"))</f>
        <v>0</v>
      </c>
      <c r="F115" s="52">
        <v>0.291666666666667</v>
      </c>
      <c r="G115" s="49" t="s">
        <v>793</v>
      </c>
      <c r="H115" s="23">
        <f>IF(G115="","",IFERROR(INDEX(Clients!$B$5:$B$204,MATCH(G115,Clients!$A$5:$A$204,0)),"Not found"))</f>
        <v>0</v>
      </c>
      <c r="I115" s="23">
        <f>IF(G115="","",IFERROR(INDEX(Clients!$C$5:$C$204,MATCH(G115,Clients!$A$5:$A$204,0)),""))</f>
        <v>0</v>
      </c>
      <c r="J115" s="49" t="s">
        <v>1145</v>
      </c>
      <c r="K115" s="23">
        <f>IF(J115="","",IFERROR(INDEX(Properties!$B$5:$B$254,MATCH(J115,Properties!$A$5:$A$254,0)),""))</f>
        <v>0</v>
      </c>
      <c r="L115" s="23">
        <f>IF(J115="","",IFERROR(INDEX(Properties!$F$5:$F$254,MATCH(J115,Properties!$A$5:$A$254,0)),""))</f>
        <v>0</v>
      </c>
      <c r="M115" s="15" t="s">
        <v>797</v>
      </c>
      <c r="N115" s="15" t="s">
        <v>1133</v>
      </c>
      <c r="O115" s="15" t="s">
        <v>451</v>
      </c>
      <c r="P115" s="45" t="s">
        <v>1163</v>
      </c>
      <c r="Q115" s="15" t="s">
        <v>448</v>
      </c>
      <c r="R115" s="15" t="s">
        <v>639</v>
      </c>
      <c r="S115" s="15" t="s">
        <v>172</v>
      </c>
      <c r="T115" s="16">
        <v>1</v>
      </c>
      <c r="W115" s="17">
        <v>10</v>
      </c>
      <c r="X115" s="47" t="s">
        <v>454</v>
      </c>
      <c r="Y115" s="47" t="s">
        <v>457</v>
      </c>
      <c r="AA115" s="47" t="s">
        <v>172</v>
      </c>
      <c r="AB115" s="44" t="s">
        <v>172</v>
      </c>
      <c r="AC115" s="44" t="s">
        <v>172</v>
      </c>
      <c r="AD115" s="34">
        <f>IF(G115="","",IF(U115&lt;&gt;"",U115,IF(AND(IFERROR(INDEX(Services!$D$5:$D$64,MATCH(M115,Services!$B$5:$B$64,0)),"")="Per hour",IFERROR(INDEX(Properties!$X$5:$X$254,MATCH(J115,Properties!$A$5:$A$254,0)),0)&gt;0),IFERROR(INDEX(Properties!$X$5:$X$254,MATCH(J115,Properties!$A$5:$A$254,0)),0),IF(IFERROR(INDEX(Services!$G$5:$G$64,MATCH(M115,Services!$B$5:$B$64,0)),0)&gt;0,IFERROR(INDEX(Services!$G$5:$G$64,MATCH(M115,Services!$B$5:$B$64,0)),0),IFERROR(INDEX(Properties!$X$5:$X$254,MATCH(J115,Properties!$A$5:$A$254,0)),0)))))</f>
        <v>0</v>
      </c>
      <c r="AE115" s="31">
        <f>IF(G115="","",IF(T115="",CleanersPerJob,MAX(1,T115)))</f>
        <v>0</v>
      </c>
      <c r="AF115" s="34">
        <f>IF(G115="","",ROUND(AD115/AE115,2))</f>
        <v>0</v>
      </c>
      <c r="AG115" s="53">
        <f>IF(OR(G115="",F115="",AF115=""),"",F115+AF115/24)</f>
        <v>0</v>
      </c>
      <c r="AH115" s="21">
        <f>IF(G115="","",IF(IFERROR(INDEX(Clients!$O$5:$O$204,MATCH(G115,Clients!$A$5:$A$204,0)),0)&gt;0,IFERROR(INDEX(Clients!$O$5:$O$204,MATCH(G115,Clients!$A$5:$A$204,0)),0),HourlyRate))</f>
        <v>0</v>
      </c>
      <c r="AI115" s="21">
        <f>IF(G115="","",IF(AND(M115&lt;&gt;"",IFERROR(INDEX(Services!$P$5:$P$64,MATCH(M115,Services!$B$5:$B$64,0)),0)&gt;0,IFERROR(INDEX(Services!$D$5:$D$64,MATCH(M115,Services!$B$5:$B$64,0)),"")&lt;&gt;"Per hour"),IFERROR(INDEX(Services!$P$5:$P$64,MATCH(M115,Services!$B$5:$B$64,0)),0),AD115*AH115))</f>
        <v>0</v>
      </c>
      <c r="AJ115" s="21">
        <f>IF(G115="","",IF(V115&lt;&gt;"",V115,IF(P115="Cancelled",0,MAX(MinimumCharge,ROUND(AI115*IFERROR(INDEX(FreqFactors,MATCH(O115,FreqNames,0)),1),2)))))</f>
        <v>0</v>
      </c>
      <c r="AK115" s="34">
        <f>IF(G115="","",IF(SUMIFS(Timesheets!$U$5:$U$804,Timesheets!$G$5:$G$804,A115)&gt;0,SUMIFS(Timesheets!$U$5:$U$804,Timesheets!$G$5:$G$804,A115),IF(Z115="","",Z115)))</f>
        <v>0</v>
      </c>
      <c r="AL115" s="34">
        <f>IF(OR(AK115="",AD115=""),"",AK115-AD115)</f>
        <v>0</v>
      </c>
      <c r="AM115" s="31">
        <f>IF(A115="","",COUNTIFS('Job Tasks'!$B$5:$B$904,A115))</f>
        <v>0</v>
      </c>
      <c r="AN115" s="31">
        <f>IF(A115="","",COUNTIFS('Job Tasks'!$B$5:$B$904,A115,'Job Tasks'!$H$5:$H$904,"Done"))</f>
        <v>0</v>
      </c>
      <c r="AO115" s="38">
        <f>IF(OR(A115="",AM115=0),"",AN115/AM115)</f>
        <v>0</v>
      </c>
      <c r="AP115" s="43">
        <f>IF(A115="","",IFERROR(INDEX('Invoice Lines'!$B$5:$B$804,MATCH(A115,'Invoice Lines'!$C$5:$C$804,0)),""))</f>
        <v>0</v>
      </c>
      <c r="AQ115" s="18">
        <f>IF(OR(G115="",B115="",X115&lt;&gt;"Yes"),"",IF(IFERROR(INDEX(FreqDays,MATCH(O115,FreqNames,0)),0)=0,"",B115+IFERROR(INDEX(FreqDays,MATCH(O115,FreqNames,0)),0)))</f>
        <v>0</v>
      </c>
      <c r="AR115" s="39">
        <f>IF(G115="","",IF(R115="","Unassigned",IF(COUNTIFS($R$5:$R$604,R115,$B$5:$B$604,B115,$F$5:$F$604,F115)&gt;1,"Clash",IF(SUMIFS($AF$5:$AF$604,$R$5:$R$604,R115,$B$5:$B$604,B115)&gt;ProductiveHours,"Long day","OK"))))</f>
        <v>0</v>
      </c>
      <c r="AS115" s="18">
        <f>IF(OR(G115="",B115=""),"",IF(AND(B115&gt;=TodayDate,P115&lt;&gt;"Cancelled"),B115,""))</f>
        <v>0</v>
      </c>
      <c r="AT115" s="31">
        <f>IF(AS115="","",COUNTIFS($AS$5:$AS$604,"&lt;"&amp;AS115)+COUNTIFS($AS$5:AS115,AS115))</f>
        <v>0</v>
      </c>
      <c r="AU115" s="18">
        <f>IF(OR(G115="",B115="",R115&lt;&gt;""),"",IF(AND(B115&gt;=TodayDate,P115&lt;&gt;"Cancelled"),B115,""))</f>
        <v>0</v>
      </c>
      <c r="AV115" s="31">
        <f>IF(AU115="","",COUNTIFS($AU$5:$AU$604,"&lt;"&amp;AU115)+COUNTIFS($AU$5:AU115,AU115))</f>
        <v>0</v>
      </c>
      <c r="AW115" s="31">
        <f>IF(OR(G115="",B115=""),"",B115-TodayDate)</f>
        <v>0</v>
      </c>
      <c r="AX115" s="39">
        <f>IF(G115="","",IF(P115="Cancelled","Cancelled",IF(P115="No access","Action - no access, rebook",IF(AND(B115&lt;&gt;"",AW115&lt;0,OR(P115="Booked",P115="Confirmed",P115="In progress")),"Late - mark it completed",IF(AND(P115="Completed",AP115=""),"Action - not invoiced yet",IF(AND(AW115&gt;=0,AW115&lt;=ReminderDays,Y115&lt;&gt;"Yes"),"Confirm - visit coming up",IF(R115="","Assign - no cleaner booked",IF(AND(P115="Completed",AO115&lt;&gt;"",AO115&lt;1),"Check - checklist unfinished","OK"))))))))</f>
        <v>0</v>
      </c>
    </row>
    <row r="116" spans="1:50">
      <c r="A116" s="43">
        <f>IF(G116="","",JobPrefix&amp;TEXT(ROW()-4,"0000"))</f>
        <v>0</v>
      </c>
      <c r="B116" s="46">
        <v>46328</v>
      </c>
      <c r="C116" s="23">
        <f>IF(B116="","",TEXT(B116,"ddd"))</f>
        <v>0</v>
      </c>
      <c r="D116" s="31">
        <f>IF(B116="","",WEEKNUM(B116,IF(WeekStart="Sunday",1,2)))</f>
        <v>0</v>
      </c>
      <c r="E116" s="23">
        <f>IF(B116="","",TEXT(B116,"yyyy-mm"))</f>
        <v>0</v>
      </c>
      <c r="F116" s="52">
        <v>0.291666666666667</v>
      </c>
      <c r="G116" s="49" t="s">
        <v>813</v>
      </c>
      <c r="H116" s="23">
        <f>IF(G116="","",IFERROR(INDEX(Clients!$B$5:$B$204,MATCH(G116,Clients!$A$5:$A$204,0)),"Not found"))</f>
        <v>0</v>
      </c>
      <c r="I116" s="23">
        <f>IF(G116="","",IFERROR(INDEX(Clients!$C$5:$C$204,MATCH(G116,Clients!$A$5:$A$204,0)),""))</f>
        <v>0</v>
      </c>
      <c r="J116" s="49" t="s">
        <v>1052</v>
      </c>
      <c r="K116" s="23">
        <f>IF(J116="","",IFERROR(INDEX(Properties!$B$5:$B$254,MATCH(J116,Properties!$A$5:$A$254,0)),""))</f>
        <v>0</v>
      </c>
      <c r="L116" s="23">
        <f>IF(J116="","",IFERROR(INDEX(Properties!$F$5:$F$254,MATCH(J116,Properties!$A$5:$A$254,0)),""))</f>
        <v>0</v>
      </c>
      <c r="M116" s="15" t="s">
        <v>770</v>
      </c>
      <c r="N116" s="15" t="s">
        <v>1133</v>
      </c>
      <c r="O116" s="15" t="s">
        <v>617</v>
      </c>
      <c r="P116" s="45" t="s">
        <v>1163</v>
      </c>
      <c r="Q116" s="15" t="s">
        <v>448</v>
      </c>
      <c r="R116" s="15" t="s">
        <v>664</v>
      </c>
      <c r="S116" s="15" t="s">
        <v>172</v>
      </c>
      <c r="T116" s="16">
        <v>1</v>
      </c>
      <c r="W116" s="17">
        <v>7.6</v>
      </c>
      <c r="X116" s="47" t="s">
        <v>454</v>
      </c>
      <c r="Y116" s="47" t="s">
        <v>457</v>
      </c>
      <c r="AA116" s="47" t="s">
        <v>172</v>
      </c>
      <c r="AB116" s="44" t="s">
        <v>172</v>
      </c>
      <c r="AC116" s="44" t="s">
        <v>172</v>
      </c>
      <c r="AD116" s="34">
        <f>IF(G116="","",IF(U116&lt;&gt;"",U116,IF(AND(IFERROR(INDEX(Services!$D$5:$D$64,MATCH(M116,Services!$B$5:$B$64,0)),"")="Per hour",IFERROR(INDEX(Properties!$X$5:$X$254,MATCH(J116,Properties!$A$5:$A$254,0)),0)&gt;0),IFERROR(INDEX(Properties!$X$5:$X$254,MATCH(J116,Properties!$A$5:$A$254,0)),0),IF(IFERROR(INDEX(Services!$G$5:$G$64,MATCH(M116,Services!$B$5:$B$64,0)),0)&gt;0,IFERROR(INDEX(Services!$G$5:$G$64,MATCH(M116,Services!$B$5:$B$64,0)),0),IFERROR(INDEX(Properties!$X$5:$X$254,MATCH(J116,Properties!$A$5:$A$254,0)),0)))))</f>
        <v>0</v>
      </c>
      <c r="AE116" s="31">
        <f>IF(G116="","",IF(T116="",CleanersPerJob,MAX(1,T116)))</f>
        <v>0</v>
      </c>
      <c r="AF116" s="34">
        <f>IF(G116="","",ROUND(AD116/AE116,2))</f>
        <v>0</v>
      </c>
      <c r="AG116" s="53">
        <f>IF(OR(G116="",F116="",AF116=""),"",F116+AF116/24)</f>
        <v>0</v>
      </c>
      <c r="AH116" s="21">
        <f>IF(G116="","",IF(IFERROR(INDEX(Clients!$O$5:$O$204,MATCH(G116,Clients!$A$5:$A$204,0)),0)&gt;0,IFERROR(INDEX(Clients!$O$5:$O$204,MATCH(G116,Clients!$A$5:$A$204,0)),0),HourlyRate))</f>
        <v>0</v>
      </c>
      <c r="AI116" s="21">
        <f>IF(G116="","",IF(AND(M116&lt;&gt;"",IFERROR(INDEX(Services!$P$5:$P$64,MATCH(M116,Services!$B$5:$B$64,0)),0)&gt;0,IFERROR(INDEX(Services!$D$5:$D$64,MATCH(M116,Services!$B$5:$B$64,0)),"")&lt;&gt;"Per hour"),IFERROR(INDEX(Services!$P$5:$P$64,MATCH(M116,Services!$B$5:$B$64,0)),0),AD116*AH116))</f>
        <v>0</v>
      </c>
      <c r="AJ116" s="21">
        <f>IF(G116="","",IF(V116&lt;&gt;"",V116,IF(P116="Cancelled",0,MAX(MinimumCharge,ROUND(AI116*IFERROR(INDEX(FreqFactors,MATCH(O116,FreqNames,0)),1),2)))))</f>
        <v>0</v>
      </c>
      <c r="AK116" s="34">
        <f>IF(G116="","",IF(SUMIFS(Timesheets!$U$5:$U$804,Timesheets!$G$5:$G$804,A116)&gt;0,SUMIFS(Timesheets!$U$5:$U$804,Timesheets!$G$5:$G$804,A116),IF(Z116="","",Z116)))</f>
        <v>0</v>
      </c>
      <c r="AL116" s="34">
        <f>IF(OR(AK116="",AD116=""),"",AK116-AD116)</f>
        <v>0</v>
      </c>
      <c r="AM116" s="31">
        <f>IF(A116="","",COUNTIFS('Job Tasks'!$B$5:$B$904,A116))</f>
        <v>0</v>
      </c>
      <c r="AN116" s="31">
        <f>IF(A116="","",COUNTIFS('Job Tasks'!$B$5:$B$904,A116,'Job Tasks'!$H$5:$H$904,"Done"))</f>
        <v>0</v>
      </c>
      <c r="AO116" s="38">
        <f>IF(OR(A116="",AM116=0),"",AN116/AM116)</f>
        <v>0</v>
      </c>
      <c r="AP116" s="43">
        <f>IF(A116="","",IFERROR(INDEX('Invoice Lines'!$B$5:$B$804,MATCH(A116,'Invoice Lines'!$C$5:$C$804,0)),""))</f>
        <v>0</v>
      </c>
      <c r="AQ116" s="18">
        <f>IF(OR(G116="",B116="",X116&lt;&gt;"Yes"),"",IF(IFERROR(INDEX(FreqDays,MATCH(O116,FreqNames,0)),0)=0,"",B116+IFERROR(INDEX(FreqDays,MATCH(O116,FreqNames,0)),0)))</f>
        <v>0</v>
      </c>
      <c r="AR116" s="39">
        <f>IF(G116="","",IF(R116="","Unassigned",IF(COUNTIFS($R$5:$R$604,R116,$B$5:$B$604,B116,$F$5:$F$604,F116)&gt;1,"Clash",IF(SUMIFS($AF$5:$AF$604,$R$5:$R$604,R116,$B$5:$B$604,B116)&gt;ProductiveHours,"Long day","OK"))))</f>
        <v>0</v>
      </c>
      <c r="AS116" s="18">
        <f>IF(OR(G116="",B116=""),"",IF(AND(B116&gt;=TodayDate,P116&lt;&gt;"Cancelled"),B116,""))</f>
        <v>0</v>
      </c>
      <c r="AT116" s="31">
        <f>IF(AS116="","",COUNTIFS($AS$5:$AS$604,"&lt;"&amp;AS116)+COUNTIFS($AS$5:AS116,AS116))</f>
        <v>0</v>
      </c>
      <c r="AU116" s="18">
        <f>IF(OR(G116="",B116="",R116&lt;&gt;""),"",IF(AND(B116&gt;=TodayDate,P116&lt;&gt;"Cancelled"),B116,""))</f>
        <v>0</v>
      </c>
      <c r="AV116" s="31">
        <f>IF(AU116="","",COUNTIFS($AU$5:$AU$604,"&lt;"&amp;AU116)+COUNTIFS($AU$5:AU116,AU116))</f>
        <v>0</v>
      </c>
      <c r="AW116" s="31">
        <f>IF(OR(G116="",B116=""),"",B116-TodayDate)</f>
        <v>0</v>
      </c>
      <c r="AX116" s="39">
        <f>IF(G116="","",IF(P116="Cancelled","Cancelled",IF(P116="No access","Action - no access, rebook",IF(AND(B116&lt;&gt;"",AW116&lt;0,OR(P116="Booked",P116="Confirmed",P116="In progress")),"Late - mark it completed",IF(AND(P116="Completed",AP116=""),"Action - not invoiced yet",IF(AND(AW116&gt;=0,AW116&lt;=ReminderDays,Y116&lt;&gt;"Yes"),"Confirm - visit coming up",IF(R116="","Assign - no cleaner booked",IF(AND(P116="Completed",AO116&lt;&gt;"",AO116&lt;1),"Check - checklist unfinished","OK"))))))))</f>
        <v>0</v>
      </c>
    </row>
    <row r="117" spans="1:50">
      <c r="A117" s="43">
        <f>IF(G117="","",JobPrefix&amp;TEXT(ROW()-4,"0000"))</f>
        <v>0</v>
      </c>
      <c r="B117" s="46">
        <v>46328</v>
      </c>
      <c r="C117" s="23">
        <f>IF(B117="","",TEXT(B117,"ddd"))</f>
        <v>0</v>
      </c>
      <c r="D117" s="31">
        <f>IF(B117="","",WEEKNUM(B117,IF(WeekStart="Sunday",1,2)))</f>
        <v>0</v>
      </c>
      <c r="E117" s="23">
        <f>IF(B117="","",TEXT(B117,"yyyy-mm"))</f>
        <v>0</v>
      </c>
      <c r="F117" s="52">
        <v>0.770833333333333</v>
      </c>
      <c r="G117" s="49" t="s">
        <v>773</v>
      </c>
      <c r="H117" s="23">
        <f>IF(G117="","",IFERROR(INDEX(Clients!$B$5:$B$204,MATCH(G117,Clients!$A$5:$A$204,0)),"Not found"))</f>
        <v>0</v>
      </c>
      <c r="I117" s="23">
        <f>IF(G117="","",IFERROR(INDEX(Clients!$C$5:$C$204,MATCH(G117,Clients!$A$5:$A$204,0)),""))</f>
        <v>0</v>
      </c>
      <c r="J117" s="49" t="s">
        <v>1134</v>
      </c>
      <c r="K117" s="23">
        <f>IF(J117="","",IFERROR(INDEX(Properties!$B$5:$B$254,MATCH(J117,Properties!$A$5:$A$254,0)),""))</f>
        <v>0</v>
      </c>
      <c r="L117" s="23">
        <f>IF(J117="","",IFERROR(INDEX(Properties!$F$5:$F$254,MATCH(J117,Properties!$A$5:$A$254,0)),""))</f>
        <v>0</v>
      </c>
      <c r="M117" s="15" t="s">
        <v>770</v>
      </c>
      <c r="N117" s="15" t="s">
        <v>1133</v>
      </c>
      <c r="O117" s="15" t="s">
        <v>617</v>
      </c>
      <c r="P117" s="45" t="s">
        <v>1163</v>
      </c>
      <c r="Q117" s="15" t="s">
        <v>448</v>
      </c>
      <c r="R117" s="15" t="s">
        <v>608</v>
      </c>
      <c r="S117" s="15" t="s">
        <v>172</v>
      </c>
      <c r="T117" s="16">
        <v>1</v>
      </c>
      <c r="W117" s="17">
        <v>4.8</v>
      </c>
      <c r="X117" s="47" t="s">
        <v>454</v>
      </c>
      <c r="Y117" s="47" t="s">
        <v>457</v>
      </c>
      <c r="AA117" s="47" t="s">
        <v>172</v>
      </c>
      <c r="AB117" s="44" t="s">
        <v>172</v>
      </c>
      <c r="AC117" s="44" t="s">
        <v>172</v>
      </c>
      <c r="AD117" s="34">
        <f>IF(G117="","",IF(U117&lt;&gt;"",U117,IF(AND(IFERROR(INDEX(Services!$D$5:$D$64,MATCH(M117,Services!$B$5:$B$64,0)),"")="Per hour",IFERROR(INDEX(Properties!$X$5:$X$254,MATCH(J117,Properties!$A$5:$A$254,0)),0)&gt;0),IFERROR(INDEX(Properties!$X$5:$X$254,MATCH(J117,Properties!$A$5:$A$254,0)),0),IF(IFERROR(INDEX(Services!$G$5:$G$64,MATCH(M117,Services!$B$5:$B$64,0)),0)&gt;0,IFERROR(INDEX(Services!$G$5:$G$64,MATCH(M117,Services!$B$5:$B$64,0)),0),IFERROR(INDEX(Properties!$X$5:$X$254,MATCH(J117,Properties!$A$5:$A$254,0)),0)))))</f>
        <v>0</v>
      </c>
      <c r="AE117" s="31">
        <f>IF(G117="","",IF(T117="",CleanersPerJob,MAX(1,T117)))</f>
        <v>0</v>
      </c>
      <c r="AF117" s="34">
        <f>IF(G117="","",ROUND(AD117/AE117,2))</f>
        <v>0</v>
      </c>
      <c r="AG117" s="53">
        <f>IF(OR(G117="",F117="",AF117=""),"",F117+AF117/24)</f>
        <v>0</v>
      </c>
      <c r="AH117" s="21">
        <f>IF(G117="","",IF(IFERROR(INDEX(Clients!$O$5:$O$204,MATCH(G117,Clients!$A$5:$A$204,0)),0)&gt;0,IFERROR(INDEX(Clients!$O$5:$O$204,MATCH(G117,Clients!$A$5:$A$204,0)),0),HourlyRate))</f>
        <v>0</v>
      </c>
      <c r="AI117" s="21">
        <f>IF(G117="","",IF(AND(M117&lt;&gt;"",IFERROR(INDEX(Services!$P$5:$P$64,MATCH(M117,Services!$B$5:$B$64,0)),0)&gt;0,IFERROR(INDEX(Services!$D$5:$D$64,MATCH(M117,Services!$B$5:$B$64,0)),"")&lt;&gt;"Per hour"),IFERROR(INDEX(Services!$P$5:$P$64,MATCH(M117,Services!$B$5:$B$64,0)),0),AD117*AH117))</f>
        <v>0</v>
      </c>
      <c r="AJ117" s="21">
        <f>IF(G117="","",IF(V117&lt;&gt;"",V117,IF(P117="Cancelled",0,MAX(MinimumCharge,ROUND(AI117*IFERROR(INDEX(FreqFactors,MATCH(O117,FreqNames,0)),1),2)))))</f>
        <v>0</v>
      </c>
      <c r="AK117" s="34">
        <f>IF(G117="","",IF(SUMIFS(Timesheets!$U$5:$U$804,Timesheets!$G$5:$G$804,A117)&gt;0,SUMIFS(Timesheets!$U$5:$U$804,Timesheets!$G$5:$G$804,A117),IF(Z117="","",Z117)))</f>
        <v>0</v>
      </c>
      <c r="AL117" s="34">
        <f>IF(OR(AK117="",AD117=""),"",AK117-AD117)</f>
        <v>0</v>
      </c>
      <c r="AM117" s="31">
        <f>IF(A117="","",COUNTIFS('Job Tasks'!$B$5:$B$904,A117))</f>
        <v>0</v>
      </c>
      <c r="AN117" s="31">
        <f>IF(A117="","",COUNTIFS('Job Tasks'!$B$5:$B$904,A117,'Job Tasks'!$H$5:$H$904,"Done"))</f>
        <v>0</v>
      </c>
      <c r="AO117" s="38">
        <f>IF(OR(A117="",AM117=0),"",AN117/AM117)</f>
        <v>0</v>
      </c>
      <c r="AP117" s="43">
        <f>IF(A117="","",IFERROR(INDEX('Invoice Lines'!$B$5:$B$804,MATCH(A117,'Invoice Lines'!$C$5:$C$804,0)),""))</f>
        <v>0</v>
      </c>
      <c r="AQ117" s="18">
        <f>IF(OR(G117="",B117="",X117&lt;&gt;"Yes"),"",IF(IFERROR(INDEX(FreqDays,MATCH(O117,FreqNames,0)),0)=0,"",B117+IFERROR(INDEX(FreqDays,MATCH(O117,FreqNames,0)),0)))</f>
        <v>0</v>
      </c>
      <c r="AR117" s="39">
        <f>IF(G117="","",IF(R117="","Unassigned",IF(COUNTIFS($R$5:$R$604,R117,$B$5:$B$604,B117,$F$5:$F$604,F117)&gt;1,"Clash",IF(SUMIFS($AF$5:$AF$604,$R$5:$R$604,R117,$B$5:$B$604,B117)&gt;ProductiveHours,"Long day","OK"))))</f>
        <v>0</v>
      </c>
      <c r="AS117" s="18">
        <f>IF(OR(G117="",B117=""),"",IF(AND(B117&gt;=TodayDate,P117&lt;&gt;"Cancelled"),B117,""))</f>
        <v>0</v>
      </c>
      <c r="AT117" s="31">
        <f>IF(AS117="","",COUNTIFS($AS$5:$AS$604,"&lt;"&amp;AS117)+COUNTIFS($AS$5:AS117,AS117))</f>
        <v>0</v>
      </c>
      <c r="AU117" s="18">
        <f>IF(OR(G117="",B117="",R117&lt;&gt;""),"",IF(AND(B117&gt;=TodayDate,P117&lt;&gt;"Cancelled"),B117,""))</f>
        <v>0</v>
      </c>
      <c r="AV117" s="31">
        <f>IF(AU117="","",COUNTIFS($AU$5:$AU$604,"&lt;"&amp;AU117)+COUNTIFS($AU$5:AU117,AU117))</f>
        <v>0</v>
      </c>
      <c r="AW117" s="31">
        <f>IF(OR(G117="",B117=""),"",B117-TodayDate)</f>
        <v>0</v>
      </c>
      <c r="AX117" s="39">
        <f>IF(G117="","",IF(P117="Cancelled","Cancelled",IF(P117="No access","Action - no access, rebook",IF(AND(B117&lt;&gt;"",AW117&lt;0,OR(P117="Booked",P117="Confirmed",P117="In progress")),"Late - mark it completed",IF(AND(P117="Completed",AP117=""),"Action - not invoiced yet",IF(AND(AW117&gt;=0,AW117&lt;=ReminderDays,Y117&lt;&gt;"Yes"),"Confirm - visit coming up",IF(R117="","Assign - no cleaner booked",IF(AND(P117="Completed",AO117&lt;&gt;"",AO117&lt;1),"Check - checklist unfinished","OK"))))))))</f>
        <v>0</v>
      </c>
    </row>
    <row r="118" spans="1:50">
      <c r="A118" s="43">
        <f>IF(G118="","",JobPrefix&amp;TEXT(ROW()-4,"0000"))</f>
        <v>0</v>
      </c>
      <c r="B118" s="46">
        <v>46329</v>
      </c>
      <c r="C118" s="23">
        <f>IF(B118="","",TEXT(B118,"ddd"))</f>
        <v>0</v>
      </c>
      <c r="D118" s="31">
        <f>IF(B118="","",WEEKNUM(B118,IF(WeekStart="Sunday",1,2)))</f>
        <v>0</v>
      </c>
      <c r="E118" s="23">
        <f>IF(B118="","",TEXT(B118,"yyyy-mm"))</f>
        <v>0</v>
      </c>
      <c r="F118" s="52">
        <v>0.375</v>
      </c>
      <c r="G118" s="49" t="s">
        <v>743</v>
      </c>
      <c r="H118" s="23">
        <f>IF(G118="","",IFERROR(INDEX(Clients!$B$5:$B$204,MATCH(G118,Clients!$A$5:$A$204,0)),"Not found"))</f>
        <v>0</v>
      </c>
      <c r="I118" s="23">
        <f>IF(G118="","",IFERROR(INDEX(Clients!$C$5:$C$204,MATCH(G118,Clients!$A$5:$A$204,0)),""))</f>
        <v>0</v>
      </c>
      <c r="J118" s="49" t="s">
        <v>1135</v>
      </c>
      <c r="K118" s="23">
        <f>IF(J118="","",IFERROR(INDEX(Properties!$B$5:$B$254,MATCH(J118,Properties!$A$5:$A$254,0)),""))</f>
        <v>0</v>
      </c>
      <c r="L118" s="23">
        <f>IF(J118="","",IFERROR(INDEX(Properties!$F$5:$F$254,MATCH(J118,Properties!$A$5:$A$254,0)),""))</f>
        <v>0</v>
      </c>
      <c r="M118" s="15" t="s">
        <v>437</v>
      </c>
      <c r="N118" s="15" t="s">
        <v>1133</v>
      </c>
      <c r="O118" s="15" t="s">
        <v>451</v>
      </c>
      <c r="P118" s="45" t="s">
        <v>1163</v>
      </c>
      <c r="Q118" s="15" t="s">
        <v>448</v>
      </c>
      <c r="R118" s="15" t="s">
        <v>584</v>
      </c>
      <c r="S118" s="15" t="s">
        <v>172</v>
      </c>
      <c r="T118" s="16">
        <v>1</v>
      </c>
      <c r="W118" s="17">
        <v>8.4</v>
      </c>
      <c r="X118" s="47" t="s">
        <v>454</v>
      </c>
      <c r="Y118" s="47" t="s">
        <v>457</v>
      </c>
      <c r="AA118" s="47" t="s">
        <v>172</v>
      </c>
      <c r="AB118" s="44" t="s">
        <v>172</v>
      </c>
      <c r="AC118" s="44" t="s">
        <v>172</v>
      </c>
      <c r="AD118" s="34">
        <f>IF(G118="","",IF(U118&lt;&gt;"",U118,IF(AND(IFERROR(INDEX(Services!$D$5:$D$64,MATCH(M118,Services!$B$5:$B$64,0)),"")="Per hour",IFERROR(INDEX(Properties!$X$5:$X$254,MATCH(J118,Properties!$A$5:$A$254,0)),0)&gt;0),IFERROR(INDEX(Properties!$X$5:$X$254,MATCH(J118,Properties!$A$5:$A$254,0)),0),IF(IFERROR(INDEX(Services!$G$5:$G$64,MATCH(M118,Services!$B$5:$B$64,0)),0)&gt;0,IFERROR(INDEX(Services!$G$5:$G$64,MATCH(M118,Services!$B$5:$B$64,0)),0),IFERROR(INDEX(Properties!$X$5:$X$254,MATCH(J118,Properties!$A$5:$A$254,0)),0)))))</f>
        <v>0</v>
      </c>
      <c r="AE118" s="31">
        <f>IF(G118="","",IF(T118="",CleanersPerJob,MAX(1,T118)))</f>
        <v>0</v>
      </c>
      <c r="AF118" s="34">
        <f>IF(G118="","",ROUND(AD118/AE118,2))</f>
        <v>0</v>
      </c>
      <c r="AG118" s="53">
        <f>IF(OR(G118="",F118="",AF118=""),"",F118+AF118/24)</f>
        <v>0</v>
      </c>
      <c r="AH118" s="21">
        <f>IF(G118="","",IF(IFERROR(INDEX(Clients!$O$5:$O$204,MATCH(G118,Clients!$A$5:$A$204,0)),0)&gt;0,IFERROR(INDEX(Clients!$O$5:$O$204,MATCH(G118,Clients!$A$5:$A$204,0)),0),HourlyRate))</f>
        <v>0</v>
      </c>
      <c r="AI118" s="21">
        <f>IF(G118="","",IF(AND(M118&lt;&gt;"",IFERROR(INDEX(Services!$P$5:$P$64,MATCH(M118,Services!$B$5:$B$64,0)),0)&gt;0,IFERROR(INDEX(Services!$D$5:$D$64,MATCH(M118,Services!$B$5:$B$64,0)),"")&lt;&gt;"Per hour"),IFERROR(INDEX(Services!$P$5:$P$64,MATCH(M118,Services!$B$5:$B$64,0)),0),AD118*AH118))</f>
        <v>0</v>
      </c>
      <c r="AJ118" s="21">
        <f>IF(G118="","",IF(V118&lt;&gt;"",V118,IF(P118="Cancelled",0,MAX(MinimumCharge,ROUND(AI118*IFERROR(INDEX(FreqFactors,MATCH(O118,FreqNames,0)),1),2)))))</f>
        <v>0</v>
      </c>
      <c r="AK118" s="34">
        <f>IF(G118="","",IF(SUMIFS(Timesheets!$U$5:$U$804,Timesheets!$G$5:$G$804,A118)&gt;0,SUMIFS(Timesheets!$U$5:$U$804,Timesheets!$G$5:$G$804,A118),IF(Z118="","",Z118)))</f>
        <v>0</v>
      </c>
      <c r="AL118" s="34">
        <f>IF(OR(AK118="",AD118=""),"",AK118-AD118)</f>
        <v>0</v>
      </c>
      <c r="AM118" s="31">
        <f>IF(A118="","",COUNTIFS('Job Tasks'!$B$5:$B$904,A118))</f>
        <v>0</v>
      </c>
      <c r="AN118" s="31">
        <f>IF(A118="","",COUNTIFS('Job Tasks'!$B$5:$B$904,A118,'Job Tasks'!$H$5:$H$904,"Done"))</f>
        <v>0</v>
      </c>
      <c r="AO118" s="38">
        <f>IF(OR(A118="",AM118=0),"",AN118/AM118)</f>
        <v>0</v>
      </c>
      <c r="AP118" s="43">
        <f>IF(A118="","",IFERROR(INDEX('Invoice Lines'!$B$5:$B$804,MATCH(A118,'Invoice Lines'!$C$5:$C$804,0)),""))</f>
        <v>0</v>
      </c>
      <c r="AQ118" s="18">
        <f>IF(OR(G118="",B118="",X118&lt;&gt;"Yes"),"",IF(IFERROR(INDEX(FreqDays,MATCH(O118,FreqNames,0)),0)=0,"",B118+IFERROR(INDEX(FreqDays,MATCH(O118,FreqNames,0)),0)))</f>
        <v>0</v>
      </c>
      <c r="AR118" s="39">
        <f>IF(G118="","",IF(R118="","Unassigned",IF(COUNTIFS($R$5:$R$604,R118,$B$5:$B$604,B118,$F$5:$F$604,F118)&gt;1,"Clash",IF(SUMIFS($AF$5:$AF$604,$R$5:$R$604,R118,$B$5:$B$604,B118)&gt;ProductiveHours,"Long day","OK"))))</f>
        <v>0</v>
      </c>
      <c r="AS118" s="18">
        <f>IF(OR(G118="",B118=""),"",IF(AND(B118&gt;=TodayDate,P118&lt;&gt;"Cancelled"),B118,""))</f>
        <v>0</v>
      </c>
      <c r="AT118" s="31">
        <f>IF(AS118="","",COUNTIFS($AS$5:$AS$604,"&lt;"&amp;AS118)+COUNTIFS($AS$5:AS118,AS118))</f>
        <v>0</v>
      </c>
      <c r="AU118" s="18">
        <f>IF(OR(G118="",B118="",R118&lt;&gt;""),"",IF(AND(B118&gt;=TodayDate,P118&lt;&gt;"Cancelled"),B118,""))</f>
        <v>0</v>
      </c>
      <c r="AV118" s="31">
        <f>IF(AU118="","",COUNTIFS($AU$5:$AU$604,"&lt;"&amp;AU118)+COUNTIFS($AU$5:AU118,AU118))</f>
        <v>0</v>
      </c>
      <c r="AW118" s="31">
        <f>IF(OR(G118="",B118=""),"",B118-TodayDate)</f>
        <v>0</v>
      </c>
      <c r="AX118" s="39">
        <f>IF(G118="","",IF(P118="Cancelled","Cancelled",IF(P118="No access","Action - no access, rebook",IF(AND(B118&lt;&gt;"",AW118&lt;0,OR(P118="Booked",P118="Confirmed",P118="In progress")),"Late - mark it completed",IF(AND(P118="Completed",AP118=""),"Action - not invoiced yet",IF(AND(AW118&gt;=0,AW118&lt;=ReminderDays,Y118&lt;&gt;"Yes"),"Confirm - visit coming up",IF(R118="","Assign - no cleaner booked",IF(AND(P118="Completed",AO118&lt;&gt;"",AO118&lt;1),"Check - checklist unfinished","OK"))))))))</f>
        <v>0</v>
      </c>
    </row>
    <row r="119" spans="1:50">
      <c r="A119" s="43">
        <f>IF(G119="","",JobPrefix&amp;TEXT(ROW()-4,"0000"))</f>
        <v>0</v>
      </c>
      <c r="B119" s="46">
        <v>46329</v>
      </c>
      <c r="C119" s="23">
        <f>IF(B119="","",TEXT(B119,"ddd"))</f>
        <v>0</v>
      </c>
      <c r="D119" s="31">
        <f>IF(B119="","",WEEKNUM(B119,IF(WeekStart="Sunday",1,2)))</f>
        <v>0</v>
      </c>
      <c r="E119" s="23">
        <f>IF(B119="","",TEXT(B119,"yyyy-mm"))</f>
        <v>0</v>
      </c>
      <c r="F119" s="52">
        <v>0.583333333333333</v>
      </c>
      <c r="G119" s="49" t="s">
        <v>845</v>
      </c>
      <c r="H119" s="23">
        <f>IF(G119="","",IFERROR(INDEX(Clients!$B$5:$B$204,MATCH(G119,Clients!$A$5:$A$204,0)),"Not found"))</f>
        <v>0</v>
      </c>
      <c r="I119" s="23">
        <f>IF(G119="","",IFERROR(INDEX(Clients!$C$5:$C$204,MATCH(G119,Clients!$A$5:$A$204,0)),""))</f>
        <v>0</v>
      </c>
      <c r="J119" s="49" t="s">
        <v>1049</v>
      </c>
      <c r="K119" s="23">
        <f>IF(J119="","",IFERROR(INDEX(Properties!$B$5:$B$254,MATCH(J119,Properties!$A$5:$A$254,0)),""))</f>
        <v>0</v>
      </c>
      <c r="L119" s="23">
        <f>IF(J119="","",IFERROR(INDEX(Properties!$F$5:$F$254,MATCH(J119,Properties!$A$5:$A$254,0)),""))</f>
        <v>0</v>
      </c>
      <c r="M119" s="15" t="s">
        <v>437</v>
      </c>
      <c r="N119" s="15" t="s">
        <v>1133</v>
      </c>
      <c r="O119" s="15" t="s">
        <v>593</v>
      </c>
      <c r="P119" s="45" t="s">
        <v>1163</v>
      </c>
      <c r="Q119" s="15" t="s">
        <v>448</v>
      </c>
      <c r="R119" s="15" t="s">
        <v>584</v>
      </c>
      <c r="S119" s="15" t="s">
        <v>172</v>
      </c>
      <c r="T119" s="16">
        <v>1</v>
      </c>
      <c r="W119" s="17">
        <v>11</v>
      </c>
      <c r="X119" s="47" t="s">
        <v>454</v>
      </c>
      <c r="Y119" s="47" t="s">
        <v>457</v>
      </c>
      <c r="AA119" s="47" t="s">
        <v>172</v>
      </c>
      <c r="AB119" s="44" t="s">
        <v>172</v>
      </c>
      <c r="AC119" s="44" t="s">
        <v>172</v>
      </c>
      <c r="AD119" s="34">
        <f>IF(G119="","",IF(U119&lt;&gt;"",U119,IF(AND(IFERROR(INDEX(Services!$D$5:$D$64,MATCH(M119,Services!$B$5:$B$64,0)),"")="Per hour",IFERROR(INDEX(Properties!$X$5:$X$254,MATCH(J119,Properties!$A$5:$A$254,0)),0)&gt;0),IFERROR(INDEX(Properties!$X$5:$X$254,MATCH(J119,Properties!$A$5:$A$254,0)),0),IF(IFERROR(INDEX(Services!$G$5:$G$64,MATCH(M119,Services!$B$5:$B$64,0)),0)&gt;0,IFERROR(INDEX(Services!$G$5:$G$64,MATCH(M119,Services!$B$5:$B$64,0)),0),IFERROR(INDEX(Properties!$X$5:$X$254,MATCH(J119,Properties!$A$5:$A$254,0)),0)))))</f>
        <v>0</v>
      </c>
      <c r="AE119" s="31">
        <f>IF(G119="","",IF(T119="",CleanersPerJob,MAX(1,T119)))</f>
        <v>0</v>
      </c>
      <c r="AF119" s="34">
        <f>IF(G119="","",ROUND(AD119/AE119,2))</f>
        <v>0</v>
      </c>
      <c r="AG119" s="53">
        <f>IF(OR(G119="",F119="",AF119=""),"",F119+AF119/24)</f>
        <v>0</v>
      </c>
      <c r="AH119" s="21">
        <f>IF(G119="","",IF(IFERROR(INDEX(Clients!$O$5:$O$204,MATCH(G119,Clients!$A$5:$A$204,0)),0)&gt;0,IFERROR(INDEX(Clients!$O$5:$O$204,MATCH(G119,Clients!$A$5:$A$204,0)),0),HourlyRate))</f>
        <v>0</v>
      </c>
      <c r="AI119" s="21">
        <f>IF(G119="","",IF(AND(M119&lt;&gt;"",IFERROR(INDEX(Services!$P$5:$P$64,MATCH(M119,Services!$B$5:$B$64,0)),0)&gt;0,IFERROR(INDEX(Services!$D$5:$D$64,MATCH(M119,Services!$B$5:$B$64,0)),"")&lt;&gt;"Per hour"),IFERROR(INDEX(Services!$P$5:$P$64,MATCH(M119,Services!$B$5:$B$64,0)),0),AD119*AH119))</f>
        <v>0</v>
      </c>
      <c r="AJ119" s="21">
        <f>IF(G119="","",IF(V119&lt;&gt;"",V119,IF(P119="Cancelled",0,MAX(MinimumCharge,ROUND(AI119*IFERROR(INDEX(FreqFactors,MATCH(O119,FreqNames,0)),1),2)))))</f>
        <v>0</v>
      </c>
      <c r="AK119" s="34">
        <f>IF(G119="","",IF(SUMIFS(Timesheets!$U$5:$U$804,Timesheets!$G$5:$G$804,A119)&gt;0,SUMIFS(Timesheets!$U$5:$U$804,Timesheets!$G$5:$G$804,A119),IF(Z119="","",Z119)))</f>
        <v>0</v>
      </c>
      <c r="AL119" s="34">
        <f>IF(OR(AK119="",AD119=""),"",AK119-AD119)</f>
        <v>0</v>
      </c>
      <c r="AM119" s="31">
        <f>IF(A119="","",COUNTIFS('Job Tasks'!$B$5:$B$904,A119))</f>
        <v>0</v>
      </c>
      <c r="AN119" s="31">
        <f>IF(A119="","",COUNTIFS('Job Tasks'!$B$5:$B$904,A119,'Job Tasks'!$H$5:$H$904,"Done"))</f>
        <v>0</v>
      </c>
      <c r="AO119" s="38">
        <f>IF(OR(A119="",AM119=0),"",AN119/AM119)</f>
        <v>0</v>
      </c>
      <c r="AP119" s="43">
        <f>IF(A119="","",IFERROR(INDEX('Invoice Lines'!$B$5:$B$804,MATCH(A119,'Invoice Lines'!$C$5:$C$804,0)),""))</f>
        <v>0</v>
      </c>
      <c r="AQ119" s="18">
        <f>IF(OR(G119="",B119="",X119&lt;&gt;"Yes"),"",IF(IFERROR(INDEX(FreqDays,MATCH(O119,FreqNames,0)),0)=0,"",B119+IFERROR(INDEX(FreqDays,MATCH(O119,FreqNames,0)),0)))</f>
        <v>0</v>
      </c>
      <c r="AR119" s="39">
        <f>IF(G119="","",IF(R119="","Unassigned",IF(COUNTIFS($R$5:$R$604,R119,$B$5:$B$604,B119,$F$5:$F$604,F119)&gt;1,"Clash",IF(SUMIFS($AF$5:$AF$604,$R$5:$R$604,R119,$B$5:$B$604,B119)&gt;ProductiveHours,"Long day","OK"))))</f>
        <v>0</v>
      </c>
      <c r="AS119" s="18">
        <f>IF(OR(G119="",B119=""),"",IF(AND(B119&gt;=TodayDate,P119&lt;&gt;"Cancelled"),B119,""))</f>
        <v>0</v>
      </c>
      <c r="AT119" s="31">
        <f>IF(AS119="","",COUNTIFS($AS$5:$AS$604,"&lt;"&amp;AS119)+COUNTIFS($AS$5:AS119,AS119))</f>
        <v>0</v>
      </c>
      <c r="AU119" s="18">
        <f>IF(OR(G119="",B119="",R119&lt;&gt;""),"",IF(AND(B119&gt;=TodayDate,P119&lt;&gt;"Cancelled"),B119,""))</f>
        <v>0</v>
      </c>
      <c r="AV119" s="31">
        <f>IF(AU119="","",COUNTIFS($AU$5:$AU$604,"&lt;"&amp;AU119)+COUNTIFS($AU$5:AU119,AU119))</f>
        <v>0</v>
      </c>
      <c r="AW119" s="31">
        <f>IF(OR(G119="",B119=""),"",B119-TodayDate)</f>
        <v>0</v>
      </c>
      <c r="AX119" s="39">
        <f>IF(G119="","",IF(P119="Cancelled","Cancelled",IF(P119="No access","Action - no access, rebook",IF(AND(B119&lt;&gt;"",AW119&lt;0,OR(P119="Booked",P119="Confirmed",P119="In progress")),"Late - mark it completed",IF(AND(P119="Completed",AP119=""),"Action - not invoiced yet",IF(AND(AW119&gt;=0,AW119&lt;=ReminderDays,Y119&lt;&gt;"Yes"),"Confirm - visit coming up",IF(R119="","Assign - no cleaner booked",IF(AND(P119="Completed",AO119&lt;&gt;"",AO119&lt;1),"Check - checklist unfinished","OK"))))))))</f>
        <v>0</v>
      </c>
    </row>
    <row r="120" spans="1:50">
      <c r="A120" s="43">
        <f>IF(G120="","",JobPrefix&amp;TEXT(ROW()-4,"0000"))</f>
        <v>0</v>
      </c>
      <c r="B120" s="46">
        <v>46330</v>
      </c>
      <c r="C120" s="23">
        <f>IF(B120="","",TEXT(B120,"ddd"))</f>
        <v>0</v>
      </c>
      <c r="D120" s="31">
        <f>IF(B120="","",WEEKNUM(B120,IF(WeekStart="Sunday",1,2)))</f>
        <v>0</v>
      </c>
      <c r="E120" s="23">
        <f>IF(B120="","",TEXT(B120,"yyyy-mm"))</f>
        <v>0</v>
      </c>
      <c r="F120" s="52">
        <v>0.395833333333333</v>
      </c>
      <c r="G120" s="49" t="s">
        <v>806</v>
      </c>
      <c r="H120" s="23">
        <f>IF(G120="","",IFERROR(INDEX(Clients!$B$5:$B$204,MATCH(G120,Clients!$A$5:$A$204,0)),"Not found"))</f>
        <v>0</v>
      </c>
      <c r="I120" s="23">
        <f>IF(G120="","",IFERROR(INDEX(Clients!$C$5:$C$204,MATCH(G120,Clients!$A$5:$A$204,0)),""))</f>
        <v>0</v>
      </c>
      <c r="J120" s="49" t="s">
        <v>1136</v>
      </c>
      <c r="K120" s="23">
        <f>IF(J120="","",IFERROR(INDEX(Properties!$B$5:$B$254,MATCH(J120,Properties!$A$5:$A$254,0)),""))</f>
        <v>0</v>
      </c>
      <c r="L120" s="23">
        <f>IF(J120="","",IFERROR(INDEX(Properties!$F$5:$F$254,MATCH(J120,Properties!$A$5:$A$254,0)),""))</f>
        <v>0</v>
      </c>
      <c r="M120" s="15" t="s">
        <v>437</v>
      </c>
      <c r="N120" s="15" t="s">
        <v>1133</v>
      </c>
      <c r="O120" s="15" t="s">
        <v>124</v>
      </c>
      <c r="P120" s="45" t="s">
        <v>1163</v>
      </c>
      <c r="Q120" s="15" t="s">
        <v>448</v>
      </c>
      <c r="R120" s="15" t="s">
        <v>596</v>
      </c>
      <c r="S120" s="15" t="s">
        <v>172</v>
      </c>
      <c r="T120" s="16">
        <v>1</v>
      </c>
      <c r="W120" s="17">
        <v>16.4</v>
      </c>
      <c r="X120" s="47" t="s">
        <v>454</v>
      </c>
      <c r="Y120" s="47" t="s">
        <v>457</v>
      </c>
      <c r="AA120" s="47" t="s">
        <v>172</v>
      </c>
      <c r="AB120" s="44" t="s">
        <v>172</v>
      </c>
      <c r="AC120" s="44" t="s">
        <v>172</v>
      </c>
      <c r="AD120" s="34">
        <f>IF(G120="","",IF(U120&lt;&gt;"",U120,IF(AND(IFERROR(INDEX(Services!$D$5:$D$64,MATCH(M120,Services!$B$5:$B$64,0)),"")="Per hour",IFERROR(INDEX(Properties!$X$5:$X$254,MATCH(J120,Properties!$A$5:$A$254,0)),0)&gt;0),IFERROR(INDEX(Properties!$X$5:$X$254,MATCH(J120,Properties!$A$5:$A$254,0)),0),IF(IFERROR(INDEX(Services!$G$5:$G$64,MATCH(M120,Services!$B$5:$B$64,0)),0)&gt;0,IFERROR(INDEX(Services!$G$5:$G$64,MATCH(M120,Services!$B$5:$B$64,0)),0),IFERROR(INDEX(Properties!$X$5:$X$254,MATCH(J120,Properties!$A$5:$A$254,0)),0)))))</f>
        <v>0</v>
      </c>
      <c r="AE120" s="31">
        <f>IF(G120="","",IF(T120="",CleanersPerJob,MAX(1,T120)))</f>
        <v>0</v>
      </c>
      <c r="AF120" s="34">
        <f>IF(G120="","",ROUND(AD120/AE120,2))</f>
        <v>0</v>
      </c>
      <c r="AG120" s="53">
        <f>IF(OR(G120="",F120="",AF120=""),"",F120+AF120/24)</f>
        <v>0</v>
      </c>
      <c r="AH120" s="21">
        <f>IF(G120="","",IF(IFERROR(INDEX(Clients!$O$5:$O$204,MATCH(G120,Clients!$A$5:$A$204,0)),0)&gt;0,IFERROR(INDEX(Clients!$O$5:$O$204,MATCH(G120,Clients!$A$5:$A$204,0)),0),HourlyRate))</f>
        <v>0</v>
      </c>
      <c r="AI120" s="21">
        <f>IF(G120="","",IF(AND(M120&lt;&gt;"",IFERROR(INDEX(Services!$P$5:$P$64,MATCH(M120,Services!$B$5:$B$64,0)),0)&gt;0,IFERROR(INDEX(Services!$D$5:$D$64,MATCH(M120,Services!$B$5:$B$64,0)),"")&lt;&gt;"Per hour"),IFERROR(INDEX(Services!$P$5:$P$64,MATCH(M120,Services!$B$5:$B$64,0)),0),AD120*AH120))</f>
        <v>0</v>
      </c>
      <c r="AJ120" s="21">
        <f>IF(G120="","",IF(V120&lt;&gt;"",V120,IF(P120="Cancelled",0,MAX(MinimumCharge,ROUND(AI120*IFERROR(INDEX(FreqFactors,MATCH(O120,FreqNames,0)),1),2)))))</f>
        <v>0</v>
      </c>
      <c r="AK120" s="34">
        <f>IF(G120="","",IF(SUMIFS(Timesheets!$U$5:$U$804,Timesheets!$G$5:$G$804,A120)&gt;0,SUMIFS(Timesheets!$U$5:$U$804,Timesheets!$G$5:$G$804,A120),IF(Z120="","",Z120)))</f>
        <v>0</v>
      </c>
      <c r="AL120" s="34">
        <f>IF(OR(AK120="",AD120=""),"",AK120-AD120)</f>
        <v>0</v>
      </c>
      <c r="AM120" s="31">
        <f>IF(A120="","",COUNTIFS('Job Tasks'!$B$5:$B$904,A120))</f>
        <v>0</v>
      </c>
      <c r="AN120" s="31">
        <f>IF(A120="","",COUNTIFS('Job Tasks'!$B$5:$B$904,A120,'Job Tasks'!$H$5:$H$904,"Done"))</f>
        <v>0</v>
      </c>
      <c r="AO120" s="38">
        <f>IF(OR(A120="",AM120=0),"",AN120/AM120)</f>
        <v>0</v>
      </c>
      <c r="AP120" s="43">
        <f>IF(A120="","",IFERROR(INDEX('Invoice Lines'!$B$5:$B$804,MATCH(A120,'Invoice Lines'!$C$5:$C$804,0)),""))</f>
        <v>0</v>
      </c>
      <c r="AQ120" s="18">
        <f>IF(OR(G120="",B120="",X120&lt;&gt;"Yes"),"",IF(IFERROR(INDEX(FreqDays,MATCH(O120,FreqNames,0)),0)=0,"",B120+IFERROR(INDEX(FreqDays,MATCH(O120,FreqNames,0)),0)))</f>
        <v>0</v>
      </c>
      <c r="AR120" s="39">
        <f>IF(G120="","",IF(R120="","Unassigned",IF(COUNTIFS($R$5:$R$604,R120,$B$5:$B$604,B120,$F$5:$F$604,F120)&gt;1,"Clash",IF(SUMIFS($AF$5:$AF$604,$R$5:$R$604,R120,$B$5:$B$604,B120)&gt;ProductiveHours,"Long day","OK"))))</f>
        <v>0</v>
      </c>
      <c r="AS120" s="18">
        <f>IF(OR(G120="",B120=""),"",IF(AND(B120&gt;=TodayDate,P120&lt;&gt;"Cancelled"),B120,""))</f>
        <v>0</v>
      </c>
      <c r="AT120" s="31">
        <f>IF(AS120="","",COUNTIFS($AS$5:$AS$604,"&lt;"&amp;AS120)+COUNTIFS($AS$5:AS120,AS120))</f>
        <v>0</v>
      </c>
      <c r="AU120" s="18">
        <f>IF(OR(G120="",B120="",R120&lt;&gt;""),"",IF(AND(B120&gt;=TodayDate,P120&lt;&gt;"Cancelled"),B120,""))</f>
        <v>0</v>
      </c>
      <c r="AV120" s="31">
        <f>IF(AU120="","",COUNTIFS($AU$5:$AU$604,"&lt;"&amp;AU120)+COUNTIFS($AU$5:AU120,AU120))</f>
        <v>0</v>
      </c>
      <c r="AW120" s="31">
        <f>IF(OR(G120="",B120=""),"",B120-TodayDate)</f>
        <v>0</v>
      </c>
      <c r="AX120" s="39">
        <f>IF(G120="","",IF(P120="Cancelled","Cancelled",IF(P120="No access","Action - no access, rebook",IF(AND(B120&lt;&gt;"",AW120&lt;0,OR(P120="Booked",P120="Confirmed",P120="In progress")),"Late - mark it completed",IF(AND(P120="Completed",AP120=""),"Action - not invoiced yet",IF(AND(AW120&gt;=0,AW120&lt;=ReminderDays,Y120&lt;&gt;"Yes"),"Confirm - visit coming up",IF(R120="","Assign - no cleaner booked",IF(AND(P120="Completed",AO120&lt;&gt;"",AO120&lt;1),"Check - checklist unfinished","OK"))))))))</f>
        <v>0</v>
      </c>
    </row>
    <row r="121" spans="1:50">
      <c r="A121" s="43">
        <f>IF(G121="","",JobPrefix&amp;TEXT(ROW()-4,"0000"))</f>
        <v>0</v>
      </c>
      <c r="B121" s="46">
        <v>46330</v>
      </c>
      <c r="C121" s="23">
        <f>IF(B121="","",TEXT(B121,"ddd"))</f>
        <v>0</v>
      </c>
      <c r="D121" s="31">
        <f>IF(B121="","",WEEKNUM(B121,IF(WeekStart="Sunday",1,2)))</f>
        <v>0</v>
      </c>
      <c r="E121" s="23">
        <f>IF(B121="","",TEXT(B121,"yyyy-mm"))</f>
        <v>0</v>
      </c>
      <c r="F121" s="52">
        <v>0.583333333333333</v>
      </c>
      <c r="G121" s="49" t="s">
        <v>833</v>
      </c>
      <c r="H121" s="23">
        <f>IF(G121="","",IFERROR(INDEX(Clients!$B$5:$B$204,MATCH(G121,Clients!$A$5:$A$204,0)),"Not found"))</f>
        <v>0</v>
      </c>
      <c r="I121" s="23">
        <f>IF(G121="","",IFERROR(INDEX(Clients!$C$5:$C$204,MATCH(G121,Clients!$A$5:$A$204,0)),""))</f>
        <v>0</v>
      </c>
      <c r="J121" s="49" t="s">
        <v>1137</v>
      </c>
      <c r="K121" s="23">
        <f>IF(J121="","",IFERROR(INDEX(Properties!$B$5:$B$254,MATCH(J121,Properties!$A$5:$A$254,0)),""))</f>
        <v>0</v>
      </c>
      <c r="L121" s="23">
        <f>IF(J121="","",IFERROR(INDEX(Properties!$F$5:$F$254,MATCH(J121,Properties!$A$5:$A$254,0)),""))</f>
        <v>0</v>
      </c>
      <c r="M121" s="15" t="s">
        <v>839</v>
      </c>
      <c r="N121" s="15" t="s">
        <v>1133</v>
      </c>
      <c r="O121" s="15" t="s">
        <v>124</v>
      </c>
      <c r="P121" s="45" t="s">
        <v>1163</v>
      </c>
      <c r="Q121" s="15" t="s">
        <v>448</v>
      </c>
      <c r="R121" s="15" t="s">
        <v>664</v>
      </c>
      <c r="S121" s="15" t="s">
        <v>172</v>
      </c>
      <c r="T121" s="16">
        <v>1</v>
      </c>
      <c r="W121" s="17">
        <v>18.2</v>
      </c>
      <c r="X121" s="47" t="s">
        <v>454</v>
      </c>
      <c r="Y121" s="47" t="s">
        <v>457</v>
      </c>
      <c r="AA121" s="47" t="s">
        <v>172</v>
      </c>
      <c r="AB121" s="44" t="s">
        <v>172</v>
      </c>
      <c r="AC121" s="44" t="s">
        <v>172</v>
      </c>
      <c r="AD121" s="34">
        <f>IF(G121="","",IF(U121&lt;&gt;"",U121,IF(AND(IFERROR(INDEX(Services!$D$5:$D$64,MATCH(M121,Services!$B$5:$B$64,0)),"")="Per hour",IFERROR(INDEX(Properties!$X$5:$X$254,MATCH(J121,Properties!$A$5:$A$254,0)),0)&gt;0),IFERROR(INDEX(Properties!$X$5:$X$254,MATCH(J121,Properties!$A$5:$A$254,0)),0),IF(IFERROR(INDEX(Services!$G$5:$G$64,MATCH(M121,Services!$B$5:$B$64,0)),0)&gt;0,IFERROR(INDEX(Services!$G$5:$G$64,MATCH(M121,Services!$B$5:$B$64,0)),0),IFERROR(INDEX(Properties!$X$5:$X$254,MATCH(J121,Properties!$A$5:$A$254,0)),0)))))</f>
        <v>0</v>
      </c>
      <c r="AE121" s="31">
        <f>IF(G121="","",IF(T121="",CleanersPerJob,MAX(1,T121)))</f>
        <v>0</v>
      </c>
      <c r="AF121" s="34">
        <f>IF(G121="","",ROUND(AD121/AE121,2))</f>
        <v>0</v>
      </c>
      <c r="AG121" s="53">
        <f>IF(OR(G121="",F121="",AF121=""),"",F121+AF121/24)</f>
        <v>0</v>
      </c>
      <c r="AH121" s="21">
        <f>IF(G121="","",IF(IFERROR(INDEX(Clients!$O$5:$O$204,MATCH(G121,Clients!$A$5:$A$204,0)),0)&gt;0,IFERROR(INDEX(Clients!$O$5:$O$204,MATCH(G121,Clients!$A$5:$A$204,0)),0),HourlyRate))</f>
        <v>0</v>
      </c>
      <c r="AI121" s="21">
        <f>IF(G121="","",IF(AND(M121&lt;&gt;"",IFERROR(INDEX(Services!$P$5:$P$64,MATCH(M121,Services!$B$5:$B$64,0)),0)&gt;0,IFERROR(INDEX(Services!$D$5:$D$64,MATCH(M121,Services!$B$5:$B$64,0)),"")&lt;&gt;"Per hour"),IFERROR(INDEX(Services!$P$5:$P$64,MATCH(M121,Services!$B$5:$B$64,0)),0),AD121*AH121))</f>
        <v>0</v>
      </c>
      <c r="AJ121" s="21">
        <f>IF(G121="","",IF(V121&lt;&gt;"",V121,IF(P121="Cancelled",0,MAX(MinimumCharge,ROUND(AI121*IFERROR(INDEX(FreqFactors,MATCH(O121,FreqNames,0)),1),2)))))</f>
        <v>0</v>
      </c>
      <c r="AK121" s="34">
        <f>IF(G121="","",IF(SUMIFS(Timesheets!$U$5:$U$804,Timesheets!$G$5:$G$804,A121)&gt;0,SUMIFS(Timesheets!$U$5:$U$804,Timesheets!$G$5:$G$804,A121),IF(Z121="","",Z121)))</f>
        <v>0</v>
      </c>
      <c r="AL121" s="34">
        <f>IF(OR(AK121="",AD121=""),"",AK121-AD121)</f>
        <v>0</v>
      </c>
      <c r="AM121" s="31">
        <f>IF(A121="","",COUNTIFS('Job Tasks'!$B$5:$B$904,A121))</f>
        <v>0</v>
      </c>
      <c r="AN121" s="31">
        <f>IF(A121="","",COUNTIFS('Job Tasks'!$B$5:$B$904,A121,'Job Tasks'!$H$5:$H$904,"Done"))</f>
        <v>0</v>
      </c>
      <c r="AO121" s="38">
        <f>IF(OR(A121="",AM121=0),"",AN121/AM121)</f>
        <v>0</v>
      </c>
      <c r="AP121" s="43">
        <f>IF(A121="","",IFERROR(INDEX('Invoice Lines'!$B$5:$B$804,MATCH(A121,'Invoice Lines'!$C$5:$C$804,0)),""))</f>
        <v>0</v>
      </c>
      <c r="AQ121" s="18">
        <f>IF(OR(G121="",B121="",X121&lt;&gt;"Yes"),"",IF(IFERROR(INDEX(FreqDays,MATCH(O121,FreqNames,0)),0)=0,"",B121+IFERROR(INDEX(FreqDays,MATCH(O121,FreqNames,0)),0)))</f>
        <v>0</v>
      </c>
      <c r="AR121" s="39">
        <f>IF(G121="","",IF(R121="","Unassigned",IF(COUNTIFS($R$5:$R$604,R121,$B$5:$B$604,B121,$F$5:$F$604,F121)&gt;1,"Clash",IF(SUMIFS($AF$5:$AF$604,$R$5:$R$604,R121,$B$5:$B$604,B121)&gt;ProductiveHours,"Long day","OK"))))</f>
        <v>0</v>
      </c>
      <c r="AS121" s="18">
        <f>IF(OR(G121="",B121=""),"",IF(AND(B121&gt;=TodayDate,P121&lt;&gt;"Cancelled"),B121,""))</f>
        <v>0</v>
      </c>
      <c r="AT121" s="31">
        <f>IF(AS121="","",COUNTIFS($AS$5:$AS$604,"&lt;"&amp;AS121)+COUNTIFS($AS$5:AS121,AS121))</f>
        <v>0</v>
      </c>
      <c r="AU121" s="18">
        <f>IF(OR(G121="",B121="",R121&lt;&gt;""),"",IF(AND(B121&gt;=TodayDate,P121&lt;&gt;"Cancelled"),B121,""))</f>
        <v>0</v>
      </c>
      <c r="AV121" s="31">
        <f>IF(AU121="","",COUNTIFS($AU$5:$AU$604,"&lt;"&amp;AU121)+COUNTIFS($AU$5:AU121,AU121))</f>
        <v>0</v>
      </c>
      <c r="AW121" s="31">
        <f>IF(OR(G121="",B121=""),"",B121-TodayDate)</f>
        <v>0</v>
      </c>
      <c r="AX121" s="39">
        <f>IF(G121="","",IF(P121="Cancelled","Cancelled",IF(P121="No access","Action - no access, rebook",IF(AND(B121&lt;&gt;"",AW121&lt;0,OR(P121="Booked",P121="Confirmed",P121="In progress")),"Late - mark it completed",IF(AND(P121="Completed",AP121=""),"Action - not invoiced yet",IF(AND(AW121&gt;=0,AW121&lt;=ReminderDays,Y121&lt;&gt;"Yes"),"Confirm - visit coming up",IF(R121="","Assign - no cleaner booked",IF(AND(P121="Completed",AO121&lt;&gt;"",AO121&lt;1),"Check - checklist unfinished","OK"))))))))</f>
        <v>0</v>
      </c>
    </row>
    <row r="122" spans="1:50">
      <c r="A122" s="43">
        <f>IF(G122="","",JobPrefix&amp;TEXT(ROW()-4,"0000"))</f>
        <v>0</v>
      </c>
      <c r="B122" s="46">
        <v>46330</v>
      </c>
      <c r="C122" s="23">
        <f>IF(B122="","",TEXT(B122,"ddd"))</f>
        <v>0</v>
      </c>
      <c r="D122" s="31">
        <f>IF(B122="","",WEEKNUM(B122,IF(WeekStart="Sunday",1,2)))</f>
        <v>0</v>
      </c>
      <c r="E122" s="23">
        <f>IF(B122="","",TEXT(B122,"yyyy-mm"))</f>
        <v>0</v>
      </c>
      <c r="F122" s="52">
        <v>0.645833333333333</v>
      </c>
      <c r="G122" s="49" t="s">
        <v>833</v>
      </c>
      <c r="H122" s="23">
        <f>IF(G122="","",IFERROR(INDEX(Clients!$B$5:$B$204,MATCH(G122,Clients!$A$5:$A$204,0)),"Not found"))</f>
        <v>0</v>
      </c>
      <c r="I122" s="23">
        <f>IF(G122="","",IFERROR(INDEX(Clients!$C$5:$C$204,MATCH(G122,Clients!$A$5:$A$204,0)),""))</f>
        <v>0</v>
      </c>
      <c r="J122" s="49" t="s">
        <v>1138</v>
      </c>
      <c r="K122" s="23">
        <f>IF(J122="","",IFERROR(INDEX(Properties!$B$5:$B$254,MATCH(J122,Properties!$A$5:$A$254,0)),""))</f>
        <v>0</v>
      </c>
      <c r="L122" s="23">
        <f>IF(J122="","",IFERROR(INDEX(Properties!$F$5:$F$254,MATCH(J122,Properties!$A$5:$A$254,0)),""))</f>
        <v>0</v>
      </c>
      <c r="M122" s="15" t="s">
        <v>839</v>
      </c>
      <c r="N122" s="15" t="s">
        <v>1133</v>
      </c>
      <c r="O122" s="15" t="s">
        <v>124</v>
      </c>
      <c r="P122" s="45" t="s">
        <v>1163</v>
      </c>
      <c r="Q122" s="15" t="s">
        <v>448</v>
      </c>
      <c r="R122" s="15" t="s">
        <v>664</v>
      </c>
      <c r="S122" s="15" t="s">
        <v>172</v>
      </c>
      <c r="T122" s="16">
        <v>1</v>
      </c>
      <c r="W122" s="17">
        <v>18.2</v>
      </c>
      <c r="X122" s="47" t="s">
        <v>454</v>
      </c>
      <c r="Y122" s="47" t="s">
        <v>457</v>
      </c>
      <c r="AA122" s="47" t="s">
        <v>172</v>
      </c>
      <c r="AB122" s="44" t="s">
        <v>172</v>
      </c>
      <c r="AC122" s="44" t="s">
        <v>172</v>
      </c>
      <c r="AD122" s="34">
        <f>IF(G122="","",IF(U122&lt;&gt;"",U122,IF(AND(IFERROR(INDEX(Services!$D$5:$D$64,MATCH(M122,Services!$B$5:$B$64,0)),"")="Per hour",IFERROR(INDEX(Properties!$X$5:$X$254,MATCH(J122,Properties!$A$5:$A$254,0)),0)&gt;0),IFERROR(INDEX(Properties!$X$5:$X$254,MATCH(J122,Properties!$A$5:$A$254,0)),0),IF(IFERROR(INDEX(Services!$G$5:$G$64,MATCH(M122,Services!$B$5:$B$64,0)),0)&gt;0,IFERROR(INDEX(Services!$G$5:$G$64,MATCH(M122,Services!$B$5:$B$64,0)),0),IFERROR(INDEX(Properties!$X$5:$X$254,MATCH(J122,Properties!$A$5:$A$254,0)),0)))))</f>
        <v>0</v>
      </c>
      <c r="AE122" s="31">
        <f>IF(G122="","",IF(T122="",CleanersPerJob,MAX(1,T122)))</f>
        <v>0</v>
      </c>
      <c r="AF122" s="34">
        <f>IF(G122="","",ROUND(AD122/AE122,2))</f>
        <v>0</v>
      </c>
      <c r="AG122" s="53">
        <f>IF(OR(G122="",F122="",AF122=""),"",F122+AF122/24)</f>
        <v>0</v>
      </c>
      <c r="AH122" s="21">
        <f>IF(G122="","",IF(IFERROR(INDEX(Clients!$O$5:$O$204,MATCH(G122,Clients!$A$5:$A$204,0)),0)&gt;0,IFERROR(INDEX(Clients!$O$5:$O$204,MATCH(G122,Clients!$A$5:$A$204,0)),0),HourlyRate))</f>
        <v>0</v>
      </c>
      <c r="AI122" s="21">
        <f>IF(G122="","",IF(AND(M122&lt;&gt;"",IFERROR(INDEX(Services!$P$5:$P$64,MATCH(M122,Services!$B$5:$B$64,0)),0)&gt;0,IFERROR(INDEX(Services!$D$5:$D$64,MATCH(M122,Services!$B$5:$B$64,0)),"")&lt;&gt;"Per hour"),IFERROR(INDEX(Services!$P$5:$P$64,MATCH(M122,Services!$B$5:$B$64,0)),0),AD122*AH122))</f>
        <v>0</v>
      </c>
      <c r="AJ122" s="21">
        <f>IF(G122="","",IF(V122&lt;&gt;"",V122,IF(P122="Cancelled",0,MAX(MinimumCharge,ROUND(AI122*IFERROR(INDEX(FreqFactors,MATCH(O122,FreqNames,0)),1),2)))))</f>
        <v>0</v>
      </c>
      <c r="AK122" s="34">
        <f>IF(G122="","",IF(SUMIFS(Timesheets!$U$5:$U$804,Timesheets!$G$5:$G$804,A122)&gt;0,SUMIFS(Timesheets!$U$5:$U$804,Timesheets!$G$5:$G$804,A122),IF(Z122="","",Z122)))</f>
        <v>0</v>
      </c>
      <c r="AL122" s="34">
        <f>IF(OR(AK122="",AD122=""),"",AK122-AD122)</f>
        <v>0</v>
      </c>
      <c r="AM122" s="31">
        <f>IF(A122="","",COUNTIFS('Job Tasks'!$B$5:$B$904,A122))</f>
        <v>0</v>
      </c>
      <c r="AN122" s="31">
        <f>IF(A122="","",COUNTIFS('Job Tasks'!$B$5:$B$904,A122,'Job Tasks'!$H$5:$H$904,"Done"))</f>
        <v>0</v>
      </c>
      <c r="AO122" s="38">
        <f>IF(OR(A122="",AM122=0),"",AN122/AM122)</f>
        <v>0</v>
      </c>
      <c r="AP122" s="43">
        <f>IF(A122="","",IFERROR(INDEX('Invoice Lines'!$B$5:$B$804,MATCH(A122,'Invoice Lines'!$C$5:$C$804,0)),""))</f>
        <v>0</v>
      </c>
      <c r="AQ122" s="18">
        <f>IF(OR(G122="",B122="",X122&lt;&gt;"Yes"),"",IF(IFERROR(INDEX(FreqDays,MATCH(O122,FreqNames,0)),0)=0,"",B122+IFERROR(INDEX(FreqDays,MATCH(O122,FreqNames,0)),0)))</f>
        <v>0</v>
      </c>
      <c r="AR122" s="39">
        <f>IF(G122="","",IF(R122="","Unassigned",IF(COUNTIFS($R$5:$R$604,R122,$B$5:$B$604,B122,$F$5:$F$604,F122)&gt;1,"Clash",IF(SUMIFS($AF$5:$AF$604,$R$5:$R$604,R122,$B$5:$B$604,B122)&gt;ProductiveHours,"Long day","OK"))))</f>
        <v>0</v>
      </c>
      <c r="AS122" s="18">
        <f>IF(OR(G122="",B122=""),"",IF(AND(B122&gt;=TodayDate,P122&lt;&gt;"Cancelled"),B122,""))</f>
        <v>0</v>
      </c>
      <c r="AT122" s="31">
        <f>IF(AS122="","",COUNTIFS($AS$5:$AS$604,"&lt;"&amp;AS122)+COUNTIFS($AS$5:AS122,AS122))</f>
        <v>0</v>
      </c>
      <c r="AU122" s="18">
        <f>IF(OR(G122="",B122="",R122&lt;&gt;""),"",IF(AND(B122&gt;=TodayDate,P122&lt;&gt;"Cancelled"),B122,""))</f>
        <v>0</v>
      </c>
      <c r="AV122" s="31">
        <f>IF(AU122="","",COUNTIFS($AU$5:$AU$604,"&lt;"&amp;AU122)+COUNTIFS($AU$5:AU122,AU122))</f>
        <v>0</v>
      </c>
      <c r="AW122" s="31">
        <f>IF(OR(G122="",B122=""),"",B122-TodayDate)</f>
        <v>0</v>
      </c>
      <c r="AX122" s="39">
        <f>IF(G122="","",IF(P122="Cancelled","Cancelled",IF(P122="No access","Action - no access, rebook",IF(AND(B122&lt;&gt;"",AW122&lt;0,OR(P122="Booked",P122="Confirmed",P122="In progress")),"Late - mark it completed",IF(AND(P122="Completed",AP122=""),"Action - not invoiced yet",IF(AND(AW122&gt;=0,AW122&lt;=ReminderDays,Y122&lt;&gt;"Yes"),"Confirm - visit coming up",IF(R122="","Assign - no cleaner booked",IF(AND(P122="Completed",AO122&lt;&gt;"",AO122&lt;1),"Check - checklist unfinished","OK"))))))))</f>
        <v>0</v>
      </c>
    </row>
    <row r="123" spans="1:50">
      <c r="A123" s="43">
        <f>IF(G123="","",JobPrefix&amp;TEXT(ROW()-4,"0000"))</f>
        <v>0</v>
      </c>
      <c r="B123" s="46">
        <v>46331</v>
      </c>
      <c r="C123" s="23">
        <f>IF(B123="","",TEXT(B123,"ddd"))</f>
        <v>0</v>
      </c>
      <c r="D123" s="31">
        <f>IF(B123="","",WEEKNUM(B123,IF(WeekStart="Sunday",1,2)))</f>
        <v>0</v>
      </c>
      <c r="E123" s="23">
        <f>IF(B123="","",TEXT(B123,"yyyy-mm"))</f>
        <v>0</v>
      </c>
      <c r="F123" s="52">
        <v>0.291666666666667</v>
      </c>
      <c r="G123" s="49" t="s">
        <v>813</v>
      </c>
      <c r="H123" s="23">
        <f>IF(G123="","",IFERROR(INDEX(Clients!$B$5:$B$204,MATCH(G123,Clients!$A$5:$A$204,0)),"Not found"))</f>
        <v>0</v>
      </c>
      <c r="I123" s="23">
        <f>IF(G123="","",IFERROR(INDEX(Clients!$C$5:$C$204,MATCH(G123,Clients!$A$5:$A$204,0)),""))</f>
        <v>0</v>
      </c>
      <c r="J123" s="49" t="s">
        <v>1052</v>
      </c>
      <c r="K123" s="23">
        <f>IF(J123="","",IFERROR(INDEX(Properties!$B$5:$B$254,MATCH(J123,Properties!$A$5:$A$254,0)),""))</f>
        <v>0</v>
      </c>
      <c r="L123" s="23">
        <f>IF(J123="","",IFERROR(INDEX(Properties!$F$5:$F$254,MATCH(J123,Properties!$A$5:$A$254,0)),""))</f>
        <v>0</v>
      </c>
      <c r="M123" s="15" t="s">
        <v>770</v>
      </c>
      <c r="N123" s="15" t="s">
        <v>1133</v>
      </c>
      <c r="O123" s="15" t="s">
        <v>617</v>
      </c>
      <c r="P123" s="45" t="s">
        <v>1163</v>
      </c>
      <c r="Q123" s="15" t="s">
        <v>448</v>
      </c>
      <c r="R123" s="15" t="s">
        <v>664</v>
      </c>
      <c r="S123" s="15" t="s">
        <v>172</v>
      </c>
      <c r="T123" s="16">
        <v>1</v>
      </c>
      <c r="W123" s="17">
        <v>7.6</v>
      </c>
      <c r="X123" s="47" t="s">
        <v>454</v>
      </c>
      <c r="Y123" s="47" t="s">
        <v>457</v>
      </c>
      <c r="AA123" s="47" t="s">
        <v>172</v>
      </c>
      <c r="AB123" s="44" t="s">
        <v>172</v>
      </c>
      <c r="AC123" s="44" t="s">
        <v>172</v>
      </c>
      <c r="AD123" s="34">
        <f>IF(G123="","",IF(U123&lt;&gt;"",U123,IF(AND(IFERROR(INDEX(Services!$D$5:$D$64,MATCH(M123,Services!$B$5:$B$64,0)),"")="Per hour",IFERROR(INDEX(Properties!$X$5:$X$254,MATCH(J123,Properties!$A$5:$A$254,0)),0)&gt;0),IFERROR(INDEX(Properties!$X$5:$X$254,MATCH(J123,Properties!$A$5:$A$254,0)),0),IF(IFERROR(INDEX(Services!$G$5:$G$64,MATCH(M123,Services!$B$5:$B$64,0)),0)&gt;0,IFERROR(INDEX(Services!$G$5:$G$64,MATCH(M123,Services!$B$5:$B$64,0)),0),IFERROR(INDEX(Properties!$X$5:$X$254,MATCH(J123,Properties!$A$5:$A$254,0)),0)))))</f>
        <v>0</v>
      </c>
      <c r="AE123" s="31">
        <f>IF(G123="","",IF(T123="",CleanersPerJob,MAX(1,T123)))</f>
        <v>0</v>
      </c>
      <c r="AF123" s="34">
        <f>IF(G123="","",ROUND(AD123/AE123,2))</f>
        <v>0</v>
      </c>
      <c r="AG123" s="53">
        <f>IF(OR(G123="",F123="",AF123=""),"",F123+AF123/24)</f>
        <v>0</v>
      </c>
      <c r="AH123" s="21">
        <f>IF(G123="","",IF(IFERROR(INDEX(Clients!$O$5:$O$204,MATCH(G123,Clients!$A$5:$A$204,0)),0)&gt;0,IFERROR(INDEX(Clients!$O$5:$O$204,MATCH(G123,Clients!$A$5:$A$204,0)),0),HourlyRate))</f>
        <v>0</v>
      </c>
      <c r="AI123" s="21">
        <f>IF(G123="","",IF(AND(M123&lt;&gt;"",IFERROR(INDEX(Services!$P$5:$P$64,MATCH(M123,Services!$B$5:$B$64,0)),0)&gt;0,IFERROR(INDEX(Services!$D$5:$D$64,MATCH(M123,Services!$B$5:$B$64,0)),"")&lt;&gt;"Per hour"),IFERROR(INDEX(Services!$P$5:$P$64,MATCH(M123,Services!$B$5:$B$64,0)),0),AD123*AH123))</f>
        <v>0</v>
      </c>
      <c r="AJ123" s="21">
        <f>IF(G123="","",IF(V123&lt;&gt;"",V123,IF(P123="Cancelled",0,MAX(MinimumCharge,ROUND(AI123*IFERROR(INDEX(FreqFactors,MATCH(O123,FreqNames,0)),1),2)))))</f>
        <v>0</v>
      </c>
      <c r="AK123" s="34">
        <f>IF(G123="","",IF(SUMIFS(Timesheets!$U$5:$U$804,Timesheets!$G$5:$G$804,A123)&gt;0,SUMIFS(Timesheets!$U$5:$U$804,Timesheets!$G$5:$G$804,A123),IF(Z123="","",Z123)))</f>
        <v>0</v>
      </c>
      <c r="AL123" s="34">
        <f>IF(OR(AK123="",AD123=""),"",AK123-AD123)</f>
        <v>0</v>
      </c>
      <c r="AM123" s="31">
        <f>IF(A123="","",COUNTIFS('Job Tasks'!$B$5:$B$904,A123))</f>
        <v>0</v>
      </c>
      <c r="AN123" s="31">
        <f>IF(A123="","",COUNTIFS('Job Tasks'!$B$5:$B$904,A123,'Job Tasks'!$H$5:$H$904,"Done"))</f>
        <v>0</v>
      </c>
      <c r="AO123" s="38">
        <f>IF(OR(A123="",AM123=0),"",AN123/AM123)</f>
        <v>0</v>
      </c>
      <c r="AP123" s="43">
        <f>IF(A123="","",IFERROR(INDEX('Invoice Lines'!$B$5:$B$804,MATCH(A123,'Invoice Lines'!$C$5:$C$804,0)),""))</f>
        <v>0</v>
      </c>
      <c r="AQ123" s="18">
        <f>IF(OR(G123="",B123="",X123&lt;&gt;"Yes"),"",IF(IFERROR(INDEX(FreqDays,MATCH(O123,FreqNames,0)),0)=0,"",B123+IFERROR(INDEX(FreqDays,MATCH(O123,FreqNames,0)),0)))</f>
        <v>0</v>
      </c>
      <c r="AR123" s="39">
        <f>IF(G123="","",IF(R123="","Unassigned",IF(COUNTIFS($R$5:$R$604,R123,$B$5:$B$604,B123,$F$5:$F$604,F123)&gt;1,"Clash",IF(SUMIFS($AF$5:$AF$604,$R$5:$R$604,R123,$B$5:$B$604,B123)&gt;ProductiveHours,"Long day","OK"))))</f>
        <v>0</v>
      </c>
      <c r="AS123" s="18">
        <f>IF(OR(G123="",B123=""),"",IF(AND(B123&gt;=TodayDate,P123&lt;&gt;"Cancelled"),B123,""))</f>
        <v>0</v>
      </c>
      <c r="AT123" s="31">
        <f>IF(AS123="","",COUNTIFS($AS$5:$AS$604,"&lt;"&amp;AS123)+COUNTIFS($AS$5:AS123,AS123))</f>
        <v>0</v>
      </c>
      <c r="AU123" s="18">
        <f>IF(OR(G123="",B123="",R123&lt;&gt;""),"",IF(AND(B123&gt;=TodayDate,P123&lt;&gt;"Cancelled"),B123,""))</f>
        <v>0</v>
      </c>
      <c r="AV123" s="31">
        <f>IF(AU123="","",COUNTIFS($AU$5:$AU$604,"&lt;"&amp;AU123)+COUNTIFS($AU$5:AU123,AU123))</f>
        <v>0</v>
      </c>
      <c r="AW123" s="31">
        <f>IF(OR(G123="",B123=""),"",B123-TodayDate)</f>
        <v>0</v>
      </c>
      <c r="AX123" s="39">
        <f>IF(G123="","",IF(P123="Cancelled","Cancelled",IF(P123="No access","Action - no access, rebook",IF(AND(B123&lt;&gt;"",AW123&lt;0,OR(P123="Booked",P123="Confirmed",P123="In progress")),"Late - mark it completed",IF(AND(P123="Completed",AP123=""),"Action - not invoiced yet",IF(AND(AW123&gt;=0,AW123&lt;=ReminderDays,Y123&lt;&gt;"Yes"),"Confirm - visit coming up",IF(R123="","Assign - no cleaner booked",IF(AND(P123="Completed",AO123&lt;&gt;"",AO123&lt;1),"Check - checklist unfinished","OK"))))))))</f>
        <v>0</v>
      </c>
    </row>
    <row r="124" spans="1:50">
      <c r="A124" s="43">
        <f>IF(G124="","",JobPrefix&amp;TEXT(ROW()-4,"0000"))</f>
        <v>0</v>
      </c>
      <c r="B124" s="46">
        <v>46331</v>
      </c>
      <c r="C124" s="23">
        <f>IF(B124="","",TEXT(B124,"ddd"))</f>
        <v>0</v>
      </c>
      <c r="D124" s="31">
        <f>IF(B124="","",WEEKNUM(B124,IF(WeekStart="Sunday",1,2)))</f>
        <v>0</v>
      </c>
      <c r="E124" s="23">
        <f>IF(B124="","",TEXT(B124,"yyyy-mm"))</f>
        <v>0</v>
      </c>
      <c r="F124" s="52">
        <v>0.583333333333333</v>
      </c>
      <c r="G124" s="49" t="s">
        <v>753</v>
      </c>
      <c r="H124" s="23">
        <f>IF(G124="","",IFERROR(INDEX(Clients!$B$5:$B$204,MATCH(G124,Clients!$A$5:$A$204,0)),"Not found"))</f>
        <v>0</v>
      </c>
      <c r="I124" s="23">
        <f>IF(G124="","",IFERROR(INDEX(Clients!$C$5:$C$204,MATCH(G124,Clients!$A$5:$A$204,0)),""))</f>
        <v>0</v>
      </c>
      <c r="J124" s="49" t="s">
        <v>1139</v>
      </c>
      <c r="K124" s="23">
        <f>IF(J124="","",IFERROR(INDEX(Properties!$B$5:$B$254,MATCH(J124,Properties!$A$5:$A$254,0)),""))</f>
        <v>0</v>
      </c>
      <c r="L124" s="23">
        <f>IF(J124="","",IFERROR(INDEX(Properties!$F$5:$F$254,MATCH(J124,Properties!$A$5:$A$254,0)),""))</f>
        <v>0</v>
      </c>
      <c r="M124" s="15" t="s">
        <v>437</v>
      </c>
      <c r="N124" s="15" t="s">
        <v>1133</v>
      </c>
      <c r="O124" s="15" t="s">
        <v>593</v>
      </c>
      <c r="P124" s="45" t="s">
        <v>1163</v>
      </c>
      <c r="Q124" s="15" t="s">
        <v>448</v>
      </c>
      <c r="R124" s="15" t="s">
        <v>596</v>
      </c>
      <c r="S124" s="15" t="s">
        <v>172</v>
      </c>
      <c r="T124" s="16">
        <v>1</v>
      </c>
      <c r="W124" s="17">
        <v>12</v>
      </c>
      <c r="X124" s="47" t="s">
        <v>454</v>
      </c>
      <c r="Y124" s="47" t="s">
        <v>457</v>
      </c>
      <c r="AA124" s="47" t="s">
        <v>172</v>
      </c>
      <c r="AB124" s="44" t="s">
        <v>172</v>
      </c>
      <c r="AC124" s="44" t="s">
        <v>172</v>
      </c>
      <c r="AD124" s="34">
        <f>IF(G124="","",IF(U124&lt;&gt;"",U124,IF(AND(IFERROR(INDEX(Services!$D$5:$D$64,MATCH(M124,Services!$B$5:$B$64,0)),"")="Per hour",IFERROR(INDEX(Properties!$X$5:$X$254,MATCH(J124,Properties!$A$5:$A$254,0)),0)&gt;0),IFERROR(INDEX(Properties!$X$5:$X$254,MATCH(J124,Properties!$A$5:$A$254,0)),0),IF(IFERROR(INDEX(Services!$G$5:$G$64,MATCH(M124,Services!$B$5:$B$64,0)),0)&gt;0,IFERROR(INDEX(Services!$G$5:$G$64,MATCH(M124,Services!$B$5:$B$64,0)),0),IFERROR(INDEX(Properties!$X$5:$X$254,MATCH(J124,Properties!$A$5:$A$254,0)),0)))))</f>
        <v>0</v>
      </c>
      <c r="AE124" s="31">
        <f>IF(G124="","",IF(T124="",CleanersPerJob,MAX(1,T124)))</f>
        <v>0</v>
      </c>
      <c r="AF124" s="34">
        <f>IF(G124="","",ROUND(AD124/AE124,2))</f>
        <v>0</v>
      </c>
      <c r="AG124" s="53">
        <f>IF(OR(G124="",F124="",AF124=""),"",F124+AF124/24)</f>
        <v>0</v>
      </c>
      <c r="AH124" s="21">
        <f>IF(G124="","",IF(IFERROR(INDEX(Clients!$O$5:$O$204,MATCH(G124,Clients!$A$5:$A$204,0)),0)&gt;0,IFERROR(INDEX(Clients!$O$5:$O$204,MATCH(G124,Clients!$A$5:$A$204,0)),0),HourlyRate))</f>
        <v>0</v>
      </c>
      <c r="AI124" s="21">
        <f>IF(G124="","",IF(AND(M124&lt;&gt;"",IFERROR(INDEX(Services!$P$5:$P$64,MATCH(M124,Services!$B$5:$B$64,0)),0)&gt;0,IFERROR(INDEX(Services!$D$5:$D$64,MATCH(M124,Services!$B$5:$B$64,0)),"")&lt;&gt;"Per hour"),IFERROR(INDEX(Services!$P$5:$P$64,MATCH(M124,Services!$B$5:$B$64,0)),0),AD124*AH124))</f>
        <v>0</v>
      </c>
      <c r="AJ124" s="21">
        <f>IF(G124="","",IF(V124&lt;&gt;"",V124,IF(P124="Cancelled",0,MAX(MinimumCharge,ROUND(AI124*IFERROR(INDEX(FreqFactors,MATCH(O124,FreqNames,0)),1),2)))))</f>
        <v>0</v>
      </c>
      <c r="AK124" s="34">
        <f>IF(G124="","",IF(SUMIFS(Timesheets!$U$5:$U$804,Timesheets!$G$5:$G$804,A124)&gt;0,SUMIFS(Timesheets!$U$5:$U$804,Timesheets!$G$5:$G$804,A124),IF(Z124="","",Z124)))</f>
        <v>0</v>
      </c>
      <c r="AL124" s="34">
        <f>IF(OR(AK124="",AD124=""),"",AK124-AD124)</f>
        <v>0</v>
      </c>
      <c r="AM124" s="31">
        <f>IF(A124="","",COUNTIFS('Job Tasks'!$B$5:$B$904,A124))</f>
        <v>0</v>
      </c>
      <c r="AN124" s="31">
        <f>IF(A124="","",COUNTIFS('Job Tasks'!$B$5:$B$904,A124,'Job Tasks'!$H$5:$H$904,"Done"))</f>
        <v>0</v>
      </c>
      <c r="AO124" s="38">
        <f>IF(OR(A124="",AM124=0),"",AN124/AM124)</f>
        <v>0</v>
      </c>
      <c r="AP124" s="43">
        <f>IF(A124="","",IFERROR(INDEX('Invoice Lines'!$B$5:$B$804,MATCH(A124,'Invoice Lines'!$C$5:$C$804,0)),""))</f>
        <v>0</v>
      </c>
      <c r="AQ124" s="18">
        <f>IF(OR(G124="",B124="",X124&lt;&gt;"Yes"),"",IF(IFERROR(INDEX(FreqDays,MATCH(O124,FreqNames,0)),0)=0,"",B124+IFERROR(INDEX(FreqDays,MATCH(O124,FreqNames,0)),0)))</f>
        <v>0</v>
      </c>
      <c r="AR124" s="39">
        <f>IF(G124="","",IF(R124="","Unassigned",IF(COUNTIFS($R$5:$R$604,R124,$B$5:$B$604,B124,$F$5:$F$604,F124)&gt;1,"Clash",IF(SUMIFS($AF$5:$AF$604,$R$5:$R$604,R124,$B$5:$B$604,B124)&gt;ProductiveHours,"Long day","OK"))))</f>
        <v>0</v>
      </c>
      <c r="AS124" s="18">
        <f>IF(OR(G124="",B124=""),"",IF(AND(B124&gt;=TodayDate,P124&lt;&gt;"Cancelled"),B124,""))</f>
        <v>0</v>
      </c>
      <c r="AT124" s="31">
        <f>IF(AS124="","",COUNTIFS($AS$5:$AS$604,"&lt;"&amp;AS124)+COUNTIFS($AS$5:AS124,AS124))</f>
        <v>0</v>
      </c>
      <c r="AU124" s="18">
        <f>IF(OR(G124="",B124="",R124&lt;&gt;""),"",IF(AND(B124&gt;=TodayDate,P124&lt;&gt;"Cancelled"),B124,""))</f>
        <v>0</v>
      </c>
      <c r="AV124" s="31">
        <f>IF(AU124="","",COUNTIFS($AU$5:$AU$604,"&lt;"&amp;AU124)+COUNTIFS($AU$5:AU124,AU124))</f>
        <v>0</v>
      </c>
      <c r="AW124" s="31">
        <f>IF(OR(G124="",B124=""),"",B124-TodayDate)</f>
        <v>0</v>
      </c>
      <c r="AX124" s="39">
        <f>IF(G124="","",IF(P124="Cancelled","Cancelled",IF(P124="No access","Action - no access, rebook",IF(AND(B124&lt;&gt;"",AW124&lt;0,OR(P124="Booked",P124="Confirmed",P124="In progress")),"Late - mark it completed",IF(AND(P124="Completed",AP124=""),"Action - not invoiced yet",IF(AND(AW124&gt;=0,AW124&lt;=ReminderDays,Y124&lt;&gt;"Yes"),"Confirm - visit coming up",IF(R124="","Assign - no cleaner booked",IF(AND(P124="Completed",AO124&lt;&gt;"",AO124&lt;1),"Check - checklist unfinished","OK"))))))))</f>
        <v>0</v>
      </c>
    </row>
    <row r="125" spans="1:50">
      <c r="A125" s="43">
        <f>IF(G125="","",JobPrefix&amp;TEXT(ROW()-4,"0000"))</f>
        <v>0</v>
      </c>
      <c r="B125" s="46">
        <v>46331</v>
      </c>
      <c r="C125" s="23">
        <f>IF(B125="","",TEXT(B125,"ddd"))</f>
        <v>0</v>
      </c>
      <c r="D125" s="31">
        <f>IF(B125="","",WEEKNUM(B125,IF(WeekStart="Sunday",1,2)))</f>
        <v>0</v>
      </c>
      <c r="E125" s="23">
        <f>IF(B125="","",TEXT(B125,"yyyy-mm"))</f>
        <v>0</v>
      </c>
      <c r="F125" s="52">
        <v>0.770833333333333</v>
      </c>
      <c r="G125" s="49" t="s">
        <v>773</v>
      </c>
      <c r="H125" s="23">
        <f>IF(G125="","",IFERROR(INDEX(Clients!$B$5:$B$204,MATCH(G125,Clients!$A$5:$A$204,0)),"Not found"))</f>
        <v>0</v>
      </c>
      <c r="I125" s="23">
        <f>IF(G125="","",IFERROR(INDEX(Clients!$C$5:$C$204,MATCH(G125,Clients!$A$5:$A$204,0)),""))</f>
        <v>0</v>
      </c>
      <c r="J125" s="49" t="s">
        <v>1134</v>
      </c>
      <c r="K125" s="23">
        <f>IF(J125="","",IFERROR(INDEX(Properties!$B$5:$B$254,MATCH(J125,Properties!$A$5:$A$254,0)),""))</f>
        <v>0</v>
      </c>
      <c r="L125" s="23">
        <f>IF(J125="","",IFERROR(INDEX(Properties!$F$5:$F$254,MATCH(J125,Properties!$A$5:$A$254,0)),""))</f>
        <v>0</v>
      </c>
      <c r="M125" s="15" t="s">
        <v>770</v>
      </c>
      <c r="N125" s="15" t="s">
        <v>1133</v>
      </c>
      <c r="O125" s="15" t="s">
        <v>617</v>
      </c>
      <c r="P125" s="45" t="s">
        <v>1163</v>
      </c>
      <c r="Q125" s="15" t="s">
        <v>448</v>
      </c>
      <c r="R125" s="15" t="s">
        <v>608</v>
      </c>
      <c r="S125" s="15" t="s">
        <v>172</v>
      </c>
      <c r="T125" s="16">
        <v>1</v>
      </c>
      <c r="W125" s="17">
        <v>4.8</v>
      </c>
      <c r="X125" s="47" t="s">
        <v>454</v>
      </c>
      <c r="Y125" s="47" t="s">
        <v>457</v>
      </c>
      <c r="AA125" s="47" t="s">
        <v>172</v>
      </c>
      <c r="AB125" s="44" t="s">
        <v>172</v>
      </c>
      <c r="AC125" s="44" t="s">
        <v>172</v>
      </c>
      <c r="AD125" s="34">
        <f>IF(G125="","",IF(U125&lt;&gt;"",U125,IF(AND(IFERROR(INDEX(Services!$D$5:$D$64,MATCH(M125,Services!$B$5:$B$64,0)),"")="Per hour",IFERROR(INDEX(Properties!$X$5:$X$254,MATCH(J125,Properties!$A$5:$A$254,0)),0)&gt;0),IFERROR(INDEX(Properties!$X$5:$X$254,MATCH(J125,Properties!$A$5:$A$254,0)),0),IF(IFERROR(INDEX(Services!$G$5:$G$64,MATCH(M125,Services!$B$5:$B$64,0)),0)&gt;0,IFERROR(INDEX(Services!$G$5:$G$64,MATCH(M125,Services!$B$5:$B$64,0)),0),IFERROR(INDEX(Properties!$X$5:$X$254,MATCH(J125,Properties!$A$5:$A$254,0)),0)))))</f>
        <v>0</v>
      </c>
      <c r="AE125" s="31">
        <f>IF(G125="","",IF(T125="",CleanersPerJob,MAX(1,T125)))</f>
        <v>0</v>
      </c>
      <c r="AF125" s="34">
        <f>IF(G125="","",ROUND(AD125/AE125,2))</f>
        <v>0</v>
      </c>
      <c r="AG125" s="53">
        <f>IF(OR(G125="",F125="",AF125=""),"",F125+AF125/24)</f>
        <v>0</v>
      </c>
      <c r="AH125" s="21">
        <f>IF(G125="","",IF(IFERROR(INDEX(Clients!$O$5:$O$204,MATCH(G125,Clients!$A$5:$A$204,0)),0)&gt;0,IFERROR(INDEX(Clients!$O$5:$O$204,MATCH(G125,Clients!$A$5:$A$204,0)),0),HourlyRate))</f>
        <v>0</v>
      </c>
      <c r="AI125" s="21">
        <f>IF(G125="","",IF(AND(M125&lt;&gt;"",IFERROR(INDEX(Services!$P$5:$P$64,MATCH(M125,Services!$B$5:$B$64,0)),0)&gt;0,IFERROR(INDEX(Services!$D$5:$D$64,MATCH(M125,Services!$B$5:$B$64,0)),"")&lt;&gt;"Per hour"),IFERROR(INDEX(Services!$P$5:$P$64,MATCH(M125,Services!$B$5:$B$64,0)),0),AD125*AH125))</f>
        <v>0</v>
      </c>
      <c r="AJ125" s="21">
        <f>IF(G125="","",IF(V125&lt;&gt;"",V125,IF(P125="Cancelled",0,MAX(MinimumCharge,ROUND(AI125*IFERROR(INDEX(FreqFactors,MATCH(O125,FreqNames,0)),1),2)))))</f>
        <v>0</v>
      </c>
      <c r="AK125" s="34">
        <f>IF(G125="","",IF(SUMIFS(Timesheets!$U$5:$U$804,Timesheets!$G$5:$G$804,A125)&gt;0,SUMIFS(Timesheets!$U$5:$U$804,Timesheets!$G$5:$G$804,A125),IF(Z125="","",Z125)))</f>
        <v>0</v>
      </c>
      <c r="AL125" s="34">
        <f>IF(OR(AK125="",AD125=""),"",AK125-AD125)</f>
        <v>0</v>
      </c>
      <c r="AM125" s="31">
        <f>IF(A125="","",COUNTIFS('Job Tasks'!$B$5:$B$904,A125))</f>
        <v>0</v>
      </c>
      <c r="AN125" s="31">
        <f>IF(A125="","",COUNTIFS('Job Tasks'!$B$5:$B$904,A125,'Job Tasks'!$H$5:$H$904,"Done"))</f>
        <v>0</v>
      </c>
      <c r="AO125" s="38">
        <f>IF(OR(A125="",AM125=0),"",AN125/AM125)</f>
        <v>0</v>
      </c>
      <c r="AP125" s="43">
        <f>IF(A125="","",IFERROR(INDEX('Invoice Lines'!$B$5:$B$804,MATCH(A125,'Invoice Lines'!$C$5:$C$804,0)),""))</f>
        <v>0</v>
      </c>
      <c r="AQ125" s="18">
        <f>IF(OR(G125="",B125="",X125&lt;&gt;"Yes"),"",IF(IFERROR(INDEX(FreqDays,MATCH(O125,FreqNames,0)),0)=0,"",B125+IFERROR(INDEX(FreqDays,MATCH(O125,FreqNames,0)),0)))</f>
        <v>0</v>
      </c>
      <c r="AR125" s="39">
        <f>IF(G125="","",IF(R125="","Unassigned",IF(COUNTIFS($R$5:$R$604,R125,$B$5:$B$604,B125,$F$5:$F$604,F125)&gt;1,"Clash",IF(SUMIFS($AF$5:$AF$604,$R$5:$R$604,R125,$B$5:$B$604,B125)&gt;ProductiveHours,"Long day","OK"))))</f>
        <v>0</v>
      </c>
      <c r="AS125" s="18">
        <f>IF(OR(G125="",B125=""),"",IF(AND(B125&gt;=TodayDate,P125&lt;&gt;"Cancelled"),B125,""))</f>
        <v>0</v>
      </c>
      <c r="AT125" s="31">
        <f>IF(AS125="","",COUNTIFS($AS$5:$AS$604,"&lt;"&amp;AS125)+COUNTIFS($AS$5:AS125,AS125))</f>
        <v>0</v>
      </c>
      <c r="AU125" s="18">
        <f>IF(OR(G125="",B125="",R125&lt;&gt;""),"",IF(AND(B125&gt;=TodayDate,P125&lt;&gt;"Cancelled"),B125,""))</f>
        <v>0</v>
      </c>
      <c r="AV125" s="31">
        <f>IF(AU125="","",COUNTIFS($AU$5:$AU$604,"&lt;"&amp;AU125)+COUNTIFS($AU$5:AU125,AU125))</f>
        <v>0</v>
      </c>
      <c r="AW125" s="31">
        <f>IF(OR(G125="",B125=""),"",B125-TodayDate)</f>
        <v>0</v>
      </c>
      <c r="AX125" s="39">
        <f>IF(G125="","",IF(P125="Cancelled","Cancelled",IF(P125="No access","Action - no access, rebook",IF(AND(B125&lt;&gt;"",AW125&lt;0,OR(P125="Booked",P125="Confirmed",P125="In progress")),"Late - mark it completed",IF(AND(P125="Completed",AP125=""),"Action - not invoiced yet",IF(AND(AW125&gt;=0,AW125&lt;=ReminderDays,Y125&lt;&gt;"Yes"),"Confirm - visit coming up",IF(R125="","Assign - no cleaner booked",IF(AND(P125="Completed",AO125&lt;&gt;"",AO125&lt;1),"Check - checklist unfinished","OK"))))))))</f>
        <v>0</v>
      </c>
    </row>
    <row r="126" spans="1:50">
      <c r="A126" s="43">
        <f>IF(G126="","",JobPrefix&amp;TEXT(ROW()-4,"0000"))</f>
        <v>0</v>
      </c>
      <c r="B126" s="46">
        <v>46332</v>
      </c>
      <c r="C126" s="23">
        <f>IF(B126="","",TEXT(B126,"ddd"))</f>
        <v>0</v>
      </c>
      <c r="D126" s="31">
        <f>IF(B126="","",WEEKNUM(B126,IF(WeekStart="Sunday",1,2)))</f>
        <v>0</v>
      </c>
      <c r="E126" s="23">
        <f>IF(B126="","",TEXT(B126,"yyyy-mm"))</f>
        <v>0</v>
      </c>
      <c r="F126" s="52">
        <v>0.729166666666667</v>
      </c>
      <c r="G126" s="49" t="s">
        <v>800</v>
      </c>
      <c r="H126" s="23">
        <f>IF(G126="","",IFERROR(INDEX(Clients!$B$5:$B$204,MATCH(G126,Clients!$A$5:$A$204,0)),"Not found"))</f>
        <v>0</v>
      </c>
      <c r="I126" s="23">
        <f>IF(G126="","",IFERROR(INDEX(Clients!$C$5:$C$204,MATCH(G126,Clients!$A$5:$A$204,0)),""))</f>
        <v>0</v>
      </c>
      <c r="J126" s="49" t="s">
        <v>1140</v>
      </c>
      <c r="K126" s="23">
        <f>IF(J126="","",IFERROR(INDEX(Properties!$B$5:$B$254,MATCH(J126,Properties!$A$5:$A$254,0)),""))</f>
        <v>0</v>
      </c>
      <c r="L126" s="23">
        <f>IF(J126="","",IFERROR(INDEX(Properties!$F$5:$F$254,MATCH(J126,Properties!$A$5:$A$254,0)),""))</f>
        <v>0</v>
      </c>
      <c r="M126" s="15" t="s">
        <v>803</v>
      </c>
      <c r="N126" s="15" t="s">
        <v>1133</v>
      </c>
      <c r="O126" s="15" t="s">
        <v>451</v>
      </c>
      <c r="P126" s="45" t="s">
        <v>1163</v>
      </c>
      <c r="Q126" s="15" t="s">
        <v>448</v>
      </c>
      <c r="R126" s="15" t="s">
        <v>639</v>
      </c>
      <c r="S126" s="15" t="s">
        <v>664</v>
      </c>
      <c r="T126" s="16">
        <v>2</v>
      </c>
      <c r="W126" s="17">
        <v>9.2</v>
      </c>
      <c r="X126" s="47" t="s">
        <v>454</v>
      </c>
      <c r="Y126" s="47" t="s">
        <v>457</v>
      </c>
      <c r="AA126" s="47" t="s">
        <v>172</v>
      </c>
      <c r="AB126" s="44" t="s">
        <v>172</v>
      </c>
      <c r="AC126" s="44" t="s">
        <v>172</v>
      </c>
      <c r="AD126" s="34">
        <f>IF(G126="","",IF(U126&lt;&gt;"",U126,IF(AND(IFERROR(INDEX(Services!$D$5:$D$64,MATCH(M126,Services!$B$5:$B$64,0)),"")="Per hour",IFERROR(INDEX(Properties!$X$5:$X$254,MATCH(J126,Properties!$A$5:$A$254,0)),0)&gt;0),IFERROR(INDEX(Properties!$X$5:$X$254,MATCH(J126,Properties!$A$5:$A$254,0)),0),IF(IFERROR(INDEX(Services!$G$5:$G$64,MATCH(M126,Services!$B$5:$B$64,0)),0)&gt;0,IFERROR(INDEX(Services!$G$5:$G$64,MATCH(M126,Services!$B$5:$B$64,0)),0),IFERROR(INDEX(Properties!$X$5:$X$254,MATCH(J126,Properties!$A$5:$A$254,0)),0)))))</f>
        <v>0</v>
      </c>
      <c r="AE126" s="31">
        <f>IF(G126="","",IF(T126="",CleanersPerJob,MAX(1,T126)))</f>
        <v>0</v>
      </c>
      <c r="AF126" s="34">
        <f>IF(G126="","",ROUND(AD126/AE126,2))</f>
        <v>0</v>
      </c>
      <c r="AG126" s="53">
        <f>IF(OR(G126="",F126="",AF126=""),"",F126+AF126/24)</f>
        <v>0</v>
      </c>
      <c r="AH126" s="21">
        <f>IF(G126="","",IF(IFERROR(INDEX(Clients!$O$5:$O$204,MATCH(G126,Clients!$A$5:$A$204,0)),0)&gt;0,IFERROR(INDEX(Clients!$O$5:$O$204,MATCH(G126,Clients!$A$5:$A$204,0)),0),HourlyRate))</f>
        <v>0</v>
      </c>
      <c r="AI126" s="21">
        <f>IF(G126="","",IF(AND(M126&lt;&gt;"",IFERROR(INDEX(Services!$P$5:$P$64,MATCH(M126,Services!$B$5:$B$64,0)),0)&gt;0,IFERROR(INDEX(Services!$D$5:$D$64,MATCH(M126,Services!$B$5:$B$64,0)),"")&lt;&gt;"Per hour"),IFERROR(INDEX(Services!$P$5:$P$64,MATCH(M126,Services!$B$5:$B$64,0)),0),AD126*AH126))</f>
        <v>0</v>
      </c>
      <c r="AJ126" s="21">
        <f>IF(G126="","",IF(V126&lt;&gt;"",V126,IF(P126="Cancelled",0,MAX(MinimumCharge,ROUND(AI126*IFERROR(INDEX(FreqFactors,MATCH(O126,FreqNames,0)),1),2)))))</f>
        <v>0</v>
      </c>
      <c r="AK126" s="34">
        <f>IF(G126="","",IF(SUMIFS(Timesheets!$U$5:$U$804,Timesheets!$G$5:$G$804,A126)&gt;0,SUMIFS(Timesheets!$U$5:$U$804,Timesheets!$G$5:$G$804,A126),IF(Z126="","",Z126)))</f>
        <v>0</v>
      </c>
      <c r="AL126" s="34">
        <f>IF(OR(AK126="",AD126=""),"",AK126-AD126)</f>
        <v>0</v>
      </c>
      <c r="AM126" s="31">
        <f>IF(A126="","",COUNTIFS('Job Tasks'!$B$5:$B$904,A126))</f>
        <v>0</v>
      </c>
      <c r="AN126" s="31">
        <f>IF(A126="","",COUNTIFS('Job Tasks'!$B$5:$B$904,A126,'Job Tasks'!$H$5:$H$904,"Done"))</f>
        <v>0</v>
      </c>
      <c r="AO126" s="38">
        <f>IF(OR(A126="",AM126=0),"",AN126/AM126)</f>
        <v>0</v>
      </c>
      <c r="AP126" s="43">
        <f>IF(A126="","",IFERROR(INDEX('Invoice Lines'!$B$5:$B$804,MATCH(A126,'Invoice Lines'!$C$5:$C$804,0)),""))</f>
        <v>0</v>
      </c>
      <c r="AQ126" s="18">
        <f>IF(OR(G126="",B126="",X126&lt;&gt;"Yes"),"",IF(IFERROR(INDEX(FreqDays,MATCH(O126,FreqNames,0)),0)=0,"",B126+IFERROR(INDEX(FreqDays,MATCH(O126,FreqNames,0)),0)))</f>
        <v>0</v>
      </c>
      <c r="AR126" s="39">
        <f>IF(G126="","",IF(R126="","Unassigned",IF(COUNTIFS($R$5:$R$604,R126,$B$5:$B$604,B126,$F$5:$F$604,F126)&gt;1,"Clash",IF(SUMIFS($AF$5:$AF$604,$R$5:$R$604,R126,$B$5:$B$604,B126)&gt;ProductiveHours,"Long day","OK"))))</f>
        <v>0</v>
      </c>
      <c r="AS126" s="18">
        <f>IF(OR(G126="",B126=""),"",IF(AND(B126&gt;=TodayDate,P126&lt;&gt;"Cancelled"),B126,""))</f>
        <v>0</v>
      </c>
      <c r="AT126" s="31">
        <f>IF(AS126="","",COUNTIFS($AS$5:$AS$604,"&lt;"&amp;AS126)+COUNTIFS($AS$5:AS126,AS126))</f>
        <v>0</v>
      </c>
      <c r="AU126" s="18">
        <f>IF(OR(G126="",B126="",R126&lt;&gt;""),"",IF(AND(B126&gt;=TodayDate,P126&lt;&gt;"Cancelled"),B126,""))</f>
        <v>0</v>
      </c>
      <c r="AV126" s="31">
        <f>IF(AU126="","",COUNTIFS($AU$5:$AU$604,"&lt;"&amp;AU126)+COUNTIFS($AU$5:AU126,AU126))</f>
        <v>0</v>
      </c>
      <c r="AW126" s="31">
        <f>IF(OR(G126="",B126=""),"",B126-TodayDate)</f>
        <v>0</v>
      </c>
      <c r="AX126" s="39">
        <f>IF(G126="","",IF(P126="Cancelled","Cancelled",IF(P126="No access","Action - no access, rebook",IF(AND(B126&lt;&gt;"",AW126&lt;0,OR(P126="Booked",P126="Confirmed",P126="In progress")),"Late - mark it completed",IF(AND(P126="Completed",AP126=""),"Action - not invoiced yet",IF(AND(AW126&gt;=0,AW126&lt;=ReminderDays,Y126&lt;&gt;"Yes"),"Confirm - visit coming up",IF(R126="","Assign - no cleaner booked",IF(AND(P126="Completed",AO126&lt;&gt;"",AO126&lt;1),"Check - checklist unfinished","OK"))))))))</f>
        <v>0</v>
      </c>
    </row>
    <row r="127" spans="1:50">
      <c r="A127" s="43">
        <f>IF(G127="","",JobPrefix&amp;TEXT(ROW()-4,"0000"))</f>
        <v>0</v>
      </c>
      <c r="B127" s="46">
        <v>46332</v>
      </c>
      <c r="C127" s="23">
        <f>IF(B127="","",TEXT(B127,"ddd"))</f>
        <v>0</v>
      </c>
      <c r="D127" s="31">
        <f>IF(B127="","",WEEKNUM(B127,IF(WeekStart="Sunday",1,2)))</f>
        <v>0</v>
      </c>
      <c r="E127" s="23">
        <f>IF(B127="","",TEXT(B127,"yyyy-mm"))</f>
        <v>0</v>
      </c>
      <c r="F127" s="52">
        <v>0.75</v>
      </c>
      <c r="G127" s="49" t="s">
        <v>764</v>
      </c>
      <c r="H127" s="23">
        <f>IF(G127="","",IFERROR(INDEX(Clients!$B$5:$B$204,MATCH(G127,Clients!$A$5:$A$204,0)),"Not found"))</f>
        <v>0</v>
      </c>
      <c r="I127" s="23">
        <f>IF(G127="","",IFERROR(INDEX(Clients!$C$5:$C$204,MATCH(G127,Clients!$A$5:$A$204,0)),""))</f>
        <v>0</v>
      </c>
      <c r="J127" s="49" t="s">
        <v>1141</v>
      </c>
      <c r="K127" s="23">
        <f>IF(J127="","",IFERROR(INDEX(Properties!$B$5:$B$254,MATCH(J127,Properties!$A$5:$A$254,0)),""))</f>
        <v>0</v>
      </c>
      <c r="L127" s="23">
        <f>IF(J127="","",IFERROR(INDEX(Properties!$F$5:$F$254,MATCH(J127,Properties!$A$5:$A$254,0)),""))</f>
        <v>0</v>
      </c>
      <c r="M127" s="15" t="s">
        <v>770</v>
      </c>
      <c r="N127" s="15" t="s">
        <v>1133</v>
      </c>
      <c r="O127" s="15" t="s">
        <v>451</v>
      </c>
      <c r="P127" s="45" t="s">
        <v>1163</v>
      </c>
      <c r="Q127" s="15" t="s">
        <v>448</v>
      </c>
      <c r="R127" s="15" t="s">
        <v>608</v>
      </c>
      <c r="S127" s="15" t="s">
        <v>172</v>
      </c>
      <c r="T127" s="16">
        <v>1</v>
      </c>
      <c r="W127" s="17">
        <v>6.2</v>
      </c>
      <c r="X127" s="47" t="s">
        <v>454</v>
      </c>
      <c r="Y127" s="47" t="s">
        <v>457</v>
      </c>
      <c r="AA127" s="47" t="s">
        <v>172</v>
      </c>
      <c r="AB127" s="44" t="s">
        <v>172</v>
      </c>
      <c r="AC127" s="44" t="s">
        <v>172</v>
      </c>
      <c r="AD127" s="34">
        <f>IF(G127="","",IF(U127&lt;&gt;"",U127,IF(AND(IFERROR(INDEX(Services!$D$5:$D$64,MATCH(M127,Services!$B$5:$B$64,0)),"")="Per hour",IFERROR(INDEX(Properties!$X$5:$X$254,MATCH(J127,Properties!$A$5:$A$254,0)),0)&gt;0),IFERROR(INDEX(Properties!$X$5:$X$254,MATCH(J127,Properties!$A$5:$A$254,0)),0),IF(IFERROR(INDEX(Services!$G$5:$G$64,MATCH(M127,Services!$B$5:$B$64,0)),0)&gt;0,IFERROR(INDEX(Services!$G$5:$G$64,MATCH(M127,Services!$B$5:$B$64,0)),0),IFERROR(INDEX(Properties!$X$5:$X$254,MATCH(J127,Properties!$A$5:$A$254,0)),0)))))</f>
        <v>0</v>
      </c>
      <c r="AE127" s="31">
        <f>IF(G127="","",IF(T127="",CleanersPerJob,MAX(1,T127)))</f>
        <v>0</v>
      </c>
      <c r="AF127" s="34">
        <f>IF(G127="","",ROUND(AD127/AE127,2))</f>
        <v>0</v>
      </c>
      <c r="AG127" s="53">
        <f>IF(OR(G127="",F127="",AF127=""),"",F127+AF127/24)</f>
        <v>0</v>
      </c>
      <c r="AH127" s="21">
        <f>IF(G127="","",IF(IFERROR(INDEX(Clients!$O$5:$O$204,MATCH(G127,Clients!$A$5:$A$204,0)),0)&gt;0,IFERROR(INDEX(Clients!$O$5:$O$204,MATCH(G127,Clients!$A$5:$A$204,0)),0),HourlyRate))</f>
        <v>0</v>
      </c>
      <c r="AI127" s="21">
        <f>IF(G127="","",IF(AND(M127&lt;&gt;"",IFERROR(INDEX(Services!$P$5:$P$64,MATCH(M127,Services!$B$5:$B$64,0)),0)&gt;0,IFERROR(INDEX(Services!$D$5:$D$64,MATCH(M127,Services!$B$5:$B$64,0)),"")&lt;&gt;"Per hour"),IFERROR(INDEX(Services!$P$5:$P$64,MATCH(M127,Services!$B$5:$B$64,0)),0),AD127*AH127))</f>
        <v>0</v>
      </c>
      <c r="AJ127" s="21">
        <f>IF(G127="","",IF(V127&lt;&gt;"",V127,IF(P127="Cancelled",0,MAX(MinimumCharge,ROUND(AI127*IFERROR(INDEX(FreqFactors,MATCH(O127,FreqNames,0)),1),2)))))</f>
        <v>0</v>
      </c>
      <c r="AK127" s="34">
        <f>IF(G127="","",IF(SUMIFS(Timesheets!$U$5:$U$804,Timesheets!$G$5:$G$804,A127)&gt;0,SUMIFS(Timesheets!$U$5:$U$804,Timesheets!$G$5:$G$804,A127),IF(Z127="","",Z127)))</f>
        <v>0</v>
      </c>
      <c r="AL127" s="34">
        <f>IF(OR(AK127="",AD127=""),"",AK127-AD127)</f>
        <v>0</v>
      </c>
      <c r="AM127" s="31">
        <f>IF(A127="","",COUNTIFS('Job Tasks'!$B$5:$B$904,A127))</f>
        <v>0</v>
      </c>
      <c r="AN127" s="31">
        <f>IF(A127="","",COUNTIFS('Job Tasks'!$B$5:$B$904,A127,'Job Tasks'!$H$5:$H$904,"Done"))</f>
        <v>0</v>
      </c>
      <c r="AO127" s="38">
        <f>IF(OR(A127="",AM127=0),"",AN127/AM127)</f>
        <v>0</v>
      </c>
      <c r="AP127" s="43">
        <f>IF(A127="","",IFERROR(INDEX('Invoice Lines'!$B$5:$B$804,MATCH(A127,'Invoice Lines'!$C$5:$C$804,0)),""))</f>
        <v>0</v>
      </c>
      <c r="AQ127" s="18">
        <f>IF(OR(G127="",B127="",X127&lt;&gt;"Yes"),"",IF(IFERROR(INDEX(FreqDays,MATCH(O127,FreqNames,0)),0)=0,"",B127+IFERROR(INDEX(FreqDays,MATCH(O127,FreqNames,0)),0)))</f>
        <v>0</v>
      </c>
      <c r="AR127" s="39">
        <f>IF(G127="","",IF(R127="","Unassigned",IF(COUNTIFS($R$5:$R$604,R127,$B$5:$B$604,B127,$F$5:$F$604,F127)&gt;1,"Clash",IF(SUMIFS($AF$5:$AF$604,$R$5:$R$604,R127,$B$5:$B$604,B127)&gt;ProductiveHours,"Long day","OK"))))</f>
        <v>0</v>
      </c>
      <c r="AS127" s="18">
        <f>IF(OR(G127="",B127=""),"",IF(AND(B127&gt;=TodayDate,P127&lt;&gt;"Cancelled"),B127,""))</f>
        <v>0</v>
      </c>
      <c r="AT127" s="31">
        <f>IF(AS127="","",COUNTIFS($AS$5:$AS$604,"&lt;"&amp;AS127)+COUNTIFS($AS$5:AS127,AS127))</f>
        <v>0</v>
      </c>
      <c r="AU127" s="18">
        <f>IF(OR(G127="",B127="",R127&lt;&gt;""),"",IF(AND(B127&gt;=TodayDate,P127&lt;&gt;"Cancelled"),B127,""))</f>
        <v>0</v>
      </c>
      <c r="AV127" s="31">
        <f>IF(AU127="","",COUNTIFS($AU$5:$AU$604,"&lt;"&amp;AU127)+COUNTIFS($AU$5:AU127,AU127))</f>
        <v>0</v>
      </c>
      <c r="AW127" s="31">
        <f>IF(OR(G127="",B127=""),"",B127-TodayDate)</f>
        <v>0</v>
      </c>
      <c r="AX127" s="39">
        <f>IF(G127="","",IF(P127="Cancelled","Cancelled",IF(P127="No access","Action - no access, rebook",IF(AND(B127&lt;&gt;"",AW127&lt;0,OR(P127="Booked",P127="Confirmed",P127="In progress")),"Late - mark it completed",IF(AND(P127="Completed",AP127=""),"Action - not invoiced yet",IF(AND(AW127&gt;=0,AW127&lt;=ReminderDays,Y127&lt;&gt;"Yes"),"Confirm - visit coming up",IF(R127="","Assign - no cleaner booked",IF(AND(P127="Completed",AO127&lt;&gt;"",AO127&lt;1),"Check - checklist unfinished","OK"))))))))</f>
        <v>0</v>
      </c>
    </row>
    <row r="128" spans="1:50">
      <c r="A128" s="43">
        <f>IF(G128="","",JobPrefix&amp;TEXT(ROW()-4,"0000"))</f>
        <v>0</v>
      </c>
      <c r="B128" s="46">
        <v>46332</v>
      </c>
      <c r="C128" s="23">
        <f>IF(B128="","",TEXT(B128,"ddd"))</f>
        <v>0</v>
      </c>
      <c r="D128" s="31">
        <f>IF(B128="","",WEEKNUM(B128,IF(WeekStart="Sunday",1,2)))</f>
        <v>0</v>
      </c>
      <c r="E128" s="23">
        <f>IF(B128="","",TEXT(B128,"yyyy-mm"))</f>
        <v>0</v>
      </c>
      <c r="F128" s="52">
        <v>0.833333333333333</v>
      </c>
      <c r="G128" s="49" t="s">
        <v>848</v>
      </c>
      <c r="H128" s="23">
        <f>IF(G128="","",IFERROR(INDEX(Clients!$B$5:$B$204,MATCH(G128,Clients!$A$5:$A$204,0)),"Not found"))</f>
        <v>0</v>
      </c>
      <c r="I128" s="23">
        <f>IF(G128="","",IFERROR(INDEX(Clients!$C$5:$C$204,MATCH(G128,Clients!$A$5:$A$204,0)),""))</f>
        <v>0</v>
      </c>
      <c r="J128" s="49" t="s">
        <v>1142</v>
      </c>
      <c r="K128" s="23">
        <f>IF(J128="","",IFERROR(INDEX(Properties!$B$5:$B$254,MATCH(J128,Properties!$A$5:$A$254,0)),""))</f>
        <v>0</v>
      </c>
      <c r="L128" s="23">
        <f>IF(J128="","",IFERROR(INDEX(Properties!$F$5:$F$254,MATCH(J128,Properties!$A$5:$A$254,0)),""))</f>
        <v>0</v>
      </c>
      <c r="M128" s="15" t="s">
        <v>770</v>
      </c>
      <c r="N128" s="15" t="s">
        <v>1133</v>
      </c>
      <c r="O128" s="15" t="s">
        <v>451</v>
      </c>
      <c r="P128" s="45" t="s">
        <v>1163</v>
      </c>
      <c r="Q128" s="15" t="s">
        <v>448</v>
      </c>
      <c r="R128" s="15" t="s">
        <v>608</v>
      </c>
      <c r="S128" s="15" t="s">
        <v>172</v>
      </c>
      <c r="T128" s="16">
        <v>1</v>
      </c>
      <c r="W128" s="17">
        <v>4.4</v>
      </c>
      <c r="X128" s="47" t="s">
        <v>454</v>
      </c>
      <c r="Y128" s="47" t="s">
        <v>457</v>
      </c>
      <c r="AA128" s="47" t="s">
        <v>172</v>
      </c>
      <c r="AB128" s="44" t="s">
        <v>172</v>
      </c>
      <c r="AC128" s="44" t="s">
        <v>172</v>
      </c>
      <c r="AD128" s="34">
        <f>IF(G128="","",IF(U128&lt;&gt;"",U128,IF(AND(IFERROR(INDEX(Services!$D$5:$D$64,MATCH(M128,Services!$B$5:$B$64,0)),"")="Per hour",IFERROR(INDEX(Properties!$X$5:$X$254,MATCH(J128,Properties!$A$5:$A$254,0)),0)&gt;0),IFERROR(INDEX(Properties!$X$5:$X$254,MATCH(J128,Properties!$A$5:$A$254,0)),0),IF(IFERROR(INDEX(Services!$G$5:$G$64,MATCH(M128,Services!$B$5:$B$64,0)),0)&gt;0,IFERROR(INDEX(Services!$G$5:$G$64,MATCH(M128,Services!$B$5:$B$64,0)),0),IFERROR(INDEX(Properties!$X$5:$X$254,MATCH(J128,Properties!$A$5:$A$254,0)),0)))))</f>
        <v>0</v>
      </c>
      <c r="AE128" s="31">
        <f>IF(G128="","",IF(T128="",CleanersPerJob,MAX(1,T128)))</f>
        <v>0</v>
      </c>
      <c r="AF128" s="34">
        <f>IF(G128="","",ROUND(AD128/AE128,2))</f>
        <v>0</v>
      </c>
      <c r="AG128" s="53">
        <f>IF(OR(G128="",F128="",AF128=""),"",F128+AF128/24)</f>
        <v>0</v>
      </c>
      <c r="AH128" s="21">
        <f>IF(G128="","",IF(IFERROR(INDEX(Clients!$O$5:$O$204,MATCH(G128,Clients!$A$5:$A$204,0)),0)&gt;0,IFERROR(INDEX(Clients!$O$5:$O$204,MATCH(G128,Clients!$A$5:$A$204,0)),0),HourlyRate))</f>
        <v>0</v>
      </c>
      <c r="AI128" s="21">
        <f>IF(G128="","",IF(AND(M128&lt;&gt;"",IFERROR(INDEX(Services!$P$5:$P$64,MATCH(M128,Services!$B$5:$B$64,0)),0)&gt;0,IFERROR(INDEX(Services!$D$5:$D$64,MATCH(M128,Services!$B$5:$B$64,0)),"")&lt;&gt;"Per hour"),IFERROR(INDEX(Services!$P$5:$P$64,MATCH(M128,Services!$B$5:$B$64,0)),0),AD128*AH128))</f>
        <v>0</v>
      </c>
      <c r="AJ128" s="21">
        <f>IF(G128="","",IF(V128&lt;&gt;"",V128,IF(P128="Cancelled",0,MAX(MinimumCharge,ROUND(AI128*IFERROR(INDEX(FreqFactors,MATCH(O128,FreqNames,0)),1),2)))))</f>
        <v>0</v>
      </c>
      <c r="AK128" s="34">
        <f>IF(G128="","",IF(SUMIFS(Timesheets!$U$5:$U$804,Timesheets!$G$5:$G$804,A128)&gt;0,SUMIFS(Timesheets!$U$5:$U$804,Timesheets!$G$5:$G$804,A128),IF(Z128="","",Z128)))</f>
        <v>0</v>
      </c>
      <c r="AL128" s="34">
        <f>IF(OR(AK128="",AD128=""),"",AK128-AD128)</f>
        <v>0</v>
      </c>
      <c r="AM128" s="31">
        <f>IF(A128="","",COUNTIFS('Job Tasks'!$B$5:$B$904,A128))</f>
        <v>0</v>
      </c>
      <c r="AN128" s="31">
        <f>IF(A128="","",COUNTIFS('Job Tasks'!$B$5:$B$904,A128,'Job Tasks'!$H$5:$H$904,"Done"))</f>
        <v>0</v>
      </c>
      <c r="AO128" s="38">
        <f>IF(OR(A128="",AM128=0),"",AN128/AM128)</f>
        <v>0</v>
      </c>
      <c r="AP128" s="43">
        <f>IF(A128="","",IFERROR(INDEX('Invoice Lines'!$B$5:$B$804,MATCH(A128,'Invoice Lines'!$C$5:$C$804,0)),""))</f>
        <v>0</v>
      </c>
      <c r="AQ128" s="18">
        <f>IF(OR(G128="",B128="",X128&lt;&gt;"Yes"),"",IF(IFERROR(INDEX(FreqDays,MATCH(O128,FreqNames,0)),0)=0,"",B128+IFERROR(INDEX(FreqDays,MATCH(O128,FreqNames,0)),0)))</f>
        <v>0</v>
      </c>
      <c r="AR128" s="39">
        <f>IF(G128="","",IF(R128="","Unassigned",IF(COUNTIFS($R$5:$R$604,R128,$B$5:$B$604,B128,$F$5:$F$604,F128)&gt;1,"Clash",IF(SUMIFS($AF$5:$AF$604,$R$5:$R$604,R128,$B$5:$B$604,B128)&gt;ProductiveHours,"Long day","OK"))))</f>
        <v>0</v>
      </c>
      <c r="AS128" s="18">
        <f>IF(OR(G128="",B128=""),"",IF(AND(B128&gt;=TodayDate,P128&lt;&gt;"Cancelled"),B128,""))</f>
        <v>0</v>
      </c>
      <c r="AT128" s="31">
        <f>IF(AS128="","",COUNTIFS($AS$5:$AS$604,"&lt;"&amp;AS128)+COUNTIFS($AS$5:AS128,AS128))</f>
        <v>0</v>
      </c>
      <c r="AU128" s="18">
        <f>IF(OR(G128="",B128="",R128&lt;&gt;""),"",IF(AND(B128&gt;=TodayDate,P128&lt;&gt;"Cancelled"),B128,""))</f>
        <v>0</v>
      </c>
      <c r="AV128" s="31">
        <f>IF(AU128="","",COUNTIFS($AU$5:$AU$604,"&lt;"&amp;AU128)+COUNTIFS($AU$5:AU128,AU128))</f>
        <v>0</v>
      </c>
      <c r="AW128" s="31">
        <f>IF(OR(G128="",B128=""),"",B128-TodayDate)</f>
        <v>0</v>
      </c>
      <c r="AX128" s="39">
        <f>IF(G128="","",IF(P128="Cancelled","Cancelled",IF(P128="No access","Action - no access, rebook",IF(AND(B128&lt;&gt;"",AW128&lt;0,OR(P128="Booked",P128="Confirmed",P128="In progress")),"Late - mark it completed",IF(AND(P128="Completed",AP128=""),"Action - not invoiced yet",IF(AND(AW128&gt;=0,AW128&lt;=ReminderDays,Y128&lt;&gt;"Yes"),"Confirm - visit coming up",IF(R128="","Assign - no cleaner booked",IF(AND(P128="Completed",AO128&lt;&gt;"",AO128&lt;1),"Check - checklist unfinished","OK"))))))))</f>
        <v>0</v>
      </c>
    </row>
    <row r="129" spans="1:50">
      <c r="A129" s="43">
        <f>IF(G129="","",JobPrefix&amp;TEXT(ROW()-4,"0000"))</f>
        <v>0</v>
      </c>
      <c r="B129" s="46">
        <v>46333</v>
      </c>
      <c r="C129" s="23">
        <f>IF(B129="","",TEXT(B129,"ddd"))</f>
        <v>0</v>
      </c>
      <c r="D129" s="31">
        <f>IF(B129="","",WEEKNUM(B129,IF(WeekStart="Sunday",1,2)))</f>
        <v>0</v>
      </c>
      <c r="E129" s="23">
        <f>IF(B129="","",TEXT(B129,"yyyy-mm"))</f>
        <v>0</v>
      </c>
      <c r="F129" s="52">
        <v>0.458333333333333</v>
      </c>
      <c r="G129" s="49" t="s">
        <v>818</v>
      </c>
      <c r="H129" s="23">
        <f>IF(G129="","",IFERROR(INDEX(Clients!$B$5:$B$204,MATCH(G129,Clients!$A$5:$A$204,0)),"Not found"))</f>
        <v>0</v>
      </c>
      <c r="I129" s="23">
        <f>IF(G129="","",IFERROR(INDEX(Clients!$C$5:$C$204,MATCH(G129,Clients!$A$5:$A$204,0)),""))</f>
        <v>0</v>
      </c>
      <c r="J129" s="49" t="s">
        <v>1143</v>
      </c>
      <c r="K129" s="23">
        <f>IF(J129="","",IFERROR(INDEX(Properties!$B$5:$B$254,MATCH(J129,Properties!$A$5:$A$254,0)),""))</f>
        <v>0</v>
      </c>
      <c r="L129" s="23">
        <f>IF(J129="","",IFERROR(INDEX(Properties!$F$5:$F$254,MATCH(J129,Properties!$A$5:$A$254,0)),""))</f>
        <v>0</v>
      </c>
      <c r="M129" s="15" t="s">
        <v>821</v>
      </c>
      <c r="N129" s="15" t="s">
        <v>1133</v>
      </c>
      <c r="O129" s="15" t="s">
        <v>451</v>
      </c>
      <c r="P129" s="45" t="s">
        <v>1163</v>
      </c>
      <c r="Q129" s="15" t="s">
        <v>448</v>
      </c>
      <c r="R129" s="15" t="s">
        <v>596</v>
      </c>
      <c r="S129" s="15" t="s">
        <v>172</v>
      </c>
      <c r="T129" s="16">
        <v>1</v>
      </c>
      <c r="W129" s="17">
        <v>5.8</v>
      </c>
      <c r="X129" s="47" t="s">
        <v>454</v>
      </c>
      <c r="Y129" s="47" t="s">
        <v>457</v>
      </c>
      <c r="AA129" s="47" t="s">
        <v>172</v>
      </c>
      <c r="AB129" s="44" t="s">
        <v>172</v>
      </c>
      <c r="AC129" s="44" t="s">
        <v>172</v>
      </c>
      <c r="AD129" s="34">
        <f>IF(G129="","",IF(U129&lt;&gt;"",U129,IF(AND(IFERROR(INDEX(Services!$D$5:$D$64,MATCH(M129,Services!$B$5:$B$64,0)),"")="Per hour",IFERROR(INDEX(Properties!$X$5:$X$254,MATCH(J129,Properties!$A$5:$A$254,0)),0)&gt;0),IFERROR(INDEX(Properties!$X$5:$X$254,MATCH(J129,Properties!$A$5:$A$254,0)),0),IF(IFERROR(INDEX(Services!$G$5:$G$64,MATCH(M129,Services!$B$5:$B$64,0)),0)&gt;0,IFERROR(INDEX(Services!$G$5:$G$64,MATCH(M129,Services!$B$5:$B$64,0)),0),IFERROR(INDEX(Properties!$X$5:$X$254,MATCH(J129,Properties!$A$5:$A$254,0)),0)))))</f>
        <v>0</v>
      </c>
      <c r="AE129" s="31">
        <f>IF(G129="","",IF(T129="",CleanersPerJob,MAX(1,T129)))</f>
        <v>0</v>
      </c>
      <c r="AF129" s="34">
        <f>IF(G129="","",ROUND(AD129/AE129,2))</f>
        <v>0</v>
      </c>
      <c r="AG129" s="53">
        <f>IF(OR(G129="",F129="",AF129=""),"",F129+AF129/24)</f>
        <v>0</v>
      </c>
      <c r="AH129" s="21">
        <f>IF(G129="","",IF(IFERROR(INDEX(Clients!$O$5:$O$204,MATCH(G129,Clients!$A$5:$A$204,0)),0)&gt;0,IFERROR(INDEX(Clients!$O$5:$O$204,MATCH(G129,Clients!$A$5:$A$204,0)),0),HourlyRate))</f>
        <v>0</v>
      </c>
      <c r="AI129" s="21">
        <f>IF(G129="","",IF(AND(M129&lt;&gt;"",IFERROR(INDEX(Services!$P$5:$P$64,MATCH(M129,Services!$B$5:$B$64,0)),0)&gt;0,IFERROR(INDEX(Services!$D$5:$D$64,MATCH(M129,Services!$B$5:$B$64,0)),"")&lt;&gt;"Per hour"),IFERROR(INDEX(Services!$P$5:$P$64,MATCH(M129,Services!$B$5:$B$64,0)),0),AD129*AH129))</f>
        <v>0</v>
      </c>
      <c r="AJ129" s="21">
        <f>IF(G129="","",IF(V129&lt;&gt;"",V129,IF(P129="Cancelled",0,MAX(MinimumCharge,ROUND(AI129*IFERROR(INDEX(FreqFactors,MATCH(O129,FreqNames,0)),1),2)))))</f>
        <v>0</v>
      </c>
      <c r="AK129" s="34">
        <f>IF(G129="","",IF(SUMIFS(Timesheets!$U$5:$U$804,Timesheets!$G$5:$G$804,A129)&gt;0,SUMIFS(Timesheets!$U$5:$U$804,Timesheets!$G$5:$G$804,A129),IF(Z129="","",Z129)))</f>
        <v>0</v>
      </c>
      <c r="AL129" s="34">
        <f>IF(OR(AK129="",AD129=""),"",AK129-AD129)</f>
        <v>0</v>
      </c>
      <c r="AM129" s="31">
        <f>IF(A129="","",COUNTIFS('Job Tasks'!$B$5:$B$904,A129))</f>
        <v>0</v>
      </c>
      <c r="AN129" s="31">
        <f>IF(A129="","",COUNTIFS('Job Tasks'!$B$5:$B$904,A129,'Job Tasks'!$H$5:$H$904,"Done"))</f>
        <v>0</v>
      </c>
      <c r="AO129" s="38">
        <f>IF(OR(A129="",AM129=0),"",AN129/AM129)</f>
        <v>0</v>
      </c>
      <c r="AP129" s="43">
        <f>IF(A129="","",IFERROR(INDEX('Invoice Lines'!$B$5:$B$804,MATCH(A129,'Invoice Lines'!$C$5:$C$804,0)),""))</f>
        <v>0</v>
      </c>
      <c r="AQ129" s="18">
        <f>IF(OR(G129="",B129="",X129&lt;&gt;"Yes"),"",IF(IFERROR(INDEX(FreqDays,MATCH(O129,FreqNames,0)),0)=0,"",B129+IFERROR(INDEX(FreqDays,MATCH(O129,FreqNames,0)),0)))</f>
        <v>0</v>
      </c>
      <c r="AR129" s="39">
        <f>IF(G129="","",IF(R129="","Unassigned",IF(COUNTIFS($R$5:$R$604,R129,$B$5:$B$604,B129,$F$5:$F$604,F129)&gt;1,"Clash",IF(SUMIFS($AF$5:$AF$604,$R$5:$R$604,R129,$B$5:$B$604,B129)&gt;ProductiveHours,"Long day","OK"))))</f>
        <v>0</v>
      </c>
      <c r="AS129" s="18">
        <f>IF(OR(G129="",B129=""),"",IF(AND(B129&gt;=TodayDate,P129&lt;&gt;"Cancelled"),B129,""))</f>
        <v>0</v>
      </c>
      <c r="AT129" s="31">
        <f>IF(AS129="","",COUNTIFS($AS$5:$AS$604,"&lt;"&amp;AS129)+COUNTIFS($AS$5:AS129,AS129))</f>
        <v>0</v>
      </c>
      <c r="AU129" s="18">
        <f>IF(OR(G129="",B129="",R129&lt;&gt;""),"",IF(AND(B129&gt;=TodayDate,P129&lt;&gt;"Cancelled"),B129,""))</f>
        <v>0</v>
      </c>
      <c r="AV129" s="31">
        <f>IF(AU129="","",COUNTIFS($AU$5:$AU$604,"&lt;"&amp;AU129)+COUNTIFS($AU$5:AU129,AU129))</f>
        <v>0</v>
      </c>
      <c r="AW129" s="31">
        <f>IF(OR(G129="",B129=""),"",B129-TodayDate)</f>
        <v>0</v>
      </c>
      <c r="AX129" s="39">
        <f>IF(G129="","",IF(P129="Cancelled","Cancelled",IF(P129="No access","Action - no access, rebook",IF(AND(B129&lt;&gt;"",AW129&lt;0,OR(P129="Booked",P129="Confirmed",P129="In progress")),"Late - mark it completed",IF(AND(P129="Completed",AP129=""),"Action - not invoiced yet",IF(AND(AW129&gt;=0,AW129&lt;=ReminderDays,Y129&lt;&gt;"Yes"),"Confirm - visit coming up",IF(R129="","Assign - no cleaner booked",IF(AND(P129="Completed",AO129&lt;&gt;"",AO129&lt;1),"Check - checklist unfinished","OK"))))))))</f>
        <v>0</v>
      </c>
    </row>
    <row r="130" spans="1:50">
      <c r="A130" s="43">
        <f>IF(G130="","",JobPrefix&amp;TEXT(ROW()-4,"0000"))</f>
        <v>0</v>
      </c>
      <c r="B130" s="46">
        <v>46333</v>
      </c>
      <c r="C130" s="23">
        <f>IF(B130="","",TEXT(B130,"ddd"))</f>
        <v>0</v>
      </c>
      <c r="D130" s="31">
        <f>IF(B130="","",WEEKNUM(B130,IF(WeekStart="Sunday",1,2)))</f>
        <v>0</v>
      </c>
      <c r="E130" s="23">
        <f>IF(B130="","",TEXT(B130,"yyyy-mm"))</f>
        <v>0</v>
      </c>
      <c r="F130" s="52">
        <v>0.583333333333333</v>
      </c>
      <c r="G130" s="49" t="s">
        <v>818</v>
      </c>
      <c r="H130" s="23">
        <f>IF(G130="","",IFERROR(INDEX(Clients!$B$5:$B$204,MATCH(G130,Clients!$A$5:$A$204,0)),"Not found"))</f>
        <v>0</v>
      </c>
      <c r="I130" s="23">
        <f>IF(G130="","",IFERROR(INDEX(Clients!$C$5:$C$204,MATCH(G130,Clients!$A$5:$A$204,0)),""))</f>
        <v>0</v>
      </c>
      <c r="J130" s="49" t="s">
        <v>1144</v>
      </c>
      <c r="K130" s="23">
        <f>IF(J130="","",IFERROR(INDEX(Properties!$B$5:$B$254,MATCH(J130,Properties!$A$5:$A$254,0)),""))</f>
        <v>0</v>
      </c>
      <c r="L130" s="23">
        <f>IF(J130="","",IFERROR(INDEX(Properties!$F$5:$F$254,MATCH(J130,Properties!$A$5:$A$254,0)),""))</f>
        <v>0</v>
      </c>
      <c r="M130" s="15" t="s">
        <v>821</v>
      </c>
      <c r="N130" s="15" t="s">
        <v>1133</v>
      </c>
      <c r="O130" s="15" t="s">
        <v>451</v>
      </c>
      <c r="P130" s="45" t="s">
        <v>1163</v>
      </c>
      <c r="Q130" s="15" t="s">
        <v>448</v>
      </c>
      <c r="R130" s="15" t="s">
        <v>596</v>
      </c>
      <c r="S130" s="15" t="s">
        <v>172</v>
      </c>
      <c r="T130" s="16">
        <v>1</v>
      </c>
      <c r="W130" s="17">
        <v>6.8</v>
      </c>
      <c r="X130" s="47" t="s">
        <v>454</v>
      </c>
      <c r="Y130" s="47" t="s">
        <v>457</v>
      </c>
      <c r="AA130" s="47" t="s">
        <v>172</v>
      </c>
      <c r="AB130" s="44" t="s">
        <v>172</v>
      </c>
      <c r="AC130" s="44" t="s">
        <v>172</v>
      </c>
      <c r="AD130" s="34">
        <f>IF(G130="","",IF(U130&lt;&gt;"",U130,IF(AND(IFERROR(INDEX(Services!$D$5:$D$64,MATCH(M130,Services!$B$5:$B$64,0)),"")="Per hour",IFERROR(INDEX(Properties!$X$5:$X$254,MATCH(J130,Properties!$A$5:$A$254,0)),0)&gt;0),IFERROR(INDEX(Properties!$X$5:$X$254,MATCH(J130,Properties!$A$5:$A$254,0)),0),IF(IFERROR(INDEX(Services!$G$5:$G$64,MATCH(M130,Services!$B$5:$B$64,0)),0)&gt;0,IFERROR(INDEX(Services!$G$5:$G$64,MATCH(M130,Services!$B$5:$B$64,0)),0),IFERROR(INDEX(Properties!$X$5:$X$254,MATCH(J130,Properties!$A$5:$A$254,0)),0)))))</f>
        <v>0</v>
      </c>
      <c r="AE130" s="31">
        <f>IF(G130="","",IF(T130="",CleanersPerJob,MAX(1,T130)))</f>
        <v>0</v>
      </c>
      <c r="AF130" s="34">
        <f>IF(G130="","",ROUND(AD130/AE130,2))</f>
        <v>0</v>
      </c>
      <c r="AG130" s="53">
        <f>IF(OR(G130="",F130="",AF130=""),"",F130+AF130/24)</f>
        <v>0</v>
      </c>
      <c r="AH130" s="21">
        <f>IF(G130="","",IF(IFERROR(INDEX(Clients!$O$5:$O$204,MATCH(G130,Clients!$A$5:$A$204,0)),0)&gt;0,IFERROR(INDEX(Clients!$O$5:$O$204,MATCH(G130,Clients!$A$5:$A$204,0)),0),HourlyRate))</f>
        <v>0</v>
      </c>
      <c r="AI130" s="21">
        <f>IF(G130="","",IF(AND(M130&lt;&gt;"",IFERROR(INDEX(Services!$P$5:$P$64,MATCH(M130,Services!$B$5:$B$64,0)),0)&gt;0,IFERROR(INDEX(Services!$D$5:$D$64,MATCH(M130,Services!$B$5:$B$64,0)),"")&lt;&gt;"Per hour"),IFERROR(INDEX(Services!$P$5:$P$64,MATCH(M130,Services!$B$5:$B$64,0)),0),AD130*AH130))</f>
        <v>0</v>
      </c>
      <c r="AJ130" s="21">
        <f>IF(G130="","",IF(V130&lt;&gt;"",V130,IF(P130="Cancelled",0,MAX(MinimumCharge,ROUND(AI130*IFERROR(INDEX(FreqFactors,MATCH(O130,FreqNames,0)),1),2)))))</f>
        <v>0</v>
      </c>
      <c r="AK130" s="34">
        <f>IF(G130="","",IF(SUMIFS(Timesheets!$U$5:$U$804,Timesheets!$G$5:$G$804,A130)&gt;0,SUMIFS(Timesheets!$U$5:$U$804,Timesheets!$G$5:$G$804,A130),IF(Z130="","",Z130)))</f>
        <v>0</v>
      </c>
      <c r="AL130" s="34">
        <f>IF(OR(AK130="",AD130=""),"",AK130-AD130)</f>
        <v>0</v>
      </c>
      <c r="AM130" s="31">
        <f>IF(A130="","",COUNTIFS('Job Tasks'!$B$5:$B$904,A130))</f>
        <v>0</v>
      </c>
      <c r="AN130" s="31">
        <f>IF(A130="","",COUNTIFS('Job Tasks'!$B$5:$B$904,A130,'Job Tasks'!$H$5:$H$904,"Done"))</f>
        <v>0</v>
      </c>
      <c r="AO130" s="38">
        <f>IF(OR(A130="",AM130=0),"",AN130/AM130)</f>
        <v>0</v>
      </c>
      <c r="AP130" s="43">
        <f>IF(A130="","",IFERROR(INDEX('Invoice Lines'!$B$5:$B$804,MATCH(A130,'Invoice Lines'!$C$5:$C$804,0)),""))</f>
        <v>0</v>
      </c>
      <c r="AQ130" s="18">
        <f>IF(OR(G130="",B130="",X130&lt;&gt;"Yes"),"",IF(IFERROR(INDEX(FreqDays,MATCH(O130,FreqNames,0)),0)=0,"",B130+IFERROR(INDEX(FreqDays,MATCH(O130,FreqNames,0)),0)))</f>
        <v>0</v>
      </c>
      <c r="AR130" s="39">
        <f>IF(G130="","",IF(R130="","Unassigned",IF(COUNTIFS($R$5:$R$604,R130,$B$5:$B$604,B130,$F$5:$F$604,F130)&gt;1,"Clash",IF(SUMIFS($AF$5:$AF$604,$R$5:$R$604,R130,$B$5:$B$604,B130)&gt;ProductiveHours,"Long day","OK"))))</f>
        <v>0</v>
      </c>
      <c r="AS130" s="18">
        <f>IF(OR(G130="",B130=""),"",IF(AND(B130&gt;=TodayDate,P130&lt;&gt;"Cancelled"),B130,""))</f>
        <v>0</v>
      </c>
      <c r="AT130" s="31">
        <f>IF(AS130="","",COUNTIFS($AS$5:$AS$604,"&lt;"&amp;AS130)+COUNTIFS($AS$5:AS130,AS130))</f>
        <v>0</v>
      </c>
      <c r="AU130" s="18">
        <f>IF(OR(G130="",B130="",R130&lt;&gt;""),"",IF(AND(B130&gt;=TodayDate,P130&lt;&gt;"Cancelled"),B130,""))</f>
        <v>0</v>
      </c>
      <c r="AV130" s="31">
        <f>IF(AU130="","",COUNTIFS($AU$5:$AU$604,"&lt;"&amp;AU130)+COUNTIFS($AU$5:AU130,AU130))</f>
        <v>0</v>
      </c>
      <c r="AW130" s="31">
        <f>IF(OR(G130="",B130=""),"",B130-TodayDate)</f>
        <v>0</v>
      </c>
      <c r="AX130" s="39">
        <f>IF(G130="","",IF(P130="Cancelled","Cancelled",IF(P130="No access","Action - no access, rebook",IF(AND(B130&lt;&gt;"",AW130&lt;0,OR(P130="Booked",P130="Confirmed",P130="In progress")),"Late - mark it completed",IF(AND(P130="Completed",AP130=""),"Action - not invoiced yet",IF(AND(AW130&gt;=0,AW130&lt;=ReminderDays,Y130&lt;&gt;"Yes"),"Confirm - visit coming up",IF(R130="","Assign - no cleaner booked",IF(AND(P130="Completed",AO130&lt;&gt;"",AO130&lt;1),"Check - checklist unfinished","OK"))))))))</f>
        <v>0</v>
      </c>
    </row>
    <row r="131" spans="1:50">
      <c r="A131" s="43">
        <f>IF(G131="","",JobPrefix&amp;TEXT(ROW()-4,"0000"))</f>
        <v>0</v>
      </c>
      <c r="B131" s="46">
        <v>46334</v>
      </c>
      <c r="C131" s="23">
        <f>IF(B131="","",TEXT(B131,"ddd"))</f>
        <v>0</v>
      </c>
      <c r="D131" s="31">
        <f>IF(B131="","",WEEKNUM(B131,IF(WeekStart="Sunday",1,2)))</f>
        <v>0</v>
      </c>
      <c r="E131" s="23">
        <f>IF(B131="","",TEXT(B131,"yyyy-mm"))</f>
        <v>0</v>
      </c>
      <c r="F131" s="52">
        <v>0.291666666666667</v>
      </c>
      <c r="G131" s="49" t="s">
        <v>793</v>
      </c>
      <c r="H131" s="23">
        <f>IF(G131="","",IFERROR(INDEX(Clients!$B$5:$B$204,MATCH(G131,Clients!$A$5:$A$204,0)),"Not found"))</f>
        <v>0</v>
      </c>
      <c r="I131" s="23">
        <f>IF(G131="","",IFERROR(INDEX(Clients!$C$5:$C$204,MATCH(G131,Clients!$A$5:$A$204,0)),""))</f>
        <v>0</v>
      </c>
      <c r="J131" s="49" t="s">
        <v>1145</v>
      </c>
      <c r="K131" s="23">
        <f>IF(J131="","",IFERROR(INDEX(Properties!$B$5:$B$254,MATCH(J131,Properties!$A$5:$A$254,0)),""))</f>
        <v>0</v>
      </c>
      <c r="L131" s="23">
        <f>IF(J131="","",IFERROR(INDEX(Properties!$F$5:$F$254,MATCH(J131,Properties!$A$5:$A$254,0)),""))</f>
        <v>0</v>
      </c>
      <c r="M131" s="15" t="s">
        <v>797</v>
      </c>
      <c r="N131" s="15" t="s">
        <v>1133</v>
      </c>
      <c r="O131" s="15" t="s">
        <v>451</v>
      </c>
      <c r="P131" s="45" t="s">
        <v>1163</v>
      </c>
      <c r="Q131" s="15" t="s">
        <v>448</v>
      </c>
      <c r="R131" s="15" t="s">
        <v>639</v>
      </c>
      <c r="S131" s="15" t="s">
        <v>172</v>
      </c>
      <c r="T131" s="16">
        <v>1</v>
      </c>
      <c r="W131" s="17">
        <v>10</v>
      </c>
      <c r="X131" s="47" t="s">
        <v>454</v>
      </c>
      <c r="Y131" s="47" t="s">
        <v>457</v>
      </c>
      <c r="AA131" s="47" t="s">
        <v>172</v>
      </c>
      <c r="AB131" s="44" t="s">
        <v>172</v>
      </c>
      <c r="AC131" s="44" t="s">
        <v>172</v>
      </c>
      <c r="AD131" s="34">
        <f>IF(G131="","",IF(U131&lt;&gt;"",U131,IF(AND(IFERROR(INDEX(Services!$D$5:$D$64,MATCH(M131,Services!$B$5:$B$64,0)),"")="Per hour",IFERROR(INDEX(Properties!$X$5:$X$254,MATCH(J131,Properties!$A$5:$A$254,0)),0)&gt;0),IFERROR(INDEX(Properties!$X$5:$X$254,MATCH(J131,Properties!$A$5:$A$254,0)),0),IF(IFERROR(INDEX(Services!$G$5:$G$64,MATCH(M131,Services!$B$5:$B$64,0)),0)&gt;0,IFERROR(INDEX(Services!$G$5:$G$64,MATCH(M131,Services!$B$5:$B$64,0)),0),IFERROR(INDEX(Properties!$X$5:$X$254,MATCH(J131,Properties!$A$5:$A$254,0)),0)))))</f>
        <v>0</v>
      </c>
      <c r="AE131" s="31">
        <f>IF(G131="","",IF(T131="",CleanersPerJob,MAX(1,T131)))</f>
        <v>0</v>
      </c>
      <c r="AF131" s="34">
        <f>IF(G131="","",ROUND(AD131/AE131,2))</f>
        <v>0</v>
      </c>
      <c r="AG131" s="53">
        <f>IF(OR(G131="",F131="",AF131=""),"",F131+AF131/24)</f>
        <v>0</v>
      </c>
      <c r="AH131" s="21">
        <f>IF(G131="","",IF(IFERROR(INDEX(Clients!$O$5:$O$204,MATCH(G131,Clients!$A$5:$A$204,0)),0)&gt;0,IFERROR(INDEX(Clients!$O$5:$O$204,MATCH(G131,Clients!$A$5:$A$204,0)),0),HourlyRate))</f>
        <v>0</v>
      </c>
      <c r="AI131" s="21">
        <f>IF(G131="","",IF(AND(M131&lt;&gt;"",IFERROR(INDEX(Services!$P$5:$P$64,MATCH(M131,Services!$B$5:$B$64,0)),0)&gt;0,IFERROR(INDEX(Services!$D$5:$D$64,MATCH(M131,Services!$B$5:$B$64,0)),"")&lt;&gt;"Per hour"),IFERROR(INDEX(Services!$P$5:$P$64,MATCH(M131,Services!$B$5:$B$64,0)),0),AD131*AH131))</f>
        <v>0</v>
      </c>
      <c r="AJ131" s="21">
        <f>IF(G131="","",IF(V131&lt;&gt;"",V131,IF(P131="Cancelled",0,MAX(MinimumCharge,ROUND(AI131*IFERROR(INDEX(FreqFactors,MATCH(O131,FreqNames,0)),1),2)))))</f>
        <v>0</v>
      </c>
      <c r="AK131" s="34">
        <f>IF(G131="","",IF(SUMIFS(Timesheets!$U$5:$U$804,Timesheets!$G$5:$G$804,A131)&gt;0,SUMIFS(Timesheets!$U$5:$U$804,Timesheets!$G$5:$G$804,A131),IF(Z131="","",Z131)))</f>
        <v>0</v>
      </c>
      <c r="AL131" s="34">
        <f>IF(OR(AK131="",AD131=""),"",AK131-AD131)</f>
        <v>0</v>
      </c>
      <c r="AM131" s="31">
        <f>IF(A131="","",COUNTIFS('Job Tasks'!$B$5:$B$904,A131))</f>
        <v>0</v>
      </c>
      <c r="AN131" s="31">
        <f>IF(A131="","",COUNTIFS('Job Tasks'!$B$5:$B$904,A131,'Job Tasks'!$H$5:$H$904,"Done"))</f>
        <v>0</v>
      </c>
      <c r="AO131" s="38">
        <f>IF(OR(A131="",AM131=0),"",AN131/AM131)</f>
        <v>0</v>
      </c>
      <c r="AP131" s="43">
        <f>IF(A131="","",IFERROR(INDEX('Invoice Lines'!$B$5:$B$804,MATCH(A131,'Invoice Lines'!$C$5:$C$804,0)),""))</f>
        <v>0</v>
      </c>
      <c r="AQ131" s="18">
        <f>IF(OR(G131="",B131="",X131&lt;&gt;"Yes"),"",IF(IFERROR(INDEX(FreqDays,MATCH(O131,FreqNames,0)),0)=0,"",B131+IFERROR(INDEX(FreqDays,MATCH(O131,FreqNames,0)),0)))</f>
        <v>0</v>
      </c>
      <c r="AR131" s="39">
        <f>IF(G131="","",IF(R131="","Unassigned",IF(COUNTIFS($R$5:$R$604,R131,$B$5:$B$604,B131,$F$5:$F$604,F131)&gt;1,"Clash",IF(SUMIFS($AF$5:$AF$604,$R$5:$R$604,R131,$B$5:$B$604,B131)&gt;ProductiveHours,"Long day","OK"))))</f>
        <v>0</v>
      </c>
      <c r="AS131" s="18">
        <f>IF(OR(G131="",B131=""),"",IF(AND(B131&gt;=TodayDate,P131&lt;&gt;"Cancelled"),B131,""))</f>
        <v>0</v>
      </c>
      <c r="AT131" s="31">
        <f>IF(AS131="","",COUNTIFS($AS$5:$AS$604,"&lt;"&amp;AS131)+COUNTIFS($AS$5:AS131,AS131))</f>
        <v>0</v>
      </c>
      <c r="AU131" s="18">
        <f>IF(OR(G131="",B131="",R131&lt;&gt;""),"",IF(AND(B131&gt;=TodayDate,P131&lt;&gt;"Cancelled"),B131,""))</f>
        <v>0</v>
      </c>
      <c r="AV131" s="31">
        <f>IF(AU131="","",COUNTIFS($AU$5:$AU$604,"&lt;"&amp;AU131)+COUNTIFS($AU$5:AU131,AU131))</f>
        <v>0</v>
      </c>
      <c r="AW131" s="31">
        <f>IF(OR(G131="",B131=""),"",B131-TodayDate)</f>
        <v>0</v>
      </c>
      <c r="AX131" s="39">
        <f>IF(G131="","",IF(P131="Cancelled","Cancelled",IF(P131="No access","Action - no access, rebook",IF(AND(B131&lt;&gt;"",AW131&lt;0,OR(P131="Booked",P131="Confirmed",P131="In progress")),"Late - mark it completed",IF(AND(P131="Completed",AP131=""),"Action - not invoiced yet",IF(AND(AW131&gt;=0,AW131&lt;=ReminderDays,Y131&lt;&gt;"Yes"),"Confirm - visit coming up",IF(R131="","Assign - no cleaner booked",IF(AND(P131="Completed",AO131&lt;&gt;"",AO131&lt;1),"Check - checklist unfinished","OK"))))))))</f>
        <v>0</v>
      </c>
    </row>
    <row r="132" spans="1:50">
      <c r="A132" s="43">
        <f>IF(G132="","",JobPrefix&amp;TEXT(ROW()-4,"0000"))</f>
        <v>0</v>
      </c>
      <c r="C132" s="23">
        <f>IF(B132="","",TEXT(B132,"ddd"))</f>
        <v>0</v>
      </c>
      <c r="D132" s="31">
        <f>IF(B132="","",WEEKNUM(B132,IF(WeekStart="Sunday",1,2)))</f>
        <v>0</v>
      </c>
      <c r="E132" s="23">
        <f>IF(B132="","",TEXT(B132,"yyyy-mm"))</f>
        <v>0</v>
      </c>
      <c r="H132" s="23">
        <f>IF(G132="","",IFERROR(INDEX(Clients!$B$5:$B$204,MATCH(G132,Clients!$A$5:$A$204,0)),"Not found"))</f>
        <v>0</v>
      </c>
      <c r="I132" s="23">
        <f>IF(G132="","",IFERROR(INDEX(Clients!$C$5:$C$204,MATCH(G132,Clients!$A$5:$A$204,0)),""))</f>
        <v>0</v>
      </c>
      <c r="K132" s="23">
        <f>IF(J132="","",IFERROR(INDEX(Properties!$B$5:$B$254,MATCH(J132,Properties!$A$5:$A$254,0)),""))</f>
        <v>0</v>
      </c>
      <c r="L132" s="23">
        <f>IF(J132="","",IFERROR(INDEX(Properties!$F$5:$F$254,MATCH(J132,Properties!$A$5:$A$254,0)),""))</f>
        <v>0</v>
      </c>
      <c r="AD132" s="34">
        <f>IF(G132="","",IF(U132&lt;&gt;"",U132,IF(AND(IFERROR(INDEX(Services!$D$5:$D$64,MATCH(M132,Services!$B$5:$B$64,0)),"")="Per hour",IFERROR(INDEX(Properties!$X$5:$X$254,MATCH(J132,Properties!$A$5:$A$254,0)),0)&gt;0),IFERROR(INDEX(Properties!$X$5:$X$254,MATCH(J132,Properties!$A$5:$A$254,0)),0),IF(IFERROR(INDEX(Services!$G$5:$G$64,MATCH(M132,Services!$B$5:$B$64,0)),0)&gt;0,IFERROR(INDEX(Services!$G$5:$G$64,MATCH(M132,Services!$B$5:$B$64,0)),0),IFERROR(INDEX(Properties!$X$5:$X$254,MATCH(J132,Properties!$A$5:$A$254,0)),0)))))</f>
        <v>0</v>
      </c>
      <c r="AE132" s="31">
        <f>IF(G132="","",IF(T132="",CleanersPerJob,MAX(1,T132)))</f>
        <v>0</v>
      </c>
      <c r="AF132" s="34">
        <f>IF(G132="","",ROUND(AD132/AE132,2))</f>
        <v>0</v>
      </c>
      <c r="AG132" s="53">
        <f>IF(OR(G132="",F132="",AF132=""),"",F132+AF132/24)</f>
        <v>0</v>
      </c>
      <c r="AH132" s="21">
        <f>IF(G132="","",IF(IFERROR(INDEX(Clients!$O$5:$O$204,MATCH(G132,Clients!$A$5:$A$204,0)),0)&gt;0,IFERROR(INDEX(Clients!$O$5:$O$204,MATCH(G132,Clients!$A$5:$A$204,0)),0),HourlyRate))</f>
        <v>0</v>
      </c>
      <c r="AI132" s="21">
        <f>IF(G132="","",IF(AND(M132&lt;&gt;"",IFERROR(INDEX(Services!$P$5:$P$64,MATCH(M132,Services!$B$5:$B$64,0)),0)&gt;0,IFERROR(INDEX(Services!$D$5:$D$64,MATCH(M132,Services!$B$5:$B$64,0)),"")&lt;&gt;"Per hour"),IFERROR(INDEX(Services!$P$5:$P$64,MATCH(M132,Services!$B$5:$B$64,0)),0),AD132*AH132))</f>
        <v>0</v>
      </c>
      <c r="AJ132" s="21">
        <f>IF(G132="","",IF(V132&lt;&gt;"",V132,IF(P132="Cancelled",0,MAX(MinimumCharge,ROUND(AI132*IFERROR(INDEX(FreqFactors,MATCH(O132,FreqNames,0)),1),2)))))</f>
        <v>0</v>
      </c>
      <c r="AK132" s="34">
        <f>IF(G132="","",IF(SUMIFS(Timesheets!$U$5:$U$804,Timesheets!$G$5:$G$804,A132)&gt;0,SUMIFS(Timesheets!$U$5:$U$804,Timesheets!$G$5:$G$804,A132),IF(Z132="","",Z132)))</f>
        <v>0</v>
      </c>
      <c r="AL132" s="34">
        <f>IF(OR(AK132="",AD132=""),"",AK132-AD132)</f>
        <v>0</v>
      </c>
      <c r="AM132" s="31">
        <f>IF(A132="","",COUNTIFS('Job Tasks'!$B$5:$B$904,A132))</f>
        <v>0</v>
      </c>
      <c r="AN132" s="31">
        <f>IF(A132="","",COUNTIFS('Job Tasks'!$B$5:$B$904,A132,'Job Tasks'!$H$5:$H$904,"Done"))</f>
        <v>0</v>
      </c>
      <c r="AO132" s="38">
        <f>IF(OR(A132="",AM132=0),"",AN132/AM132)</f>
        <v>0</v>
      </c>
      <c r="AP132" s="43">
        <f>IF(A132="","",IFERROR(INDEX('Invoice Lines'!$B$5:$B$804,MATCH(A132,'Invoice Lines'!$C$5:$C$804,0)),""))</f>
        <v>0</v>
      </c>
      <c r="AQ132" s="18">
        <f>IF(OR(G132="",B132="",X132&lt;&gt;"Yes"),"",IF(IFERROR(INDEX(FreqDays,MATCH(O132,FreqNames,0)),0)=0,"",B132+IFERROR(INDEX(FreqDays,MATCH(O132,FreqNames,0)),0)))</f>
        <v>0</v>
      </c>
      <c r="AR132" s="39">
        <f>IF(G132="","",IF(R132="","Unassigned",IF(COUNTIFS($R$5:$R$604,R132,$B$5:$B$604,B132,$F$5:$F$604,F132)&gt;1,"Clash",IF(SUMIFS($AF$5:$AF$604,$R$5:$R$604,R132,$B$5:$B$604,B132)&gt;ProductiveHours,"Long day","OK"))))</f>
        <v>0</v>
      </c>
      <c r="AS132" s="18">
        <f>IF(OR(G132="",B132=""),"",IF(AND(B132&gt;=TodayDate,P132&lt;&gt;"Cancelled"),B132,""))</f>
        <v>0</v>
      </c>
      <c r="AT132" s="31">
        <f>IF(AS132="","",COUNTIFS($AS$5:$AS$604,"&lt;"&amp;AS132)+COUNTIFS($AS$5:AS132,AS132))</f>
        <v>0</v>
      </c>
      <c r="AU132" s="18">
        <f>IF(OR(G132="",B132="",R132&lt;&gt;""),"",IF(AND(B132&gt;=TodayDate,P132&lt;&gt;"Cancelled"),B132,""))</f>
        <v>0</v>
      </c>
      <c r="AV132" s="31">
        <f>IF(AU132="","",COUNTIFS($AU$5:$AU$604,"&lt;"&amp;AU132)+COUNTIFS($AU$5:AU132,AU132))</f>
        <v>0</v>
      </c>
      <c r="AW132" s="31">
        <f>IF(OR(G132="",B132=""),"",B132-TodayDate)</f>
        <v>0</v>
      </c>
      <c r="AX132" s="39">
        <f>IF(G132="","",IF(P132="Cancelled","Cancelled",IF(P132="No access","Action - no access, rebook",IF(AND(B132&lt;&gt;"",AW132&lt;0,OR(P132="Booked",P132="Confirmed",P132="In progress")),"Late - mark it completed",IF(AND(P132="Completed",AP132=""),"Action - not invoiced yet",IF(AND(AW132&gt;=0,AW132&lt;=ReminderDays,Y132&lt;&gt;"Yes"),"Confirm - visit coming up",IF(R132="","Assign - no cleaner booked",IF(AND(P132="Completed",AO132&lt;&gt;"",AO132&lt;1),"Check - checklist unfinished","OK"))))))))</f>
        <v>0</v>
      </c>
    </row>
    <row r="133" spans="1:50">
      <c r="A133" s="43">
        <f>IF(G133="","",JobPrefix&amp;TEXT(ROW()-4,"0000"))</f>
        <v>0</v>
      </c>
      <c r="C133" s="23">
        <f>IF(B133="","",TEXT(B133,"ddd"))</f>
        <v>0</v>
      </c>
      <c r="D133" s="31">
        <f>IF(B133="","",WEEKNUM(B133,IF(WeekStart="Sunday",1,2)))</f>
        <v>0</v>
      </c>
      <c r="E133" s="23">
        <f>IF(B133="","",TEXT(B133,"yyyy-mm"))</f>
        <v>0</v>
      </c>
      <c r="H133" s="23">
        <f>IF(G133="","",IFERROR(INDEX(Clients!$B$5:$B$204,MATCH(G133,Clients!$A$5:$A$204,0)),"Not found"))</f>
        <v>0</v>
      </c>
      <c r="I133" s="23">
        <f>IF(G133="","",IFERROR(INDEX(Clients!$C$5:$C$204,MATCH(G133,Clients!$A$5:$A$204,0)),""))</f>
        <v>0</v>
      </c>
      <c r="K133" s="23">
        <f>IF(J133="","",IFERROR(INDEX(Properties!$B$5:$B$254,MATCH(J133,Properties!$A$5:$A$254,0)),""))</f>
        <v>0</v>
      </c>
      <c r="L133" s="23">
        <f>IF(J133="","",IFERROR(INDEX(Properties!$F$5:$F$254,MATCH(J133,Properties!$A$5:$A$254,0)),""))</f>
        <v>0</v>
      </c>
      <c r="AD133" s="34">
        <f>IF(G133="","",IF(U133&lt;&gt;"",U133,IF(AND(IFERROR(INDEX(Services!$D$5:$D$64,MATCH(M133,Services!$B$5:$B$64,0)),"")="Per hour",IFERROR(INDEX(Properties!$X$5:$X$254,MATCH(J133,Properties!$A$5:$A$254,0)),0)&gt;0),IFERROR(INDEX(Properties!$X$5:$X$254,MATCH(J133,Properties!$A$5:$A$254,0)),0),IF(IFERROR(INDEX(Services!$G$5:$G$64,MATCH(M133,Services!$B$5:$B$64,0)),0)&gt;0,IFERROR(INDEX(Services!$G$5:$G$64,MATCH(M133,Services!$B$5:$B$64,0)),0),IFERROR(INDEX(Properties!$X$5:$X$254,MATCH(J133,Properties!$A$5:$A$254,0)),0)))))</f>
        <v>0</v>
      </c>
      <c r="AE133" s="31">
        <f>IF(G133="","",IF(T133="",CleanersPerJob,MAX(1,T133)))</f>
        <v>0</v>
      </c>
      <c r="AF133" s="34">
        <f>IF(G133="","",ROUND(AD133/AE133,2))</f>
        <v>0</v>
      </c>
      <c r="AG133" s="53">
        <f>IF(OR(G133="",F133="",AF133=""),"",F133+AF133/24)</f>
        <v>0</v>
      </c>
      <c r="AH133" s="21">
        <f>IF(G133="","",IF(IFERROR(INDEX(Clients!$O$5:$O$204,MATCH(G133,Clients!$A$5:$A$204,0)),0)&gt;0,IFERROR(INDEX(Clients!$O$5:$O$204,MATCH(G133,Clients!$A$5:$A$204,0)),0),HourlyRate))</f>
        <v>0</v>
      </c>
      <c r="AI133" s="21">
        <f>IF(G133="","",IF(AND(M133&lt;&gt;"",IFERROR(INDEX(Services!$P$5:$P$64,MATCH(M133,Services!$B$5:$B$64,0)),0)&gt;0,IFERROR(INDEX(Services!$D$5:$D$64,MATCH(M133,Services!$B$5:$B$64,0)),"")&lt;&gt;"Per hour"),IFERROR(INDEX(Services!$P$5:$P$64,MATCH(M133,Services!$B$5:$B$64,0)),0),AD133*AH133))</f>
        <v>0</v>
      </c>
      <c r="AJ133" s="21">
        <f>IF(G133="","",IF(V133&lt;&gt;"",V133,IF(P133="Cancelled",0,MAX(MinimumCharge,ROUND(AI133*IFERROR(INDEX(FreqFactors,MATCH(O133,FreqNames,0)),1),2)))))</f>
        <v>0</v>
      </c>
      <c r="AK133" s="34">
        <f>IF(G133="","",IF(SUMIFS(Timesheets!$U$5:$U$804,Timesheets!$G$5:$G$804,A133)&gt;0,SUMIFS(Timesheets!$U$5:$U$804,Timesheets!$G$5:$G$804,A133),IF(Z133="","",Z133)))</f>
        <v>0</v>
      </c>
      <c r="AL133" s="34">
        <f>IF(OR(AK133="",AD133=""),"",AK133-AD133)</f>
        <v>0</v>
      </c>
      <c r="AM133" s="31">
        <f>IF(A133="","",COUNTIFS('Job Tasks'!$B$5:$B$904,A133))</f>
        <v>0</v>
      </c>
      <c r="AN133" s="31">
        <f>IF(A133="","",COUNTIFS('Job Tasks'!$B$5:$B$904,A133,'Job Tasks'!$H$5:$H$904,"Done"))</f>
        <v>0</v>
      </c>
      <c r="AO133" s="38">
        <f>IF(OR(A133="",AM133=0),"",AN133/AM133)</f>
        <v>0</v>
      </c>
      <c r="AP133" s="43">
        <f>IF(A133="","",IFERROR(INDEX('Invoice Lines'!$B$5:$B$804,MATCH(A133,'Invoice Lines'!$C$5:$C$804,0)),""))</f>
        <v>0</v>
      </c>
      <c r="AQ133" s="18">
        <f>IF(OR(G133="",B133="",X133&lt;&gt;"Yes"),"",IF(IFERROR(INDEX(FreqDays,MATCH(O133,FreqNames,0)),0)=0,"",B133+IFERROR(INDEX(FreqDays,MATCH(O133,FreqNames,0)),0)))</f>
        <v>0</v>
      </c>
      <c r="AR133" s="39">
        <f>IF(G133="","",IF(R133="","Unassigned",IF(COUNTIFS($R$5:$R$604,R133,$B$5:$B$604,B133,$F$5:$F$604,F133)&gt;1,"Clash",IF(SUMIFS($AF$5:$AF$604,$R$5:$R$604,R133,$B$5:$B$604,B133)&gt;ProductiveHours,"Long day","OK"))))</f>
        <v>0</v>
      </c>
      <c r="AS133" s="18">
        <f>IF(OR(G133="",B133=""),"",IF(AND(B133&gt;=TodayDate,P133&lt;&gt;"Cancelled"),B133,""))</f>
        <v>0</v>
      </c>
      <c r="AT133" s="31">
        <f>IF(AS133="","",COUNTIFS($AS$5:$AS$604,"&lt;"&amp;AS133)+COUNTIFS($AS$5:AS133,AS133))</f>
        <v>0</v>
      </c>
      <c r="AU133" s="18">
        <f>IF(OR(G133="",B133="",R133&lt;&gt;""),"",IF(AND(B133&gt;=TodayDate,P133&lt;&gt;"Cancelled"),B133,""))</f>
        <v>0</v>
      </c>
      <c r="AV133" s="31">
        <f>IF(AU133="","",COUNTIFS($AU$5:$AU$604,"&lt;"&amp;AU133)+COUNTIFS($AU$5:AU133,AU133))</f>
        <v>0</v>
      </c>
      <c r="AW133" s="31">
        <f>IF(OR(G133="",B133=""),"",B133-TodayDate)</f>
        <v>0</v>
      </c>
      <c r="AX133" s="39">
        <f>IF(G133="","",IF(P133="Cancelled","Cancelled",IF(P133="No access","Action - no access, rebook",IF(AND(B133&lt;&gt;"",AW133&lt;0,OR(P133="Booked",P133="Confirmed",P133="In progress")),"Late - mark it completed",IF(AND(P133="Completed",AP133=""),"Action - not invoiced yet",IF(AND(AW133&gt;=0,AW133&lt;=ReminderDays,Y133&lt;&gt;"Yes"),"Confirm - visit coming up",IF(R133="","Assign - no cleaner booked",IF(AND(P133="Completed",AO133&lt;&gt;"",AO133&lt;1),"Check - checklist unfinished","OK"))))))))</f>
        <v>0</v>
      </c>
    </row>
    <row r="134" spans="1:50">
      <c r="A134" s="43">
        <f>IF(G134="","",JobPrefix&amp;TEXT(ROW()-4,"0000"))</f>
        <v>0</v>
      </c>
      <c r="C134" s="23">
        <f>IF(B134="","",TEXT(B134,"ddd"))</f>
        <v>0</v>
      </c>
      <c r="D134" s="31">
        <f>IF(B134="","",WEEKNUM(B134,IF(WeekStart="Sunday",1,2)))</f>
        <v>0</v>
      </c>
      <c r="E134" s="23">
        <f>IF(B134="","",TEXT(B134,"yyyy-mm"))</f>
        <v>0</v>
      </c>
      <c r="H134" s="23">
        <f>IF(G134="","",IFERROR(INDEX(Clients!$B$5:$B$204,MATCH(G134,Clients!$A$5:$A$204,0)),"Not found"))</f>
        <v>0</v>
      </c>
      <c r="I134" s="23">
        <f>IF(G134="","",IFERROR(INDEX(Clients!$C$5:$C$204,MATCH(G134,Clients!$A$5:$A$204,0)),""))</f>
        <v>0</v>
      </c>
      <c r="K134" s="23">
        <f>IF(J134="","",IFERROR(INDEX(Properties!$B$5:$B$254,MATCH(J134,Properties!$A$5:$A$254,0)),""))</f>
        <v>0</v>
      </c>
      <c r="L134" s="23">
        <f>IF(J134="","",IFERROR(INDEX(Properties!$F$5:$F$254,MATCH(J134,Properties!$A$5:$A$254,0)),""))</f>
        <v>0</v>
      </c>
      <c r="AD134" s="34">
        <f>IF(G134="","",IF(U134&lt;&gt;"",U134,IF(AND(IFERROR(INDEX(Services!$D$5:$D$64,MATCH(M134,Services!$B$5:$B$64,0)),"")="Per hour",IFERROR(INDEX(Properties!$X$5:$X$254,MATCH(J134,Properties!$A$5:$A$254,0)),0)&gt;0),IFERROR(INDEX(Properties!$X$5:$X$254,MATCH(J134,Properties!$A$5:$A$254,0)),0),IF(IFERROR(INDEX(Services!$G$5:$G$64,MATCH(M134,Services!$B$5:$B$64,0)),0)&gt;0,IFERROR(INDEX(Services!$G$5:$G$64,MATCH(M134,Services!$B$5:$B$64,0)),0),IFERROR(INDEX(Properties!$X$5:$X$254,MATCH(J134,Properties!$A$5:$A$254,0)),0)))))</f>
        <v>0</v>
      </c>
      <c r="AE134" s="31">
        <f>IF(G134="","",IF(T134="",CleanersPerJob,MAX(1,T134)))</f>
        <v>0</v>
      </c>
      <c r="AF134" s="34">
        <f>IF(G134="","",ROUND(AD134/AE134,2))</f>
        <v>0</v>
      </c>
      <c r="AG134" s="53">
        <f>IF(OR(G134="",F134="",AF134=""),"",F134+AF134/24)</f>
        <v>0</v>
      </c>
      <c r="AH134" s="21">
        <f>IF(G134="","",IF(IFERROR(INDEX(Clients!$O$5:$O$204,MATCH(G134,Clients!$A$5:$A$204,0)),0)&gt;0,IFERROR(INDEX(Clients!$O$5:$O$204,MATCH(G134,Clients!$A$5:$A$204,0)),0),HourlyRate))</f>
        <v>0</v>
      </c>
      <c r="AI134" s="21">
        <f>IF(G134="","",IF(AND(M134&lt;&gt;"",IFERROR(INDEX(Services!$P$5:$P$64,MATCH(M134,Services!$B$5:$B$64,0)),0)&gt;0,IFERROR(INDEX(Services!$D$5:$D$64,MATCH(M134,Services!$B$5:$B$64,0)),"")&lt;&gt;"Per hour"),IFERROR(INDEX(Services!$P$5:$P$64,MATCH(M134,Services!$B$5:$B$64,0)),0),AD134*AH134))</f>
        <v>0</v>
      </c>
      <c r="AJ134" s="21">
        <f>IF(G134="","",IF(V134&lt;&gt;"",V134,IF(P134="Cancelled",0,MAX(MinimumCharge,ROUND(AI134*IFERROR(INDEX(FreqFactors,MATCH(O134,FreqNames,0)),1),2)))))</f>
        <v>0</v>
      </c>
      <c r="AK134" s="34">
        <f>IF(G134="","",IF(SUMIFS(Timesheets!$U$5:$U$804,Timesheets!$G$5:$G$804,A134)&gt;0,SUMIFS(Timesheets!$U$5:$U$804,Timesheets!$G$5:$G$804,A134),IF(Z134="","",Z134)))</f>
        <v>0</v>
      </c>
      <c r="AL134" s="34">
        <f>IF(OR(AK134="",AD134=""),"",AK134-AD134)</f>
        <v>0</v>
      </c>
      <c r="AM134" s="31">
        <f>IF(A134="","",COUNTIFS('Job Tasks'!$B$5:$B$904,A134))</f>
        <v>0</v>
      </c>
      <c r="AN134" s="31">
        <f>IF(A134="","",COUNTIFS('Job Tasks'!$B$5:$B$904,A134,'Job Tasks'!$H$5:$H$904,"Done"))</f>
        <v>0</v>
      </c>
      <c r="AO134" s="38">
        <f>IF(OR(A134="",AM134=0),"",AN134/AM134)</f>
        <v>0</v>
      </c>
      <c r="AP134" s="43">
        <f>IF(A134="","",IFERROR(INDEX('Invoice Lines'!$B$5:$B$804,MATCH(A134,'Invoice Lines'!$C$5:$C$804,0)),""))</f>
        <v>0</v>
      </c>
      <c r="AQ134" s="18">
        <f>IF(OR(G134="",B134="",X134&lt;&gt;"Yes"),"",IF(IFERROR(INDEX(FreqDays,MATCH(O134,FreqNames,0)),0)=0,"",B134+IFERROR(INDEX(FreqDays,MATCH(O134,FreqNames,0)),0)))</f>
        <v>0</v>
      </c>
      <c r="AR134" s="39">
        <f>IF(G134="","",IF(R134="","Unassigned",IF(COUNTIFS($R$5:$R$604,R134,$B$5:$B$604,B134,$F$5:$F$604,F134)&gt;1,"Clash",IF(SUMIFS($AF$5:$AF$604,$R$5:$R$604,R134,$B$5:$B$604,B134)&gt;ProductiveHours,"Long day","OK"))))</f>
        <v>0</v>
      </c>
      <c r="AS134" s="18">
        <f>IF(OR(G134="",B134=""),"",IF(AND(B134&gt;=TodayDate,P134&lt;&gt;"Cancelled"),B134,""))</f>
        <v>0</v>
      </c>
      <c r="AT134" s="31">
        <f>IF(AS134="","",COUNTIFS($AS$5:$AS$604,"&lt;"&amp;AS134)+COUNTIFS($AS$5:AS134,AS134))</f>
        <v>0</v>
      </c>
      <c r="AU134" s="18">
        <f>IF(OR(G134="",B134="",R134&lt;&gt;""),"",IF(AND(B134&gt;=TodayDate,P134&lt;&gt;"Cancelled"),B134,""))</f>
        <v>0</v>
      </c>
      <c r="AV134" s="31">
        <f>IF(AU134="","",COUNTIFS($AU$5:$AU$604,"&lt;"&amp;AU134)+COUNTIFS($AU$5:AU134,AU134))</f>
        <v>0</v>
      </c>
      <c r="AW134" s="31">
        <f>IF(OR(G134="",B134=""),"",B134-TodayDate)</f>
        <v>0</v>
      </c>
      <c r="AX134" s="39">
        <f>IF(G134="","",IF(P134="Cancelled","Cancelled",IF(P134="No access","Action - no access, rebook",IF(AND(B134&lt;&gt;"",AW134&lt;0,OR(P134="Booked",P134="Confirmed",P134="In progress")),"Late - mark it completed",IF(AND(P134="Completed",AP134=""),"Action - not invoiced yet",IF(AND(AW134&gt;=0,AW134&lt;=ReminderDays,Y134&lt;&gt;"Yes"),"Confirm - visit coming up",IF(R134="","Assign - no cleaner booked",IF(AND(P134="Completed",AO134&lt;&gt;"",AO134&lt;1),"Check - checklist unfinished","OK"))))))))</f>
        <v>0</v>
      </c>
    </row>
    <row r="135" spans="1:50">
      <c r="A135" s="43">
        <f>IF(G135="","",JobPrefix&amp;TEXT(ROW()-4,"0000"))</f>
        <v>0</v>
      </c>
      <c r="C135" s="23">
        <f>IF(B135="","",TEXT(B135,"ddd"))</f>
        <v>0</v>
      </c>
      <c r="D135" s="31">
        <f>IF(B135="","",WEEKNUM(B135,IF(WeekStart="Sunday",1,2)))</f>
        <v>0</v>
      </c>
      <c r="E135" s="23">
        <f>IF(B135="","",TEXT(B135,"yyyy-mm"))</f>
        <v>0</v>
      </c>
      <c r="H135" s="23">
        <f>IF(G135="","",IFERROR(INDEX(Clients!$B$5:$B$204,MATCH(G135,Clients!$A$5:$A$204,0)),"Not found"))</f>
        <v>0</v>
      </c>
      <c r="I135" s="23">
        <f>IF(G135="","",IFERROR(INDEX(Clients!$C$5:$C$204,MATCH(G135,Clients!$A$5:$A$204,0)),""))</f>
        <v>0</v>
      </c>
      <c r="K135" s="23">
        <f>IF(J135="","",IFERROR(INDEX(Properties!$B$5:$B$254,MATCH(J135,Properties!$A$5:$A$254,0)),""))</f>
        <v>0</v>
      </c>
      <c r="L135" s="23">
        <f>IF(J135="","",IFERROR(INDEX(Properties!$F$5:$F$254,MATCH(J135,Properties!$A$5:$A$254,0)),""))</f>
        <v>0</v>
      </c>
      <c r="AD135" s="34">
        <f>IF(G135="","",IF(U135&lt;&gt;"",U135,IF(AND(IFERROR(INDEX(Services!$D$5:$D$64,MATCH(M135,Services!$B$5:$B$64,0)),"")="Per hour",IFERROR(INDEX(Properties!$X$5:$X$254,MATCH(J135,Properties!$A$5:$A$254,0)),0)&gt;0),IFERROR(INDEX(Properties!$X$5:$X$254,MATCH(J135,Properties!$A$5:$A$254,0)),0),IF(IFERROR(INDEX(Services!$G$5:$G$64,MATCH(M135,Services!$B$5:$B$64,0)),0)&gt;0,IFERROR(INDEX(Services!$G$5:$G$64,MATCH(M135,Services!$B$5:$B$64,0)),0),IFERROR(INDEX(Properties!$X$5:$X$254,MATCH(J135,Properties!$A$5:$A$254,0)),0)))))</f>
        <v>0</v>
      </c>
      <c r="AE135" s="31">
        <f>IF(G135="","",IF(T135="",CleanersPerJob,MAX(1,T135)))</f>
        <v>0</v>
      </c>
      <c r="AF135" s="34">
        <f>IF(G135="","",ROUND(AD135/AE135,2))</f>
        <v>0</v>
      </c>
      <c r="AG135" s="53">
        <f>IF(OR(G135="",F135="",AF135=""),"",F135+AF135/24)</f>
        <v>0</v>
      </c>
      <c r="AH135" s="21">
        <f>IF(G135="","",IF(IFERROR(INDEX(Clients!$O$5:$O$204,MATCH(G135,Clients!$A$5:$A$204,0)),0)&gt;0,IFERROR(INDEX(Clients!$O$5:$O$204,MATCH(G135,Clients!$A$5:$A$204,0)),0),HourlyRate))</f>
        <v>0</v>
      </c>
      <c r="AI135" s="21">
        <f>IF(G135="","",IF(AND(M135&lt;&gt;"",IFERROR(INDEX(Services!$P$5:$P$64,MATCH(M135,Services!$B$5:$B$64,0)),0)&gt;0,IFERROR(INDEX(Services!$D$5:$D$64,MATCH(M135,Services!$B$5:$B$64,0)),"")&lt;&gt;"Per hour"),IFERROR(INDEX(Services!$P$5:$P$64,MATCH(M135,Services!$B$5:$B$64,0)),0),AD135*AH135))</f>
        <v>0</v>
      </c>
      <c r="AJ135" s="21">
        <f>IF(G135="","",IF(V135&lt;&gt;"",V135,IF(P135="Cancelled",0,MAX(MinimumCharge,ROUND(AI135*IFERROR(INDEX(FreqFactors,MATCH(O135,FreqNames,0)),1),2)))))</f>
        <v>0</v>
      </c>
      <c r="AK135" s="34">
        <f>IF(G135="","",IF(SUMIFS(Timesheets!$U$5:$U$804,Timesheets!$G$5:$G$804,A135)&gt;0,SUMIFS(Timesheets!$U$5:$U$804,Timesheets!$G$5:$G$804,A135),IF(Z135="","",Z135)))</f>
        <v>0</v>
      </c>
      <c r="AL135" s="34">
        <f>IF(OR(AK135="",AD135=""),"",AK135-AD135)</f>
        <v>0</v>
      </c>
      <c r="AM135" s="31">
        <f>IF(A135="","",COUNTIFS('Job Tasks'!$B$5:$B$904,A135))</f>
        <v>0</v>
      </c>
      <c r="AN135" s="31">
        <f>IF(A135="","",COUNTIFS('Job Tasks'!$B$5:$B$904,A135,'Job Tasks'!$H$5:$H$904,"Done"))</f>
        <v>0</v>
      </c>
      <c r="AO135" s="38">
        <f>IF(OR(A135="",AM135=0),"",AN135/AM135)</f>
        <v>0</v>
      </c>
      <c r="AP135" s="43">
        <f>IF(A135="","",IFERROR(INDEX('Invoice Lines'!$B$5:$B$804,MATCH(A135,'Invoice Lines'!$C$5:$C$804,0)),""))</f>
        <v>0</v>
      </c>
      <c r="AQ135" s="18">
        <f>IF(OR(G135="",B135="",X135&lt;&gt;"Yes"),"",IF(IFERROR(INDEX(FreqDays,MATCH(O135,FreqNames,0)),0)=0,"",B135+IFERROR(INDEX(FreqDays,MATCH(O135,FreqNames,0)),0)))</f>
        <v>0</v>
      </c>
      <c r="AR135" s="39">
        <f>IF(G135="","",IF(R135="","Unassigned",IF(COUNTIFS($R$5:$R$604,R135,$B$5:$B$604,B135,$F$5:$F$604,F135)&gt;1,"Clash",IF(SUMIFS($AF$5:$AF$604,$R$5:$R$604,R135,$B$5:$B$604,B135)&gt;ProductiveHours,"Long day","OK"))))</f>
        <v>0</v>
      </c>
      <c r="AS135" s="18">
        <f>IF(OR(G135="",B135=""),"",IF(AND(B135&gt;=TodayDate,P135&lt;&gt;"Cancelled"),B135,""))</f>
        <v>0</v>
      </c>
      <c r="AT135" s="31">
        <f>IF(AS135="","",COUNTIFS($AS$5:$AS$604,"&lt;"&amp;AS135)+COUNTIFS($AS$5:AS135,AS135))</f>
        <v>0</v>
      </c>
      <c r="AU135" s="18">
        <f>IF(OR(G135="",B135="",R135&lt;&gt;""),"",IF(AND(B135&gt;=TodayDate,P135&lt;&gt;"Cancelled"),B135,""))</f>
        <v>0</v>
      </c>
      <c r="AV135" s="31">
        <f>IF(AU135="","",COUNTIFS($AU$5:$AU$604,"&lt;"&amp;AU135)+COUNTIFS($AU$5:AU135,AU135))</f>
        <v>0</v>
      </c>
      <c r="AW135" s="31">
        <f>IF(OR(G135="",B135=""),"",B135-TodayDate)</f>
        <v>0</v>
      </c>
      <c r="AX135" s="39">
        <f>IF(G135="","",IF(P135="Cancelled","Cancelled",IF(P135="No access","Action - no access, rebook",IF(AND(B135&lt;&gt;"",AW135&lt;0,OR(P135="Booked",P135="Confirmed",P135="In progress")),"Late - mark it completed",IF(AND(P135="Completed",AP135=""),"Action - not invoiced yet",IF(AND(AW135&gt;=0,AW135&lt;=ReminderDays,Y135&lt;&gt;"Yes"),"Confirm - visit coming up",IF(R135="","Assign - no cleaner booked",IF(AND(P135="Completed",AO135&lt;&gt;"",AO135&lt;1),"Check - checklist unfinished","OK"))))))))</f>
        <v>0</v>
      </c>
    </row>
    <row r="136" spans="1:50">
      <c r="A136" s="43">
        <f>IF(G136="","",JobPrefix&amp;TEXT(ROW()-4,"0000"))</f>
        <v>0</v>
      </c>
      <c r="C136" s="23">
        <f>IF(B136="","",TEXT(B136,"ddd"))</f>
        <v>0</v>
      </c>
      <c r="D136" s="31">
        <f>IF(B136="","",WEEKNUM(B136,IF(WeekStart="Sunday",1,2)))</f>
        <v>0</v>
      </c>
      <c r="E136" s="23">
        <f>IF(B136="","",TEXT(B136,"yyyy-mm"))</f>
        <v>0</v>
      </c>
      <c r="H136" s="23">
        <f>IF(G136="","",IFERROR(INDEX(Clients!$B$5:$B$204,MATCH(G136,Clients!$A$5:$A$204,0)),"Not found"))</f>
        <v>0</v>
      </c>
      <c r="I136" s="23">
        <f>IF(G136="","",IFERROR(INDEX(Clients!$C$5:$C$204,MATCH(G136,Clients!$A$5:$A$204,0)),""))</f>
        <v>0</v>
      </c>
      <c r="K136" s="23">
        <f>IF(J136="","",IFERROR(INDEX(Properties!$B$5:$B$254,MATCH(J136,Properties!$A$5:$A$254,0)),""))</f>
        <v>0</v>
      </c>
      <c r="L136" s="23">
        <f>IF(J136="","",IFERROR(INDEX(Properties!$F$5:$F$254,MATCH(J136,Properties!$A$5:$A$254,0)),""))</f>
        <v>0</v>
      </c>
      <c r="AD136" s="34">
        <f>IF(G136="","",IF(U136&lt;&gt;"",U136,IF(AND(IFERROR(INDEX(Services!$D$5:$D$64,MATCH(M136,Services!$B$5:$B$64,0)),"")="Per hour",IFERROR(INDEX(Properties!$X$5:$X$254,MATCH(J136,Properties!$A$5:$A$254,0)),0)&gt;0),IFERROR(INDEX(Properties!$X$5:$X$254,MATCH(J136,Properties!$A$5:$A$254,0)),0),IF(IFERROR(INDEX(Services!$G$5:$G$64,MATCH(M136,Services!$B$5:$B$64,0)),0)&gt;0,IFERROR(INDEX(Services!$G$5:$G$64,MATCH(M136,Services!$B$5:$B$64,0)),0),IFERROR(INDEX(Properties!$X$5:$X$254,MATCH(J136,Properties!$A$5:$A$254,0)),0)))))</f>
        <v>0</v>
      </c>
      <c r="AE136" s="31">
        <f>IF(G136="","",IF(T136="",CleanersPerJob,MAX(1,T136)))</f>
        <v>0</v>
      </c>
      <c r="AF136" s="34">
        <f>IF(G136="","",ROUND(AD136/AE136,2))</f>
        <v>0</v>
      </c>
      <c r="AG136" s="53">
        <f>IF(OR(G136="",F136="",AF136=""),"",F136+AF136/24)</f>
        <v>0</v>
      </c>
      <c r="AH136" s="21">
        <f>IF(G136="","",IF(IFERROR(INDEX(Clients!$O$5:$O$204,MATCH(G136,Clients!$A$5:$A$204,0)),0)&gt;0,IFERROR(INDEX(Clients!$O$5:$O$204,MATCH(G136,Clients!$A$5:$A$204,0)),0),HourlyRate))</f>
        <v>0</v>
      </c>
      <c r="AI136" s="21">
        <f>IF(G136="","",IF(AND(M136&lt;&gt;"",IFERROR(INDEX(Services!$P$5:$P$64,MATCH(M136,Services!$B$5:$B$64,0)),0)&gt;0,IFERROR(INDEX(Services!$D$5:$D$64,MATCH(M136,Services!$B$5:$B$64,0)),"")&lt;&gt;"Per hour"),IFERROR(INDEX(Services!$P$5:$P$64,MATCH(M136,Services!$B$5:$B$64,0)),0),AD136*AH136))</f>
        <v>0</v>
      </c>
      <c r="AJ136" s="21">
        <f>IF(G136="","",IF(V136&lt;&gt;"",V136,IF(P136="Cancelled",0,MAX(MinimumCharge,ROUND(AI136*IFERROR(INDEX(FreqFactors,MATCH(O136,FreqNames,0)),1),2)))))</f>
        <v>0</v>
      </c>
      <c r="AK136" s="34">
        <f>IF(G136="","",IF(SUMIFS(Timesheets!$U$5:$U$804,Timesheets!$G$5:$G$804,A136)&gt;0,SUMIFS(Timesheets!$U$5:$U$804,Timesheets!$G$5:$G$804,A136),IF(Z136="","",Z136)))</f>
        <v>0</v>
      </c>
      <c r="AL136" s="34">
        <f>IF(OR(AK136="",AD136=""),"",AK136-AD136)</f>
        <v>0</v>
      </c>
      <c r="AM136" s="31">
        <f>IF(A136="","",COUNTIFS('Job Tasks'!$B$5:$B$904,A136))</f>
        <v>0</v>
      </c>
      <c r="AN136" s="31">
        <f>IF(A136="","",COUNTIFS('Job Tasks'!$B$5:$B$904,A136,'Job Tasks'!$H$5:$H$904,"Done"))</f>
        <v>0</v>
      </c>
      <c r="AO136" s="38">
        <f>IF(OR(A136="",AM136=0),"",AN136/AM136)</f>
        <v>0</v>
      </c>
      <c r="AP136" s="43">
        <f>IF(A136="","",IFERROR(INDEX('Invoice Lines'!$B$5:$B$804,MATCH(A136,'Invoice Lines'!$C$5:$C$804,0)),""))</f>
        <v>0</v>
      </c>
      <c r="AQ136" s="18">
        <f>IF(OR(G136="",B136="",X136&lt;&gt;"Yes"),"",IF(IFERROR(INDEX(FreqDays,MATCH(O136,FreqNames,0)),0)=0,"",B136+IFERROR(INDEX(FreqDays,MATCH(O136,FreqNames,0)),0)))</f>
        <v>0</v>
      </c>
      <c r="AR136" s="39">
        <f>IF(G136="","",IF(R136="","Unassigned",IF(COUNTIFS($R$5:$R$604,R136,$B$5:$B$604,B136,$F$5:$F$604,F136)&gt;1,"Clash",IF(SUMIFS($AF$5:$AF$604,$R$5:$R$604,R136,$B$5:$B$604,B136)&gt;ProductiveHours,"Long day","OK"))))</f>
        <v>0</v>
      </c>
      <c r="AS136" s="18">
        <f>IF(OR(G136="",B136=""),"",IF(AND(B136&gt;=TodayDate,P136&lt;&gt;"Cancelled"),B136,""))</f>
        <v>0</v>
      </c>
      <c r="AT136" s="31">
        <f>IF(AS136="","",COUNTIFS($AS$5:$AS$604,"&lt;"&amp;AS136)+COUNTIFS($AS$5:AS136,AS136))</f>
        <v>0</v>
      </c>
      <c r="AU136" s="18">
        <f>IF(OR(G136="",B136="",R136&lt;&gt;""),"",IF(AND(B136&gt;=TodayDate,P136&lt;&gt;"Cancelled"),B136,""))</f>
        <v>0</v>
      </c>
      <c r="AV136" s="31">
        <f>IF(AU136="","",COUNTIFS($AU$5:$AU$604,"&lt;"&amp;AU136)+COUNTIFS($AU$5:AU136,AU136))</f>
        <v>0</v>
      </c>
      <c r="AW136" s="31">
        <f>IF(OR(G136="",B136=""),"",B136-TodayDate)</f>
        <v>0</v>
      </c>
      <c r="AX136" s="39">
        <f>IF(G136="","",IF(P136="Cancelled","Cancelled",IF(P136="No access","Action - no access, rebook",IF(AND(B136&lt;&gt;"",AW136&lt;0,OR(P136="Booked",P136="Confirmed",P136="In progress")),"Late - mark it completed",IF(AND(P136="Completed",AP136=""),"Action - not invoiced yet",IF(AND(AW136&gt;=0,AW136&lt;=ReminderDays,Y136&lt;&gt;"Yes"),"Confirm - visit coming up",IF(R136="","Assign - no cleaner booked",IF(AND(P136="Completed",AO136&lt;&gt;"",AO136&lt;1),"Check - checklist unfinished","OK"))))))))</f>
        <v>0</v>
      </c>
    </row>
    <row r="137" spans="1:50">
      <c r="A137" s="43">
        <f>IF(G137="","",JobPrefix&amp;TEXT(ROW()-4,"0000"))</f>
        <v>0</v>
      </c>
      <c r="C137" s="23">
        <f>IF(B137="","",TEXT(B137,"ddd"))</f>
        <v>0</v>
      </c>
      <c r="D137" s="31">
        <f>IF(B137="","",WEEKNUM(B137,IF(WeekStart="Sunday",1,2)))</f>
        <v>0</v>
      </c>
      <c r="E137" s="23">
        <f>IF(B137="","",TEXT(B137,"yyyy-mm"))</f>
        <v>0</v>
      </c>
      <c r="H137" s="23">
        <f>IF(G137="","",IFERROR(INDEX(Clients!$B$5:$B$204,MATCH(G137,Clients!$A$5:$A$204,0)),"Not found"))</f>
        <v>0</v>
      </c>
      <c r="I137" s="23">
        <f>IF(G137="","",IFERROR(INDEX(Clients!$C$5:$C$204,MATCH(G137,Clients!$A$5:$A$204,0)),""))</f>
        <v>0</v>
      </c>
      <c r="K137" s="23">
        <f>IF(J137="","",IFERROR(INDEX(Properties!$B$5:$B$254,MATCH(J137,Properties!$A$5:$A$254,0)),""))</f>
        <v>0</v>
      </c>
      <c r="L137" s="23">
        <f>IF(J137="","",IFERROR(INDEX(Properties!$F$5:$F$254,MATCH(J137,Properties!$A$5:$A$254,0)),""))</f>
        <v>0</v>
      </c>
      <c r="AD137" s="34">
        <f>IF(G137="","",IF(U137&lt;&gt;"",U137,IF(AND(IFERROR(INDEX(Services!$D$5:$D$64,MATCH(M137,Services!$B$5:$B$64,0)),"")="Per hour",IFERROR(INDEX(Properties!$X$5:$X$254,MATCH(J137,Properties!$A$5:$A$254,0)),0)&gt;0),IFERROR(INDEX(Properties!$X$5:$X$254,MATCH(J137,Properties!$A$5:$A$254,0)),0),IF(IFERROR(INDEX(Services!$G$5:$G$64,MATCH(M137,Services!$B$5:$B$64,0)),0)&gt;0,IFERROR(INDEX(Services!$G$5:$G$64,MATCH(M137,Services!$B$5:$B$64,0)),0),IFERROR(INDEX(Properties!$X$5:$X$254,MATCH(J137,Properties!$A$5:$A$254,0)),0)))))</f>
        <v>0</v>
      </c>
      <c r="AE137" s="31">
        <f>IF(G137="","",IF(T137="",CleanersPerJob,MAX(1,T137)))</f>
        <v>0</v>
      </c>
      <c r="AF137" s="34">
        <f>IF(G137="","",ROUND(AD137/AE137,2))</f>
        <v>0</v>
      </c>
      <c r="AG137" s="53">
        <f>IF(OR(G137="",F137="",AF137=""),"",F137+AF137/24)</f>
        <v>0</v>
      </c>
      <c r="AH137" s="21">
        <f>IF(G137="","",IF(IFERROR(INDEX(Clients!$O$5:$O$204,MATCH(G137,Clients!$A$5:$A$204,0)),0)&gt;0,IFERROR(INDEX(Clients!$O$5:$O$204,MATCH(G137,Clients!$A$5:$A$204,0)),0),HourlyRate))</f>
        <v>0</v>
      </c>
      <c r="AI137" s="21">
        <f>IF(G137="","",IF(AND(M137&lt;&gt;"",IFERROR(INDEX(Services!$P$5:$P$64,MATCH(M137,Services!$B$5:$B$64,0)),0)&gt;0,IFERROR(INDEX(Services!$D$5:$D$64,MATCH(M137,Services!$B$5:$B$64,0)),"")&lt;&gt;"Per hour"),IFERROR(INDEX(Services!$P$5:$P$64,MATCH(M137,Services!$B$5:$B$64,0)),0),AD137*AH137))</f>
        <v>0</v>
      </c>
      <c r="AJ137" s="21">
        <f>IF(G137="","",IF(V137&lt;&gt;"",V137,IF(P137="Cancelled",0,MAX(MinimumCharge,ROUND(AI137*IFERROR(INDEX(FreqFactors,MATCH(O137,FreqNames,0)),1),2)))))</f>
        <v>0</v>
      </c>
      <c r="AK137" s="34">
        <f>IF(G137="","",IF(SUMIFS(Timesheets!$U$5:$U$804,Timesheets!$G$5:$G$804,A137)&gt;0,SUMIFS(Timesheets!$U$5:$U$804,Timesheets!$G$5:$G$804,A137),IF(Z137="","",Z137)))</f>
        <v>0</v>
      </c>
      <c r="AL137" s="34">
        <f>IF(OR(AK137="",AD137=""),"",AK137-AD137)</f>
        <v>0</v>
      </c>
      <c r="AM137" s="31">
        <f>IF(A137="","",COUNTIFS('Job Tasks'!$B$5:$B$904,A137))</f>
        <v>0</v>
      </c>
      <c r="AN137" s="31">
        <f>IF(A137="","",COUNTIFS('Job Tasks'!$B$5:$B$904,A137,'Job Tasks'!$H$5:$H$904,"Done"))</f>
        <v>0</v>
      </c>
      <c r="AO137" s="38">
        <f>IF(OR(A137="",AM137=0),"",AN137/AM137)</f>
        <v>0</v>
      </c>
      <c r="AP137" s="43">
        <f>IF(A137="","",IFERROR(INDEX('Invoice Lines'!$B$5:$B$804,MATCH(A137,'Invoice Lines'!$C$5:$C$804,0)),""))</f>
        <v>0</v>
      </c>
      <c r="AQ137" s="18">
        <f>IF(OR(G137="",B137="",X137&lt;&gt;"Yes"),"",IF(IFERROR(INDEX(FreqDays,MATCH(O137,FreqNames,0)),0)=0,"",B137+IFERROR(INDEX(FreqDays,MATCH(O137,FreqNames,0)),0)))</f>
        <v>0</v>
      </c>
      <c r="AR137" s="39">
        <f>IF(G137="","",IF(R137="","Unassigned",IF(COUNTIFS($R$5:$R$604,R137,$B$5:$B$604,B137,$F$5:$F$604,F137)&gt;1,"Clash",IF(SUMIFS($AF$5:$AF$604,$R$5:$R$604,R137,$B$5:$B$604,B137)&gt;ProductiveHours,"Long day","OK"))))</f>
        <v>0</v>
      </c>
      <c r="AS137" s="18">
        <f>IF(OR(G137="",B137=""),"",IF(AND(B137&gt;=TodayDate,P137&lt;&gt;"Cancelled"),B137,""))</f>
        <v>0</v>
      </c>
      <c r="AT137" s="31">
        <f>IF(AS137="","",COUNTIFS($AS$5:$AS$604,"&lt;"&amp;AS137)+COUNTIFS($AS$5:AS137,AS137))</f>
        <v>0</v>
      </c>
      <c r="AU137" s="18">
        <f>IF(OR(G137="",B137="",R137&lt;&gt;""),"",IF(AND(B137&gt;=TodayDate,P137&lt;&gt;"Cancelled"),B137,""))</f>
        <v>0</v>
      </c>
      <c r="AV137" s="31">
        <f>IF(AU137="","",COUNTIFS($AU$5:$AU$604,"&lt;"&amp;AU137)+COUNTIFS($AU$5:AU137,AU137))</f>
        <v>0</v>
      </c>
      <c r="AW137" s="31">
        <f>IF(OR(G137="",B137=""),"",B137-TodayDate)</f>
        <v>0</v>
      </c>
      <c r="AX137" s="39">
        <f>IF(G137="","",IF(P137="Cancelled","Cancelled",IF(P137="No access","Action - no access, rebook",IF(AND(B137&lt;&gt;"",AW137&lt;0,OR(P137="Booked",P137="Confirmed",P137="In progress")),"Late - mark it completed",IF(AND(P137="Completed",AP137=""),"Action - not invoiced yet",IF(AND(AW137&gt;=0,AW137&lt;=ReminderDays,Y137&lt;&gt;"Yes"),"Confirm - visit coming up",IF(R137="","Assign - no cleaner booked",IF(AND(P137="Completed",AO137&lt;&gt;"",AO137&lt;1),"Check - checklist unfinished","OK"))))))))</f>
        <v>0</v>
      </c>
    </row>
    <row r="138" spans="1:50">
      <c r="A138" s="43">
        <f>IF(G138="","",JobPrefix&amp;TEXT(ROW()-4,"0000"))</f>
        <v>0</v>
      </c>
      <c r="C138" s="23">
        <f>IF(B138="","",TEXT(B138,"ddd"))</f>
        <v>0</v>
      </c>
      <c r="D138" s="31">
        <f>IF(B138="","",WEEKNUM(B138,IF(WeekStart="Sunday",1,2)))</f>
        <v>0</v>
      </c>
      <c r="E138" s="23">
        <f>IF(B138="","",TEXT(B138,"yyyy-mm"))</f>
        <v>0</v>
      </c>
      <c r="H138" s="23">
        <f>IF(G138="","",IFERROR(INDEX(Clients!$B$5:$B$204,MATCH(G138,Clients!$A$5:$A$204,0)),"Not found"))</f>
        <v>0</v>
      </c>
      <c r="I138" s="23">
        <f>IF(G138="","",IFERROR(INDEX(Clients!$C$5:$C$204,MATCH(G138,Clients!$A$5:$A$204,0)),""))</f>
        <v>0</v>
      </c>
      <c r="K138" s="23">
        <f>IF(J138="","",IFERROR(INDEX(Properties!$B$5:$B$254,MATCH(J138,Properties!$A$5:$A$254,0)),""))</f>
        <v>0</v>
      </c>
      <c r="L138" s="23">
        <f>IF(J138="","",IFERROR(INDEX(Properties!$F$5:$F$254,MATCH(J138,Properties!$A$5:$A$254,0)),""))</f>
        <v>0</v>
      </c>
      <c r="AD138" s="34">
        <f>IF(G138="","",IF(U138&lt;&gt;"",U138,IF(AND(IFERROR(INDEX(Services!$D$5:$D$64,MATCH(M138,Services!$B$5:$B$64,0)),"")="Per hour",IFERROR(INDEX(Properties!$X$5:$X$254,MATCH(J138,Properties!$A$5:$A$254,0)),0)&gt;0),IFERROR(INDEX(Properties!$X$5:$X$254,MATCH(J138,Properties!$A$5:$A$254,0)),0),IF(IFERROR(INDEX(Services!$G$5:$G$64,MATCH(M138,Services!$B$5:$B$64,0)),0)&gt;0,IFERROR(INDEX(Services!$G$5:$G$64,MATCH(M138,Services!$B$5:$B$64,0)),0),IFERROR(INDEX(Properties!$X$5:$X$254,MATCH(J138,Properties!$A$5:$A$254,0)),0)))))</f>
        <v>0</v>
      </c>
      <c r="AE138" s="31">
        <f>IF(G138="","",IF(T138="",CleanersPerJob,MAX(1,T138)))</f>
        <v>0</v>
      </c>
      <c r="AF138" s="34">
        <f>IF(G138="","",ROUND(AD138/AE138,2))</f>
        <v>0</v>
      </c>
      <c r="AG138" s="53">
        <f>IF(OR(G138="",F138="",AF138=""),"",F138+AF138/24)</f>
        <v>0</v>
      </c>
      <c r="AH138" s="21">
        <f>IF(G138="","",IF(IFERROR(INDEX(Clients!$O$5:$O$204,MATCH(G138,Clients!$A$5:$A$204,0)),0)&gt;0,IFERROR(INDEX(Clients!$O$5:$O$204,MATCH(G138,Clients!$A$5:$A$204,0)),0),HourlyRate))</f>
        <v>0</v>
      </c>
      <c r="AI138" s="21">
        <f>IF(G138="","",IF(AND(M138&lt;&gt;"",IFERROR(INDEX(Services!$P$5:$P$64,MATCH(M138,Services!$B$5:$B$64,0)),0)&gt;0,IFERROR(INDEX(Services!$D$5:$D$64,MATCH(M138,Services!$B$5:$B$64,0)),"")&lt;&gt;"Per hour"),IFERROR(INDEX(Services!$P$5:$P$64,MATCH(M138,Services!$B$5:$B$64,0)),0),AD138*AH138))</f>
        <v>0</v>
      </c>
      <c r="AJ138" s="21">
        <f>IF(G138="","",IF(V138&lt;&gt;"",V138,IF(P138="Cancelled",0,MAX(MinimumCharge,ROUND(AI138*IFERROR(INDEX(FreqFactors,MATCH(O138,FreqNames,0)),1),2)))))</f>
        <v>0</v>
      </c>
      <c r="AK138" s="34">
        <f>IF(G138="","",IF(SUMIFS(Timesheets!$U$5:$U$804,Timesheets!$G$5:$G$804,A138)&gt;0,SUMIFS(Timesheets!$U$5:$U$804,Timesheets!$G$5:$G$804,A138),IF(Z138="","",Z138)))</f>
        <v>0</v>
      </c>
      <c r="AL138" s="34">
        <f>IF(OR(AK138="",AD138=""),"",AK138-AD138)</f>
        <v>0</v>
      </c>
      <c r="AM138" s="31">
        <f>IF(A138="","",COUNTIFS('Job Tasks'!$B$5:$B$904,A138))</f>
        <v>0</v>
      </c>
      <c r="AN138" s="31">
        <f>IF(A138="","",COUNTIFS('Job Tasks'!$B$5:$B$904,A138,'Job Tasks'!$H$5:$H$904,"Done"))</f>
        <v>0</v>
      </c>
      <c r="AO138" s="38">
        <f>IF(OR(A138="",AM138=0),"",AN138/AM138)</f>
        <v>0</v>
      </c>
      <c r="AP138" s="43">
        <f>IF(A138="","",IFERROR(INDEX('Invoice Lines'!$B$5:$B$804,MATCH(A138,'Invoice Lines'!$C$5:$C$804,0)),""))</f>
        <v>0</v>
      </c>
      <c r="AQ138" s="18">
        <f>IF(OR(G138="",B138="",X138&lt;&gt;"Yes"),"",IF(IFERROR(INDEX(FreqDays,MATCH(O138,FreqNames,0)),0)=0,"",B138+IFERROR(INDEX(FreqDays,MATCH(O138,FreqNames,0)),0)))</f>
        <v>0</v>
      </c>
      <c r="AR138" s="39">
        <f>IF(G138="","",IF(R138="","Unassigned",IF(COUNTIFS($R$5:$R$604,R138,$B$5:$B$604,B138,$F$5:$F$604,F138)&gt;1,"Clash",IF(SUMIFS($AF$5:$AF$604,$R$5:$R$604,R138,$B$5:$B$604,B138)&gt;ProductiveHours,"Long day","OK"))))</f>
        <v>0</v>
      </c>
      <c r="AS138" s="18">
        <f>IF(OR(G138="",B138=""),"",IF(AND(B138&gt;=TodayDate,P138&lt;&gt;"Cancelled"),B138,""))</f>
        <v>0</v>
      </c>
      <c r="AT138" s="31">
        <f>IF(AS138="","",COUNTIFS($AS$5:$AS$604,"&lt;"&amp;AS138)+COUNTIFS($AS$5:AS138,AS138))</f>
        <v>0</v>
      </c>
      <c r="AU138" s="18">
        <f>IF(OR(G138="",B138="",R138&lt;&gt;""),"",IF(AND(B138&gt;=TodayDate,P138&lt;&gt;"Cancelled"),B138,""))</f>
        <v>0</v>
      </c>
      <c r="AV138" s="31">
        <f>IF(AU138="","",COUNTIFS($AU$5:$AU$604,"&lt;"&amp;AU138)+COUNTIFS($AU$5:AU138,AU138))</f>
        <v>0</v>
      </c>
      <c r="AW138" s="31">
        <f>IF(OR(G138="",B138=""),"",B138-TodayDate)</f>
        <v>0</v>
      </c>
      <c r="AX138" s="39">
        <f>IF(G138="","",IF(P138="Cancelled","Cancelled",IF(P138="No access","Action - no access, rebook",IF(AND(B138&lt;&gt;"",AW138&lt;0,OR(P138="Booked",P138="Confirmed",P138="In progress")),"Late - mark it completed",IF(AND(P138="Completed",AP138=""),"Action - not invoiced yet",IF(AND(AW138&gt;=0,AW138&lt;=ReminderDays,Y138&lt;&gt;"Yes"),"Confirm - visit coming up",IF(R138="","Assign - no cleaner booked",IF(AND(P138="Completed",AO138&lt;&gt;"",AO138&lt;1),"Check - checklist unfinished","OK"))))))))</f>
        <v>0</v>
      </c>
    </row>
    <row r="139" spans="1:50">
      <c r="A139" s="43">
        <f>IF(G139="","",JobPrefix&amp;TEXT(ROW()-4,"0000"))</f>
        <v>0</v>
      </c>
      <c r="C139" s="23">
        <f>IF(B139="","",TEXT(B139,"ddd"))</f>
        <v>0</v>
      </c>
      <c r="D139" s="31">
        <f>IF(B139="","",WEEKNUM(B139,IF(WeekStart="Sunday",1,2)))</f>
        <v>0</v>
      </c>
      <c r="E139" s="23">
        <f>IF(B139="","",TEXT(B139,"yyyy-mm"))</f>
        <v>0</v>
      </c>
      <c r="H139" s="23">
        <f>IF(G139="","",IFERROR(INDEX(Clients!$B$5:$B$204,MATCH(G139,Clients!$A$5:$A$204,0)),"Not found"))</f>
        <v>0</v>
      </c>
      <c r="I139" s="23">
        <f>IF(G139="","",IFERROR(INDEX(Clients!$C$5:$C$204,MATCH(G139,Clients!$A$5:$A$204,0)),""))</f>
        <v>0</v>
      </c>
      <c r="K139" s="23">
        <f>IF(J139="","",IFERROR(INDEX(Properties!$B$5:$B$254,MATCH(J139,Properties!$A$5:$A$254,0)),""))</f>
        <v>0</v>
      </c>
      <c r="L139" s="23">
        <f>IF(J139="","",IFERROR(INDEX(Properties!$F$5:$F$254,MATCH(J139,Properties!$A$5:$A$254,0)),""))</f>
        <v>0</v>
      </c>
      <c r="AD139" s="34">
        <f>IF(G139="","",IF(U139&lt;&gt;"",U139,IF(AND(IFERROR(INDEX(Services!$D$5:$D$64,MATCH(M139,Services!$B$5:$B$64,0)),"")="Per hour",IFERROR(INDEX(Properties!$X$5:$X$254,MATCH(J139,Properties!$A$5:$A$254,0)),0)&gt;0),IFERROR(INDEX(Properties!$X$5:$X$254,MATCH(J139,Properties!$A$5:$A$254,0)),0),IF(IFERROR(INDEX(Services!$G$5:$G$64,MATCH(M139,Services!$B$5:$B$64,0)),0)&gt;0,IFERROR(INDEX(Services!$G$5:$G$64,MATCH(M139,Services!$B$5:$B$64,0)),0),IFERROR(INDEX(Properties!$X$5:$X$254,MATCH(J139,Properties!$A$5:$A$254,0)),0)))))</f>
        <v>0</v>
      </c>
      <c r="AE139" s="31">
        <f>IF(G139="","",IF(T139="",CleanersPerJob,MAX(1,T139)))</f>
        <v>0</v>
      </c>
      <c r="AF139" s="34">
        <f>IF(G139="","",ROUND(AD139/AE139,2))</f>
        <v>0</v>
      </c>
      <c r="AG139" s="53">
        <f>IF(OR(G139="",F139="",AF139=""),"",F139+AF139/24)</f>
        <v>0</v>
      </c>
      <c r="AH139" s="21">
        <f>IF(G139="","",IF(IFERROR(INDEX(Clients!$O$5:$O$204,MATCH(G139,Clients!$A$5:$A$204,0)),0)&gt;0,IFERROR(INDEX(Clients!$O$5:$O$204,MATCH(G139,Clients!$A$5:$A$204,0)),0),HourlyRate))</f>
        <v>0</v>
      </c>
      <c r="AI139" s="21">
        <f>IF(G139="","",IF(AND(M139&lt;&gt;"",IFERROR(INDEX(Services!$P$5:$P$64,MATCH(M139,Services!$B$5:$B$64,0)),0)&gt;0,IFERROR(INDEX(Services!$D$5:$D$64,MATCH(M139,Services!$B$5:$B$64,0)),"")&lt;&gt;"Per hour"),IFERROR(INDEX(Services!$P$5:$P$64,MATCH(M139,Services!$B$5:$B$64,0)),0),AD139*AH139))</f>
        <v>0</v>
      </c>
      <c r="AJ139" s="21">
        <f>IF(G139="","",IF(V139&lt;&gt;"",V139,IF(P139="Cancelled",0,MAX(MinimumCharge,ROUND(AI139*IFERROR(INDEX(FreqFactors,MATCH(O139,FreqNames,0)),1),2)))))</f>
        <v>0</v>
      </c>
      <c r="AK139" s="34">
        <f>IF(G139="","",IF(SUMIFS(Timesheets!$U$5:$U$804,Timesheets!$G$5:$G$804,A139)&gt;0,SUMIFS(Timesheets!$U$5:$U$804,Timesheets!$G$5:$G$804,A139),IF(Z139="","",Z139)))</f>
        <v>0</v>
      </c>
      <c r="AL139" s="34">
        <f>IF(OR(AK139="",AD139=""),"",AK139-AD139)</f>
        <v>0</v>
      </c>
      <c r="AM139" s="31">
        <f>IF(A139="","",COUNTIFS('Job Tasks'!$B$5:$B$904,A139))</f>
        <v>0</v>
      </c>
      <c r="AN139" s="31">
        <f>IF(A139="","",COUNTIFS('Job Tasks'!$B$5:$B$904,A139,'Job Tasks'!$H$5:$H$904,"Done"))</f>
        <v>0</v>
      </c>
      <c r="AO139" s="38">
        <f>IF(OR(A139="",AM139=0),"",AN139/AM139)</f>
        <v>0</v>
      </c>
      <c r="AP139" s="43">
        <f>IF(A139="","",IFERROR(INDEX('Invoice Lines'!$B$5:$B$804,MATCH(A139,'Invoice Lines'!$C$5:$C$804,0)),""))</f>
        <v>0</v>
      </c>
      <c r="AQ139" s="18">
        <f>IF(OR(G139="",B139="",X139&lt;&gt;"Yes"),"",IF(IFERROR(INDEX(FreqDays,MATCH(O139,FreqNames,0)),0)=0,"",B139+IFERROR(INDEX(FreqDays,MATCH(O139,FreqNames,0)),0)))</f>
        <v>0</v>
      </c>
      <c r="AR139" s="39">
        <f>IF(G139="","",IF(R139="","Unassigned",IF(COUNTIFS($R$5:$R$604,R139,$B$5:$B$604,B139,$F$5:$F$604,F139)&gt;1,"Clash",IF(SUMIFS($AF$5:$AF$604,$R$5:$R$604,R139,$B$5:$B$604,B139)&gt;ProductiveHours,"Long day","OK"))))</f>
        <v>0</v>
      </c>
      <c r="AS139" s="18">
        <f>IF(OR(G139="",B139=""),"",IF(AND(B139&gt;=TodayDate,P139&lt;&gt;"Cancelled"),B139,""))</f>
        <v>0</v>
      </c>
      <c r="AT139" s="31">
        <f>IF(AS139="","",COUNTIFS($AS$5:$AS$604,"&lt;"&amp;AS139)+COUNTIFS($AS$5:AS139,AS139))</f>
        <v>0</v>
      </c>
      <c r="AU139" s="18">
        <f>IF(OR(G139="",B139="",R139&lt;&gt;""),"",IF(AND(B139&gt;=TodayDate,P139&lt;&gt;"Cancelled"),B139,""))</f>
        <v>0</v>
      </c>
      <c r="AV139" s="31">
        <f>IF(AU139="","",COUNTIFS($AU$5:$AU$604,"&lt;"&amp;AU139)+COUNTIFS($AU$5:AU139,AU139))</f>
        <v>0</v>
      </c>
      <c r="AW139" s="31">
        <f>IF(OR(G139="",B139=""),"",B139-TodayDate)</f>
        <v>0</v>
      </c>
      <c r="AX139" s="39">
        <f>IF(G139="","",IF(P139="Cancelled","Cancelled",IF(P139="No access","Action - no access, rebook",IF(AND(B139&lt;&gt;"",AW139&lt;0,OR(P139="Booked",P139="Confirmed",P139="In progress")),"Late - mark it completed",IF(AND(P139="Completed",AP139=""),"Action - not invoiced yet",IF(AND(AW139&gt;=0,AW139&lt;=ReminderDays,Y139&lt;&gt;"Yes"),"Confirm - visit coming up",IF(R139="","Assign - no cleaner booked",IF(AND(P139="Completed",AO139&lt;&gt;"",AO139&lt;1),"Check - checklist unfinished","OK"))))))))</f>
        <v>0</v>
      </c>
    </row>
    <row r="140" spans="1:50">
      <c r="A140" s="43">
        <f>IF(G140="","",JobPrefix&amp;TEXT(ROW()-4,"0000"))</f>
        <v>0</v>
      </c>
      <c r="C140" s="23">
        <f>IF(B140="","",TEXT(B140,"ddd"))</f>
        <v>0</v>
      </c>
      <c r="D140" s="31">
        <f>IF(B140="","",WEEKNUM(B140,IF(WeekStart="Sunday",1,2)))</f>
        <v>0</v>
      </c>
      <c r="E140" s="23">
        <f>IF(B140="","",TEXT(B140,"yyyy-mm"))</f>
        <v>0</v>
      </c>
      <c r="H140" s="23">
        <f>IF(G140="","",IFERROR(INDEX(Clients!$B$5:$B$204,MATCH(G140,Clients!$A$5:$A$204,0)),"Not found"))</f>
        <v>0</v>
      </c>
      <c r="I140" s="23">
        <f>IF(G140="","",IFERROR(INDEX(Clients!$C$5:$C$204,MATCH(G140,Clients!$A$5:$A$204,0)),""))</f>
        <v>0</v>
      </c>
      <c r="K140" s="23">
        <f>IF(J140="","",IFERROR(INDEX(Properties!$B$5:$B$254,MATCH(J140,Properties!$A$5:$A$254,0)),""))</f>
        <v>0</v>
      </c>
      <c r="L140" s="23">
        <f>IF(J140="","",IFERROR(INDEX(Properties!$F$5:$F$254,MATCH(J140,Properties!$A$5:$A$254,0)),""))</f>
        <v>0</v>
      </c>
      <c r="AD140" s="34">
        <f>IF(G140="","",IF(U140&lt;&gt;"",U140,IF(AND(IFERROR(INDEX(Services!$D$5:$D$64,MATCH(M140,Services!$B$5:$B$64,0)),"")="Per hour",IFERROR(INDEX(Properties!$X$5:$X$254,MATCH(J140,Properties!$A$5:$A$254,0)),0)&gt;0),IFERROR(INDEX(Properties!$X$5:$X$254,MATCH(J140,Properties!$A$5:$A$254,0)),0),IF(IFERROR(INDEX(Services!$G$5:$G$64,MATCH(M140,Services!$B$5:$B$64,0)),0)&gt;0,IFERROR(INDEX(Services!$G$5:$G$64,MATCH(M140,Services!$B$5:$B$64,0)),0),IFERROR(INDEX(Properties!$X$5:$X$254,MATCH(J140,Properties!$A$5:$A$254,0)),0)))))</f>
        <v>0</v>
      </c>
      <c r="AE140" s="31">
        <f>IF(G140="","",IF(T140="",CleanersPerJob,MAX(1,T140)))</f>
        <v>0</v>
      </c>
      <c r="AF140" s="34">
        <f>IF(G140="","",ROUND(AD140/AE140,2))</f>
        <v>0</v>
      </c>
      <c r="AG140" s="53">
        <f>IF(OR(G140="",F140="",AF140=""),"",F140+AF140/24)</f>
        <v>0</v>
      </c>
      <c r="AH140" s="21">
        <f>IF(G140="","",IF(IFERROR(INDEX(Clients!$O$5:$O$204,MATCH(G140,Clients!$A$5:$A$204,0)),0)&gt;0,IFERROR(INDEX(Clients!$O$5:$O$204,MATCH(G140,Clients!$A$5:$A$204,0)),0),HourlyRate))</f>
        <v>0</v>
      </c>
      <c r="AI140" s="21">
        <f>IF(G140="","",IF(AND(M140&lt;&gt;"",IFERROR(INDEX(Services!$P$5:$P$64,MATCH(M140,Services!$B$5:$B$64,0)),0)&gt;0,IFERROR(INDEX(Services!$D$5:$D$64,MATCH(M140,Services!$B$5:$B$64,0)),"")&lt;&gt;"Per hour"),IFERROR(INDEX(Services!$P$5:$P$64,MATCH(M140,Services!$B$5:$B$64,0)),0),AD140*AH140))</f>
        <v>0</v>
      </c>
      <c r="AJ140" s="21">
        <f>IF(G140="","",IF(V140&lt;&gt;"",V140,IF(P140="Cancelled",0,MAX(MinimumCharge,ROUND(AI140*IFERROR(INDEX(FreqFactors,MATCH(O140,FreqNames,0)),1),2)))))</f>
        <v>0</v>
      </c>
      <c r="AK140" s="34">
        <f>IF(G140="","",IF(SUMIFS(Timesheets!$U$5:$U$804,Timesheets!$G$5:$G$804,A140)&gt;0,SUMIFS(Timesheets!$U$5:$U$804,Timesheets!$G$5:$G$804,A140),IF(Z140="","",Z140)))</f>
        <v>0</v>
      </c>
      <c r="AL140" s="34">
        <f>IF(OR(AK140="",AD140=""),"",AK140-AD140)</f>
        <v>0</v>
      </c>
      <c r="AM140" s="31">
        <f>IF(A140="","",COUNTIFS('Job Tasks'!$B$5:$B$904,A140))</f>
        <v>0</v>
      </c>
      <c r="AN140" s="31">
        <f>IF(A140="","",COUNTIFS('Job Tasks'!$B$5:$B$904,A140,'Job Tasks'!$H$5:$H$904,"Done"))</f>
        <v>0</v>
      </c>
      <c r="AO140" s="38">
        <f>IF(OR(A140="",AM140=0),"",AN140/AM140)</f>
        <v>0</v>
      </c>
      <c r="AP140" s="43">
        <f>IF(A140="","",IFERROR(INDEX('Invoice Lines'!$B$5:$B$804,MATCH(A140,'Invoice Lines'!$C$5:$C$804,0)),""))</f>
        <v>0</v>
      </c>
      <c r="AQ140" s="18">
        <f>IF(OR(G140="",B140="",X140&lt;&gt;"Yes"),"",IF(IFERROR(INDEX(FreqDays,MATCH(O140,FreqNames,0)),0)=0,"",B140+IFERROR(INDEX(FreqDays,MATCH(O140,FreqNames,0)),0)))</f>
        <v>0</v>
      </c>
      <c r="AR140" s="39">
        <f>IF(G140="","",IF(R140="","Unassigned",IF(COUNTIFS($R$5:$R$604,R140,$B$5:$B$604,B140,$F$5:$F$604,F140)&gt;1,"Clash",IF(SUMIFS($AF$5:$AF$604,$R$5:$R$604,R140,$B$5:$B$604,B140)&gt;ProductiveHours,"Long day","OK"))))</f>
        <v>0</v>
      </c>
      <c r="AS140" s="18">
        <f>IF(OR(G140="",B140=""),"",IF(AND(B140&gt;=TodayDate,P140&lt;&gt;"Cancelled"),B140,""))</f>
        <v>0</v>
      </c>
      <c r="AT140" s="31">
        <f>IF(AS140="","",COUNTIFS($AS$5:$AS$604,"&lt;"&amp;AS140)+COUNTIFS($AS$5:AS140,AS140))</f>
        <v>0</v>
      </c>
      <c r="AU140" s="18">
        <f>IF(OR(G140="",B140="",R140&lt;&gt;""),"",IF(AND(B140&gt;=TodayDate,P140&lt;&gt;"Cancelled"),B140,""))</f>
        <v>0</v>
      </c>
      <c r="AV140" s="31">
        <f>IF(AU140="","",COUNTIFS($AU$5:$AU$604,"&lt;"&amp;AU140)+COUNTIFS($AU$5:AU140,AU140))</f>
        <v>0</v>
      </c>
      <c r="AW140" s="31">
        <f>IF(OR(G140="",B140=""),"",B140-TodayDate)</f>
        <v>0</v>
      </c>
      <c r="AX140" s="39">
        <f>IF(G140="","",IF(P140="Cancelled","Cancelled",IF(P140="No access","Action - no access, rebook",IF(AND(B140&lt;&gt;"",AW140&lt;0,OR(P140="Booked",P140="Confirmed",P140="In progress")),"Late - mark it completed",IF(AND(P140="Completed",AP140=""),"Action - not invoiced yet",IF(AND(AW140&gt;=0,AW140&lt;=ReminderDays,Y140&lt;&gt;"Yes"),"Confirm - visit coming up",IF(R140="","Assign - no cleaner booked",IF(AND(P140="Completed",AO140&lt;&gt;"",AO140&lt;1),"Check - checklist unfinished","OK"))))))))</f>
        <v>0</v>
      </c>
    </row>
    <row r="141" spans="1:50">
      <c r="A141" s="43">
        <f>IF(G141="","",JobPrefix&amp;TEXT(ROW()-4,"0000"))</f>
        <v>0</v>
      </c>
      <c r="C141" s="23">
        <f>IF(B141="","",TEXT(B141,"ddd"))</f>
        <v>0</v>
      </c>
      <c r="D141" s="31">
        <f>IF(B141="","",WEEKNUM(B141,IF(WeekStart="Sunday",1,2)))</f>
        <v>0</v>
      </c>
      <c r="E141" s="23">
        <f>IF(B141="","",TEXT(B141,"yyyy-mm"))</f>
        <v>0</v>
      </c>
      <c r="H141" s="23">
        <f>IF(G141="","",IFERROR(INDEX(Clients!$B$5:$B$204,MATCH(G141,Clients!$A$5:$A$204,0)),"Not found"))</f>
        <v>0</v>
      </c>
      <c r="I141" s="23">
        <f>IF(G141="","",IFERROR(INDEX(Clients!$C$5:$C$204,MATCH(G141,Clients!$A$5:$A$204,0)),""))</f>
        <v>0</v>
      </c>
      <c r="K141" s="23">
        <f>IF(J141="","",IFERROR(INDEX(Properties!$B$5:$B$254,MATCH(J141,Properties!$A$5:$A$254,0)),""))</f>
        <v>0</v>
      </c>
      <c r="L141" s="23">
        <f>IF(J141="","",IFERROR(INDEX(Properties!$F$5:$F$254,MATCH(J141,Properties!$A$5:$A$254,0)),""))</f>
        <v>0</v>
      </c>
      <c r="AD141" s="34">
        <f>IF(G141="","",IF(U141&lt;&gt;"",U141,IF(AND(IFERROR(INDEX(Services!$D$5:$D$64,MATCH(M141,Services!$B$5:$B$64,0)),"")="Per hour",IFERROR(INDEX(Properties!$X$5:$X$254,MATCH(J141,Properties!$A$5:$A$254,0)),0)&gt;0),IFERROR(INDEX(Properties!$X$5:$X$254,MATCH(J141,Properties!$A$5:$A$254,0)),0),IF(IFERROR(INDEX(Services!$G$5:$G$64,MATCH(M141,Services!$B$5:$B$64,0)),0)&gt;0,IFERROR(INDEX(Services!$G$5:$G$64,MATCH(M141,Services!$B$5:$B$64,0)),0),IFERROR(INDEX(Properties!$X$5:$X$254,MATCH(J141,Properties!$A$5:$A$254,0)),0)))))</f>
        <v>0</v>
      </c>
      <c r="AE141" s="31">
        <f>IF(G141="","",IF(T141="",CleanersPerJob,MAX(1,T141)))</f>
        <v>0</v>
      </c>
      <c r="AF141" s="34">
        <f>IF(G141="","",ROUND(AD141/AE141,2))</f>
        <v>0</v>
      </c>
      <c r="AG141" s="53">
        <f>IF(OR(G141="",F141="",AF141=""),"",F141+AF141/24)</f>
        <v>0</v>
      </c>
      <c r="AH141" s="21">
        <f>IF(G141="","",IF(IFERROR(INDEX(Clients!$O$5:$O$204,MATCH(G141,Clients!$A$5:$A$204,0)),0)&gt;0,IFERROR(INDEX(Clients!$O$5:$O$204,MATCH(G141,Clients!$A$5:$A$204,0)),0),HourlyRate))</f>
        <v>0</v>
      </c>
      <c r="AI141" s="21">
        <f>IF(G141="","",IF(AND(M141&lt;&gt;"",IFERROR(INDEX(Services!$P$5:$P$64,MATCH(M141,Services!$B$5:$B$64,0)),0)&gt;0,IFERROR(INDEX(Services!$D$5:$D$64,MATCH(M141,Services!$B$5:$B$64,0)),"")&lt;&gt;"Per hour"),IFERROR(INDEX(Services!$P$5:$P$64,MATCH(M141,Services!$B$5:$B$64,0)),0),AD141*AH141))</f>
        <v>0</v>
      </c>
      <c r="AJ141" s="21">
        <f>IF(G141="","",IF(V141&lt;&gt;"",V141,IF(P141="Cancelled",0,MAX(MinimumCharge,ROUND(AI141*IFERROR(INDEX(FreqFactors,MATCH(O141,FreqNames,0)),1),2)))))</f>
        <v>0</v>
      </c>
      <c r="AK141" s="34">
        <f>IF(G141="","",IF(SUMIFS(Timesheets!$U$5:$U$804,Timesheets!$G$5:$G$804,A141)&gt;0,SUMIFS(Timesheets!$U$5:$U$804,Timesheets!$G$5:$G$804,A141),IF(Z141="","",Z141)))</f>
        <v>0</v>
      </c>
      <c r="AL141" s="34">
        <f>IF(OR(AK141="",AD141=""),"",AK141-AD141)</f>
        <v>0</v>
      </c>
      <c r="AM141" s="31">
        <f>IF(A141="","",COUNTIFS('Job Tasks'!$B$5:$B$904,A141))</f>
        <v>0</v>
      </c>
      <c r="AN141" s="31">
        <f>IF(A141="","",COUNTIFS('Job Tasks'!$B$5:$B$904,A141,'Job Tasks'!$H$5:$H$904,"Done"))</f>
        <v>0</v>
      </c>
      <c r="AO141" s="38">
        <f>IF(OR(A141="",AM141=0),"",AN141/AM141)</f>
        <v>0</v>
      </c>
      <c r="AP141" s="43">
        <f>IF(A141="","",IFERROR(INDEX('Invoice Lines'!$B$5:$B$804,MATCH(A141,'Invoice Lines'!$C$5:$C$804,0)),""))</f>
        <v>0</v>
      </c>
      <c r="AQ141" s="18">
        <f>IF(OR(G141="",B141="",X141&lt;&gt;"Yes"),"",IF(IFERROR(INDEX(FreqDays,MATCH(O141,FreqNames,0)),0)=0,"",B141+IFERROR(INDEX(FreqDays,MATCH(O141,FreqNames,0)),0)))</f>
        <v>0</v>
      </c>
      <c r="AR141" s="39">
        <f>IF(G141="","",IF(R141="","Unassigned",IF(COUNTIFS($R$5:$R$604,R141,$B$5:$B$604,B141,$F$5:$F$604,F141)&gt;1,"Clash",IF(SUMIFS($AF$5:$AF$604,$R$5:$R$604,R141,$B$5:$B$604,B141)&gt;ProductiveHours,"Long day","OK"))))</f>
        <v>0</v>
      </c>
      <c r="AS141" s="18">
        <f>IF(OR(G141="",B141=""),"",IF(AND(B141&gt;=TodayDate,P141&lt;&gt;"Cancelled"),B141,""))</f>
        <v>0</v>
      </c>
      <c r="AT141" s="31">
        <f>IF(AS141="","",COUNTIFS($AS$5:$AS$604,"&lt;"&amp;AS141)+COUNTIFS($AS$5:AS141,AS141))</f>
        <v>0</v>
      </c>
      <c r="AU141" s="18">
        <f>IF(OR(G141="",B141="",R141&lt;&gt;""),"",IF(AND(B141&gt;=TodayDate,P141&lt;&gt;"Cancelled"),B141,""))</f>
        <v>0</v>
      </c>
      <c r="AV141" s="31">
        <f>IF(AU141="","",COUNTIFS($AU$5:$AU$604,"&lt;"&amp;AU141)+COUNTIFS($AU$5:AU141,AU141))</f>
        <v>0</v>
      </c>
      <c r="AW141" s="31">
        <f>IF(OR(G141="",B141=""),"",B141-TodayDate)</f>
        <v>0</v>
      </c>
      <c r="AX141" s="39">
        <f>IF(G141="","",IF(P141="Cancelled","Cancelled",IF(P141="No access","Action - no access, rebook",IF(AND(B141&lt;&gt;"",AW141&lt;0,OR(P141="Booked",P141="Confirmed",P141="In progress")),"Late - mark it completed",IF(AND(P141="Completed",AP141=""),"Action - not invoiced yet",IF(AND(AW141&gt;=0,AW141&lt;=ReminderDays,Y141&lt;&gt;"Yes"),"Confirm - visit coming up",IF(R141="","Assign - no cleaner booked",IF(AND(P141="Completed",AO141&lt;&gt;"",AO141&lt;1),"Check - checklist unfinished","OK"))))))))</f>
        <v>0</v>
      </c>
    </row>
    <row r="142" spans="1:50">
      <c r="A142" s="43">
        <f>IF(G142="","",JobPrefix&amp;TEXT(ROW()-4,"0000"))</f>
        <v>0</v>
      </c>
      <c r="C142" s="23">
        <f>IF(B142="","",TEXT(B142,"ddd"))</f>
        <v>0</v>
      </c>
      <c r="D142" s="31">
        <f>IF(B142="","",WEEKNUM(B142,IF(WeekStart="Sunday",1,2)))</f>
        <v>0</v>
      </c>
      <c r="E142" s="23">
        <f>IF(B142="","",TEXT(B142,"yyyy-mm"))</f>
        <v>0</v>
      </c>
      <c r="H142" s="23">
        <f>IF(G142="","",IFERROR(INDEX(Clients!$B$5:$B$204,MATCH(G142,Clients!$A$5:$A$204,0)),"Not found"))</f>
        <v>0</v>
      </c>
      <c r="I142" s="23">
        <f>IF(G142="","",IFERROR(INDEX(Clients!$C$5:$C$204,MATCH(G142,Clients!$A$5:$A$204,0)),""))</f>
        <v>0</v>
      </c>
      <c r="K142" s="23">
        <f>IF(J142="","",IFERROR(INDEX(Properties!$B$5:$B$254,MATCH(J142,Properties!$A$5:$A$254,0)),""))</f>
        <v>0</v>
      </c>
      <c r="L142" s="23">
        <f>IF(J142="","",IFERROR(INDEX(Properties!$F$5:$F$254,MATCH(J142,Properties!$A$5:$A$254,0)),""))</f>
        <v>0</v>
      </c>
      <c r="AD142" s="34">
        <f>IF(G142="","",IF(U142&lt;&gt;"",U142,IF(AND(IFERROR(INDEX(Services!$D$5:$D$64,MATCH(M142,Services!$B$5:$B$64,0)),"")="Per hour",IFERROR(INDEX(Properties!$X$5:$X$254,MATCH(J142,Properties!$A$5:$A$254,0)),0)&gt;0),IFERROR(INDEX(Properties!$X$5:$X$254,MATCH(J142,Properties!$A$5:$A$254,0)),0),IF(IFERROR(INDEX(Services!$G$5:$G$64,MATCH(M142,Services!$B$5:$B$64,0)),0)&gt;0,IFERROR(INDEX(Services!$G$5:$G$64,MATCH(M142,Services!$B$5:$B$64,0)),0),IFERROR(INDEX(Properties!$X$5:$X$254,MATCH(J142,Properties!$A$5:$A$254,0)),0)))))</f>
        <v>0</v>
      </c>
      <c r="AE142" s="31">
        <f>IF(G142="","",IF(T142="",CleanersPerJob,MAX(1,T142)))</f>
        <v>0</v>
      </c>
      <c r="AF142" s="34">
        <f>IF(G142="","",ROUND(AD142/AE142,2))</f>
        <v>0</v>
      </c>
      <c r="AG142" s="53">
        <f>IF(OR(G142="",F142="",AF142=""),"",F142+AF142/24)</f>
        <v>0</v>
      </c>
      <c r="AH142" s="21">
        <f>IF(G142="","",IF(IFERROR(INDEX(Clients!$O$5:$O$204,MATCH(G142,Clients!$A$5:$A$204,0)),0)&gt;0,IFERROR(INDEX(Clients!$O$5:$O$204,MATCH(G142,Clients!$A$5:$A$204,0)),0),HourlyRate))</f>
        <v>0</v>
      </c>
      <c r="AI142" s="21">
        <f>IF(G142="","",IF(AND(M142&lt;&gt;"",IFERROR(INDEX(Services!$P$5:$P$64,MATCH(M142,Services!$B$5:$B$64,0)),0)&gt;0,IFERROR(INDEX(Services!$D$5:$D$64,MATCH(M142,Services!$B$5:$B$64,0)),"")&lt;&gt;"Per hour"),IFERROR(INDEX(Services!$P$5:$P$64,MATCH(M142,Services!$B$5:$B$64,0)),0),AD142*AH142))</f>
        <v>0</v>
      </c>
      <c r="AJ142" s="21">
        <f>IF(G142="","",IF(V142&lt;&gt;"",V142,IF(P142="Cancelled",0,MAX(MinimumCharge,ROUND(AI142*IFERROR(INDEX(FreqFactors,MATCH(O142,FreqNames,0)),1),2)))))</f>
        <v>0</v>
      </c>
      <c r="AK142" s="34">
        <f>IF(G142="","",IF(SUMIFS(Timesheets!$U$5:$U$804,Timesheets!$G$5:$G$804,A142)&gt;0,SUMIFS(Timesheets!$U$5:$U$804,Timesheets!$G$5:$G$804,A142),IF(Z142="","",Z142)))</f>
        <v>0</v>
      </c>
      <c r="AL142" s="34">
        <f>IF(OR(AK142="",AD142=""),"",AK142-AD142)</f>
        <v>0</v>
      </c>
      <c r="AM142" s="31">
        <f>IF(A142="","",COUNTIFS('Job Tasks'!$B$5:$B$904,A142))</f>
        <v>0</v>
      </c>
      <c r="AN142" s="31">
        <f>IF(A142="","",COUNTIFS('Job Tasks'!$B$5:$B$904,A142,'Job Tasks'!$H$5:$H$904,"Done"))</f>
        <v>0</v>
      </c>
      <c r="AO142" s="38">
        <f>IF(OR(A142="",AM142=0),"",AN142/AM142)</f>
        <v>0</v>
      </c>
      <c r="AP142" s="43">
        <f>IF(A142="","",IFERROR(INDEX('Invoice Lines'!$B$5:$B$804,MATCH(A142,'Invoice Lines'!$C$5:$C$804,0)),""))</f>
        <v>0</v>
      </c>
      <c r="AQ142" s="18">
        <f>IF(OR(G142="",B142="",X142&lt;&gt;"Yes"),"",IF(IFERROR(INDEX(FreqDays,MATCH(O142,FreqNames,0)),0)=0,"",B142+IFERROR(INDEX(FreqDays,MATCH(O142,FreqNames,0)),0)))</f>
        <v>0</v>
      </c>
      <c r="AR142" s="39">
        <f>IF(G142="","",IF(R142="","Unassigned",IF(COUNTIFS($R$5:$R$604,R142,$B$5:$B$604,B142,$F$5:$F$604,F142)&gt;1,"Clash",IF(SUMIFS($AF$5:$AF$604,$R$5:$R$604,R142,$B$5:$B$604,B142)&gt;ProductiveHours,"Long day","OK"))))</f>
        <v>0</v>
      </c>
      <c r="AS142" s="18">
        <f>IF(OR(G142="",B142=""),"",IF(AND(B142&gt;=TodayDate,P142&lt;&gt;"Cancelled"),B142,""))</f>
        <v>0</v>
      </c>
      <c r="AT142" s="31">
        <f>IF(AS142="","",COUNTIFS($AS$5:$AS$604,"&lt;"&amp;AS142)+COUNTIFS($AS$5:AS142,AS142))</f>
        <v>0</v>
      </c>
      <c r="AU142" s="18">
        <f>IF(OR(G142="",B142="",R142&lt;&gt;""),"",IF(AND(B142&gt;=TodayDate,P142&lt;&gt;"Cancelled"),B142,""))</f>
        <v>0</v>
      </c>
      <c r="AV142" s="31">
        <f>IF(AU142="","",COUNTIFS($AU$5:$AU$604,"&lt;"&amp;AU142)+COUNTIFS($AU$5:AU142,AU142))</f>
        <v>0</v>
      </c>
      <c r="AW142" s="31">
        <f>IF(OR(G142="",B142=""),"",B142-TodayDate)</f>
        <v>0</v>
      </c>
      <c r="AX142" s="39">
        <f>IF(G142="","",IF(P142="Cancelled","Cancelled",IF(P142="No access","Action - no access, rebook",IF(AND(B142&lt;&gt;"",AW142&lt;0,OR(P142="Booked",P142="Confirmed",P142="In progress")),"Late - mark it completed",IF(AND(P142="Completed",AP142=""),"Action - not invoiced yet",IF(AND(AW142&gt;=0,AW142&lt;=ReminderDays,Y142&lt;&gt;"Yes"),"Confirm - visit coming up",IF(R142="","Assign - no cleaner booked",IF(AND(P142="Completed",AO142&lt;&gt;"",AO142&lt;1),"Check - checklist unfinished","OK"))))))))</f>
        <v>0</v>
      </c>
    </row>
    <row r="143" spans="1:50">
      <c r="A143" s="43">
        <f>IF(G143="","",JobPrefix&amp;TEXT(ROW()-4,"0000"))</f>
        <v>0</v>
      </c>
      <c r="C143" s="23">
        <f>IF(B143="","",TEXT(B143,"ddd"))</f>
        <v>0</v>
      </c>
      <c r="D143" s="31">
        <f>IF(B143="","",WEEKNUM(B143,IF(WeekStart="Sunday",1,2)))</f>
        <v>0</v>
      </c>
      <c r="E143" s="23">
        <f>IF(B143="","",TEXT(B143,"yyyy-mm"))</f>
        <v>0</v>
      </c>
      <c r="H143" s="23">
        <f>IF(G143="","",IFERROR(INDEX(Clients!$B$5:$B$204,MATCH(G143,Clients!$A$5:$A$204,0)),"Not found"))</f>
        <v>0</v>
      </c>
      <c r="I143" s="23">
        <f>IF(G143="","",IFERROR(INDEX(Clients!$C$5:$C$204,MATCH(G143,Clients!$A$5:$A$204,0)),""))</f>
        <v>0</v>
      </c>
      <c r="K143" s="23">
        <f>IF(J143="","",IFERROR(INDEX(Properties!$B$5:$B$254,MATCH(J143,Properties!$A$5:$A$254,0)),""))</f>
        <v>0</v>
      </c>
      <c r="L143" s="23">
        <f>IF(J143="","",IFERROR(INDEX(Properties!$F$5:$F$254,MATCH(J143,Properties!$A$5:$A$254,0)),""))</f>
        <v>0</v>
      </c>
      <c r="AD143" s="34">
        <f>IF(G143="","",IF(U143&lt;&gt;"",U143,IF(AND(IFERROR(INDEX(Services!$D$5:$D$64,MATCH(M143,Services!$B$5:$B$64,0)),"")="Per hour",IFERROR(INDEX(Properties!$X$5:$X$254,MATCH(J143,Properties!$A$5:$A$254,0)),0)&gt;0),IFERROR(INDEX(Properties!$X$5:$X$254,MATCH(J143,Properties!$A$5:$A$254,0)),0),IF(IFERROR(INDEX(Services!$G$5:$G$64,MATCH(M143,Services!$B$5:$B$64,0)),0)&gt;0,IFERROR(INDEX(Services!$G$5:$G$64,MATCH(M143,Services!$B$5:$B$64,0)),0),IFERROR(INDEX(Properties!$X$5:$X$254,MATCH(J143,Properties!$A$5:$A$254,0)),0)))))</f>
        <v>0</v>
      </c>
      <c r="AE143" s="31">
        <f>IF(G143="","",IF(T143="",CleanersPerJob,MAX(1,T143)))</f>
        <v>0</v>
      </c>
      <c r="AF143" s="34">
        <f>IF(G143="","",ROUND(AD143/AE143,2))</f>
        <v>0</v>
      </c>
      <c r="AG143" s="53">
        <f>IF(OR(G143="",F143="",AF143=""),"",F143+AF143/24)</f>
        <v>0</v>
      </c>
      <c r="AH143" s="21">
        <f>IF(G143="","",IF(IFERROR(INDEX(Clients!$O$5:$O$204,MATCH(G143,Clients!$A$5:$A$204,0)),0)&gt;0,IFERROR(INDEX(Clients!$O$5:$O$204,MATCH(G143,Clients!$A$5:$A$204,0)),0),HourlyRate))</f>
        <v>0</v>
      </c>
      <c r="AI143" s="21">
        <f>IF(G143="","",IF(AND(M143&lt;&gt;"",IFERROR(INDEX(Services!$P$5:$P$64,MATCH(M143,Services!$B$5:$B$64,0)),0)&gt;0,IFERROR(INDEX(Services!$D$5:$D$64,MATCH(M143,Services!$B$5:$B$64,0)),"")&lt;&gt;"Per hour"),IFERROR(INDEX(Services!$P$5:$P$64,MATCH(M143,Services!$B$5:$B$64,0)),0),AD143*AH143))</f>
        <v>0</v>
      </c>
      <c r="AJ143" s="21">
        <f>IF(G143="","",IF(V143&lt;&gt;"",V143,IF(P143="Cancelled",0,MAX(MinimumCharge,ROUND(AI143*IFERROR(INDEX(FreqFactors,MATCH(O143,FreqNames,0)),1),2)))))</f>
        <v>0</v>
      </c>
      <c r="AK143" s="34">
        <f>IF(G143="","",IF(SUMIFS(Timesheets!$U$5:$U$804,Timesheets!$G$5:$G$804,A143)&gt;0,SUMIFS(Timesheets!$U$5:$U$804,Timesheets!$G$5:$G$804,A143),IF(Z143="","",Z143)))</f>
        <v>0</v>
      </c>
      <c r="AL143" s="34">
        <f>IF(OR(AK143="",AD143=""),"",AK143-AD143)</f>
        <v>0</v>
      </c>
      <c r="AM143" s="31">
        <f>IF(A143="","",COUNTIFS('Job Tasks'!$B$5:$B$904,A143))</f>
        <v>0</v>
      </c>
      <c r="AN143" s="31">
        <f>IF(A143="","",COUNTIFS('Job Tasks'!$B$5:$B$904,A143,'Job Tasks'!$H$5:$H$904,"Done"))</f>
        <v>0</v>
      </c>
      <c r="AO143" s="38">
        <f>IF(OR(A143="",AM143=0),"",AN143/AM143)</f>
        <v>0</v>
      </c>
      <c r="AP143" s="43">
        <f>IF(A143="","",IFERROR(INDEX('Invoice Lines'!$B$5:$B$804,MATCH(A143,'Invoice Lines'!$C$5:$C$804,0)),""))</f>
        <v>0</v>
      </c>
      <c r="AQ143" s="18">
        <f>IF(OR(G143="",B143="",X143&lt;&gt;"Yes"),"",IF(IFERROR(INDEX(FreqDays,MATCH(O143,FreqNames,0)),0)=0,"",B143+IFERROR(INDEX(FreqDays,MATCH(O143,FreqNames,0)),0)))</f>
        <v>0</v>
      </c>
      <c r="AR143" s="39">
        <f>IF(G143="","",IF(R143="","Unassigned",IF(COUNTIFS($R$5:$R$604,R143,$B$5:$B$604,B143,$F$5:$F$604,F143)&gt;1,"Clash",IF(SUMIFS($AF$5:$AF$604,$R$5:$R$604,R143,$B$5:$B$604,B143)&gt;ProductiveHours,"Long day","OK"))))</f>
        <v>0</v>
      </c>
      <c r="AS143" s="18">
        <f>IF(OR(G143="",B143=""),"",IF(AND(B143&gt;=TodayDate,P143&lt;&gt;"Cancelled"),B143,""))</f>
        <v>0</v>
      </c>
      <c r="AT143" s="31">
        <f>IF(AS143="","",COUNTIFS($AS$5:$AS$604,"&lt;"&amp;AS143)+COUNTIFS($AS$5:AS143,AS143))</f>
        <v>0</v>
      </c>
      <c r="AU143" s="18">
        <f>IF(OR(G143="",B143="",R143&lt;&gt;""),"",IF(AND(B143&gt;=TodayDate,P143&lt;&gt;"Cancelled"),B143,""))</f>
        <v>0</v>
      </c>
      <c r="AV143" s="31">
        <f>IF(AU143="","",COUNTIFS($AU$5:$AU$604,"&lt;"&amp;AU143)+COUNTIFS($AU$5:AU143,AU143))</f>
        <v>0</v>
      </c>
      <c r="AW143" s="31">
        <f>IF(OR(G143="",B143=""),"",B143-TodayDate)</f>
        <v>0</v>
      </c>
      <c r="AX143" s="39">
        <f>IF(G143="","",IF(P143="Cancelled","Cancelled",IF(P143="No access","Action - no access, rebook",IF(AND(B143&lt;&gt;"",AW143&lt;0,OR(P143="Booked",P143="Confirmed",P143="In progress")),"Late - mark it completed",IF(AND(P143="Completed",AP143=""),"Action - not invoiced yet",IF(AND(AW143&gt;=0,AW143&lt;=ReminderDays,Y143&lt;&gt;"Yes"),"Confirm - visit coming up",IF(R143="","Assign - no cleaner booked",IF(AND(P143="Completed",AO143&lt;&gt;"",AO143&lt;1),"Check - checklist unfinished","OK"))))))))</f>
        <v>0</v>
      </c>
    </row>
    <row r="144" spans="1:50">
      <c r="A144" s="43">
        <f>IF(G144="","",JobPrefix&amp;TEXT(ROW()-4,"0000"))</f>
        <v>0</v>
      </c>
      <c r="C144" s="23">
        <f>IF(B144="","",TEXT(B144,"ddd"))</f>
        <v>0</v>
      </c>
      <c r="D144" s="31">
        <f>IF(B144="","",WEEKNUM(B144,IF(WeekStart="Sunday",1,2)))</f>
        <v>0</v>
      </c>
      <c r="E144" s="23">
        <f>IF(B144="","",TEXT(B144,"yyyy-mm"))</f>
        <v>0</v>
      </c>
      <c r="H144" s="23">
        <f>IF(G144="","",IFERROR(INDEX(Clients!$B$5:$B$204,MATCH(G144,Clients!$A$5:$A$204,0)),"Not found"))</f>
        <v>0</v>
      </c>
      <c r="I144" s="23">
        <f>IF(G144="","",IFERROR(INDEX(Clients!$C$5:$C$204,MATCH(G144,Clients!$A$5:$A$204,0)),""))</f>
        <v>0</v>
      </c>
      <c r="K144" s="23">
        <f>IF(J144="","",IFERROR(INDEX(Properties!$B$5:$B$254,MATCH(J144,Properties!$A$5:$A$254,0)),""))</f>
        <v>0</v>
      </c>
      <c r="L144" s="23">
        <f>IF(J144="","",IFERROR(INDEX(Properties!$F$5:$F$254,MATCH(J144,Properties!$A$5:$A$254,0)),""))</f>
        <v>0</v>
      </c>
      <c r="AD144" s="34">
        <f>IF(G144="","",IF(U144&lt;&gt;"",U144,IF(AND(IFERROR(INDEX(Services!$D$5:$D$64,MATCH(M144,Services!$B$5:$B$64,0)),"")="Per hour",IFERROR(INDEX(Properties!$X$5:$X$254,MATCH(J144,Properties!$A$5:$A$254,0)),0)&gt;0),IFERROR(INDEX(Properties!$X$5:$X$254,MATCH(J144,Properties!$A$5:$A$254,0)),0),IF(IFERROR(INDEX(Services!$G$5:$G$64,MATCH(M144,Services!$B$5:$B$64,0)),0)&gt;0,IFERROR(INDEX(Services!$G$5:$G$64,MATCH(M144,Services!$B$5:$B$64,0)),0),IFERROR(INDEX(Properties!$X$5:$X$254,MATCH(J144,Properties!$A$5:$A$254,0)),0)))))</f>
        <v>0</v>
      </c>
      <c r="AE144" s="31">
        <f>IF(G144="","",IF(T144="",CleanersPerJob,MAX(1,T144)))</f>
        <v>0</v>
      </c>
      <c r="AF144" s="34">
        <f>IF(G144="","",ROUND(AD144/AE144,2))</f>
        <v>0</v>
      </c>
      <c r="AG144" s="53">
        <f>IF(OR(G144="",F144="",AF144=""),"",F144+AF144/24)</f>
        <v>0</v>
      </c>
      <c r="AH144" s="21">
        <f>IF(G144="","",IF(IFERROR(INDEX(Clients!$O$5:$O$204,MATCH(G144,Clients!$A$5:$A$204,0)),0)&gt;0,IFERROR(INDEX(Clients!$O$5:$O$204,MATCH(G144,Clients!$A$5:$A$204,0)),0),HourlyRate))</f>
        <v>0</v>
      </c>
      <c r="AI144" s="21">
        <f>IF(G144="","",IF(AND(M144&lt;&gt;"",IFERROR(INDEX(Services!$P$5:$P$64,MATCH(M144,Services!$B$5:$B$64,0)),0)&gt;0,IFERROR(INDEX(Services!$D$5:$D$64,MATCH(M144,Services!$B$5:$B$64,0)),"")&lt;&gt;"Per hour"),IFERROR(INDEX(Services!$P$5:$P$64,MATCH(M144,Services!$B$5:$B$64,0)),0),AD144*AH144))</f>
        <v>0</v>
      </c>
      <c r="AJ144" s="21">
        <f>IF(G144="","",IF(V144&lt;&gt;"",V144,IF(P144="Cancelled",0,MAX(MinimumCharge,ROUND(AI144*IFERROR(INDEX(FreqFactors,MATCH(O144,FreqNames,0)),1),2)))))</f>
        <v>0</v>
      </c>
      <c r="AK144" s="34">
        <f>IF(G144="","",IF(SUMIFS(Timesheets!$U$5:$U$804,Timesheets!$G$5:$G$804,A144)&gt;0,SUMIFS(Timesheets!$U$5:$U$804,Timesheets!$G$5:$G$804,A144),IF(Z144="","",Z144)))</f>
        <v>0</v>
      </c>
      <c r="AL144" s="34">
        <f>IF(OR(AK144="",AD144=""),"",AK144-AD144)</f>
        <v>0</v>
      </c>
      <c r="AM144" s="31">
        <f>IF(A144="","",COUNTIFS('Job Tasks'!$B$5:$B$904,A144))</f>
        <v>0</v>
      </c>
      <c r="AN144" s="31">
        <f>IF(A144="","",COUNTIFS('Job Tasks'!$B$5:$B$904,A144,'Job Tasks'!$H$5:$H$904,"Done"))</f>
        <v>0</v>
      </c>
      <c r="AO144" s="38">
        <f>IF(OR(A144="",AM144=0),"",AN144/AM144)</f>
        <v>0</v>
      </c>
      <c r="AP144" s="43">
        <f>IF(A144="","",IFERROR(INDEX('Invoice Lines'!$B$5:$B$804,MATCH(A144,'Invoice Lines'!$C$5:$C$804,0)),""))</f>
        <v>0</v>
      </c>
      <c r="AQ144" s="18">
        <f>IF(OR(G144="",B144="",X144&lt;&gt;"Yes"),"",IF(IFERROR(INDEX(FreqDays,MATCH(O144,FreqNames,0)),0)=0,"",B144+IFERROR(INDEX(FreqDays,MATCH(O144,FreqNames,0)),0)))</f>
        <v>0</v>
      </c>
      <c r="AR144" s="39">
        <f>IF(G144="","",IF(R144="","Unassigned",IF(COUNTIFS($R$5:$R$604,R144,$B$5:$B$604,B144,$F$5:$F$604,F144)&gt;1,"Clash",IF(SUMIFS($AF$5:$AF$604,$R$5:$R$604,R144,$B$5:$B$604,B144)&gt;ProductiveHours,"Long day","OK"))))</f>
        <v>0</v>
      </c>
      <c r="AS144" s="18">
        <f>IF(OR(G144="",B144=""),"",IF(AND(B144&gt;=TodayDate,P144&lt;&gt;"Cancelled"),B144,""))</f>
        <v>0</v>
      </c>
      <c r="AT144" s="31">
        <f>IF(AS144="","",COUNTIFS($AS$5:$AS$604,"&lt;"&amp;AS144)+COUNTIFS($AS$5:AS144,AS144))</f>
        <v>0</v>
      </c>
      <c r="AU144" s="18">
        <f>IF(OR(G144="",B144="",R144&lt;&gt;""),"",IF(AND(B144&gt;=TodayDate,P144&lt;&gt;"Cancelled"),B144,""))</f>
        <v>0</v>
      </c>
      <c r="AV144" s="31">
        <f>IF(AU144="","",COUNTIFS($AU$5:$AU$604,"&lt;"&amp;AU144)+COUNTIFS($AU$5:AU144,AU144))</f>
        <v>0</v>
      </c>
      <c r="AW144" s="31">
        <f>IF(OR(G144="",B144=""),"",B144-TodayDate)</f>
        <v>0</v>
      </c>
      <c r="AX144" s="39">
        <f>IF(G144="","",IF(P144="Cancelled","Cancelled",IF(P144="No access","Action - no access, rebook",IF(AND(B144&lt;&gt;"",AW144&lt;0,OR(P144="Booked",P144="Confirmed",P144="In progress")),"Late - mark it completed",IF(AND(P144="Completed",AP144=""),"Action - not invoiced yet",IF(AND(AW144&gt;=0,AW144&lt;=ReminderDays,Y144&lt;&gt;"Yes"),"Confirm - visit coming up",IF(R144="","Assign - no cleaner booked",IF(AND(P144="Completed",AO144&lt;&gt;"",AO144&lt;1),"Check - checklist unfinished","OK"))))))))</f>
        <v>0</v>
      </c>
    </row>
    <row r="145" spans="1:50">
      <c r="A145" s="43">
        <f>IF(G145="","",JobPrefix&amp;TEXT(ROW()-4,"0000"))</f>
        <v>0</v>
      </c>
      <c r="C145" s="23">
        <f>IF(B145="","",TEXT(B145,"ddd"))</f>
        <v>0</v>
      </c>
      <c r="D145" s="31">
        <f>IF(B145="","",WEEKNUM(B145,IF(WeekStart="Sunday",1,2)))</f>
        <v>0</v>
      </c>
      <c r="E145" s="23">
        <f>IF(B145="","",TEXT(B145,"yyyy-mm"))</f>
        <v>0</v>
      </c>
      <c r="H145" s="23">
        <f>IF(G145="","",IFERROR(INDEX(Clients!$B$5:$B$204,MATCH(G145,Clients!$A$5:$A$204,0)),"Not found"))</f>
        <v>0</v>
      </c>
      <c r="I145" s="23">
        <f>IF(G145="","",IFERROR(INDEX(Clients!$C$5:$C$204,MATCH(G145,Clients!$A$5:$A$204,0)),""))</f>
        <v>0</v>
      </c>
      <c r="K145" s="23">
        <f>IF(J145="","",IFERROR(INDEX(Properties!$B$5:$B$254,MATCH(J145,Properties!$A$5:$A$254,0)),""))</f>
        <v>0</v>
      </c>
      <c r="L145" s="23">
        <f>IF(J145="","",IFERROR(INDEX(Properties!$F$5:$F$254,MATCH(J145,Properties!$A$5:$A$254,0)),""))</f>
        <v>0</v>
      </c>
      <c r="AD145" s="34">
        <f>IF(G145="","",IF(U145&lt;&gt;"",U145,IF(AND(IFERROR(INDEX(Services!$D$5:$D$64,MATCH(M145,Services!$B$5:$B$64,0)),"")="Per hour",IFERROR(INDEX(Properties!$X$5:$X$254,MATCH(J145,Properties!$A$5:$A$254,0)),0)&gt;0),IFERROR(INDEX(Properties!$X$5:$X$254,MATCH(J145,Properties!$A$5:$A$254,0)),0),IF(IFERROR(INDEX(Services!$G$5:$G$64,MATCH(M145,Services!$B$5:$B$64,0)),0)&gt;0,IFERROR(INDEX(Services!$G$5:$G$64,MATCH(M145,Services!$B$5:$B$64,0)),0),IFERROR(INDEX(Properties!$X$5:$X$254,MATCH(J145,Properties!$A$5:$A$254,0)),0)))))</f>
        <v>0</v>
      </c>
      <c r="AE145" s="31">
        <f>IF(G145="","",IF(T145="",CleanersPerJob,MAX(1,T145)))</f>
        <v>0</v>
      </c>
      <c r="AF145" s="34">
        <f>IF(G145="","",ROUND(AD145/AE145,2))</f>
        <v>0</v>
      </c>
      <c r="AG145" s="53">
        <f>IF(OR(G145="",F145="",AF145=""),"",F145+AF145/24)</f>
        <v>0</v>
      </c>
      <c r="AH145" s="21">
        <f>IF(G145="","",IF(IFERROR(INDEX(Clients!$O$5:$O$204,MATCH(G145,Clients!$A$5:$A$204,0)),0)&gt;0,IFERROR(INDEX(Clients!$O$5:$O$204,MATCH(G145,Clients!$A$5:$A$204,0)),0),HourlyRate))</f>
        <v>0</v>
      </c>
      <c r="AI145" s="21">
        <f>IF(G145="","",IF(AND(M145&lt;&gt;"",IFERROR(INDEX(Services!$P$5:$P$64,MATCH(M145,Services!$B$5:$B$64,0)),0)&gt;0,IFERROR(INDEX(Services!$D$5:$D$64,MATCH(M145,Services!$B$5:$B$64,0)),"")&lt;&gt;"Per hour"),IFERROR(INDEX(Services!$P$5:$P$64,MATCH(M145,Services!$B$5:$B$64,0)),0),AD145*AH145))</f>
        <v>0</v>
      </c>
      <c r="AJ145" s="21">
        <f>IF(G145="","",IF(V145&lt;&gt;"",V145,IF(P145="Cancelled",0,MAX(MinimumCharge,ROUND(AI145*IFERROR(INDEX(FreqFactors,MATCH(O145,FreqNames,0)),1),2)))))</f>
        <v>0</v>
      </c>
      <c r="AK145" s="34">
        <f>IF(G145="","",IF(SUMIFS(Timesheets!$U$5:$U$804,Timesheets!$G$5:$G$804,A145)&gt;0,SUMIFS(Timesheets!$U$5:$U$804,Timesheets!$G$5:$G$804,A145),IF(Z145="","",Z145)))</f>
        <v>0</v>
      </c>
      <c r="AL145" s="34">
        <f>IF(OR(AK145="",AD145=""),"",AK145-AD145)</f>
        <v>0</v>
      </c>
      <c r="AM145" s="31">
        <f>IF(A145="","",COUNTIFS('Job Tasks'!$B$5:$B$904,A145))</f>
        <v>0</v>
      </c>
      <c r="AN145" s="31">
        <f>IF(A145="","",COUNTIFS('Job Tasks'!$B$5:$B$904,A145,'Job Tasks'!$H$5:$H$904,"Done"))</f>
        <v>0</v>
      </c>
      <c r="AO145" s="38">
        <f>IF(OR(A145="",AM145=0),"",AN145/AM145)</f>
        <v>0</v>
      </c>
      <c r="AP145" s="43">
        <f>IF(A145="","",IFERROR(INDEX('Invoice Lines'!$B$5:$B$804,MATCH(A145,'Invoice Lines'!$C$5:$C$804,0)),""))</f>
        <v>0</v>
      </c>
      <c r="AQ145" s="18">
        <f>IF(OR(G145="",B145="",X145&lt;&gt;"Yes"),"",IF(IFERROR(INDEX(FreqDays,MATCH(O145,FreqNames,0)),0)=0,"",B145+IFERROR(INDEX(FreqDays,MATCH(O145,FreqNames,0)),0)))</f>
        <v>0</v>
      </c>
      <c r="AR145" s="39">
        <f>IF(G145="","",IF(R145="","Unassigned",IF(COUNTIFS($R$5:$R$604,R145,$B$5:$B$604,B145,$F$5:$F$604,F145)&gt;1,"Clash",IF(SUMIFS($AF$5:$AF$604,$R$5:$R$604,R145,$B$5:$B$604,B145)&gt;ProductiveHours,"Long day","OK"))))</f>
        <v>0</v>
      </c>
      <c r="AS145" s="18">
        <f>IF(OR(G145="",B145=""),"",IF(AND(B145&gt;=TodayDate,P145&lt;&gt;"Cancelled"),B145,""))</f>
        <v>0</v>
      </c>
      <c r="AT145" s="31">
        <f>IF(AS145="","",COUNTIFS($AS$5:$AS$604,"&lt;"&amp;AS145)+COUNTIFS($AS$5:AS145,AS145))</f>
        <v>0</v>
      </c>
      <c r="AU145" s="18">
        <f>IF(OR(G145="",B145="",R145&lt;&gt;""),"",IF(AND(B145&gt;=TodayDate,P145&lt;&gt;"Cancelled"),B145,""))</f>
        <v>0</v>
      </c>
      <c r="AV145" s="31">
        <f>IF(AU145="","",COUNTIFS($AU$5:$AU$604,"&lt;"&amp;AU145)+COUNTIFS($AU$5:AU145,AU145))</f>
        <v>0</v>
      </c>
      <c r="AW145" s="31">
        <f>IF(OR(G145="",B145=""),"",B145-TodayDate)</f>
        <v>0</v>
      </c>
      <c r="AX145" s="39">
        <f>IF(G145="","",IF(P145="Cancelled","Cancelled",IF(P145="No access","Action - no access, rebook",IF(AND(B145&lt;&gt;"",AW145&lt;0,OR(P145="Booked",P145="Confirmed",P145="In progress")),"Late - mark it completed",IF(AND(P145="Completed",AP145=""),"Action - not invoiced yet",IF(AND(AW145&gt;=0,AW145&lt;=ReminderDays,Y145&lt;&gt;"Yes"),"Confirm - visit coming up",IF(R145="","Assign - no cleaner booked",IF(AND(P145="Completed",AO145&lt;&gt;"",AO145&lt;1),"Check - checklist unfinished","OK"))))))))</f>
        <v>0</v>
      </c>
    </row>
    <row r="146" spans="1:50">
      <c r="A146" s="43">
        <f>IF(G146="","",JobPrefix&amp;TEXT(ROW()-4,"0000"))</f>
        <v>0</v>
      </c>
      <c r="C146" s="23">
        <f>IF(B146="","",TEXT(B146,"ddd"))</f>
        <v>0</v>
      </c>
      <c r="D146" s="31">
        <f>IF(B146="","",WEEKNUM(B146,IF(WeekStart="Sunday",1,2)))</f>
        <v>0</v>
      </c>
      <c r="E146" s="23">
        <f>IF(B146="","",TEXT(B146,"yyyy-mm"))</f>
        <v>0</v>
      </c>
      <c r="H146" s="23">
        <f>IF(G146="","",IFERROR(INDEX(Clients!$B$5:$B$204,MATCH(G146,Clients!$A$5:$A$204,0)),"Not found"))</f>
        <v>0</v>
      </c>
      <c r="I146" s="23">
        <f>IF(G146="","",IFERROR(INDEX(Clients!$C$5:$C$204,MATCH(G146,Clients!$A$5:$A$204,0)),""))</f>
        <v>0</v>
      </c>
      <c r="K146" s="23">
        <f>IF(J146="","",IFERROR(INDEX(Properties!$B$5:$B$254,MATCH(J146,Properties!$A$5:$A$254,0)),""))</f>
        <v>0</v>
      </c>
      <c r="L146" s="23">
        <f>IF(J146="","",IFERROR(INDEX(Properties!$F$5:$F$254,MATCH(J146,Properties!$A$5:$A$254,0)),""))</f>
        <v>0</v>
      </c>
      <c r="AD146" s="34">
        <f>IF(G146="","",IF(U146&lt;&gt;"",U146,IF(AND(IFERROR(INDEX(Services!$D$5:$D$64,MATCH(M146,Services!$B$5:$B$64,0)),"")="Per hour",IFERROR(INDEX(Properties!$X$5:$X$254,MATCH(J146,Properties!$A$5:$A$254,0)),0)&gt;0),IFERROR(INDEX(Properties!$X$5:$X$254,MATCH(J146,Properties!$A$5:$A$254,0)),0),IF(IFERROR(INDEX(Services!$G$5:$G$64,MATCH(M146,Services!$B$5:$B$64,0)),0)&gt;0,IFERROR(INDEX(Services!$G$5:$G$64,MATCH(M146,Services!$B$5:$B$64,0)),0),IFERROR(INDEX(Properties!$X$5:$X$254,MATCH(J146,Properties!$A$5:$A$254,0)),0)))))</f>
        <v>0</v>
      </c>
      <c r="AE146" s="31">
        <f>IF(G146="","",IF(T146="",CleanersPerJob,MAX(1,T146)))</f>
        <v>0</v>
      </c>
      <c r="AF146" s="34">
        <f>IF(G146="","",ROUND(AD146/AE146,2))</f>
        <v>0</v>
      </c>
      <c r="AG146" s="53">
        <f>IF(OR(G146="",F146="",AF146=""),"",F146+AF146/24)</f>
        <v>0</v>
      </c>
      <c r="AH146" s="21">
        <f>IF(G146="","",IF(IFERROR(INDEX(Clients!$O$5:$O$204,MATCH(G146,Clients!$A$5:$A$204,0)),0)&gt;0,IFERROR(INDEX(Clients!$O$5:$O$204,MATCH(G146,Clients!$A$5:$A$204,0)),0),HourlyRate))</f>
        <v>0</v>
      </c>
      <c r="AI146" s="21">
        <f>IF(G146="","",IF(AND(M146&lt;&gt;"",IFERROR(INDEX(Services!$P$5:$P$64,MATCH(M146,Services!$B$5:$B$64,0)),0)&gt;0,IFERROR(INDEX(Services!$D$5:$D$64,MATCH(M146,Services!$B$5:$B$64,0)),"")&lt;&gt;"Per hour"),IFERROR(INDEX(Services!$P$5:$P$64,MATCH(M146,Services!$B$5:$B$64,0)),0),AD146*AH146))</f>
        <v>0</v>
      </c>
      <c r="AJ146" s="21">
        <f>IF(G146="","",IF(V146&lt;&gt;"",V146,IF(P146="Cancelled",0,MAX(MinimumCharge,ROUND(AI146*IFERROR(INDEX(FreqFactors,MATCH(O146,FreqNames,0)),1),2)))))</f>
        <v>0</v>
      </c>
      <c r="AK146" s="34">
        <f>IF(G146="","",IF(SUMIFS(Timesheets!$U$5:$U$804,Timesheets!$G$5:$G$804,A146)&gt;0,SUMIFS(Timesheets!$U$5:$U$804,Timesheets!$G$5:$G$804,A146),IF(Z146="","",Z146)))</f>
        <v>0</v>
      </c>
      <c r="AL146" s="34">
        <f>IF(OR(AK146="",AD146=""),"",AK146-AD146)</f>
        <v>0</v>
      </c>
      <c r="AM146" s="31">
        <f>IF(A146="","",COUNTIFS('Job Tasks'!$B$5:$B$904,A146))</f>
        <v>0</v>
      </c>
      <c r="AN146" s="31">
        <f>IF(A146="","",COUNTIFS('Job Tasks'!$B$5:$B$904,A146,'Job Tasks'!$H$5:$H$904,"Done"))</f>
        <v>0</v>
      </c>
      <c r="AO146" s="38">
        <f>IF(OR(A146="",AM146=0),"",AN146/AM146)</f>
        <v>0</v>
      </c>
      <c r="AP146" s="43">
        <f>IF(A146="","",IFERROR(INDEX('Invoice Lines'!$B$5:$B$804,MATCH(A146,'Invoice Lines'!$C$5:$C$804,0)),""))</f>
        <v>0</v>
      </c>
      <c r="AQ146" s="18">
        <f>IF(OR(G146="",B146="",X146&lt;&gt;"Yes"),"",IF(IFERROR(INDEX(FreqDays,MATCH(O146,FreqNames,0)),0)=0,"",B146+IFERROR(INDEX(FreqDays,MATCH(O146,FreqNames,0)),0)))</f>
        <v>0</v>
      </c>
      <c r="AR146" s="39">
        <f>IF(G146="","",IF(R146="","Unassigned",IF(COUNTIFS($R$5:$R$604,R146,$B$5:$B$604,B146,$F$5:$F$604,F146)&gt;1,"Clash",IF(SUMIFS($AF$5:$AF$604,$R$5:$R$604,R146,$B$5:$B$604,B146)&gt;ProductiveHours,"Long day","OK"))))</f>
        <v>0</v>
      </c>
      <c r="AS146" s="18">
        <f>IF(OR(G146="",B146=""),"",IF(AND(B146&gt;=TodayDate,P146&lt;&gt;"Cancelled"),B146,""))</f>
        <v>0</v>
      </c>
      <c r="AT146" s="31">
        <f>IF(AS146="","",COUNTIFS($AS$5:$AS$604,"&lt;"&amp;AS146)+COUNTIFS($AS$5:AS146,AS146))</f>
        <v>0</v>
      </c>
      <c r="AU146" s="18">
        <f>IF(OR(G146="",B146="",R146&lt;&gt;""),"",IF(AND(B146&gt;=TodayDate,P146&lt;&gt;"Cancelled"),B146,""))</f>
        <v>0</v>
      </c>
      <c r="AV146" s="31">
        <f>IF(AU146="","",COUNTIFS($AU$5:$AU$604,"&lt;"&amp;AU146)+COUNTIFS($AU$5:AU146,AU146))</f>
        <v>0</v>
      </c>
      <c r="AW146" s="31">
        <f>IF(OR(G146="",B146=""),"",B146-TodayDate)</f>
        <v>0</v>
      </c>
      <c r="AX146" s="39">
        <f>IF(G146="","",IF(P146="Cancelled","Cancelled",IF(P146="No access","Action - no access, rebook",IF(AND(B146&lt;&gt;"",AW146&lt;0,OR(P146="Booked",P146="Confirmed",P146="In progress")),"Late - mark it completed",IF(AND(P146="Completed",AP146=""),"Action - not invoiced yet",IF(AND(AW146&gt;=0,AW146&lt;=ReminderDays,Y146&lt;&gt;"Yes"),"Confirm - visit coming up",IF(R146="","Assign - no cleaner booked",IF(AND(P146="Completed",AO146&lt;&gt;"",AO146&lt;1),"Check - checklist unfinished","OK"))))))))</f>
        <v>0</v>
      </c>
    </row>
    <row r="147" spans="1:50">
      <c r="A147" s="43">
        <f>IF(G147="","",JobPrefix&amp;TEXT(ROW()-4,"0000"))</f>
        <v>0</v>
      </c>
      <c r="C147" s="23">
        <f>IF(B147="","",TEXT(B147,"ddd"))</f>
        <v>0</v>
      </c>
      <c r="D147" s="31">
        <f>IF(B147="","",WEEKNUM(B147,IF(WeekStart="Sunday",1,2)))</f>
        <v>0</v>
      </c>
      <c r="E147" s="23">
        <f>IF(B147="","",TEXT(B147,"yyyy-mm"))</f>
        <v>0</v>
      </c>
      <c r="H147" s="23">
        <f>IF(G147="","",IFERROR(INDEX(Clients!$B$5:$B$204,MATCH(G147,Clients!$A$5:$A$204,0)),"Not found"))</f>
        <v>0</v>
      </c>
      <c r="I147" s="23">
        <f>IF(G147="","",IFERROR(INDEX(Clients!$C$5:$C$204,MATCH(G147,Clients!$A$5:$A$204,0)),""))</f>
        <v>0</v>
      </c>
      <c r="K147" s="23">
        <f>IF(J147="","",IFERROR(INDEX(Properties!$B$5:$B$254,MATCH(J147,Properties!$A$5:$A$254,0)),""))</f>
        <v>0</v>
      </c>
      <c r="L147" s="23">
        <f>IF(J147="","",IFERROR(INDEX(Properties!$F$5:$F$254,MATCH(J147,Properties!$A$5:$A$254,0)),""))</f>
        <v>0</v>
      </c>
      <c r="AD147" s="34">
        <f>IF(G147="","",IF(U147&lt;&gt;"",U147,IF(AND(IFERROR(INDEX(Services!$D$5:$D$64,MATCH(M147,Services!$B$5:$B$64,0)),"")="Per hour",IFERROR(INDEX(Properties!$X$5:$X$254,MATCH(J147,Properties!$A$5:$A$254,0)),0)&gt;0),IFERROR(INDEX(Properties!$X$5:$X$254,MATCH(J147,Properties!$A$5:$A$254,0)),0),IF(IFERROR(INDEX(Services!$G$5:$G$64,MATCH(M147,Services!$B$5:$B$64,0)),0)&gt;0,IFERROR(INDEX(Services!$G$5:$G$64,MATCH(M147,Services!$B$5:$B$64,0)),0),IFERROR(INDEX(Properties!$X$5:$X$254,MATCH(J147,Properties!$A$5:$A$254,0)),0)))))</f>
        <v>0</v>
      </c>
      <c r="AE147" s="31">
        <f>IF(G147="","",IF(T147="",CleanersPerJob,MAX(1,T147)))</f>
        <v>0</v>
      </c>
      <c r="AF147" s="34">
        <f>IF(G147="","",ROUND(AD147/AE147,2))</f>
        <v>0</v>
      </c>
      <c r="AG147" s="53">
        <f>IF(OR(G147="",F147="",AF147=""),"",F147+AF147/24)</f>
        <v>0</v>
      </c>
      <c r="AH147" s="21">
        <f>IF(G147="","",IF(IFERROR(INDEX(Clients!$O$5:$O$204,MATCH(G147,Clients!$A$5:$A$204,0)),0)&gt;0,IFERROR(INDEX(Clients!$O$5:$O$204,MATCH(G147,Clients!$A$5:$A$204,0)),0),HourlyRate))</f>
        <v>0</v>
      </c>
      <c r="AI147" s="21">
        <f>IF(G147="","",IF(AND(M147&lt;&gt;"",IFERROR(INDEX(Services!$P$5:$P$64,MATCH(M147,Services!$B$5:$B$64,0)),0)&gt;0,IFERROR(INDEX(Services!$D$5:$D$64,MATCH(M147,Services!$B$5:$B$64,0)),"")&lt;&gt;"Per hour"),IFERROR(INDEX(Services!$P$5:$P$64,MATCH(M147,Services!$B$5:$B$64,0)),0),AD147*AH147))</f>
        <v>0</v>
      </c>
      <c r="AJ147" s="21">
        <f>IF(G147="","",IF(V147&lt;&gt;"",V147,IF(P147="Cancelled",0,MAX(MinimumCharge,ROUND(AI147*IFERROR(INDEX(FreqFactors,MATCH(O147,FreqNames,0)),1),2)))))</f>
        <v>0</v>
      </c>
      <c r="AK147" s="34">
        <f>IF(G147="","",IF(SUMIFS(Timesheets!$U$5:$U$804,Timesheets!$G$5:$G$804,A147)&gt;0,SUMIFS(Timesheets!$U$5:$U$804,Timesheets!$G$5:$G$804,A147),IF(Z147="","",Z147)))</f>
        <v>0</v>
      </c>
      <c r="AL147" s="34">
        <f>IF(OR(AK147="",AD147=""),"",AK147-AD147)</f>
        <v>0</v>
      </c>
      <c r="AM147" s="31">
        <f>IF(A147="","",COUNTIFS('Job Tasks'!$B$5:$B$904,A147))</f>
        <v>0</v>
      </c>
      <c r="AN147" s="31">
        <f>IF(A147="","",COUNTIFS('Job Tasks'!$B$5:$B$904,A147,'Job Tasks'!$H$5:$H$904,"Done"))</f>
        <v>0</v>
      </c>
      <c r="AO147" s="38">
        <f>IF(OR(A147="",AM147=0),"",AN147/AM147)</f>
        <v>0</v>
      </c>
      <c r="AP147" s="43">
        <f>IF(A147="","",IFERROR(INDEX('Invoice Lines'!$B$5:$B$804,MATCH(A147,'Invoice Lines'!$C$5:$C$804,0)),""))</f>
        <v>0</v>
      </c>
      <c r="AQ147" s="18">
        <f>IF(OR(G147="",B147="",X147&lt;&gt;"Yes"),"",IF(IFERROR(INDEX(FreqDays,MATCH(O147,FreqNames,0)),0)=0,"",B147+IFERROR(INDEX(FreqDays,MATCH(O147,FreqNames,0)),0)))</f>
        <v>0</v>
      </c>
      <c r="AR147" s="39">
        <f>IF(G147="","",IF(R147="","Unassigned",IF(COUNTIFS($R$5:$R$604,R147,$B$5:$B$604,B147,$F$5:$F$604,F147)&gt;1,"Clash",IF(SUMIFS($AF$5:$AF$604,$R$5:$R$604,R147,$B$5:$B$604,B147)&gt;ProductiveHours,"Long day","OK"))))</f>
        <v>0</v>
      </c>
      <c r="AS147" s="18">
        <f>IF(OR(G147="",B147=""),"",IF(AND(B147&gt;=TodayDate,P147&lt;&gt;"Cancelled"),B147,""))</f>
        <v>0</v>
      </c>
      <c r="AT147" s="31">
        <f>IF(AS147="","",COUNTIFS($AS$5:$AS$604,"&lt;"&amp;AS147)+COUNTIFS($AS$5:AS147,AS147))</f>
        <v>0</v>
      </c>
      <c r="AU147" s="18">
        <f>IF(OR(G147="",B147="",R147&lt;&gt;""),"",IF(AND(B147&gt;=TodayDate,P147&lt;&gt;"Cancelled"),B147,""))</f>
        <v>0</v>
      </c>
      <c r="AV147" s="31">
        <f>IF(AU147="","",COUNTIFS($AU$5:$AU$604,"&lt;"&amp;AU147)+COUNTIFS($AU$5:AU147,AU147))</f>
        <v>0</v>
      </c>
      <c r="AW147" s="31">
        <f>IF(OR(G147="",B147=""),"",B147-TodayDate)</f>
        <v>0</v>
      </c>
      <c r="AX147" s="39">
        <f>IF(G147="","",IF(P147="Cancelled","Cancelled",IF(P147="No access","Action - no access, rebook",IF(AND(B147&lt;&gt;"",AW147&lt;0,OR(P147="Booked",P147="Confirmed",P147="In progress")),"Late - mark it completed",IF(AND(P147="Completed",AP147=""),"Action - not invoiced yet",IF(AND(AW147&gt;=0,AW147&lt;=ReminderDays,Y147&lt;&gt;"Yes"),"Confirm - visit coming up",IF(R147="","Assign - no cleaner booked",IF(AND(P147="Completed",AO147&lt;&gt;"",AO147&lt;1),"Check - checklist unfinished","OK"))))))))</f>
        <v>0</v>
      </c>
    </row>
    <row r="148" spans="1:50">
      <c r="A148" s="43">
        <f>IF(G148="","",JobPrefix&amp;TEXT(ROW()-4,"0000"))</f>
        <v>0</v>
      </c>
      <c r="C148" s="23">
        <f>IF(B148="","",TEXT(B148,"ddd"))</f>
        <v>0</v>
      </c>
      <c r="D148" s="31">
        <f>IF(B148="","",WEEKNUM(B148,IF(WeekStart="Sunday",1,2)))</f>
        <v>0</v>
      </c>
      <c r="E148" s="23">
        <f>IF(B148="","",TEXT(B148,"yyyy-mm"))</f>
        <v>0</v>
      </c>
      <c r="H148" s="23">
        <f>IF(G148="","",IFERROR(INDEX(Clients!$B$5:$B$204,MATCH(G148,Clients!$A$5:$A$204,0)),"Not found"))</f>
        <v>0</v>
      </c>
      <c r="I148" s="23">
        <f>IF(G148="","",IFERROR(INDEX(Clients!$C$5:$C$204,MATCH(G148,Clients!$A$5:$A$204,0)),""))</f>
        <v>0</v>
      </c>
      <c r="K148" s="23">
        <f>IF(J148="","",IFERROR(INDEX(Properties!$B$5:$B$254,MATCH(J148,Properties!$A$5:$A$254,0)),""))</f>
        <v>0</v>
      </c>
      <c r="L148" s="23">
        <f>IF(J148="","",IFERROR(INDEX(Properties!$F$5:$F$254,MATCH(J148,Properties!$A$5:$A$254,0)),""))</f>
        <v>0</v>
      </c>
      <c r="AD148" s="34">
        <f>IF(G148="","",IF(U148&lt;&gt;"",U148,IF(AND(IFERROR(INDEX(Services!$D$5:$D$64,MATCH(M148,Services!$B$5:$B$64,0)),"")="Per hour",IFERROR(INDEX(Properties!$X$5:$X$254,MATCH(J148,Properties!$A$5:$A$254,0)),0)&gt;0),IFERROR(INDEX(Properties!$X$5:$X$254,MATCH(J148,Properties!$A$5:$A$254,0)),0),IF(IFERROR(INDEX(Services!$G$5:$G$64,MATCH(M148,Services!$B$5:$B$64,0)),0)&gt;0,IFERROR(INDEX(Services!$G$5:$G$64,MATCH(M148,Services!$B$5:$B$64,0)),0),IFERROR(INDEX(Properties!$X$5:$X$254,MATCH(J148,Properties!$A$5:$A$254,0)),0)))))</f>
        <v>0</v>
      </c>
      <c r="AE148" s="31">
        <f>IF(G148="","",IF(T148="",CleanersPerJob,MAX(1,T148)))</f>
        <v>0</v>
      </c>
      <c r="AF148" s="34">
        <f>IF(G148="","",ROUND(AD148/AE148,2))</f>
        <v>0</v>
      </c>
      <c r="AG148" s="53">
        <f>IF(OR(G148="",F148="",AF148=""),"",F148+AF148/24)</f>
        <v>0</v>
      </c>
      <c r="AH148" s="21">
        <f>IF(G148="","",IF(IFERROR(INDEX(Clients!$O$5:$O$204,MATCH(G148,Clients!$A$5:$A$204,0)),0)&gt;0,IFERROR(INDEX(Clients!$O$5:$O$204,MATCH(G148,Clients!$A$5:$A$204,0)),0),HourlyRate))</f>
        <v>0</v>
      </c>
      <c r="AI148" s="21">
        <f>IF(G148="","",IF(AND(M148&lt;&gt;"",IFERROR(INDEX(Services!$P$5:$P$64,MATCH(M148,Services!$B$5:$B$64,0)),0)&gt;0,IFERROR(INDEX(Services!$D$5:$D$64,MATCH(M148,Services!$B$5:$B$64,0)),"")&lt;&gt;"Per hour"),IFERROR(INDEX(Services!$P$5:$P$64,MATCH(M148,Services!$B$5:$B$64,0)),0),AD148*AH148))</f>
        <v>0</v>
      </c>
      <c r="AJ148" s="21">
        <f>IF(G148="","",IF(V148&lt;&gt;"",V148,IF(P148="Cancelled",0,MAX(MinimumCharge,ROUND(AI148*IFERROR(INDEX(FreqFactors,MATCH(O148,FreqNames,0)),1),2)))))</f>
        <v>0</v>
      </c>
      <c r="AK148" s="34">
        <f>IF(G148="","",IF(SUMIFS(Timesheets!$U$5:$U$804,Timesheets!$G$5:$G$804,A148)&gt;0,SUMIFS(Timesheets!$U$5:$U$804,Timesheets!$G$5:$G$804,A148),IF(Z148="","",Z148)))</f>
        <v>0</v>
      </c>
      <c r="AL148" s="34">
        <f>IF(OR(AK148="",AD148=""),"",AK148-AD148)</f>
        <v>0</v>
      </c>
      <c r="AM148" s="31">
        <f>IF(A148="","",COUNTIFS('Job Tasks'!$B$5:$B$904,A148))</f>
        <v>0</v>
      </c>
      <c r="AN148" s="31">
        <f>IF(A148="","",COUNTIFS('Job Tasks'!$B$5:$B$904,A148,'Job Tasks'!$H$5:$H$904,"Done"))</f>
        <v>0</v>
      </c>
      <c r="AO148" s="38">
        <f>IF(OR(A148="",AM148=0),"",AN148/AM148)</f>
        <v>0</v>
      </c>
      <c r="AP148" s="43">
        <f>IF(A148="","",IFERROR(INDEX('Invoice Lines'!$B$5:$B$804,MATCH(A148,'Invoice Lines'!$C$5:$C$804,0)),""))</f>
        <v>0</v>
      </c>
      <c r="AQ148" s="18">
        <f>IF(OR(G148="",B148="",X148&lt;&gt;"Yes"),"",IF(IFERROR(INDEX(FreqDays,MATCH(O148,FreqNames,0)),0)=0,"",B148+IFERROR(INDEX(FreqDays,MATCH(O148,FreqNames,0)),0)))</f>
        <v>0</v>
      </c>
      <c r="AR148" s="39">
        <f>IF(G148="","",IF(R148="","Unassigned",IF(COUNTIFS($R$5:$R$604,R148,$B$5:$B$604,B148,$F$5:$F$604,F148)&gt;1,"Clash",IF(SUMIFS($AF$5:$AF$604,$R$5:$R$604,R148,$B$5:$B$604,B148)&gt;ProductiveHours,"Long day","OK"))))</f>
        <v>0</v>
      </c>
      <c r="AS148" s="18">
        <f>IF(OR(G148="",B148=""),"",IF(AND(B148&gt;=TodayDate,P148&lt;&gt;"Cancelled"),B148,""))</f>
        <v>0</v>
      </c>
      <c r="AT148" s="31">
        <f>IF(AS148="","",COUNTIFS($AS$5:$AS$604,"&lt;"&amp;AS148)+COUNTIFS($AS$5:AS148,AS148))</f>
        <v>0</v>
      </c>
      <c r="AU148" s="18">
        <f>IF(OR(G148="",B148="",R148&lt;&gt;""),"",IF(AND(B148&gt;=TodayDate,P148&lt;&gt;"Cancelled"),B148,""))</f>
        <v>0</v>
      </c>
      <c r="AV148" s="31">
        <f>IF(AU148="","",COUNTIFS($AU$5:$AU$604,"&lt;"&amp;AU148)+COUNTIFS($AU$5:AU148,AU148))</f>
        <v>0</v>
      </c>
      <c r="AW148" s="31">
        <f>IF(OR(G148="",B148=""),"",B148-TodayDate)</f>
        <v>0</v>
      </c>
      <c r="AX148" s="39">
        <f>IF(G148="","",IF(P148="Cancelled","Cancelled",IF(P148="No access","Action - no access, rebook",IF(AND(B148&lt;&gt;"",AW148&lt;0,OR(P148="Booked",P148="Confirmed",P148="In progress")),"Late - mark it completed",IF(AND(P148="Completed",AP148=""),"Action - not invoiced yet",IF(AND(AW148&gt;=0,AW148&lt;=ReminderDays,Y148&lt;&gt;"Yes"),"Confirm - visit coming up",IF(R148="","Assign - no cleaner booked",IF(AND(P148="Completed",AO148&lt;&gt;"",AO148&lt;1),"Check - checklist unfinished","OK"))))))))</f>
        <v>0</v>
      </c>
    </row>
    <row r="149" spans="1:50">
      <c r="A149" s="43">
        <f>IF(G149="","",JobPrefix&amp;TEXT(ROW()-4,"0000"))</f>
        <v>0</v>
      </c>
      <c r="C149" s="23">
        <f>IF(B149="","",TEXT(B149,"ddd"))</f>
        <v>0</v>
      </c>
      <c r="D149" s="31">
        <f>IF(B149="","",WEEKNUM(B149,IF(WeekStart="Sunday",1,2)))</f>
        <v>0</v>
      </c>
      <c r="E149" s="23">
        <f>IF(B149="","",TEXT(B149,"yyyy-mm"))</f>
        <v>0</v>
      </c>
      <c r="H149" s="23">
        <f>IF(G149="","",IFERROR(INDEX(Clients!$B$5:$B$204,MATCH(G149,Clients!$A$5:$A$204,0)),"Not found"))</f>
        <v>0</v>
      </c>
      <c r="I149" s="23">
        <f>IF(G149="","",IFERROR(INDEX(Clients!$C$5:$C$204,MATCH(G149,Clients!$A$5:$A$204,0)),""))</f>
        <v>0</v>
      </c>
      <c r="K149" s="23">
        <f>IF(J149="","",IFERROR(INDEX(Properties!$B$5:$B$254,MATCH(J149,Properties!$A$5:$A$254,0)),""))</f>
        <v>0</v>
      </c>
      <c r="L149" s="23">
        <f>IF(J149="","",IFERROR(INDEX(Properties!$F$5:$F$254,MATCH(J149,Properties!$A$5:$A$254,0)),""))</f>
        <v>0</v>
      </c>
      <c r="AD149" s="34">
        <f>IF(G149="","",IF(U149&lt;&gt;"",U149,IF(AND(IFERROR(INDEX(Services!$D$5:$D$64,MATCH(M149,Services!$B$5:$B$64,0)),"")="Per hour",IFERROR(INDEX(Properties!$X$5:$X$254,MATCH(J149,Properties!$A$5:$A$254,0)),0)&gt;0),IFERROR(INDEX(Properties!$X$5:$X$254,MATCH(J149,Properties!$A$5:$A$254,0)),0),IF(IFERROR(INDEX(Services!$G$5:$G$64,MATCH(M149,Services!$B$5:$B$64,0)),0)&gt;0,IFERROR(INDEX(Services!$G$5:$G$64,MATCH(M149,Services!$B$5:$B$64,0)),0),IFERROR(INDEX(Properties!$X$5:$X$254,MATCH(J149,Properties!$A$5:$A$254,0)),0)))))</f>
        <v>0</v>
      </c>
      <c r="AE149" s="31">
        <f>IF(G149="","",IF(T149="",CleanersPerJob,MAX(1,T149)))</f>
        <v>0</v>
      </c>
      <c r="AF149" s="34">
        <f>IF(G149="","",ROUND(AD149/AE149,2))</f>
        <v>0</v>
      </c>
      <c r="AG149" s="53">
        <f>IF(OR(G149="",F149="",AF149=""),"",F149+AF149/24)</f>
        <v>0</v>
      </c>
      <c r="AH149" s="21">
        <f>IF(G149="","",IF(IFERROR(INDEX(Clients!$O$5:$O$204,MATCH(G149,Clients!$A$5:$A$204,0)),0)&gt;0,IFERROR(INDEX(Clients!$O$5:$O$204,MATCH(G149,Clients!$A$5:$A$204,0)),0),HourlyRate))</f>
        <v>0</v>
      </c>
      <c r="AI149" s="21">
        <f>IF(G149="","",IF(AND(M149&lt;&gt;"",IFERROR(INDEX(Services!$P$5:$P$64,MATCH(M149,Services!$B$5:$B$64,0)),0)&gt;0,IFERROR(INDEX(Services!$D$5:$D$64,MATCH(M149,Services!$B$5:$B$64,0)),"")&lt;&gt;"Per hour"),IFERROR(INDEX(Services!$P$5:$P$64,MATCH(M149,Services!$B$5:$B$64,0)),0),AD149*AH149))</f>
        <v>0</v>
      </c>
      <c r="AJ149" s="21">
        <f>IF(G149="","",IF(V149&lt;&gt;"",V149,IF(P149="Cancelled",0,MAX(MinimumCharge,ROUND(AI149*IFERROR(INDEX(FreqFactors,MATCH(O149,FreqNames,0)),1),2)))))</f>
        <v>0</v>
      </c>
      <c r="AK149" s="34">
        <f>IF(G149="","",IF(SUMIFS(Timesheets!$U$5:$U$804,Timesheets!$G$5:$G$804,A149)&gt;0,SUMIFS(Timesheets!$U$5:$U$804,Timesheets!$G$5:$G$804,A149),IF(Z149="","",Z149)))</f>
        <v>0</v>
      </c>
      <c r="AL149" s="34">
        <f>IF(OR(AK149="",AD149=""),"",AK149-AD149)</f>
        <v>0</v>
      </c>
      <c r="AM149" s="31">
        <f>IF(A149="","",COUNTIFS('Job Tasks'!$B$5:$B$904,A149))</f>
        <v>0</v>
      </c>
      <c r="AN149" s="31">
        <f>IF(A149="","",COUNTIFS('Job Tasks'!$B$5:$B$904,A149,'Job Tasks'!$H$5:$H$904,"Done"))</f>
        <v>0</v>
      </c>
      <c r="AO149" s="38">
        <f>IF(OR(A149="",AM149=0),"",AN149/AM149)</f>
        <v>0</v>
      </c>
      <c r="AP149" s="43">
        <f>IF(A149="","",IFERROR(INDEX('Invoice Lines'!$B$5:$B$804,MATCH(A149,'Invoice Lines'!$C$5:$C$804,0)),""))</f>
        <v>0</v>
      </c>
      <c r="AQ149" s="18">
        <f>IF(OR(G149="",B149="",X149&lt;&gt;"Yes"),"",IF(IFERROR(INDEX(FreqDays,MATCH(O149,FreqNames,0)),0)=0,"",B149+IFERROR(INDEX(FreqDays,MATCH(O149,FreqNames,0)),0)))</f>
        <v>0</v>
      </c>
      <c r="AR149" s="39">
        <f>IF(G149="","",IF(R149="","Unassigned",IF(COUNTIFS($R$5:$R$604,R149,$B$5:$B$604,B149,$F$5:$F$604,F149)&gt;1,"Clash",IF(SUMIFS($AF$5:$AF$604,$R$5:$R$604,R149,$B$5:$B$604,B149)&gt;ProductiveHours,"Long day","OK"))))</f>
        <v>0</v>
      </c>
      <c r="AS149" s="18">
        <f>IF(OR(G149="",B149=""),"",IF(AND(B149&gt;=TodayDate,P149&lt;&gt;"Cancelled"),B149,""))</f>
        <v>0</v>
      </c>
      <c r="AT149" s="31">
        <f>IF(AS149="","",COUNTIFS($AS$5:$AS$604,"&lt;"&amp;AS149)+COUNTIFS($AS$5:AS149,AS149))</f>
        <v>0</v>
      </c>
      <c r="AU149" s="18">
        <f>IF(OR(G149="",B149="",R149&lt;&gt;""),"",IF(AND(B149&gt;=TodayDate,P149&lt;&gt;"Cancelled"),B149,""))</f>
        <v>0</v>
      </c>
      <c r="AV149" s="31">
        <f>IF(AU149="","",COUNTIFS($AU$5:$AU$604,"&lt;"&amp;AU149)+COUNTIFS($AU$5:AU149,AU149))</f>
        <v>0</v>
      </c>
      <c r="AW149" s="31">
        <f>IF(OR(G149="",B149=""),"",B149-TodayDate)</f>
        <v>0</v>
      </c>
      <c r="AX149" s="39">
        <f>IF(G149="","",IF(P149="Cancelled","Cancelled",IF(P149="No access","Action - no access, rebook",IF(AND(B149&lt;&gt;"",AW149&lt;0,OR(P149="Booked",P149="Confirmed",P149="In progress")),"Late - mark it completed",IF(AND(P149="Completed",AP149=""),"Action - not invoiced yet",IF(AND(AW149&gt;=0,AW149&lt;=ReminderDays,Y149&lt;&gt;"Yes"),"Confirm - visit coming up",IF(R149="","Assign - no cleaner booked",IF(AND(P149="Completed",AO149&lt;&gt;"",AO149&lt;1),"Check - checklist unfinished","OK"))))))))</f>
        <v>0</v>
      </c>
    </row>
    <row r="150" spans="1:50">
      <c r="A150" s="43">
        <f>IF(G150="","",JobPrefix&amp;TEXT(ROW()-4,"0000"))</f>
        <v>0</v>
      </c>
      <c r="C150" s="23">
        <f>IF(B150="","",TEXT(B150,"ddd"))</f>
        <v>0</v>
      </c>
      <c r="D150" s="31">
        <f>IF(B150="","",WEEKNUM(B150,IF(WeekStart="Sunday",1,2)))</f>
        <v>0</v>
      </c>
      <c r="E150" s="23">
        <f>IF(B150="","",TEXT(B150,"yyyy-mm"))</f>
        <v>0</v>
      </c>
      <c r="H150" s="23">
        <f>IF(G150="","",IFERROR(INDEX(Clients!$B$5:$B$204,MATCH(G150,Clients!$A$5:$A$204,0)),"Not found"))</f>
        <v>0</v>
      </c>
      <c r="I150" s="23">
        <f>IF(G150="","",IFERROR(INDEX(Clients!$C$5:$C$204,MATCH(G150,Clients!$A$5:$A$204,0)),""))</f>
        <v>0</v>
      </c>
      <c r="K150" s="23">
        <f>IF(J150="","",IFERROR(INDEX(Properties!$B$5:$B$254,MATCH(J150,Properties!$A$5:$A$254,0)),""))</f>
        <v>0</v>
      </c>
      <c r="L150" s="23">
        <f>IF(J150="","",IFERROR(INDEX(Properties!$F$5:$F$254,MATCH(J150,Properties!$A$5:$A$254,0)),""))</f>
        <v>0</v>
      </c>
      <c r="AD150" s="34">
        <f>IF(G150="","",IF(U150&lt;&gt;"",U150,IF(AND(IFERROR(INDEX(Services!$D$5:$D$64,MATCH(M150,Services!$B$5:$B$64,0)),"")="Per hour",IFERROR(INDEX(Properties!$X$5:$X$254,MATCH(J150,Properties!$A$5:$A$254,0)),0)&gt;0),IFERROR(INDEX(Properties!$X$5:$X$254,MATCH(J150,Properties!$A$5:$A$254,0)),0),IF(IFERROR(INDEX(Services!$G$5:$G$64,MATCH(M150,Services!$B$5:$B$64,0)),0)&gt;0,IFERROR(INDEX(Services!$G$5:$G$64,MATCH(M150,Services!$B$5:$B$64,0)),0),IFERROR(INDEX(Properties!$X$5:$X$254,MATCH(J150,Properties!$A$5:$A$254,0)),0)))))</f>
        <v>0</v>
      </c>
      <c r="AE150" s="31">
        <f>IF(G150="","",IF(T150="",CleanersPerJob,MAX(1,T150)))</f>
        <v>0</v>
      </c>
      <c r="AF150" s="34">
        <f>IF(G150="","",ROUND(AD150/AE150,2))</f>
        <v>0</v>
      </c>
      <c r="AG150" s="53">
        <f>IF(OR(G150="",F150="",AF150=""),"",F150+AF150/24)</f>
        <v>0</v>
      </c>
      <c r="AH150" s="21">
        <f>IF(G150="","",IF(IFERROR(INDEX(Clients!$O$5:$O$204,MATCH(G150,Clients!$A$5:$A$204,0)),0)&gt;0,IFERROR(INDEX(Clients!$O$5:$O$204,MATCH(G150,Clients!$A$5:$A$204,0)),0),HourlyRate))</f>
        <v>0</v>
      </c>
      <c r="AI150" s="21">
        <f>IF(G150="","",IF(AND(M150&lt;&gt;"",IFERROR(INDEX(Services!$P$5:$P$64,MATCH(M150,Services!$B$5:$B$64,0)),0)&gt;0,IFERROR(INDEX(Services!$D$5:$D$64,MATCH(M150,Services!$B$5:$B$64,0)),"")&lt;&gt;"Per hour"),IFERROR(INDEX(Services!$P$5:$P$64,MATCH(M150,Services!$B$5:$B$64,0)),0),AD150*AH150))</f>
        <v>0</v>
      </c>
      <c r="AJ150" s="21">
        <f>IF(G150="","",IF(V150&lt;&gt;"",V150,IF(P150="Cancelled",0,MAX(MinimumCharge,ROUND(AI150*IFERROR(INDEX(FreqFactors,MATCH(O150,FreqNames,0)),1),2)))))</f>
        <v>0</v>
      </c>
      <c r="AK150" s="34">
        <f>IF(G150="","",IF(SUMIFS(Timesheets!$U$5:$U$804,Timesheets!$G$5:$G$804,A150)&gt;0,SUMIFS(Timesheets!$U$5:$U$804,Timesheets!$G$5:$G$804,A150),IF(Z150="","",Z150)))</f>
        <v>0</v>
      </c>
      <c r="AL150" s="34">
        <f>IF(OR(AK150="",AD150=""),"",AK150-AD150)</f>
        <v>0</v>
      </c>
      <c r="AM150" s="31">
        <f>IF(A150="","",COUNTIFS('Job Tasks'!$B$5:$B$904,A150))</f>
        <v>0</v>
      </c>
      <c r="AN150" s="31">
        <f>IF(A150="","",COUNTIFS('Job Tasks'!$B$5:$B$904,A150,'Job Tasks'!$H$5:$H$904,"Done"))</f>
        <v>0</v>
      </c>
      <c r="AO150" s="38">
        <f>IF(OR(A150="",AM150=0),"",AN150/AM150)</f>
        <v>0</v>
      </c>
      <c r="AP150" s="43">
        <f>IF(A150="","",IFERROR(INDEX('Invoice Lines'!$B$5:$B$804,MATCH(A150,'Invoice Lines'!$C$5:$C$804,0)),""))</f>
        <v>0</v>
      </c>
      <c r="AQ150" s="18">
        <f>IF(OR(G150="",B150="",X150&lt;&gt;"Yes"),"",IF(IFERROR(INDEX(FreqDays,MATCH(O150,FreqNames,0)),0)=0,"",B150+IFERROR(INDEX(FreqDays,MATCH(O150,FreqNames,0)),0)))</f>
        <v>0</v>
      </c>
      <c r="AR150" s="39">
        <f>IF(G150="","",IF(R150="","Unassigned",IF(COUNTIFS($R$5:$R$604,R150,$B$5:$B$604,B150,$F$5:$F$604,F150)&gt;1,"Clash",IF(SUMIFS($AF$5:$AF$604,$R$5:$R$604,R150,$B$5:$B$604,B150)&gt;ProductiveHours,"Long day","OK"))))</f>
        <v>0</v>
      </c>
      <c r="AS150" s="18">
        <f>IF(OR(G150="",B150=""),"",IF(AND(B150&gt;=TodayDate,P150&lt;&gt;"Cancelled"),B150,""))</f>
        <v>0</v>
      </c>
      <c r="AT150" s="31">
        <f>IF(AS150="","",COUNTIFS($AS$5:$AS$604,"&lt;"&amp;AS150)+COUNTIFS($AS$5:AS150,AS150))</f>
        <v>0</v>
      </c>
      <c r="AU150" s="18">
        <f>IF(OR(G150="",B150="",R150&lt;&gt;""),"",IF(AND(B150&gt;=TodayDate,P150&lt;&gt;"Cancelled"),B150,""))</f>
        <v>0</v>
      </c>
      <c r="AV150" s="31">
        <f>IF(AU150="","",COUNTIFS($AU$5:$AU$604,"&lt;"&amp;AU150)+COUNTIFS($AU$5:AU150,AU150))</f>
        <v>0</v>
      </c>
      <c r="AW150" s="31">
        <f>IF(OR(G150="",B150=""),"",B150-TodayDate)</f>
        <v>0</v>
      </c>
      <c r="AX150" s="39">
        <f>IF(G150="","",IF(P150="Cancelled","Cancelled",IF(P150="No access","Action - no access, rebook",IF(AND(B150&lt;&gt;"",AW150&lt;0,OR(P150="Booked",P150="Confirmed",P150="In progress")),"Late - mark it completed",IF(AND(P150="Completed",AP150=""),"Action - not invoiced yet",IF(AND(AW150&gt;=0,AW150&lt;=ReminderDays,Y150&lt;&gt;"Yes"),"Confirm - visit coming up",IF(R150="","Assign - no cleaner booked",IF(AND(P150="Completed",AO150&lt;&gt;"",AO150&lt;1),"Check - checklist unfinished","OK"))))))))</f>
        <v>0</v>
      </c>
    </row>
    <row r="151" spans="1:50">
      <c r="A151" s="43">
        <f>IF(G151="","",JobPrefix&amp;TEXT(ROW()-4,"0000"))</f>
        <v>0</v>
      </c>
      <c r="C151" s="23">
        <f>IF(B151="","",TEXT(B151,"ddd"))</f>
        <v>0</v>
      </c>
      <c r="D151" s="31">
        <f>IF(B151="","",WEEKNUM(B151,IF(WeekStart="Sunday",1,2)))</f>
        <v>0</v>
      </c>
      <c r="E151" s="23">
        <f>IF(B151="","",TEXT(B151,"yyyy-mm"))</f>
        <v>0</v>
      </c>
      <c r="H151" s="23">
        <f>IF(G151="","",IFERROR(INDEX(Clients!$B$5:$B$204,MATCH(G151,Clients!$A$5:$A$204,0)),"Not found"))</f>
        <v>0</v>
      </c>
      <c r="I151" s="23">
        <f>IF(G151="","",IFERROR(INDEX(Clients!$C$5:$C$204,MATCH(G151,Clients!$A$5:$A$204,0)),""))</f>
        <v>0</v>
      </c>
      <c r="K151" s="23">
        <f>IF(J151="","",IFERROR(INDEX(Properties!$B$5:$B$254,MATCH(J151,Properties!$A$5:$A$254,0)),""))</f>
        <v>0</v>
      </c>
      <c r="L151" s="23">
        <f>IF(J151="","",IFERROR(INDEX(Properties!$F$5:$F$254,MATCH(J151,Properties!$A$5:$A$254,0)),""))</f>
        <v>0</v>
      </c>
      <c r="AD151" s="34">
        <f>IF(G151="","",IF(U151&lt;&gt;"",U151,IF(AND(IFERROR(INDEX(Services!$D$5:$D$64,MATCH(M151,Services!$B$5:$B$64,0)),"")="Per hour",IFERROR(INDEX(Properties!$X$5:$X$254,MATCH(J151,Properties!$A$5:$A$254,0)),0)&gt;0),IFERROR(INDEX(Properties!$X$5:$X$254,MATCH(J151,Properties!$A$5:$A$254,0)),0),IF(IFERROR(INDEX(Services!$G$5:$G$64,MATCH(M151,Services!$B$5:$B$64,0)),0)&gt;0,IFERROR(INDEX(Services!$G$5:$G$64,MATCH(M151,Services!$B$5:$B$64,0)),0),IFERROR(INDEX(Properties!$X$5:$X$254,MATCH(J151,Properties!$A$5:$A$254,0)),0)))))</f>
        <v>0</v>
      </c>
      <c r="AE151" s="31">
        <f>IF(G151="","",IF(T151="",CleanersPerJob,MAX(1,T151)))</f>
        <v>0</v>
      </c>
      <c r="AF151" s="34">
        <f>IF(G151="","",ROUND(AD151/AE151,2))</f>
        <v>0</v>
      </c>
      <c r="AG151" s="53">
        <f>IF(OR(G151="",F151="",AF151=""),"",F151+AF151/24)</f>
        <v>0</v>
      </c>
      <c r="AH151" s="21">
        <f>IF(G151="","",IF(IFERROR(INDEX(Clients!$O$5:$O$204,MATCH(G151,Clients!$A$5:$A$204,0)),0)&gt;0,IFERROR(INDEX(Clients!$O$5:$O$204,MATCH(G151,Clients!$A$5:$A$204,0)),0),HourlyRate))</f>
        <v>0</v>
      </c>
      <c r="AI151" s="21">
        <f>IF(G151="","",IF(AND(M151&lt;&gt;"",IFERROR(INDEX(Services!$P$5:$P$64,MATCH(M151,Services!$B$5:$B$64,0)),0)&gt;0,IFERROR(INDEX(Services!$D$5:$D$64,MATCH(M151,Services!$B$5:$B$64,0)),"")&lt;&gt;"Per hour"),IFERROR(INDEX(Services!$P$5:$P$64,MATCH(M151,Services!$B$5:$B$64,0)),0),AD151*AH151))</f>
        <v>0</v>
      </c>
      <c r="AJ151" s="21">
        <f>IF(G151="","",IF(V151&lt;&gt;"",V151,IF(P151="Cancelled",0,MAX(MinimumCharge,ROUND(AI151*IFERROR(INDEX(FreqFactors,MATCH(O151,FreqNames,0)),1),2)))))</f>
        <v>0</v>
      </c>
      <c r="AK151" s="34">
        <f>IF(G151="","",IF(SUMIFS(Timesheets!$U$5:$U$804,Timesheets!$G$5:$G$804,A151)&gt;0,SUMIFS(Timesheets!$U$5:$U$804,Timesheets!$G$5:$G$804,A151),IF(Z151="","",Z151)))</f>
        <v>0</v>
      </c>
      <c r="AL151" s="34">
        <f>IF(OR(AK151="",AD151=""),"",AK151-AD151)</f>
        <v>0</v>
      </c>
      <c r="AM151" s="31">
        <f>IF(A151="","",COUNTIFS('Job Tasks'!$B$5:$B$904,A151))</f>
        <v>0</v>
      </c>
      <c r="AN151" s="31">
        <f>IF(A151="","",COUNTIFS('Job Tasks'!$B$5:$B$904,A151,'Job Tasks'!$H$5:$H$904,"Done"))</f>
        <v>0</v>
      </c>
      <c r="AO151" s="38">
        <f>IF(OR(A151="",AM151=0),"",AN151/AM151)</f>
        <v>0</v>
      </c>
      <c r="AP151" s="43">
        <f>IF(A151="","",IFERROR(INDEX('Invoice Lines'!$B$5:$B$804,MATCH(A151,'Invoice Lines'!$C$5:$C$804,0)),""))</f>
        <v>0</v>
      </c>
      <c r="AQ151" s="18">
        <f>IF(OR(G151="",B151="",X151&lt;&gt;"Yes"),"",IF(IFERROR(INDEX(FreqDays,MATCH(O151,FreqNames,0)),0)=0,"",B151+IFERROR(INDEX(FreqDays,MATCH(O151,FreqNames,0)),0)))</f>
        <v>0</v>
      </c>
      <c r="AR151" s="39">
        <f>IF(G151="","",IF(R151="","Unassigned",IF(COUNTIFS($R$5:$R$604,R151,$B$5:$B$604,B151,$F$5:$F$604,F151)&gt;1,"Clash",IF(SUMIFS($AF$5:$AF$604,$R$5:$R$604,R151,$B$5:$B$604,B151)&gt;ProductiveHours,"Long day","OK"))))</f>
        <v>0</v>
      </c>
      <c r="AS151" s="18">
        <f>IF(OR(G151="",B151=""),"",IF(AND(B151&gt;=TodayDate,P151&lt;&gt;"Cancelled"),B151,""))</f>
        <v>0</v>
      </c>
      <c r="AT151" s="31">
        <f>IF(AS151="","",COUNTIFS($AS$5:$AS$604,"&lt;"&amp;AS151)+COUNTIFS($AS$5:AS151,AS151))</f>
        <v>0</v>
      </c>
      <c r="AU151" s="18">
        <f>IF(OR(G151="",B151="",R151&lt;&gt;""),"",IF(AND(B151&gt;=TodayDate,P151&lt;&gt;"Cancelled"),B151,""))</f>
        <v>0</v>
      </c>
      <c r="AV151" s="31">
        <f>IF(AU151="","",COUNTIFS($AU$5:$AU$604,"&lt;"&amp;AU151)+COUNTIFS($AU$5:AU151,AU151))</f>
        <v>0</v>
      </c>
      <c r="AW151" s="31">
        <f>IF(OR(G151="",B151=""),"",B151-TodayDate)</f>
        <v>0</v>
      </c>
      <c r="AX151" s="39">
        <f>IF(G151="","",IF(P151="Cancelled","Cancelled",IF(P151="No access","Action - no access, rebook",IF(AND(B151&lt;&gt;"",AW151&lt;0,OR(P151="Booked",P151="Confirmed",P151="In progress")),"Late - mark it completed",IF(AND(P151="Completed",AP151=""),"Action - not invoiced yet",IF(AND(AW151&gt;=0,AW151&lt;=ReminderDays,Y151&lt;&gt;"Yes"),"Confirm - visit coming up",IF(R151="","Assign - no cleaner booked",IF(AND(P151="Completed",AO151&lt;&gt;"",AO151&lt;1),"Check - checklist unfinished","OK"))))))))</f>
        <v>0</v>
      </c>
    </row>
    <row r="152" spans="1:50">
      <c r="A152" s="43">
        <f>IF(G152="","",JobPrefix&amp;TEXT(ROW()-4,"0000"))</f>
        <v>0</v>
      </c>
      <c r="C152" s="23">
        <f>IF(B152="","",TEXT(B152,"ddd"))</f>
        <v>0</v>
      </c>
      <c r="D152" s="31">
        <f>IF(B152="","",WEEKNUM(B152,IF(WeekStart="Sunday",1,2)))</f>
        <v>0</v>
      </c>
      <c r="E152" s="23">
        <f>IF(B152="","",TEXT(B152,"yyyy-mm"))</f>
        <v>0</v>
      </c>
      <c r="H152" s="23">
        <f>IF(G152="","",IFERROR(INDEX(Clients!$B$5:$B$204,MATCH(G152,Clients!$A$5:$A$204,0)),"Not found"))</f>
        <v>0</v>
      </c>
      <c r="I152" s="23">
        <f>IF(G152="","",IFERROR(INDEX(Clients!$C$5:$C$204,MATCH(G152,Clients!$A$5:$A$204,0)),""))</f>
        <v>0</v>
      </c>
      <c r="K152" s="23">
        <f>IF(J152="","",IFERROR(INDEX(Properties!$B$5:$B$254,MATCH(J152,Properties!$A$5:$A$254,0)),""))</f>
        <v>0</v>
      </c>
      <c r="L152" s="23">
        <f>IF(J152="","",IFERROR(INDEX(Properties!$F$5:$F$254,MATCH(J152,Properties!$A$5:$A$254,0)),""))</f>
        <v>0</v>
      </c>
      <c r="AD152" s="34">
        <f>IF(G152="","",IF(U152&lt;&gt;"",U152,IF(AND(IFERROR(INDEX(Services!$D$5:$D$64,MATCH(M152,Services!$B$5:$B$64,0)),"")="Per hour",IFERROR(INDEX(Properties!$X$5:$X$254,MATCH(J152,Properties!$A$5:$A$254,0)),0)&gt;0),IFERROR(INDEX(Properties!$X$5:$X$254,MATCH(J152,Properties!$A$5:$A$254,0)),0),IF(IFERROR(INDEX(Services!$G$5:$G$64,MATCH(M152,Services!$B$5:$B$64,0)),0)&gt;0,IFERROR(INDEX(Services!$G$5:$G$64,MATCH(M152,Services!$B$5:$B$64,0)),0),IFERROR(INDEX(Properties!$X$5:$X$254,MATCH(J152,Properties!$A$5:$A$254,0)),0)))))</f>
        <v>0</v>
      </c>
      <c r="AE152" s="31">
        <f>IF(G152="","",IF(T152="",CleanersPerJob,MAX(1,T152)))</f>
        <v>0</v>
      </c>
      <c r="AF152" s="34">
        <f>IF(G152="","",ROUND(AD152/AE152,2))</f>
        <v>0</v>
      </c>
      <c r="AG152" s="53">
        <f>IF(OR(G152="",F152="",AF152=""),"",F152+AF152/24)</f>
        <v>0</v>
      </c>
      <c r="AH152" s="21">
        <f>IF(G152="","",IF(IFERROR(INDEX(Clients!$O$5:$O$204,MATCH(G152,Clients!$A$5:$A$204,0)),0)&gt;0,IFERROR(INDEX(Clients!$O$5:$O$204,MATCH(G152,Clients!$A$5:$A$204,0)),0),HourlyRate))</f>
        <v>0</v>
      </c>
      <c r="AI152" s="21">
        <f>IF(G152="","",IF(AND(M152&lt;&gt;"",IFERROR(INDEX(Services!$P$5:$P$64,MATCH(M152,Services!$B$5:$B$64,0)),0)&gt;0,IFERROR(INDEX(Services!$D$5:$D$64,MATCH(M152,Services!$B$5:$B$64,0)),"")&lt;&gt;"Per hour"),IFERROR(INDEX(Services!$P$5:$P$64,MATCH(M152,Services!$B$5:$B$64,0)),0),AD152*AH152))</f>
        <v>0</v>
      </c>
      <c r="AJ152" s="21">
        <f>IF(G152="","",IF(V152&lt;&gt;"",V152,IF(P152="Cancelled",0,MAX(MinimumCharge,ROUND(AI152*IFERROR(INDEX(FreqFactors,MATCH(O152,FreqNames,0)),1),2)))))</f>
        <v>0</v>
      </c>
      <c r="AK152" s="34">
        <f>IF(G152="","",IF(SUMIFS(Timesheets!$U$5:$U$804,Timesheets!$G$5:$G$804,A152)&gt;0,SUMIFS(Timesheets!$U$5:$U$804,Timesheets!$G$5:$G$804,A152),IF(Z152="","",Z152)))</f>
        <v>0</v>
      </c>
      <c r="AL152" s="34">
        <f>IF(OR(AK152="",AD152=""),"",AK152-AD152)</f>
        <v>0</v>
      </c>
      <c r="AM152" s="31">
        <f>IF(A152="","",COUNTIFS('Job Tasks'!$B$5:$B$904,A152))</f>
        <v>0</v>
      </c>
      <c r="AN152" s="31">
        <f>IF(A152="","",COUNTIFS('Job Tasks'!$B$5:$B$904,A152,'Job Tasks'!$H$5:$H$904,"Done"))</f>
        <v>0</v>
      </c>
      <c r="AO152" s="38">
        <f>IF(OR(A152="",AM152=0),"",AN152/AM152)</f>
        <v>0</v>
      </c>
      <c r="AP152" s="43">
        <f>IF(A152="","",IFERROR(INDEX('Invoice Lines'!$B$5:$B$804,MATCH(A152,'Invoice Lines'!$C$5:$C$804,0)),""))</f>
        <v>0</v>
      </c>
      <c r="AQ152" s="18">
        <f>IF(OR(G152="",B152="",X152&lt;&gt;"Yes"),"",IF(IFERROR(INDEX(FreqDays,MATCH(O152,FreqNames,0)),0)=0,"",B152+IFERROR(INDEX(FreqDays,MATCH(O152,FreqNames,0)),0)))</f>
        <v>0</v>
      </c>
      <c r="AR152" s="39">
        <f>IF(G152="","",IF(R152="","Unassigned",IF(COUNTIFS($R$5:$R$604,R152,$B$5:$B$604,B152,$F$5:$F$604,F152)&gt;1,"Clash",IF(SUMIFS($AF$5:$AF$604,$R$5:$R$604,R152,$B$5:$B$604,B152)&gt;ProductiveHours,"Long day","OK"))))</f>
        <v>0</v>
      </c>
      <c r="AS152" s="18">
        <f>IF(OR(G152="",B152=""),"",IF(AND(B152&gt;=TodayDate,P152&lt;&gt;"Cancelled"),B152,""))</f>
        <v>0</v>
      </c>
      <c r="AT152" s="31">
        <f>IF(AS152="","",COUNTIFS($AS$5:$AS$604,"&lt;"&amp;AS152)+COUNTIFS($AS$5:AS152,AS152))</f>
        <v>0</v>
      </c>
      <c r="AU152" s="18">
        <f>IF(OR(G152="",B152="",R152&lt;&gt;""),"",IF(AND(B152&gt;=TodayDate,P152&lt;&gt;"Cancelled"),B152,""))</f>
        <v>0</v>
      </c>
      <c r="AV152" s="31">
        <f>IF(AU152="","",COUNTIFS($AU$5:$AU$604,"&lt;"&amp;AU152)+COUNTIFS($AU$5:AU152,AU152))</f>
        <v>0</v>
      </c>
      <c r="AW152" s="31">
        <f>IF(OR(G152="",B152=""),"",B152-TodayDate)</f>
        <v>0</v>
      </c>
      <c r="AX152" s="39">
        <f>IF(G152="","",IF(P152="Cancelled","Cancelled",IF(P152="No access","Action - no access, rebook",IF(AND(B152&lt;&gt;"",AW152&lt;0,OR(P152="Booked",P152="Confirmed",P152="In progress")),"Late - mark it completed",IF(AND(P152="Completed",AP152=""),"Action - not invoiced yet",IF(AND(AW152&gt;=0,AW152&lt;=ReminderDays,Y152&lt;&gt;"Yes"),"Confirm - visit coming up",IF(R152="","Assign - no cleaner booked",IF(AND(P152="Completed",AO152&lt;&gt;"",AO152&lt;1),"Check - checklist unfinished","OK"))))))))</f>
        <v>0</v>
      </c>
    </row>
    <row r="153" spans="1:50">
      <c r="A153" s="43">
        <f>IF(G153="","",JobPrefix&amp;TEXT(ROW()-4,"0000"))</f>
        <v>0</v>
      </c>
      <c r="C153" s="23">
        <f>IF(B153="","",TEXT(B153,"ddd"))</f>
        <v>0</v>
      </c>
      <c r="D153" s="31">
        <f>IF(B153="","",WEEKNUM(B153,IF(WeekStart="Sunday",1,2)))</f>
        <v>0</v>
      </c>
      <c r="E153" s="23">
        <f>IF(B153="","",TEXT(B153,"yyyy-mm"))</f>
        <v>0</v>
      </c>
      <c r="H153" s="23">
        <f>IF(G153="","",IFERROR(INDEX(Clients!$B$5:$B$204,MATCH(G153,Clients!$A$5:$A$204,0)),"Not found"))</f>
        <v>0</v>
      </c>
      <c r="I153" s="23">
        <f>IF(G153="","",IFERROR(INDEX(Clients!$C$5:$C$204,MATCH(G153,Clients!$A$5:$A$204,0)),""))</f>
        <v>0</v>
      </c>
      <c r="K153" s="23">
        <f>IF(J153="","",IFERROR(INDEX(Properties!$B$5:$B$254,MATCH(J153,Properties!$A$5:$A$254,0)),""))</f>
        <v>0</v>
      </c>
      <c r="L153" s="23">
        <f>IF(J153="","",IFERROR(INDEX(Properties!$F$5:$F$254,MATCH(J153,Properties!$A$5:$A$254,0)),""))</f>
        <v>0</v>
      </c>
      <c r="AD153" s="34">
        <f>IF(G153="","",IF(U153&lt;&gt;"",U153,IF(AND(IFERROR(INDEX(Services!$D$5:$D$64,MATCH(M153,Services!$B$5:$B$64,0)),"")="Per hour",IFERROR(INDEX(Properties!$X$5:$X$254,MATCH(J153,Properties!$A$5:$A$254,0)),0)&gt;0),IFERROR(INDEX(Properties!$X$5:$X$254,MATCH(J153,Properties!$A$5:$A$254,0)),0),IF(IFERROR(INDEX(Services!$G$5:$G$64,MATCH(M153,Services!$B$5:$B$64,0)),0)&gt;0,IFERROR(INDEX(Services!$G$5:$G$64,MATCH(M153,Services!$B$5:$B$64,0)),0),IFERROR(INDEX(Properties!$X$5:$X$254,MATCH(J153,Properties!$A$5:$A$254,0)),0)))))</f>
        <v>0</v>
      </c>
      <c r="AE153" s="31">
        <f>IF(G153="","",IF(T153="",CleanersPerJob,MAX(1,T153)))</f>
        <v>0</v>
      </c>
      <c r="AF153" s="34">
        <f>IF(G153="","",ROUND(AD153/AE153,2))</f>
        <v>0</v>
      </c>
      <c r="AG153" s="53">
        <f>IF(OR(G153="",F153="",AF153=""),"",F153+AF153/24)</f>
        <v>0</v>
      </c>
      <c r="AH153" s="21">
        <f>IF(G153="","",IF(IFERROR(INDEX(Clients!$O$5:$O$204,MATCH(G153,Clients!$A$5:$A$204,0)),0)&gt;0,IFERROR(INDEX(Clients!$O$5:$O$204,MATCH(G153,Clients!$A$5:$A$204,0)),0),HourlyRate))</f>
        <v>0</v>
      </c>
      <c r="AI153" s="21">
        <f>IF(G153="","",IF(AND(M153&lt;&gt;"",IFERROR(INDEX(Services!$P$5:$P$64,MATCH(M153,Services!$B$5:$B$64,0)),0)&gt;0,IFERROR(INDEX(Services!$D$5:$D$64,MATCH(M153,Services!$B$5:$B$64,0)),"")&lt;&gt;"Per hour"),IFERROR(INDEX(Services!$P$5:$P$64,MATCH(M153,Services!$B$5:$B$64,0)),0),AD153*AH153))</f>
        <v>0</v>
      </c>
      <c r="AJ153" s="21">
        <f>IF(G153="","",IF(V153&lt;&gt;"",V153,IF(P153="Cancelled",0,MAX(MinimumCharge,ROUND(AI153*IFERROR(INDEX(FreqFactors,MATCH(O153,FreqNames,0)),1),2)))))</f>
        <v>0</v>
      </c>
      <c r="AK153" s="34">
        <f>IF(G153="","",IF(SUMIFS(Timesheets!$U$5:$U$804,Timesheets!$G$5:$G$804,A153)&gt;0,SUMIFS(Timesheets!$U$5:$U$804,Timesheets!$G$5:$G$804,A153),IF(Z153="","",Z153)))</f>
        <v>0</v>
      </c>
      <c r="AL153" s="34">
        <f>IF(OR(AK153="",AD153=""),"",AK153-AD153)</f>
        <v>0</v>
      </c>
      <c r="AM153" s="31">
        <f>IF(A153="","",COUNTIFS('Job Tasks'!$B$5:$B$904,A153))</f>
        <v>0</v>
      </c>
      <c r="AN153" s="31">
        <f>IF(A153="","",COUNTIFS('Job Tasks'!$B$5:$B$904,A153,'Job Tasks'!$H$5:$H$904,"Done"))</f>
        <v>0</v>
      </c>
      <c r="AO153" s="38">
        <f>IF(OR(A153="",AM153=0),"",AN153/AM153)</f>
        <v>0</v>
      </c>
      <c r="AP153" s="43">
        <f>IF(A153="","",IFERROR(INDEX('Invoice Lines'!$B$5:$B$804,MATCH(A153,'Invoice Lines'!$C$5:$C$804,0)),""))</f>
        <v>0</v>
      </c>
      <c r="AQ153" s="18">
        <f>IF(OR(G153="",B153="",X153&lt;&gt;"Yes"),"",IF(IFERROR(INDEX(FreqDays,MATCH(O153,FreqNames,0)),0)=0,"",B153+IFERROR(INDEX(FreqDays,MATCH(O153,FreqNames,0)),0)))</f>
        <v>0</v>
      </c>
      <c r="AR153" s="39">
        <f>IF(G153="","",IF(R153="","Unassigned",IF(COUNTIFS($R$5:$R$604,R153,$B$5:$B$604,B153,$F$5:$F$604,F153)&gt;1,"Clash",IF(SUMIFS($AF$5:$AF$604,$R$5:$R$604,R153,$B$5:$B$604,B153)&gt;ProductiveHours,"Long day","OK"))))</f>
        <v>0</v>
      </c>
      <c r="AS153" s="18">
        <f>IF(OR(G153="",B153=""),"",IF(AND(B153&gt;=TodayDate,P153&lt;&gt;"Cancelled"),B153,""))</f>
        <v>0</v>
      </c>
      <c r="AT153" s="31">
        <f>IF(AS153="","",COUNTIFS($AS$5:$AS$604,"&lt;"&amp;AS153)+COUNTIFS($AS$5:AS153,AS153))</f>
        <v>0</v>
      </c>
      <c r="AU153" s="18">
        <f>IF(OR(G153="",B153="",R153&lt;&gt;""),"",IF(AND(B153&gt;=TodayDate,P153&lt;&gt;"Cancelled"),B153,""))</f>
        <v>0</v>
      </c>
      <c r="AV153" s="31">
        <f>IF(AU153="","",COUNTIFS($AU$5:$AU$604,"&lt;"&amp;AU153)+COUNTIFS($AU$5:AU153,AU153))</f>
        <v>0</v>
      </c>
      <c r="AW153" s="31">
        <f>IF(OR(G153="",B153=""),"",B153-TodayDate)</f>
        <v>0</v>
      </c>
      <c r="AX153" s="39">
        <f>IF(G153="","",IF(P153="Cancelled","Cancelled",IF(P153="No access","Action - no access, rebook",IF(AND(B153&lt;&gt;"",AW153&lt;0,OR(P153="Booked",P153="Confirmed",P153="In progress")),"Late - mark it completed",IF(AND(P153="Completed",AP153=""),"Action - not invoiced yet",IF(AND(AW153&gt;=0,AW153&lt;=ReminderDays,Y153&lt;&gt;"Yes"),"Confirm - visit coming up",IF(R153="","Assign - no cleaner booked",IF(AND(P153="Completed",AO153&lt;&gt;"",AO153&lt;1),"Check - checklist unfinished","OK"))))))))</f>
        <v>0</v>
      </c>
    </row>
    <row r="154" spans="1:50">
      <c r="A154" s="43">
        <f>IF(G154="","",JobPrefix&amp;TEXT(ROW()-4,"0000"))</f>
        <v>0</v>
      </c>
      <c r="C154" s="23">
        <f>IF(B154="","",TEXT(B154,"ddd"))</f>
        <v>0</v>
      </c>
      <c r="D154" s="31">
        <f>IF(B154="","",WEEKNUM(B154,IF(WeekStart="Sunday",1,2)))</f>
        <v>0</v>
      </c>
      <c r="E154" s="23">
        <f>IF(B154="","",TEXT(B154,"yyyy-mm"))</f>
        <v>0</v>
      </c>
      <c r="H154" s="23">
        <f>IF(G154="","",IFERROR(INDEX(Clients!$B$5:$B$204,MATCH(G154,Clients!$A$5:$A$204,0)),"Not found"))</f>
        <v>0</v>
      </c>
      <c r="I154" s="23">
        <f>IF(G154="","",IFERROR(INDEX(Clients!$C$5:$C$204,MATCH(G154,Clients!$A$5:$A$204,0)),""))</f>
        <v>0</v>
      </c>
      <c r="K154" s="23">
        <f>IF(J154="","",IFERROR(INDEX(Properties!$B$5:$B$254,MATCH(J154,Properties!$A$5:$A$254,0)),""))</f>
        <v>0</v>
      </c>
      <c r="L154" s="23">
        <f>IF(J154="","",IFERROR(INDEX(Properties!$F$5:$F$254,MATCH(J154,Properties!$A$5:$A$254,0)),""))</f>
        <v>0</v>
      </c>
      <c r="AD154" s="34">
        <f>IF(G154="","",IF(U154&lt;&gt;"",U154,IF(AND(IFERROR(INDEX(Services!$D$5:$D$64,MATCH(M154,Services!$B$5:$B$64,0)),"")="Per hour",IFERROR(INDEX(Properties!$X$5:$X$254,MATCH(J154,Properties!$A$5:$A$254,0)),0)&gt;0),IFERROR(INDEX(Properties!$X$5:$X$254,MATCH(J154,Properties!$A$5:$A$254,0)),0),IF(IFERROR(INDEX(Services!$G$5:$G$64,MATCH(M154,Services!$B$5:$B$64,0)),0)&gt;0,IFERROR(INDEX(Services!$G$5:$G$64,MATCH(M154,Services!$B$5:$B$64,0)),0),IFERROR(INDEX(Properties!$X$5:$X$254,MATCH(J154,Properties!$A$5:$A$254,0)),0)))))</f>
        <v>0</v>
      </c>
      <c r="AE154" s="31">
        <f>IF(G154="","",IF(T154="",CleanersPerJob,MAX(1,T154)))</f>
        <v>0</v>
      </c>
      <c r="AF154" s="34">
        <f>IF(G154="","",ROUND(AD154/AE154,2))</f>
        <v>0</v>
      </c>
      <c r="AG154" s="53">
        <f>IF(OR(G154="",F154="",AF154=""),"",F154+AF154/24)</f>
        <v>0</v>
      </c>
      <c r="AH154" s="21">
        <f>IF(G154="","",IF(IFERROR(INDEX(Clients!$O$5:$O$204,MATCH(G154,Clients!$A$5:$A$204,0)),0)&gt;0,IFERROR(INDEX(Clients!$O$5:$O$204,MATCH(G154,Clients!$A$5:$A$204,0)),0),HourlyRate))</f>
        <v>0</v>
      </c>
      <c r="AI154" s="21">
        <f>IF(G154="","",IF(AND(M154&lt;&gt;"",IFERROR(INDEX(Services!$P$5:$P$64,MATCH(M154,Services!$B$5:$B$64,0)),0)&gt;0,IFERROR(INDEX(Services!$D$5:$D$64,MATCH(M154,Services!$B$5:$B$64,0)),"")&lt;&gt;"Per hour"),IFERROR(INDEX(Services!$P$5:$P$64,MATCH(M154,Services!$B$5:$B$64,0)),0),AD154*AH154))</f>
        <v>0</v>
      </c>
      <c r="AJ154" s="21">
        <f>IF(G154="","",IF(V154&lt;&gt;"",V154,IF(P154="Cancelled",0,MAX(MinimumCharge,ROUND(AI154*IFERROR(INDEX(FreqFactors,MATCH(O154,FreqNames,0)),1),2)))))</f>
        <v>0</v>
      </c>
      <c r="AK154" s="34">
        <f>IF(G154="","",IF(SUMIFS(Timesheets!$U$5:$U$804,Timesheets!$G$5:$G$804,A154)&gt;0,SUMIFS(Timesheets!$U$5:$U$804,Timesheets!$G$5:$G$804,A154),IF(Z154="","",Z154)))</f>
        <v>0</v>
      </c>
      <c r="AL154" s="34">
        <f>IF(OR(AK154="",AD154=""),"",AK154-AD154)</f>
        <v>0</v>
      </c>
      <c r="AM154" s="31">
        <f>IF(A154="","",COUNTIFS('Job Tasks'!$B$5:$B$904,A154))</f>
        <v>0</v>
      </c>
      <c r="AN154" s="31">
        <f>IF(A154="","",COUNTIFS('Job Tasks'!$B$5:$B$904,A154,'Job Tasks'!$H$5:$H$904,"Done"))</f>
        <v>0</v>
      </c>
      <c r="AO154" s="38">
        <f>IF(OR(A154="",AM154=0),"",AN154/AM154)</f>
        <v>0</v>
      </c>
      <c r="AP154" s="43">
        <f>IF(A154="","",IFERROR(INDEX('Invoice Lines'!$B$5:$B$804,MATCH(A154,'Invoice Lines'!$C$5:$C$804,0)),""))</f>
        <v>0</v>
      </c>
      <c r="AQ154" s="18">
        <f>IF(OR(G154="",B154="",X154&lt;&gt;"Yes"),"",IF(IFERROR(INDEX(FreqDays,MATCH(O154,FreqNames,0)),0)=0,"",B154+IFERROR(INDEX(FreqDays,MATCH(O154,FreqNames,0)),0)))</f>
        <v>0</v>
      </c>
      <c r="AR154" s="39">
        <f>IF(G154="","",IF(R154="","Unassigned",IF(COUNTIFS($R$5:$R$604,R154,$B$5:$B$604,B154,$F$5:$F$604,F154)&gt;1,"Clash",IF(SUMIFS($AF$5:$AF$604,$R$5:$R$604,R154,$B$5:$B$604,B154)&gt;ProductiveHours,"Long day","OK"))))</f>
        <v>0</v>
      </c>
      <c r="AS154" s="18">
        <f>IF(OR(G154="",B154=""),"",IF(AND(B154&gt;=TodayDate,P154&lt;&gt;"Cancelled"),B154,""))</f>
        <v>0</v>
      </c>
      <c r="AT154" s="31">
        <f>IF(AS154="","",COUNTIFS($AS$5:$AS$604,"&lt;"&amp;AS154)+COUNTIFS($AS$5:AS154,AS154))</f>
        <v>0</v>
      </c>
      <c r="AU154" s="18">
        <f>IF(OR(G154="",B154="",R154&lt;&gt;""),"",IF(AND(B154&gt;=TodayDate,P154&lt;&gt;"Cancelled"),B154,""))</f>
        <v>0</v>
      </c>
      <c r="AV154" s="31">
        <f>IF(AU154="","",COUNTIFS($AU$5:$AU$604,"&lt;"&amp;AU154)+COUNTIFS($AU$5:AU154,AU154))</f>
        <v>0</v>
      </c>
      <c r="AW154" s="31">
        <f>IF(OR(G154="",B154=""),"",B154-TodayDate)</f>
        <v>0</v>
      </c>
      <c r="AX154" s="39">
        <f>IF(G154="","",IF(P154="Cancelled","Cancelled",IF(P154="No access","Action - no access, rebook",IF(AND(B154&lt;&gt;"",AW154&lt;0,OR(P154="Booked",P154="Confirmed",P154="In progress")),"Late - mark it completed",IF(AND(P154="Completed",AP154=""),"Action - not invoiced yet",IF(AND(AW154&gt;=0,AW154&lt;=ReminderDays,Y154&lt;&gt;"Yes"),"Confirm - visit coming up",IF(R154="","Assign - no cleaner booked",IF(AND(P154="Completed",AO154&lt;&gt;"",AO154&lt;1),"Check - checklist unfinished","OK"))))))))</f>
        <v>0</v>
      </c>
    </row>
    <row r="155" spans="1:50">
      <c r="A155" s="43">
        <f>IF(G155="","",JobPrefix&amp;TEXT(ROW()-4,"0000"))</f>
        <v>0</v>
      </c>
      <c r="C155" s="23">
        <f>IF(B155="","",TEXT(B155,"ddd"))</f>
        <v>0</v>
      </c>
      <c r="D155" s="31">
        <f>IF(B155="","",WEEKNUM(B155,IF(WeekStart="Sunday",1,2)))</f>
        <v>0</v>
      </c>
      <c r="E155" s="23">
        <f>IF(B155="","",TEXT(B155,"yyyy-mm"))</f>
        <v>0</v>
      </c>
      <c r="H155" s="23">
        <f>IF(G155="","",IFERROR(INDEX(Clients!$B$5:$B$204,MATCH(G155,Clients!$A$5:$A$204,0)),"Not found"))</f>
        <v>0</v>
      </c>
      <c r="I155" s="23">
        <f>IF(G155="","",IFERROR(INDEX(Clients!$C$5:$C$204,MATCH(G155,Clients!$A$5:$A$204,0)),""))</f>
        <v>0</v>
      </c>
      <c r="K155" s="23">
        <f>IF(J155="","",IFERROR(INDEX(Properties!$B$5:$B$254,MATCH(J155,Properties!$A$5:$A$254,0)),""))</f>
        <v>0</v>
      </c>
      <c r="L155" s="23">
        <f>IF(J155="","",IFERROR(INDEX(Properties!$F$5:$F$254,MATCH(J155,Properties!$A$5:$A$254,0)),""))</f>
        <v>0</v>
      </c>
      <c r="AD155" s="34">
        <f>IF(G155="","",IF(U155&lt;&gt;"",U155,IF(AND(IFERROR(INDEX(Services!$D$5:$D$64,MATCH(M155,Services!$B$5:$B$64,0)),"")="Per hour",IFERROR(INDEX(Properties!$X$5:$X$254,MATCH(J155,Properties!$A$5:$A$254,0)),0)&gt;0),IFERROR(INDEX(Properties!$X$5:$X$254,MATCH(J155,Properties!$A$5:$A$254,0)),0),IF(IFERROR(INDEX(Services!$G$5:$G$64,MATCH(M155,Services!$B$5:$B$64,0)),0)&gt;0,IFERROR(INDEX(Services!$G$5:$G$64,MATCH(M155,Services!$B$5:$B$64,0)),0),IFERROR(INDEX(Properties!$X$5:$X$254,MATCH(J155,Properties!$A$5:$A$254,0)),0)))))</f>
        <v>0</v>
      </c>
      <c r="AE155" s="31">
        <f>IF(G155="","",IF(T155="",CleanersPerJob,MAX(1,T155)))</f>
        <v>0</v>
      </c>
      <c r="AF155" s="34">
        <f>IF(G155="","",ROUND(AD155/AE155,2))</f>
        <v>0</v>
      </c>
      <c r="AG155" s="53">
        <f>IF(OR(G155="",F155="",AF155=""),"",F155+AF155/24)</f>
        <v>0</v>
      </c>
      <c r="AH155" s="21">
        <f>IF(G155="","",IF(IFERROR(INDEX(Clients!$O$5:$O$204,MATCH(G155,Clients!$A$5:$A$204,0)),0)&gt;0,IFERROR(INDEX(Clients!$O$5:$O$204,MATCH(G155,Clients!$A$5:$A$204,0)),0),HourlyRate))</f>
        <v>0</v>
      </c>
      <c r="AI155" s="21">
        <f>IF(G155="","",IF(AND(M155&lt;&gt;"",IFERROR(INDEX(Services!$P$5:$P$64,MATCH(M155,Services!$B$5:$B$64,0)),0)&gt;0,IFERROR(INDEX(Services!$D$5:$D$64,MATCH(M155,Services!$B$5:$B$64,0)),"")&lt;&gt;"Per hour"),IFERROR(INDEX(Services!$P$5:$P$64,MATCH(M155,Services!$B$5:$B$64,0)),0),AD155*AH155))</f>
        <v>0</v>
      </c>
      <c r="AJ155" s="21">
        <f>IF(G155="","",IF(V155&lt;&gt;"",V155,IF(P155="Cancelled",0,MAX(MinimumCharge,ROUND(AI155*IFERROR(INDEX(FreqFactors,MATCH(O155,FreqNames,0)),1),2)))))</f>
        <v>0</v>
      </c>
      <c r="AK155" s="34">
        <f>IF(G155="","",IF(SUMIFS(Timesheets!$U$5:$U$804,Timesheets!$G$5:$G$804,A155)&gt;0,SUMIFS(Timesheets!$U$5:$U$804,Timesheets!$G$5:$G$804,A155),IF(Z155="","",Z155)))</f>
        <v>0</v>
      </c>
      <c r="AL155" s="34">
        <f>IF(OR(AK155="",AD155=""),"",AK155-AD155)</f>
        <v>0</v>
      </c>
      <c r="AM155" s="31">
        <f>IF(A155="","",COUNTIFS('Job Tasks'!$B$5:$B$904,A155))</f>
        <v>0</v>
      </c>
      <c r="AN155" s="31">
        <f>IF(A155="","",COUNTIFS('Job Tasks'!$B$5:$B$904,A155,'Job Tasks'!$H$5:$H$904,"Done"))</f>
        <v>0</v>
      </c>
      <c r="AO155" s="38">
        <f>IF(OR(A155="",AM155=0),"",AN155/AM155)</f>
        <v>0</v>
      </c>
      <c r="AP155" s="43">
        <f>IF(A155="","",IFERROR(INDEX('Invoice Lines'!$B$5:$B$804,MATCH(A155,'Invoice Lines'!$C$5:$C$804,0)),""))</f>
        <v>0</v>
      </c>
      <c r="AQ155" s="18">
        <f>IF(OR(G155="",B155="",X155&lt;&gt;"Yes"),"",IF(IFERROR(INDEX(FreqDays,MATCH(O155,FreqNames,0)),0)=0,"",B155+IFERROR(INDEX(FreqDays,MATCH(O155,FreqNames,0)),0)))</f>
        <v>0</v>
      </c>
      <c r="AR155" s="39">
        <f>IF(G155="","",IF(R155="","Unassigned",IF(COUNTIFS($R$5:$R$604,R155,$B$5:$B$604,B155,$F$5:$F$604,F155)&gt;1,"Clash",IF(SUMIFS($AF$5:$AF$604,$R$5:$R$604,R155,$B$5:$B$604,B155)&gt;ProductiveHours,"Long day","OK"))))</f>
        <v>0</v>
      </c>
      <c r="AS155" s="18">
        <f>IF(OR(G155="",B155=""),"",IF(AND(B155&gt;=TodayDate,P155&lt;&gt;"Cancelled"),B155,""))</f>
        <v>0</v>
      </c>
      <c r="AT155" s="31">
        <f>IF(AS155="","",COUNTIFS($AS$5:$AS$604,"&lt;"&amp;AS155)+COUNTIFS($AS$5:AS155,AS155))</f>
        <v>0</v>
      </c>
      <c r="AU155" s="18">
        <f>IF(OR(G155="",B155="",R155&lt;&gt;""),"",IF(AND(B155&gt;=TodayDate,P155&lt;&gt;"Cancelled"),B155,""))</f>
        <v>0</v>
      </c>
      <c r="AV155" s="31">
        <f>IF(AU155="","",COUNTIFS($AU$5:$AU$604,"&lt;"&amp;AU155)+COUNTIFS($AU$5:AU155,AU155))</f>
        <v>0</v>
      </c>
      <c r="AW155" s="31">
        <f>IF(OR(G155="",B155=""),"",B155-TodayDate)</f>
        <v>0</v>
      </c>
      <c r="AX155" s="39">
        <f>IF(G155="","",IF(P155="Cancelled","Cancelled",IF(P155="No access","Action - no access, rebook",IF(AND(B155&lt;&gt;"",AW155&lt;0,OR(P155="Booked",P155="Confirmed",P155="In progress")),"Late - mark it completed",IF(AND(P155="Completed",AP155=""),"Action - not invoiced yet",IF(AND(AW155&gt;=0,AW155&lt;=ReminderDays,Y155&lt;&gt;"Yes"),"Confirm - visit coming up",IF(R155="","Assign - no cleaner booked",IF(AND(P155="Completed",AO155&lt;&gt;"",AO155&lt;1),"Check - checklist unfinished","OK"))))))))</f>
        <v>0</v>
      </c>
    </row>
    <row r="156" spans="1:50">
      <c r="A156" s="43">
        <f>IF(G156="","",JobPrefix&amp;TEXT(ROW()-4,"0000"))</f>
        <v>0</v>
      </c>
      <c r="C156" s="23">
        <f>IF(B156="","",TEXT(B156,"ddd"))</f>
        <v>0</v>
      </c>
      <c r="D156" s="31">
        <f>IF(B156="","",WEEKNUM(B156,IF(WeekStart="Sunday",1,2)))</f>
        <v>0</v>
      </c>
      <c r="E156" s="23">
        <f>IF(B156="","",TEXT(B156,"yyyy-mm"))</f>
        <v>0</v>
      </c>
      <c r="H156" s="23">
        <f>IF(G156="","",IFERROR(INDEX(Clients!$B$5:$B$204,MATCH(G156,Clients!$A$5:$A$204,0)),"Not found"))</f>
        <v>0</v>
      </c>
      <c r="I156" s="23">
        <f>IF(G156="","",IFERROR(INDEX(Clients!$C$5:$C$204,MATCH(G156,Clients!$A$5:$A$204,0)),""))</f>
        <v>0</v>
      </c>
      <c r="K156" s="23">
        <f>IF(J156="","",IFERROR(INDEX(Properties!$B$5:$B$254,MATCH(J156,Properties!$A$5:$A$254,0)),""))</f>
        <v>0</v>
      </c>
      <c r="L156" s="23">
        <f>IF(J156="","",IFERROR(INDEX(Properties!$F$5:$F$254,MATCH(J156,Properties!$A$5:$A$254,0)),""))</f>
        <v>0</v>
      </c>
      <c r="AD156" s="34">
        <f>IF(G156="","",IF(U156&lt;&gt;"",U156,IF(AND(IFERROR(INDEX(Services!$D$5:$D$64,MATCH(M156,Services!$B$5:$B$64,0)),"")="Per hour",IFERROR(INDEX(Properties!$X$5:$X$254,MATCH(J156,Properties!$A$5:$A$254,0)),0)&gt;0),IFERROR(INDEX(Properties!$X$5:$X$254,MATCH(J156,Properties!$A$5:$A$254,0)),0),IF(IFERROR(INDEX(Services!$G$5:$G$64,MATCH(M156,Services!$B$5:$B$64,0)),0)&gt;0,IFERROR(INDEX(Services!$G$5:$G$64,MATCH(M156,Services!$B$5:$B$64,0)),0),IFERROR(INDEX(Properties!$X$5:$X$254,MATCH(J156,Properties!$A$5:$A$254,0)),0)))))</f>
        <v>0</v>
      </c>
      <c r="AE156" s="31">
        <f>IF(G156="","",IF(T156="",CleanersPerJob,MAX(1,T156)))</f>
        <v>0</v>
      </c>
      <c r="AF156" s="34">
        <f>IF(G156="","",ROUND(AD156/AE156,2))</f>
        <v>0</v>
      </c>
      <c r="AG156" s="53">
        <f>IF(OR(G156="",F156="",AF156=""),"",F156+AF156/24)</f>
        <v>0</v>
      </c>
      <c r="AH156" s="21">
        <f>IF(G156="","",IF(IFERROR(INDEX(Clients!$O$5:$O$204,MATCH(G156,Clients!$A$5:$A$204,0)),0)&gt;0,IFERROR(INDEX(Clients!$O$5:$O$204,MATCH(G156,Clients!$A$5:$A$204,0)),0),HourlyRate))</f>
        <v>0</v>
      </c>
      <c r="AI156" s="21">
        <f>IF(G156="","",IF(AND(M156&lt;&gt;"",IFERROR(INDEX(Services!$P$5:$P$64,MATCH(M156,Services!$B$5:$B$64,0)),0)&gt;0,IFERROR(INDEX(Services!$D$5:$D$64,MATCH(M156,Services!$B$5:$B$64,0)),"")&lt;&gt;"Per hour"),IFERROR(INDEX(Services!$P$5:$P$64,MATCH(M156,Services!$B$5:$B$64,0)),0),AD156*AH156))</f>
        <v>0</v>
      </c>
      <c r="AJ156" s="21">
        <f>IF(G156="","",IF(V156&lt;&gt;"",V156,IF(P156="Cancelled",0,MAX(MinimumCharge,ROUND(AI156*IFERROR(INDEX(FreqFactors,MATCH(O156,FreqNames,0)),1),2)))))</f>
        <v>0</v>
      </c>
      <c r="AK156" s="34">
        <f>IF(G156="","",IF(SUMIFS(Timesheets!$U$5:$U$804,Timesheets!$G$5:$G$804,A156)&gt;0,SUMIFS(Timesheets!$U$5:$U$804,Timesheets!$G$5:$G$804,A156),IF(Z156="","",Z156)))</f>
        <v>0</v>
      </c>
      <c r="AL156" s="34">
        <f>IF(OR(AK156="",AD156=""),"",AK156-AD156)</f>
        <v>0</v>
      </c>
      <c r="AM156" s="31">
        <f>IF(A156="","",COUNTIFS('Job Tasks'!$B$5:$B$904,A156))</f>
        <v>0</v>
      </c>
      <c r="AN156" s="31">
        <f>IF(A156="","",COUNTIFS('Job Tasks'!$B$5:$B$904,A156,'Job Tasks'!$H$5:$H$904,"Done"))</f>
        <v>0</v>
      </c>
      <c r="AO156" s="38">
        <f>IF(OR(A156="",AM156=0),"",AN156/AM156)</f>
        <v>0</v>
      </c>
      <c r="AP156" s="43">
        <f>IF(A156="","",IFERROR(INDEX('Invoice Lines'!$B$5:$B$804,MATCH(A156,'Invoice Lines'!$C$5:$C$804,0)),""))</f>
        <v>0</v>
      </c>
      <c r="AQ156" s="18">
        <f>IF(OR(G156="",B156="",X156&lt;&gt;"Yes"),"",IF(IFERROR(INDEX(FreqDays,MATCH(O156,FreqNames,0)),0)=0,"",B156+IFERROR(INDEX(FreqDays,MATCH(O156,FreqNames,0)),0)))</f>
        <v>0</v>
      </c>
      <c r="AR156" s="39">
        <f>IF(G156="","",IF(R156="","Unassigned",IF(COUNTIFS($R$5:$R$604,R156,$B$5:$B$604,B156,$F$5:$F$604,F156)&gt;1,"Clash",IF(SUMIFS($AF$5:$AF$604,$R$5:$R$604,R156,$B$5:$B$604,B156)&gt;ProductiveHours,"Long day","OK"))))</f>
        <v>0</v>
      </c>
      <c r="AS156" s="18">
        <f>IF(OR(G156="",B156=""),"",IF(AND(B156&gt;=TodayDate,P156&lt;&gt;"Cancelled"),B156,""))</f>
        <v>0</v>
      </c>
      <c r="AT156" s="31">
        <f>IF(AS156="","",COUNTIFS($AS$5:$AS$604,"&lt;"&amp;AS156)+COUNTIFS($AS$5:AS156,AS156))</f>
        <v>0</v>
      </c>
      <c r="AU156" s="18">
        <f>IF(OR(G156="",B156="",R156&lt;&gt;""),"",IF(AND(B156&gt;=TodayDate,P156&lt;&gt;"Cancelled"),B156,""))</f>
        <v>0</v>
      </c>
      <c r="AV156" s="31">
        <f>IF(AU156="","",COUNTIFS($AU$5:$AU$604,"&lt;"&amp;AU156)+COUNTIFS($AU$5:AU156,AU156))</f>
        <v>0</v>
      </c>
      <c r="AW156" s="31">
        <f>IF(OR(G156="",B156=""),"",B156-TodayDate)</f>
        <v>0</v>
      </c>
      <c r="AX156" s="39">
        <f>IF(G156="","",IF(P156="Cancelled","Cancelled",IF(P156="No access","Action - no access, rebook",IF(AND(B156&lt;&gt;"",AW156&lt;0,OR(P156="Booked",P156="Confirmed",P156="In progress")),"Late - mark it completed",IF(AND(P156="Completed",AP156=""),"Action - not invoiced yet",IF(AND(AW156&gt;=0,AW156&lt;=ReminderDays,Y156&lt;&gt;"Yes"),"Confirm - visit coming up",IF(R156="","Assign - no cleaner booked",IF(AND(P156="Completed",AO156&lt;&gt;"",AO156&lt;1),"Check - checklist unfinished","OK"))))))))</f>
        <v>0</v>
      </c>
    </row>
    <row r="157" spans="1:50">
      <c r="A157" s="43">
        <f>IF(G157="","",JobPrefix&amp;TEXT(ROW()-4,"0000"))</f>
        <v>0</v>
      </c>
      <c r="C157" s="23">
        <f>IF(B157="","",TEXT(B157,"ddd"))</f>
        <v>0</v>
      </c>
      <c r="D157" s="31">
        <f>IF(B157="","",WEEKNUM(B157,IF(WeekStart="Sunday",1,2)))</f>
        <v>0</v>
      </c>
      <c r="E157" s="23">
        <f>IF(B157="","",TEXT(B157,"yyyy-mm"))</f>
        <v>0</v>
      </c>
      <c r="H157" s="23">
        <f>IF(G157="","",IFERROR(INDEX(Clients!$B$5:$B$204,MATCH(G157,Clients!$A$5:$A$204,0)),"Not found"))</f>
        <v>0</v>
      </c>
      <c r="I157" s="23">
        <f>IF(G157="","",IFERROR(INDEX(Clients!$C$5:$C$204,MATCH(G157,Clients!$A$5:$A$204,0)),""))</f>
        <v>0</v>
      </c>
      <c r="K157" s="23">
        <f>IF(J157="","",IFERROR(INDEX(Properties!$B$5:$B$254,MATCH(J157,Properties!$A$5:$A$254,0)),""))</f>
        <v>0</v>
      </c>
      <c r="L157" s="23">
        <f>IF(J157="","",IFERROR(INDEX(Properties!$F$5:$F$254,MATCH(J157,Properties!$A$5:$A$254,0)),""))</f>
        <v>0</v>
      </c>
      <c r="AD157" s="34">
        <f>IF(G157="","",IF(U157&lt;&gt;"",U157,IF(AND(IFERROR(INDEX(Services!$D$5:$D$64,MATCH(M157,Services!$B$5:$B$64,0)),"")="Per hour",IFERROR(INDEX(Properties!$X$5:$X$254,MATCH(J157,Properties!$A$5:$A$254,0)),0)&gt;0),IFERROR(INDEX(Properties!$X$5:$X$254,MATCH(J157,Properties!$A$5:$A$254,0)),0),IF(IFERROR(INDEX(Services!$G$5:$G$64,MATCH(M157,Services!$B$5:$B$64,0)),0)&gt;0,IFERROR(INDEX(Services!$G$5:$G$64,MATCH(M157,Services!$B$5:$B$64,0)),0),IFERROR(INDEX(Properties!$X$5:$X$254,MATCH(J157,Properties!$A$5:$A$254,0)),0)))))</f>
        <v>0</v>
      </c>
      <c r="AE157" s="31">
        <f>IF(G157="","",IF(T157="",CleanersPerJob,MAX(1,T157)))</f>
        <v>0</v>
      </c>
      <c r="AF157" s="34">
        <f>IF(G157="","",ROUND(AD157/AE157,2))</f>
        <v>0</v>
      </c>
      <c r="AG157" s="53">
        <f>IF(OR(G157="",F157="",AF157=""),"",F157+AF157/24)</f>
        <v>0</v>
      </c>
      <c r="AH157" s="21">
        <f>IF(G157="","",IF(IFERROR(INDEX(Clients!$O$5:$O$204,MATCH(G157,Clients!$A$5:$A$204,0)),0)&gt;0,IFERROR(INDEX(Clients!$O$5:$O$204,MATCH(G157,Clients!$A$5:$A$204,0)),0),HourlyRate))</f>
        <v>0</v>
      </c>
      <c r="AI157" s="21">
        <f>IF(G157="","",IF(AND(M157&lt;&gt;"",IFERROR(INDEX(Services!$P$5:$P$64,MATCH(M157,Services!$B$5:$B$64,0)),0)&gt;0,IFERROR(INDEX(Services!$D$5:$D$64,MATCH(M157,Services!$B$5:$B$64,0)),"")&lt;&gt;"Per hour"),IFERROR(INDEX(Services!$P$5:$P$64,MATCH(M157,Services!$B$5:$B$64,0)),0),AD157*AH157))</f>
        <v>0</v>
      </c>
      <c r="AJ157" s="21">
        <f>IF(G157="","",IF(V157&lt;&gt;"",V157,IF(P157="Cancelled",0,MAX(MinimumCharge,ROUND(AI157*IFERROR(INDEX(FreqFactors,MATCH(O157,FreqNames,0)),1),2)))))</f>
        <v>0</v>
      </c>
      <c r="AK157" s="34">
        <f>IF(G157="","",IF(SUMIFS(Timesheets!$U$5:$U$804,Timesheets!$G$5:$G$804,A157)&gt;0,SUMIFS(Timesheets!$U$5:$U$804,Timesheets!$G$5:$G$804,A157),IF(Z157="","",Z157)))</f>
        <v>0</v>
      </c>
      <c r="AL157" s="34">
        <f>IF(OR(AK157="",AD157=""),"",AK157-AD157)</f>
        <v>0</v>
      </c>
      <c r="AM157" s="31">
        <f>IF(A157="","",COUNTIFS('Job Tasks'!$B$5:$B$904,A157))</f>
        <v>0</v>
      </c>
      <c r="AN157" s="31">
        <f>IF(A157="","",COUNTIFS('Job Tasks'!$B$5:$B$904,A157,'Job Tasks'!$H$5:$H$904,"Done"))</f>
        <v>0</v>
      </c>
      <c r="AO157" s="38">
        <f>IF(OR(A157="",AM157=0),"",AN157/AM157)</f>
        <v>0</v>
      </c>
      <c r="AP157" s="43">
        <f>IF(A157="","",IFERROR(INDEX('Invoice Lines'!$B$5:$B$804,MATCH(A157,'Invoice Lines'!$C$5:$C$804,0)),""))</f>
        <v>0</v>
      </c>
      <c r="AQ157" s="18">
        <f>IF(OR(G157="",B157="",X157&lt;&gt;"Yes"),"",IF(IFERROR(INDEX(FreqDays,MATCH(O157,FreqNames,0)),0)=0,"",B157+IFERROR(INDEX(FreqDays,MATCH(O157,FreqNames,0)),0)))</f>
        <v>0</v>
      </c>
      <c r="AR157" s="39">
        <f>IF(G157="","",IF(R157="","Unassigned",IF(COUNTIFS($R$5:$R$604,R157,$B$5:$B$604,B157,$F$5:$F$604,F157)&gt;1,"Clash",IF(SUMIFS($AF$5:$AF$604,$R$5:$R$604,R157,$B$5:$B$604,B157)&gt;ProductiveHours,"Long day","OK"))))</f>
        <v>0</v>
      </c>
      <c r="AS157" s="18">
        <f>IF(OR(G157="",B157=""),"",IF(AND(B157&gt;=TodayDate,P157&lt;&gt;"Cancelled"),B157,""))</f>
        <v>0</v>
      </c>
      <c r="AT157" s="31">
        <f>IF(AS157="","",COUNTIFS($AS$5:$AS$604,"&lt;"&amp;AS157)+COUNTIFS($AS$5:AS157,AS157))</f>
        <v>0</v>
      </c>
      <c r="AU157" s="18">
        <f>IF(OR(G157="",B157="",R157&lt;&gt;""),"",IF(AND(B157&gt;=TodayDate,P157&lt;&gt;"Cancelled"),B157,""))</f>
        <v>0</v>
      </c>
      <c r="AV157" s="31">
        <f>IF(AU157="","",COUNTIFS($AU$5:$AU$604,"&lt;"&amp;AU157)+COUNTIFS($AU$5:AU157,AU157))</f>
        <v>0</v>
      </c>
      <c r="AW157" s="31">
        <f>IF(OR(G157="",B157=""),"",B157-TodayDate)</f>
        <v>0</v>
      </c>
      <c r="AX157" s="39">
        <f>IF(G157="","",IF(P157="Cancelled","Cancelled",IF(P157="No access","Action - no access, rebook",IF(AND(B157&lt;&gt;"",AW157&lt;0,OR(P157="Booked",P157="Confirmed",P157="In progress")),"Late - mark it completed",IF(AND(P157="Completed",AP157=""),"Action - not invoiced yet",IF(AND(AW157&gt;=0,AW157&lt;=ReminderDays,Y157&lt;&gt;"Yes"),"Confirm - visit coming up",IF(R157="","Assign - no cleaner booked",IF(AND(P157="Completed",AO157&lt;&gt;"",AO157&lt;1),"Check - checklist unfinished","OK"))))))))</f>
        <v>0</v>
      </c>
    </row>
    <row r="158" spans="1:50">
      <c r="A158" s="43">
        <f>IF(G158="","",JobPrefix&amp;TEXT(ROW()-4,"0000"))</f>
        <v>0</v>
      </c>
      <c r="C158" s="23">
        <f>IF(B158="","",TEXT(B158,"ddd"))</f>
        <v>0</v>
      </c>
      <c r="D158" s="31">
        <f>IF(B158="","",WEEKNUM(B158,IF(WeekStart="Sunday",1,2)))</f>
        <v>0</v>
      </c>
      <c r="E158" s="23">
        <f>IF(B158="","",TEXT(B158,"yyyy-mm"))</f>
        <v>0</v>
      </c>
      <c r="H158" s="23">
        <f>IF(G158="","",IFERROR(INDEX(Clients!$B$5:$B$204,MATCH(G158,Clients!$A$5:$A$204,0)),"Not found"))</f>
        <v>0</v>
      </c>
      <c r="I158" s="23">
        <f>IF(G158="","",IFERROR(INDEX(Clients!$C$5:$C$204,MATCH(G158,Clients!$A$5:$A$204,0)),""))</f>
        <v>0</v>
      </c>
      <c r="K158" s="23">
        <f>IF(J158="","",IFERROR(INDEX(Properties!$B$5:$B$254,MATCH(J158,Properties!$A$5:$A$254,0)),""))</f>
        <v>0</v>
      </c>
      <c r="L158" s="23">
        <f>IF(J158="","",IFERROR(INDEX(Properties!$F$5:$F$254,MATCH(J158,Properties!$A$5:$A$254,0)),""))</f>
        <v>0</v>
      </c>
      <c r="AD158" s="34">
        <f>IF(G158="","",IF(U158&lt;&gt;"",U158,IF(AND(IFERROR(INDEX(Services!$D$5:$D$64,MATCH(M158,Services!$B$5:$B$64,0)),"")="Per hour",IFERROR(INDEX(Properties!$X$5:$X$254,MATCH(J158,Properties!$A$5:$A$254,0)),0)&gt;0),IFERROR(INDEX(Properties!$X$5:$X$254,MATCH(J158,Properties!$A$5:$A$254,0)),0),IF(IFERROR(INDEX(Services!$G$5:$G$64,MATCH(M158,Services!$B$5:$B$64,0)),0)&gt;0,IFERROR(INDEX(Services!$G$5:$G$64,MATCH(M158,Services!$B$5:$B$64,0)),0),IFERROR(INDEX(Properties!$X$5:$X$254,MATCH(J158,Properties!$A$5:$A$254,0)),0)))))</f>
        <v>0</v>
      </c>
      <c r="AE158" s="31">
        <f>IF(G158="","",IF(T158="",CleanersPerJob,MAX(1,T158)))</f>
        <v>0</v>
      </c>
      <c r="AF158" s="34">
        <f>IF(G158="","",ROUND(AD158/AE158,2))</f>
        <v>0</v>
      </c>
      <c r="AG158" s="53">
        <f>IF(OR(G158="",F158="",AF158=""),"",F158+AF158/24)</f>
        <v>0</v>
      </c>
      <c r="AH158" s="21">
        <f>IF(G158="","",IF(IFERROR(INDEX(Clients!$O$5:$O$204,MATCH(G158,Clients!$A$5:$A$204,0)),0)&gt;0,IFERROR(INDEX(Clients!$O$5:$O$204,MATCH(G158,Clients!$A$5:$A$204,0)),0),HourlyRate))</f>
        <v>0</v>
      </c>
      <c r="AI158" s="21">
        <f>IF(G158="","",IF(AND(M158&lt;&gt;"",IFERROR(INDEX(Services!$P$5:$P$64,MATCH(M158,Services!$B$5:$B$64,0)),0)&gt;0,IFERROR(INDEX(Services!$D$5:$D$64,MATCH(M158,Services!$B$5:$B$64,0)),"")&lt;&gt;"Per hour"),IFERROR(INDEX(Services!$P$5:$P$64,MATCH(M158,Services!$B$5:$B$64,0)),0),AD158*AH158))</f>
        <v>0</v>
      </c>
      <c r="AJ158" s="21">
        <f>IF(G158="","",IF(V158&lt;&gt;"",V158,IF(P158="Cancelled",0,MAX(MinimumCharge,ROUND(AI158*IFERROR(INDEX(FreqFactors,MATCH(O158,FreqNames,0)),1),2)))))</f>
        <v>0</v>
      </c>
      <c r="AK158" s="34">
        <f>IF(G158="","",IF(SUMIFS(Timesheets!$U$5:$U$804,Timesheets!$G$5:$G$804,A158)&gt;0,SUMIFS(Timesheets!$U$5:$U$804,Timesheets!$G$5:$G$804,A158),IF(Z158="","",Z158)))</f>
        <v>0</v>
      </c>
      <c r="AL158" s="34">
        <f>IF(OR(AK158="",AD158=""),"",AK158-AD158)</f>
        <v>0</v>
      </c>
      <c r="AM158" s="31">
        <f>IF(A158="","",COUNTIFS('Job Tasks'!$B$5:$B$904,A158))</f>
        <v>0</v>
      </c>
      <c r="AN158" s="31">
        <f>IF(A158="","",COUNTIFS('Job Tasks'!$B$5:$B$904,A158,'Job Tasks'!$H$5:$H$904,"Done"))</f>
        <v>0</v>
      </c>
      <c r="AO158" s="38">
        <f>IF(OR(A158="",AM158=0),"",AN158/AM158)</f>
        <v>0</v>
      </c>
      <c r="AP158" s="43">
        <f>IF(A158="","",IFERROR(INDEX('Invoice Lines'!$B$5:$B$804,MATCH(A158,'Invoice Lines'!$C$5:$C$804,0)),""))</f>
        <v>0</v>
      </c>
      <c r="AQ158" s="18">
        <f>IF(OR(G158="",B158="",X158&lt;&gt;"Yes"),"",IF(IFERROR(INDEX(FreqDays,MATCH(O158,FreqNames,0)),0)=0,"",B158+IFERROR(INDEX(FreqDays,MATCH(O158,FreqNames,0)),0)))</f>
        <v>0</v>
      </c>
      <c r="AR158" s="39">
        <f>IF(G158="","",IF(R158="","Unassigned",IF(COUNTIFS($R$5:$R$604,R158,$B$5:$B$604,B158,$F$5:$F$604,F158)&gt;1,"Clash",IF(SUMIFS($AF$5:$AF$604,$R$5:$R$604,R158,$B$5:$B$604,B158)&gt;ProductiveHours,"Long day","OK"))))</f>
        <v>0</v>
      </c>
      <c r="AS158" s="18">
        <f>IF(OR(G158="",B158=""),"",IF(AND(B158&gt;=TodayDate,P158&lt;&gt;"Cancelled"),B158,""))</f>
        <v>0</v>
      </c>
      <c r="AT158" s="31">
        <f>IF(AS158="","",COUNTIFS($AS$5:$AS$604,"&lt;"&amp;AS158)+COUNTIFS($AS$5:AS158,AS158))</f>
        <v>0</v>
      </c>
      <c r="AU158" s="18">
        <f>IF(OR(G158="",B158="",R158&lt;&gt;""),"",IF(AND(B158&gt;=TodayDate,P158&lt;&gt;"Cancelled"),B158,""))</f>
        <v>0</v>
      </c>
      <c r="AV158" s="31">
        <f>IF(AU158="","",COUNTIFS($AU$5:$AU$604,"&lt;"&amp;AU158)+COUNTIFS($AU$5:AU158,AU158))</f>
        <v>0</v>
      </c>
      <c r="AW158" s="31">
        <f>IF(OR(G158="",B158=""),"",B158-TodayDate)</f>
        <v>0</v>
      </c>
      <c r="AX158" s="39">
        <f>IF(G158="","",IF(P158="Cancelled","Cancelled",IF(P158="No access","Action - no access, rebook",IF(AND(B158&lt;&gt;"",AW158&lt;0,OR(P158="Booked",P158="Confirmed",P158="In progress")),"Late - mark it completed",IF(AND(P158="Completed",AP158=""),"Action - not invoiced yet",IF(AND(AW158&gt;=0,AW158&lt;=ReminderDays,Y158&lt;&gt;"Yes"),"Confirm - visit coming up",IF(R158="","Assign - no cleaner booked",IF(AND(P158="Completed",AO158&lt;&gt;"",AO158&lt;1),"Check - checklist unfinished","OK"))))))))</f>
        <v>0</v>
      </c>
    </row>
    <row r="159" spans="1:50">
      <c r="A159" s="43">
        <f>IF(G159="","",JobPrefix&amp;TEXT(ROW()-4,"0000"))</f>
        <v>0</v>
      </c>
      <c r="C159" s="23">
        <f>IF(B159="","",TEXT(B159,"ddd"))</f>
        <v>0</v>
      </c>
      <c r="D159" s="31">
        <f>IF(B159="","",WEEKNUM(B159,IF(WeekStart="Sunday",1,2)))</f>
        <v>0</v>
      </c>
      <c r="E159" s="23">
        <f>IF(B159="","",TEXT(B159,"yyyy-mm"))</f>
        <v>0</v>
      </c>
      <c r="H159" s="23">
        <f>IF(G159="","",IFERROR(INDEX(Clients!$B$5:$B$204,MATCH(G159,Clients!$A$5:$A$204,0)),"Not found"))</f>
        <v>0</v>
      </c>
      <c r="I159" s="23">
        <f>IF(G159="","",IFERROR(INDEX(Clients!$C$5:$C$204,MATCH(G159,Clients!$A$5:$A$204,0)),""))</f>
        <v>0</v>
      </c>
      <c r="K159" s="23">
        <f>IF(J159="","",IFERROR(INDEX(Properties!$B$5:$B$254,MATCH(J159,Properties!$A$5:$A$254,0)),""))</f>
        <v>0</v>
      </c>
      <c r="L159" s="23">
        <f>IF(J159="","",IFERROR(INDEX(Properties!$F$5:$F$254,MATCH(J159,Properties!$A$5:$A$254,0)),""))</f>
        <v>0</v>
      </c>
      <c r="AD159" s="34">
        <f>IF(G159="","",IF(U159&lt;&gt;"",U159,IF(AND(IFERROR(INDEX(Services!$D$5:$D$64,MATCH(M159,Services!$B$5:$B$64,0)),"")="Per hour",IFERROR(INDEX(Properties!$X$5:$X$254,MATCH(J159,Properties!$A$5:$A$254,0)),0)&gt;0),IFERROR(INDEX(Properties!$X$5:$X$254,MATCH(J159,Properties!$A$5:$A$254,0)),0),IF(IFERROR(INDEX(Services!$G$5:$G$64,MATCH(M159,Services!$B$5:$B$64,0)),0)&gt;0,IFERROR(INDEX(Services!$G$5:$G$64,MATCH(M159,Services!$B$5:$B$64,0)),0),IFERROR(INDEX(Properties!$X$5:$X$254,MATCH(J159,Properties!$A$5:$A$254,0)),0)))))</f>
        <v>0</v>
      </c>
      <c r="AE159" s="31">
        <f>IF(G159="","",IF(T159="",CleanersPerJob,MAX(1,T159)))</f>
        <v>0</v>
      </c>
      <c r="AF159" s="34">
        <f>IF(G159="","",ROUND(AD159/AE159,2))</f>
        <v>0</v>
      </c>
      <c r="AG159" s="53">
        <f>IF(OR(G159="",F159="",AF159=""),"",F159+AF159/24)</f>
        <v>0</v>
      </c>
      <c r="AH159" s="21">
        <f>IF(G159="","",IF(IFERROR(INDEX(Clients!$O$5:$O$204,MATCH(G159,Clients!$A$5:$A$204,0)),0)&gt;0,IFERROR(INDEX(Clients!$O$5:$O$204,MATCH(G159,Clients!$A$5:$A$204,0)),0),HourlyRate))</f>
        <v>0</v>
      </c>
      <c r="AI159" s="21">
        <f>IF(G159="","",IF(AND(M159&lt;&gt;"",IFERROR(INDEX(Services!$P$5:$P$64,MATCH(M159,Services!$B$5:$B$64,0)),0)&gt;0,IFERROR(INDEX(Services!$D$5:$D$64,MATCH(M159,Services!$B$5:$B$64,0)),"")&lt;&gt;"Per hour"),IFERROR(INDEX(Services!$P$5:$P$64,MATCH(M159,Services!$B$5:$B$64,0)),0),AD159*AH159))</f>
        <v>0</v>
      </c>
      <c r="AJ159" s="21">
        <f>IF(G159="","",IF(V159&lt;&gt;"",V159,IF(P159="Cancelled",0,MAX(MinimumCharge,ROUND(AI159*IFERROR(INDEX(FreqFactors,MATCH(O159,FreqNames,0)),1),2)))))</f>
        <v>0</v>
      </c>
      <c r="AK159" s="34">
        <f>IF(G159="","",IF(SUMIFS(Timesheets!$U$5:$U$804,Timesheets!$G$5:$G$804,A159)&gt;0,SUMIFS(Timesheets!$U$5:$U$804,Timesheets!$G$5:$G$804,A159),IF(Z159="","",Z159)))</f>
        <v>0</v>
      </c>
      <c r="AL159" s="34">
        <f>IF(OR(AK159="",AD159=""),"",AK159-AD159)</f>
        <v>0</v>
      </c>
      <c r="AM159" s="31">
        <f>IF(A159="","",COUNTIFS('Job Tasks'!$B$5:$B$904,A159))</f>
        <v>0</v>
      </c>
      <c r="AN159" s="31">
        <f>IF(A159="","",COUNTIFS('Job Tasks'!$B$5:$B$904,A159,'Job Tasks'!$H$5:$H$904,"Done"))</f>
        <v>0</v>
      </c>
      <c r="AO159" s="38">
        <f>IF(OR(A159="",AM159=0),"",AN159/AM159)</f>
        <v>0</v>
      </c>
      <c r="AP159" s="43">
        <f>IF(A159="","",IFERROR(INDEX('Invoice Lines'!$B$5:$B$804,MATCH(A159,'Invoice Lines'!$C$5:$C$804,0)),""))</f>
        <v>0</v>
      </c>
      <c r="AQ159" s="18">
        <f>IF(OR(G159="",B159="",X159&lt;&gt;"Yes"),"",IF(IFERROR(INDEX(FreqDays,MATCH(O159,FreqNames,0)),0)=0,"",B159+IFERROR(INDEX(FreqDays,MATCH(O159,FreqNames,0)),0)))</f>
        <v>0</v>
      </c>
      <c r="AR159" s="39">
        <f>IF(G159="","",IF(R159="","Unassigned",IF(COUNTIFS($R$5:$R$604,R159,$B$5:$B$604,B159,$F$5:$F$604,F159)&gt;1,"Clash",IF(SUMIFS($AF$5:$AF$604,$R$5:$R$604,R159,$B$5:$B$604,B159)&gt;ProductiveHours,"Long day","OK"))))</f>
        <v>0</v>
      </c>
      <c r="AS159" s="18">
        <f>IF(OR(G159="",B159=""),"",IF(AND(B159&gt;=TodayDate,P159&lt;&gt;"Cancelled"),B159,""))</f>
        <v>0</v>
      </c>
      <c r="AT159" s="31">
        <f>IF(AS159="","",COUNTIFS($AS$5:$AS$604,"&lt;"&amp;AS159)+COUNTIFS($AS$5:AS159,AS159))</f>
        <v>0</v>
      </c>
      <c r="AU159" s="18">
        <f>IF(OR(G159="",B159="",R159&lt;&gt;""),"",IF(AND(B159&gt;=TodayDate,P159&lt;&gt;"Cancelled"),B159,""))</f>
        <v>0</v>
      </c>
      <c r="AV159" s="31">
        <f>IF(AU159="","",COUNTIFS($AU$5:$AU$604,"&lt;"&amp;AU159)+COUNTIFS($AU$5:AU159,AU159))</f>
        <v>0</v>
      </c>
      <c r="AW159" s="31">
        <f>IF(OR(G159="",B159=""),"",B159-TodayDate)</f>
        <v>0</v>
      </c>
      <c r="AX159" s="39">
        <f>IF(G159="","",IF(P159="Cancelled","Cancelled",IF(P159="No access","Action - no access, rebook",IF(AND(B159&lt;&gt;"",AW159&lt;0,OR(P159="Booked",P159="Confirmed",P159="In progress")),"Late - mark it completed",IF(AND(P159="Completed",AP159=""),"Action - not invoiced yet",IF(AND(AW159&gt;=0,AW159&lt;=ReminderDays,Y159&lt;&gt;"Yes"),"Confirm - visit coming up",IF(R159="","Assign - no cleaner booked",IF(AND(P159="Completed",AO159&lt;&gt;"",AO159&lt;1),"Check - checklist unfinished","OK"))))))))</f>
        <v>0</v>
      </c>
    </row>
    <row r="160" spans="1:50">
      <c r="A160" s="43">
        <f>IF(G160="","",JobPrefix&amp;TEXT(ROW()-4,"0000"))</f>
        <v>0</v>
      </c>
      <c r="C160" s="23">
        <f>IF(B160="","",TEXT(B160,"ddd"))</f>
        <v>0</v>
      </c>
      <c r="D160" s="31">
        <f>IF(B160="","",WEEKNUM(B160,IF(WeekStart="Sunday",1,2)))</f>
        <v>0</v>
      </c>
      <c r="E160" s="23">
        <f>IF(B160="","",TEXT(B160,"yyyy-mm"))</f>
        <v>0</v>
      </c>
      <c r="H160" s="23">
        <f>IF(G160="","",IFERROR(INDEX(Clients!$B$5:$B$204,MATCH(G160,Clients!$A$5:$A$204,0)),"Not found"))</f>
        <v>0</v>
      </c>
      <c r="I160" s="23">
        <f>IF(G160="","",IFERROR(INDEX(Clients!$C$5:$C$204,MATCH(G160,Clients!$A$5:$A$204,0)),""))</f>
        <v>0</v>
      </c>
      <c r="K160" s="23">
        <f>IF(J160="","",IFERROR(INDEX(Properties!$B$5:$B$254,MATCH(J160,Properties!$A$5:$A$254,0)),""))</f>
        <v>0</v>
      </c>
      <c r="L160" s="23">
        <f>IF(J160="","",IFERROR(INDEX(Properties!$F$5:$F$254,MATCH(J160,Properties!$A$5:$A$254,0)),""))</f>
        <v>0</v>
      </c>
      <c r="AD160" s="34">
        <f>IF(G160="","",IF(U160&lt;&gt;"",U160,IF(AND(IFERROR(INDEX(Services!$D$5:$D$64,MATCH(M160,Services!$B$5:$B$64,0)),"")="Per hour",IFERROR(INDEX(Properties!$X$5:$X$254,MATCH(J160,Properties!$A$5:$A$254,0)),0)&gt;0),IFERROR(INDEX(Properties!$X$5:$X$254,MATCH(J160,Properties!$A$5:$A$254,0)),0),IF(IFERROR(INDEX(Services!$G$5:$G$64,MATCH(M160,Services!$B$5:$B$64,0)),0)&gt;0,IFERROR(INDEX(Services!$G$5:$G$64,MATCH(M160,Services!$B$5:$B$64,0)),0),IFERROR(INDEX(Properties!$X$5:$X$254,MATCH(J160,Properties!$A$5:$A$254,0)),0)))))</f>
        <v>0</v>
      </c>
      <c r="AE160" s="31">
        <f>IF(G160="","",IF(T160="",CleanersPerJob,MAX(1,T160)))</f>
        <v>0</v>
      </c>
      <c r="AF160" s="34">
        <f>IF(G160="","",ROUND(AD160/AE160,2))</f>
        <v>0</v>
      </c>
      <c r="AG160" s="53">
        <f>IF(OR(G160="",F160="",AF160=""),"",F160+AF160/24)</f>
        <v>0</v>
      </c>
      <c r="AH160" s="21">
        <f>IF(G160="","",IF(IFERROR(INDEX(Clients!$O$5:$O$204,MATCH(G160,Clients!$A$5:$A$204,0)),0)&gt;0,IFERROR(INDEX(Clients!$O$5:$O$204,MATCH(G160,Clients!$A$5:$A$204,0)),0),HourlyRate))</f>
        <v>0</v>
      </c>
      <c r="AI160" s="21">
        <f>IF(G160="","",IF(AND(M160&lt;&gt;"",IFERROR(INDEX(Services!$P$5:$P$64,MATCH(M160,Services!$B$5:$B$64,0)),0)&gt;0,IFERROR(INDEX(Services!$D$5:$D$64,MATCH(M160,Services!$B$5:$B$64,0)),"")&lt;&gt;"Per hour"),IFERROR(INDEX(Services!$P$5:$P$64,MATCH(M160,Services!$B$5:$B$64,0)),0),AD160*AH160))</f>
        <v>0</v>
      </c>
      <c r="AJ160" s="21">
        <f>IF(G160="","",IF(V160&lt;&gt;"",V160,IF(P160="Cancelled",0,MAX(MinimumCharge,ROUND(AI160*IFERROR(INDEX(FreqFactors,MATCH(O160,FreqNames,0)),1),2)))))</f>
        <v>0</v>
      </c>
      <c r="AK160" s="34">
        <f>IF(G160="","",IF(SUMIFS(Timesheets!$U$5:$U$804,Timesheets!$G$5:$G$804,A160)&gt;0,SUMIFS(Timesheets!$U$5:$U$804,Timesheets!$G$5:$G$804,A160),IF(Z160="","",Z160)))</f>
        <v>0</v>
      </c>
      <c r="AL160" s="34">
        <f>IF(OR(AK160="",AD160=""),"",AK160-AD160)</f>
        <v>0</v>
      </c>
      <c r="AM160" s="31">
        <f>IF(A160="","",COUNTIFS('Job Tasks'!$B$5:$B$904,A160))</f>
        <v>0</v>
      </c>
      <c r="AN160" s="31">
        <f>IF(A160="","",COUNTIFS('Job Tasks'!$B$5:$B$904,A160,'Job Tasks'!$H$5:$H$904,"Done"))</f>
        <v>0</v>
      </c>
      <c r="AO160" s="38">
        <f>IF(OR(A160="",AM160=0),"",AN160/AM160)</f>
        <v>0</v>
      </c>
      <c r="AP160" s="43">
        <f>IF(A160="","",IFERROR(INDEX('Invoice Lines'!$B$5:$B$804,MATCH(A160,'Invoice Lines'!$C$5:$C$804,0)),""))</f>
        <v>0</v>
      </c>
      <c r="AQ160" s="18">
        <f>IF(OR(G160="",B160="",X160&lt;&gt;"Yes"),"",IF(IFERROR(INDEX(FreqDays,MATCH(O160,FreqNames,0)),0)=0,"",B160+IFERROR(INDEX(FreqDays,MATCH(O160,FreqNames,0)),0)))</f>
        <v>0</v>
      </c>
      <c r="AR160" s="39">
        <f>IF(G160="","",IF(R160="","Unassigned",IF(COUNTIFS($R$5:$R$604,R160,$B$5:$B$604,B160,$F$5:$F$604,F160)&gt;1,"Clash",IF(SUMIFS($AF$5:$AF$604,$R$5:$R$604,R160,$B$5:$B$604,B160)&gt;ProductiveHours,"Long day","OK"))))</f>
        <v>0</v>
      </c>
      <c r="AS160" s="18">
        <f>IF(OR(G160="",B160=""),"",IF(AND(B160&gt;=TodayDate,P160&lt;&gt;"Cancelled"),B160,""))</f>
        <v>0</v>
      </c>
      <c r="AT160" s="31">
        <f>IF(AS160="","",COUNTIFS($AS$5:$AS$604,"&lt;"&amp;AS160)+COUNTIFS($AS$5:AS160,AS160))</f>
        <v>0</v>
      </c>
      <c r="AU160" s="18">
        <f>IF(OR(G160="",B160="",R160&lt;&gt;""),"",IF(AND(B160&gt;=TodayDate,P160&lt;&gt;"Cancelled"),B160,""))</f>
        <v>0</v>
      </c>
      <c r="AV160" s="31">
        <f>IF(AU160="","",COUNTIFS($AU$5:$AU$604,"&lt;"&amp;AU160)+COUNTIFS($AU$5:AU160,AU160))</f>
        <v>0</v>
      </c>
      <c r="AW160" s="31">
        <f>IF(OR(G160="",B160=""),"",B160-TodayDate)</f>
        <v>0</v>
      </c>
      <c r="AX160" s="39">
        <f>IF(G160="","",IF(P160="Cancelled","Cancelled",IF(P160="No access","Action - no access, rebook",IF(AND(B160&lt;&gt;"",AW160&lt;0,OR(P160="Booked",P160="Confirmed",P160="In progress")),"Late - mark it completed",IF(AND(P160="Completed",AP160=""),"Action - not invoiced yet",IF(AND(AW160&gt;=0,AW160&lt;=ReminderDays,Y160&lt;&gt;"Yes"),"Confirm - visit coming up",IF(R160="","Assign - no cleaner booked",IF(AND(P160="Completed",AO160&lt;&gt;"",AO160&lt;1),"Check - checklist unfinished","OK"))))))))</f>
        <v>0</v>
      </c>
    </row>
    <row r="161" spans="1:50">
      <c r="A161" s="43">
        <f>IF(G161="","",JobPrefix&amp;TEXT(ROW()-4,"0000"))</f>
        <v>0</v>
      </c>
      <c r="C161" s="23">
        <f>IF(B161="","",TEXT(B161,"ddd"))</f>
        <v>0</v>
      </c>
      <c r="D161" s="31">
        <f>IF(B161="","",WEEKNUM(B161,IF(WeekStart="Sunday",1,2)))</f>
        <v>0</v>
      </c>
      <c r="E161" s="23">
        <f>IF(B161="","",TEXT(B161,"yyyy-mm"))</f>
        <v>0</v>
      </c>
      <c r="H161" s="23">
        <f>IF(G161="","",IFERROR(INDEX(Clients!$B$5:$B$204,MATCH(G161,Clients!$A$5:$A$204,0)),"Not found"))</f>
        <v>0</v>
      </c>
      <c r="I161" s="23">
        <f>IF(G161="","",IFERROR(INDEX(Clients!$C$5:$C$204,MATCH(G161,Clients!$A$5:$A$204,0)),""))</f>
        <v>0</v>
      </c>
      <c r="K161" s="23">
        <f>IF(J161="","",IFERROR(INDEX(Properties!$B$5:$B$254,MATCH(J161,Properties!$A$5:$A$254,0)),""))</f>
        <v>0</v>
      </c>
      <c r="L161" s="23">
        <f>IF(J161="","",IFERROR(INDEX(Properties!$F$5:$F$254,MATCH(J161,Properties!$A$5:$A$254,0)),""))</f>
        <v>0</v>
      </c>
      <c r="AD161" s="34">
        <f>IF(G161="","",IF(U161&lt;&gt;"",U161,IF(AND(IFERROR(INDEX(Services!$D$5:$D$64,MATCH(M161,Services!$B$5:$B$64,0)),"")="Per hour",IFERROR(INDEX(Properties!$X$5:$X$254,MATCH(J161,Properties!$A$5:$A$254,0)),0)&gt;0),IFERROR(INDEX(Properties!$X$5:$X$254,MATCH(J161,Properties!$A$5:$A$254,0)),0),IF(IFERROR(INDEX(Services!$G$5:$G$64,MATCH(M161,Services!$B$5:$B$64,0)),0)&gt;0,IFERROR(INDEX(Services!$G$5:$G$64,MATCH(M161,Services!$B$5:$B$64,0)),0),IFERROR(INDEX(Properties!$X$5:$X$254,MATCH(J161,Properties!$A$5:$A$254,0)),0)))))</f>
        <v>0</v>
      </c>
      <c r="AE161" s="31">
        <f>IF(G161="","",IF(T161="",CleanersPerJob,MAX(1,T161)))</f>
        <v>0</v>
      </c>
      <c r="AF161" s="34">
        <f>IF(G161="","",ROUND(AD161/AE161,2))</f>
        <v>0</v>
      </c>
      <c r="AG161" s="53">
        <f>IF(OR(G161="",F161="",AF161=""),"",F161+AF161/24)</f>
        <v>0</v>
      </c>
      <c r="AH161" s="21">
        <f>IF(G161="","",IF(IFERROR(INDEX(Clients!$O$5:$O$204,MATCH(G161,Clients!$A$5:$A$204,0)),0)&gt;0,IFERROR(INDEX(Clients!$O$5:$O$204,MATCH(G161,Clients!$A$5:$A$204,0)),0),HourlyRate))</f>
        <v>0</v>
      </c>
      <c r="AI161" s="21">
        <f>IF(G161="","",IF(AND(M161&lt;&gt;"",IFERROR(INDEX(Services!$P$5:$P$64,MATCH(M161,Services!$B$5:$B$64,0)),0)&gt;0,IFERROR(INDEX(Services!$D$5:$D$64,MATCH(M161,Services!$B$5:$B$64,0)),"")&lt;&gt;"Per hour"),IFERROR(INDEX(Services!$P$5:$P$64,MATCH(M161,Services!$B$5:$B$64,0)),0),AD161*AH161))</f>
        <v>0</v>
      </c>
      <c r="AJ161" s="21">
        <f>IF(G161="","",IF(V161&lt;&gt;"",V161,IF(P161="Cancelled",0,MAX(MinimumCharge,ROUND(AI161*IFERROR(INDEX(FreqFactors,MATCH(O161,FreqNames,0)),1),2)))))</f>
        <v>0</v>
      </c>
      <c r="AK161" s="34">
        <f>IF(G161="","",IF(SUMIFS(Timesheets!$U$5:$U$804,Timesheets!$G$5:$G$804,A161)&gt;0,SUMIFS(Timesheets!$U$5:$U$804,Timesheets!$G$5:$G$804,A161),IF(Z161="","",Z161)))</f>
        <v>0</v>
      </c>
      <c r="AL161" s="34">
        <f>IF(OR(AK161="",AD161=""),"",AK161-AD161)</f>
        <v>0</v>
      </c>
      <c r="AM161" s="31">
        <f>IF(A161="","",COUNTIFS('Job Tasks'!$B$5:$B$904,A161))</f>
        <v>0</v>
      </c>
      <c r="AN161" s="31">
        <f>IF(A161="","",COUNTIFS('Job Tasks'!$B$5:$B$904,A161,'Job Tasks'!$H$5:$H$904,"Done"))</f>
        <v>0</v>
      </c>
      <c r="AO161" s="38">
        <f>IF(OR(A161="",AM161=0),"",AN161/AM161)</f>
        <v>0</v>
      </c>
      <c r="AP161" s="43">
        <f>IF(A161="","",IFERROR(INDEX('Invoice Lines'!$B$5:$B$804,MATCH(A161,'Invoice Lines'!$C$5:$C$804,0)),""))</f>
        <v>0</v>
      </c>
      <c r="AQ161" s="18">
        <f>IF(OR(G161="",B161="",X161&lt;&gt;"Yes"),"",IF(IFERROR(INDEX(FreqDays,MATCH(O161,FreqNames,0)),0)=0,"",B161+IFERROR(INDEX(FreqDays,MATCH(O161,FreqNames,0)),0)))</f>
        <v>0</v>
      </c>
      <c r="AR161" s="39">
        <f>IF(G161="","",IF(R161="","Unassigned",IF(COUNTIFS($R$5:$R$604,R161,$B$5:$B$604,B161,$F$5:$F$604,F161)&gt;1,"Clash",IF(SUMIFS($AF$5:$AF$604,$R$5:$R$604,R161,$B$5:$B$604,B161)&gt;ProductiveHours,"Long day","OK"))))</f>
        <v>0</v>
      </c>
      <c r="AS161" s="18">
        <f>IF(OR(G161="",B161=""),"",IF(AND(B161&gt;=TodayDate,P161&lt;&gt;"Cancelled"),B161,""))</f>
        <v>0</v>
      </c>
      <c r="AT161" s="31">
        <f>IF(AS161="","",COUNTIFS($AS$5:$AS$604,"&lt;"&amp;AS161)+COUNTIFS($AS$5:AS161,AS161))</f>
        <v>0</v>
      </c>
      <c r="AU161" s="18">
        <f>IF(OR(G161="",B161="",R161&lt;&gt;""),"",IF(AND(B161&gt;=TodayDate,P161&lt;&gt;"Cancelled"),B161,""))</f>
        <v>0</v>
      </c>
      <c r="AV161" s="31">
        <f>IF(AU161="","",COUNTIFS($AU$5:$AU$604,"&lt;"&amp;AU161)+COUNTIFS($AU$5:AU161,AU161))</f>
        <v>0</v>
      </c>
      <c r="AW161" s="31">
        <f>IF(OR(G161="",B161=""),"",B161-TodayDate)</f>
        <v>0</v>
      </c>
      <c r="AX161" s="39">
        <f>IF(G161="","",IF(P161="Cancelled","Cancelled",IF(P161="No access","Action - no access, rebook",IF(AND(B161&lt;&gt;"",AW161&lt;0,OR(P161="Booked",P161="Confirmed",P161="In progress")),"Late - mark it completed",IF(AND(P161="Completed",AP161=""),"Action - not invoiced yet",IF(AND(AW161&gt;=0,AW161&lt;=ReminderDays,Y161&lt;&gt;"Yes"),"Confirm - visit coming up",IF(R161="","Assign - no cleaner booked",IF(AND(P161="Completed",AO161&lt;&gt;"",AO161&lt;1),"Check - checklist unfinished","OK"))))))))</f>
        <v>0</v>
      </c>
    </row>
    <row r="162" spans="1:50">
      <c r="A162" s="43">
        <f>IF(G162="","",JobPrefix&amp;TEXT(ROW()-4,"0000"))</f>
        <v>0</v>
      </c>
      <c r="C162" s="23">
        <f>IF(B162="","",TEXT(B162,"ddd"))</f>
        <v>0</v>
      </c>
      <c r="D162" s="31">
        <f>IF(B162="","",WEEKNUM(B162,IF(WeekStart="Sunday",1,2)))</f>
        <v>0</v>
      </c>
      <c r="E162" s="23">
        <f>IF(B162="","",TEXT(B162,"yyyy-mm"))</f>
        <v>0</v>
      </c>
      <c r="H162" s="23">
        <f>IF(G162="","",IFERROR(INDEX(Clients!$B$5:$B$204,MATCH(G162,Clients!$A$5:$A$204,0)),"Not found"))</f>
        <v>0</v>
      </c>
      <c r="I162" s="23">
        <f>IF(G162="","",IFERROR(INDEX(Clients!$C$5:$C$204,MATCH(G162,Clients!$A$5:$A$204,0)),""))</f>
        <v>0</v>
      </c>
      <c r="K162" s="23">
        <f>IF(J162="","",IFERROR(INDEX(Properties!$B$5:$B$254,MATCH(J162,Properties!$A$5:$A$254,0)),""))</f>
        <v>0</v>
      </c>
      <c r="L162" s="23">
        <f>IF(J162="","",IFERROR(INDEX(Properties!$F$5:$F$254,MATCH(J162,Properties!$A$5:$A$254,0)),""))</f>
        <v>0</v>
      </c>
      <c r="AD162" s="34">
        <f>IF(G162="","",IF(U162&lt;&gt;"",U162,IF(AND(IFERROR(INDEX(Services!$D$5:$D$64,MATCH(M162,Services!$B$5:$B$64,0)),"")="Per hour",IFERROR(INDEX(Properties!$X$5:$X$254,MATCH(J162,Properties!$A$5:$A$254,0)),0)&gt;0),IFERROR(INDEX(Properties!$X$5:$X$254,MATCH(J162,Properties!$A$5:$A$254,0)),0),IF(IFERROR(INDEX(Services!$G$5:$G$64,MATCH(M162,Services!$B$5:$B$64,0)),0)&gt;0,IFERROR(INDEX(Services!$G$5:$G$64,MATCH(M162,Services!$B$5:$B$64,0)),0),IFERROR(INDEX(Properties!$X$5:$X$254,MATCH(J162,Properties!$A$5:$A$254,0)),0)))))</f>
        <v>0</v>
      </c>
      <c r="AE162" s="31">
        <f>IF(G162="","",IF(T162="",CleanersPerJob,MAX(1,T162)))</f>
        <v>0</v>
      </c>
      <c r="AF162" s="34">
        <f>IF(G162="","",ROUND(AD162/AE162,2))</f>
        <v>0</v>
      </c>
      <c r="AG162" s="53">
        <f>IF(OR(G162="",F162="",AF162=""),"",F162+AF162/24)</f>
        <v>0</v>
      </c>
      <c r="AH162" s="21">
        <f>IF(G162="","",IF(IFERROR(INDEX(Clients!$O$5:$O$204,MATCH(G162,Clients!$A$5:$A$204,0)),0)&gt;0,IFERROR(INDEX(Clients!$O$5:$O$204,MATCH(G162,Clients!$A$5:$A$204,0)),0),HourlyRate))</f>
        <v>0</v>
      </c>
      <c r="AI162" s="21">
        <f>IF(G162="","",IF(AND(M162&lt;&gt;"",IFERROR(INDEX(Services!$P$5:$P$64,MATCH(M162,Services!$B$5:$B$64,0)),0)&gt;0,IFERROR(INDEX(Services!$D$5:$D$64,MATCH(M162,Services!$B$5:$B$64,0)),"")&lt;&gt;"Per hour"),IFERROR(INDEX(Services!$P$5:$P$64,MATCH(M162,Services!$B$5:$B$64,0)),0),AD162*AH162))</f>
        <v>0</v>
      </c>
      <c r="AJ162" s="21">
        <f>IF(G162="","",IF(V162&lt;&gt;"",V162,IF(P162="Cancelled",0,MAX(MinimumCharge,ROUND(AI162*IFERROR(INDEX(FreqFactors,MATCH(O162,FreqNames,0)),1),2)))))</f>
        <v>0</v>
      </c>
      <c r="AK162" s="34">
        <f>IF(G162="","",IF(SUMIFS(Timesheets!$U$5:$U$804,Timesheets!$G$5:$G$804,A162)&gt;0,SUMIFS(Timesheets!$U$5:$U$804,Timesheets!$G$5:$G$804,A162),IF(Z162="","",Z162)))</f>
        <v>0</v>
      </c>
      <c r="AL162" s="34">
        <f>IF(OR(AK162="",AD162=""),"",AK162-AD162)</f>
        <v>0</v>
      </c>
      <c r="AM162" s="31">
        <f>IF(A162="","",COUNTIFS('Job Tasks'!$B$5:$B$904,A162))</f>
        <v>0</v>
      </c>
      <c r="AN162" s="31">
        <f>IF(A162="","",COUNTIFS('Job Tasks'!$B$5:$B$904,A162,'Job Tasks'!$H$5:$H$904,"Done"))</f>
        <v>0</v>
      </c>
      <c r="AO162" s="38">
        <f>IF(OR(A162="",AM162=0),"",AN162/AM162)</f>
        <v>0</v>
      </c>
      <c r="AP162" s="43">
        <f>IF(A162="","",IFERROR(INDEX('Invoice Lines'!$B$5:$B$804,MATCH(A162,'Invoice Lines'!$C$5:$C$804,0)),""))</f>
        <v>0</v>
      </c>
      <c r="AQ162" s="18">
        <f>IF(OR(G162="",B162="",X162&lt;&gt;"Yes"),"",IF(IFERROR(INDEX(FreqDays,MATCH(O162,FreqNames,0)),0)=0,"",B162+IFERROR(INDEX(FreqDays,MATCH(O162,FreqNames,0)),0)))</f>
        <v>0</v>
      </c>
      <c r="AR162" s="39">
        <f>IF(G162="","",IF(R162="","Unassigned",IF(COUNTIFS($R$5:$R$604,R162,$B$5:$B$604,B162,$F$5:$F$604,F162)&gt;1,"Clash",IF(SUMIFS($AF$5:$AF$604,$R$5:$R$604,R162,$B$5:$B$604,B162)&gt;ProductiveHours,"Long day","OK"))))</f>
        <v>0</v>
      </c>
      <c r="AS162" s="18">
        <f>IF(OR(G162="",B162=""),"",IF(AND(B162&gt;=TodayDate,P162&lt;&gt;"Cancelled"),B162,""))</f>
        <v>0</v>
      </c>
      <c r="AT162" s="31">
        <f>IF(AS162="","",COUNTIFS($AS$5:$AS$604,"&lt;"&amp;AS162)+COUNTIFS($AS$5:AS162,AS162))</f>
        <v>0</v>
      </c>
      <c r="AU162" s="18">
        <f>IF(OR(G162="",B162="",R162&lt;&gt;""),"",IF(AND(B162&gt;=TodayDate,P162&lt;&gt;"Cancelled"),B162,""))</f>
        <v>0</v>
      </c>
      <c r="AV162" s="31">
        <f>IF(AU162="","",COUNTIFS($AU$5:$AU$604,"&lt;"&amp;AU162)+COUNTIFS($AU$5:AU162,AU162))</f>
        <v>0</v>
      </c>
      <c r="AW162" s="31">
        <f>IF(OR(G162="",B162=""),"",B162-TodayDate)</f>
        <v>0</v>
      </c>
      <c r="AX162" s="39">
        <f>IF(G162="","",IF(P162="Cancelled","Cancelled",IF(P162="No access","Action - no access, rebook",IF(AND(B162&lt;&gt;"",AW162&lt;0,OR(P162="Booked",P162="Confirmed",P162="In progress")),"Late - mark it completed",IF(AND(P162="Completed",AP162=""),"Action - not invoiced yet",IF(AND(AW162&gt;=0,AW162&lt;=ReminderDays,Y162&lt;&gt;"Yes"),"Confirm - visit coming up",IF(R162="","Assign - no cleaner booked",IF(AND(P162="Completed",AO162&lt;&gt;"",AO162&lt;1),"Check - checklist unfinished","OK"))))))))</f>
        <v>0</v>
      </c>
    </row>
    <row r="163" spans="1:50">
      <c r="A163" s="43">
        <f>IF(G163="","",JobPrefix&amp;TEXT(ROW()-4,"0000"))</f>
        <v>0</v>
      </c>
      <c r="C163" s="23">
        <f>IF(B163="","",TEXT(B163,"ddd"))</f>
        <v>0</v>
      </c>
      <c r="D163" s="31">
        <f>IF(B163="","",WEEKNUM(B163,IF(WeekStart="Sunday",1,2)))</f>
        <v>0</v>
      </c>
      <c r="E163" s="23">
        <f>IF(B163="","",TEXT(B163,"yyyy-mm"))</f>
        <v>0</v>
      </c>
      <c r="H163" s="23">
        <f>IF(G163="","",IFERROR(INDEX(Clients!$B$5:$B$204,MATCH(G163,Clients!$A$5:$A$204,0)),"Not found"))</f>
        <v>0</v>
      </c>
      <c r="I163" s="23">
        <f>IF(G163="","",IFERROR(INDEX(Clients!$C$5:$C$204,MATCH(G163,Clients!$A$5:$A$204,0)),""))</f>
        <v>0</v>
      </c>
      <c r="K163" s="23">
        <f>IF(J163="","",IFERROR(INDEX(Properties!$B$5:$B$254,MATCH(J163,Properties!$A$5:$A$254,0)),""))</f>
        <v>0</v>
      </c>
      <c r="L163" s="23">
        <f>IF(J163="","",IFERROR(INDEX(Properties!$F$5:$F$254,MATCH(J163,Properties!$A$5:$A$254,0)),""))</f>
        <v>0</v>
      </c>
      <c r="AD163" s="34">
        <f>IF(G163="","",IF(U163&lt;&gt;"",U163,IF(AND(IFERROR(INDEX(Services!$D$5:$D$64,MATCH(M163,Services!$B$5:$B$64,0)),"")="Per hour",IFERROR(INDEX(Properties!$X$5:$X$254,MATCH(J163,Properties!$A$5:$A$254,0)),0)&gt;0),IFERROR(INDEX(Properties!$X$5:$X$254,MATCH(J163,Properties!$A$5:$A$254,0)),0),IF(IFERROR(INDEX(Services!$G$5:$G$64,MATCH(M163,Services!$B$5:$B$64,0)),0)&gt;0,IFERROR(INDEX(Services!$G$5:$G$64,MATCH(M163,Services!$B$5:$B$64,0)),0),IFERROR(INDEX(Properties!$X$5:$X$254,MATCH(J163,Properties!$A$5:$A$254,0)),0)))))</f>
        <v>0</v>
      </c>
      <c r="AE163" s="31">
        <f>IF(G163="","",IF(T163="",CleanersPerJob,MAX(1,T163)))</f>
        <v>0</v>
      </c>
      <c r="AF163" s="34">
        <f>IF(G163="","",ROUND(AD163/AE163,2))</f>
        <v>0</v>
      </c>
      <c r="AG163" s="53">
        <f>IF(OR(G163="",F163="",AF163=""),"",F163+AF163/24)</f>
        <v>0</v>
      </c>
      <c r="AH163" s="21">
        <f>IF(G163="","",IF(IFERROR(INDEX(Clients!$O$5:$O$204,MATCH(G163,Clients!$A$5:$A$204,0)),0)&gt;0,IFERROR(INDEX(Clients!$O$5:$O$204,MATCH(G163,Clients!$A$5:$A$204,0)),0),HourlyRate))</f>
        <v>0</v>
      </c>
      <c r="AI163" s="21">
        <f>IF(G163="","",IF(AND(M163&lt;&gt;"",IFERROR(INDEX(Services!$P$5:$P$64,MATCH(M163,Services!$B$5:$B$64,0)),0)&gt;0,IFERROR(INDEX(Services!$D$5:$D$64,MATCH(M163,Services!$B$5:$B$64,0)),"")&lt;&gt;"Per hour"),IFERROR(INDEX(Services!$P$5:$P$64,MATCH(M163,Services!$B$5:$B$64,0)),0),AD163*AH163))</f>
        <v>0</v>
      </c>
      <c r="AJ163" s="21">
        <f>IF(G163="","",IF(V163&lt;&gt;"",V163,IF(P163="Cancelled",0,MAX(MinimumCharge,ROUND(AI163*IFERROR(INDEX(FreqFactors,MATCH(O163,FreqNames,0)),1),2)))))</f>
        <v>0</v>
      </c>
      <c r="AK163" s="34">
        <f>IF(G163="","",IF(SUMIFS(Timesheets!$U$5:$U$804,Timesheets!$G$5:$G$804,A163)&gt;0,SUMIFS(Timesheets!$U$5:$U$804,Timesheets!$G$5:$G$804,A163),IF(Z163="","",Z163)))</f>
        <v>0</v>
      </c>
      <c r="AL163" s="34">
        <f>IF(OR(AK163="",AD163=""),"",AK163-AD163)</f>
        <v>0</v>
      </c>
      <c r="AM163" s="31">
        <f>IF(A163="","",COUNTIFS('Job Tasks'!$B$5:$B$904,A163))</f>
        <v>0</v>
      </c>
      <c r="AN163" s="31">
        <f>IF(A163="","",COUNTIFS('Job Tasks'!$B$5:$B$904,A163,'Job Tasks'!$H$5:$H$904,"Done"))</f>
        <v>0</v>
      </c>
      <c r="AO163" s="38">
        <f>IF(OR(A163="",AM163=0),"",AN163/AM163)</f>
        <v>0</v>
      </c>
      <c r="AP163" s="43">
        <f>IF(A163="","",IFERROR(INDEX('Invoice Lines'!$B$5:$B$804,MATCH(A163,'Invoice Lines'!$C$5:$C$804,0)),""))</f>
        <v>0</v>
      </c>
      <c r="AQ163" s="18">
        <f>IF(OR(G163="",B163="",X163&lt;&gt;"Yes"),"",IF(IFERROR(INDEX(FreqDays,MATCH(O163,FreqNames,0)),0)=0,"",B163+IFERROR(INDEX(FreqDays,MATCH(O163,FreqNames,0)),0)))</f>
        <v>0</v>
      </c>
      <c r="AR163" s="39">
        <f>IF(G163="","",IF(R163="","Unassigned",IF(COUNTIFS($R$5:$R$604,R163,$B$5:$B$604,B163,$F$5:$F$604,F163)&gt;1,"Clash",IF(SUMIFS($AF$5:$AF$604,$R$5:$R$604,R163,$B$5:$B$604,B163)&gt;ProductiveHours,"Long day","OK"))))</f>
        <v>0</v>
      </c>
      <c r="AS163" s="18">
        <f>IF(OR(G163="",B163=""),"",IF(AND(B163&gt;=TodayDate,P163&lt;&gt;"Cancelled"),B163,""))</f>
        <v>0</v>
      </c>
      <c r="AT163" s="31">
        <f>IF(AS163="","",COUNTIFS($AS$5:$AS$604,"&lt;"&amp;AS163)+COUNTIFS($AS$5:AS163,AS163))</f>
        <v>0</v>
      </c>
      <c r="AU163" s="18">
        <f>IF(OR(G163="",B163="",R163&lt;&gt;""),"",IF(AND(B163&gt;=TodayDate,P163&lt;&gt;"Cancelled"),B163,""))</f>
        <v>0</v>
      </c>
      <c r="AV163" s="31">
        <f>IF(AU163="","",COUNTIFS($AU$5:$AU$604,"&lt;"&amp;AU163)+COUNTIFS($AU$5:AU163,AU163))</f>
        <v>0</v>
      </c>
      <c r="AW163" s="31">
        <f>IF(OR(G163="",B163=""),"",B163-TodayDate)</f>
        <v>0</v>
      </c>
      <c r="AX163" s="39">
        <f>IF(G163="","",IF(P163="Cancelled","Cancelled",IF(P163="No access","Action - no access, rebook",IF(AND(B163&lt;&gt;"",AW163&lt;0,OR(P163="Booked",P163="Confirmed",P163="In progress")),"Late - mark it completed",IF(AND(P163="Completed",AP163=""),"Action - not invoiced yet",IF(AND(AW163&gt;=0,AW163&lt;=ReminderDays,Y163&lt;&gt;"Yes"),"Confirm - visit coming up",IF(R163="","Assign - no cleaner booked",IF(AND(P163="Completed",AO163&lt;&gt;"",AO163&lt;1),"Check - checklist unfinished","OK"))))))))</f>
        <v>0</v>
      </c>
    </row>
    <row r="164" spans="1:50">
      <c r="A164" s="43">
        <f>IF(G164="","",JobPrefix&amp;TEXT(ROW()-4,"0000"))</f>
        <v>0</v>
      </c>
      <c r="C164" s="23">
        <f>IF(B164="","",TEXT(B164,"ddd"))</f>
        <v>0</v>
      </c>
      <c r="D164" s="31">
        <f>IF(B164="","",WEEKNUM(B164,IF(WeekStart="Sunday",1,2)))</f>
        <v>0</v>
      </c>
      <c r="E164" s="23">
        <f>IF(B164="","",TEXT(B164,"yyyy-mm"))</f>
        <v>0</v>
      </c>
      <c r="H164" s="23">
        <f>IF(G164="","",IFERROR(INDEX(Clients!$B$5:$B$204,MATCH(G164,Clients!$A$5:$A$204,0)),"Not found"))</f>
        <v>0</v>
      </c>
      <c r="I164" s="23">
        <f>IF(G164="","",IFERROR(INDEX(Clients!$C$5:$C$204,MATCH(G164,Clients!$A$5:$A$204,0)),""))</f>
        <v>0</v>
      </c>
      <c r="K164" s="23">
        <f>IF(J164="","",IFERROR(INDEX(Properties!$B$5:$B$254,MATCH(J164,Properties!$A$5:$A$254,0)),""))</f>
        <v>0</v>
      </c>
      <c r="L164" s="23">
        <f>IF(J164="","",IFERROR(INDEX(Properties!$F$5:$F$254,MATCH(J164,Properties!$A$5:$A$254,0)),""))</f>
        <v>0</v>
      </c>
      <c r="AD164" s="34">
        <f>IF(G164="","",IF(U164&lt;&gt;"",U164,IF(AND(IFERROR(INDEX(Services!$D$5:$D$64,MATCH(M164,Services!$B$5:$B$64,0)),"")="Per hour",IFERROR(INDEX(Properties!$X$5:$X$254,MATCH(J164,Properties!$A$5:$A$254,0)),0)&gt;0),IFERROR(INDEX(Properties!$X$5:$X$254,MATCH(J164,Properties!$A$5:$A$254,0)),0),IF(IFERROR(INDEX(Services!$G$5:$G$64,MATCH(M164,Services!$B$5:$B$64,0)),0)&gt;0,IFERROR(INDEX(Services!$G$5:$G$64,MATCH(M164,Services!$B$5:$B$64,0)),0),IFERROR(INDEX(Properties!$X$5:$X$254,MATCH(J164,Properties!$A$5:$A$254,0)),0)))))</f>
        <v>0</v>
      </c>
      <c r="AE164" s="31">
        <f>IF(G164="","",IF(T164="",CleanersPerJob,MAX(1,T164)))</f>
        <v>0</v>
      </c>
      <c r="AF164" s="34">
        <f>IF(G164="","",ROUND(AD164/AE164,2))</f>
        <v>0</v>
      </c>
      <c r="AG164" s="53">
        <f>IF(OR(G164="",F164="",AF164=""),"",F164+AF164/24)</f>
        <v>0</v>
      </c>
      <c r="AH164" s="21">
        <f>IF(G164="","",IF(IFERROR(INDEX(Clients!$O$5:$O$204,MATCH(G164,Clients!$A$5:$A$204,0)),0)&gt;0,IFERROR(INDEX(Clients!$O$5:$O$204,MATCH(G164,Clients!$A$5:$A$204,0)),0),HourlyRate))</f>
        <v>0</v>
      </c>
      <c r="AI164" s="21">
        <f>IF(G164="","",IF(AND(M164&lt;&gt;"",IFERROR(INDEX(Services!$P$5:$P$64,MATCH(M164,Services!$B$5:$B$64,0)),0)&gt;0,IFERROR(INDEX(Services!$D$5:$D$64,MATCH(M164,Services!$B$5:$B$64,0)),"")&lt;&gt;"Per hour"),IFERROR(INDEX(Services!$P$5:$P$64,MATCH(M164,Services!$B$5:$B$64,0)),0),AD164*AH164))</f>
        <v>0</v>
      </c>
      <c r="AJ164" s="21">
        <f>IF(G164="","",IF(V164&lt;&gt;"",V164,IF(P164="Cancelled",0,MAX(MinimumCharge,ROUND(AI164*IFERROR(INDEX(FreqFactors,MATCH(O164,FreqNames,0)),1),2)))))</f>
        <v>0</v>
      </c>
      <c r="AK164" s="34">
        <f>IF(G164="","",IF(SUMIFS(Timesheets!$U$5:$U$804,Timesheets!$G$5:$G$804,A164)&gt;0,SUMIFS(Timesheets!$U$5:$U$804,Timesheets!$G$5:$G$804,A164),IF(Z164="","",Z164)))</f>
        <v>0</v>
      </c>
      <c r="AL164" s="34">
        <f>IF(OR(AK164="",AD164=""),"",AK164-AD164)</f>
        <v>0</v>
      </c>
      <c r="AM164" s="31">
        <f>IF(A164="","",COUNTIFS('Job Tasks'!$B$5:$B$904,A164))</f>
        <v>0</v>
      </c>
      <c r="AN164" s="31">
        <f>IF(A164="","",COUNTIFS('Job Tasks'!$B$5:$B$904,A164,'Job Tasks'!$H$5:$H$904,"Done"))</f>
        <v>0</v>
      </c>
      <c r="AO164" s="38">
        <f>IF(OR(A164="",AM164=0),"",AN164/AM164)</f>
        <v>0</v>
      </c>
      <c r="AP164" s="43">
        <f>IF(A164="","",IFERROR(INDEX('Invoice Lines'!$B$5:$B$804,MATCH(A164,'Invoice Lines'!$C$5:$C$804,0)),""))</f>
        <v>0</v>
      </c>
      <c r="AQ164" s="18">
        <f>IF(OR(G164="",B164="",X164&lt;&gt;"Yes"),"",IF(IFERROR(INDEX(FreqDays,MATCH(O164,FreqNames,0)),0)=0,"",B164+IFERROR(INDEX(FreqDays,MATCH(O164,FreqNames,0)),0)))</f>
        <v>0</v>
      </c>
      <c r="AR164" s="39">
        <f>IF(G164="","",IF(R164="","Unassigned",IF(COUNTIFS($R$5:$R$604,R164,$B$5:$B$604,B164,$F$5:$F$604,F164)&gt;1,"Clash",IF(SUMIFS($AF$5:$AF$604,$R$5:$R$604,R164,$B$5:$B$604,B164)&gt;ProductiveHours,"Long day","OK"))))</f>
        <v>0</v>
      </c>
      <c r="AS164" s="18">
        <f>IF(OR(G164="",B164=""),"",IF(AND(B164&gt;=TodayDate,P164&lt;&gt;"Cancelled"),B164,""))</f>
        <v>0</v>
      </c>
      <c r="AT164" s="31">
        <f>IF(AS164="","",COUNTIFS($AS$5:$AS$604,"&lt;"&amp;AS164)+COUNTIFS($AS$5:AS164,AS164))</f>
        <v>0</v>
      </c>
      <c r="AU164" s="18">
        <f>IF(OR(G164="",B164="",R164&lt;&gt;""),"",IF(AND(B164&gt;=TodayDate,P164&lt;&gt;"Cancelled"),B164,""))</f>
        <v>0</v>
      </c>
      <c r="AV164" s="31">
        <f>IF(AU164="","",COUNTIFS($AU$5:$AU$604,"&lt;"&amp;AU164)+COUNTIFS($AU$5:AU164,AU164))</f>
        <v>0</v>
      </c>
      <c r="AW164" s="31">
        <f>IF(OR(G164="",B164=""),"",B164-TodayDate)</f>
        <v>0</v>
      </c>
      <c r="AX164" s="39">
        <f>IF(G164="","",IF(P164="Cancelled","Cancelled",IF(P164="No access","Action - no access, rebook",IF(AND(B164&lt;&gt;"",AW164&lt;0,OR(P164="Booked",P164="Confirmed",P164="In progress")),"Late - mark it completed",IF(AND(P164="Completed",AP164=""),"Action - not invoiced yet",IF(AND(AW164&gt;=0,AW164&lt;=ReminderDays,Y164&lt;&gt;"Yes"),"Confirm - visit coming up",IF(R164="","Assign - no cleaner booked",IF(AND(P164="Completed",AO164&lt;&gt;"",AO164&lt;1),"Check - checklist unfinished","OK"))))))))</f>
        <v>0</v>
      </c>
    </row>
    <row r="165" spans="1:50">
      <c r="A165" s="43">
        <f>IF(G165="","",JobPrefix&amp;TEXT(ROW()-4,"0000"))</f>
        <v>0</v>
      </c>
      <c r="C165" s="23">
        <f>IF(B165="","",TEXT(B165,"ddd"))</f>
        <v>0</v>
      </c>
      <c r="D165" s="31">
        <f>IF(B165="","",WEEKNUM(B165,IF(WeekStart="Sunday",1,2)))</f>
        <v>0</v>
      </c>
      <c r="E165" s="23">
        <f>IF(B165="","",TEXT(B165,"yyyy-mm"))</f>
        <v>0</v>
      </c>
      <c r="H165" s="23">
        <f>IF(G165="","",IFERROR(INDEX(Clients!$B$5:$B$204,MATCH(G165,Clients!$A$5:$A$204,0)),"Not found"))</f>
        <v>0</v>
      </c>
      <c r="I165" s="23">
        <f>IF(G165="","",IFERROR(INDEX(Clients!$C$5:$C$204,MATCH(G165,Clients!$A$5:$A$204,0)),""))</f>
        <v>0</v>
      </c>
      <c r="K165" s="23">
        <f>IF(J165="","",IFERROR(INDEX(Properties!$B$5:$B$254,MATCH(J165,Properties!$A$5:$A$254,0)),""))</f>
        <v>0</v>
      </c>
      <c r="L165" s="23">
        <f>IF(J165="","",IFERROR(INDEX(Properties!$F$5:$F$254,MATCH(J165,Properties!$A$5:$A$254,0)),""))</f>
        <v>0</v>
      </c>
      <c r="AD165" s="34">
        <f>IF(G165="","",IF(U165&lt;&gt;"",U165,IF(AND(IFERROR(INDEX(Services!$D$5:$D$64,MATCH(M165,Services!$B$5:$B$64,0)),"")="Per hour",IFERROR(INDEX(Properties!$X$5:$X$254,MATCH(J165,Properties!$A$5:$A$254,0)),0)&gt;0),IFERROR(INDEX(Properties!$X$5:$X$254,MATCH(J165,Properties!$A$5:$A$254,0)),0),IF(IFERROR(INDEX(Services!$G$5:$G$64,MATCH(M165,Services!$B$5:$B$64,0)),0)&gt;0,IFERROR(INDEX(Services!$G$5:$G$64,MATCH(M165,Services!$B$5:$B$64,0)),0),IFERROR(INDEX(Properties!$X$5:$X$254,MATCH(J165,Properties!$A$5:$A$254,0)),0)))))</f>
        <v>0</v>
      </c>
      <c r="AE165" s="31">
        <f>IF(G165="","",IF(T165="",CleanersPerJob,MAX(1,T165)))</f>
        <v>0</v>
      </c>
      <c r="AF165" s="34">
        <f>IF(G165="","",ROUND(AD165/AE165,2))</f>
        <v>0</v>
      </c>
      <c r="AG165" s="53">
        <f>IF(OR(G165="",F165="",AF165=""),"",F165+AF165/24)</f>
        <v>0</v>
      </c>
      <c r="AH165" s="21">
        <f>IF(G165="","",IF(IFERROR(INDEX(Clients!$O$5:$O$204,MATCH(G165,Clients!$A$5:$A$204,0)),0)&gt;0,IFERROR(INDEX(Clients!$O$5:$O$204,MATCH(G165,Clients!$A$5:$A$204,0)),0),HourlyRate))</f>
        <v>0</v>
      </c>
      <c r="AI165" s="21">
        <f>IF(G165="","",IF(AND(M165&lt;&gt;"",IFERROR(INDEX(Services!$P$5:$P$64,MATCH(M165,Services!$B$5:$B$64,0)),0)&gt;0,IFERROR(INDEX(Services!$D$5:$D$64,MATCH(M165,Services!$B$5:$B$64,0)),"")&lt;&gt;"Per hour"),IFERROR(INDEX(Services!$P$5:$P$64,MATCH(M165,Services!$B$5:$B$64,0)),0),AD165*AH165))</f>
        <v>0</v>
      </c>
      <c r="AJ165" s="21">
        <f>IF(G165="","",IF(V165&lt;&gt;"",V165,IF(P165="Cancelled",0,MAX(MinimumCharge,ROUND(AI165*IFERROR(INDEX(FreqFactors,MATCH(O165,FreqNames,0)),1),2)))))</f>
        <v>0</v>
      </c>
      <c r="AK165" s="34">
        <f>IF(G165="","",IF(SUMIFS(Timesheets!$U$5:$U$804,Timesheets!$G$5:$G$804,A165)&gt;0,SUMIFS(Timesheets!$U$5:$U$804,Timesheets!$G$5:$G$804,A165),IF(Z165="","",Z165)))</f>
        <v>0</v>
      </c>
      <c r="AL165" s="34">
        <f>IF(OR(AK165="",AD165=""),"",AK165-AD165)</f>
        <v>0</v>
      </c>
      <c r="AM165" s="31">
        <f>IF(A165="","",COUNTIFS('Job Tasks'!$B$5:$B$904,A165))</f>
        <v>0</v>
      </c>
      <c r="AN165" s="31">
        <f>IF(A165="","",COUNTIFS('Job Tasks'!$B$5:$B$904,A165,'Job Tasks'!$H$5:$H$904,"Done"))</f>
        <v>0</v>
      </c>
      <c r="AO165" s="38">
        <f>IF(OR(A165="",AM165=0),"",AN165/AM165)</f>
        <v>0</v>
      </c>
      <c r="AP165" s="43">
        <f>IF(A165="","",IFERROR(INDEX('Invoice Lines'!$B$5:$B$804,MATCH(A165,'Invoice Lines'!$C$5:$C$804,0)),""))</f>
        <v>0</v>
      </c>
      <c r="AQ165" s="18">
        <f>IF(OR(G165="",B165="",X165&lt;&gt;"Yes"),"",IF(IFERROR(INDEX(FreqDays,MATCH(O165,FreqNames,0)),0)=0,"",B165+IFERROR(INDEX(FreqDays,MATCH(O165,FreqNames,0)),0)))</f>
        <v>0</v>
      </c>
      <c r="AR165" s="39">
        <f>IF(G165="","",IF(R165="","Unassigned",IF(COUNTIFS($R$5:$R$604,R165,$B$5:$B$604,B165,$F$5:$F$604,F165)&gt;1,"Clash",IF(SUMIFS($AF$5:$AF$604,$R$5:$R$604,R165,$B$5:$B$604,B165)&gt;ProductiveHours,"Long day","OK"))))</f>
        <v>0</v>
      </c>
      <c r="AS165" s="18">
        <f>IF(OR(G165="",B165=""),"",IF(AND(B165&gt;=TodayDate,P165&lt;&gt;"Cancelled"),B165,""))</f>
        <v>0</v>
      </c>
      <c r="AT165" s="31">
        <f>IF(AS165="","",COUNTIFS($AS$5:$AS$604,"&lt;"&amp;AS165)+COUNTIFS($AS$5:AS165,AS165))</f>
        <v>0</v>
      </c>
      <c r="AU165" s="18">
        <f>IF(OR(G165="",B165="",R165&lt;&gt;""),"",IF(AND(B165&gt;=TodayDate,P165&lt;&gt;"Cancelled"),B165,""))</f>
        <v>0</v>
      </c>
      <c r="AV165" s="31">
        <f>IF(AU165="","",COUNTIFS($AU$5:$AU$604,"&lt;"&amp;AU165)+COUNTIFS($AU$5:AU165,AU165))</f>
        <v>0</v>
      </c>
      <c r="AW165" s="31">
        <f>IF(OR(G165="",B165=""),"",B165-TodayDate)</f>
        <v>0</v>
      </c>
      <c r="AX165" s="39">
        <f>IF(G165="","",IF(P165="Cancelled","Cancelled",IF(P165="No access","Action - no access, rebook",IF(AND(B165&lt;&gt;"",AW165&lt;0,OR(P165="Booked",P165="Confirmed",P165="In progress")),"Late - mark it completed",IF(AND(P165="Completed",AP165=""),"Action - not invoiced yet",IF(AND(AW165&gt;=0,AW165&lt;=ReminderDays,Y165&lt;&gt;"Yes"),"Confirm - visit coming up",IF(R165="","Assign - no cleaner booked",IF(AND(P165="Completed",AO165&lt;&gt;"",AO165&lt;1),"Check - checklist unfinished","OK"))))))))</f>
        <v>0</v>
      </c>
    </row>
    <row r="166" spans="1:50">
      <c r="A166" s="43">
        <f>IF(G166="","",JobPrefix&amp;TEXT(ROW()-4,"0000"))</f>
        <v>0</v>
      </c>
      <c r="C166" s="23">
        <f>IF(B166="","",TEXT(B166,"ddd"))</f>
        <v>0</v>
      </c>
      <c r="D166" s="31">
        <f>IF(B166="","",WEEKNUM(B166,IF(WeekStart="Sunday",1,2)))</f>
        <v>0</v>
      </c>
      <c r="E166" s="23">
        <f>IF(B166="","",TEXT(B166,"yyyy-mm"))</f>
        <v>0</v>
      </c>
      <c r="H166" s="23">
        <f>IF(G166="","",IFERROR(INDEX(Clients!$B$5:$B$204,MATCH(G166,Clients!$A$5:$A$204,0)),"Not found"))</f>
        <v>0</v>
      </c>
      <c r="I166" s="23">
        <f>IF(G166="","",IFERROR(INDEX(Clients!$C$5:$C$204,MATCH(G166,Clients!$A$5:$A$204,0)),""))</f>
        <v>0</v>
      </c>
      <c r="K166" s="23">
        <f>IF(J166="","",IFERROR(INDEX(Properties!$B$5:$B$254,MATCH(J166,Properties!$A$5:$A$254,0)),""))</f>
        <v>0</v>
      </c>
      <c r="L166" s="23">
        <f>IF(J166="","",IFERROR(INDEX(Properties!$F$5:$F$254,MATCH(J166,Properties!$A$5:$A$254,0)),""))</f>
        <v>0</v>
      </c>
      <c r="AD166" s="34">
        <f>IF(G166="","",IF(U166&lt;&gt;"",U166,IF(AND(IFERROR(INDEX(Services!$D$5:$D$64,MATCH(M166,Services!$B$5:$B$64,0)),"")="Per hour",IFERROR(INDEX(Properties!$X$5:$X$254,MATCH(J166,Properties!$A$5:$A$254,0)),0)&gt;0),IFERROR(INDEX(Properties!$X$5:$X$254,MATCH(J166,Properties!$A$5:$A$254,0)),0),IF(IFERROR(INDEX(Services!$G$5:$G$64,MATCH(M166,Services!$B$5:$B$64,0)),0)&gt;0,IFERROR(INDEX(Services!$G$5:$G$64,MATCH(M166,Services!$B$5:$B$64,0)),0),IFERROR(INDEX(Properties!$X$5:$X$254,MATCH(J166,Properties!$A$5:$A$254,0)),0)))))</f>
        <v>0</v>
      </c>
      <c r="AE166" s="31">
        <f>IF(G166="","",IF(T166="",CleanersPerJob,MAX(1,T166)))</f>
        <v>0</v>
      </c>
      <c r="AF166" s="34">
        <f>IF(G166="","",ROUND(AD166/AE166,2))</f>
        <v>0</v>
      </c>
      <c r="AG166" s="53">
        <f>IF(OR(G166="",F166="",AF166=""),"",F166+AF166/24)</f>
        <v>0</v>
      </c>
      <c r="AH166" s="21">
        <f>IF(G166="","",IF(IFERROR(INDEX(Clients!$O$5:$O$204,MATCH(G166,Clients!$A$5:$A$204,0)),0)&gt;0,IFERROR(INDEX(Clients!$O$5:$O$204,MATCH(G166,Clients!$A$5:$A$204,0)),0),HourlyRate))</f>
        <v>0</v>
      </c>
      <c r="AI166" s="21">
        <f>IF(G166="","",IF(AND(M166&lt;&gt;"",IFERROR(INDEX(Services!$P$5:$P$64,MATCH(M166,Services!$B$5:$B$64,0)),0)&gt;0,IFERROR(INDEX(Services!$D$5:$D$64,MATCH(M166,Services!$B$5:$B$64,0)),"")&lt;&gt;"Per hour"),IFERROR(INDEX(Services!$P$5:$P$64,MATCH(M166,Services!$B$5:$B$64,0)),0),AD166*AH166))</f>
        <v>0</v>
      </c>
      <c r="AJ166" s="21">
        <f>IF(G166="","",IF(V166&lt;&gt;"",V166,IF(P166="Cancelled",0,MAX(MinimumCharge,ROUND(AI166*IFERROR(INDEX(FreqFactors,MATCH(O166,FreqNames,0)),1),2)))))</f>
        <v>0</v>
      </c>
      <c r="AK166" s="34">
        <f>IF(G166="","",IF(SUMIFS(Timesheets!$U$5:$U$804,Timesheets!$G$5:$G$804,A166)&gt;0,SUMIFS(Timesheets!$U$5:$U$804,Timesheets!$G$5:$G$804,A166),IF(Z166="","",Z166)))</f>
        <v>0</v>
      </c>
      <c r="AL166" s="34">
        <f>IF(OR(AK166="",AD166=""),"",AK166-AD166)</f>
        <v>0</v>
      </c>
      <c r="AM166" s="31">
        <f>IF(A166="","",COUNTIFS('Job Tasks'!$B$5:$B$904,A166))</f>
        <v>0</v>
      </c>
      <c r="AN166" s="31">
        <f>IF(A166="","",COUNTIFS('Job Tasks'!$B$5:$B$904,A166,'Job Tasks'!$H$5:$H$904,"Done"))</f>
        <v>0</v>
      </c>
      <c r="AO166" s="38">
        <f>IF(OR(A166="",AM166=0),"",AN166/AM166)</f>
        <v>0</v>
      </c>
      <c r="AP166" s="43">
        <f>IF(A166="","",IFERROR(INDEX('Invoice Lines'!$B$5:$B$804,MATCH(A166,'Invoice Lines'!$C$5:$C$804,0)),""))</f>
        <v>0</v>
      </c>
      <c r="AQ166" s="18">
        <f>IF(OR(G166="",B166="",X166&lt;&gt;"Yes"),"",IF(IFERROR(INDEX(FreqDays,MATCH(O166,FreqNames,0)),0)=0,"",B166+IFERROR(INDEX(FreqDays,MATCH(O166,FreqNames,0)),0)))</f>
        <v>0</v>
      </c>
      <c r="AR166" s="39">
        <f>IF(G166="","",IF(R166="","Unassigned",IF(COUNTIFS($R$5:$R$604,R166,$B$5:$B$604,B166,$F$5:$F$604,F166)&gt;1,"Clash",IF(SUMIFS($AF$5:$AF$604,$R$5:$R$604,R166,$B$5:$B$604,B166)&gt;ProductiveHours,"Long day","OK"))))</f>
        <v>0</v>
      </c>
      <c r="AS166" s="18">
        <f>IF(OR(G166="",B166=""),"",IF(AND(B166&gt;=TodayDate,P166&lt;&gt;"Cancelled"),B166,""))</f>
        <v>0</v>
      </c>
      <c r="AT166" s="31">
        <f>IF(AS166="","",COUNTIFS($AS$5:$AS$604,"&lt;"&amp;AS166)+COUNTIFS($AS$5:AS166,AS166))</f>
        <v>0</v>
      </c>
      <c r="AU166" s="18">
        <f>IF(OR(G166="",B166="",R166&lt;&gt;""),"",IF(AND(B166&gt;=TodayDate,P166&lt;&gt;"Cancelled"),B166,""))</f>
        <v>0</v>
      </c>
      <c r="AV166" s="31">
        <f>IF(AU166="","",COUNTIFS($AU$5:$AU$604,"&lt;"&amp;AU166)+COUNTIFS($AU$5:AU166,AU166))</f>
        <v>0</v>
      </c>
      <c r="AW166" s="31">
        <f>IF(OR(G166="",B166=""),"",B166-TodayDate)</f>
        <v>0</v>
      </c>
      <c r="AX166" s="39">
        <f>IF(G166="","",IF(P166="Cancelled","Cancelled",IF(P166="No access","Action - no access, rebook",IF(AND(B166&lt;&gt;"",AW166&lt;0,OR(P166="Booked",P166="Confirmed",P166="In progress")),"Late - mark it completed",IF(AND(P166="Completed",AP166=""),"Action - not invoiced yet",IF(AND(AW166&gt;=0,AW166&lt;=ReminderDays,Y166&lt;&gt;"Yes"),"Confirm - visit coming up",IF(R166="","Assign - no cleaner booked",IF(AND(P166="Completed",AO166&lt;&gt;"",AO166&lt;1),"Check - checklist unfinished","OK"))))))))</f>
        <v>0</v>
      </c>
    </row>
    <row r="167" spans="1:50">
      <c r="A167" s="43">
        <f>IF(G167="","",JobPrefix&amp;TEXT(ROW()-4,"0000"))</f>
        <v>0</v>
      </c>
      <c r="C167" s="23">
        <f>IF(B167="","",TEXT(B167,"ddd"))</f>
        <v>0</v>
      </c>
      <c r="D167" s="31">
        <f>IF(B167="","",WEEKNUM(B167,IF(WeekStart="Sunday",1,2)))</f>
        <v>0</v>
      </c>
      <c r="E167" s="23">
        <f>IF(B167="","",TEXT(B167,"yyyy-mm"))</f>
        <v>0</v>
      </c>
      <c r="H167" s="23">
        <f>IF(G167="","",IFERROR(INDEX(Clients!$B$5:$B$204,MATCH(G167,Clients!$A$5:$A$204,0)),"Not found"))</f>
        <v>0</v>
      </c>
      <c r="I167" s="23">
        <f>IF(G167="","",IFERROR(INDEX(Clients!$C$5:$C$204,MATCH(G167,Clients!$A$5:$A$204,0)),""))</f>
        <v>0</v>
      </c>
      <c r="K167" s="23">
        <f>IF(J167="","",IFERROR(INDEX(Properties!$B$5:$B$254,MATCH(J167,Properties!$A$5:$A$254,0)),""))</f>
        <v>0</v>
      </c>
      <c r="L167" s="23">
        <f>IF(J167="","",IFERROR(INDEX(Properties!$F$5:$F$254,MATCH(J167,Properties!$A$5:$A$254,0)),""))</f>
        <v>0</v>
      </c>
      <c r="AD167" s="34">
        <f>IF(G167="","",IF(U167&lt;&gt;"",U167,IF(AND(IFERROR(INDEX(Services!$D$5:$D$64,MATCH(M167,Services!$B$5:$B$64,0)),"")="Per hour",IFERROR(INDEX(Properties!$X$5:$X$254,MATCH(J167,Properties!$A$5:$A$254,0)),0)&gt;0),IFERROR(INDEX(Properties!$X$5:$X$254,MATCH(J167,Properties!$A$5:$A$254,0)),0),IF(IFERROR(INDEX(Services!$G$5:$G$64,MATCH(M167,Services!$B$5:$B$64,0)),0)&gt;0,IFERROR(INDEX(Services!$G$5:$G$64,MATCH(M167,Services!$B$5:$B$64,0)),0),IFERROR(INDEX(Properties!$X$5:$X$254,MATCH(J167,Properties!$A$5:$A$254,0)),0)))))</f>
        <v>0</v>
      </c>
      <c r="AE167" s="31">
        <f>IF(G167="","",IF(T167="",CleanersPerJob,MAX(1,T167)))</f>
        <v>0</v>
      </c>
      <c r="AF167" s="34">
        <f>IF(G167="","",ROUND(AD167/AE167,2))</f>
        <v>0</v>
      </c>
      <c r="AG167" s="53">
        <f>IF(OR(G167="",F167="",AF167=""),"",F167+AF167/24)</f>
        <v>0</v>
      </c>
      <c r="AH167" s="21">
        <f>IF(G167="","",IF(IFERROR(INDEX(Clients!$O$5:$O$204,MATCH(G167,Clients!$A$5:$A$204,0)),0)&gt;0,IFERROR(INDEX(Clients!$O$5:$O$204,MATCH(G167,Clients!$A$5:$A$204,0)),0),HourlyRate))</f>
        <v>0</v>
      </c>
      <c r="AI167" s="21">
        <f>IF(G167="","",IF(AND(M167&lt;&gt;"",IFERROR(INDEX(Services!$P$5:$P$64,MATCH(M167,Services!$B$5:$B$64,0)),0)&gt;0,IFERROR(INDEX(Services!$D$5:$D$64,MATCH(M167,Services!$B$5:$B$64,0)),"")&lt;&gt;"Per hour"),IFERROR(INDEX(Services!$P$5:$P$64,MATCH(M167,Services!$B$5:$B$64,0)),0),AD167*AH167))</f>
        <v>0</v>
      </c>
      <c r="AJ167" s="21">
        <f>IF(G167="","",IF(V167&lt;&gt;"",V167,IF(P167="Cancelled",0,MAX(MinimumCharge,ROUND(AI167*IFERROR(INDEX(FreqFactors,MATCH(O167,FreqNames,0)),1),2)))))</f>
        <v>0</v>
      </c>
      <c r="AK167" s="34">
        <f>IF(G167="","",IF(SUMIFS(Timesheets!$U$5:$U$804,Timesheets!$G$5:$G$804,A167)&gt;0,SUMIFS(Timesheets!$U$5:$U$804,Timesheets!$G$5:$G$804,A167),IF(Z167="","",Z167)))</f>
        <v>0</v>
      </c>
      <c r="AL167" s="34">
        <f>IF(OR(AK167="",AD167=""),"",AK167-AD167)</f>
        <v>0</v>
      </c>
      <c r="AM167" s="31">
        <f>IF(A167="","",COUNTIFS('Job Tasks'!$B$5:$B$904,A167))</f>
        <v>0</v>
      </c>
      <c r="AN167" s="31">
        <f>IF(A167="","",COUNTIFS('Job Tasks'!$B$5:$B$904,A167,'Job Tasks'!$H$5:$H$904,"Done"))</f>
        <v>0</v>
      </c>
      <c r="AO167" s="38">
        <f>IF(OR(A167="",AM167=0),"",AN167/AM167)</f>
        <v>0</v>
      </c>
      <c r="AP167" s="43">
        <f>IF(A167="","",IFERROR(INDEX('Invoice Lines'!$B$5:$B$804,MATCH(A167,'Invoice Lines'!$C$5:$C$804,0)),""))</f>
        <v>0</v>
      </c>
      <c r="AQ167" s="18">
        <f>IF(OR(G167="",B167="",X167&lt;&gt;"Yes"),"",IF(IFERROR(INDEX(FreqDays,MATCH(O167,FreqNames,0)),0)=0,"",B167+IFERROR(INDEX(FreqDays,MATCH(O167,FreqNames,0)),0)))</f>
        <v>0</v>
      </c>
      <c r="AR167" s="39">
        <f>IF(G167="","",IF(R167="","Unassigned",IF(COUNTIFS($R$5:$R$604,R167,$B$5:$B$604,B167,$F$5:$F$604,F167)&gt;1,"Clash",IF(SUMIFS($AF$5:$AF$604,$R$5:$R$604,R167,$B$5:$B$604,B167)&gt;ProductiveHours,"Long day","OK"))))</f>
        <v>0</v>
      </c>
      <c r="AS167" s="18">
        <f>IF(OR(G167="",B167=""),"",IF(AND(B167&gt;=TodayDate,P167&lt;&gt;"Cancelled"),B167,""))</f>
        <v>0</v>
      </c>
      <c r="AT167" s="31">
        <f>IF(AS167="","",COUNTIFS($AS$5:$AS$604,"&lt;"&amp;AS167)+COUNTIFS($AS$5:AS167,AS167))</f>
        <v>0</v>
      </c>
      <c r="AU167" s="18">
        <f>IF(OR(G167="",B167="",R167&lt;&gt;""),"",IF(AND(B167&gt;=TodayDate,P167&lt;&gt;"Cancelled"),B167,""))</f>
        <v>0</v>
      </c>
      <c r="AV167" s="31">
        <f>IF(AU167="","",COUNTIFS($AU$5:$AU$604,"&lt;"&amp;AU167)+COUNTIFS($AU$5:AU167,AU167))</f>
        <v>0</v>
      </c>
      <c r="AW167" s="31">
        <f>IF(OR(G167="",B167=""),"",B167-TodayDate)</f>
        <v>0</v>
      </c>
      <c r="AX167" s="39">
        <f>IF(G167="","",IF(P167="Cancelled","Cancelled",IF(P167="No access","Action - no access, rebook",IF(AND(B167&lt;&gt;"",AW167&lt;0,OR(P167="Booked",P167="Confirmed",P167="In progress")),"Late - mark it completed",IF(AND(P167="Completed",AP167=""),"Action - not invoiced yet",IF(AND(AW167&gt;=0,AW167&lt;=ReminderDays,Y167&lt;&gt;"Yes"),"Confirm - visit coming up",IF(R167="","Assign - no cleaner booked",IF(AND(P167="Completed",AO167&lt;&gt;"",AO167&lt;1),"Check - checklist unfinished","OK"))))))))</f>
        <v>0</v>
      </c>
    </row>
    <row r="168" spans="1:50">
      <c r="A168" s="43">
        <f>IF(G168="","",JobPrefix&amp;TEXT(ROW()-4,"0000"))</f>
        <v>0</v>
      </c>
      <c r="C168" s="23">
        <f>IF(B168="","",TEXT(B168,"ddd"))</f>
        <v>0</v>
      </c>
      <c r="D168" s="31">
        <f>IF(B168="","",WEEKNUM(B168,IF(WeekStart="Sunday",1,2)))</f>
        <v>0</v>
      </c>
      <c r="E168" s="23">
        <f>IF(B168="","",TEXT(B168,"yyyy-mm"))</f>
        <v>0</v>
      </c>
      <c r="H168" s="23">
        <f>IF(G168="","",IFERROR(INDEX(Clients!$B$5:$B$204,MATCH(G168,Clients!$A$5:$A$204,0)),"Not found"))</f>
        <v>0</v>
      </c>
      <c r="I168" s="23">
        <f>IF(G168="","",IFERROR(INDEX(Clients!$C$5:$C$204,MATCH(G168,Clients!$A$5:$A$204,0)),""))</f>
        <v>0</v>
      </c>
      <c r="K168" s="23">
        <f>IF(J168="","",IFERROR(INDEX(Properties!$B$5:$B$254,MATCH(J168,Properties!$A$5:$A$254,0)),""))</f>
        <v>0</v>
      </c>
      <c r="L168" s="23">
        <f>IF(J168="","",IFERROR(INDEX(Properties!$F$5:$F$254,MATCH(J168,Properties!$A$5:$A$254,0)),""))</f>
        <v>0</v>
      </c>
      <c r="AD168" s="34">
        <f>IF(G168="","",IF(U168&lt;&gt;"",U168,IF(AND(IFERROR(INDEX(Services!$D$5:$D$64,MATCH(M168,Services!$B$5:$B$64,0)),"")="Per hour",IFERROR(INDEX(Properties!$X$5:$X$254,MATCH(J168,Properties!$A$5:$A$254,0)),0)&gt;0),IFERROR(INDEX(Properties!$X$5:$X$254,MATCH(J168,Properties!$A$5:$A$254,0)),0),IF(IFERROR(INDEX(Services!$G$5:$G$64,MATCH(M168,Services!$B$5:$B$64,0)),0)&gt;0,IFERROR(INDEX(Services!$G$5:$G$64,MATCH(M168,Services!$B$5:$B$64,0)),0),IFERROR(INDEX(Properties!$X$5:$X$254,MATCH(J168,Properties!$A$5:$A$254,0)),0)))))</f>
        <v>0</v>
      </c>
      <c r="AE168" s="31">
        <f>IF(G168="","",IF(T168="",CleanersPerJob,MAX(1,T168)))</f>
        <v>0</v>
      </c>
      <c r="AF168" s="34">
        <f>IF(G168="","",ROUND(AD168/AE168,2))</f>
        <v>0</v>
      </c>
      <c r="AG168" s="53">
        <f>IF(OR(G168="",F168="",AF168=""),"",F168+AF168/24)</f>
        <v>0</v>
      </c>
      <c r="AH168" s="21">
        <f>IF(G168="","",IF(IFERROR(INDEX(Clients!$O$5:$O$204,MATCH(G168,Clients!$A$5:$A$204,0)),0)&gt;0,IFERROR(INDEX(Clients!$O$5:$O$204,MATCH(G168,Clients!$A$5:$A$204,0)),0),HourlyRate))</f>
        <v>0</v>
      </c>
      <c r="AI168" s="21">
        <f>IF(G168="","",IF(AND(M168&lt;&gt;"",IFERROR(INDEX(Services!$P$5:$P$64,MATCH(M168,Services!$B$5:$B$64,0)),0)&gt;0,IFERROR(INDEX(Services!$D$5:$D$64,MATCH(M168,Services!$B$5:$B$64,0)),"")&lt;&gt;"Per hour"),IFERROR(INDEX(Services!$P$5:$P$64,MATCH(M168,Services!$B$5:$B$64,0)),0),AD168*AH168))</f>
        <v>0</v>
      </c>
      <c r="AJ168" s="21">
        <f>IF(G168="","",IF(V168&lt;&gt;"",V168,IF(P168="Cancelled",0,MAX(MinimumCharge,ROUND(AI168*IFERROR(INDEX(FreqFactors,MATCH(O168,FreqNames,0)),1),2)))))</f>
        <v>0</v>
      </c>
      <c r="AK168" s="34">
        <f>IF(G168="","",IF(SUMIFS(Timesheets!$U$5:$U$804,Timesheets!$G$5:$G$804,A168)&gt;0,SUMIFS(Timesheets!$U$5:$U$804,Timesheets!$G$5:$G$804,A168),IF(Z168="","",Z168)))</f>
        <v>0</v>
      </c>
      <c r="AL168" s="34">
        <f>IF(OR(AK168="",AD168=""),"",AK168-AD168)</f>
        <v>0</v>
      </c>
      <c r="AM168" s="31">
        <f>IF(A168="","",COUNTIFS('Job Tasks'!$B$5:$B$904,A168))</f>
        <v>0</v>
      </c>
      <c r="AN168" s="31">
        <f>IF(A168="","",COUNTIFS('Job Tasks'!$B$5:$B$904,A168,'Job Tasks'!$H$5:$H$904,"Done"))</f>
        <v>0</v>
      </c>
      <c r="AO168" s="38">
        <f>IF(OR(A168="",AM168=0),"",AN168/AM168)</f>
        <v>0</v>
      </c>
      <c r="AP168" s="43">
        <f>IF(A168="","",IFERROR(INDEX('Invoice Lines'!$B$5:$B$804,MATCH(A168,'Invoice Lines'!$C$5:$C$804,0)),""))</f>
        <v>0</v>
      </c>
      <c r="AQ168" s="18">
        <f>IF(OR(G168="",B168="",X168&lt;&gt;"Yes"),"",IF(IFERROR(INDEX(FreqDays,MATCH(O168,FreqNames,0)),0)=0,"",B168+IFERROR(INDEX(FreqDays,MATCH(O168,FreqNames,0)),0)))</f>
        <v>0</v>
      </c>
      <c r="AR168" s="39">
        <f>IF(G168="","",IF(R168="","Unassigned",IF(COUNTIFS($R$5:$R$604,R168,$B$5:$B$604,B168,$F$5:$F$604,F168)&gt;1,"Clash",IF(SUMIFS($AF$5:$AF$604,$R$5:$R$604,R168,$B$5:$B$604,B168)&gt;ProductiveHours,"Long day","OK"))))</f>
        <v>0</v>
      </c>
      <c r="AS168" s="18">
        <f>IF(OR(G168="",B168=""),"",IF(AND(B168&gt;=TodayDate,P168&lt;&gt;"Cancelled"),B168,""))</f>
        <v>0</v>
      </c>
      <c r="AT168" s="31">
        <f>IF(AS168="","",COUNTIFS($AS$5:$AS$604,"&lt;"&amp;AS168)+COUNTIFS($AS$5:AS168,AS168))</f>
        <v>0</v>
      </c>
      <c r="AU168" s="18">
        <f>IF(OR(G168="",B168="",R168&lt;&gt;""),"",IF(AND(B168&gt;=TodayDate,P168&lt;&gt;"Cancelled"),B168,""))</f>
        <v>0</v>
      </c>
      <c r="AV168" s="31">
        <f>IF(AU168="","",COUNTIFS($AU$5:$AU$604,"&lt;"&amp;AU168)+COUNTIFS($AU$5:AU168,AU168))</f>
        <v>0</v>
      </c>
      <c r="AW168" s="31">
        <f>IF(OR(G168="",B168=""),"",B168-TodayDate)</f>
        <v>0</v>
      </c>
      <c r="AX168" s="39">
        <f>IF(G168="","",IF(P168="Cancelled","Cancelled",IF(P168="No access","Action - no access, rebook",IF(AND(B168&lt;&gt;"",AW168&lt;0,OR(P168="Booked",P168="Confirmed",P168="In progress")),"Late - mark it completed",IF(AND(P168="Completed",AP168=""),"Action - not invoiced yet",IF(AND(AW168&gt;=0,AW168&lt;=ReminderDays,Y168&lt;&gt;"Yes"),"Confirm - visit coming up",IF(R168="","Assign - no cleaner booked",IF(AND(P168="Completed",AO168&lt;&gt;"",AO168&lt;1),"Check - checklist unfinished","OK"))))))))</f>
        <v>0</v>
      </c>
    </row>
    <row r="169" spans="1:50">
      <c r="A169" s="43">
        <f>IF(G169="","",JobPrefix&amp;TEXT(ROW()-4,"0000"))</f>
        <v>0</v>
      </c>
      <c r="C169" s="23">
        <f>IF(B169="","",TEXT(B169,"ddd"))</f>
        <v>0</v>
      </c>
      <c r="D169" s="31">
        <f>IF(B169="","",WEEKNUM(B169,IF(WeekStart="Sunday",1,2)))</f>
        <v>0</v>
      </c>
      <c r="E169" s="23">
        <f>IF(B169="","",TEXT(B169,"yyyy-mm"))</f>
        <v>0</v>
      </c>
      <c r="H169" s="23">
        <f>IF(G169="","",IFERROR(INDEX(Clients!$B$5:$B$204,MATCH(G169,Clients!$A$5:$A$204,0)),"Not found"))</f>
        <v>0</v>
      </c>
      <c r="I169" s="23">
        <f>IF(G169="","",IFERROR(INDEX(Clients!$C$5:$C$204,MATCH(G169,Clients!$A$5:$A$204,0)),""))</f>
        <v>0</v>
      </c>
      <c r="K169" s="23">
        <f>IF(J169="","",IFERROR(INDEX(Properties!$B$5:$B$254,MATCH(J169,Properties!$A$5:$A$254,0)),""))</f>
        <v>0</v>
      </c>
      <c r="L169" s="23">
        <f>IF(J169="","",IFERROR(INDEX(Properties!$F$5:$F$254,MATCH(J169,Properties!$A$5:$A$254,0)),""))</f>
        <v>0</v>
      </c>
      <c r="AD169" s="34">
        <f>IF(G169="","",IF(U169&lt;&gt;"",U169,IF(AND(IFERROR(INDEX(Services!$D$5:$D$64,MATCH(M169,Services!$B$5:$B$64,0)),"")="Per hour",IFERROR(INDEX(Properties!$X$5:$X$254,MATCH(J169,Properties!$A$5:$A$254,0)),0)&gt;0),IFERROR(INDEX(Properties!$X$5:$X$254,MATCH(J169,Properties!$A$5:$A$254,0)),0),IF(IFERROR(INDEX(Services!$G$5:$G$64,MATCH(M169,Services!$B$5:$B$64,0)),0)&gt;0,IFERROR(INDEX(Services!$G$5:$G$64,MATCH(M169,Services!$B$5:$B$64,0)),0),IFERROR(INDEX(Properties!$X$5:$X$254,MATCH(J169,Properties!$A$5:$A$254,0)),0)))))</f>
        <v>0</v>
      </c>
      <c r="AE169" s="31">
        <f>IF(G169="","",IF(T169="",CleanersPerJob,MAX(1,T169)))</f>
        <v>0</v>
      </c>
      <c r="AF169" s="34">
        <f>IF(G169="","",ROUND(AD169/AE169,2))</f>
        <v>0</v>
      </c>
      <c r="AG169" s="53">
        <f>IF(OR(G169="",F169="",AF169=""),"",F169+AF169/24)</f>
        <v>0</v>
      </c>
      <c r="AH169" s="21">
        <f>IF(G169="","",IF(IFERROR(INDEX(Clients!$O$5:$O$204,MATCH(G169,Clients!$A$5:$A$204,0)),0)&gt;0,IFERROR(INDEX(Clients!$O$5:$O$204,MATCH(G169,Clients!$A$5:$A$204,0)),0),HourlyRate))</f>
        <v>0</v>
      </c>
      <c r="AI169" s="21">
        <f>IF(G169="","",IF(AND(M169&lt;&gt;"",IFERROR(INDEX(Services!$P$5:$P$64,MATCH(M169,Services!$B$5:$B$64,0)),0)&gt;0,IFERROR(INDEX(Services!$D$5:$D$64,MATCH(M169,Services!$B$5:$B$64,0)),"")&lt;&gt;"Per hour"),IFERROR(INDEX(Services!$P$5:$P$64,MATCH(M169,Services!$B$5:$B$64,0)),0),AD169*AH169))</f>
        <v>0</v>
      </c>
      <c r="AJ169" s="21">
        <f>IF(G169="","",IF(V169&lt;&gt;"",V169,IF(P169="Cancelled",0,MAX(MinimumCharge,ROUND(AI169*IFERROR(INDEX(FreqFactors,MATCH(O169,FreqNames,0)),1),2)))))</f>
        <v>0</v>
      </c>
      <c r="AK169" s="34">
        <f>IF(G169="","",IF(SUMIFS(Timesheets!$U$5:$U$804,Timesheets!$G$5:$G$804,A169)&gt;0,SUMIFS(Timesheets!$U$5:$U$804,Timesheets!$G$5:$G$804,A169),IF(Z169="","",Z169)))</f>
        <v>0</v>
      </c>
      <c r="AL169" s="34">
        <f>IF(OR(AK169="",AD169=""),"",AK169-AD169)</f>
        <v>0</v>
      </c>
      <c r="AM169" s="31">
        <f>IF(A169="","",COUNTIFS('Job Tasks'!$B$5:$B$904,A169))</f>
        <v>0</v>
      </c>
      <c r="AN169" s="31">
        <f>IF(A169="","",COUNTIFS('Job Tasks'!$B$5:$B$904,A169,'Job Tasks'!$H$5:$H$904,"Done"))</f>
        <v>0</v>
      </c>
      <c r="AO169" s="38">
        <f>IF(OR(A169="",AM169=0),"",AN169/AM169)</f>
        <v>0</v>
      </c>
      <c r="AP169" s="43">
        <f>IF(A169="","",IFERROR(INDEX('Invoice Lines'!$B$5:$B$804,MATCH(A169,'Invoice Lines'!$C$5:$C$804,0)),""))</f>
        <v>0</v>
      </c>
      <c r="AQ169" s="18">
        <f>IF(OR(G169="",B169="",X169&lt;&gt;"Yes"),"",IF(IFERROR(INDEX(FreqDays,MATCH(O169,FreqNames,0)),0)=0,"",B169+IFERROR(INDEX(FreqDays,MATCH(O169,FreqNames,0)),0)))</f>
        <v>0</v>
      </c>
      <c r="AR169" s="39">
        <f>IF(G169="","",IF(R169="","Unassigned",IF(COUNTIFS($R$5:$R$604,R169,$B$5:$B$604,B169,$F$5:$F$604,F169)&gt;1,"Clash",IF(SUMIFS($AF$5:$AF$604,$R$5:$R$604,R169,$B$5:$B$604,B169)&gt;ProductiveHours,"Long day","OK"))))</f>
        <v>0</v>
      </c>
      <c r="AS169" s="18">
        <f>IF(OR(G169="",B169=""),"",IF(AND(B169&gt;=TodayDate,P169&lt;&gt;"Cancelled"),B169,""))</f>
        <v>0</v>
      </c>
      <c r="AT169" s="31">
        <f>IF(AS169="","",COUNTIFS($AS$5:$AS$604,"&lt;"&amp;AS169)+COUNTIFS($AS$5:AS169,AS169))</f>
        <v>0</v>
      </c>
      <c r="AU169" s="18">
        <f>IF(OR(G169="",B169="",R169&lt;&gt;""),"",IF(AND(B169&gt;=TodayDate,P169&lt;&gt;"Cancelled"),B169,""))</f>
        <v>0</v>
      </c>
      <c r="AV169" s="31">
        <f>IF(AU169="","",COUNTIFS($AU$5:$AU$604,"&lt;"&amp;AU169)+COUNTIFS($AU$5:AU169,AU169))</f>
        <v>0</v>
      </c>
      <c r="AW169" s="31">
        <f>IF(OR(G169="",B169=""),"",B169-TodayDate)</f>
        <v>0</v>
      </c>
      <c r="AX169" s="39">
        <f>IF(G169="","",IF(P169="Cancelled","Cancelled",IF(P169="No access","Action - no access, rebook",IF(AND(B169&lt;&gt;"",AW169&lt;0,OR(P169="Booked",P169="Confirmed",P169="In progress")),"Late - mark it completed",IF(AND(P169="Completed",AP169=""),"Action - not invoiced yet",IF(AND(AW169&gt;=0,AW169&lt;=ReminderDays,Y169&lt;&gt;"Yes"),"Confirm - visit coming up",IF(R169="","Assign - no cleaner booked",IF(AND(P169="Completed",AO169&lt;&gt;"",AO169&lt;1),"Check - checklist unfinished","OK"))))))))</f>
        <v>0</v>
      </c>
    </row>
    <row r="170" spans="1:50">
      <c r="A170" s="43">
        <f>IF(G170="","",JobPrefix&amp;TEXT(ROW()-4,"0000"))</f>
        <v>0</v>
      </c>
      <c r="C170" s="23">
        <f>IF(B170="","",TEXT(B170,"ddd"))</f>
        <v>0</v>
      </c>
      <c r="D170" s="31">
        <f>IF(B170="","",WEEKNUM(B170,IF(WeekStart="Sunday",1,2)))</f>
        <v>0</v>
      </c>
      <c r="E170" s="23">
        <f>IF(B170="","",TEXT(B170,"yyyy-mm"))</f>
        <v>0</v>
      </c>
      <c r="H170" s="23">
        <f>IF(G170="","",IFERROR(INDEX(Clients!$B$5:$B$204,MATCH(G170,Clients!$A$5:$A$204,0)),"Not found"))</f>
        <v>0</v>
      </c>
      <c r="I170" s="23">
        <f>IF(G170="","",IFERROR(INDEX(Clients!$C$5:$C$204,MATCH(G170,Clients!$A$5:$A$204,0)),""))</f>
        <v>0</v>
      </c>
      <c r="K170" s="23">
        <f>IF(J170="","",IFERROR(INDEX(Properties!$B$5:$B$254,MATCH(J170,Properties!$A$5:$A$254,0)),""))</f>
        <v>0</v>
      </c>
      <c r="L170" s="23">
        <f>IF(J170="","",IFERROR(INDEX(Properties!$F$5:$F$254,MATCH(J170,Properties!$A$5:$A$254,0)),""))</f>
        <v>0</v>
      </c>
      <c r="AD170" s="34">
        <f>IF(G170="","",IF(U170&lt;&gt;"",U170,IF(AND(IFERROR(INDEX(Services!$D$5:$D$64,MATCH(M170,Services!$B$5:$B$64,0)),"")="Per hour",IFERROR(INDEX(Properties!$X$5:$X$254,MATCH(J170,Properties!$A$5:$A$254,0)),0)&gt;0),IFERROR(INDEX(Properties!$X$5:$X$254,MATCH(J170,Properties!$A$5:$A$254,0)),0),IF(IFERROR(INDEX(Services!$G$5:$G$64,MATCH(M170,Services!$B$5:$B$64,0)),0)&gt;0,IFERROR(INDEX(Services!$G$5:$G$64,MATCH(M170,Services!$B$5:$B$64,0)),0),IFERROR(INDEX(Properties!$X$5:$X$254,MATCH(J170,Properties!$A$5:$A$254,0)),0)))))</f>
        <v>0</v>
      </c>
      <c r="AE170" s="31">
        <f>IF(G170="","",IF(T170="",CleanersPerJob,MAX(1,T170)))</f>
        <v>0</v>
      </c>
      <c r="AF170" s="34">
        <f>IF(G170="","",ROUND(AD170/AE170,2))</f>
        <v>0</v>
      </c>
      <c r="AG170" s="53">
        <f>IF(OR(G170="",F170="",AF170=""),"",F170+AF170/24)</f>
        <v>0</v>
      </c>
      <c r="AH170" s="21">
        <f>IF(G170="","",IF(IFERROR(INDEX(Clients!$O$5:$O$204,MATCH(G170,Clients!$A$5:$A$204,0)),0)&gt;0,IFERROR(INDEX(Clients!$O$5:$O$204,MATCH(G170,Clients!$A$5:$A$204,0)),0),HourlyRate))</f>
        <v>0</v>
      </c>
      <c r="AI170" s="21">
        <f>IF(G170="","",IF(AND(M170&lt;&gt;"",IFERROR(INDEX(Services!$P$5:$P$64,MATCH(M170,Services!$B$5:$B$64,0)),0)&gt;0,IFERROR(INDEX(Services!$D$5:$D$64,MATCH(M170,Services!$B$5:$B$64,0)),"")&lt;&gt;"Per hour"),IFERROR(INDEX(Services!$P$5:$P$64,MATCH(M170,Services!$B$5:$B$64,0)),0),AD170*AH170))</f>
        <v>0</v>
      </c>
      <c r="AJ170" s="21">
        <f>IF(G170="","",IF(V170&lt;&gt;"",V170,IF(P170="Cancelled",0,MAX(MinimumCharge,ROUND(AI170*IFERROR(INDEX(FreqFactors,MATCH(O170,FreqNames,0)),1),2)))))</f>
        <v>0</v>
      </c>
      <c r="AK170" s="34">
        <f>IF(G170="","",IF(SUMIFS(Timesheets!$U$5:$U$804,Timesheets!$G$5:$G$804,A170)&gt;0,SUMIFS(Timesheets!$U$5:$U$804,Timesheets!$G$5:$G$804,A170),IF(Z170="","",Z170)))</f>
        <v>0</v>
      </c>
      <c r="AL170" s="34">
        <f>IF(OR(AK170="",AD170=""),"",AK170-AD170)</f>
        <v>0</v>
      </c>
      <c r="AM170" s="31">
        <f>IF(A170="","",COUNTIFS('Job Tasks'!$B$5:$B$904,A170))</f>
        <v>0</v>
      </c>
      <c r="AN170" s="31">
        <f>IF(A170="","",COUNTIFS('Job Tasks'!$B$5:$B$904,A170,'Job Tasks'!$H$5:$H$904,"Done"))</f>
        <v>0</v>
      </c>
      <c r="AO170" s="38">
        <f>IF(OR(A170="",AM170=0),"",AN170/AM170)</f>
        <v>0</v>
      </c>
      <c r="AP170" s="43">
        <f>IF(A170="","",IFERROR(INDEX('Invoice Lines'!$B$5:$B$804,MATCH(A170,'Invoice Lines'!$C$5:$C$804,0)),""))</f>
        <v>0</v>
      </c>
      <c r="AQ170" s="18">
        <f>IF(OR(G170="",B170="",X170&lt;&gt;"Yes"),"",IF(IFERROR(INDEX(FreqDays,MATCH(O170,FreqNames,0)),0)=0,"",B170+IFERROR(INDEX(FreqDays,MATCH(O170,FreqNames,0)),0)))</f>
        <v>0</v>
      </c>
      <c r="AR170" s="39">
        <f>IF(G170="","",IF(R170="","Unassigned",IF(COUNTIFS($R$5:$R$604,R170,$B$5:$B$604,B170,$F$5:$F$604,F170)&gt;1,"Clash",IF(SUMIFS($AF$5:$AF$604,$R$5:$R$604,R170,$B$5:$B$604,B170)&gt;ProductiveHours,"Long day","OK"))))</f>
        <v>0</v>
      </c>
      <c r="AS170" s="18">
        <f>IF(OR(G170="",B170=""),"",IF(AND(B170&gt;=TodayDate,P170&lt;&gt;"Cancelled"),B170,""))</f>
        <v>0</v>
      </c>
      <c r="AT170" s="31">
        <f>IF(AS170="","",COUNTIFS($AS$5:$AS$604,"&lt;"&amp;AS170)+COUNTIFS($AS$5:AS170,AS170))</f>
        <v>0</v>
      </c>
      <c r="AU170" s="18">
        <f>IF(OR(G170="",B170="",R170&lt;&gt;""),"",IF(AND(B170&gt;=TodayDate,P170&lt;&gt;"Cancelled"),B170,""))</f>
        <v>0</v>
      </c>
      <c r="AV170" s="31">
        <f>IF(AU170="","",COUNTIFS($AU$5:$AU$604,"&lt;"&amp;AU170)+COUNTIFS($AU$5:AU170,AU170))</f>
        <v>0</v>
      </c>
      <c r="AW170" s="31">
        <f>IF(OR(G170="",B170=""),"",B170-TodayDate)</f>
        <v>0</v>
      </c>
      <c r="AX170" s="39">
        <f>IF(G170="","",IF(P170="Cancelled","Cancelled",IF(P170="No access","Action - no access, rebook",IF(AND(B170&lt;&gt;"",AW170&lt;0,OR(P170="Booked",P170="Confirmed",P170="In progress")),"Late - mark it completed",IF(AND(P170="Completed",AP170=""),"Action - not invoiced yet",IF(AND(AW170&gt;=0,AW170&lt;=ReminderDays,Y170&lt;&gt;"Yes"),"Confirm - visit coming up",IF(R170="","Assign - no cleaner booked",IF(AND(P170="Completed",AO170&lt;&gt;"",AO170&lt;1),"Check - checklist unfinished","OK"))))))))</f>
        <v>0</v>
      </c>
    </row>
    <row r="171" spans="1:50">
      <c r="A171" s="43">
        <f>IF(G171="","",JobPrefix&amp;TEXT(ROW()-4,"0000"))</f>
        <v>0</v>
      </c>
      <c r="C171" s="23">
        <f>IF(B171="","",TEXT(B171,"ddd"))</f>
        <v>0</v>
      </c>
      <c r="D171" s="31">
        <f>IF(B171="","",WEEKNUM(B171,IF(WeekStart="Sunday",1,2)))</f>
        <v>0</v>
      </c>
      <c r="E171" s="23">
        <f>IF(B171="","",TEXT(B171,"yyyy-mm"))</f>
        <v>0</v>
      </c>
      <c r="H171" s="23">
        <f>IF(G171="","",IFERROR(INDEX(Clients!$B$5:$B$204,MATCH(G171,Clients!$A$5:$A$204,0)),"Not found"))</f>
        <v>0</v>
      </c>
      <c r="I171" s="23">
        <f>IF(G171="","",IFERROR(INDEX(Clients!$C$5:$C$204,MATCH(G171,Clients!$A$5:$A$204,0)),""))</f>
        <v>0</v>
      </c>
      <c r="K171" s="23">
        <f>IF(J171="","",IFERROR(INDEX(Properties!$B$5:$B$254,MATCH(J171,Properties!$A$5:$A$254,0)),""))</f>
        <v>0</v>
      </c>
      <c r="L171" s="23">
        <f>IF(J171="","",IFERROR(INDEX(Properties!$F$5:$F$254,MATCH(J171,Properties!$A$5:$A$254,0)),""))</f>
        <v>0</v>
      </c>
      <c r="AD171" s="34">
        <f>IF(G171="","",IF(U171&lt;&gt;"",U171,IF(AND(IFERROR(INDEX(Services!$D$5:$D$64,MATCH(M171,Services!$B$5:$B$64,0)),"")="Per hour",IFERROR(INDEX(Properties!$X$5:$X$254,MATCH(J171,Properties!$A$5:$A$254,0)),0)&gt;0),IFERROR(INDEX(Properties!$X$5:$X$254,MATCH(J171,Properties!$A$5:$A$254,0)),0),IF(IFERROR(INDEX(Services!$G$5:$G$64,MATCH(M171,Services!$B$5:$B$64,0)),0)&gt;0,IFERROR(INDEX(Services!$G$5:$G$64,MATCH(M171,Services!$B$5:$B$64,0)),0),IFERROR(INDEX(Properties!$X$5:$X$254,MATCH(J171,Properties!$A$5:$A$254,0)),0)))))</f>
        <v>0</v>
      </c>
      <c r="AE171" s="31">
        <f>IF(G171="","",IF(T171="",CleanersPerJob,MAX(1,T171)))</f>
        <v>0</v>
      </c>
      <c r="AF171" s="34">
        <f>IF(G171="","",ROUND(AD171/AE171,2))</f>
        <v>0</v>
      </c>
      <c r="AG171" s="53">
        <f>IF(OR(G171="",F171="",AF171=""),"",F171+AF171/24)</f>
        <v>0</v>
      </c>
      <c r="AH171" s="21">
        <f>IF(G171="","",IF(IFERROR(INDEX(Clients!$O$5:$O$204,MATCH(G171,Clients!$A$5:$A$204,0)),0)&gt;0,IFERROR(INDEX(Clients!$O$5:$O$204,MATCH(G171,Clients!$A$5:$A$204,0)),0),HourlyRate))</f>
        <v>0</v>
      </c>
      <c r="AI171" s="21">
        <f>IF(G171="","",IF(AND(M171&lt;&gt;"",IFERROR(INDEX(Services!$P$5:$P$64,MATCH(M171,Services!$B$5:$B$64,0)),0)&gt;0,IFERROR(INDEX(Services!$D$5:$D$64,MATCH(M171,Services!$B$5:$B$64,0)),"")&lt;&gt;"Per hour"),IFERROR(INDEX(Services!$P$5:$P$64,MATCH(M171,Services!$B$5:$B$64,0)),0),AD171*AH171))</f>
        <v>0</v>
      </c>
      <c r="AJ171" s="21">
        <f>IF(G171="","",IF(V171&lt;&gt;"",V171,IF(P171="Cancelled",0,MAX(MinimumCharge,ROUND(AI171*IFERROR(INDEX(FreqFactors,MATCH(O171,FreqNames,0)),1),2)))))</f>
        <v>0</v>
      </c>
      <c r="AK171" s="34">
        <f>IF(G171="","",IF(SUMIFS(Timesheets!$U$5:$U$804,Timesheets!$G$5:$G$804,A171)&gt;0,SUMIFS(Timesheets!$U$5:$U$804,Timesheets!$G$5:$G$804,A171),IF(Z171="","",Z171)))</f>
        <v>0</v>
      </c>
      <c r="AL171" s="34">
        <f>IF(OR(AK171="",AD171=""),"",AK171-AD171)</f>
        <v>0</v>
      </c>
      <c r="AM171" s="31">
        <f>IF(A171="","",COUNTIFS('Job Tasks'!$B$5:$B$904,A171))</f>
        <v>0</v>
      </c>
      <c r="AN171" s="31">
        <f>IF(A171="","",COUNTIFS('Job Tasks'!$B$5:$B$904,A171,'Job Tasks'!$H$5:$H$904,"Done"))</f>
        <v>0</v>
      </c>
      <c r="AO171" s="38">
        <f>IF(OR(A171="",AM171=0),"",AN171/AM171)</f>
        <v>0</v>
      </c>
      <c r="AP171" s="43">
        <f>IF(A171="","",IFERROR(INDEX('Invoice Lines'!$B$5:$B$804,MATCH(A171,'Invoice Lines'!$C$5:$C$804,0)),""))</f>
        <v>0</v>
      </c>
      <c r="AQ171" s="18">
        <f>IF(OR(G171="",B171="",X171&lt;&gt;"Yes"),"",IF(IFERROR(INDEX(FreqDays,MATCH(O171,FreqNames,0)),0)=0,"",B171+IFERROR(INDEX(FreqDays,MATCH(O171,FreqNames,0)),0)))</f>
        <v>0</v>
      </c>
      <c r="AR171" s="39">
        <f>IF(G171="","",IF(R171="","Unassigned",IF(COUNTIFS($R$5:$R$604,R171,$B$5:$B$604,B171,$F$5:$F$604,F171)&gt;1,"Clash",IF(SUMIFS($AF$5:$AF$604,$R$5:$R$604,R171,$B$5:$B$604,B171)&gt;ProductiveHours,"Long day","OK"))))</f>
        <v>0</v>
      </c>
      <c r="AS171" s="18">
        <f>IF(OR(G171="",B171=""),"",IF(AND(B171&gt;=TodayDate,P171&lt;&gt;"Cancelled"),B171,""))</f>
        <v>0</v>
      </c>
      <c r="AT171" s="31">
        <f>IF(AS171="","",COUNTIFS($AS$5:$AS$604,"&lt;"&amp;AS171)+COUNTIFS($AS$5:AS171,AS171))</f>
        <v>0</v>
      </c>
      <c r="AU171" s="18">
        <f>IF(OR(G171="",B171="",R171&lt;&gt;""),"",IF(AND(B171&gt;=TodayDate,P171&lt;&gt;"Cancelled"),B171,""))</f>
        <v>0</v>
      </c>
      <c r="AV171" s="31">
        <f>IF(AU171="","",COUNTIFS($AU$5:$AU$604,"&lt;"&amp;AU171)+COUNTIFS($AU$5:AU171,AU171))</f>
        <v>0</v>
      </c>
      <c r="AW171" s="31">
        <f>IF(OR(G171="",B171=""),"",B171-TodayDate)</f>
        <v>0</v>
      </c>
      <c r="AX171" s="39">
        <f>IF(G171="","",IF(P171="Cancelled","Cancelled",IF(P171="No access","Action - no access, rebook",IF(AND(B171&lt;&gt;"",AW171&lt;0,OR(P171="Booked",P171="Confirmed",P171="In progress")),"Late - mark it completed",IF(AND(P171="Completed",AP171=""),"Action - not invoiced yet",IF(AND(AW171&gt;=0,AW171&lt;=ReminderDays,Y171&lt;&gt;"Yes"),"Confirm - visit coming up",IF(R171="","Assign - no cleaner booked",IF(AND(P171="Completed",AO171&lt;&gt;"",AO171&lt;1),"Check - checklist unfinished","OK"))))))))</f>
        <v>0</v>
      </c>
    </row>
    <row r="172" spans="1:50">
      <c r="A172" s="43">
        <f>IF(G172="","",JobPrefix&amp;TEXT(ROW()-4,"0000"))</f>
        <v>0</v>
      </c>
      <c r="C172" s="23">
        <f>IF(B172="","",TEXT(B172,"ddd"))</f>
        <v>0</v>
      </c>
      <c r="D172" s="31">
        <f>IF(B172="","",WEEKNUM(B172,IF(WeekStart="Sunday",1,2)))</f>
        <v>0</v>
      </c>
      <c r="E172" s="23">
        <f>IF(B172="","",TEXT(B172,"yyyy-mm"))</f>
        <v>0</v>
      </c>
      <c r="H172" s="23">
        <f>IF(G172="","",IFERROR(INDEX(Clients!$B$5:$B$204,MATCH(G172,Clients!$A$5:$A$204,0)),"Not found"))</f>
        <v>0</v>
      </c>
      <c r="I172" s="23">
        <f>IF(G172="","",IFERROR(INDEX(Clients!$C$5:$C$204,MATCH(G172,Clients!$A$5:$A$204,0)),""))</f>
        <v>0</v>
      </c>
      <c r="K172" s="23">
        <f>IF(J172="","",IFERROR(INDEX(Properties!$B$5:$B$254,MATCH(J172,Properties!$A$5:$A$254,0)),""))</f>
        <v>0</v>
      </c>
      <c r="L172" s="23">
        <f>IF(J172="","",IFERROR(INDEX(Properties!$F$5:$F$254,MATCH(J172,Properties!$A$5:$A$254,0)),""))</f>
        <v>0</v>
      </c>
      <c r="AD172" s="34">
        <f>IF(G172="","",IF(U172&lt;&gt;"",U172,IF(AND(IFERROR(INDEX(Services!$D$5:$D$64,MATCH(M172,Services!$B$5:$B$64,0)),"")="Per hour",IFERROR(INDEX(Properties!$X$5:$X$254,MATCH(J172,Properties!$A$5:$A$254,0)),0)&gt;0),IFERROR(INDEX(Properties!$X$5:$X$254,MATCH(J172,Properties!$A$5:$A$254,0)),0),IF(IFERROR(INDEX(Services!$G$5:$G$64,MATCH(M172,Services!$B$5:$B$64,0)),0)&gt;0,IFERROR(INDEX(Services!$G$5:$G$64,MATCH(M172,Services!$B$5:$B$64,0)),0),IFERROR(INDEX(Properties!$X$5:$X$254,MATCH(J172,Properties!$A$5:$A$254,0)),0)))))</f>
        <v>0</v>
      </c>
      <c r="AE172" s="31">
        <f>IF(G172="","",IF(T172="",CleanersPerJob,MAX(1,T172)))</f>
        <v>0</v>
      </c>
      <c r="AF172" s="34">
        <f>IF(G172="","",ROUND(AD172/AE172,2))</f>
        <v>0</v>
      </c>
      <c r="AG172" s="53">
        <f>IF(OR(G172="",F172="",AF172=""),"",F172+AF172/24)</f>
        <v>0</v>
      </c>
      <c r="AH172" s="21">
        <f>IF(G172="","",IF(IFERROR(INDEX(Clients!$O$5:$O$204,MATCH(G172,Clients!$A$5:$A$204,0)),0)&gt;0,IFERROR(INDEX(Clients!$O$5:$O$204,MATCH(G172,Clients!$A$5:$A$204,0)),0),HourlyRate))</f>
        <v>0</v>
      </c>
      <c r="AI172" s="21">
        <f>IF(G172="","",IF(AND(M172&lt;&gt;"",IFERROR(INDEX(Services!$P$5:$P$64,MATCH(M172,Services!$B$5:$B$64,0)),0)&gt;0,IFERROR(INDEX(Services!$D$5:$D$64,MATCH(M172,Services!$B$5:$B$64,0)),"")&lt;&gt;"Per hour"),IFERROR(INDEX(Services!$P$5:$P$64,MATCH(M172,Services!$B$5:$B$64,0)),0),AD172*AH172))</f>
        <v>0</v>
      </c>
      <c r="AJ172" s="21">
        <f>IF(G172="","",IF(V172&lt;&gt;"",V172,IF(P172="Cancelled",0,MAX(MinimumCharge,ROUND(AI172*IFERROR(INDEX(FreqFactors,MATCH(O172,FreqNames,0)),1),2)))))</f>
        <v>0</v>
      </c>
      <c r="AK172" s="34">
        <f>IF(G172="","",IF(SUMIFS(Timesheets!$U$5:$U$804,Timesheets!$G$5:$G$804,A172)&gt;0,SUMIFS(Timesheets!$U$5:$U$804,Timesheets!$G$5:$G$804,A172),IF(Z172="","",Z172)))</f>
        <v>0</v>
      </c>
      <c r="AL172" s="34">
        <f>IF(OR(AK172="",AD172=""),"",AK172-AD172)</f>
        <v>0</v>
      </c>
      <c r="AM172" s="31">
        <f>IF(A172="","",COUNTIFS('Job Tasks'!$B$5:$B$904,A172))</f>
        <v>0</v>
      </c>
      <c r="AN172" s="31">
        <f>IF(A172="","",COUNTIFS('Job Tasks'!$B$5:$B$904,A172,'Job Tasks'!$H$5:$H$904,"Done"))</f>
        <v>0</v>
      </c>
      <c r="AO172" s="38">
        <f>IF(OR(A172="",AM172=0),"",AN172/AM172)</f>
        <v>0</v>
      </c>
      <c r="AP172" s="43">
        <f>IF(A172="","",IFERROR(INDEX('Invoice Lines'!$B$5:$B$804,MATCH(A172,'Invoice Lines'!$C$5:$C$804,0)),""))</f>
        <v>0</v>
      </c>
      <c r="AQ172" s="18">
        <f>IF(OR(G172="",B172="",X172&lt;&gt;"Yes"),"",IF(IFERROR(INDEX(FreqDays,MATCH(O172,FreqNames,0)),0)=0,"",B172+IFERROR(INDEX(FreqDays,MATCH(O172,FreqNames,0)),0)))</f>
        <v>0</v>
      </c>
      <c r="AR172" s="39">
        <f>IF(G172="","",IF(R172="","Unassigned",IF(COUNTIFS($R$5:$R$604,R172,$B$5:$B$604,B172,$F$5:$F$604,F172)&gt;1,"Clash",IF(SUMIFS($AF$5:$AF$604,$R$5:$R$604,R172,$B$5:$B$604,B172)&gt;ProductiveHours,"Long day","OK"))))</f>
        <v>0</v>
      </c>
      <c r="AS172" s="18">
        <f>IF(OR(G172="",B172=""),"",IF(AND(B172&gt;=TodayDate,P172&lt;&gt;"Cancelled"),B172,""))</f>
        <v>0</v>
      </c>
      <c r="AT172" s="31">
        <f>IF(AS172="","",COUNTIFS($AS$5:$AS$604,"&lt;"&amp;AS172)+COUNTIFS($AS$5:AS172,AS172))</f>
        <v>0</v>
      </c>
      <c r="AU172" s="18">
        <f>IF(OR(G172="",B172="",R172&lt;&gt;""),"",IF(AND(B172&gt;=TodayDate,P172&lt;&gt;"Cancelled"),B172,""))</f>
        <v>0</v>
      </c>
      <c r="AV172" s="31">
        <f>IF(AU172="","",COUNTIFS($AU$5:$AU$604,"&lt;"&amp;AU172)+COUNTIFS($AU$5:AU172,AU172))</f>
        <v>0</v>
      </c>
      <c r="AW172" s="31">
        <f>IF(OR(G172="",B172=""),"",B172-TodayDate)</f>
        <v>0</v>
      </c>
      <c r="AX172" s="39">
        <f>IF(G172="","",IF(P172="Cancelled","Cancelled",IF(P172="No access","Action - no access, rebook",IF(AND(B172&lt;&gt;"",AW172&lt;0,OR(P172="Booked",P172="Confirmed",P172="In progress")),"Late - mark it completed",IF(AND(P172="Completed",AP172=""),"Action - not invoiced yet",IF(AND(AW172&gt;=0,AW172&lt;=ReminderDays,Y172&lt;&gt;"Yes"),"Confirm - visit coming up",IF(R172="","Assign - no cleaner booked",IF(AND(P172="Completed",AO172&lt;&gt;"",AO172&lt;1),"Check - checklist unfinished","OK"))))))))</f>
        <v>0</v>
      </c>
    </row>
    <row r="173" spans="1:50">
      <c r="A173" s="43">
        <f>IF(G173="","",JobPrefix&amp;TEXT(ROW()-4,"0000"))</f>
        <v>0</v>
      </c>
      <c r="C173" s="23">
        <f>IF(B173="","",TEXT(B173,"ddd"))</f>
        <v>0</v>
      </c>
      <c r="D173" s="31">
        <f>IF(B173="","",WEEKNUM(B173,IF(WeekStart="Sunday",1,2)))</f>
        <v>0</v>
      </c>
      <c r="E173" s="23">
        <f>IF(B173="","",TEXT(B173,"yyyy-mm"))</f>
        <v>0</v>
      </c>
      <c r="H173" s="23">
        <f>IF(G173="","",IFERROR(INDEX(Clients!$B$5:$B$204,MATCH(G173,Clients!$A$5:$A$204,0)),"Not found"))</f>
        <v>0</v>
      </c>
      <c r="I173" s="23">
        <f>IF(G173="","",IFERROR(INDEX(Clients!$C$5:$C$204,MATCH(G173,Clients!$A$5:$A$204,0)),""))</f>
        <v>0</v>
      </c>
      <c r="K173" s="23">
        <f>IF(J173="","",IFERROR(INDEX(Properties!$B$5:$B$254,MATCH(J173,Properties!$A$5:$A$254,0)),""))</f>
        <v>0</v>
      </c>
      <c r="L173" s="23">
        <f>IF(J173="","",IFERROR(INDEX(Properties!$F$5:$F$254,MATCH(J173,Properties!$A$5:$A$254,0)),""))</f>
        <v>0</v>
      </c>
      <c r="AD173" s="34">
        <f>IF(G173="","",IF(U173&lt;&gt;"",U173,IF(AND(IFERROR(INDEX(Services!$D$5:$D$64,MATCH(M173,Services!$B$5:$B$64,0)),"")="Per hour",IFERROR(INDEX(Properties!$X$5:$X$254,MATCH(J173,Properties!$A$5:$A$254,0)),0)&gt;0),IFERROR(INDEX(Properties!$X$5:$X$254,MATCH(J173,Properties!$A$5:$A$254,0)),0),IF(IFERROR(INDEX(Services!$G$5:$G$64,MATCH(M173,Services!$B$5:$B$64,0)),0)&gt;0,IFERROR(INDEX(Services!$G$5:$G$64,MATCH(M173,Services!$B$5:$B$64,0)),0),IFERROR(INDEX(Properties!$X$5:$X$254,MATCH(J173,Properties!$A$5:$A$254,0)),0)))))</f>
        <v>0</v>
      </c>
      <c r="AE173" s="31">
        <f>IF(G173="","",IF(T173="",CleanersPerJob,MAX(1,T173)))</f>
        <v>0</v>
      </c>
      <c r="AF173" s="34">
        <f>IF(G173="","",ROUND(AD173/AE173,2))</f>
        <v>0</v>
      </c>
      <c r="AG173" s="53">
        <f>IF(OR(G173="",F173="",AF173=""),"",F173+AF173/24)</f>
        <v>0</v>
      </c>
      <c r="AH173" s="21">
        <f>IF(G173="","",IF(IFERROR(INDEX(Clients!$O$5:$O$204,MATCH(G173,Clients!$A$5:$A$204,0)),0)&gt;0,IFERROR(INDEX(Clients!$O$5:$O$204,MATCH(G173,Clients!$A$5:$A$204,0)),0),HourlyRate))</f>
        <v>0</v>
      </c>
      <c r="AI173" s="21">
        <f>IF(G173="","",IF(AND(M173&lt;&gt;"",IFERROR(INDEX(Services!$P$5:$P$64,MATCH(M173,Services!$B$5:$B$64,0)),0)&gt;0,IFERROR(INDEX(Services!$D$5:$D$64,MATCH(M173,Services!$B$5:$B$64,0)),"")&lt;&gt;"Per hour"),IFERROR(INDEX(Services!$P$5:$P$64,MATCH(M173,Services!$B$5:$B$64,0)),0),AD173*AH173))</f>
        <v>0</v>
      </c>
      <c r="AJ173" s="21">
        <f>IF(G173="","",IF(V173&lt;&gt;"",V173,IF(P173="Cancelled",0,MAX(MinimumCharge,ROUND(AI173*IFERROR(INDEX(FreqFactors,MATCH(O173,FreqNames,0)),1),2)))))</f>
        <v>0</v>
      </c>
      <c r="AK173" s="34">
        <f>IF(G173="","",IF(SUMIFS(Timesheets!$U$5:$U$804,Timesheets!$G$5:$G$804,A173)&gt;0,SUMIFS(Timesheets!$U$5:$U$804,Timesheets!$G$5:$G$804,A173),IF(Z173="","",Z173)))</f>
        <v>0</v>
      </c>
      <c r="AL173" s="34">
        <f>IF(OR(AK173="",AD173=""),"",AK173-AD173)</f>
        <v>0</v>
      </c>
      <c r="AM173" s="31">
        <f>IF(A173="","",COUNTIFS('Job Tasks'!$B$5:$B$904,A173))</f>
        <v>0</v>
      </c>
      <c r="AN173" s="31">
        <f>IF(A173="","",COUNTIFS('Job Tasks'!$B$5:$B$904,A173,'Job Tasks'!$H$5:$H$904,"Done"))</f>
        <v>0</v>
      </c>
      <c r="AO173" s="38">
        <f>IF(OR(A173="",AM173=0),"",AN173/AM173)</f>
        <v>0</v>
      </c>
      <c r="AP173" s="43">
        <f>IF(A173="","",IFERROR(INDEX('Invoice Lines'!$B$5:$B$804,MATCH(A173,'Invoice Lines'!$C$5:$C$804,0)),""))</f>
        <v>0</v>
      </c>
      <c r="AQ173" s="18">
        <f>IF(OR(G173="",B173="",X173&lt;&gt;"Yes"),"",IF(IFERROR(INDEX(FreqDays,MATCH(O173,FreqNames,0)),0)=0,"",B173+IFERROR(INDEX(FreqDays,MATCH(O173,FreqNames,0)),0)))</f>
        <v>0</v>
      </c>
      <c r="AR173" s="39">
        <f>IF(G173="","",IF(R173="","Unassigned",IF(COUNTIFS($R$5:$R$604,R173,$B$5:$B$604,B173,$F$5:$F$604,F173)&gt;1,"Clash",IF(SUMIFS($AF$5:$AF$604,$R$5:$R$604,R173,$B$5:$B$604,B173)&gt;ProductiveHours,"Long day","OK"))))</f>
        <v>0</v>
      </c>
      <c r="AS173" s="18">
        <f>IF(OR(G173="",B173=""),"",IF(AND(B173&gt;=TodayDate,P173&lt;&gt;"Cancelled"),B173,""))</f>
        <v>0</v>
      </c>
      <c r="AT173" s="31">
        <f>IF(AS173="","",COUNTIFS($AS$5:$AS$604,"&lt;"&amp;AS173)+COUNTIFS($AS$5:AS173,AS173))</f>
        <v>0</v>
      </c>
      <c r="AU173" s="18">
        <f>IF(OR(G173="",B173="",R173&lt;&gt;""),"",IF(AND(B173&gt;=TodayDate,P173&lt;&gt;"Cancelled"),B173,""))</f>
        <v>0</v>
      </c>
      <c r="AV173" s="31">
        <f>IF(AU173="","",COUNTIFS($AU$5:$AU$604,"&lt;"&amp;AU173)+COUNTIFS($AU$5:AU173,AU173))</f>
        <v>0</v>
      </c>
      <c r="AW173" s="31">
        <f>IF(OR(G173="",B173=""),"",B173-TodayDate)</f>
        <v>0</v>
      </c>
      <c r="AX173" s="39">
        <f>IF(G173="","",IF(P173="Cancelled","Cancelled",IF(P173="No access","Action - no access, rebook",IF(AND(B173&lt;&gt;"",AW173&lt;0,OR(P173="Booked",P173="Confirmed",P173="In progress")),"Late - mark it completed",IF(AND(P173="Completed",AP173=""),"Action - not invoiced yet",IF(AND(AW173&gt;=0,AW173&lt;=ReminderDays,Y173&lt;&gt;"Yes"),"Confirm - visit coming up",IF(R173="","Assign - no cleaner booked",IF(AND(P173="Completed",AO173&lt;&gt;"",AO173&lt;1),"Check - checklist unfinished","OK"))))))))</f>
        <v>0</v>
      </c>
    </row>
    <row r="174" spans="1:50">
      <c r="A174" s="43">
        <f>IF(G174="","",JobPrefix&amp;TEXT(ROW()-4,"0000"))</f>
        <v>0</v>
      </c>
      <c r="C174" s="23">
        <f>IF(B174="","",TEXT(B174,"ddd"))</f>
        <v>0</v>
      </c>
      <c r="D174" s="31">
        <f>IF(B174="","",WEEKNUM(B174,IF(WeekStart="Sunday",1,2)))</f>
        <v>0</v>
      </c>
      <c r="E174" s="23">
        <f>IF(B174="","",TEXT(B174,"yyyy-mm"))</f>
        <v>0</v>
      </c>
      <c r="H174" s="23">
        <f>IF(G174="","",IFERROR(INDEX(Clients!$B$5:$B$204,MATCH(G174,Clients!$A$5:$A$204,0)),"Not found"))</f>
        <v>0</v>
      </c>
      <c r="I174" s="23">
        <f>IF(G174="","",IFERROR(INDEX(Clients!$C$5:$C$204,MATCH(G174,Clients!$A$5:$A$204,0)),""))</f>
        <v>0</v>
      </c>
      <c r="K174" s="23">
        <f>IF(J174="","",IFERROR(INDEX(Properties!$B$5:$B$254,MATCH(J174,Properties!$A$5:$A$254,0)),""))</f>
        <v>0</v>
      </c>
      <c r="L174" s="23">
        <f>IF(J174="","",IFERROR(INDEX(Properties!$F$5:$F$254,MATCH(J174,Properties!$A$5:$A$254,0)),""))</f>
        <v>0</v>
      </c>
      <c r="AD174" s="34">
        <f>IF(G174="","",IF(U174&lt;&gt;"",U174,IF(AND(IFERROR(INDEX(Services!$D$5:$D$64,MATCH(M174,Services!$B$5:$B$64,0)),"")="Per hour",IFERROR(INDEX(Properties!$X$5:$X$254,MATCH(J174,Properties!$A$5:$A$254,0)),0)&gt;0),IFERROR(INDEX(Properties!$X$5:$X$254,MATCH(J174,Properties!$A$5:$A$254,0)),0),IF(IFERROR(INDEX(Services!$G$5:$G$64,MATCH(M174,Services!$B$5:$B$64,0)),0)&gt;0,IFERROR(INDEX(Services!$G$5:$G$64,MATCH(M174,Services!$B$5:$B$64,0)),0),IFERROR(INDEX(Properties!$X$5:$X$254,MATCH(J174,Properties!$A$5:$A$254,0)),0)))))</f>
        <v>0</v>
      </c>
      <c r="AE174" s="31">
        <f>IF(G174="","",IF(T174="",CleanersPerJob,MAX(1,T174)))</f>
        <v>0</v>
      </c>
      <c r="AF174" s="34">
        <f>IF(G174="","",ROUND(AD174/AE174,2))</f>
        <v>0</v>
      </c>
      <c r="AG174" s="53">
        <f>IF(OR(G174="",F174="",AF174=""),"",F174+AF174/24)</f>
        <v>0</v>
      </c>
      <c r="AH174" s="21">
        <f>IF(G174="","",IF(IFERROR(INDEX(Clients!$O$5:$O$204,MATCH(G174,Clients!$A$5:$A$204,0)),0)&gt;0,IFERROR(INDEX(Clients!$O$5:$O$204,MATCH(G174,Clients!$A$5:$A$204,0)),0),HourlyRate))</f>
        <v>0</v>
      </c>
      <c r="AI174" s="21">
        <f>IF(G174="","",IF(AND(M174&lt;&gt;"",IFERROR(INDEX(Services!$P$5:$P$64,MATCH(M174,Services!$B$5:$B$64,0)),0)&gt;0,IFERROR(INDEX(Services!$D$5:$D$64,MATCH(M174,Services!$B$5:$B$64,0)),"")&lt;&gt;"Per hour"),IFERROR(INDEX(Services!$P$5:$P$64,MATCH(M174,Services!$B$5:$B$64,0)),0),AD174*AH174))</f>
        <v>0</v>
      </c>
      <c r="AJ174" s="21">
        <f>IF(G174="","",IF(V174&lt;&gt;"",V174,IF(P174="Cancelled",0,MAX(MinimumCharge,ROUND(AI174*IFERROR(INDEX(FreqFactors,MATCH(O174,FreqNames,0)),1),2)))))</f>
        <v>0</v>
      </c>
      <c r="AK174" s="34">
        <f>IF(G174="","",IF(SUMIFS(Timesheets!$U$5:$U$804,Timesheets!$G$5:$G$804,A174)&gt;0,SUMIFS(Timesheets!$U$5:$U$804,Timesheets!$G$5:$G$804,A174),IF(Z174="","",Z174)))</f>
        <v>0</v>
      </c>
      <c r="AL174" s="34">
        <f>IF(OR(AK174="",AD174=""),"",AK174-AD174)</f>
        <v>0</v>
      </c>
      <c r="AM174" s="31">
        <f>IF(A174="","",COUNTIFS('Job Tasks'!$B$5:$B$904,A174))</f>
        <v>0</v>
      </c>
      <c r="AN174" s="31">
        <f>IF(A174="","",COUNTIFS('Job Tasks'!$B$5:$B$904,A174,'Job Tasks'!$H$5:$H$904,"Done"))</f>
        <v>0</v>
      </c>
      <c r="AO174" s="38">
        <f>IF(OR(A174="",AM174=0),"",AN174/AM174)</f>
        <v>0</v>
      </c>
      <c r="AP174" s="43">
        <f>IF(A174="","",IFERROR(INDEX('Invoice Lines'!$B$5:$B$804,MATCH(A174,'Invoice Lines'!$C$5:$C$804,0)),""))</f>
        <v>0</v>
      </c>
      <c r="AQ174" s="18">
        <f>IF(OR(G174="",B174="",X174&lt;&gt;"Yes"),"",IF(IFERROR(INDEX(FreqDays,MATCH(O174,FreqNames,0)),0)=0,"",B174+IFERROR(INDEX(FreqDays,MATCH(O174,FreqNames,0)),0)))</f>
        <v>0</v>
      </c>
      <c r="AR174" s="39">
        <f>IF(G174="","",IF(R174="","Unassigned",IF(COUNTIFS($R$5:$R$604,R174,$B$5:$B$604,B174,$F$5:$F$604,F174)&gt;1,"Clash",IF(SUMIFS($AF$5:$AF$604,$R$5:$R$604,R174,$B$5:$B$604,B174)&gt;ProductiveHours,"Long day","OK"))))</f>
        <v>0</v>
      </c>
      <c r="AS174" s="18">
        <f>IF(OR(G174="",B174=""),"",IF(AND(B174&gt;=TodayDate,P174&lt;&gt;"Cancelled"),B174,""))</f>
        <v>0</v>
      </c>
      <c r="AT174" s="31">
        <f>IF(AS174="","",COUNTIFS($AS$5:$AS$604,"&lt;"&amp;AS174)+COUNTIFS($AS$5:AS174,AS174))</f>
        <v>0</v>
      </c>
      <c r="AU174" s="18">
        <f>IF(OR(G174="",B174="",R174&lt;&gt;""),"",IF(AND(B174&gt;=TodayDate,P174&lt;&gt;"Cancelled"),B174,""))</f>
        <v>0</v>
      </c>
      <c r="AV174" s="31">
        <f>IF(AU174="","",COUNTIFS($AU$5:$AU$604,"&lt;"&amp;AU174)+COUNTIFS($AU$5:AU174,AU174))</f>
        <v>0</v>
      </c>
      <c r="AW174" s="31">
        <f>IF(OR(G174="",B174=""),"",B174-TodayDate)</f>
        <v>0</v>
      </c>
      <c r="AX174" s="39">
        <f>IF(G174="","",IF(P174="Cancelled","Cancelled",IF(P174="No access","Action - no access, rebook",IF(AND(B174&lt;&gt;"",AW174&lt;0,OR(P174="Booked",P174="Confirmed",P174="In progress")),"Late - mark it completed",IF(AND(P174="Completed",AP174=""),"Action - not invoiced yet",IF(AND(AW174&gt;=0,AW174&lt;=ReminderDays,Y174&lt;&gt;"Yes"),"Confirm - visit coming up",IF(R174="","Assign - no cleaner booked",IF(AND(P174="Completed",AO174&lt;&gt;"",AO174&lt;1),"Check - checklist unfinished","OK"))))))))</f>
        <v>0</v>
      </c>
    </row>
    <row r="175" spans="1:50">
      <c r="A175" s="43">
        <f>IF(G175="","",JobPrefix&amp;TEXT(ROW()-4,"0000"))</f>
        <v>0</v>
      </c>
      <c r="C175" s="23">
        <f>IF(B175="","",TEXT(B175,"ddd"))</f>
        <v>0</v>
      </c>
      <c r="D175" s="31">
        <f>IF(B175="","",WEEKNUM(B175,IF(WeekStart="Sunday",1,2)))</f>
        <v>0</v>
      </c>
      <c r="E175" s="23">
        <f>IF(B175="","",TEXT(B175,"yyyy-mm"))</f>
        <v>0</v>
      </c>
      <c r="H175" s="23">
        <f>IF(G175="","",IFERROR(INDEX(Clients!$B$5:$B$204,MATCH(G175,Clients!$A$5:$A$204,0)),"Not found"))</f>
        <v>0</v>
      </c>
      <c r="I175" s="23">
        <f>IF(G175="","",IFERROR(INDEX(Clients!$C$5:$C$204,MATCH(G175,Clients!$A$5:$A$204,0)),""))</f>
        <v>0</v>
      </c>
      <c r="K175" s="23">
        <f>IF(J175="","",IFERROR(INDEX(Properties!$B$5:$B$254,MATCH(J175,Properties!$A$5:$A$254,0)),""))</f>
        <v>0</v>
      </c>
      <c r="L175" s="23">
        <f>IF(J175="","",IFERROR(INDEX(Properties!$F$5:$F$254,MATCH(J175,Properties!$A$5:$A$254,0)),""))</f>
        <v>0</v>
      </c>
      <c r="AD175" s="34">
        <f>IF(G175="","",IF(U175&lt;&gt;"",U175,IF(AND(IFERROR(INDEX(Services!$D$5:$D$64,MATCH(M175,Services!$B$5:$B$64,0)),"")="Per hour",IFERROR(INDEX(Properties!$X$5:$X$254,MATCH(J175,Properties!$A$5:$A$254,0)),0)&gt;0),IFERROR(INDEX(Properties!$X$5:$X$254,MATCH(J175,Properties!$A$5:$A$254,0)),0),IF(IFERROR(INDEX(Services!$G$5:$G$64,MATCH(M175,Services!$B$5:$B$64,0)),0)&gt;0,IFERROR(INDEX(Services!$G$5:$G$64,MATCH(M175,Services!$B$5:$B$64,0)),0),IFERROR(INDEX(Properties!$X$5:$X$254,MATCH(J175,Properties!$A$5:$A$254,0)),0)))))</f>
        <v>0</v>
      </c>
      <c r="AE175" s="31">
        <f>IF(G175="","",IF(T175="",CleanersPerJob,MAX(1,T175)))</f>
        <v>0</v>
      </c>
      <c r="AF175" s="34">
        <f>IF(G175="","",ROUND(AD175/AE175,2))</f>
        <v>0</v>
      </c>
      <c r="AG175" s="53">
        <f>IF(OR(G175="",F175="",AF175=""),"",F175+AF175/24)</f>
        <v>0</v>
      </c>
      <c r="AH175" s="21">
        <f>IF(G175="","",IF(IFERROR(INDEX(Clients!$O$5:$O$204,MATCH(G175,Clients!$A$5:$A$204,0)),0)&gt;0,IFERROR(INDEX(Clients!$O$5:$O$204,MATCH(G175,Clients!$A$5:$A$204,0)),0),HourlyRate))</f>
        <v>0</v>
      </c>
      <c r="AI175" s="21">
        <f>IF(G175="","",IF(AND(M175&lt;&gt;"",IFERROR(INDEX(Services!$P$5:$P$64,MATCH(M175,Services!$B$5:$B$64,0)),0)&gt;0,IFERROR(INDEX(Services!$D$5:$D$64,MATCH(M175,Services!$B$5:$B$64,0)),"")&lt;&gt;"Per hour"),IFERROR(INDEX(Services!$P$5:$P$64,MATCH(M175,Services!$B$5:$B$64,0)),0),AD175*AH175))</f>
        <v>0</v>
      </c>
      <c r="AJ175" s="21">
        <f>IF(G175="","",IF(V175&lt;&gt;"",V175,IF(P175="Cancelled",0,MAX(MinimumCharge,ROUND(AI175*IFERROR(INDEX(FreqFactors,MATCH(O175,FreqNames,0)),1),2)))))</f>
        <v>0</v>
      </c>
      <c r="AK175" s="34">
        <f>IF(G175="","",IF(SUMIFS(Timesheets!$U$5:$U$804,Timesheets!$G$5:$G$804,A175)&gt;0,SUMIFS(Timesheets!$U$5:$U$804,Timesheets!$G$5:$G$804,A175),IF(Z175="","",Z175)))</f>
        <v>0</v>
      </c>
      <c r="AL175" s="34">
        <f>IF(OR(AK175="",AD175=""),"",AK175-AD175)</f>
        <v>0</v>
      </c>
      <c r="AM175" s="31">
        <f>IF(A175="","",COUNTIFS('Job Tasks'!$B$5:$B$904,A175))</f>
        <v>0</v>
      </c>
      <c r="AN175" s="31">
        <f>IF(A175="","",COUNTIFS('Job Tasks'!$B$5:$B$904,A175,'Job Tasks'!$H$5:$H$904,"Done"))</f>
        <v>0</v>
      </c>
      <c r="AO175" s="38">
        <f>IF(OR(A175="",AM175=0),"",AN175/AM175)</f>
        <v>0</v>
      </c>
      <c r="AP175" s="43">
        <f>IF(A175="","",IFERROR(INDEX('Invoice Lines'!$B$5:$B$804,MATCH(A175,'Invoice Lines'!$C$5:$C$804,0)),""))</f>
        <v>0</v>
      </c>
      <c r="AQ175" s="18">
        <f>IF(OR(G175="",B175="",X175&lt;&gt;"Yes"),"",IF(IFERROR(INDEX(FreqDays,MATCH(O175,FreqNames,0)),0)=0,"",B175+IFERROR(INDEX(FreqDays,MATCH(O175,FreqNames,0)),0)))</f>
        <v>0</v>
      </c>
      <c r="AR175" s="39">
        <f>IF(G175="","",IF(R175="","Unassigned",IF(COUNTIFS($R$5:$R$604,R175,$B$5:$B$604,B175,$F$5:$F$604,F175)&gt;1,"Clash",IF(SUMIFS($AF$5:$AF$604,$R$5:$R$604,R175,$B$5:$B$604,B175)&gt;ProductiveHours,"Long day","OK"))))</f>
        <v>0</v>
      </c>
      <c r="AS175" s="18">
        <f>IF(OR(G175="",B175=""),"",IF(AND(B175&gt;=TodayDate,P175&lt;&gt;"Cancelled"),B175,""))</f>
        <v>0</v>
      </c>
      <c r="AT175" s="31">
        <f>IF(AS175="","",COUNTIFS($AS$5:$AS$604,"&lt;"&amp;AS175)+COUNTIFS($AS$5:AS175,AS175))</f>
        <v>0</v>
      </c>
      <c r="AU175" s="18">
        <f>IF(OR(G175="",B175="",R175&lt;&gt;""),"",IF(AND(B175&gt;=TodayDate,P175&lt;&gt;"Cancelled"),B175,""))</f>
        <v>0</v>
      </c>
      <c r="AV175" s="31">
        <f>IF(AU175="","",COUNTIFS($AU$5:$AU$604,"&lt;"&amp;AU175)+COUNTIFS($AU$5:AU175,AU175))</f>
        <v>0</v>
      </c>
      <c r="AW175" s="31">
        <f>IF(OR(G175="",B175=""),"",B175-TodayDate)</f>
        <v>0</v>
      </c>
      <c r="AX175" s="39">
        <f>IF(G175="","",IF(P175="Cancelled","Cancelled",IF(P175="No access","Action - no access, rebook",IF(AND(B175&lt;&gt;"",AW175&lt;0,OR(P175="Booked",P175="Confirmed",P175="In progress")),"Late - mark it completed",IF(AND(P175="Completed",AP175=""),"Action - not invoiced yet",IF(AND(AW175&gt;=0,AW175&lt;=ReminderDays,Y175&lt;&gt;"Yes"),"Confirm - visit coming up",IF(R175="","Assign - no cleaner booked",IF(AND(P175="Completed",AO175&lt;&gt;"",AO175&lt;1),"Check - checklist unfinished","OK"))))))))</f>
        <v>0</v>
      </c>
    </row>
    <row r="176" spans="1:50">
      <c r="A176" s="43">
        <f>IF(G176="","",JobPrefix&amp;TEXT(ROW()-4,"0000"))</f>
        <v>0</v>
      </c>
      <c r="C176" s="23">
        <f>IF(B176="","",TEXT(B176,"ddd"))</f>
        <v>0</v>
      </c>
      <c r="D176" s="31">
        <f>IF(B176="","",WEEKNUM(B176,IF(WeekStart="Sunday",1,2)))</f>
        <v>0</v>
      </c>
      <c r="E176" s="23">
        <f>IF(B176="","",TEXT(B176,"yyyy-mm"))</f>
        <v>0</v>
      </c>
      <c r="H176" s="23">
        <f>IF(G176="","",IFERROR(INDEX(Clients!$B$5:$B$204,MATCH(G176,Clients!$A$5:$A$204,0)),"Not found"))</f>
        <v>0</v>
      </c>
      <c r="I176" s="23">
        <f>IF(G176="","",IFERROR(INDEX(Clients!$C$5:$C$204,MATCH(G176,Clients!$A$5:$A$204,0)),""))</f>
        <v>0</v>
      </c>
      <c r="K176" s="23">
        <f>IF(J176="","",IFERROR(INDEX(Properties!$B$5:$B$254,MATCH(J176,Properties!$A$5:$A$254,0)),""))</f>
        <v>0</v>
      </c>
      <c r="L176" s="23">
        <f>IF(J176="","",IFERROR(INDEX(Properties!$F$5:$F$254,MATCH(J176,Properties!$A$5:$A$254,0)),""))</f>
        <v>0</v>
      </c>
      <c r="AD176" s="34">
        <f>IF(G176="","",IF(U176&lt;&gt;"",U176,IF(AND(IFERROR(INDEX(Services!$D$5:$D$64,MATCH(M176,Services!$B$5:$B$64,0)),"")="Per hour",IFERROR(INDEX(Properties!$X$5:$X$254,MATCH(J176,Properties!$A$5:$A$254,0)),0)&gt;0),IFERROR(INDEX(Properties!$X$5:$X$254,MATCH(J176,Properties!$A$5:$A$254,0)),0),IF(IFERROR(INDEX(Services!$G$5:$G$64,MATCH(M176,Services!$B$5:$B$64,0)),0)&gt;0,IFERROR(INDEX(Services!$G$5:$G$64,MATCH(M176,Services!$B$5:$B$64,0)),0),IFERROR(INDEX(Properties!$X$5:$X$254,MATCH(J176,Properties!$A$5:$A$254,0)),0)))))</f>
        <v>0</v>
      </c>
      <c r="AE176" s="31">
        <f>IF(G176="","",IF(T176="",CleanersPerJob,MAX(1,T176)))</f>
        <v>0</v>
      </c>
      <c r="AF176" s="34">
        <f>IF(G176="","",ROUND(AD176/AE176,2))</f>
        <v>0</v>
      </c>
      <c r="AG176" s="53">
        <f>IF(OR(G176="",F176="",AF176=""),"",F176+AF176/24)</f>
        <v>0</v>
      </c>
      <c r="AH176" s="21">
        <f>IF(G176="","",IF(IFERROR(INDEX(Clients!$O$5:$O$204,MATCH(G176,Clients!$A$5:$A$204,0)),0)&gt;0,IFERROR(INDEX(Clients!$O$5:$O$204,MATCH(G176,Clients!$A$5:$A$204,0)),0),HourlyRate))</f>
        <v>0</v>
      </c>
      <c r="AI176" s="21">
        <f>IF(G176="","",IF(AND(M176&lt;&gt;"",IFERROR(INDEX(Services!$P$5:$P$64,MATCH(M176,Services!$B$5:$B$64,0)),0)&gt;0,IFERROR(INDEX(Services!$D$5:$D$64,MATCH(M176,Services!$B$5:$B$64,0)),"")&lt;&gt;"Per hour"),IFERROR(INDEX(Services!$P$5:$P$64,MATCH(M176,Services!$B$5:$B$64,0)),0),AD176*AH176))</f>
        <v>0</v>
      </c>
      <c r="AJ176" s="21">
        <f>IF(G176="","",IF(V176&lt;&gt;"",V176,IF(P176="Cancelled",0,MAX(MinimumCharge,ROUND(AI176*IFERROR(INDEX(FreqFactors,MATCH(O176,FreqNames,0)),1),2)))))</f>
        <v>0</v>
      </c>
      <c r="AK176" s="34">
        <f>IF(G176="","",IF(SUMIFS(Timesheets!$U$5:$U$804,Timesheets!$G$5:$G$804,A176)&gt;0,SUMIFS(Timesheets!$U$5:$U$804,Timesheets!$G$5:$G$804,A176),IF(Z176="","",Z176)))</f>
        <v>0</v>
      </c>
      <c r="AL176" s="34">
        <f>IF(OR(AK176="",AD176=""),"",AK176-AD176)</f>
        <v>0</v>
      </c>
      <c r="AM176" s="31">
        <f>IF(A176="","",COUNTIFS('Job Tasks'!$B$5:$B$904,A176))</f>
        <v>0</v>
      </c>
      <c r="AN176" s="31">
        <f>IF(A176="","",COUNTIFS('Job Tasks'!$B$5:$B$904,A176,'Job Tasks'!$H$5:$H$904,"Done"))</f>
        <v>0</v>
      </c>
      <c r="AO176" s="38">
        <f>IF(OR(A176="",AM176=0),"",AN176/AM176)</f>
        <v>0</v>
      </c>
      <c r="AP176" s="43">
        <f>IF(A176="","",IFERROR(INDEX('Invoice Lines'!$B$5:$B$804,MATCH(A176,'Invoice Lines'!$C$5:$C$804,0)),""))</f>
        <v>0</v>
      </c>
      <c r="AQ176" s="18">
        <f>IF(OR(G176="",B176="",X176&lt;&gt;"Yes"),"",IF(IFERROR(INDEX(FreqDays,MATCH(O176,FreqNames,0)),0)=0,"",B176+IFERROR(INDEX(FreqDays,MATCH(O176,FreqNames,0)),0)))</f>
        <v>0</v>
      </c>
      <c r="AR176" s="39">
        <f>IF(G176="","",IF(R176="","Unassigned",IF(COUNTIFS($R$5:$R$604,R176,$B$5:$B$604,B176,$F$5:$F$604,F176)&gt;1,"Clash",IF(SUMIFS($AF$5:$AF$604,$R$5:$R$604,R176,$B$5:$B$604,B176)&gt;ProductiveHours,"Long day","OK"))))</f>
        <v>0</v>
      </c>
      <c r="AS176" s="18">
        <f>IF(OR(G176="",B176=""),"",IF(AND(B176&gt;=TodayDate,P176&lt;&gt;"Cancelled"),B176,""))</f>
        <v>0</v>
      </c>
      <c r="AT176" s="31">
        <f>IF(AS176="","",COUNTIFS($AS$5:$AS$604,"&lt;"&amp;AS176)+COUNTIFS($AS$5:AS176,AS176))</f>
        <v>0</v>
      </c>
      <c r="AU176" s="18">
        <f>IF(OR(G176="",B176="",R176&lt;&gt;""),"",IF(AND(B176&gt;=TodayDate,P176&lt;&gt;"Cancelled"),B176,""))</f>
        <v>0</v>
      </c>
      <c r="AV176" s="31">
        <f>IF(AU176="","",COUNTIFS($AU$5:$AU$604,"&lt;"&amp;AU176)+COUNTIFS($AU$5:AU176,AU176))</f>
        <v>0</v>
      </c>
      <c r="AW176" s="31">
        <f>IF(OR(G176="",B176=""),"",B176-TodayDate)</f>
        <v>0</v>
      </c>
      <c r="AX176" s="39">
        <f>IF(G176="","",IF(P176="Cancelled","Cancelled",IF(P176="No access","Action - no access, rebook",IF(AND(B176&lt;&gt;"",AW176&lt;0,OR(P176="Booked",P176="Confirmed",P176="In progress")),"Late - mark it completed",IF(AND(P176="Completed",AP176=""),"Action - not invoiced yet",IF(AND(AW176&gt;=0,AW176&lt;=ReminderDays,Y176&lt;&gt;"Yes"),"Confirm - visit coming up",IF(R176="","Assign - no cleaner booked",IF(AND(P176="Completed",AO176&lt;&gt;"",AO176&lt;1),"Check - checklist unfinished","OK"))))))))</f>
        <v>0</v>
      </c>
    </row>
    <row r="177" spans="1:50">
      <c r="A177" s="43">
        <f>IF(G177="","",JobPrefix&amp;TEXT(ROW()-4,"0000"))</f>
        <v>0</v>
      </c>
      <c r="C177" s="23">
        <f>IF(B177="","",TEXT(B177,"ddd"))</f>
        <v>0</v>
      </c>
      <c r="D177" s="31">
        <f>IF(B177="","",WEEKNUM(B177,IF(WeekStart="Sunday",1,2)))</f>
        <v>0</v>
      </c>
      <c r="E177" s="23">
        <f>IF(B177="","",TEXT(B177,"yyyy-mm"))</f>
        <v>0</v>
      </c>
      <c r="H177" s="23">
        <f>IF(G177="","",IFERROR(INDEX(Clients!$B$5:$B$204,MATCH(G177,Clients!$A$5:$A$204,0)),"Not found"))</f>
        <v>0</v>
      </c>
      <c r="I177" s="23">
        <f>IF(G177="","",IFERROR(INDEX(Clients!$C$5:$C$204,MATCH(G177,Clients!$A$5:$A$204,0)),""))</f>
        <v>0</v>
      </c>
      <c r="K177" s="23">
        <f>IF(J177="","",IFERROR(INDEX(Properties!$B$5:$B$254,MATCH(J177,Properties!$A$5:$A$254,0)),""))</f>
        <v>0</v>
      </c>
      <c r="L177" s="23">
        <f>IF(J177="","",IFERROR(INDEX(Properties!$F$5:$F$254,MATCH(J177,Properties!$A$5:$A$254,0)),""))</f>
        <v>0</v>
      </c>
      <c r="AD177" s="34">
        <f>IF(G177="","",IF(U177&lt;&gt;"",U177,IF(AND(IFERROR(INDEX(Services!$D$5:$D$64,MATCH(M177,Services!$B$5:$B$64,0)),"")="Per hour",IFERROR(INDEX(Properties!$X$5:$X$254,MATCH(J177,Properties!$A$5:$A$254,0)),0)&gt;0),IFERROR(INDEX(Properties!$X$5:$X$254,MATCH(J177,Properties!$A$5:$A$254,0)),0),IF(IFERROR(INDEX(Services!$G$5:$G$64,MATCH(M177,Services!$B$5:$B$64,0)),0)&gt;0,IFERROR(INDEX(Services!$G$5:$G$64,MATCH(M177,Services!$B$5:$B$64,0)),0),IFERROR(INDEX(Properties!$X$5:$X$254,MATCH(J177,Properties!$A$5:$A$254,0)),0)))))</f>
        <v>0</v>
      </c>
      <c r="AE177" s="31">
        <f>IF(G177="","",IF(T177="",CleanersPerJob,MAX(1,T177)))</f>
        <v>0</v>
      </c>
      <c r="AF177" s="34">
        <f>IF(G177="","",ROUND(AD177/AE177,2))</f>
        <v>0</v>
      </c>
      <c r="AG177" s="53">
        <f>IF(OR(G177="",F177="",AF177=""),"",F177+AF177/24)</f>
        <v>0</v>
      </c>
      <c r="AH177" s="21">
        <f>IF(G177="","",IF(IFERROR(INDEX(Clients!$O$5:$O$204,MATCH(G177,Clients!$A$5:$A$204,0)),0)&gt;0,IFERROR(INDEX(Clients!$O$5:$O$204,MATCH(G177,Clients!$A$5:$A$204,0)),0),HourlyRate))</f>
        <v>0</v>
      </c>
      <c r="AI177" s="21">
        <f>IF(G177="","",IF(AND(M177&lt;&gt;"",IFERROR(INDEX(Services!$P$5:$P$64,MATCH(M177,Services!$B$5:$B$64,0)),0)&gt;0,IFERROR(INDEX(Services!$D$5:$D$64,MATCH(M177,Services!$B$5:$B$64,0)),"")&lt;&gt;"Per hour"),IFERROR(INDEX(Services!$P$5:$P$64,MATCH(M177,Services!$B$5:$B$64,0)),0),AD177*AH177))</f>
        <v>0</v>
      </c>
      <c r="AJ177" s="21">
        <f>IF(G177="","",IF(V177&lt;&gt;"",V177,IF(P177="Cancelled",0,MAX(MinimumCharge,ROUND(AI177*IFERROR(INDEX(FreqFactors,MATCH(O177,FreqNames,0)),1),2)))))</f>
        <v>0</v>
      </c>
      <c r="AK177" s="34">
        <f>IF(G177="","",IF(SUMIFS(Timesheets!$U$5:$U$804,Timesheets!$G$5:$G$804,A177)&gt;0,SUMIFS(Timesheets!$U$5:$U$804,Timesheets!$G$5:$G$804,A177),IF(Z177="","",Z177)))</f>
        <v>0</v>
      </c>
      <c r="AL177" s="34">
        <f>IF(OR(AK177="",AD177=""),"",AK177-AD177)</f>
        <v>0</v>
      </c>
      <c r="AM177" s="31">
        <f>IF(A177="","",COUNTIFS('Job Tasks'!$B$5:$B$904,A177))</f>
        <v>0</v>
      </c>
      <c r="AN177" s="31">
        <f>IF(A177="","",COUNTIFS('Job Tasks'!$B$5:$B$904,A177,'Job Tasks'!$H$5:$H$904,"Done"))</f>
        <v>0</v>
      </c>
      <c r="AO177" s="38">
        <f>IF(OR(A177="",AM177=0),"",AN177/AM177)</f>
        <v>0</v>
      </c>
      <c r="AP177" s="43">
        <f>IF(A177="","",IFERROR(INDEX('Invoice Lines'!$B$5:$B$804,MATCH(A177,'Invoice Lines'!$C$5:$C$804,0)),""))</f>
        <v>0</v>
      </c>
      <c r="AQ177" s="18">
        <f>IF(OR(G177="",B177="",X177&lt;&gt;"Yes"),"",IF(IFERROR(INDEX(FreqDays,MATCH(O177,FreqNames,0)),0)=0,"",B177+IFERROR(INDEX(FreqDays,MATCH(O177,FreqNames,0)),0)))</f>
        <v>0</v>
      </c>
      <c r="AR177" s="39">
        <f>IF(G177="","",IF(R177="","Unassigned",IF(COUNTIFS($R$5:$R$604,R177,$B$5:$B$604,B177,$F$5:$F$604,F177)&gt;1,"Clash",IF(SUMIFS($AF$5:$AF$604,$R$5:$R$604,R177,$B$5:$B$604,B177)&gt;ProductiveHours,"Long day","OK"))))</f>
        <v>0</v>
      </c>
      <c r="AS177" s="18">
        <f>IF(OR(G177="",B177=""),"",IF(AND(B177&gt;=TodayDate,P177&lt;&gt;"Cancelled"),B177,""))</f>
        <v>0</v>
      </c>
      <c r="AT177" s="31">
        <f>IF(AS177="","",COUNTIFS($AS$5:$AS$604,"&lt;"&amp;AS177)+COUNTIFS($AS$5:AS177,AS177))</f>
        <v>0</v>
      </c>
      <c r="AU177" s="18">
        <f>IF(OR(G177="",B177="",R177&lt;&gt;""),"",IF(AND(B177&gt;=TodayDate,P177&lt;&gt;"Cancelled"),B177,""))</f>
        <v>0</v>
      </c>
      <c r="AV177" s="31">
        <f>IF(AU177="","",COUNTIFS($AU$5:$AU$604,"&lt;"&amp;AU177)+COUNTIFS($AU$5:AU177,AU177))</f>
        <v>0</v>
      </c>
      <c r="AW177" s="31">
        <f>IF(OR(G177="",B177=""),"",B177-TodayDate)</f>
        <v>0</v>
      </c>
      <c r="AX177" s="39">
        <f>IF(G177="","",IF(P177="Cancelled","Cancelled",IF(P177="No access","Action - no access, rebook",IF(AND(B177&lt;&gt;"",AW177&lt;0,OR(P177="Booked",P177="Confirmed",P177="In progress")),"Late - mark it completed",IF(AND(P177="Completed",AP177=""),"Action - not invoiced yet",IF(AND(AW177&gt;=0,AW177&lt;=ReminderDays,Y177&lt;&gt;"Yes"),"Confirm - visit coming up",IF(R177="","Assign - no cleaner booked",IF(AND(P177="Completed",AO177&lt;&gt;"",AO177&lt;1),"Check - checklist unfinished","OK"))))))))</f>
        <v>0</v>
      </c>
    </row>
    <row r="178" spans="1:50">
      <c r="A178" s="43">
        <f>IF(G178="","",JobPrefix&amp;TEXT(ROW()-4,"0000"))</f>
        <v>0</v>
      </c>
      <c r="C178" s="23">
        <f>IF(B178="","",TEXT(B178,"ddd"))</f>
        <v>0</v>
      </c>
      <c r="D178" s="31">
        <f>IF(B178="","",WEEKNUM(B178,IF(WeekStart="Sunday",1,2)))</f>
        <v>0</v>
      </c>
      <c r="E178" s="23">
        <f>IF(B178="","",TEXT(B178,"yyyy-mm"))</f>
        <v>0</v>
      </c>
      <c r="H178" s="23">
        <f>IF(G178="","",IFERROR(INDEX(Clients!$B$5:$B$204,MATCH(G178,Clients!$A$5:$A$204,0)),"Not found"))</f>
        <v>0</v>
      </c>
      <c r="I178" s="23">
        <f>IF(G178="","",IFERROR(INDEX(Clients!$C$5:$C$204,MATCH(G178,Clients!$A$5:$A$204,0)),""))</f>
        <v>0</v>
      </c>
      <c r="K178" s="23">
        <f>IF(J178="","",IFERROR(INDEX(Properties!$B$5:$B$254,MATCH(J178,Properties!$A$5:$A$254,0)),""))</f>
        <v>0</v>
      </c>
      <c r="L178" s="23">
        <f>IF(J178="","",IFERROR(INDEX(Properties!$F$5:$F$254,MATCH(J178,Properties!$A$5:$A$254,0)),""))</f>
        <v>0</v>
      </c>
      <c r="AD178" s="34">
        <f>IF(G178="","",IF(U178&lt;&gt;"",U178,IF(AND(IFERROR(INDEX(Services!$D$5:$D$64,MATCH(M178,Services!$B$5:$B$64,0)),"")="Per hour",IFERROR(INDEX(Properties!$X$5:$X$254,MATCH(J178,Properties!$A$5:$A$254,0)),0)&gt;0),IFERROR(INDEX(Properties!$X$5:$X$254,MATCH(J178,Properties!$A$5:$A$254,0)),0),IF(IFERROR(INDEX(Services!$G$5:$G$64,MATCH(M178,Services!$B$5:$B$64,0)),0)&gt;0,IFERROR(INDEX(Services!$G$5:$G$64,MATCH(M178,Services!$B$5:$B$64,0)),0),IFERROR(INDEX(Properties!$X$5:$X$254,MATCH(J178,Properties!$A$5:$A$254,0)),0)))))</f>
        <v>0</v>
      </c>
      <c r="AE178" s="31">
        <f>IF(G178="","",IF(T178="",CleanersPerJob,MAX(1,T178)))</f>
        <v>0</v>
      </c>
      <c r="AF178" s="34">
        <f>IF(G178="","",ROUND(AD178/AE178,2))</f>
        <v>0</v>
      </c>
      <c r="AG178" s="53">
        <f>IF(OR(G178="",F178="",AF178=""),"",F178+AF178/24)</f>
        <v>0</v>
      </c>
      <c r="AH178" s="21">
        <f>IF(G178="","",IF(IFERROR(INDEX(Clients!$O$5:$O$204,MATCH(G178,Clients!$A$5:$A$204,0)),0)&gt;0,IFERROR(INDEX(Clients!$O$5:$O$204,MATCH(G178,Clients!$A$5:$A$204,0)),0),HourlyRate))</f>
        <v>0</v>
      </c>
      <c r="AI178" s="21">
        <f>IF(G178="","",IF(AND(M178&lt;&gt;"",IFERROR(INDEX(Services!$P$5:$P$64,MATCH(M178,Services!$B$5:$B$64,0)),0)&gt;0,IFERROR(INDEX(Services!$D$5:$D$64,MATCH(M178,Services!$B$5:$B$64,0)),"")&lt;&gt;"Per hour"),IFERROR(INDEX(Services!$P$5:$P$64,MATCH(M178,Services!$B$5:$B$64,0)),0),AD178*AH178))</f>
        <v>0</v>
      </c>
      <c r="AJ178" s="21">
        <f>IF(G178="","",IF(V178&lt;&gt;"",V178,IF(P178="Cancelled",0,MAX(MinimumCharge,ROUND(AI178*IFERROR(INDEX(FreqFactors,MATCH(O178,FreqNames,0)),1),2)))))</f>
        <v>0</v>
      </c>
      <c r="AK178" s="34">
        <f>IF(G178="","",IF(SUMIFS(Timesheets!$U$5:$U$804,Timesheets!$G$5:$G$804,A178)&gt;0,SUMIFS(Timesheets!$U$5:$U$804,Timesheets!$G$5:$G$804,A178),IF(Z178="","",Z178)))</f>
        <v>0</v>
      </c>
      <c r="AL178" s="34">
        <f>IF(OR(AK178="",AD178=""),"",AK178-AD178)</f>
        <v>0</v>
      </c>
      <c r="AM178" s="31">
        <f>IF(A178="","",COUNTIFS('Job Tasks'!$B$5:$B$904,A178))</f>
        <v>0</v>
      </c>
      <c r="AN178" s="31">
        <f>IF(A178="","",COUNTIFS('Job Tasks'!$B$5:$B$904,A178,'Job Tasks'!$H$5:$H$904,"Done"))</f>
        <v>0</v>
      </c>
      <c r="AO178" s="38">
        <f>IF(OR(A178="",AM178=0),"",AN178/AM178)</f>
        <v>0</v>
      </c>
      <c r="AP178" s="43">
        <f>IF(A178="","",IFERROR(INDEX('Invoice Lines'!$B$5:$B$804,MATCH(A178,'Invoice Lines'!$C$5:$C$804,0)),""))</f>
        <v>0</v>
      </c>
      <c r="AQ178" s="18">
        <f>IF(OR(G178="",B178="",X178&lt;&gt;"Yes"),"",IF(IFERROR(INDEX(FreqDays,MATCH(O178,FreqNames,0)),0)=0,"",B178+IFERROR(INDEX(FreqDays,MATCH(O178,FreqNames,0)),0)))</f>
        <v>0</v>
      </c>
      <c r="AR178" s="39">
        <f>IF(G178="","",IF(R178="","Unassigned",IF(COUNTIFS($R$5:$R$604,R178,$B$5:$B$604,B178,$F$5:$F$604,F178)&gt;1,"Clash",IF(SUMIFS($AF$5:$AF$604,$R$5:$R$604,R178,$B$5:$B$604,B178)&gt;ProductiveHours,"Long day","OK"))))</f>
        <v>0</v>
      </c>
      <c r="AS178" s="18">
        <f>IF(OR(G178="",B178=""),"",IF(AND(B178&gt;=TodayDate,P178&lt;&gt;"Cancelled"),B178,""))</f>
        <v>0</v>
      </c>
      <c r="AT178" s="31">
        <f>IF(AS178="","",COUNTIFS($AS$5:$AS$604,"&lt;"&amp;AS178)+COUNTIFS($AS$5:AS178,AS178))</f>
        <v>0</v>
      </c>
      <c r="AU178" s="18">
        <f>IF(OR(G178="",B178="",R178&lt;&gt;""),"",IF(AND(B178&gt;=TodayDate,P178&lt;&gt;"Cancelled"),B178,""))</f>
        <v>0</v>
      </c>
      <c r="AV178" s="31">
        <f>IF(AU178="","",COUNTIFS($AU$5:$AU$604,"&lt;"&amp;AU178)+COUNTIFS($AU$5:AU178,AU178))</f>
        <v>0</v>
      </c>
      <c r="AW178" s="31">
        <f>IF(OR(G178="",B178=""),"",B178-TodayDate)</f>
        <v>0</v>
      </c>
      <c r="AX178" s="39">
        <f>IF(G178="","",IF(P178="Cancelled","Cancelled",IF(P178="No access","Action - no access, rebook",IF(AND(B178&lt;&gt;"",AW178&lt;0,OR(P178="Booked",P178="Confirmed",P178="In progress")),"Late - mark it completed",IF(AND(P178="Completed",AP178=""),"Action - not invoiced yet",IF(AND(AW178&gt;=0,AW178&lt;=ReminderDays,Y178&lt;&gt;"Yes"),"Confirm - visit coming up",IF(R178="","Assign - no cleaner booked",IF(AND(P178="Completed",AO178&lt;&gt;"",AO178&lt;1),"Check - checklist unfinished","OK"))))))))</f>
        <v>0</v>
      </c>
    </row>
    <row r="179" spans="1:50">
      <c r="A179" s="43">
        <f>IF(G179="","",JobPrefix&amp;TEXT(ROW()-4,"0000"))</f>
        <v>0</v>
      </c>
      <c r="C179" s="23">
        <f>IF(B179="","",TEXT(B179,"ddd"))</f>
        <v>0</v>
      </c>
      <c r="D179" s="31">
        <f>IF(B179="","",WEEKNUM(B179,IF(WeekStart="Sunday",1,2)))</f>
        <v>0</v>
      </c>
      <c r="E179" s="23">
        <f>IF(B179="","",TEXT(B179,"yyyy-mm"))</f>
        <v>0</v>
      </c>
      <c r="H179" s="23">
        <f>IF(G179="","",IFERROR(INDEX(Clients!$B$5:$B$204,MATCH(G179,Clients!$A$5:$A$204,0)),"Not found"))</f>
        <v>0</v>
      </c>
      <c r="I179" s="23">
        <f>IF(G179="","",IFERROR(INDEX(Clients!$C$5:$C$204,MATCH(G179,Clients!$A$5:$A$204,0)),""))</f>
        <v>0</v>
      </c>
      <c r="K179" s="23">
        <f>IF(J179="","",IFERROR(INDEX(Properties!$B$5:$B$254,MATCH(J179,Properties!$A$5:$A$254,0)),""))</f>
        <v>0</v>
      </c>
      <c r="L179" s="23">
        <f>IF(J179="","",IFERROR(INDEX(Properties!$F$5:$F$254,MATCH(J179,Properties!$A$5:$A$254,0)),""))</f>
        <v>0</v>
      </c>
      <c r="AD179" s="34">
        <f>IF(G179="","",IF(U179&lt;&gt;"",U179,IF(AND(IFERROR(INDEX(Services!$D$5:$D$64,MATCH(M179,Services!$B$5:$B$64,0)),"")="Per hour",IFERROR(INDEX(Properties!$X$5:$X$254,MATCH(J179,Properties!$A$5:$A$254,0)),0)&gt;0),IFERROR(INDEX(Properties!$X$5:$X$254,MATCH(J179,Properties!$A$5:$A$254,0)),0),IF(IFERROR(INDEX(Services!$G$5:$G$64,MATCH(M179,Services!$B$5:$B$64,0)),0)&gt;0,IFERROR(INDEX(Services!$G$5:$G$64,MATCH(M179,Services!$B$5:$B$64,0)),0),IFERROR(INDEX(Properties!$X$5:$X$254,MATCH(J179,Properties!$A$5:$A$254,0)),0)))))</f>
        <v>0</v>
      </c>
      <c r="AE179" s="31">
        <f>IF(G179="","",IF(T179="",CleanersPerJob,MAX(1,T179)))</f>
        <v>0</v>
      </c>
      <c r="AF179" s="34">
        <f>IF(G179="","",ROUND(AD179/AE179,2))</f>
        <v>0</v>
      </c>
      <c r="AG179" s="53">
        <f>IF(OR(G179="",F179="",AF179=""),"",F179+AF179/24)</f>
        <v>0</v>
      </c>
      <c r="AH179" s="21">
        <f>IF(G179="","",IF(IFERROR(INDEX(Clients!$O$5:$O$204,MATCH(G179,Clients!$A$5:$A$204,0)),0)&gt;0,IFERROR(INDEX(Clients!$O$5:$O$204,MATCH(G179,Clients!$A$5:$A$204,0)),0),HourlyRate))</f>
        <v>0</v>
      </c>
      <c r="AI179" s="21">
        <f>IF(G179="","",IF(AND(M179&lt;&gt;"",IFERROR(INDEX(Services!$P$5:$P$64,MATCH(M179,Services!$B$5:$B$64,0)),0)&gt;0,IFERROR(INDEX(Services!$D$5:$D$64,MATCH(M179,Services!$B$5:$B$64,0)),"")&lt;&gt;"Per hour"),IFERROR(INDEX(Services!$P$5:$P$64,MATCH(M179,Services!$B$5:$B$64,0)),0),AD179*AH179))</f>
        <v>0</v>
      </c>
      <c r="AJ179" s="21">
        <f>IF(G179="","",IF(V179&lt;&gt;"",V179,IF(P179="Cancelled",0,MAX(MinimumCharge,ROUND(AI179*IFERROR(INDEX(FreqFactors,MATCH(O179,FreqNames,0)),1),2)))))</f>
        <v>0</v>
      </c>
      <c r="AK179" s="34">
        <f>IF(G179="","",IF(SUMIFS(Timesheets!$U$5:$U$804,Timesheets!$G$5:$G$804,A179)&gt;0,SUMIFS(Timesheets!$U$5:$U$804,Timesheets!$G$5:$G$804,A179),IF(Z179="","",Z179)))</f>
        <v>0</v>
      </c>
      <c r="AL179" s="34">
        <f>IF(OR(AK179="",AD179=""),"",AK179-AD179)</f>
        <v>0</v>
      </c>
      <c r="AM179" s="31">
        <f>IF(A179="","",COUNTIFS('Job Tasks'!$B$5:$B$904,A179))</f>
        <v>0</v>
      </c>
      <c r="AN179" s="31">
        <f>IF(A179="","",COUNTIFS('Job Tasks'!$B$5:$B$904,A179,'Job Tasks'!$H$5:$H$904,"Done"))</f>
        <v>0</v>
      </c>
      <c r="AO179" s="38">
        <f>IF(OR(A179="",AM179=0),"",AN179/AM179)</f>
        <v>0</v>
      </c>
      <c r="AP179" s="43">
        <f>IF(A179="","",IFERROR(INDEX('Invoice Lines'!$B$5:$B$804,MATCH(A179,'Invoice Lines'!$C$5:$C$804,0)),""))</f>
        <v>0</v>
      </c>
      <c r="AQ179" s="18">
        <f>IF(OR(G179="",B179="",X179&lt;&gt;"Yes"),"",IF(IFERROR(INDEX(FreqDays,MATCH(O179,FreqNames,0)),0)=0,"",B179+IFERROR(INDEX(FreqDays,MATCH(O179,FreqNames,0)),0)))</f>
        <v>0</v>
      </c>
      <c r="AR179" s="39">
        <f>IF(G179="","",IF(R179="","Unassigned",IF(COUNTIFS($R$5:$R$604,R179,$B$5:$B$604,B179,$F$5:$F$604,F179)&gt;1,"Clash",IF(SUMIFS($AF$5:$AF$604,$R$5:$R$604,R179,$B$5:$B$604,B179)&gt;ProductiveHours,"Long day","OK"))))</f>
        <v>0</v>
      </c>
      <c r="AS179" s="18">
        <f>IF(OR(G179="",B179=""),"",IF(AND(B179&gt;=TodayDate,P179&lt;&gt;"Cancelled"),B179,""))</f>
        <v>0</v>
      </c>
      <c r="AT179" s="31">
        <f>IF(AS179="","",COUNTIFS($AS$5:$AS$604,"&lt;"&amp;AS179)+COUNTIFS($AS$5:AS179,AS179))</f>
        <v>0</v>
      </c>
      <c r="AU179" s="18">
        <f>IF(OR(G179="",B179="",R179&lt;&gt;""),"",IF(AND(B179&gt;=TodayDate,P179&lt;&gt;"Cancelled"),B179,""))</f>
        <v>0</v>
      </c>
      <c r="AV179" s="31">
        <f>IF(AU179="","",COUNTIFS($AU$5:$AU$604,"&lt;"&amp;AU179)+COUNTIFS($AU$5:AU179,AU179))</f>
        <v>0</v>
      </c>
      <c r="AW179" s="31">
        <f>IF(OR(G179="",B179=""),"",B179-TodayDate)</f>
        <v>0</v>
      </c>
      <c r="AX179" s="39">
        <f>IF(G179="","",IF(P179="Cancelled","Cancelled",IF(P179="No access","Action - no access, rebook",IF(AND(B179&lt;&gt;"",AW179&lt;0,OR(P179="Booked",P179="Confirmed",P179="In progress")),"Late - mark it completed",IF(AND(P179="Completed",AP179=""),"Action - not invoiced yet",IF(AND(AW179&gt;=0,AW179&lt;=ReminderDays,Y179&lt;&gt;"Yes"),"Confirm - visit coming up",IF(R179="","Assign - no cleaner booked",IF(AND(P179="Completed",AO179&lt;&gt;"",AO179&lt;1),"Check - checklist unfinished","OK"))))))))</f>
        <v>0</v>
      </c>
    </row>
    <row r="180" spans="1:50">
      <c r="A180" s="43">
        <f>IF(G180="","",JobPrefix&amp;TEXT(ROW()-4,"0000"))</f>
        <v>0</v>
      </c>
      <c r="C180" s="23">
        <f>IF(B180="","",TEXT(B180,"ddd"))</f>
        <v>0</v>
      </c>
      <c r="D180" s="31">
        <f>IF(B180="","",WEEKNUM(B180,IF(WeekStart="Sunday",1,2)))</f>
        <v>0</v>
      </c>
      <c r="E180" s="23">
        <f>IF(B180="","",TEXT(B180,"yyyy-mm"))</f>
        <v>0</v>
      </c>
      <c r="H180" s="23">
        <f>IF(G180="","",IFERROR(INDEX(Clients!$B$5:$B$204,MATCH(G180,Clients!$A$5:$A$204,0)),"Not found"))</f>
        <v>0</v>
      </c>
      <c r="I180" s="23">
        <f>IF(G180="","",IFERROR(INDEX(Clients!$C$5:$C$204,MATCH(G180,Clients!$A$5:$A$204,0)),""))</f>
        <v>0</v>
      </c>
      <c r="K180" s="23">
        <f>IF(J180="","",IFERROR(INDEX(Properties!$B$5:$B$254,MATCH(J180,Properties!$A$5:$A$254,0)),""))</f>
        <v>0</v>
      </c>
      <c r="L180" s="23">
        <f>IF(J180="","",IFERROR(INDEX(Properties!$F$5:$F$254,MATCH(J180,Properties!$A$5:$A$254,0)),""))</f>
        <v>0</v>
      </c>
      <c r="AD180" s="34">
        <f>IF(G180="","",IF(U180&lt;&gt;"",U180,IF(AND(IFERROR(INDEX(Services!$D$5:$D$64,MATCH(M180,Services!$B$5:$B$64,0)),"")="Per hour",IFERROR(INDEX(Properties!$X$5:$X$254,MATCH(J180,Properties!$A$5:$A$254,0)),0)&gt;0),IFERROR(INDEX(Properties!$X$5:$X$254,MATCH(J180,Properties!$A$5:$A$254,0)),0),IF(IFERROR(INDEX(Services!$G$5:$G$64,MATCH(M180,Services!$B$5:$B$64,0)),0)&gt;0,IFERROR(INDEX(Services!$G$5:$G$64,MATCH(M180,Services!$B$5:$B$64,0)),0),IFERROR(INDEX(Properties!$X$5:$X$254,MATCH(J180,Properties!$A$5:$A$254,0)),0)))))</f>
        <v>0</v>
      </c>
      <c r="AE180" s="31">
        <f>IF(G180="","",IF(T180="",CleanersPerJob,MAX(1,T180)))</f>
        <v>0</v>
      </c>
      <c r="AF180" s="34">
        <f>IF(G180="","",ROUND(AD180/AE180,2))</f>
        <v>0</v>
      </c>
      <c r="AG180" s="53">
        <f>IF(OR(G180="",F180="",AF180=""),"",F180+AF180/24)</f>
        <v>0</v>
      </c>
      <c r="AH180" s="21">
        <f>IF(G180="","",IF(IFERROR(INDEX(Clients!$O$5:$O$204,MATCH(G180,Clients!$A$5:$A$204,0)),0)&gt;0,IFERROR(INDEX(Clients!$O$5:$O$204,MATCH(G180,Clients!$A$5:$A$204,0)),0),HourlyRate))</f>
        <v>0</v>
      </c>
      <c r="AI180" s="21">
        <f>IF(G180="","",IF(AND(M180&lt;&gt;"",IFERROR(INDEX(Services!$P$5:$P$64,MATCH(M180,Services!$B$5:$B$64,0)),0)&gt;0,IFERROR(INDEX(Services!$D$5:$D$64,MATCH(M180,Services!$B$5:$B$64,0)),"")&lt;&gt;"Per hour"),IFERROR(INDEX(Services!$P$5:$P$64,MATCH(M180,Services!$B$5:$B$64,0)),0),AD180*AH180))</f>
        <v>0</v>
      </c>
      <c r="AJ180" s="21">
        <f>IF(G180="","",IF(V180&lt;&gt;"",V180,IF(P180="Cancelled",0,MAX(MinimumCharge,ROUND(AI180*IFERROR(INDEX(FreqFactors,MATCH(O180,FreqNames,0)),1),2)))))</f>
        <v>0</v>
      </c>
      <c r="AK180" s="34">
        <f>IF(G180="","",IF(SUMIFS(Timesheets!$U$5:$U$804,Timesheets!$G$5:$G$804,A180)&gt;0,SUMIFS(Timesheets!$U$5:$U$804,Timesheets!$G$5:$G$804,A180),IF(Z180="","",Z180)))</f>
        <v>0</v>
      </c>
      <c r="AL180" s="34">
        <f>IF(OR(AK180="",AD180=""),"",AK180-AD180)</f>
        <v>0</v>
      </c>
      <c r="AM180" s="31">
        <f>IF(A180="","",COUNTIFS('Job Tasks'!$B$5:$B$904,A180))</f>
        <v>0</v>
      </c>
      <c r="AN180" s="31">
        <f>IF(A180="","",COUNTIFS('Job Tasks'!$B$5:$B$904,A180,'Job Tasks'!$H$5:$H$904,"Done"))</f>
        <v>0</v>
      </c>
      <c r="AO180" s="38">
        <f>IF(OR(A180="",AM180=0),"",AN180/AM180)</f>
        <v>0</v>
      </c>
      <c r="AP180" s="43">
        <f>IF(A180="","",IFERROR(INDEX('Invoice Lines'!$B$5:$B$804,MATCH(A180,'Invoice Lines'!$C$5:$C$804,0)),""))</f>
        <v>0</v>
      </c>
      <c r="AQ180" s="18">
        <f>IF(OR(G180="",B180="",X180&lt;&gt;"Yes"),"",IF(IFERROR(INDEX(FreqDays,MATCH(O180,FreqNames,0)),0)=0,"",B180+IFERROR(INDEX(FreqDays,MATCH(O180,FreqNames,0)),0)))</f>
        <v>0</v>
      </c>
      <c r="AR180" s="39">
        <f>IF(G180="","",IF(R180="","Unassigned",IF(COUNTIFS($R$5:$R$604,R180,$B$5:$B$604,B180,$F$5:$F$604,F180)&gt;1,"Clash",IF(SUMIFS($AF$5:$AF$604,$R$5:$R$604,R180,$B$5:$B$604,B180)&gt;ProductiveHours,"Long day","OK"))))</f>
        <v>0</v>
      </c>
      <c r="AS180" s="18">
        <f>IF(OR(G180="",B180=""),"",IF(AND(B180&gt;=TodayDate,P180&lt;&gt;"Cancelled"),B180,""))</f>
        <v>0</v>
      </c>
      <c r="AT180" s="31">
        <f>IF(AS180="","",COUNTIFS($AS$5:$AS$604,"&lt;"&amp;AS180)+COUNTIFS($AS$5:AS180,AS180))</f>
        <v>0</v>
      </c>
      <c r="AU180" s="18">
        <f>IF(OR(G180="",B180="",R180&lt;&gt;""),"",IF(AND(B180&gt;=TodayDate,P180&lt;&gt;"Cancelled"),B180,""))</f>
        <v>0</v>
      </c>
      <c r="AV180" s="31">
        <f>IF(AU180="","",COUNTIFS($AU$5:$AU$604,"&lt;"&amp;AU180)+COUNTIFS($AU$5:AU180,AU180))</f>
        <v>0</v>
      </c>
      <c r="AW180" s="31">
        <f>IF(OR(G180="",B180=""),"",B180-TodayDate)</f>
        <v>0</v>
      </c>
      <c r="AX180" s="39">
        <f>IF(G180="","",IF(P180="Cancelled","Cancelled",IF(P180="No access","Action - no access, rebook",IF(AND(B180&lt;&gt;"",AW180&lt;0,OR(P180="Booked",P180="Confirmed",P180="In progress")),"Late - mark it completed",IF(AND(P180="Completed",AP180=""),"Action - not invoiced yet",IF(AND(AW180&gt;=0,AW180&lt;=ReminderDays,Y180&lt;&gt;"Yes"),"Confirm - visit coming up",IF(R180="","Assign - no cleaner booked",IF(AND(P180="Completed",AO180&lt;&gt;"",AO180&lt;1),"Check - checklist unfinished","OK"))))))))</f>
        <v>0</v>
      </c>
    </row>
    <row r="181" spans="1:50">
      <c r="A181" s="43">
        <f>IF(G181="","",JobPrefix&amp;TEXT(ROW()-4,"0000"))</f>
        <v>0</v>
      </c>
      <c r="C181" s="23">
        <f>IF(B181="","",TEXT(B181,"ddd"))</f>
        <v>0</v>
      </c>
      <c r="D181" s="31">
        <f>IF(B181="","",WEEKNUM(B181,IF(WeekStart="Sunday",1,2)))</f>
        <v>0</v>
      </c>
      <c r="E181" s="23">
        <f>IF(B181="","",TEXT(B181,"yyyy-mm"))</f>
        <v>0</v>
      </c>
      <c r="H181" s="23">
        <f>IF(G181="","",IFERROR(INDEX(Clients!$B$5:$B$204,MATCH(G181,Clients!$A$5:$A$204,0)),"Not found"))</f>
        <v>0</v>
      </c>
      <c r="I181" s="23">
        <f>IF(G181="","",IFERROR(INDEX(Clients!$C$5:$C$204,MATCH(G181,Clients!$A$5:$A$204,0)),""))</f>
        <v>0</v>
      </c>
      <c r="K181" s="23">
        <f>IF(J181="","",IFERROR(INDEX(Properties!$B$5:$B$254,MATCH(J181,Properties!$A$5:$A$254,0)),""))</f>
        <v>0</v>
      </c>
      <c r="L181" s="23">
        <f>IF(J181="","",IFERROR(INDEX(Properties!$F$5:$F$254,MATCH(J181,Properties!$A$5:$A$254,0)),""))</f>
        <v>0</v>
      </c>
      <c r="AD181" s="34">
        <f>IF(G181="","",IF(U181&lt;&gt;"",U181,IF(AND(IFERROR(INDEX(Services!$D$5:$D$64,MATCH(M181,Services!$B$5:$B$64,0)),"")="Per hour",IFERROR(INDEX(Properties!$X$5:$X$254,MATCH(J181,Properties!$A$5:$A$254,0)),0)&gt;0),IFERROR(INDEX(Properties!$X$5:$X$254,MATCH(J181,Properties!$A$5:$A$254,0)),0),IF(IFERROR(INDEX(Services!$G$5:$G$64,MATCH(M181,Services!$B$5:$B$64,0)),0)&gt;0,IFERROR(INDEX(Services!$G$5:$G$64,MATCH(M181,Services!$B$5:$B$64,0)),0),IFERROR(INDEX(Properties!$X$5:$X$254,MATCH(J181,Properties!$A$5:$A$254,0)),0)))))</f>
        <v>0</v>
      </c>
      <c r="AE181" s="31">
        <f>IF(G181="","",IF(T181="",CleanersPerJob,MAX(1,T181)))</f>
        <v>0</v>
      </c>
      <c r="AF181" s="34">
        <f>IF(G181="","",ROUND(AD181/AE181,2))</f>
        <v>0</v>
      </c>
      <c r="AG181" s="53">
        <f>IF(OR(G181="",F181="",AF181=""),"",F181+AF181/24)</f>
        <v>0</v>
      </c>
      <c r="AH181" s="21">
        <f>IF(G181="","",IF(IFERROR(INDEX(Clients!$O$5:$O$204,MATCH(G181,Clients!$A$5:$A$204,0)),0)&gt;0,IFERROR(INDEX(Clients!$O$5:$O$204,MATCH(G181,Clients!$A$5:$A$204,0)),0),HourlyRate))</f>
        <v>0</v>
      </c>
      <c r="AI181" s="21">
        <f>IF(G181="","",IF(AND(M181&lt;&gt;"",IFERROR(INDEX(Services!$P$5:$P$64,MATCH(M181,Services!$B$5:$B$64,0)),0)&gt;0,IFERROR(INDEX(Services!$D$5:$D$64,MATCH(M181,Services!$B$5:$B$64,0)),"")&lt;&gt;"Per hour"),IFERROR(INDEX(Services!$P$5:$P$64,MATCH(M181,Services!$B$5:$B$64,0)),0),AD181*AH181))</f>
        <v>0</v>
      </c>
      <c r="AJ181" s="21">
        <f>IF(G181="","",IF(V181&lt;&gt;"",V181,IF(P181="Cancelled",0,MAX(MinimumCharge,ROUND(AI181*IFERROR(INDEX(FreqFactors,MATCH(O181,FreqNames,0)),1),2)))))</f>
        <v>0</v>
      </c>
      <c r="AK181" s="34">
        <f>IF(G181="","",IF(SUMIFS(Timesheets!$U$5:$U$804,Timesheets!$G$5:$G$804,A181)&gt;0,SUMIFS(Timesheets!$U$5:$U$804,Timesheets!$G$5:$G$804,A181),IF(Z181="","",Z181)))</f>
        <v>0</v>
      </c>
      <c r="AL181" s="34">
        <f>IF(OR(AK181="",AD181=""),"",AK181-AD181)</f>
        <v>0</v>
      </c>
      <c r="AM181" s="31">
        <f>IF(A181="","",COUNTIFS('Job Tasks'!$B$5:$B$904,A181))</f>
        <v>0</v>
      </c>
      <c r="AN181" s="31">
        <f>IF(A181="","",COUNTIFS('Job Tasks'!$B$5:$B$904,A181,'Job Tasks'!$H$5:$H$904,"Done"))</f>
        <v>0</v>
      </c>
      <c r="AO181" s="38">
        <f>IF(OR(A181="",AM181=0),"",AN181/AM181)</f>
        <v>0</v>
      </c>
      <c r="AP181" s="43">
        <f>IF(A181="","",IFERROR(INDEX('Invoice Lines'!$B$5:$B$804,MATCH(A181,'Invoice Lines'!$C$5:$C$804,0)),""))</f>
        <v>0</v>
      </c>
      <c r="AQ181" s="18">
        <f>IF(OR(G181="",B181="",X181&lt;&gt;"Yes"),"",IF(IFERROR(INDEX(FreqDays,MATCH(O181,FreqNames,0)),0)=0,"",B181+IFERROR(INDEX(FreqDays,MATCH(O181,FreqNames,0)),0)))</f>
        <v>0</v>
      </c>
      <c r="AR181" s="39">
        <f>IF(G181="","",IF(R181="","Unassigned",IF(COUNTIFS($R$5:$R$604,R181,$B$5:$B$604,B181,$F$5:$F$604,F181)&gt;1,"Clash",IF(SUMIFS($AF$5:$AF$604,$R$5:$R$604,R181,$B$5:$B$604,B181)&gt;ProductiveHours,"Long day","OK"))))</f>
        <v>0</v>
      </c>
      <c r="AS181" s="18">
        <f>IF(OR(G181="",B181=""),"",IF(AND(B181&gt;=TodayDate,P181&lt;&gt;"Cancelled"),B181,""))</f>
        <v>0</v>
      </c>
      <c r="AT181" s="31">
        <f>IF(AS181="","",COUNTIFS($AS$5:$AS$604,"&lt;"&amp;AS181)+COUNTIFS($AS$5:AS181,AS181))</f>
        <v>0</v>
      </c>
      <c r="AU181" s="18">
        <f>IF(OR(G181="",B181="",R181&lt;&gt;""),"",IF(AND(B181&gt;=TodayDate,P181&lt;&gt;"Cancelled"),B181,""))</f>
        <v>0</v>
      </c>
      <c r="AV181" s="31">
        <f>IF(AU181="","",COUNTIFS($AU$5:$AU$604,"&lt;"&amp;AU181)+COUNTIFS($AU$5:AU181,AU181))</f>
        <v>0</v>
      </c>
      <c r="AW181" s="31">
        <f>IF(OR(G181="",B181=""),"",B181-TodayDate)</f>
        <v>0</v>
      </c>
      <c r="AX181" s="39">
        <f>IF(G181="","",IF(P181="Cancelled","Cancelled",IF(P181="No access","Action - no access, rebook",IF(AND(B181&lt;&gt;"",AW181&lt;0,OR(P181="Booked",P181="Confirmed",P181="In progress")),"Late - mark it completed",IF(AND(P181="Completed",AP181=""),"Action - not invoiced yet",IF(AND(AW181&gt;=0,AW181&lt;=ReminderDays,Y181&lt;&gt;"Yes"),"Confirm - visit coming up",IF(R181="","Assign - no cleaner booked",IF(AND(P181="Completed",AO181&lt;&gt;"",AO181&lt;1),"Check - checklist unfinished","OK"))))))))</f>
        <v>0</v>
      </c>
    </row>
    <row r="182" spans="1:50">
      <c r="A182" s="43">
        <f>IF(G182="","",JobPrefix&amp;TEXT(ROW()-4,"0000"))</f>
        <v>0</v>
      </c>
      <c r="C182" s="23">
        <f>IF(B182="","",TEXT(B182,"ddd"))</f>
        <v>0</v>
      </c>
      <c r="D182" s="31">
        <f>IF(B182="","",WEEKNUM(B182,IF(WeekStart="Sunday",1,2)))</f>
        <v>0</v>
      </c>
      <c r="E182" s="23">
        <f>IF(B182="","",TEXT(B182,"yyyy-mm"))</f>
        <v>0</v>
      </c>
      <c r="H182" s="23">
        <f>IF(G182="","",IFERROR(INDEX(Clients!$B$5:$B$204,MATCH(G182,Clients!$A$5:$A$204,0)),"Not found"))</f>
        <v>0</v>
      </c>
      <c r="I182" s="23">
        <f>IF(G182="","",IFERROR(INDEX(Clients!$C$5:$C$204,MATCH(G182,Clients!$A$5:$A$204,0)),""))</f>
        <v>0</v>
      </c>
      <c r="K182" s="23">
        <f>IF(J182="","",IFERROR(INDEX(Properties!$B$5:$B$254,MATCH(J182,Properties!$A$5:$A$254,0)),""))</f>
        <v>0</v>
      </c>
      <c r="L182" s="23">
        <f>IF(J182="","",IFERROR(INDEX(Properties!$F$5:$F$254,MATCH(J182,Properties!$A$5:$A$254,0)),""))</f>
        <v>0</v>
      </c>
      <c r="AD182" s="34">
        <f>IF(G182="","",IF(U182&lt;&gt;"",U182,IF(AND(IFERROR(INDEX(Services!$D$5:$D$64,MATCH(M182,Services!$B$5:$B$64,0)),"")="Per hour",IFERROR(INDEX(Properties!$X$5:$X$254,MATCH(J182,Properties!$A$5:$A$254,0)),0)&gt;0),IFERROR(INDEX(Properties!$X$5:$X$254,MATCH(J182,Properties!$A$5:$A$254,0)),0),IF(IFERROR(INDEX(Services!$G$5:$G$64,MATCH(M182,Services!$B$5:$B$64,0)),0)&gt;0,IFERROR(INDEX(Services!$G$5:$G$64,MATCH(M182,Services!$B$5:$B$64,0)),0),IFERROR(INDEX(Properties!$X$5:$X$254,MATCH(J182,Properties!$A$5:$A$254,0)),0)))))</f>
        <v>0</v>
      </c>
      <c r="AE182" s="31">
        <f>IF(G182="","",IF(T182="",CleanersPerJob,MAX(1,T182)))</f>
        <v>0</v>
      </c>
      <c r="AF182" s="34">
        <f>IF(G182="","",ROUND(AD182/AE182,2))</f>
        <v>0</v>
      </c>
      <c r="AG182" s="53">
        <f>IF(OR(G182="",F182="",AF182=""),"",F182+AF182/24)</f>
        <v>0</v>
      </c>
      <c r="AH182" s="21">
        <f>IF(G182="","",IF(IFERROR(INDEX(Clients!$O$5:$O$204,MATCH(G182,Clients!$A$5:$A$204,0)),0)&gt;0,IFERROR(INDEX(Clients!$O$5:$O$204,MATCH(G182,Clients!$A$5:$A$204,0)),0),HourlyRate))</f>
        <v>0</v>
      </c>
      <c r="AI182" s="21">
        <f>IF(G182="","",IF(AND(M182&lt;&gt;"",IFERROR(INDEX(Services!$P$5:$P$64,MATCH(M182,Services!$B$5:$B$64,0)),0)&gt;0,IFERROR(INDEX(Services!$D$5:$D$64,MATCH(M182,Services!$B$5:$B$64,0)),"")&lt;&gt;"Per hour"),IFERROR(INDEX(Services!$P$5:$P$64,MATCH(M182,Services!$B$5:$B$64,0)),0),AD182*AH182))</f>
        <v>0</v>
      </c>
      <c r="AJ182" s="21">
        <f>IF(G182="","",IF(V182&lt;&gt;"",V182,IF(P182="Cancelled",0,MAX(MinimumCharge,ROUND(AI182*IFERROR(INDEX(FreqFactors,MATCH(O182,FreqNames,0)),1),2)))))</f>
        <v>0</v>
      </c>
      <c r="AK182" s="34">
        <f>IF(G182="","",IF(SUMIFS(Timesheets!$U$5:$U$804,Timesheets!$G$5:$G$804,A182)&gt;0,SUMIFS(Timesheets!$U$5:$U$804,Timesheets!$G$5:$G$804,A182),IF(Z182="","",Z182)))</f>
        <v>0</v>
      </c>
      <c r="AL182" s="34">
        <f>IF(OR(AK182="",AD182=""),"",AK182-AD182)</f>
        <v>0</v>
      </c>
      <c r="AM182" s="31">
        <f>IF(A182="","",COUNTIFS('Job Tasks'!$B$5:$B$904,A182))</f>
        <v>0</v>
      </c>
      <c r="AN182" s="31">
        <f>IF(A182="","",COUNTIFS('Job Tasks'!$B$5:$B$904,A182,'Job Tasks'!$H$5:$H$904,"Done"))</f>
        <v>0</v>
      </c>
      <c r="AO182" s="38">
        <f>IF(OR(A182="",AM182=0),"",AN182/AM182)</f>
        <v>0</v>
      </c>
      <c r="AP182" s="43">
        <f>IF(A182="","",IFERROR(INDEX('Invoice Lines'!$B$5:$B$804,MATCH(A182,'Invoice Lines'!$C$5:$C$804,0)),""))</f>
        <v>0</v>
      </c>
      <c r="AQ182" s="18">
        <f>IF(OR(G182="",B182="",X182&lt;&gt;"Yes"),"",IF(IFERROR(INDEX(FreqDays,MATCH(O182,FreqNames,0)),0)=0,"",B182+IFERROR(INDEX(FreqDays,MATCH(O182,FreqNames,0)),0)))</f>
        <v>0</v>
      </c>
      <c r="AR182" s="39">
        <f>IF(G182="","",IF(R182="","Unassigned",IF(COUNTIFS($R$5:$R$604,R182,$B$5:$B$604,B182,$F$5:$F$604,F182)&gt;1,"Clash",IF(SUMIFS($AF$5:$AF$604,$R$5:$R$604,R182,$B$5:$B$604,B182)&gt;ProductiveHours,"Long day","OK"))))</f>
        <v>0</v>
      </c>
      <c r="AS182" s="18">
        <f>IF(OR(G182="",B182=""),"",IF(AND(B182&gt;=TodayDate,P182&lt;&gt;"Cancelled"),B182,""))</f>
        <v>0</v>
      </c>
      <c r="AT182" s="31">
        <f>IF(AS182="","",COUNTIFS($AS$5:$AS$604,"&lt;"&amp;AS182)+COUNTIFS($AS$5:AS182,AS182))</f>
        <v>0</v>
      </c>
      <c r="AU182" s="18">
        <f>IF(OR(G182="",B182="",R182&lt;&gt;""),"",IF(AND(B182&gt;=TodayDate,P182&lt;&gt;"Cancelled"),B182,""))</f>
        <v>0</v>
      </c>
      <c r="AV182" s="31">
        <f>IF(AU182="","",COUNTIFS($AU$5:$AU$604,"&lt;"&amp;AU182)+COUNTIFS($AU$5:AU182,AU182))</f>
        <v>0</v>
      </c>
      <c r="AW182" s="31">
        <f>IF(OR(G182="",B182=""),"",B182-TodayDate)</f>
        <v>0</v>
      </c>
      <c r="AX182" s="39">
        <f>IF(G182="","",IF(P182="Cancelled","Cancelled",IF(P182="No access","Action - no access, rebook",IF(AND(B182&lt;&gt;"",AW182&lt;0,OR(P182="Booked",P182="Confirmed",P182="In progress")),"Late - mark it completed",IF(AND(P182="Completed",AP182=""),"Action - not invoiced yet",IF(AND(AW182&gt;=0,AW182&lt;=ReminderDays,Y182&lt;&gt;"Yes"),"Confirm - visit coming up",IF(R182="","Assign - no cleaner booked",IF(AND(P182="Completed",AO182&lt;&gt;"",AO182&lt;1),"Check - checklist unfinished","OK"))))))))</f>
        <v>0</v>
      </c>
    </row>
    <row r="183" spans="1:50">
      <c r="A183" s="43">
        <f>IF(G183="","",JobPrefix&amp;TEXT(ROW()-4,"0000"))</f>
        <v>0</v>
      </c>
      <c r="C183" s="23">
        <f>IF(B183="","",TEXT(B183,"ddd"))</f>
        <v>0</v>
      </c>
      <c r="D183" s="31">
        <f>IF(B183="","",WEEKNUM(B183,IF(WeekStart="Sunday",1,2)))</f>
        <v>0</v>
      </c>
      <c r="E183" s="23">
        <f>IF(B183="","",TEXT(B183,"yyyy-mm"))</f>
        <v>0</v>
      </c>
      <c r="H183" s="23">
        <f>IF(G183="","",IFERROR(INDEX(Clients!$B$5:$B$204,MATCH(G183,Clients!$A$5:$A$204,0)),"Not found"))</f>
        <v>0</v>
      </c>
      <c r="I183" s="23">
        <f>IF(G183="","",IFERROR(INDEX(Clients!$C$5:$C$204,MATCH(G183,Clients!$A$5:$A$204,0)),""))</f>
        <v>0</v>
      </c>
      <c r="K183" s="23">
        <f>IF(J183="","",IFERROR(INDEX(Properties!$B$5:$B$254,MATCH(J183,Properties!$A$5:$A$254,0)),""))</f>
        <v>0</v>
      </c>
      <c r="L183" s="23">
        <f>IF(J183="","",IFERROR(INDEX(Properties!$F$5:$F$254,MATCH(J183,Properties!$A$5:$A$254,0)),""))</f>
        <v>0</v>
      </c>
      <c r="AD183" s="34">
        <f>IF(G183="","",IF(U183&lt;&gt;"",U183,IF(AND(IFERROR(INDEX(Services!$D$5:$D$64,MATCH(M183,Services!$B$5:$B$64,0)),"")="Per hour",IFERROR(INDEX(Properties!$X$5:$X$254,MATCH(J183,Properties!$A$5:$A$254,0)),0)&gt;0),IFERROR(INDEX(Properties!$X$5:$X$254,MATCH(J183,Properties!$A$5:$A$254,0)),0),IF(IFERROR(INDEX(Services!$G$5:$G$64,MATCH(M183,Services!$B$5:$B$64,0)),0)&gt;0,IFERROR(INDEX(Services!$G$5:$G$64,MATCH(M183,Services!$B$5:$B$64,0)),0),IFERROR(INDEX(Properties!$X$5:$X$254,MATCH(J183,Properties!$A$5:$A$254,0)),0)))))</f>
        <v>0</v>
      </c>
      <c r="AE183" s="31">
        <f>IF(G183="","",IF(T183="",CleanersPerJob,MAX(1,T183)))</f>
        <v>0</v>
      </c>
      <c r="AF183" s="34">
        <f>IF(G183="","",ROUND(AD183/AE183,2))</f>
        <v>0</v>
      </c>
      <c r="AG183" s="53">
        <f>IF(OR(G183="",F183="",AF183=""),"",F183+AF183/24)</f>
        <v>0</v>
      </c>
      <c r="AH183" s="21">
        <f>IF(G183="","",IF(IFERROR(INDEX(Clients!$O$5:$O$204,MATCH(G183,Clients!$A$5:$A$204,0)),0)&gt;0,IFERROR(INDEX(Clients!$O$5:$O$204,MATCH(G183,Clients!$A$5:$A$204,0)),0),HourlyRate))</f>
        <v>0</v>
      </c>
      <c r="AI183" s="21">
        <f>IF(G183="","",IF(AND(M183&lt;&gt;"",IFERROR(INDEX(Services!$P$5:$P$64,MATCH(M183,Services!$B$5:$B$64,0)),0)&gt;0,IFERROR(INDEX(Services!$D$5:$D$64,MATCH(M183,Services!$B$5:$B$64,0)),"")&lt;&gt;"Per hour"),IFERROR(INDEX(Services!$P$5:$P$64,MATCH(M183,Services!$B$5:$B$64,0)),0),AD183*AH183))</f>
        <v>0</v>
      </c>
      <c r="AJ183" s="21">
        <f>IF(G183="","",IF(V183&lt;&gt;"",V183,IF(P183="Cancelled",0,MAX(MinimumCharge,ROUND(AI183*IFERROR(INDEX(FreqFactors,MATCH(O183,FreqNames,0)),1),2)))))</f>
        <v>0</v>
      </c>
      <c r="AK183" s="34">
        <f>IF(G183="","",IF(SUMIFS(Timesheets!$U$5:$U$804,Timesheets!$G$5:$G$804,A183)&gt;0,SUMIFS(Timesheets!$U$5:$U$804,Timesheets!$G$5:$G$804,A183),IF(Z183="","",Z183)))</f>
        <v>0</v>
      </c>
      <c r="AL183" s="34">
        <f>IF(OR(AK183="",AD183=""),"",AK183-AD183)</f>
        <v>0</v>
      </c>
      <c r="AM183" s="31">
        <f>IF(A183="","",COUNTIFS('Job Tasks'!$B$5:$B$904,A183))</f>
        <v>0</v>
      </c>
      <c r="AN183" s="31">
        <f>IF(A183="","",COUNTIFS('Job Tasks'!$B$5:$B$904,A183,'Job Tasks'!$H$5:$H$904,"Done"))</f>
        <v>0</v>
      </c>
      <c r="AO183" s="38">
        <f>IF(OR(A183="",AM183=0),"",AN183/AM183)</f>
        <v>0</v>
      </c>
      <c r="AP183" s="43">
        <f>IF(A183="","",IFERROR(INDEX('Invoice Lines'!$B$5:$B$804,MATCH(A183,'Invoice Lines'!$C$5:$C$804,0)),""))</f>
        <v>0</v>
      </c>
      <c r="AQ183" s="18">
        <f>IF(OR(G183="",B183="",X183&lt;&gt;"Yes"),"",IF(IFERROR(INDEX(FreqDays,MATCH(O183,FreqNames,0)),0)=0,"",B183+IFERROR(INDEX(FreqDays,MATCH(O183,FreqNames,0)),0)))</f>
        <v>0</v>
      </c>
      <c r="AR183" s="39">
        <f>IF(G183="","",IF(R183="","Unassigned",IF(COUNTIFS($R$5:$R$604,R183,$B$5:$B$604,B183,$F$5:$F$604,F183)&gt;1,"Clash",IF(SUMIFS($AF$5:$AF$604,$R$5:$R$604,R183,$B$5:$B$604,B183)&gt;ProductiveHours,"Long day","OK"))))</f>
        <v>0</v>
      </c>
      <c r="AS183" s="18">
        <f>IF(OR(G183="",B183=""),"",IF(AND(B183&gt;=TodayDate,P183&lt;&gt;"Cancelled"),B183,""))</f>
        <v>0</v>
      </c>
      <c r="AT183" s="31">
        <f>IF(AS183="","",COUNTIFS($AS$5:$AS$604,"&lt;"&amp;AS183)+COUNTIFS($AS$5:AS183,AS183))</f>
        <v>0</v>
      </c>
      <c r="AU183" s="18">
        <f>IF(OR(G183="",B183="",R183&lt;&gt;""),"",IF(AND(B183&gt;=TodayDate,P183&lt;&gt;"Cancelled"),B183,""))</f>
        <v>0</v>
      </c>
      <c r="AV183" s="31">
        <f>IF(AU183="","",COUNTIFS($AU$5:$AU$604,"&lt;"&amp;AU183)+COUNTIFS($AU$5:AU183,AU183))</f>
        <v>0</v>
      </c>
      <c r="AW183" s="31">
        <f>IF(OR(G183="",B183=""),"",B183-TodayDate)</f>
        <v>0</v>
      </c>
      <c r="AX183" s="39">
        <f>IF(G183="","",IF(P183="Cancelled","Cancelled",IF(P183="No access","Action - no access, rebook",IF(AND(B183&lt;&gt;"",AW183&lt;0,OR(P183="Booked",P183="Confirmed",P183="In progress")),"Late - mark it completed",IF(AND(P183="Completed",AP183=""),"Action - not invoiced yet",IF(AND(AW183&gt;=0,AW183&lt;=ReminderDays,Y183&lt;&gt;"Yes"),"Confirm - visit coming up",IF(R183="","Assign - no cleaner booked",IF(AND(P183="Completed",AO183&lt;&gt;"",AO183&lt;1),"Check - checklist unfinished","OK"))))))))</f>
        <v>0</v>
      </c>
    </row>
    <row r="184" spans="1:50">
      <c r="A184" s="43">
        <f>IF(G184="","",JobPrefix&amp;TEXT(ROW()-4,"0000"))</f>
        <v>0</v>
      </c>
      <c r="C184" s="23">
        <f>IF(B184="","",TEXT(B184,"ddd"))</f>
        <v>0</v>
      </c>
      <c r="D184" s="31">
        <f>IF(B184="","",WEEKNUM(B184,IF(WeekStart="Sunday",1,2)))</f>
        <v>0</v>
      </c>
      <c r="E184" s="23">
        <f>IF(B184="","",TEXT(B184,"yyyy-mm"))</f>
        <v>0</v>
      </c>
      <c r="H184" s="23">
        <f>IF(G184="","",IFERROR(INDEX(Clients!$B$5:$B$204,MATCH(G184,Clients!$A$5:$A$204,0)),"Not found"))</f>
        <v>0</v>
      </c>
      <c r="I184" s="23">
        <f>IF(G184="","",IFERROR(INDEX(Clients!$C$5:$C$204,MATCH(G184,Clients!$A$5:$A$204,0)),""))</f>
        <v>0</v>
      </c>
      <c r="K184" s="23">
        <f>IF(J184="","",IFERROR(INDEX(Properties!$B$5:$B$254,MATCH(J184,Properties!$A$5:$A$254,0)),""))</f>
        <v>0</v>
      </c>
      <c r="L184" s="23">
        <f>IF(J184="","",IFERROR(INDEX(Properties!$F$5:$F$254,MATCH(J184,Properties!$A$5:$A$254,0)),""))</f>
        <v>0</v>
      </c>
      <c r="AD184" s="34">
        <f>IF(G184="","",IF(U184&lt;&gt;"",U184,IF(AND(IFERROR(INDEX(Services!$D$5:$D$64,MATCH(M184,Services!$B$5:$B$64,0)),"")="Per hour",IFERROR(INDEX(Properties!$X$5:$X$254,MATCH(J184,Properties!$A$5:$A$254,0)),0)&gt;0),IFERROR(INDEX(Properties!$X$5:$X$254,MATCH(J184,Properties!$A$5:$A$254,0)),0),IF(IFERROR(INDEX(Services!$G$5:$G$64,MATCH(M184,Services!$B$5:$B$64,0)),0)&gt;0,IFERROR(INDEX(Services!$G$5:$G$64,MATCH(M184,Services!$B$5:$B$64,0)),0),IFERROR(INDEX(Properties!$X$5:$X$254,MATCH(J184,Properties!$A$5:$A$254,0)),0)))))</f>
        <v>0</v>
      </c>
      <c r="AE184" s="31">
        <f>IF(G184="","",IF(T184="",CleanersPerJob,MAX(1,T184)))</f>
        <v>0</v>
      </c>
      <c r="AF184" s="34">
        <f>IF(G184="","",ROUND(AD184/AE184,2))</f>
        <v>0</v>
      </c>
      <c r="AG184" s="53">
        <f>IF(OR(G184="",F184="",AF184=""),"",F184+AF184/24)</f>
        <v>0</v>
      </c>
      <c r="AH184" s="21">
        <f>IF(G184="","",IF(IFERROR(INDEX(Clients!$O$5:$O$204,MATCH(G184,Clients!$A$5:$A$204,0)),0)&gt;0,IFERROR(INDEX(Clients!$O$5:$O$204,MATCH(G184,Clients!$A$5:$A$204,0)),0),HourlyRate))</f>
        <v>0</v>
      </c>
      <c r="AI184" s="21">
        <f>IF(G184="","",IF(AND(M184&lt;&gt;"",IFERROR(INDEX(Services!$P$5:$P$64,MATCH(M184,Services!$B$5:$B$64,0)),0)&gt;0,IFERROR(INDEX(Services!$D$5:$D$64,MATCH(M184,Services!$B$5:$B$64,0)),"")&lt;&gt;"Per hour"),IFERROR(INDEX(Services!$P$5:$P$64,MATCH(M184,Services!$B$5:$B$64,0)),0),AD184*AH184))</f>
        <v>0</v>
      </c>
      <c r="AJ184" s="21">
        <f>IF(G184="","",IF(V184&lt;&gt;"",V184,IF(P184="Cancelled",0,MAX(MinimumCharge,ROUND(AI184*IFERROR(INDEX(FreqFactors,MATCH(O184,FreqNames,0)),1),2)))))</f>
        <v>0</v>
      </c>
      <c r="AK184" s="34">
        <f>IF(G184="","",IF(SUMIFS(Timesheets!$U$5:$U$804,Timesheets!$G$5:$G$804,A184)&gt;0,SUMIFS(Timesheets!$U$5:$U$804,Timesheets!$G$5:$G$804,A184),IF(Z184="","",Z184)))</f>
        <v>0</v>
      </c>
      <c r="AL184" s="34">
        <f>IF(OR(AK184="",AD184=""),"",AK184-AD184)</f>
        <v>0</v>
      </c>
      <c r="AM184" s="31">
        <f>IF(A184="","",COUNTIFS('Job Tasks'!$B$5:$B$904,A184))</f>
        <v>0</v>
      </c>
      <c r="AN184" s="31">
        <f>IF(A184="","",COUNTIFS('Job Tasks'!$B$5:$B$904,A184,'Job Tasks'!$H$5:$H$904,"Done"))</f>
        <v>0</v>
      </c>
      <c r="AO184" s="38">
        <f>IF(OR(A184="",AM184=0),"",AN184/AM184)</f>
        <v>0</v>
      </c>
      <c r="AP184" s="43">
        <f>IF(A184="","",IFERROR(INDEX('Invoice Lines'!$B$5:$B$804,MATCH(A184,'Invoice Lines'!$C$5:$C$804,0)),""))</f>
        <v>0</v>
      </c>
      <c r="AQ184" s="18">
        <f>IF(OR(G184="",B184="",X184&lt;&gt;"Yes"),"",IF(IFERROR(INDEX(FreqDays,MATCH(O184,FreqNames,0)),0)=0,"",B184+IFERROR(INDEX(FreqDays,MATCH(O184,FreqNames,0)),0)))</f>
        <v>0</v>
      </c>
      <c r="AR184" s="39">
        <f>IF(G184="","",IF(R184="","Unassigned",IF(COUNTIFS($R$5:$R$604,R184,$B$5:$B$604,B184,$F$5:$F$604,F184)&gt;1,"Clash",IF(SUMIFS($AF$5:$AF$604,$R$5:$R$604,R184,$B$5:$B$604,B184)&gt;ProductiveHours,"Long day","OK"))))</f>
        <v>0</v>
      </c>
      <c r="AS184" s="18">
        <f>IF(OR(G184="",B184=""),"",IF(AND(B184&gt;=TodayDate,P184&lt;&gt;"Cancelled"),B184,""))</f>
        <v>0</v>
      </c>
      <c r="AT184" s="31">
        <f>IF(AS184="","",COUNTIFS($AS$5:$AS$604,"&lt;"&amp;AS184)+COUNTIFS($AS$5:AS184,AS184))</f>
        <v>0</v>
      </c>
      <c r="AU184" s="18">
        <f>IF(OR(G184="",B184="",R184&lt;&gt;""),"",IF(AND(B184&gt;=TodayDate,P184&lt;&gt;"Cancelled"),B184,""))</f>
        <v>0</v>
      </c>
      <c r="AV184" s="31">
        <f>IF(AU184="","",COUNTIFS($AU$5:$AU$604,"&lt;"&amp;AU184)+COUNTIFS($AU$5:AU184,AU184))</f>
        <v>0</v>
      </c>
      <c r="AW184" s="31">
        <f>IF(OR(G184="",B184=""),"",B184-TodayDate)</f>
        <v>0</v>
      </c>
      <c r="AX184" s="39">
        <f>IF(G184="","",IF(P184="Cancelled","Cancelled",IF(P184="No access","Action - no access, rebook",IF(AND(B184&lt;&gt;"",AW184&lt;0,OR(P184="Booked",P184="Confirmed",P184="In progress")),"Late - mark it completed",IF(AND(P184="Completed",AP184=""),"Action - not invoiced yet",IF(AND(AW184&gt;=0,AW184&lt;=ReminderDays,Y184&lt;&gt;"Yes"),"Confirm - visit coming up",IF(R184="","Assign - no cleaner booked",IF(AND(P184="Completed",AO184&lt;&gt;"",AO184&lt;1),"Check - checklist unfinished","OK"))))))))</f>
        <v>0</v>
      </c>
    </row>
    <row r="185" spans="1:50">
      <c r="A185" s="43">
        <f>IF(G185="","",JobPrefix&amp;TEXT(ROW()-4,"0000"))</f>
        <v>0</v>
      </c>
      <c r="C185" s="23">
        <f>IF(B185="","",TEXT(B185,"ddd"))</f>
        <v>0</v>
      </c>
      <c r="D185" s="31">
        <f>IF(B185="","",WEEKNUM(B185,IF(WeekStart="Sunday",1,2)))</f>
        <v>0</v>
      </c>
      <c r="E185" s="23">
        <f>IF(B185="","",TEXT(B185,"yyyy-mm"))</f>
        <v>0</v>
      </c>
      <c r="H185" s="23">
        <f>IF(G185="","",IFERROR(INDEX(Clients!$B$5:$B$204,MATCH(G185,Clients!$A$5:$A$204,0)),"Not found"))</f>
        <v>0</v>
      </c>
      <c r="I185" s="23">
        <f>IF(G185="","",IFERROR(INDEX(Clients!$C$5:$C$204,MATCH(G185,Clients!$A$5:$A$204,0)),""))</f>
        <v>0</v>
      </c>
      <c r="K185" s="23">
        <f>IF(J185="","",IFERROR(INDEX(Properties!$B$5:$B$254,MATCH(J185,Properties!$A$5:$A$254,0)),""))</f>
        <v>0</v>
      </c>
      <c r="L185" s="23">
        <f>IF(J185="","",IFERROR(INDEX(Properties!$F$5:$F$254,MATCH(J185,Properties!$A$5:$A$254,0)),""))</f>
        <v>0</v>
      </c>
      <c r="AD185" s="34">
        <f>IF(G185="","",IF(U185&lt;&gt;"",U185,IF(AND(IFERROR(INDEX(Services!$D$5:$D$64,MATCH(M185,Services!$B$5:$B$64,0)),"")="Per hour",IFERROR(INDEX(Properties!$X$5:$X$254,MATCH(J185,Properties!$A$5:$A$254,0)),0)&gt;0),IFERROR(INDEX(Properties!$X$5:$X$254,MATCH(J185,Properties!$A$5:$A$254,0)),0),IF(IFERROR(INDEX(Services!$G$5:$G$64,MATCH(M185,Services!$B$5:$B$64,0)),0)&gt;0,IFERROR(INDEX(Services!$G$5:$G$64,MATCH(M185,Services!$B$5:$B$64,0)),0),IFERROR(INDEX(Properties!$X$5:$X$254,MATCH(J185,Properties!$A$5:$A$254,0)),0)))))</f>
        <v>0</v>
      </c>
      <c r="AE185" s="31">
        <f>IF(G185="","",IF(T185="",CleanersPerJob,MAX(1,T185)))</f>
        <v>0</v>
      </c>
      <c r="AF185" s="34">
        <f>IF(G185="","",ROUND(AD185/AE185,2))</f>
        <v>0</v>
      </c>
      <c r="AG185" s="53">
        <f>IF(OR(G185="",F185="",AF185=""),"",F185+AF185/24)</f>
        <v>0</v>
      </c>
      <c r="AH185" s="21">
        <f>IF(G185="","",IF(IFERROR(INDEX(Clients!$O$5:$O$204,MATCH(G185,Clients!$A$5:$A$204,0)),0)&gt;0,IFERROR(INDEX(Clients!$O$5:$O$204,MATCH(G185,Clients!$A$5:$A$204,0)),0),HourlyRate))</f>
        <v>0</v>
      </c>
      <c r="AI185" s="21">
        <f>IF(G185="","",IF(AND(M185&lt;&gt;"",IFERROR(INDEX(Services!$P$5:$P$64,MATCH(M185,Services!$B$5:$B$64,0)),0)&gt;0,IFERROR(INDEX(Services!$D$5:$D$64,MATCH(M185,Services!$B$5:$B$64,0)),"")&lt;&gt;"Per hour"),IFERROR(INDEX(Services!$P$5:$P$64,MATCH(M185,Services!$B$5:$B$64,0)),0),AD185*AH185))</f>
        <v>0</v>
      </c>
      <c r="AJ185" s="21">
        <f>IF(G185="","",IF(V185&lt;&gt;"",V185,IF(P185="Cancelled",0,MAX(MinimumCharge,ROUND(AI185*IFERROR(INDEX(FreqFactors,MATCH(O185,FreqNames,0)),1),2)))))</f>
        <v>0</v>
      </c>
      <c r="AK185" s="34">
        <f>IF(G185="","",IF(SUMIFS(Timesheets!$U$5:$U$804,Timesheets!$G$5:$G$804,A185)&gt;0,SUMIFS(Timesheets!$U$5:$U$804,Timesheets!$G$5:$G$804,A185),IF(Z185="","",Z185)))</f>
        <v>0</v>
      </c>
      <c r="AL185" s="34">
        <f>IF(OR(AK185="",AD185=""),"",AK185-AD185)</f>
        <v>0</v>
      </c>
      <c r="AM185" s="31">
        <f>IF(A185="","",COUNTIFS('Job Tasks'!$B$5:$B$904,A185))</f>
        <v>0</v>
      </c>
      <c r="AN185" s="31">
        <f>IF(A185="","",COUNTIFS('Job Tasks'!$B$5:$B$904,A185,'Job Tasks'!$H$5:$H$904,"Done"))</f>
        <v>0</v>
      </c>
      <c r="AO185" s="38">
        <f>IF(OR(A185="",AM185=0),"",AN185/AM185)</f>
        <v>0</v>
      </c>
      <c r="AP185" s="43">
        <f>IF(A185="","",IFERROR(INDEX('Invoice Lines'!$B$5:$B$804,MATCH(A185,'Invoice Lines'!$C$5:$C$804,0)),""))</f>
        <v>0</v>
      </c>
      <c r="AQ185" s="18">
        <f>IF(OR(G185="",B185="",X185&lt;&gt;"Yes"),"",IF(IFERROR(INDEX(FreqDays,MATCH(O185,FreqNames,0)),0)=0,"",B185+IFERROR(INDEX(FreqDays,MATCH(O185,FreqNames,0)),0)))</f>
        <v>0</v>
      </c>
      <c r="AR185" s="39">
        <f>IF(G185="","",IF(R185="","Unassigned",IF(COUNTIFS($R$5:$R$604,R185,$B$5:$B$604,B185,$F$5:$F$604,F185)&gt;1,"Clash",IF(SUMIFS($AF$5:$AF$604,$R$5:$R$604,R185,$B$5:$B$604,B185)&gt;ProductiveHours,"Long day","OK"))))</f>
        <v>0</v>
      </c>
      <c r="AS185" s="18">
        <f>IF(OR(G185="",B185=""),"",IF(AND(B185&gt;=TodayDate,P185&lt;&gt;"Cancelled"),B185,""))</f>
        <v>0</v>
      </c>
      <c r="AT185" s="31">
        <f>IF(AS185="","",COUNTIFS($AS$5:$AS$604,"&lt;"&amp;AS185)+COUNTIFS($AS$5:AS185,AS185))</f>
        <v>0</v>
      </c>
      <c r="AU185" s="18">
        <f>IF(OR(G185="",B185="",R185&lt;&gt;""),"",IF(AND(B185&gt;=TodayDate,P185&lt;&gt;"Cancelled"),B185,""))</f>
        <v>0</v>
      </c>
      <c r="AV185" s="31">
        <f>IF(AU185="","",COUNTIFS($AU$5:$AU$604,"&lt;"&amp;AU185)+COUNTIFS($AU$5:AU185,AU185))</f>
        <v>0</v>
      </c>
      <c r="AW185" s="31">
        <f>IF(OR(G185="",B185=""),"",B185-TodayDate)</f>
        <v>0</v>
      </c>
      <c r="AX185" s="39">
        <f>IF(G185="","",IF(P185="Cancelled","Cancelled",IF(P185="No access","Action - no access, rebook",IF(AND(B185&lt;&gt;"",AW185&lt;0,OR(P185="Booked",P185="Confirmed",P185="In progress")),"Late - mark it completed",IF(AND(P185="Completed",AP185=""),"Action - not invoiced yet",IF(AND(AW185&gt;=0,AW185&lt;=ReminderDays,Y185&lt;&gt;"Yes"),"Confirm - visit coming up",IF(R185="","Assign - no cleaner booked",IF(AND(P185="Completed",AO185&lt;&gt;"",AO185&lt;1),"Check - checklist unfinished","OK"))))))))</f>
        <v>0</v>
      </c>
    </row>
    <row r="186" spans="1:50">
      <c r="A186" s="43">
        <f>IF(G186="","",JobPrefix&amp;TEXT(ROW()-4,"0000"))</f>
        <v>0</v>
      </c>
      <c r="C186" s="23">
        <f>IF(B186="","",TEXT(B186,"ddd"))</f>
        <v>0</v>
      </c>
      <c r="D186" s="31">
        <f>IF(B186="","",WEEKNUM(B186,IF(WeekStart="Sunday",1,2)))</f>
        <v>0</v>
      </c>
      <c r="E186" s="23">
        <f>IF(B186="","",TEXT(B186,"yyyy-mm"))</f>
        <v>0</v>
      </c>
      <c r="H186" s="23">
        <f>IF(G186="","",IFERROR(INDEX(Clients!$B$5:$B$204,MATCH(G186,Clients!$A$5:$A$204,0)),"Not found"))</f>
        <v>0</v>
      </c>
      <c r="I186" s="23">
        <f>IF(G186="","",IFERROR(INDEX(Clients!$C$5:$C$204,MATCH(G186,Clients!$A$5:$A$204,0)),""))</f>
        <v>0</v>
      </c>
      <c r="K186" s="23">
        <f>IF(J186="","",IFERROR(INDEX(Properties!$B$5:$B$254,MATCH(J186,Properties!$A$5:$A$254,0)),""))</f>
        <v>0</v>
      </c>
      <c r="L186" s="23">
        <f>IF(J186="","",IFERROR(INDEX(Properties!$F$5:$F$254,MATCH(J186,Properties!$A$5:$A$254,0)),""))</f>
        <v>0</v>
      </c>
      <c r="AD186" s="34">
        <f>IF(G186="","",IF(U186&lt;&gt;"",U186,IF(AND(IFERROR(INDEX(Services!$D$5:$D$64,MATCH(M186,Services!$B$5:$B$64,0)),"")="Per hour",IFERROR(INDEX(Properties!$X$5:$X$254,MATCH(J186,Properties!$A$5:$A$254,0)),0)&gt;0),IFERROR(INDEX(Properties!$X$5:$X$254,MATCH(J186,Properties!$A$5:$A$254,0)),0),IF(IFERROR(INDEX(Services!$G$5:$G$64,MATCH(M186,Services!$B$5:$B$64,0)),0)&gt;0,IFERROR(INDEX(Services!$G$5:$G$64,MATCH(M186,Services!$B$5:$B$64,0)),0),IFERROR(INDEX(Properties!$X$5:$X$254,MATCH(J186,Properties!$A$5:$A$254,0)),0)))))</f>
        <v>0</v>
      </c>
      <c r="AE186" s="31">
        <f>IF(G186="","",IF(T186="",CleanersPerJob,MAX(1,T186)))</f>
        <v>0</v>
      </c>
      <c r="AF186" s="34">
        <f>IF(G186="","",ROUND(AD186/AE186,2))</f>
        <v>0</v>
      </c>
      <c r="AG186" s="53">
        <f>IF(OR(G186="",F186="",AF186=""),"",F186+AF186/24)</f>
        <v>0</v>
      </c>
      <c r="AH186" s="21">
        <f>IF(G186="","",IF(IFERROR(INDEX(Clients!$O$5:$O$204,MATCH(G186,Clients!$A$5:$A$204,0)),0)&gt;0,IFERROR(INDEX(Clients!$O$5:$O$204,MATCH(G186,Clients!$A$5:$A$204,0)),0),HourlyRate))</f>
        <v>0</v>
      </c>
      <c r="AI186" s="21">
        <f>IF(G186="","",IF(AND(M186&lt;&gt;"",IFERROR(INDEX(Services!$P$5:$P$64,MATCH(M186,Services!$B$5:$B$64,0)),0)&gt;0,IFERROR(INDEX(Services!$D$5:$D$64,MATCH(M186,Services!$B$5:$B$64,0)),"")&lt;&gt;"Per hour"),IFERROR(INDEX(Services!$P$5:$P$64,MATCH(M186,Services!$B$5:$B$64,0)),0),AD186*AH186))</f>
        <v>0</v>
      </c>
      <c r="AJ186" s="21">
        <f>IF(G186="","",IF(V186&lt;&gt;"",V186,IF(P186="Cancelled",0,MAX(MinimumCharge,ROUND(AI186*IFERROR(INDEX(FreqFactors,MATCH(O186,FreqNames,0)),1),2)))))</f>
        <v>0</v>
      </c>
      <c r="AK186" s="34">
        <f>IF(G186="","",IF(SUMIFS(Timesheets!$U$5:$U$804,Timesheets!$G$5:$G$804,A186)&gt;0,SUMIFS(Timesheets!$U$5:$U$804,Timesheets!$G$5:$G$804,A186),IF(Z186="","",Z186)))</f>
        <v>0</v>
      </c>
      <c r="AL186" s="34">
        <f>IF(OR(AK186="",AD186=""),"",AK186-AD186)</f>
        <v>0</v>
      </c>
      <c r="AM186" s="31">
        <f>IF(A186="","",COUNTIFS('Job Tasks'!$B$5:$B$904,A186))</f>
        <v>0</v>
      </c>
      <c r="AN186" s="31">
        <f>IF(A186="","",COUNTIFS('Job Tasks'!$B$5:$B$904,A186,'Job Tasks'!$H$5:$H$904,"Done"))</f>
        <v>0</v>
      </c>
      <c r="AO186" s="38">
        <f>IF(OR(A186="",AM186=0),"",AN186/AM186)</f>
        <v>0</v>
      </c>
      <c r="AP186" s="43">
        <f>IF(A186="","",IFERROR(INDEX('Invoice Lines'!$B$5:$B$804,MATCH(A186,'Invoice Lines'!$C$5:$C$804,0)),""))</f>
        <v>0</v>
      </c>
      <c r="AQ186" s="18">
        <f>IF(OR(G186="",B186="",X186&lt;&gt;"Yes"),"",IF(IFERROR(INDEX(FreqDays,MATCH(O186,FreqNames,0)),0)=0,"",B186+IFERROR(INDEX(FreqDays,MATCH(O186,FreqNames,0)),0)))</f>
        <v>0</v>
      </c>
      <c r="AR186" s="39">
        <f>IF(G186="","",IF(R186="","Unassigned",IF(COUNTIFS($R$5:$R$604,R186,$B$5:$B$604,B186,$F$5:$F$604,F186)&gt;1,"Clash",IF(SUMIFS($AF$5:$AF$604,$R$5:$R$604,R186,$B$5:$B$604,B186)&gt;ProductiveHours,"Long day","OK"))))</f>
        <v>0</v>
      </c>
      <c r="AS186" s="18">
        <f>IF(OR(G186="",B186=""),"",IF(AND(B186&gt;=TodayDate,P186&lt;&gt;"Cancelled"),B186,""))</f>
        <v>0</v>
      </c>
      <c r="AT186" s="31">
        <f>IF(AS186="","",COUNTIFS($AS$5:$AS$604,"&lt;"&amp;AS186)+COUNTIFS($AS$5:AS186,AS186))</f>
        <v>0</v>
      </c>
      <c r="AU186" s="18">
        <f>IF(OR(G186="",B186="",R186&lt;&gt;""),"",IF(AND(B186&gt;=TodayDate,P186&lt;&gt;"Cancelled"),B186,""))</f>
        <v>0</v>
      </c>
      <c r="AV186" s="31">
        <f>IF(AU186="","",COUNTIFS($AU$5:$AU$604,"&lt;"&amp;AU186)+COUNTIFS($AU$5:AU186,AU186))</f>
        <v>0</v>
      </c>
      <c r="AW186" s="31">
        <f>IF(OR(G186="",B186=""),"",B186-TodayDate)</f>
        <v>0</v>
      </c>
      <c r="AX186" s="39">
        <f>IF(G186="","",IF(P186="Cancelled","Cancelled",IF(P186="No access","Action - no access, rebook",IF(AND(B186&lt;&gt;"",AW186&lt;0,OR(P186="Booked",P186="Confirmed",P186="In progress")),"Late - mark it completed",IF(AND(P186="Completed",AP186=""),"Action - not invoiced yet",IF(AND(AW186&gt;=0,AW186&lt;=ReminderDays,Y186&lt;&gt;"Yes"),"Confirm - visit coming up",IF(R186="","Assign - no cleaner booked",IF(AND(P186="Completed",AO186&lt;&gt;"",AO186&lt;1),"Check - checklist unfinished","OK"))))))))</f>
        <v>0</v>
      </c>
    </row>
    <row r="187" spans="1:50">
      <c r="A187" s="43">
        <f>IF(G187="","",JobPrefix&amp;TEXT(ROW()-4,"0000"))</f>
        <v>0</v>
      </c>
      <c r="C187" s="23">
        <f>IF(B187="","",TEXT(B187,"ddd"))</f>
        <v>0</v>
      </c>
      <c r="D187" s="31">
        <f>IF(B187="","",WEEKNUM(B187,IF(WeekStart="Sunday",1,2)))</f>
        <v>0</v>
      </c>
      <c r="E187" s="23">
        <f>IF(B187="","",TEXT(B187,"yyyy-mm"))</f>
        <v>0</v>
      </c>
      <c r="H187" s="23">
        <f>IF(G187="","",IFERROR(INDEX(Clients!$B$5:$B$204,MATCH(G187,Clients!$A$5:$A$204,0)),"Not found"))</f>
        <v>0</v>
      </c>
      <c r="I187" s="23">
        <f>IF(G187="","",IFERROR(INDEX(Clients!$C$5:$C$204,MATCH(G187,Clients!$A$5:$A$204,0)),""))</f>
        <v>0</v>
      </c>
      <c r="K187" s="23">
        <f>IF(J187="","",IFERROR(INDEX(Properties!$B$5:$B$254,MATCH(J187,Properties!$A$5:$A$254,0)),""))</f>
        <v>0</v>
      </c>
      <c r="L187" s="23">
        <f>IF(J187="","",IFERROR(INDEX(Properties!$F$5:$F$254,MATCH(J187,Properties!$A$5:$A$254,0)),""))</f>
        <v>0</v>
      </c>
      <c r="AD187" s="34">
        <f>IF(G187="","",IF(U187&lt;&gt;"",U187,IF(AND(IFERROR(INDEX(Services!$D$5:$D$64,MATCH(M187,Services!$B$5:$B$64,0)),"")="Per hour",IFERROR(INDEX(Properties!$X$5:$X$254,MATCH(J187,Properties!$A$5:$A$254,0)),0)&gt;0),IFERROR(INDEX(Properties!$X$5:$X$254,MATCH(J187,Properties!$A$5:$A$254,0)),0),IF(IFERROR(INDEX(Services!$G$5:$G$64,MATCH(M187,Services!$B$5:$B$64,0)),0)&gt;0,IFERROR(INDEX(Services!$G$5:$G$64,MATCH(M187,Services!$B$5:$B$64,0)),0),IFERROR(INDEX(Properties!$X$5:$X$254,MATCH(J187,Properties!$A$5:$A$254,0)),0)))))</f>
        <v>0</v>
      </c>
      <c r="AE187" s="31">
        <f>IF(G187="","",IF(T187="",CleanersPerJob,MAX(1,T187)))</f>
        <v>0</v>
      </c>
      <c r="AF187" s="34">
        <f>IF(G187="","",ROUND(AD187/AE187,2))</f>
        <v>0</v>
      </c>
      <c r="AG187" s="53">
        <f>IF(OR(G187="",F187="",AF187=""),"",F187+AF187/24)</f>
        <v>0</v>
      </c>
      <c r="AH187" s="21">
        <f>IF(G187="","",IF(IFERROR(INDEX(Clients!$O$5:$O$204,MATCH(G187,Clients!$A$5:$A$204,0)),0)&gt;0,IFERROR(INDEX(Clients!$O$5:$O$204,MATCH(G187,Clients!$A$5:$A$204,0)),0),HourlyRate))</f>
        <v>0</v>
      </c>
      <c r="AI187" s="21">
        <f>IF(G187="","",IF(AND(M187&lt;&gt;"",IFERROR(INDEX(Services!$P$5:$P$64,MATCH(M187,Services!$B$5:$B$64,0)),0)&gt;0,IFERROR(INDEX(Services!$D$5:$D$64,MATCH(M187,Services!$B$5:$B$64,0)),"")&lt;&gt;"Per hour"),IFERROR(INDEX(Services!$P$5:$P$64,MATCH(M187,Services!$B$5:$B$64,0)),0),AD187*AH187))</f>
        <v>0</v>
      </c>
      <c r="AJ187" s="21">
        <f>IF(G187="","",IF(V187&lt;&gt;"",V187,IF(P187="Cancelled",0,MAX(MinimumCharge,ROUND(AI187*IFERROR(INDEX(FreqFactors,MATCH(O187,FreqNames,0)),1),2)))))</f>
        <v>0</v>
      </c>
      <c r="AK187" s="34">
        <f>IF(G187="","",IF(SUMIFS(Timesheets!$U$5:$U$804,Timesheets!$G$5:$G$804,A187)&gt;0,SUMIFS(Timesheets!$U$5:$U$804,Timesheets!$G$5:$G$804,A187),IF(Z187="","",Z187)))</f>
        <v>0</v>
      </c>
      <c r="AL187" s="34">
        <f>IF(OR(AK187="",AD187=""),"",AK187-AD187)</f>
        <v>0</v>
      </c>
      <c r="AM187" s="31">
        <f>IF(A187="","",COUNTIFS('Job Tasks'!$B$5:$B$904,A187))</f>
        <v>0</v>
      </c>
      <c r="AN187" s="31">
        <f>IF(A187="","",COUNTIFS('Job Tasks'!$B$5:$B$904,A187,'Job Tasks'!$H$5:$H$904,"Done"))</f>
        <v>0</v>
      </c>
      <c r="AO187" s="38">
        <f>IF(OR(A187="",AM187=0),"",AN187/AM187)</f>
        <v>0</v>
      </c>
      <c r="AP187" s="43">
        <f>IF(A187="","",IFERROR(INDEX('Invoice Lines'!$B$5:$B$804,MATCH(A187,'Invoice Lines'!$C$5:$C$804,0)),""))</f>
        <v>0</v>
      </c>
      <c r="AQ187" s="18">
        <f>IF(OR(G187="",B187="",X187&lt;&gt;"Yes"),"",IF(IFERROR(INDEX(FreqDays,MATCH(O187,FreqNames,0)),0)=0,"",B187+IFERROR(INDEX(FreqDays,MATCH(O187,FreqNames,0)),0)))</f>
        <v>0</v>
      </c>
      <c r="AR187" s="39">
        <f>IF(G187="","",IF(R187="","Unassigned",IF(COUNTIFS($R$5:$R$604,R187,$B$5:$B$604,B187,$F$5:$F$604,F187)&gt;1,"Clash",IF(SUMIFS($AF$5:$AF$604,$R$5:$R$604,R187,$B$5:$B$604,B187)&gt;ProductiveHours,"Long day","OK"))))</f>
        <v>0</v>
      </c>
      <c r="AS187" s="18">
        <f>IF(OR(G187="",B187=""),"",IF(AND(B187&gt;=TodayDate,P187&lt;&gt;"Cancelled"),B187,""))</f>
        <v>0</v>
      </c>
      <c r="AT187" s="31">
        <f>IF(AS187="","",COUNTIFS($AS$5:$AS$604,"&lt;"&amp;AS187)+COUNTIFS($AS$5:AS187,AS187))</f>
        <v>0</v>
      </c>
      <c r="AU187" s="18">
        <f>IF(OR(G187="",B187="",R187&lt;&gt;""),"",IF(AND(B187&gt;=TodayDate,P187&lt;&gt;"Cancelled"),B187,""))</f>
        <v>0</v>
      </c>
      <c r="AV187" s="31">
        <f>IF(AU187="","",COUNTIFS($AU$5:$AU$604,"&lt;"&amp;AU187)+COUNTIFS($AU$5:AU187,AU187))</f>
        <v>0</v>
      </c>
      <c r="AW187" s="31">
        <f>IF(OR(G187="",B187=""),"",B187-TodayDate)</f>
        <v>0</v>
      </c>
      <c r="AX187" s="39">
        <f>IF(G187="","",IF(P187="Cancelled","Cancelled",IF(P187="No access","Action - no access, rebook",IF(AND(B187&lt;&gt;"",AW187&lt;0,OR(P187="Booked",P187="Confirmed",P187="In progress")),"Late - mark it completed",IF(AND(P187="Completed",AP187=""),"Action - not invoiced yet",IF(AND(AW187&gt;=0,AW187&lt;=ReminderDays,Y187&lt;&gt;"Yes"),"Confirm - visit coming up",IF(R187="","Assign - no cleaner booked",IF(AND(P187="Completed",AO187&lt;&gt;"",AO187&lt;1),"Check - checklist unfinished","OK"))))))))</f>
        <v>0</v>
      </c>
    </row>
    <row r="188" spans="1:50">
      <c r="A188" s="43">
        <f>IF(G188="","",JobPrefix&amp;TEXT(ROW()-4,"0000"))</f>
        <v>0</v>
      </c>
      <c r="C188" s="23">
        <f>IF(B188="","",TEXT(B188,"ddd"))</f>
        <v>0</v>
      </c>
      <c r="D188" s="31">
        <f>IF(B188="","",WEEKNUM(B188,IF(WeekStart="Sunday",1,2)))</f>
        <v>0</v>
      </c>
      <c r="E188" s="23">
        <f>IF(B188="","",TEXT(B188,"yyyy-mm"))</f>
        <v>0</v>
      </c>
      <c r="H188" s="23">
        <f>IF(G188="","",IFERROR(INDEX(Clients!$B$5:$B$204,MATCH(G188,Clients!$A$5:$A$204,0)),"Not found"))</f>
        <v>0</v>
      </c>
      <c r="I188" s="23">
        <f>IF(G188="","",IFERROR(INDEX(Clients!$C$5:$C$204,MATCH(G188,Clients!$A$5:$A$204,0)),""))</f>
        <v>0</v>
      </c>
      <c r="K188" s="23">
        <f>IF(J188="","",IFERROR(INDEX(Properties!$B$5:$B$254,MATCH(J188,Properties!$A$5:$A$254,0)),""))</f>
        <v>0</v>
      </c>
      <c r="L188" s="23">
        <f>IF(J188="","",IFERROR(INDEX(Properties!$F$5:$F$254,MATCH(J188,Properties!$A$5:$A$254,0)),""))</f>
        <v>0</v>
      </c>
      <c r="AD188" s="34">
        <f>IF(G188="","",IF(U188&lt;&gt;"",U188,IF(AND(IFERROR(INDEX(Services!$D$5:$D$64,MATCH(M188,Services!$B$5:$B$64,0)),"")="Per hour",IFERROR(INDEX(Properties!$X$5:$X$254,MATCH(J188,Properties!$A$5:$A$254,0)),0)&gt;0),IFERROR(INDEX(Properties!$X$5:$X$254,MATCH(J188,Properties!$A$5:$A$254,0)),0),IF(IFERROR(INDEX(Services!$G$5:$G$64,MATCH(M188,Services!$B$5:$B$64,0)),0)&gt;0,IFERROR(INDEX(Services!$G$5:$G$64,MATCH(M188,Services!$B$5:$B$64,0)),0),IFERROR(INDEX(Properties!$X$5:$X$254,MATCH(J188,Properties!$A$5:$A$254,0)),0)))))</f>
        <v>0</v>
      </c>
      <c r="AE188" s="31">
        <f>IF(G188="","",IF(T188="",CleanersPerJob,MAX(1,T188)))</f>
        <v>0</v>
      </c>
      <c r="AF188" s="34">
        <f>IF(G188="","",ROUND(AD188/AE188,2))</f>
        <v>0</v>
      </c>
      <c r="AG188" s="53">
        <f>IF(OR(G188="",F188="",AF188=""),"",F188+AF188/24)</f>
        <v>0</v>
      </c>
      <c r="AH188" s="21">
        <f>IF(G188="","",IF(IFERROR(INDEX(Clients!$O$5:$O$204,MATCH(G188,Clients!$A$5:$A$204,0)),0)&gt;0,IFERROR(INDEX(Clients!$O$5:$O$204,MATCH(G188,Clients!$A$5:$A$204,0)),0),HourlyRate))</f>
        <v>0</v>
      </c>
      <c r="AI188" s="21">
        <f>IF(G188="","",IF(AND(M188&lt;&gt;"",IFERROR(INDEX(Services!$P$5:$P$64,MATCH(M188,Services!$B$5:$B$64,0)),0)&gt;0,IFERROR(INDEX(Services!$D$5:$D$64,MATCH(M188,Services!$B$5:$B$64,0)),"")&lt;&gt;"Per hour"),IFERROR(INDEX(Services!$P$5:$P$64,MATCH(M188,Services!$B$5:$B$64,0)),0),AD188*AH188))</f>
        <v>0</v>
      </c>
      <c r="AJ188" s="21">
        <f>IF(G188="","",IF(V188&lt;&gt;"",V188,IF(P188="Cancelled",0,MAX(MinimumCharge,ROUND(AI188*IFERROR(INDEX(FreqFactors,MATCH(O188,FreqNames,0)),1),2)))))</f>
        <v>0</v>
      </c>
      <c r="AK188" s="34">
        <f>IF(G188="","",IF(SUMIFS(Timesheets!$U$5:$U$804,Timesheets!$G$5:$G$804,A188)&gt;0,SUMIFS(Timesheets!$U$5:$U$804,Timesheets!$G$5:$G$804,A188),IF(Z188="","",Z188)))</f>
        <v>0</v>
      </c>
      <c r="AL188" s="34">
        <f>IF(OR(AK188="",AD188=""),"",AK188-AD188)</f>
        <v>0</v>
      </c>
      <c r="AM188" s="31">
        <f>IF(A188="","",COUNTIFS('Job Tasks'!$B$5:$B$904,A188))</f>
        <v>0</v>
      </c>
      <c r="AN188" s="31">
        <f>IF(A188="","",COUNTIFS('Job Tasks'!$B$5:$B$904,A188,'Job Tasks'!$H$5:$H$904,"Done"))</f>
        <v>0</v>
      </c>
      <c r="AO188" s="38">
        <f>IF(OR(A188="",AM188=0),"",AN188/AM188)</f>
        <v>0</v>
      </c>
      <c r="AP188" s="43">
        <f>IF(A188="","",IFERROR(INDEX('Invoice Lines'!$B$5:$B$804,MATCH(A188,'Invoice Lines'!$C$5:$C$804,0)),""))</f>
        <v>0</v>
      </c>
      <c r="AQ188" s="18">
        <f>IF(OR(G188="",B188="",X188&lt;&gt;"Yes"),"",IF(IFERROR(INDEX(FreqDays,MATCH(O188,FreqNames,0)),0)=0,"",B188+IFERROR(INDEX(FreqDays,MATCH(O188,FreqNames,0)),0)))</f>
        <v>0</v>
      </c>
      <c r="AR188" s="39">
        <f>IF(G188="","",IF(R188="","Unassigned",IF(COUNTIFS($R$5:$R$604,R188,$B$5:$B$604,B188,$F$5:$F$604,F188)&gt;1,"Clash",IF(SUMIFS($AF$5:$AF$604,$R$5:$R$604,R188,$B$5:$B$604,B188)&gt;ProductiveHours,"Long day","OK"))))</f>
        <v>0</v>
      </c>
      <c r="AS188" s="18">
        <f>IF(OR(G188="",B188=""),"",IF(AND(B188&gt;=TodayDate,P188&lt;&gt;"Cancelled"),B188,""))</f>
        <v>0</v>
      </c>
      <c r="AT188" s="31">
        <f>IF(AS188="","",COUNTIFS($AS$5:$AS$604,"&lt;"&amp;AS188)+COUNTIFS($AS$5:AS188,AS188))</f>
        <v>0</v>
      </c>
      <c r="AU188" s="18">
        <f>IF(OR(G188="",B188="",R188&lt;&gt;""),"",IF(AND(B188&gt;=TodayDate,P188&lt;&gt;"Cancelled"),B188,""))</f>
        <v>0</v>
      </c>
      <c r="AV188" s="31">
        <f>IF(AU188="","",COUNTIFS($AU$5:$AU$604,"&lt;"&amp;AU188)+COUNTIFS($AU$5:AU188,AU188))</f>
        <v>0</v>
      </c>
      <c r="AW188" s="31">
        <f>IF(OR(G188="",B188=""),"",B188-TodayDate)</f>
        <v>0</v>
      </c>
      <c r="AX188" s="39">
        <f>IF(G188="","",IF(P188="Cancelled","Cancelled",IF(P188="No access","Action - no access, rebook",IF(AND(B188&lt;&gt;"",AW188&lt;0,OR(P188="Booked",P188="Confirmed",P188="In progress")),"Late - mark it completed",IF(AND(P188="Completed",AP188=""),"Action - not invoiced yet",IF(AND(AW188&gt;=0,AW188&lt;=ReminderDays,Y188&lt;&gt;"Yes"),"Confirm - visit coming up",IF(R188="","Assign - no cleaner booked",IF(AND(P188="Completed",AO188&lt;&gt;"",AO188&lt;1),"Check - checklist unfinished","OK"))))))))</f>
        <v>0</v>
      </c>
    </row>
    <row r="189" spans="1:50">
      <c r="A189" s="43">
        <f>IF(G189="","",JobPrefix&amp;TEXT(ROW()-4,"0000"))</f>
        <v>0</v>
      </c>
      <c r="C189" s="23">
        <f>IF(B189="","",TEXT(B189,"ddd"))</f>
        <v>0</v>
      </c>
      <c r="D189" s="31">
        <f>IF(B189="","",WEEKNUM(B189,IF(WeekStart="Sunday",1,2)))</f>
        <v>0</v>
      </c>
      <c r="E189" s="23">
        <f>IF(B189="","",TEXT(B189,"yyyy-mm"))</f>
        <v>0</v>
      </c>
      <c r="H189" s="23">
        <f>IF(G189="","",IFERROR(INDEX(Clients!$B$5:$B$204,MATCH(G189,Clients!$A$5:$A$204,0)),"Not found"))</f>
        <v>0</v>
      </c>
      <c r="I189" s="23">
        <f>IF(G189="","",IFERROR(INDEX(Clients!$C$5:$C$204,MATCH(G189,Clients!$A$5:$A$204,0)),""))</f>
        <v>0</v>
      </c>
      <c r="K189" s="23">
        <f>IF(J189="","",IFERROR(INDEX(Properties!$B$5:$B$254,MATCH(J189,Properties!$A$5:$A$254,0)),""))</f>
        <v>0</v>
      </c>
      <c r="L189" s="23">
        <f>IF(J189="","",IFERROR(INDEX(Properties!$F$5:$F$254,MATCH(J189,Properties!$A$5:$A$254,0)),""))</f>
        <v>0</v>
      </c>
      <c r="AD189" s="34">
        <f>IF(G189="","",IF(U189&lt;&gt;"",U189,IF(AND(IFERROR(INDEX(Services!$D$5:$D$64,MATCH(M189,Services!$B$5:$B$64,0)),"")="Per hour",IFERROR(INDEX(Properties!$X$5:$X$254,MATCH(J189,Properties!$A$5:$A$254,0)),0)&gt;0),IFERROR(INDEX(Properties!$X$5:$X$254,MATCH(J189,Properties!$A$5:$A$254,0)),0),IF(IFERROR(INDEX(Services!$G$5:$G$64,MATCH(M189,Services!$B$5:$B$64,0)),0)&gt;0,IFERROR(INDEX(Services!$G$5:$G$64,MATCH(M189,Services!$B$5:$B$64,0)),0),IFERROR(INDEX(Properties!$X$5:$X$254,MATCH(J189,Properties!$A$5:$A$254,0)),0)))))</f>
        <v>0</v>
      </c>
      <c r="AE189" s="31">
        <f>IF(G189="","",IF(T189="",CleanersPerJob,MAX(1,T189)))</f>
        <v>0</v>
      </c>
      <c r="AF189" s="34">
        <f>IF(G189="","",ROUND(AD189/AE189,2))</f>
        <v>0</v>
      </c>
      <c r="AG189" s="53">
        <f>IF(OR(G189="",F189="",AF189=""),"",F189+AF189/24)</f>
        <v>0</v>
      </c>
      <c r="AH189" s="21">
        <f>IF(G189="","",IF(IFERROR(INDEX(Clients!$O$5:$O$204,MATCH(G189,Clients!$A$5:$A$204,0)),0)&gt;0,IFERROR(INDEX(Clients!$O$5:$O$204,MATCH(G189,Clients!$A$5:$A$204,0)),0),HourlyRate))</f>
        <v>0</v>
      </c>
      <c r="AI189" s="21">
        <f>IF(G189="","",IF(AND(M189&lt;&gt;"",IFERROR(INDEX(Services!$P$5:$P$64,MATCH(M189,Services!$B$5:$B$64,0)),0)&gt;0,IFERROR(INDEX(Services!$D$5:$D$64,MATCH(M189,Services!$B$5:$B$64,0)),"")&lt;&gt;"Per hour"),IFERROR(INDEX(Services!$P$5:$P$64,MATCH(M189,Services!$B$5:$B$64,0)),0),AD189*AH189))</f>
        <v>0</v>
      </c>
      <c r="AJ189" s="21">
        <f>IF(G189="","",IF(V189&lt;&gt;"",V189,IF(P189="Cancelled",0,MAX(MinimumCharge,ROUND(AI189*IFERROR(INDEX(FreqFactors,MATCH(O189,FreqNames,0)),1),2)))))</f>
        <v>0</v>
      </c>
      <c r="AK189" s="34">
        <f>IF(G189="","",IF(SUMIFS(Timesheets!$U$5:$U$804,Timesheets!$G$5:$G$804,A189)&gt;0,SUMIFS(Timesheets!$U$5:$U$804,Timesheets!$G$5:$G$804,A189),IF(Z189="","",Z189)))</f>
        <v>0</v>
      </c>
      <c r="AL189" s="34">
        <f>IF(OR(AK189="",AD189=""),"",AK189-AD189)</f>
        <v>0</v>
      </c>
      <c r="AM189" s="31">
        <f>IF(A189="","",COUNTIFS('Job Tasks'!$B$5:$B$904,A189))</f>
        <v>0</v>
      </c>
      <c r="AN189" s="31">
        <f>IF(A189="","",COUNTIFS('Job Tasks'!$B$5:$B$904,A189,'Job Tasks'!$H$5:$H$904,"Done"))</f>
        <v>0</v>
      </c>
      <c r="AO189" s="38">
        <f>IF(OR(A189="",AM189=0),"",AN189/AM189)</f>
        <v>0</v>
      </c>
      <c r="AP189" s="43">
        <f>IF(A189="","",IFERROR(INDEX('Invoice Lines'!$B$5:$B$804,MATCH(A189,'Invoice Lines'!$C$5:$C$804,0)),""))</f>
        <v>0</v>
      </c>
      <c r="AQ189" s="18">
        <f>IF(OR(G189="",B189="",X189&lt;&gt;"Yes"),"",IF(IFERROR(INDEX(FreqDays,MATCH(O189,FreqNames,0)),0)=0,"",B189+IFERROR(INDEX(FreqDays,MATCH(O189,FreqNames,0)),0)))</f>
        <v>0</v>
      </c>
      <c r="AR189" s="39">
        <f>IF(G189="","",IF(R189="","Unassigned",IF(COUNTIFS($R$5:$R$604,R189,$B$5:$B$604,B189,$F$5:$F$604,F189)&gt;1,"Clash",IF(SUMIFS($AF$5:$AF$604,$R$5:$R$604,R189,$B$5:$B$604,B189)&gt;ProductiveHours,"Long day","OK"))))</f>
        <v>0</v>
      </c>
      <c r="AS189" s="18">
        <f>IF(OR(G189="",B189=""),"",IF(AND(B189&gt;=TodayDate,P189&lt;&gt;"Cancelled"),B189,""))</f>
        <v>0</v>
      </c>
      <c r="AT189" s="31">
        <f>IF(AS189="","",COUNTIFS($AS$5:$AS$604,"&lt;"&amp;AS189)+COUNTIFS($AS$5:AS189,AS189))</f>
        <v>0</v>
      </c>
      <c r="AU189" s="18">
        <f>IF(OR(G189="",B189="",R189&lt;&gt;""),"",IF(AND(B189&gt;=TodayDate,P189&lt;&gt;"Cancelled"),B189,""))</f>
        <v>0</v>
      </c>
      <c r="AV189" s="31">
        <f>IF(AU189="","",COUNTIFS($AU$5:$AU$604,"&lt;"&amp;AU189)+COUNTIFS($AU$5:AU189,AU189))</f>
        <v>0</v>
      </c>
      <c r="AW189" s="31">
        <f>IF(OR(G189="",B189=""),"",B189-TodayDate)</f>
        <v>0</v>
      </c>
      <c r="AX189" s="39">
        <f>IF(G189="","",IF(P189="Cancelled","Cancelled",IF(P189="No access","Action - no access, rebook",IF(AND(B189&lt;&gt;"",AW189&lt;0,OR(P189="Booked",P189="Confirmed",P189="In progress")),"Late - mark it completed",IF(AND(P189="Completed",AP189=""),"Action - not invoiced yet",IF(AND(AW189&gt;=0,AW189&lt;=ReminderDays,Y189&lt;&gt;"Yes"),"Confirm - visit coming up",IF(R189="","Assign - no cleaner booked",IF(AND(P189="Completed",AO189&lt;&gt;"",AO189&lt;1),"Check - checklist unfinished","OK"))))))))</f>
        <v>0</v>
      </c>
    </row>
    <row r="190" spans="1:50">
      <c r="A190" s="43">
        <f>IF(G190="","",JobPrefix&amp;TEXT(ROW()-4,"0000"))</f>
        <v>0</v>
      </c>
      <c r="C190" s="23">
        <f>IF(B190="","",TEXT(B190,"ddd"))</f>
        <v>0</v>
      </c>
      <c r="D190" s="31">
        <f>IF(B190="","",WEEKNUM(B190,IF(WeekStart="Sunday",1,2)))</f>
        <v>0</v>
      </c>
      <c r="E190" s="23">
        <f>IF(B190="","",TEXT(B190,"yyyy-mm"))</f>
        <v>0</v>
      </c>
      <c r="H190" s="23">
        <f>IF(G190="","",IFERROR(INDEX(Clients!$B$5:$B$204,MATCH(G190,Clients!$A$5:$A$204,0)),"Not found"))</f>
        <v>0</v>
      </c>
      <c r="I190" s="23">
        <f>IF(G190="","",IFERROR(INDEX(Clients!$C$5:$C$204,MATCH(G190,Clients!$A$5:$A$204,0)),""))</f>
        <v>0</v>
      </c>
      <c r="K190" s="23">
        <f>IF(J190="","",IFERROR(INDEX(Properties!$B$5:$B$254,MATCH(J190,Properties!$A$5:$A$254,0)),""))</f>
        <v>0</v>
      </c>
      <c r="L190" s="23">
        <f>IF(J190="","",IFERROR(INDEX(Properties!$F$5:$F$254,MATCH(J190,Properties!$A$5:$A$254,0)),""))</f>
        <v>0</v>
      </c>
      <c r="AD190" s="34">
        <f>IF(G190="","",IF(U190&lt;&gt;"",U190,IF(AND(IFERROR(INDEX(Services!$D$5:$D$64,MATCH(M190,Services!$B$5:$B$64,0)),"")="Per hour",IFERROR(INDEX(Properties!$X$5:$X$254,MATCH(J190,Properties!$A$5:$A$254,0)),0)&gt;0),IFERROR(INDEX(Properties!$X$5:$X$254,MATCH(J190,Properties!$A$5:$A$254,0)),0),IF(IFERROR(INDEX(Services!$G$5:$G$64,MATCH(M190,Services!$B$5:$B$64,0)),0)&gt;0,IFERROR(INDEX(Services!$G$5:$G$64,MATCH(M190,Services!$B$5:$B$64,0)),0),IFERROR(INDEX(Properties!$X$5:$X$254,MATCH(J190,Properties!$A$5:$A$254,0)),0)))))</f>
        <v>0</v>
      </c>
      <c r="AE190" s="31">
        <f>IF(G190="","",IF(T190="",CleanersPerJob,MAX(1,T190)))</f>
        <v>0</v>
      </c>
      <c r="AF190" s="34">
        <f>IF(G190="","",ROUND(AD190/AE190,2))</f>
        <v>0</v>
      </c>
      <c r="AG190" s="53">
        <f>IF(OR(G190="",F190="",AF190=""),"",F190+AF190/24)</f>
        <v>0</v>
      </c>
      <c r="AH190" s="21">
        <f>IF(G190="","",IF(IFERROR(INDEX(Clients!$O$5:$O$204,MATCH(G190,Clients!$A$5:$A$204,0)),0)&gt;0,IFERROR(INDEX(Clients!$O$5:$O$204,MATCH(G190,Clients!$A$5:$A$204,0)),0),HourlyRate))</f>
        <v>0</v>
      </c>
      <c r="AI190" s="21">
        <f>IF(G190="","",IF(AND(M190&lt;&gt;"",IFERROR(INDEX(Services!$P$5:$P$64,MATCH(M190,Services!$B$5:$B$64,0)),0)&gt;0,IFERROR(INDEX(Services!$D$5:$D$64,MATCH(M190,Services!$B$5:$B$64,0)),"")&lt;&gt;"Per hour"),IFERROR(INDEX(Services!$P$5:$P$64,MATCH(M190,Services!$B$5:$B$64,0)),0),AD190*AH190))</f>
        <v>0</v>
      </c>
      <c r="AJ190" s="21">
        <f>IF(G190="","",IF(V190&lt;&gt;"",V190,IF(P190="Cancelled",0,MAX(MinimumCharge,ROUND(AI190*IFERROR(INDEX(FreqFactors,MATCH(O190,FreqNames,0)),1),2)))))</f>
        <v>0</v>
      </c>
      <c r="AK190" s="34">
        <f>IF(G190="","",IF(SUMIFS(Timesheets!$U$5:$U$804,Timesheets!$G$5:$G$804,A190)&gt;0,SUMIFS(Timesheets!$U$5:$U$804,Timesheets!$G$5:$G$804,A190),IF(Z190="","",Z190)))</f>
        <v>0</v>
      </c>
      <c r="AL190" s="34">
        <f>IF(OR(AK190="",AD190=""),"",AK190-AD190)</f>
        <v>0</v>
      </c>
      <c r="AM190" s="31">
        <f>IF(A190="","",COUNTIFS('Job Tasks'!$B$5:$B$904,A190))</f>
        <v>0</v>
      </c>
      <c r="AN190" s="31">
        <f>IF(A190="","",COUNTIFS('Job Tasks'!$B$5:$B$904,A190,'Job Tasks'!$H$5:$H$904,"Done"))</f>
        <v>0</v>
      </c>
      <c r="AO190" s="38">
        <f>IF(OR(A190="",AM190=0),"",AN190/AM190)</f>
        <v>0</v>
      </c>
      <c r="AP190" s="43">
        <f>IF(A190="","",IFERROR(INDEX('Invoice Lines'!$B$5:$B$804,MATCH(A190,'Invoice Lines'!$C$5:$C$804,0)),""))</f>
        <v>0</v>
      </c>
      <c r="AQ190" s="18">
        <f>IF(OR(G190="",B190="",X190&lt;&gt;"Yes"),"",IF(IFERROR(INDEX(FreqDays,MATCH(O190,FreqNames,0)),0)=0,"",B190+IFERROR(INDEX(FreqDays,MATCH(O190,FreqNames,0)),0)))</f>
        <v>0</v>
      </c>
      <c r="AR190" s="39">
        <f>IF(G190="","",IF(R190="","Unassigned",IF(COUNTIFS($R$5:$R$604,R190,$B$5:$B$604,B190,$F$5:$F$604,F190)&gt;1,"Clash",IF(SUMIFS($AF$5:$AF$604,$R$5:$R$604,R190,$B$5:$B$604,B190)&gt;ProductiveHours,"Long day","OK"))))</f>
        <v>0</v>
      </c>
      <c r="AS190" s="18">
        <f>IF(OR(G190="",B190=""),"",IF(AND(B190&gt;=TodayDate,P190&lt;&gt;"Cancelled"),B190,""))</f>
        <v>0</v>
      </c>
      <c r="AT190" s="31">
        <f>IF(AS190="","",COUNTIFS($AS$5:$AS$604,"&lt;"&amp;AS190)+COUNTIFS($AS$5:AS190,AS190))</f>
        <v>0</v>
      </c>
      <c r="AU190" s="18">
        <f>IF(OR(G190="",B190="",R190&lt;&gt;""),"",IF(AND(B190&gt;=TodayDate,P190&lt;&gt;"Cancelled"),B190,""))</f>
        <v>0</v>
      </c>
      <c r="AV190" s="31">
        <f>IF(AU190="","",COUNTIFS($AU$5:$AU$604,"&lt;"&amp;AU190)+COUNTIFS($AU$5:AU190,AU190))</f>
        <v>0</v>
      </c>
      <c r="AW190" s="31">
        <f>IF(OR(G190="",B190=""),"",B190-TodayDate)</f>
        <v>0</v>
      </c>
      <c r="AX190" s="39">
        <f>IF(G190="","",IF(P190="Cancelled","Cancelled",IF(P190="No access","Action - no access, rebook",IF(AND(B190&lt;&gt;"",AW190&lt;0,OR(P190="Booked",P190="Confirmed",P190="In progress")),"Late - mark it completed",IF(AND(P190="Completed",AP190=""),"Action - not invoiced yet",IF(AND(AW190&gt;=0,AW190&lt;=ReminderDays,Y190&lt;&gt;"Yes"),"Confirm - visit coming up",IF(R190="","Assign - no cleaner booked",IF(AND(P190="Completed",AO190&lt;&gt;"",AO190&lt;1),"Check - checklist unfinished","OK"))))))))</f>
        <v>0</v>
      </c>
    </row>
    <row r="191" spans="1:50">
      <c r="A191" s="43">
        <f>IF(G191="","",JobPrefix&amp;TEXT(ROW()-4,"0000"))</f>
        <v>0</v>
      </c>
      <c r="C191" s="23">
        <f>IF(B191="","",TEXT(B191,"ddd"))</f>
        <v>0</v>
      </c>
      <c r="D191" s="31">
        <f>IF(B191="","",WEEKNUM(B191,IF(WeekStart="Sunday",1,2)))</f>
        <v>0</v>
      </c>
      <c r="E191" s="23">
        <f>IF(B191="","",TEXT(B191,"yyyy-mm"))</f>
        <v>0</v>
      </c>
      <c r="H191" s="23">
        <f>IF(G191="","",IFERROR(INDEX(Clients!$B$5:$B$204,MATCH(G191,Clients!$A$5:$A$204,0)),"Not found"))</f>
        <v>0</v>
      </c>
      <c r="I191" s="23">
        <f>IF(G191="","",IFERROR(INDEX(Clients!$C$5:$C$204,MATCH(G191,Clients!$A$5:$A$204,0)),""))</f>
        <v>0</v>
      </c>
      <c r="K191" s="23">
        <f>IF(J191="","",IFERROR(INDEX(Properties!$B$5:$B$254,MATCH(J191,Properties!$A$5:$A$254,0)),""))</f>
        <v>0</v>
      </c>
      <c r="L191" s="23">
        <f>IF(J191="","",IFERROR(INDEX(Properties!$F$5:$F$254,MATCH(J191,Properties!$A$5:$A$254,0)),""))</f>
        <v>0</v>
      </c>
      <c r="AD191" s="34">
        <f>IF(G191="","",IF(U191&lt;&gt;"",U191,IF(AND(IFERROR(INDEX(Services!$D$5:$D$64,MATCH(M191,Services!$B$5:$B$64,0)),"")="Per hour",IFERROR(INDEX(Properties!$X$5:$X$254,MATCH(J191,Properties!$A$5:$A$254,0)),0)&gt;0),IFERROR(INDEX(Properties!$X$5:$X$254,MATCH(J191,Properties!$A$5:$A$254,0)),0),IF(IFERROR(INDEX(Services!$G$5:$G$64,MATCH(M191,Services!$B$5:$B$64,0)),0)&gt;0,IFERROR(INDEX(Services!$G$5:$G$64,MATCH(M191,Services!$B$5:$B$64,0)),0),IFERROR(INDEX(Properties!$X$5:$X$254,MATCH(J191,Properties!$A$5:$A$254,0)),0)))))</f>
        <v>0</v>
      </c>
      <c r="AE191" s="31">
        <f>IF(G191="","",IF(T191="",CleanersPerJob,MAX(1,T191)))</f>
        <v>0</v>
      </c>
      <c r="AF191" s="34">
        <f>IF(G191="","",ROUND(AD191/AE191,2))</f>
        <v>0</v>
      </c>
      <c r="AG191" s="53">
        <f>IF(OR(G191="",F191="",AF191=""),"",F191+AF191/24)</f>
        <v>0</v>
      </c>
      <c r="AH191" s="21">
        <f>IF(G191="","",IF(IFERROR(INDEX(Clients!$O$5:$O$204,MATCH(G191,Clients!$A$5:$A$204,0)),0)&gt;0,IFERROR(INDEX(Clients!$O$5:$O$204,MATCH(G191,Clients!$A$5:$A$204,0)),0),HourlyRate))</f>
        <v>0</v>
      </c>
      <c r="AI191" s="21">
        <f>IF(G191="","",IF(AND(M191&lt;&gt;"",IFERROR(INDEX(Services!$P$5:$P$64,MATCH(M191,Services!$B$5:$B$64,0)),0)&gt;0,IFERROR(INDEX(Services!$D$5:$D$64,MATCH(M191,Services!$B$5:$B$64,0)),"")&lt;&gt;"Per hour"),IFERROR(INDEX(Services!$P$5:$P$64,MATCH(M191,Services!$B$5:$B$64,0)),0),AD191*AH191))</f>
        <v>0</v>
      </c>
      <c r="AJ191" s="21">
        <f>IF(G191="","",IF(V191&lt;&gt;"",V191,IF(P191="Cancelled",0,MAX(MinimumCharge,ROUND(AI191*IFERROR(INDEX(FreqFactors,MATCH(O191,FreqNames,0)),1),2)))))</f>
        <v>0</v>
      </c>
      <c r="AK191" s="34">
        <f>IF(G191="","",IF(SUMIFS(Timesheets!$U$5:$U$804,Timesheets!$G$5:$G$804,A191)&gt;0,SUMIFS(Timesheets!$U$5:$U$804,Timesheets!$G$5:$G$804,A191),IF(Z191="","",Z191)))</f>
        <v>0</v>
      </c>
      <c r="AL191" s="34">
        <f>IF(OR(AK191="",AD191=""),"",AK191-AD191)</f>
        <v>0</v>
      </c>
      <c r="AM191" s="31">
        <f>IF(A191="","",COUNTIFS('Job Tasks'!$B$5:$B$904,A191))</f>
        <v>0</v>
      </c>
      <c r="AN191" s="31">
        <f>IF(A191="","",COUNTIFS('Job Tasks'!$B$5:$B$904,A191,'Job Tasks'!$H$5:$H$904,"Done"))</f>
        <v>0</v>
      </c>
      <c r="AO191" s="38">
        <f>IF(OR(A191="",AM191=0),"",AN191/AM191)</f>
        <v>0</v>
      </c>
      <c r="AP191" s="43">
        <f>IF(A191="","",IFERROR(INDEX('Invoice Lines'!$B$5:$B$804,MATCH(A191,'Invoice Lines'!$C$5:$C$804,0)),""))</f>
        <v>0</v>
      </c>
      <c r="AQ191" s="18">
        <f>IF(OR(G191="",B191="",X191&lt;&gt;"Yes"),"",IF(IFERROR(INDEX(FreqDays,MATCH(O191,FreqNames,0)),0)=0,"",B191+IFERROR(INDEX(FreqDays,MATCH(O191,FreqNames,0)),0)))</f>
        <v>0</v>
      </c>
      <c r="AR191" s="39">
        <f>IF(G191="","",IF(R191="","Unassigned",IF(COUNTIFS($R$5:$R$604,R191,$B$5:$B$604,B191,$F$5:$F$604,F191)&gt;1,"Clash",IF(SUMIFS($AF$5:$AF$604,$R$5:$R$604,R191,$B$5:$B$604,B191)&gt;ProductiveHours,"Long day","OK"))))</f>
        <v>0</v>
      </c>
      <c r="AS191" s="18">
        <f>IF(OR(G191="",B191=""),"",IF(AND(B191&gt;=TodayDate,P191&lt;&gt;"Cancelled"),B191,""))</f>
        <v>0</v>
      </c>
      <c r="AT191" s="31">
        <f>IF(AS191="","",COUNTIFS($AS$5:$AS$604,"&lt;"&amp;AS191)+COUNTIFS($AS$5:AS191,AS191))</f>
        <v>0</v>
      </c>
      <c r="AU191" s="18">
        <f>IF(OR(G191="",B191="",R191&lt;&gt;""),"",IF(AND(B191&gt;=TodayDate,P191&lt;&gt;"Cancelled"),B191,""))</f>
        <v>0</v>
      </c>
      <c r="AV191" s="31">
        <f>IF(AU191="","",COUNTIFS($AU$5:$AU$604,"&lt;"&amp;AU191)+COUNTIFS($AU$5:AU191,AU191))</f>
        <v>0</v>
      </c>
      <c r="AW191" s="31">
        <f>IF(OR(G191="",B191=""),"",B191-TodayDate)</f>
        <v>0</v>
      </c>
      <c r="AX191" s="39">
        <f>IF(G191="","",IF(P191="Cancelled","Cancelled",IF(P191="No access","Action - no access, rebook",IF(AND(B191&lt;&gt;"",AW191&lt;0,OR(P191="Booked",P191="Confirmed",P191="In progress")),"Late - mark it completed",IF(AND(P191="Completed",AP191=""),"Action - not invoiced yet",IF(AND(AW191&gt;=0,AW191&lt;=ReminderDays,Y191&lt;&gt;"Yes"),"Confirm - visit coming up",IF(R191="","Assign - no cleaner booked",IF(AND(P191="Completed",AO191&lt;&gt;"",AO191&lt;1),"Check - checklist unfinished","OK"))))))))</f>
        <v>0</v>
      </c>
    </row>
    <row r="192" spans="1:50">
      <c r="A192" s="43">
        <f>IF(G192="","",JobPrefix&amp;TEXT(ROW()-4,"0000"))</f>
        <v>0</v>
      </c>
      <c r="C192" s="23">
        <f>IF(B192="","",TEXT(B192,"ddd"))</f>
        <v>0</v>
      </c>
      <c r="D192" s="31">
        <f>IF(B192="","",WEEKNUM(B192,IF(WeekStart="Sunday",1,2)))</f>
        <v>0</v>
      </c>
      <c r="E192" s="23">
        <f>IF(B192="","",TEXT(B192,"yyyy-mm"))</f>
        <v>0</v>
      </c>
      <c r="H192" s="23">
        <f>IF(G192="","",IFERROR(INDEX(Clients!$B$5:$B$204,MATCH(G192,Clients!$A$5:$A$204,0)),"Not found"))</f>
        <v>0</v>
      </c>
      <c r="I192" s="23">
        <f>IF(G192="","",IFERROR(INDEX(Clients!$C$5:$C$204,MATCH(G192,Clients!$A$5:$A$204,0)),""))</f>
        <v>0</v>
      </c>
      <c r="K192" s="23">
        <f>IF(J192="","",IFERROR(INDEX(Properties!$B$5:$B$254,MATCH(J192,Properties!$A$5:$A$254,0)),""))</f>
        <v>0</v>
      </c>
      <c r="L192" s="23">
        <f>IF(J192="","",IFERROR(INDEX(Properties!$F$5:$F$254,MATCH(J192,Properties!$A$5:$A$254,0)),""))</f>
        <v>0</v>
      </c>
      <c r="AD192" s="34">
        <f>IF(G192="","",IF(U192&lt;&gt;"",U192,IF(AND(IFERROR(INDEX(Services!$D$5:$D$64,MATCH(M192,Services!$B$5:$B$64,0)),"")="Per hour",IFERROR(INDEX(Properties!$X$5:$X$254,MATCH(J192,Properties!$A$5:$A$254,0)),0)&gt;0),IFERROR(INDEX(Properties!$X$5:$X$254,MATCH(J192,Properties!$A$5:$A$254,0)),0),IF(IFERROR(INDEX(Services!$G$5:$G$64,MATCH(M192,Services!$B$5:$B$64,0)),0)&gt;0,IFERROR(INDEX(Services!$G$5:$G$64,MATCH(M192,Services!$B$5:$B$64,0)),0),IFERROR(INDEX(Properties!$X$5:$X$254,MATCH(J192,Properties!$A$5:$A$254,0)),0)))))</f>
        <v>0</v>
      </c>
      <c r="AE192" s="31">
        <f>IF(G192="","",IF(T192="",CleanersPerJob,MAX(1,T192)))</f>
        <v>0</v>
      </c>
      <c r="AF192" s="34">
        <f>IF(G192="","",ROUND(AD192/AE192,2))</f>
        <v>0</v>
      </c>
      <c r="AG192" s="53">
        <f>IF(OR(G192="",F192="",AF192=""),"",F192+AF192/24)</f>
        <v>0</v>
      </c>
      <c r="AH192" s="21">
        <f>IF(G192="","",IF(IFERROR(INDEX(Clients!$O$5:$O$204,MATCH(G192,Clients!$A$5:$A$204,0)),0)&gt;0,IFERROR(INDEX(Clients!$O$5:$O$204,MATCH(G192,Clients!$A$5:$A$204,0)),0),HourlyRate))</f>
        <v>0</v>
      </c>
      <c r="AI192" s="21">
        <f>IF(G192="","",IF(AND(M192&lt;&gt;"",IFERROR(INDEX(Services!$P$5:$P$64,MATCH(M192,Services!$B$5:$B$64,0)),0)&gt;0,IFERROR(INDEX(Services!$D$5:$D$64,MATCH(M192,Services!$B$5:$B$64,0)),"")&lt;&gt;"Per hour"),IFERROR(INDEX(Services!$P$5:$P$64,MATCH(M192,Services!$B$5:$B$64,0)),0),AD192*AH192))</f>
        <v>0</v>
      </c>
      <c r="AJ192" s="21">
        <f>IF(G192="","",IF(V192&lt;&gt;"",V192,IF(P192="Cancelled",0,MAX(MinimumCharge,ROUND(AI192*IFERROR(INDEX(FreqFactors,MATCH(O192,FreqNames,0)),1),2)))))</f>
        <v>0</v>
      </c>
      <c r="AK192" s="34">
        <f>IF(G192="","",IF(SUMIFS(Timesheets!$U$5:$U$804,Timesheets!$G$5:$G$804,A192)&gt;0,SUMIFS(Timesheets!$U$5:$U$804,Timesheets!$G$5:$G$804,A192),IF(Z192="","",Z192)))</f>
        <v>0</v>
      </c>
      <c r="AL192" s="34">
        <f>IF(OR(AK192="",AD192=""),"",AK192-AD192)</f>
        <v>0</v>
      </c>
      <c r="AM192" s="31">
        <f>IF(A192="","",COUNTIFS('Job Tasks'!$B$5:$B$904,A192))</f>
        <v>0</v>
      </c>
      <c r="AN192" s="31">
        <f>IF(A192="","",COUNTIFS('Job Tasks'!$B$5:$B$904,A192,'Job Tasks'!$H$5:$H$904,"Done"))</f>
        <v>0</v>
      </c>
      <c r="AO192" s="38">
        <f>IF(OR(A192="",AM192=0),"",AN192/AM192)</f>
        <v>0</v>
      </c>
      <c r="AP192" s="43">
        <f>IF(A192="","",IFERROR(INDEX('Invoice Lines'!$B$5:$B$804,MATCH(A192,'Invoice Lines'!$C$5:$C$804,0)),""))</f>
        <v>0</v>
      </c>
      <c r="AQ192" s="18">
        <f>IF(OR(G192="",B192="",X192&lt;&gt;"Yes"),"",IF(IFERROR(INDEX(FreqDays,MATCH(O192,FreqNames,0)),0)=0,"",B192+IFERROR(INDEX(FreqDays,MATCH(O192,FreqNames,0)),0)))</f>
        <v>0</v>
      </c>
      <c r="AR192" s="39">
        <f>IF(G192="","",IF(R192="","Unassigned",IF(COUNTIFS($R$5:$R$604,R192,$B$5:$B$604,B192,$F$5:$F$604,F192)&gt;1,"Clash",IF(SUMIFS($AF$5:$AF$604,$R$5:$R$604,R192,$B$5:$B$604,B192)&gt;ProductiveHours,"Long day","OK"))))</f>
        <v>0</v>
      </c>
      <c r="AS192" s="18">
        <f>IF(OR(G192="",B192=""),"",IF(AND(B192&gt;=TodayDate,P192&lt;&gt;"Cancelled"),B192,""))</f>
        <v>0</v>
      </c>
      <c r="AT192" s="31">
        <f>IF(AS192="","",COUNTIFS($AS$5:$AS$604,"&lt;"&amp;AS192)+COUNTIFS($AS$5:AS192,AS192))</f>
        <v>0</v>
      </c>
      <c r="AU192" s="18">
        <f>IF(OR(G192="",B192="",R192&lt;&gt;""),"",IF(AND(B192&gt;=TodayDate,P192&lt;&gt;"Cancelled"),B192,""))</f>
        <v>0</v>
      </c>
      <c r="AV192" s="31">
        <f>IF(AU192="","",COUNTIFS($AU$5:$AU$604,"&lt;"&amp;AU192)+COUNTIFS($AU$5:AU192,AU192))</f>
        <v>0</v>
      </c>
      <c r="AW192" s="31">
        <f>IF(OR(G192="",B192=""),"",B192-TodayDate)</f>
        <v>0</v>
      </c>
      <c r="AX192" s="39">
        <f>IF(G192="","",IF(P192="Cancelled","Cancelled",IF(P192="No access","Action - no access, rebook",IF(AND(B192&lt;&gt;"",AW192&lt;0,OR(P192="Booked",P192="Confirmed",P192="In progress")),"Late - mark it completed",IF(AND(P192="Completed",AP192=""),"Action - not invoiced yet",IF(AND(AW192&gt;=0,AW192&lt;=ReminderDays,Y192&lt;&gt;"Yes"),"Confirm - visit coming up",IF(R192="","Assign - no cleaner booked",IF(AND(P192="Completed",AO192&lt;&gt;"",AO192&lt;1),"Check - checklist unfinished","OK"))))))))</f>
        <v>0</v>
      </c>
    </row>
    <row r="193" spans="1:50">
      <c r="A193" s="43">
        <f>IF(G193="","",JobPrefix&amp;TEXT(ROW()-4,"0000"))</f>
        <v>0</v>
      </c>
      <c r="C193" s="23">
        <f>IF(B193="","",TEXT(B193,"ddd"))</f>
        <v>0</v>
      </c>
      <c r="D193" s="31">
        <f>IF(B193="","",WEEKNUM(B193,IF(WeekStart="Sunday",1,2)))</f>
        <v>0</v>
      </c>
      <c r="E193" s="23">
        <f>IF(B193="","",TEXT(B193,"yyyy-mm"))</f>
        <v>0</v>
      </c>
      <c r="H193" s="23">
        <f>IF(G193="","",IFERROR(INDEX(Clients!$B$5:$B$204,MATCH(G193,Clients!$A$5:$A$204,0)),"Not found"))</f>
        <v>0</v>
      </c>
      <c r="I193" s="23">
        <f>IF(G193="","",IFERROR(INDEX(Clients!$C$5:$C$204,MATCH(G193,Clients!$A$5:$A$204,0)),""))</f>
        <v>0</v>
      </c>
      <c r="K193" s="23">
        <f>IF(J193="","",IFERROR(INDEX(Properties!$B$5:$B$254,MATCH(J193,Properties!$A$5:$A$254,0)),""))</f>
        <v>0</v>
      </c>
      <c r="L193" s="23">
        <f>IF(J193="","",IFERROR(INDEX(Properties!$F$5:$F$254,MATCH(J193,Properties!$A$5:$A$254,0)),""))</f>
        <v>0</v>
      </c>
      <c r="AD193" s="34">
        <f>IF(G193="","",IF(U193&lt;&gt;"",U193,IF(AND(IFERROR(INDEX(Services!$D$5:$D$64,MATCH(M193,Services!$B$5:$B$64,0)),"")="Per hour",IFERROR(INDEX(Properties!$X$5:$X$254,MATCH(J193,Properties!$A$5:$A$254,0)),0)&gt;0),IFERROR(INDEX(Properties!$X$5:$X$254,MATCH(J193,Properties!$A$5:$A$254,0)),0),IF(IFERROR(INDEX(Services!$G$5:$G$64,MATCH(M193,Services!$B$5:$B$64,0)),0)&gt;0,IFERROR(INDEX(Services!$G$5:$G$64,MATCH(M193,Services!$B$5:$B$64,0)),0),IFERROR(INDEX(Properties!$X$5:$X$254,MATCH(J193,Properties!$A$5:$A$254,0)),0)))))</f>
        <v>0</v>
      </c>
      <c r="AE193" s="31">
        <f>IF(G193="","",IF(T193="",CleanersPerJob,MAX(1,T193)))</f>
        <v>0</v>
      </c>
      <c r="AF193" s="34">
        <f>IF(G193="","",ROUND(AD193/AE193,2))</f>
        <v>0</v>
      </c>
      <c r="AG193" s="53">
        <f>IF(OR(G193="",F193="",AF193=""),"",F193+AF193/24)</f>
        <v>0</v>
      </c>
      <c r="AH193" s="21">
        <f>IF(G193="","",IF(IFERROR(INDEX(Clients!$O$5:$O$204,MATCH(G193,Clients!$A$5:$A$204,0)),0)&gt;0,IFERROR(INDEX(Clients!$O$5:$O$204,MATCH(G193,Clients!$A$5:$A$204,0)),0),HourlyRate))</f>
        <v>0</v>
      </c>
      <c r="AI193" s="21">
        <f>IF(G193="","",IF(AND(M193&lt;&gt;"",IFERROR(INDEX(Services!$P$5:$P$64,MATCH(M193,Services!$B$5:$B$64,0)),0)&gt;0,IFERROR(INDEX(Services!$D$5:$D$64,MATCH(M193,Services!$B$5:$B$64,0)),"")&lt;&gt;"Per hour"),IFERROR(INDEX(Services!$P$5:$P$64,MATCH(M193,Services!$B$5:$B$64,0)),0),AD193*AH193))</f>
        <v>0</v>
      </c>
      <c r="AJ193" s="21">
        <f>IF(G193="","",IF(V193&lt;&gt;"",V193,IF(P193="Cancelled",0,MAX(MinimumCharge,ROUND(AI193*IFERROR(INDEX(FreqFactors,MATCH(O193,FreqNames,0)),1),2)))))</f>
        <v>0</v>
      </c>
      <c r="AK193" s="34">
        <f>IF(G193="","",IF(SUMIFS(Timesheets!$U$5:$U$804,Timesheets!$G$5:$G$804,A193)&gt;0,SUMIFS(Timesheets!$U$5:$U$804,Timesheets!$G$5:$G$804,A193),IF(Z193="","",Z193)))</f>
        <v>0</v>
      </c>
      <c r="AL193" s="34">
        <f>IF(OR(AK193="",AD193=""),"",AK193-AD193)</f>
        <v>0</v>
      </c>
      <c r="AM193" s="31">
        <f>IF(A193="","",COUNTIFS('Job Tasks'!$B$5:$B$904,A193))</f>
        <v>0</v>
      </c>
      <c r="AN193" s="31">
        <f>IF(A193="","",COUNTIFS('Job Tasks'!$B$5:$B$904,A193,'Job Tasks'!$H$5:$H$904,"Done"))</f>
        <v>0</v>
      </c>
      <c r="AO193" s="38">
        <f>IF(OR(A193="",AM193=0),"",AN193/AM193)</f>
        <v>0</v>
      </c>
      <c r="AP193" s="43">
        <f>IF(A193="","",IFERROR(INDEX('Invoice Lines'!$B$5:$B$804,MATCH(A193,'Invoice Lines'!$C$5:$C$804,0)),""))</f>
        <v>0</v>
      </c>
      <c r="AQ193" s="18">
        <f>IF(OR(G193="",B193="",X193&lt;&gt;"Yes"),"",IF(IFERROR(INDEX(FreqDays,MATCH(O193,FreqNames,0)),0)=0,"",B193+IFERROR(INDEX(FreqDays,MATCH(O193,FreqNames,0)),0)))</f>
        <v>0</v>
      </c>
      <c r="AR193" s="39">
        <f>IF(G193="","",IF(R193="","Unassigned",IF(COUNTIFS($R$5:$R$604,R193,$B$5:$B$604,B193,$F$5:$F$604,F193)&gt;1,"Clash",IF(SUMIFS($AF$5:$AF$604,$R$5:$R$604,R193,$B$5:$B$604,B193)&gt;ProductiveHours,"Long day","OK"))))</f>
        <v>0</v>
      </c>
      <c r="AS193" s="18">
        <f>IF(OR(G193="",B193=""),"",IF(AND(B193&gt;=TodayDate,P193&lt;&gt;"Cancelled"),B193,""))</f>
        <v>0</v>
      </c>
      <c r="AT193" s="31">
        <f>IF(AS193="","",COUNTIFS($AS$5:$AS$604,"&lt;"&amp;AS193)+COUNTIFS($AS$5:AS193,AS193))</f>
        <v>0</v>
      </c>
      <c r="AU193" s="18">
        <f>IF(OR(G193="",B193="",R193&lt;&gt;""),"",IF(AND(B193&gt;=TodayDate,P193&lt;&gt;"Cancelled"),B193,""))</f>
        <v>0</v>
      </c>
      <c r="AV193" s="31">
        <f>IF(AU193="","",COUNTIFS($AU$5:$AU$604,"&lt;"&amp;AU193)+COUNTIFS($AU$5:AU193,AU193))</f>
        <v>0</v>
      </c>
      <c r="AW193" s="31">
        <f>IF(OR(G193="",B193=""),"",B193-TodayDate)</f>
        <v>0</v>
      </c>
      <c r="AX193" s="39">
        <f>IF(G193="","",IF(P193="Cancelled","Cancelled",IF(P193="No access","Action - no access, rebook",IF(AND(B193&lt;&gt;"",AW193&lt;0,OR(P193="Booked",P193="Confirmed",P193="In progress")),"Late - mark it completed",IF(AND(P193="Completed",AP193=""),"Action - not invoiced yet",IF(AND(AW193&gt;=0,AW193&lt;=ReminderDays,Y193&lt;&gt;"Yes"),"Confirm - visit coming up",IF(R193="","Assign - no cleaner booked",IF(AND(P193="Completed",AO193&lt;&gt;"",AO193&lt;1),"Check - checklist unfinished","OK"))))))))</f>
        <v>0</v>
      </c>
    </row>
    <row r="194" spans="1:50">
      <c r="A194" s="43">
        <f>IF(G194="","",JobPrefix&amp;TEXT(ROW()-4,"0000"))</f>
        <v>0</v>
      </c>
      <c r="C194" s="23">
        <f>IF(B194="","",TEXT(B194,"ddd"))</f>
        <v>0</v>
      </c>
      <c r="D194" s="31">
        <f>IF(B194="","",WEEKNUM(B194,IF(WeekStart="Sunday",1,2)))</f>
        <v>0</v>
      </c>
      <c r="E194" s="23">
        <f>IF(B194="","",TEXT(B194,"yyyy-mm"))</f>
        <v>0</v>
      </c>
      <c r="H194" s="23">
        <f>IF(G194="","",IFERROR(INDEX(Clients!$B$5:$B$204,MATCH(G194,Clients!$A$5:$A$204,0)),"Not found"))</f>
        <v>0</v>
      </c>
      <c r="I194" s="23">
        <f>IF(G194="","",IFERROR(INDEX(Clients!$C$5:$C$204,MATCH(G194,Clients!$A$5:$A$204,0)),""))</f>
        <v>0</v>
      </c>
      <c r="K194" s="23">
        <f>IF(J194="","",IFERROR(INDEX(Properties!$B$5:$B$254,MATCH(J194,Properties!$A$5:$A$254,0)),""))</f>
        <v>0</v>
      </c>
      <c r="L194" s="23">
        <f>IF(J194="","",IFERROR(INDEX(Properties!$F$5:$F$254,MATCH(J194,Properties!$A$5:$A$254,0)),""))</f>
        <v>0</v>
      </c>
      <c r="AD194" s="34">
        <f>IF(G194="","",IF(U194&lt;&gt;"",U194,IF(AND(IFERROR(INDEX(Services!$D$5:$D$64,MATCH(M194,Services!$B$5:$B$64,0)),"")="Per hour",IFERROR(INDEX(Properties!$X$5:$X$254,MATCH(J194,Properties!$A$5:$A$254,0)),0)&gt;0),IFERROR(INDEX(Properties!$X$5:$X$254,MATCH(J194,Properties!$A$5:$A$254,0)),0),IF(IFERROR(INDEX(Services!$G$5:$G$64,MATCH(M194,Services!$B$5:$B$64,0)),0)&gt;0,IFERROR(INDEX(Services!$G$5:$G$64,MATCH(M194,Services!$B$5:$B$64,0)),0),IFERROR(INDEX(Properties!$X$5:$X$254,MATCH(J194,Properties!$A$5:$A$254,0)),0)))))</f>
        <v>0</v>
      </c>
      <c r="AE194" s="31">
        <f>IF(G194="","",IF(T194="",CleanersPerJob,MAX(1,T194)))</f>
        <v>0</v>
      </c>
      <c r="AF194" s="34">
        <f>IF(G194="","",ROUND(AD194/AE194,2))</f>
        <v>0</v>
      </c>
      <c r="AG194" s="53">
        <f>IF(OR(G194="",F194="",AF194=""),"",F194+AF194/24)</f>
        <v>0</v>
      </c>
      <c r="AH194" s="21">
        <f>IF(G194="","",IF(IFERROR(INDEX(Clients!$O$5:$O$204,MATCH(G194,Clients!$A$5:$A$204,0)),0)&gt;0,IFERROR(INDEX(Clients!$O$5:$O$204,MATCH(G194,Clients!$A$5:$A$204,0)),0),HourlyRate))</f>
        <v>0</v>
      </c>
      <c r="AI194" s="21">
        <f>IF(G194="","",IF(AND(M194&lt;&gt;"",IFERROR(INDEX(Services!$P$5:$P$64,MATCH(M194,Services!$B$5:$B$64,0)),0)&gt;0,IFERROR(INDEX(Services!$D$5:$D$64,MATCH(M194,Services!$B$5:$B$64,0)),"")&lt;&gt;"Per hour"),IFERROR(INDEX(Services!$P$5:$P$64,MATCH(M194,Services!$B$5:$B$64,0)),0),AD194*AH194))</f>
        <v>0</v>
      </c>
      <c r="AJ194" s="21">
        <f>IF(G194="","",IF(V194&lt;&gt;"",V194,IF(P194="Cancelled",0,MAX(MinimumCharge,ROUND(AI194*IFERROR(INDEX(FreqFactors,MATCH(O194,FreqNames,0)),1),2)))))</f>
        <v>0</v>
      </c>
      <c r="AK194" s="34">
        <f>IF(G194="","",IF(SUMIFS(Timesheets!$U$5:$U$804,Timesheets!$G$5:$G$804,A194)&gt;0,SUMIFS(Timesheets!$U$5:$U$804,Timesheets!$G$5:$G$804,A194),IF(Z194="","",Z194)))</f>
        <v>0</v>
      </c>
      <c r="AL194" s="34">
        <f>IF(OR(AK194="",AD194=""),"",AK194-AD194)</f>
        <v>0</v>
      </c>
      <c r="AM194" s="31">
        <f>IF(A194="","",COUNTIFS('Job Tasks'!$B$5:$B$904,A194))</f>
        <v>0</v>
      </c>
      <c r="AN194" s="31">
        <f>IF(A194="","",COUNTIFS('Job Tasks'!$B$5:$B$904,A194,'Job Tasks'!$H$5:$H$904,"Done"))</f>
        <v>0</v>
      </c>
      <c r="AO194" s="38">
        <f>IF(OR(A194="",AM194=0),"",AN194/AM194)</f>
        <v>0</v>
      </c>
      <c r="AP194" s="43">
        <f>IF(A194="","",IFERROR(INDEX('Invoice Lines'!$B$5:$B$804,MATCH(A194,'Invoice Lines'!$C$5:$C$804,0)),""))</f>
        <v>0</v>
      </c>
      <c r="AQ194" s="18">
        <f>IF(OR(G194="",B194="",X194&lt;&gt;"Yes"),"",IF(IFERROR(INDEX(FreqDays,MATCH(O194,FreqNames,0)),0)=0,"",B194+IFERROR(INDEX(FreqDays,MATCH(O194,FreqNames,0)),0)))</f>
        <v>0</v>
      </c>
      <c r="AR194" s="39">
        <f>IF(G194="","",IF(R194="","Unassigned",IF(COUNTIFS($R$5:$R$604,R194,$B$5:$B$604,B194,$F$5:$F$604,F194)&gt;1,"Clash",IF(SUMIFS($AF$5:$AF$604,$R$5:$R$604,R194,$B$5:$B$604,B194)&gt;ProductiveHours,"Long day","OK"))))</f>
        <v>0</v>
      </c>
      <c r="AS194" s="18">
        <f>IF(OR(G194="",B194=""),"",IF(AND(B194&gt;=TodayDate,P194&lt;&gt;"Cancelled"),B194,""))</f>
        <v>0</v>
      </c>
      <c r="AT194" s="31">
        <f>IF(AS194="","",COUNTIFS($AS$5:$AS$604,"&lt;"&amp;AS194)+COUNTIFS($AS$5:AS194,AS194))</f>
        <v>0</v>
      </c>
      <c r="AU194" s="18">
        <f>IF(OR(G194="",B194="",R194&lt;&gt;""),"",IF(AND(B194&gt;=TodayDate,P194&lt;&gt;"Cancelled"),B194,""))</f>
        <v>0</v>
      </c>
      <c r="AV194" s="31">
        <f>IF(AU194="","",COUNTIFS($AU$5:$AU$604,"&lt;"&amp;AU194)+COUNTIFS($AU$5:AU194,AU194))</f>
        <v>0</v>
      </c>
      <c r="AW194" s="31">
        <f>IF(OR(G194="",B194=""),"",B194-TodayDate)</f>
        <v>0</v>
      </c>
      <c r="AX194" s="39">
        <f>IF(G194="","",IF(P194="Cancelled","Cancelled",IF(P194="No access","Action - no access, rebook",IF(AND(B194&lt;&gt;"",AW194&lt;0,OR(P194="Booked",P194="Confirmed",P194="In progress")),"Late - mark it completed",IF(AND(P194="Completed",AP194=""),"Action - not invoiced yet",IF(AND(AW194&gt;=0,AW194&lt;=ReminderDays,Y194&lt;&gt;"Yes"),"Confirm - visit coming up",IF(R194="","Assign - no cleaner booked",IF(AND(P194="Completed",AO194&lt;&gt;"",AO194&lt;1),"Check - checklist unfinished","OK"))))))))</f>
        <v>0</v>
      </c>
    </row>
    <row r="195" spans="1:50">
      <c r="A195" s="43">
        <f>IF(G195="","",JobPrefix&amp;TEXT(ROW()-4,"0000"))</f>
        <v>0</v>
      </c>
      <c r="C195" s="23">
        <f>IF(B195="","",TEXT(B195,"ddd"))</f>
        <v>0</v>
      </c>
      <c r="D195" s="31">
        <f>IF(B195="","",WEEKNUM(B195,IF(WeekStart="Sunday",1,2)))</f>
        <v>0</v>
      </c>
      <c r="E195" s="23">
        <f>IF(B195="","",TEXT(B195,"yyyy-mm"))</f>
        <v>0</v>
      </c>
      <c r="H195" s="23">
        <f>IF(G195="","",IFERROR(INDEX(Clients!$B$5:$B$204,MATCH(G195,Clients!$A$5:$A$204,0)),"Not found"))</f>
        <v>0</v>
      </c>
      <c r="I195" s="23">
        <f>IF(G195="","",IFERROR(INDEX(Clients!$C$5:$C$204,MATCH(G195,Clients!$A$5:$A$204,0)),""))</f>
        <v>0</v>
      </c>
      <c r="K195" s="23">
        <f>IF(J195="","",IFERROR(INDEX(Properties!$B$5:$B$254,MATCH(J195,Properties!$A$5:$A$254,0)),""))</f>
        <v>0</v>
      </c>
      <c r="L195" s="23">
        <f>IF(J195="","",IFERROR(INDEX(Properties!$F$5:$F$254,MATCH(J195,Properties!$A$5:$A$254,0)),""))</f>
        <v>0</v>
      </c>
      <c r="AD195" s="34">
        <f>IF(G195="","",IF(U195&lt;&gt;"",U195,IF(AND(IFERROR(INDEX(Services!$D$5:$D$64,MATCH(M195,Services!$B$5:$B$64,0)),"")="Per hour",IFERROR(INDEX(Properties!$X$5:$X$254,MATCH(J195,Properties!$A$5:$A$254,0)),0)&gt;0),IFERROR(INDEX(Properties!$X$5:$X$254,MATCH(J195,Properties!$A$5:$A$254,0)),0),IF(IFERROR(INDEX(Services!$G$5:$G$64,MATCH(M195,Services!$B$5:$B$64,0)),0)&gt;0,IFERROR(INDEX(Services!$G$5:$G$64,MATCH(M195,Services!$B$5:$B$64,0)),0),IFERROR(INDEX(Properties!$X$5:$X$254,MATCH(J195,Properties!$A$5:$A$254,0)),0)))))</f>
        <v>0</v>
      </c>
      <c r="AE195" s="31">
        <f>IF(G195="","",IF(T195="",CleanersPerJob,MAX(1,T195)))</f>
        <v>0</v>
      </c>
      <c r="AF195" s="34">
        <f>IF(G195="","",ROUND(AD195/AE195,2))</f>
        <v>0</v>
      </c>
      <c r="AG195" s="53">
        <f>IF(OR(G195="",F195="",AF195=""),"",F195+AF195/24)</f>
        <v>0</v>
      </c>
      <c r="AH195" s="21">
        <f>IF(G195="","",IF(IFERROR(INDEX(Clients!$O$5:$O$204,MATCH(G195,Clients!$A$5:$A$204,0)),0)&gt;0,IFERROR(INDEX(Clients!$O$5:$O$204,MATCH(G195,Clients!$A$5:$A$204,0)),0),HourlyRate))</f>
        <v>0</v>
      </c>
      <c r="AI195" s="21">
        <f>IF(G195="","",IF(AND(M195&lt;&gt;"",IFERROR(INDEX(Services!$P$5:$P$64,MATCH(M195,Services!$B$5:$B$64,0)),0)&gt;0,IFERROR(INDEX(Services!$D$5:$D$64,MATCH(M195,Services!$B$5:$B$64,0)),"")&lt;&gt;"Per hour"),IFERROR(INDEX(Services!$P$5:$P$64,MATCH(M195,Services!$B$5:$B$64,0)),0),AD195*AH195))</f>
        <v>0</v>
      </c>
      <c r="AJ195" s="21">
        <f>IF(G195="","",IF(V195&lt;&gt;"",V195,IF(P195="Cancelled",0,MAX(MinimumCharge,ROUND(AI195*IFERROR(INDEX(FreqFactors,MATCH(O195,FreqNames,0)),1),2)))))</f>
        <v>0</v>
      </c>
      <c r="AK195" s="34">
        <f>IF(G195="","",IF(SUMIFS(Timesheets!$U$5:$U$804,Timesheets!$G$5:$G$804,A195)&gt;0,SUMIFS(Timesheets!$U$5:$U$804,Timesheets!$G$5:$G$804,A195),IF(Z195="","",Z195)))</f>
        <v>0</v>
      </c>
      <c r="AL195" s="34">
        <f>IF(OR(AK195="",AD195=""),"",AK195-AD195)</f>
        <v>0</v>
      </c>
      <c r="AM195" s="31">
        <f>IF(A195="","",COUNTIFS('Job Tasks'!$B$5:$B$904,A195))</f>
        <v>0</v>
      </c>
      <c r="AN195" s="31">
        <f>IF(A195="","",COUNTIFS('Job Tasks'!$B$5:$B$904,A195,'Job Tasks'!$H$5:$H$904,"Done"))</f>
        <v>0</v>
      </c>
      <c r="AO195" s="38">
        <f>IF(OR(A195="",AM195=0),"",AN195/AM195)</f>
        <v>0</v>
      </c>
      <c r="AP195" s="43">
        <f>IF(A195="","",IFERROR(INDEX('Invoice Lines'!$B$5:$B$804,MATCH(A195,'Invoice Lines'!$C$5:$C$804,0)),""))</f>
        <v>0</v>
      </c>
      <c r="AQ195" s="18">
        <f>IF(OR(G195="",B195="",X195&lt;&gt;"Yes"),"",IF(IFERROR(INDEX(FreqDays,MATCH(O195,FreqNames,0)),0)=0,"",B195+IFERROR(INDEX(FreqDays,MATCH(O195,FreqNames,0)),0)))</f>
        <v>0</v>
      </c>
      <c r="AR195" s="39">
        <f>IF(G195="","",IF(R195="","Unassigned",IF(COUNTIFS($R$5:$R$604,R195,$B$5:$B$604,B195,$F$5:$F$604,F195)&gt;1,"Clash",IF(SUMIFS($AF$5:$AF$604,$R$5:$R$604,R195,$B$5:$B$604,B195)&gt;ProductiveHours,"Long day","OK"))))</f>
        <v>0</v>
      </c>
      <c r="AS195" s="18">
        <f>IF(OR(G195="",B195=""),"",IF(AND(B195&gt;=TodayDate,P195&lt;&gt;"Cancelled"),B195,""))</f>
        <v>0</v>
      </c>
      <c r="AT195" s="31">
        <f>IF(AS195="","",COUNTIFS($AS$5:$AS$604,"&lt;"&amp;AS195)+COUNTIFS($AS$5:AS195,AS195))</f>
        <v>0</v>
      </c>
      <c r="AU195" s="18">
        <f>IF(OR(G195="",B195="",R195&lt;&gt;""),"",IF(AND(B195&gt;=TodayDate,P195&lt;&gt;"Cancelled"),B195,""))</f>
        <v>0</v>
      </c>
      <c r="AV195" s="31">
        <f>IF(AU195="","",COUNTIFS($AU$5:$AU$604,"&lt;"&amp;AU195)+COUNTIFS($AU$5:AU195,AU195))</f>
        <v>0</v>
      </c>
      <c r="AW195" s="31">
        <f>IF(OR(G195="",B195=""),"",B195-TodayDate)</f>
        <v>0</v>
      </c>
      <c r="AX195" s="39">
        <f>IF(G195="","",IF(P195="Cancelled","Cancelled",IF(P195="No access","Action - no access, rebook",IF(AND(B195&lt;&gt;"",AW195&lt;0,OR(P195="Booked",P195="Confirmed",P195="In progress")),"Late - mark it completed",IF(AND(P195="Completed",AP195=""),"Action - not invoiced yet",IF(AND(AW195&gt;=0,AW195&lt;=ReminderDays,Y195&lt;&gt;"Yes"),"Confirm - visit coming up",IF(R195="","Assign - no cleaner booked",IF(AND(P195="Completed",AO195&lt;&gt;"",AO195&lt;1),"Check - checklist unfinished","OK"))))))))</f>
        <v>0</v>
      </c>
    </row>
    <row r="196" spans="1:50">
      <c r="A196" s="43">
        <f>IF(G196="","",JobPrefix&amp;TEXT(ROW()-4,"0000"))</f>
        <v>0</v>
      </c>
      <c r="C196" s="23">
        <f>IF(B196="","",TEXT(B196,"ddd"))</f>
        <v>0</v>
      </c>
      <c r="D196" s="31">
        <f>IF(B196="","",WEEKNUM(B196,IF(WeekStart="Sunday",1,2)))</f>
        <v>0</v>
      </c>
      <c r="E196" s="23">
        <f>IF(B196="","",TEXT(B196,"yyyy-mm"))</f>
        <v>0</v>
      </c>
      <c r="H196" s="23">
        <f>IF(G196="","",IFERROR(INDEX(Clients!$B$5:$B$204,MATCH(G196,Clients!$A$5:$A$204,0)),"Not found"))</f>
        <v>0</v>
      </c>
      <c r="I196" s="23">
        <f>IF(G196="","",IFERROR(INDEX(Clients!$C$5:$C$204,MATCH(G196,Clients!$A$5:$A$204,0)),""))</f>
        <v>0</v>
      </c>
      <c r="K196" s="23">
        <f>IF(J196="","",IFERROR(INDEX(Properties!$B$5:$B$254,MATCH(J196,Properties!$A$5:$A$254,0)),""))</f>
        <v>0</v>
      </c>
      <c r="L196" s="23">
        <f>IF(J196="","",IFERROR(INDEX(Properties!$F$5:$F$254,MATCH(J196,Properties!$A$5:$A$254,0)),""))</f>
        <v>0</v>
      </c>
      <c r="AD196" s="34">
        <f>IF(G196="","",IF(U196&lt;&gt;"",U196,IF(AND(IFERROR(INDEX(Services!$D$5:$D$64,MATCH(M196,Services!$B$5:$B$64,0)),"")="Per hour",IFERROR(INDEX(Properties!$X$5:$X$254,MATCH(J196,Properties!$A$5:$A$254,0)),0)&gt;0),IFERROR(INDEX(Properties!$X$5:$X$254,MATCH(J196,Properties!$A$5:$A$254,0)),0),IF(IFERROR(INDEX(Services!$G$5:$G$64,MATCH(M196,Services!$B$5:$B$64,0)),0)&gt;0,IFERROR(INDEX(Services!$G$5:$G$64,MATCH(M196,Services!$B$5:$B$64,0)),0),IFERROR(INDEX(Properties!$X$5:$X$254,MATCH(J196,Properties!$A$5:$A$254,0)),0)))))</f>
        <v>0</v>
      </c>
      <c r="AE196" s="31">
        <f>IF(G196="","",IF(T196="",CleanersPerJob,MAX(1,T196)))</f>
        <v>0</v>
      </c>
      <c r="AF196" s="34">
        <f>IF(G196="","",ROUND(AD196/AE196,2))</f>
        <v>0</v>
      </c>
      <c r="AG196" s="53">
        <f>IF(OR(G196="",F196="",AF196=""),"",F196+AF196/24)</f>
        <v>0</v>
      </c>
      <c r="AH196" s="21">
        <f>IF(G196="","",IF(IFERROR(INDEX(Clients!$O$5:$O$204,MATCH(G196,Clients!$A$5:$A$204,0)),0)&gt;0,IFERROR(INDEX(Clients!$O$5:$O$204,MATCH(G196,Clients!$A$5:$A$204,0)),0),HourlyRate))</f>
        <v>0</v>
      </c>
      <c r="AI196" s="21">
        <f>IF(G196="","",IF(AND(M196&lt;&gt;"",IFERROR(INDEX(Services!$P$5:$P$64,MATCH(M196,Services!$B$5:$B$64,0)),0)&gt;0,IFERROR(INDEX(Services!$D$5:$D$64,MATCH(M196,Services!$B$5:$B$64,0)),"")&lt;&gt;"Per hour"),IFERROR(INDEX(Services!$P$5:$P$64,MATCH(M196,Services!$B$5:$B$64,0)),0),AD196*AH196))</f>
        <v>0</v>
      </c>
      <c r="AJ196" s="21">
        <f>IF(G196="","",IF(V196&lt;&gt;"",V196,IF(P196="Cancelled",0,MAX(MinimumCharge,ROUND(AI196*IFERROR(INDEX(FreqFactors,MATCH(O196,FreqNames,0)),1),2)))))</f>
        <v>0</v>
      </c>
      <c r="AK196" s="34">
        <f>IF(G196="","",IF(SUMIFS(Timesheets!$U$5:$U$804,Timesheets!$G$5:$G$804,A196)&gt;0,SUMIFS(Timesheets!$U$5:$U$804,Timesheets!$G$5:$G$804,A196),IF(Z196="","",Z196)))</f>
        <v>0</v>
      </c>
      <c r="AL196" s="34">
        <f>IF(OR(AK196="",AD196=""),"",AK196-AD196)</f>
        <v>0</v>
      </c>
      <c r="AM196" s="31">
        <f>IF(A196="","",COUNTIFS('Job Tasks'!$B$5:$B$904,A196))</f>
        <v>0</v>
      </c>
      <c r="AN196" s="31">
        <f>IF(A196="","",COUNTIFS('Job Tasks'!$B$5:$B$904,A196,'Job Tasks'!$H$5:$H$904,"Done"))</f>
        <v>0</v>
      </c>
      <c r="AO196" s="38">
        <f>IF(OR(A196="",AM196=0),"",AN196/AM196)</f>
        <v>0</v>
      </c>
      <c r="AP196" s="43">
        <f>IF(A196="","",IFERROR(INDEX('Invoice Lines'!$B$5:$B$804,MATCH(A196,'Invoice Lines'!$C$5:$C$804,0)),""))</f>
        <v>0</v>
      </c>
      <c r="AQ196" s="18">
        <f>IF(OR(G196="",B196="",X196&lt;&gt;"Yes"),"",IF(IFERROR(INDEX(FreqDays,MATCH(O196,FreqNames,0)),0)=0,"",B196+IFERROR(INDEX(FreqDays,MATCH(O196,FreqNames,0)),0)))</f>
        <v>0</v>
      </c>
      <c r="AR196" s="39">
        <f>IF(G196="","",IF(R196="","Unassigned",IF(COUNTIFS($R$5:$R$604,R196,$B$5:$B$604,B196,$F$5:$F$604,F196)&gt;1,"Clash",IF(SUMIFS($AF$5:$AF$604,$R$5:$R$604,R196,$B$5:$B$604,B196)&gt;ProductiveHours,"Long day","OK"))))</f>
        <v>0</v>
      </c>
      <c r="AS196" s="18">
        <f>IF(OR(G196="",B196=""),"",IF(AND(B196&gt;=TodayDate,P196&lt;&gt;"Cancelled"),B196,""))</f>
        <v>0</v>
      </c>
      <c r="AT196" s="31">
        <f>IF(AS196="","",COUNTIFS($AS$5:$AS$604,"&lt;"&amp;AS196)+COUNTIFS($AS$5:AS196,AS196))</f>
        <v>0</v>
      </c>
      <c r="AU196" s="18">
        <f>IF(OR(G196="",B196="",R196&lt;&gt;""),"",IF(AND(B196&gt;=TodayDate,P196&lt;&gt;"Cancelled"),B196,""))</f>
        <v>0</v>
      </c>
      <c r="AV196" s="31">
        <f>IF(AU196="","",COUNTIFS($AU$5:$AU$604,"&lt;"&amp;AU196)+COUNTIFS($AU$5:AU196,AU196))</f>
        <v>0</v>
      </c>
      <c r="AW196" s="31">
        <f>IF(OR(G196="",B196=""),"",B196-TodayDate)</f>
        <v>0</v>
      </c>
      <c r="AX196" s="39">
        <f>IF(G196="","",IF(P196="Cancelled","Cancelled",IF(P196="No access","Action - no access, rebook",IF(AND(B196&lt;&gt;"",AW196&lt;0,OR(P196="Booked",P196="Confirmed",P196="In progress")),"Late - mark it completed",IF(AND(P196="Completed",AP196=""),"Action - not invoiced yet",IF(AND(AW196&gt;=0,AW196&lt;=ReminderDays,Y196&lt;&gt;"Yes"),"Confirm - visit coming up",IF(R196="","Assign - no cleaner booked",IF(AND(P196="Completed",AO196&lt;&gt;"",AO196&lt;1),"Check - checklist unfinished","OK"))))))))</f>
        <v>0</v>
      </c>
    </row>
    <row r="197" spans="1:50">
      <c r="A197" s="43">
        <f>IF(G197="","",JobPrefix&amp;TEXT(ROW()-4,"0000"))</f>
        <v>0</v>
      </c>
      <c r="C197" s="23">
        <f>IF(B197="","",TEXT(B197,"ddd"))</f>
        <v>0</v>
      </c>
      <c r="D197" s="31">
        <f>IF(B197="","",WEEKNUM(B197,IF(WeekStart="Sunday",1,2)))</f>
        <v>0</v>
      </c>
      <c r="E197" s="23">
        <f>IF(B197="","",TEXT(B197,"yyyy-mm"))</f>
        <v>0</v>
      </c>
      <c r="H197" s="23">
        <f>IF(G197="","",IFERROR(INDEX(Clients!$B$5:$B$204,MATCH(G197,Clients!$A$5:$A$204,0)),"Not found"))</f>
        <v>0</v>
      </c>
      <c r="I197" s="23">
        <f>IF(G197="","",IFERROR(INDEX(Clients!$C$5:$C$204,MATCH(G197,Clients!$A$5:$A$204,0)),""))</f>
        <v>0</v>
      </c>
      <c r="K197" s="23">
        <f>IF(J197="","",IFERROR(INDEX(Properties!$B$5:$B$254,MATCH(J197,Properties!$A$5:$A$254,0)),""))</f>
        <v>0</v>
      </c>
      <c r="L197" s="23">
        <f>IF(J197="","",IFERROR(INDEX(Properties!$F$5:$F$254,MATCH(J197,Properties!$A$5:$A$254,0)),""))</f>
        <v>0</v>
      </c>
      <c r="AD197" s="34">
        <f>IF(G197="","",IF(U197&lt;&gt;"",U197,IF(AND(IFERROR(INDEX(Services!$D$5:$D$64,MATCH(M197,Services!$B$5:$B$64,0)),"")="Per hour",IFERROR(INDEX(Properties!$X$5:$X$254,MATCH(J197,Properties!$A$5:$A$254,0)),0)&gt;0),IFERROR(INDEX(Properties!$X$5:$X$254,MATCH(J197,Properties!$A$5:$A$254,0)),0),IF(IFERROR(INDEX(Services!$G$5:$G$64,MATCH(M197,Services!$B$5:$B$64,0)),0)&gt;0,IFERROR(INDEX(Services!$G$5:$G$64,MATCH(M197,Services!$B$5:$B$64,0)),0),IFERROR(INDEX(Properties!$X$5:$X$254,MATCH(J197,Properties!$A$5:$A$254,0)),0)))))</f>
        <v>0</v>
      </c>
      <c r="AE197" s="31">
        <f>IF(G197="","",IF(T197="",CleanersPerJob,MAX(1,T197)))</f>
        <v>0</v>
      </c>
      <c r="AF197" s="34">
        <f>IF(G197="","",ROUND(AD197/AE197,2))</f>
        <v>0</v>
      </c>
      <c r="AG197" s="53">
        <f>IF(OR(G197="",F197="",AF197=""),"",F197+AF197/24)</f>
        <v>0</v>
      </c>
      <c r="AH197" s="21">
        <f>IF(G197="","",IF(IFERROR(INDEX(Clients!$O$5:$O$204,MATCH(G197,Clients!$A$5:$A$204,0)),0)&gt;0,IFERROR(INDEX(Clients!$O$5:$O$204,MATCH(G197,Clients!$A$5:$A$204,0)),0),HourlyRate))</f>
        <v>0</v>
      </c>
      <c r="AI197" s="21">
        <f>IF(G197="","",IF(AND(M197&lt;&gt;"",IFERROR(INDEX(Services!$P$5:$P$64,MATCH(M197,Services!$B$5:$B$64,0)),0)&gt;0,IFERROR(INDEX(Services!$D$5:$D$64,MATCH(M197,Services!$B$5:$B$64,0)),"")&lt;&gt;"Per hour"),IFERROR(INDEX(Services!$P$5:$P$64,MATCH(M197,Services!$B$5:$B$64,0)),0),AD197*AH197))</f>
        <v>0</v>
      </c>
      <c r="AJ197" s="21">
        <f>IF(G197="","",IF(V197&lt;&gt;"",V197,IF(P197="Cancelled",0,MAX(MinimumCharge,ROUND(AI197*IFERROR(INDEX(FreqFactors,MATCH(O197,FreqNames,0)),1),2)))))</f>
        <v>0</v>
      </c>
      <c r="AK197" s="34">
        <f>IF(G197="","",IF(SUMIFS(Timesheets!$U$5:$U$804,Timesheets!$G$5:$G$804,A197)&gt;0,SUMIFS(Timesheets!$U$5:$U$804,Timesheets!$G$5:$G$804,A197),IF(Z197="","",Z197)))</f>
        <v>0</v>
      </c>
      <c r="AL197" s="34">
        <f>IF(OR(AK197="",AD197=""),"",AK197-AD197)</f>
        <v>0</v>
      </c>
      <c r="AM197" s="31">
        <f>IF(A197="","",COUNTIFS('Job Tasks'!$B$5:$B$904,A197))</f>
        <v>0</v>
      </c>
      <c r="AN197" s="31">
        <f>IF(A197="","",COUNTIFS('Job Tasks'!$B$5:$B$904,A197,'Job Tasks'!$H$5:$H$904,"Done"))</f>
        <v>0</v>
      </c>
      <c r="AO197" s="38">
        <f>IF(OR(A197="",AM197=0),"",AN197/AM197)</f>
        <v>0</v>
      </c>
      <c r="AP197" s="43">
        <f>IF(A197="","",IFERROR(INDEX('Invoice Lines'!$B$5:$B$804,MATCH(A197,'Invoice Lines'!$C$5:$C$804,0)),""))</f>
        <v>0</v>
      </c>
      <c r="AQ197" s="18">
        <f>IF(OR(G197="",B197="",X197&lt;&gt;"Yes"),"",IF(IFERROR(INDEX(FreqDays,MATCH(O197,FreqNames,0)),0)=0,"",B197+IFERROR(INDEX(FreqDays,MATCH(O197,FreqNames,0)),0)))</f>
        <v>0</v>
      </c>
      <c r="AR197" s="39">
        <f>IF(G197="","",IF(R197="","Unassigned",IF(COUNTIFS($R$5:$R$604,R197,$B$5:$B$604,B197,$F$5:$F$604,F197)&gt;1,"Clash",IF(SUMIFS($AF$5:$AF$604,$R$5:$R$604,R197,$B$5:$B$604,B197)&gt;ProductiveHours,"Long day","OK"))))</f>
        <v>0</v>
      </c>
      <c r="AS197" s="18">
        <f>IF(OR(G197="",B197=""),"",IF(AND(B197&gt;=TodayDate,P197&lt;&gt;"Cancelled"),B197,""))</f>
        <v>0</v>
      </c>
      <c r="AT197" s="31">
        <f>IF(AS197="","",COUNTIFS($AS$5:$AS$604,"&lt;"&amp;AS197)+COUNTIFS($AS$5:AS197,AS197))</f>
        <v>0</v>
      </c>
      <c r="AU197" s="18">
        <f>IF(OR(G197="",B197="",R197&lt;&gt;""),"",IF(AND(B197&gt;=TodayDate,P197&lt;&gt;"Cancelled"),B197,""))</f>
        <v>0</v>
      </c>
      <c r="AV197" s="31">
        <f>IF(AU197="","",COUNTIFS($AU$5:$AU$604,"&lt;"&amp;AU197)+COUNTIFS($AU$5:AU197,AU197))</f>
        <v>0</v>
      </c>
      <c r="AW197" s="31">
        <f>IF(OR(G197="",B197=""),"",B197-TodayDate)</f>
        <v>0</v>
      </c>
      <c r="AX197" s="39">
        <f>IF(G197="","",IF(P197="Cancelled","Cancelled",IF(P197="No access","Action - no access, rebook",IF(AND(B197&lt;&gt;"",AW197&lt;0,OR(P197="Booked",P197="Confirmed",P197="In progress")),"Late - mark it completed",IF(AND(P197="Completed",AP197=""),"Action - not invoiced yet",IF(AND(AW197&gt;=0,AW197&lt;=ReminderDays,Y197&lt;&gt;"Yes"),"Confirm - visit coming up",IF(R197="","Assign - no cleaner booked",IF(AND(P197="Completed",AO197&lt;&gt;"",AO197&lt;1),"Check - checklist unfinished","OK"))))))))</f>
        <v>0</v>
      </c>
    </row>
    <row r="198" spans="1:50">
      <c r="A198" s="43">
        <f>IF(G198="","",JobPrefix&amp;TEXT(ROW()-4,"0000"))</f>
        <v>0</v>
      </c>
      <c r="C198" s="23">
        <f>IF(B198="","",TEXT(B198,"ddd"))</f>
        <v>0</v>
      </c>
      <c r="D198" s="31">
        <f>IF(B198="","",WEEKNUM(B198,IF(WeekStart="Sunday",1,2)))</f>
        <v>0</v>
      </c>
      <c r="E198" s="23">
        <f>IF(B198="","",TEXT(B198,"yyyy-mm"))</f>
        <v>0</v>
      </c>
      <c r="H198" s="23">
        <f>IF(G198="","",IFERROR(INDEX(Clients!$B$5:$B$204,MATCH(G198,Clients!$A$5:$A$204,0)),"Not found"))</f>
        <v>0</v>
      </c>
      <c r="I198" s="23">
        <f>IF(G198="","",IFERROR(INDEX(Clients!$C$5:$C$204,MATCH(G198,Clients!$A$5:$A$204,0)),""))</f>
        <v>0</v>
      </c>
      <c r="K198" s="23">
        <f>IF(J198="","",IFERROR(INDEX(Properties!$B$5:$B$254,MATCH(J198,Properties!$A$5:$A$254,0)),""))</f>
        <v>0</v>
      </c>
      <c r="L198" s="23">
        <f>IF(J198="","",IFERROR(INDEX(Properties!$F$5:$F$254,MATCH(J198,Properties!$A$5:$A$254,0)),""))</f>
        <v>0</v>
      </c>
      <c r="AD198" s="34">
        <f>IF(G198="","",IF(U198&lt;&gt;"",U198,IF(AND(IFERROR(INDEX(Services!$D$5:$D$64,MATCH(M198,Services!$B$5:$B$64,0)),"")="Per hour",IFERROR(INDEX(Properties!$X$5:$X$254,MATCH(J198,Properties!$A$5:$A$254,0)),0)&gt;0),IFERROR(INDEX(Properties!$X$5:$X$254,MATCH(J198,Properties!$A$5:$A$254,0)),0),IF(IFERROR(INDEX(Services!$G$5:$G$64,MATCH(M198,Services!$B$5:$B$64,0)),0)&gt;0,IFERROR(INDEX(Services!$G$5:$G$64,MATCH(M198,Services!$B$5:$B$64,0)),0),IFERROR(INDEX(Properties!$X$5:$X$254,MATCH(J198,Properties!$A$5:$A$254,0)),0)))))</f>
        <v>0</v>
      </c>
      <c r="AE198" s="31">
        <f>IF(G198="","",IF(T198="",CleanersPerJob,MAX(1,T198)))</f>
        <v>0</v>
      </c>
      <c r="AF198" s="34">
        <f>IF(G198="","",ROUND(AD198/AE198,2))</f>
        <v>0</v>
      </c>
      <c r="AG198" s="53">
        <f>IF(OR(G198="",F198="",AF198=""),"",F198+AF198/24)</f>
        <v>0</v>
      </c>
      <c r="AH198" s="21">
        <f>IF(G198="","",IF(IFERROR(INDEX(Clients!$O$5:$O$204,MATCH(G198,Clients!$A$5:$A$204,0)),0)&gt;0,IFERROR(INDEX(Clients!$O$5:$O$204,MATCH(G198,Clients!$A$5:$A$204,0)),0),HourlyRate))</f>
        <v>0</v>
      </c>
      <c r="AI198" s="21">
        <f>IF(G198="","",IF(AND(M198&lt;&gt;"",IFERROR(INDEX(Services!$P$5:$P$64,MATCH(M198,Services!$B$5:$B$64,0)),0)&gt;0,IFERROR(INDEX(Services!$D$5:$D$64,MATCH(M198,Services!$B$5:$B$64,0)),"")&lt;&gt;"Per hour"),IFERROR(INDEX(Services!$P$5:$P$64,MATCH(M198,Services!$B$5:$B$64,0)),0),AD198*AH198))</f>
        <v>0</v>
      </c>
      <c r="AJ198" s="21">
        <f>IF(G198="","",IF(V198&lt;&gt;"",V198,IF(P198="Cancelled",0,MAX(MinimumCharge,ROUND(AI198*IFERROR(INDEX(FreqFactors,MATCH(O198,FreqNames,0)),1),2)))))</f>
        <v>0</v>
      </c>
      <c r="AK198" s="34">
        <f>IF(G198="","",IF(SUMIFS(Timesheets!$U$5:$U$804,Timesheets!$G$5:$G$804,A198)&gt;0,SUMIFS(Timesheets!$U$5:$U$804,Timesheets!$G$5:$G$804,A198),IF(Z198="","",Z198)))</f>
        <v>0</v>
      </c>
      <c r="AL198" s="34">
        <f>IF(OR(AK198="",AD198=""),"",AK198-AD198)</f>
        <v>0</v>
      </c>
      <c r="AM198" s="31">
        <f>IF(A198="","",COUNTIFS('Job Tasks'!$B$5:$B$904,A198))</f>
        <v>0</v>
      </c>
      <c r="AN198" s="31">
        <f>IF(A198="","",COUNTIFS('Job Tasks'!$B$5:$B$904,A198,'Job Tasks'!$H$5:$H$904,"Done"))</f>
        <v>0</v>
      </c>
      <c r="AO198" s="38">
        <f>IF(OR(A198="",AM198=0),"",AN198/AM198)</f>
        <v>0</v>
      </c>
      <c r="AP198" s="43">
        <f>IF(A198="","",IFERROR(INDEX('Invoice Lines'!$B$5:$B$804,MATCH(A198,'Invoice Lines'!$C$5:$C$804,0)),""))</f>
        <v>0</v>
      </c>
      <c r="AQ198" s="18">
        <f>IF(OR(G198="",B198="",X198&lt;&gt;"Yes"),"",IF(IFERROR(INDEX(FreqDays,MATCH(O198,FreqNames,0)),0)=0,"",B198+IFERROR(INDEX(FreqDays,MATCH(O198,FreqNames,0)),0)))</f>
        <v>0</v>
      </c>
      <c r="AR198" s="39">
        <f>IF(G198="","",IF(R198="","Unassigned",IF(COUNTIFS($R$5:$R$604,R198,$B$5:$B$604,B198,$F$5:$F$604,F198)&gt;1,"Clash",IF(SUMIFS($AF$5:$AF$604,$R$5:$R$604,R198,$B$5:$B$604,B198)&gt;ProductiveHours,"Long day","OK"))))</f>
        <v>0</v>
      </c>
      <c r="AS198" s="18">
        <f>IF(OR(G198="",B198=""),"",IF(AND(B198&gt;=TodayDate,P198&lt;&gt;"Cancelled"),B198,""))</f>
        <v>0</v>
      </c>
      <c r="AT198" s="31">
        <f>IF(AS198="","",COUNTIFS($AS$5:$AS$604,"&lt;"&amp;AS198)+COUNTIFS($AS$5:AS198,AS198))</f>
        <v>0</v>
      </c>
      <c r="AU198" s="18">
        <f>IF(OR(G198="",B198="",R198&lt;&gt;""),"",IF(AND(B198&gt;=TodayDate,P198&lt;&gt;"Cancelled"),B198,""))</f>
        <v>0</v>
      </c>
      <c r="AV198" s="31">
        <f>IF(AU198="","",COUNTIFS($AU$5:$AU$604,"&lt;"&amp;AU198)+COUNTIFS($AU$5:AU198,AU198))</f>
        <v>0</v>
      </c>
      <c r="AW198" s="31">
        <f>IF(OR(G198="",B198=""),"",B198-TodayDate)</f>
        <v>0</v>
      </c>
      <c r="AX198" s="39">
        <f>IF(G198="","",IF(P198="Cancelled","Cancelled",IF(P198="No access","Action - no access, rebook",IF(AND(B198&lt;&gt;"",AW198&lt;0,OR(P198="Booked",P198="Confirmed",P198="In progress")),"Late - mark it completed",IF(AND(P198="Completed",AP198=""),"Action - not invoiced yet",IF(AND(AW198&gt;=0,AW198&lt;=ReminderDays,Y198&lt;&gt;"Yes"),"Confirm - visit coming up",IF(R198="","Assign - no cleaner booked",IF(AND(P198="Completed",AO198&lt;&gt;"",AO198&lt;1),"Check - checklist unfinished","OK"))))))))</f>
        <v>0</v>
      </c>
    </row>
    <row r="199" spans="1:50">
      <c r="A199" s="43">
        <f>IF(G199="","",JobPrefix&amp;TEXT(ROW()-4,"0000"))</f>
        <v>0</v>
      </c>
      <c r="C199" s="23">
        <f>IF(B199="","",TEXT(B199,"ddd"))</f>
        <v>0</v>
      </c>
      <c r="D199" s="31">
        <f>IF(B199="","",WEEKNUM(B199,IF(WeekStart="Sunday",1,2)))</f>
        <v>0</v>
      </c>
      <c r="E199" s="23">
        <f>IF(B199="","",TEXT(B199,"yyyy-mm"))</f>
        <v>0</v>
      </c>
      <c r="H199" s="23">
        <f>IF(G199="","",IFERROR(INDEX(Clients!$B$5:$B$204,MATCH(G199,Clients!$A$5:$A$204,0)),"Not found"))</f>
        <v>0</v>
      </c>
      <c r="I199" s="23">
        <f>IF(G199="","",IFERROR(INDEX(Clients!$C$5:$C$204,MATCH(G199,Clients!$A$5:$A$204,0)),""))</f>
        <v>0</v>
      </c>
      <c r="K199" s="23">
        <f>IF(J199="","",IFERROR(INDEX(Properties!$B$5:$B$254,MATCH(J199,Properties!$A$5:$A$254,0)),""))</f>
        <v>0</v>
      </c>
      <c r="L199" s="23">
        <f>IF(J199="","",IFERROR(INDEX(Properties!$F$5:$F$254,MATCH(J199,Properties!$A$5:$A$254,0)),""))</f>
        <v>0</v>
      </c>
      <c r="AD199" s="34">
        <f>IF(G199="","",IF(U199&lt;&gt;"",U199,IF(AND(IFERROR(INDEX(Services!$D$5:$D$64,MATCH(M199,Services!$B$5:$B$64,0)),"")="Per hour",IFERROR(INDEX(Properties!$X$5:$X$254,MATCH(J199,Properties!$A$5:$A$254,0)),0)&gt;0),IFERROR(INDEX(Properties!$X$5:$X$254,MATCH(J199,Properties!$A$5:$A$254,0)),0),IF(IFERROR(INDEX(Services!$G$5:$G$64,MATCH(M199,Services!$B$5:$B$64,0)),0)&gt;0,IFERROR(INDEX(Services!$G$5:$G$64,MATCH(M199,Services!$B$5:$B$64,0)),0),IFERROR(INDEX(Properties!$X$5:$X$254,MATCH(J199,Properties!$A$5:$A$254,0)),0)))))</f>
        <v>0</v>
      </c>
      <c r="AE199" s="31">
        <f>IF(G199="","",IF(T199="",CleanersPerJob,MAX(1,T199)))</f>
        <v>0</v>
      </c>
      <c r="AF199" s="34">
        <f>IF(G199="","",ROUND(AD199/AE199,2))</f>
        <v>0</v>
      </c>
      <c r="AG199" s="53">
        <f>IF(OR(G199="",F199="",AF199=""),"",F199+AF199/24)</f>
        <v>0</v>
      </c>
      <c r="AH199" s="21">
        <f>IF(G199="","",IF(IFERROR(INDEX(Clients!$O$5:$O$204,MATCH(G199,Clients!$A$5:$A$204,0)),0)&gt;0,IFERROR(INDEX(Clients!$O$5:$O$204,MATCH(G199,Clients!$A$5:$A$204,0)),0),HourlyRate))</f>
        <v>0</v>
      </c>
      <c r="AI199" s="21">
        <f>IF(G199="","",IF(AND(M199&lt;&gt;"",IFERROR(INDEX(Services!$P$5:$P$64,MATCH(M199,Services!$B$5:$B$64,0)),0)&gt;0,IFERROR(INDEX(Services!$D$5:$D$64,MATCH(M199,Services!$B$5:$B$64,0)),"")&lt;&gt;"Per hour"),IFERROR(INDEX(Services!$P$5:$P$64,MATCH(M199,Services!$B$5:$B$64,0)),0),AD199*AH199))</f>
        <v>0</v>
      </c>
      <c r="AJ199" s="21">
        <f>IF(G199="","",IF(V199&lt;&gt;"",V199,IF(P199="Cancelled",0,MAX(MinimumCharge,ROUND(AI199*IFERROR(INDEX(FreqFactors,MATCH(O199,FreqNames,0)),1),2)))))</f>
        <v>0</v>
      </c>
      <c r="AK199" s="34">
        <f>IF(G199="","",IF(SUMIFS(Timesheets!$U$5:$U$804,Timesheets!$G$5:$G$804,A199)&gt;0,SUMIFS(Timesheets!$U$5:$U$804,Timesheets!$G$5:$G$804,A199),IF(Z199="","",Z199)))</f>
        <v>0</v>
      </c>
      <c r="AL199" s="34">
        <f>IF(OR(AK199="",AD199=""),"",AK199-AD199)</f>
        <v>0</v>
      </c>
      <c r="AM199" s="31">
        <f>IF(A199="","",COUNTIFS('Job Tasks'!$B$5:$B$904,A199))</f>
        <v>0</v>
      </c>
      <c r="AN199" s="31">
        <f>IF(A199="","",COUNTIFS('Job Tasks'!$B$5:$B$904,A199,'Job Tasks'!$H$5:$H$904,"Done"))</f>
        <v>0</v>
      </c>
      <c r="AO199" s="38">
        <f>IF(OR(A199="",AM199=0),"",AN199/AM199)</f>
        <v>0</v>
      </c>
      <c r="AP199" s="43">
        <f>IF(A199="","",IFERROR(INDEX('Invoice Lines'!$B$5:$B$804,MATCH(A199,'Invoice Lines'!$C$5:$C$804,0)),""))</f>
        <v>0</v>
      </c>
      <c r="AQ199" s="18">
        <f>IF(OR(G199="",B199="",X199&lt;&gt;"Yes"),"",IF(IFERROR(INDEX(FreqDays,MATCH(O199,FreqNames,0)),0)=0,"",B199+IFERROR(INDEX(FreqDays,MATCH(O199,FreqNames,0)),0)))</f>
        <v>0</v>
      </c>
      <c r="AR199" s="39">
        <f>IF(G199="","",IF(R199="","Unassigned",IF(COUNTIFS($R$5:$R$604,R199,$B$5:$B$604,B199,$F$5:$F$604,F199)&gt;1,"Clash",IF(SUMIFS($AF$5:$AF$604,$R$5:$R$604,R199,$B$5:$B$604,B199)&gt;ProductiveHours,"Long day","OK"))))</f>
        <v>0</v>
      </c>
      <c r="AS199" s="18">
        <f>IF(OR(G199="",B199=""),"",IF(AND(B199&gt;=TodayDate,P199&lt;&gt;"Cancelled"),B199,""))</f>
        <v>0</v>
      </c>
      <c r="AT199" s="31">
        <f>IF(AS199="","",COUNTIFS($AS$5:$AS$604,"&lt;"&amp;AS199)+COUNTIFS($AS$5:AS199,AS199))</f>
        <v>0</v>
      </c>
      <c r="AU199" s="18">
        <f>IF(OR(G199="",B199="",R199&lt;&gt;""),"",IF(AND(B199&gt;=TodayDate,P199&lt;&gt;"Cancelled"),B199,""))</f>
        <v>0</v>
      </c>
      <c r="AV199" s="31">
        <f>IF(AU199="","",COUNTIFS($AU$5:$AU$604,"&lt;"&amp;AU199)+COUNTIFS($AU$5:AU199,AU199))</f>
        <v>0</v>
      </c>
      <c r="AW199" s="31">
        <f>IF(OR(G199="",B199=""),"",B199-TodayDate)</f>
        <v>0</v>
      </c>
      <c r="AX199" s="39">
        <f>IF(G199="","",IF(P199="Cancelled","Cancelled",IF(P199="No access","Action - no access, rebook",IF(AND(B199&lt;&gt;"",AW199&lt;0,OR(P199="Booked",P199="Confirmed",P199="In progress")),"Late - mark it completed",IF(AND(P199="Completed",AP199=""),"Action - not invoiced yet",IF(AND(AW199&gt;=0,AW199&lt;=ReminderDays,Y199&lt;&gt;"Yes"),"Confirm - visit coming up",IF(R199="","Assign - no cleaner booked",IF(AND(P199="Completed",AO199&lt;&gt;"",AO199&lt;1),"Check - checklist unfinished","OK"))))))))</f>
        <v>0</v>
      </c>
    </row>
    <row r="200" spans="1:50">
      <c r="A200" s="43">
        <f>IF(G200="","",JobPrefix&amp;TEXT(ROW()-4,"0000"))</f>
        <v>0</v>
      </c>
      <c r="C200" s="23">
        <f>IF(B200="","",TEXT(B200,"ddd"))</f>
        <v>0</v>
      </c>
      <c r="D200" s="31">
        <f>IF(B200="","",WEEKNUM(B200,IF(WeekStart="Sunday",1,2)))</f>
        <v>0</v>
      </c>
      <c r="E200" s="23">
        <f>IF(B200="","",TEXT(B200,"yyyy-mm"))</f>
        <v>0</v>
      </c>
      <c r="H200" s="23">
        <f>IF(G200="","",IFERROR(INDEX(Clients!$B$5:$B$204,MATCH(G200,Clients!$A$5:$A$204,0)),"Not found"))</f>
        <v>0</v>
      </c>
      <c r="I200" s="23">
        <f>IF(G200="","",IFERROR(INDEX(Clients!$C$5:$C$204,MATCH(G200,Clients!$A$5:$A$204,0)),""))</f>
        <v>0</v>
      </c>
      <c r="K200" s="23">
        <f>IF(J200="","",IFERROR(INDEX(Properties!$B$5:$B$254,MATCH(J200,Properties!$A$5:$A$254,0)),""))</f>
        <v>0</v>
      </c>
      <c r="L200" s="23">
        <f>IF(J200="","",IFERROR(INDEX(Properties!$F$5:$F$254,MATCH(J200,Properties!$A$5:$A$254,0)),""))</f>
        <v>0</v>
      </c>
      <c r="AD200" s="34">
        <f>IF(G200="","",IF(U200&lt;&gt;"",U200,IF(AND(IFERROR(INDEX(Services!$D$5:$D$64,MATCH(M200,Services!$B$5:$B$64,0)),"")="Per hour",IFERROR(INDEX(Properties!$X$5:$X$254,MATCH(J200,Properties!$A$5:$A$254,0)),0)&gt;0),IFERROR(INDEX(Properties!$X$5:$X$254,MATCH(J200,Properties!$A$5:$A$254,0)),0),IF(IFERROR(INDEX(Services!$G$5:$G$64,MATCH(M200,Services!$B$5:$B$64,0)),0)&gt;0,IFERROR(INDEX(Services!$G$5:$G$64,MATCH(M200,Services!$B$5:$B$64,0)),0),IFERROR(INDEX(Properties!$X$5:$X$254,MATCH(J200,Properties!$A$5:$A$254,0)),0)))))</f>
        <v>0</v>
      </c>
      <c r="AE200" s="31">
        <f>IF(G200="","",IF(T200="",CleanersPerJob,MAX(1,T200)))</f>
        <v>0</v>
      </c>
      <c r="AF200" s="34">
        <f>IF(G200="","",ROUND(AD200/AE200,2))</f>
        <v>0</v>
      </c>
      <c r="AG200" s="53">
        <f>IF(OR(G200="",F200="",AF200=""),"",F200+AF200/24)</f>
        <v>0</v>
      </c>
      <c r="AH200" s="21">
        <f>IF(G200="","",IF(IFERROR(INDEX(Clients!$O$5:$O$204,MATCH(G200,Clients!$A$5:$A$204,0)),0)&gt;0,IFERROR(INDEX(Clients!$O$5:$O$204,MATCH(G200,Clients!$A$5:$A$204,0)),0),HourlyRate))</f>
        <v>0</v>
      </c>
      <c r="AI200" s="21">
        <f>IF(G200="","",IF(AND(M200&lt;&gt;"",IFERROR(INDEX(Services!$P$5:$P$64,MATCH(M200,Services!$B$5:$B$64,0)),0)&gt;0,IFERROR(INDEX(Services!$D$5:$D$64,MATCH(M200,Services!$B$5:$B$64,0)),"")&lt;&gt;"Per hour"),IFERROR(INDEX(Services!$P$5:$P$64,MATCH(M200,Services!$B$5:$B$64,0)),0),AD200*AH200))</f>
        <v>0</v>
      </c>
      <c r="AJ200" s="21">
        <f>IF(G200="","",IF(V200&lt;&gt;"",V200,IF(P200="Cancelled",0,MAX(MinimumCharge,ROUND(AI200*IFERROR(INDEX(FreqFactors,MATCH(O200,FreqNames,0)),1),2)))))</f>
        <v>0</v>
      </c>
      <c r="AK200" s="34">
        <f>IF(G200="","",IF(SUMIFS(Timesheets!$U$5:$U$804,Timesheets!$G$5:$G$804,A200)&gt;0,SUMIFS(Timesheets!$U$5:$U$804,Timesheets!$G$5:$G$804,A200),IF(Z200="","",Z200)))</f>
        <v>0</v>
      </c>
      <c r="AL200" s="34">
        <f>IF(OR(AK200="",AD200=""),"",AK200-AD200)</f>
        <v>0</v>
      </c>
      <c r="AM200" s="31">
        <f>IF(A200="","",COUNTIFS('Job Tasks'!$B$5:$B$904,A200))</f>
        <v>0</v>
      </c>
      <c r="AN200" s="31">
        <f>IF(A200="","",COUNTIFS('Job Tasks'!$B$5:$B$904,A200,'Job Tasks'!$H$5:$H$904,"Done"))</f>
        <v>0</v>
      </c>
      <c r="AO200" s="38">
        <f>IF(OR(A200="",AM200=0),"",AN200/AM200)</f>
        <v>0</v>
      </c>
      <c r="AP200" s="43">
        <f>IF(A200="","",IFERROR(INDEX('Invoice Lines'!$B$5:$B$804,MATCH(A200,'Invoice Lines'!$C$5:$C$804,0)),""))</f>
        <v>0</v>
      </c>
      <c r="AQ200" s="18">
        <f>IF(OR(G200="",B200="",X200&lt;&gt;"Yes"),"",IF(IFERROR(INDEX(FreqDays,MATCH(O200,FreqNames,0)),0)=0,"",B200+IFERROR(INDEX(FreqDays,MATCH(O200,FreqNames,0)),0)))</f>
        <v>0</v>
      </c>
      <c r="AR200" s="39">
        <f>IF(G200="","",IF(R200="","Unassigned",IF(COUNTIFS($R$5:$R$604,R200,$B$5:$B$604,B200,$F$5:$F$604,F200)&gt;1,"Clash",IF(SUMIFS($AF$5:$AF$604,$R$5:$R$604,R200,$B$5:$B$604,B200)&gt;ProductiveHours,"Long day","OK"))))</f>
        <v>0</v>
      </c>
      <c r="AS200" s="18">
        <f>IF(OR(G200="",B200=""),"",IF(AND(B200&gt;=TodayDate,P200&lt;&gt;"Cancelled"),B200,""))</f>
        <v>0</v>
      </c>
      <c r="AT200" s="31">
        <f>IF(AS200="","",COUNTIFS($AS$5:$AS$604,"&lt;"&amp;AS200)+COUNTIFS($AS$5:AS200,AS200))</f>
        <v>0</v>
      </c>
      <c r="AU200" s="18">
        <f>IF(OR(G200="",B200="",R200&lt;&gt;""),"",IF(AND(B200&gt;=TodayDate,P200&lt;&gt;"Cancelled"),B200,""))</f>
        <v>0</v>
      </c>
      <c r="AV200" s="31">
        <f>IF(AU200="","",COUNTIFS($AU$5:$AU$604,"&lt;"&amp;AU200)+COUNTIFS($AU$5:AU200,AU200))</f>
        <v>0</v>
      </c>
      <c r="AW200" s="31">
        <f>IF(OR(G200="",B200=""),"",B200-TodayDate)</f>
        <v>0</v>
      </c>
      <c r="AX200" s="39">
        <f>IF(G200="","",IF(P200="Cancelled","Cancelled",IF(P200="No access","Action - no access, rebook",IF(AND(B200&lt;&gt;"",AW200&lt;0,OR(P200="Booked",P200="Confirmed",P200="In progress")),"Late - mark it completed",IF(AND(P200="Completed",AP200=""),"Action - not invoiced yet",IF(AND(AW200&gt;=0,AW200&lt;=ReminderDays,Y200&lt;&gt;"Yes"),"Confirm - visit coming up",IF(R200="","Assign - no cleaner booked",IF(AND(P200="Completed",AO200&lt;&gt;"",AO200&lt;1),"Check - checklist unfinished","OK"))))))))</f>
        <v>0</v>
      </c>
    </row>
    <row r="201" spans="1:50">
      <c r="A201" s="43">
        <f>IF(G201="","",JobPrefix&amp;TEXT(ROW()-4,"0000"))</f>
        <v>0</v>
      </c>
      <c r="C201" s="23">
        <f>IF(B201="","",TEXT(B201,"ddd"))</f>
        <v>0</v>
      </c>
      <c r="D201" s="31">
        <f>IF(B201="","",WEEKNUM(B201,IF(WeekStart="Sunday",1,2)))</f>
        <v>0</v>
      </c>
      <c r="E201" s="23">
        <f>IF(B201="","",TEXT(B201,"yyyy-mm"))</f>
        <v>0</v>
      </c>
      <c r="H201" s="23">
        <f>IF(G201="","",IFERROR(INDEX(Clients!$B$5:$B$204,MATCH(G201,Clients!$A$5:$A$204,0)),"Not found"))</f>
        <v>0</v>
      </c>
      <c r="I201" s="23">
        <f>IF(G201="","",IFERROR(INDEX(Clients!$C$5:$C$204,MATCH(G201,Clients!$A$5:$A$204,0)),""))</f>
        <v>0</v>
      </c>
      <c r="K201" s="23">
        <f>IF(J201="","",IFERROR(INDEX(Properties!$B$5:$B$254,MATCH(J201,Properties!$A$5:$A$254,0)),""))</f>
        <v>0</v>
      </c>
      <c r="L201" s="23">
        <f>IF(J201="","",IFERROR(INDEX(Properties!$F$5:$F$254,MATCH(J201,Properties!$A$5:$A$254,0)),""))</f>
        <v>0</v>
      </c>
      <c r="AD201" s="34">
        <f>IF(G201="","",IF(U201&lt;&gt;"",U201,IF(AND(IFERROR(INDEX(Services!$D$5:$D$64,MATCH(M201,Services!$B$5:$B$64,0)),"")="Per hour",IFERROR(INDEX(Properties!$X$5:$X$254,MATCH(J201,Properties!$A$5:$A$254,0)),0)&gt;0),IFERROR(INDEX(Properties!$X$5:$X$254,MATCH(J201,Properties!$A$5:$A$254,0)),0),IF(IFERROR(INDEX(Services!$G$5:$G$64,MATCH(M201,Services!$B$5:$B$64,0)),0)&gt;0,IFERROR(INDEX(Services!$G$5:$G$64,MATCH(M201,Services!$B$5:$B$64,0)),0),IFERROR(INDEX(Properties!$X$5:$X$254,MATCH(J201,Properties!$A$5:$A$254,0)),0)))))</f>
        <v>0</v>
      </c>
      <c r="AE201" s="31">
        <f>IF(G201="","",IF(T201="",CleanersPerJob,MAX(1,T201)))</f>
        <v>0</v>
      </c>
      <c r="AF201" s="34">
        <f>IF(G201="","",ROUND(AD201/AE201,2))</f>
        <v>0</v>
      </c>
      <c r="AG201" s="53">
        <f>IF(OR(G201="",F201="",AF201=""),"",F201+AF201/24)</f>
        <v>0</v>
      </c>
      <c r="AH201" s="21">
        <f>IF(G201="","",IF(IFERROR(INDEX(Clients!$O$5:$O$204,MATCH(G201,Clients!$A$5:$A$204,0)),0)&gt;0,IFERROR(INDEX(Clients!$O$5:$O$204,MATCH(G201,Clients!$A$5:$A$204,0)),0),HourlyRate))</f>
        <v>0</v>
      </c>
      <c r="AI201" s="21">
        <f>IF(G201="","",IF(AND(M201&lt;&gt;"",IFERROR(INDEX(Services!$P$5:$P$64,MATCH(M201,Services!$B$5:$B$64,0)),0)&gt;0,IFERROR(INDEX(Services!$D$5:$D$64,MATCH(M201,Services!$B$5:$B$64,0)),"")&lt;&gt;"Per hour"),IFERROR(INDEX(Services!$P$5:$P$64,MATCH(M201,Services!$B$5:$B$64,0)),0),AD201*AH201))</f>
        <v>0</v>
      </c>
      <c r="AJ201" s="21">
        <f>IF(G201="","",IF(V201&lt;&gt;"",V201,IF(P201="Cancelled",0,MAX(MinimumCharge,ROUND(AI201*IFERROR(INDEX(FreqFactors,MATCH(O201,FreqNames,0)),1),2)))))</f>
        <v>0</v>
      </c>
      <c r="AK201" s="34">
        <f>IF(G201="","",IF(SUMIFS(Timesheets!$U$5:$U$804,Timesheets!$G$5:$G$804,A201)&gt;0,SUMIFS(Timesheets!$U$5:$U$804,Timesheets!$G$5:$G$804,A201),IF(Z201="","",Z201)))</f>
        <v>0</v>
      </c>
      <c r="AL201" s="34">
        <f>IF(OR(AK201="",AD201=""),"",AK201-AD201)</f>
        <v>0</v>
      </c>
      <c r="AM201" s="31">
        <f>IF(A201="","",COUNTIFS('Job Tasks'!$B$5:$B$904,A201))</f>
        <v>0</v>
      </c>
      <c r="AN201" s="31">
        <f>IF(A201="","",COUNTIFS('Job Tasks'!$B$5:$B$904,A201,'Job Tasks'!$H$5:$H$904,"Done"))</f>
        <v>0</v>
      </c>
      <c r="AO201" s="38">
        <f>IF(OR(A201="",AM201=0),"",AN201/AM201)</f>
        <v>0</v>
      </c>
      <c r="AP201" s="43">
        <f>IF(A201="","",IFERROR(INDEX('Invoice Lines'!$B$5:$B$804,MATCH(A201,'Invoice Lines'!$C$5:$C$804,0)),""))</f>
        <v>0</v>
      </c>
      <c r="AQ201" s="18">
        <f>IF(OR(G201="",B201="",X201&lt;&gt;"Yes"),"",IF(IFERROR(INDEX(FreqDays,MATCH(O201,FreqNames,0)),0)=0,"",B201+IFERROR(INDEX(FreqDays,MATCH(O201,FreqNames,0)),0)))</f>
        <v>0</v>
      </c>
      <c r="AR201" s="39">
        <f>IF(G201="","",IF(R201="","Unassigned",IF(COUNTIFS($R$5:$R$604,R201,$B$5:$B$604,B201,$F$5:$F$604,F201)&gt;1,"Clash",IF(SUMIFS($AF$5:$AF$604,$R$5:$R$604,R201,$B$5:$B$604,B201)&gt;ProductiveHours,"Long day","OK"))))</f>
        <v>0</v>
      </c>
      <c r="AS201" s="18">
        <f>IF(OR(G201="",B201=""),"",IF(AND(B201&gt;=TodayDate,P201&lt;&gt;"Cancelled"),B201,""))</f>
        <v>0</v>
      </c>
      <c r="AT201" s="31">
        <f>IF(AS201="","",COUNTIFS($AS$5:$AS$604,"&lt;"&amp;AS201)+COUNTIFS($AS$5:AS201,AS201))</f>
        <v>0</v>
      </c>
      <c r="AU201" s="18">
        <f>IF(OR(G201="",B201="",R201&lt;&gt;""),"",IF(AND(B201&gt;=TodayDate,P201&lt;&gt;"Cancelled"),B201,""))</f>
        <v>0</v>
      </c>
      <c r="AV201" s="31">
        <f>IF(AU201="","",COUNTIFS($AU$5:$AU$604,"&lt;"&amp;AU201)+COUNTIFS($AU$5:AU201,AU201))</f>
        <v>0</v>
      </c>
      <c r="AW201" s="31">
        <f>IF(OR(G201="",B201=""),"",B201-TodayDate)</f>
        <v>0</v>
      </c>
      <c r="AX201" s="39">
        <f>IF(G201="","",IF(P201="Cancelled","Cancelled",IF(P201="No access","Action - no access, rebook",IF(AND(B201&lt;&gt;"",AW201&lt;0,OR(P201="Booked",P201="Confirmed",P201="In progress")),"Late - mark it completed",IF(AND(P201="Completed",AP201=""),"Action - not invoiced yet",IF(AND(AW201&gt;=0,AW201&lt;=ReminderDays,Y201&lt;&gt;"Yes"),"Confirm - visit coming up",IF(R201="","Assign - no cleaner booked",IF(AND(P201="Completed",AO201&lt;&gt;"",AO201&lt;1),"Check - checklist unfinished","OK"))))))))</f>
        <v>0</v>
      </c>
    </row>
    <row r="202" spans="1:50">
      <c r="A202" s="43">
        <f>IF(G202="","",JobPrefix&amp;TEXT(ROW()-4,"0000"))</f>
        <v>0</v>
      </c>
      <c r="C202" s="23">
        <f>IF(B202="","",TEXT(B202,"ddd"))</f>
        <v>0</v>
      </c>
      <c r="D202" s="31">
        <f>IF(B202="","",WEEKNUM(B202,IF(WeekStart="Sunday",1,2)))</f>
        <v>0</v>
      </c>
      <c r="E202" s="23">
        <f>IF(B202="","",TEXT(B202,"yyyy-mm"))</f>
        <v>0</v>
      </c>
      <c r="H202" s="23">
        <f>IF(G202="","",IFERROR(INDEX(Clients!$B$5:$B$204,MATCH(G202,Clients!$A$5:$A$204,0)),"Not found"))</f>
        <v>0</v>
      </c>
      <c r="I202" s="23">
        <f>IF(G202="","",IFERROR(INDEX(Clients!$C$5:$C$204,MATCH(G202,Clients!$A$5:$A$204,0)),""))</f>
        <v>0</v>
      </c>
      <c r="K202" s="23">
        <f>IF(J202="","",IFERROR(INDEX(Properties!$B$5:$B$254,MATCH(J202,Properties!$A$5:$A$254,0)),""))</f>
        <v>0</v>
      </c>
      <c r="L202" s="23">
        <f>IF(J202="","",IFERROR(INDEX(Properties!$F$5:$F$254,MATCH(J202,Properties!$A$5:$A$254,0)),""))</f>
        <v>0</v>
      </c>
      <c r="AD202" s="34">
        <f>IF(G202="","",IF(U202&lt;&gt;"",U202,IF(AND(IFERROR(INDEX(Services!$D$5:$D$64,MATCH(M202,Services!$B$5:$B$64,0)),"")="Per hour",IFERROR(INDEX(Properties!$X$5:$X$254,MATCH(J202,Properties!$A$5:$A$254,0)),0)&gt;0),IFERROR(INDEX(Properties!$X$5:$X$254,MATCH(J202,Properties!$A$5:$A$254,0)),0),IF(IFERROR(INDEX(Services!$G$5:$G$64,MATCH(M202,Services!$B$5:$B$64,0)),0)&gt;0,IFERROR(INDEX(Services!$G$5:$G$64,MATCH(M202,Services!$B$5:$B$64,0)),0),IFERROR(INDEX(Properties!$X$5:$X$254,MATCH(J202,Properties!$A$5:$A$254,0)),0)))))</f>
        <v>0</v>
      </c>
      <c r="AE202" s="31">
        <f>IF(G202="","",IF(T202="",CleanersPerJob,MAX(1,T202)))</f>
        <v>0</v>
      </c>
      <c r="AF202" s="34">
        <f>IF(G202="","",ROUND(AD202/AE202,2))</f>
        <v>0</v>
      </c>
      <c r="AG202" s="53">
        <f>IF(OR(G202="",F202="",AF202=""),"",F202+AF202/24)</f>
        <v>0</v>
      </c>
      <c r="AH202" s="21">
        <f>IF(G202="","",IF(IFERROR(INDEX(Clients!$O$5:$O$204,MATCH(G202,Clients!$A$5:$A$204,0)),0)&gt;0,IFERROR(INDEX(Clients!$O$5:$O$204,MATCH(G202,Clients!$A$5:$A$204,0)),0),HourlyRate))</f>
        <v>0</v>
      </c>
      <c r="AI202" s="21">
        <f>IF(G202="","",IF(AND(M202&lt;&gt;"",IFERROR(INDEX(Services!$P$5:$P$64,MATCH(M202,Services!$B$5:$B$64,0)),0)&gt;0,IFERROR(INDEX(Services!$D$5:$D$64,MATCH(M202,Services!$B$5:$B$64,0)),"")&lt;&gt;"Per hour"),IFERROR(INDEX(Services!$P$5:$P$64,MATCH(M202,Services!$B$5:$B$64,0)),0),AD202*AH202))</f>
        <v>0</v>
      </c>
      <c r="AJ202" s="21">
        <f>IF(G202="","",IF(V202&lt;&gt;"",V202,IF(P202="Cancelled",0,MAX(MinimumCharge,ROUND(AI202*IFERROR(INDEX(FreqFactors,MATCH(O202,FreqNames,0)),1),2)))))</f>
        <v>0</v>
      </c>
      <c r="AK202" s="34">
        <f>IF(G202="","",IF(SUMIFS(Timesheets!$U$5:$U$804,Timesheets!$G$5:$G$804,A202)&gt;0,SUMIFS(Timesheets!$U$5:$U$804,Timesheets!$G$5:$G$804,A202),IF(Z202="","",Z202)))</f>
        <v>0</v>
      </c>
      <c r="AL202" s="34">
        <f>IF(OR(AK202="",AD202=""),"",AK202-AD202)</f>
        <v>0</v>
      </c>
      <c r="AM202" s="31">
        <f>IF(A202="","",COUNTIFS('Job Tasks'!$B$5:$B$904,A202))</f>
        <v>0</v>
      </c>
      <c r="AN202" s="31">
        <f>IF(A202="","",COUNTIFS('Job Tasks'!$B$5:$B$904,A202,'Job Tasks'!$H$5:$H$904,"Done"))</f>
        <v>0</v>
      </c>
      <c r="AO202" s="38">
        <f>IF(OR(A202="",AM202=0),"",AN202/AM202)</f>
        <v>0</v>
      </c>
      <c r="AP202" s="43">
        <f>IF(A202="","",IFERROR(INDEX('Invoice Lines'!$B$5:$B$804,MATCH(A202,'Invoice Lines'!$C$5:$C$804,0)),""))</f>
        <v>0</v>
      </c>
      <c r="AQ202" s="18">
        <f>IF(OR(G202="",B202="",X202&lt;&gt;"Yes"),"",IF(IFERROR(INDEX(FreqDays,MATCH(O202,FreqNames,0)),0)=0,"",B202+IFERROR(INDEX(FreqDays,MATCH(O202,FreqNames,0)),0)))</f>
        <v>0</v>
      </c>
      <c r="AR202" s="39">
        <f>IF(G202="","",IF(R202="","Unassigned",IF(COUNTIFS($R$5:$R$604,R202,$B$5:$B$604,B202,$F$5:$F$604,F202)&gt;1,"Clash",IF(SUMIFS($AF$5:$AF$604,$R$5:$R$604,R202,$B$5:$B$604,B202)&gt;ProductiveHours,"Long day","OK"))))</f>
        <v>0</v>
      </c>
      <c r="AS202" s="18">
        <f>IF(OR(G202="",B202=""),"",IF(AND(B202&gt;=TodayDate,P202&lt;&gt;"Cancelled"),B202,""))</f>
        <v>0</v>
      </c>
      <c r="AT202" s="31">
        <f>IF(AS202="","",COUNTIFS($AS$5:$AS$604,"&lt;"&amp;AS202)+COUNTIFS($AS$5:AS202,AS202))</f>
        <v>0</v>
      </c>
      <c r="AU202" s="18">
        <f>IF(OR(G202="",B202="",R202&lt;&gt;""),"",IF(AND(B202&gt;=TodayDate,P202&lt;&gt;"Cancelled"),B202,""))</f>
        <v>0</v>
      </c>
      <c r="AV202" s="31">
        <f>IF(AU202="","",COUNTIFS($AU$5:$AU$604,"&lt;"&amp;AU202)+COUNTIFS($AU$5:AU202,AU202))</f>
        <v>0</v>
      </c>
      <c r="AW202" s="31">
        <f>IF(OR(G202="",B202=""),"",B202-TodayDate)</f>
        <v>0</v>
      </c>
      <c r="AX202" s="39">
        <f>IF(G202="","",IF(P202="Cancelled","Cancelled",IF(P202="No access","Action - no access, rebook",IF(AND(B202&lt;&gt;"",AW202&lt;0,OR(P202="Booked",P202="Confirmed",P202="In progress")),"Late - mark it completed",IF(AND(P202="Completed",AP202=""),"Action - not invoiced yet",IF(AND(AW202&gt;=0,AW202&lt;=ReminderDays,Y202&lt;&gt;"Yes"),"Confirm - visit coming up",IF(R202="","Assign - no cleaner booked",IF(AND(P202="Completed",AO202&lt;&gt;"",AO202&lt;1),"Check - checklist unfinished","OK"))))))))</f>
        <v>0</v>
      </c>
    </row>
    <row r="203" spans="1:50">
      <c r="A203" s="43">
        <f>IF(G203="","",JobPrefix&amp;TEXT(ROW()-4,"0000"))</f>
        <v>0</v>
      </c>
      <c r="C203" s="23">
        <f>IF(B203="","",TEXT(B203,"ddd"))</f>
        <v>0</v>
      </c>
      <c r="D203" s="31">
        <f>IF(B203="","",WEEKNUM(B203,IF(WeekStart="Sunday",1,2)))</f>
        <v>0</v>
      </c>
      <c r="E203" s="23">
        <f>IF(B203="","",TEXT(B203,"yyyy-mm"))</f>
        <v>0</v>
      </c>
      <c r="H203" s="23">
        <f>IF(G203="","",IFERROR(INDEX(Clients!$B$5:$B$204,MATCH(G203,Clients!$A$5:$A$204,0)),"Not found"))</f>
        <v>0</v>
      </c>
      <c r="I203" s="23">
        <f>IF(G203="","",IFERROR(INDEX(Clients!$C$5:$C$204,MATCH(G203,Clients!$A$5:$A$204,0)),""))</f>
        <v>0</v>
      </c>
      <c r="K203" s="23">
        <f>IF(J203="","",IFERROR(INDEX(Properties!$B$5:$B$254,MATCH(J203,Properties!$A$5:$A$254,0)),""))</f>
        <v>0</v>
      </c>
      <c r="L203" s="23">
        <f>IF(J203="","",IFERROR(INDEX(Properties!$F$5:$F$254,MATCH(J203,Properties!$A$5:$A$254,0)),""))</f>
        <v>0</v>
      </c>
      <c r="AD203" s="34">
        <f>IF(G203="","",IF(U203&lt;&gt;"",U203,IF(AND(IFERROR(INDEX(Services!$D$5:$D$64,MATCH(M203,Services!$B$5:$B$64,0)),"")="Per hour",IFERROR(INDEX(Properties!$X$5:$X$254,MATCH(J203,Properties!$A$5:$A$254,0)),0)&gt;0),IFERROR(INDEX(Properties!$X$5:$X$254,MATCH(J203,Properties!$A$5:$A$254,0)),0),IF(IFERROR(INDEX(Services!$G$5:$G$64,MATCH(M203,Services!$B$5:$B$64,0)),0)&gt;0,IFERROR(INDEX(Services!$G$5:$G$64,MATCH(M203,Services!$B$5:$B$64,0)),0),IFERROR(INDEX(Properties!$X$5:$X$254,MATCH(J203,Properties!$A$5:$A$254,0)),0)))))</f>
        <v>0</v>
      </c>
      <c r="AE203" s="31">
        <f>IF(G203="","",IF(T203="",CleanersPerJob,MAX(1,T203)))</f>
        <v>0</v>
      </c>
      <c r="AF203" s="34">
        <f>IF(G203="","",ROUND(AD203/AE203,2))</f>
        <v>0</v>
      </c>
      <c r="AG203" s="53">
        <f>IF(OR(G203="",F203="",AF203=""),"",F203+AF203/24)</f>
        <v>0</v>
      </c>
      <c r="AH203" s="21">
        <f>IF(G203="","",IF(IFERROR(INDEX(Clients!$O$5:$O$204,MATCH(G203,Clients!$A$5:$A$204,0)),0)&gt;0,IFERROR(INDEX(Clients!$O$5:$O$204,MATCH(G203,Clients!$A$5:$A$204,0)),0),HourlyRate))</f>
        <v>0</v>
      </c>
      <c r="AI203" s="21">
        <f>IF(G203="","",IF(AND(M203&lt;&gt;"",IFERROR(INDEX(Services!$P$5:$P$64,MATCH(M203,Services!$B$5:$B$64,0)),0)&gt;0,IFERROR(INDEX(Services!$D$5:$D$64,MATCH(M203,Services!$B$5:$B$64,0)),"")&lt;&gt;"Per hour"),IFERROR(INDEX(Services!$P$5:$P$64,MATCH(M203,Services!$B$5:$B$64,0)),0),AD203*AH203))</f>
        <v>0</v>
      </c>
      <c r="AJ203" s="21">
        <f>IF(G203="","",IF(V203&lt;&gt;"",V203,IF(P203="Cancelled",0,MAX(MinimumCharge,ROUND(AI203*IFERROR(INDEX(FreqFactors,MATCH(O203,FreqNames,0)),1),2)))))</f>
        <v>0</v>
      </c>
      <c r="AK203" s="34">
        <f>IF(G203="","",IF(SUMIFS(Timesheets!$U$5:$U$804,Timesheets!$G$5:$G$804,A203)&gt;0,SUMIFS(Timesheets!$U$5:$U$804,Timesheets!$G$5:$G$804,A203),IF(Z203="","",Z203)))</f>
        <v>0</v>
      </c>
      <c r="AL203" s="34">
        <f>IF(OR(AK203="",AD203=""),"",AK203-AD203)</f>
        <v>0</v>
      </c>
      <c r="AM203" s="31">
        <f>IF(A203="","",COUNTIFS('Job Tasks'!$B$5:$B$904,A203))</f>
        <v>0</v>
      </c>
      <c r="AN203" s="31">
        <f>IF(A203="","",COUNTIFS('Job Tasks'!$B$5:$B$904,A203,'Job Tasks'!$H$5:$H$904,"Done"))</f>
        <v>0</v>
      </c>
      <c r="AO203" s="38">
        <f>IF(OR(A203="",AM203=0),"",AN203/AM203)</f>
        <v>0</v>
      </c>
      <c r="AP203" s="43">
        <f>IF(A203="","",IFERROR(INDEX('Invoice Lines'!$B$5:$B$804,MATCH(A203,'Invoice Lines'!$C$5:$C$804,0)),""))</f>
        <v>0</v>
      </c>
      <c r="AQ203" s="18">
        <f>IF(OR(G203="",B203="",X203&lt;&gt;"Yes"),"",IF(IFERROR(INDEX(FreqDays,MATCH(O203,FreqNames,0)),0)=0,"",B203+IFERROR(INDEX(FreqDays,MATCH(O203,FreqNames,0)),0)))</f>
        <v>0</v>
      </c>
      <c r="AR203" s="39">
        <f>IF(G203="","",IF(R203="","Unassigned",IF(COUNTIFS($R$5:$R$604,R203,$B$5:$B$604,B203,$F$5:$F$604,F203)&gt;1,"Clash",IF(SUMIFS($AF$5:$AF$604,$R$5:$R$604,R203,$B$5:$B$604,B203)&gt;ProductiveHours,"Long day","OK"))))</f>
        <v>0</v>
      </c>
      <c r="AS203" s="18">
        <f>IF(OR(G203="",B203=""),"",IF(AND(B203&gt;=TodayDate,P203&lt;&gt;"Cancelled"),B203,""))</f>
        <v>0</v>
      </c>
      <c r="AT203" s="31">
        <f>IF(AS203="","",COUNTIFS($AS$5:$AS$604,"&lt;"&amp;AS203)+COUNTIFS($AS$5:AS203,AS203))</f>
        <v>0</v>
      </c>
      <c r="AU203" s="18">
        <f>IF(OR(G203="",B203="",R203&lt;&gt;""),"",IF(AND(B203&gt;=TodayDate,P203&lt;&gt;"Cancelled"),B203,""))</f>
        <v>0</v>
      </c>
      <c r="AV203" s="31">
        <f>IF(AU203="","",COUNTIFS($AU$5:$AU$604,"&lt;"&amp;AU203)+COUNTIFS($AU$5:AU203,AU203))</f>
        <v>0</v>
      </c>
      <c r="AW203" s="31">
        <f>IF(OR(G203="",B203=""),"",B203-TodayDate)</f>
        <v>0</v>
      </c>
      <c r="AX203" s="39">
        <f>IF(G203="","",IF(P203="Cancelled","Cancelled",IF(P203="No access","Action - no access, rebook",IF(AND(B203&lt;&gt;"",AW203&lt;0,OR(P203="Booked",P203="Confirmed",P203="In progress")),"Late - mark it completed",IF(AND(P203="Completed",AP203=""),"Action - not invoiced yet",IF(AND(AW203&gt;=0,AW203&lt;=ReminderDays,Y203&lt;&gt;"Yes"),"Confirm - visit coming up",IF(R203="","Assign - no cleaner booked",IF(AND(P203="Completed",AO203&lt;&gt;"",AO203&lt;1),"Check - checklist unfinished","OK"))))))))</f>
        <v>0</v>
      </c>
    </row>
    <row r="204" spans="1:50">
      <c r="A204" s="43">
        <f>IF(G204="","",JobPrefix&amp;TEXT(ROW()-4,"0000"))</f>
        <v>0</v>
      </c>
      <c r="C204" s="23">
        <f>IF(B204="","",TEXT(B204,"ddd"))</f>
        <v>0</v>
      </c>
      <c r="D204" s="31">
        <f>IF(B204="","",WEEKNUM(B204,IF(WeekStart="Sunday",1,2)))</f>
        <v>0</v>
      </c>
      <c r="E204" s="23">
        <f>IF(B204="","",TEXT(B204,"yyyy-mm"))</f>
        <v>0</v>
      </c>
      <c r="H204" s="23">
        <f>IF(G204="","",IFERROR(INDEX(Clients!$B$5:$B$204,MATCH(G204,Clients!$A$5:$A$204,0)),"Not found"))</f>
        <v>0</v>
      </c>
      <c r="I204" s="23">
        <f>IF(G204="","",IFERROR(INDEX(Clients!$C$5:$C$204,MATCH(G204,Clients!$A$5:$A$204,0)),""))</f>
        <v>0</v>
      </c>
      <c r="K204" s="23">
        <f>IF(J204="","",IFERROR(INDEX(Properties!$B$5:$B$254,MATCH(J204,Properties!$A$5:$A$254,0)),""))</f>
        <v>0</v>
      </c>
      <c r="L204" s="23">
        <f>IF(J204="","",IFERROR(INDEX(Properties!$F$5:$F$254,MATCH(J204,Properties!$A$5:$A$254,0)),""))</f>
        <v>0</v>
      </c>
      <c r="AD204" s="34">
        <f>IF(G204="","",IF(U204&lt;&gt;"",U204,IF(AND(IFERROR(INDEX(Services!$D$5:$D$64,MATCH(M204,Services!$B$5:$B$64,0)),"")="Per hour",IFERROR(INDEX(Properties!$X$5:$X$254,MATCH(J204,Properties!$A$5:$A$254,0)),0)&gt;0),IFERROR(INDEX(Properties!$X$5:$X$254,MATCH(J204,Properties!$A$5:$A$254,0)),0),IF(IFERROR(INDEX(Services!$G$5:$G$64,MATCH(M204,Services!$B$5:$B$64,0)),0)&gt;0,IFERROR(INDEX(Services!$G$5:$G$64,MATCH(M204,Services!$B$5:$B$64,0)),0),IFERROR(INDEX(Properties!$X$5:$X$254,MATCH(J204,Properties!$A$5:$A$254,0)),0)))))</f>
        <v>0</v>
      </c>
      <c r="AE204" s="31">
        <f>IF(G204="","",IF(T204="",CleanersPerJob,MAX(1,T204)))</f>
        <v>0</v>
      </c>
      <c r="AF204" s="34">
        <f>IF(G204="","",ROUND(AD204/AE204,2))</f>
        <v>0</v>
      </c>
      <c r="AG204" s="53">
        <f>IF(OR(G204="",F204="",AF204=""),"",F204+AF204/24)</f>
        <v>0</v>
      </c>
      <c r="AH204" s="21">
        <f>IF(G204="","",IF(IFERROR(INDEX(Clients!$O$5:$O$204,MATCH(G204,Clients!$A$5:$A$204,0)),0)&gt;0,IFERROR(INDEX(Clients!$O$5:$O$204,MATCH(G204,Clients!$A$5:$A$204,0)),0),HourlyRate))</f>
        <v>0</v>
      </c>
      <c r="AI204" s="21">
        <f>IF(G204="","",IF(AND(M204&lt;&gt;"",IFERROR(INDEX(Services!$P$5:$P$64,MATCH(M204,Services!$B$5:$B$64,0)),0)&gt;0,IFERROR(INDEX(Services!$D$5:$D$64,MATCH(M204,Services!$B$5:$B$64,0)),"")&lt;&gt;"Per hour"),IFERROR(INDEX(Services!$P$5:$P$64,MATCH(M204,Services!$B$5:$B$64,0)),0),AD204*AH204))</f>
        <v>0</v>
      </c>
      <c r="AJ204" s="21">
        <f>IF(G204="","",IF(V204&lt;&gt;"",V204,IF(P204="Cancelled",0,MAX(MinimumCharge,ROUND(AI204*IFERROR(INDEX(FreqFactors,MATCH(O204,FreqNames,0)),1),2)))))</f>
        <v>0</v>
      </c>
      <c r="AK204" s="34">
        <f>IF(G204="","",IF(SUMIFS(Timesheets!$U$5:$U$804,Timesheets!$G$5:$G$804,A204)&gt;0,SUMIFS(Timesheets!$U$5:$U$804,Timesheets!$G$5:$G$804,A204),IF(Z204="","",Z204)))</f>
        <v>0</v>
      </c>
      <c r="AL204" s="34">
        <f>IF(OR(AK204="",AD204=""),"",AK204-AD204)</f>
        <v>0</v>
      </c>
      <c r="AM204" s="31">
        <f>IF(A204="","",COUNTIFS('Job Tasks'!$B$5:$B$904,A204))</f>
        <v>0</v>
      </c>
      <c r="AN204" s="31">
        <f>IF(A204="","",COUNTIFS('Job Tasks'!$B$5:$B$904,A204,'Job Tasks'!$H$5:$H$904,"Done"))</f>
        <v>0</v>
      </c>
      <c r="AO204" s="38">
        <f>IF(OR(A204="",AM204=0),"",AN204/AM204)</f>
        <v>0</v>
      </c>
      <c r="AP204" s="43">
        <f>IF(A204="","",IFERROR(INDEX('Invoice Lines'!$B$5:$B$804,MATCH(A204,'Invoice Lines'!$C$5:$C$804,0)),""))</f>
        <v>0</v>
      </c>
      <c r="AQ204" s="18">
        <f>IF(OR(G204="",B204="",X204&lt;&gt;"Yes"),"",IF(IFERROR(INDEX(FreqDays,MATCH(O204,FreqNames,0)),0)=0,"",B204+IFERROR(INDEX(FreqDays,MATCH(O204,FreqNames,0)),0)))</f>
        <v>0</v>
      </c>
      <c r="AR204" s="39">
        <f>IF(G204="","",IF(R204="","Unassigned",IF(COUNTIFS($R$5:$R$604,R204,$B$5:$B$604,B204,$F$5:$F$604,F204)&gt;1,"Clash",IF(SUMIFS($AF$5:$AF$604,$R$5:$R$604,R204,$B$5:$B$604,B204)&gt;ProductiveHours,"Long day","OK"))))</f>
        <v>0</v>
      </c>
      <c r="AS204" s="18">
        <f>IF(OR(G204="",B204=""),"",IF(AND(B204&gt;=TodayDate,P204&lt;&gt;"Cancelled"),B204,""))</f>
        <v>0</v>
      </c>
      <c r="AT204" s="31">
        <f>IF(AS204="","",COUNTIFS($AS$5:$AS$604,"&lt;"&amp;AS204)+COUNTIFS($AS$5:AS204,AS204))</f>
        <v>0</v>
      </c>
      <c r="AU204" s="18">
        <f>IF(OR(G204="",B204="",R204&lt;&gt;""),"",IF(AND(B204&gt;=TodayDate,P204&lt;&gt;"Cancelled"),B204,""))</f>
        <v>0</v>
      </c>
      <c r="AV204" s="31">
        <f>IF(AU204="","",COUNTIFS($AU$5:$AU$604,"&lt;"&amp;AU204)+COUNTIFS($AU$5:AU204,AU204))</f>
        <v>0</v>
      </c>
      <c r="AW204" s="31">
        <f>IF(OR(G204="",B204=""),"",B204-TodayDate)</f>
        <v>0</v>
      </c>
      <c r="AX204" s="39">
        <f>IF(G204="","",IF(P204="Cancelled","Cancelled",IF(P204="No access","Action - no access, rebook",IF(AND(B204&lt;&gt;"",AW204&lt;0,OR(P204="Booked",P204="Confirmed",P204="In progress")),"Late - mark it completed",IF(AND(P204="Completed",AP204=""),"Action - not invoiced yet",IF(AND(AW204&gt;=0,AW204&lt;=ReminderDays,Y204&lt;&gt;"Yes"),"Confirm - visit coming up",IF(R204="","Assign - no cleaner booked",IF(AND(P204="Completed",AO204&lt;&gt;"",AO204&lt;1),"Check - checklist unfinished","OK"))))))))</f>
        <v>0</v>
      </c>
    </row>
    <row r="205" spans="1:50">
      <c r="A205" s="43">
        <f>IF(G205="","",JobPrefix&amp;TEXT(ROW()-4,"0000"))</f>
        <v>0</v>
      </c>
      <c r="C205" s="23">
        <f>IF(B205="","",TEXT(B205,"ddd"))</f>
        <v>0</v>
      </c>
      <c r="D205" s="31">
        <f>IF(B205="","",WEEKNUM(B205,IF(WeekStart="Sunday",1,2)))</f>
        <v>0</v>
      </c>
      <c r="E205" s="23">
        <f>IF(B205="","",TEXT(B205,"yyyy-mm"))</f>
        <v>0</v>
      </c>
      <c r="H205" s="23">
        <f>IF(G205="","",IFERROR(INDEX(Clients!$B$5:$B$204,MATCH(G205,Clients!$A$5:$A$204,0)),"Not found"))</f>
        <v>0</v>
      </c>
      <c r="I205" s="23">
        <f>IF(G205="","",IFERROR(INDEX(Clients!$C$5:$C$204,MATCH(G205,Clients!$A$5:$A$204,0)),""))</f>
        <v>0</v>
      </c>
      <c r="K205" s="23">
        <f>IF(J205="","",IFERROR(INDEX(Properties!$B$5:$B$254,MATCH(J205,Properties!$A$5:$A$254,0)),""))</f>
        <v>0</v>
      </c>
      <c r="L205" s="23">
        <f>IF(J205="","",IFERROR(INDEX(Properties!$F$5:$F$254,MATCH(J205,Properties!$A$5:$A$254,0)),""))</f>
        <v>0</v>
      </c>
      <c r="AD205" s="34">
        <f>IF(G205="","",IF(U205&lt;&gt;"",U205,IF(AND(IFERROR(INDEX(Services!$D$5:$D$64,MATCH(M205,Services!$B$5:$B$64,0)),"")="Per hour",IFERROR(INDEX(Properties!$X$5:$X$254,MATCH(J205,Properties!$A$5:$A$254,0)),0)&gt;0),IFERROR(INDEX(Properties!$X$5:$X$254,MATCH(J205,Properties!$A$5:$A$254,0)),0),IF(IFERROR(INDEX(Services!$G$5:$G$64,MATCH(M205,Services!$B$5:$B$64,0)),0)&gt;0,IFERROR(INDEX(Services!$G$5:$G$64,MATCH(M205,Services!$B$5:$B$64,0)),0),IFERROR(INDEX(Properties!$X$5:$X$254,MATCH(J205,Properties!$A$5:$A$254,0)),0)))))</f>
        <v>0</v>
      </c>
      <c r="AE205" s="31">
        <f>IF(G205="","",IF(T205="",CleanersPerJob,MAX(1,T205)))</f>
        <v>0</v>
      </c>
      <c r="AF205" s="34">
        <f>IF(G205="","",ROUND(AD205/AE205,2))</f>
        <v>0</v>
      </c>
      <c r="AG205" s="53">
        <f>IF(OR(G205="",F205="",AF205=""),"",F205+AF205/24)</f>
        <v>0</v>
      </c>
      <c r="AH205" s="21">
        <f>IF(G205="","",IF(IFERROR(INDEX(Clients!$O$5:$O$204,MATCH(G205,Clients!$A$5:$A$204,0)),0)&gt;0,IFERROR(INDEX(Clients!$O$5:$O$204,MATCH(G205,Clients!$A$5:$A$204,0)),0),HourlyRate))</f>
        <v>0</v>
      </c>
      <c r="AI205" s="21">
        <f>IF(G205="","",IF(AND(M205&lt;&gt;"",IFERROR(INDEX(Services!$P$5:$P$64,MATCH(M205,Services!$B$5:$B$64,0)),0)&gt;0,IFERROR(INDEX(Services!$D$5:$D$64,MATCH(M205,Services!$B$5:$B$64,0)),"")&lt;&gt;"Per hour"),IFERROR(INDEX(Services!$P$5:$P$64,MATCH(M205,Services!$B$5:$B$64,0)),0),AD205*AH205))</f>
        <v>0</v>
      </c>
      <c r="AJ205" s="21">
        <f>IF(G205="","",IF(V205&lt;&gt;"",V205,IF(P205="Cancelled",0,MAX(MinimumCharge,ROUND(AI205*IFERROR(INDEX(FreqFactors,MATCH(O205,FreqNames,0)),1),2)))))</f>
        <v>0</v>
      </c>
      <c r="AK205" s="34">
        <f>IF(G205="","",IF(SUMIFS(Timesheets!$U$5:$U$804,Timesheets!$G$5:$G$804,A205)&gt;0,SUMIFS(Timesheets!$U$5:$U$804,Timesheets!$G$5:$G$804,A205),IF(Z205="","",Z205)))</f>
        <v>0</v>
      </c>
      <c r="AL205" s="34">
        <f>IF(OR(AK205="",AD205=""),"",AK205-AD205)</f>
        <v>0</v>
      </c>
      <c r="AM205" s="31">
        <f>IF(A205="","",COUNTIFS('Job Tasks'!$B$5:$B$904,A205))</f>
        <v>0</v>
      </c>
      <c r="AN205" s="31">
        <f>IF(A205="","",COUNTIFS('Job Tasks'!$B$5:$B$904,A205,'Job Tasks'!$H$5:$H$904,"Done"))</f>
        <v>0</v>
      </c>
      <c r="AO205" s="38">
        <f>IF(OR(A205="",AM205=0),"",AN205/AM205)</f>
        <v>0</v>
      </c>
      <c r="AP205" s="43">
        <f>IF(A205="","",IFERROR(INDEX('Invoice Lines'!$B$5:$B$804,MATCH(A205,'Invoice Lines'!$C$5:$C$804,0)),""))</f>
        <v>0</v>
      </c>
      <c r="AQ205" s="18">
        <f>IF(OR(G205="",B205="",X205&lt;&gt;"Yes"),"",IF(IFERROR(INDEX(FreqDays,MATCH(O205,FreqNames,0)),0)=0,"",B205+IFERROR(INDEX(FreqDays,MATCH(O205,FreqNames,0)),0)))</f>
        <v>0</v>
      </c>
      <c r="AR205" s="39">
        <f>IF(G205="","",IF(R205="","Unassigned",IF(COUNTIFS($R$5:$R$604,R205,$B$5:$B$604,B205,$F$5:$F$604,F205)&gt;1,"Clash",IF(SUMIFS($AF$5:$AF$604,$R$5:$R$604,R205,$B$5:$B$604,B205)&gt;ProductiveHours,"Long day","OK"))))</f>
        <v>0</v>
      </c>
      <c r="AS205" s="18">
        <f>IF(OR(G205="",B205=""),"",IF(AND(B205&gt;=TodayDate,P205&lt;&gt;"Cancelled"),B205,""))</f>
        <v>0</v>
      </c>
      <c r="AT205" s="31">
        <f>IF(AS205="","",COUNTIFS($AS$5:$AS$604,"&lt;"&amp;AS205)+COUNTIFS($AS$5:AS205,AS205))</f>
        <v>0</v>
      </c>
      <c r="AU205" s="18">
        <f>IF(OR(G205="",B205="",R205&lt;&gt;""),"",IF(AND(B205&gt;=TodayDate,P205&lt;&gt;"Cancelled"),B205,""))</f>
        <v>0</v>
      </c>
      <c r="AV205" s="31">
        <f>IF(AU205="","",COUNTIFS($AU$5:$AU$604,"&lt;"&amp;AU205)+COUNTIFS($AU$5:AU205,AU205))</f>
        <v>0</v>
      </c>
      <c r="AW205" s="31">
        <f>IF(OR(G205="",B205=""),"",B205-TodayDate)</f>
        <v>0</v>
      </c>
      <c r="AX205" s="39">
        <f>IF(G205="","",IF(P205="Cancelled","Cancelled",IF(P205="No access","Action - no access, rebook",IF(AND(B205&lt;&gt;"",AW205&lt;0,OR(P205="Booked",P205="Confirmed",P205="In progress")),"Late - mark it completed",IF(AND(P205="Completed",AP205=""),"Action - not invoiced yet",IF(AND(AW205&gt;=0,AW205&lt;=ReminderDays,Y205&lt;&gt;"Yes"),"Confirm - visit coming up",IF(R205="","Assign - no cleaner booked",IF(AND(P205="Completed",AO205&lt;&gt;"",AO205&lt;1),"Check - checklist unfinished","OK"))))))))</f>
        <v>0</v>
      </c>
    </row>
    <row r="206" spans="1:50">
      <c r="A206" s="43">
        <f>IF(G206="","",JobPrefix&amp;TEXT(ROW()-4,"0000"))</f>
        <v>0</v>
      </c>
      <c r="C206" s="23">
        <f>IF(B206="","",TEXT(B206,"ddd"))</f>
        <v>0</v>
      </c>
      <c r="D206" s="31">
        <f>IF(B206="","",WEEKNUM(B206,IF(WeekStart="Sunday",1,2)))</f>
        <v>0</v>
      </c>
      <c r="E206" s="23">
        <f>IF(B206="","",TEXT(B206,"yyyy-mm"))</f>
        <v>0</v>
      </c>
      <c r="H206" s="23">
        <f>IF(G206="","",IFERROR(INDEX(Clients!$B$5:$B$204,MATCH(G206,Clients!$A$5:$A$204,0)),"Not found"))</f>
        <v>0</v>
      </c>
      <c r="I206" s="23">
        <f>IF(G206="","",IFERROR(INDEX(Clients!$C$5:$C$204,MATCH(G206,Clients!$A$5:$A$204,0)),""))</f>
        <v>0</v>
      </c>
      <c r="K206" s="23">
        <f>IF(J206="","",IFERROR(INDEX(Properties!$B$5:$B$254,MATCH(J206,Properties!$A$5:$A$254,0)),""))</f>
        <v>0</v>
      </c>
      <c r="L206" s="23">
        <f>IF(J206="","",IFERROR(INDEX(Properties!$F$5:$F$254,MATCH(J206,Properties!$A$5:$A$254,0)),""))</f>
        <v>0</v>
      </c>
      <c r="AD206" s="34">
        <f>IF(G206="","",IF(U206&lt;&gt;"",U206,IF(AND(IFERROR(INDEX(Services!$D$5:$D$64,MATCH(M206,Services!$B$5:$B$64,0)),"")="Per hour",IFERROR(INDEX(Properties!$X$5:$X$254,MATCH(J206,Properties!$A$5:$A$254,0)),0)&gt;0),IFERROR(INDEX(Properties!$X$5:$X$254,MATCH(J206,Properties!$A$5:$A$254,0)),0),IF(IFERROR(INDEX(Services!$G$5:$G$64,MATCH(M206,Services!$B$5:$B$64,0)),0)&gt;0,IFERROR(INDEX(Services!$G$5:$G$64,MATCH(M206,Services!$B$5:$B$64,0)),0),IFERROR(INDEX(Properties!$X$5:$X$254,MATCH(J206,Properties!$A$5:$A$254,0)),0)))))</f>
        <v>0</v>
      </c>
      <c r="AE206" s="31">
        <f>IF(G206="","",IF(T206="",CleanersPerJob,MAX(1,T206)))</f>
        <v>0</v>
      </c>
      <c r="AF206" s="34">
        <f>IF(G206="","",ROUND(AD206/AE206,2))</f>
        <v>0</v>
      </c>
      <c r="AG206" s="53">
        <f>IF(OR(G206="",F206="",AF206=""),"",F206+AF206/24)</f>
        <v>0</v>
      </c>
      <c r="AH206" s="21">
        <f>IF(G206="","",IF(IFERROR(INDEX(Clients!$O$5:$O$204,MATCH(G206,Clients!$A$5:$A$204,0)),0)&gt;0,IFERROR(INDEX(Clients!$O$5:$O$204,MATCH(G206,Clients!$A$5:$A$204,0)),0),HourlyRate))</f>
        <v>0</v>
      </c>
      <c r="AI206" s="21">
        <f>IF(G206="","",IF(AND(M206&lt;&gt;"",IFERROR(INDEX(Services!$P$5:$P$64,MATCH(M206,Services!$B$5:$B$64,0)),0)&gt;0,IFERROR(INDEX(Services!$D$5:$D$64,MATCH(M206,Services!$B$5:$B$64,0)),"")&lt;&gt;"Per hour"),IFERROR(INDEX(Services!$P$5:$P$64,MATCH(M206,Services!$B$5:$B$64,0)),0),AD206*AH206))</f>
        <v>0</v>
      </c>
      <c r="AJ206" s="21">
        <f>IF(G206="","",IF(V206&lt;&gt;"",V206,IF(P206="Cancelled",0,MAX(MinimumCharge,ROUND(AI206*IFERROR(INDEX(FreqFactors,MATCH(O206,FreqNames,0)),1),2)))))</f>
        <v>0</v>
      </c>
      <c r="AK206" s="34">
        <f>IF(G206="","",IF(SUMIFS(Timesheets!$U$5:$U$804,Timesheets!$G$5:$G$804,A206)&gt;0,SUMIFS(Timesheets!$U$5:$U$804,Timesheets!$G$5:$G$804,A206),IF(Z206="","",Z206)))</f>
        <v>0</v>
      </c>
      <c r="AL206" s="34">
        <f>IF(OR(AK206="",AD206=""),"",AK206-AD206)</f>
        <v>0</v>
      </c>
      <c r="AM206" s="31">
        <f>IF(A206="","",COUNTIFS('Job Tasks'!$B$5:$B$904,A206))</f>
        <v>0</v>
      </c>
      <c r="AN206" s="31">
        <f>IF(A206="","",COUNTIFS('Job Tasks'!$B$5:$B$904,A206,'Job Tasks'!$H$5:$H$904,"Done"))</f>
        <v>0</v>
      </c>
      <c r="AO206" s="38">
        <f>IF(OR(A206="",AM206=0),"",AN206/AM206)</f>
        <v>0</v>
      </c>
      <c r="AP206" s="43">
        <f>IF(A206="","",IFERROR(INDEX('Invoice Lines'!$B$5:$B$804,MATCH(A206,'Invoice Lines'!$C$5:$C$804,0)),""))</f>
        <v>0</v>
      </c>
      <c r="AQ206" s="18">
        <f>IF(OR(G206="",B206="",X206&lt;&gt;"Yes"),"",IF(IFERROR(INDEX(FreqDays,MATCH(O206,FreqNames,0)),0)=0,"",B206+IFERROR(INDEX(FreqDays,MATCH(O206,FreqNames,0)),0)))</f>
        <v>0</v>
      </c>
      <c r="AR206" s="39">
        <f>IF(G206="","",IF(R206="","Unassigned",IF(COUNTIFS($R$5:$R$604,R206,$B$5:$B$604,B206,$F$5:$F$604,F206)&gt;1,"Clash",IF(SUMIFS($AF$5:$AF$604,$R$5:$R$604,R206,$B$5:$B$604,B206)&gt;ProductiveHours,"Long day","OK"))))</f>
        <v>0</v>
      </c>
      <c r="AS206" s="18">
        <f>IF(OR(G206="",B206=""),"",IF(AND(B206&gt;=TodayDate,P206&lt;&gt;"Cancelled"),B206,""))</f>
        <v>0</v>
      </c>
      <c r="AT206" s="31">
        <f>IF(AS206="","",COUNTIFS($AS$5:$AS$604,"&lt;"&amp;AS206)+COUNTIFS($AS$5:AS206,AS206))</f>
        <v>0</v>
      </c>
      <c r="AU206" s="18">
        <f>IF(OR(G206="",B206="",R206&lt;&gt;""),"",IF(AND(B206&gt;=TodayDate,P206&lt;&gt;"Cancelled"),B206,""))</f>
        <v>0</v>
      </c>
      <c r="AV206" s="31">
        <f>IF(AU206="","",COUNTIFS($AU$5:$AU$604,"&lt;"&amp;AU206)+COUNTIFS($AU$5:AU206,AU206))</f>
        <v>0</v>
      </c>
      <c r="AW206" s="31">
        <f>IF(OR(G206="",B206=""),"",B206-TodayDate)</f>
        <v>0</v>
      </c>
      <c r="AX206" s="39">
        <f>IF(G206="","",IF(P206="Cancelled","Cancelled",IF(P206="No access","Action - no access, rebook",IF(AND(B206&lt;&gt;"",AW206&lt;0,OR(P206="Booked",P206="Confirmed",P206="In progress")),"Late - mark it completed",IF(AND(P206="Completed",AP206=""),"Action - not invoiced yet",IF(AND(AW206&gt;=0,AW206&lt;=ReminderDays,Y206&lt;&gt;"Yes"),"Confirm - visit coming up",IF(R206="","Assign - no cleaner booked",IF(AND(P206="Completed",AO206&lt;&gt;"",AO206&lt;1),"Check - checklist unfinished","OK"))))))))</f>
        <v>0</v>
      </c>
    </row>
    <row r="207" spans="1:50">
      <c r="A207" s="43">
        <f>IF(G207="","",JobPrefix&amp;TEXT(ROW()-4,"0000"))</f>
        <v>0</v>
      </c>
      <c r="C207" s="23">
        <f>IF(B207="","",TEXT(B207,"ddd"))</f>
        <v>0</v>
      </c>
      <c r="D207" s="31">
        <f>IF(B207="","",WEEKNUM(B207,IF(WeekStart="Sunday",1,2)))</f>
        <v>0</v>
      </c>
      <c r="E207" s="23">
        <f>IF(B207="","",TEXT(B207,"yyyy-mm"))</f>
        <v>0</v>
      </c>
      <c r="H207" s="23">
        <f>IF(G207="","",IFERROR(INDEX(Clients!$B$5:$B$204,MATCH(G207,Clients!$A$5:$A$204,0)),"Not found"))</f>
        <v>0</v>
      </c>
      <c r="I207" s="23">
        <f>IF(G207="","",IFERROR(INDEX(Clients!$C$5:$C$204,MATCH(G207,Clients!$A$5:$A$204,0)),""))</f>
        <v>0</v>
      </c>
      <c r="K207" s="23">
        <f>IF(J207="","",IFERROR(INDEX(Properties!$B$5:$B$254,MATCH(J207,Properties!$A$5:$A$254,0)),""))</f>
        <v>0</v>
      </c>
      <c r="L207" s="23">
        <f>IF(J207="","",IFERROR(INDEX(Properties!$F$5:$F$254,MATCH(J207,Properties!$A$5:$A$254,0)),""))</f>
        <v>0</v>
      </c>
      <c r="AD207" s="34">
        <f>IF(G207="","",IF(U207&lt;&gt;"",U207,IF(AND(IFERROR(INDEX(Services!$D$5:$D$64,MATCH(M207,Services!$B$5:$B$64,0)),"")="Per hour",IFERROR(INDEX(Properties!$X$5:$X$254,MATCH(J207,Properties!$A$5:$A$254,0)),0)&gt;0),IFERROR(INDEX(Properties!$X$5:$X$254,MATCH(J207,Properties!$A$5:$A$254,0)),0),IF(IFERROR(INDEX(Services!$G$5:$G$64,MATCH(M207,Services!$B$5:$B$64,0)),0)&gt;0,IFERROR(INDEX(Services!$G$5:$G$64,MATCH(M207,Services!$B$5:$B$64,0)),0),IFERROR(INDEX(Properties!$X$5:$X$254,MATCH(J207,Properties!$A$5:$A$254,0)),0)))))</f>
        <v>0</v>
      </c>
      <c r="AE207" s="31">
        <f>IF(G207="","",IF(T207="",CleanersPerJob,MAX(1,T207)))</f>
        <v>0</v>
      </c>
      <c r="AF207" s="34">
        <f>IF(G207="","",ROUND(AD207/AE207,2))</f>
        <v>0</v>
      </c>
      <c r="AG207" s="53">
        <f>IF(OR(G207="",F207="",AF207=""),"",F207+AF207/24)</f>
        <v>0</v>
      </c>
      <c r="AH207" s="21">
        <f>IF(G207="","",IF(IFERROR(INDEX(Clients!$O$5:$O$204,MATCH(G207,Clients!$A$5:$A$204,0)),0)&gt;0,IFERROR(INDEX(Clients!$O$5:$O$204,MATCH(G207,Clients!$A$5:$A$204,0)),0),HourlyRate))</f>
        <v>0</v>
      </c>
      <c r="AI207" s="21">
        <f>IF(G207="","",IF(AND(M207&lt;&gt;"",IFERROR(INDEX(Services!$P$5:$P$64,MATCH(M207,Services!$B$5:$B$64,0)),0)&gt;0,IFERROR(INDEX(Services!$D$5:$D$64,MATCH(M207,Services!$B$5:$B$64,0)),"")&lt;&gt;"Per hour"),IFERROR(INDEX(Services!$P$5:$P$64,MATCH(M207,Services!$B$5:$B$64,0)),0),AD207*AH207))</f>
        <v>0</v>
      </c>
      <c r="AJ207" s="21">
        <f>IF(G207="","",IF(V207&lt;&gt;"",V207,IF(P207="Cancelled",0,MAX(MinimumCharge,ROUND(AI207*IFERROR(INDEX(FreqFactors,MATCH(O207,FreqNames,0)),1),2)))))</f>
        <v>0</v>
      </c>
      <c r="AK207" s="34">
        <f>IF(G207="","",IF(SUMIFS(Timesheets!$U$5:$U$804,Timesheets!$G$5:$G$804,A207)&gt;0,SUMIFS(Timesheets!$U$5:$U$804,Timesheets!$G$5:$G$804,A207),IF(Z207="","",Z207)))</f>
        <v>0</v>
      </c>
      <c r="AL207" s="34">
        <f>IF(OR(AK207="",AD207=""),"",AK207-AD207)</f>
        <v>0</v>
      </c>
      <c r="AM207" s="31">
        <f>IF(A207="","",COUNTIFS('Job Tasks'!$B$5:$B$904,A207))</f>
        <v>0</v>
      </c>
      <c r="AN207" s="31">
        <f>IF(A207="","",COUNTIFS('Job Tasks'!$B$5:$B$904,A207,'Job Tasks'!$H$5:$H$904,"Done"))</f>
        <v>0</v>
      </c>
      <c r="AO207" s="38">
        <f>IF(OR(A207="",AM207=0),"",AN207/AM207)</f>
        <v>0</v>
      </c>
      <c r="AP207" s="43">
        <f>IF(A207="","",IFERROR(INDEX('Invoice Lines'!$B$5:$B$804,MATCH(A207,'Invoice Lines'!$C$5:$C$804,0)),""))</f>
        <v>0</v>
      </c>
      <c r="AQ207" s="18">
        <f>IF(OR(G207="",B207="",X207&lt;&gt;"Yes"),"",IF(IFERROR(INDEX(FreqDays,MATCH(O207,FreqNames,0)),0)=0,"",B207+IFERROR(INDEX(FreqDays,MATCH(O207,FreqNames,0)),0)))</f>
        <v>0</v>
      </c>
      <c r="AR207" s="39">
        <f>IF(G207="","",IF(R207="","Unassigned",IF(COUNTIFS($R$5:$R$604,R207,$B$5:$B$604,B207,$F$5:$F$604,F207)&gt;1,"Clash",IF(SUMIFS($AF$5:$AF$604,$R$5:$R$604,R207,$B$5:$B$604,B207)&gt;ProductiveHours,"Long day","OK"))))</f>
        <v>0</v>
      </c>
      <c r="AS207" s="18">
        <f>IF(OR(G207="",B207=""),"",IF(AND(B207&gt;=TodayDate,P207&lt;&gt;"Cancelled"),B207,""))</f>
        <v>0</v>
      </c>
      <c r="AT207" s="31">
        <f>IF(AS207="","",COUNTIFS($AS$5:$AS$604,"&lt;"&amp;AS207)+COUNTIFS($AS$5:AS207,AS207))</f>
        <v>0</v>
      </c>
      <c r="AU207" s="18">
        <f>IF(OR(G207="",B207="",R207&lt;&gt;""),"",IF(AND(B207&gt;=TodayDate,P207&lt;&gt;"Cancelled"),B207,""))</f>
        <v>0</v>
      </c>
      <c r="AV207" s="31">
        <f>IF(AU207="","",COUNTIFS($AU$5:$AU$604,"&lt;"&amp;AU207)+COUNTIFS($AU$5:AU207,AU207))</f>
        <v>0</v>
      </c>
      <c r="AW207" s="31">
        <f>IF(OR(G207="",B207=""),"",B207-TodayDate)</f>
        <v>0</v>
      </c>
      <c r="AX207" s="39">
        <f>IF(G207="","",IF(P207="Cancelled","Cancelled",IF(P207="No access","Action - no access, rebook",IF(AND(B207&lt;&gt;"",AW207&lt;0,OR(P207="Booked",P207="Confirmed",P207="In progress")),"Late - mark it completed",IF(AND(P207="Completed",AP207=""),"Action - not invoiced yet",IF(AND(AW207&gt;=0,AW207&lt;=ReminderDays,Y207&lt;&gt;"Yes"),"Confirm - visit coming up",IF(R207="","Assign - no cleaner booked",IF(AND(P207="Completed",AO207&lt;&gt;"",AO207&lt;1),"Check - checklist unfinished","OK"))))))))</f>
        <v>0</v>
      </c>
    </row>
    <row r="208" spans="1:50">
      <c r="A208" s="43">
        <f>IF(G208="","",JobPrefix&amp;TEXT(ROW()-4,"0000"))</f>
        <v>0</v>
      </c>
      <c r="C208" s="23">
        <f>IF(B208="","",TEXT(B208,"ddd"))</f>
        <v>0</v>
      </c>
      <c r="D208" s="31">
        <f>IF(B208="","",WEEKNUM(B208,IF(WeekStart="Sunday",1,2)))</f>
        <v>0</v>
      </c>
      <c r="E208" s="23">
        <f>IF(B208="","",TEXT(B208,"yyyy-mm"))</f>
        <v>0</v>
      </c>
      <c r="H208" s="23">
        <f>IF(G208="","",IFERROR(INDEX(Clients!$B$5:$B$204,MATCH(G208,Clients!$A$5:$A$204,0)),"Not found"))</f>
        <v>0</v>
      </c>
      <c r="I208" s="23">
        <f>IF(G208="","",IFERROR(INDEX(Clients!$C$5:$C$204,MATCH(G208,Clients!$A$5:$A$204,0)),""))</f>
        <v>0</v>
      </c>
      <c r="K208" s="23">
        <f>IF(J208="","",IFERROR(INDEX(Properties!$B$5:$B$254,MATCH(J208,Properties!$A$5:$A$254,0)),""))</f>
        <v>0</v>
      </c>
      <c r="L208" s="23">
        <f>IF(J208="","",IFERROR(INDEX(Properties!$F$5:$F$254,MATCH(J208,Properties!$A$5:$A$254,0)),""))</f>
        <v>0</v>
      </c>
      <c r="AD208" s="34">
        <f>IF(G208="","",IF(U208&lt;&gt;"",U208,IF(AND(IFERROR(INDEX(Services!$D$5:$D$64,MATCH(M208,Services!$B$5:$B$64,0)),"")="Per hour",IFERROR(INDEX(Properties!$X$5:$X$254,MATCH(J208,Properties!$A$5:$A$254,0)),0)&gt;0),IFERROR(INDEX(Properties!$X$5:$X$254,MATCH(J208,Properties!$A$5:$A$254,0)),0),IF(IFERROR(INDEX(Services!$G$5:$G$64,MATCH(M208,Services!$B$5:$B$64,0)),0)&gt;0,IFERROR(INDEX(Services!$G$5:$G$64,MATCH(M208,Services!$B$5:$B$64,0)),0),IFERROR(INDEX(Properties!$X$5:$X$254,MATCH(J208,Properties!$A$5:$A$254,0)),0)))))</f>
        <v>0</v>
      </c>
      <c r="AE208" s="31">
        <f>IF(G208="","",IF(T208="",CleanersPerJob,MAX(1,T208)))</f>
        <v>0</v>
      </c>
      <c r="AF208" s="34">
        <f>IF(G208="","",ROUND(AD208/AE208,2))</f>
        <v>0</v>
      </c>
      <c r="AG208" s="53">
        <f>IF(OR(G208="",F208="",AF208=""),"",F208+AF208/24)</f>
        <v>0</v>
      </c>
      <c r="AH208" s="21">
        <f>IF(G208="","",IF(IFERROR(INDEX(Clients!$O$5:$O$204,MATCH(G208,Clients!$A$5:$A$204,0)),0)&gt;0,IFERROR(INDEX(Clients!$O$5:$O$204,MATCH(G208,Clients!$A$5:$A$204,0)),0),HourlyRate))</f>
        <v>0</v>
      </c>
      <c r="AI208" s="21">
        <f>IF(G208="","",IF(AND(M208&lt;&gt;"",IFERROR(INDEX(Services!$P$5:$P$64,MATCH(M208,Services!$B$5:$B$64,0)),0)&gt;0,IFERROR(INDEX(Services!$D$5:$D$64,MATCH(M208,Services!$B$5:$B$64,0)),"")&lt;&gt;"Per hour"),IFERROR(INDEX(Services!$P$5:$P$64,MATCH(M208,Services!$B$5:$B$64,0)),0),AD208*AH208))</f>
        <v>0</v>
      </c>
      <c r="AJ208" s="21">
        <f>IF(G208="","",IF(V208&lt;&gt;"",V208,IF(P208="Cancelled",0,MAX(MinimumCharge,ROUND(AI208*IFERROR(INDEX(FreqFactors,MATCH(O208,FreqNames,0)),1),2)))))</f>
        <v>0</v>
      </c>
      <c r="AK208" s="34">
        <f>IF(G208="","",IF(SUMIFS(Timesheets!$U$5:$U$804,Timesheets!$G$5:$G$804,A208)&gt;0,SUMIFS(Timesheets!$U$5:$U$804,Timesheets!$G$5:$G$804,A208),IF(Z208="","",Z208)))</f>
        <v>0</v>
      </c>
      <c r="AL208" s="34">
        <f>IF(OR(AK208="",AD208=""),"",AK208-AD208)</f>
        <v>0</v>
      </c>
      <c r="AM208" s="31">
        <f>IF(A208="","",COUNTIFS('Job Tasks'!$B$5:$B$904,A208))</f>
        <v>0</v>
      </c>
      <c r="AN208" s="31">
        <f>IF(A208="","",COUNTIFS('Job Tasks'!$B$5:$B$904,A208,'Job Tasks'!$H$5:$H$904,"Done"))</f>
        <v>0</v>
      </c>
      <c r="AO208" s="38">
        <f>IF(OR(A208="",AM208=0),"",AN208/AM208)</f>
        <v>0</v>
      </c>
      <c r="AP208" s="43">
        <f>IF(A208="","",IFERROR(INDEX('Invoice Lines'!$B$5:$B$804,MATCH(A208,'Invoice Lines'!$C$5:$C$804,0)),""))</f>
        <v>0</v>
      </c>
      <c r="AQ208" s="18">
        <f>IF(OR(G208="",B208="",X208&lt;&gt;"Yes"),"",IF(IFERROR(INDEX(FreqDays,MATCH(O208,FreqNames,0)),0)=0,"",B208+IFERROR(INDEX(FreqDays,MATCH(O208,FreqNames,0)),0)))</f>
        <v>0</v>
      </c>
      <c r="AR208" s="39">
        <f>IF(G208="","",IF(R208="","Unassigned",IF(COUNTIFS($R$5:$R$604,R208,$B$5:$B$604,B208,$F$5:$F$604,F208)&gt;1,"Clash",IF(SUMIFS($AF$5:$AF$604,$R$5:$R$604,R208,$B$5:$B$604,B208)&gt;ProductiveHours,"Long day","OK"))))</f>
        <v>0</v>
      </c>
      <c r="AS208" s="18">
        <f>IF(OR(G208="",B208=""),"",IF(AND(B208&gt;=TodayDate,P208&lt;&gt;"Cancelled"),B208,""))</f>
        <v>0</v>
      </c>
      <c r="AT208" s="31">
        <f>IF(AS208="","",COUNTIFS($AS$5:$AS$604,"&lt;"&amp;AS208)+COUNTIFS($AS$5:AS208,AS208))</f>
        <v>0</v>
      </c>
      <c r="AU208" s="18">
        <f>IF(OR(G208="",B208="",R208&lt;&gt;""),"",IF(AND(B208&gt;=TodayDate,P208&lt;&gt;"Cancelled"),B208,""))</f>
        <v>0</v>
      </c>
      <c r="AV208" s="31">
        <f>IF(AU208="","",COUNTIFS($AU$5:$AU$604,"&lt;"&amp;AU208)+COUNTIFS($AU$5:AU208,AU208))</f>
        <v>0</v>
      </c>
      <c r="AW208" s="31">
        <f>IF(OR(G208="",B208=""),"",B208-TodayDate)</f>
        <v>0</v>
      </c>
      <c r="AX208" s="39">
        <f>IF(G208="","",IF(P208="Cancelled","Cancelled",IF(P208="No access","Action - no access, rebook",IF(AND(B208&lt;&gt;"",AW208&lt;0,OR(P208="Booked",P208="Confirmed",P208="In progress")),"Late - mark it completed",IF(AND(P208="Completed",AP208=""),"Action - not invoiced yet",IF(AND(AW208&gt;=0,AW208&lt;=ReminderDays,Y208&lt;&gt;"Yes"),"Confirm - visit coming up",IF(R208="","Assign - no cleaner booked",IF(AND(P208="Completed",AO208&lt;&gt;"",AO208&lt;1),"Check - checklist unfinished","OK"))))))))</f>
        <v>0</v>
      </c>
    </row>
    <row r="209" spans="1:50">
      <c r="A209" s="43">
        <f>IF(G209="","",JobPrefix&amp;TEXT(ROW()-4,"0000"))</f>
        <v>0</v>
      </c>
      <c r="C209" s="23">
        <f>IF(B209="","",TEXT(B209,"ddd"))</f>
        <v>0</v>
      </c>
      <c r="D209" s="31">
        <f>IF(B209="","",WEEKNUM(B209,IF(WeekStart="Sunday",1,2)))</f>
        <v>0</v>
      </c>
      <c r="E209" s="23">
        <f>IF(B209="","",TEXT(B209,"yyyy-mm"))</f>
        <v>0</v>
      </c>
      <c r="H209" s="23">
        <f>IF(G209="","",IFERROR(INDEX(Clients!$B$5:$B$204,MATCH(G209,Clients!$A$5:$A$204,0)),"Not found"))</f>
        <v>0</v>
      </c>
      <c r="I209" s="23">
        <f>IF(G209="","",IFERROR(INDEX(Clients!$C$5:$C$204,MATCH(G209,Clients!$A$5:$A$204,0)),""))</f>
        <v>0</v>
      </c>
      <c r="K209" s="23">
        <f>IF(J209="","",IFERROR(INDEX(Properties!$B$5:$B$254,MATCH(J209,Properties!$A$5:$A$254,0)),""))</f>
        <v>0</v>
      </c>
      <c r="L209" s="23">
        <f>IF(J209="","",IFERROR(INDEX(Properties!$F$5:$F$254,MATCH(J209,Properties!$A$5:$A$254,0)),""))</f>
        <v>0</v>
      </c>
      <c r="AD209" s="34">
        <f>IF(G209="","",IF(U209&lt;&gt;"",U209,IF(AND(IFERROR(INDEX(Services!$D$5:$D$64,MATCH(M209,Services!$B$5:$B$64,0)),"")="Per hour",IFERROR(INDEX(Properties!$X$5:$X$254,MATCH(J209,Properties!$A$5:$A$254,0)),0)&gt;0),IFERROR(INDEX(Properties!$X$5:$X$254,MATCH(J209,Properties!$A$5:$A$254,0)),0),IF(IFERROR(INDEX(Services!$G$5:$G$64,MATCH(M209,Services!$B$5:$B$64,0)),0)&gt;0,IFERROR(INDEX(Services!$G$5:$G$64,MATCH(M209,Services!$B$5:$B$64,0)),0),IFERROR(INDEX(Properties!$X$5:$X$254,MATCH(J209,Properties!$A$5:$A$254,0)),0)))))</f>
        <v>0</v>
      </c>
      <c r="AE209" s="31">
        <f>IF(G209="","",IF(T209="",CleanersPerJob,MAX(1,T209)))</f>
        <v>0</v>
      </c>
      <c r="AF209" s="34">
        <f>IF(G209="","",ROUND(AD209/AE209,2))</f>
        <v>0</v>
      </c>
      <c r="AG209" s="53">
        <f>IF(OR(G209="",F209="",AF209=""),"",F209+AF209/24)</f>
        <v>0</v>
      </c>
      <c r="AH209" s="21">
        <f>IF(G209="","",IF(IFERROR(INDEX(Clients!$O$5:$O$204,MATCH(G209,Clients!$A$5:$A$204,0)),0)&gt;0,IFERROR(INDEX(Clients!$O$5:$O$204,MATCH(G209,Clients!$A$5:$A$204,0)),0),HourlyRate))</f>
        <v>0</v>
      </c>
      <c r="AI209" s="21">
        <f>IF(G209="","",IF(AND(M209&lt;&gt;"",IFERROR(INDEX(Services!$P$5:$P$64,MATCH(M209,Services!$B$5:$B$64,0)),0)&gt;0,IFERROR(INDEX(Services!$D$5:$D$64,MATCH(M209,Services!$B$5:$B$64,0)),"")&lt;&gt;"Per hour"),IFERROR(INDEX(Services!$P$5:$P$64,MATCH(M209,Services!$B$5:$B$64,0)),0),AD209*AH209))</f>
        <v>0</v>
      </c>
      <c r="AJ209" s="21">
        <f>IF(G209="","",IF(V209&lt;&gt;"",V209,IF(P209="Cancelled",0,MAX(MinimumCharge,ROUND(AI209*IFERROR(INDEX(FreqFactors,MATCH(O209,FreqNames,0)),1),2)))))</f>
        <v>0</v>
      </c>
      <c r="AK209" s="34">
        <f>IF(G209="","",IF(SUMIFS(Timesheets!$U$5:$U$804,Timesheets!$G$5:$G$804,A209)&gt;0,SUMIFS(Timesheets!$U$5:$U$804,Timesheets!$G$5:$G$804,A209),IF(Z209="","",Z209)))</f>
        <v>0</v>
      </c>
      <c r="AL209" s="34">
        <f>IF(OR(AK209="",AD209=""),"",AK209-AD209)</f>
        <v>0</v>
      </c>
      <c r="AM209" s="31">
        <f>IF(A209="","",COUNTIFS('Job Tasks'!$B$5:$B$904,A209))</f>
        <v>0</v>
      </c>
      <c r="AN209" s="31">
        <f>IF(A209="","",COUNTIFS('Job Tasks'!$B$5:$B$904,A209,'Job Tasks'!$H$5:$H$904,"Done"))</f>
        <v>0</v>
      </c>
      <c r="AO209" s="38">
        <f>IF(OR(A209="",AM209=0),"",AN209/AM209)</f>
        <v>0</v>
      </c>
      <c r="AP209" s="43">
        <f>IF(A209="","",IFERROR(INDEX('Invoice Lines'!$B$5:$B$804,MATCH(A209,'Invoice Lines'!$C$5:$C$804,0)),""))</f>
        <v>0</v>
      </c>
      <c r="AQ209" s="18">
        <f>IF(OR(G209="",B209="",X209&lt;&gt;"Yes"),"",IF(IFERROR(INDEX(FreqDays,MATCH(O209,FreqNames,0)),0)=0,"",B209+IFERROR(INDEX(FreqDays,MATCH(O209,FreqNames,0)),0)))</f>
        <v>0</v>
      </c>
      <c r="AR209" s="39">
        <f>IF(G209="","",IF(R209="","Unassigned",IF(COUNTIFS($R$5:$R$604,R209,$B$5:$B$604,B209,$F$5:$F$604,F209)&gt;1,"Clash",IF(SUMIFS($AF$5:$AF$604,$R$5:$R$604,R209,$B$5:$B$604,B209)&gt;ProductiveHours,"Long day","OK"))))</f>
        <v>0</v>
      </c>
      <c r="AS209" s="18">
        <f>IF(OR(G209="",B209=""),"",IF(AND(B209&gt;=TodayDate,P209&lt;&gt;"Cancelled"),B209,""))</f>
        <v>0</v>
      </c>
      <c r="AT209" s="31">
        <f>IF(AS209="","",COUNTIFS($AS$5:$AS$604,"&lt;"&amp;AS209)+COUNTIFS($AS$5:AS209,AS209))</f>
        <v>0</v>
      </c>
      <c r="AU209" s="18">
        <f>IF(OR(G209="",B209="",R209&lt;&gt;""),"",IF(AND(B209&gt;=TodayDate,P209&lt;&gt;"Cancelled"),B209,""))</f>
        <v>0</v>
      </c>
      <c r="AV209" s="31">
        <f>IF(AU209="","",COUNTIFS($AU$5:$AU$604,"&lt;"&amp;AU209)+COUNTIFS($AU$5:AU209,AU209))</f>
        <v>0</v>
      </c>
      <c r="AW209" s="31">
        <f>IF(OR(G209="",B209=""),"",B209-TodayDate)</f>
        <v>0</v>
      </c>
      <c r="AX209" s="39">
        <f>IF(G209="","",IF(P209="Cancelled","Cancelled",IF(P209="No access","Action - no access, rebook",IF(AND(B209&lt;&gt;"",AW209&lt;0,OR(P209="Booked",P209="Confirmed",P209="In progress")),"Late - mark it completed",IF(AND(P209="Completed",AP209=""),"Action - not invoiced yet",IF(AND(AW209&gt;=0,AW209&lt;=ReminderDays,Y209&lt;&gt;"Yes"),"Confirm - visit coming up",IF(R209="","Assign - no cleaner booked",IF(AND(P209="Completed",AO209&lt;&gt;"",AO209&lt;1),"Check - checklist unfinished","OK"))))))))</f>
        <v>0</v>
      </c>
    </row>
    <row r="210" spans="1:50">
      <c r="A210" s="43">
        <f>IF(G210="","",JobPrefix&amp;TEXT(ROW()-4,"0000"))</f>
        <v>0</v>
      </c>
      <c r="C210" s="23">
        <f>IF(B210="","",TEXT(B210,"ddd"))</f>
        <v>0</v>
      </c>
      <c r="D210" s="31">
        <f>IF(B210="","",WEEKNUM(B210,IF(WeekStart="Sunday",1,2)))</f>
        <v>0</v>
      </c>
      <c r="E210" s="23">
        <f>IF(B210="","",TEXT(B210,"yyyy-mm"))</f>
        <v>0</v>
      </c>
      <c r="H210" s="23">
        <f>IF(G210="","",IFERROR(INDEX(Clients!$B$5:$B$204,MATCH(G210,Clients!$A$5:$A$204,0)),"Not found"))</f>
        <v>0</v>
      </c>
      <c r="I210" s="23">
        <f>IF(G210="","",IFERROR(INDEX(Clients!$C$5:$C$204,MATCH(G210,Clients!$A$5:$A$204,0)),""))</f>
        <v>0</v>
      </c>
      <c r="K210" s="23">
        <f>IF(J210="","",IFERROR(INDEX(Properties!$B$5:$B$254,MATCH(J210,Properties!$A$5:$A$254,0)),""))</f>
        <v>0</v>
      </c>
      <c r="L210" s="23">
        <f>IF(J210="","",IFERROR(INDEX(Properties!$F$5:$F$254,MATCH(J210,Properties!$A$5:$A$254,0)),""))</f>
        <v>0</v>
      </c>
      <c r="AD210" s="34">
        <f>IF(G210="","",IF(U210&lt;&gt;"",U210,IF(AND(IFERROR(INDEX(Services!$D$5:$D$64,MATCH(M210,Services!$B$5:$B$64,0)),"")="Per hour",IFERROR(INDEX(Properties!$X$5:$X$254,MATCH(J210,Properties!$A$5:$A$254,0)),0)&gt;0),IFERROR(INDEX(Properties!$X$5:$X$254,MATCH(J210,Properties!$A$5:$A$254,0)),0),IF(IFERROR(INDEX(Services!$G$5:$G$64,MATCH(M210,Services!$B$5:$B$64,0)),0)&gt;0,IFERROR(INDEX(Services!$G$5:$G$64,MATCH(M210,Services!$B$5:$B$64,0)),0),IFERROR(INDEX(Properties!$X$5:$X$254,MATCH(J210,Properties!$A$5:$A$254,0)),0)))))</f>
        <v>0</v>
      </c>
      <c r="AE210" s="31">
        <f>IF(G210="","",IF(T210="",CleanersPerJob,MAX(1,T210)))</f>
        <v>0</v>
      </c>
      <c r="AF210" s="34">
        <f>IF(G210="","",ROUND(AD210/AE210,2))</f>
        <v>0</v>
      </c>
      <c r="AG210" s="53">
        <f>IF(OR(G210="",F210="",AF210=""),"",F210+AF210/24)</f>
        <v>0</v>
      </c>
      <c r="AH210" s="21">
        <f>IF(G210="","",IF(IFERROR(INDEX(Clients!$O$5:$O$204,MATCH(G210,Clients!$A$5:$A$204,0)),0)&gt;0,IFERROR(INDEX(Clients!$O$5:$O$204,MATCH(G210,Clients!$A$5:$A$204,0)),0),HourlyRate))</f>
        <v>0</v>
      </c>
      <c r="AI210" s="21">
        <f>IF(G210="","",IF(AND(M210&lt;&gt;"",IFERROR(INDEX(Services!$P$5:$P$64,MATCH(M210,Services!$B$5:$B$64,0)),0)&gt;0,IFERROR(INDEX(Services!$D$5:$D$64,MATCH(M210,Services!$B$5:$B$64,0)),"")&lt;&gt;"Per hour"),IFERROR(INDEX(Services!$P$5:$P$64,MATCH(M210,Services!$B$5:$B$64,0)),0),AD210*AH210))</f>
        <v>0</v>
      </c>
      <c r="AJ210" s="21">
        <f>IF(G210="","",IF(V210&lt;&gt;"",V210,IF(P210="Cancelled",0,MAX(MinimumCharge,ROUND(AI210*IFERROR(INDEX(FreqFactors,MATCH(O210,FreqNames,0)),1),2)))))</f>
        <v>0</v>
      </c>
      <c r="AK210" s="34">
        <f>IF(G210="","",IF(SUMIFS(Timesheets!$U$5:$U$804,Timesheets!$G$5:$G$804,A210)&gt;0,SUMIFS(Timesheets!$U$5:$U$804,Timesheets!$G$5:$G$804,A210),IF(Z210="","",Z210)))</f>
        <v>0</v>
      </c>
      <c r="AL210" s="34">
        <f>IF(OR(AK210="",AD210=""),"",AK210-AD210)</f>
        <v>0</v>
      </c>
      <c r="AM210" s="31">
        <f>IF(A210="","",COUNTIFS('Job Tasks'!$B$5:$B$904,A210))</f>
        <v>0</v>
      </c>
      <c r="AN210" s="31">
        <f>IF(A210="","",COUNTIFS('Job Tasks'!$B$5:$B$904,A210,'Job Tasks'!$H$5:$H$904,"Done"))</f>
        <v>0</v>
      </c>
      <c r="AO210" s="38">
        <f>IF(OR(A210="",AM210=0),"",AN210/AM210)</f>
        <v>0</v>
      </c>
      <c r="AP210" s="43">
        <f>IF(A210="","",IFERROR(INDEX('Invoice Lines'!$B$5:$B$804,MATCH(A210,'Invoice Lines'!$C$5:$C$804,0)),""))</f>
        <v>0</v>
      </c>
      <c r="AQ210" s="18">
        <f>IF(OR(G210="",B210="",X210&lt;&gt;"Yes"),"",IF(IFERROR(INDEX(FreqDays,MATCH(O210,FreqNames,0)),0)=0,"",B210+IFERROR(INDEX(FreqDays,MATCH(O210,FreqNames,0)),0)))</f>
        <v>0</v>
      </c>
      <c r="AR210" s="39">
        <f>IF(G210="","",IF(R210="","Unassigned",IF(COUNTIFS($R$5:$R$604,R210,$B$5:$B$604,B210,$F$5:$F$604,F210)&gt;1,"Clash",IF(SUMIFS($AF$5:$AF$604,$R$5:$R$604,R210,$B$5:$B$604,B210)&gt;ProductiveHours,"Long day","OK"))))</f>
        <v>0</v>
      </c>
      <c r="AS210" s="18">
        <f>IF(OR(G210="",B210=""),"",IF(AND(B210&gt;=TodayDate,P210&lt;&gt;"Cancelled"),B210,""))</f>
        <v>0</v>
      </c>
      <c r="AT210" s="31">
        <f>IF(AS210="","",COUNTIFS($AS$5:$AS$604,"&lt;"&amp;AS210)+COUNTIFS($AS$5:AS210,AS210))</f>
        <v>0</v>
      </c>
      <c r="AU210" s="18">
        <f>IF(OR(G210="",B210="",R210&lt;&gt;""),"",IF(AND(B210&gt;=TodayDate,P210&lt;&gt;"Cancelled"),B210,""))</f>
        <v>0</v>
      </c>
      <c r="AV210" s="31">
        <f>IF(AU210="","",COUNTIFS($AU$5:$AU$604,"&lt;"&amp;AU210)+COUNTIFS($AU$5:AU210,AU210))</f>
        <v>0</v>
      </c>
      <c r="AW210" s="31">
        <f>IF(OR(G210="",B210=""),"",B210-TodayDate)</f>
        <v>0</v>
      </c>
      <c r="AX210" s="39">
        <f>IF(G210="","",IF(P210="Cancelled","Cancelled",IF(P210="No access","Action - no access, rebook",IF(AND(B210&lt;&gt;"",AW210&lt;0,OR(P210="Booked",P210="Confirmed",P210="In progress")),"Late - mark it completed",IF(AND(P210="Completed",AP210=""),"Action - not invoiced yet",IF(AND(AW210&gt;=0,AW210&lt;=ReminderDays,Y210&lt;&gt;"Yes"),"Confirm - visit coming up",IF(R210="","Assign - no cleaner booked",IF(AND(P210="Completed",AO210&lt;&gt;"",AO210&lt;1),"Check - checklist unfinished","OK"))))))))</f>
        <v>0</v>
      </c>
    </row>
    <row r="211" spans="1:50">
      <c r="A211" s="43">
        <f>IF(G211="","",JobPrefix&amp;TEXT(ROW()-4,"0000"))</f>
        <v>0</v>
      </c>
      <c r="C211" s="23">
        <f>IF(B211="","",TEXT(B211,"ddd"))</f>
        <v>0</v>
      </c>
      <c r="D211" s="31">
        <f>IF(B211="","",WEEKNUM(B211,IF(WeekStart="Sunday",1,2)))</f>
        <v>0</v>
      </c>
      <c r="E211" s="23">
        <f>IF(B211="","",TEXT(B211,"yyyy-mm"))</f>
        <v>0</v>
      </c>
      <c r="H211" s="23">
        <f>IF(G211="","",IFERROR(INDEX(Clients!$B$5:$B$204,MATCH(G211,Clients!$A$5:$A$204,0)),"Not found"))</f>
        <v>0</v>
      </c>
      <c r="I211" s="23">
        <f>IF(G211="","",IFERROR(INDEX(Clients!$C$5:$C$204,MATCH(G211,Clients!$A$5:$A$204,0)),""))</f>
        <v>0</v>
      </c>
      <c r="K211" s="23">
        <f>IF(J211="","",IFERROR(INDEX(Properties!$B$5:$B$254,MATCH(J211,Properties!$A$5:$A$254,0)),""))</f>
        <v>0</v>
      </c>
      <c r="L211" s="23">
        <f>IF(J211="","",IFERROR(INDEX(Properties!$F$5:$F$254,MATCH(J211,Properties!$A$5:$A$254,0)),""))</f>
        <v>0</v>
      </c>
      <c r="AD211" s="34">
        <f>IF(G211="","",IF(U211&lt;&gt;"",U211,IF(AND(IFERROR(INDEX(Services!$D$5:$D$64,MATCH(M211,Services!$B$5:$B$64,0)),"")="Per hour",IFERROR(INDEX(Properties!$X$5:$X$254,MATCH(J211,Properties!$A$5:$A$254,0)),0)&gt;0),IFERROR(INDEX(Properties!$X$5:$X$254,MATCH(J211,Properties!$A$5:$A$254,0)),0),IF(IFERROR(INDEX(Services!$G$5:$G$64,MATCH(M211,Services!$B$5:$B$64,0)),0)&gt;0,IFERROR(INDEX(Services!$G$5:$G$64,MATCH(M211,Services!$B$5:$B$64,0)),0),IFERROR(INDEX(Properties!$X$5:$X$254,MATCH(J211,Properties!$A$5:$A$254,0)),0)))))</f>
        <v>0</v>
      </c>
      <c r="AE211" s="31">
        <f>IF(G211="","",IF(T211="",CleanersPerJob,MAX(1,T211)))</f>
        <v>0</v>
      </c>
      <c r="AF211" s="34">
        <f>IF(G211="","",ROUND(AD211/AE211,2))</f>
        <v>0</v>
      </c>
      <c r="AG211" s="53">
        <f>IF(OR(G211="",F211="",AF211=""),"",F211+AF211/24)</f>
        <v>0</v>
      </c>
      <c r="AH211" s="21">
        <f>IF(G211="","",IF(IFERROR(INDEX(Clients!$O$5:$O$204,MATCH(G211,Clients!$A$5:$A$204,0)),0)&gt;0,IFERROR(INDEX(Clients!$O$5:$O$204,MATCH(G211,Clients!$A$5:$A$204,0)),0),HourlyRate))</f>
        <v>0</v>
      </c>
      <c r="AI211" s="21">
        <f>IF(G211="","",IF(AND(M211&lt;&gt;"",IFERROR(INDEX(Services!$P$5:$P$64,MATCH(M211,Services!$B$5:$B$64,0)),0)&gt;0,IFERROR(INDEX(Services!$D$5:$D$64,MATCH(M211,Services!$B$5:$B$64,0)),"")&lt;&gt;"Per hour"),IFERROR(INDEX(Services!$P$5:$P$64,MATCH(M211,Services!$B$5:$B$64,0)),0),AD211*AH211))</f>
        <v>0</v>
      </c>
      <c r="AJ211" s="21">
        <f>IF(G211="","",IF(V211&lt;&gt;"",V211,IF(P211="Cancelled",0,MAX(MinimumCharge,ROUND(AI211*IFERROR(INDEX(FreqFactors,MATCH(O211,FreqNames,0)),1),2)))))</f>
        <v>0</v>
      </c>
      <c r="AK211" s="34">
        <f>IF(G211="","",IF(SUMIFS(Timesheets!$U$5:$U$804,Timesheets!$G$5:$G$804,A211)&gt;0,SUMIFS(Timesheets!$U$5:$U$804,Timesheets!$G$5:$G$804,A211),IF(Z211="","",Z211)))</f>
        <v>0</v>
      </c>
      <c r="AL211" s="34">
        <f>IF(OR(AK211="",AD211=""),"",AK211-AD211)</f>
        <v>0</v>
      </c>
      <c r="AM211" s="31">
        <f>IF(A211="","",COUNTIFS('Job Tasks'!$B$5:$B$904,A211))</f>
        <v>0</v>
      </c>
      <c r="AN211" s="31">
        <f>IF(A211="","",COUNTIFS('Job Tasks'!$B$5:$B$904,A211,'Job Tasks'!$H$5:$H$904,"Done"))</f>
        <v>0</v>
      </c>
      <c r="AO211" s="38">
        <f>IF(OR(A211="",AM211=0),"",AN211/AM211)</f>
        <v>0</v>
      </c>
      <c r="AP211" s="43">
        <f>IF(A211="","",IFERROR(INDEX('Invoice Lines'!$B$5:$B$804,MATCH(A211,'Invoice Lines'!$C$5:$C$804,0)),""))</f>
        <v>0</v>
      </c>
      <c r="AQ211" s="18">
        <f>IF(OR(G211="",B211="",X211&lt;&gt;"Yes"),"",IF(IFERROR(INDEX(FreqDays,MATCH(O211,FreqNames,0)),0)=0,"",B211+IFERROR(INDEX(FreqDays,MATCH(O211,FreqNames,0)),0)))</f>
        <v>0</v>
      </c>
      <c r="AR211" s="39">
        <f>IF(G211="","",IF(R211="","Unassigned",IF(COUNTIFS($R$5:$R$604,R211,$B$5:$B$604,B211,$F$5:$F$604,F211)&gt;1,"Clash",IF(SUMIFS($AF$5:$AF$604,$R$5:$R$604,R211,$B$5:$B$604,B211)&gt;ProductiveHours,"Long day","OK"))))</f>
        <v>0</v>
      </c>
      <c r="AS211" s="18">
        <f>IF(OR(G211="",B211=""),"",IF(AND(B211&gt;=TodayDate,P211&lt;&gt;"Cancelled"),B211,""))</f>
        <v>0</v>
      </c>
      <c r="AT211" s="31">
        <f>IF(AS211="","",COUNTIFS($AS$5:$AS$604,"&lt;"&amp;AS211)+COUNTIFS($AS$5:AS211,AS211))</f>
        <v>0</v>
      </c>
      <c r="AU211" s="18">
        <f>IF(OR(G211="",B211="",R211&lt;&gt;""),"",IF(AND(B211&gt;=TodayDate,P211&lt;&gt;"Cancelled"),B211,""))</f>
        <v>0</v>
      </c>
      <c r="AV211" s="31">
        <f>IF(AU211="","",COUNTIFS($AU$5:$AU$604,"&lt;"&amp;AU211)+COUNTIFS($AU$5:AU211,AU211))</f>
        <v>0</v>
      </c>
      <c r="AW211" s="31">
        <f>IF(OR(G211="",B211=""),"",B211-TodayDate)</f>
        <v>0</v>
      </c>
      <c r="AX211" s="39">
        <f>IF(G211="","",IF(P211="Cancelled","Cancelled",IF(P211="No access","Action - no access, rebook",IF(AND(B211&lt;&gt;"",AW211&lt;0,OR(P211="Booked",P211="Confirmed",P211="In progress")),"Late - mark it completed",IF(AND(P211="Completed",AP211=""),"Action - not invoiced yet",IF(AND(AW211&gt;=0,AW211&lt;=ReminderDays,Y211&lt;&gt;"Yes"),"Confirm - visit coming up",IF(R211="","Assign - no cleaner booked",IF(AND(P211="Completed",AO211&lt;&gt;"",AO211&lt;1),"Check - checklist unfinished","OK"))))))))</f>
        <v>0</v>
      </c>
    </row>
    <row r="212" spans="1:50">
      <c r="A212" s="43">
        <f>IF(G212="","",JobPrefix&amp;TEXT(ROW()-4,"0000"))</f>
        <v>0</v>
      </c>
      <c r="C212" s="23">
        <f>IF(B212="","",TEXT(B212,"ddd"))</f>
        <v>0</v>
      </c>
      <c r="D212" s="31">
        <f>IF(B212="","",WEEKNUM(B212,IF(WeekStart="Sunday",1,2)))</f>
        <v>0</v>
      </c>
      <c r="E212" s="23">
        <f>IF(B212="","",TEXT(B212,"yyyy-mm"))</f>
        <v>0</v>
      </c>
      <c r="H212" s="23">
        <f>IF(G212="","",IFERROR(INDEX(Clients!$B$5:$B$204,MATCH(G212,Clients!$A$5:$A$204,0)),"Not found"))</f>
        <v>0</v>
      </c>
      <c r="I212" s="23">
        <f>IF(G212="","",IFERROR(INDEX(Clients!$C$5:$C$204,MATCH(G212,Clients!$A$5:$A$204,0)),""))</f>
        <v>0</v>
      </c>
      <c r="K212" s="23">
        <f>IF(J212="","",IFERROR(INDEX(Properties!$B$5:$B$254,MATCH(J212,Properties!$A$5:$A$254,0)),""))</f>
        <v>0</v>
      </c>
      <c r="L212" s="23">
        <f>IF(J212="","",IFERROR(INDEX(Properties!$F$5:$F$254,MATCH(J212,Properties!$A$5:$A$254,0)),""))</f>
        <v>0</v>
      </c>
      <c r="AD212" s="34">
        <f>IF(G212="","",IF(U212&lt;&gt;"",U212,IF(AND(IFERROR(INDEX(Services!$D$5:$D$64,MATCH(M212,Services!$B$5:$B$64,0)),"")="Per hour",IFERROR(INDEX(Properties!$X$5:$X$254,MATCH(J212,Properties!$A$5:$A$254,0)),0)&gt;0),IFERROR(INDEX(Properties!$X$5:$X$254,MATCH(J212,Properties!$A$5:$A$254,0)),0),IF(IFERROR(INDEX(Services!$G$5:$G$64,MATCH(M212,Services!$B$5:$B$64,0)),0)&gt;0,IFERROR(INDEX(Services!$G$5:$G$64,MATCH(M212,Services!$B$5:$B$64,0)),0),IFERROR(INDEX(Properties!$X$5:$X$254,MATCH(J212,Properties!$A$5:$A$254,0)),0)))))</f>
        <v>0</v>
      </c>
      <c r="AE212" s="31">
        <f>IF(G212="","",IF(T212="",CleanersPerJob,MAX(1,T212)))</f>
        <v>0</v>
      </c>
      <c r="AF212" s="34">
        <f>IF(G212="","",ROUND(AD212/AE212,2))</f>
        <v>0</v>
      </c>
      <c r="AG212" s="53">
        <f>IF(OR(G212="",F212="",AF212=""),"",F212+AF212/24)</f>
        <v>0</v>
      </c>
      <c r="AH212" s="21">
        <f>IF(G212="","",IF(IFERROR(INDEX(Clients!$O$5:$O$204,MATCH(G212,Clients!$A$5:$A$204,0)),0)&gt;0,IFERROR(INDEX(Clients!$O$5:$O$204,MATCH(G212,Clients!$A$5:$A$204,0)),0),HourlyRate))</f>
        <v>0</v>
      </c>
      <c r="AI212" s="21">
        <f>IF(G212="","",IF(AND(M212&lt;&gt;"",IFERROR(INDEX(Services!$P$5:$P$64,MATCH(M212,Services!$B$5:$B$64,0)),0)&gt;0,IFERROR(INDEX(Services!$D$5:$D$64,MATCH(M212,Services!$B$5:$B$64,0)),"")&lt;&gt;"Per hour"),IFERROR(INDEX(Services!$P$5:$P$64,MATCH(M212,Services!$B$5:$B$64,0)),0),AD212*AH212))</f>
        <v>0</v>
      </c>
      <c r="AJ212" s="21">
        <f>IF(G212="","",IF(V212&lt;&gt;"",V212,IF(P212="Cancelled",0,MAX(MinimumCharge,ROUND(AI212*IFERROR(INDEX(FreqFactors,MATCH(O212,FreqNames,0)),1),2)))))</f>
        <v>0</v>
      </c>
      <c r="AK212" s="34">
        <f>IF(G212="","",IF(SUMIFS(Timesheets!$U$5:$U$804,Timesheets!$G$5:$G$804,A212)&gt;0,SUMIFS(Timesheets!$U$5:$U$804,Timesheets!$G$5:$G$804,A212),IF(Z212="","",Z212)))</f>
        <v>0</v>
      </c>
      <c r="AL212" s="34">
        <f>IF(OR(AK212="",AD212=""),"",AK212-AD212)</f>
        <v>0</v>
      </c>
      <c r="AM212" s="31">
        <f>IF(A212="","",COUNTIFS('Job Tasks'!$B$5:$B$904,A212))</f>
        <v>0</v>
      </c>
      <c r="AN212" s="31">
        <f>IF(A212="","",COUNTIFS('Job Tasks'!$B$5:$B$904,A212,'Job Tasks'!$H$5:$H$904,"Done"))</f>
        <v>0</v>
      </c>
      <c r="AO212" s="38">
        <f>IF(OR(A212="",AM212=0),"",AN212/AM212)</f>
        <v>0</v>
      </c>
      <c r="AP212" s="43">
        <f>IF(A212="","",IFERROR(INDEX('Invoice Lines'!$B$5:$B$804,MATCH(A212,'Invoice Lines'!$C$5:$C$804,0)),""))</f>
        <v>0</v>
      </c>
      <c r="AQ212" s="18">
        <f>IF(OR(G212="",B212="",X212&lt;&gt;"Yes"),"",IF(IFERROR(INDEX(FreqDays,MATCH(O212,FreqNames,0)),0)=0,"",B212+IFERROR(INDEX(FreqDays,MATCH(O212,FreqNames,0)),0)))</f>
        <v>0</v>
      </c>
      <c r="AR212" s="39">
        <f>IF(G212="","",IF(R212="","Unassigned",IF(COUNTIFS($R$5:$R$604,R212,$B$5:$B$604,B212,$F$5:$F$604,F212)&gt;1,"Clash",IF(SUMIFS($AF$5:$AF$604,$R$5:$R$604,R212,$B$5:$B$604,B212)&gt;ProductiveHours,"Long day","OK"))))</f>
        <v>0</v>
      </c>
      <c r="AS212" s="18">
        <f>IF(OR(G212="",B212=""),"",IF(AND(B212&gt;=TodayDate,P212&lt;&gt;"Cancelled"),B212,""))</f>
        <v>0</v>
      </c>
      <c r="AT212" s="31">
        <f>IF(AS212="","",COUNTIFS($AS$5:$AS$604,"&lt;"&amp;AS212)+COUNTIFS($AS$5:AS212,AS212))</f>
        <v>0</v>
      </c>
      <c r="AU212" s="18">
        <f>IF(OR(G212="",B212="",R212&lt;&gt;""),"",IF(AND(B212&gt;=TodayDate,P212&lt;&gt;"Cancelled"),B212,""))</f>
        <v>0</v>
      </c>
      <c r="AV212" s="31">
        <f>IF(AU212="","",COUNTIFS($AU$5:$AU$604,"&lt;"&amp;AU212)+COUNTIFS($AU$5:AU212,AU212))</f>
        <v>0</v>
      </c>
      <c r="AW212" s="31">
        <f>IF(OR(G212="",B212=""),"",B212-TodayDate)</f>
        <v>0</v>
      </c>
      <c r="AX212" s="39">
        <f>IF(G212="","",IF(P212="Cancelled","Cancelled",IF(P212="No access","Action - no access, rebook",IF(AND(B212&lt;&gt;"",AW212&lt;0,OR(P212="Booked",P212="Confirmed",P212="In progress")),"Late - mark it completed",IF(AND(P212="Completed",AP212=""),"Action - not invoiced yet",IF(AND(AW212&gt;=0,AW212&lt;=ReminderDays,Y212&lt;&gt;"Yes"),"Confirm - visit coming up",IF(R212="","Assign - no cleaner booked",IF(AND(P212="Completed",AO212&lt;&gt;"",AO212&lt;1),"Check - checklist unfinished","OK"))))))))</f>
        <v>0</v>
      </c>
    </row>
    <row r="213" spans="1:50">
      <c r="A213" s="43">
        <f>IF(G213="","",JobPrefix&amp;TEXT(ROW()-4,"0000"))</f>
        <v>0</v>
      </c>
      <c r="C213" s="23">
        <f>IF(B213="","",TEXT(B213,"ddd"))</f>
        <v>0</v>
      </c>
      <c r="D213" s="31">
        <f>IF(B213="","",WEEKNUM(B213,IF(WeekStart="Sunday",1,2)))</f>
        <v>0</v>
      </c>
      <c r="E213" s="23">
        <f>IF(B213="","",TEXT(B213,"yyyy-mm"))</f>
        <v>0</v>
      </c>
      <c r="H213" s="23">
        <f>IF(G213="","",IFERROR(INDEX(Clients!$B$5:$B$204,MATCH(G213,Clients!$A$5:$A$204,0)),"Not found"))</f>
        <v>0</v>
      </c>
      <c r="I213" s="23">
        <f>IF(G213="","",IFERROR(INDEX(Clients!$C$5:$C$204,MATCH(G213,Clients!$A$5:$A$204,0)),""))</f>
        <v>0</v>
      </c>
      <c r="K213" s="23">
        <f>IF(J213="","",IFERROR(INDEX(Properties!$B$5:$B$254,MATCH(J213,Properties!$A$5:$A$254,0)),""))</f>
        <v>0</v>
      </c>
      <c r="L213" s="23">
        <f>IF(J213="","",IFERROR(INDEX(Properties!$F$5:$F$254,MATCH(J213,Properties!$A$5:$A$254,0)),""))</f>
        <v>0</v>
      </c>
      <c r="AD213" s="34">
        <f>IF(G213="","",IF(U213&lt;&gt;"",U213,IF(AND(IFERROR(INDEX(Services!$D$5:$D$64,MATCH(M213,Services!$B$5:$B$64,0)),"")="Per hour",IFERROR(INDEX(Properties!$X$5:$X$254,MATCH(J213,Properties!$A$5:$A$254,0)),0)&gt;0),IFERROR(INDEX(Properties!$X$5:$X$254,MATCH(J213,Properties!$A$5:$A$254,0)),0),IF(IFERROR(INDEX(Services!$G$5:$G$64,MATCH(M213,Services!$B$5:$B$64,0)),0)&gt;0,IFERROR(INDEX(Services!$G$5:$G$64,MATCH(M213,Services!$B$5:$B$64,0)),0),IFERROR(INDEX(Properties!$X$5:$X$254,MATCH(J213,Properties!$A$5:$A$254,0)),0)))))</f>
        <v>0</v>
      </c>
      <c r="AE213" s="31">
        <f>IF(G213="","",IF(T213="",CleanersPerJob,MAX(1,T213)))</f>
        <v>0</v>
      </c>
      <c r="AF213" s="34">
        <f>IF(G213="","",ROUND(AD213/AE213,2))</f>
        <v>0</v>
      </c>
      <c r="AG213" s="53">
        <f>IF(OR(G213="",F213="",AF213=""),"",F213+AF213/24)</f>
        <v>0</v>
      </c>
      <c r="AH213" s="21">
        <f>IF(G213="","",IF(IFERROR(INDEX(Clients!$O$5:$O$204,MATCH(G213,Clients!$A$5:$A$204,0)),0)&gt;0,IFERROR(INDEX(Clients!$O$5:$O$204,MATCH(G213,Clients!$A$5:$A$204,0)),0),HourlyRate))</f>
        <v>0</v>
      </c>
      <c r="AI213" s="21">
        <f>IF(G213="","",IF(AND(M213&lt;&gt;"",IFERROR(INDEX(Services!$P$5:$P$64,MATCH(M213,Services!$B$5:$B$64,0)),0)&gt;0,IFERROR(INDEX(Services!$D$5:$D$64,MATCH(M213,Services!$B$5:$B$64,0)),"")&lt;&gt;"Per hour"),IFERROR(INDEX(Services!$P$5:$P$64,MATCH(M213,Services!$B$5:$B$64,0)),0),AD213*AH213))</f>
        <v>0</v>
      </c>
      <c r="AJ213" s="21">
        <f>IF(G213="","",IF(V213&lt;&gt;"",V213,IF(P213="Cancelled",0,MAX(MinimumCharge,ROUND(AI213*IFERROR(INDEX(FreqFactors,MATCH(O213,FreqNames,0)),1),2)))))</f>
        <v>0</v>
      </c>
      <c r="AK213" s="34">
        <f>IF(G213="","",IF(SUMIFS(Timesheets!$U$5:$U$804,Timesheets!$G$5:$G$804,A213)&gt;0,SUMIFS(Timesheets!$U$5:$U$804,Timesheets!$G$5:$G$804,A213),IF(Z213="","",Z213)))</f>
        <v>0</v>
      </c>
      <c r="AL213" s="34">
        <f>IF(OR(AK213="",AD213=""),"",AK213-AD213)</f>
        <v>0</v>
      </c>
      <c r="AM213" s="31">
        <f>IF(A213="","",COUNTIFS('Job Tasks'!$B$5:$B$904,A213))</f>
        <v>0</v>
      </c>
      <c r="AN213" s="31">
        <f>IF(A213="","",COUNTIFS('Job Tasks'!$B$5:$B$904,A213,'Job Tasks'!$H$5:$H$904,"Done"))</f>
        <v>0</v>
      </c>
      <c r="AO213" s="38">
        <f>IF(OR(A213="",AM213=0),"",AN213/AM213)</f>
        <v>0</v>
      </c>
      <c r="AP213" s="43">
        <f>IF(A213="","",IFERROR(INDEX('Invoice Lines'!$B$5:$B$804,MATCH(A213,'Invoice Lines'!$C$5:$C$804,0)),""))</f>
        <v>0</v>
      </c>
      <c r="AQ213" s="18">
        <f>IF(OR(G213="",B213="",X213&lt;&gt;"Yes"),"",IF(IFERROR(INDEX(FreqDays,MATCH(O213,FreqNames,0)),0)=0,"",B213+IFERROR(INDEX(FreqDays,MATCH(O213,FreqNames,0)),0)))</f>
        <v>0</v>
      </c>
      <c r="AR213" s="39">
        <f>IF(G213="","",IF(R213="","Unassigned",IF(COUNTIFS($R$5:$R$604,R213,$B$5:$B$604,B213,$F$5:$F$604,F213)&gt;1,"Clash",IF(SUMIFS($AF$5:$AF$604,$R$5:$R$604,R213,$B$5:$B$604,B213)&gt;ProductiveHours,"Long day","OK"))))</f>
        <v>0</v>
      </c>
      <c r="AS213" s="18">
        <f>IF(OR(G213="",B213=""),"",IF(AND(B213&gt;=TodayDate,P213&lt;&gt;"Cancelled"),B213,""))</f>
        <v>0</v>
      </c>
      <c r="AT213" s="31">
        <f>IF(AS213="","",COUNTIFS($AS$5:$AS$604,"&lt;"&amp;AS213)+COUNTIFS($AS$5:AS213,AS213))</f>
        <v>0</v>
      </c>
      <c r="AU213" s="18">
        <f>IF(OR(G213="",B213="",R213&lt;&gt;""),"",IF(AND(B213&gt;=TodayDate,P213&lt;&gt;"Cancelled"),B213,""))</f>
        <v>0</v>
      </c>
      <c r="AV213" s="31">
        <f>IF(AU213="","",COUNTIFS($AU$5:$AU$604,"&lt;"&amp;AU213)+COUNTIFS($AU$5:AU213,AU213))</f>
        <v>0</v>
      </c>
      <c r="AW213" s="31">
        <f>IF(OR(G213="",B213=""),"",B213-TodayDate)</f>
        <v>0</v>
      </c>
      <c r="AX213" s="39">
        <f>IF(G213="","",IF(P213="Cancelled","Cancelled",IF(P213="No access","Action - no access, rebook",IF(AND(B213&lt;&gt;"",AW213&lt;0,OR(P213="Booked",P213="Confirmed",P213="In progress")),"Late - mark it completed",IF(AND(P213="Completed",AP213=""),"Action - not invoiced yet",IF(AND(AW213&gt;=0,AW213&lt;=ReminderDays,Y213&lt;&gt;"Yes"),"Confirm - visit coming up",IF(R213="","Assign - no cleaner booked",IF(AND(P213="Completed",AO213&lt;&gt;"",AO213&lt;1),"Check - checklist unfinished","OK"))))))))</f>
        <v>0</v>
      </c>
    </row>
    <row r="214" spans="1:50">
      <c r="A214" s="43">
        <f>IF(G214="","",JobPrefix&amp;TEXT(ROW()-4,"0000"))</f>
        <v>0</v>
      </c>
      <c r="C214" s="23">
        <f>IF(B214="","",TEXT(B214,"ddd"))</f>
        <v>0</v>
      </c>
      <c r="D214" s="31">
        <f>IF(B214="","",WEEKNUM(B214,IF(WeekStart="Sunday",1,2)))</f>
        <v>0</v>
      </c>
      <c r="E214" s="23">
        <f>IF(B214="","",TEXT(B214,"yyyy-mm"))</f>
        <v>0</v>
      </c>
      <c r="H214" s="23">
        <f>IF(G214="","",IFERROR(INDEX(Clients!$B$5:$B$204,MATCH(G214,Clients!$A$5:$A$204,0)),"Not found"))</f>
        <v>0</v>
      </c>
      <c r="I214" s="23">
        <f>IF(G214="","",IFERROR(INDEX(Clients!$C$5:$C$204,MATCH(G214,Clients!$A$5:$A$204,0)),""))</f>
        <v>0</v>
      </c>
      <c r="K214" s="23">
        <f>IF(J214="","",IFERROR(INDEX(Properties!$B$5:$B$254,MATCH(J214,Properties!$A$5:$A$254,0)),""))</f>
        <v>0</v>
      </c>
      <c r="L214" s="23">
        <f>IF(J214="","",IFERROR(INDEX(Properties!$F$5:$F$254,MATCH(J214,Properties!$A$5:$A$254,0)),""))</f>
        <v>0</v>
      </c>
      <c r="AD214" s="34">
        <f>IF(G214="","",IF(U214&lt;&gt;"",U214,IF(AND(IFERROR(INDEX(Services!$D$5:$D$64,MATCH(M214,Services!$B$5:$B$64,0)),"")="Per hour",IFERROR(INDEX(Properties!$X$5:$X$254,MATCH(J214,Properties!$A$5:$A$254,0)),0)&gt;0),IFERROR(INDEX(Properties!$X$5:$X$254,MATCH(J214,Properties!$A$5:$A$254,0)),0),IF(IFERROR(INDEX(Services!$G$5:$G$64,MATCH(M214,Services!$B$5:$B$64,0)),0)&gt;0,IFERROR(INDEX(Services!$G$5:$G$64,MATCH(M214,Services!$B$5:$B$64,0)),0),IFERROR(INDEX(Properties!$X$5:$X$254,MATCH(J214,Properties!$A$5:$A$254,0)),0)))))</f>
        <v>0</v>
      </c>
      <c r="AE214" s="31">
        <f>IF(G214="","",IF(T214="",CleanersPerJob,MAX(1,T214)))</f>
        <v>0</v>
      </c>
      <c r="AF214" s="34">
        <f>IF(G214="","",ROUND(AD214/AE214,2))</f>
        <v>0</v>
      </c>
      <c r="AG214" s="53">
        <f>IF(OR(G214="",F214="",AF214=""),"",F214+AF214/24)</f>
        <v>0</v>
      </c>
      <c r="AH214" s="21">
        <f>IF(G214="","",IF(IFERROR(INDEX(Clients!$O$5:$O$204,MATCH(G214,Clients!$A$5:$A$204,0)),0)&gt;0,IFERROR(INDEX(Clients!$O$5:$O$204,MATCH(G214,Clients!$A$5:$A$204,0)),0),HourlyRate))</f>
        <v>0</v>
      </c>
      <c r="AI214" s="21">
        <f>IF(G214="","",IF(AND(M214&lt;&gt;"",IFERROR(INDEX(Services!$P$5:$P$64,MATCH(M214,Services!$B$5:$B$64,0)),0)&gt;0,IFERROR(INDEX(Services!$D$5:$D$64,MATCH(M214,Services!$B$5:$B$64,0)),"")&lt;&gt;"Per hour"),IFERROR(INDEX(Services!$P$5:$P$64,MATCH(M214,Services!$B$5:$B$64,0)),0),AD214*AH214))</f>
        <v>0</v>
      </c>
      <c r="AJ214" s="21">
        <f>IF(G214="","",IF(V214&lt;&gt;"",V214,IF(P214="Cancelled",0,MAX(MinimumCharge,ROUND(AI214*IFERROR(INDEX(FreqFactors,MATCH(O214,FreqNames,0)),1),2)))))</f>
        <v>0</v>
      </c>
      <c r="AK214" s="34">
        <f>IF(G214="","",IF(SUMIFS(Timesheets!$U$5:$U$804,Timesheets!$G$5:$G$804,A214)&gt;0,SUMIFS(Timesheets!$U$5:$U$804,Timesheets!$G$5:$G$804,A214),IF(Z214="","",Z214)))</f>
        <v>0</v>
      </c>
      <c r="AL214" s="34">
        <f>IF(OR(AK214="",AD214=""),"",AK214-AD214)</f>
        <v>0</v>
      </c>
      <c r="AM214" s="31">
        <f>IF(A214="","",COUNTIFS('Job Tasks'!$B$5:$B$904,A214))</f>
        <v>0</v>
      </c>
      <c r="AN214" s="31">
        <f>IF(A214="","",COUNTIFS('Job Tasks'!$B$5:$B$904,A214,'Job Tasks'!$H$5:$H$904,"Done"))</f>
        <v>0</v>
      </c>
      <c r="AO214" s="38">
        <f>IF(OR(A214="",AM214=0),"",AN214/AM214)</f>
        <v>0</v>
      </c>
      <c r="AP214" s="43">
        <f>IF(A214="","",IFERROR(INDEX('Invoice Lines'!$B$5:$B$804,MATCH(A214,'Invoice Lines'!$C$5:$C$804,0)),""))</f>
        <v>0</v>
      </c>
      <c r="AQ214" s="18">
        <f>IF(OR(G214="",B214="",X214&lt;&gt;"Yes"),"",IF(IFERROR(INDEX(FreqDays,MATCH(O214,FreqNames,0)),0)=0,"",B214+IFERROR(INDEX(FreqDays,MATCH(O214,FreqNames,0)),0)))</f>
        <v>0</v>
      </c>
      <c r="AR214" s="39">
        <f>IF(G214="","",IF(R214="","Unassigned",IF(COUNTIFS($R$5:$R$604,R214,$B$5:$B$604,B214,$F$5:$F$604,F214)&gt;1,"Clash",IF(SUMIFS($AF$5:$AF$604,$R$5:$R$604,R214,$B$5:$B$604,B214)&gt;ProductiveHours,"Long day","OK"))))</f>
        <v>0</v>
      </c>
      <c r="AS214" s="18">
        <f>IF(OR(G214="",B214=""),"",IF(AND(B214&gt;=TodayDate,P214&lt;&gt;"Cancelled"),B214,""))</f>
        <v>0</v>
      </c>
      <c r="AT214" s="31">
        <f>IF(AS214="","",COUNTIFS($AS$5:$AS$604,"&lt;"&amp;AS214)+COUNTIFS($AS$5:AS214,AS214))</f>
        <v>0</v>
      </c>
      <c r="AU214" s="18">
        <f>IF(OR(G214="",B214="",R214&lt;&gt;""),"",IF(AND(B214&gt;=TodayDate,P214&lt;&gt;"Cancelled"),B214,""))</f>
        <v>0</v>
      </c>
      <c r="AV214" s="31">
        <f>IF(AU214="","",COUNTIFS($AU$5:$AU$604,"&lt;"&amp;AU214)+COUNTIFS($AU$5:AU214,AU214))</f>
        <v>0</v>
      </c>
      <c r="AW214" s="31">
        <f>IF(OR(G214="",B214=""),"",B214-TodayDate)</f>
        <v>0</v>
      </c>
      <c r="AX214" s="39">
        <f>IF(G214="","",IF(P214="Cancelled","Cancelled",IF(P214="No access","Action - no access, rebook",IF(AND(B214&lt;&gt;"",AW214&lt;0,OR(P214="Booked",P214="Confirmed",P214="In progress")),"Late - mark it completed",IF(AND(P214="Completed",AP214=""),"Action - not invoiced yet",IF(AND(AW214&gt;=0,AW214&lt;=ReminderDays,Y214&lt;&gt;"Yes"),"Confirm - visit coming up",IF(R214="","Assign - no cleaner booked",IF(AND(P214="Completed",AO214&lt;&gt;"",AO214&lt;1),"Check - checklist unfinished","OK"))))))))</f>
        <v>0</v>
      </c>
    </row>
    <row r="215" spans="1:50">
      <c r="A215" s="43">
        <f>IF(G215="","",JobPrefix&amp;TEXT(ROW()-4,"0000"))</f>
        <v>0</v>
      </c>
      <c r="C215" s="23">
        <f>IF(B215="","",TEXT(B215,"ddd"))</f>
        <v>0</v>
      </c>
      <c r="D215" s="31">
        <f>IF(B215="","",WEEKNUM(B215,IF(WeekStart="Sunday",1,2)))</f>
        <v>0</v>
      </c>
      <c r="E215" s="23">
        <f>IF(B215="","",TEXT(B215,"yyyy-mm"))</f>
        <v>0</v>
      </c>
      <c r="H215" s="23">
        <f>IF(G215="","",IFERROR(INDEX(Clients!$B$5:$B$204,MATCH(G215,Clients!$A$5:$A$204,0)),"Not found"))</f>
        <v>0</v>
      </c>
      <c r="I215" s="23">
        <f>IF(G215="","",IFERROR(INDEX(Clients!$C$5:$C$204,MATCH(G215,Clients!$A$5:$A$204,0)),""))</f>
        <v>0</v>
      </c>
      <c r="K215" s="23">
        <f>IF(J215="","",IFERROR(INDEX(Properties!$B$5:$B$254,MATCH(J215,Properties!$A$5:$A$254,0)),""))</f>
        <v>0</v>
      </c>
      <c r="L215" s="23">
        <f>IF(J215="","",IFERROR(INDEX(Properties!$F$5:$F$254,MATCH(J215,Properties!$A$5:$A$254,0)),""))</f>
        <v>0</v>
      </c>
      <c r="AD215" s="34">
        <f>IF(G215="","",IF(U215&lt;&gt;"",U215,IF(AND(IFERROR(INDEX(Services!$D$5:$D$64,MATCH(M215,Services!$B$5:$B$64,0)),"")="Per hour",IFERROR(INDEX(Properties!$X$5:$X$254,MATCH(J215,Properties!$A$5:$A$254,0)),0)&gt;0),IFERROR(INDEX(Properties!$X$5:$X$254,MATCH(J215,Properties!$A$5:$A$254,0)),0),IF(IFERROR(INDEX(Services!$G$5:$G$64,MATCH(M215,Services!$B$5:$B$64,0)),0)&gt;0,IFERROR(INDEX(Services!$G$5:$G$64,MATCH(M215,Services!$B$5:$B$64,0)),0),IFERROR(INDEX(Properties!$X$5:$X$254,MATCH(J215,Properties!$A$5:$A$254,0)),0)))))</f>
        <v>0</v>
      </c>
      <c r="AE215" s="31">
        <f>IF(G215="","",IF(T215="",CleanersPerJob,MAX(1,T215)))</f>
        <v>0</v>
      </c>
      <c r="AF215" s="34">
        <f>IF(G215="","",ROUND(AD215/AE215,2))</f>
        <v>0</v>
      </c>
      <c r="AG215" s="53">
        <f>IF(OR(G215="",F215="",AF215=""),"",F215+AF215/24)</f>
        <v>0</v>
      </c>
      <c r="AH215" s="21">
        <f>IF(G215="","",IF(IFERROR(INDEX(Clients!$O$5:$O$204,MATCH(G215,Clients!$A$5:$A$204,0)),0)&gt;0,IFERROR(INDEX(Clients!$O$5:$O$204,MATCH(G215,Clients!$A$5:$A$204,0)),0),HourlyRate))</f>
        <v>0</v>
      </c>
      <c r="AI215" s="21">
        <f>IF(G215="","",IF(AND(M215&lt;&gt;"",IFERROR(INDEX(Services!$P$5:$P$64,MATCH(M215,Services!$B$5:$B$64,0)),0)&gt;0,IFERROR(INDEX(Services!$D$5:$D$64,MATCH(M215,Services!$B$5:$B$64,0)),"")&lt;&gt;"Per hour"),IFERROR(INDEX(Services!$P$5:$P$64,MATCH(M215,Services!$B$5:$B$64,0)),0),AD215*AH215))</f>
        <v>0</v>
      </c>
      <c r="AJ215" s="21">
        <f>IF(G215="","",IF(V215&lt;&gt;"",V215,IF(P215="Cancelled",0,MAX(MinimumCharge,ROUND(AI215*IFERROR(INDEX(FreqFactors,MATCH(O215,FreqNames,0)),1),2)))))</f>
        <v>0</v>
      </c>
      <c r="AK215" s="34">
        <f>IF(G215="","",IF(SUMIFS(Timesheets!$U$5:$U$804,Timesheets!$G$5:$G$804,A215)&gt;0,SUMIFS(Timesheets!$U$5:$U$804,Timesheets!$G$5:$G$804,A215),IF(Z215="","",Z215)))</f>
        <v>0</v>
      </c>
      <c r="AL215" s="34">
        <f>IF(OR(AK215="",AD215=""),"",AK215-AD215)</f>
        <v>0</v>
      </c>
      <c r="AM215" s="31">
        <f>IF(A215="","",COUNTIFS('Job Tasks'!$B$5:$B$904,A215))</f>
        <v>0</v>
      </c>
      <c r="AN215" s="31">
        <f>IF(A215="","",COUNTIFS('Job Tasks'!$B$5:$B$904,A215,'Job Tasks'!$H$5:$H$904,"Done"))</f>
        <v>0</v>
      </c>
      <c r="AO215" s="38">
        <f>IF(OR(A215="",AM215=0),"",AN215/AM215)</f>
        <v>0</v>
      </c>
      <c r="AP215" s="43">
        <f>IF(A215="","",IFERROR(INDEX('Invoice Lines'!$B$5:$B$804,MATCH(A215,'Invoice Lines'!$C$5:$C$804,0)),""))</f>
        <v>0</v>
      </c>
      <c r="AQ215" s="18">
        <f>IF(OR(G215="",B215="",X215&lt;&gt;"Yes"),"",IF(IFERROR(INDEX(FreqDays,MATCH(O215,FreqNames,0)),0)=0,"",B215+IFERROR(INDEX(FreqDays,MATCH(O215,FreqNames,0)),0)))</f>
        <v>0</v>
      </c>
      <c r="AR215" s="39">
        <f>IF(G215="","",IF(R215="","Unassigned",IF(COUNTIFS($R$5:$R$604,R215,$B$5:$B$604,B215,$F$5:$F$604,F215)&gt;1,"Clash",IF(SUMIFS($AF$5:$AF$604,$R$5:$R$604,R215,$B$5:$B$604,B215)&gt;ProductiveHours,"Long day","OK"))))</f>
        <v>0</v>
      </c>
      <c r="AS215" s="18">
        <f>IF(OR(G215="",B215=""),"",IF(AND(B215&gt;=TodayDate,P215&lt;&gt;"Cancelled"),B215,""))</f>
        <v>0</v>
      </c>
      <c r="AT215" s="31">
        <f>IF(AS215="","",COUNTIFS($AS$5:$AS$604,"&lt;"&amp;AS215)+COUNTIFS($AS$5:AS215,AS215))</f>
        <v>0</v>
      </c>
      <c r="AU215" s="18">
        <f>IF(OR(G215="",B215="",R215&lt;&gt;""),"",IF(AND(B215&gt;=TodayDate,P215&lt;&gt;"Cancelled"),B215,""))</f>
        <v>0</v>
      </c>
      <c r="AV215" s="31">
        <f>IF(AU215="","",COUNTIFS($AU$5:$AU$604,"&lt;"&amp;AU215)+COUNTIFS($AU$5:AU215,AU215))</f>
        <v>0</v>
      </c>
      <c r="AW215" s="31">
        <f>IF(OR(G215="",B215=""),"",B215-TodayDate)</f>
        <v>0</v>
      </c>
      <c r="AX215" s="39">
        <f>IF(G215="","",IF(P215="Cancelled","Cancelled",IF(P215="No access","Action - no access, rebook",IF(AND(B215&lt;&gt;"",AW215&lt;0,OR(P215="Booked",P215="Confirmed",P215="In progress")),"Late - mark it completed",IF(AND(P215="Completed",AP215=""),"Action - not invoiced yet",IF(AND(AW215&gt;=0,AW215&lt;=ReminderDays,Y215&lt;&gt;"Yes"),"Confirm - visit coming up",IF(R215="","Assign - no cleaner booked",IF(AND(P215="Completed",AO215&lt;&gt;"",AO215&lt;1),"Check - checklist unfinished","OK"))))))))</f>
        <v>0</v>
      </c>
    </row>
    <row r="216" spans="1:50">
      <c r="A216" s="43">
        <f>IF(G216="","",JobPrefix&amp;TEXT(ROW()-4,"0000"))</f>
        <v>0</v>
      </c>
      <c r="C216" s="23">
        <f>IF(B216="","",TEXT(B216,"ddd"))</f>
        <v>0</v>
      </c>
      <c r="D216" s="31">
        <f>IF(B216="","",WEEKNUM(B216,IF(WeekStart="Sunday",1,2)))</f>
        <v>0</v>
      </c>
      <c r="E216" s="23">
        <f>IF(B216="","",TEXT(B216,"yyyy-mm"))</f>
        <v>0</v>
      </c>
      <c r="H216" s="23">
        <f>IF(G216="","",IFERROR(INDEX(Clients!$B$5:$B$204,MATCH(G216,Clients!$A$5:$A$204,0)),"Not found"))</f>
        <v>0</v>
      </c>
      <c r="I216" s="23">
        <f>IF(G216="","",IFERROR(INDEX(Clients!$C$5:$C$204,MATCH(G216,Clients!$A$5:$A$204,0)),""))</f>
        <v>0</v>
      </c>
      <c r="K216" s="23">
        <f>IF(J216="","",IFERROR(INDEX(Properties!$B$5:$B$254,MATCH(J216,Properties!$A$5:$A$254,0)),""))</f>
        <v>0</v>
      </c>
      <c r="L216" s="23">
        <f>IF(J216="","",IFERROR(INDEX(Properties!$F$5:$F$254,MATCH(J216,Properties!$A$5:$A$254,0)),""))</f>
        <v>0</v>
      </c>
      <c r="AD216" s="34">
        <f>IF(G216="","",IF(U216&lt;&gt;"",U216,IF(AND(IFERROR(INDEX(Services!$D$5:$D$64,MATCH(M216,Services!$B$5:$B$64,0)),"")="Per hour",IFERROR(INDEX(Properties!$X$5:$X$254,MATCH(J216,Properties!$A$5:$A$254,0)),0)&gt;0),IFERROR(INDEX(Properties!$X$5:$X$254,MATCH(J216,Properties!$A$5:$A$254,0)),0),IF(IFERROR(INDEX(Services!$G$5:$G$64,MATCH(M216,Services!$B$5:$B$64,0)),0)&gt;0,IFERROR(INDEX(Services!$G$5:$G$64,MATCH(M216,Services!$B$5:$B$64,0)),0),IFERROR(INDEX(Properties!$X$5:$X$254,MATCH(J216,Properties!$A$5:$A$254,0)),0)))))</f>
        <v>0</v>
      </c>
      <c r="AE216" s="31">
        <f>IF(G216="","",IF(T216="",CleanersPerJob,MAX(1,T216)))</f>
        <v>0</v>
      </c>
      <c r="AF216" s="34">
        <f>IF(G216="","",ROUND(AD216/AE216,2))</f>
        <v>0</v>
      </c>
      <c r="AG216" s="53">
        <f>IF(OR(G216="",F216="",AF216=""),"",F216+AF216/24)</f>
        <v>0</v>
      </c>
      <c r="AH216" s="21">
        <f>IF(G216="","",IF(IFERROR(INDEX(Clients!$O$5:$O$204,MATCH(G216,Clients!$A$5:$A$204,0)),0)&gt;0,IFERROR(INDEX(Clients!$O$5:$O$204,MATCH(G216,Clients!$A$5:$A$204,0)),0),HourlyRate))</f>
        <v>0</v>
      </c>
      <c r="AI216" s="21">
        <f>IF(G216="","",IF(AND(M216&lt;&gt;"",IFERROR(INDEX(Services!$P$5:$P$64,MATCH(M216,Services!$B$5:$B$64,0)),0)&gt;0,IFERROR(INDEX(Services!$D$5:$D$64,MATCH(M216,Services!$B$5:$B$64,0)),"")&lt;&gt;"Per hour"),IFERROR(INDEX(Services!$P$5:$P$64,MATCH(M216,Services!$B$5:$B$64,0)),0),AD216*AH216))</f>
        <v>0</v>
      </c>
      <c r="AJ216" s="21">
        <f>IF(G216="","",IF(V216&lt;&gt;"",V216,IF(P216="Cancelled",0,MAX(MinimumCharge,ROUND(AI216*IFERROR(INDEX(FreqFactors,MATCH(O216,FreqNames,0)),1),2)))))</f>
        <v>0</v>
      </c>
      <c r="AK216" s="34">
        <f>IF(G216="","",IF(SUMIFS(Timesheets!$U$5:$U$804,Timesheets!$G$5:$G$804,A216)&gt;0,SUMIFS(Timesheets!$U$5:$U$804,Timesheets!$G$5:$G$804,A216),IF(Z216="","",Z216)))</f>
        <v>0</v>
      </c>
      <c r="AL216" s="34">
        <f>IF(OR(AK216="",AD216=""),"",AK216-AD216)</f>
        <v>0</v>
      </c>
      <c r="AM216" s="31">
        <f>IF(A216="","",COUNTIFS('Job Tasks'!$B$5:$B$904,A216))</f>
        <v>0</v>
      </c>
      <c r="AN216" s="31">
        <f>IF(A216="","",COUNTIFS('Job Tasks'!$B$5:$B$904,A216,'Job Tasks'!$H$5:$H$904,"Done"))</f>
        <v>0</v>
      </c>
      <c r="AO216" s="38">
        <f>IF(OR(A216="",AM216=0),"",AN216/AM216)</f>
        <v>0</v>
      </c>
      <c r="AP216" s="43">
        <f>IF(A216="","",IFERROR(INDEX('Invoice Lines'!$B$5:$B$804,MATCH(A216,'Invoice Lines'!$C$5:$C$804,0)),""))</f>
        <v>0</v>
      </c>
      <c r="AQ216" s="18">
        <f>IF(OR(G216="",B216="",X216&lt;&gt;"Yes"),"",IF(IFERROR(INDEX(FreqDays,MATCH(O216,FreqNames,0)),0)=0,"",B216+IFERROR(INDEX(FreqDays,MATCH(O216,FreqNames,0)),0)))</f>
        <v>0</v>
      </c>
      <c r="AR216" s="39">
        <f>IF(G216="","",IF(R216="","Unassigned",IF(COUNTIFS($R$5:$R$604,R216,$B$5:$B$604,B216,$F$5:$F$604,F216)&gt;1,"Clash",IF(SUMIFS($AF$5:$AF$604,$R$5:$R$604,R216,$B$5:$B$604,B216)&gt;ProductiveHours,"Long day","OK"))))</f>
        <v>0</v>
      </c>
      <c r="AS216" s="18">
        <f>IF(OR(G216="",B216=""),"",IF(AND(B216&gt;=TodayDate,P216&lt;&gt;"Cancelled"),B216,""))</f>
        <v>0</v>
      </c>
      <c r="AT216" s="31">
        <f>IF(AS216="","",COUNTIFS($AS$5:$AS$604,"&lt;"&amp;AS216)+COUNTIFS($AS$5:AS216,AS216))</f>
        <v>0</v>
      </c>
      <c r="AU216" s="18">
        <f>IF(OR(G216="",B216="",R216&lt;&gt;""),"",IF(AND(B216&gt;=TodayDate,P216&lt;&gt;"Cancelled"),B216,""))</f>
        <v>0</v>
      </c>
      <c r="AV216" s="31">
        <f>IF(AU216="","",COUNTIFS($AU$5:$AU$604,"&lt;"&amp;AU216)+COUNTIFS($AU$5:AU216,AU216))</f>
        <v>0</v>
      </c>
      <c r="AW216" s="31">
        <f>IF(OR(G216="",B216=""),"",B216-TodayDate)</f>
        <v>0</v>
      </c>
      <c r="AX216" s="39">
        <f>IF(G216="","",IF(P216="Cancelled","Cancelled",IF(P216="No access","Action - no access, rebook",IF(AND(B216&lt;&gt;"",AW216&lt;0,OR(P216="Booked",P216="Confirmed",P216="In progress")),"Late - mark it completed",IF(AND(P216="Completed",AP216=""),"Action - not invoiced yet",IF(AND(AW216&gt;=0,AW216&lt;=ReminderDays,Y216&lt;&gt;"Yes"),"Confirm - visit coming up",IF(R216="","Assign - no cleaner booked",IF(AND(P216="Completed",AO216&lt;&gt;"",AO216&lt;1),"Check - checklist unfinished","OK"))))))))</f>
        <v>0</v>
      </c>
    </row>
    <row r="217" spans="1:50">
      <c r="A217" s="43">
        <f>IF(G217="","",JobPrefix&amp;TEXT(ROW()-4,"0000"))</f>
        <v>0</v>
      </c>
      <c r="C217" s="23">
        <f>IF(B217="","",TEXT(B217,"ddd"))</f>
        <v>0</v>
      </c>
      <c r="D217" s="31">
        <f>IF(B217="","",WEEKNUM(B217,IF(WeekStart="Sunday",1,2)))</f>
        <v>0</v>
      </c>
      <c r="E217" s="23">
        <f>IF(B217="","",TEXT(B217,"yyyy-mm"))</f>
        <v>0</v>
      </c>
      <c r="H217" s="23">
        <f>IF(G217="","",IFERROR(INDEX(Clients!$B$5:$B$204,MATCH(G217,Clients!$A$5:$A$204,0)),"Not found"))</f>
        <v>0</v>
      </c>
      <c r="I217" s="23">
        <f>IF(G217="","",IFERROR(INDEX(Clients!$C$5:$C$204,MATCH(G217,Clients!$A$5:$A$204,0)),""))</f>
        <v>0</v>
      </c>
      <c r="K217" s="23">
        <f>IF(J217="","",IFERROR(INDEX(Properties!$B$5:$B$254,MATCH(J217,Properties!$A$5:$A$254,0)),""))</f>
        <v>0</v>
      </c>
      <c r="L217" s="23">
        <f>IF(J217="","",IFERROR(INDEX(Properties!$F$5:$F$254,MATCH(J217,Properties!$A$5:$A$254,0)),""))</f>
        <v>0</v>
      </c>
      <c r="AD217" s="34">
        <f>IF(G217="","",IF(U217&lt;&gt;"",U217,IF(AND(IFERROR(INDEX(Services!$D$5:$D$64,MATCH(M217,Services!$B$5:$B$64,0)),"")="Per hour",IFERROR(INDEX(Properties!$X$5:$X$254,MATCH(J217,Properties!$A$5:$A$254,0)),0)&gt;0),IFERROR(INDEX(Properties!$X$5:$X$254,MATCH(J217,Properties!$A$5:$A$254,0)),0),IF(IFERROR(INDEX(Services!$G$5:$G$64,MATCH(M217,Services!$B$5:$B$64,0)),0)&gt;0,IFERROR(INDEX(Services!$G$5:$G$64,MATCH(M217,Services!$B$5:$B$64,0)),0),IFERROR(INDEX(Properties!$X$5:$X$254,MATCH(J217,Properties!$A$5:$A$254,0)),0)))))</f>
        <v>0</v>
      </c>
      <c r="AE217" s="31">
        <f>IF(G217="","",IF(T217="",CleanersPerJob,MAX(1,T217)))</f>
        <v>0</v>
      </c>
      <c r="AF217" s="34">
        <f>IF(G217="","",ROUND(AD217/AE217,2))</f>
        <v>0</v>
      </c>
      <c r="AG217" s="53">
        <f>IF(OR(G217="",F217="",AF217=""),"",F217+AF217/24)</f>
        <v>0</v>
      </c>
      <c r="AH217" s="21">
        <f>IF(G217="","",IF(IFERROR(INDEX(Clients!$O$5:$O$204,MATCH(G217,Clients!$A$5:$A$204,0)),0)&gt;0,IFERROR(INDEX(Clients!$O$5:$O$204,MATCH(G217,Clients!$A$5:$A$204,0)),0),HourlyRate))</f>
        <v>0</v>
      </c>
      <c r="AI217" s="21">
        <f>IF(G217="","",IF(AND(M217&lt;&gt;"",IFERROR(INDEX(Services!$P$5:$P$64,MATCH(M217,Services!$B$5:$B$64,0)),0)&gt;0,IFERROR(INDEX(Services!$D$5:$D$64,MATCH(M217,Services!$B$5:$B$64,0)),"")&lt;&gt;"Per hour"),IFERROR(INDEX(Services!$P$5:$P$64,MATCH(M217,Services!$B$5:$B$64,0)),0),AD217*AH217))</f>
        <v>0</v>
      </c>
      <c r="AJ217" s="21">
        <f>IF(G217="","",IF(V217&lt;&gt;"",V217,IF(P217="Cancelled",0,MAX(MinimumCharge,ROUND(AI217*IFERROR(INDEX(FreqFactors,MATCH(O217,FreqNames,0)),1),2)))))</f>
        <v>0</v>
      </c>
      <c r="AK217" s="34">
        <f>IF(G217="","",IF(SUMIFS(Timesheets!$U$5:$U$804,Timesheets!$G$5:$G$804,A217)&gt;0,SUMIFS(Timesheets!$U$5:$U$804,Timesheets!$G$5:$G$804,A217),IF(Z217="","",Z217)))</f>
        <v>0</v>
      </c>
      <c r="AL217" s="34">
        <f>IF(OR(AK217="",AD217=""),"",AK217-AD217)</f>
        <v>0</v>
      </c>
      <c r="AM217" s="31">
        <f>IF(A217="","",COUNTIFS('Job Tasks'!$B$5:$B$904,A217))</f>
        <v>0</v>
      </c>
      <c r="AN217" s="31">
        <f>IF(A217="","",COUNTIFS('Job Tasks'!$B$5:$B$904,A217,'Job Tasks'!$H$5:$H$904,"Done"))</f>
        <v>0</v>
      </c>
      <c r="AO217" s="38">
        <f>IF(OR(A217="",AM217=0),"",AN217/AM217)</f>
        <v>0</v>
      </c>
      <c r="AP217" s="43">
        <f>IF(A217="","",IFERROR(INDEX('Invoice Lines'!$B$5:$B$804,MATCH(A217,'Invoice Lines'!$C$5:$C$804,0)),""))</f>
        <v>0</v>
      </c>
      <c r="AQ217" s="18">
        <f>IF(OR(G217="",B217="",X217&lt;&gt;"Yes"),"",IF(IFERROR(INDEX(FreqDays,MATCH(O217,FreqNames,0)),0)=0,"",B217+IFERROR(INDEX(FreqDays,MATCH(O217,FreqNames,0)),0)))</f>
        <v>0</v>
      </c>
      <c r="AR217" s="39">
        <f>IF(G217="","",IF(R217="","Unassigned",IF(COUNTIFS($R$5:$R$604,R217,$B$5:$B$604,B217,$F$5:$F$604,F217)&gt;1,"Clash",IF(SUMIFS($AF$5:$AF$604,$R$5:$R$604,R217,$B$5:$B$604,B217)&gt;ProductiveHours,"Long day","OK"))))</f>
        <v>0</v>
      </c>
      <c r="AS217" s="18">
        <f>IF(OR(G217="",B217=""),"",IF(AND(B217&gt;=TodayDate,P217&lt;&gt;"Cancelled"),B217,""))</f>
        <v>0</v>
      </c>
      <c r="AT217" s="31">
        <f>IF(AS217="","",COUNTIFS($AS$5:$AS$604,"&lt;"&amp;AS217)+COUNTIFS($AS$5:AS217,AS217))</f>
        <v>0</v>
      </c>
      <c r="AU217" s="18">
        <f>IF(OR(G217="",B217="",R217&lt;&gt;""),"",IF(AND(B217&gt;=TodayDate,P217&lt;&gt;"Cancelled"),B217,""))</f>
        <v>0</v>
      </c>
      <c r="AV217" s="31">
        <f>IF(AU217="","",COUNTIFS($AU$5:$AU$604,"&lt;"&amp;AU217)+COUNTIFS($AU$5:AU217,AU217))</f>
        <v>0</v>
      </c>
      <c r="AW217" s="31">
        <f>IF(OR(G217="",B217=""),"",B217-TodayDate)</f>
        <v>0</v>
      </c>
      <c r="AX217" s="39">
        <f>IF(G217="","",IF(P217="Cancelled","Cancelled",IF(P217="No access","Action - no access, rebook",IF(AND(B217&lt;&gt;"",AW217&lt;0,OR(P217="Booked",P217="Confirmed",P217="In progress")),"Late - mark it completed",IF(AND(P217="Completed",AP217=""),"Action - not invoiced yet",IF(AND(AW217&gt;=0,AW217&lt;=ReminderDays,Y217&lt;&gt;"Yes"),"Confirm - visit coming up",IF(R217="","Assign - no cleaner booked",IF(AND(P217="Completed",AO217&lt;&gt;"",AO217&lt;1),"Check - checklist unfinished","OK"))))))))</f>
        <v>0</v>
      </c>
    </row>
    <row r="218" spans="1:50">
      <c r="A218" s="43">
        <f>IF(G218="","",JobPrefix&amp;TEXT(ROW()-4,"0000"))</f>
        <v>0</v>
      </c>
      <c r="C218" s="23">
        <f>IF(B218="","",TEXT(B218,"ddd"))</f>
        <v>0</v>
      </c>
      <c r="D218" s="31">
        <f>IF(B218="","",WEEKNUM(B218,IF(WeekStart="Sunday",1,2)))</f>
        <v>0</v>
      </c>
      <c r="E218" s="23">
        <f>IF(B218="","",TEXT(B218,"yyyy-mm"))</f>
        <v>0</v>
      </c>
      <c r="H218" s="23">
        <f>IF(G218="","",IFERROR(INDEX(Clients!$B$5:$B$204,MATCH(G218,Clients!$A$5:$A$204,0)),"Not found"))</f>
        <v>0</v>
      </c>
      <c r="I218" s="23">
        <f>IF(G218="","",IFERROR(INDEX(Clients!$C$5:$C$204,MATCH(G218,Clients!$A$5:$A$204,0)),""))</f>
        <v>0</v>
      </c>
      <c r="K218" s="23">
        <f>IF(J218="","",IFERROR(INDEX(Properties!$B$5:$B$254,MATCH(J218,Properties!$A$5:$A$254,0)),""))</f>
        <v>0</v>
      </c>
      <c r="L218" s="23">
        <f>IF(J218="","",IFERROR(INDEX(Properties!$F$5:$F$254,MATCH(J218,Properties!$A$5:$A$254,0)),""))</f>
        <v>0</v>
      </c>
      <c r="AD218" s="34">
        <f>IF(G218="","",IF(U218&lt;&gt;"",U218,IF(AND(IFERROR(INDEX(Services!$D$5:$D$64,MATCH(M218,Services!$B$5:$B$64,0)),"")="Per hour",IFERROR(INDEX(Properties!$X$5:$X$254,MATCH(J218,Properties!$A$5:$A$254,0)),0)&gt;0),IFERROR(INDEX(Properties!$X$5:$X$254,MATCH(J218,Properties!$A$5:$A$254,0)),0),IF(IFERROR(INDEX(Services!$G$5:$G$64,MATCH(M218,Services!$B$5:$B$64,0)),0)&gt;0,IFERROR(INDEX(Services!$G$5:$G$64,MATCH(M218,Services!$B$5:$B$64,0)),0),IFERROR(INDEX(Properties!$X$5:$X$254,MATCH(J218,Properties!$A$5:$A$254,0)),0)))))</f>
        <v>0</v>
      </c>
      <c r="AE218" s="31">
        <f>IF(G218="","",IF(T218="",CleanersPerJob,MAX(1,T218)))</f>
        <v>0</v>
      </c>
      <c r="AF218" s="34">
        <f>IF(G218="","",ROUND(AD218/AE218,2))</f>
        <v>0</v>
      </c>
      <c r="AG218" s="53">
        <f>IF(OR(G218="",F218="",AF218=""),"",F218+AF218/24)</f>
        <v>0</v>
      </c>
      <c r="AH218" s="21">
        <f>IF(G218="","",IF(IFERROR(INDEX(Clients!$O$5:$O$204,MATCH(G218,Clients!$A$5:$A$204,0)),0)&gt;0,IFERROR(INDEX(Clients!$O$5:$O$204,MATCH(G218,Clients!$A$5:$A$204,0)),0),HourlyRate))</f>
        <v>0</v>
      </c>
      <c r="AI218" s="21">
        <f>IF(G218="","",IF(AND(M218&lt;&gt;"",IFERROR(INDEX(Services!$P$5:$P$64,MATCH(M218,Services!$B$5:$B$64,0)),0)&gt;0,IFERROR(INDEX(Services!$D$5:$D$64,MATCH(M218,Services!$B$5:$B$64,0)),"")&lt;&gt;"Per hour"),IFERROR(INDEX(Services!$P$5:$P$64,MATCH(M218,Services!$B$5:$B$64,0)),0),AD218*AH218))</f>
        <v>0</v>
      </c>
      <c r="AJ218" s="21">
        <f>IF(G218="","",IF(V218&lt;&gt;"",V218,IF(P218="Cancelled",0,MAX(MinimumCharge,ROUND(AI218*IFERROR(INDEX(FreqFactors,MATCH(O218,FreqNames,0)),1),2)))))</f>
        <v>0</v>
      </c>
      <c r="AK218" s="34">
        <f>IF(G218="","",IF(SUMIFS(Timesheets!$U$5:$U$804,Timesheets!$G$5:$G$804,A218)&gt;0,SUMIFS(Timesheets!$U$5:$U$804,Timesheets!$G$5:$G$804,A218),IF(Z218="","",Z218)))</f>
        <v>0</v>
      </c>
      <c r="AL218" s="34">
        <f>IF(OR(AK218="",AD218=""),"",AK218-AD218)</f>
        <v>0</v>
      </c>
      <c r="AM218" s="31">
        <f>IF(A218="","",COUNTIFS('Job Tasks'!$B$5:$B$904,A218))</f>
        <v>0</v>
      </c>
      <c r="AN218" s="31">
        <f>IF(A218="","",COUNTIFS('Job Tasks'!$B$5:$B$904,A218,'Job Tasks'!$H$5:$H$904,"Done"))</f>
        <v>0</v>
      </c>
      <c r="AO218" s="38">
        <f>IF(OR(A218="",AM218=0),"",AN218/AM218)</f>
        <v>0</v>
      </c>
      <c r="AP218" s="43">
        <f>IF(A218="","",IFERROR(INDEX('Invoice Lines'!$B$5:$B$804,MATCH(A218,'Invoice Lines'!$C$5:$C$804,0)),""))</f>
        <v>0</v>
      </c>
      <c r="AQ218" s="18">
        <f>IF(OR(G218="",B218="",X218&lt;&gt;"Yes"),"",IF(IFERROR(INDEX(FreqDays,MATCH(O218,FreqNames,0)),0)=0,"",B218+IFERROR(INDEX(FreqDays,MATCH(O218,FreqNames,0)),0)))</f>
        <v>0</v>
      </c>
      <c r="AR218" s="39">
        <f>IF(G218="","",IF(R218="","Unassigned",IF(COUNTIFS($R$5:$R$604,R218,$B$5:$B$604,B218,$F$5:$F$604,F218)&gt;1,"Clash",IF(SUMIFS($AF$5:$AF$604,$R$5:$R$604,R218,$B$5:$B$604,B218)&gt;ProductiveHours,"Long day","OK"))))</f>
        <v>0</v>
      </c>
      <c r="AS218" s="18">
        <f>IF(OR(G218="",B218=""),"",IF(AND(B218&gt;=TodayDate,P218&lt;&gt;"Cancelled"),B218,""))</f>
        <v>0</v>
      </c>
      <c r="AT218" s="31">
        <f>IF(AS218="","",COUNTIFS($AS$5:$AS$604,"&lt;"&amp;AS218)+COUNTIFS($AS$5:AS218,AS218))</f>
        <v>0</v>
      </c>
      <c r="AU218" s="18">
        <f>IF(OR(G218="",B218="",R218&lt;&gt;""),"",IF(AND(B218&gt;=TodayDate,P218&lt;&gt;"Cancelled"),B218,""))</f>
        <v>0</v>
      </c>
      <c r="AV218" s="31">
        <f>IF(AU218="","",COUNTIFS($AU$5:$AU$604,"&lt;"&amp;AU218)+COUNTIFS($AU$5:AU218,AU218))</f>
        <v>0</v>
      </c>
      <c r="AW218" s="31">
        <f>IF(OR(G218="",B218=""),"",B218-TodayDate)</f>
        <v>0</v>
      </c>
      <c r="AX218" s="39">
        <f>IF(G218="","",IF(P218="Cancelled","Cancelled",IF(P218="No access","Action - no access, rebook",IF(AND(B218&lt;&gt;"",AW218&lt;0,OR(P218="Booked",P218="Confirmed",P218="In progress")),"Late - mark it completed",IF(AND(P218="Completed",AP218=""),"Action - not invoiced yet",IF(AND(AW218&gt;=0,AW218&lt;=ReminderDays,Y218&lt;&gt;"Yes"),"Confirm - visit coming up",IF(R218="","Assign - no cleaner booked",IF(AND(P218="Completed",AO218&lt;&gt;"",AO218&lt;1),"Check - checklist unfinished","OK"))))))))</f>
        <v>0</v>
      </c>
    </row>
    <row r="219" spans="1:50">
      <c r="A219" s="43">
        <f>IF(G219="","",JobPrefix&amp;TEXT(ROW()-4,"0000"))</f>
        <v>0</v>
      </c>
      <c r="C219" s="23">
        <f>IF(B219="","",TEXT(B219,"ddd"))</f>
        <v>0</v>
      </c>
      <c r="D219" s="31">
        <f>IF(B219="","",WEEKNUM(B219,IF(WeekStart="Sunday",1,2)))</f>
        <v>0</v>
      </c>
      <c r="E219" s="23">
        <f>IF(B219="","",TEXT(B219,"yyyy-mm"))</f>
        <v>0</v>
      </c>
      <c r="H219" s="23">
        <f>IF(G219="","",IFERROR(INDEX(Clients!$B$5:$B$204,MATCH(G219,Clients!$A$5:$A$204,0)),"Not found"))</f>
        <v>0</v>
      </c>
      <c r="I219" s="23">
        <f>IF(G219="","",IFERROR(INDEX(Clients!$C$5:$C$204,MATCH(G219,Clients!$A$5:$A$204,0)),""))</f>
        <v>0</v>
      </c>
      <c r="K219" s="23">
        <f>IF(J219="","",IFERROR(INDEX(Properties!$B$5:$B$254,MATCH(J219,Properties!$A$5:$A$254,0)),""))</f>
        <v>0</v>
      </c>
      <c r="L219" s="23">
        <f>IF(J219="","",IFERROR(INDEX(Properties!$F$5:$F$254,MATCH(J219,Properties!$A$5:$A$254,0)),""))</f>
        <v>0</v>
      </c>
      <c r="AD219" s="34">
        <f>IF(G219="","",IF(U219&lt;&gt;"",U219,IF(AND(IFERROR(INDEX(Services!$D$5:$D$64,MATCH(M219,Services!$B$5:$B$64,0)),"")="Per hour",IFERROR(INDEX(Properties!$X$5:$X$254,MATCH(J219,Properties!$A$5:$A$254,0)),0)&gt;0),IFERROR(INDEX(Properties!$X$5:$X$254,MATCH(J219,Properties!$A$5:$A$254,0)),0),IF(IFERROR(INDEX(Services!$G$5:$G$64,MATCH(M219,Services!$B$5:$B$64,0)),0)&gt;0,IFERROR(INDEX(Services!$G$5:$G$64,MATCH(M219,Services!$B$5:$B$64,0)),0),IFERROR(INDEX(Properties!$X$5:$X$254,MATCH(J219,Properties!$A$5:$A$254,0)),0)))))</f>
        <v>0</v>
      </c>
      <c r="AE219" s="31">
        <f>IF(G219="","",IF(T219="",CleanersPerJob,MAX(1,T219)))</f>
        <v>0</v>
      </c>
      <c r="AF219" s="34">
        <f>IF(G219="","",ROUND(AD219/AE219,2))</f>
        <v>0</v>
      </c>
      <c r="AG219" s="53">
        <f>IF(OR(G219="",F219="",AF219=""),"",F219+AF219/24)</f>
        <v>0</v>
      </c>
      <c r="AH219" s="21">
        <f>IF(G219="","",IF(IFERROR(INDEX(Clients!$O$5:$O$204,MATCH(G219,Clients!$A$5:$A$204,0)),0)&gt;0,IFERROR(INDEX(Clients!$O$5:$O$204,MATCH(G219,Clients!$A$5:$A$204,0)),0),HourlyRate))</f>
        <v>0</v>
      </c>
      <c r="AI219" s="21">
        <f>IF(G219="","",IF(AND(M219&lt;&gt;"",IFERROR(INDEX(Services!$P$5:$P$64,MATCH(M219,Services!$B$5:$B$64,0)),0)&gt;0,IFERROR(INDEX(Services!$D$5:$D$64,MATCH(M219,Services!$B$5:$B$64,0)),"")&lt;&gt;"Per hour"),IFERROR(INDEX(Services!$P$5:$P$64,MATCH(M219,Services!$B$5:$B$64,0)),0),AD219*AH219))</f>
        <v>0</v>
      </c>
      <c r="AJ219" s="21">
        <f>IF(G219="","",IF(V219&lt;&gt;"",V219,IF(P219="Cancelled",0,MAX(MinimumCharge,ROUND(AI219*IFERROR(INDEX(FreqFactors,MATCH(O219,FreqNames,0)),1),2)))))</f>
        <v>0</v>
      </c>
      <c r="AK219" s="34">
        <f>IF(G219="","",IF(SUMIFS(Timesheets!$U$5:$U$804,Timesheets!$G$5:$G$804,A219)&gt;0,SUMIFS(Timesheets!$U$5:$U$804,Timesheets!$G$5:$G$804,A219),IF(Z219="","",Z219)))</f>
        <v>0</v>
      </c>
      <c r="AL219" s="34">
        <f>IF(OR(AK219="",AD219=""),"",AK219-AD219)</f>
        <v>0</v>
      </c>
      <c r="AM219" s="31">
        <f>IF(A219="","",COUNTIFS('Job Tasks'!$B$5:$B$904,A219))</f>
        <v>0</v>
      </c>
      <c r="AN219" s="31">
        <f>IF(A219="","",COUNTIFS('Job Tasks'!$B$5:$B$904,A219,'Job Tasks'!$H$5:$H$904,"Done"))</f>
        <v>0</v>
      </c>
      <c r="AO219" s="38">
        <f>IF(OR(A219="",AM219=0),"",AN219/AM219)</f>
        <v>0</v>
      </c>
      <c r="AP219" s="43">
        <f>IF(A219="","",IFERROR(INDEX('Invoice Lines'!$B$5:$B$804,MATCH(A219,'Invoice Lines'!$C$5:$C$804,0)),""))</f>
        <v>0</v>
      </c>
      <c r="AQ219" s="18">
        <f>IF(OR(G219="",B219="",X219&lt;&gt;"Yes"),"",IF(IFERROR(INDEX(FreqDays,MATCH(O219,FreqNames,0)),0)=0,"",B219+IFERROR(INDEX(FreqDays,MATCH(O219,FreqNames,0)),0)))</f>
        <v>0</v>
      </c>
      <c r="AR219" s="39">
        <f>IF(G219="","",IF(R219="","Unassigned",IF(COUNTIFS($R$5:$R$604,R219,$B$5:$B$604,B219,$F$5:$F$604,F219)&gt;1,"Clash",IF(SUMIFS($AF$5:$AF$604,$R$5:$R$604,R219,$B$5:$B$604,B219)&gt;ProductiveHours,"Long day","OK"))))</f>
        <v>0</v>
      </c>
      <c r="AS219" s="18">
        <f>IF(OR(G219="",B219=""),"",IF(AND(B219&gt;=TodayDate,P219&lt;&gt;"Cancelled"),B219,""))</f>
        <v>0</v>
      </c>
      <c r="AT219" s="31">
        <f>IF(AS219="","",COUNTIFS($AS$5:$AS$604,"&lt;"&amp;AS219)+COUNTIFS($AS$5:AS219,AS219))</f>
        <v>0</v>
      </c>
      <c r="AU219" s="18">
        <f>IF(OR(G219="",B219="",R219&lt;&gt;""),"",IF(AND(B219&gt;=TodayDate,P219&lt;&gt;"Cancelled"),B219,""))</f>
        <v>0</v>
      </c>
      <c r="AV219" s="31">
        <f>IF(AU219="","",COUNTIFS($AU$5:$AU$604,"&lt;"&amp;AU219)+COUNTIFS($AU$5:AU219,AU219))</f>
        <v>0</v>
      </c>
      <c r="AW219" s="31">
        <f>IF(OR(G219="",B219=""),"",B219-TodayDate)</f>
        <v>0</v>
      </c>
      <c r="AX219" s="39">
        <f>IF(G219="","",IF(P219="Cancelled","Cancelled",IF(P219="No access","Action - no access, rebook",IF(AND(B219&lt;&gt;"",AW219&lt;0,OR(P219="Booked",P219="Confirmed",P219="In progress")),"Late - mark it completed",IF(AND(P219="Completed",AP219=""),"Action - not invoiced yet",IF(AND(AW219&gt;=0,AW219&lt;=ReminderDays,Y219&lt;&gt;"Yes"),"Confirm - visit coming up",IF(R219="","Assign - no cleaner booked",IF(AND(P219="Completed",AO219&lt;&gt;"",AO219&lt;1),"Check - checklist unfinished","OK"))))))))</f>
        <v>0</v>
      </c>
    </row>
    <row r="220" spans="1:50">
      <c r="A220" s="43">
        <f>IF(G220="","",JobPrefix&amp;TEXT(ROW()-4,"0000"))</f>
        <v>0</v>
      </c>
      <c r="C220" s="23">
        <f>IF(B220="","",TEXT(B220,"ddd"))</f>
        <v>0</v>
      </c>
      <c r="D220" s="31">
        <f>IF(B220="","",WEEKNUM(B220,IF(WeekStart="Sunday",1,2)))</f>
        <v>0</v>
      </c>
      <c r="E220" s="23">
        <f>IF(B220="","",TEXT(B220,"yyyy-mm"))</f>
        <v>0</v>
      </c>
      <c r="H220" s="23">
        <f>IF(G220="","",IFERROR(INDEX(Clients!$B$5:$B$204,MATCH(G220,Clients!$A$5:$A$204,0)),"Not found"))</f>
        <v>0</v>
      </c>
      <c r="I220" s="23">
        <f>IF(G220="","",IFERROR(INDEX(Clients!$C$5:$C$204,MATCH(G220,Clients!$A$5:$A$204,0)),""))</f>
        <v>0</v>
      </c>
      <c r="K220" s="23">
        <f>IF(J220="","",IFERROR(INDEX(Properties!$B$5:$B$254,MATCH(J220,Properties!$A$5:$A$254,0)),""))</f>
        <v>0</v>
      </c>
      <c r="L220" s="23">
        <f>IF(J220="","",IFERROR(INDEX(Properties!$F$5:$F$254,MATCH(J220,Properties!$A$5:$A$254,0)),""))</f>
        <v>0</v>
      </c>
      <c r="AD220" s="34">
        <f>IF(G220="","",IF(U220&lt;&gt;"",U220,IF(AND(IFERROR(INDEX(Services!$D$5:$D$64,MATCH(M220,Services!$B$5:$B$64,0)),"")="Per hour",IFERROR(INDEX(Properties!$X$5:$X$254,MATCH(J220,Properties!$A$5:$A$254,0)),0)&gt;0),IFERROR(INDEX(Properties!$X$5:$X$254,MATCH(J220,Properties!$A$5:$A$254,0)),0),IF(IFERROR(INDEX(Services!$G$5:$G$64,MATCH(M220,Services!$B$5:$B$64,0)),0)&gt;0,IFERROR(INDEX(Services!$G$5:$G$64,MATCH(M220,Services!$B$5:$B$64,0)),0),IFERROR(INDEX(Properties!$X$5:$X$254,MATCH(J220,Properties!$A$5:$A$254,0)),0)))))</f>
        <v>0</v>
      </c>
      <c r="AE220" s="31">
        <f>IF(G220="","",IF(T220="",CleanersPerJob,MAX(1,T220)))</f>
        <v>0</v>
      </c>
      <c r="AF220" s="34">
        <f>IF(G220="","",ROUND(AD220/AE220,2))</f>
        <v>0</v>
      </c>
      <c r="AG220" s="53">
        <f>IF(OR(G220="",F220="",AF220=""),"",F220+AF220/24)</f>
        <v>0</v>
      </c>
      <c r="AH220" s="21">
        <f>IF(G220="","",IF(IFERROR(INDEX(Clients!$O$5:$O$204,MATCH(G220,Clients!$A$5:$A$204,0)),0)&gt;0,IFERROR(INDEX(Clients!$O$5:$O$204,MATCH(G220,Clients!$A$5:$A$204,0)),0),HourlyRate))</f>
        <v>0</v>
      </c>
      <c r="AI220" s="21">
        <f>IF(G220="","",IF(AND(M220&lt;&gt;"",IFERROR(INDEX(Services!$P$5:$P$64,MATCH(M220,Services!$B$5:$B$64,0)),0)&gt;0,IFERROR(INDEX(Services!$D$5:$D$64,MATCH(M220,Services!$B$5:$B$64,0)),"")&lt;&gt;"Per hour"),IFERROR(INDEX(Services!$P$5:$P$64,MATCH(M220,Services!$B$5:$B$64,0)),0),AD220*AH220))</f>
        <v>0</v>
      </c>
      <c r="AJ220" s="21">
        <f>IF(G220="","",IF(V220&lt;&gt;"",V220,IF(P220="Cancelled",0,MAX(MinimumCharge,ROUND(AI220*IFERROR(INDEX(FreqFactors,MATCH(O220,FreqNames,0)),1),2)))))</f>
        <v>0</v>
      </c>
      <c r="AK220" s="34">
        <f>IF(G220="","",IF(SUMIFS(Timesheets!$U$5:$U$804,Timesheets!$G$5:$G$804,A220)&gt;0,SUMIFS(Timesheets!$U$5:$U$804,Timesheets!$G$5:$G$804,A220),IF(Z220="","",Z220)))</f>
        <v>0</v>
      </c>
      <c r="AL220" s="34">
        <f>IF(OR(AK220="",AD220=""),"",AK220-AD220)</f>
        <v>0</v>
      </c>
      <c r="AM220" s="31">
        <f>IF(A220="","",COUNTIFS('Job Tasks'!$B$5:$B$904,A220))</f>
        <v>0</v>
      </c>
      <c r="AN220" s="31">
        <f>IF(A220="","",COUNTIFS('Job Tasks'!$B$5:$B$904,A220,'Job Tasks'!$H$5:$H$904,"Done"))</f>
        <v>0</v>
      </c>
      <c r="AO220" s="38">
        <f>IF(OR(A220="",AM220=0),"",AN220/AM220)</f>
        <v>0</v>
      </c>
      <c r="AP220" s="43">
        <f>IF(A220="","",IFERROR(INDEX('Invoice Lines'!$B$5:$B$804,MATCH(A220,'Invoice Lines'!$C$5:$C$804,0)),""))</f>
        <v>0</v>
      </c>
      <c r="AQ220" s="18">
        <f>IF(OR(G220="",B220="",X220&lt;&gt;"Yes"),"",IF(IFERROR(INDEX(FreqDays,MATCH(O220,FreqNames,0)),0)=0,"",B220+IFERROR(INDEX(FreqDays,MATCH(O220,FreqNames,0)),0)))</f>
        <v>0</v>
      </c>
      <c r="AR220" s="39">
        <f>IF(G220="","",IF(R220="","Unassigned",IF(COUNTIFS($R$5:$R$604,R220,$B$5:$B$604,B220,$F$5:$F$604,F220)&gt;1,"Clash",IF(SUMIFS($AF$5:$AF$604,$R$5:$R$604,R220,$B$5:$B$604,B220)&gt;ProductiveHours,"Long day","OK"))))</f>
        <v>0</v>
      </c>
      <c r="AS220" s="18">
        <f>IF(OR(G220="",B220=""),"",IF(AND(B220&gt;=TodayDate,P220&lt;&gt;"Cancelled"),B220,""))</f>
        <v>0</v>
      </c>
      <c r="AT220" s="31">
        <f>IF(AS220="","",COUNTIFS($AS$5:$AS$604,"&lt;"&amp;AS220)+COUNTIFS($AS$5:AS220,AS220))</f>
        <v>0</v>
      </c>
      <c r="AU220" s="18">
        <f>IF(OR(G220="",B220="",R220&lt;&gt;""),"",IF(AND(B220&gt;=TodayDate,P220&lt;&gt;"Cancelled"),B220,""))</f>
        <v>0</v>
      </c>
      <c r="AV220" s="31">
        <f>IF(AU220="","",COUNTIFS($AU$5:$AU$604,"&lt;"&amp;AU220)+COUNTIFS($AU$5:AU220,AU220))</f>
        <v>0</v>
      </c>
      <c r="AW220" s="31">
        <f>IF(OR(G220="",B220=""),"",B220-TodayDate)</f>
        <v>0</v>
      </c>
      <c r="AX220" s="39">
        <f>IF(G220="","",IF(P220="Cancelled","Cancelled",IF(P220="No access","Action - no access, rebook",IF(AND(B220&lt;&gt;"",AW220&lt;0,OR(P220="Booked",P220="Confirmed",P220="In progress")),"Late - mark it completed",IF(AND(P220="Completed",AP220=""),"Action - not invoiced yet",IF(AND(AW220&gt;=0,AW220&lt;=ReminderDays,Y220&lt;&gt;"Yes"),"Confirm - visit coming up",IF(R220="","Assign - no cleaner booked",IF(AND(P220="Completed",AO220&lt;&gt;"",AO220&lt;1),"Check - checklist unfinished","OK"))))))))</f>
        <v>0</v>
      </c>
    </row>
    <row r="221" spans="1:50">
      <c r="A221" s="43">
        <f>IF(G221="","",JobPrefix&amp;TEXT(ROW()-4,"0000"))</f>
        <v>0</v>
      </c>
      <c r="C221" s="23">
        <f>IF(B221="","",TEXT(B221,"ddd"))</f>
        <v>0</v>
      </c>
      <c r="D221" s="31">
        <f>IF(B221="","",WEEKNUM(B221,IF(WeekStart="Sunday",1,2)))</f>
        <v>0</v>
      </c>
      <c r="E221" s="23">
        <f>IF(B221="","",TEXT(B221,"yyyy-mm"))</f>
        <v>0</v>
      </c>
      <c r="H221" s="23">
        <f>IF(G221="","",IFERROR(INDEX(Clients!$B$5:$B$204,MATCH(G221,Clients!$A$5:$A$204,0)),"Not found"))</f>
        <v>0</v>
      </c>
      <c r="I221" s="23">
        <f>IF(G221="","",IFERROR(INDEX(Clients!$C$5:$C$204,MATCH(G221,Clients!$A$5:$A$204,0)),""))</f>
        <v>0</v>
      </c>
      <c r="K221" s="23">
        <f>IF(J221="","",IFERROR(INDEX(Properties!$B$5:$B$254,MATCH(J221,Properties!$A$5:$A$254,0)),""))</f>
        <v>0</v>
      </c>
      <c r="L221" s="23">
        <f>IF(J221="","",IFERROR(INDEX(Properties!$F$5:$F$254,MATCH(J221,Properties!$A$5:$A$254,0)),""))</f>
        <v>0</v>
      </c>
      <c r="AD221" s="34">
        <f>IF(G221="","",IF(U221&lt;&gt;"",U221,IF(AND(IFERROR(INDEX(Services!$D$5:$D$64,MATCH(M221,Services!$B$5:$B$64,0)),"")="Per hour",IFERROR(INDEX(Properties!$X$5:$X$254,MATCH(J221,Properties!$A$5:$A$254,0)),0)&gt;0),IFERROR(INDEX(Properties!$X$5:$X$254,MATCH(J221,Properties!$A$5:$A$254,0)),0),IF(IFERROR(INDEX(Services!$G$5:$G$64,MATCH(M221,Services!$B$5:$B$64,0)),0)&gt;0,IFERROR(INDEX(Services!$G$5:$G$64,MATCH(M221,Services!$B$5:$B$64,0)),0),IFERROR(INDEX(Properties!$X$5:$X$254,MATCH(J221,Properties!$A$5:$A$254,0)),0)))))</f>
        <v>0</v>
      </c>
      <c r="AE221" s="31">
        <f>IF(G221="","",IF(T221="",CleanersPerJob,MAX(1,T221)))</f>
        <v>0</v>
      </c>
      <c r="AF221" s="34">
        <f>IF(G221="","",ROUND(AD221/AE221,2))</f>
        <v>0</v>
      </c>
      <c r="AG221" s="53">
        <f>IF(OR(G221="",F221="",AF221=""),"",F221+AF221/24)</f>
        <v>0</v>
      </c>
      <c r="AH221" s="21">
        <f>IF(G221="","",IF(IFERROR(INDEX(Clients!$O$5:$O$204,MATCH(G221,Clients!$A$5:$A$204,0)),0)&gt;0,IFERROR(INDEX(Clients!$O$5:$O$204,MATCH(G221,Clients!$A$5:$A$204,0)),0),HourlyRate))</f>
        <v>0</v>
      </c>
      <c r="AI221" s="21">
        <f>IF(G221="","",IF(AND(M221&lt;&gt;"",IFERROR(INDEX(Services!$P$5:$P$64,MATCH(M221,Services!$B$5:$B$64,0)),0)&gt;0,IFERROR(INDEX(Services!$D$5:$D$64,MATCH(M221,Services!$B$5:$B$64,0)),"")&lt;&gt;"Per hour"),IFERROR(INDEX(Services!$P$5:$P$64,MATCH(M221,Services!$B$5:$B$64,0)),0),AD221*AH221))</f>
        <v>0</v>
      </c>
      <c r="AJ221" s="21">
        <f>IF(G221="","",IF(V221&lt;&gt;"",V221,IF(P221="Cancelled",0,MAX(MinimumCharge,ROUND(AI221*IFERROR(INDEX(FreqFactors,MATCH(O221,FreqNames,0)),1),2)))))</f>
        <v>0</v>
      </c>
      <c r="AK221" s="34">
        <f>IF(G221="","",IF(SUMIFS(Timesheets!$U$5:$U$804,Timesheets!$G$5:$G$804,A221)&gt;0,SUMIFS(Timesheets!$U$5:$U$804,Timesheets!$G$5:$G$804,A221),IF(Z221="","",Z221)))</f>
        <v>0</v>
      </c>
      <c r="AL221" s="34">
        <f>IF(OR(AK221="",AD221=""),"",AK221-AD221)</f>
        <v>0</v>
      </c>
      <c r="AM221" s="31">
        <f>IF(A221="","",COUNTIFS('Job Tasks'!$B$5:$B$904,A221))</f>
        <v>0</v>
      </c>
      <c r="AN221" s="31">
        <f>IF(A221="","",COUNTIFS('Job Tasks'!$B$5:$B$904,A221,'Job Tasks'!$H$5:$H$904,"Done"))</f>
        <v>0</v>
      </c>
      <c r="AO221" s="38">
        <f>IF(OR(A221="",AM221=0),"",AN221/AM221)</f>
        <v>0</v>
      </c>
      <c r="AP221" s="43">
        <f>IF(A221="","",IFERROR(INDEX('Invoice Lines'!$B$5:$B$804,MATCH(A221,'Invoice Lines'!$C$5:$C$804,0)),""))</f>
        <v>0</v>
      </c>
      <c r="AQ221" s="18">
        <f>IF(OR(G221="",B221="",X221&lt;&gt;"Yes"),"",IF(IFERROR(INDEX(FreqDays,MATCH(O221,FreqNames,0)),0)=0,"",B221+IFERROR(INDEX(FreqDays,MATCH(O221,FreqNames,0)),0)))</f>
        <v>0</v>
      </c>
      <c r="AR221" s="39">
        <f>IF(G221="","",IF(R221="","Unassigned",IF(COUNTIFS($R$5:$R$604,R221,$B$5:$B$604,B221,$F$5:$F$604,F221)&gt;1,"Clash",IF(SUMIFS($AF$5:$AF$604,$R$5:$R$604,R221,$B$5:$B$604,B221)&gt;ProductiveHours,"Long day","OK"))))</f>
        <v>0</v>
      </c>
      <c r="AS221" s="18">
        <f>IF(OR(G221="",B221=""),"",IF(AND(B221&gt;=TodayDate,P221&lt;&gt;"Cancelled"),B221,""))</f>
        <v>0</v>
      </c>
      <c r="AT221" s="31">
        <f>IF(AS221="","",COUNTIFS($AS$5:$AS$604,"&lt;"&amp;AS221)+COUNTIFS($AS$5:AS221,AS221))</f>
        <v>0</v>
      </c>
      <c r="AU221" s="18">
        <f>IF(OR(G221="",B221="",R221&lt;&gt;""),"",IF(AND(B221&gt;=TodayDate,P221&lt;&gt;"Cancelled"),B221,""))</f>
        <v>0</v>
      </c>
      <c r="AV221" s="31">
        <f>IF(AU221="","",COUNTIFS($AU$5:$AU$604,"&lt;"&amp;AU221)+COUNTIFS($AU$5:AU221,AU221))</f>
        <v>0</v>
      </c>
      <c r="AW221" s="31">
        <f>IF(OR(G221="",B221=""),"",B221-TodayDate)</f>
        <v>0</v>
      </c>
      <c r="AX221" s="39">
        <f>IF(G221="","",IF(P221="Cancelled","Cancelled",IF(P221="No access","Action - no access, rebook",IF(AND(B221&lt;&gt;"",AW221&lt;0,OR(P221="Booked",P221="Confirmed",P221="In progress")),"Late - mark it completed",IF(AND(P221="Completed",AP221=""),"Action - not invoiced yet",IF(AND(AW221&gt;=0,AW221&lt;=ReminderDays,Y221&lt;&gt;"Yes"),"Confirm - visit coming up",IF(R221="","Assign - no cleaner booked",IF(AND(P221="Completed",AO221&lt;&gt;"",AO221&lt;1),"Check - checklist unfinished","OK"))))))))</f>
        <v>0</v>
      </c>
    </row>
    <row r="222" spans="1:50">
      <c r="A222" s="43">
        <f>IF(G222="","",JobPrefix&amp;TEXT(ROW()-4,"0000"))</f>
        <v>0</v>
      </c>
      <c r="C222" s="23">
        <f>IF(B222="","",TEXT(B222,"ddd"))</f>
        <v>0</v>
      </c>
      <c r="D222" s="31">
        <f>IF(B222="","",WEEKNUM(B222,IF(WeekStart="Sunday",1,2)))</f>
        <v>0</v>
      </c>
      <c r="E222" s="23">
        <f>IF(B222="","",TEXT(B222,"yyyy-mm"))</f>
        <v>0</v>
      </c>
      <c r="H222" s="23">
        <f>IF(G222="","",IFERROR(INDEX(Clients!$B$5:$B$204,MATCH(G222,Clients!$A$5:$A$204,0)),"Not found"))</f>
        <v>0</v>
      </c>
      <c r="I222" s="23">
        <f>IF(G222="","",IFERROR(INDEX(Clients!$C$5:$C$204,MATCH(G222,Clients!$A$5:$A$204,0)),""))</f>
        <v>0</v>
      </c>
      <c r="K222" s="23">
        <f>IF(J222="","",IFERROR(INDEX(Properties!$B$5:$B$254,MATCH(J222,Properties!$A$5:$A$254,0)),""))</f>
        <v>0</v>
      </c>
      <c r="L222" s="23">
        <f>IF(J222="","",IFERROR(INDEX(Properties!$F$5:$F$254,MATCH(J222,Properties!$A$5:$A$254,0)),""))</f>
        <v>0</v>
      </c>
      <c r="AD222" s="34">
        <f>IF(G222="","",IF(U222&lt;&gt;"",U222,IF(AND(IFERROR(INDEX(Services!$D$5:$D$64,MATCH(M222,Services!$B$5:$B$64,0)),"")="Per hour",IFERROR(INDEX(Properties!$X$5:$X$254,MATCH(J222,Properties!$A$5:$A$254,0)),0)&gt;0),IFERROR(INDEX(Properties!$X$5:$X$254,MATCH(J222,Properties!$A$5:$A$254,0)),0),IF(IFERROR(INDEX(Services!$G$5:$G$64,MATCH(M222,Services!$B$5:$B$64,0)),0)&gt;0,IFERROR(INDEX(Services!$G$5:$G$64,MATCH(M222,Services!$B$5:$B$64,0)),0),IFERROR(INDEX(Properties!$X$5:$X$254,MATCH(J222,Properties!$A$5:$A$254,0)),0)))))</f>
        <v>0</v>
      </c>
      <c r="AE222" s="31">
        <f>IF(G222="","",IF(T222="",CleanersPerJob,MAX(1,T222)))</f>
        <v>0</v>
      </c>
      <c r="AF222" s="34">
        <f>IF(G222="","",ROUND(AD222/AE222,2))</f>
        <v>0</v>
      </c>
      <c r="AG222" s="53">
        <f>IF(OR(G222="",F222="",AF222=""),"",F222+AF222/24)</f>
        <v>0</v>
      </c>
      <c r="AH222" s="21">
        <f>IF(G222="","",IF(IFERROR(INDEX(Clients!$O$5:$O$204,MATCH(G222,Clients!$A$5:$A$204,0)),0)&gt;0,IFERROR(INDEX(Clients!$O$5:$O$204,MATCH(G222,Clients!$A$5:$A$204,0)),0),HourlyRate))</f>
        <v>0</v>
      </c>
      <c r="AI222" s="21">
        <f>IF(G222="","",IF(AND(M222&lt;&gt;"",IFERROR(INDEX(Services!$P$5:$P$64,MATCH(M222,Services!$B$5:$B$64,0)),0)&gt;0,IFERROR(INDEX(Services!$D$5:$D$64,MATCH(M222,Services!$B$5:$B$64,0)),"")&lt;&gt;"Per hour"),IFERROR(INDEX(Services!$P$5:$P$64,MATCH(M222,Services!$B$5:$B$64,0)),0),AD222*AH222))</f>
        <v>0</v>
      </c>
      <c r="AJ222" s="21">
        <f>IF(G222="","",IF(V222&lt;&gt;"",V222,IF(P222="Cancelled",0,MAX(MinimumCharge,ROUND(AI222*IFERROR(INDEX(FreqFactors,MATCH(O222,FreqNames,0)),1),2)))))</f>
        <v>0</v>
      </c>
      <c r="AK222" s="34">
        <f>IF(G222="","",IF(SUMIFS(Timesheets!$U$5:$U$804,Timesheets!$G$5:$G$804,A222)&gt;0,SUMIFS(Timesheets!$U$5:$U$804,Timesheets!$G$5:$G$804,A222),IF(Z222="","",Z222)))</f>
        <v>0</v>
      </c>
      <c r="AL222" s="34">
        <f>IF(OR(AK222="",AD222=""),"",AK222-AD222)</f>
        <v>0</v>
      </c>
      <c r="AM222" s="31">
        <f>IF(A222="","",COUNTIFS('Job Tasks'!$B$5:$B$904,A222))</f>
        <v>0</v>
      </c>
      <c r="AN222" s="31">
        <f>IF(A222="","",COUNTIFS('Job Tasks'!$B$5:$B$904,A222,'Job Tasks'!$H$5:$H$904,"Done"))</f>
        <v>0</v>
      </c>
      <c r="AO222" s="38">
        <f>IF(OR(A222="",AM222=0),"",AN222/AM222)</f>
        <v>0</v>
      </c>
      <c r="AP222" s="43">
        <f>IF(A222="","",IFERROR(INDEX('Invoice Lines'!$B$5:$B$804,MATCH(A222,'Invoice Lines'!$C$5:$C$804,0)),""))</f>
        <v>0</v>
      </c>
      <c r="AQ222" s="18">
        <f>IF(OR(G222="",B222="",X222&lt;&gt;"Yes"),"",IF(IFERROR(INDEX(FreqDays,MATCH(O222,FreqNames,0)),0)=0,"",B222+IFERROR(INDEX(FreqDays,MATCH(O222,FreqNames,0)),0)))</f>
        <v>0</v>
      </c>
      <c r="AR222" s="39">
        <f>IF(G222="","",IF(R222="","Unassigned",IF(COUNTIFS($R$5:$R$604,R222,$B$5:$B$604,B222,$F$5:$F$604,F222)&gt;1,"Clash",IF(SUMIFS($AF$5:$AF$604,$R$5:$R$604,R222,$B$5:$B$604,B222)&gt;ProductiveHours,"Long day","OK"))))</f>
        <v>0</v>
      </c>
      <c r="AS222" s="18">
        <f>IF(OR(G222="",B222=""),"",IF(AND(B222&gt;=TodayDate,P222&lt;&gt;"Cancelled"),B222,""))</f>
        <v>0</v>
      </c>
      <c r="AT222" s="31">
        <f>IF(AS222="","",COUNTIFS($AS$5:$AS$604,"&lt;"&amp;AS222)+COUNTIFS($AS$5:AS222,AS222))</f>
        <v>0</v>
      </c>
      <c r="AU222" s="18">
        <f>IF(OR(G222="",B222="",R222&lt;&gt;""),"",IF(AND(B222&gt;=TodayDate,P222&lt;&gt;"Cancelled"),B222,""))</f>
        <v>0</v>
      </c>
      <c r="AV222" s="31">
        <f>IF(AU222="","",COUNTIFS($AU$5:$AU$604,"&lt;"&amp;AU222)+COUNTIFS($AU$5:AU222,AU222))</f>
        <v>0</v>
      </c>
      <c r="AW222" s="31">
        <f>IF(OR(G222="",B222=""),"",B222-TodayDate)</f>
        <v>0</v>
      </c>
      <c r="AX222" s="39">
        <f>IF(G222="","",IF(P222="Cancelled","Cancelled",IF(P222="No access","Action - no access, rebook",IF(AND(B222&lt;&gt;"",AW222&lt;0,OR(P222="Booked",P222="Confirmed",P222="In progress")),"Late - mark it completed",IF(AND(P222="Completed",AP222=""),"Action - not invoiced yet",IF(AND(AW222&gt;=0,AW222&lt;=ReminderDays,Y222&lt;&gt;"Yes"),"Confirm - visit coming up",IF(R222="","Assign - no cleaner booked",IF(AND(P222="Completed",AO222&lt;&gt;"",AO222&lt;1),"Check - checklist unfinished","OK"))))))))</f>
        <v>0</v>
      </c>
    </row>
    <row r="223" spans="1:50">
      <c r="A223" s="43">
        <f>IF(G223="","",JobPrefix&amp;TEXT(ROW()-4,"0000"))</f>
        <v>0</v>
      </c>
      <c r="C223" s="23">
        <f>IF(B223="","",TEXT(B223,"ddd"))</f>
        <v>0</v>
      </c>
      <c r="D223" s="31">
        <f>IF(B223="","",WEEKNUM(B223,IF(WeekStart="Sunday",1,2)))</f>
        <v>0</v>
      </c>
      <c r="E223" s="23">
        <f>IF(B223="","",TEXT(B223,"yyyy-mm"))</f>
        <v>0</v>
      </c>
      <c r="H223" s="23">
        <f>IF(G223="","",IFERROR(INDEX(Clients!$B$5:$B$204,MATCH(G223,Clients!$A$5:$A$204,0)),"Not found"))</f>
        <v>0</v>
      </c>
      <c r="I223" s="23">
        <f>IF(G223="","",IFERROR(INDEX(Clients!$C$5:$C$204,MATCH(G223,Clients!$A$5:$A$204,0)),""))</f>
        <v>0</v>
      </c>
      <c r="K223" s="23">
        <f>IF(J223="","",IFERROR(INDEX(Properties!$B$5:$B$254,MATCH(J223,Properties!$A$5:$A$254,0)),""))</f>
        <v>0</v>
      </c>
      <c r="L223" s="23">
        <f>IF(J223="","",IFERROR(INDEX(Properties!$F$5:$F$254,MATCH(J223,Properties!$A$5:$A$254,0)),""))</f>
        <v>0</v>
      </c>
      <c r="AD223" s="34">
        <f>IF(G223="","",IF(U223&lt;&gt;"",U223,IF(AND(IFERROR(INDEX(Services!$D$5:$D$64,MATCH(M223,Services!$B$5:$B$64,0)),"")="Per hour",IFERROR(INDEX(Properties!$X$5:$X$254,MATCH(J223,Properties!$A$5:$A$254,0)),0)&gt;0),IFERROR(INDEX(Properties!$X$5:$X$254,MATCH(J223,Properties!$A$5:$A$254,0)),0),IF(IFERROR(INDEX(Services!$G$5:$G$64,MATCH(M223,Services!$B$5:$B$64,0)),0)&gt;0,IFERROR(INDEX(Services!$G$5:$G$64,MATCH(M223,Services!$B$5:$B$64,0)),0),IFERROR(INDEX(Properties!$X$5:$X$254,MATCH(J223,Properties!$A$5:$A$254,0)),0)))))</f>
        <v>0</v>
      </c>
      <c r="AE223" s="31">
        <f>IF(G223="","",IF(T223="",CleanersPerJob,MAX(1,T223)))</f>
        <v>0</v>
      </c>
      <c r="AF223" s="34">
        <f>IF(G223="","",ROUND(AD223/AE223,2))</f>
        <v>0</v>
      </c>
      <c r="AG223" s="53">
        <f>IF(OR(G223="",F223="",AF223=""),"",F223+AF223/24)</f>
        <v>0</v>
      </c>
      <c r="AH223" s="21">
        <f>IF(G223="","",IF(IFERROR(INDEX(Clients!$O$5:$O$204,MATCH(G223,Clients!$A$5:$A$204,0)),0)&gt;0,IFERROR(INDEX(Clients!$O$5:$O$204,MATCH(G223,Clients!$A$5:$A$204,0)),0),HourlyRate))</f>
        <v>0</v>
      </c>
      <c r="AI223" s="21">
        <f>IF(G223="","",IF(AND(M223&lt;&gt;"",IFERROR(INDEX(Services!$P$5:$P$64,MATCH(M223,Services!$B$5:$B$64,0)),0)&gt;0,IFERROR(INDEX(Services!$D$5:$D$64,MATCH(M223,Services!$B$5:$B$64,0)),"")&lt;&gt;"Per hour"),IFERROR(INDEX(Services!$P$5:$P$64,MATCH(M223,Services!$B$5:$B$64,0)),0),AD223*AH223))</f>
        <v>0</v>
      </c>
      <c r="AJ223" s="21">
        <f>IF(G223="","",IF(V223&lt;&gt;"",V223,IF(P223="Cancelled",0,MAX(MinimumCharge,ROUND(AI223*IFERROR(INDEX(FreqFactors,MATCH(O223,FreqNames,0)),1),2)))))</f>
        <v>0</v>
      </c>
      <c r="AK223" s="34">
        <f>IF(G223="","",IF(SUMIFS(Timesheets!$U$5:$U$804,Timesheets!$G$5:$G$804,A223)&gt;0,SUMIFS(Timesheets!$U$5:$U$804,Timesheets!$G$5:$G$804,A223),IF(Z223="","",Z223)))</f>
        <v>0</v>
      </c>
      <c r="AL223" s="34">
        <f>IF(OR(AK223="",AD223=""),"",AK223-AD223)</f>
        <v>0</v>
      </c>
      <c r="AM223" s="31">
        <f>IF(A223="","",COUNTIFS('Job Tasks'!$B$5:$B$904,A223))</f>
        <v>0</v>
      </c>
      <c r="AN223" s="31">
        <f>IF(A223="","",COUNTIFS('Job Tasks'!$B$5:$B$904,A223,'Job Tasks'!$H$5:$H$904,"Done"))</f>
        <v>0</v>
      </c>
      <c r="AO223" s="38">
        <f>IF(OR(A223="",AM223=0),"",AN223/AM223)</f>
        <v>0</v>
      </c>
      <c r="AP223" s="43">
        <f>IF(A223="","",IFERROR(INDEX('Invoice Lines'!$B$5:$B$804,MATCH(A223,'Invoice Lines'!$C$5:$C$804,0)),""))</f>
        <v>0</v>
      </c>
      <c r="AQ223" s="18">
        <f>IF(OR(G223="",B223="",X223&lt;&gt;"Yes"),"",IF(IFERROR(INDEX(FreqDays,MATCH(O223,FreqNames,0)),0)=0,"",B223+IFERROR(INDEX(FreqDays,MATCH(O223,FreqNames,0)),0)))</f>
        <v>0</v>
      </c>
      <c r="AR223" s="39">
        <f>IF(G223="","",IF(R223="","Unassigned",IF(COUNTIFS($R$5:$R$604,R223,$B$5:$B$604,B223,$F$5:$F$604,F223)&gt;1,"Clash",IF(SUMIFS($AF$5:$AF$604,$R$5:$R$604,R223,$B$5:$B$604,B223)&gt;ProductiveHours,"Long day","OK"))))</f>
        <v>0</v>
      </c>
      <c r="AS223" s="18">
        <f>IF(OR(G223="",B223=""),"",IF(AND(B223&gt;=TodayDate,P223&lt;&gt;"Cancelled"),B223,""))</f>
        <v>0</v>
      </c>
      <c r="AT223" s="31">
        <f>IF(AS223="","",COUNTIFS($AS$5:$AS$604,"&lt;"&amp;AS223)+COUNTIFS($AS$5:AS223,AS223))</f>
        <v>0</v>
      </c>
      <c r="AU223" s="18">
        <f>IF(OR(G223="",B223="",R223&lt;&gt;""),"",IF(AND(B223&gt;=TodayDate,P223&lt;&gt;"Cancelled"),B223,""))</f>
        <v>0</v>
      </c>
      <c r="AV223" s="31">
        <f>IF(AU223="","",COUNTIFS($AU$5:$AU$604,"&lt;"&amp;AU223)+COUNTIFS($AU$5:AU223,AU223))</f>
        <v>0</v>
      </c>
      <c r="AW223" s="31">
        <f>IF(OR(G223="",B223=""),"",B223-TodayDate)</f>
        <v>0</v>
      </c>
      <c r="AX223" s="39">
        <f>IF(G223="","",IF(P223="Cancelled","Cancelled",IF(P223="No access","Action - no access, rebook",IF(AND(B223&lt;&gt;"",AW223&lt;0,OR(P223="Booked",P223="Confirmed",P223="In progress")),"Late - mark it completed",IF(AND(P223="Completed",AP223=""),"Action - not invoiced yet",IF(AND(AW223&gt;=0,AW223&lt;=ReminderDays,Y223&lt;&gt;"Yes"),"Confirm - visit coming up",IF(R223="","Assign - no cleaner booked",IF(AND(P223="Completed",AO223&lt;&gt;"",AO223&lt;1),"Check - checklist unfinished","OK"))))))))</f>
        <v>0</v>
      </c>
    </row>
    <row r="224" spans="1:50">
      <c r="A224" s="43">
        <f>IF(G224="","",JobPrefix&amp;TEXT(ROW()-4,"0000"))</f>
        <v>0</v>
      </c>
      <c r="C224" s="23">
        <f>IF(B224="","",TEXT(B224,"ddd"))</f>
        <v>0</v>
      </c>
      <c r="D224" s="31">
        <f>IF(B224="","",WEEKNUM(B224,IF(WeekStart="Sunday",1,2)))</f>
        <v>0</v>
      </c>
      <c r="E224" s="23">
        <f>IF(B224="","",TEXT(B224,"yyyy-mm"))</f>
        <v>0</v>
      </c>
      <c r="H224" s="23">
        <f>IF(G224="","",IFERROR(INDEX(Clients!$B$5:$B$204,MATCH(G224,Clients!$A$5:$A$204,0)),"Not found"))</f>
        <v>0</v>
      </c>
      <c r="I224" s="23">
        <f>IF(G224="","",IFERROR(INDEX(Clients!$C$5:$C$204,MATCH(G224,Clients!$A$5:$A$204,0)),""))</f>
        <v>0</v>
      </c>
      <c r="K224" s="23">
        <f>IF(J224="","",IFERROR(INDEX(Properties!$B$5:$B$254,MATCH(J224,Properties!$A$5:$A$254,0)),""))</f>
        <v>0</v>
      </c>
      <c r="L224" s="23">
        <f>IF(J224="","",IFERROR(INDEX(Properties!$F$5:$F$254,MATCH(J224,Properties!$A$5:$A$254,0)),""))</f>
        <v>0</v>
      </c>
      <c r="AD224" s="34">
        <f>IF(G224="","",IF(U224&lt;&gt;"",U224,IF(AND(IFERROR(INDEX(Services!$D$5:$D$64,MATCH(M224,Services!$B$5:$B$64,0)),"")="Per hour",IFERROR(INDEX(Properties!$X$5:$X$254,MATCH(J224,Properties!$A$5:$A$254,0)),0)&gt;0),IFERROR(INDEX(Properties!$X$5:$X$254,MATCH(J224,Properties!$A$5:$A$254,0)),0),IF(IFERROR(INDEX(Services!$G$5:$G$64,MATCH(M224,Services!$B$5:$B$64,0)),0)&gt;0,IFERROR(INDEX(Services!$G$5:$G$64,MATCH(M224,Services!$B$5:$B$64,0)),0),IFERROR(INDEX(Properties!$X$5:$X$254,MATCH(J224,Properties!$A$5:$A$254,0)),0)))))</f>
        <v>0</v>
      </c>
      <c r="AE224" s="31">
        <f>IF(G224="","",IF(T224="",CleanersPerJob,MAX(1,T224)))</f>
        <v>0</v>
      </c>
      <c r="AF224" s="34">
        <f>IF(G224="","",ROUND(AD224/AE224,2))</f>
        <v>0</v>
      </c>
      <c r="AG224" s="53">
        <f>IF(OR(G224="",F224="",AF224=""),"",F224+AF224/24)</f>
        <v>0</v>
      </c>
      <c r="AH224" s="21">
        <f>IF(G224="","",IF(IFERROR(INDEX(Clients!$O$5:$O$204,MATCH(G224,Clients!$A$5:$A$204,0)),0)&gt;0,IFERROR(INDEX(Clients!$O$5:$O$204,MATCH(G224,Clients!$A$5:$A$204,0)),0),HourlyRate))</f>
        <v>0</v>
      </c>
      <c r="AI224" s="21">
        <f>IF(G224="","",IF(AND(M224&lt;&gt;"",IFERROR(INDEX(Services!$P$5:$P$64,MATCH(M224,Services!$B$5:$B$64,0)),0)&gt;0,IFERROR(INDEX(Services!$D$5:$D$64,MATCH(M224,Services!$B$5:$B$64,0)),"")&lt;&gt;"Per hour"),IFERROR(INDEX(Services!$P$5:$P$64,MATCH(M224,Services!$B$5:$B$64,0)),0),AD224*AH224))</f>
        <v>0</v>
      </c>
      <c r="AJ224" s="21">
        <f>IF(G224="","",IF(V224&lt;&gt;"",V224,IF(P224="Cancelled",0,MAX(MinimumCharge,ROUND(AI224*IFERROR(INDEX(FreqFactors,MATCH(O224,FreqNames,0)),1),2)))))</f>
        <v>0</v>
      </c>
      <c r="AK224" s="34">
        <f>IF(G224="","",IF(SUMIFS(Timesheets!$U$5:$U$804,Timesheets!$G$5:$G$804,A224)&gt;0,SUMIFS(Timesheets!$U$5:$U$804,Timesheets!$G$5:$G$804,A224),IF(Z224="","",Z224)))</f>
        <v>0</v>
      </c>
      <c r="AL224" s="34">
        <f>IF(OR(AK224="",AD224=""),"",AK224-AD224)</f>
        <v>0</v>
      </c>
      <c r="AM224" s="31">
        <f>IF(A224="","",COUNTIFS('Job Tasks'!$B$5:$B$904,A224))</f>
        <v>0</v>
      </c>
      <c r="AN224" s="31">
        <f>IF(A224="","",COUNTIFS('Job Tasks'!$B$5:$B$904,A224,'Job Tasks'!$H$5:$H$904,"Done"))</f>
        <v>0</v>
      </c>
      <c r="AO224" s="38">
        <f>IF(OR(A224="",AM224=0),"",AN224/AM224)</f>
        <v>0</v>
      </c>
      <c r="AP224" s="43">
        <f>IF(A224="","",IFERROR(INDEX('Invoice Lines'!$B$5:$B$804,MATCH(A224,'Invoice Lines'!$C$5:$C$804,0)),""))</f>
        <v>0</v>
      </c>
      <c r="AQ224" s="18">
        <f>IF(OR(G224="",B224="",X224&lt;&gt;"Yes"),"",IF(IFERROR(INDEX(FreqDays,MATCH(O224,FreqNames,0)),0)=0,"",B224+IFERROR(INDEX(FreqDays,MATCH(O224,FreqNames,0)),0)))</f>
        <v>0</v>
      </c>
      <c r="AR224" s="39">
        <f>IF(G224="","",IF(R224="","Unassigned",IF(COUNTIFS($R$5:$R$604,R224,$B$5:$B$604,B224,$F$5:$F$604,F224)&gt;1,"Clash",IF(SUMIFS($AF$5:$AF$604,$R$5:$R$604,R224,$B$5:$B$604,B224)&gt;ProductiveHours,"Long day","OK"))))</f>
        <v>0</v>
      </c>
      <c r="AS224" s="18">
        <f>IF(OR(G224="",B224=""),"",IF(AND(B224&gt;=TodayDate,P224&lt;&gt;"Cancelled"),B224,""))</f>
        <v>0</v>
      </c>
      <c r="AT224" s="31">
        <f>IF(AS224="","",COUNTIFS($AS$5:$AS$604,"&lt;"&amp;AS224)+COUNTIFS($AS$5:AS224,AS224))</f>
        <v>0</v>
      </c>
      <c r="AU224" s="18">
        <f>IF(OR(G224="",B224="",R224&lt;&gt;""),"",IF(AND(B224&gt;=TodayDate,P224&lt;&gt;"Cancelled"),B224,""))</f>
        <v>0</v>
      </c>
      <c r="AV224" s="31">
        <f>IF(AU224="","",COUNTIFS($AU$5:$AU$604,"&lt;"&amp;AU224)+COUNTIFS($AU$5:AU224,AU224))</f>
        <v>0</v>
      </c>
      <c r="AW224" s="31">
        <f>IF(OR(G224="",B224=""),"",B224-TodayDate)</f>
        <v>0</v>
      </c>
      <c r="AX224" s="39">
        <f>IF(G224="","",IF(P224="Cancelled","Cancelled",IF(P224="No access","Action - no access, rebook",IF(AND(B224&lt;&gt;"",AW224&lt;0,OR(P224="Booked",P224="Confirmed",P224="In progress")),"Late - mark it completed",IF(AND(P224="Completed",AP224=""),"Action - not invoiced yet",IF(AND(AW224&gt;=0,AW224&lt;=ReminderDays,Y224&lt;&gt;"Yes"),"Confirm - visit coming up",IF(R224="","Assign - no cleaner booked",IF(AND(P224="Completed",AO224&lt;&gt;"",AO224&lt;1),"Check - checklist unfinished","OK"))))))))</f>
        <v>0</v>
      </c>
    </row>
    <row r="225" spans="1:50">
      <c r="A225" s="43">
        <f>IF(G225="","",JobPrefix&amp;TEXT(ROW()-4,"0000"))</f>
        <v>0</v>
      </c>
      <c r="C225" s="23">
        <f>IF(B225="","",TEXT(B225,"ddd"))</f>
        <v>0</v>
      </c>
      <c r="D225" s="31">
        <f>IF(B225="","",WEEKNUM(B225,IF(WeekStart="Sunday",1,2)))</f>
        <v>0</v>
      </c>
      <c r="E225" s="23">
        <f>IF(B225="","",TEXT(B225,"yyyy-mm"))</f>
        <v>0</v>
      </c>
      <c r="H225" s="23">
        <f>IF(G225="","",IFERROR(INDEX(Clients!$B$5:$B$204,MATCH(G225,Clients!$A$5:$A$204,0)),"Not found"))</f>
        <v>0</v>
      </c>
      <c r="I225" s="23">
        <f>IF(G225="","",IFERROR(INDEX(Clients!$C$5:$C$204,MATCH(G225,Clients!$A$5:$A$204,0)),""))</f>
        <v>0</v>
      </c>
      <c r="K225" s="23">
        <f>IF(J225="","",IFERROR(INDEX(Properties!$B$5:$B$254,MATCH(J225,Properties!$A$5:$A$254,0)),""))</f>
        <v>0</v>
      </c>
      <c r="L225" s="23">
        <f>IF(J225="","",IFERROR(INDEX(Properties!$F$5:$F$254,MATCH(J225,Properties!$A$5:$A$254,0)),""))</f>
        <v>0</v>
      </c>
      <c r="AD225" s="34">
        <f>IF(G225="","",IF(U225&lt;&gt;"",U225,IF(AND(IFERROR(INDEX(Services!$D$5:$D$64,MATCH(M225,Services!$B$5:$B$64,0)),"")="Per hour",IFERROR(INDEX(Properties!$X$5:$X$254,MATCH(J225,Properties!$A$5:$A$254,0)),0)&gt;0),IFERROR(INDEX(Properties!$X$5:$X$254,MATCH(J225,Properties!$A$5:$A$254,0)),0),IF(IFERROR(INDEX(Services!$G$5:$G$64,MATCH(M225,Services!$B$5:$B$64,0)),0)&gt;0,IFERROR(INDEX(Services!$G$5:$G$64,MATCH(M225,Services!$B$5:$B$64,0)),0),IFERROR(INDEX(Properties!$X$5:$X$254,MATCH(J225,Properties!$A$5:$A$254,0)),0)))))</f>
        <v>0</v>
      </c>
      <c r="AE225" s="31">
        <f>IF(G225="","",IF(T225="",CleanersPerJob,MAX(1,T225)))</f>
        <v>0</v>
      </c>
      <c r="AF225" s="34">
        <f>IF(G225="","",ROUND(AD225/AE225,2))</f>
        <v>0</v>
      </c>
      <c r="AG225" s="53">
        <f>IF(OR(G225="",F225="",AF225=""),"",F225+AF225/24)</f>
        <v>0</v>
      </c>
      <c r="AH225" s="21">
        <f>IF(G225="","",IF(IFERROR(INDEX(Clients!$O$5:$O$204,MATCH(G225,Clients!$A$5:$A$204,0)),0)&gt;0,IFERROR(INDEX(Clients!$O$5:$O$204,MATCH(G225,Clients!$A$5:$A$204,0)),0),HourlyRate))</f>
        <v>0</v>
      </c>
      <c r="AI225" s="21">
        <f>IF(G225="","",IF(AND(M225&lt;&gt;"",IFERROR(INDEX(Services!$P$5:$P$64,MATCH(M225,Services!$B$5:$B$64,0)),0)&gt;0,IFERROR(INDEX(Services!$D$5:$D$64,MATCH(M225,Services!$B$5:$B$64,0)),"")&lt;&gt;"Per hour"),IFERROR(INDEX(Services!$P$5:$P$64,MATCH(M225,Services!$B$5:$B$64,0)),0),AD225*AH225))</f>
        <v>0</v>
      </c>
      <c r="AJ225" s="21">
        <f>IF(G225="","",IF(V225&lt;&gt;"",V225,IF(P225="Cancelled",0,MAX(MinimumCharge,ROUND(AI225*IFERROR(INDEX(FreqFactors,MATCH(O225,FreqNames,0)),1),2)))))</f>
        <v>0</v>
      </c>
      <c r="AK225" s="34">
        <f>IF(G225="","",IF(SUMIFS(Timesheets!$U$5:$U$804,Timesheets!$G$5:$G$804,A225)&gt;0,SUMIFS(Timesheets!$U$5:$U$804,Timesheets!$G$5:$G$804,A225),IF(Z225="","",Z225)))</f>
        <v>0</v>
      </c>
      <c r="AL225" s="34">
        <f>IF(OR(AK225="",AD225=""),"",AK225-AD225)</f>
        <v>0</v>
      </c>
      <c r="AM225" s="31">
        <f>IF(A225="","",COUNTIFS('Job Tasks'!$B$5:$B$904,A225))</f>
        <v>0</v>
      </c>
      <c r="AN225" s="31">
        <f>IF(A225="","",COUNTIFS('Job Tasks'!$B$5:$B$904,A225,'Job Tasks'!$H$5:$H$904,"Done"))</f>
        <v>0</v>
      </c>
      <c r="AO225" s="38">
        <f>IF(OR(A225="",AM225=0),"",AN225/AM225)</f>
        <v>0</v>
      </c>
      <c r="AP225" s="43">
        <f>IF(A225="","",IFERROR(INDEX('Invoice Lines'!$B$5:$B$804,MATCH(A225,'Invoice Lines'!$C$5:$C$804,0)),""))</f>
        <v>0</v>
      </c>
      <c r="AQ225" s="18">
        <f>IF(OR(G225="",B225="",X225&lt;&gt;"Yes"),"",IF(IFERROR(INDEX(FreqDays,MATCH(O225,FreqNames,0)),0)=0,"",B225+IFERROR(INDEX(FreqDays,MATCH(O225,FreqNames,0)),0)))</f>
        <v>0</v>
      </c>
      <c r="AR225" s="39">
        <f>IF(G225="","",IF(R225="","Unassigned",IF(COUNTIFS($R$5:$R$604,R225,$B$5:$B$604,B225,$F$5:$F$604,F225)&gt;1,"Clash",IF(SUMIFS($AF$5:$AF$604,$R$5:$R$604,R225,$B$5:$B$604,B225)&gt;ProductiveHours,"Long day","OK"))))</f>
        <v>0</v>
      </c>
      <c r="AS225" s="18">
        <f>IF(OR(G225="",B225=""),"",IF(AND(B225&gt;=TodayDate,P225&lt;&gt;"Cancelled"),B225,""))</f>
        <v>0</v>
      </c>
      <c r="AT225" s="31">
        <f>IF(AS225="","",COUNTIFS($AS$5:$AS$604,"&lt;"&amp;AS225)+COUNTIFS($AS$5:AS225,AS225))</f>
        <v>0</v>
      </c>
      <c r="AU225" s="18">
        <f>IF(OR(G225="",B225="",R225&lt;&gt;""),"",IF(AND(B225&gt;=TodayDate,P225&lt;&gt;"Cancelled"),B225,""))</f>
        <v>0</v>
      </c>
      <c r="AV225" s="31">
        <f>IF(AU225="","",COUNTIFS($AU$5:$AU$604,"&lt;"&amp;AU225)+COUNTIFS($AU$5:AU225,AU225))</f>
        <v>0</v>
      </c>
      <c r="AW225" s="31">
        <f>IF(OR(G225="",B225=""),"",B225-TodayDate)</f>
        <v>0</v>
      </c>
      <c r="AX225" s="39">
        <f>IF(G225="","",IF(P225="Cancelled","Cancelled",IF(P225="No access","Action - no access, rebook",IF(AND(B225&lt;&gt;"",AW225&lt;0,OR(P225="Booked",P225="Confirmed",P225="In progress")),"Late - mark it completed",IF(AND(P225="Completed",AP225=""),"Action - not invoiced yet",IF(AND(AW225&gt;=0,AW225&lt;=ReminderDays,Y225&lt;&gt;"Yes"),"Confirm - visit coming up",IF(R225="","Assign - no cleaner booked",IF(AND(P225="Completed",AO225&lt;&gt;"",AO225&lt;1),"Check - checklist unfinished","OK"))))))))</f>
        <v>0</v>
      </c>
    </row>
    <row r="226" spans="1:50">
      <c r="A226" s="43">
        <f>IF(G226="","",JobPrefix&amp;TEXT(ROW()-4,"0000"))</f>
        <v>0</v>
      </c>
      <c r="C226" s="23">
        <f>IF(B226="","",TEXT(B226,"ddd"))</f>
        <v>0</v>
      </c>
      <c r="D226" s="31">
        <f>IF(B226="","",WEEKNUM(B226,IF(WeekStart="Sunday",1,2)))</f>
        <v>0</v>
      </c>
      <c r="E226" s="23">
        <f>IF(B226="","",TEXT(B226,"yyyy-mm"))</f>
        <v>0</v>
      </c>
      <c r="H226" s="23">
        <f>IF(G226="","",IFERROR(INDEX(Clients!$B$5:$B$204,MATCH(G226,Clients!$A$5:$A$204,0)),"Not found"))</f>
        <v>0</v>
      </c>
      <c r="I226" s="23">
        <f>IF(G226="","",IFERROR(INDEX(Clients!$C$5:$C$204,MATCH(G226,Clients!$A$5:$A$204,0)),""))</f>
        <v>0</v>
      </c>
      <c r="K226" s="23">
        <f>IF(J226="","",IFERROR(INDEX(Properties!$B$5:$B$254,MATCH(J226,Properties!$A$5:$A$254,0)),""))</f>
        <v>0</v>
      </c>
      <c r="L226" s="23">
        <f>IF(J226="","",IFERROR(INDEX(Properties!$F$5:$F$254,MATCH(J226,Properties!$A$5:$A$254,0)),""))</f>
        <v>0</v>
      </c>
      <c r="AD226" s="34">
        <f>IF(G226="","",IF(U226&lt;&gt;"",U226,IF(AND(IFERROR(INDEX(Services!$D$5:$D$64,MATCH(M226,Services!$B$5:$B$64,0)),"")="Per hour",IFERROR(INDEX(Properties!$X$5:$X$254,MATCH(J226,Properties!$A$5:$A$254,0)),0)&gt;0),IFERROR(INDEX(Properties!$X$5:$X$254,MATCH(J226,Properties!$A$5:$A$254,0)),0),IF(IFERROR(INDEX(Services!$G$5:$G$64,MATCH(M226,Services!$B$5:$B$64,0)),0)&gt;0,IFERROR(INDEX(Services!$G$5:$G$64,MATCH(M226,Services!$B$5:$B$64,0)),0),IFERROR(INDEX(Properties!$X$5:$X$254,MATCH(J226,Properties!$A$5:$A$254,0)),0)))))</f>
        <v>0</v>
      </c>
      <c r="AE226" s="31">
        <f>IF(G226="","",IF(T226="",CleanersPerJob,MAX(1,T226)))</f>
        <v>0</v>
      </c>
      <c r="AF226" s="34">
        <f>IF(G226="","",ROUND(AD226/AE226,2))</f>
        <v>0</v>
      </c>
      <c r="AG226" s="53">
        <f>IF(OR(G226="",F226="",AF226=""),"",F226+AF226/24)</f>
        <v>0</v>
      </c>
      <c r="AH226" s="21">
        <f>IF(G226="","",IF(IFERROR(INDEX(Clients!$O$5:$O$204,MATCH(G226,Clients!$A$5:$A$204,0)),0)&gt;0,IFERROR(INDEX(Clients!$O$5:$O$204,MATCH(G226,Clients!$A$5:$A$204,0)),0),HourlyRate))</f>
        <v>0</v>
      </c>
      <c r="AI226" s="21">
        <f>IF(G226="","",IF(AND(M226&lt;&gt;"",IFERROR(INDEX(Services!$P$5:$P$64,MATCH(M226,Services!$B$5:$B$64,0)),0)&gt;0,IFERROR(INDEX(Services!$D$5:$D$64,MATCH(M226,Services!$B$5:$B$64,0)),"")&lt;&gt;"Per hour"),IFERROR(INDEX(Services!$P$5:$P$64,MATCH(M226,Services!$B$5:$B$64,0)),0),AD226*AH226))</f>
        <v>0</v>
      </c>
      <c r="AJ226" s="21">
        <f>IF(G226="","",IF(V226&lt;&gt;"",V226,IF(P226="Cancelled",0,MAX(MinimumCharge,ROUND(AI226*IFERROR(INDEX(FreqFactors,MATCH(O226,FreqNames,0)),1),2)))))</f>
        <v>0</v>
      </c>
      <c r="AK226" s="34">
        <f>IF(G226="","",IF(SUMIFS(Timesheets!$U$5:$U$804,Timesheets!$G$5:$G$804,A226)&gt;0,SUMIFS(Timesheets!$U$5:$U$804,Timesheets!$G$5:$G$804,A226),IF(Z226="","",Z226)))</f>
        <v>0</v>
      </c>
      <c r="AL226" s="34">
        <f>IF(OR(AK226="",AD226=""),"",AK226-AD226)</f>
        <v>0</v>
      </c>
      <c r="AM226" s="31">
        <f>IF(A226="","",COUNTIFS('Job Tasks'!$B$5:$B$904,A226))</f>
        <v>0</v>
      </c>
      <c r="AN226" s="31">
        <f>IF(A226="","",COUNTIFS('Job Tasks'!$B$5:$B$904,A226,'Job Tasks'!$H$5:$H$904,"Done"))</f>
        <v>0</v>
      </c>
      <c r="AO226" s="38">
        <f>IF(OR(A226="",AM226=0),"",AN226/AM226)</f>
        <v>0</v>
      </c>
      <c r="AP226" s="43">
        <f>IF(A226="","",IFERROR(INDEX('Invoice Lines'!$B$5:$B$804,MATCH(A226,'Invoice Lines'!$C$5:$C$804,0)),""))</f>
        <v>0</v>
      </c>
      <c r="AQ226" s="18">
        <f>IF(OR(G226="",B226="",X226&lt;&gt;"Yes"),"",IF(IFERROR(INDEX(FreqDays,MATCH(O226,FreqNames,0)),0)=0,"",B226+IFERROR(INDEX(FreqDays,MATCH(O226,FreqNames,0)),0)))</f>
        <v>0</v>
      </c>
      <c r="AR226" s="39">
        <f>IF(G226="","",IF(R226="","Unassigned",IF(COUNTIFS($R$5:$R$604,R226,$B$5:$B$604,B226,$F$5:$F$604,F226)&gt;1,"Clash",IF(SUMIFS($AF$5:$AF$604,$R$5:$R$604,R226,$B$5:$B$604,B226)&gt;ProductiveHours,"Long day","OK"))))</f>
        <v>0</v>
      </c>
      <c r="AS226" s="18">
        <f>IF(OR(G226="",B226=""),"",IF(AND(B226&gt;=TodayDate,P226&lt;&gt;"Cancelled"),B226,""))</f>
        <v>0</v>
      </c>
      <c r="AT226" s="31">
        <f>IF(AS226="","",COUNTIFS($AS$5:$AS$604,"&lt;"&amp;AS226)+COUNTIFS($AS$5:AS226,AS226))</f>
        <v>0</v>
      </c>
      <c r="AU226" s="18">
        <f>IF(OR(G226="",B226="",R226&lt;&gt;""),"",IF(AND(B226&gt;=TodayDate,P226&lt;&gt;"Cancelled"),B226,""))</f>
        <v>0</v>
      </c>
      <c r="AV226" s="31">
        <f>IF(AU226="","",COUNTIFS($AU$5:$AU$604,"&lt;"&amp;AU226)+COUNTIFS($AU$5:AU226,AU226))</f>
        <v>0</v>
      </c>
      <c r="AW226" s="31">
        <f>IF(OR(G226="",B226=""),"",B226-TodayDate)</f>
        <v>0</v>
      </c>
      <c r="AX226" s="39">
        <f>IF(G226="","",IF(P226="Cancelled","Cancelled",IF(P226="No access","Action - no access, rebook",IF(AND(B226&lt;&gt;"",AW226&lt;0,OR(P226="Booked",P226="Confirmed",P226="In progress")),"Late - mark it completed",IF(AND(P226="Completed",AP226=""),"Action - not invoiced yet",IF(AND(AW226&gt;=0,AW226&lt;=ReminderDays,Y226&lt;&gt;"Yes"),"Confirm - visit coming up",IF(R226="","Assign - no cleaner booked",IF(AND(P226="Completed",AO226&lt;&gt;"",AO226&lt;1),"Check - checklist unfinished","OK"))))))))</f>
        <v>0</v>
      </c>
    </row>
    <row r="227" spans="1:50">
      <c r="A227" s="43">
        <f>IF(G227="","",JobPrefix&amp;TEXT(ROW()-4,"0000"))</f>
        <v>0</v>
      </c>
      <c r="C227" s="23">
        <f>IF(B227="","",TEXT(B227,"ddd"))</f>
        <v>0</v>
      </c>
      <c r="D227" s="31">
        <f>IF(B227="","",WEEKNUM(B227,IF(WeekStart="Sunday",1,2)))</f>
        <v>0</v>
      </c>
      <c r="E227" s="23">
        <f>IF(B227="","",TEXT(B227,"yyyy-mm"))</f>
        <v>0</v>
      </c>
      <c r="H227" s="23">
        <f>IF(G227="","",IFERROR(INDEX(Clients!$B$5:$B$204,MATCH(G227,Clients!$A$5:$A$204,0)),"Not found"))</f>
        <v>0</v>
      </c>
      <c r="I227" s="23">
        <f>IF(G227="","",IFERROR(INDEX(Clients!$C$5:$C$204,MATCH(G227,Clients!$A$5:$A$204,0)),""))</f>
        <v>0</v>
      </c>
      <c r="K227" s="23">
        <f>IF(J227="","",IFERROR(INDEX(Properties!$B$5:$B$254,MATCH(J227,Properties!$A$5:$A$254,0)),""))</f>
        <v>0</v>
      </c>
      <c r="L227" s="23">
        <f>IF(J227="","",IFERROR(INDEX(Properties!$F$5:$F$254,MATCH(J227,Properties!$A$5:$A$254,0)),""))</f>
        <v>0</v>
      </c>
      <c r="AD227" s="34">
        <f>IF(G227="","",IF(U227&lt;&gt;"",U227,IF(AND(IFERROR(INDEX(Services!$D$5:$D$64,MATCH(M227,Services!$B$5:$B$64,0)),"")="Per hour",IFERROR(INDEX(Properties!$X$5:$X$254,MATCH(J227,Properties!$A$5:$A$254,0)),0)&gt;0),IFERROR(INDEX(Properties!$X$5:$X$254,MATCH(J227,Properties!$A$5:$A$254,0)),0),IF(IFERROR(INDEX(Services!$G$5:$G$64,MATCH(M227,Services!$B$5:$B$64,0)),0)&gt;0,IFERROR(INDEX(Services!$G$5:$G$64,MATCH(M227,Services!$B$5:$B$64,0)),0),IFERROR(INDEX(Properties!$X$5:$X$254,MATCH(J227,Properties!$A$5:$A$254,0)),0)))))</f>
        <v>0</v>
      </c>
      <c r="AE227" s="31">
        <f>IF(G227="","",IF(T227="",CleanersPerJob,MAX(1,T227)))</f>
        <v>0</v>
      </c>
      <c r="AF227" s="34">
        <f>IF(G227="","",ROUND(AD227/AE227,2))</f>
        <v>0</v>
      </c>
      <c r="AG227" s="53">
        <f>IF(OR(G227="",F227="",AF227=""),"",F227+AF227/24)</f>
        <v>0</v>
      </c>
      <c r="AH227" s="21">
        <f>IF(G227="","",IF(IFERROR(INDEX(Clients!$O$5:$O$204,MATCH(G227,Clients!$A$5:$A$204,0)),0)&gt;0,IFERROR(INDEX(Clients!$O$5:$O$204,MATCH(G227,Clients!$A$5:$A$204,0)),0),HourlyRate))</f>
        <v>0</v>
      </c>
      <c r="AI227" s="21">
        <f>IF(G227="","",IF(AND(M227&lt;&gt;"",IFERROR(INDEX(Services!$P$5:$P$64,MATCH(M227,Services!$B$5:$B$64,0)),0)&gt;0,IFERROR(INDEX(Services!$D$5:$D$64,MATCH(M227,Services!$B$5:$B$64,0)),"")&lt;&gt;"Per hour"),IFERROR(INDEX(Services!$P$5:$P$64,MATCH(M227,Services!$B$5:$B$64,0)),0),AD227*AH227))</f>
        <v>0</v>
      </c>
      <c r="AJ227" s="21">
        <f>IF(G227="","",IF(V227&lt;&gt;"",V227,IF(P227="Cancelled",0,MAX(MinimumCharge,ROUND(AI227*IFERROR(INDEX(FreqFactors,MATCH(O227,FreqNames,0)),1),2)))))</f>
        <v>0</v>
      </c>
      <c r="AK227" s="34">
        <f>IF(G227="","",IF(SUMIFS(Timesheets!$U$5:$U$804,Timesheets!$G$5:$G$804,A227)&gt;0,SUMIFS(Timesheets!$U$5:$U$804,Timesheets!$G$5:$G$804,A227),IF(Z227="","",Z227)))</f>
        <v>0</v>
      </c>
      <c r="AL227" s="34">
        <f>IF(OR(AK227="",AD227=""),"",AK227-AD227)</f>
        <v>0</v>
      </c>
      <c r="AM227" s="31">
        <f>IF(A227="","",COUNTIFS('Job Tasks'!$B$5:$B$904,A227))</f>
        <v>0</v>
      </c>
      <c r="AN227" s="31">
        <f>IF(A227="","",COUNTIFS('Job Tasks'!$B$5:$B$904,A227,'Job Tasks'!$H$5:$H$904,"Done"))</f>
        <v>0</v>
      </c>
      <c r="AO227" s="38">
        <f>IF(OR(A227="",AM227=0),"",AN227/AM227)</f>
        <v>0</v>
      </c>
      <c r="AP227" s="43">
        <f>IF(A227="","",IFERROR(INDEX('Invoice Lines'!$B$5:$B$804,MATCH(A227,'Invoice Lines'!$C$5:$C$804,0)),""))</f>
        <v>0</v>
      </c>
      <c r="AQ227" s="18">
        <f>IF(OR(G227="",B227="",X227&lt;&gt;"Yes"),"",IF(IFERROR(INDEX(FreqDays,MATCH(O227,FreqNames,0)),0)=0,"",B227+IFERROR(INDEX(FreqDays,MATCH(O227,FreqNames,0)),0)))</f>
        <v>0</v>
      </c>
      <c r="AR227" s="39">
        <f>IF(G227="","",IF(R227="","Unassigned",IF(COUNTIFS($R$5:$R$604,R227,$B$5:$B$604,B227,$F$5:$F$604,F227)&gt;1,"Clash",IF(SUMIFS($AF$5:$AF$604,$R$5:$R$604,R227,$B$5:$B$604,B227)&gt;ProductiveHours,"Long day","OK"))))</f>
        <v>0</v>
      </c>
      <c r="AS227" s="18">
        <f>IF(OR(G227="",B227=""),"",IF(AND(B227&gt;=TodayDate,P227&lt;&gt;"Cancelled"),B227,""))</f>
        <v>0</v>
      </c>
      <c r="AT227" s="31">
        <f>IF(AS227="","",COUNTIFS($AS$5:$AS$604,"&lt;"&amp;AS227)+COUNTIFS($AS$5:AS227,AS227))</f>
        <v>0</v>
      </c>
      <c r="AU227" s="18">
        <f>IF(OR(G227="",B227="",R227&lt;&gt;""),"",IF(AND(B227&gt;=TodayDate,P227&lt;&gt;"Cancelled"),B227,""))</f>
        <v>0</v>
      </c>
      <c r="AV227" s="31">
        <f>IF(AU227="","",COUNTIFS($AU$5:$AU$604,"&lt;"&amp;AU227)+COUNTIFS($AU$5:AU227,AU227))</f>
        <v>0</v>
      </c>
      <c r="AW227" s="31">
        <f>IF(OR(G227="",B227=""),"",B227-TodayDate)</f>
        <v>0</v>
      </c>
      <c r="AX227" s="39">
        <f>IF(G227="","",IF(P227="Cancelled","Cancelled",IF(P227="No access","Action - no access, rebook",IF(AND(B227&lt;&gt;"",AW227&lt;0,OR(P227="Booked",P227="Confirmed",P227="In progress")),"Late - mark it completed",IF(AND(P227="Completed",AP227=""),"Action - not invoiced yet",IF(AND(AW227&gt;=0,AW227&lt;=ReminderDays,Y227&lt;&gt;"Yes"),"Confirm - visit coming up",IF(R227="","Assign - no cleaner booked",IF(AND(P227="Completed",AO227&lt;&gt;"",AO227&lt;1),"Check - checklist unfinished","OK"))))))))</f>
        <v>0</v>
      </c>
    </row>
    <row r="228" spans="1:50">
      <c r="A228" s="43">
        <f>IF(G228="","",JobPrefix&amp;TEXT(ROW()-4,"0000"))</f>
        <v>0</v>
      </c>
      <c r="C228" s="23">
        <f>IF(B228="","",TEXT(B228,"ddd"))</f>
        <v>0</v>
      </c>
      <c r="D228" s="31">
        <f>IF(B228="","",WEEKNUM(B228,IF(WeekStart="Sunday",1,2)))</f>
        <v>0</v>
      </c>
      <c r="E228" s="23">
        <f>IF(B228="","",TEXT(B228,"yyyy-mm"))</f>
        <v>0</v>
      </c>
      <c r="H228" s="23">
        <f>IF(G228="","",IFERROR(INDEX(Clients!$B$5:$B$204,MATCH(G228,Clients!$A$5:$A$204,0)),"Not found"))</f>
        <v>0</v>
      </c>
      <c r="I228" s="23">
        <f>IF(G228="","",IFERROR(INDEX(Clients!$C$5:$C$204,MATCH(G228,Clients!$A$5:$A$204,0)),""))</f>
        <v>0</v>
      </c>
      <c r="K228" s="23">
        <f>IF(J228="","",IFERROR(INDEX(Properties!$B$5:$B$254,MATCH(J228,Properties!$A$5:$A$254,0)),""))</f>
        <v>0</v>
      </c>
      <c r="L228" s="23">
        <f>IF(J228="","",IFERROR(INDEX(Properties!$F$5:$F$254,MATCH(J228,Properties!$A$5:$A$254,0)),""))</f>
        <v>0</v>
      </c>
      <c r="AD228" s="34">
        <f>IF(G228="","",IF(U228&lt;&gt;"",U228,IF(AND(IFERROR(INDEX(Services!$D$5:$D$64,MATCH(M228,Services!$B$5:$B$64,0)),"")="Per hour",IFERROR(INDEX(Properties!$X$5:$X$254,MATCH(J228,Properties!$A$5:$A$254,0)),0)&gt;0),IFERROR(INDEX(Properties!$X$5:$X$254,MATCH(J228,Properties!$A$5:$A$254,0)),0),IF(IFERROR(INDEX(Services!$G$5:$G$64,MATCH(M228,Services!$B$5:$B$64,0)),0)&gt;0,IFERROR(INDEX(Services!$G$5:$G$64,MATCH(M228,Services!$B$5:$B$64,0)),0),IFERROR(INDEX(Properties!$X$5:$X$254,MATCH(J228,Properties!$A$5:$A$254,0)),0)))))</f>
        <v>0</v>
      </c>
      <c r="AE228" s="31">
        <f>IF(G228="","",IF(T228="",CleanersPerJob,MAX(1,T228)))</f>
        <v>0</v>
      </c>
      <c r="AF228" s="34">
        <f>IF(G228="","",ROUND(AD228/AE228,2))</f>
        <v>0</v>
      </c>
      <c r="AG228" s="53">
        <f>IF(OR(G228="",F228="",AF228=""),"",F228+AF228/24)</f>
        <v>0</v>
      </c>
      <c r="AH228" s="21">
        <f>IF(G228="","",IF(IFERROR(INDEX(Clients!$O$5:$O$204,MATCH(G228,Clients!$A$5:$A$204,0)),0)&gt;0,IFERROR(INDEX(Clients!$O$5:$O$204,MATCH(G228,Clients!$A$5:$A$204,0)),0),HourlyRate))</f>
        <v>0</v>
      </c>
      <c r="AI228" s="21">
        <f>IF(G228="","",IF(AND(M228&lt;&gt;"",IFERROR(INDEX(Services!$P$5:$P$64,MATCH(M228,Services!$B$5:$B$64,0)),0)&gt;0,IFERROR(INDEX(Services!$D$5:$D$64,MATCH(M228,Services!$B$5:$B$64,0)),"")&lt;&gt;"Per hour"),IFERROR(INDEX(Services!$P$5:$P$64,MATCH(M228,Services!$B$5:$B$64,0)),0),AD228*AH228))</f>
        <v>0</v>
      </c>
      <c r="AJ228" s="21">
        <f>IF(G228="","",IF(V228&lt;&gt;"",V228,IF(P228="Cancelled",0,MAX(MinimumCharge,ROUND(AI228*IFERROR(INDEX(FreqFactors,MATCH(O228,FreqNames,0)),1),2)))))</f>
        <v>0</v>
      </c>
      <c r="AK228" s="34">
        <f>IF(G228="","",IF(SUMIFS(Timesheets!$U$5:$U$804,Timesheets!$G$5:$G$804,A228)&gt;0,SUMIFS(Timesheets!$U$5:$U$804,Timesheets!$G$5:$G$804,A228),IF(Z228="","",Z228)))</f>
        <v>0</v>
      </c>
      <c r="AL228" s="34">
        <f>IF(OR(AK228="",AD228=""),"",AK228-AD228)</f>
        <v>0</v>
      </c>
      <c r="AM228" s="31">
        <f>IF(A228="","",COUNTIFS('Job Tasks'!$B$5:$B$904,A228))</f>
        <v>0</v>
      </c>
      <c r="AN228" s="31">
        <f>IF(A228="","",COUNTIFS('Job Tasks'!$B$5:$B$904,A228,'Job Tasks'!$H$5:$H$904,"Done"))</f>
        <v>0</v>
      </c>
      <c r="AO228" s="38">
        <f>IF(OR(A228="",AM228=0),"",AN228/AM228)</f>
        <v>0</v>
      </c>
      <c r="AP228" s="43">
        <f>IF(A228="","",IFERROR(INDEX('Invoice Lines'!$B$5:$B$804,MATCH(A228,'Invoice Lines'!$C$5:$C$804,0)),""))</f>
        <v>0</v>
      </c>
      <c r="AQ228" s="18">
        <f>IF(OR(G228="",B228="",X228&lt;&gt;"Yes"),"",IF(IFERROR(INDEX(FreqDays,MATCH(O228,FreqNames,0)),0)=0,"",B228+IFERROR(INDEX(FreqDays,MATCH(O228,FreqNames,0)),0)))</f>
        <v>0</v>
      </c>
      <c r="AR228" s="39">
        <f>IF(G228="","",IF(R228="","Unassigned",IF(COUNTIFS($R$5:$R$604,R228,$B$5:$B$604,B228,$F$5:$F$604,F228)&gt;1,"Clash",IF(SUMIFS($AF$5:$AF$604,$R$5:$R$604,R228,$B$5:$B$604,B228)&gt;ProductiveHours,"Long day","OK"))))</f>
        <v>0</v>
      </c>
      <c r="AS228" s="18">
        <f>IF(OR(G228="",B228=""),"",IF(AND(B228&gt;=TodayDate,P228&lt;&gt;"Cancelled"),B228,""))</f>
        <v>0</v>
      </c>
      <c r="AT228" s="31">
        <f>IF(AS228="","",COUNTIFS($AS$5:$AS$604,"&lt;"&amp;AS228)+COUNTIFS($AS$5:AS228,AS228))</f>
        <v>0</v>
      </c>
      <c r="AU228" s="18">
        <f>IF(OR(G228="",B228="",R228&lt;&gt;""),"",IF(AND(B228&gt;=TodayDate,P228&lt;&gt;"Cancelled"),B228,""))</f>
        <v>0</v>
      </c>
      <c r="AV228" s="31">
        <f>IF(AU228="","",COUNTIFS($AU$5:$AU$604,"&lt;"&amp;AU228)+COUNTIFS($AU$5:AU228,AU228))</f>
        <v>0</v>
      </c>
      <c r="AW228" s="31">
        <f>IF(OR(G228="",B228=""),"",B228-TodayDate)</f>
        <v>0</v>
      </c>
      <c r="AX228" s="39">
        <f>IF(G228="","",IF(P228="Cancelled","Cancelled",IF(P228="No access","Action - no access, rebook",IF(AND(B228&lt;&gt;"",AW228&lt;0,OR(P228="Booked",P228="Confirmed",P228="In progress")),"Late - mark it completed",IF(AND(P228="Completed",AP228=""),"Action - not invoiced yet",IF(AND(AW228&gt;=0,AW228&lt;=ReminderDays,Y228&lt;&gt;"Yes"),"Confirm - visit coming up",IF(R228="","Assign - no cleaner booked",IF(AND(P228="Completed",AO228&lt;&gt;"",AO228&lt;1),"Check - checklist unfinished","OK"))))))))</f>
        <v>0</v>
      </c>
    </row>
    <row r="229" spans="1:50">
      <c r="A229" s="43">
        <f>IF(G229="","",JobPrefix&amp;TEXT(ROW()-4,"0000"))</f>
        <v>0</v>
      </c>
      <c r="C229" s="23">
        <f>IF(B229="","",TEXT(B229,"ddd"))</f>
        <v>0</v>
      </c>
      <c r="D229" s="31">
        <f>IF(B229="","",WEEKNUM(B229,IF(WeekStart="Sunday",1,2)))</f>
        <v>0</v>
      </c>
      <c r="E229" s="23">
        <f>IF(B229="","",TEXT(B229,"yyyy-mm"))</f>
        <v>0</v>
      </c>
      <c r="H229" s="23">
        <f>IF(G229="","",IFERROR(INDEX(Clients!$B$5:$B$204,MATCH(G229,Clients!$A$5:$A$204,0)),"Not found"))</f>
        <v>0</v>
      </c>
      <c r="I229" s="23">
        <f>IF(G229="","",IFERROR(INDEX(Clients!$C$5:$C$204,MATCH(G229,Clients!$A$5:$A$204,0)),""))</f>
        <v>0</v>
      </c>
      <c r="K229" s="23">
        <f>IF(J229="","",IFERROR(INDEX(Properties!$B$5:$B$254,MATCH(J229,Properties!$A$5:$A$254,0)),""))</f>
        <v>0</v>
      </c>
      <c r="L229" s="23">
        <f>IF(J229="","",IFERROR(INDEX(Properties!$F$5:$F$254,MATCH(J229,Properties!$A$5:$A$254,0)),""))</f>
        <v>0</v>
      </c>
      <c r="AD229" s="34">
        <f>IF(G229="","",IF(U229&lt;&gt;"",U229,IF(AND(IFERROR(INDEX(Services!$D$5:$D$64,MATCH(M229,Services!$B$5:$B$64,0)),"")="Per hour",IFERROR(INDEX(Properties!$X$5:$X$254,MATCH(J229,Properties!$A$5:$A$254,0)),0)&gt;0),IFERROR(INDEX(Properties!$X$5:$X$254,MATCH(J229,Properties!$A$5:$A$254,0)),0),IF(IFERROR(INDEX(Services!$G$5:$G$64,MATCH(M229,Services!$B$5:$B$64,0)),0)&gt;0,IFERROR(INDEX(Services!$G$5:$G$64,MATCH(M229,Services!$B$5:$B$64,0)),0),IFERROR(INDEX(Properties!$X$5:$X$254,MATCH(J229,Properties!$A$5:$A$254,0)),0)))))</f>
        <v>0</v>
      </c>
      <c r="AE229" s="31">
        <f>IF(G229="","",IF(T229="",CleanersPerJob,MAX(1,T229)))</f>
        <v>0</v>
      </c>
      <c r="AF229" s="34">
        <f>IF(G229="","",ROUND(AD229/AE229,2))</f>
        <v>0</v>
      </c>
      <c r="AG229" s="53">
        <f>IF(OR(G229="",F229="",AF229=""),"",F229+AF229/24)</f>
        <v>0</v>
      </c>
      <c r="AH229" s="21">
        <f>IF(G229="","",IF(IFERROR(INDEX(Clients!$O$5:$O$204,MATCH(G229,Clients!$A$5:$A$204,0)),0)&gt;0,IFERROR(INDEX(Clients!$O$5:$O$204,MATCH(G229,Clients!$A$5:$A$204,0)),0),HourlyRate))</f>
        <v>0</v>
      </c>
      <c r="AI229" s="21">
        <f>IF(G229="","",IF(AND(M229&lt;&gt;"",IFERROR(INDEX(Services!$P$5:$P$64,MATCH(M229,Services!$B$5:$B$64,0)),0)&gt;0,IFERROR(INDEX(Services!$D$5:$D$64,MATCH(M229,Services!$B$5:$B$64,0)),"")&lt;&gt;"Per hour"),IFERROR(INDEX(Services!$P$5:$P$64,MATCH(M229,Services!$B$5:$B$64,0)),0),AD229*AH229))</f>
        <v>0</v>
      </c>
      <c r="AJ229" s="21">
        <f>IF(G229="","",IF(V229&lt;&gt;"",V229,IF(P229="Cancelled",0,MAX(MinimumCharge,ROUND(AI229*IFERROR(INDEX(FreqFactors,MATCH(O229,FreqNames,0)),1),2)))))</f>
        <v>0</v>
      </c>
      <c r="AK229" s="34">
        <f>IF(G229="","",IF(SUMIFS(Timesheets!$U$5:$U$804,Timesheets!$G$5:$G$804,A229)&gt;0,SUMIFS(Timesheets!$U$5:$U$804,Timesheets!$G$5:$G$804,A229),IF(Z229="","",Z229)))</f>
        <v>0</v>
      </c>
      <c r="AL229" s="34">
        <f>IF(OR(AK229="",AD229=""),"",AK229-AD229)</f>
        <v>0</v>
      </c>
      <c r="AM229" s="31">
        <f>IF(A229="","",COUNTIFS('Job Tasks'!$B$5:$B$904,A229))</f>
        <v>0</v>
      </c>
      <c r="AN229" s="31">
        <f>IF(A229="","",COUNTIFS('Job Tasks'!$B$5:$B$904,A229,'Job Tasks'!$H$5:$H$904,"Done"))</f>
        <v>0</v>
      </c>
      <c r="AO229" s="38">
        <f>IF(OR(A229="",AM229=0),"",AN229/AM229)</f>
        <v>0</v>
      </c>
      <c r="AP229" s="43">
        <f>IF(A229="","",IFERROR(INDEX('Invoice Lines'!$B$5:$B$804,MATCH(A229,'Invoice Lines'!$C$5:$C$804,0)),""))</f>
        <v>0</v>
      </c>
      <c r="AQ229" s="18">
        <f>IF(OR(G229="",B229="",X229&lt;&gt;"Yes"),"",IF(IFERROR(INDEX(FreqDays,MATCH(O229,FreqNames,0)),0)=0,"",B229+IFERROR(INDEX(FreqDays,MATCH(O229,FreqNames,0)),0)))</f>
        <v>0</v>
      </c>
      <c r="AR229" s="39">
        <f>IF(G229="","",IF(R229="","Unassigned",IF(COUNTIFS($R$5:$R$604,R229,$B$5:$B$604,B229,$F$5:$F$604,F229)&gt;1,"Clash",IF(SUMIFS($AF$5:$AF$604,$R$5:$R$604,R229,$B$5:$B$604,B229)&gt;ProductiveHours,"Long day","OK"))))</f>
        <v>0</v>
      </c>
      <c r="AS229" s="18">
        <f>IF(OR(G229="",B229=""),"",IF(AND(B229&gt;=TodayDate,P229&lt;&gt;"Cancelled"),B229,""))</f>
        <v>0</v>
      </c>
      <c r="AT229" s="31">
        <f>IF(AS229="","",COUNTIFS($AS$5:$AS$604,"&lt;"&amp;AS229)+COUNTIFS($AS$5:AS229,AS229))</f>
        <v>0</v>
      </c>
      <c r="AU229" s="18">
        <f>IF(OR(G229="",B229="",R229&lt;&gt;""),"",IF(AND(B229&gt;=TodayDate,P229&lt;&gt;"Cancelled"),B229,""))</f>
        <v>0</v>
      </c>
      <c r="AV229" s="31">
        <f>IF(AU229="","",COUNTIFS($AU$5:$AU$604,"&lt;"&amp;AU229)+COUNTIFS($AU$5:AU229,AU229))</f>
        <v>0</v>
      </c>
      <c r="AW229" s="31">
        <f>IF(OR(G229="",B229=""),"",B229-TodayDate)</f>
        <v>0</v>
      </c>
      <c r="AX229" s="39">
        <f>IF(G229="","",IF(P229="Cancelled","Cancelled",IF(P229="No access","Action - no access, rebook",IF(AND(B229&lt;&gt;"",AW229&lt;0,OR(P229="Booked",P229="Confirmed",P229="In progress")),"Late - mark it completed",IF(AND(P229="Completed",AP229=""),"Action - not invoiced yet",IF(AND(AW229&gt;=0,AW229&lt;=ReminderDays,Y229&lt;&gt;"Yes"),"Confirm - visit coming up",IF(R229="","Assign - no cleaner booked",IF(AND(P229="Completed",AO229&lt;&gt;"",AO229&lt;1),"Check - checklist unfinished","OK"))))))))</f>
        <v>0</v>
      </c>
    </row>
    <row r="230" spans="1:50">
      <c r="A230" s="43">
        <f>IF(G230="","",JobPrefix&amp;TEXT(ROW()-4,"0000"))</f>
        <v>0</v>
      </c>
      <c r="C230" s="23">
        <f>IF(B230="","",TEXT(B230,"ddd"))</f>
        <v>0</v>
      </c>
      <c r="D230" s="31">
        <f>IF(B230="","",WEEKNUM(B230,IF(WeekStart="Sunday",1,2)))</f>
        <v>0</v>
      </c>
      <c r="E230" s="23">
        <f>IF(B230="","",TEXT(B230,"yyyy-mm"))</f>
        <v>0</v>
      </c>
      <c r="H230" s="23">
        <f>IF(G230="","",IFERROR(INDEX(Clients!$B$5:$B$204,MATCH(G230,Clients!$A$5:$A$204,0)),"Not found"))</f>
        <v>0</v>
      </c>
      <c r="I230" s="23">
        <f>IF(G230="","",IFERROR(INDEX(Clients!$C$5:$C$204,MATCH(G230,Clients!$A$5:$A$204,0)),""))</f>
        <v>0</v>
      </c>
      <c r="K230" s="23">
        <f>IF(J230="","",IFERROR(INDEX(Properties!$B$5:$B$254,MATCH(J230,Properties!$A$5:$A$254,0)),""))</f>
        <v>0</v>
      </c>
      <c r="L230" s="23">
        <f>IF(J230="","",IFERROR(INDEX(Properties!$F$5:$F$254,MATCH(J230,Properties!$A$5:$A$254,0)),""))</f>
        <v>0</v>
      </c>
      <c r="AD230" s="34">
        <f>IF(G230="","",IF(U230&lt;&gt;"",U230,IF(AND(IFERROR(INDEX(Services!$D$5:$D$64,MATCH(M230,Services!$B$5:$B$64,0)),"")="Per hour",IFERROR(INDEX(Properties!$X$5:$X$254,MATCH(J230,Properties!$A$5:$A$254,0)),0)&gt;0),IFERROR(INDEX(Properties!$X$5:$X$254,MATCH(J230,Properties!$A$5:$A$254,0)),0),IF(IFERROR(INDEX(Services!$G$5:$G$64,MATCH(M230,Services!$B$5:$B$64,0)),0)&gt;0,IFERROR(INDEX(Services!$G$5:$G$64,MATCH(M230,Services!$B$5:$B$64,0)),0),IFERROR(INDEX(Properties!$X$5:$X$254,MATCH(J230,Properties!$A$5:$A$254,0)),0)))))</f>
        <v>0</v>
      </c>
      <c r="AE230" s="31">
        <f>IF(G230="","",IF(T230="",CleanersPerJob,MAX(1,T230)))</f>
        <v>0</v>
      </c>
      <c r="AF230" s="34">
        <f>IF(G230="","",ROUND(AD230/AE230,2))</f>
        <v>0</v>
      </c>
      <c r="AG230" s="53">
        <f>IF(OR(G230="",F230="",AF230=""),"",F230+AF230/24)</f>
        <v>0</v>
      </c>
      <c r="AH230" s="21">
        <f>IF(G230="","",IF(IFERROR(INDEX(Clients!$O$5:$O$204,MATCH(G230,Clients!$A$5:$A$204,0)),0)&gt;0,IFERROR(INDEX(Clients!$O$5:$O$204,MATCH(G230,Clients!$A$5:$A$204,0)),0),HourlyRate))</f>
        <v>0</v>
      </c>
      <c r="AI230" s="21">
        <f>IF(G230="","",IF(AND(M230&lt;&gt;"",IFERROR(INDEX(Services!$P$5:$P$64,MATCH(M230,Services!$B$5:$B$64,0)),0)&gt;0,IFERROR(INDEX(Services!$D$5:$D$64,MATCH(M230,Services!$B$5:$B$64,0)),"")&lt;&gt;"Per hour"),IFERROR(INDEX(Services!$P$5:$P$64,MATCH(M230,Services!$B$5:$B$64,0)),0),AD230*AH230))</f>
        <v>0</v>
      </c>
      <c r="AJ230" s="21">
        <f>IF(G230="","",IF(V230&lt;&gt;"",V230,IF(P230="Cancelled",0,MAX(MinimumCharge,ROUND(AI230*IFERROR(INDEX(FreqFactors,MATCH(O230,FreqNames,0)),1),2)))))</f>
        <v>0</v>
      </c>
      <c r="AK230" s="34">
        <f>IF(G230="","",IF(SUMIFS(Timesheets!$U$5:$U$804,Timesheets!$G$5:$G$804,A230)&gt;0,SUMIFS(Timesheets!$U$5:$U$804,Timesheets!$G$5:$G$804,A230),IF(Z230="","",Z230)))</f>
        <v>0</v>
      </c>
      <c r="AL230" s="34">
        <f>IF(OR(AK230="",AD230=""),"",AK230-AD230)</f>
        <v>0</v>
      </c>
      <c r="AM230" s="31">
        <f>IF(A230="","",COUNTIFS('Job Tasks'!$B$5:$B$904,A230))</f>
        <v>0</v>
      </c>
      <c r="AN230" s="31">
        <f>IF(A230="","",COUNTIFS('Job Tasks'!$B$5:$B$904,A230,'Job Tasks'!$H$5:$H$904,"Done"))</f>
        <v>0</v>
      </c>
      <c r="AO230" s="38">
        <f>IF(OR(A230="",AM230=0),"",AN230/AM230)</f>
        <v>0</v>
      </c>
      <c r="AP230" s="43">
        <f>IF(A230="","",IFERROR(INDEX('Invoice Lines'!$B$5:$B$804,MATCH(A230,'Invoice Lines'!$C$5:$C$804,0)),""))</f>
        <v>0</v>
      </c>
      <c r="AQ230" s="18">
        <f>IF(OR(G230="",B230="",X230&lt;&gt;"Yes"),"",IF(IFERROR(INDEX(FreqDays,MATCH(O230,FreqNames,0)),0)=0,"",B230+IFERROR(INDEX(FreqDays,MATCH(O230,FreqNames,0)),0)))</f>
        <v>0</v>
      </c>
      <c r="AR230" s="39">
        <f>IF(G230="","",IF(R230="","Unassigned",IF(COUNTIFS($R$5:$R$604,R230,$B$5:$B$604,B230,$F$5:$F$604,F230)&gt;1,"Clash",IF(SUMIFS($AF$5:$AF$604,$R$5:$R$604,R230,$B$5:$B$604,B230)&gt;ProductiveHours,"Long day","OK"))))</f>
        <v>0</v>
      </c>
      <c r="AS230" s="18">
        <f>IF(OR(G230="",B230=""),"",IF(AND(B230&gt;=TodayDate,P230&lt;&gt;"Cancelled"),B230,""))</f>
        <v>0</v>
      </c>
      <c r="AT230" s="31">
        <f>IF(AS230="","",COUNTIFS($AS$5:$AS$604,"&lt;"&amp;AS230)+COUNTIFS($AS$5:AS230,AS230))</f>
        <v>0</v>
      </c>
      <c r="AU230" s="18">
        <f>IF(OR(G230="",B230="",R230&lt;&gt;""),"",IF(AND(B230&gt;=TodayDate,P230&lt;&gt;"Cancelled"),B230,""))</f>
        <v>0</v>
      </c>
      <c r="AV230" s="31">
        <f>IF(AU230="","",COUNTIFS($AU$5:$AU$604,"&lt;"&amp;AU230)+COUNTIFS($AU$5:AU230,AU230))</f>
        <v>0</v>
      </c>
      <c r="AW230" s="31">
        <f>IF(OR(G230="",B230=""),"",B230-TodayDate)</f>
        <v>0</v>
      </c>
      <c r="AX230" s="39">
        <f>IF(G230="","",IF(P230="Cancelled","Cancelled",IF(P230="No access","Action - no access, rebook",IF(AND(B230&lt;&gt;"",AW230&lt;0,OR(P230="Booked",P230="Confirmed",P230="In progress")),"Late - mark it completed",IF(AND(P230="Completed",AP230=""),"Action - not invoiced yet",IF(AND(AW230&gt;=0,AW230&lt;=ReminderDays,Y230&lt;&gt;"Yes"),"Confirm - visit coming up",IF(R230="","Assign - no cleaner booked",IF(AND(P230="Completed",AO230&lt;&gt;"",AO230&lt;1),"Check - checklist unfinished","OK"))))))))</f>
        <v>0</v>
      </c>
    </row>
    <row r="231" spans="1:50">
      <c r="A231" s="43">
        <f>IF(G231="","",JobPrefix&amp;TEXT(ROW()-4,"0000"))</f>
        <v>0</v>
      </c>
      <c r="C231" s="23">
        <f>IF(B231="","",TEXT(B231,"ddd"))</f>
        <v>0</v>
      </c>
      <c r="D231" s="31">
        <f>IF(B231="","",WEEKNUM(B231,IF(WeekStart="Sunday",1,2)))</f>
        <v>0</v>
      </c>
      <c r="E231" s="23">
        <f>IF(B231="","",TEXT(B231,"yyyy-mm"))</f>
        <v>0</v>
      </c>
      <c r="H231" s="23">
        <f>IF(G231="","",IFERROR(INDEX(Clients!$B$5:$B$204,MATCH(G231,Clients!$A$5:$A$204,0)),"Not found"))</f>
        <v>0</v>
      </c>
      <c r="I231" s="23">
        <f>IF(G231="","",IFERROR(INDEX(Clients!$C$5:$C$204,MATCH(G231,Clients!$A$5:$A$204,0)),""))</f>
        <v>0</v>
      </c>
      <c r="K231" s="23">
        <f>IF(J231="","",IFERROR(INDEX(Properties!$B$5:$B$254,MATCH(J231,Properties!$A$5:$A$254,0)),""))</f>
        <v>0</v>
      </c>
      <c r="L231" s="23">
        <f>IF(J231="","",IFERROR(INDEX(Properties!$F$5:$F$254,MATCH(J231,Properties!$A$5:$A$254,0)),""))</f>
        <v>0</v>
      </c>
      <c r="AD231" s="34">
        <f>IF(G231="","",IF(U231&lt;&gt;"",U231,IF(AND(IFERROR(INDEX(Services!$D$5:$D$64,MATCH(M231,Services!$B$5:$B$64,0)),"")="Per hour",IFERROR(INDEX(Properties!$X$5:$X$254,MATCH(J231,Properties!$A$5:$A$254,0)),0)&gt;0),IFERROR(INDEX(Properties!$X$5:$X$254,MATCH(J231,Properties!$A$5:$A$254,0)),0),IF(IFERROR(INDEX(Services!$G$5:$G$64,MATCH(M231,Services!$B$5:$B$64,0)),0)&gt;0,IFERROR(INDEX(Services!$G$5:$G$64,MATCH(M231,Services!$B$5:$B$64,0)),0),IFERROR(INDEX(Properties!$X$5:$X$254,MATCH(J231,Properties!$A$5:$A$254,0)),0)))))</f>
        <v>0</v>
      </c>
      <c r="AE231" s="31">
        <f>IF(G231="","",IF(T231="",CleanersPerJob,MAX(1,T231)))</f>
        <v>0</v>
      </c>
      <c r="AF231" s="34">
        <f>IF(G231="","",ROUND(AD231/AE231,2))</f>
        <v>0</v>
      </c>
      <c r="AG231" s="53">
        <f>IF(OR(G231="",F231="",AF231=""),"",F231+AF231/24)</f>
        <v>0</v>
      </c>
      <c r="AH231" s="21">
        <f>IF(G231="","",IF(IFERROR(INDEX(Clients!$O$5:$O$204,MATCH(G231,Clients!$A$5:$A$204,0)),0)&gt;0,IFERROR(INDEX(Clients!$O$5:$O$204,MATCH(G231,Clients!$A$5:$A$204,0)),0),HourlyRate))</f>
        <v>0</v>
      </c>
      <c r="AI231" s="21">
        <f>IF(G231="","",IF(AND(M231&lt;&gt;"",IFERROR(INDEX(Services!$P$5:$P$64,MATCH(M231,Services!$B$5:$B$64,0)),0)&gt;0,IFERROR(INDEX(Services!$D$5:$D$64,MATCH(M231,Services!$B$5:$B$64,0)),"")&lt;&gt;"Per hour"),IFERROR(INDEX(Services!$P$5:$P$64,MATCH(M231,Services!$B$5:$B$64,0)),0),AD231*AH231))</f>
        <v>0</v>
      </c>
      <c r="AJ231" s="21">
        <f>IF(G231="","",IF(V231&lt;&gt;"",V231,IF(P231="Cancelled",0,MAX(MinimumCharge,ROUND(AI231*IFERROR(INDEX(FreqFactors,MATCH(O231,FreqNames,0)),1),2)))))</f>
        <v>0</v>
      </c>
      <c r="AK231" s="34">
        <f>IF(G231="","",IF(SUMIFS(Timesheets!$U$5:$U$804,Timesheets!$G$5:$G$804,A231)&gt;0,SUMIFS(Timesheets!$U$5:$U$804,Timesheets!$G$5:$G$804,A231),IF(Z231="","",Z231)))</f>
        <v>0</v>
      </c>
      <c r="AL231" s="34">
        <f>IF(OR(AK231="",AD231=""),"",AK231-AD231)</f>
        <v>0</v>
      </c>
      <c r="AM231" s="31">
        <f>IF(A231="","",COUNTIFS('Job Tasks'!$B$5:$B$904,A231))</f>
        <v>0</v>
      </c>
      <c r="AN231" s="31">
        <f>IF(A231="","",COUNTIFS('Job Tasks'!$B$5:$B$904,A231,'Job Tasks'!$H$5:$H$904,"Done"))</f>
        <v>0</v>
      </c>
      <c r="AO231" s="38">
        <f>IF(OR(A231="",AM231=0),"",AN231/AM231)</f>
        <v>0</v>
      </c>
      <c r="AP231" s="43">
        <f>IF(A231="","",IFERROR(INDEX('Invoice Lines'!$B$5:$B$804,MATCH(A231,'Invoice Lines'!$C$5:$C$804,0)),""))</f>
        <v>0</v>
      </c>
      <c r="AQ231" s="18">
        <f>IF(OR(G231="",B231="",X231&lt;&gt;"Yes"),"",IF(IFERROR(INDEX(FreqDays,MATCH(O231,FreqNames,0)),0)=0,"",B231+IFERROR(INDEX(FreqDays,MATCH(O231,FreqNames,0)),0)))</f>
        <v>0</v>
      </c>
      <c r="AR231" s="39">
        <f>IF(G231="","",IF(R231="","Unassigned",IF(COUNTIFS($R$5:$R$604,R231,$B$5:$B$604,B231,$F$5:$F$604,F231)&gt;1,"Clash",IF(SUMIFS($AF$5:$AF$604,$R$5:$R$604,R231,$B$5:$B$604,B231)&gt;ProductiveHours,"Long day","OK"))))</f>
        <v>0</v>
      </c>
      <c r="AS231" s="18">
        <f>IF(OR(G231="",B231=""),"",IF(AND(B231&gt;=TodayDate,P231&lt;&gt;"Cancelled"),B231,""))</f>
        <v>0</v>
      </c>
      <c r="AT231" s="31">
        <f>IF(AS231="","",COUNTIFS($AS$5:$AS$604,"&lt;"&amp;AS231)+COUNTIFS($AS$5:AS231,AS231))</f>
        <v>0</v>
      </c>
      <c r="AU231" s="18">
        <f>IF(OR(G231="",B231="",R231&lt;&gt;""),"",IF(AND(B231&gt;=TodayDate,P231&lt;&gt;"Cancelled"),B231,""))</f>
        <v>0</v>
      </c>
      <c r="AV231" s="31">
        <f>IF(AU231="","",COUNTIFS($AU$5:$AU$604,"&lt;"&amp;AU231)+COUNTIFS($AU$5:AU231,AU231))</f>
        <v>0</v>
      </c>
      <c r="AW231" s="31">
        <f>IF(OR(G231="",B231=""),"",B231-TodayDate)</f>
        <v>0</v>
      </c>
      <c r="AX231" s="39">
        <f>IF(G231="","",IF(P231="Cancelled","Cancelled",IF(P231="No access","Action - no access, rebook",IF(AND(B231&lt;&gt;"",AW231&lt;0,OR(P231="Booked",P231="Confirmed",P231="In progress")),"Late - mark it completed",IF(AND(P231="Completed",AP231=""),"Action - not invoiced yet",IF(AND(AW231&gt;=0,AW231&lt;=ReminderDays,Y231&lt;&gt;"Yes"),"Confirm - visit coming up",IF(R231="","Assign - no cleaner booked",IF(AND(P231="Completed",AO231&lt;&gt;"",AO231&lt;1),"Check - checklist unfinished","OK"))))))))</f>
        <v>0</v>
      </c>
    </row>
    <row r="232" spans="1:50">
      <c r="A232" s="43">
        <f>IF(G232="","",JobPrefix&amp;TEXT(ROW()-4,"0000"))</f>
        <v>0</v>
      </c>
      <c r="C232" s="23">
        <f>IF(B232="","",TEXT(B232,"ddd"))</f>
        <v>0</v>
      </c>
      <c r="D232" s="31">
        <f>IF(B232="","",WEEKNUM(B232,IF(WeekStart="Sunday",1,2)))</f>
        <v>0</v>
      </c>
      <c r="E232" s="23">
        <f>IF(B232="","",TEXT(B232,"yyyy-mm"))</f>
        <v>0</v>
      </c>
      <c r="H232" s="23">
        <f>IF(G232="","",IFERROR(INDEX(Clients!$B$5:$B$204,MATCH(G232,Clients!$A$5:$A$204,0)),"Not found"))</f>
        <v>0</v>
      </c>
      <c r="I232" s="23">
        <f>IF(G232="","",IFERROR(INDEX(Clients!$C$5:$C$204,MATCH(G232,Clients!$A$5:$A$204,0)),""))</f>
        <v>0</v>
      </c>
      <c r="K232" s="23">
        <f>IF(J232="","",IFERROR(INDEX(Properties!$B$5:$B$254,MATCH(J232,Properties!$A$5:$A$254,0)),""))</f>
        <v>0</v>
      </c>
      <c r="L232" s="23">
        <f>IF(J232="","",IFERROR(INDEX(Properties!$F$5:$F$254,MATCH(J232,Properties!$A$5:$A$254,0)),""))</f>
        <v>0</v>
      </c>
      <c r="AD232" s="34">
        <f>IF(G232="","",IF(U232&lt;&gt;"",U232,IF(AND(IFERROR(INDEX(Services!$D$5:$D$64,MATCH(M232,Services!$B$5:$B$64,0)),"")="Per hour",IFERROR(INDEX(Properties!$X$5:$X$254,MATCH(J232,Properties!$A$5:$A$254,0)),0)&gt;0),IFERROR(INDEX(Properties!$X$5:$X$254,MATCH(J232,Properties!$A$5:$A$254,0)),0),IF(IFERROR(INDEX(Services!$G$5:$G$64,MATCH(M232,Services!$B$5:$B$64,0)),0)&gt;0,IFERROR(INDEX(Services!$G$5:$G$64,MATCH(M232,Services!$B$5:$B$64,0)),0),IFERROR(INDEX(Properties!$X$5:$X$254,MATCH(J232,Properties!$A$5:$A$254,0)),0)))))</f>
        <v>0</v>
      </c>
      <c r="AE232" s="31">
        <f>IF(G232="","",IF(T232="",CleanersPerJob,MAX(1,T232)))</f>
        <v>0</v>
      </c>
      <c r="AF232" s="34">
        <f>IF(G232="","",ROUND(AD232/AE232,2))</f>
        <v>0</v>
      </c>
      <c r="AG232" s="53">
        <f>IF(OR(G232="",F232="",AF232=""),"",F232+AF232/24)</f>
        <v>0</v>
      </c>
      <c r="AH232" s="21">
        <f>IF(G232="","",IF(IFERROR(INDEX(Clients!$O$5:$O$204,MATCH(G232,Clients!$A$5:$A$204,0)),0)&gt;0,IFERROR(INDEX(Clients!$O$5:$O$204,MATCH(G232,Clients!$A$5:$A$204,0)),0),HourlyRate))</f>
        <v>0</v>
      </c>
      <c r="AI232" s="21">
        <f>IF(G232="","",IF(AND(M232&lt;&gt;"",IFERROR(INDEX(Services!$P$5:$P$64,MATCH(M232,Services!$B$5:$B$64,0)),0)&gt;0,IFERROR(INDEX(Services!$D$5:$D$64,MATCH(M232,Services!$B$5:$B$64,0)),"")&lt;&gt;"Per hour"),IFERROR(INDEX(Services!$P$5:$P$64,MATCH(M232,Services!$B$5:$B$64,0)),0),AD232*AH232))</f>
        <v>0</v>
      </c>
      <c r="AJ232" s="21">
        <f>IF(G232="","",IF(V232&lt;&gt;"",V232,IF(P232="Cancelled",0,MAX(MinimumCharge,ROUND(AI232*IFERROR(INDEX(FreqFactors,MATCH(O232,FreqNames,0)),1),2)))))</f>
        <v>0</v>
      </c>
      <c r="AK232" s="34">
        <f>IF(G232="","",IF(SUMIFS(Timesheets!$U$5:$U$804,Timesheets!$G$5:$G$804,A232)&gt;0,SUMIFS(Timesheets!$U$5:$U$804,Timesheets!$G$5:$G$804,A232),IF(Z232="","",Z232)))</f>
        <v>0</v>
      </c>
      <c r="AL232" s="34">
        <f>IF(OR(AK232="",AD232=""),"",AK232-AD232)</f>
        <v>0</v>
      </c>
      <c r="AM232" s="31">
        <f>IF(A232="","",COUNTIFS('Job Tasks'!$B$5:$B$904,A232))</f>
        <v>0</v>
      </c>
      <c r="AN232" s="31">
        <f>IF(A232="","",COUNTIFS('Job Tasks'!$B$5:$B$904,A232,'Job Tasks'!$H$5:$H$904,"Done"))</f>
        <v>0</v>
      </c>
      <c r="AO232" s="38">
        <f>IF(OR(A232="",AM232=0),"",AN232/AM232)</f>
        <v>0</v>
      </c>
      <c r="AP232" s="43">
        <f>IF(A232="","",IFERROR(INDEX('Invoice Lines'!$B$5:$B$804,MATCH(A232,'Invoice Lines'!$C$5:$C$804,0)),""))</f>
        <v>0</v>
      </c>
      <c r="AQ232" s="18">
        <f>IF(OR(G232="",B232="",X232&lt;&gt;"Yes"),"",IF(IFERROR(INDEX(FreqDays,MATCH(O232,FreqNames,0)),0)=0,"",B232+IFERROR(INDEX(FreqDays,MATCH(O232,FreqNames,0)),0)))</f>
        <v>0</v>
      </c>
      <c r="AR232" s="39">
        <f>IF(G232="","",IF(R232="","Unassigned",IF(COUNTIFS($R$5:$R$604,R232,$B$5:$B$604,B232,$F$5:$F$604,F232)&gt;1,"Clash",IF(SUMIFS($AF$5:$AF$604,$R$5:$R$604,R232,$B$5:$B$604,B232)&gt;ProductiveHours,"Long day","OK"))))</f>
        <v>0</v>
      </c>
      <c r="AS232" s="18">
        <f>IF(OR(G232="",B232=""),"",IF(AND(B232&gt;=TodayDate,P232&lt;&gt;"Cancelled"),B232,""))</f>
        <v>0</v>
      </c>
      <c r="AT232" s="31">
        <f>IF(AS232="","",COUNTIFS($AS$5:$AS$604,"&lt;"&amp;AS232)+COUNTIFS($AS$5:AS232,AS232))</f>
        <v>0</v>
      </c>
      <c r="AU232" s="18">
        <f>IF(OR(G232="",B232="",R232&lt;&gt;""),"",IF(AND(B232&gt;=TodayDate,P232&lt;&gt;"Cancelled"),B232,""))</f>
        <v>0</v>
      </c>
      <c r="AV232" s="31">
        <f>IF(AU232="","",COUNTIFS($AU$5:$AU$604,"&lt;"&amp;AU232)+COUNTIFS($AU$5:AU232,AU232))</f>
        <v>0</v>
      </c>
      <c r="AW232" s="31">
        <f>IF(OR(G232="",B232=""),"",B232-TodayDate)</f>
        <v>0</v>
      </c>
      <c r="AX232" s="39">
        <f>IF(G232="","",IF(P232="Cancelled","Cancelled",IF(P232="No access","Action - no access, rebook",IF(AND(B232&lt;&gt;"",AW232&lt;0,OR(P232="Booked",P232="Confirmed",P232="In progress")),"Late - mark it completed",IF(AND(P232="Completed",AP232=""),"Action - not invoiced yet",IF(AND(AW232&gt;=0,AW232&lt;=ReminderDays,Y232&lt;&gt;"Yes"),"Confirm - visit coming up",IF(R232="","Assign - no cleaner booked",IF(AND(P232="Completed",AO232&lt;&gt;"",AO232&lt;1),"Check - checklist unfinished","OK"))))))))</f>
        <v>0</v>
      </c>
    </row>
    <row r="233" spans="1:50">
      <c r="A233" s="43">
        <f>IF(G233="","",JobPrefix&amp;TEXT(ROW()-4,"0000"))</f>
        <v>0</v>
      </c>
      <c r="C233" s="23">
        <f>IF(B233="","",TEXT(B233,"ddd"))</f>
        <v>0</v>
      </c>
      <c r="D233" s="31">
        <f>IF(B233="","",WEEKNUM(B233,IF(WeekStart="Sunday",1,2)))</f>
        <v>0</v>
      </c>
      <c r="E233" s="23">
        <f>IF(B233="","",TEXT(B233,"yyyy-mm"))</f>
        <v>0</v>
      </c>
      <c r="H233" s="23">
        <f>IF(G233="","",IFERROR(INDEX(Clients!$B$5:$B$204,MATCH(G233,Clients!$A$5:$A$204,0)),"Not found"))</f>
        <v>0</v>
      </c>
      <c r="I233" s="23">
        <f>IF(G233="","",IFERROR(INDEX(Clients!$C$5:$C$204,MATCH(G233,Clients!$A$5:$A$204,0)),""))</f>
        <v>0</v>
      </c>
      <c r="K233" s="23">
        <f>IF(J233="","",IFERROR(INDEX(Properties!$B$5:$B$254,MATCH(J233,Properties!$A$5:$A$254,0)),""))</f>
        <v>0</v>
      </c>
      <c r="L233" s="23">
        <f>IF(J233="","",IFERROR(INDEX(Properties!$F$5:$F$254,MATCH(J233,Properties!$A$5:$A$254,0)),""))</f>
        <v>0</v>
      </c>
      <c r="AD233" s="34">
        <f>IF(G233="","",IF(U233&lt;&gt;"",U233,IF(AND(IFERROR(INDEX(Services!$D$5:$D$64,MATCH(M233,Services!$B$5:$B$64,0)),"")="Per hour",IFERROR(INDEX(Properties!$X$5:$X$254,MATCH(J233,Properties!$A$5:$A$254,0)),0)&gt;0),IFERROR(INDEX(Properties!$X$5:$X$254,MATCH(J233,Properties!$A$5:$A$254,0)),0),IF(IFERROR(INDEX(Services!$G$5:$G$64,MATCH(M233,Services!$B$5:$B$64,0)),0)&gt;0,IFERROR(INDEX(Services!$G$5:$G$64,MATCH(M233,Services!$B$5:$B$64,0)),0),IFERROR(INDEX(Properties!$X$5:$X$254,MATCH(J233,Properties!$A$5:$A$254,0)),0)))))</f>
        <v>0</v>
      </c>
      <c r="AE233" s="31">
        <f>IF(G233="","",IF(T233="",CleanersPerJob,MAX(1,T233)))</f>
        <v>0</v>
      </c>
      <c r="AF233" s="34">
        <f>IF(G233="","",ROUND(AD233/AE233,2))</f>
        <v>0</v>
      </c>
      <c r="AG233" s="53">
        <f>IF(OR(G233="",F233="",AF233=""),"",F233+AF233/24)</f>
        <v>0</v>
      </c>
      <c r="AH233" s="21">
        <f>IF(G233="","",IF(IFERROR(INDEX(Clients!$O$5:$O$204,MATCH(G233,Clients!$A$5:$A$204,0)),0)&gt;0,IFERROR(INDEX(Clients!$O$5:$O$204,MATCH(G233,Clients!$A$5:$A$204,0)),0),HourlyRate))</f>
        <v>0</v>
      </c>
      <c r="AI233" s="21">
        <f>IF(G233="","",IF(AND(M233&lt;&gt;"",IFERROR(INDEX(Services!$P$5:$P$64,MATCH(M233,Services!$B$5:$B$64,0)),0)&gt;0,IFERROR(INDEX(Services!$D$5:$D$64,MATCH(M233,Services!$B$5:$B$64,0)),"")&lt;&gt;"Per hour"),IFERROR(INDEX(Services!$P$5:$P$64,MATCH(M233,Services!$B$5:$B$64,0)),0),AD233*AH233))</f>
        <v>0</v>
      </c>
      <c r="AJ233" s="21">
        <f>IF(G233="","",IF(V233&lt;&gt;"",V233,IF(P233="Cancelled",0,MAX(MinimumCharge,ROUND(AI233*IFERROR(INDEX(FreqFactors,MATCH(O233,FreqNames,0)),1),2)))))</f>
        <v>0</v>
      </c>
      <c r="AK233" s="34">
        <f>IF(G233="","",IF(SUMIFS(Timesheets!$U$5:$U$804,Timesheets!$G$5:$G$804,A233)&gt;0,SUMIFS(Timesheets!$U$5:$U$804,Timesheets!$G$5:$G$804,A233),IF(Z233="","",Z233)))</f>
        <v>0</v>
      </c>
      <c r="AL233" s="34">
        <f>IF(OR(AK233="",AD233=""),"",AK233-AD233)</f>
        <v>0</v>
      </c>
      <c r="AM233" s="31">
        <f>IF(A233="","",COUNTIFS('Job Tasks'!$B$5:$B$904,A233))</f>
        <v>0</v>
      </c>
      <c r="AN233" s="31">
        <f>IF(A233="","",COUNTIFS('Job Tasks'!$B$5:$B$904,A233,'Job Tasks'!$H$5:$H$904,"Done"))</f>
        <v>0</v>
      </c>
      <c r="AO233" s="38">
        <f>IF(OR(A233="",AM233=0),"",AN233/AM233)</f>
        <v>0</v>
      </c>
      <c r="AP233" s="43">
        <f>IF(A233="","",IFERROR(INDEX('Invoice Lines'!$B$5:$B$804,MATCH(A233,'Invoice Lines'!$C$5:$C$804,0)),""))</f>
        <v>0</v>
      </c>
      <c r="AQ233" s="18">
        <f>IF(OR(G233="",B233="",X233&lt;&gt;"Yes"),"",IF(IFERROR(INDEX(FreqDays,MATCH(O233,FreqNames,0)),0)=0,"",B233+IFERROR(INDEX(FreqDays,MATCH(O233,FreqNames,0)),0)))</f>
        <v>0</v>
      </c>
      <c r="AR233" s="39">
        <f>IF(G233="","",IF(R233="","Unassigned",IF(COUNTIFS($R$5:$R$604,R233,$B$5:$B$604,B233,$F$5:$F$604,F233)&gt;1,"Clash",IF(SUMIFS($AF$5:$AF$604,$R$5:$R$604,R233,$B$5:$B$604,B233)&gt;ProductiveHours,"Long day","OK"))))</f>
        <v>0</v>
      </c>
      <c r="AS233" s="18">
        <f>IF(OR(G233="",B233=""),"",IF(AND(B233&gt;=TodayDate,P233&lt;&gt;"Cancelled"),B233,""))</f>
        <v>0</v>
      </c>
      <c r="AT233" s="31">
        <f>IF(AS233="","",COUNTIFS($AS$5:$AS$604,"&lt;"&amp;AS233)+COUNTIFS($AS$5:AS233,AS233))</f>
        <v>0</v>
      </c>
      <c r="AU233" s="18">
        <f>IF(OR(G233="",B233="",R233&lt;&gt;""),"",IF(AND(B233&gt;=TodayDate,P233&lt;&gt;"Cancelled"),B233,""))</f>
        <v>0</v>
      </c>
      <c r="AV233" s="31">
        <f>IF(AU233="","",COUNTIFS($AU$5:$AU$604,"&lt;"&amp;AU233)+COUNTIFS($AU$5:AU233,AU233))</f>
        <v>0</v>
      </c>
      <c r="AW233" s="31">
        <f>IF(OR(G233="",B233=""),"",B233-TodayDate)</f>
        <v>0</v>
      </c>
      <c r="AX233" s="39">
        <f>IF(G233="","",IF(P233="Cancelled","Cancelled",IF(P233="No access","Action - no access, rebook",IF(AND(B233&lt;&gt;"",AW233&lt;0,OR(P233="Booked",P233="Confirmed",P233="In progress")),"Late - mark it completed",IF(AND(P233="Completed",AP233=""),"Action - not invoiced yet",IF(AND(AW233&gt;=0,AW233&lt;=ReminderDays,Y233&lt;&gt;"Yes"),"Confirm - visit coming up",IF(R233="","Assign - no cleaner booked",IF(AND(P233="Completed",AO233&lt;&gt;"",AO233&lt;1),"Check - checklist unfinished","OK"))))))))</f>
        <v>0</v>
      </c>
    </row>
    <row r="234" spans="1:50">
      <c r="A234" s="43">
        <f>IF(G234="","",JobPrefix&amp;TEXT(ROW()-4,"0000"))</f>
        <v>0</v>
      </c>
      <c r="C234" s="23">
        <f>IF(B234="","",TEXT(B234,"ddd"))</f>
        <v>0</v>
      </c>
      <c r="D234" s="31">
        <f>IF(B234="","",WEEKNUM(B234,IF(WeekStart="Sunday",1,2)))</f>
        <v>0</v>
      </c>
      <c r="E234" s="23">
        <f>IF(B234="","",TEXT(B234,"yyyy-mm"))</f>
        <v>0</v>
      </c>
      <c r="H234" s="23">
        <f>IF(G234="","",IFERROR(INDEX(Clients!$B$5:$B$204,MATCH(G234,Clients!$A$5:$A$204,0)),"Not found"))</f>
        <v>0</v>
      </c>
      <c r="I234" s="23">
        <f>IF(G234="","",IFERROR(INDEX(Clients!$C$5:$C$204,MATCH(G234,Clients!$A$5:$A$204,0)),""))</f>
        <v>0</v>
      </c>
      <c r="K234" s="23">
        <f>IF(J234="","",IFERROR(INDEX(Properties!$B$5:$B$254,MATCH(J234,Properties!$A$5:$A$254,0)),""))</f>
        <v>0</v>
      </c>
      <c r="L234" s="23">
        <f>IF(J234="","",IFERROR(INDEX(Properties!$F$5:$F$254,MATCH(J234,Properties!$A$5:$A$254,0)),""))</f>
        <v>0</v>
      </c>
      <c r="AD234" s="34">
        <f>IF(G234="","",IF(U234&lt;&gt;"",U234,IF(AND(IFERROR(INDEX(Services!$D$5:$D$64,MATCH(M234,Services!$B$5:$B$64,0)),"")="Per hour",IFERROR(INDEX(Properties!$X$5:$X$254,MATCH(J234,Properties!$A$5:$A$254,0)),0)&gt;0),IFERROR(INDEX(Properties!$X$5:$X$254,MATCH(J234,Properties!$A$5:$A$254,0)),0),IF(IFERROR(INDEX(Services!$G$5:$G$64,MATCH(M234,Services!$B$5:$B$64,0)),0)&gt;0,IFERROR(INDEX(Services!$G$5:$G$64,MATCH(M234,Services!$B$5:$B$64,0)),0),IFERROR(INDEX(Properties!$X$5:$X$254,MATCH(J234,Properties!$A$5:$A$254,0)),0)))))</f>
        <v>0</v>
      </c>
      <c r="AE234" s="31">
        <f>IF(G234="","",IF(T234="",CleanersPerJob,MAX(1,T234)))</f>
        <v>0</v>
      </c>
      <c r="AF234" s="34">
        <f>IF(G234="","",ROUND(AD234/AE234,2))</f>
        <v>0</v>
      </c>
      <c r="AG234" s="53">
        <f>IF(OR(G234="",F234="",AF234=""),"",F234+AF234/24)</f>
        <v>0</v>
      </c>
      <c r="AH234" s="21">
        <f>IF(G234="","",IF(IFERROR(INDEX(Clients!$O$5:$O$204,MATCH(G234,Clients!$A$5:$A$204,0)),0)&gt;0,IFERROR(INDEX(Clients!$O$5:$O$204,MATCH(G234,Clients!$A$5:$A$204,0)),0),HourlyRate))</f>
        <v>0</v>
      </c>
      <c r="AI234" s="21">
        <f>IF(G234="","",IF(AND(M234&lt;&gt;"",IFERROR(INDEX(Services!$P$5:$P$64,MATCH(M234,Services!$B$5:$B$64,0)),0)&gt;0,IFERROR(INDEX(Services!$D$5:$D$64,MATCH(M234,Services!$B$5:$B$64,0)),"")&lt;&gt;"Per hour"),IFERROR(INDEX(Services!$P$5:$P$64,MATCH(M234,Services!$B$5:$B$64,0)),0),AD234*AH234))</f>
        <v>0</v>
      </c>
      <c r="AJ234" s="21">
        <f>IF(G234="","",IF(V234&lt;&gt;"",V234,IF(P234="Cancelled",0,MAX(MinimumCharge,ROUND(AI234*IFERROR(INDEX(FreqFactors,MATCH(O234,FreqNames,0)),1),2)))))</f>
        <v>0</v>
      </c>
      <c r="AK234" s="34">
        <f>IF(G234="","",IF(SUMIFS(Timesheets!$U$5:$U$804,Timesheets!$G$5:$G$804,A234)&gt;0,SUMIFS(Timesheets!$U$5:$U$804,Timesheets!$G$5:$G$804,A234),IF(Z234="","",Z234)))</f>
        <v>0</v>
      </c>
      <c r="AL234" s="34">
        <f>IF(OR(AK234="",AD234=""),"",AK234-AD234)</f>
        <v>0</v>
      </c>
      <c r="AM234" s="31">
        <f>IF(A234="","",COUNTIFS('Job Tasks'!$B$5:$B$904,A234))</f>
        <v>0</v>
      </c>
      <c r="AN234" s="31">
        <f>IF(A234="","",COUNTIFS('Job Tasks'!$B$5:$B$904,A234,'Job Tasks'!$H$5:$H$904,"Done"))</f>
        <v>0</v>
      </c>
      <c r="AO234" s="38">
        <f>IF(OR(A234="",AM234=0),"",AN234/AM234)</f>
        <v>0</v>
      </c>
      <c r="AP234" s="43">
        <f>IF(A234="","",IFERROR(INDEX('Invoice Lines'!$B$5:$B$804,MATCH(A234,'Invoice Lines'!$C$5:$C$804,0)),""))</f>
        <v>0</v>
      </c>
      <c r="AQ234" s="18">
        <f>IF(OR(G234="",B234="",X234&lt;&gt;"Yes"),"",IF(IFERROR(INDEX(FreqDays,MATCH(O234,FreqNames,0)),0)=0,"",B234+IFERROR(INDEX(FreqDays,MATCH(O234,FreqNames,0)),0)))</f>
        <v>0</v>
      </c>
      <c r="AR234" s="39">
        <f>IF(G234="","",IF(R234="","Unassigned",IF(COUNTIFS($R$5:$R$604,R234,$B$5:$B$604,B234,$F$5:$F$604,F234)&gt;1,"Clash",IF(SUMIFS($AF$5:$AF$604,$R$5:$R$604,R234,$B$5:$B$604,B234)&gt;ProductiveHours,"Long day","OK"))))</f>
        <v>0</v>
      </c>
      <c r="AS234" s="18">
        <f>IF(OR(G234="",B234=""),"",IF(AND(B234&gt;=TodayDate,P234&lt;&gt;"Cancelled"),B234,""))</f>
        <v>0</v>
      </c>
      <c r="AT234" s="31">
        <f>IF(AS234="","",COUNTIFS($AS$5:$AS$604,"&lt;"&amp;AS234)+COUNTIFS($AS$5:AS234,AS234))</f>
        <v>0</v>
      </c>
      <c r="AU234" s="18">
        <f>IF(OR(G234="",B234="",R234&lt;&gt;""),"",IF(AND(B234&gt;=TodayDate,P234&lt;&gt;"Cancelled"),B234,""))</f>
        <v>0</v>
      </c>
      <c r="AV234" s="31">
        <f>IF(AU234="","",COUNTIFS($AU$5:$AU$604,"&lt;"&amp;AU234)+COUNTIFS($AU$5:AU234,AU234))</f>
        <v>0</v>
      </c>
      <c r="AW234" s="31">
        <f>IF(OR(G234="",B234=""),"",B234-TodayDate)</f>
        <v>0</v>
      </c>
      <c r="AX234" s="39">
        <f>IF(G234="","",IF(P234="Cancelled","Cancelled",IF(P234="No access","Action - no access, rebook",IF(AND(B234&lt;&gt;"",AW234&lt;0,OR(P234="Booked",P234="Confirmed",P234="In progress")),"Late - mark it completed",IF(AND(P234="Completed",AP234=""),"Action - not invoiced yet",IF(AND(AW234&gt;=0,AW234&lt;=ReminderDays,Y234&lt;&gt;"Yes"),"Confirm - visit coming up",IF(R234="","Assign - no cleaner booked",IF(AND(P234="Completed",AO234&lt;&gt;"",AO234&lt;1),"Check - checklist unfinished","OK"))))))))</f>
        <v>0</v>
      </c>
    </row>
    <row r="235" spans="1:50">
      <c r="A235" s="43">
        <f>IF(G235="","",JobPrefix&amp;TEXT(ROW()-4,"0000"))</f>
        <v>0</v>
      </c>
      <c r="C235" s="23">
        <f>IF(B235="","",TEXT(B235,"ddd"))</f>
        <v>0</v>
      </c>
      <c r="D235" s="31">
        <f>IF(B235="","",WEEKNUM(B235,IF(WeekStart="Sunday",1,2)))</f>
        <v>0</v>
      </c>
      <c r="E235" s="23">
        <f>IF(B235="","",TEXT(B235,"yyyy-mm"))</f>
        <v>0</v>
      </c>
      <c r="H235" s="23">
        <f>IF(G235="","",IFERROR(INDEX(Clients!$B$5:$B$204,MATCH(G235,Clients!$A$5:$A$204,0)),"Not found"))</f>
        <v>0</v>
      </c>
      <c r="I235" s="23">
        <f>IF(G235="","",IFERROR(INDEX(Clients!$C$5:$C$204,MATCH(G235,Clients!$A$5:$A$204,0)),""))</f>
        <v>0</v>
      </c>
      <c r="K235" s="23">
        <f>IF(J235="","",IFERROR(INDEX(Properties!$B$5:$B$254,MATCH(J235,Properties!$A$5:$A$254,0)),""))</f>
        <v>0</v>
      </c>
      <c r="L235" s="23">
        <f>IF(J235="","",IFERROR(INDEX(Properties!$F$5:$F$254,MATCH(J235,Properties!$A$5:$A$254,0)),""))</f>
        <v>0</v>
      </c>
      <c r="AD235" s="34">
        <f>IF(G235="","",IF(U235&lt;&gt;"",U235,IF(AND(IFERROR(INDEX(Services!$D$5:$D$64,MATCH(M235,Services!$B$5:$B$64,0)),"")="Per hour",IFERROR(INDEX(Properties!$X$5:$X$254,MATCH(J235,Properties!$A$5:$A$254,0)),0)&gt;0),IFERROR(INDEX(Properties!$X$5:$X$254,MATCH(J235,Properties!$A$5:$A$254,0)),0),IF(IFERROR(INDEX(Services!$G$5:$G$64,MATCH(M235,Services!$B$5:$B$64,0)),0)&gt;0,IFERROR(INDEX(Services!$G$5:$G$64,MATCH(M235,Services!$B$5:$B$64,0)),0),IFERROR(INDEX(Properties!$X$5:$X$254,MATCH(J235,Properties!$A$5:$A$254,0)),0)))))</f>
        <v>0</v>
      </c>
      <c r="AE235" s="31">
        <f>IF(G235="","",IF(T235="",CleanersPerJob,MAX(1,T235)))</f>
        <v>0</v>
      </c>
      <c r="AF235" s="34">
        <f>IF(G235="","",ROUND(AD235/AE235,2))</f>
        <v>0</v>
      </c>
      <c r="AG235" s="53">
        <f>IF(OR(G235="",F235="",AF235=""),"",F235+AF235/24)</f>
        <v>0</v>
      </c>
      <c r="AH235" s="21">
        <f>IF(G235="","",IF(IFERROR(INDEX(Clients!$O$5:$O$204,MATCH(G235,Clients!$A$5:$A$204,0)),0)&gt;0,IFERROR(INDEX(Clients!$O$5:$O$204,MATCH(G235,Clients!$A$5:$A$204,0)),0),HourlyRate))</f>
        <v>0</v>
      </c>
      <c r="AI235" s="21">
        <f>IF(G235="","",IF(AND(M235&lt;&gt;"",IFERROR(INDEX(Services!$P$5:$P$64,MATCH(M235,Services!$B$5:$B$64,0)),0)&gt;0,IFERROR(INDEX(Services!$D$5:$D$64,MATCH(M235,Services!$B$5:$B$64,0)),"")&lt;&gt;"Per hour"),IFERROR(INDEX(Services!$P$5:$P$64,MATCH(M235,Services!$B$5:$B$64,0)),0),AD235*AH235))</f>
        <v>0</v>
      </c>
      <c r="AJ235" s="21">
        <f>IF(G235="","",IF(V235&lt;&gt;"",V235,IF(P235="Cancelled",0,MAX(MinimumCharge,ROUND(AI235*IFERROR(INDEX(FreqFactors,MATCH(O235,FreqNames,0)),1),2)))))</f>
        <v>0</v>
      </c>
      <c r="AK235" s="34">
        <f>IF(G235="","",IF(SUMIFS(Timesheets!$U$5:$U$804,Timesheets!$G$5:$G$804,A235)&gt;0,SUMIFS(Timesheets!$U$5:$U$804,Timesheets!$G$5:$G$804,A235),IF(Z235="","",Z235)))</f>
        <v>0</v>
      </c>
      <c r="AL235" s="34">
        <f>IF(OR(AK235="",AD235=""),"",AK235-AD235)</f>
        <v>0</v>
      </c>
      <c r="AM235" s="31">
        <f>IF(A235="","",COUNTIFS('Job Tasks'!$B$5:$B$904,A235))</f>
        <v>0</v>
      </c>
      <c r="AN235" s="31">
        <f>IF(A235="","",COUNTIFS('Job Tasks'!$B$5:$B$904,A235,'Job Tasks'!$H$5:$H$904,"Done"))</f>
        <v>0</v>
      </c>
      <c r="AO235" s="38">
        <f>IF(OR(A235="",AM235=0),"",AN235/AM235)</f>
        <v>0</v>
      </c>
      <c r="AP235" s="43">
        <f>IF(A235="","",IFERROR(INDEX('Invoice Lines'!$B$5:$B$804,MATCH(A235,'Invoice Lines'!$C$5:$C$804,0)),""))</f>
        <v>0</v>
      </c>
      <c r="AQ235" s="18">
        <f>IF(OR(G235="",B235="",X235&lt;&gt;"Yes"),"",IF(IFERROR(INDEX(FreqDays,MATCH(O235,FreqNames,0)),0)=0,"",B235+IFERROR(INDEX(FreqDays,MATCH(O235,FreqNames,0)),0)))</f>
        <v>0</v>
      </c>
      <c r="AR235" s="39">
        <f>IF(G235="","",IF(R235="","Unassigned",IF(COUNTIFS($R$5:$R$604,R235,$B$5:$B$604,B235,$F$5:$F$604,F235)&gt;1,"Clash",IF(SUMIFS($AF$5:$AF$604,$R$5:$R$604,R235,$B$5:$B$604,B235)&gt;ProductiveHours,"Long day","OK"))))</f>
        <v>0</v>
      </c>
      <c r="AS235" s="18">
        <f>IF(OR(G235="",B235=""),"",IF(AND(B235&gt;=TodayDate,P235&lt;&gt;"Cancelled"),B235,""))</f>
        <v>0</v>
      </c>
      <c r="AT235" s="31">
        <f>IF(AS235="","",COUNTIFS($AS$5:$AS$604,"&lt;"&amp;AS235)+COUNTIFS($AS$5:AS235,AS235))</f>
        <v>0</v>
      </c>
      <c r="AU235" s="18">
        <f>IF(OR(G235="",B235="",R235&lt;&gt;""),"",IF(AND(B235&gt;=TodayDate,P235&lt;&gt;"Cancelled"),B235,""))</f>
        <v>0</v>
      </c>
      <c r="AV235" s="31">
        <f>IF(AU235="","",COUNTIFS($AU$5:$AU$604,"&lt;"&amp;AU235)+COUNTIFS($AU$5:AU235,AU235))</f>
        <v>0</v>
      </c>
      <c r="AW235" s="31">
        <f>IF(OR(G235="",B235=""),"",B235-TodayDate)</f>
        <v>0</v>
      </c>
      <c r="AX235" s="39">
        <f>IF(G235="","",IF(P235="Cancelled","Cancelled",IF(P235="No access","Action - no access, rebook",IF(AND(B235&lt;&gt;"",AW235&lt;0,OR(P235="Booked",P235="Confirmed",P235="In progress")),"Late - mark it completed",IF(AND(P235="Completed",AP235=""),"Action - not invoiced yet",IF(AND(AW235&gt;=0,AW235&lt;=ReminderDays,Y235&lt;&gt;"Yes"),"Confirm - visit coming up",IF(R235="","Assign - no cleaner booked",IF(AND(P235="Completed",AO235&lt;&gt;"",AO235&lt;1),"Check - checklist unfinished","OK"))))))))</f>
        <v>0</v>
      </c>
    </row>
    <row r="236" spans="1:50">
      <c r="A236" s="43">
        <f>IF(G236="","",JobPrefix&amp;TEXT(ROW()-4,"0000"))</f>
        <v>0</v>
      </c>
      <c r="C236" s="23">
        <f>IF(B236="","",TEXT(B236,"ddd"))</f>
        <v>0</v>
      </c>
      <c r="D236" s="31">
        <f>IF(B236="","",WEEKNUM(B236,IF(WeekStart="Sunday",1,2)))</f>
        <v>0</v>
      </c>
      <c r="E236" s="23">
        <f>IF(B236="","",TEXT(B236,"yyyy-mm"))</f>
        <v>0</v>
      </c>
      <c r="H236" s="23">
        <f>IF(G236="","",IFERROR(INDEX(Clients!$B$5:$B$204,MATCH(G236,Clients!$A$5:$A$204,0)),"Not found"))</f>
        <v>0</v>
      </c>
      <c r="I236" s="23">
        <f>IF(G236="","",IFERROR(INDEX(Clients!$C$5:$C$204,MATCH(G236,Clients!$A$5:$A$204,0)),""))</f>
        <v>0</v>
      </c>
      <c r="K236" s="23">
        <f>IF(J236="","",IFERROR(INDEX(Properties!$B$5:$B$254,MATCH(J236,Properties!$A$5:$A$254,0)),""))</f>
        <v>0</v>
      </c>
      <c r="L236" s="23">
        <f>IF(J236="","",IFERROR(INDEX(Properties!$F$5:$F$254,MATCH(J236,Properties!$A$5:$A$254,0)),""))</f>
        <v>0</v>
      </c>
      <c r="AD236" s="34">
        <f>IF(G236="","",IF(U236&lt;&gt;"",U236,IF(AND(IFERROR(INDEX(Services!$D$5:$D$64,MATCH(M236,Services!$B$5:$B$64,0)),"")="Per hour",IFERROR(INDEX(Properties!$X$5:$X$254,MATCH(J236,Properties!$A$5:$A$254,0)),0)&gt;0),IFERROR(INDEX(Properties!$X$5:$X$254,MATCH(J236,Properties!$A$5:$A$254,0)),0),IF(IFERROR(INDEX(Services!$G$5:$G$64,MATCH(M236,Services!$B$5:$B$64,0)),0)&gt;0,IFERROR(INDEX(Services!$G$5:$G$64,MATCH(M236,Services!$B$5:$B$64,0)),0),IFERROR(INDEX(Properties!$X$5:$X$254,MATCH(J236,Properties!$A$5:$A$254,0)),0)))))</f>
        <v>0</v>
      </c>
      <c r="AE236" s="31">
        <f>IF(G236="","",IF(T236="",CleanersPerJob,MAX(1,T236)))</f>
        <v>0</v>
      </c>
      <c r="AF236" s="34">
        <f>IF(G236="","",ROUND(AD236/AE236,2))</f>
        <v>0</v>
      </c>
      <c r="AG236" s="53">
        <f>IF(OR(G236="",F236="",AF236=""),"",F236+AF236/24)</f>
        <v>0</v>
      </c>
      <c r="AH236" s="21">
        <f>IF(G236="","",IF(IFERROR(INDEX(Clients!$O$5:$O$204,MATCH(G236,Clients!$A$5:$A$204,0)),0)&gt;0,IFERROR(INDEX(Clients!$O$5:$O$204,MATCH(G236,Clients!$A$5:$A$204,0)),0),HourlyRate))</f>
        <v>0</v>
      </c>
      <c r="AI236" s="21">
        <f>IF(G236="","",IF(AND(M236&lt;&gt;"",IFERROR(INDEX(Services!$P$5:$P$64,MATCH(M236,Services!$B$5:$B$64,0)),0)&gt;0,IFERROR(INDEX(Services!$D$5:$D$64,MATCH(M236,Services!$B$5:$B$64,0)),"")&lt;&gt;"Per hour"),IFERROR(INDEX(Services!$P$5:$P$64,MATCH(M236,Services!$B$5:$B$64,0)),0),AD236*AH236))</f>
        <v>0</v>
      </c>
      <c r="AJ236" s="21">
        <f>IF(G236="","",IF(V236&lt;&gt;"",V236,IF(P236="Cancelled",0,MAX(MinimumCharge,ROUND(AI236*IFERROR(INDEX(FreqFactors,MATCH(O236,FreqNames,0)),1),2)))))</f>
        <v>0</v>
      </c>
      <c r="AK236" s="34">
        <f>IF(G236="","",IF(SUMIFS(Timesheets!$U$5:$U$804,Timesheets!$G$5:$G$804,A236)&gt;0,SUMIFS(Timesheets!$U$5:$U$804,Timesheets!$G$5:$G$804,A236),IF(Z236="","",Z236)))</f>
        <v>0</v>
      </c>
      <c r="AL236" s="34">
        <f>IF(OR(AK236="",AD236=""),"",AK236-AD236)</f>
        <v>0</v>
      </c>
      <c r="AM236" s="31">
        <f>IF(A236="","",COUNTIFS('Job Tasks'!$B$5:$B$904,A236))</f>
        <v>0</v>
      </c>
      <c r="AN236" s="31">
        <f>IF(A236="","",COUNTIFS('Job Tasks'!$B$5:$B$904,A236,'Job Tasks'!$H$5:$H$904,"Done"))</f>
        <v>0</v>
      </c>
      <c r="AO236" s="38">
        <f>IF(OR(A236="",AM236=0),"",AN236/AM236)</f>
        <v>0</v>
      </c>
      <c r="AP236" s="43">
        <f>IF(A236="","",IFERROR(INDEX('Invoice Lines'!$B$5:$B$804,MATCH(A236,'Invoice Lines'!$C$5:$C$804,0)),""))</f>
        <v>0</v>
      </c>
      <c r="AQ236" s="18">
        <f>IF(OR(G236="",B236="",X236&lt;&gt;"Yes"),"",IF(IFERROR(INDEX(FreqDays,MATCH(O236,FreqNames,0)),0)=0,"",B236+IFERROR(INDEX(FreqDays,MATCH(O236,FreqNames,0)),0)))</f>
        <v>0</v>
      </c>
      <c r="AR236" s="39">
        <f>IF(G236="","",IF(R236="","Unassigned",IF(COUNTIFS($R$5:$R$604,R236,$B$5:$B$604,B236,$F$5:$F$604,F236)&gt;1,"Clash",IF(SUMIFS($AF$5:$AF$604,$R$5:$R$604,R236,$B$5:$B$604,B236)&gt;ProductiveHours,"Long day","OK"))))</f>
        <v>0</v>
      </c>
      <c r="AS236" s="18">
        <f>IF(OR(G236="",B236=""),"",IF(AND(B236&gt;=TodayDate,P236&lt;&gt;"Cancelled"),B236,""))</f>
        <v>0</v>
      </c>
      <c r="AT236" s="31">
        <f>IF(AS236="","",COUNTIFS($AS$5:$AS$604,"&lt;"&amp;AS236)+COUNTIFS($AS$5:AS236,AS236))</f>
        <v>0</v>
      </c>
      <c r="AU236" s="18">
        <f>IF(OR(G236="",B236="",R236&lt;&gt;""),"",IF(AND(B236&gt;=TodayDate,P236&lt;&gt;"Cancelled"),B236,""))</f>
        <v>0</v>
      </c>
      <c r="AV236" s="31">
        <f>IF(AU236="","",COUNTIFS($AU$5:$AU$604,"&lt;"&amp;AU236)+COUNTIFS($AU$5:AU236,AU236))</f>
        <v>0</v>
      </c>
      <c r="AW236" s="31">
        <f>IF(OR(G236="",B236=""),"",B236-TodayDate)</f>
        <v>0</v>
      </c>
      <c r="AX236" s="39">
        <f>IF(G236="","",IF(P236="Cancelled","Cancelled",IF(P236="No access","Action - no access, rebook",IF(AND(B236&lt;&gt;"",AW236&lt;0,OR(P236="Booked",P236="Confirmed",P236="In progress")),"Late - mark it completed",IF(AND(P236="Completed",AP236=""),"Action - not invoiced yet",IF(AND(AW236&gt;=0,AW236&lt;=ReminderDays,Y236&lt;&gt;"Yes"),"Confirm - visit coming up",IF(R236="","Assign - no cleaner booked",IF(AND(P236="Completed",AO236&lt;&gt;"",AO236&lt;1),"Check - checklist unfinished","OK"))))))))</f>
        <v>0</v>
      </c>
    </row>
    <row r="237" spans="1:50">
      <c r="A237" s="43">
        <f>IF(G237="","",JobPrefix&amp;TEXT(ROW()-4,"0000"))</f>
        <v>0</v>
      </c>
      <c r="C237" s="23">
        <f>IF(B237="","",TEXT(B237,"ddd"))</f>
        <v>0</v>
      </c>
      <c r="D237" s="31">
        <f>IF(B237="","",WEEKNUM(B237,IF(WeekStart="Sunday",1,2)))</f>
        <v>0</v>
      </c>
      <c r="E237" s="23">
        <f>IF(B237="","",TEXT(B237,"yyyy-mm"))</f>
        <v>0</v>
      </c>
      <c r="H237" s="23">
        <f>IF(G237="","",IFERROR(INDEX(Clients!$B$5:$B$204,MATCH(G237,Clients!$A$5:$A$204,0)),"Not found"))</f>
        <v>0</v>
      </c>
      <c r="I237" s="23">
        <f>IF(G237="","",IFERROR(INDEX(Clients!$C$5:$C$204,MATCH(G237,Clients!$A$5:$A$204,0)),""))</f>
        <v>0</v>
      </c>
      <c r="K237" s="23">
        <f>IF(J237="","",IFERROR(INDEX(Properties!$B$5:$B$254,MATCH(J237,Properties!$A$5:$A$254,0)),""))</f>
        <v>0</v>
      </c>
      <c r="L237" s="23">
        <f>IF(J237="","",IFERROR(INDEX(Properties!$F$5:$F$254,MATCH(J237,Properties!$A$5:$A$254,0)),""))</f>
        <v>0</v>
      </c>
      <c r="AD237" s="34">
        <f>IF(G237="","",IF(U237&lt;&gt;"",U237,IF(AND(IFERROR(INDEX(Services!$D$5:$D$64,MATCH(M237,Services!$B$5:$B$64,0)),"")="Per hour",IFERROR(INDEX(Properties!$X$5:$X$254,MATCH(J237,Properties!$A$5:$A$254,0)),0)&gt;0),IFERROR(INDEX(Properties!$X$5:$X$254,MATCH(J237,Properties!$A$5:$A$254,0)),0),IF(IFERROR(INDEX(Services!$G$5:$G$64,MATCH(M237,Services!$B$5:$B$64,0)),0)&gt;0,IFERROR(INDEX(Services!$G$5:$G$64,MATCH(M237,Services!$B$5:$B$64,0)),0),IFERROR(INDEX(Properties!$X$5:$X$254,MATCH(J237,Properties!$A$5:$A$254,0)),0)))))</f>
        <v>0</v>
      </c>
      <c r="AE237" s="31">
        <f>IF(G237="","",IF(T237="",CleanersPerJob,MAX(1,T237)))</f>
        <v>0</v>
      </c>
      <c r="AF237" s="34">
        <f>IF(G237="","",ROUND(AD237/AE237,2))</f>
        <v>0</v>
      </c>
      <c r="AG237" s="53">
        <f>IF(OR(G237="",F237="",AF237=""),"",F237+AF237/24)</f>
        <v>0</v>
      </c>
      <c r="AH237" s="21">
        <f>IF(G237="","",IF(IFERROR(INDEX(Clients!$O$5:$O$204,MATCH(G237,Clients!$A$5:$A$204,0)),0)&gt;0,IFERROR(INDEX(Clients!$O$5:$O$204,MATCH(G237,Clients!$A$5:$A$204,0)),0),HourlyRate))</f>
        <v>0</v>
      </c>
      <c r="AI237" s="21">
        <f>IF(G237="","",IF(AND(M237&lt;&gt;"",IFERROR(INDEX(Services!$P$5:$P$64,MATCH(M237,Services!$B$5:$B$64,0)),0)&gt;0,IFERROR(INDEX(Services!$D$5:$D$64,MATCH(M237,Services!$B$5:$B$64,0)),"")&lt;&gt;"Per hour"),IFERROR(INDEX(Services!$P$5:$P$64,MATCH(M237,Services!$B$5:$B$64,0)),0),AD237*AH237))</f>
        <v>0</v>
      </c>
      <c r="AJ237" s="21">
        <f>IF(G237="","",IF(V237&lt;&gt;"",V237,IF(P237="Cancelled",0,MAX(MinimumCharge,ROUND(AI237*IFERROR(INDEX(FreqFactors,MATCH(O237,FreqNames,0)),1),2)))))</f>
        <v>0</v>
      </c>
      <c r="AK237" s="34">
        <f>IF(G237="","",IF(SUMIFS(Timesheets!$U$5:$U$804,Timesheets!$G$5:$G$804,A237)&gt;0,SUMIFS(Timesheets!$U$5:$U$804,Timesheets!$G$5:$G$804,A237),IF(Z237="","",Z237)))</f>
        <v>0</v>
      </c>
      <c r="AL237" s="34">
        <f>IF(OR(AK237="",AD237=""),"",AK237-AD237)</f>
        <v>0</v>
      </c>
      <c r="AM237" s="31">
        <f>IF(A237="","",COUNTIFS('Job Tasks'!$B$5:$B$904,A237))</f>
        <v>0</v>
      </c>
      <c r="AN237" s="31">
        <f>IF(A237="","",COUNTIFS('Job Tasks'!$B$5:$B$904,A237,'Job Tasks'!$H$5:$H$904,"Done"))</f>
        <v>0</v>
      </c>
      <c r="AO237" s="38">
        <f>IF(OR(A237="",AM237=0),"",AN237/AM237)</f>
        <v>0</v>
      </c>
      <c r="AP237" s="43">
        <f>IF(A237="","",IFERROR(INDEX('Invoice Lines'!$B$5:$B$804,MATCH(A237,'Invoice Lines'!$C$5:$C$804,0)),""))</f>
        <v>0</v>
      </c>
      <c r="AQ237" s="18">
        <f>IF(OR(G237="",B237="",X237&lt;&gt;"Yes"),"",IF(IFERROR(INDEX(FreqDays,MATCH(O237,FreqNames,0)),0)=0,"",B237+IFERROR(INDEX(FreqDays,MATCH(O237,FreqNames,0)),0)))</f>
        <v>0</v>
      </c>
      <c r="AR237" s="39">
        <f>IF(G237="","",IF(R237="","Unassigned",IF(COUNTIFS($R$5:$R$604,R237,$B$5:$B$604,B237,$F$5:$F$604,F237)&gt;1,"Clash",IF(SUMIFS($AF$5:$AF$604,$R$5:$R$604,R237,$B$5:$B$604,B237)&gt;ProductiveHours,"Long day","OK"))))</f>
        <v>0</v>
      </c>
      <c r="AS237" s="18">
        <f>IF(OR(G237="",B237=""),"",IF(AND(B237&gt;=TodayDate,P237&lt;&gt;"Cancelled"),B237,""))</f>
        <v>0</v>
      </c>
      <c r="AT237" s="31">
        <f>IF(AS237="","",COUNTIFS($AS$5:$AS$604,"&lt;"&amp;AS237)+COUNTIFS($AS$5:AS237,AS237))</f>
        <v>0</v>
      </c>
      <c r="AU237" s="18">
        <f>IF(OR(G237="",B237="",R237&lt;&gt;""),"",IF(AND(B237&gt;=TodayDate,P237&lt;&gt;"Cancelled"),B237,""))</f>
        <v>0</v>
      </c>
      <c r="AV237" s="31">
        <f>IF(AU237="","",COUNTIFS($AU$5:$AU$604,"&lt;"&amp;AU237)+COUNTIFS($AU$5:AU237,AU237))</f>
        <v>0</v>
      </c>
      <c r="AW237" s="31">
        <f>IF(OR(G237="",B237=""),"",B237-TodayDate)</f>
        <v>0</v>
      </c>
      <c r="AX237" s="39">
        <f>IF(G237="","",IF(P237="Cancelled","Cancelled",IF(P237="No access","Action - no access, rebook",IF(AND(B237&lt;&gt;"",AW237&lt;0,OR(P237="Booked",P237="Confirmed",P237="In progress")),"Late - mark it completed",IF(AND(P237="Completed",AP237=""),"Action - not invoiced yet",IF(AND(AW237&gt;=0,AW237&lt;=ReminderDays,Y237&lt;&gt;"Yes"),"Confirm - visit coming up",IF(R237="","Assign - no cleaner booked",IF(AND(P237="Completed",AO237&lt;&gt;"",AO237&lt;1),"Check - checklist unfinished","OK"))))))))</f>
        <v>0</v>
      </c>
    </row>
    <row r="238" spans="1:50">
      <c r="A238" s="43">
        <f>IF(G238="","",JobPrefix&amp;TEXT(ROW()-4,"0000"))</f>
        <v>0</v>
      </c>
      <c r="C238" s="23">
        <f>IF(B238="","",TEXT(B238,"ddd"))</f>
        <v>0</v>
      </c>
      <c r="D238" s="31">
        <f>IF(B238="","",WEEKNUM(B238,IF(WeekStart="Sunday",1,2)))</f>
        <v>0</v>
      </c>
      <c r="E238" s="23">
        <f>IF(B238="","",TEXT(B238,"yyyy-mm"))</f>
        <v>0</v>
      </c>
      <c r="H238" s="23">
        <f>IF(G238="","",IFERROR(INDEX(Clients!$B$5:$B$204,MATCH(G238,Clients!$A$5:$A$204,0)),"Not found"))</f>
        <v>0</v>
      </c>
      <c r="I238" s="23">
        <f>IF(G238="","",IFERROR(INDEX(Clients!$C$5:$C$204,MATCH(G238,Clients!$A$5:$A$204,0)),""))</f>
        <v>0</v>
      </c>
      <c r="K238" s="23">
        <f>IF(J238="","",IFERROR(INDEX(Properties!$B$5:$B$254,MATCH(J238,Properties!$A$5:$A$254,0)),""))</f>
        <v>0</v>
      </c>
      <c r="L238" s="23">
        <f>IF(J238="","",IFERROR(INDEX(Properties!$F$5:$F$254,MATCH(J238,Properties!$A$5:$A$254,0)),""))</f>
        <v>0</v>
      </c>
      <c r="AD238" s="34">
        <f>IF(G238="","",IF(U238&lt;&gt;"",U238,IF(AND(IFERROR(INDEX(Services!$D$5:$D$64,MATCH(M238,Services!$B$5:$B$64,0)),"")="Per hour",IFERROR(INDEX(Properties!$X$5:$X$254,MATCH(J238,Properties!$A$5:$A$254,0)),0)&gt;0),IFERROR(INDEX(Properties!$X$5:$X$254,MATCH(J238,Properties!$A$5:$A$254,0)),0),IF(IFERROR(INDEX(Services!$G$5:$G$64,MATCH(M238,Services!$B$5:$B$64,0)),0)&gt;0,IFERROR(INDEX(Services!$G$5:$G$64,MATCH(M238,Services!$B$5:$B$64,0)),0),IFERROR(INDEX(Properties!$X$5:$X$254,MATCH(J238,Properties!$A$5:$A$254,0)),0)))))</f>
        <v>0</v>
      </c>
      <c r="AE238" s="31">
        <f>IF(G238="","",IF(T238="",CleanersPerJob,MAX(1,T238)))</f>
        <v>0</v>
      </c>
      <c r="AF238" s="34">
        <f>IF(G238="","",ROUND(AD238/AE238,2))</f>
        <v>0</v>
      </c>
      <c r="AG238" s="53">
        <f>IF(OR(G238="",F238="",AF238=""),"",F238+AF238/24)</f>
        <v>0</v>
      </c>
      <c r="AH238" s="21">
        <f>IF(G238="","",IF(IFERROR(INDEX(Clients!$O$5:$O$204,MATCH(G238,Clients!$A$5:$A$204,0)),0)&gt;0,IFERROR(INDEX(Clients!$O$5:$O$204,MATCH(G238,Clients!$A$5:$A$204,0)),0),HourlyRate))</f>
        <v>0</v>
      </c>
      <c r="AI238" s="21">
        <f>IF(G238="","",IF(AND(M238&lt;&gt;"",IFERROR(INDEX(Services!$P$5:$P$64,MATCH(M238,Services!$B$5:$B$64,0)),0)&gt;0,IFERROR(INDEX(Services!$D$5:$D$64,MATCH(M238,Services!$B$5:$B$64,0)),"")&lt;&gt;"Per hour"),IFERROR(INDEX(Services!$P$5:$P$64,MATCH(M238,Services!$B$5:$B$64,0)),0),AD238*AH238))</f>
        <v>0</v>
      </c>
      <c r="AJ238" s="21">
        <f>IF(G238="","",IF(V238&lt;&gt;"",V238,IF(P238="Cancelled",0,MAX(MinimumCharge,ROUND(AI238*IFERROR(INDEX(FreqFactors,MATCH(O238,FreqNames,0)),1),2)))))</f>
        <v>0</v>
      </c>
      <c r="AK238" s="34">
        <f>IF(G238="","",IF(SUMIFS(Timesheets!$U$5:$U$804,Timesheets!$G$5:$G$804,A238)&gt;0,SUMIFS(Timesheets!$U$5:$U$804,Timesheets!$G$5:$G$804,A238),IF(Z238="","",Z238)))</f>
        <v>0</v>
      </c>
      <c r="AL238" s="34">
        <f>IF(OR(AK238="",AD238=""),"",AK238-AD238)</f>
        <v>0</v>
      </c>
      <c r="AM238" s="31">
        <f>IF(A238="","",COUNTIFS('Job Tasks'!$B$5:$B$904,A238))</f>
        <v>0</v>
      </c>
      <c r="AN238" s="31">
        <f>IF(A238="","",COUNTIFS('Job Tasks'!$B$5:$B$904,A238,'Job Tasks'!$H$5:$H$904,"Done"))</f>
        <v>0</v>
      </c>
      <c r="AO238" s="38">
        <f>IF(OR(A238="",AM238=0),"",AN238/AM238)</f>
        <v>0</v>
      </c>
      <c r="AP238" s="43">
        <f>IF(A238="","",IFERROR(INDEX('Invoice Lines'!$B$5:$B$804,MATCH(A238,'Invoice Lines'!$C$5:$C$804,0)),""))</f>
        <v>0</v>
      </c>
      <c r="AQ238" s="18">
        <f>IF(OR(G238="",B238="",X238&lt;&gt;"Yes"),"",IF(IFERROR(INDEX(FreqDays,MATCH(O238,FreqNames,0)),0)=0,"",B238+IFERROR(INDEX(FreqDays,MATCH(O238,FreqNames,0)),0)))</f>
        <v>0</v>
      </c>
      <c r="AR238" s="39">
        <f>IF(G238="","",IF(R238="","Unassigned",IF(COUNTIFS($R$5:$R$604,R238,$B$5:$B$604,B238,$F$5:$F$604,F238)&gt;1,"Clash",IF(SUMIFS($AF$5:$AF$604,$R$5:$R$604,R238,$B$5:$B$604,B238)&gt;ProductiveHours,"Long day","OK"))))</f>
        <v>0</v>
      </c>
      <c r="AS238" s="18">
        <f>IF(OR(G238="",B238=""),"",IF(AND(B238&gt;=TodayDate,P238&lt;&gt;"Cancelled"),B238,""))</f>
        <v>0</v>
      </c>
      <c r="AT238" s="31">
        <f>IF(AS238="","",COUNTIFS($AS$5:$AS$604,"&lt;"&amp;AS238)+COUNTIFS($AS$5:AS238,AS238))</f>
        <v>0</v>
      </c>
      <c r="AU238" s="18">
        <f>IF(OR(G238="",B238="",R238&lt;&gt;""),"",IF(AND(B238&gt;=TodayDate,P238&lt;&gt;"Cancelled"),B238,""))</f>
        <v>0</v>
      </c>
      <c r="AV238" s="31">
        <f>IF(AU238="","",COUNTIFS($AU$5:$AU$604,"&lt;"&amp;AU238)+COUNTIFS($AU$5:AU238,AU238))</f>
        <v>0</v>
      </c>
      <c r="AW238" s="31">
        <f>IF(OR(G238="",B238=""),"",B238-TodayDate)</f>
        <v>0</v>
      </c>
      <c r="AX238" s="39">
        <f>IF(G238="","",IF(P238="Cancelled","Cancelled",IF(P238="No access","Action - no access, rebook",IF(AND(B238&lt;&gt;"",AW238&lt;0,OR(P238="Booked",P238="Confirmed",P238="In progress")),"Late - mark it completed",IF(AND(P238="Completed",AP238=""),"Action - not invoiced yet",IF(AND(AW238&gt;=0,AW238&lt;=ReminderDays,Y238&lt;&gt;"Yes"),"Confirm - visit coming up",IF(R238="","Assign - no cleaner booked",IF(AND(P238="Completed",AO238&lt;&gt;"",AO238&lt;1),"Check - checklist unfinished","OK"))))))))</f>
        <v>0</v>
      </c>
    </row>
    <row r="239" spans="1:50">
      <c r="A239" s="43">
        <f>IF(G239="","",JobPrefix&amp;TEXT(ROW()-4,"0000"))</f>
        <v>0</v>
      </c>
      <c r="C239" s="23">
        <f>IF(B239="","",TEXT(B239,"ddd"))</f>
        <v>0</v>
      </c>
      <c r="D239" s="31">
        <f>IF(B239="","",WEEKNUM(B239,IF(WeekStart="Sunday",1,2)))</f>
        <v>0</v>
      </c>
      <c r="E239" s="23">
        <f>IF(B239="","",TEXT(B239,"yyyy-mm"))</f>
        <v>0</v>
      </c>
      <c r="H239" s="23">
        <f>IF(G239="","",IFERROR(INDEX(Clients!$B$5:$B$204,MATCH(G239,Clients!$A$5:$A$204,0)),"Not found"))</f>
        <v>0</v>
      </c>
      <c r="I239" s="23">
        <f>IF(G239="","",IFERROR(INDEX(Clients!$C$5:$C$204,MATCH(G239,Clients!$A$5:$A$204,0)),""))</f>
        <v>0</v>
      </c>
      <c r="K239" s="23">
        <f>IF(J239="","",IFERROR(INDEX(Properties!$B$5:$B$254,MATCH(J239,Properties!$A$5:$A$254,0)),""))</f>
        <v>0</v>
      </c>
      <c r="L239" s="23">
        <f>IF(J239="","",IFERROR(INDEX(Properties!$F$5:$F$254,MATCH(J239,Properties!$A$5:$A$254,0)),""))</f>
        <v>0</v>
      </c>
      <c r="AD239" s="34">
        <f>IF(G239="","",IF(U239&lt;&gt;"",U239,IF(AND(IFERROR(INDEX(Services!$D$5:$D$64,MATCH(M239,Services!$B$5:$B$64,0)),"")="Per hour",IFERROR(INDEX(Properties!$X$5:$X$254,MATCH(J239,Properties!$A$5:$A$254,0)),0)&gt;0),IFERROR(INDEX(Properties!$X$5:$X$254,MATCH(J239,Properties!$A$5:$A$254,0)),0),IF(IFERROR(INDEX(Services!$G$5:$G$64,MATCH(M239,Services!$B$5:$B$64,0)),0)&gt;0,IFERROR(INDEX(Services!$G$5:$G$64,MATCH(M239,Services!$B$5:$B$64,0)),0),IFERROR(INDEX(Properties!$X$5:$X$254,MATCH(J239,Properties!$A$5:$A$254,0)),0)))))</f>
        <v>0</v>
      </c>
      <c r="AE239" s="31">
        <f>IF(G239="","",IF(T239="",CleanersPerJob,MAX(1,T239)))</f>
        <v>0</v>
      </c>
      <c r="AF239" s="34">
        <f>IF(G239="","",ROUND(AD239/AE239,2))</f>
        <v>0</v>
      </c>
      <c r="AG239" s="53">
        <f>IF(OR(G239="",F239="",AF239=""),"",F239+AF239/24)</f>
        <v>0</v>
      </c>
      <c r="AH239" s="21">
        <f>IF(G239="","",IF(IFERROR(INDEX(Clients!$O$5:$O$204,MATCH(G239,Clients!$A$5:$A$204,0)),0)&gt;0,IFERROR(INDEX(Clients!$O$5:$O$204,MATCH(G239,Clients!$A$5:$A$204,0)),0),HourlyRate))</f>
        <v>0</v>
      </c>
      <c r="AI239" s="21">
        <f>IF(G239="","",IF(AND(M239&lt;&gt;"",IFERROR(INDEX(Services!$P$5:$P$64,MATCH(M239,Services!$B$5:$B$64,0)),0)&gt;0,IFERROR(INDEX(Services!$D$5:$D$64,MATCH(M239,Services!$B$5:$B$64,0)),"")&lt;&gt;"Per hour"),IFERROR(INDEX(Services!$P$5:$P$64,MATCH(M239,Services!$B$5:$B$64,0)),0),AD239*AH239))</f>
        <v>0</v>
      </c>
      <c r="AJ239" s="21">
        <f>IF(G239="","",IF(V239&lt;&gt;"",V239,IF(P239="Cancelled",0,MAX(MinimumCharge,ROUND(AI239*IFERROR(INDEX(FreqFactors,MATCH(O239,FreqNames,0)),1),2)))))</f>
        <v>0</v>
      </c>
      <c r="AK239" s="34">
        <f>IF(G239="","",IF(SUMIFS(Timesheets!$U$5:$U$804,Timesheets!$G$5:$G$804,A239)&gt;0,SUMIFS(Timesheets!$U$5:$U$804,Timesheets!$G$5:$G$804,A239),IF(Z239="","",Z239)))</f>
        <v>0</v>
      </c>
      <c r="AL239" s="34">
        <f>IF(OR(AK239="",AD239=""),"",AK239-AD239)</f>
        <v>0</v>
      </c>
      <c r="AM239" s="31">
        <f>IF(A239="","",COUNTIFS('Job Tasks'!$B$5:$B$904,A239))</f>
        <v>0</v>
      </c>
      <c r="AN239" s="31">
        <f>IF(A239="","",COUNTIFS('Job Tasks'!$B$5:$B$904,A239,'Job Tasks'!$H$5:$H$904,"Done"))</f>
        <v>0</v>
      </c>
      <c r="AO239" s="38">
        <f>IF(OR(A239="",AM239=0),"",AN239/AM239)</f>
        <v>0</v>
      </c>
      <c r="AP239" s="43">
        <f>IF(A239="","",IFERROR(INDEX('Invoice Lines'!$B$5:$B$804,MATCH(A239,'Invoice Lines'!$C$5:$C$804,0)),""))</f>
        <v>0</v>
      </c>
      <c r="AQ239" s="18">
        <f>IF(OR(G239="",B239="",X239&lt;&gt;"Yes"),"",IF(IFERROR(INDEX(FreqDays,MATCH(O239,FreqNames,0)),0)=0,"",B239+IFERROR(INDEX(FreqDays,MATCH(O239,FreqNames,0)),0)))</f>
        <v>0</v>
      </c>
      <c r="AR239" s="39">
        <f>IF(G239="","",IF(R239="","Unassigned",IF(COUNTIFS($R$5:$R$604,R239,$B$5:$B$604,B239,$F$5:$F$604,F239)&gt;1,"Clash",IF(SUMIFS($AF$5:$AF$604,$R$5:$R$604,R239,$B$5:$B$604,B239)&gt;ProductiveHours,"Long day","OK"))))</f>
        <v>0</v>
      </c>
      <c r="AS239" s="18">
        <f>IF(OR(G239="",B239=""),"",IF(AND(B239&gt;=TodayDate,P239&lt;&gt;"Cancelled"),B239,""))</f>
        <v>0</v>
      </c>
      <c r="AT239" s="31">
        <f>IF(AS239="","",COUNTIFS($AS$5:$AS$604,"&lt;"&amp;AS239)+COUNTIFS($AS$5:AS239,AS239))</f>
        <v>0</v>
      </c>
      <c r="AU239" s="18">
        <f>IF(OR(G239="",B239="",R239&lt;&gt;""),"",IF(AND(B239&gt;=TodayDate,P239&lt;&gt;"Cancelled"),B239,""))</f>
        <v>0</v>
      </c>
      <c r="AV239" s="31">
        <f>IF(AU239="","",COUNTIFS($AU$5:$AU$604,"&lt;"&amp;AU239)+COUNTIFS($AU$5:AU239,AU239))</f>
        <v>0</v>
      </c>
      <c r="AW239" s="31">
        <f>IF(OR(G239="",B239=""),"",B239-TodayDate)</f>
        <v>0</v>
      </c>
      <c r="AX239" s="39">
        <f>IF(G239="","",IF(P239="Cancelled","Cancelled",IF(P239="No access","Action - no access, rebook",IF(AND(B239&lt;&gt;"",AW239&lt;0,OR(P239="Booked",P239="Confirmed",P239="In progress")),"Late - mark it completed",IF(AND(P239="Completed",AP239=""),"Action - not invoiced yet",IF(AND(AW239&gt;=0,AW239&lt;=ReminderDays,Y239&lt;&gt;"Yes"),"Confirm - visit coming up",IF(R239="","Assign - no cleaner booked",IF(AND(P239="Completed",AO239&lt;&gt;"",AO239&lt;1),"Check - checklist unfinished","OK"))))))))</f>
        <v>0</v>
      </c>
    </row>
    <row r="240" spans="1:50">
      <c r="A240" s="43">
        <f>IF(G240="","",JobPrefix&amp;TEXT(ROW()-4,"0000"))</f>
        <v>0</v>
      </c>
      <c r="C240" s="23">
        <f>IF(B240="","",TEXT(B240,"ddd"))</f>
        <v>0</v>
      </c>
      <c r="D240" s="31">
        <f>IF(B240="","",WEEKNUM(B240,IF(WeekStart="Sunday",1,2)))</f>
        <v>0</v>
      </c>
      <c r="E240" s="23">
        <f>IF(B240="","",TEXT(B240,"yyyy-mm"))</f>
        <v>0</v>
      </c>
      <c r="H240" s="23">
        <f>IF(G240="","",IFERROR(INDEX(Clients!$B$5:$B$204,MATCH(G240,Clients!$A$5:$A$204,0)),"Not found"))</f>
        <v>0</v>
      </c>
      <c r="I240" s="23">
        <f>IF(G240="","",IFERROR(INDEX(Clients!$C$5:$C$204,MATCH(G240,Clients!$A$5:$A$204,0)),""))</f>
        <v>0</v>
      </c>
      <c r="K240" s="23">
        <f>IF(J240="","",IFERROR(INDEX(Properties!$B$5:$B$254,MATCH(J240,Properties!$A$5:$A$254,0)),""))</f>
        <v>0</v>
      </c>
      <c r="L240" s="23">
        <f>IF(J240="","",IFERROR(INDEX(Properties!$F$5:$F$254,MATCH(J240,Properties!$A$5:$A$254,0)),""))</f>
        <v>0</v>
      </c>
      <c r="AD240" s="34">
        <f>IF(G240="","",IF(U240&lt;&gt;"",U240,IF(AND(IFERROR(INDEX(Services!$D$5:$D$64,MATCH(M240,Services!$B$5:$B$64,0)),"")="Per hour",IFERROR(INDEX(Properties!$X$5:$X$254,MATCH(J240,Properties!$A$5:$A$254,0)),0)&gt;0),IFERROR(INDEX(Properties!$X$5:$X$254,MATCH(J240,Properties!$A$5:$A$254,0)),0),IF(IFERROR(INDEX(Services!$G$5:$G$64,MATCH(M240,Services!$B$5:$B$64,0)),0)&gt;0,IFERROR(INDEX(Services!$G$5:$G$64,MATCH(M240,Services!$B$5:$B$64,0)),0),IFERROR(INDEX(Properties!$X$5:$X$254,MATCH(J240,Properties!$A$5:$A$254,0)),0)))))</f>
        <v>0</v>
      </c>
      <c r="AE240" s="31">
        <f>IF(G240="","",IF(T240="",CleanersPerJob,MAX(1,T240)))</f>
        <v>0</v>
      </c>
      <c r="AF240" s="34">
        <f>IF(G240="","",ROUND(AD240/AE240,2))</f>
        <v>0</v>
      </c>
      <c r="AG240" s="53">
        <f>IF(OR(G240="",F240="",AF240=""),"",F240+AF240/24)</f>
        <v>0</v>
      </c>
      <c r="AH240" s="21">
        <f>IF(G240="","",IF(IFERROR(INDEX(Clients!$O$5:$O$204,MATCH(G240,Clients!$A$5:$A$204,0)),0)&gt;0,IFERROR(INDEX(Clients!$O$5:$O$204,MATCH(G240,Clients!$A$5:$A$204,0)),0),HourlyRate))</f>
        <v>0</v>
      </c>
      <c r="AI240" s="21">
        <f>IF(G240="","",IF(AND(M240&lt;&gt;"",IFERROR(INDEX(Services!$P$5:$P$64,MATCH(M240,Services!$B$5:$B$64,0)),0)&gt;0,IFERROR(INDEX(Services!$D$5:$D$64,MATCH(M240,Services!$B$5:$B$64,0)),"")&lt;&gt;"Per hour"),IFERROR(INDEX(Services!$P$5:$P$64,MATCH(M240,Services!$B$5:$B$64,0)),0),AD240*AH240))</f>
        <v>0</v>
      </c>
      <c r="AJ240" s="21">
        <f>IF(G240="","",IF(V240&lt;&gt;"",V240,IF(P240="Cancelled",0,MAX(MinimumCharge,ROUND(AI240*IFERROR(INDEX(FreqFactors,MATCH(O240,FreqNames,0)),1),2)))))</f>
        <v>0</v>
      </c>
      <c r="AK240" s="34">
        <f>IF(G240="","",IF(SUMIFS(Timesheets!$U$5:$U$804,Timesheets!$G$5:$G$804,A240)&gt;0,SUMIFS(Timesheets!$U$5:$U$804,Timesheets!$G$5:$G$804,A240),IF(Z240="","",Z240)))</f>
        <v>0</v>
      </c>
      <c r="AL240" s="34">
        <f>IF(OR(AK240="",AD240=""),"",AK240-AD240)</f>
        <v>0</v>
      </c>
      <c r="AM240" s="31">
        <f>IF(A240="","",COUNTIFS('Job Tasks'!$B$5:$B$904,A240))</f>
        <v>0</v>
      </c>
      <c r="AN240" s="31">
        <f>IF(A240="","",COUNTIFS('Job Tasks'!$B$5:$B$904,A240,'Job Tasks'!$H$5:$H$904,"Done"))</f>
        <v>0</v>
      </c>
      <c r="AO240" s="38">
        <f>IF(OR(A240="",AM240=0),"",AN240/AM240)</f>
        <v>0</v>
      </c>
      <c r="AP240" s="43">
        <f>IF(A240="","",IFERROR(INDEX('Invoice Lines'!$B$5:$B$804,MATCH(A240,'Invoice Lines'!$C$5:$C$804,0)),""))</f>
        <v>0</v>
      </c>
      <c r="AQ240" s="18">
        <f>IF(OR(G240="",B240="",X240&lt;&gt;"Yes"),"",IF(IFERROR(INDEX(FreqDays,MATCH(O240,FreqNames,0)),0)=0,"",B240+IFERROR(INDEX(FreqDays,MATCH(O240,FreqNames,0)),0)))</f>
        <v>0</v>
      </c>
      <c r="AR240" s="39">
        <f>IF(G240="","",IF(R240="","Unassigned",IF(COUNTIFS($R$5:$R$604,R240,$B$5:$B$604,B240,$F$5:$F$604,F240)&gt;1,"Clash",IF(SUMIFS($AF$5:$AF$604,$R$5:$R$604,R240,$B$5:$B$604,B240)&gt;ProductiveHours,"Long day","OK"))))</f>
        <v>0</v>
      </c>
      <c r="AS240" s="18">
        <f>IF(OR(G240="",B240=""),"",IF(AND(B240&gt;=TodayDate,P240&lt;&gt;"Cancelled"),B240,""))</f>
        <v>0</v>
      </c>
      <c r="AT240" s="31">
        <f>IF(AS240="","",COUNTIFS($AS$5:$AS$604,"&lt;"&amp;AS240)+COUNTIFS($AS$5:AS240,AS240))</f>
        <v>0</v>
      </c>
      <c r="AU240" s="18">
        <f>IF(OR(G240="",B240="",R240&lt;&gt;""),"",IF(AND(B240&gt;=TodayDate,P240&lt;&gt;"Cancelled"),B240,""))</f>
        <v>0</v>
      </c>
      <c r="AV240" s="31">
        <f>IF(AU240="","",COUNTIFS($AU$5:$AU$604,"&lt;"&amp;AU240)+COUNTIFS($AU$5:AU240,AU240))</f>
        <v>0</v>
      </c>
      <c r="AW240" s="31">
        <f>IF(OR(G240="",B240=""),"",B240-TodayDate)</f>
        <v>0</v>
      </c>
      <c r="AX240" s="39">
        <f>IF(G240="","",IF(P240="Cancelled","Cancelled",IF(P240="No access","Action - no access, rebook",IF(AND(B240&lt;&gt;"",AW240&lt;0,OR(P240="Booked",P240="Confirmed",P240="In progress")),"Late - mark it completed",IF(AND(P240="Completed",AP240=""),"Action - not invoiced yet",IF(AND(AW240&gt;=0,AW240&lt;=ReminderDays,Y240&lt;&gt;"Yes"),"Confirm - visit coming up",IF(R240="","Assign - no cleaner booked",IF(AND(P240="Completed",AO240&lt;&gt;"",AO240&lt;1),"Check - checklist unfinished","OK"))))))))</f>
        <v>0</v>
      </c>
    </row>
    <row r="241" spans="1:50">
      <c r="A241" s="43">
        <f>IF(G241="","",JobPrefix&amp;TEXT(ROW()-4,"0000"))</f>
        <v>0</v>
      </c>
      <c r="C241" s="23">
        <f>IF(B241="","",TEXT(B241,"ddd"))</f>
        <v>0</v>
      </c>
      <c r="D241" s="31">
        <f>IF(B241="","",WEEKNUM(B241,IF(WeekStart="Sunday",1,2)))</f>
        <v>0</v>
      </c>
      <c r="E241" s="23">
        <f>IF(B241="","",TEXT(B241,"yyyy-mm"))</f>
        <v>0</v>
      </c>
      <c r="H241" s="23">
        <f>IF(G241="","",IFERROR(INDEX(Clients!$B$5:$B$204,MATCH(G241,Clients!$A$5:$A$204,0)),"Not found"))</f>
        <v>0</v>
      </c>
      <c r="I241" s="23">
        <f>IF(G241="","",IFERROR(INDEX(Clients!$C$5:$C$204,MATCH(G241,Clients!$A$5:$A$204,0)),""))</f>
        <v>0</v>
      </c>
      <c r="K241" s="23">
        <f>IF(J241="","",IFERROR(INDEX(Properties!$B$5:$B$254,MATCH(J241,Properties!$A$5:$A$254,0)),""))</f>
        <v>0</v>
      </c>
      <c r="L241" s="23">
        <f>IF(J241="","",IFERROR(INDEX(Properties!$F$5:$F$254,MATCH(J241,Properties!$A$5:$A$254,0)),""))</f>
        <v>0</v>
      </c>
      <c r="AD241" s="34">
        <f>IF(G241="","",IF(U241&lt;&gt;"",U241,IF(AND(IFERROR(INDEX(Services!$D$5:$D$64,MATCH(M241,Services!$B$5:$B$64,0)),"")="Per hour",IFERROR(INDEX(Properties!$X$5:$X$254,MATCH(J241,Properties!$A$5:$A$254,0)),0)&gt;0),IFERROR(INDEX(Properties!$X$5:$X$254,MATCH(J241,Properties!$A$5:$A$254,0)),0),IF(IFERROR(INDEX(Services!$G$5:$G$64,MATCH(M241,Services!$B$5:$B$64,0)),0)&gt;0,IFERROR(INDEX(Services!$G$5:$G$64,MATCH(M241,Services!$B$5:$B$64,0)),0),IFERROR(INDEX(Properties!$X$5:$X$254,MATCH(J241,Properties!$A$5:$A$254,0)),0)))))</f>
        <v>0</v>
      </c>
      <c r="AE241" s="31">
        <f>IF(G241="","",IF(T241="",CleanersPerJob,MAX(1,T241)))</f>
        <v>0</v>
      </c>
      <c r="AF241" s="34">
        <f>IF(G241="","",ROUND(AD241/AE241,2))</f>
        <v>0</v>
      </c>
      <c r="AG241" s="53">
        <f>IF(OR(G241="",F241="",AF241=""),"",F241+AF241/24)</f>
        <v>0</v>
      </c>
      <c r="AH241" s="21">
        <f>IF(G241="","",IF(IFERROR(INDEX(Clients!$O$5:$O$204,MATCH(G241,Clients!$A$5:$A$204,0)),0)&gt;0,IFERROR(INDEX(Clients!$O$5:$O$204,MATCH(G241,Clients!$A$5:$A$204,0)),0),HourlyRate))</f>
        <v>0</v>
      </c>
      <c r="AI241" s="21">
        <f>IF(G241="","",IF(AND(M241&lt;&gt;"",IFERROR(INDEX(Services!$P$5:$P$64,MATCH(M241,Services!$B$5:$B$64,0)),0)&gt;0,IFERROR(INDEX(Services!$D$5:$D$64,MATCH(M241,Services!$B$5:$B$64,0)),"")&lt;&gt;"Per hour"),IFERROR(INDEX(Services!$P$5:$P$64,MATCH(M241,Services!$B$5:$B$64,0)),0),AD241*AH241))</f>
        <v>0</v>
      </c>
      <c r="AJ241" s="21">
        <f>IF(G241="","",IF(V241&lt;&gt;"",V241,IF(P241="Cancelled",0,MAX(MinimumCharge,ROUND(AI241*IFERROR(INDEX(FreqFactors,MATCH(O241,FreqNames,0)),1),2)))))</f>
        <v>0</v>
      </c>
      <c r="AK241" s="34">
        <f>IF(G241="","",IF(SUMIFS(Timesheets!$U$5:$U$804,Timesheets!$G$5:$G$804,A241)&gt;0,SUMIFS(Timesheets!$U$5:$U$804,Timesheets!$G$5:$G$804,A241),IF(Z241="","",Z241)))</f>
        <v>0</v>
      </c>
      <c r="AL241" s="34">
        <f>IF(OR(AK241="",AD241=""),"",AK241-AD241)</f>
        <v>0</v>
      </c>
      <c r="AM241" s="31">
        <f>IF(A241="","",COUNTIFS('Job Tasks'!$B$5:$B$904,A241))</f>
        <v>0</v>
      </c>
      <c r="AN241" s="31">
        <f>IF(A241="","",COUNTIFS('Job Tasks'!$B$5:$B$904,A241,'Job Tasks'!$H$5:$H$904,"Done"))</f>
        <v>0</v>
      </c>
      <c r="AO241" s="38">
        <f>IF(OR(A241="",AM241=0),"",AN241/AM241)</f>
        <v>0</v>
      </c>
      <c r="AP241" s="43">
        <f>IF(A241="","",IFERROR(INDEX('Invoice Lines'!$B$5:$B$804,MATCH(A241,'Invoice Lines'!$C$5:$C$804,0)),""))</f>
        <v>0</v>
      </c>
      <c r="AQ241" s="18">
        <f>IF(OR(G241="",B241="",X241&lt;&gt;"Yes"),"",IF(IFERROR(INDEX(FreqDays,MATCH(O241,FreqNames,0)),0)=0,"",B241+IFERROR(INDEX(FreqDays,MATCH(O241,FreqNames,0)),0)))</f>
        <v>0</v>
      </c>
      <c r="AR241" s="39">
        <f>IF(G241="","",IF(R241="","Unassigned",IF(COUNTIFS($R$5:$R$604,R241,$B$5:$B$604,B241,$F$5:$F$604,F241)&gt;1,"Clash",IF(SUMIFS($AF$5:$AF$604,$R$5:$R$604,R241,$B$5:$B$604,B241)&gt;ProductiveHours,"Long day","OK"))))</f>
        <v>0</v>
      </c>
      <c r="AS241" s="18">
        <f>IF(OR(G241="",B241=""),"",IF(AND(B241&gt;=TodayDate,P241&lt;&gt;"Cancelled"),B241,""))</f>
        <v>0</v>
      </c>
      <c r="AT241" s="31">
        <f>IF(AS241="","",COUNTIFS($AS$5:$AS$604,"&lt;"&amp;AS241)+COUNTIFS($AS$5:AS241,AS241))</f>
        <v>0</v>
      </c>
      <c r="AU241" s="18">
        <f>IF(OR(G241="",B241="",R241&lt;&gt;""),"",IF(AND(B241&gt;=TodayDate,P241&lt;&gt;"Cancelled"),B241,""))</f>
        <v>0</v>
      </c>
      <c r="AV241" s="31">
        <f>IF(AU241="","",COUNTIFS($AU$5:$AU$604,"&lt;"&amp;AU241)+COUNTIFS($AU$5:AU241,AU241))</f>
        <v>0</v>
      </c>
      <c r="AW241" s="31">
        <f>IF(OR(G241="",B241=""),"",B241-TodayDate)</f>
        <v>0</v>
      </c>
      <c r="AX241" s="39">
        <f>IF(G241="","",IF(P241="Cancelled","Cancelled",IF(P241="No access","Action - no access, rebook",IF(AND(B241&lt;&gt;"",AW241&lt;0,OR(P241="Booked",P241="Confirmed",P241="In progress")),"Late - mark it completed",IF(AND(P241="Completed",AP241=""),"Action - not invoiced yet",IF(AND(AW241&gt;=0,AW241&lt;=ReminderDays,Y241&lt;&gt;"Yes"),"Confirm - visit coming up",IF(R241="","Assign - no cleaner booked",IF(AND(P241="Completed",AO241&lt;&gt;"",AO241&lt;1),"Check - checklist unfinished","OK"))))))))</f>
        <v>0</v>
      </c>
    </row>
    <row r="242" spans="1:50">
      <c r="A242" s="43">
        <f>IF(G242="","",JobPrefix&amp;TEXT(ROW()-4,"0000"))</f>
        <v>0</v>
      </c>
      <c r="C242" s="23">
        <f>IF(B242="","",TEXT(B242,"ddd"))</f>
        <v>0</v>
      </c>
      <c r="D242" s="31">
        <f>IF(B242="","",WEEKNUM(B242,IF(WeekStart="Sunday",1,2)))</f>
        <v>0</v>
      </c>
      <c r="E242" s="23">
        <f>IF(B242="","",TEXT(B242,"yyyy-mm"))</f>
        <v>0</v>
      </c>
      <c r="H242" s="23">
        <f>IF(G242="","",IFERROR(INDEX(Clients!$B$5:$B$204,MATCH(G242,Clients!$A$5:$A$204,0)),"Not found"))</f>
        <v>0</v>
      </c>
      <c r="I242" s="23">
        <f>IF(G242="","",IFERROR(INDEX(Clients!$C$5:$C$204,MATCH(G242,Clients!$A$5:$A$204,0)),""))</f>
        <v>0</v>
      </c>
      <c r="K242" s="23">
        <f>IF(J242="","",IFERROR(INDEX(Properties!$B$5:$B$254,MATCH(J242,Properties!$A$5:$A$254,0)),""))</f>
        <v>0</v>
      </c>
      <c r="L242" s="23">
        <f>IF(J242="","",IFERROR(INDEX(Properties!$F$5:$F$254,MATCH(J242,Properties!$A$5:$A$254,0)),""))</f>
        <v>0</v>
      </c>
      <c r="AD242" s="34">
        <f>IF(G242="","",IF(U242&lt;&gt;"",U242,IF(AND(IFERROR(INDEX(Services!$D$5:$D$64,MATCH(M242,Services!$B$5:$B$64,0)),"")="Per hour",IFERROR(INDEX(Properties!$X$5:$X$254,MATCH(J242,Properties!$A$5:$A$254,0)),0)&gt;0),IFERROR(INDEX(Properties!$X$5:$X$254,MATCH(J242,Properties!$A$5:$A$254,0)),0),IF(IFERROR(INDEX(Services!$G$5:$G$64,MATCH(M242,Services!$B$5:$B$64,0)),0)&gt;0,IFERROR(INDEX(Services!$G$5:$G$64,MATCH(M242,Services!$B$5:$B$64,0)),0),IFERROR(INDEX(Properties!$X$5:$X$254,MATCH(J242,Properties!$A$5:$A$254,0)),0)))))</f>
        <v>0</v>
      </c>
      <c r="AE242" s="31">
        <f>IF(G242="","",IF(T242="",CleanersPerJob,MAX(1,T242)))</f>
        <v>0</v>
      </c>
      <c r="AF242" s="34">
        <f>IF(G242="","",ROUND(AD242/AE242,2))</f>
        <v>0</v>
      </c>
      <c r="AG242" s="53">
        <f>IF(OR(G242="",F242="",AF242=""),"",F242+AF242/24)</f>
        <v>0</v>
      </c>
      <c r="AH242" s="21">
        <f>IF(G242="","",IF(IFERROR(INDEX(Clients!$O$5:$O$204,MATCH(G242,Clients!$A$5:$A$204,0)),0)&gt;0,IFERROR(INDEX(Clients!$O$5:$O$204,MATCH(G242,Clients!$A$5:$A$204,0)),0),HourlyRate))</f>
        <v>0</v>
      </c>
      <c r="AI242" s="21">
        <f>IF(G242="","",IF(AND(M242&lt;&gt;"",IFERROR(INDEX(Services!$P$5:$P$64,MATCH(M242,Services!$B$5:$B$64,0)),0)&gt;0,IFERROR(INDEX(Services!$D$5:$D$64,MATCH(M242,Services!$B$5:$B$64,0)),"")&lt;&gt;"Per hour"),IFERROR(INDEX(Services!$P$5:$P$64,MATCH(M242,Services!$B$5:$B$64,0)),0),AD242*AH242))</f>
        <v>0</v>
      </c>
      <c r="AJ242" s="21">
        <f>IF(G242="","",IF(V242&lt;&gt;"",V242,IF(P242="Cancelled",0,MAX(MinimumCharge,ROUND(AI242*IFERROR(INDEX(FreqFactors,MATCH(O242,FreqNames,0)),1),2)))))</f>
        <v>0</v>
      </c>
      <c r="AK242" s="34">
        <f>IF(G242="","",IF(SUMIFS(Timesheets!$U$5:$U$804,Timesheets!$G$5:$G$804,A242)&gt;0,SUMIFS(Timesheets!$U$5:$U$804,Timesheets!$G$5:$G$804,A242),IF(Z242="","",Z242)))</f>
        <v>0</v>
      </c>
      <c r="AL242" s="34">
        <f>IF(OR(AK242="",AD242=""),"",AK242-AD242)</f>
        <v>0</v>
      </c>
      <c r="AM242" s="31">
        <f>IF(A242="","",COUNTIFS('Job Tasks'!$B$5:$B$904,A242))</f>
        <v>0</v>
      </c>
      <c r="AN242" s="31">
        <f>IF(A242="","",COUNTIFS('Job Tasks'!$B$5:$B$904,A242,'Job Tasks'!$H$5:$H$904,"Done"))</f>
        <v>0</v>
      </c>
      <c r="AO242" s="38">
        <f>IF(OR(A242="",AM242=0),"",AN242/AM242)</f>
        <v>0</v>
      </c>
      <c r="AP242" s="43">
        <f>IF(A242="","",IFERROR(INDEX('Invoice Lines'!$B$5:$B$804,MATCH(A242,'Invoice Lines'!$C$5:$C$804,0)),""))</f>
        <v>0</v>
      </c>
      <c r="AQ242" s="18">
        <f>IF(OR(G242="",B242="",X242&lt;&gt;"Yes"),"",IF(IFERROR(INDEX(FreqDays,MATCH(O242,FreqNames,0)),0)=0,"",B242+IFERROR(INDEX(FreqDays,MATCH(O242,FreqNames,0)),0)))</f>
        <v>0</v>
      </c>
      <c r="AR242" s="39">
        <f>IF(G242="","",IF(R242="","Unassigned",IF(COUNTIFS($R$5:$R$604,R242,$B$5:$B$604,B242,$F$5:$F$604,F242)&gt;1,"Clash",IF(SUMIFS($AF$5:$AF$604,$R$5:$R$604,R242,$B$5:$B$604,B242)&gt;ProductiveHours,"Long day","OK"))))</f>
        <v>0</v>
      </c>
      <c r="AS242" s="18">
        <f>IF(OR(G242="",B242=""),"",IF(AND(B242&gt;=TodayDate,P242&lt;&gt;"Cancelled"),B242,""))</f>
        <v>0</v>
      </c>
      <c r="AT242" s="31">
        <f>IF(AS242="","",COUNTIFS($AS$5:$AS$604,"&lt;"&amp;AS242)+COUNTIFS($AS$5:AS242,AS242))</f>
        <v>0</v>
      </c>
      <c r="AU242" s="18">
        <f>IF(OR(G242="",B242="",R242&lt;&gt;""),"",IF(AND(B242&gt;=TodayDate,P242&lt;&gt;"Cancelled"),B242,""))</f>
        <v>0</v>
      </c>
      <c r="AV242" s="31">
        <f>IF(AU242="","",COUNTIFS($AU$5:$AU$604,"&lt;"&amp;AU242)+COUNTIFS($AU$5:AU242,AU242))</f>
        <v>0</v>
      </c>
      <c r="AW242" s="31">
        <f>IF(OR(G242="",B242=""),"",B242-TodayDate)</f>
        <v>0</v>
      </c>
      <c r="AX242" s="39">
        <f>IF(G242="","",IF(P242="Cancelled","Cancelled",IF(P242="No access","Action - no access, rebook",IF(AND(B242&lt;&gt;"",AW242&lt;0,OR(P242="Booked",P242="Confirmed",P242="In progress")),"Late - mark it completed",IF(AND(P242="Completed",AP242=""),"Action - not invoiced yet",IF(AND(AW242&gt;=0,AW242&lt;=ReminderDays,Y242&lt;&gt;"Yes"),"Confirm - visit coming up",IF(R242="","Assign - no cleaner booked",IF(AND(P242="Completed",AO242&lt;&gt;"",AO242&lt;1),"Check - checklist unfinished","OK"))))))))</f>
        <v>0</v>
      </c>
    </row>
    <row r="243" spans="1:50">
      <c r="A243" s="43">
        <f>IF(G243="","",JobPrefix&amp;TEXT(ROW()-4,"0000"))</f>
        <v>0</v>
      </c>
      <c r="C243" s="23">
        <f>IF(B243="","",TEXT(B243,"ddd"))</f>
        <v>0</v>
      </c>
      <c r="D243" s="31">
        <f>IF(B243="","",WEEKNUM(B243,IF(WeekStart="Sunday",1,2)))</f>
        <v>0</v>
      </c>
      <c r="E243" s="23">
        <f>IF(B243="","",TEXT(B243,"yyyy-mm"))</f>
        <v>0</v>
      </c>
      <c r="H243" s="23">
        <f>IF(G243="","",IFERROR(INDEX(Clients!$B$5:$B$204,MATCH(G243,Clients!$A$5:$A$204,0)),"Not found"))</f>
        <v>0</v>
      </c>
      <c r="I243" s="23">
        <f>IF(G243="","",IFERROR(INDEX(Clients!$C$5:$C$204,MATCH(G243,Clients!$A$5:$A$204,0)),""))</f>
        <v>0</v>
      </c>
      <c r="K243" s="23">
        <f>IF(J243="","",IFERROR(INDEX(Properties!$B$5:$B$254,MATCH(J243,Properties!$A$5:$A$254,0)),""))</f>
        <v>0</v>
      </c>
      <c r="L243" s="23">
        <f>IF(J243="","",IFERROR(INDEX(Properties!$F$5:$F$254,MATCH(J243,Properties!$A$5:$A$254,0)),""))</f>
        <v>0</v>
      </c>
      <c r="AD243" s="34">
        <f>IF(G243="","",IF(U243&lt;&gt;"",U243,IF(AND(IFERROR(INDEX(Services!$D$5:$D$64,MATCH(M243,Services!$B$5:$B$64,0)),"")="Per hour",IFERROR(INDEX(Properties!$X$5:$X$254,MATCH(J243,Properties!$A$5:$A$254,0)),0)&gt;0),IFERROR(INDEX(Properties!$X$5:$X$254,MATCH(J243,Properties!$A$5:$A$254,0)),0),IF(IFERROR(INDEX(Services!$G$5:$G$64,MATCH(M243,Services!$B$5:$B$64,0)),0)&gt;0,IFERROR(INDEX(Services!$G$5:$G$64,MATCH(M243,Services!$B$5:$B$64,0)),0),IFERROR(INDEX(Properties!$X$5:$X$254,MATCH(J243,Properties!$A$5:$A$254,0)),0)))))</f>
        <v>0</v>
      </c>
      <c r="AE243" s="31">
        <f>IF(G243="","",IF(T243="",CleanersPerJob,MAX(1,T243)))</f>
        <v>0</v>
      </c>
      <c r="AF243" s="34">
        <f>IF(G243="","",ROUND(AD243/AE243,2))</f>
        <v>0</v>
      </c>
      <c r="AG243" s="53">
        <f>IF(OR(G243="",F243="",AF243=""),"",F243+AF243/24)</f>
        <v>0</v>
      </c>
      <c r="AH243" s="21">
        <f>IF(G243="","",IF(IFERROR(INDEX(Clients!$O$5:$O$204,MATCH(G243,Clients!$A$5:$A$204,0)),0)&gt;0,IFERROR(INDEX(Clients!$O$5:$O$204,MATCH(G243,Clients!$A$5:$A$204,0)),0),HourlyRate))</f>
        <v>0</v>
      </c>
      <c r="AI243" s="21">
        <f>IF(G243="","",IF(AND(M243&lt;&gt;"",IFERROR(INDEX(Services!$P$5:$P$64,MATCH(M243,Services!$B$5:$B$64,0)),0)&gt;0,IFERROR(INDEX(Services!$D$5:$D$64,MATCH(M243,Services!$B$5:$B$64,0)),"")&lt;&gt;"Per hour"),IFERROR(INDEX(Services!$P$5:$P$64,MATCH(M243,Services!$B$5:$B$64,0)),0),AD243*AH243))</f>
        <v>0</v>
      </c>
      <c r="AJ243" s="21">
        <f>IF(G243="","",IF(V243&lt;&gt;"",V243,IF(P243="Cancelled",0,MAX(MinimumCharge,ROUND(AI243*IFERROR(INDEX(FreqFactors,MATCH(O243,FreqNames,0)),1),2)))))</f>
        <v>0</v>
      </c>
      <c r="AK243" s="34">
        <f>IF(G243="","",IF(SUMIFS(Timesheets!$U$5:$U$804,Timesheets!$G$5:$G$804,A243)&gt;0,SUMIFS(Timesheets!$U$5:$U$804,Timesheets!$G$5:$G$804,A243),IF(Z243="","",Z243)))</f>
        <v>0</v>
      </c>
      <c r="AL243" s="34">
        <f>IF(OR(AK243="",AD243=""),"",AK243-AD243)</f>
        <v>0</v>
      </c>
      <c r="AM243" s="31">
        <f>IF(A243="","",COUNTIFS('Job Tasks'!$B$5:$B$904,A243))</f>
        <v>0</v>
      </c>
      <c r="AN243" s="31">
        <f>IF(A243="","",COUNTIFS('Job Tasks'!$B$5:$B$904,A243,'Job Tasks'!$H$5:$H$904,"Done"))</f>
        <v>0</v>
      </c>
      <c r="AO243" s="38">
        <f>IF(OR(A243="",AM243=0),"",AN243/AM243)</f>
        <v>0</v>
      </c>
      <c r="AP243" s="43">
        <f>IF(A243="","",IFERROR(INDEX('Invoice Lines'!$B$5:$B$804,MATCH(A243,'Invoice Lines'!$C$5:$C$804,0)),""))</f>
        <v>0</v>
      </c>
      <c r="AQ243" s="18">
        <f>IF(OR(G243="",B243="",X243&lt;&gt;"Yes"),"",IF(IFERROR(INDEX(FreqDays,MATCH(O243,FreqNames,0)),0)=0,"",B243+IFERROR(INDEX(FreqDays,MATCH(O243,FreqNames,0)),0)))</f>
        <v>0</v>
      </c>
      <c r="AR243" s="39">
        <f>IF(G243="","",IF(R243="","Unassigned",IF(COUNTIFS($R$5:$R$604,R243,$B$5:$B$604,B243,$F$5:$F$604,F243)&gt;1,"Clash",IF(SUMIFS($AF$5:$AF$604,$R$5:$R$604,R243,$B$5:$B$604,B243)&gt;ProductiveHours,"Long day","OK"))))</f>
        <v>0</v>
      </c>
      <c r="AS243" s="18">
        <f>IF(OR(G243="",B243=""),"",IF(AND(B243&gt;=TodayDate,P243&lt;&gt;"Cancelled"),B243,""))</f>
        <v>0</v>
      </c>
      <c r="AT243" s="31">
        <f>IF(AS243="","",COUNTIFS($AS$5:$AS$604,"&lt;"&amp;AS243)+COUNTIFS($AS$5:AS243,AS243))</f>
        <v>0</v>
      </c>
      <c r="AU243" s="18">
        <f>IF(OR(G243="",B243="",R243&lt;&gt;""),"",IF(AND(B243&gt;=TodayDate,P243&lt;&gt;"Cancelled"),B243,""))</f>
        <v>0</v>
      </c>
      <c r="AV243" s="31">
        <f>IF(AU243="","",COUNTIFS($AU$5:$AU$604,"&lt;"&amp;AU243)+COUNTIFS($AU$5:AU243,AU243))</f>
        <v>0</v>
      </c>
      <c r="AW243" s="31">
        <f>IF(OR(G243="",B243=""),"",B243-TodayDate)</f>
        <v>0</v>
      </c>
      <c r="AX243" s="39">
        <f>IF(G243="","",IF(P243="Cancelled","Cancelled",IF(P243="No access","Action - no access, rebook",IF(AND(B243&lt;&gt;"",AW243&lt;0,OR(P243="Booked",P243="Confirmed",P243="In progress")),"Late - mark it completed",IF(AND(P243="Completed",AP243=""),"Action - not invoiced yet",IF(AND(AW243&gt;=0,AW243&lt;=ReminderDays,Y243&lt;&gt;"Yes"),"Confirm - visit coming up",IF(R243="","Assign - no cleaner booked",IF(AND(P243="Completed",AO243&lt;&gt;"",AO243&lt;1),"Check - checklist unfinished","OK"))))))))</f>
        <v>0</v>
      </c>
    </row>
    <row r="244" spans="1:50">
      <c r="A244" s="43">
        <f>IF(G244="","",JobPrefix&amp;TEXT(ROW()-4,"0000"))</f>
        <v>0</v>
      </c>
      <c r="C244" s="23">
        <f>IF(B244="","",TEXT(B244,"ddd"))</f>
        <v>0</v>
      </c>
      <c r="D244" s="31">
        <f>IF(B244="","",WEEKNUM(B244,IF(WeekStart="Sunday",1,2)))</f>
        <v>0</v>
      </c>
      <c r="E244" s="23">
        <f>IF(B244="","",TEXT(B244,"yyyy-mm"))</f>
        <v>0</v>
      </c>
      <c r="H244" s="23">
        <f>IF(G244="","",IFERROR(INDEX(Clients!$B$5:$B$204,MATCH(G244,Clients!$A$5:$A$204,0)),"Not found"))</f>
        <v>0</v>
      </c>
      <c r="I244" s="23">
        <f>IF(G244="","",IFERROR(INDEX(Clients!$C$5:$C$204,MATCH(G244,Clients!$A$5:$A$204,0)),""))</f>
        <v>0</v>
      </c>
      <c r="K244" s="23">
        <f>IF(J244="","",IFERROR(INDEX(Properties!$B$5:$B$254,MATCH(J244,Properties!$A$5:$A$254,0)),""))</f>
        <v>0</v>
      </c>
      <c r="L244" s="23">
        <f>IF(J244="","",IFERROR(INDEX(Properties!$F$5:$F$254,MATCH(J244,Properties!$A$5:$A$254,0)),""))</f>
        <v>0</v>
      </c>
      <c r="AD244" s="34">
        <f>IF(G244="","",IF(U244&lt;&gt;"",U244,IF(AND(IFERROR(INDEX(Services!$D$5:$D$64,MATCH(M244,Services!$B$5:$B$64,0)),"")="Per hour",IFERROR(INDEX(Properties!$X$5:$X$254,MATCH(J244,Properties!$A$5:$A$254,0)),0)&gt;0),IFERROR(INDEX(Properties!$X$5:$X$254,MATCH(J244,Properties!$A$5:$A$254,0)),0),IF(IFERROR(INDEX(Services!$G$5:$G$64,MATCH(M244,Services!$B$5:$B$64,0)),0)&gt;0,IFERROR(INDEX(Services!$G$5:$G$64,MATCH(M244,Services!$B$5:$B$64,0)),0),IFERROR(INDEX(Properties!$X$5:$X$254,MATCH(J244,Properties!$A$5:$A$254,0)),0)))))</f>
        <v>0</v>
      </c>
      <c r="AE244" s="31">
        <f>IF(G244="","",IF(T244="",CleanersPerJob,MAX(1,T244)))</f>
        <v>0</v>
      </c>
      <c r="AF244" s="34">
        <f>IF(G244="","",ROUND(AD244/AE244,2))</f>
        <v>0</v>
      </c>
      <c r="AG244" s="53">
        <f>IF(OR(G244="",F244="",AF244=""),"",F244+AF244/24)</f>
        <v>0</v>
      </c>
      <c r="AH244" s="21">
        <f>IF(G244="","",IF(IFERROR(INDEX(Clients!$O$5:$O$204,MATCH(G244,Clients!$A$5:$A$204,0)),0)&gt;0,IFERROR(INDEX(Clients!$O$5:$O$204,MATCH(G244,Clients!$A$5:$A$204,0)),0),HourlyRate))</f>
        <v>0</v>
      </c>
      <c r="AI244" s="21">
        <f>IF(G244="","",IF(AND(M244&lt;&gt;"",IFERROR(INDEX(Services!$P$5:$P$64,MATCH(M244,Services!$B$5:$B$64,0)),0)&gt;0,IFERROR(INDEX(Services!$D$5:$D$64,MATCH(M244,Services!$B$5:$B$64,0)),"")&lt;&gt;"Per hour"),IFERROR(INDEX(Services!$P$5:$P$64,MATCH(M244,Services!$B$5:$B$64,0)),0),AD244*AH244))</f>
        <v>0</v>
      </c>
      <c r="AJ244" s="21">
        <f>IF(G244="","",IF(V244&lt;&gt;"",V244,IF(P244="Cancelled",0,MAX(MinimumCharge,ROUND(AI244*IFERROR(INDEX(FreqFactors,MATCH(O244,FreqNames,0)),1),2)))))</f>
        <v>0</v>
      </c>
      <c r="AK244" s="34">
        <f>IF(G244="","",IF(SUMIFS(Timesheets!$U$5:$U$804,Timesheets!$G$5:$G$804,A244)&gt;0,SUMIFS(Timesheets!$U$5:$U$804,Timesheets!$G$5:$G$804,A244),IF(Z244="","",Z244)))</f>
        <v>0</v>
      </c>
      <c r="AL244" s="34">
        <f>IF(OR(AK244="",AD244=""),"",AK244-AD244)</f>
        <v>0</v>
      </c>
      <c r="AM244" s="31">
        <f>IF(A244="","",COUNTIFS('Job Tasks'!$B$5:$B$904,A244))</f>
        <v>0</v>
      </c>
      <c r="AN244" s="31">
        <f>IF(A244="","",COUNTIFS('Job Tasks'!$B$5:$B$904,A244,'Job Tasks'!$H$5:$H$904,"Done"))</f>
        <v>0</v>
      </c>
      <c r="AO244" s="38">
        <f>IF(OR(A244="",AM244=0),"",AN244/AM244)</f>
        <v>0</v>
      </c>
      <c r="AP244" s="43">
        <f>IF(A244="","",IFERROR(INDEX('Invoice Lines'!$B$5:$B$804,MATCH(A244,'Invoice Lines'!$C$5:$C$804,0)),""))</f>
        <v>0</v>
      </c>
      <c r="AQ244" s="18">
        <f>IF(OR(G244="",B244="",X244&lt;&gt;"Yes"),"",IF(IFERROR(INDEX(FreqDays,MATCH(O244,FreqNames,0)),0)=0,"",B244+IFERROR(INDEX(FreqDays,MATCH(O244,FreqNames,0)),0)))</f>
        <v>0</v>
      </c>
      <c r="AR244" s="39">
        <f>IF(G244="","",IF(R244="","Unassigned",IF(COUNTIFS($R$5:$R$604,R244,$B$5:$B$604,B244,$F$5:$F$604,F244)&gt;1,"Clash",IF(SUMIFS($AF$5:$AF$604,$R$5:$R$604,R244,$B$5:$B$604,B244)&gt;ProductiveHours,"Long day","OK"))))</f>
        <v>0</v>
      </c>
      <c r="AS244" s="18">
        <f>IF(OR(G244="",B244=""),"",IF(AND(B244&gt;=TodayDate,P244&lt;&gt;"Cancelled"),B244,""))</f>
        <v>0</v>
      </c>
      <c r="AT244" s="31">
        <f>IF(AS244="","",COUNTIFS($AS$5:$AS$604,"&lt;"&amp;AS244)+COUNTIFS($AS$5:AS244,AS244))</f>
        <v>0</v>
      </c>
      <c r="AU244" s="18">
        <f>IF(OR(G244="",B244="",R244&lt;&gt;""),"",IF(AND(B244&gt;=TodayDate,P244&lt;&gt;"Cancelled"),B244,""))</f>
        <v>0</v>
      </c>
      <c r="AV244" s="31">
        <f>IF(AU244="","",COUNTIFS($AU$5:$AU$604,"&lt;"&amp;AU244)+COUNTIFS($AU$5:AU244,AU244))</f>
        <v>0</v>
      </c>
      <c r="AW244" s="31">
        <f>IF(OR(G244="",B244=""),"",B244-TodayDate)</f>
        <v>0</v>
      </c>
      <c r="AX244" s="39">
        <f>IF(G244="","",IF(P244="Cancelled","Cancelled",IF(P244="No access","Action - no access, rebook",IF(AND(B244&lt;&gt;"",AW244&lt;0,OR(P244="Booked",P244="Confirmed",P244="In progress")),"Late - mark it completed",IF(AND(P244="Completed",AP244=""),"Action - not invoiced yet",IF(AND(AW244&gt;=0,AW244&lt;=ReminderDays,Y244&lt;&gt;"Yes"),"Confirm - visit coming up",IF(R244="","Assign - no cleaner booked",IF(AND(P244="Completed",AO244&lt;&gt;"",AO244&lt;1),"Check - checklist unfinished","OK"))))))))</f>
        <v>0</v>
      </c>
    </row>
    <row r="245" spans="1:50">
      <c r="A245" s="43">
        <f>IF(G245="","",JobPrefix&amp;TEXT(ROW()-4,"0000"))</f>
        <v>0</v>
      </c>
      <c r="C245" s="23">
        <f>IF(B245="","",TEXT(B245,"ddd"))</f>
        <v>0</v>
      </c>
      <c r="D245" s="31">
        <f>IF(B245="","",WEEKNUM(B245,IF(WeekStart="Sunday",1,2)))</f>
        <v>0</v>
      </c>
      <c r="E245" s="23">
        <f>IF(B245="","",TEXT(B245,"yyyy-mm"))</f>
        <v>0</v>
      </c>
      <c r="H245" s="23">
        <f>IF(G245="","",IFERROR(INDEX(Clients!$B$5:$B$204,MATCH(G245,Clients!$A$5:$A$204,0)),"Not found"))</f>
        <v>0</v>
      </c>
      <c r="I245" s="23">
        <f>IF(G245="","",IFERROR(INDEX(Clients!$C$5:$C$204,MATCH(G245,Clients!$A$5:$A$204,0)),""))</f>
        <v>0</v>
      </c>
      <c r="K245" s="23">
        <f>IF(J245="","",IFERROR(INDEX(Properties!$B$5:$B$254,MATCH(J245,Properties!$A$5:$A$254,0)),""))</f>
        <v>0</v>
      </c>
      <c r="L245" s="23">
        <f>IF(J245="","",IFERROR(INDEX(Properties!$F$5:$F$254,MATCH(J245,Properties!$A$5:$A$254,0)),""))</f>
        <v>0</v>
      </c>
      <c r="AD245" s="34">
        <f>IF(G245="","",IF(U245&lt;&gt;"",U245,IF(AND(IFERROR(INDEX(Services!$D$5:$D$64,MATCH(M245,Services!$B$5:$B$64,0)),"")="Per hour",IFERROR(INDEX(Properties!$X$5:$X$254,MATCH(J245,Properties!$A$5:$A$254,0)),0)&gt;0),IFERROR(INDEX(Properties!$X$5:$X$254,MATCH(J245,Properties!$A$5:$A$254,0)),0),IF(IFERROR(INDEX(Services!$G$5:$G$64,MATCH(M245,Services!$B$5:$B$64,0)),0)&gt;0,IFERROR(INDEX(Services!$G$5:$G$64,MATCH(M245,Services!$B$5:$B$64,0)),0),IFERROR(INDEX(Properties!$X$5:$X$254,MATCH(J245,Properties!$A$5:$A$254,0)),0)))))</f>
        <v>0</v>
      </c>
      <c r="AE245" s="31">
        <f>IF(G245="","",IF(T245="",CleanersPerJob,MAX(1,T245)))</f>
        <v>0</v>
      </c>
      <c r="AF245" s="34">
        <f>IF(G245="","",ROUND(AD245/AE245,2))</f>
        <v>0</v>
      </c>
      <c r="AG245" s="53">
        <f>IF(OR(G245="",F245="",AF245=""),"",F245+AF245/24)</f>
        <v>0</v>
      </c>
      <c r="AH245" s="21">
        <f>IF(G245="","",IF(IFERROR(INDEX(Clients!$O$5:$O$204,MATCH(G245,Clients!$A$5:$A$204,0)),0)&gt;0,IFERROR(INDEX(Clients!$O$5:$O$204,MATCH(G245,Clients!$A$5:$A$204,0)),0),HourlyRate))</f>
        <v>0</v>
      </c>
      <c r="AI245" s="21">
        <f>IF(G245="","",IF(AND(M245&lt;&gt;"",IFERROR(INDEX(Services!$P$5:$P$64,MATCH(M245,Services!$B$5:$B$64,0)),0)&gt;0,IFERROR(INDEX(Services!$D$5:$D$64,MATCH(M245,Services!$B$5:$B$64,0)),"")&lt;&gt;"Per hour"),IFERROR(INDEX(Services!$P$5:$P$64,MATCH(M245,Services!$B$5:$B$64,0)),0),AD245*AH245))</f>
        <v>0</v>
      </c>
      <c r="AJ245" s="21">
        <f>IF(G245="","",IF(V245&lt;&gt;"",V245,IF(P245="Cancelled",0,MAX(MinimumCharge,ROUND(AI245*IFERROR(INDEX(FreqFactors,MATCH(O245,FreqNames,0)),1),2)))))</f>
        <v>0</v>
      </c>
      <c r="AK245" s="34">
        <f>IF(G245="","",IF(SUMIFS(Timesheets!$U$5:$U$804,Timesheets!$G$5:$G$804,A245)&gt;0,SUMIFS(Timesheets!$U$5:$U$804,Timesheets!$G$5:$G$804,A245),IF(Z245="","",Z245)))</f>
        <v>0</v>
      </c>
      <c r="AL245" s="34">
        <f>IF(OR(AK245="",AD245=""),"",AK245-AD245)</f>
        <v>0</v>
      </c>
      <c r="AM245" s="31">
        <f>IF(A245="","",COUNTIFS('Job Tasks'!$B$5:$B$904,A245))</f>
        <v>0</v>
      </c>
      <c r="AN245" s="31">
        <f>IF(A245="","",COUNTIFS('Job Tasks'!$B$5:$B$904,A245,'Job Tasks'!$H$5:$H$904,"Done"))</f>
        <v>0</v>
      </c>
      <c r="AO245" s="38">
        <f>IF(OR(A245="",AM245=0),"",AN245/AM245)</f>
        <v>0</v>
      </c>
      <c r="AP245" s="43">
        <f>IF(A245="","",IFERROR(INDEX('Invoice Lines'!$B$5:$B$804,MATCH(A245,'Invoice Lines'!$C$5:$C$804,0)),""))</f>
        <v>0</v>
      </c>
      <c r="AQ245" s="18">
        <f>IF(OR(G245="",B245="",X245&lt;&gt;"Yes"),"",IF(IFERROR(INDEX(FreqDays,MATCH(O245,FreqNames,0)),0)=0,"",B245+IFERROR(INDEX(FreqDays,MATCH(O245,FreqNames,0)),0)))</f>
        <v>0</v>
      </c>
      <c r="AR245" s="39">
        <f>IF(G245="","",IF(R245="","Unassigned",IF(COUNTIFS($R$5:$R$604,R245,$B$5:$B$604,B245,$F$5:$F$604,F245)&gt;1,"Clash",IF(SUMIFS($AF$5:$AF$604,$R$5:$R$604,R245,$B$5:$B$604,B245)&gt;ProductiveHours,"Long day","OK"))))</f>
        <v>0</v>
      </c>
      <c r="AS245" s="18">
        <f>IF(OR(G245="",B245=""),"",IF(AND(B245&gt;=TodayDate,P245&lt;&gt;"Cancelled"),B245,""))</f>
        <v>0</v>
      </c>
      <c r="AT245" s="31">
        <f>IF(AS245="","",COUNTIFS($AS$5:$AS$604,"&lt;"&amp;AS245)+COUNTIFS($AS$5:AS245,AS245))</f>
        <v>0</v>
      </c>
      <c r="AU245" s="18">
        <f>IF(OR(G245="",B245="",R245&lt;&gt;""),"",IF(AND(B245&gt;=TodayDate,P245&lt;&gt;"Cancelled"),B245,""))</f>
        <v>0</v>
      </c>
      <c r="AV245" s="31">
        <f>IF(AU245="","",COUNTIFS($AU$5:$AU$604,"&lt;"&amp;AU245)+COUNTIFS($AU$5:AU245,AU245))</f>
        <v>0</v>
      </c>
      <c r="AW245" s="31">
        <f>IF(OR(G245="",B245=""),"",B245-TodayDate)</f>
        <v>0</v>
      </c>
      <c r="AX245" s="39">
        <f>IF(G245="","",IF(P245="Cancelled","Cancelled",IF(P245="No access","Action - no access, rebook",IF(AND(B245&lt;&gt;"",AW245&lt;0,OR(P245="Booked",P245="Confirmed",P245="In progress")),"Late - mark it completed",IF(AND(P245="Completed",AP245=""),"Action - not invoiced yet",IF(AND(AW245&gt;=0,AW245&lt;=ReminderDays,Y245&lt;&gt;"Yes"),"Confirm - visit coming up",IF(R245="","Assign - no cleaner booked",IF(AND(P245="Completed",AO245&lt;&gt;"",AO245&lt;1),"Check - checklist unfinished","OK"))))))))</f>
        <v>0</v>
      </c>
    </row>
    <row r="246" spans="1:50">
      <c r="A246" s="43">
        <f>IF(G246="","",JobPrefix&amp;TEXT(ROW()-4,"0000"))</f>
        <v>0</v>
      </c>
      <c r="C246" s="23">
        <f>IF(B246="","",TEXT(B246,"ddd"))</f>
        <v>0</v>
      </c>
      <c r="D246" s="31">
        <f>IF(B246="","",WEEKNUM(B246,IF(WeekStart="Sunday",1,2)))</f>
        <v>0</v>
      </c>
      <c r="E246" s="23">
        <f>IF(B246="","",TEXT(B246,"yyyy-mm"))</f>
        <v>0</v>
      </c>
      <c r="H246" s="23">
        <f>IF(G246="","",IFERROR(INDEX(Clients!$B$5:$B$204,MATCH(G246,Clients!$A$5:$A$204,0)),"Not found"))</f>
        <v>0</v>
      </c>
      <c r="I246" s="23">
        <f>IF(G246="","",IFERROR(INDEX(Clients!$C$5:$C$204,MATCH(G246,Clients!$A$5:$A$204,0)),""))</f>
        <v>0</v>
      </c>
      <c r="K246" s="23">
        <f>IF(J246="","",IFERROR(INDEX(Properties!$B$5:$B$254,MATCH(J246,Properties!$A$5:$A$254,0)),""))</f>
        <v>0</v>
      </c>
      <c r="L246" s="23">
        <f>IF(J246="","",IFERROR(INDEX(Properties!$F$5:$F$254,MATCH(J246,Properties!$A$5:$A$254,0)),""))</f>
        <v>0</v>
      </c>
      <c r="AD246" s="34">
        <f>IF(G246="","",IF(U246&lt;&gt;"",U246,IF(AND(IFERROR(INDEX(Services!$D$5:$D$64,MATCH(M246,Services!$B$5:$B$64,0)),"")="Per hour",IFERROR(INDEX(Properties!$X$5:$X$254,MATCH(J246,Properties!$A$5:$A$254,0)),0)&gt;0),IFERROR(INDEX(Properties!$X$5:$X$254,MATCH(J246,Properties!$A$5:$A$254,0)),0),IF(IFERROR(INDEX(Services!$G$5:$G$64,MATCH(M246,Services!$B$5:$B$64,0)),0)&gt;0,IFERROR(INDEX(Services!$G$5:$G$64,MATCH(M246,Services!$B$5:$B$64,0)),0),IFERROR(INDEX(Properties!$X$5:$X$254,MATCH(J246,Properties!$A$5:$A$254,0)),0)))))</f>
        <v>0</v>
      </c>
      <c r="AE246" s="31">
        <f>IF(G246="","",IF(T246="",CleanersPerJob,MAX(1,T246)))</f>
        <v>0</v>
      </c>
      <c r="AF246" s="34">
        <f>IF(G246="","",ROUND(AD246/AE246,2))</f>
        <v>0</v>
      </c>
      <c r="AG246" s="53">
        <f>IF(OR(G246="",F246="",AF246=""),"",F246+AF246/24)</f>
        <v>0</v>
      </c>
      <c r="AH246" s="21">
        <f>IF(G246="","",IF(IFERROR(INDEX(Clients!$O$5:$O$204,MATCH(G246,Clients!$A$5:$A$204,0)),0)&gt;0,IFERROR(INDEX(Clients!$O$5:$O$204,MATCH(G246,Clients!$A$5:$A$204,0)),0),HourlyRate))</f>
        <v>0</v>
      </c>
      <c r="AI246" s="21">
        <f>IF(G246="","",IF(AND(M246&lt;&gt;"",IFERROR(INDEX(Services!$P$5:$P$64,MATCH(M246,Services!$B$5:$B$64,0)),0)&gt;0,IFERROR(INDEX(Services!$D$5:$D$64,MATCH(M246,Services!$B$5:$B$64,0)),"")&lt;&gt;"Per hour"),IFERROR(INDEX(Services!$P$5:$P$64,MATCH(M246,Services!$B$5:$B$64,0)),0),AD246*AH246))</f>
        <v>0</v>
      </c>
      <c r="AJ246" s="21">
        <f>IF(G246="","",IF(V246&lt;&gt;"",V246,IF(P246="Cancelled",0,MAX(MinimumCharge,ROUND(AI246*IFERROR(INDEX(FreqFactors,MATCH(O246,FreqNames,0)),1),2)))))</f>
        <v>0</v>
      </c>
      <c r="AK246" s="34">
        <f>IF(G246="","",IF(SUMIFS(Timesheets!$U$5:$U$804,Timesheets!$G$5:$G$804,A246)&gt;0,SUMIFS(Timesheets!$U$5:$U$804,Timesheets!$G$5:$G$804,A246),IF(Z246="","",Z246)))</f>
        <v>0</v>
      </c>
      <c r="AL246" s="34">
        <f>IF(OR(AK246="",AD246=""),"",AK246-AD246)</f>
        <v>0</v>
      </c>
      <c r="AM246" s="31">
        <f>IF(A246="","",COUNTIFS('Job Tasks'!$B$5:$B$904,A246))</f>
        <v>0</v>
      </c>
      <c r="AN246" s="31">
        <f>IF(A246="","",COUNTIFS('Job Tasks'!$B$5:$B$904,A246,'Job Tasks'!$H$5:$H$904,"Done"))</f>
        <v>0</v>
      </c>
      <c r="AO246" s="38">
        <f>IF(OR(A246="",AM246=0),"",AN246/AM246)</f>
        <v>0</v>
      </c>
      <c r="AP246" s="43">
        <f>IF(A246="","",IFERROR(INDEX('Invoice Lines'!$B$5:$B$804,MATCH(A246,'Invoice Lines'!$C$5:$C$804,0)),""))</f>
        <v>0</v>
      </c>
      <c r="AQ246" s="18">
        <f>IF(OR(G246="",B246="",X246&lt;&gt;"Yes"),"",IF(IFERROR(INDEX(FreqDays,MATCH(O246,FreqNames,0)),0)=0,"",B246+IFERROR(INDEX(FreqDays,MATCH(O246,FreqNames,0)),0)))</f>
        <v>0</v>
      </c>
      <c r="AR246" s="39">
        <f>IF(G246="","",IF(R246="","Unassigned",IF(COUNTIFS($R$5:$R$604,R246,$B$5:$B$604,B246,$F$5:$F$604,F246)&gt;1,"Clash",IF(SUMIFS($AF$5:$AF$604,$R$5:$R$604,R246,$B$5:$B$604,B246)&gt;ProductiveHours,"Long day","OK"))))</f>
        <v>0</v>
      </c>
      <c r="AS246" s="18">
        <f>IF(OR(G246="",B246=""),"",IF(AND(B246&gt;=TodayDate,P246&lt;&gt;"Cancelled"),B246,""))</f>
        <v>0</v>
      </c>
      <c r="AT246" s="31">
        <f>IF(AS246="","",COUNTIFS($AS$5:$AS$604,"&lt;"&amp;AS246)+COUNTIFS($AS$5:AS246,AS246))</f>
        <v>0</v>
      </c>
      <c r="AU246" s="18">
        <f>IF(OR(G246="",B246="",R246&lt;&gt;""),"",IF(AND(B246&gt;=TodayDate,P246&lt;&gt;"Cancelled"),B246,""))</f>
        <v>0</v>
      </c>
      <c r="AV246" s="31">
        <f>IF(AU246="","",COUNTIFS($AU$5:$AU$604,"&lt;"&amp;AU246)+COUNTIFS($AU$5:AU246,AU246))</f>
        <v>0</v>
      </c>
      <c r="AW246" s="31">
        <f>IF(OR(G246="",B246=""),"",B246-TodayDate)</f>
        <v>0</v>
      </c>
      <c r="AX246" s="39">
        <f>IF(G246="","",IF(P246="Cancelled","Cancelled",IF(P246="No access","Action - no access, rebook",IF(AND(B246&lt;&gt;"",AW246&lt;0,OR(P246="Booked",P246="Confirmed",P246="In progress")),"Late - mark it completed",IF(AND(P246="Completed",AP246=""),"Action - not invoiced yet",IF(AND(AW246&gt;=0,AW246&lt;=ReminderDays,Y246&lt;&gt;"Yes"),"Confirm - visit coming up",IF(R246="","Assign - no cleaner booked",IF(AND(P246="Completed",AO246&lt;&gt;"",AO246&lt;1),"Check - checklist unfinished","OK"))))))))</f>
        <v>0</v>
      </c>
    </row>
    <row r="247" spans="1:50">
      <c r="A247" s="43">
        <f>IF(G247="","",JobPrefix&amp;TEXT(ROW()-4,"0000"))</f>
        <v>0</v>
      </c>
      <c r="C247" s="23">
        <f>IF(B247="","",TEXT(B247,"ddd"))</f>
        <v>0</v>
      </c>
      <c r="D247" s="31">
        <f>IF(B247="","",WEEKNUM(B247,IF(WeekStart="Sunday",1,2)))</f>
        <v>0</v>
      </c>
      <c r="E247" s="23">
        <f>IF(B247="","",TEXT(B247,"yyyy-mm"))</f>
        <v>0</v>
      </c>
      <c r="H247" s="23">
        <f>IF(G247="","",IFERROR(INDEX(Clients!$B$5:$B$204,MATCH(G247,Clients!$A$5:$A$204,0)),"Not found"))</f>
        <v>0</v>
      </c>
      <c r="I247" s="23">
        <f>IF(G247="","",IFERROR(INDEX(Clients!$C$5:$C$204,MATCH(G247,Clients!$A$5:$A$204,0)),""))</f>
        <v>0</v>
      </c>
      <c r="K247" s="23">
        <f>IF(J247="","",IFERROR(INDEX(Properties!$B$5:$B$254,MATCH(J247,Properties!$A$5:$A$254,0)),""))</f>
        <v>0</v>
      </c>
      <c r="L247" s="23">
        <f>IF(J247="","",IFERROR(INDEX(Properties!$F$5:$F$254,MATCH(J247,Properties!$A$5:$A$254,0)),""))</f>
        <v>0</v>
      </c>
      <c r="AD247" s="34">
        <f>IF(G247="","",IF(U247&lt;&gt;"",U247,IF(AND(IFERROR(INDEX(Services!$D$5:$D$64,MATCH(M247,Services!$B$5:$B$64,0)),"")="Per hour",IFERROR(INDEX(Properties!$X$5:$X$254,MATCH(J247,Properties!$A$5:$A$254,0)),0)&gt;0),IFERROR(INDEX(Properties!$X$5:$X$254,MATCH(J247,Properties!$A$5:$A$254,0)),0),IF(IFERROR(INDEX(Services!$G$5:$G$64,MATCH(M247,Services!$B$5:$B$64,0)),0)&gt;0,IFERROR(INDEX(Services!$G$5:$G$64,MATCH(M247,Services!$B$5:$B$64,0)),0),IFERROR(INDEX(Properties!$X$5:$X$254,MATCH(J247,Properties!$A$5:$A$254,0)),0)))))</f>
        <v>0</v>
      </c>
      <c r="AE247" s="31">
        <f>IF(G247="","",IF(T247="",CleanersPerJob,MAX(1,T247)))</f>
        <v>0</v>
      </c>
      <c r="AF247" s="34">
        <f>IF(G247="","",ROUND(AD247/AE247,2))</f>
        <v>0</v>
      </c>
      <c r="AG247" s="53">
        <f>IF(OR(G247="",F247="",AF247=""),"",F247+AF247/24)</f>
        <v>0</v>
      </c>
      <c r="AH247" s="21">
        <f>IF(G247="","",IF(IFERROR(INDEX(Clients!$O$5:$O$204,MATCH(G247,Clients!$A$5:$A$204,0)),0)&gt;0,IFERROR(INDEX(Clients!$O$5:$O$204,MATCH(G247,Clients!$A$5:$A$204,0)),0),HourlyRate))</f>
        <v>0</v>
      </c>
      <c r="AI247" s="21">
        <f>IF(G247="","",IF(AND(M247&lt;&gt;"",IFERROR(INDEX(Services!$P$5:$P$64,MATCH(M247,Services!$B$5:$B$64,0)),0)&gt;0,IFERROR(INDEX(Services!$D$5:$D$64,MATCH(M247,Services!$B$5:$B$64,0)),"")&lt;&gt;"Per hour"),IFERROR(INDEX(Services!$P$5:$P$64,MATCH(M247,Services!$B$5:$B$64,0)),0),AD247*AH247))</f>
        <v>0</v>
      </c>
      <c r="AJ247" s="21">
        <f>IF(G247="","",IF(V247&lt;&gt;"",V247,IF(P247="Cancelled",0,MAX(MinimumCharge,ROUND(AI247*IFERROR(INDEX(FreqFactors,MATCH(O247,FreqNames,0)),1),2)))))</f>
        <v>0</v>
      </c>
      <c r="AK247" s="34">
        <f>IF(G247="","",IF(SUMIFS(Timesheets!$U$5:$U$804,Timesheets!$G$5:$G$804,A247)&gt;0,SUMIFS(Timesheets!$U$5:$U$804,Timesheets!$G$5:$G$804,A247),IF(Z247="","",Z247)))</f>
        <v>0</v>
      </c>
      <c r="AL247" s="34">
        <f>IF(OR(AK247="",AD247=""),"",AK247-AD247)</f>
        <v>0</v>
      </c>
      <c r="AM247" s="31">
        <f>IF(A247="","",COUNTIFS('Job Tasks'!$B$5:$B$904,A247))</f>
        <v>0</v>
      </c>
      <c r="AN247" s="31">
        <f>IF(A247="","",COUNTIFS('Job Tasks'!$B$5:$B$904,A247,'Job Tasks'!$H$5:$H$904,"Done"))</f>
        <v>0</v>
      </c>
      <c r="AO247" s="38">
        <f>IF(OR(A247="",AM247=0),"",AN247/AM247)</f>
        <v>0</v>
      </c>
      <c r="AP247" s="43">
        <f>IF(A247="","",IFERROR(INDEX('Invoice Lines'!$B$5:$B$804,MATCH(A247,'Invoice Lines'!$C$5:$C$804,0)),""))</f>
        <v>0</v>
      </c>
      <c r="AQ247" s="18">
        <f>IF(OR(G247="",B247="",X247&lt;&gt;"Yes"),"",IF(IFERROR(INDEX(FreqDays,MATCH(O247,FreqNames,0)),0)=0,"",B247+IFERROR(INDEX(FreqDays,MATCH(O247,FreqNames,0)),0)))</f>
        <v>0</v>
      </c>
      <c r="AR247" s="39">
        <f>IF(G247="","",IF(R247="","Unassigned",IF(COUNTIFS($R$5:$R$604,R247,$B$5:$B$604,B247,$F$5:$F$604,F247)&gt;1,"Clash",IF(SUMIFS($AF$5:$AF$604,$R$5:$R$604,R247,$B$5:$B$604,B247)&gt;ProductiveHours,"Long day","OK"))))</f>
        <v>0</v>
      </c>
      <c r="AS247" s="18">
        <f>IF(OR(G247="",B247=""),"",IF(AND(B247&gt;=TodayDate,P247&lt;&gt;"Cancelled"),B247,""))</f>
        <v>0</v>
      </c>
      <c r="AT247" s="31">
        <f>IF(AS247="","",COUNTIFS($AS$5:$AS$604,"&lt;"&amp;AS247)+COUNTIFS($AS$5:AS247,AS247))</f>
        <v>0</v>
      </c>
      <c r="AU247" s="18">
        <f>IF(OR(G247="",B247="",R247&lt;&gt;""),"",IF(AND(B247&gt;=TodayDate,P247&lt;&gt;"Cancelled"),B247,""))</f>
        <v>0</v>
      </c>
      <c r="AV247" s="31">
        <f>IF(AU247="","",COUNTIFS($AU$5:$AU$604,"&lt;"&amp;AU247)+COUNTIFS($AU$5:AU247,AU247))</f>
        <v>0</v>
      </c>
      <c r="AW247" s="31">
        <f>IF(OR(G247="",B247=""),"",B247-TodayDate)</f>
        <v>0</v>
      </c>
      <c r="AX247" s="39">
        <f>IF(G247="","",IF(P247="Cancelled","Cancelled",IF(P247="No access","Action - no access, rebook",IF(AND(B247&lt;&gt;"",AW247&lt;0,OR(P247="Booked",P247="Confirmed",P247="In progress")),"Late - mark it completed",IF(AND(P247="Completed",AP247=""),"Action - not invoiced yet",IF(AND(AW247&gt;=0,AW247&lt;=ReminderDays,Y247&lt;&gt;"Yes"),"Confirm - visit coming up",IF(R247="","Assign - no cleaner booked",IF(AND(P247="Completed",AO247&lt;&gt;"",AO247&lt;1),"Check - checklist unfinished","OK"))))))))</f>
        <v>0</v>
      </c>
    </row>
    <row r="248" spans="1:50">
      <c r="A248" s="43">
        <f>IF(G248="","",JobPrefix&amp;TEXT(ROW()-4,"0000"))</f>
        <v>0</v>
      </c>
      <c r="C248" s="23">
        <f>IF(B248="","",TEXT(B248,"ddd"))</f>
        <v>0</v>
      </c>
      <c r="D248" s="31">
        <f>IF(B248="","",WEEKNUM(B248,IF(WeekStart="Sunday",1,2)))</f>
        <v>0</v>
      </c>
      <c r="E248" s="23">
        <f>IF(B248="","",TEXT(B248,"yyyy-mm"))</f>
        <v>0</v>
      </c>
      <c r="H248" s="23">
        <f>IF(G248="","",IFERROR(INDEX(Clients!$B$5:$B$204,MATCH(G248,Clients!$A$5:$A$204,0)),"Not found"))</f>
        <v>0</v>
      </c>
      <c r="I248" s="23">
        <f>IF(G248="","",IFERROR(INDEX(Clients!$C$5:$C$204,MATCH(G248,Clients!$A$5:$A$204,0)),""))</f>
        <v>0</v>
      </c>
      <c r="K248" s="23">
        <f>IF(J248="","",IFERROR(INDEX(Properties!$B$5:$B$254,MATCH(J248,Properties!$A$5:$A$254,0)),""))</f>
        <v>0</v>
      </c>
      <c r="L248" s="23">
        <f>IF(J248="","",IFERROR(INDEX(Properties!$F$5:$F$254,MATCH(J248,Properties!$A$5:$A$254,0)),""))</f>
        <v>0</v>
      </c>
      <c r="AD248" s="34">
        <f>IF(G248="","",IF(U248&lt;&gt;"",U248,IF(AND(IFERROR(INDEX(Services!$D$5:$D$64,MATCH(M248,Services!$B$5:$B$64,0)),"")="Per hour",IFERROR(INDEX(Properties!$X$5:$X$254,MATCH(J248,Properties!$A$5:$A$254,0)),0)&gt;0),IFERROR(INDEX(Properties!$X$5:$X$254,MATCH(J248,Properties!$A$5:$A$254,0)),0),IF(IFERROR(INDEX(Services!$G$5:$G$64,MATCH(M248,Services!$B$5:$B$64,0)),0)&gt;0,IFERROR(INDEX(Services!$G$5:$G$64,MATCH(M248,Services!$B$5:$B$64,0)),0),IFERROR(INDEX(Properties!$X$5:$X$254,MATCH(J248,Properties!$A$5:$A$254,0)),0)))))</f>
        <v>0</v>
      </c>
      <c r="AE248" s="31">
        <f>IF(G248="","",IF(T248="",CleanersPerJob,MAX(1,T248)))</f>
        <v>0</v>
      </c>
      <c r="AF248" s="34">
        <f>IF(G248="","",ROUND(AD248/AE248,2))</f>
        <v>0</v>
      </c>
      <c r="AG248" s="53">
        <f>IF(OR(G248="",F248="",AF248=""),"",F248+AF248/24)</f>
        <v>0</v>
      </c>
      <c r="AH248" s="21">
        <f>IF(G248="","",IF(IFERROR(INDEX(Clients!$O$5:$O$204,MATCH(G248,Clients!$A$5:$A$204,0)),0)&gt;0,IFERROR(INDEX(Clients!$O$5:$O$204,MATCH(G248,Clients!$A$5:$A$204,0)),0),HourlyRate))</f>
        <v>0</v>
      </c>
      <c r="AI248" s="21">
        <f>IF(G248="","",IF(AND(M248&lt;&gt;"",IFERROR(INDEX(Services!$P$5:$P$64,MATCH(M248,Services!$B$5:$B$64,0)),0)&gt;0,IFERROR(INDEX(Services!$D$5:$D$64,MATCH(M248,Services!$B$5:$B$64,0)),"")&lt;&gt;"Per hour"),IFERROR(INDEX(Services!$P$5:$P$64,MATCH(M248,Services!$B$5:$B$64,0)),0),AD248*AH248))</f>
        <v>0</v>
      </c>
      <c r="AJ248" s="21">
        <f>IF(G248="","",IF(V248&lt;&gt;"",V248,IF(P248="Cancelled",0,MAX(MinimumCharge,ROUND(AI248*IFERROR(INDEX(FreqFactors,MATCH(O248,FreqNames,0)),1),2)))))</f>
        <v>0</v>
      </c>
      <c r="AK248" s="34">
        <f>IF(G248="","",IF(SUMIFS(Timesheets!$U$5:$U$804,Timesheets!$G$5:$G$804,A248)&gt;0,SUMIFS(Timesheets!$U$5:$U$804,Timesheets!$G$5:$G$804,A248),IF(Z248="","",Z248)))</f>
        <v>0</v>
      </c>
      <c r="AL248" s="34">
        <f>IF(OR(AK248="",AD248=""),"",AK248-AD248)</f>
        <v>0</v>
      </c>
      <c r="AM248" s="31">
        <f>IF(A248="","",COUNTIFS('Job Tasks'!$B$5:$B$904,A248))</f>
        <v>0</v>
      </c>
      <c r="AN248" s="31">
        <f>IF(A248="","",COUNTIFS('Job Tasks'!$B$5:$B$904,A248,'Job Tasks'!$H$5:$H$904,"Done"))</f>
        <v>0</v>
      </c>
      <c r="AO248" s="38">
        <f>IF(OR(A248="",AM248=0),"",AN248/AM248)</f>
        <v>0</v>
      </c>
      <c r="AP248" s="43">
        <f>IF(A248="","",IFERROR(INDEX('Invoice Lines'!$B$5:$B$804,MATCH(A248,'Invoice Lines'!$C$5:$C$804,0)),""))</f>
        <v>0</v>
      </c>
      <c r="AQ248" s="18">
        <f>IF(OR(G248="",B248="",X248&lt;&gt;"Yes"),"",IF(IFERROR(INDEX(FreqDays,MATCH(O248,FreqNames,0)),0)=0,"",B248+IFERROR(INDEX(FreqDays,MATCH(O248,FreqNames,0)),0)))</f>
        <v>0</v>
      </c>
      <c r="AR248" s="39">
        <f>IF(G248="","",IF(R248="","Unassigned",IF(COUNTIFS($R$5:$R$604,R248,$B$5:$B$604,B248,$F$5:$F$604,F248)&gt;1,"Clash",IF(SUMIFS($AF$5:$AF$604,$R$5:$R$604,R248,$B$5:$B$604,B248)&gt;ProductiveHours,"Long day","OK"))))</f>
        <v>0</v>
      </c>
      <c r="AS248" s="18">
        <f>IF(OR(G248="",B248=""),"",IF(AND(B248&gt;=TodayDate,P248&lt;&gt;"Cancelled"),B248,""))</f>
        <v>0</v>
      </c>
      <c r="AT248" s="31">
        <f>IF(AS248="","",COUNTIFS($AS$5:$AS$604,"&lt;"&amp;AS248)+COUNTIFS($AS$5:AS248,AS248))</f>
        <v>0</v>
      </c>
      <c r="AU248" s="18">
        <f>IF(OR(G248="",B248="",R248&lt;&gt;""),"",IF(AND(B248&gt;=TodayDate,P248&lt;&gt;"Cancelled"),B248,""))</f>
        <v>0</v>
      </c>
      <c r="AV248" s="31">
        <f>IF(AU248="","",COUNTIFS($AU$5:$AU$604,"&lt;"&amp;AU248)+COUNTIFS($AU$5:AU248,AU248))</f>
        <v>0</v>
      </c>
      <c r="AW248" s="31">
        <f>IF(OR(G248="",B248=""),"",B248-TodayDate)</f>
        <v>0</v>
      </c>
      <c r="AX248" s="39">
        <f>IF(G248="","",IF(P248="Cancelled","Cancelled",IF(P248="No access","Action - no access, rebook",IF(AND(B248&lt;&gt;"",AW248&lt;0,OR(P248="Booked",P248="Confirmed",P248="In progress")),"Late - mark it completed",IF(AND(P248="Completed",AP248=""),"Action - not invoiced yet",IF(AND(AW248&gt;=0,AW248&lt;=ReminderDays,Y248&lt;&gt;"Yes"),"Confirm - visit coming up",IF(R248="","Assign - no cleaner booked",IF(AND(P248="Completed",AO248&lt;&gt;"",AO248&lt;1),"Check - checklist unfinished","OK"))))))))</f>
        <v>0</v>
      </c>
    </row>
    <row r="249" spans="1:50">
      <c r="A249" s="43">
        <f>IF(G249="","",JobPrefix&amp;TEXT(ROW()-4,"0000"))</f>
        <v>0</v>
      </c>
      <c r="C249" s="23">
        <f>IF(B249="","",TEXT(B249,"ddd"))</f>
        <v>0</v>
      </c>
      <c r="D249" s="31">
        <f>IF(B249="","",WEEKNUM(B249,IF(WeekStart="Sunday",1,2)))</f>
        <v>0</v>
      </c>
      <c r="E249" s="23">
        <f>IF(B249="","",TEXT(B249,"yyyy-mm"))</f>
        <v>0</v>
      </c>
      <c r="H249" s="23">
        <f>IF(G249="","",IFERROR(INDEX(Clients!$B$5:$B$204,MATCH(G249,Clients!$A$5:$A$204,0)),"Not found"))</f>
        <v>0</v>
      </c>
      <c r="I249" s="23">
        <f>IF(G249="","",IFERROR(INDEX(Clients!$C$5:$C$204,MATCH(G249,Clients!$A$5:$A$204,0)),""))</f>
        <v>0</v>
      </c>
      <c r="K249" s="23">
        <f>IF(J249="","",IFERROR(INDEX(Properties!$B$5:$B$254,MATCH(J249,Properties!$A$5:$A$254,0)),""))</f>
        <v>0</v>
      </c>
      <c r="L249" s="23">
        <f>IF(J249="","",IFERROR(INDEX(Properties!$F$5:$F$254,MATCH(J249,Properties!$A$5:$A$254,0)),""))</f>
        <v>0</v>
      </c>
      <c r="AD249" s="34">
        <f>IF(G249="","",IF(U249&lt;&gt;"",U249,IF(AND(IFERROR(INDEX(Services!$D$5:$D$64,MATCH(M249,Services!$B$5:$B$64,0)),"")="Per hour",IFERROR(INDEX(Properties!$X$5:$X$254,MATCH(J249,Properties!$A$5:$A$254,0)),0)&gt;0),IFERROR(INDEX(Properties!$X$5:$X$254,MATCH(J249,Properties!$A$5:$A$254,0)),0),IF(IFERROR(INDEX(Services!$G$5:$G$64,MATCH(M249,Services!$B$5:$B$64,0)),0)&gt;0,IFERROR(INDEX(Services!$G$5:$G$64,MATCH(M249,Services!$B$5:$B$64,0)),0),IFERROR(INDEX(Properties!$X$5:$X$254,MATCH(J249,Properties!$A$5:$A$254,0)),0)))))</f>
        <v>0</v>
      </c>
      <c r="AE249" s="31">
        <f>IF(G249="","",IF(T249="",CleanersPerJob,MAX(1,T249)))</f>
        <v>0</v>
      </c>
      <c r="AF249" s="34">
        <f>IF(G249="","",ROUND(AD249/AE249,2))</f>
        <v>0</v>
      </c>
      <c r="AG249" s="53">
        <f>IF(OR(G249="",F249="",AF249=""),"",F249+AF249/24)</f>
        <v>0</v>
      </c>
      <c r="AH249" s="21">
        <f>IF(G249="","",IF(IFERROR(INDEX(Clients!$O$5:$O$204,MATCH(G249,Clients!$A$5:$A$204,0)),0)&gt;0,IFERROR(INDEX(Clients!$O$5:$O$204,MATCH(G249,Clients!$A$5:$A$204,0)),0),HourlyRate))</f>
        <v>0</v>
      </c>
      <c r="AI249" s="21">
        <f>IF(G249="","",IF(AND(M249&lt;&gt;"",IFERROR(INDEX(Services!$P$5:$P$64,MATCH(M249,Services!$B$5:$B$64,0)),0)&gt;0,IFERROR(INDEX(Services!$D$5:$D$64,MATCH(M249,Services!$B$5:$B$64,0)),"")&lt;&gt;"Per hour"),IFERROR(INDEX(Services!$P$5:$P$64,MATCH(M249,Services!$B$5:$B$64,0)),0),AD249*AH249))</f>
        <v>0</v>
      </c>
      <c r="AJ249" s="21">
        <f>IF(G249="","",IF(V249&lt;&gt;"",V249,IF(P249="Cancelled",0,MAX(MinimumCharge,ROUND(AI249*IFERROR(INDEX(FreqFactors,MATCH(O249,FreqNames,0)),1),2)))))</f>
        <v>0</v>
      </c>
      <c r="AK249" s="34">
        <f>IF(G249="","",IF(SUMIFS(Timesheets!$U$5:$U$804,Timesheets!$G$5:$G$804,A249)&gt;0,SUMIFS(Timesheets!$U$5:$U$804,Timesheets!$G$5:$G$804,A249),IF(Z249="","",Z249)))</f>
        <v>0</v>
      </c>
      <c r="AL249" s="34">
        <f>IF(OR(AK249="",AD249=""),"",AK249-AD249)</f>
        <v>0</v>
      </c>
      <c r="AM249" s="31">
        <f>IF(A249="","",COUNTIFS('Job Tasks'!$B$5:$B$904,A249))</f>
        <v>0</v>
      </c>
      <c r="AN249" s="31">
        <f>IF(A249="","",COUNTIFS('Job Tasks'!$B$5:$B$904,A249,'Job Tasks'!$H$5:$H$904,"Done"))</f>
        <v>0</v>
      </c>
      <c r="AO249" s="38">
        <f>IF(OR(A249="",AM249=0),"",AN249/AM249)</f>
        <v>0</v>
      </c>
      <c r="AP249" s="43">
        <f>IF(A249="","",IFERROR(INDEX('Invoice Lines'!$B$5:$B$804,MATCH(A249,'Invoice Lines'!$C$5:$C$804,0)),""))</f>
        <v>0</v>
      </c>
      <c r="AQ249" s="18">
        <f>IF(OR(G249="",B249="",X249&lt;&gt;"Yes"),"",IF(IFERROR(INDEX(FreqDays,MATCH(O249,FreqNames,0)),0)=0,"",B249+IFERROR(INDEX(FreqDays,MATCH(O249,FreqNames,0)),0)))</f>
        <v>0</v>
      </c>
      <c r="AR249" s="39">
        <f>IF(G249="","",IF(R249="","Unassigned",IF(COUNTIFS($R$5:$R$604,R249,$B$5:$B$604,B249,$F$5:$F$604,F249)&gt;1,"Clash",IF(SUMIFS($AF$5:$AF$604,$R$5:$R$604,R249,$B$5:$B$604,B249)&gt;ProductiveHours,"Long day","OK"))))</f>
        <v>0</v>
      </c>
      <c r="AS249" s="18">
        <f>IF(OR(G249="",B249=""),"",IF(AND(B249&gt;=TodayDate,P249&lt;&gt;"Cancelled"),B249,""))</f>
        <v>0</v>
      </c>
      <c r="AT249" s="31">
        <f>IF(AS249="","",COUNTIFS($AS$5:$AS$604,"&lt;"&amp;AS249)+COUNTIFS($AS$5:AS249,AS249))</f>
        <v>0</v>
      </c>
      <c r="AU249" s="18">
        <f>IF(OR(G249="",B249="",R249&lt;&gt;""),"",IF(AND(B249&gt;=TodayDate,P249&lt;&gt;"Cancelled"),B249,""))</f>
        <v>0</v>
      </c>
      <c r="AV249" s="31">
        <f>IF(AU249="","",COUNTIFS($AU$5:$AU$604,"&lt;"&amp;AU249)+COUNTIFS($AU$5:AU249,AU249))</f>
        <v>0</v>
      </c>
      <c r="AW249" s="31">
        <f>IF(OR(G249="",B249=""),"",B249-TodayDate)</f>
        <v>0</v>
      </c>
      <c r="AX249" s="39">
        <f>IF(G249="","",IF(P249="Cancelled","Cancelled",IF(P249="No access","Action - no access, rebook",IF(AND(B249&lt;&gt;"",AW249&lt;0,OR(P249="Booked",P249="Confirmed",P249="In progress")),"Late - mark it completed",IF(AND(P249="Completed",AP249=""),"Action - not invoiced yet",IF(AND(AW249&gt;=0,AW249&lt;=ReminderDays,Y249&lt;&gt;"Yes"),"Confirm - visit coming up",IF(R249="","Assign - no cleaner booked",IF(AND(P249="Completed",AO249&lt;&gt;"",AO249&lt;1),"Check - checklist unfinished","OK"))))))))</f>
        <v>0</v>
      </c>
    </row>
    <row r="250" spans="1:50">
      <c r="A250" s="43">
        <f>IF(G250="","",JobPrefix&amp;TEXT(ROW()-4,"0000"))</f>
        <v>0</v>
      </c>
      <c r="C250" s="23">
        <f>IF(B250="","",TEXT(B250,"ddd"))</f>
        <v>0</v>
      </c>
      <c r="D250" s="31">
        <f>IF(B250="","",WEEKNUM(B250,IF(WeekStart="Sunday",1,2)))</f>
        <v>0</v>
      </c>
      <c r="E250" s="23">
        <f>IF(B250="","",TEXT(B250,"yyyy-mm"))</f>
        <v>0</v>
      </c>
      <c r="H250" s="23">
        <f>IF(G250="","",IFERROR(INDEX(Clients!$B$5:$B$204,MATCH(G250,Clients!$A$5:$A$204,0)),"Not found"))</f>
        <v>0</v>
      </c>
      <c r="I250" s="23">
        <f>IF(G250="","",IFERROR(INDEX(Clients!$C$5:$C$204,MATCH(G250,Clients!$A$5:$A$204,0)),""))</f>
        <v>0</v>
      </c>
      <c r="K250" s="23">
        <f>IF(J250="","",IFERROR(INDEX(Properties!$B$5:$B$254,MATCH(J250,Properties!$A$5:$A$254,0)),""))</f>
        <v>0</v>
      </c>
      <c r="L250" s="23">
        <f>IF(J250="","",IFERROR(INDEX(Properties!$F$5:$F$254,MATCH(J250,Properties!$A$5:$A$254,0)),""))</f>
        <v>0</v>
      </c>
      <c r="AD250" s="34">
        <f>IF(G250="","",IF(U250&lt;&gt;"",U250,IF(AND(IFERROR(INDEX(Services!$D$5:$D$64,MATCH(M250,Services!$B$5:$B$64,0)),"")="Per hour",IFERROR(INDEX(Properties!$X$5:$X$254,MATCH(J250,Properties!$A$5:$A$254,0)),0)&gt;0),IFERROR(INDEX(Properties!$X$5:$X$254,MATCH(J250,Properties!$A$5:$A$254,0)),0),IF(IFERROR(INDEX(Services!$G$5:$G$64,MATCH(M250,Services!$B$5:$B$64,0)),0)&gt;0,IFERROR(INDEX(Services!$G$5:$G$64,MATCH(M250,Services!$B$5:$B$64,0)),0),IFERROR(INDEX(Properties!$X$5:$X$254,MATCH(J250,Properties!$A$5:$A$254,0)),0)))))</f>
        <v>0</v>
      </c>
      <c r="AE250" s="31">
        <f>IF(G250="","",IF(T250="",CleanersPerJob,MAX(1,T250)))</f>
        <v>0</v>
      </c>
      <c r="AF250" s="34">
        <f>IF(G250="","",ROUND(AD250/AE250,2))</f>
        <v>0</v>
      </c>
      <c r="AG250" s="53">
        <f>IF(OR(G250="",F250="",AF250=""),"",F250+AF250/24)</f>
        <v>0</v>
      </c>
      <c r="AH250" s="21">
        <f>IF(G250="","",IF(IFERROR(INDEX(Clients!$O$5:$O$204,MATCH(G250,Clients!$A$5:$A$204,0)),0)&gt;0,IFERROR(INDEX(Clients!$O$5:$O$204,MATCH(G250,Clients!$A$5:$A$204,0)),0),HourlyRate))</f>
        <v>0</v>
      </c>
      <c r="AI250" s="21">
        <f>IF(G250="","",IF(AND(M250&lt;&gt;"",IFERROR(INDEX(Services!$P$5:$P$64,MATCH(M250,Services!$B$5:$B$64,0)),0)&gt;0,IFERROR(INDEX(Services!$D$5:$D$64,MATCH(M250,Services!$B$5:$B$64,0)),"")&lt;&gt;"Per hour"),IFERROR(INDEX(Services!$P$5:$P$64,MATCH(M250,Services!$B$5:$B$64,0)),0),AD250*AH250))</f>
        <v>0</v>
      </c>
      <c r="AJ250" s="21">
        <f>IF(G250="","",IF(V250&lt;&gt;"",V250,IF(P250="Cancelled",0,MAX(MinimumCharge,ROUND(AI250*IFERROR(INDEX(FreqFactors,MATCH(O250,FreqNames,0)),1),2)))))</f>
        <v>0</v>
      </c>
      <c r="AK250" s="34">
        <f>IF(G250="","",IF(SUMIFS(Timesheets!$U$5:$U$804,Timesheets!$G$5:$G$804,A250)&gt;0,SUMIFS(Timesheets!$U$5:$U$804,Timesheets!$G$5:$G$804,A250),IF(Z250="","",Z250)))</f>
        <v>0</v>
      </c>
      <c r="AL250" s="34">
        <f>IF(OR(AK250="",AD250=""),"",AK250-AD250)</f>
        <v>0</v>
      </c>
      <c r="AM250" s="31">
        <f>IF(A250="","",COUNTIFS('Job Tasks'!$B$5:$B$904,A250))</f>
        <v>0</v>
      </c>
      <c r="AN250" s="31">
        <f>IF(A250="","",COUNTIFS('Job Tasks'!$B$5:$B$904,A250,'Job Tasks'!$H$5:$H$904,"Done"))</f>
        <v>0</v>
      </c>
      <c r="AO250" s="38">
        <f>IF(OR(A250="",AM250=0),"",AN250/AM250)</f>
        <v>0</v>
      </c>
      <c r="AP250" s="43">
        <f>IF(A250="","",IFERROR(INDEX('Invoice Lines'!$B$5:$B$804,MATCH(A250,'Invoice Lines'!$C$5:$C$804,0)),""))</f>
        <v>0</v>
      </c>
      <c r="AQ250" s="18">
        <f>IF(OR(G250="",B250="",X250&lt;&gt;"Yes"),"",IF(IFERROR(INDEX(FreqDays,MATCH(O250,FreqNames,0)),0)=0,"",B250+IFERROR(INDEX(FreqDays,MATCH(O250,FreqNames,0)),0)))</f>
        <v>0</v>
      </c>
      <c r="AR250" s="39">
        <f>IF(G250="","",IF(R250="","Unassigned",IF(COUNTIFS($R$5:$R$604,R250,$B$5:$B$604,B250,$F$5:$F$604,F250)&gt;1,"Clash",IF(SUMIFS($AF$5:$AF$604,$R$5:$R$604,R250,$B$5:$B$604,B250)&gt;ProductiveHours,"Long day","OK"))))</f>
        <v>0</v>
      </c>
      <c r="AS250" s="18">
        <f>IF(OR(G250="",B250=""),"",IF(AND(B250&gt;=TodayDate,P250&lt;&gt;"Cancelled"),B250,""))</f>
        <v>0</v>
      </c>
      <c r="AT250" s="31">
        <f>IF(AS250="","",COUNTIFS($AS$5:$AS$604,"&lt;"&amp;AS250)+COUNTIFS($AS$5:AS250,AS250))</f>
        <v>0</v>
      </c>
      <c r="AU250" s="18">
        <f>IF(OR(G250="",B250="",R250&lt;&gt;""),"",IF(AND(B250&gt;=TodayDate,P250&lt;&gt;"Cancelled"),B250,""))</f>
        <v>0</v>
      </c>
      <c r="AV250" s="31">
        <f>IF(AU250="","",COUNTIFS($AU$5:$AU$604,"&lt;"&amp;AU250)+COUNTIFS($AU$5:AU250,AU250))</f>
        <v>0</v>
      </c>
      <c r="AW250" s="31">
        <f>IF(OR(G250="",B250=""),"",B250-TodayDate)</f>
        <v>0</v>
      </c>
      <c r="AX250" s="39">
        <f>IF(G250="","",IF(P250="Cancelled","Cancelled",IF(P250="No access","Action - no access, rebook",IF(AND(B250&lt;&gt;"",AW250&lt;0,OR(P250="Booked",P250="Confirmed",P250="In progress")),"Late - mark it completed",IF(AND(P250="Completed",AP250=""),"Action - not invoiced yet",IF(AND(AW250&gt;=0,AW250&lt;=ReminderDays,Y250&lt;&gt;"Yes"),"Confirm - visit coming up",IF(R250="","Assign - no cleaner booked",IF(AND(P250="Completed",AO250&lt;&gt;"",AO250&lt;1),"Check - checklist unfinished","OK"))))))))</f>
        <v>0</v>
      </c>
    </row>
    <row r="251" spans="1:50">
      <c r="A251" s="43">
        <f>IF(G251="","",JobPrefix&amp;TEXT(ROW()-4,"0000"))</f>
        <v>0</v>
      </c>
      <c r="C251" s="23">
        <f>IF(B251="","",TEXT(B251,"ddd"))</f>
        <v>0</v>
      </c>
      <c r="D251" s="31">
        <f>IF(B251="","",WEEKNUM(B251,IF(WeekStart="Sunday",1,2)))</f>
        <v>0</v>
      </c>
      <c r="E251" s="23">
        <f>IF(B251="","",TEXT(B251,"yyyy-mm"))</f>
        <v>0</v>
      </c>
      <c r="H251" s="23">
        <f>IF(G251="","",IFERROR(INDEX(Clients!$B$5:$B$204,MATCH(G251,Clients!$A$5:$A$204,0)),"Not found"))</f>
        <v>0</v>
      </c>
      <c r="I251" s="23">
        <f>IF(G251="","",IFERROR(INDEX(Clients!$C$5:$C$204,MATCH(G251,Clients!$A$5:$A$204,0)),""))</f>
        <v>0</v>
      </c>
      <c r="K251" s="23">
        <f>IF(J251="","",IFERROR(INDEX(Properties!$B$5:$B$254,MATCH(J251,Properties!$A$5:$A$254,0)),""))</f>
        <v>0</v>
      </c>
      <c r="L251" s="23">
        <f>IF(J251="","",IFERROR(INDEX(Properties!$F$5:$F$254,MATCH(J251,Properties!$A$5:$A$254,0)),""))</f>
        <v>0</v>
      </c>
      <c r="AD251" s="34">
        <f>IF(G251="","",IF(U251&lt;&gt;"",U251,IF(AND(IFERROR(INDEX(Services!$D$5:$D$64,MATCH(M251,Services!$B$5:$B$64,0)),"")="Per hour",IFERROR(INDEX(Properties!$X$5:$X$254,MATCH(J251,Properties!$A$5:$A$254,0)),0)&gt;0),IFERROR(INDEX(Properties!$X$5:$X$254,MATCH(J251,Properties!$A$5:$A$254,0)),0),IF(IFERROR(INDEX(Services!$G$5:$G$64,MATCH(M251,Services!$B$5:$B$64,0)),0)&gt;0,IFERROR(INDEX(Services!$G$5:$G$64,MATCH(M251,Services!$B$5:$B$64,0)),0),IFERROR(INDEX(Properties!$X$5:$X$254,MATCH(J251,Properties!$A$5:$A$254,0)),0)))))</f>
        <v>0</v>
      </c>
      <c r="AE251" s="31">
        <f>IF(G251="","",IF(T251="",CleanersPerJob,MAX(1,T251)))</f>
        <v>0</v>
      </c>
      <c r="AF251" s="34">
        <f>IF(G251="","",ROUND(AD251/AE251,2))</f>
        <v>0</v>
      </c>
      <c r="AG251" s="53">
        <f>IF(OR(G251="",F251="",AF251=""),"",F251+AF251/24)</f>
        <v>0</v>
      </c>
      <c r="AH251" s="21">
        <f>IF(G251="","",IF(IFERROR(INDEX(Clients!$O$5:$O$204,MATCH(G251,Clients!$A$5:$A$204,0)),0)&gt;0,IFERROR(INDEX(Clients!$O$5:$O$204,MATCH(G251,Clients!$A$5:$A$204,0)),0),HourlyRate))</f>
        <v>0</v>
      </c>
      <c r="AI251" s="21">
        <f>IF(G251="","",IF(AND(M251&lt;&gt;"",IFERROR(INDEX(Services!$P$5:$P$64,MATCH(M251,Services!$B$5:$B$64,0)),0)&gt;0,IFERROR(INDEX(Services!$D$5:$D$64,MATCH(M251,Services!$B$5:$B$64,0)),"")&lt;&gt;"Per hour"),IFERROR(INDEX(Services!$P$5:$P$64,MATCH(M251,Services!$B$5:$B$64,0)),0),AD251*AH251))</f>
        <v>0</v>
      </c>
      <c r="AJ251" s="21">
        <f>IF(G251="","",IF(V251&lt;&gt;"",V251,IF(P251="Cancelled",0,MAX(MinimumCharge,ROUND(AI251*IFERROR(INDEX(FreqFactors,MATCH(O251,FreqNames,0)),1),2)))))</f>
        <v>0</v>
      </c>
      <c r="AK251" s="34">
        <f>IF(G251="","",IF(SUMIFS(Timesheets!$U$5:$U$804,Timesheets!$G$5:$G$804,A251)&gt;0,SUMIFS(Timesheets!$U$5:$U$804,Timesheets!$G$5:$G$804,A251),IF(Z251="","",Z251)))</f>
        <v>0</v>
      </c>
      <c r="AL251" s="34">
        <f>IF(OR(AK251="",AD251=""),"",AK251-AD251)</f>
        <v>0</v>
      </c>
      <c r="AM251" s="31">
        <f>IF(A251="","",COUNTIFS('Job Tasks'!$B$5:$B$904,A251))</f>
        <v>0</v>
      </c>
      <c r="AN251" s="31">
        <f>IF(A251="","",COUNTIFS('Job Tasks'!$B$5:$B$904,A251,'Job Tasks'!$H$5:$H$904,"Done"))</f>
        <v>0</v>
      </c>
      <c r="AO251" s="38">
        <f>IF(OR(A251="",AM251=0),"",AN251/AM251)</f>
        <v>0</v>
      </c>
      <c r="AP251" s="43">
        <f>IF(A251="","",IFERROR(INDEX('Invoice Lines'!$B$5:$B$804,MATCH(A251,'Invoice Lines'!$C$5:$C$804,0)),""))</f>
        <v>0</v>
      </c>
      <c r="AQ251" s="18">
        <f>IF(OR(G251="",B251="",X251&lt;&gt;"Yes"),"",IF(IFERROR(INDEX(FreqDays,MATCH(O251,FreqNames,0)),0)=0,"",B251+IFERROR(INDEX(FreqDays,MATCH(O251,FreqNames,0)),0)))</f>
        <v>0</v>
      </c>
      <c r="AR251" s="39">
        <f>IF(G251="","",IF(R251="","Unassigned",IF(COUNTIFS($R$5:$R$604,R251,$B$5:$B$604,B251,$F$5:$F$604,F251)&gt;1,"Clash",IF(SUMIFS($AF$5:$AF$604,$R$5:$R$604,R251,$B$5:$B$604,B251)&gt;ProductiveHours,"Long day","OK"))))</f>
        <v>0</v>
      </c>
      <c r="AS251" s="18">
        <f>IF(OR(G251="",B251=""),"",IF(AND(B251&gt;=TodayDate,P251&lt;&gt;"Cancelled"),B251,""))</f>
        <v>0</v>
      </c>
      <c r="AT251" s="31">
        <f>IF(AS251="","",COUNTIFS($AS$5:$AS$604,"&lt;"&amp;AS251)+COUNTIFS($AS$5:AS251,AS251))</f>
        <v>0</v>
      </c>
      <c r="AU251" s="18">
        <f>IF(OR(G251="",B251="",R251&lt;&gt;""),"",IF(AND(B251&gt;=TodayDate,P251&lt;&gt;"Cancelled"),B251,""))</f>
        <v>0</v>
      </c>
      <c r="AV251" s="31">
        <f>IF(AU251="","",COUNTIFS($AU$5:$AU$604,"&lt;"&amp;AU251)+COUNTIFS($AU$5:AU251,AU251))</f>
        <v>0</v>
      </c>
      <c r="AW251" s="31">
        <f>IF(OR(G251="",B251=""),"",B251-TodayDate)</f>
        <v>0</v>
      </c>
      <c r="AX251" s="39">
        <f>IF(G251="","",IF(P251="Cancelled","Cancelled",IF(P251="No access","Action - no access, rebook",IF(AND(B251&lt;&gt;"",AW251&lt;0,OR(P251="Booked",P251="Confirmed",P251="In progress")),"Late - mark it completed",IF(AND(P251="Completed",AP251=""),"Action - not invoiced yet",IF(AND(AW251&gt;=0,AW251&lt;=ReminderDays,Y251&lt;&gt;"Yes"),"Confirm - visit coming up",IF(R251="","Assign - no cleaner booked",IF(AND(P251="Completed",AO251&lt;&gt;"",AO251&lt;1),"Check - checklist unfinished","OK"))))))))</f>
        <v>0</v>
      </c>
    </row>
    <row r="252" spans="1:50">
      <c r="A252" s="43">
        <f>IF(G252="","",JobPrefix&amp;TEXT(ROW()-4,"0000"))</f>
        <v>0</v>
      </c>
      <c r="C252" s="23">
        <f>IF(B252="","",TEXT(B252,"ddd"))</f>
        <v>0</v>
      </c>
      <c r="D252" s="31">
        <f>IF(B252="","",WEEKNUM(B252,IF(WeekStart="Sunday",1,2)))</f>
        <v>0</v>
      </c>
      <c r="E252" s="23">
        <f>IF(B252="","",TEXT(B252,"yyyy-mm"))</f>
        <v>0</v>
      </c>
      <c r="H252" s="23">
        <f>IF(G252="","",IFERROR(INDEX(Clients!$B$5:$B$204,MATCH(G252,Clients!$A$5:$A$204,0)),"Not found"))</f>
        <v>0</v>
      </c>
      <c r="I252" s="23">
        <f>IF(G252="","",IFERROR(INDEX(Clients!$C$5:$C$204,MATCH(G252,Clients!$A$5:$A$204,0)),""))</f>
        <v>0</v>
      </c>
      <c r="K252" s="23">
        <f>IF(J252="","",IFERROR(INDEX(Properties!$B$5:$B$254,MATCH(J252,Properties!$A$5:$A$254,0)),""))</f>
        <v>0</v>
      </c>
      <c r="L252" s="23">
        <f>IF(J252="","",IFERROR(INDEX(Properties!$F$5:$F$254,MATCH(J252,Properties!$A$5:$A$254,0)),""))</f>
        <v>0</v>
      </c>
      <c r="AD252" s="34">
        <f>IF(G252="","",IF(U252&lt;&gt;"",U252,IF(AND(IFERROR(INDEX(Services!$D$5:$D$64,MATCH(M252,Services!$B$5:$B$64,0)),"")="Per hour",IFERROR(INDEX(Properties!$X$5:$X$254,MATCH(J252,Properties!$A$5:$A$254,0)),0)&gt;0),IFERROR(INDEX(Properties!$X$5:$X$254,MATCH(J252,Properties!$A$5:$A$254,0)),0),IF(IFERROR(INDEX(Services!$G$5:$G$64,MATCH(M252,Services!$B$5:$B$64,0)),0)&gt;0,IFERROR(INDEX(Services!$G$5:$G$64,MATCH(M252,Services!$B$5:$B$64,0)),0),IFERROR(INDEX(Properties!$X$5:$X$254,MATCH(J252,Properties!$A$5:$A$254,0)),0)))))</f>
        <v>0</v>
      </c>
      <c r="AE252" s="31">
        <f>IF(G252="","",IF(T252="",CleanersPerJob,MAX(1,T252)))</f>
        <v>0</v>
      </c>
      <c r="AF252" s="34">
        <f>IF(G252="","",ROUND(AD252/AE252,2))</f>
        <v>0</v>
      </c>
      <c r="AG252" s="53">
        <f>IF(OR(G252="",F252="",AF252=""),"",F252+AF252/24)</f>
        <v>0</v>
      </c>
      <c r="AH252" s="21">
        <f>IF(G252="","",IF(IFERROR(INDEX(Clients!$O$5:$O$204,MATCH(G252,Clients!$A$5:$A$204,0)),0)&gt;0,IFERROR(INDEX(Clients!$O$5:$O$204,MATCH(G252,Clients!$A$5:$A$204,0)),0),HourlyRate))</f>
        <v>0</v>
      </c>
      <c r="AI252" s="21">
        <f>IF(G252="","",IF(AND(M252&lt;&gt;"",IFERROR(INDEX(Services!$P$5:$P$64,MATCH(M252,Services!$B$5:$B$64,0)),0)&gt;0,IFERROR(INDEX(Services!$D$5:$D$64,MATCH(M252,Services!$B$5:$B$64,0)),"")&lt;&gt;"Per hour"),IFERROR(INDEX(Services!$P$5:$P$64,MATCH(M252,Services!$B$5:$B$64,0)),0),AD252*AH252))</f>
        <v>0</v>
      </c>
      <c r="AJ252" s="21">
        <f>IF(G252="","",IF(V252&lt;&gt;"",V252,IF(P252="Cancelled",0,MAX(MinimumCharge,ROUND(AI252*IFERROR(INDEX(FreqFactors,MATCH(O252,FreqNames,0)),1),2)))))</f>
        <v>0</v>
      </c>
      <c r="AK252" s="34">
        <f>IF(G252="","",IF(SUMIFS(Timesheets!$U$5:$U$804,Timesheets!$G$5:$G$804,A252)&gt;0,SUMIFS(Timesheets!$U$5:$U$804,Timesheets!$G$5:$G$804,A252),IF(Z252="","",Z252)))</f>
        <v>0</v>
      </c>
      <c r="AL252" s="34">
        <f>IF(OR(AK252="",AD252=""),"",AK252-AD252)</f>
        <v>0</v>
      </c>
      <c r="AM252" s="31">
        <f>IF(A252="","",COUNTIFS('Job Tasks'!$B$5:$B$904,A252))</f>
        <v>0</v>
      </c>
      <c r="AN252" s="31">
        <f>IF(A252="","",COUNTIFS('Job Tasks'!$B$5:$B$904,A252,'Job Tasks'!$H$5:$H$904,"Done"))</f>
        <v>0</v>
      </c>
      <c r="AO252" s="38">
        <f>IF(OR(A252="",AM252=0),"",AN252/AM252)</f>
        <v>0</v>
      </c>
      <c r="AP252" s="43">
        <f>IF(A252="","",IFERROR(INDEX('Invoice Lines'!$B$5:$B$804,MATCH(A252,'Invoice Lines'!$C$5:$C$804,0)),""))</f>
        <v>0</v>
      </c>
      <c r="AQ252" s="18">
        <f>IF(OR(G252="",B252="",X252&lt;&gt;"Yes"),"",IF(IFERROR(INDEX(FreqDays,MATCH(O252,FreqNames,0)),0)=0,"",B252+IFERROR(INDEX(FreqDays,MATCH(O252,FreqNames,0)),0)))</f>
        <v>0</v>
      </c>
      <c r="AR252" s="39">
        <f>IF(G252="","",IF(R252="","Unassigned",IF(COUNTIFS($R$5:$R$604,R252,$B$5:$B$604,B252,$F$5:$F$604,F252)&gt;1,"Clash",IF(SUMIFS($AF$5:$AF$604,$R$5:$R$604,R252,$B$5:$B$604,B252)&gt;ProductiveHours,"Long day","OK"))))</f>
        <v>0</v>
      </c>
      <c r="AS252" s="18">
        <f>IF(OR(G252="",B252=""),"",IF(AND(B252&gt;=TodayDate,P252&lt;&gt;"Cancelled"),B252,""))</f>
        <v>0</v>
      </c>
      <c r="AT252" s="31">
        <f>IF(AS252="","",COUNTIFS($AS$5:$AS$604,"&lt;"&amp;AS252)+COUNTIFS($AS$5:AS252,AS252))</f>
        <v>0</v>
      </c>
      <c r="AU252" s="18">
        <f>IF(OR(G252="",B252="",R252&lt;&gt;""),"",IF(AND(B252&gt;=TodayDate,P252&lt;&gt;"Cancelled"),B252,""))</f>
        <v>0</v>
      </c>
      <c r="AV252" s="31">
        <f>IF(AU252="","",COUNTIFS($AU$5:$AU$604,"&lt;"&amp;AU252)+COUNTIFS($AU$5:AU252,AU252))</f>
        <v>0</v>
      </c>
      <c r="AW252" s="31">
        <f>IF(OR(G252="",B252=""),"",B252-TodayDate)</f>
        <v>0</v>
      </c>
      <c r="AX252" s="39">
        <f>IF(G252="","",IF(P252="Cancelled","Cancelled",IF(P252="No access","Action - no access, rebook",IF(AND(B252&lt;&gt;"",AW252&lt;0,OR(P252="Booked",P252="Confirmed",P252="In progress")),"Late - mark it completed",IF(AND(P252="Completed",AP252=""),"Action - not invoiced yet",IF(AND(AW252&gt;=0,AW252&lt;=ReminderDays,Y252&lt;&gt;"Yes"),"Confirm - visit coming up",IF(R252="","Assign - no cleaner booked",IF(AND(P252="Completed",AO252&lt;&gt;"",AO252&lt;1),"Check - checklist unfinished","OK"))))))))</f>
        <v>0</v>
      </c>
    </row>
    <row r="253" spans="1:50">
      <c r="A253" s="43">
        <f>IF(G253="","",JobPrefix&amp;TEXT(ROW()-4,"0000"))</f>
        <v>0</v>
      </c>
      <c r="C253" s="23">
        <f>IF(B253="","",TEXT(B253,"ddd"))</f>
        <v>0</v>
      </c>
      <c r="D253" s="31">
        <f>IF(B253="","",WEEKNUM(B253,IF(WeekStart="Sunday",1,2)))</f>
        <v>0</v>
      </c>
      <c r="E253" s="23">
        <f>IF(B253="","",TEXT(B253,"yyyy-mm"))</f>
        <v>0</v>
      </c>
      <c r="H253" s="23">
        <f>IF(G253="","",IFERROR(INDEX(Clients!$B$5:$B$204,MATCH(G253,Clients!$A$5:$A$204,0)),"Not found"))</f>
        <v>0</v>
      </c>
      <c r="I253" s="23">
        <f>IF(G253="","",IFERROR(INDEX(Clients!$C$5:$C$204,MATCH(G253,Clients!$A$5:$A$204,0)),""))</f>
        <v>0</v>
      </c>
      <c r="K253" s="23">
        <f>IF(J253="","",IFERROR(INDEX(Properties!$B$5:$B$254,MATCH(J253,Properties!$A$5:$A$254,0)),""))</f>
        <v>0</v>
      </c>
      <c r="L253" s="23">
        <f>IF(J253="","",IFERROR(INDEX(Properties!$F$5:$F$254,MATCH(J253,Properties!$A$5:$A$254,0)),""))</f>
        <v>0</v>
      </c>
      <c r="AD253" s="34">
        <f>IF(G253="","",IF(U253&lt;&gt;"",U253,IF(AND(IFERROR(INDEX(Services!$D$5:$D$64,MATCH(M253,Services!$B$5:$B$64,0)),"")="Per hour",IFERROR(INDEX(Properties!$X$5:$X$254,MATCH(J253,Properties!$A$5:$A$254,0)),0)&gt;0),IFERROR(INDEX(Properties!$X$5:$X$254,MATCH(J253,Properties!$A$5:$A$254,0)),0),IF(IFERROR(INDEX(Services!$G$5:$G$64,MATCH(M253,Services!$B$5:$B$64,0)),0)&gt;0,IFERROR(INDEX(Services!$G$5:$G$64,MATCH(M253,Services!$B$5:$B$64,0)),0),IFERROR(INDEX(Properties!$X$5:$X$254,MATCH(J253,Properties!$A$5:$A$254,0)),0)))))</f>
        <v>0</v>
      </c>
      <c r="AE253" s="31">
        <f>IF(G253="","",IF(T253="",CleanersPerJob,MAX(1,T253)))</f>
        <v>0</v>
      </c>
      <c r="AF253" s="34">
        <f>IF(G253="","",ROUND(AD253/AE253,2))</f>
        <v>0</v>
      </c>
      <c r="AG253" s="53">
        <f>IF(OR(G253="",F253="",AF253=""),"",F253+AF253/24)</f>
        <v>0</v>
      </c>
      <c r="AH253" s="21">
        <f>IF(G253="","",IF(IFERROR(INDEX(Clients!$O$5:$O$204,MATCH(G253,Clients!$A$5:$A$204,0)),0)&gt;0,IFERROR(INDEX(Clients!$O$5:$O$204,MATCH(G253,Clients!$A$5:$A$204,0)),0),HourlyRate))</f>
        <v>0</v>
      </c>
      <c r="AI253" s="21">
        <f>IF(G253="","",IF(AND(M253&lt;&gt;"",IFERROR(INDEX(Services!$P$5:$P$64,MATCH(M253,Services!$B$5:$B$64,0)),0)&gt;0,IFERROR(INDEX(Services!$D$5:$D$64,MATCH(M253,Services!$B$5:$B$64,0)),"")&lt;&gt;"Per hour"),IFERROR(INDEX(Services!$P$5:$P$64,MATCH(M253,Services!$B$5:$B$64,0)),0),AD253*AH253))</f>
        <v>0</v>
      </c>
      <c r="AJ253" s="21">
        <f>IF(G253="","",IF(V253&lt;&gt;"",V253,IF(P253="Cancelled",0,MAX(MinimumCharge,ROUND(AI253*IFERROR(INDEX(FreqFactors,MATCH(O253,FreqNames,0)),1),2)))))</f>
        <v>0</v>
      </c>
      <c r="AK253" s="34">
        <f>IF(G253="","",IF(SUMIFS(Timesheets!$U$5:$U$804,Timesheets!$G$5:$G$804,A253)&gt;0,SUMIFS(Timesheets!$U$5:$U$804,Timesheets!$G$5:$G$804,A253),IF(Z253="","",Z253)))</f>
        <v>0</v>
      </c>
      <c r="AL253" s="34">
        <f>IF(OR(AK253="",AD253=""),"",AK253-AD253)</f>
        <v>0</v>
      </c>
      <c r="AM253" s="31">
        <f>IF(A253="","",COUNTIFS('Job Tasks'!$B$5:$B$904,A253))</f>
        <v>0</v>
      </c>
      <c r="AN253" s="31">
        <f>IF(A253="","",COUNTIFS('Job Tasks'!$B$5:$B$904,A253,'Job Tasks'!$H$5:$H$904,"Done"))</f>
        <v>0</v>
      </c>
      <c r="AO253" s="38">
        <f>IF(OR(A253="",AM253=0),"",AN253/AM253)</f>
        <v>0</v>
      </c>
      <c r="AP253" s="43">
        <f>IF(A253="","",IFERROR(INDEX('Invoice Lines'!$B$5:$B$804,MATCH(A253,'Invoice Lines'!$C$5:$C$804,0)),""))</f>
        <v>0</v>
      </c>
      <c r="AQ253" s="18">
        <f>IF(OR(G253="",B253="",X253&lt;&gt;"Yes"),"",IF(IFERROR(INDEX(FreqDays,MATCH(O253,FreqNames,0)),0)=0,"",B253+IFERROR(INDEX(FreqDays,MATCH(O253,FreqNames,0)),0)))</f>
        <v>0</v>
      </c>
      <c r="AR253" s="39">
        <f>IF(G253="","",IF(R253="","Unassigned",IF(COUNTIFS($R$5:$R$604,R253,$B$5:$B$604,B253,$F$5:$F$604,F253)&gt;1,"Clash",IF(SUMIFS($AF$5:$AF$604,$R$5:$R$604,R253,$B$5:$B$604,B253)&gt;ProductiveHours,"Long day","OK"))))</f>
        <v>0</v>
      </c>
      <c r="AS253" s="18">
        <f>IF(OR(G253="",B253=""),"",IF(AND(B253&gt;=TodayDate,P253&lt;&gt;"Cancelled"),B253,""))</f>
        <v>0</v>
      </c>
      <c r="AT253" s="31">
        <f>IF(AS253="","",COUNTIFS($AS$5:$AS$604,"&lt;"&amp;AS253)+COUNTIFS($AS$5:AS253,AS253))</f>
        <v>0</v>
      </c>
      <c r="AU253" s="18">
        <f>IF(OR(G253="",B253="",R253&lt;&gt;""),"",IF(AND(B253&gt;=TodayDate,P253&lt;&gt;"Cancelled"),B253,""))</f>
        <v>0</v>
      </c>
      <c r="AV253" s="31">
        <f>IF(AU253="","",COUNTIFS($AU$5:$AU$604,"&lt;"&amp;AU253)+COUNTIFS($AU$5:AU253,AU253))</f>
        <v>0</v>
      </c>
      <c r="AW253" s="31">
        <f>IF(OR(G253="",B253=""),"",B253-TodayDate)</f>
        <v>0</v>
      </c>
      <c r="AX253" s="39">
        <f>IF(G253="","",IF(P253="Cancelled","Cancelled",IF(P253="No access","Action - no access, rebook",IF(AND(B253&lt;&gt;"",AW253&lt;0,OR(P253="Booked",P253="Confirmed",P253="In progress")),"Late - mark it completed",IF(AND(P253="Completed",AP253=""),"Action - not invoiced yet",IF(AND(AW253&gt;=0,AW253&lt;=ReminderDays,Y253&lt;&gt;"Yes"),"Confirm - visit coming up",IF(R253="","Assign - no cleaner booked",IF(AND(P253="Completed",AO253&lt;&gt;"",AO253&lt;1),"Check - checklist unfinished","OK"))))))))</f>
        <v>0</v>
      </c>
    </row>
    <row r="254" spans="1:50">
      <c r="A254" s="43">
        <f>IF(G254="","",JobPrefix&amp;TEXT(ROW()-4,"0000"))</f>
        <v>0</v>
      </c>
      <c r="C254" s="23">
        <f>IF(B254="","",TEXT(B254,"ddd"))</f>
        <v>0</v>
      </c>
      <c r="D254" s="31">
        <f>IF(B254="","",WEEKNUM(B254,IF(WeekStart="Sunday",1,2)))</f>
        <v>0</v>
      </c>
      <c r="E254" s="23">
        <f>IF(B254="","",TEXT(B254,"yyyy-mm"))</f>
        <v>0</v>
      </c>
      <c r="H254" s="23">
        <f>IF(G254="","",IFERROR(INDEX(Clients!$B$5:$B$204,MATCH(G254,Clients!$A$5:$A$204,0)),"Not found"))</f>
        <v>0</v>
      </c>
      <c r="I254" s="23">
        <f>IF(G254="","",IFERROR(INDEX(Clients!$C$5:$C$204,MATCH(G254,Clients!$A$5:$A$204,0)),""))</f>
        <v>0</v>
      </c>
      <c r="K254" s="23">
        <f>IF(J254="","",IFERROR(INDEX(Properties!$B$5:$B$254,MATCH(J254,Properties!$A$5:$A$254,0)),""))</f>
        <v>0</v>
      </c>
      <c r="L254" s="23">
        <f>IF(J254="","",IFERROR(INDEX(Properties!$F$5:$F$254,MATCH(J254,Properties!$A$5:$A$254,0)),""))</f>
        <v>0</v>
      </c>
      <c r="AD254" s="34">
        <f>IF(G254="","",IF(U254&lt;&gt;"",U254,IF(AND(IFERROR(INDEX(Services!$D$5:$D$64,MATCH(M254,Services!$B$5:$B$64,0)),"")="Per hour",IFERROR(INDEX(Properties!$X$5:$X$254,MATCH(J254,Properties!$A$5:$A$254,0)),0)&gt;0),IFERROR(INDEX(Properties!$X$5:$X$254,MATCH(J254,Properties!$A$5:$A$254,0)),0),IF(IFERROR(INDEX(Services!$G$5:$G$64,MATCH(M254,Services!$B$5:$B$64,0)),0)&gt;0,IFERROR(INDEX(Services!$G$5:$G$64,MATCH(M254,Services!$B$5:$B$64,0)),0),IFERROR(INDEX(Properties!$X$5:$X$254,MATCH(J254,Properties!$A$5:$A$254,0)),0)))))</f>
        <v>0</v>
      </c>
      <c r="AE254" s="31">
        <f>IF(G254="","",IF(T254="",CleanersPerJob,MAX(1,T254)))</f>
        <v>0</v>
      </c>
      <c r="AF254" s="34">
        <f>IF(G254="","",ROUND(AD254/AE254,2))</f>
        <v>0</v>
      </c>
      <c r="AG254" s="53">
        <f>IF(OR(G254="",F254="",AF254=""),"",F254+AF254/24)</f>
        <v>0</v>
      </c>
      <c r="AH254" s="21">
        <f>IF(G254="","",IF(IFERROR(INDEX(Clients!$O$5:$O$204,MATCH(G254,Clients!$A$5:$A$204,0)),0)&gt;0,IFERROR(INDEX(Clients!$O$5:$O$204,MATCH(G254,Clients!$A$5:$A$204,0)),0),HourlyRate))</f>
        <v>0</v>
      </c>
      <c r="AI254" s="21">
        <f>IF(G254="","",IF(AND(M254&lt;&gt;"",IFERROR(INDEX(Services!$P$5:$P$64,MATCH(M254,Services!$B$5:$B$64,0)),0)&gt;0,IFERROR(INDEX(Services!$D$5:$D$64,MATCH(M254,Services!$B$5:$B$64,0)),"")&lt;&gt;"Per hour"),IFERROR(INDEX(Services!$P$5:$P$64,MATCH(M254,Services!$B$5:$B$64,0)),0),AD254*AH254))</f>
        <v>0</v>
      </c>
      <c r="AJ254" s="21">
        <f>IF(G254="","",IF(V254&lt;&gt;"",V254,IF(P254="Cancelled",0,MAX(MinimumCharge,ROUND(AI254*IFERROR(INDEX(FreqFactors,MATCH(O254,FreqNames,0)),1),2)))))</f>
        <v>0</v>
      </c>
      <c r="AK254" s="34">
        <f>IF(G254="","",IF(SUMIFS(Timesheets!$U$5:$U$804,Timesheets!$G$5:$G$804,A254)&gt;0,SUMIFS(Timesheets!$U$5:$U$804,Timesheets!$G$5:$G$804,A254),IF(Z254="","",Z254)))</f>
        <v>0</v>
      </c>
      <c r="AL254" s="34">
        <f>IF(OR(AK254="",AD254=""),"",AK254-AD254)</f>
        <v>0</v>
      </c>
      <c r="AM254" s="31">
        <f>IF(A254="","",COUNTIFS('Job Tasks'!$B$5:$B$904,A254))</f>
        <v>0</v>
      </c>
      <c r="AN254" s="31">
        <f>IF(A254="","",COUNTIFS('Job Tasks'!$B$5:$B$904,A254,'Job Tasks'!$H$5:$H$904,"Done"))</f>
        <v>0</v>
      </c>
      <c r="AO254" s="38">
        <f>IF(OR(A254="",AM254=0),"",AN254/AM254)</f>
        <v>0</v>
      </c>
      <c r="AP254" s="43">
        <f>IF(A254="","",IFERROR(INDEX('Invoice Lines'!$B$5:$B$804,MATCH(A254,'Invoice Lines'!$C$5:$C$804,0)),""))</f>
        <v>0</v>
      </c>
      <c r="AQ254" s="18">
        <f>IF(OR(G254="",B254="",X254&lt;&gt;"Yes"),"",IF(IFERROR(INDEX(FreqDays,MATCH(O254,FreqNames,0)),0)=0,"",B254+IFERROR(INDEX(FreqDays,MATCH(O254,FreqNames,0)),0)))</f>
        <v>0</v>
      </c>
      <c r="AR254" s="39">
        <f>IF(G254="","",IF(R254="","Unassigned",IF(COUNTIFS($R$5:$R$604,R254,$B$5:$B$604,B254,$F$5:$F$604,F254)&gt;1,"Clash",IF(SUMIFS($AF$5:$AF$604,$R$5:$R$604,R254,$B$5:$B$604,B254)&gt;ProductiveHours,"Long day","OK"))))</f>
        <v>0</v>
      </c>
      <c r="AS254" s="18">
        <f>IF(OR(G254="",B254=""),"",IF(AND(B254&gt;=TodayDate,P254&lt;&gt;"Cancelled"),B254,""))</f>
        <v>0</v>
      </c>
      <c r="AT254" s="31">
        <f>IF(AS254="","",COUNTIFS($AS$5:$AS$604,"&lt;"&amp;AS254)+COUNTIFS($AS$5:AS254,AS254))</f>
        <v>0</v>
      </c>
      <c r="AU254" s="18">
        <f>IF(OR(G254="",B254="",R254&lt;&gt;""),"",IF(AND(B254&gt;=TodayDate,P254&lt;&gt;"Cancelled"),B254,""))</f>
        <v>0</v>
      </c>
      <c r="AV254" s="31">
        <f>IF(AU254="","",COUNTIFS($AU$5:$AU$604,"&lt;"&amp;AU254)+COUNTIFS($AU$5:AU254,AU254))</f>
        <v>0</v>
      </c>
      <c r="AW254" s="31">
        <f>IF(OR(G254="",B254=""),"",B254-TodayDate)</f>
        <v>0</v>
      </c>
      <c r="AX254" s="39">
        <f>IF(G254="","",IF(P254="Cancelled","Cancelled",IF(P254="No access","Action - no access, rebook",IF(AND(B254&lt;&gt;"",AW254&lt;0,OR(P254="Booked",P254="Confirmed",P254="In progress")),"Late - mark it completed",IF(AND(P254="Completed",AP254=""),"Action - not invoiced yet",IF(AND(AW254&gt;=0,AW254&lt;=ReminderDays,Y254&lt;&gt;"Yes"),"Confirm - visit coming up",IF(R254="","Assign - no cleaner booked",IF(AND(P254="Completed",AO254&lt;&gt;"",AO254&lt;1),"Check - checklist unfinished","OK"))))))))</f>
        <v>0</v>
      </c>
    </row>
    <row r="255" spans="1:50">
      <c r="A255" s="43">
        <f>IF(G255="","",JobPrefix&amp;TEXT(ROW()-4,"0000"))</f>
        <v>0</v>
      </c>
      <c r="C255" s="23">
        <f>IF(B255="","",TEXT(B255,"ddd"))</f>
        <v>0</v>
      </c>
      <c r="D255" s="31">
        <f>IF(B255="","",WEEKNUM(B255,IF(WeekStart="Sunday",1,2)))</f>
        <v>0</v>
      </c>
      <c r="E255" s="23">
        <f>IF(B255="","",TEXT(B255,"yyyy-mm"))</f>
        <v>0</v>
      </c>
      <c r="H255" s="23">
        <f>IF(G255="","",IFERROR(INDEX(Clients!$B$5:$B$204,MATCH(G255,Clients!$A$5:$A$204,0)),"Not found"))</f>
        <v>0</v>
      </c>
      <c r="I255" s="23">
        <f>IF(G255="","",IFERROR(INDEX(Clients!$C$5:$C$204,MATCH(G255,Clients!$A$5:$A$204,0)),""))</f>
        <v>0</v>
      </c>
      <c r="K255" s="23">
        <f>IF(J255="","",IFERROR(INDEX(Properties!$B$5:$B$254,MATCH(J255,Properties!$A$5:$A$254,0)),""))</f>
        <v>0</v>
      </c>
      <c r="L255" s="23">
        <f>IF(J255="","",IFERROR(INDEX(Properties!$F$5:$F$254,MATCH(J255,Properties!$A$5:$A$254,0)),""))</f>
        <v>0</v>
      </c>
      <c r="AD255" s="34">
        <f>IF(G255="","",IF(U255&lt;&gt;"",U255,IF(AND(IFERROR(INDEX(Services!$D$5:$D$64,MATCH(M255,Services!$B$5:$B$64,0)),"")="Per hour",IFERROR(INDEX(Properties!$X$5:$X$254,MATCH(J255,Properties!$A$5:$A$254,0)),0)&gt;0),IFERROR(INDEX(Properties!$X$5:$X$254,MATCH(J255,Properties!$A$5:$A$254,0)),0),IF(IFERROR(INDEX(Services!$G$5:$G$64,MATCH(M255,Services!$B$5:$B$64,0)),0)&gt;0,IFERROR(INDEX(Services!$G$5:$G$64,MATCH(M255,Services!$B$5:$B$64,0)),0),IFERROR(INDEX(Properties!$X$5:$X$254,MATCH(J255,Properties!$A$5:$A$254,0)),0)))))</f>
        <v>0</v>
      </c>
      <c r="AE255" s="31">
        <f>IF(G255="","",IF(T255="",CleanersPerJob,MAX(1,T255)))</f>
        <v>0</v>
      </c>
      <c r="AF255" s="34">
        <f>IF(G255="","",ROUND(AD255/AE255,2))</f>
        <v>0</v>
      </c>
      <c r="AG255" s="53">
        <f>IF(OR(G255="",F255="",AF255=""),"",F255+AF255/24)</f>
        <v>0</v>
      </c>
      <c r="AH255" s="21">
        <f>IF(G255="","",IF(IFERROR(INDEX(Clients!$O$5:$O$204,MATCH(G255,Clients!$A$5:$A$204,0)),0)&gt;0,IFERROR(INDEX(Clients!$O$5:$O$204,MATCH(G255,Clients!$A$5:$A$204,0)),0),HourlyRate))</f>
        <v>0</v>
      </c>
      <c r="AI255" s="21">
        <f>IF(G255="","",IF(AND(M255&lt;&gt;"",IFERROR(INDEX(Services!$P$5:$P$64,MATCH(M255,Services!$B$5:$B$64,0)),0)&gt;0,IFERROR(INDEX(Services!$D$5:$D$64,MATCH(M255,Services!$B$5:$B$64,0)),"")&lt;&gt;"Per hour"),IFERROR(INDEX(Services!$P$5:$P$64,MATCH(M255,Services!$B$5:$B$64,0)),0),AD255*AH255))</f>
        <v>0</v>
      </c>
      <c r="AJ255" s="21">
        <f>IF(G255="","",IF(V255&lt;&gt;"",V255,IF(P255="Cancelled",0,MAX(MinimumCharge,ROUND(AI255*IFERROR(INDEX(FreqFactors,MATCH(O255,FreqNames,0)),1),2)))))</f>
        <v>0</v>
      </c>
      <c r="AK255" s="34">
        <f>IF(G255="","",IF(SUMIFS(Timesheets!$U$5:$U$804,Timesheets!$G$5:$G$804,A255)&gt;0,SUMIFS(Timesheets!$U$5:$U$804,Timesheets!$G$5:$G$804,A255),IF(Z255="","",Z255)))</f>
        <v>0</v>
      </c>
      <c r="AL255" s="34">
        <f>IF(OR(AK255="",AD255=""),"",AK255-AD255)</f>
        <v>0</v>
      </c>
      <c r="AM255" s="31">
        <f>IF(A255="","",COUNTIFS('Job Tasks'!$B$5:$B$904,A255))</f>
        <v>0</v>
      </c>
      <c r="AN255" s="31">
        <f>IF(A255="","",COUNTIFS('Job Tasks'!$B$5:$B$904,A255,'Job Tasks'!$H$5:$H$904,"Done"))</f>
        <v>0</v>
      </c>
      <c r="AO255" s="38">
        <f>IF(OR(A255="",AM255=0),"",AN255/AM255)</f>
        <v>0</v>
      </c>
      <c r="AP255" s="43">
        <f>IF(A255="","",IFERROR(INDEX('Invoice Lines'!$B$5:$B$804,MATCH(A255,'Invoice Lines'!$C$5:$C$804,0)),""))</f>
        <v>0</v>
      </c>
      <c r="AQ255" s="18">
        <f>IF(OR(G255="",B255="",X255&lt;&gt;"Yes"),"",IF(IFERROR(INDEX(FreqDays,MATCH(O255,FreqNames,0)),0)=0,"",B255+IFERROR(INDEX(FreqDays,MATCH(O255,FreqNames,0)),0)))</f>
        <v>0</v>
      </c>
      <c r="AR255" s="39">
        <f>IF(G255="","",IF(R255="","Unassigned",IF(COUNTIFS($R$5:$R$604,R255,$B$5:$B$604,B255,$F$5:$F$604,F255)&gt;1,"Clash",IF(SUMIFS($AF$5:$AF$604,$R$5:$R$604,R255,$B$5:$B$604,B255)&gt;ProductiveHours,"Long day","OK"))))</f>
        <v>0</v>
      </c>
      <c r="AS255" s="18">
        <f>IF(OR(G255="",B255=""),"",IF(AND(B255&gt;=TodayDate,P255&lt;&gt;"Cancelled"),B255,""))</f>
        <v>0</v>
      </c>
      <c r="AT255" s="31">
        <f>IF(AS255="","",COUNTIFS($AS$5:$AS$604,"&lt;"&amp;AS255)+COUNTIFS($AS$5:AS255,AS255))</f>
        <v>0</v>
      </c>
      <c r="AU255" s="18">
        <f>IF(OR(G255="",B255="",R255&lt;&gt;""),"",IF(AND(B255&gt;=TodayDate,P255&lt;&gt;"Cancelled"),B255,""))</f>
        <v>0</v>
      </c>
      <c r="AV255" s="31">
        <f>IF(AU255="","",COUNTIFS($AU$5:$AU$604,"&lt;"&amp;AU255)+COUNTIFS($AU$5:AU255,AU255))</f>
        <v>0</v>
      </c>
      <c r="AW255" s="31">
        <f>IF(OR(G255="",B255=""),"",B255-TodayDate)</f>
        <v>0</v>
      </c>
      <c r="AX255" s="39">
        <f>IF(G255="","",IF(P255="Cancelled","Cancelled",IF(P255="No access","Action - no access, rebook",IF(AND(B255&lt;&gt;"",AW255&lt;0,OR(P255="Booked",P255="Confirmed",P255="In progress")),"Late - mark it completed",IF(AND(P255="Completed",AP255=""),"Action - not invoiced yet",IF(AND(AW255&gt;=0,AW255&lt;=ReminderDays,Y255&lt;&gt;"Yes"),"Confirm - visit coming up",IF(R255="","Assign - no cleaner booked",IF(AND(P255="Completed",AO255&lt;&gt;"",AO255&lt;1),"Check - checklist unfinished","OK"))))))))</f>
        <v>0</v>
      </c>
    </row>
    <row r="256" spans="1:50">
      <c r="A256" s="43">
        <f>IF(G256="","",JobPrefix&amp;TEXT(ROW()-4,"0000"))</f>
        <v>0</v>
      </c>
      <c r="C256" s="23">
        <f>IF(B256="","",TEXT(B256,"ddd"))</f>
        <v>0</v>
      </c>
      <c r="D256" s="31">
        <f>IF(B256="","",WEEKNUM(B256,IF(WeekStart="Sunday",1,2)))</f>
        <v>0</v>
      </c>
      <c r="E256" s="23">
        <f>IF(B256="","",TEXT(B256,"yyyy-mm"))</f>
        <v>0</v>
      </c>
      <c r="H256" s="23">
        <f>IF(G256="","",IFERROR(INDEX(Clients!$B$5:$B$204,MATCH(G256,Clients!$A$5:$A$204,0)),"Not found"))</f>
        <v>0</v>
      </c>
      <c r="I256" s="23">
        <f>IF(G256="","",IFERROR(INDEX(Clients!$C$5:$C$204,MATCH(G256,Clients!$A$5:$A$204,0)),""))</f>
        <v>0</v>
      </c>
      <c r="K256" s="23">
        <f>IF(J256="","",IFERROR(INDEX(Properties!$B$5:$B$254,MATCH(J256,Properties!$A$5:$A$254,0)),""))</f>
        <v>0</v>
      </c>
      <c r="L256" s="23">
        <f>IF(J256="","",IFERROR(INDEX(Properties!$F$5:$F$254,MATCH(J256,Properties!$A$5:$A$254,0)),""))</f>
        <v>0</v>
      </c>
      <c r="AD256" s="34">
        <f>IF(G256="","",IF(U256&lt;&gt;"",U256,IF(AND(IFERROR(INDEX(Services!$D$5:$D$64,MATCH(M256,Services!$B$5:$B$64,0)),"")="Per hour",IFERROR(INDEX(Properties!$X$5:$X$254,MATCH(J256,Properties!$A$5:$A$254,0)),0)&gt;0),IFERROR(INDEX(Properties!$X$5:$X$254,MATCH(J256,Properties!$A$5:$A$254,0)),0),IF(IFERROR(INDEX(Services!$G$5:$G$64,MATCH(M256,Services!$B$5:$B$64,0)),0)&gt;0,IFERROR(INDEX(Services!$G$5:$G$64,MATCH(M256,Services!$B$5:$B$64,0)),0),IFERROR(INDEX(Properties!$X$5:$X$254,MATCH(J256,Properties!$A$5:$A$254,0)),0)))))</f>
        <v>0</v>
      </c>
      <c r="AE256" s="31">
        <f>IF(G256="","",IF(T256="",CleanersPerJob,MAX(1,T256)))</f>
        <v>0</v>
      </c>
      <c r="AF256" s="34">
        <f>IF(G256="","",ROUND(AD256/AE256,2))</f>
        <v>0</v>
      </c>
      <c r="AG256" s="53">
        <f>IF(OR(G256="",F256="",AF256=""),"",F256+AF256/24)</f>
        <v>0</v>
      </c>
      <c r="AH256" s="21">
        <f>IF(G256="","",IF(IFERROR(INDEX(Clients!$O$5:$O$204,MATCH(G256,Clients!$A$5:$A$204,0)),0)&gt;0,IFERROR(INDEX(Clients!$O$5:$O$204,MATCH(G256,Clients!$A$5:$A$204,0)),0),HourlyRate))</f>
        <v>0</v>
      </c>
      <c r="AI256" s="21">
        <f>IF(G256="","",IF(AND(M256&lt;&gt;"",IFERROR(INDEX(Services!$P$5:$P$64,MATCH(M256,Services!$B$5:$B$64,0)),0)&gt;0,IFERROR(INDEX(Services!$D$5:$D$64,MATCH(M256,Services!$B$5:$B$64,0)),"")&lt;&gt;"Per hour"),IFERROR(INDEX(Services!$P$5:$P$64,MATCH(M256,Services!$B$5:$B$64,0)),0),AD256*AH256))</f>
        <v>0</v>
      </c>
      <c r="AJ256" s="21">
        <f>IF(G256="","",IF(V256&lt;&gt;"",V256,IF(P256="Cancelled",0,MAX(MinimumCharge,ROUND(AI256*IFERROR(INDEX(FreqFactors,MATCH(O256,FreqNames,0)),1),2)))))</f>
        <v>0</v>
      </c>
      <c r="AK256" s="34">
        <f>IF(G256="","",IF(SUMIFS(Timesheets!$U$5:$U$804,Timesheets!$G$5:$G$804,A256)&gt;0,SUMIFS(Timesheets!$U$5:$U$804,Timesheets!$G$5:$G$804,A256),IF(Z256="","",Z256)))</f>
        <v>0</v>
      </c>
      <c r="AL256" s="34">
        <f>IF(OR(AK256="",AD256=""),"",AK256-AD256)</f>
        <v>0</v>
      </c>
      <c r="AM256" s="31">
        <f>IF(A256="","",COUNTIFS('Job Tasks'!$B$5:$B$904,A256))</f>
        <v>0</v>
      </c>
      <c r="AN256" s="31">
        <f>IF(A256="","",COUNTIFS('Job Tasks'!$B$5:$B$904,A256,'Job Tasks'!$H$5:$H$904,"Done"))</f>
        <v>0</v>
      </c>
      <c r="AO256" s="38">
        <f>IF(OR(A256="",AM256=0),"",AN256/AM256)</f>
        <v>0</v>
      </c>
      <c r="AP256" s="43">
        <f>IF(A256="","",IFERROR(INDEX('Invoice Lines'!$B$5:$B$804,MATCH(A256,'Invoice Lines'!$C$5:$C$804,0)),""))</f>
        <v>0</v>
      </c>
      <c r="AQ256" s="18">
        <f>IF(OR(G256="",B256="",X256&lt;&gt;"Yes"),"",IF(IFERROR(INDEX(FreqDays,MATCH(O256,FreqNames,0)),0)=0,"",B256+IFERROR(INDEX(FreqDays,MATCH(O256,FreqNames,0)),0)))</f>
        <v>0</v>
      </c>
      <c r="AR256" s="39">
        <f>IF(G256="","",IF(R256="","Unassigned",IF(COUNTIFS($R$5:$R$604,R256,$B$5:$B$604,B256,$F$5:$F$604,F256)&gt;1,"Clash",IF(SUMIFS($AF$5:$AF$604,$R$5:$R$604,R256,$B$5:$B$604,B256)&gt;ProductiveHours,"Long day","OK"))))</f>
        <v>0</v>
      </c>
      <c r="AS256" s="18">
        <f>IF(OR(G256="",B256=""),"",IF(AND(B256&gt;=TodayDate,P256&lt;&gt;"Cancelled"),B256,""))</f>
        <v>0</v>
      </c>
      <c r="AT256" s="31">
        <f>IF(AS256="","",COUNTIFS($AS$5:$AS$604,"&lt;"&amp;AS256)+COUNTIFS($AS$5:AS256,AS256))</f>
        <v>0</v>
      </c>
      <c r="AU256" s="18">
        <f>IF(OR(G256="",B256="",R256&lt;&gt;""),"",IF(AND(B256&gt;=TodayDate,P256&lt;&gt;"Cancelled"),B256,""))</f>
        <v>0</v>
      </c>
      <c r="AV256" s="31">
        <f>IF(AU256="","",COUNTIFS($AU$5:$AU$604,"&lt;"&amp;AU256)+COUNTIFS($AU$5:AU256,AU256))</f>
        <v>0</v>
      </c>
      <c r="AW256" s="31">
        <f>IF(OR(G256="",B256=""),"",B256-TodayDate)</f>
        <v>0</v>
      </c>
      <c r="AX256" s="39">
        <f>IF(G256="","",IF(P256="Cancelled","Cancelled",IF(P256="No access","Action - no access, rebook",IF(AND(B256&lt;&gt;"",AW256&lt;0,OR(P256="Booked",P256="Confirmed",P256="In progress")),"Late - mark it completed",IF(AND(P256="Completed",AP256=""),"Action - not invoiced yet",IF(AND(AW256&gt;=0,AW256&lt;=ReminderDays,Y256&lt;&gt;"Yes"),"Confirm - visit coming up",IF(R256="","Assign - no cleaner booked",IF(AND(P256="Completed",AO256&lt;&gt;"",AO256&lt;1),"Check - checklist unfinished","OK"))))))))</f>
        <v>0</v>
      </c>
    </row>
    <row r="257" spans="1:50">
      <c r="A257" s="43">
        <f>IF(G257="","",JobPrefix&amp;TEXT(ROW()-4,"0000"))</f>
        <v>0</v>
      </c>
      <c r="C257" s="23">
        <f>IF(B257="","",TEXT(B257,"ddd"))</f>
        <v>0</v>
      </c>
      <c r="D257" s="31">
        <f>IF(B257="","",WEEKNUM(B257,IF(WeekStart="Sunday",1,2)))</f>
        <v>0</v>
      </c>
      <c r="E257" s="23">
        <f>IF(B257="","",TEXT(B257,"yyyy-mm"))</f>
        <v>0</v>
      </c>
      <c r="H257" s="23">
        <f>IF(G257="","",IFERROR(INDEX(Clients!$B$5:$B$204,MATCH(G257,Clients!$A$5:$A$204,0)),"Not found"))</f>
        <v>0</v>
      </c>
      <c r="I257" s="23">
        <f>IF(G257="","",IFERROR(INDEX(Clients!$C$5:$C$204,MATCH(G257,Clients!$A$5:$A$204,0)),""))</f>
        <v>0</v>
      </c>
      <c r="K257" s="23">
        <f>IF(J257="","",IFERROR(INDEX(Properties!$B$5:$B$254,MATCH(J257,Properties!$A$5:$A$254,0)),""))</f>
        <v>0</v>
      </c>
      <c r="L257" s="23">
        <f>IF(J257="","",IFERROR(INDEX(Properties!$F$5:$F$254,MATCH(J257,Properties!$A$5:$A$254,0)),""))</f>
        <v>0</v>
      </c>
      <c r="AD257" s="34">
        <f>IF(G257="","",IF(U257&lt;&gt;"",U257,IF(AND(IFERROR(INDEX(Services!$D$5:$D$64,MATCH(M257,Services!$B$5:$B$64,0)),"")="Per hour",IFERROR(INDEX(Properties!$X$5:$X$254,MATCH(J257,Properties!$A$5:$A$254,0)),0)&gt;0),IFERROR(INDEX(Properties!$X$5:$X$254,MATCH(J257,Properties!$A$5:$A$254,0)),0),IF(IFERROR(INDEX(Services!$G$5:$G$64,MATCH(M257,Services!$B$5:$B$64,0)),0)&gt;0,IFERROR(INDEX(Services!$G$5:$G$64,MATCH(M257,Services!$B$5:$B$64,0)),0),IFERROR(INDEX(Properties!$X$5:$X$254,MATCH(J257,Properties!$A$5:$A$254,0)),0)))))</f>
        <v>0</v>
      </c>
      <c r="AE257" s="31">
        <f>IF(G257="","",IF(T257="",CleanersPerJob,MAX(1,T257)))</f>
        <v>0</v>
      </c>
      <c r="AF257" s="34">
        <f>IF(G257="","",ROUND(AD257/AE257,2))</f>
        <v>0</v>
      </c>
      <c r="AG257" s="53">
        <f>IF(OR(G257="",F257="",AF257=""),"",F257+AF257/24)</f>
        <v>0</v>
      </c>
      <c r="AH257" s="21">
        <f>IF(G257="","",IF(IFERROR(INDEX(Clients!$O$5:$O$204,MATCH(G257,Clients!$A$5:$A$204,0)),0)&gt;0,IFERROR(INDEX(Clients!$O$5:$O$204,MATCH(G257,Clients!$A$5:$A$204,0)),0),HourlyRate))</f>
        <v>0</v>
      </c>
      <c r="AI257" s="21">
        <f>IF(G257="","",IF(AND(M257&lt;&gt;"",IFERROR(INDEX(Services!$P$5:$P$64,MATCH(M257,Services!$B$5:$B$64,0)),0)&gt;0,IFERROR(INDEX(Services!$D$5:$D$64,MATCH(M257,Services!$B$5:$B$64,0)),"")&lt;&gt;"Per hour"),IFERROR(INDEX(Services!$P$5:$P$64,MATCH(M257,Services!$B$5:$B$64,0)),0),AD257*AH257))</f>
        <v>0</v>
      </c>
      <c r="AJ257" s="21">
        <f>IF(G257="","",IF(V257&lt;&gt;"",V257,IF(P257="Cancelled",0,MAX(MinimumCharge,ROUND(AI257*IFERROR(INDEX(FreqFactors,MATCH(O257,FreqNames,0)),1),2)))))</f>
        <v>0</v>
      </c>
      <c r="AK257" s="34">
        <f>IF(G257="","",IF(SUMIFS(Timesheets!$U$5:$U$804,Timesheets!$G$5:$G$804,A257)&gt;0,SUMIFS(Timesheets!$U$5:$U$804,Timesheets!$G$5:$G$804,A257),IF(Z257="","",Z257)))</f>
        <v>0</v>
      </c>
      <c r="AL257" s="34">
        <f>IF(OR(AK257="",AD257=""),"",AK257-AD257)</f>
        <v>0</v>
      </c>
      <c r="AM257" s="31">
        <f>IF(A257="","",COUNTIFS('Job Tasks'!$B$5:$B$904,A257))</f>
        <v>0</v>
      </c>
      <c r="AN257" s="31">
        <f>IF(A257="","",COUNTIFS('Job Tasks'!$B$5:$B$904,A257,'Job Tasks'!$H$5:$H$904,"Done"))</f>
        <v>0</v>
      </c>
      <c r="AO257" s="38">
        <f>IF(OR(A257="",AM257=0),"",AN257/AM257)</f>
        <v>0</v>
      </c>
      <c r="AP257" s="43">
        <f>IF(A257="","",IFERROR(INDEX('Invoice Lines'!$B$5:$B$804,MATCH(A257,'Invoice Lines'!$C$5:$C$804,0)),""))</f>
        <v>0</v>
      </c>
      <c r="AQ257" s="18">
        <f>IF(OR(G257="",B257="",X257&lt;&gt;"Yes"),"",IF(IFERROR(INDEX(FreqDays,MATCH(O257,FreqNames,0)),0)=0,"",B257+IFERROR(INDEX(FreqDays,MATCH(O257,FreqNames,0)),0)))</f>
        <v>0</v>
      </c>
      <c r="AR257" s="39">
        <f>IF(G257="","",IF(R257="","Unassigned",IF(COUNTIFS($R$5:$R$604,R257,$B$5:$B$604,B257,$F$5:$F$604,F257)&gt;1,"Clash",IF(SUMIFS($AF$5:$AF$604,$R$5:$R$604,R257,$B$5:$B$604,B257)&gt;ProductiveHours,"Long day","OK"))))</f>
        <v>0</v>
      </c>
      <c r="AS257" s="18">
        <f>IF(OR(G257="",B257=""),"",IF(AND(B257&gt;=TodayDate,P257&lt;&gt;"Cancelled"),B257,""))</f>
        <v>0</v>
      </c>
      <c r="AT257" s="31">
        <f>IF(AS257="","",COUNTIFS($AS$5:$AS$604,"&lt;"&amp;AS257)+COUNTIFS($AS$5:AS257,AS257))</f>
        <v>0</v>
      </c>
      <c r="AU257" s="18">
        <f>IF(OR(G257="",B257="",R257&lt;&gt;""),"",IF(AND(B257&gt;=TodayDate,P257&lt;&gt;"Cancelled"),B257,""))</f>
        <v>0</v>
      </c>
      <c r="AV257" s="31">
        <f>IF(AU257="","",COUNTIFS($AU$5:$AU$604,"&lt;"&amp;AU257)+COUNTIFS($AU$5:AU257,AU257))</f>
        <v>0</v>
      </c>
      <c r="AW257" s="31">
        <f>IF(OR(G257="",B257=""),"",B257-TodayDate)</f>
        <v>0</v>
      </c>
      <c r="AX257" s="39">
        <f>IF(G257="","",IF(P257="Cancelled","Cancelled",IF(P257="No access","Action - no access, rebook",IF(AND(B257&lt;&gt;"",AW257&lt;0,OR(P257="Booked",P257="Confirmed",P257="In progress")),"Late - mark it completed",IF(AND(P257="Completed",AP257=""),"Action - not invoiced yet",IF(AND(AW257&gt;=0,AW257&lt;=ReminderDays,Y257&lt;&gt;"Yes"),"Confirm - visit coming up",IF(R257="","Assign - no cleaner booked",IF(AND(P257="Completed",AO257&lt;&gt;"",AO257&lt;1),"Check - checklist unfinished","OK"))))))))</f>
        <v>0</v>
      </c>
    </row>
    <row r="258" spans="1:50">
      <c r="A258" s="43">
        <f>IF(G258="","",JobPrefix&amp;TEXT(ROW()-4,"0000"))</f>
        <v>0</v>
      </c>
      <c r="C258" s="23">
        <f>IF(B258="","",TEXT(B258,"ddd"))</f>
        <v>0</v>
      </c>
      <c r="D258" s="31">
        <f>IF(B258="","",WEEKNUM(B258,IF(WeekStart="Sunday",1,2)))</f>
        <v>0</v>
      </c>
      <c r="E258" s="23">
        <f>IF(B258="","",TEXT(B258,"yyyy-mm"))</f>
        <v>0</v>
      </c>
      <c r="H258" s="23">
        <f>IF(G258="","",IFERROR(INDEX(Clients!$B$5:$B$204,MATCH(G258,Clients!$A$5:$A$204,0)),"Not found"))</f>
        <v>0</v>
      </c>
      <c r="I258" s="23">
        <f>IF(G258="","",IFERROR(INDEX(Clients!$C$5:$C$204,MATCH(G258,Clients!$A$5:$A$204,0)),""))</f>
        <v>0</v>
      </c>
      <c r="K258" s="23">
        <f>IF(J258="","",IFERROR(INDEX(Properties!$B$5:$B$254,MATCH(J258,Properties!$A$5:$A$254,0)),""))</f>
        <v>0</v>
      </c>
      <c r="L258" s="23">
        <f>IF(J258="","",IFERROR(INDEX(Properties!$F$5:$F$254,MATCH(J258,Properties!$A$5:$A$254,0)),""))</f>
        <v>0</v>
      </c>
      <c r="AD258" s="34">
        <f>IF(G258="","",IF(U258&lt;&gt;"",U258,IF(AND(IFERROR(INDEX(Services!$D$5:$D$64,MATCH(M258,Services!$B$5:$B$64,0)),"")="Per hour",IFERROR(INDEX(Properties!$X$5:$X$254,MATCH(J258,Properties!$A$5:$A$254,0)),0)&gt;0),IFERROR(INDEX(Properties!$X$5:$X$254,MATCH(J258,Properties!$A$5:$A$254,0)),0),IF(IFERROR(INDEX(Services!$G$5:$G$64,MATCH(M258,Services!$B$5:$B$64,0)),0)&gt;0,IFERROR(INDEX(Services!$G$5:$G$64,MATCH(M258,Services!$B$5:$B$64,0)),0),IFERROR(INDEX(Properties!$X$5:$X$254,MATCH(J258,Properties!$A$5:$A$254,0)),0)))))</f>
        <v>0</v>
      </c>
      <c r="AE258" s="31">
        <f>IF(G258="","",IF(T258="",CleanersPerJob,MAX(1,T258)))</f>
        <v>0</v>
      </c>
      <c r="AF258" s="34">
        <f>IF(G258="","",ROUND(AD258/AE258,2))</f>
        <v>0</v>
      </c>
      <c r="AG258" s="53">
        <f>IF(OR(G258="",F258="",AF258=""),"",F258+AF258/24)</f>
        <v>0</v>
      </c>
      <c r="AH258" s="21">
        <f>IF(G258="","",IF(IFERROR(INDEX(Clients!$O$5:$O$204,MATCH(G258,Clients!$A$5:$A$204,0)),0)&gt;0,IFERROR(INDEX(Clients!$O$5:$O$204,MATCH(G258,Clients!$A$5:$A$204,0)),0),HourlyRate))</f>
        <v>0</v>
      </c>
      <c r="AI258" s="21">
        <f>IF(G258="","",IF(AND(M258&lt;&gt;"",IFERROR(INDEX(Services!$P$5:$P$64,MATCH(M258,Services!$B$5:$B$64,0)),0)&gt;0,IFERROR(INDEX(Services!$D$5:$D$64,MATCH(M258,Services!$B$5:$B$64,0)),"")&lt;&gt;"Per hour"),IFERROR(INDEX(Services!$P$5:$P$64,MATCH(M258,Services!$B$5:$B$64,0)),0),AD258*AH258))</f>
        <v>0</v>
      </c>
      <c r="AJ258" s="21">
        <f>IF(G258="","",IF(V258&lt;&gt;"",V258,IF(P258="Cancelled",0,MAX(MinimumCharge,ROUND(AI258*IFERROR(INDEX(FreqFactors,MATCH(O258,FreqNames,0)),1),2)))))</f>
        <v>0</v>
      </c>
      <c r="AK258" s="34">
        <f>IF(G258="","",IF(SUMIFS(Timesheets!$U$5:$U$804,Timesheets!$G$5:$G$804,A258)&gt;0,SUMIFS(Timesheets!$U$5:$U$804,Timesheets!$G$5:$G$804,A258),IF(Z258="","",Z258)))</f>
        <v>0</v>
      </c>
      <c r="AL258" s="34">
        <f>IF(OR(AK258="",AD258=""),"",AK258-AD258)</f>
        <v>0</v>
      </c>
      <c r="AM258" s="31">
        <f>IF(A258="","",COUNTIFS('Job Tasks'!$B$5:$B$904,A258))</f>
        <v>0</v>
      </c>
      <c r="AN258" s="31">
        <f>IF(A258="","",COUNTIFS('Job Tasks'!$B$5:$B$904,A258,'Job Tasks'!$H$5:$H$904,"Done"))</f>
        <v>0</v>
      </c>
      <c r="AO258" s="38">
        <f>IF(OR(A258="",AM258=0),"",AN258/AM258)</f>
        <v>0</v>
      </c>
      <c r="AP258" s="43">
        <f>IF(A258="","",IFERROR(INDEX('Invoice Lines'!$B$5:$B$804,MATCH(A258,'Invoice Lines'!$C$5:$C$804,0)),""))</f>
        <v>0</v>
      </c>
      <c r="AQ258" s="18">
        <f>IF(OR(G258="",B258="",X258&lt;&gt;"Yes"),"",IF(IFERROR(INDEX(FreqDays,MATCH(O258,FreqNames,0)),0)=0,"",B258+IFERROR(INDEX(FreqDays,MATCH(O258,FreqNames,0)),0)))</f>
        <v>0</v>
      </c>
      <c r="AR258" s="39">
        <f>IF(G258="","",IF(R258="","Unassigned",IF(COUNTIFS($R$5:$R$604,R258,$B$5:$B$604,B258,$F$5:$F$604,F258)&gt;1,"Clash",IF(SUMIFS($AF$5:$AF$604,$R$5:$R$604,R258,$B$5:$B$604,B258)&gt;ProductiveHours,"Long day","OK"))))</f>
        <v>0</v>
      </c>
      <c r="AS258" s="18">
        <f>IF(OR(G258="",B258=""),"",IF(AND(B258&gt;=TodayDate,P258&lt;&gt;"Cancelled"),B258,""))</f>
        <v>0</v>
      </c>
      <c r="AT258" s="31">
        <f>IF(AS258="","",COUNTIFS($AS$5:$AS$604,"&lt;"&amp;AS258)+COUNTIFS($AS$5:AS258,AS258))</f>
        <v>0</v>
      </c>
      <c r="AU258" s="18">
        <f>IF(OR(G258="",B258="",R258&lt;&gt;""),"",IF(AND(B258&gt;=TodayDate,P258&lt;&gt;"Cancelled"),B258,""))</f>
        <v>0</v>
      </c>
      <c r="AV258" s="31">
        <f>IF(AU258="","",COUNTIFS($AU$5:$AU$604,"&lt;"&amp;AU258)+COUNTIFS($AU$5:AU258,AU258))</f>
        <v>0</v>
      </c>
      <c r="AW258" s="31">
        <f>IF(OR(G258="",B258=""),"",B258-TodayDate)</f>
        <v>0</v>
      </c>
      <c r="AX258" s="39">
        <f>IF(G258="","",IF(P258="Cancelled","Cancelled",IF(P258="No access","Action - no access, rebook",IF(AND(B258&lt;&gt;"",AW258&lt;0,OR(P258="Booked",P258="Confirmed",P258="In progress")),"Late - mark it completed",IF(AND(P258="Completed",AP258=""),"Action - not invoiced yet",IF(AND(AW258&gt;=0,AW258&lt;=ReminderDays,Y258&lt;&gt;"Yes"),"Confirm - visit coming up",IF(R258="","Assign - no cleaner booked",IF(AND(P258="Completed",AO258&lt;&gt;"",AO258&lt;1),"Check - checklist unfinished","OK"))))))))</f>
        <v>0</v>
      </c>
    </row>
    <row r="259" spans="1:50">
      <c r="A259" s="43">
        <f>IF(G259="","",JobPrefix&amp;TEXT(ROW()-4,"0000"))</f>
        <v>0</v>
      </c>
      <c r="C259" s="23">
        <f>IF(B259="","",TEXT(B259,"ddd"))</f>
        <v>0</v>
      </c>
      <c r="D259" s="31">
        <f>IF(B259="","",WEEKNUM(B259,IF(WeekStart="Sunday",1,2)))</f>
        <v>0</v>
      </c>
      <c r="E259" s="23">
        <f>IF(B259="","",TEXT(B259,"yyyy-mm"))</f>
        <v>0</v>
      </c>
      <c r="H259" s="23">
        <f>IF(G259="","",IFERROR(INDEX(Clients!$B$5:$B$204,MATCH(G259,Clients!$A$5:$A$204,0)),"Not found"))</f>
        <v>0</v>
      </c>
      <c r="I259" s="23">
        <f>IF(G259="","",IFERROR(INDEX(Clients!$C$5:$C$204,MATCH(G259,Clients!$A$5:$A$204,0)),""))</f>
        <v>0</v>
      </c>
      <c r="K259" s="23">
        <f>IF(J259="","",IFERROR(INDEX(Properties!$B$5:$B$254,MATCH(J259,Properties!$A$5:$A$254,0)),""))</f>
        <v>0</v>
      </c>
      <c r="L259" s="23">
        <f>IF(J259="","",IFERROR(INDEX(Properties!$F$5:$F$254,MATCH(J259,Properties!$A$5:$A$254,0)),""))</f>
        <v>0</v>
      </c>
      <c r="AD259" s="34">
        <f>IF(G259="","",IF(U259&lt;&gt;"",U259,IF(AND(IFERROR(INDEX(Services!$D$5:$D$64,MATCH(M259,Services!$B$5:$B$64,0)),"")="Per hour",IFERROR(INDEX(Properties!$X$5:$X$254,MATCH(J259,Properties!$A$5:$A$254,0)),0)&gt;0),IFERROR(INDEX(Properties!$X$5:$X$254,MATCH(J259,Properties!$A$5:$A$254,0)),0),IF(IFERROR(INDEX(Services!$G$5:$G$64,MATCH(M259,Services!$B$5:$B$64,0)),0)&gt;0,IFERROR(INDEX(Services!$G$5:$G$64,MATCH(M259,Services!$B$5:$B$64,0)),0),IFERROR(INDEX(Properties!$X$5:$X$254,MATCH(J259,Properties!$A$5:$A$254,0)),0)))))</f>
        <v>0</v>
      </c>
      <c r="AE259" s="31">
        <f>IF(G259="","",IF(T259="",CleanersPerJob,MAX(1,T259)))</f>
        <v>0</v>
      </c>
      <c r="AF259" s="34">
        <f>IF(G259="","",ROUND(AD259/AE259,2))</f>
        <v>0</v>
      </c>
      <c r="AG259" s="53">
        <f>IF(OR(G259="",F259="",AF259=""),"",F259+AF259/24)</f>
        <v>0</v>
      </c>
      <c r="AH259" s="21">
        <f>IF(G259="","",IF(IFERROR(INDEX(Clients!$O$5:$O$204,MATCH(G259,Clients!$A$5:$A$204,0)),0)&gt;0,IFERROR(INDEX(Clients!$O$5:$O$204,MATCH(G259,Clients!$A$5:$A$204,0)),0),HourlyRate))</f>
        <v>0</v>
      </c>
      <c r="AI259" s="21">
        <f>IF(G259="","",IF(AND(M259&lt;&gt;"",IFERROR(INDEX(Services!$P$5:$P$64,MATCH(M259,Services!$B$5:$B$64,0)),0)&gt;0,IFERROR(INDEX(Services!$D$5:$D$64,MATCH(M259,Services!$B$5:$B$64,0)),"")&lt;&gt;"Per hour"),IFERROR(INDEX(Services!$P$5:$P$64,MATCH(M259,Services!$B$5:$B$64,0)),0),AD259*AH259))</f>
        <v>0</v>
      </c>
      <c r="AJ259" s="21">
        <f>IF(G259="","",IF(V259&lt;&gt;"",V259,IF(P259="Cancelled",0,MAX(MinimumCharge,ROUND(AI259*IFERROR(INDEX(FreqFactors,MATCH(O259,FreqNames,0)),1),2)))))</f>
        <v>0</v>
      </c>
      <c r="AK259" s="34">
        <f>IF(G259="","",IF(SUMIFS(Timesheets!$U$5:$U$804,Timesheets!$G$5:$G$804,A259)&gt;0,SUMIFS(Timesheets!$U$5:$U$804,Timesheets!$G$5:$G$804,A259),IF(Z259="","",Z259)))</f>
        <v>0</v>
      </c>
      <c r="AL259" s="34">
        <f>IF(OR(AK259="",AD259=""),"",AK259-AD259)</f>
        <v>0</v>
      </c>
      <c r="AM259" s="31">
        <f>IF(A259="","",COUNTIFS('Job Tasks'!$B$5:$B$904,A259))</f>
        <v>0</v>
      </c>
      <c r="AN259" s="31">
        <f>IF(A259="","",COUNTIFS('Job Tasks'!$B$5:$B$904,A259,'Job Tasks'!$H$5:$H$904,"Done"))</f>
        <v>0</v>
      </c>
      <c r="AO259" s="38">
        <f>IF(OR(A259="",AM259=0),"",AN259/AM259)</f>
        <v>0</v>
      </c>
      <c r="AP259" s="43">
        <f>IF(A259="","",IFERROR(INDEX('Invoice Lines'!$B$5:$B$804,MATCH(A259,'Invoice Lines'!$C$5:$C$804,0)),""))</f>
        <v>0</v>
      </c>
      <c r="AQ259" s="18">
        <f>IF(OR(G259="",B259="",X259&lt;&gt;"Yes"),"",IF(IFERROR(INDEX(FreqDays,MATCH(O259,FreqNames,0)),0)=0,"",B259+IFERROR(INDEX(FreqDays,MATCH(O259,FreqNames,0)),0)))</f>
        <v>0</v>
      </c>
      <c r="AR259" s="39">
        <f>IF(G259="","",IF(R259="","Unassigned",IF(COUNTIFS($R$5:$R$604,R259,$B$5:$B$604,B259,$F$5:$F$604,F259)&gt;1,"Clash",IF(SUMIFS($AF$5:$AF$604,$R$5:$R$604,R259,$B$5:$B$604,B259)&gt;ProductiveHours,"Long day","OK"))))</f>
        <v>0</v>
      </c>
      <c r="AS259" s="18">
        <f>IF(OR(G259="",B259=""),"",IF(AND(B259&gt;=TodayDate,P259&lt;&gt;"Cancelled"),B259,""))</f>
        <v>0</v>
      </c>
      <c r="AT259" s="31">
        <f>IF(AS259="","",COUNTIFS($AS$5:$AS$604,"&lt;"&amp;AS259)+COUNTIFS($AS$5:AS259,AS259))</f>
        <v>0</v>
      </c>
      <c r="AU259" s="18">
        <f>IF(OR(G259="",B259="",R259&lt;&gt;""),"",IF(AND(B259&gt;=TodayDate,P259&lt;&gt;"Cancelled"),B259,""))</f>
        <v>0</v>
      </c>
      <c r="AV259" s="31">
        <f>IF(AU259="","",COUNTIFS($AU$5:$AU$604,"&lt;"&amp;AU259)+COUNTIFS($AU$5:AU259,AU259))</f>
        <v>0</v>
      </c>
      <c r="AW259" s="31">
        <f>IF(OR(G259="",B259=""),"",B259-TodayDate)</f>
        <v>0</v>
      </c>
      <c r="AX259" s="39">
        <f>IF(G259="","",IF(P259="Cancelled","Cancelled",IF(P259="No access","Action - no access, rebook",IF(AND(B259&lt;&gt;"",AW259&lt;0,OR(P259="Booked",P259="Confirmed",P259="In progress")),"Late - mark it completed",IF(AND(P259="Completed",AP259=""),"Action - not invoiced yet",IF(AND(AW259&gt;=0,AW259&lt;=ReminderDays,Y259&lt;&gt;"Yes"),"Confirm - visit coming up",IF(R259="","Assign - no cleaner booked",IF(AND(P259="Completed",AO259&lt;&gt;"",AO259&lt;1),"Check - checklist unfinished","OK"))))))))</f>
        <v>0</v>
      </c>
    </row>
    <row r="260" spans="1:50">
      <c r="A260" s="43">
        <f>IF(G260="","",JobPrefix&amp;TEXT(ROW()-4,"0000"))</f>
        <v>0</v>
      </c>
      <c r="C260" s="23">
        <f>IF(B260="","",TEXT(B260,"ddd"))</f>
        <v>0</v>
      </c>
      <c r="D260" s="31">
        <f>IF(B260="","",WEEKNUM(B260,IF(WeekStart="Sunday",1,2)))</f>
        <v>0</v>
      </c>
      <c r="E260" s="23">
        <f>IF(B260="","",TEXT(B260,"yyyy-mm"))</f>
        <v>0</v>
      </c>
      <c r="H260" s="23">
        <f>IF(G260="","",IFERROR(INDEX(Clients!$B$5:$B$204,MATCH(G260,Clients!$A$5:$A$204,0)),"Not found"))</f>
        <v>0</v>
      </c>
      <c r="I260" s="23">
        <f>IF(G260="","",IFERROR(INDEX(Clients!$C$5:$C$204,MATCH(G260,Clients!$A$5:$A$204,0)),""))</f>
        <v>0</v>
      </c>
      <c r="K260" s="23">
        <f>IF(J260="","",IFERROR(INDEX(Properties!$B$5:$B$254,MATCH(J260,Properties!$A$5:$A$254,0)),""))</f>
        <v>0</v>
      </c>
      <c r="L260" s="23">
        <f>IF(J260="","",IFERROR(INDEX(Properties!$F$5:$F$254,MATCH(J260,Properties!$A$5:$A$254,0)),""))</f>
        <v>0</v>
      </c>
      <c r="AD260" s="34">
        <f>IF(G260="","",IF(U260&lt;&gt;"",U260,IF(AND(IFERROR(INDEX(Services!$D$5:$D$64,MATCH(M260,Services!$B$5:$B$64,0)),"")="Per hour",IFERROR(INDEX(Properties!$X$5:$X$254,MATCH(J260,Properties!$A$5:$A$254,0)),0)&gt;0),IFERROR(INDEX(Properties!$X$5:$X$254,MATCH(J260,Properties!$A$5:$A$254,0)),0),IF(IFERROR(INDEX(Services!$G$5:$G$64,MATCH(M260,Services!$B$5:$B$64,0)),0)&gt;0,IFERROR(INDEX(Services!$G$5:$G$64,MATCH(M260,Services!$B$5:$B$64,0)),0),IFERROR(INDEX(Properties!$X$5:$X$254,MATCH(J260,Properties!$A$5:$A$254,0)),0)))))</f>
        <v>0</v>
      </c>
      <c r="AE260" s="31">
        <f>IF(G260="","",IF(T260="",CleanersPerJob,MAX(1,T260)))</f>
        <v>0</v>
      </c>
      <c r="AF260" s="34">
        <f>IF(G260="","",ROUND(AD260/AE260,2))</f>
        <v>0</v>
      </c>
      <c r="AG260" s="53">
        <f>IF(OR(G260="",F260="",AF260=""),"",F260+AF260/24)</f>
        <v>0</v>
      </c>
      <c r="AH260" s="21">
        <f>IF(G260="","",IF(IFERROR(INDEX(Clients!$O$5:$O$204,MATCH(G260,Clients!$A$5:$A$204,0)),0)&gt;0,IFERROR(INDEX(Clients!$O$5:$O$204,MATCH(G260,Clients!$A$5:$A$204,0)),0),HourlyRate))</f>
        <v>0</v>
      </c>
      <c r="AI260" s="21">
        <f>IF(G260="","",IF(AND(M260&lt;&gt;"",IFERROR(INDEX(Services!$P$5:$P$64,MATCH(M260,Services!$B$5:$B$64,0)),0)&gt;0,IFERROR(INDEX(Services!$D$5:$D$64,MATCH(M260,Services!$B$5:$B$64,0)),"")&lt;&gt;"Per hour"),IFERROR(INDEX(Services!$P$5:$P$64,MATCH(M260,Services!$B$5:$B$64,0)),0),AD260*AH260))</f>
        <v>0</v>
      </c>
      <c r="AJ260" s="21">
        <f>IF(G260="","",IF(V260&lt;&gt;"",V260,IF(P260="Cancelled",0,MAX(MinimumCharge,ROUND(AI260*IFERROR(INDEX(FreqFactors,MATCH(O260,FreqNames,0)),1),2)))))</f>
        <v>0</v>
      </c>
      <c r="AK260" s="34">
        <f>IF(G260="","",IF(SUMIFS(Timesheets!$U$5:$U$804,Timesheets!$G$5:$G$804,A260)&gt;0,SUMIFS(Timesheets!$U$5:$U$804,Timesheets!$G$5:$G$804,A260),IF(Z260="","",Z260)))</f>
        <v>0</v>
      </c>
      <c r="AL260" s="34">
        <f>IF(OR(AK260="",AD260=""),"",AK260-AD260)</f>
        <v>0</v>
      </c>
      <c r="AM260" s="31">
        <f>IF(A260="","",COUNTIFS('Job Tasks'!$B$5:$B$904,A260))</f>
        <v>0</v>
      </c>
      <c r="AN260" s="31">
        <f>IF(A260="","",COUNTIFS('Job Tasks'!$B$5:$B$904,A260,'Job Tasks'!$H$5:$H$904,"Done"))</f>
        <v>0</v>
      </c>
      <c r="AO260" s="38">
        <f>IF(OR(A260="",AM260=0),"",AN260/AM260)</f>
        <v>0</v>
      </c>
      <c r="AP260" s="43">
        <f>IF(A260="","",IFERROR(INDEX('Invoice Lines'!$B$5:$B$804,MATCH(A260,'Invoice Lines'!$C$5:$C$804,0)),""))</f>
        <v>0</v>
      </c>
      <c r="AQ260" s="18">
        <f>IF(OR(G260="",B260="",X260&lt;&gt;"Yes"),"",IF(IFERROR(INDEX(FreqDays,MATCH(O260,FreqNames,0)),0)=0,"",B260+IFERROR(INDEX(FreqDays,MATCH(O260,FreqNames,0)),0)))</f>
        <v>0</v>
      </c>
      <c r="AR260" s="39">
        <f>IF(G260="","",IF(R260="","Unassigned",IF(COUNTIFS($R$5:$R$604,R260,$B$5:$B$604,B260,$F$5:$F$604,F260)&gt;1,"Clash",IF(SUMIFS($AF$5:$AF$604,$R$5:$R$604,R260,$B$5:$B$604,B260)&gt;ProductiveHours,"Long day","OK"))))</f>
        <v>0</v>
      </c>
      <c r="AS260" s="18">
        <f>IF(OR(G260="",B260=""),"",IF(AND(B260&gt;=TodayDate,P260&lt;&gt;"Cancelled"),B260,""))</f>
        <v>0</v>
      </c>
      <c r="AT260" s="31">
        <f>IF(AS260="","",COUNTIFS($AS$5:$AS$604,"&lt;"&amp;AS260)+COUNTIFS($AS$5:AS260,AS260))</f>
        <v>0</v>
      </c>
      <c r="AU260" s="18">
        <f>IF(OR(G260="",B260="",R260&lt;&gt;""),"",IF(AND(B260&gt;=TodayDate,P260&lt;&gt;"Cancelled"),B260,""))</f>
        <v>0</v>
      </c>
      <c r="AV260" s="31">
        <f>IF(AU260="","",COUNTIFS($AU$5:$AU$604,"&lt;"&amp;AU260)+COUNTIFS($AU$5:AU260,AU260))</f>
        <v>0</v>
      </c>
      <c r="AW260" s="31">
        <f>IF(OR(G260="",B260=""),"",B260-TodayDate)</f>
        <v>0</v>
      </c>
      <c r="AX260" s="39">
        <f>IF(G260="","",IF(P260="Cancelled","Cancelled",IF(P260="No access","Action - no access, rebook",IF(AND(B260&lt;&gt;"",AW260&lt;0,OR(P260="Booked",P260="Confirmed",P260="In progress")),"Late - mark it completed",IF(AND(P260="Completed",AP260=""),"Action - not invoiced yet",IF(AND(AW260&gt;=0,AW260&lt;=ReminderDays,Y260&lt;&gt;"Yes"),"Confirm - visit coming up",IF(R260="","Assign - no cleaner booked",IF(AND(P260="Completed",AO260&lt;&gt;"",AO260&lt;1),"Check - checklist unfinished","OK"))))))))</f>
        <v>0</v>
      </c>
    </row>
    <row r="261" spans="1:50">
      <c r="A261" s="43">
        <f>IF(G261="","",JobPrefix&amp;TEXT(ROW()-4,"0000"))</f>
        <v>0</v>
      </c>
      <c r="C261" s="23">
        <f>IF(B261="","",TEXT(B261,"ddd"))</f>
        <v>0</v>
      </c>
      <c r="D261" s="31">
        <f>IF(B261="","",WEEKNUM(B261,IF(WeekStart="Sunday",1,2)))</f>
        <v>0</v>
      </c>
      <c r="E261" s="23">
        <f>IF(B261="","",TEXT(B261,"yyyy-mm"))</f>
        <v>0</v>
      </c>
      <c r="H261" s="23">
        <f>IF(G261="","",IFERROR(INDEX(Clients!$B$5:$B$204,MATCH(G261,Clients!$A$5:$A$204,0)),"Not found"))</f>
        <v>0</v>
      </c>
      <c r="I261" s="23">
        <f>IF(G261="","",IFERROR(INDEX(Clients!$C$5:$C$204,MATCH(G261,Clients!$A$5:$A$204,0)),""))</f>
        <v>0</v>
      </c>
      <c r="K261" s="23">
        <f>IF(J261="","",IFERROR(INDEX(Properties!$B$5:$B$254,MATCH(J261,Properties!$A$5:$A$254,0)),""))</f>
        <v>0</v>
      </c>
      <c r="L261" s="23">
        <f>IF(J261="","",IFERROR(INDEX(Properties!$F$5:$F$254,MATCH(J261,Properties!$A$5:$A$254,0)),""))</f>
        <v>0</v>
      </c>
      <c r="AD261" s="34">
        <f>IF(G261="","",IF(U261&lt;&gt;"",U261,IF(AND(IFERROR(INDEX(Services!$D$5:$D$64,MATCH(M261,Services!$B$5:$B$64,0)),"")="Per hour",IFERROR(INDEX(Properties!$X$5:$X$254,MATCH(J261,Properties!$A$5:$A$254,0)),0)&gt;0),IFERROR(INDEX(Properties!$X$5:$X$254,MATCH(J261,Properties!$A$5:$A$254,0)),0),IF(IFERROR(INDEX(Services!$G$5:$G$64,MATCH(M261,Services!$B$5:$B$64,0)),0)&gt;0,IFERROR(INDEX(Services!$G$5:$G$64,MATCH(M261,Services!$B$5:$B$64,0)),0),IFERROR(INDEX(Properties!$X$5:$X$254,MATCH(J261,Properties!$A$5:$A$254,0)),0)))))</f>
        <v>0</v>
      </c>
      <c r="AE261" s="31">
        <f>IF(G261="","",IF(T261="",CleanersPerJob,MAX(1,T261)))</f>
        <v>0</v>
      </c>
      <c r="AF261" s="34">
        <f>IF(G261="","",ROUND(AD261/AE261,2))</f>
        <v>0</v>
      </c>
      <c r="AG261" s="53">
        <f>IF(OR(G261="",F261="",AF261=""),"",F261+AF261/24)</f>
        <v>0</v>
      </c>
      <c r="AH261" s="21">
        <f>IF(G261="","",IF(IFERROR(INDEX(Clients!$O$5:$O$204,MATCH(G261,Clients!$A$5:$A$204,0)),0)&gt;0,IFERROR(INDEX(Clients!$O$5:$O$204,MATCH(G261,Clients!$A$5:$A$204,0)),0),HourlyRate))</f>
        <v>0</v>
      </c>
      <c r="AI261" s="21">
        <f>IF(G261="","",IF(AND(M261&lt;&gt;"",IFERROR(INDEX(Services!$P$5:$P$64,MATCH(M261,Services!$B$5:$B$64,0)),0)&gt;0,IFERROR(INDEX(Services!$D$5:$D$64,MATCH(M261,Services!$B$5:$B$64,0)),"")&lt;&gt;"Per hour"),IFERROR(INDEX(Services!$P$5:$P$64,MATCH(M261,Services!$B$5:$B$64,0)),0),AD261*AH261))</f>
        <v>0</v>
      </c>
      <c r="AJ261" s="21">
        <f>IF(G261="","",IF(V261&lt;&gt;"",V261,IF(P261="Cancelled",0,MAX(MinimumCharge,ROUND(AI261*IFERROR(INDEX(FreqFactors,MATCH(O261,FreqNames,0)),1),2)))))</f>
        <v>0</v>
      </c>
      <c r="AK261" s="34">
        <f>IF(G261="","",IF(SUMIFS(Timesheets!$U$5:$U$804,Timesheets!$G$5:$G$804,A261)&gt;0,SUMIFS(Timesheets!$U$5:$U$804,Timesheets!$G$5:$G$804,A261),IF(Z261="","",Z261)))</f>
        <v>0</v>
      </c>
      <c r="AL261" s="34">
        <f>IF(OR(AK261="",AD261=""),"",AK261-AD261)</f>
        <v>0</v>
      </c>
      <c r="AM261" s="31">
        <f>IF(A261="","",COUNTIFS('Job Tasks'!$B$5:$B$904,A261))</f>
        <v>0</v>
      </c>
      <c r="AN261" s="31">
        <f>IF(A261="","",COUNTIFS('Job Tasks'!$B$5:$B$904,A261,'Job Tasks'!$H$5:$H$904,"Done"))</f>
        <v>0</v>
      </c>
      <c r="AO261" s="38">
        <f>IF(OR(A261="",AM261=0),"",AN261/AM261)</f>
        <v>0</v>
      </c>
      <c r="AP261" s="43">
        <f>IF(A261="","",IFERROR(INDEX('Invoice Lines'!$B$5:$B$804,MATCH(A261,'Invoice Lines'!$C$5:$C$804,0)),""))</f>
        <v>0</v>
      </c>
      <c r="AQ261" s="18">
        <f>IF(OR(G261="",B261="",X261&lt;&gt;"Yes"),"",IF(IFERROR(INDEX(FreqDays,MATCH(O261,FreqNames,0)),0)=0,"",B261+IFERROR(INDEX(FreqDays,MATCH(O261,FreqNames,0)),0)))</f>
        <v>0</v>
      </c>
      <c r="AR261" s="39">
        <f>IF(G261="","",IF(R261="","Unassigned",IF(COUNTIFS($R$5:$R$604,R261,$B$5:$B$604,B261,$F$5:$F$604,F261)&gt;1,"Clash",IF(SUMIFS($AF$5:$AF$604,$R$5:$R$604,R261,$B$5:$B$604,B261)&gt;ProductiveHours,"Long day","OK"))))</f>
        <v>0</v>
      </c>
      <c r="AS261" s="18">
        <f>IF(OR(G261="",B261=""),"",IF(AND(B261&gt;=TodayDate,P261&lt;&gt;"Cancelled"),B261,""))</f>
        <v>0</v>
      </c>
      <c r="AT261" s="31">
        <f>IF(AS261="","",COUNTIFS($AS$5:$AS$604,"&lt;"&amp;AS261)+COUNTIFS($AS$5:AS261,AS261))</f>
        <v>0</v>
      </c>
      <c r="AU261" s="18">
        <f>IF(OR(G261="",B261="",R261&lt;&gt;""),"",IF(AND(B261&gt;=TodayDate,P261&lt;&gt;"Cancelled"),B261,""))</f>
        <v>0</v>
      </c>
      <c r="AV261" s="31">
        <f>IF(AU261="","",COUNTIFS($AU$5:$AU$604,"&lt;"&amp;AU261)+COUNTIFS($AU$5:AU261,AU261))</f>
        <v>0</v>
      </c>
      <c r="AW261" s="31">
        <f>IF(OR(G261="",B261=""),"",B261-TodayDate)</f>
        <v>0</v>
      </c>
      <c r="AX261" s="39">
        <f>IF(G261="","",IF(P261="Cancelled","Cancelled",IF(P261="No access","Action - no access, rebook",IF(AND(B261&lt;&gt;"",AW261&lt;0,OR(P261="Booked",P261="Confirmed",P261="In progress")),"Late - mark it completed",IF(AND(P261="Completed",AP261=""),"Action - not invoiced yet",IF(AND(AW261&gt;=0,AW261&lt;=ReminderDays,Y261&lt;&gt;"Yes"),"Confirm - visit coming up",IF(R261="","Assign - no cleaner booked",IF(AND(P261="Completed",AO261&lt;&gt;"",AO261&lt;1),"Check - checklist unfinished","OK"))))))))</f>
        <v>0</v>
      </c>
    </row>
    <row r="262" spans="1:50">
      <c r="A262" s="43">
        <f>IF(G262="","",JobPrefix&amp;TEXT(ROW()-4,"0000"))</f>
        <v>0</v>
      </c>
      <c r="C262" s="23">
        <f>IF(B262="","",TEXT(B262,"ddd"))</f>
        <v>0</v>
      </c>
      <c r="D262" s="31">
        <f>IF(B262="","",WEEKNUM(B262,IF(WeekStart="Sunday",1,2)))</f>
        <v>0</v>
      </c>
      <c r="E262" s="23">
        <f>IF(B262="","",TEXT(B262,"yyyy-mm"))</f>
        <v>0</v>
      </c>
      <c r="H262" s="23">
        <f>IF(G262="","",IFERROR(INDEX(Clients!$B$5:$B$204,MATCH(G262,Clients!$A$5:$A$204,0)),"Not found"))</f>
        <v>0</v>
      </c>
      <c r="I262" s="23">
        <f>IF(G262="","",IFERROR(INDEX(Clients!$C$5:$C$204,MATCH(G262,Clients!$A$5:$A$204,0)),""))</f>
        <v>0</v>
      </c>
      <c r="K262" s="23">
        <f>IF(J262="","",IFERROR(INDEX(Properties!$B$5:$B$254,MATCH(J262,Properties!$A$5:$A$254,0)),""))</f>
        <v>0</v>
      </c>
      <c r="L262" s="23">
        <f>IF(J262="","",IFERROR(INDEX(Properties!$F$5:$F$254,MATCH(J262,Properties!$A$5:$A$254,0)),""))</f>
        <v>0</v>
      </c>
      <c r="AD262" s="34">
        <f>IF(G262="","",IF(U262&lt;&gt;"",U262,IF(AND(IFERROR(INDEX(Services!$D$5:$D$64,MATCH(M262,Services!$B$5:$B$64,0)),"")="Per hour",IFERROR(INDEX(Properties!$X$5:$X$254,MATCH(J262,Properties!$A$5:$A$254,0)),0)&gt;0),IFERROR(INDEX(Properties!$X$5:$X$254,MATCH(J262,Properties!$A$5:$A$254,0)),0),IF(IFERROR(INDEX(Services!$G$5:$G$64,MATCH(M262,Services!$B$5:$B$64,0)),0)&gt;0,IFERROR(INDEX(Services!$G$5:$G$64,MATCH(M262,Services!$B$5:$B$64,0)),0),IFERROR(INDEX(Properties!$X$5:$X$254,MATCH(J262,Properties!$A$5:$A$254,0)),0)))))</f>
        <v>0</v>
      </c>
      <c r="AE262" s="31">
        <f>IF(G262="","",IF(T262="",CleanersPerJob,MAX(1,T262)))</f>
        <v>0</v>
      </c>
      <c r="AF262" s="34">
        <f>IF(G262="","",ROUND(AD262/AE262,2))</f>
        <v>0</v>
      </c>
      <c r="AG262" s="53">
        <f>IF(OR(G262="",F262="",AF262=""),"",F262+AF262/24)</f>
        <v>0</v>
      </c>
      <c r="AH262" s="21">
        <f>IF(G262="","",IF(IFERROR(INDEX(Clients!$O$5:$O$204,MATCH(G262,Clients!$A$5:$A$204,0)),0)&gt;0,IFERROR(INDEX(Clients!$O$5:$O$204,MATCH(G262,Clients!$A$5:$A$204,0)),0),HourlyRate))</f>
        <v>0</v>
      </c>
      <c r="AI262" s="21">
        <f>IF(G262="","",IF(AND(M262&lt;&gt;"",IFERROR(INDEX(Services!$P$5:$P$64,MATCH(M262,Services!$B$5:$B$64,0)),0)&gt;0,IFERROR(INDEX(Services!$D$5:$D$64,MATCH(M262,Services!$B$5:$B$64,0)),"")&lt;&gt;"Per hour"),IFERROR(INDEX(Services!$P$5:$P$64,MATCH(M262,Services!$B$5:$B$64,0)),0),AD262*AH262))</f>
        <v>0</v>
      </c>
      <c r="AJ262" s="21">
        <f>IF(G262="","",IF(V262&lt;&gt;"",V262,IF(P262="Cancelled",0,MAX(MinimumCharge,ROUND(AI262*IFERROR(INDEX(FreqFactors,MATCH(O262,FreqNames,0)),1),2)))))</f>
        <v>0</v>
      </c>
      <c r="AK262" s="34">
        <f>IF(G262="","",IF(SUMIFS(Timesheets!$U$5:$U$804,Timesheets!$G$5:$G$804,A262)&gt;0,SUMIFS(Timesheets!$U$5:$U$804,Timesheets!$G$5:$G$804,A262),IF(Z262="","",Z262)))</f>
        <v>0</v>
      </c>
      <c r="AL262" s="34">
        <f>IF(OR(AK262="",AD262=""),"",AK262-AD262)</f>
        <v>0</v>
      </c>
      <c r="AM262" s="31">
        <f>IF(A262="","",COUNTIFS('Job Tasks'!$B$5:$B$904,A262))</f>
        <v>0</v>
      </c>
      <c r="AN262" s="31">
        <f>IF(A262="","",COUNTIFS('Job Tasks'!$B$5:$B$904,A262,'Job Tasks'!$H$5:$H$904,"Done"))</f>
        <v>0</v>
      </c>
      <c r="AO262" s="38">
        <f>IF(OR(A262="",AM262=0),"",AN262/AM262)</f>
        <v>0</v>
      </c>
      <c r="AP262" s="43">
        <f>IF(A262="","",IFERROR(INDEX('Invoice Lines'!$B$5:$B$804,MATCH(A262,'Invoice Lines'!$C$5:$C$804,0)),""))</f>
        <v>0</v>
      </c>
      <c r="AQ262" s="18">
        <f>IF(OR(G262="",B262="",X262&lt;&gt;"Yes"),"",IF(IFERROR(INDEX(FreqDays,MATCH(O262,FreqNames,0)),0)=0,"",B262+IFERROR(INDEX(FreqDays,MATCH(O262,FreqNames,0)),0)))</f>
        <v>0</v>
      </c>
      <c r="AR262" s="39">
        <f>IF(G262="","",IF(R262="","Unassigned",IF(COUNTIFS($R$5:$R$604,R262,$B$5:$B$604,B262,$F$5:$F$604,F262)&gt;1,"Clash",IF(SUMIFS($AF$5:$AF$604,$R$5:$R$604,R262,$B$5:$B$604,B262)&gt;ProductiveHours,"Long day","OK"))))</f>
        <v>0</v>
      </c>
      <c r="AS262" s="18">
        <f>IF(OR(G262="",B262=""),"",IF(AND(B262&gt;=TodayDate,P262&lt;&gt;"Cancelled"),B262,""))</f>
        <v>0</v>
      </c>
      <c r="AT262" s="31">
        <f>IF(AS262="","",COUNTIFS($AS$5:$AS$604,"&lt;"&amp;AS262)+COUNTIFS($AS$5:AS262,AS262))</f>
        <v>0</v>
      </c>
      <c r="AU262" s="18">
        <f>IF(OR(G262="",B262="",R262&lt;&gt;""),"",IF(AND(B262&gt;=TodayDate,P262&lt;&gt;"Cancelled"),B262,""))</f>
        <v>0</v>
      </c>
      <c r="AV262" s="31">
        <f>IF(AU262="","",COUNTIFS($AU$5:$AU$604,"&lt;"&amp;AU262)+COUNTIFS($AU$5:AU262,AU262))</f>
        <v>0</v>
      </c>
      <c r="AW262" s="31">
        <f>IF(OR(G262="",B262=""),"",B262-TodayDate)</f>
        <v>0</v>
      </c>
      <c r="AX262" s="39">
        <f>IF(G262="","",IF(P262="Cancelled","Cancelled",IF(P262="No access","Action - no access, rebook",IF(AND(B262&lt;&gt;"",AW262&lt;0,OR(P262="Booked",P262="Confirmed",P262="In progress")),"Late - mark it completed",IF(AND(P262="Completed",AP262=""),"Action - not invoiced yet",IF(AND(AW262&gt;=0,AW262&lt;=ReminderDays,Y262&lt;&gt;"Yes"),"Confirm - visit coming up",IF(R262="","Assign - no cleaner booked",IF(AND(P262="Completed",AO262&lt;&gt;"",AO262&lt;1),"Check - checklist unfinished","OK"))))))))</f>
        <v>0</v>
      </c>
    </row>
    <row r="263" spans="1:50">
      <c r="A263" s="43">
        <f>IF(G263="","",JobPrefix&amp;TEXT(ROW()-4,"0000"))</f>
        <v>0</v>
      </c>
      <c r="C263" s="23">
        <f>IF(B263="","",TEXT(B263,"ddd"))</f>
        <v>0</v>
      </c>
      <c r="D263" s="31">
        <f>IF(B263="","",WEEKNUM(B263,IF(WeekStart="Sunday",1,2)))</f>
        <v>0</v>
      </c>
      <c r="E263" s="23">
        <f>IF(B263="","",TEXT(B263,"yyyy-mm"))</f>
        <v>0</v>
      </c>
      <c r="H263" s="23">
        <f>IF(G263="","",IFERROR(INDEX(Clients!$B$5:$B$204,MATCH(G263,Clients!$A$5:$A$204,0)),"Not found"))</f>
        <v>0</v>
      </c>
      <c r="I263" s="23">
        <f>IF(G263="","",IFERROR(INDEX(Clients!$C$5:$C$204,MATCH(G263,Clients!$A$5:$A$204,0)),""))</f>
        <v>0</v>
      </c>
      <c r="K263" s="23">
        <f>IF(J263="","",IFERROR(INDEX(Properties!$B$5:$B$254,MATCH(J263,Properties!$A$5:$A$254,0)),""))</f>
        <v>0</v>
      </c>
      <c r="L263" s="23">
        <f>IF(J263="","",IFERROR(INDEX(Properties!$F$5:$F$254,MATCH(J263,Properties!$A$5:$A$254,0)),""))</f>
        <v>0</v>
      </c>
      <c r="AD263" s="34">
        <f>IF(G263="","",IF(U263&lt;&gt;"",U263,IF(AND(IFERROR(INDEX(Services!$D$5:$D$64,MATCH(M263,Services!$B$5:$B$64,0)),"")="Per hour",IFERROR(INDEX(Properties!$X$5:$X$254,MATCH(J263,Properties!$A$5:$A$254,0)),0)&gt;0),IFERROR(INDEX(Properties!$X$5:$X$254,MATCH(J263,Properties!$A$5:$A$254,0)),0),IF(IFERROR(INDEX(Services!$G$5:$G$64,MATCH(M263,Services!$B$5:$B$64,0)),0)&gt;0,IFERROR(INDEX(Services!$G$5:$G$64,MATCH(M263,Services!$B$5:$B$64,0)),0),IFERROR(INDEX(Properties!$X$5:$X$254,MATCH(J263,Properties!$A$5:$A$254,0)),0)))))</f>
        <v>0</v>
      </c>
      <c r="AE263" s="31">
        <f>IF(G263="","",IF(T263="",CleanersPerJob,MAX(1,T263)))</f>
        <v>0</v>
      </c>
      <c r="AF263" s="34">
        <f>IF(G263="","",ROUND(AD263/AE263,2))</f>
        <v>0</v>
      </c>
      <c r="AG263" s="53">
        <f>IF(OR(G263="",F263="",AF263=""),"",F263+AF263/24)</f>
        <v>0</v>
      </c>
      <c r="AH263" s="21">
        <f>IF(G263="","",IF(IFERROR(INDEX(Clients!$O$5:$O$204,MATCH(G263,Clients!$A$5:$A$204,0)),0)&gt;0,IFERROR(INDEX(Clients!$O$5:$O$204,MATCH(G263,Clients!$A$5:$A$204,0)),0),HourlyRate))</f>
        <v>0</v>
      </c>
      <c r="AI263" s="21">
        <f>IF(G263="","",IF(AND(M263&lt;&gt;"",IFERROR(INDEX(Services!$P$5:$P$64,MATCH(M263,Services!$B$5:$B$64,0)),0)&gt;0,IFERROR(INDEX(Services!$D$5:$D$64,MATCH(M263,Services!$B$5:$B$64,0)),"")&lt;&gt;"Per hour"),IFERROR(INDEX(Services!$P$5:$P$64,MATCH(M263,Services!$B$5:$B$64,0)),0),AD263*AH263))</f>
        <v>0</v>
      </c>
      <c r="AJ263" s="21">
        <f>IF(G263="","",IF(V263&lt;&gt;"",V263,IF(P263="Cancelled",0,MAX(MinimumCharge,ROUND(AI263*IFERROR(INDEX(FreqFactors,MATCH(O263,FreqNames,0)),1),2)))))</f>
        <v>0</v>
      </c>
      <c r="AK263" s="34">
        <f>IF(G263="","",IF(SUMIFS(Timesheets!$U$5:$U$804,Timesheets!$G$5:$G$804,A263)&gt;0,SUMIFS(Timesheets!$U$5:$U$804,Timesheets!$G$5:$G$804,A263),IF(Z263="","",Z263)))</f>
        <v>0</v>
      </c>
      <c r="AL263" s="34">
        <f>IF(OR(AK263="",AD263=""),"",AK263-AD263)</f>
        <v>0</v>
      </c>
      <c r="AM263" s="31">
        <f>IF(A263="","",COUNTIFS('Job Tasks'!$B$5:$B$904,A263))</f>
        <v>0</v>
      </c>
      <c r="AN263" s="31">
        <f>IF(A263="","",COUNTIFS('Job Tasks'!$B$5:$B$904,A263,'Job Tasks'!$H$5:$H$904,"Done"))</f>
        <v>0</v>
      </c>
      <c r="AO263" s="38">
        <f>IF(OR(A263="",AM263=0),"",AN263/AM263)</f>
        <v>0</v>
      </c>
      <c r="AP263" s="43">
        <f>IF(A263="","",IFERROR(INDEX('Invoice Lines'!$B$5:$B$804,MATCH(A263,'Invoice Lines'!$C$5:$C$804,0)),""))</f>
        <v>0</v>
      </c>
      <c r="AQ263" s="18">
        <f>IF(OR(G263="",B263="",X263&lt;&gt;"Yes"),"",IF(IFERROR(INDEX(FreqDays,MATCH(O263,FreqNames,0)),0)=0,"",B263+IFERROR(INDEX(FreqDays,MATCH(O263,FreqNames,0)),0)))</f>
        <v>0</v>
      </c>
      <c r="AR263" s="39">
        <f>IF(G263="","",IF(R263="","Unassigned",IF(COUNTIFS($R$5:$R$604,R263,$B$5:$B$604,B263,$F$5:$F$604,F263)&gt;1,"Clash",IF(SUMIFS($AF$5:$AF$604,$R$5:$R$604,R263,$B$5:$B$604,B263)&gt;ProductiveHours,"Long day","OK"))))</f>
        <v>0</v>
      </c>
      <c r="AS263" s="18">
        <f>IF(OR(G263="",B263=""),"",IF(AND(B263&gt;=TodayDate,P263&lt;&gt;"Cancelled"),B263,""))</f>
        <v>0</v>
      </c>
      <c r="AT263" s="31">
        <f>IF(AS263="","",COUNTIFS($AS$5:$AS$604,"&lt;"&amp;AS263)+COUNTIFS($AS$5:AS263,AS263))</f>
        <v>0</v>
      </c>
      <c r="AU263" s="18">
        <f>IF(OR(G263="",B263="",R263&lt;&gt;""),"",IF(AND(B263&gt;=TodayDate,P263&lt;&gt;"Cancelled"),B263,""))</f>
        <v>0</v>
      </c>
      <c r="AV263" s="31">
        <f>IF(AU263="","",COUNTIFS($AU$5:$AU$604,"&lt;"&amp;AU263)+COUNTIFS($AU$5:AU263,AU263))</f>
        <v>0</v>
      </c>
      <c r="AW263" s="31">
        <f>IF(OR(G263="",B263=""),"",B263-TodayDate)</f>
        <v>0</v>
      </c>
      <c r="AX263" s="39">
        <f>IF(G263="","",IF(P263="Cancelled","Cancelled",IF(P263="No access","Action - no access, rebook",IF(AND(B263&lt;&gt;"",AW263&lt;0,OR(P263="Booked",P263="Confirmed",P263="In progress")),"Late - mark it completed",IF(AND(P263="Completed",AP263=""),"Action - not invoiced yet",IF(AND(AW263&gt;=0,AW263&lt;=ReminderDays,Y263&lt;&gt;"Yes"),"Confirm - visit coming up",IF(R263="","Assign - no cleaner booked",IF(AND(P263="Completed",AO263&lt;&gt;"",AO263&lt;1),"Check - checklist unfinished","OK"))))))))</f>
        <v>0</v>
      </c>
    </row>
    <row r="264" spans="1:50">
      <c r="A264" s="43">
        <f>IF(G264="","",JobPrefix&amp;TEXT(ROW()-4,"0000"))</f>
        <v>0</v>
      </c>
      <c r="C264" s="23">
        <f>IF(B264="","",TEXT(B264,"ddd"))</f>
        <v>0</v>
      </c>
      <c r="D264" s="31">
        <f>IF(B264="","",WEEKNUM(B264,IF(WeekStart="Sunday",1,2)))</f>
        <v>0</v>
      </c>
      <c r="E264" s="23">
        <f>IF(B264="","",TEXT(B264,"yyyy-mm"))</f>
        <v>0</v>
      </c>
      <c r="H264" s="23">
        <f>IF(G264="","",IFERROR(INDEX(Clients!$B$5:$B$204,MATCH(G264,Clients!$A$5:$A$204,0)),"Not found"))</f>
        <v>0</v>
      </c>
      <c r="I264" s="23">
        <f>IF(G264="","",IFERROR(INDEX(Clients!$C$5:$C$204,MATCH(G264,Clients!$A$5:$A$204,0)),""))</f>
        <v>0</v>
      </c>
      <c r="K264" s="23">
        <f>IF(J264="","",IFERROR(INDEX(Properties!$B$5:$B$254,MATCH(J264,Properties!$A$5:$A$254,0)),""))</f>
        <v>0</v>
      </c>
      <c r="L264" s="23">
        <f>IF(J264="","",IFERROR(INDEX(Properties!$F$5:$F$254,MATCH(J264,Properties!$A$5:$A$254,0)),""))</f>
        <v>0</v>
      </c>
      <c r="AD264" s="34">
        <f>IF(G264="","",IF(U264&lt;&gt;"",U264,IF(AND(IFERROR(INDEX(Services!$D$5:$D$64,MATCH(M264,Services!$B$5:$B$64,0)),"")="Per hour",IFERROR(INDEX(Properties!$X$5:$X$254,MATCH(J264,Properties!$A$5:$A$254,0)),0)&gt;0),IFERROR(INDEX(Properties!$X$5:$X$254,MATCH(J264,Properties!$A$5:$A$254,0)),0),IF(IFERROR(INDEX(Services!$G$5:$G$64,MATCH(M264,Services!$B$5:$B$64,0)),0)&gt;0,IFERROR(INDEX(Services!$G$5:$G$64,MATCH(M264,Services!$B$5:$B$64,0)),0),IFERROR(INDEX(Properties!$X$5:$X$254,MATCH(J264,Properties!$A$5:$A$254,0)),0)))))</f>
        <v>0</v>
      </c>
      <c r="AE264" s="31">
        <f>IF(G264="","",IF(T264="",CleanersPerJob,MAX(1,T264)))</f>
        <v>0</v>
      </c>
      <c r="AF264" s="34">
        <f>IF(G264="","",ROUND(AD264/AE264,2))</f>
        <v>0</v>
      </c>
      <c r="AG264" s="53">
        <f>IF(OR(G264="",F264="",AF264=""),"",F264+AF264/24)</f>
        <v>0</v>
      </c>
      <c r="AH264" s="21">
        <f>IF(G264="","",IF(IFERROR(INDEX(Clients!$O$5:$O$204,MATCH(G264,Clients!$A$5:$A$204,0)),0)&gt;0,IFERROR(INDEX(Clients!$O$5:$O$204,MATCH(G264,Clients!$A$5:$A$204,0)),0),HourlyRate))</f>
        <v>0</v>
      </c>
      <c r="AI264" s="21">
        <f>IF(G264="","",IF(AND(M264&lt;&gt;"",IFERROR(INDEX(Services!$P$5:$P$64,MATCH(M264,Services!$B$5:$B$64,0)),0)&gt;0,IFERROR(INDEX(Services!$D$5:$D$64,MATCH(M264,Services!$B$5:$B$64,0)),"")&lt;&gt;"Per hour"),IFERROR(INDEX(Services!$P$5:$P$64,MATCH(M264,Services!$B$5:$B$64,0)),0),AD264*AH264))</f>
        <v>0</v>
      </c>
      <c r="AJ264" s="21">
        <f>IF(G264="","",IF(V264&lt;&gt;"",V264,IF(P264="Cancelled",0,MAX(MinimumCharge,ROUND(AI264*IFERROR(INDEX(FreqFactors,MATCH(O264,FreqNames,0)),1),2)))))</f>
        <v>0</v>
      </c>
      <c r="AK264" s="34">
        <f>IF(G264="","",IF(SUMIFS(Timesheets!$U$5:$U$804,Timesheets!$G$5:$G$804,A264)&gt;0,SUMIFS(Timesheets!$U$5:$U$804,Timesheets!$G$5:$G$804,A264),IF(Z264="","",Z264)))</f>
        <v>0</v>
      </c>
      <c r="AL264" s="34">
        <f>IF(OR(AK264="",AD264=""),"",AK264-AD264)</f>
        <v>0</v>
      </c>
      <c r="AM264" s="31">
        <f>IF(A264="","",COUNTIFS('Job Tasks'!$B$5:$B$904,A264))</f>
        <v>0</v>
      </c>
      <c r="AN264" s="31">
        <f>IF(A264="","",COUNTIFS('Job Tasks'!$B$5:$B$904,A264,'Job Tasks'!$H$5:$H$904,"Done"))</f>
        <v>0</v>
      </c>
      <c r="AO264" s="38">
        <f>IF(OR(A264="",AM264=0),"",AN264/AM264)</f>
        <v>0</v>
      </c>
      <c r="AP264" s="43">
        <f>IF(A264="","",IFERROR(INDEX('Invoice Lines'!$B$5:$B$804,MATCH(A264,'Invoice Lines'!$C$5:$C$804,0)),""))</f>
        <v>0</v>
      </c>
      <c r="AQ264" s="18">
        <f>IF(OR(G264="",B264="",X264&lt;&gt;"Yes"),"",IF(IFERROR(INDEX(FreqDays,MATCH(O264,FreqNames,0)),0)=0,"",B264+IFERROR(INDEX(FreqDays,MATCH(O264,FreqNames,0)),0)))</f>
        <v>0</v>
      </c>
      <c r="AR264" s="39">
        <f>IF(G264="","",IF(R264="","Unassigned",IF(COUNTIFS($R$5:$R$604,R264,$B$5:$B$604,B264,$F$5:$F$604,F264)&gt;1,"Clash",IF(SUMIFS($AF$5:$AF$604,$R$5:$R$604,R264,$B$5:$B$604,B264)&gt;ProductiveHours,"Long day","OK"))))</f>
        <v>0</v>
      </c>
      <c r="AS264" s="18">
        <f>IF(OR(G264="",B264=""),"",IF(AND(B264&gt;=TodayDate,P264&lt;&gt;"Cancelled"),B264,""))</f>
        <v>0</v>
      </c>
      <c r="AT264" s="31">
        <f>IF(AS264="","",COUNTIFS($AS$5:$AS$604,"&lt;"&amp;AS264)+COUNTIFS($AS$5:AS264,AS264))</f>
        <v>0</v>
      </c>
      <c r="AU264" s="18">
        <f>IF(OR(G264="",B264="",R264&lt;&gt;""),"",IF(AND(B264&gt;=TodayDate,P264&lt;&gt;"Cancelled"),B264,""))</f>
        <v>0</v>
      </c>
      <c r="AV264" s="31">
        <f>IF(AU264="","",COUNTIFS($AU$5:$AU$604,"&lt;"&amp;AU264)+COUNTIFS($AU$5:AU264,AU264))</f>
        <v>0</v>
      </c>
      <c r="AW264" s="31">
        <f>IF(OR(G264="",B264=""),"",B264-TodayDate)</f>
        <v>0</v>
      </c>
      <c r="AX264" s="39">
        <f>IF(G264="","",IF(P264="Cancelled","Cancelled",IF(P264="No access","Action - no access, rebook",IF(AND(B264&lt;&gt;"",AW264&lt;0,OR(P264="Booked",P264="Confirmed",P264="In progress")),"Late - mark it completed",IF(AND(P264="Completed",AP264=""),"Action - not invoiced yet",IF(AND(AW264&gt;=0,AW264&lt;=ReminderDays,Y264&lt;&gt;"Yes"),"Confirm - visit coming up",IF(R264="","Assign - no cleaner booked",IF(AND(P264="Completed",AO264&lt;&gt;"",AO264&lt;1),"Check - checklist unfinished","OK"))))))))</f>
        <v>0</v>
      </c>
    </row>
    <row r="265" spans="1:50">
      <c r="A265" s="43">
        <f>IF(G265="","",JobPrefix&amp;TEXT(ROW()-4,"0000"))</f>
        <v>0</v>
      </c>
      <c r="C265" s="23">
        <f>IF(B265="","",TEXT(B265,"ddd"))</f>
        <v>0</v>
      </c>
      <c r="D265" s="31">
        <f>IF(B265="","",WEEKNUM(B265,IF(WeekStart="Sunday",1,2)))</f>
        <v>0</v>
      </c>
      <c r="E265" s="23">
        <f>IF(B265="","",TEXT(B265,"yyyy-mm"))</f>
        <v>0</v>
      </c>
      <c r="H265" s="23">
        <f>IF(G265="","",IFERROR(INDEX(Clients!$B$5:$B$204,MATCH(G265,Clients!$A$5:$A$204,0)),"Not found"))</f>
        <v>0</v>
      </c>
      <c r="I265" s="23">
        <f>IF(G265="","",IFERROR(INDEX(Clients!$C$5:$C$204,MATCH(G265,Clients!$A$5:$A$204,0)),""))</f>
        <v>0</v>
      </c>
      <c r="K265" s="23">
        <f>IF(J265="","",IFERROR(INDEX(Properties!$B$5:$B$254,MATCH(J265,Properties!$A$5:$A$254,0)),""))</f>
        <v>0</v>
      </c>
      <c r="L265" s="23">
        <f>IF(J265="","",IFERROR(INDEX(Properties!$F$5:$F$254,MATCH(J265,Properties!$A$5:$A$254,0)),""))</f>
        <v>0</v>
      </c>
      <c r="AD265" s="34">
        <f>IF(G265="","",IF(U265&lt;&gt;"",U265,IF(AND(IFERROR(INDEX(Services!$D$5:$D$64,MATCH(M265,Services!$B$5:$B$64,0)),"")="Per hour",IFERROR(INDEX(Properties!$X$5:$X$254,MATCH(J265,Properties!$A$5:$A$254,0)),0)&gt;0),IFERROR(INDEX(Properties!$X$5:$X$254,MATCH(J265,Properties!$A$5:$A$254,0)),0),IF(IFERROR(INDEX(Services!$G$5:$G$64,MATCH(M265,Services!$B$5:$B$64,0)),0)&gt;0,IFERROR(INDEX(Services!$G$5:$G$64,MATCH(M265,Services!$B$5:$B$64,0)),0),IFERROR(INDEX(Properties!$X$5:$X$254,MATCH(J265,Properties!$A$5:$A$254,0)),0)))))</f>
        <v>0</v>
      </c>
      <c r="AE265" s="31">
        <f>IF(G265="","",IF(T265="",CleanersPerJob,MAX(1,T265)))</f>
        <v>0</v>
      </c>
      <c r="AF265" s="34">
        <f>IF(G265="","",ROUND(AD265/AE265,2))</f>
        <v>0</v>
      </c>
      <c r="AG265" s="53">
        <f>IF(OR(G265="",F265="",AF265=""),"",F265+AF265/24)</f>
        <v>0</v>
      </c>
      <c r="AH265" s="21">
        <f>IF(G265="","",IF(IFERROR(INDEX(Clients!$O$5:$O$204,MATCH(G265,Clients!$A$5:$A$204,0)),0)&gt;0,IFERROR(INDEX(Clients!$O$5:$O$204,MATCH(G265,Clients!$A$5:$A$204,0)),0),HourlyRate))</f>
        <v>0</v>
      </c>
      <c r="AI265" s="21">
        <f>IF(G265="","",IF(AND(M265&lt;&gt;"",IFERROR(INDEX(Services!$P$5:$P$64,MATCH(M265,Services!$B$5:$B$64,0)),0)&gt;0,IFERROR(INDEX(Services!$D$5:$D$64,MATCH(M265,Services!$B$5:$B$64,0)),"")&lt;&gt;"Per hour"),IFERROR(INDEX(Services!$P$5:$P$64,MATCH(M265,Services!$B$5:$B$64,0)),0),AD265*AH265))</f>
        <v>0</v>
      </c>
      <c r="AJ265" s="21">
        <f>IF(G265="","",IF(V265&lt;&gt;"",V265,IF(P265="Cancelled",0,MAX(MinimumCharge,ROUND(AI265*IFERROR(INDEX(FreqFactors,MATCH(O265,FreqNames,0)),1),2)))))</f>
        <v>0</v>
      </c>
      <c r="AK265" s="34">
        <f>IF(G265="","",IF(SUMIFS(Timesheets!$U$5:$U$804,Timesheets!$G$5:$G$804,A265)&gt;0,SUMIFS(Timesheets!$U$5:$U$804,Timesheets!$G$5:$G$804,A265),IF(Z265="","",Z265)))</f>
        <v>0</v>
      </c>
      <c r="AL265" s="34">
        <f>IF(OR(AK265="",AD265=""),"",AK265-AD265)</f>
        <v>0</v>
      </c>
      <c r="AM265" s="31">
        <f>IF(A265="","",COUNTIFS('Job Tasks'!$B$5:$B$904,A265))</f>
        <v>0</v>
      </c>
      <c r="AN265" s="31">
        <f>IF(A265="","",COUNTIFS('Job Tasks'!$B$5:$B$904,A265,'Job Tasks'!$H$5:$H$904,"Done"))</f>
        <v>0</v>
      </c>
      <c r="AO265" s="38">
        <f>IF(OR(A265="",AM265=0),"",AN265/AM265)</f>
        <v>0</v>
      </c>
      <c r="AP265" s="43">
        <f>IF(A265="","",IFERROR(INDEX('Invoice Lines'!$B$5:$B$804,MATCH(A265,'Invoice Lines'!$C$5:$C$804,0)),""))</f>
        <v>0</v>
      </c>
      <c r="AQ265" s="18">
        <f>IF(OR(G265="",B265="",X265&lt;&gt;"Yes"),"",IF(IFERROR(INDEX(FreqDays,MATCH(O265,FreqNames,0)),0)=0,"",B265+IFERROR(INDEX(FreqDays,MATCH(O265,FreqNames,0)),0)))</f>
        <v>0</v>
      </c>
      <c r="AR265" s="39">
        <f>IF(G265="","",IF(R265="","Unassigned",IF(COUNTIFS($R$5:$R$604,R265,$B$5:$B$604,B265,$F$5:$F$604,F265)&gt;1,"Clash",IF(SUMIFS($AF$5:$AF$604,$R$5:$R$604,R265,$B$5:$B$604,B265)&gt;ProductiveHours,"Long day","OK"))))</f>
        <v>0</v>
      </c>
      <c r="AS265" s="18">
        <f>IF(OR(G265="",B265=""),"",IF(AND(B265&gt;=TodayDate,P265&lt;&gt;"Cancelled"),B265,""))</f>
        <v>0</v>
      </c>
      <c r="AT265" s="31">
        <f>IF(AS265="","",COUNTIFS($AS$5:$AS$604,"&lt;"&amp;AS265)+COUNTIFS($AS$5:AS265,AS265))</f>
        <v>0</v>
      </c>
      <c r="AU265" s="18">
        <f>IF(OR(G265="",B265="",R265&lt;&gt;""),"",IF(AND(B265&gt;=TodayDate,P265&lt;&gt;"Cancelled"),B265,""))</f>
        <v>0</v>
      </c>
      <c r="AV265" s="31">
        <f>IF(AU265="","",COUNTIFS($AU$5:$AU$604,"&lt;"&amp;AU265)+COUNTIFS($AU$5:AU265,AU265))</f>
        <v>0</v>
      </c>
      <c r="AW265" s="31">
        <f>IF(OR(G265="",B265=""),"",B265-TodayDate)</f>
        <v>0</v>
      </c>
      <c r="AX265" s="39">
        <f>IF(G265="","",IF(P265="Cancelled","Cancelled",IF(P265="No access","Action - no access, rebook",IF(AND(B265&lt;&gt;"",AW265&lt;0,OR(P265="Booked",P265="Confirmed",P265="In progress")),"Late - mark it completed",IF(AND(P265="Completed",AP265=""),"Action - not invoiced yet",IF(AND(AW265&gt;=0,AW265&lt;=ReminderDays,Y265&lt;&gt;"Yes"),"Confirm - visit coming up",IF(R265="","Assign - no cleaner booked",IF(AND(P265="Completed",AO265&lt;&gt;"",AO265&lt;1),"Check - checklist unfinished","OK"))))))))</f>
        <v>0</v>
      </c>
    </row>
    <row r="266" spans="1:50">
      <c r="A266" s="43">
        <f>IF(G266="","",JobPrefix&amp;TEXT(ROW()-4,"0000"))</f>
        <v>0</v>
      </c>
      <c r="C266" s="23">
        <f>IF(B266="","",TEXT(B266,"ddd"))</f>
        <v>0</v>
      </c>
      <c r="D266" s="31">
        <f>IF(B266="","",WEEKNUM(B266,IF(WeekStart="Sunday",1,2)))</f>
        <v>0</v>
      </c>
      <c r="E266" s="23">
        <f>IF(B266="","",TEXT(B266,"yyyy-mm"))</f>
        <v>0</v>
      </c>
      <c r="H266" s="23">
        <f>IF(G266="","",IFERROR(INDEX(Clients!$B$5:$B$204,MATCH(G266,Clients!$A$5:$A$204,0)),"Not found"))</f>
        <v>0</v>
      </c>
      <c r="I266" s="23">
        <f>IF(G266="","",IFERROR(INDEX(Clients!$C$5:$C$204,MATCH(G266,Clients!$A$5:$A$204,0)),""))</f>
        <v>0</v>
      </c>
      <c r="K266" s="23">
        <f>IF(J266="","",IFERROR(INDEX(Properties!$B$5:$B$254,MATCH(J266,Properties!$A$5:$A$254,0)),""))</f>
        <v>0</v>
      </c>
      <c r="L266" s="23">
        <f>IF(J266="","",IFERROR(INDEX(Properties!$F$5:$F$254,MATCH(J266,Properties!$A$5:$A$254,0)),""))</f>
        <v>0</v>
      </c>
      <c r="AD266" s="34">
        <f>IF(G266="","",IF(U266&lt;&gt;"",U266,IF(AND(IFERROR(INDEX(Services!$D$5:$D$64,MATCH(M266,Services!$B$5:$B$64,0)),"")="Per hour",IFERROR(INDEX(Properties!$X$5:$X$254,MATCH(J266,Properties!$A$5:$A$254,0)),0)&gt;0),IFERROR(INDEX(Properties!$X$5:$X$254,MATCH(J266,Properties!$A$5:$A$254,0)),0),IF(IFERROR(INDEX(Services!$G$5:$G$64,MATCH(M266,Services!$B$5:$B$64,0)),0)&gt;0,IFERROR(INDEX(Services!$G$5:$G$64,MATCH(M266,Services!$B$5:$B$64,0)),0),IFERROR(INDEX(Properties!$X$5:$X$254,MATCH(J266,Properties!$A$5:$A$254,0)),0)))))</f>
        <v>0</v>
      </c>
      <c r="AE266" s="31">
        <f>IF(G266="","",IF(T266="",CleanersPerJob,MAX(1,T266)))</f>
        <v>0</v>
      </c>
      <c r="AF266" s="34">
        <f>IF(G266="","",ROUND(AD266/AE266,2))</f>
        <v>0</v>
      </c>
      <c r="AG266" s="53">
        <f>IF(OR(G266="",F266="",AF266=""),"",F266+AF266/24)</f>
        <v>0</v>
      </c>
      <c r="AH266" s="21">
        <f>IF(G266="","",IF(IFERROR(INDEX(Clients!$O$5:$O$204,MATCH(G266,Clients!$A$5:$A$204,0)),0)&gt;0,IFERROR(INDEX(Clients!$O$5:$O$204,MATCH(G266,Clients!$A$5:$A$204,0)),0),HourlyRate))</f>
        <v>0</v>
      </c>
      <c r="AI266" s="21">
        <f>IF(G266="","",IF(AND(M266&lt;&gt;"",IFERROR(INDEX(Services!$P$5:$P$64,MATCH(M266,Services!$B$5:$B$64,0)),0)&gt;0,IFERROR(INDEX(Services!$D$5:$D$64,MATCH(M266,Services!$B$5:$B$64,0)),"")&lt;&gt;"Per hour"),IFERROR(INDEX(Services!$P$5:$P$64,MATCH(M266,Services!$B$5:$B$64,0)),0),AD266*AH266))</f>
        <v>0</v>
      </c>
      <c r="AJ266" s="21">
        <f>IF(G266="","",IF(V266&lt;&gt;"",V266,IF(P266="Cancelled",0,MAX(MinimumCharge,ROUND(AI266*IFERROR(INDEX(FreqFactors,MATCH(O266,FreqNames,0)),1),2)))))</f>
        <v>0</v>
      </c>
      <c r="AK266" s="34">
        <f>IF(G266="","",IF(SUMIFS(Timesheets!$U$5:$U$804,Timesheets!$G$5:$G$804,A266)&gt;0,SUMIFS(Timesheets!$U$5:$U$804,Timesheets!$G$5:$G$804,A266),IF(Z266="","",Z266)))</f>
        <v>0</v>
      </c>
      <c r="AL266" s="34">
        <f>IF(OR(AK266="",AD266=""),"",AK266-AD266)</f>
        <v>0</v>
      </c>
      <c r="AM266" s="31">
        <f>IF(A266="","",COUNTIFS('Job Tasks'!$B$5:$B$904,A266))</f>
        <v>0</v>
      </c>
      <c r="AN266" s="31">
        <f>IF(A266="","",COUNTIFS('Job Tasks'!$B$5:$B$904,A266,'Job Tasks'!$H$5:$H$904,"Done"))</f>
        <v>0</v>
      </c>
      <c r="AO266" s="38">
        <f>IF(OR(A266="",AM266=0),"",AN266/AM266)</f>
        <v>0</v>
      </c>
      <c r="AP266" s="43">
        <f>IF(A266="","",IFERROR(INDEX('Invoice Lines'!$B$5:$B$804,MATCH(A266,'Invoice Lines'!$C$5:$C$804,0)),""))</f>
        <v>0</v>
      </c>
      <c r="AQ266" s="18">
        <f>IF(OR(G266="",B266="",X266&lt;&gt;"Yes"),"",IF(IFERROR(INDEX(FreqDays,MATCH(O266,FreqNames,0)),0)=0,"",B266+IFERROR(INDEX(FreqDays,MATCH(O266,FreqNames,0)),0)))</f>
        <v>0</v>
      </c>
      <c r="AR266" s="39">
        <f>IF(G266="","",IF(R266="","Unassigned",IF(COUNTIFS($R$5:$R$604,R266,$B$5:$B$604,B266,$F$5:$F$604,F266)&gt;1,"Clash",IF(SUMIFS($AF$5:$AF$604,$R$5:$R$604,R266,$B$5:$B$604,B266)&gt;ProductiveHours,"Long day","OK"))))</f>
        <v>0</v>
      </c>
      <c r="AS266" s="18">
        <f>IF(OR(G266="",B266=""),"",IF(AND(B266&gt;=TodayDate,P266&lt;&gt;"Cancelled"),B266,""))</f>
        <v>0</v>
      </c>
      <c r="AT266" s="31">
        <f>IF(AS266="","",COUNTIFS($AS$5:$AS$604,"&lt;"&amp;AS266)+COUNTIFS($AS$5:AS266,AS266))</f>
        <v>0</v>
      </c>
      <c r="AU266" s="18">
        <f>IF(OR(G266="",B266="",R266&lt;&gt;""),"",IF(AND(B266&gt;=TodayDate,P266&lt;&gt;"Cancelled"),B266,""))</f>
        <v>0</v>
      </c>
      <c r="AV266" s="31">
        <f>IF(AU266="","",COUNTIFS($AU$5:$AU$604,"&lt;"&amp;AU266)+COUNTIFS($AU$5:AU266,AU266))</f>
        <v>0</v>
      </c>
      <c r="AW266" s="31">
        <f>IF(OR(G266="",B266=""),"",B266-TodayDate)</f>
        <v>0</v>
      </c>
      <c r="AX266" s="39">
        <f>IF(G266="","",IF(P266="Cancelled","Cancelled",IF(P266="No access","Action - no access, rebook",IF(AND(B266&lt;&gt;"",AW266&lt;0,OR(P266="Booked",P266="Confirmed",P266="In progress")),"Late - mark it completed",IF(AND(P266="Completed",AP266=""),"Action - not invoiced yet",IF(AND(AW266&gt;=0,AW266&lt;=ReminderDays,Y266&lt;&gt;"Yes"),"Confirm - visit coming up",IF(R266="","Assign - no cleaner booked",IF(AND(P266="Completed",AO266&lt;&gt;"",AO266&lt;1),"Check - checklist unfinished","OK"))))))))</f>
        <v>0</v>
      </c>
    </row>
    <row r="267" spans="1:50">
      <c r="A267" s="43">
        <f>IF(G267="","",JobPrefix&amp;TEXT(ROW()-4,"0000"))</f>
        <v>0</v>
      </c>
      <c r="C267" s="23">
        <f>IF(B267="","",TEXT(B267,"ddd"))</f>
        <v>0</v>
      </c>
      <c r="D267" s="31">
        <f>IF(B267="","",WEEKNUM(B267,IF(WeekStart="Sunday",1,2)))</f>
        <v>0</v>
      </c>
      <c r="E267" s="23">
        <f>IF(B267="","",TEXT(B267,"yyyy-mm"))</f>
        <v>0</v>
      </c>
      <c r="H267" s="23">
        <f>IF(G267="","",IFERROR(INDEX(Clients!$B$5:$B$204,MATCH(G267,Clients!$A$5:$A$204,0)),"Not found"))</f>
        <v>0</v>
      </c>
      <c r="I267" s="23">
        <f>IF(G267="","",IFERROR(INDEX(Clients!$C$5:$C$204,MATCH(G267,Clients!$A$5:$A$204,0)),""))</f>
        <v>0</v>
      </c>
      <c r="K267" s="23">
        <f>IF(J267="","",IFERROR(INDEX(Properties!$B$5:$B$254,MATCH(J267,Properties!$A$5:$A$254,0)),""))</f>
        <v>0</v>
      </c>
      <c r="L267" s="23">
        <f>IF(J267="","",IFERROR(INDEX(Properties!$F$5:$F$254,MATCH(J267,Properties!$A$5:$A$254,0)),""))</f>
        <v>0</v>
      </c>
      <c r="AD267" s="34">
        <f>IF(G267="","",IF(U267&lt;&gt;"",U267,IF(AND(IFERROR(INDEX(Services!$D$5:$D$64,MATCH(M267,Services!$B$5:$B$64,0)),"")="Per hour",IFERROR(INDEX(Properties!$X$5:$X$254,MATCH(J267,Properties!$A$5:$A$254,0)),0)&gt;0),IFERROR(INDEX(Properties!$X$5:$X$254,MATCH(J267,Properties!$A$5:$A$254,0)),0),IF(IFERROR(INDEX(Services!$G$5:$G$64,MATCH(M267,Services!$B$5:$B$64,0)),0)&gt;0,IFERROR(INDEX(Services!$G$5:$G$64,MATCH(M267,Services!$B$5:$B$64,0)),0),IFERROR(INDEX(Properties!$X$5:$X$254,MATCH(J267,Properties!$A$5:$A$254,0)),0)))))</f>
        <v>0</v>
      </c>
      <c r="AE267" s="31">
        <f>IF(G267="","",IF(T267="",CleanersPerJob,MAX(1,T267)))</f>
        <v>0</v>
      </c>
      <c r="AF267" s="34">
        <f>IF(G267="","",ROUND(AD267/AE267,2))</f>
        <v>0</v>
      </c>
      <c r="AG267" s="53">
        <f>IF(OR(G267="",F267="",AF267=""),"",F267+AF267/24)</f>
        <v>0</v>
      </c>
      <c r="AH267" s="21">
        <f>IF(G267="","",IF(IFERROR(INDEX(Clients!$O$5:$O$204,MATCH(G267,Clients!$A$5:$A$204,0)),0)&gt;0,IFERROR(INDEX(Clients!$O$5:$O$204,MATCH(G267,Clients!$A$5:$A$204,0)),0),HourlyRate))</f>
        <v>0</v>
      </c>
      <c r="AI267" s="21">
        <f>IF(G267="","",IF(AND(M267&lt;&gt;"",IFERROR(INDEX(Services!$P$5:$P$64,MATCH(M267,Services!$B$5:$B$64,0)),0)&gt;0,IFERROR(INDEX(Services!$D$5:$D$64,MATCH(M267,Services!$B$5:$B$64,0)),"")&lt;&gt;"Per hour"),IFERROR(INDEX(Services!$P$5:$P$64,MATCH(M267,Services!$B$5:$B$64,0)),0),AD267*AH267))</f>
        <v>0</v>
      </c>
      <c r="AJ267" s="21">
        <f>IF(G267="","",IF(V267&lt;&gt;"",V267,IF(P267="Cancelled",0,MAX(MinimumCharge,ROUND(AI267*IFERROR(INDEX(FreqFactors,MATCH(O267,FreqNames,0)),1),2)))))</f>
        <v>0</v>
      </c>
      <c r="AK267" s="34">
        <f>IF(G267="","",IF(SUMIFS(Timesheets!$U$5:$U$804,Timesheets!$G$5:$G$804,A267)&gt;0,SUMIFS(Timesheets!$U$5:$U$804,Timesheets!$G$5:$G$804,A267),IF(Z267="","",Z267)))</f>
        <v>0</v>
      </c>
      <c r="AL267" s="34">
        <f>IF(OR(AK267="",AD267=""),"",AK267-AD267)</f>
        <v>0</v>
      </c>
      <c r="AM267" s="31">
        <f>IF(A267="","",COUNTIFS('Job Tasks'!$B$5:$B$904,A267))</f>
        <v>0</v>
      </c>
      <c r="AN267" s="31">
        <f>IF(A267="","",COUNTIFS('Job Tasks'!$B$5:$B$904,A267,'Job Tasks'!$H$5:$H$904,"Done"))</f>
        <v>0</v>
      </c>
      <c r="AO267" s="38">
        <f>IF(OR(A267="",AM267=0),"",AN267/AM267)</f>
        <v>0</v>
      </c>
      <c r="AP267" s="43">
        <f>IF(A267="","",IFERROR(INDEX('Invoice Lines'!$B$5:$B$804,MATCH(A267,'Invoice Lines'!$C$5:$C$804,0)),""))</f>
        <v>0</v>
      </c>
      <c r="AQ267" s="18">
        <f>IF(OR(G267="",B267="",X267&lt;&gt;"Yes"),"",IF(IFERROR(INDEX(FreqDays,MATCH(O267,FreqNames,0)),0)=0,"",B267+IFERROR(INDEX(FreqDays,MATCH(O267,FreqNames,0)),0)))</f>
        <v>0</v>
      </c>
      <c r="AR267" s="39">
        <f>IF(G267="","",IF(R267="","Unassigned",IF(COUNTIFS($R$5:$R$604,R267,$B$5:$B$604,B267,$F$5:$F$604,F267)&gt;1,"Clash",IF(SUMIFS($AF$5:$AF$604,$R$5:$R$604,R267,$B$5:$B$604,B267)&gt;ProductiveHours,"Long day","OK"))))</f>
        <v>0</v>
      </c>
      <c r="AS267" s="18">
        <f>IF(OR(G267="",B267=""),"",IF(AND(B267&gt;=TodayDate,P267&lt;&gt;"Cancelled"),B267,""))</f>
        <v>0</v>
      </c>
      <c r="AT267" s="31">
        <f>IF(AS267="","",COUNTIFS($AS$5:$AS$604,"&lt;"&amp;AS267)+COUNTIFS($AS$5:AS267,AS267))</f>
        <v>0</v>
      </c>
      <c r="AU267" s="18">
        <f>IF(OR(G267="",B267="",R267&lt;&gt;""),"",IF(AND(B267&gt;=TodayDate,P267&lt;&gt;"Cancelled"),B267,""))</f>
        <v>0</v>
      </c>
      <c r="AV267" s="31">
        <f>IF(AU267="","",COUNTIFS($AU$5:$AU$604,"&lt;"&amp;AU267)+COUNTIFS($AU$5:AU267,AU267))</f>
        <v>0</v>
      </c>
      <c r="AW267" s="31">
        <f>IF(OR(G267="",B267=""),"",B267-TodayDate)</f>
        <v>0</v>
      </c>
      <c r="AX267" s="39">
        <f>IF(G267="","",IF(P267="Cancelled","Cancelled",IF(P267="No access","Action - no access, rebook",IF(AND(B267&lt;&gt;"",AW267&lt;0,OR(P267="Booked",P267="Confirmed",P267="In progress")),"Late - mark it completed",IF(AND(P267="Completed",AP267=""),"Action - not invoiced yet",IF(AND(AW267&gt;=0,AW267&lt;=ReminderDays,Y267&lt;&gt;"Yes"),"Confirm - visit coming up",IF(R267="","Assign - no cleaner booked",IF(AND(P267="Completed",AO267&lt;&gt;"",AO267&lt;1),"Check - checklist unfinished","OK"))))))))</f>
        <v>0</v>
      </c>
    </row>
    <row r="268" spans="1:50">
      <c r="A268" s="43">
        <f>IF(G268="","",JobPrefix&amp;TEXT(ROW()-4,"0000"))</f>
        <v>0</v>
      </c>
      <c r="C268" s="23">
        <f>IF(B268="","",TEXT(B268,"ddd"))</f>
        <v>0</v>
      </c>
      <c r="D268" s="31">
        <f>IF(B268="","",WEEKNUM(B268,IF(WeekStart="Sunday",1,2)))</f>
        <v>0</v>
      </c>
      <c r="E268" s="23">
        <f>IF(B268="","",TEXT(B268,"yyyy-mm"))</f>
        <v>0</v>
      </c>
      <c r="H268" s="23">
        <f>IF(G268="","",IFERROR(INDEX(Clients!$B$5:$B$204,MATCH(G268,Clients!$A$5:$A$204,0)),"Not found"))</f>
        <v>0</v>
      </c>
      <c r="I268" s="23">
        <f>IF(G268="","",IFERROR(INDEX(Clients!$C$5:$C$204,MATCH(G268,Clients!$A$5:$A$204,0)),""))</f>
        <v>0</v>
      </c>
      <c r="K268" s="23">
        <f>IF(J268="","",IFERROR(INDEX(Properties!$B$5:$B$254,MATCH(J268,Properties!$A$5:$A$254,0)),""))</f>
        <v>0</v>
      </c>
      <c r="L268" s="23">
        <f>IF(J268="","",IFERROR(INDEX(Properties!$F$5:$F$254,MATCH(J268,Properties!$A$5:$A$254,0)),""))</f>
        <v>0</v>
      </c>
      <c r="AD268" s="34">
        <f>IF(G268="","",IF(U268&lt;&gt;"",U268,IF(AND(IFERROR(INDEX(Services!$D$5:$D$64,MATCH(M268,Services!$B$5:$B$64,0)),"")="Per hour",IFERROR(INDEX(Properties!$X$5:$X$254,MATCH(J268,Properties!$A$5:$A$254,0)),0)&gt;0),IFERROR(INDEX(Properties!$X$5:$X$254,MATCH(J268,Properties!$A$5:$A$254,0)),0),IF(IFERROR(INDEX(Services!$G$5:$G$64,MATCH(M268,Services!$B$5:$B$64,0)),0)&gt;0,IFERROR(INDEX(Services!$G$5:$G$64,MATCH(M268,Services!$B$5:$B$64,0)),0),IFERROR(INDEX(Properties!$X$5:$X$254,MATCH(J268,Properties!$A$5:$A$254,0)),0)))))</f>
        <v>0</v>
      </c>
      <c r="AE268" s="31">
        <f>IF(G268="","",IF(T268="",CleanersPerJob,MAX(1,T268)))</f>
        <v>0</v>
      </c>
      <c r="AF268" s="34">
        <f>IF(G268="","",ROUND(AD268/AE268,2))</f>
        <v>0</v>
      </c>
      <c r="AG268" s="53">
        <f>IF(OR(G268="",F268="",AF268=""),"",F268+AF268/24)</f>
        <v>0</v>
      </c>
      <c r="AH268" s="21">
        <f>IF(G268="","",IF(IFERROR(INDEX(Clients!$O$5:$O$204,MATCH(G268,Clients!$A$5:$A$204,0)),0)&gt;0,IFERROR(INDEX(Clients!$O$5:$O$204,MATCH(G268,Clients!$A$5:$A$204,0)),0),HourlyRate))</f>
        <v>0</v>
      </c>
      <c r="AI268" s="21">
        <f>IF(G268="","",IF(AND(M268&lt;&gt;"",IFERROR(INDEX(Services!$P$5:$P$64,MATCH(M268,Services!$B$5:$B$64,0)),0)&gt;0,IFERROR(INDEX(Services!$D$5:$D$64,MATCH(M268,Services!$B$5:$B$64,0)),"")&lt;&gt;"Per hour"),IFERROR(INDEX(Services!$P$5:$P$64,MATCH(M268,Services!$B$5:$B$64,0)),0),AD268*AH268))</f>
        <v>0</v>
      </c>
      <c r="AJ268" s="21">
        <f>IF(G268="","",IF(V268&lt;&gt;"",V268,IF(P268="Cancelled",0,MAX(MinimumCharge,ROUND(AI268*IFERROR(INDEX(FreqFactors,MATCH(O268,FreqNames,0)),1),2)))))</f>
        <v>0</v>
      </c>
      <c r="AK268" s="34">
        <f>IF(G268="","",IF(SUMIFS(Timesheets!$U$5:$U$804,Timesheets!$G$5:$G$804,A268)&gt;0,SUMIFS(Timesheets!$U$5:$U$804,Timesheets!$G$5:$G$804,A268),IF(Z268="","",Z268)))</f>
        <v>0</v>
      </c>
      <c r="AL268" s="34">
        <f>IF(OR(AK268="",AD268=""),"",AK268-AD268)</f>
        <v>0</v>
      </c>
      <c r="AM268" s="31">
        <f>IF(A268="","",COUNTIFS('Job Tasks'!$B$5:$B$904,A268))</f>
        <v>0</v>
      </c>
      <c r="AN268" s="31">
        <f>IF(A268="","",COUNTIFS('Job Tasks'!$B$5:$B$904,A268,'Job Tasks'!$H$5:$H$904,"Done"))</f>
        <v>0</v>
      </c>
      <c r="AO268" s="38">
        <f>IF(OR(A268="",AM268=0),"",AN268/AM268)</f>
        <v>0</v>
      </c>
      <c r="AP268" s="43">
        <f>IF(A268="","",IFERROR(INDEX('Invoice Lines'!$B$5:$B$804,MATCH(A268,'Invoice Lines'!$C$5:$C$804,0)),""))</f>
        <v>0</v>
      </c>
      <c r="AQ268" s="18">
        <f>IF(OR(G268="",B268="",X268&lt;&gt;"Yes"),"",IF(IFERROR(INDEX(FreqDays,MATCH(O268,FreqNames,0)),0)=0,"",B268+IFERROR(INDEX(FreqDays,MATCH(O268,FreqNames,0)),0)))</f>
        <v>0</v>
      </c>
      <c r="AR268" s="39">
        <f>IF(G268="","",IF(R268="","Unassigned",IF(COUNTIFS($R$5:$R$604,R268,$B$5:$B$604,B268,$F$5:$F$604,F268)&gt;1,"Clash",IF(SUMIFS($AF$5:$AF$604,$R$5:$R$604,R268,$B$5:$B$604,B268)&gt;ProductiveHours,"Long day","OK"))))</f>
        <v>0</v>
      </c>
      <c r="AS268" s="18">
        <f>IF(OR(G268="",B268=""),"",IF(AND(B268&gt;=TodayDate,P268&lt;&gt;"Cancelled"),B268,""))</f>
        <v>0</v>
      </c>
      <c r="AT268" s="31">
        <f>IF(AS268="","",COUNTIFS($AS$5:$AS$604,"&lt;"&amp;AS268)+COUNTIFS($AS$5:AS268,AS268))</f>
        <v>0</v>
      </c>
      <c r="AU268" s="18">
        <f>IF(OR(G268="",B268="",R268&lt;&gt;""),"",IF(AND(B268&gt;=TodayDate,P268&lt;&gt;"Cancelled"),B268,""))</f>
        <v>0</v>
      </c>
      <c r="AV268" s="31">
        <f>IF(AU268="","",COUNTIFS($AU$5:$AU$604,"&lt;"&amp;AU268)+COUNTIFS($AU$5:AU268,AU268))</f>
        <v>0</v>
      </c>
      <c r="AW268" s="31">
        <f>IF(OR(G268="",B268=""),"",B268-TodayDate)</f>
        <v>0</v>
      </c>
      <c r="AX268" s="39">
        <f>IF(G268="","",IF(P268="Cancelled","Cancelled",IF(P268="No access","Action - no access, rebook",IF(AND(B268&lt;&gt;"",AW268&lt;0,OR(P268="Booked",P268="Confirmed",P268="In progress")),"Late - mark it completed",IF(AND(P268="Completed",AP268=""),"Action - not invoiced yet",IF(AND(AW268&gt;=0,AW268&lt;=ReminderDays,Y268&lt;&gt;"Yes"),"Confirm - visit coming up",IF(R268="","Assign - no cleaner booked",IF(AND(P268="Completed",AO268&lt;&gt;"",AO268&lt;1),"Check - checklist unfinished","OK"))))))))</f>
        <v>0</v>
      </c>
    </row>
    <row r="269" spans="1:50">
      <c r="A269" s="43">
        <f>IF(G269="","",JobPrefix&amp;TEXT(ROW()-4,"0000"))</f>
        <v>0</v>
      </c>
      <c r="C269" s="23">
        <f>IF(B269="","",TEXT(B269,"ddd"))</f>
        <v>0</v>
      </c>
      <c r="D269" s="31">
        <f>IF(B269="","",WEEKNUM(B269,IF(WeekStart="Sunday",1,2)))</f>
        <v>0</v>
      </c>
      <c r="E269" s="23">
        <f>IF(B269="","",TEXT(B269,"yyyy-mm"))</f>
        <v>0</v>
      </c>
      <c r="H269" s="23">
        <f>IF(G269="","",IFERROR(INDEX(Clients!$B$5:$B$204,MATCH(G269,Clients!$A$5:$A$204,0)),"Not found"))</f>
        <v>0</v>
      </c>
      <c r="I269" s="23">
        <f>IF(G269="","",IFERROR(INDEX(Clients!$C$5:$C$204,MATCH(G269,Clients!$A$5:$A$204,0)),""))</f>
        <v>0</v>
      </c>
      <c r="K269" s="23">
        <f>IF(J269="","",IFERROR(INDEX(Properties!$B$5:$B$254,MATCH(J269,Properties!$A$5:$A$254,0)),""))</f>
        <v>0</v>
      </c>
      <c r="L269" s="23">
        <f>IF(J269="","",IFERROR(INDEX(Properties!$F$5:$F$254,MATCH(J269,Properties!$A$5:$A$254,0)),""))</f>
        <v>0</v>
      </c>
      <c r="AD269" s="34">
        <f>IF(G269="","",IF(U269&lt;&gt;"",U269,IF(AND(IFERROR(INDEX(Services!$D$5:$D$64,MATCH(M269,Services!$B$5:$B$64,0)),"")="Per hour",IFERROR(INDEX(Properties!$X$5:$X$254,MATCH(J269,Properties!$A$5:$A$254,0)),0)&gt;0),IFERROR(INDEX(Properties!$X$5:$X$254,MATCH(J269,Properties!$A$5:$A$254,0)),0),IF(IFERROR(INDEX(Services!$G$5:$G$64,MATCH(M269,Services!$B$5:$B$64,0)),0)&gt;0,IFERROR(INDEX(Services!$G$5:$G$64,MATCH(M269,Services!$B$5:$B$64,0)),0),IFERROR(INDEX(Properties!$X$5:$X$254,MATCH(J269,Properties!$A$5:$A$254,0)),0)))))</f>
        <v>0</v>
      </c>
      <c r="AE269" s="31">
        <f>IF(G269="","",IF(T269="",CleanersPerJob,MAX(1,T269)))</f>
        <v>0</v>
      </c>
      <c r="AF269" s="34">
        <f>IF(G269="","",ROUND(AD269/AE269,2))</f>
        <v>0</v>
      </c>
      <c r="AG269" s="53">
        <f>IF(OR(G269="",F269="",AF269=""),"",F269+AF269/24)</f>
        <v>0</v>
      </c>
      <c r="AH269" s="21">
        <f>IF(G269="","",IF(IFERROR(INDEX(Clients!$O$5:$O$204,MATCH(G269,Clients!$A$5:$A$204,0)),0)&gt;0,IFERROR(INDEX(Clients!$O$5:$O$204,MATCH(G269,Clients!$A$5:$A$204,0)),0),HourlyRate))</f>
        <v>0</v>
      </c>
      <c r="AI269" s="21">
        <f>IF(G269="","",IF(AND(M269&lt;&gt;"",IFERROR(INDEX(Services!$P$5:$P$64,MATCH(M269,Services!$B$5:$B$64,0)),0)&gt;0,IFERROR(INDEX(Services!$D$5:$D$64,MATCH(M269,Services!$B$5:$B$64,0)),"")&lt;&gt;"Per hour"),IFERROR(INDEX(Services!$P$5:$P$64,MATCH(M269,Services!$B$5:$B$64,0)),0),AD269*AH269))</f>
        <v>0</v>
      </c>
      <c r="AJ269" s="21">
        <f>IF(G269="","",IF(V269&lt;&gt;"",V269,IF(P269="Cancelled",0,MAX(MinimumCharge,ROUND(AI269*IFERROR(INDEX(FreqFactors,MATCH(O269,FreqNames,0)),1),2)))))</f>
        <v>0</v>
      </c>
      <c r="AK269" s="34">
        <f>IF(G269="","",IF(SUMIFS(Timesheets!$U$5:$U$804,Timesheets!$G$5:$G$804,A269)&gt;0,SUMIFS(Timesheets!$U$5:$U$804,Timesheets!$G$5:$G$804,A269),IF(Z269="","",Z269)))</f>
        <v>0</v>
      </c>
      <c r="AL269" s="34">
        <f>IF(OR(AK269="",AD269=""),"",AK269-AD269)</f>
        <v>0</v>
      </c>
      <c r="AM269" s="31">
        <f>IF(A269="","",COUNTIFS('Job Tasks'!$B$5:$B$904,A269))</f>
        <v>0</v>
      </c>
      <c r="AN269" s="31">
        <f>IF(A269="","",COUNTIFS('Job Tasks'!$B$5:$B$904,A269,'Job Tasks'!$H$5:$H$904,"Done"))</f>
        <v>0</v>
      </c>
      <c r="AO269" s="38">
        <f>IF(OR(A269="",AM269=0),"",AN269/AM269)</f>
        <v>0</v>
      </c>
      <c r="AP269" s="43">
        <f>IF(A269="","",IFERROR(INDEX('Invoice Lines'!$B$5:$B$804,MATCH(A269,'Invoice Lines'!$C$5:$C$804,0)),""))</f>
        <v>0</v>
      </c>
      <c r="AQ269" s="18">
        <f>IF(OR(G269="",B269="",X269&lt;&gt;"Yes"),"",IF(IFERROR(INDEX(FreqDays,MATCH(O269,FreqNames,0)),0)=0,"",B269+IFERROR(INDEX(FreqDays,MATCH(O269,FreqNames,0)),0)))</f>
        <v>0</v>
      </c>
      <c r="AR269" s="39">
        <f>IF(G269="","",IF(R269="","Unassigned",IF(COUNTIFS($R$5:$R$604,R269,$B$5:$B$604,B269,$F$5:$F$604,F269)&gt;1,"Clash",IF(SUMIFS($AF$5:$AF$604,$R$5:$R$604,R269,$B$5:$B$604,B269)&gt;ProductiveHours,"Long day","OK"))))</f>
        <v>0</v>
      </c>
      <c r="AS269" s="18">
        <f>IF(OR(G269="",B269=""),"",IF(AND(B269&gt;=TodayDate,P269&lt;&gt;"Cancelled"),B269,""))</f>
        <v>0</v>
      </c>
      <c r="AT269" s="31">
        <f>IF(AS269="","",COUNTIFS($AS$5:$AS$604,"&lt;"&amp;AS269)+COUNTIFS($AS$5:AS269,AS269))</f>
        <v>0</v>
      </c>
      <c r="AU269" s="18">
        <f>IF(OR(G269="",B269="",R269&lt;&gt;""),"",IF(AND(B269&gt;=TodayDate,P269&lt;&gt;"Cancelled"),B269,""))</f>
        <v>0</v>
      </c>
      <c r="AV269" s="31">
        <f>IF(AU269="","",COUNTIFS($AU$5:$AU$604,"&lt;"&amp;AU269)+COUNTIFS($AU$5:AU269,AU269))</f>
        <v>0</v>
      </c>
      <c r="AW269" s="31">
        <f>IF(OR(G269="",B269=""),"",B269-TodayDate)</f>
        <v>0</v>
      </c>
      <c r="AX269" s="39">
        <f>IF(G269="","",IF(P269="Cancelled","Cancelled",IF(P269="No access","Action - no access, rebook",IF(AND(B269&lt;&gt;"",AW269&lt;0,OR(P269="Booked",P269="Confirmed",P269="In progress")),"Late - mark it completed",IF(AND(P269="Completed",AP269=""),"Action - not invoiced yet",IF(AND(AW269&gt;=0,AW269&lt;=ReminderDays,Y269&lt;&gt;"Yes"),"Confirm - visit coming up",IF(R269="","Assign - no cleaner booked",IF(AND(P269="Completed",AO269&lt;&gt;"",AO269&lt;1),"Check - checklist unfinished","OK"))))))))</f>
        <v>0</v>
      </c>
    </row>
    <row r="270" spans="1:50">
      <c r="A270" s="43">
        <f>IF(G270="","",JobPrefix&amp;TEXT(ROW()-4,"0000"))</f>
        <v>0</v>
      </c>
      <c r="C270" s="23">
        <f>IF(B270="","",TEXT(B270,"ddd"))</f>
        <v>0</v>
      </c>
      <c r="D270" s="31">
        <f>IF(B270="","",WEEKNUM(B270,IF(WeekStart="Sunday",1,2)))</f>
        <v>0</v>
      </c>
      <c r="E270" s="23">
        <f>IF(B270="","",TEXT(B270,"yyyy-mm"))</f>
        <v>0</v>
      </c>
      <c r="H270" s="23">
        <f>IF(G270="","",IFERROR(INDEX(Clients!$B$5:$B$204,MATCH(G270,Clients!$A$5:$A$204,0)),"Not found"))</f>
        <v>0</v>
      </c>
      <c r="I270" s="23">
        <f>IF(G270="","",IFERROR(INDEX(Clients!$C$5:$C$204,MATCH(G270,Clients!$A$5:$A$204,0)),""))</f>
        <v>0</v>
      </c>
      <c r="K270" s="23">
        <f>IF(J270="","",IFERROR(INDEX(Properties!$B$5:$B$254,MATCH(J270,Properties!$A$5:$A$254,0)),""))</f>
        <v>0</v>
      </c>
      <c r="L270" s="23">
        <f>IF(J270="","",IFERROR(INDEX(Properties!$F$5:$F$254,MATCH(J270,Properties!$A$5:$A$254,0)),""))</f>
        <v>0</v>
      </c>
      <c r="AD270" s="34">
        <f>IF(G270="","",IF(U270&lt;&gt;"",U270,IF(AND(IFERROR(INDEX(Services!$D$5:$D$64,MATCH(M270,Services!$B$5:$B$64,0)),"")="Per hour",IFERROR(INDEX(Properties!$X$5:$X$254,MATCH(J270,Properties!$A$5:$A$254,0)),0)&gt;0),IFERROR(INDEX(Properties!$X$5:$X$254,MATCH(J270,Properties!$A$5:$A$254,0)),0),IF(IFERROR(INDEX(Services!$G$5:$G$64,MATCH(M270,Services!$B$5:$B$64,0)),0)&gt;0,IFERROR(INDEX(Services!$G$5:$G$64,MATCH(M270,Services!$B$5:$B$64,0)),0),IFERROR(INDEX(Properties!$X$5:$X$254,MATCH(J270,Properties!$A$5:$A$254,0)),0)))))</f>
        <v>0</v>
      </c>
      <c r="AE270" s="31">
        <f>IF(G270="","",IF(T270="",CleanersPerJob,MAX(1,T270)))</f>
        <v>0</v>
      </c>
      <c r="AF270" s="34">
        <f>IF(G270="","",ROUND(AD270/AE270,2))</f>
        <v>0</v>
      </c>
      <c r="AG270" s="53">
        <f>IF(OR(G270="",F270="",AF270=""),"",F270+AF270/24)</f>
        <v>0</v>
      </c>
      <c r="AH270" s="21">
        <f>IF(G270="","",IF(IFERROR(INDEX(Clients!$O$5:$O$204,MATCH(G270,Clients!$A$5:$A$204,0)),0)&gt;0,IFERROR(INDEX(Clients!$O$5:$O$204,MATCH(G270,Clients!$A$5:$A$204,0)),0),HourlyRate))</f>
        <v>0</v>
      </c>
      <c r="AI270" s="21">
        <f>IF(G270="","",IF(AND(M270&lt;&gt;"",IFERROR(INDEX(Services!$P$5:$P$64,MATCH(M270,Services!$B$5:$B$64,0)),0)&gt;0,IFERROR(INDEX(Services!$D$5:$D$64,MATCH(M270,Services!$B$5:$B$64,0)),"")&lt;&gt;"Per hour"),IFERROR(INDEX(Services!$P$5:$P$64,MATCH(M270,Services!$B$5:$B$64,0)),0),AD270*AH270))</f>
        <v>0</v>
      </c>
      <c r="AJ270" s="21">
        <f>IF(G270="","",IF(V270&lt;&gt;"",V270,IF(P270="Cancelled",0,MAX(MinimumCharge,ROUND(AI270*IFERROR(INDEX(FreqFactors,MATCH(O270,FreqNames,0)),1),2)))))</f>
        <v>0</v>
      </c>
      <c r="AK270" s="34">
        <f>IF(G270="","",IF(SUMIFS(Timesheets!$U$5:$U$804,Timesheets!$G$5:$G$804,A270)&gt;0,SUMIFS(Timesheets!$U$5:$U$804,Timesheets!$G$5:$G$804,A270),IF(Z270="","",Z270)))</f>
        <v>0</v>
      </c>
      <c r="AL270" s="34">
        <f>IF(OR(AK270="",AD270=""),"",AK270-AD270)</f>
        <v>0</v>
      </c>
      <c r="AM270" s="31">
        <f>IF(A270="","",COUNTIFS('Job Tasks'!$B$5:$B$904,A270))</f>
        <v>0</v>
      </c>
      <c r="AN270" s="31">
        <f>IF(A270="","",COUNTIFS('Job Tasks'!$B$5:$B$904,A270,'Job Tasks'!$H$5:$H$904,"Done"))</f>
        <v>0</v>
      </c>
      <c r="AO270" s="38">
        <f>IF(OR(A270="",AM270=0),"",AN270/AM270)</f>
        <v>0</v>
      </c>
      <c r="AP270" s="43">
        <f>IF(A270="","",IFERROR(INDEX('Invoice Lines'!$B$5:$B$804,MATCH(A270,'Invoice Lines'!$C$5:$C$804,0)),""))</f>
        <v>0</v>
      </c>
      <c r="AQ270" s="18">
        <f>IF(OR(G270="",B270="",X270&lt;&gt;"Yes"),"",IF(IFERROR(INDEX(FreqDays,MATCH(O270,FreqNames,0)),0)=0,"",B270+IFERROR(INDEX(FreqDays,MATCH(O270,FreqNames,0)),0)))</f>
        <v>0</v>
      </c>
      <c r="AR270" s="39">
        <f>IF(G270="","",IF(R270="","Unassigned",IF(COUNTIFS($R$5:$R$604,R270,$B$5:$B$604,B270,$F$5:$F$604,F270)&gt;1,"Clash",IF(SUMIFS($AF$5:$AF$604,$R$5:$R$604,R270,$B$5:$B$604,B270)&gt;ProductiveHours,"Long day","OK"))))</f>
        <v>0</v>
      </c>
      <c r="AS270" s="18">
        <f>IF(OR(G270="",B270=""),"",IF(AND(B270&gt;=TodayDate,P270&lt;&gt;"Cancelled"),B270,""))</f>
        <v>0</v>
      </c>
      <c r="AT270" s="31">
        <f>IF(AS270="","",COUNTIFS($AS$5:$AS$604,"&lt;"&amp;AS270)+COUNTIFS($AS$5:AS270,AS270))</f>
        <v>0</v>
      </c>
      <c r="AU270" s="18">
        <f>IF(OR(G270="",B270="",R270&lt;&gt;""),"",IF(AND(B270&gt;=TodayDate,P270&lt;&gt;"Cancelled"),B270,""))</f>
        <v>0</v>
      </c>
      <c r="AV270" s="31">
        <f>IF(AU270="","",COUNTIFS($AU$5:$AU$604,"&lt;"&amp;AU270)+COUNTIFS($AU$5:AU270,AU270))</f>
        <v>0</v>
      </c>
      <c r="AW270" s="31">
        <f>IF(OR(G270="",B270=""),"",B270-TodayDate)</f>
        <v>0</v>
      </c>
      <c r="AX270" s="39">
        <f>IF(G270="","",IF(P270="Cancelled","Cancelled",IF(P270="No access","Action - no access, rebook",IF(AND(B270&lt;&gt;"",AW270&lt;0,OR(P270="Booked",P270="Confirmed",P270="In progress")),"Late - mark it completed",IF(AND(P270="Completed",AP270=""),"Action - not invoiced yet",IF(AND(AW270&gt;=0,AW270&lt;=ReminderDays,Y270&lt;&gt;"Yes"),"Confirm - visit coming up",IF(R270="","Assign - no cleaner booked",IF(AND(P270="Completed",AO270&lt;&gt;"",AO270&lt;1),"Check - checklist unfinished","OK"))))))))</f>
        <v>0</v>
      </c>
    </row>
    <row r="271" spans="1:50">
      <c r="A271" s="43">
        <f>IF(G271="","",JobPrefix&amp;TEXT(ROW()-4,"0000"))</f>
        <v>0</v>
      </c>
      <c r="C271" s="23">
        <f>IF(B271="","",TEXT(B271,"ddd"))</f>
        <v>0</v>
      </c>
      <c r="D271" s="31">
        <f>IF(B271="","",WEEKNUM(B271,IF(WeekStart="Sunday",1,2)))</f>
        <v>0</v>
      </c>
      <c r="E271" s="23">
        <f>IF(B271="","",TEXT(B271,"yyyy-mm"))</f>
        <v>0</v>
      </c>
      <c r="H271" s="23">
        <f>IF(G271="","",IFERROR(INDEX(Clients!$B$5:$B$204,MATCH(G271,Clients!$A$5:$A$204,0)),"Not found"))</f>
        <v>0</v>
      </c>
      <c r="I271" s="23">
        <f>IF(G271="","",IFERROR(INDEX(Clients!$C$5:$C$204,MATCH(G271,Clients!$A$5:$A$204,0)),""))</f>
        <v>0</v>
      </c>
      <c r="K271" s="23">
        <f>IF(J271="","",IFERROR(INDEX(Properties!$B$5:$B$254,MATCH(J271,Properties!$A$5:$A$254,0)),""))</f>
        <v>0</v>
      </c>
      <c r="L271" s="23">
        <f>IF(J271="","",IFERROR(INDEX(Properties!$F$5:$F$254,MATCH(J271,Properties!$A$5:$A$254,0)),""))</f>
        <v>0</v>
      </c>
      <c r="AD271" s="34">
        <f>IF(G271="","",IF(U271&lt;&gt;"",U271,IF(AND(IFERROR(INDEX(Services!$D$5:$D$64,MATCH(M271,Services!$B$5:$B$64,0)),"")="Per hour",IFERROR(INDEX(Properties!$X$5:$X$254,MATCH(J271,Properties!$A$5:$A$254,0)),0)&gt;0),IFERROR(INDEX(Properties!$X$5:$X$254,MATCH(J271,Properties!$A$5:$A$254,0)),0),IF(IFERROR(INDEX(Services!$G$5:$G$64,MATCH(M271,Services!$B$5:$B$64,0)),0)&gt;0,IFERROR(INDEX(Services!$G$5:$G$64,MATCH(M271,Services!$B$5:$B$64,0)),0),IFERROR(INDEX(Properties!$X$5:$X$254,MATCH(J271,Properties!$A$5:$A$254,0)),0)))))</f>
        <v>0</v>
      </c>
      <c r="AE271" s="31">
        <f>IF(G271="","",IF(T271="",CleanersPerJob,MAX(1,T271)))</f>
        <v>0</v>
      </c>
      <c r="AF271" s="34">
        <f>IF(G271="","",ROUND(AD271/AE271,2))</f>
        <v>0</v>
      </c>
      <c r="AG271" s="53">
        <f>IF(OR(G271="",F271="",AF271=""),"",F271+AF271/24)</f>
        <v>0</v>
      </c>
      <c r="AH271" s="21">
        <f>IF(G271="","",IF(IFERROR(INDEX(Clients!$O$5:$O$204,MATCH(G271,Clients!$A$5:$A$204,0)),0)&gt;0,IFERROR(INDEX(Clients!$O$5:$O$204,MATCH(G271,Clients!$A$5:$A$204,0)),0),HourlyRate))</f>
        <v>0</v>
      </c>
      <c r="AI271" s="21">
        <f>IF(G271="","",IF(AND(M271&lt;&gt;"",IFERROR(INDEX(Services!$P$5:$P$64,MATCH(M271,Services!$B$5:$B$64,0)),0)&gt;0,IFERROR(INDEX(Services!$D$5:$D$64,MATCH(M271,Services!$B$5:$B$64,0)),"")&lt;&gt;"Per hour"),IFERROR(INDEX(Services!$P$5:$P$64,MATCH(M271,Services!$B$5:$B$64,0)),0),AD271*AH271))</f>
        <v>0</v>
      </c>
      <c r="AJ271" s="21">
        <f>IF(G271="","",IF(V271&lt;&gt;"",V271,IF(P271="Cancelled",0,MAX(MinimumCharge,ROUND(AI271*IFERROR(INDEX(FreqFactors,MATCH(O271,FreqNames,0)),1),2)))))</f>
        <v>0</v>
      </c>
      <c r="AK271" s="34">
        <f>IF(G271="","",IF(SUMIFS(Timesheets!$U$5:$U$804,Timesheets!$G$5:$G$804,A271)&gt;0,SUMIFS(Timesheets!$U$5:$U$804,Timesheets!$G$5:$G$804,A271),IF(Z271="","",Z271)))</f>
        <v>0</v>
      </c>
      <c r="AL271" s="34">
        <f>IF(OR(AK271="",AD271=""),"",AK271-AD271)</f>
        <v>0</v>
      </c>
      <c r="AM271" s="31">
        <f>IF(A271="","",COUNTIFS('Job Tasks'!$B$5:$B$904,A271))</f>
        <v>0</v>
      </c>
      <c r="AN271" s="31">
        <f>IF(A271="","",COUNTIFS('Job Tasks'!$B$5:$B$904,A271,'Job Tasks'!$H$5:$H$904,"Done"))</f>
        <v>0</v>
      </c>
      <c r="AO271" s="38">
        <f>IF(OR(A271="",AM271=0),"",AN271/AM271)</f>
        <v>0</v>
      </c>
      <c r="AP271" s="43">
        <f>IF(A271="","",IFERROR(INDEX('Invoice Lines'!$B$5:$B$804,MATCH(A271,'Invoice Lines'!$C$5:$C$804,0)),""))</f>
        <v>0</v>
      </c>
      <c r="AQ271" s="18">
        <f>IF(OR(G271="",B271="",X271&lt;&gt;"Yes"),"",IF(IFERROR(INDEX(FreqDays,MATCH(O271,FreqNames,0)),0)=0,"",B271+IFERROR(INDEX(FreqDays,MATCH(O271,FreqNames,0)),0)))</f>
        <v>0</v>
      </c>
      <c r="AR271" s="39">
        <f>IF(G271="","",IF(R271="","Unassigned",IF(COUNTIFS($R$5:$R$604,R271,$B$5:$B$604,B271,$F$5:$F$604,F271)&gt;1,"Clash",IF(SUMIFS($AF$5:$AF$604,$R$5:$R$604,R271,$B$5:$B$604,B271)&gt;ProductiveHours,"Long day","OK"))))</f>
        <v>0</v>
      </c>
      <c r="AS271" s="18">
        <f>IF(OR(G271="",B271=""),"",IF(AND(B271&gt;=TodayDate,P271&lt;&gt;"Cancelled"),B271,""))</f>
        <v>0</v>
      </c>
      <c r="AT271" s="31">
        <f>IF(AS271="","",COUNTIFS($AS$5:$AS$604,"&lt;"&amp;AS271)+COUNTIFS($AS$5:AS271,AS271))</f>
        <v>0</v>
      </c>
      <c r="AU271" s="18">
        <f>IF(OR(G271="",B271="",R271&lt;&gt;""),"",IF(AND(B271&gt;=TodayDate,P271&lt;&gt;"Cancelled"),B271,""))</f>
        <v>0</v>
      </c>
      <c r="AV271" s="31">
        <f>IF(AU271="","",COUNTIFS($AU$5:$AU$604,"&lt;"&amp;AU271)+COUNTIFS($AU$5:AU271,AU271))</f>
        <v>0</v>
      </c>
      <c r="AW271" s="31">
        <f>IF(OR(G271="",B271=""),"",B271-TodayDate)</f>
        <v>0</v>
      </c>
      <c r="AX271" s="39">
        <f>IF(G271="","",IF(P271="Cancelled","Cancelled",IF(P271="No access","Action - no access, rebook",IF(AND(B271&lt;&gt;"",AW271&lt;0,OR(P271="Booked",P271="Confirmed",P271="In progress")),"Late - mark it completed",IF(AND(P271="Completed",AP271=""),"Action - not invoiced yet",IF(AND(AW271&gt;=0,AW271&lt;=ReminderDays,Y271&lt;&gt;"Yes"),"Confirm - visit coming up",IF(R271="","Assign - no cleaner booked",IF(AND(P271="Completed",AO271&lt;&gt;"",AO271&lt;1),"Check - checklist unfinished","OK"))))))))</f>
        <v>0</v>
      </c>
    </row>
    <row r="272" spans="1:50">
      <c r="A272" s="43">
        <f>IF(G272="","",JobPrefix&amp;TEXT(ROW()-4,"0000"))</f>
        <v>0</v>
      </c>
      <c r="C272" s="23">
        <f>IF(B272="","",TEXT(B272,"ddd"))</f>
        <v>0</v>
      </c>
      <c r="D272" s="31">
        <f>IF(B272="","",WEEKNUM(B272,IF(WeekStart="Sunday",1,2)))</f>
        <v>0</v>
      </c>
      <c r="E272" s="23">
        <f>IF(B272="","",TEXT(B272,"yyyy-mm"))</f>
        <v>0</v>
      </c>
      <c r="H272" s="23">
        <f>IF(G272="","",IFERROR(INDEX(Clients!$B$5:$B$204,MATCH(G272,Clients!$A$5:$A$204,0)),"Not found"))</f>
        <v>0</v>
      </c>
      <c r="I272" s="23">
        <f>IF(G272="","",IFERROR(INDEX(Clients!$C$5:$C$204,MATCH(G272,Clients!$A$5:$A$204,0)),""))</f>
        <v>0</v>
      </c>
      <c r="K272" s="23">
        <f>IF(J272="","",IFERROR(INDEX(Properties!$B$5:$B$254,MATCH(J272,Properties!$A$5:$A$254,0)),""))</f>
        <v>0</v>
      </c>
      <c r="L272" s="23">
        <f>IF(J272="","",IFERROR(INDEX(Properties!$F$5:$F$254,MATCH(J272,Properties!$A$5:$A$254,0)),""))</f>
        <v>0</v>
      </c>
      <c r="AD272" s="34">
        <f>IF(G272="","",IF(U272&lt;&gt;"",U272,IF(AND(IFERROR(INDEX(Services!$D$5:$D$64,MATCH(M272,Services!$B$5:$B$64,0)),"")="Per hour",IFERROR(INDEX(Properties!$X$5:$X$254,MATCH(J272,Properties!$A$5:$A$254,0)),0)&gt;0),IFERROR(INDEX(Properties!$X$5:$X$254,MATCH(J272,Properties!$A$5:$A$254,0)),0),IF(IFERROR(INDEX(Services!$G$5:$G$64,MATCH(M272,Services!$B$5:$B$64,0)),0)&gt;0,IFERROR(INDEX(Services!$G$5:$G$64,MATCH(M272,Services!$B$5:$B$64,0)),0),IFERROR(INDEX(Properties!$X$5:$X$254,MATCH(J272,Properties!$A$5:$A$254,0)),0)))))</f>
        <v>0</v>
      </c>
      <c r="AE272" s="31">
        <f>IF(G272="","",IF(T272="",CleanersPerJob,MAX(1,T272)))</f>
        <v>0</v>
      </c>
      <c r="AF272" s="34">
        <f>IF(G272="","",ROUND(AD272/AE272,2))</f>
        <v>0</v>
      </c>
      <c r="AG272" s="53">
        <f>IF(OR(G272="",F272="",AF272=""),"",F272+AF272/24)</f>
        <v>0</v>
      </c>
      <c r="AH272" s="21">
        <f>IF(G272="","",IF(IFERROR(INDEX(Clients!$O$5:$O$204,MATCH(G272,Clients!$A$5:$A$204,0)),0)&gt;0,IFERROR(INDEX(Clients!$O$5:$O$204,MATCH(G272,Clients!$A$5:$A$204,0)),0),HourlyRate))</f>
        <v>0</v>
      </c>
      <c r="AI272" s="21">
        <f>IF(G272="","",IF(AND(M272&lt;&gt;"",IFERROR(INDEX(Services!$P$5:$P$64,MATCH(M272,Services!$B$5:$B$64,0)),0)&gt;0,IFERROR(INDEX(Services!$D$5:$D$64,MATCH(M272,Services!$B$5:$B$64,0)),"")&lt;&gt;"Per hour"),IFERROR(INDEX(Services!$P$5:$P$64,MATCH(M272,Services!$B$5:$B$64,0)),0),AD272*AH272))</f>
        <v>0</v>
      </c>
      <c r="AJ272" s="21">
        <f>IF(G272="","",IF(V272&lt;&gt;"",V272,IF(P272="Cancelled",0,MAX(MinimumCharge,ROUND(AI272*IFERROR(INDEX(FreqFactors,MATCH(O272,FreqNames,0)),1),2)))))</f>
        <v>0</v>
      </c>
      <c r="AK272" s="34">
        <f>IF(G272="","",IF(SUMIFS(Timesheets!$U$5:$U$804,Timesheets!$G$5:$G$804,A272)&gt;0,SUMIFS(Timesheets!$U$5:$U$804,Timesheets!$G$5:$G$804,A272),IF(Z272="","",Z272)))</f>
        <v>0</v>
      </c>
      <c r="AL272" s="34">
        <f>IF(OR(AK272="",AD272=""),"",AK272-AD272)</f>
        <v>0</v>
      </c>
      <c r="AM272" s="31">
        <f>IF(A272="","",COUNTIFS('Job Tasks'!$B$5:$B$904,A272))</f>
        <v>0</v>
      </c>
      <c r="AN272" s="31">
        <f>IF(A272="","",COUNTIFS('Job Tasks'!$B$5:$B$904,A272,'Job Tasks'!$H$5:$H$904,"Done"))</f>
        <v>0</v>
      </c>
      <c r="AO272" s="38">
        <f>IF(OR(A272="",AM272=0),"",AN272/AM272)</f>
        <v>0</v>
      </c>
      <c r="AP272" s="43">
        <f>IF(A272="","",IFERROR(INDEX('Invoice Lines'!$B$5:$B$804,MATCH(A272,'Invoice Lines'!$C$5:$C$804,0)),""))</f>
        <v>0</v>
      </c>
      <c r="AQ272" s="18">
        <f>IF(OR(G272="",B272="",X272&lt;&gt;"Yes"),"",IF(IFERROR(INDEX(FreqDays,MATCH(O272,FreqNames,0)),0)=0,"",B272+IFERROR(INDEX(FreqDays,MATCH(O272,FreqNames,0)),0)))</f>
        <v>0</v>
      </c>
      <c r="AR272" s="39">
        <f>IF(G272="","",IF(R272="","Unassigned",IF(COUNTIFS($R$5:$R$604,R272,$B$5:$B$604,B272,$F$5:$F$604,F272)&gt;1,"Clash",IF(SUMIFS($AF$5:$AF$604,$R$5:$R$604,R272,$B$5:$B$604,B272)&gt;ProductiveHours,"Long day","OK"))))</f>
        <v>0</v>
      </c>
      <c r="AS272" s="18">
        <f>IF(OR(G272="",B272=""),"",IF(AND(B272&gt;=TodayDate,P272&lt;&gt;"Cancelled"),B272,""))</f>
        <v>0</v>
      </c>
      <c r="AT272" s="31">
        <f>IF(AS272="","",COUNTIFS($AS$5:$AS$604,"&lt;"&amp;AS272)+COUNTIFS($AS$5:AS272,AS272))</f>
        <v>0</v>
      </c>
      <c r="AU272" s="18">
        <f>IF(OR(G272="",B272="",R272&lt;&gt;""),"",IF(AND(B272&gt;=TodayDate,P272&lt;&gt;"Cancelled"),B272,""))</f>
        <v>0</v>
      </c>
      <c r="AV272" s="31">
        <f>IF(AU272="","",COUNTIFS($AU$5:$AU$604,"&lt;"&amp;AU272)+COUNTIFS($AU$5:AU272,AU272))</f>
        <v>0</v>
      </c>
      <c r="AW272" s="31">
        <f>IF(OR(G272="",B272=""),"",B272-TodayDate)</f>
        <v>0</v>
      </c>
      <c r="AX272" s="39">
        <f>IF(G272="","",IF(P272="Cancelled","Cancelled",IF(P272="No access","Action - no access, rebook",IF(AND(B272&lt;&gt;"",AW272&lt;0,OR(P272="Booked",P272="Confirmed",P272="In progress")),"Late - mark it completed",IF(AND(P272="Completed",AP272=""),"Action - not invoiced yet",IF(AND(AW272&gt;=0,AW272&lt;=ReminderDays,Y272&lt;&gt;"Yes"),"Confirm - visit coming up",IF(R272="","Assign - no cleaner booked",IF(AND(P272="Completed",AO272&lt;&gt;"",AO272&lt;1),"Check - checklist unfinished","OK"))))))))</f>
        <v>0</v>
      </c>
    </row>
    <row r="273" spans="1:50">
      <c r="A273" s="43">
        <f>IF(G273="","",JobPrefix&amp;TEXT(ROW()-4,"0000"))</f>
        <v>0</v>
      </c>
      <c r="C273" s="23">
        <f>IF(B273="","",TEXT(B273,"ddd"))</f>
        <v>0</v>
      </c>
      <c r="D273" s="31">
        <f>IF(B273="","",WEEKNUM(B273,IF(WeekStart="Sunday",1,2)))</f>
        <v>0</v>
      </c>
      <c r="E273" s="23">
        <f>IF(B273="","",TEXT(B273,"yyyy-mm"))</f>
        <v>0</v>
      </c>
      <c r="H273" s="23">
        <f>IF(G273="","",IFERROR(INDEX(Clients!$B$5:$B$204,MATCH(G273,Clients!$A$5:$A$204,0)),"Not found"))</f>
        <v>0</v>
      </c>
      <c r="I273" s="23">
        <f>IF(G273="","",IFERROR(INDEX(Clients!$C$5:$C$204,MATCH(G273,Clients!$A$5:$A$204,0)),""))</f>
        <v>0</v>
      </c>
      <c r="K273" s="23">
        <f>IF(J273="","",IFERROR(INDEX(Properties!$B$5:$B$254,MATCH(J273,Properties!$A$5:$A$254,0)),""))</f>
        <v>0</v>
      </c>
      <c r="L273" s="23">
        <f>IF(J273="","",IFERROR(INDEX(Properties!$F$5:$F$254,MATCH(J273,Properties!$A$5:$A$254,0)),""))</f>
        <v>0</v>
      </c>
      <c r="AD273" s="34">
        <f>IF(G273="","",IF(U273&lt;&gt;"",U273,IF(AND(IFERROR(INDEX(Services!$D$5:$D$64,MATCH(M273,Services!$B$5:$B$64,0)),"")="Per hour",IFERROR(INDEX(Properties!$X$5:$X$254,MATCH(J273,Properties!$A$5:$A$254,0)),0)&gt;0),IFERROR(INDEX(Properties!$X$5:$X$254,MATCH(J273,Properties!$A$5:$A$254,0)),0),IF(IFERROR(INDEX(Services!$G$5:$G$64,MATCH(M273,Services!$B$5:$B$64,0)),0)&gt;0,IFERROR(INDEX(Services!$G$5:$G$64,MATCH(M273,Services!$B$5:$B$64,0)),0),IFERROR(INDEX(Properties!$X$5:$X$254,MATCH(J273,Properties!$A$5:$A$254,0)),0)))))</f>
        <v>0</v>
      </c>
      <c r="AE273" s="31">
        <f>IF(G273="","",IF(T273="",CleanersPerJob,MAX(1,T273)))</f>
        <v>0</v>
      </c>
      <c r="AF273" s="34">
        <f>IF(G273="","",ROUND(AD273/AE273,2))</f>
        <v>0</v>
      </c>
      <c r="AG273" s="53">
        <f>IF(OR(G273="",F273="",AF273=""),"",F273+AF273/24)</f>
        <v>0</v>
      </c>
      <c r="AH273" s="21">
        <f>IF(G273="","",IF(IFERROR(INDEX(Clients!$O$5:$O$204,MATCH(G273,Clients!$A$5:$A$204,0)),0)&gt;0,IFERROR(INDEX(Clients!$O$5:$O$204,MATCH(G273,Clients!$A$5:$A$204,0)),0),HourlyRate))</f>
        <v>0</v>
      </c>
      <c r="AI273" s="21">
        <f>IF(G273="","",IF(AND(M273&lt;&gt;"",IFERROR(INDEX(Services!$P$5:$P$64,MATCH(M273,Services!$B$5:$B$64,0)),0)&gt;0,IFERROR(INDEX(Services!$D$5:$D$64,MATCH(M273,Services!$B$5:$B$64,0)),"")&lt;&gt;"Per hour"),IFERROR(INDEX(Services!$P$5:$P$64,MATCH(M273,Services!$B$5:$B$64,0)),0),AD273*AH273))</f>
        <v>0</v>
      </c>
      <c r="AJ273" s="21">
        <f>IF(G273="","",IF(V273&lt;&gt;"",V273,IF(P273="Cancelled",0,MAX(MinimumCharge,ROUND(AI273*IFERROR(INDEX(FreqFactors,MATCH(O273,FreqNames,0)),1),2)))))</f>
        <v>0</v>
      </c>
      <c r="AK273" s="34">
        <f>IF(G273="","",IF(SUMIFS(Timesheets!$U$5:$U$804,Timesheets!$G$5:$G$804,A273)&gt;0,SUMIFS(Timesheets!$U$5:$U$804,Timesheets!$G$5:$G$804,A273),IF(Z273="","",Z273)))</f>
        <v>0</v>
      </c>
      <c r="AL273" s="34">
        <f>IF(OR(AK273="",AD273=""),"",AK273-AD273)</f>
        <v>0</v>
      </c>
      <c r="AM273" s="31">
        <f>IF(A273="","",COUNTIFS('Job Tasks'!$B$5:$B$904,A273))</f>
        <v>0</v>
      </c>
      <c r="AN273" s="31">
        <f>IF(A273="","",COUNTIFS('Job Tasks'!$B$5:$B$904,A273,'Job Tasks'!$H$5:$H$904,"Done"))</f>
        <v>0</v>
      </c>
      <c r="AO273" s="38">
        <f>IF(OR(A273="",AM273=0),"",AN273/AM273)</f>
        <v>0</v>
      </c>
      <c r="AP273" s="43">
        <f>IF(A273="","",IFERROR(INDEX('Invoice Lines'!$B$5:$B$804,MATCH(A273,'Invoice Lines'!$C$5:$C$804,0)),""))</f>
        <v>0</v>
      </c>
      <c r="AQ273" s="18">
        <f>IF(OR(G273="",B273="",X273&lt;&gt;"Yes"),"",IF(IFERROR(INDEX(FreqDays,MATCH(O273,FreqNames,0)),0)=0,"",B273+IFERROR(INDEX(FreqDays,MATCH(O273,FreqNames,0)),0)))</f>
        <v>0</v>
      </c>
      <c r="AR273" s="39">
        <f>IF(G273="","",IF(R273="","Unassigned",IF(COUNTIFS($R$5:$R$604,R273,$B$5:$B$604,B273,$F$5:$F$604,F273)&gt;1,"Clash",IF(SUMIFS($AF$5:$AF$604,$R$5:$R$604,R273,$B$5:$B$604,B273)&gt;ProductiveHours,"Long day","OK"))))</f>
        <v>0</v>
      </c>
      <c r="AS273" s="18">
        <f>IF(OR(G273="",B273=""),"",IF(AND(B273&gt;=TodayDate,P273&lt;&gt;"Cancelled"),B273,""))</f>
        <v>0</v>
      </c>
      <c r="AT273" s="31">
        <f>IF(AS273="","",COUNTIFS($AS$5:$AS$604,"&lt;"&amp;AS273)+COUNTIFS($AS$5:AS273,AS273))</f>
        <v>0</v>
      </c>
      <c r="AU273" s="18">
        <f>IF(OR(G273="",B273="",R273&lt;&gt;""),"",IF(AND(B273&gt;=TodayDate,P273&lt;&gt;"Cancelled"),B273,""))</f>
        <v>0</v>
      </c>
      <c r="AV273" s="31">
        <f>IF(AU273="","",COUNTIFS($AU$5:$AU$604,"&lt;"&amp;AU273)+COUNTIFS($AU$5:AU273,AU273))</f>
        <v>0</v>
      </c>
      <c r="AW273" s="31">
        <f>IF(OR(G273="",B273=""),"",B273-TodayDate)</f>
        <v>0</v>
      </c>
      <c r="AX273" s="39">
        <f>IF(G273="","",IF(P273="Cancelled","Cancelled",IF(P273="No access","Action - no access, rebook",IF(AND(B273&lt;&gt;"",AW273&lt;0,OR(P273="Booked",P273="Confirmed",P273="In progress")),"Late - mark it completed",IF(AND(P273="Completed",AP273=""),"Action - not invoiced yet",IF(AND(AW273&gt;=0,AW273&lt;=ReminderDays,Y273&lt;&gt;"Yes"),"Confirm - visit coming up",IF(R273="","Assign - no cleaner booked",IF(AND(P273="Completed",AO273&lt;&gt;"",AO273&lt;1),"Check - checklist unfinished","OK"))))))))</f>
        <v>0</v>
      </c>
    </row>
    <row r="274" spans="1:50">
      <c r="A274" s="43">
        <f>IF(G274="","",JobPrefix&amp;TEXT(ROW()-4,"0000"))</f>
        <v>0</v>
      </c>
      <c r="C274" s="23">
        <f>IF(B274="","",TEXT(B274,"ddd"))</f>
        <v>0</v>
      </c>
      <c r="D274" s="31">
        <f>IF(B274="","",WEEKNUM(B274,IF(WeekStart="Sunday",1,2)))</f>
        <v>0</v>
      </c>
      <c r="E274" s="23">
        <f>IF(B274="","",TEXT(B274,"yyyy-mm"))</f>
        <v>0</v>
      </c>
      <c r="H274" s="23">
        <f>IF(G274="","",IFERROR(INDEX(Clients!$B$5:$B$204,MATCH(G274,Clients!$A$5:$A$204,0)),"Not found"))</f>
        <v>0</v>
      </c>
      <c r="I274" s="23">
        <f>IF(G274="","",IFERROR(INDEX(Clients!$C$5:$C$204,MATCH(G274,Clients!$A$5:$A$204,0)),""))</f>
        <v>0</v>
      </c>
      <c r="K274" s="23">
        <f>IF(J274="","",IFERROR(INDEX(Properties!$B$5:$B$254,MATCH(J274,Properties!$A$5:$A$254,0)),""))</f>
        <v>0</v>
      </c>
      <c r="L274" s="23">
        <f>IF(J274="","",IFERROR(INDEX(Properties!$F$5:$F$254,MATCH(J274,Properties!$A$5:$A$254,0)),""))</f>
        <v>0</v>
      </c>
      <c r="AD274" s="34">
        <f>IF(G274="","",IF(U274&lt;&gt;"",U274,IF(AND(IFERROR(INDEX(Services!$D$5:$D$64,MATCH(M274,Services!$B$5:$B$64,0)),"")="Per hour",IFERROR(INDEX(Properties!$X$5:$X$254,MATCH(J274,Properties!$A$5:$A$254,0)),0)&gt;0),IFERROR(INDEX(Properties!$X$5:$X$254,MATCH(J274,Properties!$A$5:$A$254,0)),0),IF(IFERROR(INDEX(Services!$G$5:$G$64,MATCH(M274,Services!$B$5:$B$64,0)),0)&gt;0,IFERROR(INDEX(Services!$G$5:$G$64,MATCH(M274,Services!$B$5:$B$64,0)),0),IFERROR(INDEX(Properties!$X$5:$X$254,MATCH(J274,Properties!$A$5:$A$254,0)),0)))))</f>
        <v>0</v>
      </c>
      <c r="AE274" s="31">
        <f>IF(G274="","",IF(T274="",CleanersPerJob,MAX(1,T274)))</f>
        <v>0</v>
      </c>
      <c r="AF274" s="34">
        <f>IF(G274="","",ROUND(AD274/AE274,2))</f>
        <v>0</v>
      </c>
      <c r="AG274" s="53">
        <f>IF(OR(G274="",F274="",AF274=""),"",F274+AF274/24)</f>
        <v>0</v>
      </c>
      <c r="AH274" s="21">
        <f>IF(G274="","",IF(IFERROR(INDEX(Clients!$O$5:$O$204,MATCH(G274,Clients!$A$5:$A$204,0)),0)&gt;0,IFERROR(INDEX(Clients!$O$5:$O$204,MATCH(G274,Clients!$A$5:$A$204,0)),0),HourlyRate))</f>
        <v>0</v>
      </c>
      <c r="AI274" s="21">
        <f>IF(G274="","",IF(AND(M274&lt;&gt;"",IFERROR(INDEX(Services!$P$5:$P$64,MATCH(M274,Services!$B$5:$B$64,0)),0)&gt;0,IFERROR(INDEX(Services!$D$5:$D$64,MATCH(M274,Services!$B$5:$B$64,0)),"")&lt;&gt;"Per hour"),IFERROR(INDEX(Services!$P$5:$P$64,MATCH(M274,Services!$B$5:$B$64,0)),0),AD274*AH274))</f>
        <v>0</v>
      </c>
      <c r="AJ274" s="21">
        <f>IF(G274="","",IF(V274&lt;&gt;"",V274,IF(P274="Cancelled",0,MAX(MinimumCharge,ROUND(AI274*IFERROR(INDEX(FreqFactors,MATCH(O274,FreqNames,0)),1),2)))))</f>
        <v>0</v>
      </c>
      <c r="AK274" s="34">
        <f>IF(G274="","",IF(SUMIFS(Timesheets!$U$5:$U$804,Timesheets!$G$5:$G$804,A274)&gt;0,SUMIFS(Timesheets!$U$5:$U$804,Timesheets!$G$5:$G$804,A274),IF(Z274="","",Z274)))</f>
        <v>0</v>
      </c>
      <c r="AL274" s="34">
        <f>IF(OR(AK274="",AD274=""),"",AK274-AD274)</f>
        <v>0</v>
      </c>
      <c r="AM274" s="31">
        <f>IF(A274="","",COUNTIFS('Job Tasks'!$B$5:$B$904,A274))</f>
        <v>0</v>
      </c>
      <c r="AN274" s="31">
        <f>IF(A274="","",COUNTIFS('Job Tasks'!$B$5:$B$904,A274,'Job Tasks'!$H$5:$H$904,"Done"))</f>
        <v>0</v>
      </c>
      <c r="AO274" s="38">
        <f>IF(OR(A274="",AM274=0),"",AN274/AM274)</f>
        <v>0</v>
      </c>
      <c r="AP274" s="43">
        <f>IF(A274="","",IFERROR(INDEX('Invoice Lines'!$B$5:$B$804,MATCH(A274,'Invoice Lines'!$C$5:$C$804,0)),""))</f>
        <v>0</v>
      </c>
      <c r="AQ274" s="18">
        <f>IF(OR(G274="",B274="",X274&lt;&gt;"Yes"),"",IF(IFERROR(INDEX(FreqDays,MATCH(O274,FreqNames,0)),0)=0,"",B274+IFERROR(INDEX(FreqDays,MATCH(O274,FreqNames,0)),0)))</f>
        <v>0</v>
      </c>
      <c r="AR274" s="39">
        <f>IF(G274="","",IF(R274="","Unassigned",IF(COUNTIFS($R$5:$R$604,R274,$B$5:$B$604,B274,$F$5:$F$604,F274)&gt;1,"Clash",IF(SUMIFS($AF$5:$AF$604,$R$5:$R$604,R274,$B$5:$B$604,B274)&gt;ProductiveHours,"Long day","OK"))))</f>
        <v>0</v>
      </c>
      <c r="AS274" s="18">
        <f>IF(OR(G274="",B274=""),"",IF(AND(B274&gt;=TodayDate,P274&lt;&gt;"Cancelled"),B274,""))</f>
        <v>0</v>
      </c>
      <c r="AT274" s="31">
        <f>IF(AS274="","",COUNTIFS($AS$5:$AS$604,"&lt;"&amp;AS274)+COUNTIFS($AS$5:AS274,AS274))</f>
        <v>0</v>
      </c>
      <c r="AU274" s="18">
        <f>IF(OR(G274="",B274="",R274&lt;&gt;""),"",IF(AND(B274&gt;=TodayDate,P274&lt;&gt;"Cancelled"),B274,""))</f>
        <v>0</v>
      </c>
      <c r="AV274" s="31">
        <f>IF(AU274="","",COUNTIFS($AU$5:$AU$604,"&lt;"&amp;AU274)+COUNTIFS($AU$5:AU274,AU274))</f>
        <v>0</v>
      </c>
      <c r="AW274" s="31">
        <f>IF(OR(G274="",B274=""),"",B274-TodayDate)</f>
        <v>0</v>
      </c>
      <c r="AX274" s="39">
        <f>IF(G274="","",IF(P274="Cancelled","Cancelled",IF(P274="No access","Action - no access, rebook",IF(AND(B274&lt;&gt;"",AW274&lt;0,OR(P274="Booked",P274="Confirmed",P274="In progress")),"Late - mark it completed",IF(AND(P274="Completed",AP274=""),"Action - not invoiced yet",IF(AND(AW274&gt;=0,AW274&lt;=ReminderDays,Y274&lt;&gt;"Yes"),"Confirm - visit coming up",IF(R274="","Assign - no cleaner booked",IF(AND(P274="Completed",AO274&lt;&gt;"",AO274&lt;1),"Check - checklist unfinished","OK"))))))))</f>
        <v>0</v>
      </c>
    </row>
    <row r="275" spans="1:50">
      <c r="A275" s="43">
        <f>IF(G275="","",JobPrefix&amp;TEXT(ROW()-4,"0000"))</f>
        <v>0</v>
      </c>
      <c r="C275" s="23">
        <f>IF(B275="","",TEXT(B275,"ddd"))</f>
        <v>0</v>
      </c>
      <c r="D275" s="31">
        <f>IF(B275="","",WEEKNUM(B275,IF(WeekStart="Sunday",1,2)))</f>
        <v>0</v>
      </c>
      <c r="E275" s="23">
        <f>IF(B275="","",TEXT(B275,"yyyy-mm"))</f>
        <v>0</v>
      </c>
      <c r="H275" s="23">
        <f>IF(G275="","",IFERROR(INDEX(Clients!$B$5:$B$204,MATCH(G275,Clients!$A$5:$A$204,0)),"Not found"))</f>
        <v>0</v>
      </c>
      <c r="I275" s="23">
        <f>IF(G275="","",IFERROR(INDEX(Clients!$C$5:$C$204,MATCH(G275,Clients!$A$5:$A$204,0)),""))</f>
        <v>0</v>
      </c>
      <c r="K275" s="23">
        <f>IF(J275="","",IFERROR(INDEX(Properties!$B$5:$B$254,MATCH(J275,Properties!$A$5:$A$254,0)),""))</f>
        <v>0</v>
      </c>
      <c r="L275" s="23">
        <f>IF(J275="","",IFERROR(INDEX(Properties!$F$5:$F$254,MATCH(J275,Properties!$A$5:$A$254,0)),""))</f>
        <v>0</v>
      </c>
      <c r="AD275" s="34">
        <f>IF(G275="","",IF(U275&lt;&gt;"",U275,IF(AND(IFERROR(INDEX(Services!$D$5:$D$64,MATCH(M275,Services!$B$5:$B$64,0)),"")="Per hour",IFERROR(INDEX(Properties!$X$5:$X$254,MATCH(J275,Properties!$A$5:$A$254,0)),0)&gt;0),IFERROR(INDEX(Properties!$X$5:$X$254,MATCH(J275,Properties!$A$5:$A$254,0)),0),IF(IFERROR(INDEX(Services!$G$5:$G$64,MATCH(M275,Services!$B$5:$B$64,0)),0)&gt;0,IFERROR(INDEX(Services!$G$5:$G$64,MATCH(M275,Services!$B$5:$B$64,0)),0),IFERROR(INDEX(Properties!$X$5:$X$254,MATCH(J275,Properties!$A$5:$A$254,0)),0)))))</f>
        <v>0</v>
      </c>
      <c r="AE275" s="31">
        <f>IF(G275="","",IF(T275="",CleanersPerJob,MAX(1,T275)))</f>
        <v>0</v>
      </c>
      <c r="AF275" s="34">
        <f>IF(G275="","",ROUND(AD275/AE275,2))</f>
        <v>0</v>
      </c>
      <c r="AG275" s="53">
        <f>IF(OR(G275="",F275="",AF275=""),"",F275+AF275/24)</f>
        <v>0</v>
      </c>
      <c r="AH275" s="21">
        <f>IF(G275="","",IF(IFERROR(INDEX(Clients!$O$5:$O$204,MATCH(G275,Clients!$A$5:$A$204,0)),0)&gt;0,IFERROR(INDEX(Clients!$O$5:$O$204,MATCH(G275,Clients!$A$5:$A$204,0)),0),HourlyRate))</f>
        <v>0</v>
      </c>
      <c r="AI275" s="21">
        <f>IF(G275="","",IF(AND(M275&lt;&gt;"",IFERROR(INDEX(Services!$P$5:$P$64,MATCH(M275,Services!$B$5:$B$64,0)),0)&gt;0,IFERROR(INDEX(Services!$D$5:$D$64,MATCH(M275,Services!$B$5:$B$64,0)),"")&lt;&gt;"Per hour"),IFERROR(INDEX(Services!$P$5:$P$64,MATCH(M275,Services!$B$5:$B$64,0)),0),AD275*AH275))</f>
        <v>0</v>
      </c>
      <c r="AJ275" s="21">
        <f>IF(G275="","",IF(V275&lt;&gt;"",V275,IF(P275="Cancelled",0,MAX(MinimumCharge,ROUND(AI275*IFERROR(INDEX(FreqFactors,MATCH(O275,FreqNames,0)),1),2)))))</f>
        <v>0</v>
      </c>
      <c r="AK275" s="34">
        <f>IF(G275="","",IF(SUMIFS(Timesheets!$U$5:$U$804,Timesheets!$G$5:$G$804,A275)&gt;0,SUMIFS(Timesheets!$U$5:$U$804,Timesheets!$G$5:$G$804,A275),IF(Z275="","",Z275)))</f>
        <v>0</v>
      </c>
      <c r="AL275" s="34">
        <f>IF(OR(AK275="",AD275=""),"",AK275-AD275)</f>
        <v>0</v>
      </c>
      <c r="AM275" s="31">
        <f>IF(A275="","",COUNTIFS('Job Tasks'!$B$5:$B$904,A275))</f>
        <v>0</v>
      </c>
      <c r="AN275" s="31">
        <f>IF(A275="","",COUNTIFS('Job Tasks'!$B$5:$B$904,A275,'Job Tasks'!$H$5:$H$904,"Done"))</f>
        <v>0</v>
      </c>
      <c r="AO275" s="38">
        <f>IF(OR(A275="",AM275=0),"",AN275/AM275)</f>
        <v>0</v>
      </c>
      <c r="AP275" s="43">
        <f>IF(A275="","",IFERROR(INDEX('Invoice Lines'!$B$5:$B$804,MATCH(A275,'Invoice Lines'!$C$5:$C$804,0)),""))</f>
        <v>0</v>
      </c>
      <c r="AQ275" s="18">
        <f>IF(OR(G275="",B275="",X275&lt;&gt;"Yes"),"",IF(IFERROR(INDEX(FreqDays,MATCH(O275,FreqNames,0)),0)=0,"",B275+IFERROR(INDEX(FreqDays,MATCH(O275,FreqNames,0)),0)))</f>
        <v>0</v>
      </c>
      <c r="AR275" s="39">
        <f>IF(G275="","",IF(R275="","Unassigned",IF(COUNTIFS($R$5:$R$604,R275,$B$5:$B$604,B275,$F$5:$F$604,F275)&gt;1,"Clash",IF(SUMIFS($AF$5:$AF$604,$R$5:$R$604,R275,$B$5:$B$604,B275)&gt;ProductiveHours,"Long day","OK"))))</f>
        <v>0</v>
      </c>
      <c r="AS275" s="18">
        <f>IF(OR(G275="",B275=""),"",IF(AND(B275&gt;=TodayDate,P275&lt;&gt;"Cancelled"),B275,""))</f>
        <v>0</v>
      </c>
      <c r="AT275" s="31">
        <f>IF(AS275="","",COUNTIFS($AS$5:$AS$604,"&lt;"&amp;AS275)+COUNTIFS($AS$5:AS275,AS275))</f>
        <v>0</v>
      </c>
      <c r="AU275" s="18">
        <f>IF(OR(G275="",B275="",R275&lt;&gt;""),"",IF(AND(B275&gt;=TodayDate,P275&lt;&gt;"Cancelled"),B275,""))</f>
        <v>0</v>
      </c>
      <c r="AV275" s="31">
        <f>IF(AU275="","",COUNTIFS($AU$5:$AU$604,"&lt;"&amp;AU275)+COUNTIFS($AU$5:AU275,AU275))</f>
        <v>0</v>
      </c>
      <c r="AW275" s="31">
        <f>IF(OR(G275="",B275=""),"",B275-TodayDate)</f>
        <v>0</v>
      </c>
      <c r="AX275" s="39">
        <f>IF(G275="","",IF(P275="Cancelled","Cancelled",IF(P275="No access","Action - no access, rebook",IF(AND(B275&lt;&gt;"",AW275&lt;0,OR(P275="Booked",P275="Confirmed",P275="In progress")),"Late - mark it completed",IF(AND(P275="Completed",AP275=""),"Action - not invoiced yet",IF(AND(AW275&gt;=0,AW275&lt;=ReminderDays,Y275&lt;&gt;"Yes"),"Confirm - visit coming up",IF(R275="","Assign - no cleaner booked",IF(AND(P275="Completed",AO275&lt;&gt;"",AO275&lt;1),"Check - checklist unfinished","OK"))))))))</f>
        <v>0</v>
      </c>
    </row>
    <row r="276" spans="1:50">
      <c r="A276" s="43">
        <f>IF(G276="","",JobPrefix&amp;TEXT(ROW()-4,"0000"))</f>
        <v>0</v>
      </c>
      <c r="C276" s="23">
        <f>IF(B276="","",TEXT(B276,"ddd"))</f>
        <v>0</v>
      </c>
      <c r="D276" s="31">
        <f>IF(B276="","",WEEKNUM(B276,IF(WeekStart="Sunday",1,2)))</f>
        <v>0</v>
      </c>
      <c r="E276" s="23">
        <f>IF(B276="","",TEXT(B276,"yyyy-mm"))</f>
        <v>0</v>
      </c>
      <c r="H276" s="23">
        <f>IF(G276="","",IFERROR(INDEX(Clients!$B$5:$B$204,MATCH(G276,Clients!$A$5:$A$204,0)),"Not found"))</f>
        <v>0</v>
      </c>
      <c r="I276" s="23">
        <f>IF(G276="","",IFERROR(INDEX(Clients!$C$5:$C$204,MATCH(G276,Clients!$A$5:$A$204,0)),""))</f>
        <v>0</v>
      </c>
      <c r="K276" s="23">
        <f>IF(J276="","",IFERROR(INDEX(Properties!$B$5:$B$254,MATCH(J276,Properties!$A$5:$A$254,0)),""))</f>
        <v>0</v>
      </c>
      <c r="L276" s="23">
        <f>IF(J276="","",IFERROR(INDEX(Properties!$F$5:$F$254,MATCH(J276,Properties!$A$5:$A$254,0)),""))</f>
        <v>0</v>
      </c>
      <c r="AD276" s="34">
        <f>IF(G276="","",IF(U276&lt;&gt;"",U276,IF(AND(IFERROR(INDEX(Services!$D$5:$D$64,MATCH(M276,Services!$B$5:$B$64,0)),"")="Per hour",IFERROR(INDEX(Properties!$X$5:$X$254,MATCH(J276,Properties!$A$5:$A$254,0)),0)&gt;0),IFERROR(INDEX(Properties!$X$5:$X$254,MATCH(J276,Properties!$A$5:$A$254,0)),0),IF(IFERROR(INDEX(Services!$G$5:$G$64,MATCH(M276,Services!$B$5:$B$64,0)),0)&gt;0,IFERROR(INDEX(Services!$G$5:$G$64,MATCH(M276,Services!$B$5:$B$64,0)),0),IFERROR(INDEX(Properties!$X$5:$X$254,MATCH(J276,Properties!$A$5:$A$254,0)),0)))))</f>
        <v>0</v>
      </c>
      <c r="AE276" s="31">
        <f>IF(G276="","",IF(T276="",CleanersPerJob,MAX(1,T276)))</f>
        <v>0</v>
      </c>
      <c r="AF276" s="34">
        <f>IF(G276="","",ROUND(AD276/AE276,2))</f>
        <v>0</v>
      </c>
      <c r="AG276" s="53">
        <f>IF(OR(G276="",F276="",AF276=""),"",F276+AF276/24)</f>
        <v>0</v>
      </c>
      <c r="AH276" s="21">
        <f>IF(G276="","",IF(IFERROR(INDEX(Clients!$O$5:$O$204,MATCH(G276,Clients!$A$5:$A$204,0)),0)&gt;0,IFERROR(INDEX(Clients!$O$5:$O$204,MATCH(G276,Clients!$A$5:$A$204,0)),0),HourlyRate))</f>
        <v>0</v>
      </c>
      <c r="AI276" s="21">
        <f>IF(G276="","",IF(AND(M276&lt;&gt;"",IFERROR(INDEX(Services!$P$5:$P$64,MATCH(M276,Services!$B$5:$B$64,0)),0)&gt;0,IFERROR(INDEX(Services!$D$5:$D$64,MATCH(M276,Services!$B$5:$B$64,0)),"")&lt;&gt;"Per hour"),IFERROR(INDEX(Services!$P$5:$P$64,MATCH(M276,Services!$B$5:$B$64,0)),0),AD276*AH276))</f>
        <v>0</v>
      </c>
      <c r="AJ276" s="21">
        <f>IF(G276="","",IF(V276&lt;&gt;"",V276,IF(P276="Cancelled",0,MAX(MinimumCharge,ROUND(AI276*IFERROR(INDEX(FreqFactors,MATCH(O276,FreqNames,0)),1),2)))))</f>
        <v>0</v>
      </c>
      <c r="AK276" s="34">
        <f>IF(G276="","",IF(SUMIFS(Timesheets!$U$5:$U$804,Timesheets!$G$5:$G$804,A276)&gt;0,SUMIFS(Timesheets!$U$5:$U$804,Timesheets!$G$5:$G$804,A276),IF(Z276="","",Z276)))</f>
        <v>0</v>
      </c>
      <c r="AL276" s="34">
        <f>IF(OR(AK276="",AD276=""),"",AK276-AD276)</f>
        <v>0</v>
      </c>
      <c r="AM276" s="31">
        <f>IF(A276="","",COUNTIFS('Job Tasks'!$B$5:$B$904,A276))</f>
        <v>0</v>
      </c>
      <c r="AN276" s="31">
        <f>IF(A276="","",COUNTIFS('Job Tasks'!$B$5:$B$904,A276,'Job Tasks'!$H$5:$H$904,"Done"))</f>
        <v>0</v>
      </c>
      <c r="AO276" s="38">
        <f>IF(OR(A276="",AM276=0),"",AN276/AM276)</f>
        <v>0</v>
      </c>
      <c r="AP276" s="43">
        <f>IF(A276="","",IFERROR(INDEX('Invoice Lines'!$B$5:$B$804,MATCH(A276,'Invoice Lines'!$C$5:$C$804,0)),""))</f>
        <v>0</v>
      </c>
      <c r="AQ276" s="18">
        <f>IF(OR(G276="",B276="",X276&lt;&gt;"Yes"),"",IF(IFERROR(INDEX(FreqDays,MATCH(O276,FreqNames,0)),0)=0,"",B276+IFERROR(INDEX(FreqDays,MATCH(O276,FreqNames,0)),0)))</f>
        <v>0</v>
      </c>
      <c r="AR276" s="39">
        <f>IF(G276="","",IF(R276="","Unassigned",IF(COUNTIFS($R$5:$R$604,R276,$B$5:$B$604,B276,$F$5:$F$604,F276)&gt;1,"Clash",IF(SUMIFS($AF$5:$AF$604,$R$5:$R$604,R276,$B$5:$B$604,B276)&gt;ProductiveHours,"Long day","OK"))))</f>
        <v>0</v>
      </c>
      <c r="AS276" s="18">
        <f>IF(OR(G276="",B276=""),"",IF(AND(B276&gt;=TodayDate,P276&lt;&gt;"Cancelled"),B276,""))</f>
        <v>0</v>
      </c>
      <c r="AT276" s="31">
        <f>IF(AS276="","",COUNTIFS($AS$5:$AS$604,"&lt;"&amp;AS276)+COUNTIFS($AS$5:AS276,AS276))</f>
        <v>0</v>
      </c>
      <c r="AU276" s="18">
        <f>IF(OR(G276="",B276="",R276&lt;&gt;""),"",IF(AND(B276&gt;=TodayDate,P276&lt;&gt;"Cancelled"),B276,""))</f>
        <v>0</v>
      </c>
      <c r="AV276" s="31">
        <f>IF(AU276="","",COUNTIFS($AU$5:$AU$604,"&lt;"&amp;AU276)+COUNTIFS($AU$5:AU276,AU276))</f>
        <v>0</v>
      </c>
      <c r="AW276" s="31">
        <f>IF(OR(G276="",B276=""),"",B276-TodayDate)</f>
        <v>0</v>
      </c>
      <c r="AX276" s="39">
        <f>IF(G276="","",IF(P276="Cancelled","Cancelled",IF(P276="No access","Action - no access, rebook",IF(AND(B276&lt;&gt;"",AW276&lt;0,OR(P276="Booked",P276="Confirmed",P276="In progress")),"Late - mark it completed",IF(AND(P276="Completed",AP276=""),"Action - not invoiced yet",IF(AND(AW276&gt;=0,AW276&lt;=ReminderDays,Y276&lt;&gt;"Yes"),"Confirm - visit coming up",IF(R276="","Assign - no cleaner booked",IF(AND(P276="Completed",AO276&lt;&gt;"",AO276&lt;1),"Check - checklist unfinished","OK"))))))))</f>
        <v>0</v>
      </c>
    </row>
    <row r="277" spans="1:50">
      <c r="A277" s="43">
        <f>IF(G277="","",JobPrefix&amp;TEXT(ROW()-4,"0000"))</f>
        <v>0</v>
      </c>
      <c r="C277" s="23">
        <f>IF(B277="","",TEXT(B277,"ddd"))</f>
        <v>0</v>
      </c>
      <c r="D277" s="31">
        <f>IF(B277="","",WEEKNUM(B277,IF(WeekStart="Sunday",1,2)))</f>
        <v>0</v>
      </c>
      <c r="E277" s="23">
        <f>IF(B277="","",TEXT(B277,"yyyy-mm"))</f>
        <v>0</v>
      </c>
      <c r="H277" s="23">
        <f>IF(G277="","",IFERROR(INDEX(Clients!$B$5:$B$204,MATCH(G277,Clients!$A$5:$A$204,0)),"Not found"))</f>
        <v>0</v>
      </c>
      <c r="I277" s="23">
        <f>IF(G277="","",IFERROR(INDEX(Clients!$C$5:$C$204,MATCH(G277,Clients!$A$5:$A$204,0)),""))</f>
        <v>0</v>
      </c>
      <c r="K277" s="23">
        <f>IF(J277="","",IFERROR(INDEX(Properties!$B$5:$B$254,MATCH(J277,Properties!$A$5:$A$254,0)),""))</f>
        <v>0</v>
      </c>
      <c r="L277" s="23">
        <f>IF(J277="","",IFERROR(INDEX(Properties!$F$5:$F$254,MATCH(J277,Properties!$A$5:$A$254,0)),""))</f>
        <v>0</v>
      </c>
      <c r="AD277" s="34">
        <f>IF(G277="","",IF(U277&lt;&gt;"",U277,IF(AND(IFERROR(INDEX(Services!$D$5:$D$64,MATCH(M277,Services!$B$5:$B$64,0)),"")="Per hour",IFERROR(INDEX(Properties!$X$5:$X$254,MATCH(J277,Properties!$A$5:$A$254,0)),0)&gt;0),IFERROR(INDEX(Properties!$X$5:$X$254,MATCH(J277,Properties!$A$5:$A$254,0)),0),IF(IFERROR(INDEX(Services!$G$5:$G$64,MATCH(M277,Services!$B$5:$B$64,0)),0)&gt;0,IFERROR(INDEX(Services!$G$5:$G$64,MATCH(M277,Services!$B$5:$B$64,0)),0),IFERROR(INDEX(Properties!$X$5:$X$254,MATCH(J277,Properties!$A$5:$A$254,0)),0)))))</f>
        <v>0</v>
      </c>
      <c r="AE277" s="31">
        <f>IF(G277="","",IF(T277="",CleanersPerJob,MAX(1,T277)))</f>
        <v>0</v>
      </c>
      <c r="AF277" s="34">
        <f>IF(G277="","",ROUND(AD277/AE277,2))</f>
        <v>0</v>
      </c>
      <c r="AG277" s="53">
        <f>IF(OR(G277="",F277="",AF277=""),"",F277+AF277/24)</f>
        <v>0</v>
      </c>
      <c r="AH277" s="21">
        <f>IF(G277="","",IF(IFERROR(INDEX(Clients!$O$5:$O$204,MATCH(G277,Clients!$A$5:$A$204,0)),0)&gt;0,IFERROR(INDEX(Clients!$O$5:$O$204,MATCH(G277,Clients!$A$5:$A$204,0)),0),HourlyRate))</f>
        <v>0</v>
      </c>
      <c r="AI277" s="21">
        <f>IF(G277="","",IF(AND(M277&lt;&gt;"",IFERROR(INDEX(Services!$P$5:$P$64,MATCH(M277,Services!$B$5:$B$64,0)),0)&gt;0,IFERROR(INDEX(Services!$D$5:$D$64,MATCH(M277,Services!$B$5:$B$64,0)),"")&lt;&gt;"Per hour"),IFERROR(INDEX(Services!$P$5:$P$64,MATCH(M277,Services!$B$5:$B$64,0)),0),AD277*AH277))</f>
        <v>0</v>
      </c>
      <c r="AJ277" s="21">
        <f>IF(G277="","",IF(V277&lt;&gt;"",V277,IF(P277="Cancelled",0,MAX(MinimumCharge,ROUND(AI277*IFERROR(INDEX(FreqFactors,MATCH(O277,FreqNames,0)),1),2)))))</f>
        <v>0</v>
      </c>
      <c r="AK277" s="34">
        <f>IF(G277="","",IF(SUMIFS(Timesheets!$U$5:$U$804,Timesheets!$G$5:$G$804,A277)&gt;0,SUMIFS(Timesheets!$U$5:$U$804,Timesheets!$G$5:$G$804,A277),IF(Z277="","",Z277)))</f>
        <v>0</v>
      </c>
      <c r="AL277" s="34">
        <f>IF(OR(AK277="",AD277=""),"",AK277-AD277)</f>
        <v>0</v>
      </c>
      <c r="AM277" s="31">
        <f>IF(A277="","",COUNTIFS('Job Tasks'!$B$5:$B$904,A277))</f>
        <v>0</v>
      </c>
      <c r="AN277" s="31">
        <f>IF(A277="","",COUNTIFS('Job Tasks'!$B$5:$B$904,A277,'Job Tasks'!$H$5:$H$904,"Done"))</f>
        <v>0</v>
      </c>
      <c r="AO277" s="38">
        <f>IF(OR(A277="",AM277=0),"",AN277/AM277)</f>
        <v>0</v>
      </c>
      <c r="AP277" s="43">
        <f>IF(A277="","",IFERROR(INDEX('Invoice Lines'!$B$5:$B$804,MATCH(A277,'Invoice Lines'!$C$5:$C$804,0)),""))</f>
        <v>0</v>
      </c>
      <c r="AQ277" s="18">
        <f>IF(OR(G277="",B277="",X277&lt;&gt;"Yes"),"",IF(IFERROR(INDEX(FreqDays,MATCH(O277,FreqNames,0)),0)=0,"",B277+IFERROR(INDEX(FreqDays,MATCH(O277,FreqNames,0)),0)))</f>
        <v>0</v>
      </c>
      <c r="AR277" s="39">
        <f>IF(G277="","",IF(R277="","Unassigned",IF(COUNTIFS($R$5:$R$604,R277,$B$5:$B$604,B277,$F$5:$F$604,F277)&gt;1,"Clash",IF(SUMIFS($AF$5:$AF$604,$R$5:$R$604,R277,$B$5:$B$604,B277)&gt;ProductiveHours,"Long day","OK"))))</f>
        <v>0</v>
      </c>
      <c r="AS277" s="18">
        <f>IF(OR(G277="",B277=""),"",IF(AND(B277&gt;=TodayDate,P277&lt;&gt;"Cancelled"),B277,""))</f>
        <v>0</v>
      </c>
      <c r="AT277" s="31">
        <f>IF(AS277="","",COUNTIFS($AS$5:$AS$604,"&lt;"&amp;AS277)+COUNTIFS($AS$5:AS277,AS277))</f>
        <v>0</v>
      </c>
      <c r="AU277" s="18">
        <f>IF(OR(G277="",B277="",R277&lt;&gt;""),"",IF(AND(B277&gt;=TodayDate,P277&lt;&gt;"Cancelled"),B277,""))</f>
        <v>0</v>
      </c>
      <c r="AV277" s="31">
        <f>IF(AU277="","",COUNTIFS($AU$5:$AU$604,"&lt;"&amp;AU277)+COUNTIFS($AU$5:AU277,AU277))</f>
        <v>0</v>
      </c>
      <c r="AW277" s="31">
        <f>IF(OR(G277="",B277=""),"",B277-TodayDate)</f>
        <v>0</v>
      </c>
      <c r="AX277" s="39">
        <f>IF(G277="","",IF(P277="Cancelled","Cancelled",IF(P277="No access","Action - no access, rebook",IF(AND(B277&lt;&gt;"",AW277&lt;0,OR(P277="Booked",P277="Confirmed",P277="In progress")),"Late - mark it completed",IF(AND(P277="Completed",AP277=""),"Action - not invoiced yet",IF(AND(AW277&gt;=0,AW277&lt;=ReminderDays,Y277&lt;&gt;"Yes"),"Confirm - visit coming up",IF(R277="","Assign - no cleaner booked",IF(AND(P277="Completed",AO277&lt;&gt;"",AO277&lt;1),"Check - checklist unfinished","OK"))))))))</f>
        <v>0</v>
      </c>
    </row>
    <row r="278" spans="1:50">
      <c r="A278" s="43">
        <f>IF(G278="","",JobPrefix&amp;TEXT(ROW()-4,"0000"))</f>
        <v>0</v>
      </c>
      <c r="C278" s="23">
        <f>IF(B278="","",TEXT(B278,"ddd"))</f>
        <v>0</v>
      </c>
      <c r="D278" s="31">
        <f>IF(B278="","",WEEKNUM(B278,IF(WeekStart="Sunday",1,2)))</f>
        <v>0</v>
      </c>
      <c r="E278" s="23">
        <f>IF(B278="","",TEXT(B278,"yyyy-mm"))</f>
        <v>0</v>
      </c>
      <c r="H278" s="23">
        <f>IF(G278="","",IFERROR(INDEX(Clients!$B$5:$B$204,MATCH(G278,Clients!$A$5:$A$204,0)),"Not found"))</f>
        <v>0</v>
      </c>
      <c r="I278" s="23">
        <f>IF(G278="","",IFERROR(INDEX(Clients!$C$5:$C$204,MATCH(G278,Clients!$A$5:$A$204,0)),""))</f>
        <v>0</v>
      </c>
      <c r="K278" s="23">
        <f>IF(J278="","",IFERROR(INDEX(Properties!$B$5:$B$254,MATCH(J278,Properties!$A$5:$A$254,0)),""))</f>
        <v>0</v>
      </c>
      <c r="L278" s="23">
        <f>IF(J278="","",IFERROR(INDEX(Properties!$F$5:$F$254,MATCH(J278,Properties!$A$5:$A$254,0)),""))</f>
        <v>0</v>
      </c>
      <c r="AD278" s="34">
        <f>IF(G278="","",IF(U278&lt;&gt;"",U278,IF(AND(IFERROR(INDEX(Services!$D$5:$D$64,MATCH(M278,Services!$B$5:$B$64,0)),"")="Per hour",IFERROR(INDEX(Properties!$X$5:$X$254,MATCH(J278,Properties!$A$5:$A$254,0)),0)&gt;0),IFERROR(INDEX(Properties!$X$5:$X$254,MATCH(J278,Properties!$A$5:$A$254,0)),0),IF(IFERROR(INDEX(Services!$G$5:$G$64,MATCH(M278,Services!$B$5:$B$64,0)),0)&gt;0,IFERROR(INDEX(Services!$G$5:$G$64,MATCH(M278,Services!$B$5:$B$64,0)),0),IFERROR(INDEX(Properties!$X$5:$X$254,MATCH(J278,Properties!$A$5:$A$254,0)),0)))))</f>
        <v>0</v>
      </c>
      <c r="AE278" s="31">
        <f>IF(G278="","",IF(T278="",CleanersPerJob,MAX(1,T278)))</f>
        <v>0</v>
      </c>
      <c r="AF278" s="34">
        <f>IF(G278="","",ROUND(AD278/AE278,2))</f>
        <v>0</v>
      </c>
      <c r="AG278" s="53">
        <f>IF(OR(G278="",F278="",AF278=""),"",F278+AF278/24)</f>
        <v>0</v>
      </c>
      <c r="AH278" s="21">
        <f>IF(G278="","",IF(IFERROR(INDEX(Clients!$O$5:$O$204,MATCH(G278,Clients!$A$5:$A$204,0)),0)&gt;0,IFERROR(INDEX(Clients!$O$5:$O$204,MATCH(G278,Clients!$A$5:$A$204,0)),0),HourlyRate))</f>
        <v>0</v>
      </c>
      <c r="AI278" s="21">
        <f>IF(G278="","",IF(AND(M278&lt;&gt;"",IFERROR(INDEX(Services!$P$5:$P$64,MATCH(M278,Services!$B$5:$B$64,0)),0)&gt;0,IFERROR(INDEX(Services!$D$5:$D$64,MATCH(M278,Services!$B$5:$B$64,0)),"")&lt;&gt;"Per hour"),IFERROR(INDEX(Services!$P$5:$P$64,MATCH(M278,Services!$B$5:$B$64,0)),0),AD278*AH278))</f>
        <v>0</v>
      </c>
      <c r="AJ278" s="21">
        <f>IF(G278="","",IF(V278&lt;&gt;"",V278,IF(P278="Cancelled",0,MAX(MinimumCharge,ROUND(AI278*IFERROR(INDEX(FreqFactors,MATCH(O278,FreqNames,0)),1),2)))))</f>
        <v>0</v>
      </c>
      <c r="AK278" s="34">
        <f>IF(G278="","",IF(SUMIFS(Timesheets!$U$5:$U$804,Timesheets!$G$5:$G$804,A278)&gt;0,SUMIFS(Timesheets!$U$5:$U$804,Timesheets!$G$5:$G$804,A278),IF(Z278="","",Z278)))</f>
        <v>0</v>
      </c>
      <c r="AL278" s="34">
        <f>IF(OR(AK278="",AD278=""),"",AK278-AD278)</f>
        <v>0</v>
      </c>
      <c r="AM278" s="31">
        <f>IF(A278="","",COUNTIFS('Job Tasks'!$B$5:$B$904,A278))</f>
        <v>0</v>
      </c>
      <c r="AN278" s="31">
        <f>IF(A278="","",COUNTIFS('Job Tasks'!$B$5:$B$904,A278,'Job Tasks'!$H$5:$H$904,"Done"))</f>
        <v>0</v>
      </c>
      <c r="AO278" s="38">
        <f>IF(OR(A278="",AM278=0),"",AN278/AM278)</f>
        <v>0</v>
      </c>
      <c r="AP278" s="43">
        <f>IF(A278="","",IFERROR(INDEX('Invoice Lines'!$B$5:$B$804,MATCH(A278,'Invoice Lines'!$C$5:$C$804,0)),""))</f>
        <v>0</v>
      </c>
      <c r="AQ278" s="18">
        <f>IF(OR(G278="",B278="",X278&lt;&gt;"Yes"),"",IF(IFERROR(INDEX(FreqDays,MATCH(O278,FreqNames,0)),0)=0,"",B278+IFERROR(INDEX(FreqDays,MATCH(O278,FreqNames,0)),0)))</f>
        <v>0</v>
      </c>
      <c r="AR278" s="39">
        <f>IF(G278="","",IF(R278="","Unassigned",IF(COUNTIFS($R$5:$R$604,R278,$B$5:$B$604,B278,$F$5:$F$604,F278)&gt;1,"Clash",IF(SUMIFS($AF$5:$AF$604,$R$5:$R$604,R278,$B$5:$B$604,B278)&gt;ProductiveHours,"Long day","OK"))))</f>
        <v>0</v>
      </c>
      <c r="AS278" s="18">
        <f>IF(OR(G278="",B278=""),"",IF(AND(B278&gt;=TodayDate,P278&lt;&gt;"Cancelled"),B278,""))</f>
        <v>0</v>
      </c>
      <c r="AT278" s="31">
        <f>IF(AS278="","",COUNTIFS($AS$5:$AS$604,"&lt;"&amp;AS278)+COUNTIFS($AS$5:AS278,AS278))</f>
        <v>0</v>
      </c>
      <c r="AU278" s="18">
        <f>IF(OR(G278="",B278="",R278&lt;&gt;""),"",IF(AND(B278&gt;=TodayDate,P278&lt;&gt;"Cancelled"),B278,""))</f>
        <v>0</v>
      </c>
      <c r="AV278" s="31">
        <f>IF(AU278="","",COUNTIFS($AU$5:$AU$604,"&lt;"&amp;AU278)+COUNTIFS($AU$5:AU278,AU278))</f>
        <v>0</v>
      </c>
      <c r="AW278" s="31">
        <f>IF(OR(G278="",B278=""),"",B278-TodayDate)</f>
        <v>0</v>
      </c>
      <c r="AX278" s="39">
        <f>IF(G278="","",IF(P278="Cancelled","Cancelled",IF(P278="No access","Action - no access, rebook",IF(AND(B278&lt;&gt;"",AW278&lt;0,OR(P278="Booked",P278="Confirmed",P278="In progress")),"Late - mark it completed",IF(AND(P278="Completed",AP278=""),"Action - not invoiced yet",IF(AND(AW278&gt;=0,AW278&lt;=ReminderDays,Y278&lt;&gt;"Yes"),"Confirm - visit coming up",IF(R278="","Assign - no cleaner booked",IF(AND(P278="Completed",AO278&lt;&gt;"",AO278&lt;1),"Check - checklist unfinished","OK"))))))))</f>
        <v>0</v>
      </c>
    </row>
    <row r="279" spans="1:50">
      <c r="A279" s="43">
        <f>IF(G279="","",JobPrefix&amp;TEXT(ROW()-4,"0000"))</f>
        <v>0</v>
      </c>
      <c r="C279" s="23">
        <f>IF(B279="","",TEXT(B279,"ddd"))</f>
        <v>0</v>
      </c>
      <c r="D279" s="31">
        <f>IF(B279="","",WEEKNUM(B279,IF(WeekStart="Sunday",1,2)))</f>
        <v>0</v>
      </c>
      <c r="E279" s="23">
        <f>IF(B279="","",TEXT(B279,"yyyy-mm"))</f>
        <v>0</v>
      </c>
      <c r="H279" s="23">
        <f>IF(G279="","",IFERROR(INDEX(Clients!$B$5:$B$204,MATCH(G279,Clients!$A$5:$A$204,0)),"Not found"))</f>
        <v>0</v>
      </c>
      <c r="I279" s="23">
        <f>IF(G279="","",IFERROR(INDEX(Clients!$C$5:$C$204,MATCH(G279,Clients!$A$5:$A$204,0)),""))</f>
        <v>0</v>
      </c>
      <c r="K279" s="23">
        <f>IF(J279="","",IFERROR(INDEX(Properties!$B$5:$B$254,MATCH(J279,Properties!$A$5:$A$254,0)),""))</f>
        <v>0</v>
      </c>
      <c r="L279" s="23">
        <f>IF(J279="","",IFERROR(INDEX(Properties!$F$5:$F$254,MATCH(J279,Properties!$A$5:$A$254,0)),""))</f>
        <v>0</v>
      </c>
      <c r="AD279" s="34">
        <f>IF(G279="","",IF(U279&lt;&gt;"",U279,IF(AND(IFERROR(INDEX(Services!$D$5:$D$64,MATCH(M279,Services!$B$5:$B$64,0)),"")="Per hour",IFERROR(INDEX(Properties!$X$5:$X$254,MATCH(J279,Properties!$A$5:$A$254,0)),0)&gt;0),IFERROR(INDEX(Properties!$X$5:$X$254,MATCH(J279,Properties!$A$5:$A$254,0)),0),IF(IFERROR(INDEX(Services!$G$5:$G$64,MATCH(M279,Services!$B$5:$B$64,0)),0)&gt;0,IFERROR(INDEX(Services!$G$5:$G$64,MATCH(M279,Services!$B$5:$B$64,0)),0),IFERROR(INDEX(Properties!$X$5:$X$254,MATCH(J279,Properties!$A$5:$A$254,0)),0)))))</f>
        <v>0</v>
      </c>
      <c r="AE279" s="31">
        <f>IF(G279="","",IF(T279="",CleanersPerJob,MAX(1,T279)))</f>
        <v>0</v>
      </c>
      <c r="AF279" s="34">
        <f>IF(G279="","",ROUND(AD279/AE279,2))</f>
        <v>0</v>
      </c>
      <c r="AG279" s="53">
        <f>IF(OR(G279="",F279="",AF279=""),"",F279+AF279/24)</f>
        <v>0</v>
      </c>
      <c r="AH279" s="21">
        <f>IF(G279="","",IF(IFERROR(INDEX(Clients!$O$5:$O$204,MATCH(G279,Clients!$A$5:$A$204,0)),0)&gt;0,IFERROR(INDEX(Clients!$O$5:$O$204,MATCH(G279,Clients!$A$5:$A$204,0)),0),HourlyRate))</f>
        <v>0</v>
      </c>
      <c r="AI279" s="21">
        <f>IF(G279="","",IF(AND(M279&lt;&gt;"",IFERROR(INDEX(Services!$P$5:$P$64,MATCH(M279,Services!$B$5:$B$64,0)),0)&gt;0,IFERROR(INDEX(Services!$D$5:$D$64,MATCH(M279,Services!$B$5:$B$64,0)),"")&lt;&gt;"Per hour"),IFERROR(INDEX(Services!$P$5:$P$64,MATCH(M279,Services!$B$5:$B$64,0)),0),AD279*AH279))</f>
        <v>0</v>
      </c>
      <c r="AJ279" s="21">
        <f>IF(G279="","",IF(V279&lt;&gt;"",V279,IF(P279="Cancelled",0,MAX(MinimumCharge,ROUND(AI279*IFERROR(INDEX(FreqFactors,MATCH(O279,FreqNames,0)),1),2)))))</f>
        <v>0</v>
      </c>
      <c r="AK279" s="34">
        <f>IF(G279="","",IF(SUMIFS(Timesheets!$U$5:$U$804,Timesheets!$G$5:$G$804,A279)&gt;0,SUMIFS(Timesheets!$U$5:$U$804,Timesheets!$G$5:$G$804,A279),IF(Z279="","",Z279)))</f>
        <v>0</v>
      </c>
      <c r="AL279" s="34">
        <f>IF(OR(AK279="",AD279=""),"",AK279-AD279)</f>
        <v>0</v>
      </c>
      <c r="AM279" s="31">
        <f>IF(A279="","",COUNTIFS('Job Tasks'!$B$5:$B$904,A279))</f>
        <v>0</v>
      </c>
      <c r="AN279" s="31">
        <f>IF(A279="","",COUNTIFS('Job Tasks'!$B$5:$B$904,A279,'Job Tasks'!$H$5:$H$904,"Done"))</f>
        <v>0</v>
      </c>
      <c r="AO279" s="38">
        <f>IF(OR(A279="",AM279=0),"",AN279/AM279)</f>
        <v>0</v>
      </c>
      <c r="AP279" s="43">
        <f>IF(A279="","",IFERROR(INDEX('Invoice Lines'!$B$5:$B$804,MATCH(A279,'Invoice Lines'!$C$5:$C$804,0)),""))</f>
        <v>0</v>
      </c>
      <c r="AQ279" s="18">
        <f>IF(OR(G279="",B279="",X279&lt;&gt;"Yes"),"",IF(IFERROR(INDEX(FreqDays,MATCH(O279,FreqNames,0)),0)=0,"",B279+IFERROR(INDEX(FreqDays,MATCH(O279,FreqNames,0)),0)))</f>
        <v>0</v>
      </c>
      <c r="AR279" s="39">
        <f>IF(G279="","",IF(R279="","Unassigned",IF(COUNTIFS($R$5:$R$604,R279,$B$5:$B$604,B279,$F$5:$F$604,F279)&gt;1,"Clash",IF(SUMIFS($AF$5:$AF$604,$R$5:$R$604,R279,$B$5:$B$604,B279)&gt;ProductiveHours,"Long day","OK"))))</f>
        <v>0</v>
      </c>
      <c r="AS279" s="18">
        <f>IF(OR(G279="",B279=""),"",IF(AND(B279&gt;=TodayDate,P279&lt;&gt;"Cancelled"),B279,""))</f>
        <v>0</v>
      </c>
      <c r="AT279" s="31">
        <f>IF(AS279="","",COUNTIFS($AS$5:$AS$604,"&lt;"&amp;AS279)+COUNTIFS($AS$5:AS279,AS279))</f>
        <v>0</v>
      </c>
      <c r="AU279" s="18">
        <f>IF(OR(G279="",B279="",R279&lt;&gt;""),"",IF(AND(B279&gt;=TodayDate,P279&lt;&gt;"Cancelled"),B279,""))</f>
        <v>0</v>
      </c>
      <c r="AV279" s="31">
        <f>IF(AU279="","",COUNTIFS($AU$5:$AU$604,"&lt;"&amp;AU279)+COUNTIFS($AU$5:AU279,AU279))</f>
        <v>0</v>
      </c>
      <c r="AW279" s="31">
        <f>IF(OR(G279="",B279=""),"",B279-TodayDate)</f>
        <v>0</v>
      </c>
      <c r="AX279" s="39">
        <f>IF(G279="","",IF(P279="Cancelled","Cancelled",IF(P279="No access","Action - no access, rebook",IF(AND(B279&lt;&gt;"",AW279&lt;0,OR(P279="Booked",P279="Confirmed",P279="In progress")),"Late - mark it completed",IF(AND(P279="Completed",AP279=""),"Action - not invoiced yet",IF(AND(AW279&gt;=0,AW279&lt;=ReminderDays,Y279&lt;&gt;"Yes"),"Confirm - visit coming up",IF(R279="","Assign - no cleaner booked",IF(AND(P279="Completed",AO279&lt;&gt;"",AO279&lt;1),"Check - checklist unfinished","OK"))))))))</f>
        <v>0</v>
      </c>
    </row>
    <row r="280" spans="1:50">
      <c r="A280" s="43">
        <f>IF(G280="","",JobPrefix&amp;TEXT(ROW()-4,"0000"))</f>
        <v>0</v>
      </c>
      <c r="C280" s="23">
        <f>IF(B280="","",TEXT(B280,"ddd"))</f>
        <v>0</v>
      </c>
      <c r="D280" s="31">
        <f>IF(B280="","",WEEKNUM(B280,IF(WeekStart="Sunday",1,2)))</f>
        <v>0</v>
      </c>
      <c r="E280" s="23">
        <f>IF(B280="","",TEXT(B280,"yyyy-mm"))</f>
        <v>0</v>
      </c>
      <c r="H280" s="23">
        <f>IF(G280="","",IFERROR(INDEX(Clients!$B$5:$B$204,MATCH(G280,Clients!$A$5:$A$204,0)),"Not found"))</f>
        <v>0</v>
      </c>
      <c r="I280" s="23">
        <f>IF(G280="","",IFERROR(INDEX(Clients!$C$5:$C$204,MATCH(G280,Clients!$A$5:$A$204,0)),""))</f>
        <v>0</v>
      </c>
      <c r="K280" s="23">
        <f>IF(J280="","",IFERROR(INDEX(Properties!$B$5:$B$254,MATCH(J280,Properties!$A$5:$A$254,0)),""))</f>
        <v>0</v>
      </c>
      <c r="L280" s="23">
        <f>IF(J280="","",IFERROR(INDEX(Properties!$F$5:$F$254,MATCH(J280,Properties!$A$5:$A$254,0)),""))</f>
        <v>0</v>
      </c>
      <c r="AD280" s="34">
        <f>IF(G280="","",IF(U280&lt;&gt;"",U280,IF(AND(IFERROR(INDEX(Services!$D$5:$D$64,MATCH(M280,Services!$B$5:$B$64,0)),"")="Per hour",IFERROR(INDEX(Properties!$X$5:$X$254,MATCH(J280,Properties!$A$5:$A$254,0)),0)&gt;0),IFERROR(INDEX(Properties!$X$5:$X$254,MATCH(J280,Properties!$A$5:$A$254,0)),0),IF(IFERROR(INDEX(Services!$G$5:$G$64,MATCH(M280,Services!$B$5:$B$64,0)),0)&gt;0,IFERROR(INDEX(Services!$G$5:$G$64,MATCH(M280,Services!$B$5:$B$64,0)),0),IFERROR(INDEX(Properties!$X$5:$X$254,MATCH(J280,Properties!$A$5:$A$254,0)),0)))))</f>
        <v>0</v>
      </c>
      <c r="AE280" s="31">
        <f>IF(G280="","",IF(T280="",CleanersPerJob,MAX(1,T280)))</f>
        <v>0</v>
      </c>
      <c r="AF280" s="34">
        <f>IF(G280="","",ROUND(AD280/AE280,2))</f>
        <v>0</v>
      </c>
      <c r="AG280" s="53">
        <f>IF(OR(G280="",F280="",AF280=""),"",F280+AF280/24)</f>
        <v>0</v>
      </c>
      <c r="AH280" s="21">
        <f>IF(G280="","",IF(IFERROR(INDEX(Clients!$O$5:$O$204,MATCH(G280,Clients!$A$5:$A$204,0)),0)&gt;0,IFERROR(INDEX(Clients!$O$5:$O$204,MATCH(G280,Clients!$A$5:$A$204,0)),0),HourlyRate))</f>
        <v>0</v>
      </c>
      <c r="AI280" s="21">
        <f>IF(G280="","",IF(AND(M280&lt;&gt;"",IFERROR(INDEX(Services!$P$5:$P$64,MATCH(M280,Services!$B$5:$B$64,0)),0)&gt;0,IFERROR(INDEX(Services!$D$5:$D$64,MATCH(M280,Services!$B$5:$B$64,0)),"")&lt;&gt;"Per hour"),IFERROR(INDEX(Services!$P$5:$P$64,MATCH(M280,Services!$B$5:$B$64,0)),0),AD280*AH280))</f>
        <v>0</v>
      </c>
      <c r="AJ280" s="21">
        <f>IF(G280="","",IF(V280&lt;&gt;"",V280,IF(P280="Cancelled",0,MAX(MinimumCharge,ROUND(AI280*IFERROR(INDEX(FreqFactors,MATCH(O280,FreqNames,0)),1),2)))))</f>
        <v>0</v>
      </c>
      <c r="AK280" s="34">
        <f>IF(G280="","",IF(SUMIFS(Timesheets!$U$5:$U$804,Timesheets!$G$5:$G$804,A280)&gt;0,SUMIFS(Timesheets!$U$5:$U$804,Timesheets!$G$5:$G$804,A280),IF(Z280="","",Z280)))</f>
        <v>0</v>
      </c>
      <c r="AL280" s="34">
        <f>IF(OR(AK280="",AD280=""),"",AK280-AD280)</f>
        <v>0</v>
      </c>
      <c r="AM280" s="31">
        <f>IF(A280="","",COUNTIFS('Job Tasks'!$B$5:$B$904,A280))</f>
        <v>0</v>
      </c>
      <c r="AN280" s="31">
        <f>IF(A280="","",COUNTIFS('Job Tasks'!$B$5:$B$904,A280,'Job Tasks'!$H$5:$H$904,"Done"))</f>
        <v>0</v>
      </c>
      <c r="AO280" s="38">
        <f>IF(OR(A280="",AM280=0),"",AN280/AM280)</f>
        <v>0</v>
      </c>
      <c r="AP280" s="43">
        <f>IF(A280="","",IFERROR(INDEX('Invoice Lines'!$B$5:$B$804,MATCH(A280,'Invoice Lines'!$C$5:$C$804,0)),""))</f>
        <v>0</v>
      </c>
      <c r="AQ280" s="18">
        <f>IF(OR(G280="",B280="",X280&lt;&gt;"Yes"),"",IF(IFERROR(INDEX(FreqDays,MATCH(O280,FreqNames,0)),0)=0,"",B280+IFERROR(INDEX(FreqDays,MATCH(O280,FreqNames,0)),0)))</f>
        <v>0</v>
      </c>
      <c r="AR280" s="39">
        <f>IF(G280="","",IF(R280="","Unassigned",IF(COUNTIFS($R$5:$R$604,R280,$B$5:$B$604,B280,$F$5:$F$604,F280)&gt;1,"Clash",IF(SUMIFS($AF$5:$AF$604,$R$5:$R$604,R280,$B$5:$B$604,B280)&gt;ProductiveHours,"Long day","OK"))))</f>
        <v>0</v>
      </c>
      <c r="AS280" s="18">
        <f>IF(OR(G280="",B280=""),"",IF(AND(B280&gt;=TodayDate,P280&lt;&gt;"Cancelled"),B280,""))</f>
        <v>0</v>
      </c>
      <c r="AT280" s="31">
        <f>IF(AS280="","",COUNTIFS($AS$5:$AS$604,"&lt;"&amp;AS280)+COUNTIFS($AS$5:AS280,AS280))</f>
        <v>0</v>
      </c>
      <c r="AU280" s="18">
        <f>IF(OR(G280="",B280="",R280&lt;&gt;""),"",IF(AND(B280&gt;=TodayDate,P280&lt;&gt;"Cancelled"),B280,""))</f>
        <v>0</v>
      </c>
      <c r="AV280" s="31">
        <f>IF(AU280="","",COUNTIFS($AU$5:$AU$604,"&lt;"&amp;AU280)+COUNTIFS($AU$5:AU280,AU280))</f>
        <v>0</v>
      </c>
      <c r="AW280" s="31">
        <f>IF(OR(G280="",B280=""),"",B280-TodayDate)</f>
        <v>0</v>
      </c>
      <c r="AX280" s="39">
        <f>IF(G280="","",IF(P280="Cancelled","Cancelled",IF(P280="No access","Action - no access, rebook",IF(AND(B280&lt;&gt;"",AW280&lt;0,OR(P280="Booked",P280="Confirmed",P280="In progress")),"Late - mark it completed",IF(AND(P280="Completed",AP280=""),"Action - not invoiced yet",IF(AND(AW280&gt;=0,AW280&lt;=ReminderDays,Y280&lt;&gt;"Yes"),"Confirm - visit coming up",IF(R280="","Assign - no cleaner booked",IF(AND(P280="Completed",AO280&lt;&gt;"",AO280&lt;1),"Check - checklist unfinished","OK"))))))))</f>
        <v>0</v>
      </c>
    </row>
    <row r="281" spans="1:50">
      <c r="A281" s="43">
        <f>IF(G281="","",JobPrefix&amp;TEXT(ROW()-4,"0000"))</f>
        <v>0</v>
      </c>
      <c r="C281" s="23">
        <f>IF(B281="","",TEXT(B281,"ddd"))</f>
        <v>0</v>
      </c>
      <c r="D281" s="31">
        <f>IF(B281="","",WEEKNUM(B281,IF(WeekStart="Sunday",1,2)))</f>
        <v>0</v>
      </c>
      <c r="E281" s="23">
        <f>IF(B281="","",TEXT(B281,"yyyy-mm"))</f>
        <v>0</v>
      </c>
      <c r="H281" s="23">
        <f>IF(G281="","",IFERROR(INDEX(Clients!$B$5:$B$204,MATCH(G281,Clients!$A$5:$A$204,0)),"Not found"))</f>
        <v>0</v>
      </c>
      <c r="I281" s="23">
        <f>IF(G281="","",IFERROR(INDEX(Clients!$C$5:$C$204,MATCH(G281,Clients!$A$5:$A$204,0)),""))</f>
        <v>0</v>
      </c>
      <c r="K281" s="23">
        <f>IF(J281="","",IFERROR(INDEX(Properties!$B$5:$B$254,MATCH(J281,Properties!$A$5:$A$254,0)),""))</f>
        <v>0</v>
      </c>
      <c r="L281" s="23">
        <f>IF(J281="","",IFERROR(INDEX(Properties!$F$5:$F$254,MATCH(J281,Properties!$A$5:$A$254,0)),""))</f>
        <v>0</v>
      </c>
      <c r="AD281" s="34">
        <f>IF(G281="","",IF(U281&lt;&gt;"",U281,IF(AND(IFERROR(INDEX(Services!$D$5:$D$64,MATCH(M281,Services!$B$5:$B$64,0)),"")="Per hour",IFERROR(INDEX(Properties!$X$5:$X$254,MATCH(J281,Properties!$A$5:$A$254,0)),0)&gt;0),IFERROR(INDEX(Properties!$X$5:$X$254,MATCH(J281,Properties!$A$5:$A$254,0)),0),IF(IFERROR(INDEX(Services!$G$5:$G$64,MATCH(M281,Services!$B$5:$B$64,0)),0)&gt;0,IFERROR(INDEX(Services!$G$5:$G$64,MATCH(M281,Services!$B$5:$B$64,0)),0),IFERROR(INDEX(Properties!$X$5:$X$254,MATCH(J281,Properties!$A$5:$A$254,0)),0)))))</f>
        <v>0</v>
      </c>
      <c r="AE281" s="31">
        <f>IF(G281="","",IF(T281="",CleanersPerJob,MAX(1,T281)))</f>
        <v>0</v>
      </c>
      <c r="AF281" s="34">
        <f>IF(G281="","",ROUND(AD281/AE281,2))</f>
        <v>0</v>
      </c>
      <c r="AG281" s="53">
        <f>IF(OR(G281="",F281="",AF281=""),"",F281+AF281/24)</f>
        <v>0</v>
      </c>
      <c r="AH281" s="21">
        <f>IF(G281="","",IF(IFERROR(INDEX(Clients!$O$5:$O$204,MATCH(G281,Clients!$A$5:$A$204,0)),0)&gt;0,IFERROR(INDEX(Clients!$O$5:$O$204,MATCH(G281,Clients!$A$5:$A$204,0)),0),HourlyRate))</f>
        <v>0</v>
      </c>
      <c r="AI281" s="21">
        <f>IF(G281="","",IF(AND(M281&lt;&gt;"",IFERROR(INDEX(Services!$P$5:$P$64,MATCH(M281,Services!$B$5:$B$64,0)),0)&gt;0,IFERROR(INDEX(Services!$D$5:$D$64,MATCH(M281,Services!$B$5:$B$64,0)),"")&lt;&gt;"Per hour"),IFERROR(INDEX(Services!$P$5:$P$64,MATCH(M281,Services!$B$5:$B$64,0)),0),AD281*AH281))</f>
        <v>0</v>
      </c>
      <c r="AJ281" s="21">
        <f>IF(G281="","",IF(V281&lt;&gt;"",V281,IF(P281="Cancelled",0,MAX(MinimumCharge,ROUND(AI281*IFERROR(INDEX(FreqFactors,MATCH(O281,FreqNames,0)),1),2)))))</f>
        <v>0</v>
      </c>
      <c r="AK281" s="34">
        <f>IF(G281="","",IF(SUMIFS(Timesheets!$U$5:$U$804,Timesheets!$G$5:$G$804,A281)&gt;0,SUMIFS(Timesheets!$U$5:$U$804,Timesheets!$G$5:$G$804,A281),IF(Z281="","",Z281)))</f>
        <v>0</v>
      </c>
      <c r="AL281" s="34">
        <f>IF(OR(AK281="",AD281=""),"",AK281-AD281)</f>
        <v>0</v>
      </c>
      <c r="AM281" s="31">
        <f>IF(A281="","",COUNTIFS('Job Tasks'!$B$5:$B$904,A281))</f>
        <v>0</v>
      </c>
      <c r="AN281" s="31">
        <f>IF(A281="","",COUNTIFS('Job Tasks'!$B$5:$B$904,A281,'Job Tasks'!$H$5:$H$904,"Done"))</f>
        <v>0</v>
      </c>
      <c r="AO281" s="38">
        <f>IF(OR(A281="",AM281=0),"",AN281/AM281)</f>
        <v>0</v>
      </c>
      <c r="AP281" s="43">
        <f>IF(A281="","",IFERROR(INDEX('Invoice Lines'!$B$5:$B$804,MATCH(A281,'Invoice Lines'!$C$5:$C$804,0)),""))</f>
        <v>0</v>
      </c>
      <c r="AQ281" s="18">
        <f>IF(OR(G281="",B281="",X281&lt;&gt;"Yes"),"",IF(IFERROR(INDEX(FreqDays,MATCH(O281,FreqNames,0)),0)=0,"",B281+IFERROR(INDEX(FreqDays,MATCH(O281,FreqNames,0)),0)))</f>
        <v>0</v>
      </c>
      <c r="AR281" s="39">
        <f>IF(G281="","",IF(R281="","Unassigned",IF(COUNTIFS($R$5:$R$604,R281,$B$5:$B$604,B281,$F$5:$F$604,F281)&gt;1,"Clash",IF(SUMIFS($AF$5:$AF$604,$R$5:$R$604,R281,$B$5:$B$604,B281)&gt;ProductiveHours,"Long day","OK"))))</f>
        <v>0</v>
      </c>
      <c r="AS281" s="18">
        <f>IF(OR(G281="",B281=""),"",IF(AND(B281&gt;=TodayDate,P281&lt;&gt;"Cancelled"),B281,""))</f>
        <v>0</v>
      </c>
      <c r="AT281" s="31">
        <f>IF(AS281="","",COUNTIFS($AS$5:$AS$604,"&lt;"&amp;AS281)+COUNTIFS($AS$5:AS281,AS281))</f>
        <v>0</v>
      </c>
      <c r="AU281" s="18">
        <f>IF(OR(G281="",B281="",R281&lt;&gt;""),"",IF(AND(B281&gt;=TodayDate,P281&lt;&gt;"Cancelled"),B281,""))</f>
        <v>0</v>
      </c>
      <c r="AV281" s="31">
        <f>IF(AU281="","",COUNTIFS($AU$5:$AU$604,"&lt;"&amp;AU281)+COUNTIFS($AU$5:AU281,AU281))</f>
        <v>0</v>
      </c>
      <c r="AW281" s="31">
        <f>IF(OR(G281="",B281=""),"",B281-TodayDate)</f>
        <v>0</v>
      </c>
      <c r="AX281" s="39">
        <f>IF(G281="","",IF(P281="Cancelled","Cancelled",IF(P281="No access","Action - no access, rebook",IF(AND(B281&lt;&gt;"",AW281&lt;0,OR(P281="Booked",P281="Confirmed",P281="In progress")),"Late - mark it completed",IF(AND(P281="Completed",AP281=""),"Action - not invoiced yet",IF(AND(AW281&gt;=0,AW281&lt;=ReminderDays,Y281&lt;&gt;"Yes"),"Confirm - visit coming up",IF(R281="","Assign - no cleaner booked",IF(AND(P281="Completed",AO281&lt;&gt;"",AO281&lt;1),"Check - checklist unfinished","OK"))))))))</f>
        <v>0</v>
      </c>
    </row>
    <row r="282" spans="1:50">
      <c r="A282" s="43">
        <f>IF(G282="","",JobPrefix&amp;TEXT(ROW()-4,"0000"))</f>
        <v>0</v>
      </c>
      <c r="C282" s="23">
        <f>IF(B282="","",TEXT(B282,"ddd"))</f>
        <v>0</v>
      </c>
      <c r="D282" s="31">
        <f>IF(B282="","",WEEKNUM(B282,IF(WeekStart="Sunday",1,2)))</f>
        <v>0</v>
      </c>
      <c r="E282" s="23">
        <f>IF(B282="","",TEXT(B282,"yyyy-mm"))</f>
        <v>0</v>
      </c>
      <c r="H282" s="23">
        <f>IF(G282="","",IFERROR(INDEX(Clients!$B$5:$B$204,MATCH(G282,Clients!$A$5:$A$204,0)),"Not found"))</f>
        <v>0</v>
      </c>
      <c r="I282" s="23">
        <f>IF(G282="","",IFERROR(INDEX(Clients!$C$5:$C$204,MATCH(G282,Clients!$A$5:$A$204,0)),""))</f>
        <v>0</v>
      </c>
      <c r="K282" s="23">
        <f>IF(J282="","",IFERROR(INDEX(Properties!$B$5:$B$254,MATCH(J282,Properties!$A$5:$A$254,0)),""))</f>
        <v>0</v>
      </c>
      <c r="L282" s="23">
        <f>IF(J282="","",IFERROR(INDEX(Properties!$F$5:$F$254,MATCH(J282,Properties!$A$5:$A$254,0)),""))</f>
        <v>0</v>
      </c>
      <c r="AD282" s="34">
        <f>IF(G282="","",IF(U282&lt;&gt;"",U282,IF(AND(IFERROR(INDEX(Services!$D$5:$D$64,MATCH(M282,Services!$B$5:$B$64,0)),"")="Per hour",IFERROR(INDEX(Properties!$X$5:$X$254,MATCH(J282,Properties!$A$5:$A$254,0)),0)&gt;0),IFERROR(INDEX(Properties!$X$5:$X$254,MATCH(J282,Properties!$A$5:$A$254,0)),0),IF(IFERROR(INDEX(Services!$G$5:$G$64,MATCH(M282,Services!$B$5:$B$64,0)),0)&gt;0,IFERROR(INDEX(Services!$G$5:$G$64,MATCH(M282,Services!$B$5:$B$64,0)),0),IFERROR(INDEX(Properties!$X$5:$X$254,MATCH(J282,Properties!$A$5:$A$254,0)),0)))))</f>
        <v>0</v>
      </c>
      <c r="AE282" s="31">
        <f>IF(G282="","",IF(T282="",CleanersPerJob,MAX(1,T282)))</f>
        <v>0</v>
      </c>
      <c r="AF282" s="34">
        <f>IF(G282="","",ROUND(AD282/AE282,2))</f>
        <v>0</v>
      </c>
      <c r="AG282" s="53">
        <f>IF(OR(G282="",F282="",AF282=""),"",F282+AF282/24)</f>
        <v>0</v>
      </c>
      <c r="AH282" s="21">
        <f>IF(G282="","",IF(IFERROR(INDEX(Clients!$O$5:$O$204,MATCH(G282,Clients!$A$5:$A$204,0)),0)&gt;0,IFERROR(INDEX(Clients!$O$5:$O$204,MATCH(G282,Clients!$A$5:$A$204,0)),0),HourlyRate))</f>
        <v>0</v>
      </c>
      <c r="AI282" s="21">
        <f>IF(G282="","",IF(AND(M282&lt;&gt;"",IFERROR(INDEX(Services!$P$5:$P$64,MATCH(M282,Services!$B$5:$B$64,0)),0)&gt;0,IFERROR(INDEX(Services!$D$5:$D$64,MATCH(M282,Services!$B$5:$B$64,0)),"")&lt;&gt;"Per hour"),IFERROR(INDEX(Services!$P$5:$P$64,MATCH(M282,Services!$B$5:$B$64,0)),0),AD282*AH282))</f>
        <v>0</v>
      </c>
      <c r="AJ282" s="21">
        <f>IF(G282="","",IF(V282&lt;&gt;"",V282,IF(P282="Cancelled",0,MAX(MinimumCharge,ROUND(AI282*IFERROR(INDEX(FreqFactors,MATCH(O282,FreqNames,0)),1),2)))))</f>
        <v>0</v>
      </c>
      <c r="AK282" s="34">
        <f>IF(G282="","",IF(SUMIFS(Timesheets!$U$5:$U$804,Timesheets!$G$5:$G$804,A282)&gt;0,SUMIFS(Timesheets!$U$5:$U$804,Timesheets!$G$5:$G$804,A282),IF(Z282="","",Z282)))</f>
        <v>0</v>
      </c>
      <c r="AL282" s="34">
        <f>IF(OR(AK282="",AD282=""),"",AK282-AD282)</f>
        <v>0</v>
      </c>
      <c r="AM282" s="31">
        <f>IF(A282="","",COUNTIFS('Job Tasks'!$B$5:$B$904,A282))</f>
        <v>0</v>
      </c>
      <c r="AN282" s="31">
        <f>IF(A282="","",COUNTIFS('Job Tasks'!$B$5:$B$904,A282,'Job Tasks'!$H$5:$H$904,"Done"))</f>
        <v>0</v>
      </c>
      <c r="AO282" s="38">
        <f>IF(OR(A282="",AM282=0),"",AN282/AM282)</f>
        <v>0</v>
      </c>
      <c r="AP282" s="43">
        <f>IF(A282="","",IFERROR(INDEX('Invoice Lines'!$B$5:$B$804,MATCH(A282,'Invoice Lines'!$C$5:$C$804,0)),""))</f>
        <v>0</v>
      </c>
      <c r="AQ282" s="18">
        <f>IF(OR(G282="",B282="",X282&lt;&gt;"Yes"),"",IF(IFERROR(INDEX(FreqDays,MATCH(O282,FreqNames,0)),0)=0,"",B282+IFERROR(INDEX(FreqDays,MATCH(O282,FreqNames,0)),0)))</f>
        <v>0</v>
      </c>
      <c r="AR282" s="39">
        <f>IF(G282="","",IF(R282="","Unassigned",IF(COUNTIFS($R$5:$R$604,R282,$B$5:$B$604,B282,$F$5:$F$604,F282)&gt;1,"Clash",IF(SUMIFS($AF$5:$AF$604,$R$5:$R$604,R282,$B$5:$B$604,B282)&gt;ProductiveHours,"Long day","OK"))))</f>
        <v>0</v>
      </c>
      <c r="AS282" s="18">
        <f>IF(OR(G282="",B282=""),"",IF(AND(B282&gt;=TodayDate,P282&lt;&gt;"Cancelled"),B282,""))</f>
        <v>0</v>
      </c>
      <c r="AT282" s="31">
        <f>IF(AS282="","",COUNTIFS($AS$5:$AS$604,"&lt;"&amp;AS282)+COUNTIFS($AS$5:AS282,AS282))</f>
        <v>0</v>
      </c>
      <c r="AU282" s="18">
        <f>IF(OR(G282="",B282="",R282&lt;&gt;""),"",IF(AND(B282&gt;=TodayDate,P282&lt;&gt;"Cancelled"),B282,""))</f>
        <v>0</v>
      </c>
      <c r="AV282" s="31">
        <f>IF(AU282="","",COUNTIFS($AU$5:$AU$604,"&lt;"&amp;AU282)+COUNTIFS($AU$5:AU282,AU282))</f>
        <v>0</v>
      </c>
      <c r="AW282" s="31">
        <f>IF(OR(G282="",B282=""),"",B282-TodayDate)</f>
        <v>0</v>
      </c>
      <c r="AX282" s="39">
        <f>IF(G282="","",IF(P282="Cancelled","Cancelled",IF(P282="No access","Action - no access, rebook",IF(AND(B282&lt;&gt;"",AW282&lt;0,OR(P282="Booked",P282="Confirmed",P282="In progress")),"Late - mark it completed",IF(AND(P282="Completed",AP282=""),"Action - not invoiced yet",IF(AND(AW282&gt;=0,AW282&lt;=ReminderDays,Y282&lt;&gt;"Yes"),"Confirm - visit coming up",IF(R282="","Assign - no cleaner booked",IF(AND(P282="Completed",AO282&lt;&gt;"",AO282&lt;1),"Check - checklist unfinished","OK"))))))))</f>
        <v>0</v>
      </c>
    </row>
    <row r="283" spans="1:50">
      <c r="A283" s="43">
        <f>IF(G283="","",JobPrefix&amp;TEXT(ROW()-4,"0000"))</f>
        <v>0</v>
      </c>
      <c r="C283" s="23">
        <f>IF(B283="","",TEXT(B283,"ddd"))</f>
        <v>0</v>
      </c>
      <c r="D283" s="31">
        <f>IF(B283="","",WEEKNUM(B283,IF(WeekStart="Sunday",1,2)))</f>
        <v>0</v>
      </c>
      <c r="E283" s="23">
        <f>IF(B283="","",TEXT(B283,"yyyy-mm"))</f>
        <v>0</v>
      </c>
      <c r="H283" s="23">
        <f>IF(G283="","",IFERROR(INDEX(Clients!$B$5:$B$204,MATCH(G283,Clients!$A$5:$A$204,0)),"Not found"))</f>
        <v>0</v>
      </c>
      <c r="I283" s="23">
        <f>IF(G283="","",IFERROR(INDEX(Clients!$C$5:$C$204,MATCH(G283,Clients!$A$5:$A$204,0)),""))</f>
        <v>0</v>
      </c>
      <c r="K283" s="23">
        <f>IF(J283="","",IFERROR(INDEX(Properties!$B$5:$B$254,MATCH(J283,Properties!$A$5:$A$254,0)),""))</f>
        <v>0</v>
      </c>
      <c r="L283" s="23">
        <f>IF(J283="","",IFERROR(INDEX(Properties!$F$5:$F$254,MATCH(J283,Properties!$A$5:$A$254,0)),""))</f>
        <v>0</v>
      </c>
      <c r="AD283" s="34">
        <f>IF(G283="","",IF(U283&lt;&gt;"",U283,IF(AND(IFERROR(INDEX(Services!$D$5:$D$64,MATCH(M283,Services!$B$5:$B$64,0)),"")="Per hour",IFERROR(INDEX(Properties!$X$5:$X$254,MATCH(J283,Properties!$A$5:$A$254,0)),0)&gt;0),IFERROR(INDEX(Properties!$X$5:$X$254,MATCH(J283,Properties!$A$5:$A$254,0)),0),IF(IFERROR(INDEX(Services!$G$5:$G$64,MATCH(M283,Services!$B$5:$B$64,0)),0)&gt;0,IFERROR(INDEX(Services!$G$5:$G$64,MATCH(M283,Services!$B$5:$B$64,0)),0),IFERROR(INDEX(Properties!$X$5:$X$254,MATCH(J283,Properties!$A$5:$A$254,0)),0)))))</f>
        <v>0</v>
      </c>
      <c r="AE283" s="31">
        <f>IF(G283="","",IF(T283="",CleanersPerJob,MAX(1,T283)))</f>
        <v>0</v>
      </c>
      <c r="AF283" s="34">
        <f>IF(G283="","",ROUND(AD283/AE283,2))</f>
        <v>0</v>
      </c>
      <c r="AG283" s="53">
        <f>IF(OR(G283="",F283="",AF283=""),"",F283+AF283/24)</f>
        <v>0</v>
      </c>
      <c r="AH283" s="21">
        <f>IF(G283="","",IF(IFERROR(INDEX(Clients!$O$5:$O$204,MATCH(G283,Clients!$A$5:$A$204,0)),0)&gt;0,IFERROR(INDEX(Clients!$O$5:$O$204,MATCH(G283,Clients!$A$5:$A$204,0)),0),HourlyRate))</f>
        <v>0</v>
      </c>
      <c r="AI283" s="21">
        <f>IF(G283="","",IF(AND(M283&lt;&gt;"",IFERROR(INDEX(Services!$P$5:$P$64,MATCH(M283,Services!$B$5:$B$64,0)),0)&gt;0,IFERROR(INDEX(Services!$D$5:$D$64,MATCH(M283,Services!$B$5:$B$64,0)),"")&lt;&gt;"Per hour"),IFERROR(INDEX(Services!$P$5:$P$64,MATCH(M283,Services!$B$5:$B$64,0)),0),AD283*AH283))</f>
        <v>0</v>
      </c>
      <c r="AJ283" s="21">
        <f>IF(G283="","",IF(V283&lt;&gt;"",V283,IF(P283="Cancelled",0,MAX(MinimumCharge,ROUND(AI283*IFERROR(INDEX(FreqFactors,MATCH(O283,FreqNames,0)),1),2)))))</f>
        <v>0</v>
      </c>
      <c r="AK283" s="34">
        <f>IF(G283="","",IF(SUMIFS(Timesheets!$U$5:$U$804,Timesheets!$G$5:$G$804,A283)&gt;0,SUMIFS(Timesheets!$U$5:$U$804,Timesheets!$G$5:$G$804,A283),IF(Z283="","",Z283)))</f>
        <v>0</v>
      </c>
      <c r="AL283" s="34">
        <f>IF(OR(AK283="",AD283=""),"",AK283-AD283)</f>
        <v>0</v>
      </c>
      <c r="AM283" s="31">
        <f>IF(A283="","",COUNTIFS('Job Tasks'!$B$5:$B$904,A283))</f>
        <v>0</v>
      </c>
      <c r="AN283" s="31">
        <f>IF(A283="","",COUNTIFS('Job Tasks'!$B$5:$B$904,A283,'Job Tasks'!$H$5:$H$904,"Done"))</f>
        <v>0</v>
      </c>
      <c r="AO283" s="38">
        <f>IF(OR(A283="",AM283=0),"",AN283/AM283)</f>
        <v>0</v>
      </c>
      <c r="AP283" s="43">
        <f>IF(A283="","",IFERROR(INDEX('Invoice Lines'!$B$5:$B$804,MATCH(A283,'Invoice Lines'!$C$5:$C$804,0)),""))</f>
        <v>0</v>
      </c>
      <c r="AQ283" s="18">
        <f>IF(OR(G283="",B283="",X283&lt;&gt;"Yes"),"",IF(IFERROR(INDEX(FreqDays,MATCH(O283,FreqNames,0)),0)=0,"",B283+IFERROR(INDEX(FreqDays,MATCH(O283,FreqNames,0)),0)))</f>
        <v>0</v>
      </c>
      <c r="AR283" s="39">
        <f>IF(G283="","",IF(R283="","Unassigned",IF(COUNTIFS($R$5:$R$604,R283,$B$5:$B$604,B283,$F$5:$F$604,F283)&gt;1,"Clash",IF(SUMIFS($AF$5:$AF$604,$R$5:$R$604,R283,$B$5:$B$604,B283)&gt;ProductiveHours,"Long day","OK"))))</f>
        <v>0</v>
      </c>
      <c r="AS283" s="18">
        <f>IF(OR(G283="",B283=""),"",IF(AND(B283&gt;=TodayDate,P283&lt;&gt;"Cancelled"),B283,""))</f>
        <v>0</v>
      </c>
      <c r="AT283" s="31">
        <f>IF(AS283="","",COUNTIFS($AS$5:$AS$604,"&lt;"&amp;AS283)+COUNTIFS($AS$5:AS283,AS283))</f>
        <v>0</v>
      </c>
      <c r="AU283" s="18">
        <f>IF(OR(G283="",B283="",R283&lt;&gt;""),"",IF(AND(B283&gt;=TodayDate,P283&lt;&gt;"Cancelled"),B283,""))</f>
        <v>0</v>
      </c>
      <c r="AV283" s="31">
        <f>IF(AU283="","",COUNTIFS($AU$5:$AU$604,"&lt;"&amp;AU283)+COUNTIFS($AU$5:AU283,AU283))</f>
        <v>0</v>
      </c>
      <c r="AW283" s="31">
        <f>IF(OR(G283="",B283=""),"",B283-TodayDate)</f>
        <v>0</v>
      </c>
      <c r="AX283" s="39">
        <f>IF(G283="","",IF(P283="Cancelled","Cancelled",IF(P283="No access","Action - no access, rebook",IF(AND(B283&lt;&gt;"",AW283&lt;0,OR(P283="Booked",P283="Confirmed",P283="In progress")),"Late - mark it completed",IF(AND(P283="Completed",AP283=""),"Action - not invoiced yet",IF(AND(AW283&gt;=0,AW283&lt;=ReminderDays,Y283&lt;&gt;"Yes"),"Confirm - visit coming up",IF(R283="","Assign - no cleaner booked",IF(AND(P283="Completed",AO283&lt;&gt;"",AO283&lt;1),"Check - checklist unfinished","OK"))))))))</f>
        <v>0</v>
      </c>
    </row>
    <row r="284" spans="1:50">
      <c r="A284" s="43">
        <f>IF(G284="","",JobPrefix&amp;TEXT(ROW()-4,"0000"))</f>
        <v>0</v>
      </c>
      <c r="C284" s="23">
        <f>IF(B284="","",TEXT(B284,"ddd"))</f>
        <v>0</v>
      </c>
      <c r="D284" s="31">
        <f>IF(B284="","",WEEKNUM(B284,IF(WeekStart="Sunday",1,2)))</f>
        <v>0</v>
      </c>
      <c r="E284" s="23">
        <f>IF(B284="","",TEXT(B284,"yyyy-mm"))</f>
        <v>0</v>
      </c>
      <c r="H284" s="23">
        <f>IF(G284="","",IFERROR(INDEX(Clients!$B$5:$B$204,MATCH(G284,Clients!$A$5:$A$204,0)),"Not found"))</f>
        <v>0</v>
      </c>
      <c r="I284" s="23">
        <f>IF(G284="","",IFERROR(INDEX(Clients!$C$5:$C$204,MATCH(G284,Clients!$A$5:$A$204,0)),""))</f>
        <v>0</v>
      </c>
      <c r="K284" s="23">
        <f>IF(J284="","",IFERROR(INDEX(Properties!$B$5:$B$254,MATCH(J284,Properties!$A$5:$A$254,0)),""))</f>
        <v>0</v>
      </c>
      <c r="L284" s="23">
        <f>IF(J284="","",IFERROR(INDEX(Properties!$F$5:$F$254,MATCH(J284,Properties!$A$5:$A$254,0)),""))</f>
        <v>0</v>
      </c>
      <c r="AD284" s="34">
        <f>IF(G284="","",IF(U284&lt;&gt;"",U284,IF(AND(IFERROR(INDEX(Services!$D$5:$D$64,MATCH(M284,Services!$B$5:$B$64,0)),"")="Per hour",IFERROR(INDEX(Properties!$X$5:$X$254,MATCH(J284,Properties!$A$5:$A$254,0)),0)&gt;0),IFERROR(INDEX(Properties!$X$5:$X$254,MATCH(J284,Properties!$A$5:$A$254,0)),0),IF(IFERROR(INDEX(Services!$G$5:$G$64,MATCH(M284,Services!$B$5:$B$64,0)),0)&gt;0,IFERROR(INDEX(Services!$G$5:$G$64,MATCH(M284,Services!$B$5:$B$64,0)),0),IFERROR(INDEX(Properties!$X$5:$X$254,MATCH(J284,Properties!$A$5:$A$254,0)),0)))))</f>
        <v>0</v>
      </c>
      <c r="AE284" s="31">
        <f>IF(G284="","",IF(T284="",CleanersPerJob,MAX(1,T284)))</f>
        <v>0</v>
      </c>
      <c r="AF284" s="34">
        <f>IF(G284="","",ROUND(AD284/AE284,2))</f>
        <v>0</v>
      </c>
      <c r="AG284" s="53">
        <f>IF(OR(G284="",F284="",AF284=""),"",F284+AF284/24)</f>
        <v>0</v>
      </c>
      <c r="AH284" s="21">
        <f>IF(G284="","",IF(IFERROR(INDEX(Clients!$O$5:$O$204,MATCH(G284,Clients!$A$5:$A$204,0)),0)&gt;0,IFERROR(INDEX(Clients!$O$5:$O$204,MATCH(G284,Clients!$A$5:$A$204,0)),0),HourlyRate))</f>
        <v>0</v>
      </c>
      <c r="AI284" s="21">
        <f>IF(G284="","",IF(AND(M284&lt;&gt;"",IFERROR(INDEX(Services!$P$5:$P$64,MATCH(M284,Services!$B$5:$B$64,0)),0)&gt;0,IFERROR(INDEX(Services!$D$5:$D$64,MATCH(M284,Services!$B$5:$B$64,0)),"")&lt;&gt;"Per hour"),IFERROR(INDEX(Services!$P$5:$P$64,MATCH(M284,Services!$B$5:$B$64,0)),0),AD284*AH284))</f>
        <v>0</v>
      </c>
      <c r="AJ284" s="21">
        <f>IF(G284="","",IF(V284&lt;&gt;"",V284,IF(P284="Cancelled",0,MAX(MinimumCharge,ROUND(AI284*IFERROR(INDEX(FreqFactors,MATCH(O284,FreqNames,0)),1),2)))))</f>
        <v>0</v>
      </c>
      <c r="AK284" s="34">
        <f>IF(G284="","",IF(SUMIFS(Timesheets!$U$5:$U$804,Timesheets!$G$5:$G$804,A284)&gt;0,SUMIFS(Timesheets!$U$5:$U$804,Timesheets!$G$5:$G$804,A284),IF(Z284="","",Z284)))</f>
        <v>0</v>
      </c>
      <c r="AL284" s="34">
        <f>IF(OR(AK284="",AD284=""),"",AK284-AD284)</f>
        <v>0</v>
      </c>
      <c r="AM284" s="31">
        <f>IF(A284="","",COUNTIFS('Job Tasks'!$B$5:$B$904,A284))</f>
        <v>0</v>
      </c>
      <c r="AN284" s="31">
        <f>IF(A284="","",COUNTIFS('Job Tasks'!$B$5:$B$904,A284,'Job Tasks'!$H$5:$H$904,"Done"))</f>
        <v>0</v>
      </c>
      <c r="AO284" s="38">
        <f>IF(OR(A284="",AM284=0),"",AN284/AM284)</f>
        <v>0</v>
      </c>
      <c r="AP284" s="43">
        <f>IF(A284="","",IFERROR(INDEX('Invoice Lines'!$B$5:$B$804,MATCH(A284,'Invoice Lines'!$C$5:$C$804,0)),""))</f>
        <v>0</v>
      </c>
      <c r="AQ284" s="18">
        <f>IF(OR(G284="",B284="",X284&lt;&gt;"Yes"),"",IF(IFERROR(INDEX(FreqDays,MATCH(O284,FreqNames,0)),0)=0,"",B284+IFERROR(INDEX(FreqDays,MATCH(O284,FreqNames,0)),0)))</f>
        <v>0</v>
      </c>
      <c r="AR284" s="39">
        <f>IF(G284="","",IF(R284="","Unassigned",IF(COUNTIFS($R$5:$R$604,R284,$B$5:$B$604,B284,$F$5:$F$604,F284)&gt;1,"Clash",IF(SUMIFS($AF$5:$AF$604,$R$5:$R$604,R284,$B$5:$B$604,B284)&gt;ProductiveHours,"Long day","OK"))))</f>
        <v>0</v>
      </c>
      <c r="AS284" s="18">
        <f>IF(OR(G284="",B284=""),"",IF(AND(B284&gt;=TodayDate,P284&lt;&gt;"Cancelled"),B284,""))</f>
        <v>0</v>
      </c>
      <c r="AT284" s="31">
        <f>IF(AS284="","",COUNTIFS($AS$5:$AS$604,"&lt;"&amp;AS284)+COUNTIFS($AS$5:AS284,AS284))</f>
        <v>0</v>
      </c>
      <c r="AU284" s="18">
        <f>IF(OR(G284="",B284="",R284&lt;&gt;""),"",IF(AND(B284&gt;=TodayDate,P284&lt;&gt;"Cancelled"),B284,""))</f>
        <v>0</v>
      </c>
      <c r="AV284" s="31">
        <f>IF(AU284="","",COUNTIFS($AU$5:$AU$604,"&lt;"&amp;AU284)+COUNTIFS($AU$5:AU284,AU284))</f>
        <v>0</v>
      </c>
      <c r="AW284" s="31">
        <f>IF(OR(G284="",B284=""),"",B284-TodayDate)</f>
        <v>0</v>
      </c>
      <c r="AX284" s="39">
        <f>IF(G284="","",IF(P284="Cancelled","Cancelled",IF(P284="No access","Action - no access, rebook",IF(AND(B284&lt;&gt;"",AW284&lt;0,OR(P284="Booked",P284="Confirmed",P284="In progress")),"Late - mark it completed",IF(AND(P284="Completed",AP284=""),"Action - not invoiced yet",IF(AND(AW284&gt;=0,AW284&lt;=ReminderDays,Y284&lt;&gt;"Yes"),"Confirm - visit coming up",IF(R284="","Assign - no cleaner booked",IF(AND(P284="Completed",AO284&lt;&gt;"",AO284&lt;1),"Check - checklist unfinished","OK"))))))))</f>
        <v>0</v>
      </c>
    </row>
    <row r="285" spans="1:50">
      <c r="A285" s="43">
        <f>IF(G285="","",JobPrefix&amp;TEXT(ROW()-4,"0000"))</f>
        <v>0</v>
      </c>
      <c r="C285" s="23">
        <f>IF(B285="","",TEXT(B285,"ddd"))</f>
        <v>0</v>
      </c>
      <c r="D285" s="31">
        <f>IF(B285="","",WEEKNUM(B285,IF(WeekStart="Sunday",1,2)))</f>
        <v>0</v>
      </c>
      <c r="E285" s="23">
        <f>IF(B285="","",TEXT(B285,"yyyy-mm"))</f>
        <v>0</v>
      </c>
      <c r="H285" s="23">
        <f>IF(G285="","",IFERROR(INDEX(Clients!$B$5:$B$204,MATCH(G285,Clients!$A$5:$A$204,0)),"Not found"))</f>
        <v>0</v>
      </c>
      <c r="I285" s="23">
        <f>IF(G285="","",IFERROR(INDEX(Clients!$C$5:$C$204,MATCH(G285,Clients!$A$5:$A$204,0)),""))</f>
        <v>0</v>
      </c>
      <c r="K285" s="23">
        <f>IF(J285="","",IFERROR(INDEX(Properties!$B$5:$B$254,MATCH(J285,Properties!$A$5:$A$254,0)),""))</f>
        <v>0</v>
      </c>
      <c r="L285" s="23">
        <f>IF(J285="","",IFERROR(INDEX(Properties!$F$5:$F$254,MATCH(J285,Properties!$A$5:$A$254,0)),""))</f>
        <v>0</v>
      </c>
      <c r="AD285" s="34">
        <f>IF(G285="","",IF(U285&lt;&gt;"",U285,IF(AND(IFERROR(INDEX(Services!$D$5:$D$64,MATCH(M285,Services!$B$5:$B$64,0)),"")="Per hour",IFERROR(INDEX(Properties!$X$5:$X$254,MATCH(J285,Properties!$A$5:$A$254,0)),0)&gt;0),IFERROR(INDEX(Properties!$X$5:$X$254,MATCH(J285,Properties!$A$5:$A$254,0)),0),IF(IFERROR(INDEX(Services!$G$5:$G$64,MATCH(M285,Services!$B$5:$B$64,0)),0)&gt;0,IFERROR(INDEX(Services!$G$5:$G$64,MATCH(M285,Services!$B$5:$B$64,0)),0),IFERROR(INDEX(Properties!$X$5:$X$254,MATCH(J285,Properties!$A$5:$A$254,0)),0)))))</f>
        <v>0</v>
      </c>
      <c r="AE285" s="31">
        <f>IF(G285="","",IF(T285="",CleanersPerJob,MAX(1,T285)))</f>
        <v>0</v>
      </c>
      <c r="AF285" s="34">
        <f>IF(G285="","",ROUND(AD285/AE285,2))</f>
        <v>0</v>
      </c>
      <c r="AG285" s="53">
        <f>IF(OR(G285="",F285="",AF285=""),"",F285+AF285/24)</f>
        <v>0</v>
      </c>
      <c r="AH285" s="21">
        <f>IF(G285="","",IF(IFERROR(INDEX(Clients!$O$5:$O$204,MATCH(G285,Clients!$A$5:$A$204,0)),0)&gt;0,IFERROR(INDEX(Clients!$O$5:$O$204,MATCH(G285,Clients!$A$5:$A$204,0)),0),HourlyRate))</f>
        <v>0</v>
      </c>
      <c r="AI285" s="21">
        <f>IF(G285="","",IF(AND(M285&lt;&gt;"",IFERROR(INDEX(Services!$P$5:$P$64,MATCH(M285,Services!$B$5:$B$64,0)),0)&gt;0,IFERROR(INDEX(Services!$D$5:$D$64,MATCH(M285,Services!$B$5:$B$64,0)),"")&lt;&gt;"Per hour"),IFERROR(INDEX(Services!$P$5:$P$64,MATCH(M285,Services!$B$5:$B$64,0)),0),AD285*AH285))</f>
        <v>0</v>
      </c>
      <c r="AJ285" s="21">
        <f>IF(G285="","",IF(V285&lt;&gt;"",V285,IF(P285="Cancelled",0,MAX(MinimumCharge,ROUND(AI285*IFERROR(INDEX(FreqFactors,MATCH(O285,FreqNames,0)),1),2)))))</f>
        <v>0</v>
      </c>
      <c r="AK285" s="34">
        <f>IF(G285="","",IF(SUMIFS(Timesheets!$U$5:$U$804,Timesheets!$G$5:$G$804,A285)&gt;0,SUMIFS(Timesheets!$U$5:$U$804,Timesheets!$G$5:$G$804,A285),IF(Z285="","",Z285)))</f>
        <v>0</v>
      </c>
      <c r="AL285" s="34">
        <f>IF(OR(AK285="",AD285=""),"",AK285-AD285)</f>
        <v>0</v>
      </c>
      <c r="AM285" s="31">
        <f>IF(A285="","",COUNTIFS('Job Tasks'!$B$5:$B$904,A285))</f>
        <v>0</v>
      </c>
      <c r="AN285" s="31">
        <f>IF(A285="","",COUNTIFS('Job Tasks'!$B$5:$B$904,A285,'Job Tasks'!$H$5:$H$904,"Done"))</f>
        <v>0</v>
      </c>
      <c r="AO285" s="38">
        <f>IF(OR(A285="",AM285=0),"",AN285/AM285)</f>
        <v>0</v>
      </c>
      <c r="AP285" s="43">
        <f>IF(A285="","",IFERROR(INDEX('Invoice Lines'!$B$5:$B$804,MATCH(A285,'Invoice Lines'!$C$5:$C$804,0)),""))</f>
        <v>0</v>
      </c>
      <c r="AQ285" s="18">
        <f>IF(OR(G285="",B285="",X285&lt;&gt;"Yes"),"",IF(IFERROR(INDEX(FreqDays,MATCH(O285,FreqNames,0)),0)=0,"",B285+IFERROR(INDEX(FreqDays,MATCH(O285,FreqNames,0)),0)))</f>
        <v>0</v>
      </c>
      <c r="AR285" s="39">
        <f>IF(G285="","",IF(R285="","Unassigned",IF(COUNTIFS($R$5:$R$604,R285,$B$5:$B$604,B285,$F$5:$F$604,F285)&gt;1,"Clash",IF(SUMIFS($AF$5:$AF$604,$R$5:$R$604,R285,$B$5:$B$604,B285)&gt;ProductiveHours,"Long day","OK"))))</f>
        <v>0</v>
      </c>
      <c r="AS285" s="18">
        <f>IF(OR(G285="",B285=""),"",IF(AND(B285&gt;=TodayDate,P285&lt;&gt;"Cancelled"),B285,""))</f>
        <v>0</v>
      </c>
      <c r="AT285" s="31">
        <f>IF(AS285="","",COUNTIFS($AS$5:$AS$604,"&lt;"&amp;AS285)+COUNTIFS($AS$5:AS285,AS285))</f>
        <v>0</v>
      </c>
      <c r="AU285" s="18">
        <f>IF(OR(G285="",B285="",R285&lt;&gt;""),"",IF(AND(B285&gt;=TodayDate,P285&lt;&gt;"Cancelled"),B285,""))</f>
        <v>0</v>
      </c>
      <c r="AV285" s="31">
        <f>IF(AU285="","",COUNTIFS($AU$5:$AU$604,"&lt;"&amp;AU285)+COUNTIFS($AU$5:AU285,AU285))</f>
        <v>0</v>
      </c>
      <c r="AW285" s="31">
        <f>IF(OR(G285="",B285=""),"",B285-TodayDate)</f>
        <v>0</v>
      </c>
      <c r="AX285" s="39">
        <f>IF(G285="","",IF(P285="Cancelled","Cancelled",IF(P285="No access","Action - no access, rebook",IF(AND(B285&lt;&gt;"",AW285&lt;0,OR(P285="Booked",P285="Confirmed",P285="In progress")),"Late - mark it completed",IF(AND(P285="Completed",AP285=""),"Action - not invoiced yet",IF(AND(AW285&gt;=0,AW285&lt;=ReminderDays,Y285&lt;&gt;"Yes"),"Confirm - visit coming up",IF(R285="","Assign - no cleaner booked",IF(AND(P285="Completed",AO285&lt;&gt;"",AO285&lt;1),"Check - checklist unfinished","OK"))))))))</f>
        <v>0</v>
      </c>
    </row>
    <row r="286" spans="1:50">
      <c r="A286" s="43">
        <f>IF(G286="","",JobPrefix&amp;TEXT(ROW()-4,"0000"))</f>
        <v>0</v>
      </c>
      <c r="C286" s="23">
        <f>IF(B286="","",TEXT(B286,"ddd"))</f>
        <v>0</v>
      </c>
      <c r="D286" s="31">
        <f>IF(B286="","",WEEKNUM(B286,IF(WeekStart="Sunday",1,2)))</f>
        <v>0</v>
      </c>
      <c r="E286" s="23">
        <f>IF(B286="","",TEXT(B286,"yyyy-mm"))</f>
        <v>0</v>
      </c>
      <c r="H286" s="23">
        <f>IF(G286="","",IFERROR(INDEX(Clients!$B$5:$B$204,MATCH(G286,Clients!$A$5:$A$204,0)),"Not found"))</f>
        <v>0</v>
      </c>
      <c r="I286" s="23">
        <f>IF(G286="","",IFERROR(INDEX(Clients!$C$5:$C$204,MATCH(G286,Clients!$A$5:$A$204,0)),""))</f>
        <v>0</v>
      </c>
      <c r="K286" s="23">
        <f>IF(J286="","",IFERROR(INDEX(Properties!$B$5:$B$254,MATCH(J286,Properties!$A$5:$A$254,0)),""))</f>
        <v>0</v>
      </c>
      <c r="L286" s="23">
        <f>IF(J286="","",IFERROR(INDEX(Properties!$F$5:$F$254,MATCH(J286,Properties!$A$5:$A$254,0)),""))</f>
        <v>0</v>
      </c>
      <c r="AD286" s="34">
        <f>IF(G286="","",IF(U286&lt;&gt;"",U286,IF(AND(IFERROR(INDEX(Services!$D$5:$D$64,MATCH(M286,Services!$B$5:$B$64,0)),"")="Per hour",IFERROR(INDEX(Properties!$X$5:$X$254,MATCH(J286,Properties!$A$5:$A$254,0)),0)&gt;0),IFERROR(INDEX(Properties!$X$5:$X$254,MATCH(J286,Properties!$A$5:$A$254,0)),0),IF(IFERROR(INDEX(Services!$G$5:$G$64,MATCH(M286,Services!$B$5:$B$64,0)),0)&gt;0,IFERROR(INDEX(Services!$G$5:$G$64,MATCH(M286,Services!$B$5:$B$64,0)),0),IFERROR(INDEX(Properties!$X$5:$X$254,MATCH(J286,Properties!$A$5:$A$254,0)),0)))))</f>
        <v>0</v>
      </c>
      <c r="AE286" s="31">
        <f>IF(G286="","",IF(T286="",CleanersPerJob,MAX(1,T286)))</f>
        <v>0</v>
      </c>
      <c r="AF286" s="34">
        <f>IF(G286="","",ROUND(AD286/AE286,2))</f>
        <v>0</v>
      </c>
      <c r="AG286" s="53">
        <f>IF(OR(G286="",F286="",AF286=""),"",F286+AF286/24)</f>
        <v>0</v>
      </c>
      <c r="AH286" s="21">
        <f>IF(G286="","",IF(IFERROR(INDEX(Clients!$O$5:$O$204,MATCH(G286,Clients!$A$5:$A$204,0)),0)&gt;0,IFERROR(INDEX(Clients!$O$5:$O$204,MATCH(G286,Clients!$A$5:$A$204,0)),0),HourlyRate))</f>
        <v>0</v>
      </c>
      <c r="AI286" s="21">
        <f>IF(G286="","",IF(AND(M286&lt;&gt;"",IFERROR(INDEX(Services!$P$5:$P$64,MATCH(M286,Services!$B$5:$B$64,0)),0)&gt;0,IFERROR(INDEX(Services!$D$5:$D$64,MATCH(M286,Services!$B$5:$B$64,0)),"")&lt;&gt;"Per hour"),IFERROR(INDEX(Services!$P$5:$P$64,MATCH(M286,Services!$B$5:$B$64,0)),0),AD286*AH286))</f>
        <v>0</v>
      </c>
      <c r="AJ286" s="21">
        <f>IF(G286="","",IF(V286&lt;&gt;"",V286,IF(P286="Cancelled",0,MAX(MinimumCharge,ROUND(AI286*IFERROR(INDEX(FreqFactors,MATCH(O286,FreqNames,0)),1),2)))))</f>
        <v>0</v>
      </c>
      <c r="AK286" s="34">
        <f>IF(G286="","",IF(SUMIFS(Timesheets!$U$5:$U$804,Timesheets!$G$5:$G$804,A286)&gt;0,SUMIFS(Timesheets!$U$5:$U$804,Timesheets!$G$5:$G$804,A286),IF(Z286="","",Z286)))</f>
        <v>0</v>
      </c>
      <c r="AL286" s="34">
        <f>IF(OR(AK286="",AD286=""),"",AK286-AD286)</f>
        <v>0</v>
      </c>
      <c r="AM286" s="31">
        <f>IF(A286="","",COUNTIFS('Job Tasks'!$B$5:$B$904,A286))</f>
        <v>0</v>
      </c>
      <c r="AN286" s="31">
        <f>IF(A286="","",COUNTIFS('Job Tasks'!$B$5:$B$904,A286,'Job Tasks'!$H$5:$H$904,"Done"))</f>
        <v>0</v>
      </c>
      <c r="AO286" s="38">
        <f>IF(OR(A286="",AM286=0),"",AN286/AM286)</f>
        <v>0</v>
      </c>
      <c r="AP286" s="43">
        <f>IF(A286="","",IFERROR(INDEX('Invoice Lines'!$B$5:$B$804,MATCH(A286,'Invoice Lines'!$C$5:$C$804,0)),""))</f>
        <v>0</v>
      </c>
      <c r="AQ286" s="18">
        <f>IF(OR(G286="",B286="",X286&lt;&gt;"Yes"),"",IF(IFERROR(INDEX(FreqDays,MATCH(O286,FreqNames,0)),0)=0,"",B286+IFERROR(INDEX(FreqDays,MATCH(O286,FreqNames,0)),0)))</f>
        <v>0</v>
      </c>
      <c r="AR286" s="39">
        <f>IF(G286="","",IF(R286="","Unassigned",IF(COUNTIFS($R$5:$R$604,R286,$B$5:$B$604,B286,$F$5:$F$604,F286)&gt;1,"Clash",IF(SUMIFS($AF$5:$AF$604,$R$5:$R$604,R286,$B$5:$B$604,B286)&gt;ProductiveHours,"Long day","OK"))))</f>
        <v>0</v>
      </c>
      <c r="AS286" s="18">
        <f>IF(OR(G286="",B286=""),"",IF(AND(B286&gt;=TodayDate,P286&lt;&gt;"Cancelled"),B286,""))</f>
        <v>0</v>
      </c>
      <c r="AT286" s="31">
        <f>IF(AS286="","",COUNTIFS($AS$5:$AS$604,"&lt;"&amp;AS286)+COUNTIFS($AS$5:AS286,AS286))</f>
        <v>0</v>
      </c>
      <c r="AU286" s="18">
        <f>IF(OR(G286="",B286="",R286&lt;&gt;""),"",IF(AND(B286&gt;=TodayDate,P286&lt;&gt;"Cancelled"),B286,""))</f>
        <v>0</v>
      </c>
      <c r="AV286" s="31">
        <f>IF(AU286="","",COUNTIFS($AU$5:$AU$604,"&lt;"&amp;AU286)+COUNTIFS($AU$5:AU286,AU286))</f>
        <v>0</v>
      </c>
      <c r="AW286" s="31">
        <f>IF(OR(G286="",B286=""),"",B286-TodayDate)</f>
        <v>0</v>
      </c>
      <c r="AX286" s="39">
        <f>IF(G286="","",IF(P286="Cancelled","Cancelled",IF(P286="No access","Action - no access, rebook",IF(AND(B286&lt;&gt;"",AW286&lt;0,OR(P286="Booked",P286="Confirmed",P286="In progress")),"Late - mark it completed",IF(AND(P286="Completed",AP286=""),"Action - not invoiced yet",IF(AND(AW286&gt;=0,AW286&lt;=ReminderDays,Y286&lt;&gt;"Yes"),"Confirm - visit coming up",IF(R286="","Assign - no cleaner booked",IF(AND(P286="Completed",AO286&lt;&gt;"",AO286&lt;1),"Check - checklist unfinished","OK"))))))))</f>
        <v>0</v>
      </c>
    </row>
    <row r="287" spans="1:50">
      <c r="A287" s="43">
        <f>IF(G287="","",JobPrefix&amp;TEXT(ROW()-4,"0000"))</f>
        <v>0</v>
      </c>
      <c r="C287" s="23">
        <f>IF(B287="","",TEXT(B287,"ddd"))</f>
        <v>0</v>
      </c>
      <c r="D287" s="31">
        <f>IF(B287="","",WEEKNUM(B287,IF(WeekStart="Sunday",1,2)))</f>
        <v>0</v>
      </c>
      <c r="E287" s="23">
        <f>IF(B287="","",TEXT(B287,"yyyy-mm"))</f>
        <v>0</v>
      </c>
      <c r="H287" s="23">
        <f>IF(G287="","",IFERROR(INDEX(Clients!$B$5:$B$204,MATCH(G287,Clients!$A$5:$A$204,0)),"Not found"))</f>
        <v>0</v>
      </c>
      <c r="I287" s="23">
        <f>IF(G287="","",IFERROR(INDEX(Clients!$C$5:$C$204,MATCH(G287,Clients!$A$5:$A$204,0)),""))</f>
        <v>0</v>
      </c>
      <c r="K287" s="23">
        <f>IF(J287="","",IFERROR(INDEX(Properties!$B$5:$B$254,MATCH(J287,Properties!$A$5:$A$254,0)),""))</f>
        <v>0</v>
      </c>
      <c r="L287" s="23">
        <f>IF(J287="","",IFERROR(INDEX(Properties!$F$5:$F$254,MATCH(J287,Properties!$A$5:$A$254,0)),""))</f>
        <v>0</v>
      </c>
      <c r="AD287" s="34">
        <f>IF(G287="","",IF(U287&lt;&gt;"",U287,IF(AND(IFERROR(INDEX(Services!$D$5:$D$64,MATCH(M287,Services!$B$5:$B$64,0)),"")="Per hour",IFERROR(INDEX(Properties!$X$5:$X$254,MATCH(J287,Properties!$A$5:$A$254,0)),0)&gt;0),IFERROR(INDEX(Properties!$X$5:$X$254,MATCH(J287,Properties!$A$5:$A$254,0)),0),IF(IFERROR(INDEX(Services!$G$5:$G$64,MATCH(M287,Services!$B$5:$B$64,0)),0)&gt;0,IFERROR(INDEX(Services!$G$5:$G$64,MATCH(M287,Services!$B$5:$B$64,0)),0),IFERROR(INDEX(Properties!$X$5:$X$254,MATCH(J287,Properties!$A$5:$A$254,0)),0)))))</f>
        <v>0</v>
      </c>
      <c r="AE287" s="31">
        <f>IF(G287="","",IF(T287="",CleanersPerJob,MAX(1,T287)))</f>
        <v>0</v>
      </c>
      <c r="AF287" s="34">
        <f>IF(G287="","",ROUND(AD287/AE287,2))</f>
        <v>0</v>
      </c>
      <c r="AG287" s="53">
        <f>IF(OR(G287="",F287="",AF287=""),"",F287+AF287/24)</f>
        <v>0</v>
      </c>
      <c r="AH287" s="21">
        <f>IF(G287="","",IF(IFERROR(INDEX(Clients!$O$5:$O$204,MATCH(G287,Clients!$A$5:$A$204,0)),0)&gt;0,IFERROR(INDEX(Clients!$O$5:$O$204,MATCH(G287,Clients!$A$5:$A$204,0)),0),HourlyRate))</f>
        <v>0</v>
      </c>
      <c r="AI287" s="21">
        <f>IF(G287="","",IF(AND(M287&lt;&gt;"",IFERROR(INDEX(Services!$P$5:$P$64,MATCH(M287,Services!$B$5:$B$64,0)),0)&gt;0,IFERROR(INDEX(Services!$D$5:$D$64,MATCH(M287,Services!$B$5:$B$64,0)),"")&lt;&gt;"Per hour"),IFERROR(INDEX(Services!$P$5:$P$64,MATCH(M287,Services!$B$5:$B$64,0)),0),AD287*AH287))</f>
        <v>0</v>
      </c>
      <c r="AJ287" s="21">
        <f>IF(G287="","",IF(V287&lt;&gt;"",V287,IF(P287="Cancelled",0,MAX(MinimumCharge,ROUND(AI287*IFERROR(INDEX(FreqFactors,MATCH(O287,FreqNames,0)),1),2)))))</f>
        <v>0</v>
      </c>
      <c r="AK287" s="34">
        <f>IF(G287="","",IF(SUMIFS(Timesheets!$U$5:$U$804,Timesheets!$G$5:$G$804,A287)&gt;0,SUMIFS(Timesheets!$U$5:$U$804,Timesheets!$G$5:$G$804,A287),IF(Z287="","",Z287)))</f>
        <v>0</v>
      </c>
      <c r="AL287" s="34">
        <f>IF(OR(AK287="",AD287=""),"",AK287-AD287)</f>
        <v>0</v>
      </c>
      <c r="AM287" s="31">
        <f>IF(A287="","",COUNTIFS('Job Tasks'!$B$5:$B$904,A287))</f>
        <v>0</v>
      </c>
      <c r="AN287" s="31">
        <f>IF(A287="","",COUNTIFS('Job Tasks'!$B$5:$B$904,A287,'Job Tasks'!$H$5:$H$904,"Done"))</f>
        <v>0</v>
      </c>
      <c r="AO287" s="38">
        <f>IF(OR(A287="",AM287=0),"",AN287/AM287)</f>
        <v>0</v>
      </c>
      <c r="AP287" s="43">
        <f>IF(A287="","",IFERROR(INDEX('Invoice Lines'!$B$5:$B$804,MATCH(A287,'Invoice Lines'!$C$5:$C$804,0)),""))</f>
        <v>0</v>
      </c>
      <c r="AQ287" s="18">
        <f>IF(OR(G287="",B287="",X287&lt;&gt;"Yes"),"",IF(IFERROR(INDEX(FreqDays,MATCH(O287,FreqNames,0)),0)=0,"",B287+IFERROR(INDEX(FreqDays,MATCH(O287,FreqNames,0)),0)))</f>
        <v>0</v>
      </c>
      <c r="AR287" s="39">
        <f>IF(G287="","",IF(R287="","Unassigned",IF(COUNTIFS($R$5:$R$604,R287,$B$5:$B$604,B287,$F$5:$F$604,F287)&gt;1,"Clash",IF(SUMIFS($AF$5:$AF$604,$R$5:$R$604,R287,$B$5:$B$604,B287)&gt;ProductiveHours,"Long day","OK"))))</f>
        <v>0</v>
      </c>
      <c r="AS287" s="18">
        <f>IF(OR(G287="",B287=""),"",IF(AND(B287&gt;=TodayDate,P287&lt;&gt;"Cancelled"),B287,""))</f>
        <v>0</v>
      </c>
      <c r="AT287" s="31">
        <f>IF(AS287="","",COUNTIFS($AS$5:$AS$604,"&lt;"&amp;AS287)+COUNTIFS($AS$5:AS287,AS287))</f>
        <v>0</v>
      </c>
      <c r="AU287" s="18">
        <f>IF(OR(G287="",B287="",R287&lt;&gt;""),"",IF(AND(B287&gt;=TodayDate,P287&lt;&gt;"Cancelled"),B287,""))</f>
        <v>0</v>
      </c>
      <c r="AV287" s="31">
        <f>IF(AU287="","",COUNTIFS($AU$5:$AU$604,"&lt;"&amp;AU287)+COUNTIFS($AU$5:AU287,AU287))</f>
        <v>0</v>
      </c>
      <c r="AW287" s="31">
        <f>IF(OR(G287="",B287=""),"",B287-TodayDate)</f>
        <v>0</v>
      </c>
      <c r="AX287" s="39">
        <f>IF(G287="","",IF(P287="Cancelled","Cancelled",IF(P287="No access","Action - no access, rebook",IF(AND(B287&lt;&gt;"",AW287&lt;0,OR(P287="Booked",P287="Confirmed",P287="In progress")),"Late - mark it completed",IF(AND(P287="Completed",AP287=""),"Action - not invoiced yet",IF(AND(AW287&gt;=0,AW287&lt;=ReminderDays,Y287&lt;&gt;"Yes"),"Confirm - visit coming up",IF(R287="","Assign - no cleaner booked",IF(AND(P287="Completed",AO287&lt;&gt;"",AO287&lt;1),"Check - checklist unfinished","OK"))))))))</f>
        <v>0</v>
      </c>
    </row>
    <row r="288" spans="1:50">
      <c r="A288" s="43">
        <f>IF(G288="","",JobPrefix&amp;TEXT(ROW()-4,"0000"))</f>
        <v>0</v>
      </c>
      <c r="C288" s="23">
        <f>IF(B288="","",TEXT(B288,"ddd"))</f>
        <v>0</v>
      </c>
      <c r="D288" s="31">
        <f>IF(B288="","",WEEKNUM(B288,IF(WeekStart="Sunday",1,2)))</f>
        <v>0</v>
      </c>
      <c r="E288" s="23">
        <f>IF(B288="","",TEXT(B288,"yyyy-mm"))</f>
        <v>0</v>
      </c>
      <c r="H288" s="23">
        <f>IF(G288="","",IFERROR(INDEX(Clients!$B$5:$B$204,MATCH(G288,Clients!$A$5:$A$204,0)),"Not found"))</f>
        <v>0</v>
      </c>
      <c r="I288" s="23">
        <f>IF(G288="","",IFERROR(INDEX(Clients!$C$5:$C$204,MATCH(G288,Clients!$A$5:$A$204,0)),""))</f>
        <v>0</v>
      </c>
      <c r="K288" s="23">
        <f>IF(J288="","",IFERROR(INDEX(Properties!$B$5:$B$254,MATCH(J288,Properties!$A$5:$A$254,0)),""))</f>
        <v>0</v>
      </c>
      <c r="L288" s="23">
        <f>IF(J288="","",IFERROR(INDEX(Properties!$F$5:$F$254,MATCH(J288,Properties!$A$5:$A$254,0)),""))</f>
        <v>0</v>
      </c>
      <c r="AD288" s="34">
        <f>IF(G288="","",IF(U288&lt;&gt;"",U288,IF(AND(IFERROR(INDEX(Services!$D$5:$D$64,MATCH(M288,Services!$B$5:$B$64,0)),"")="Per hour",IFERROR(INDEX(Properties!$X$5:$X$254,MATCH(J288,Properties!$A$5:$A$254,0)),0)&gt;0),IFERROR(INDEX(Properties!$X$5:$X$254,MATCH(J288,Properties!$A$5:$A$254,0)),0),IF(IFERROR(INDEX(Services!$G$5:$G$64,MATCH(M288,Services!$B$5:$B$64,0)),0)&gt;0,IFERROR(INDEX(Services!$G$5:$G$64,MATCH(M288,Services!$B$5:$B$64,0)),0),IFERROR(INDEX(Properties!$X$5:$X$254,MATCH(J288,Properties!$A$5:$A$254,0)),0)))))</f>
        <v>0</v>
      </c>
      <c r="AE288" s="31">
        <f>IF(G288="","",IF(T288="",CleanersPerJob,MAX(1,T288)))</f>
        <v>0</v>
      </c>
      <c r="AF288" s="34">
        <f>IF(G288="","",ROUND(AD288/AE288,2))</f>
        <v>0</v>
      </c>
      <c r="AG288" s="53">
        <f>IF(OR(G288="",F288="",AF288=""),"",F288+AF288/24)</f>
        <v>0</v>
      </c>
      <c r="AH288" s="21">
        <f>IF(G288="","",IF(IFERROR(INDEX(Clients!$O$5:$O$204,MATCH(G288,Clients!$A$5:$A$204,0)),0)&gt;0,IFERROR(INDEX(Clients!$O$5:$O$204,MATCH(G288,Clients!$A$5:$A$204,0)),0),HourlyRate))</f>
        <v>0</v>
      </c>
      <c r="AI288" s="21">
        <f>IF(G288="","",IF(AND(M288&lt;&gt;"",IFERROR(INDEX(Services!$P$5:$P$64,MATCH(M288,Services!$B$5:$B$64,0)),0)&gt;0,IFERROR(INDEX(Services!$D$5:$D$64,MATCH(M288,Services!$B$5:$B$64,0)),"")&lt;&gt;"Per hour"),IFERROR(INDEX(Services!$P$5:$P$64,MATCH(M288,Services!$B$5:$B$64,0)),0),AD288*AH288))</f>
        <v>0</v>
      </c>
      <c r="AJ288" s="21">
        <f>IF(G288="","",IF(V288&lt;&gt;"",V288,IF(P288="Cancelled",0,MAX(MinimumCharge,ROUND(AI288*IFERROR(INDEX(FreqFactors,MATCH(O288,FreqNames,0)),1),2)))))</f>
        <v>0</v>
      </c>
      <c r="AK288" s="34">
        <f>IF(G288="","",IF(SUMIFS(Timesheets!$U$5:$U$804,Timesheets!$G$5:$G$804,A288)&gt;0,SUMIFS(Timesheets!$U$5:$U$804,Timesheets!$G$5:$G$804,A288),IF(Z288="","",Z288)))</f>
        <v>0</v>
      </c>
      <c r="AL288" s="34">
        <f>IF(OR(AK288="",AD288=""),"",AK288-AD288)</f>
        <v>0</v>
      </c>
      <c r="AM288" s="31">
        <f>IF(A288="","",COUNTIFS('Job Tasks'!$B$5:$B$904,A288))</f>
        <v>0</v>
      </c>
      <c r="AN288" s="31">
        <f>IF(A288="","",COUNTIFS('Job Tasks'!$B$5:$B$904,A288,'Job Tasks'!$H$5:$H$904,"Done"))</f>
        <v>0</v>
      </c>
      <c r="AO288" s="38">
        <f>IF(OR(A288="",AM288=0),"",AN288/AM288)</f>
        <v>0</v>
      </c>
      <c r="AP288" s="43">
        <f>IF(A288="","",IFERROR(INDEX('Invoice Lines'!$B$5:$B$804,MATCH(A288,'Invoice Lines'!$C$5:$C$804,0)),""))</f>
        <v>0</v>
      </c>
      <c r="AQ288" s="18">
        <f>IF(OR(G288="",B288="",X288&lt;&gt;"Yes"),"",IF(IFERROR(INDEX(FreqDays,MATCH(O288,FreqNames,0)),0)=0,"",B288+IFERROR(INDEX(FreqDays,MATCH(O288,FreqNames,0)),0)))</f>
        <v>0</v>
      </c>
      <c r="AR288" s="39">
        <f>IF(G288="","",IF(R288="","Unassigned",IF(COUNTIFS($R$5:$R$604,R288,$B$5:$B$604,B288,$F$5:$F$604,F288)&gt;1,"Clash",IF(SUMIFS($AF$5:$AF$604,$R$5:$R$604,R288,$B$5:$B$604,B288)&gt;ProductiveHours,"Long day","OK"))))</f>
        <v>0</v>
      </c>
      <c r="AS288" s="18">
        <f>IF(OR(G288="",B288=""),"",IF(AND(B288&gt;=TodayDate,P288&lt;&gt;"Cancelled"),B288,""))</f>
        <v>0</v>
      </c>
      <c r="AT288" s="31">
        <f>IF(AS288="","",COUNTIFS($AS$5:$AS$604,"&lt;"&amp;AS288)+COUNTIFS($AS$5:AS288,AS288))</f>
        <v>0</v>
      </c>
      <c r="AU288" s="18">
        <f>IF(OR(G288="",B288="",R288&lt;&gt;""),"",IF(AND(B288&gt;=TodayDate,P288&lt;&gt;"Cancelled"),B288,""))</f>
        <v>0</v>
      </c>
      <c r="AV288" s="31">
        <f>IF(AU288="","",COUNTIFS($AU$5:$AU$604,"&lt;"&amp;AU288)+COUNTIFS($AU$5:AU288,AU288))</f>
        <v>0</v>
      </c>
      <c r="AW288" s="31">
        <f>IF(OR(G288="",B288=""),"",B288-TodayDate)</f>
        <v>0</v>
      </c>
      <c r="AX288" s="39">
        <f>IF(G288="","",IF(P288="Cancelled","Cancelled",IF(P288="No access","Action - no access, rebook",IF(AND(B288&lt;&gt;"",AW288&lt;0,OR(P288="Booked",P288="Confirmed",P288="In progress")),"Late - mark it completed",IF(AND(P288="Completed",AP288=""),"Action - not invoiced yet",IF(AND(AW288&gt;=0,AW288&lt;=ReminderDays,Y288&lt;&gt;"Yes"),"Confirm - visit coming up",IF(R288="","Assign - no cleaner booked",IF(AND(P288="Completed",AO288&lt;&gt;"",AO288&lt;1),"Check - checklist unfinished","OK"))))))))</f>
        <v>0</v>
      </c>
    </row>
    <row r="289" spans="1:50">
      <c r="A289" s="43">
        <f>IF(G289="","",JobPrefix&amp;TEXT(ROW()-4,"0000"))</f>
        <v>0</v>
      </c>
      <c r="C289" s="23">
        <f>IF(B289="","",TEXT(B289,"ddd"))</f>
        <v>0</v>
      </c>
      <c r="D289" s="31">
        <f>IF(B289="","",WEEKNUM(B289,IF(WeekStart="Sunday",1,2)))</f>
        <v>0</v>
      </c>
      <c r="E289" s="23">
        <f>IF(B289="","",TEXT(B289,"yyyy-mm"))</f>
        <v>0</v>
      </c>
      <c r="H289" s="23">
        <f>IF(G289="","",IFERROR(INDEX(Clients!$B$5:$B$204,MATCH(G289,Clients!$A$5:$A$204,0)),"Not found"))</f>
        <v>0</v>
      </c>
      <c r="I289" s="23">
        <f>IF(G289="","",IFERROR(INDEX(Clients!$C$5:$C$204,MATCH(G289,Clients!$A$5:$A$204,0)),""))</f>
        <v>0</v>
      </c>
      <c r="K289" s="23">
        <f>IF(J289="","",IFERROR(INDEX(Properties!$B$5:$B$254,MATCH(J289,Properties!$A$5:$A$254,0)),""))</f>
        <v>0</v>
      </c>
      <c r="L289" s="23">
        <f>IF(J289="","",IFERROR(INDEX(Properties!$F$5:$F$254,MATCH(J289,Properties!$A$5:$A$254,0)),""))</f>
        <v>0</v>
      </c>
      <c r="AD289" s="34">
        <f>IF(G289="","",IF(U289&lt;&gt;"",U289,IF(AND(IFERROR(INDEX(Services!$D$5:$D$64,MATCH(M289,Services!$B$5:$B$64,0)),"")="Per hour",IFERROR(INDEX(Properties!$X$5:$X$254,MATCH(J289,Properties!$A$5:$A$254,0)),0)&gt;0),IFERROR(INDEX(Properties!$X$5:$X$254,MATCH(J289,Properties!$A$5:$A$254,0)),0),IF(IFERROR(INDEX(Services!$G$5:$G$64,MATCH(M289,Services!$B$5:$B$64,0)),0)&gt;0,IFERROR(INDEX(Services!$G$5:$G$64,MATCH(M289,Services!$B$5:$B$64,0)),0),IFERROR(INDEX(Properties!$X$5:$X$254,MATCH(J289,Properties!$A$5:$A$254,0)),0)))))</f>
        <v>0</v>
      </c>
      <c r="AE289" s="31">
        <f>IF(G289="","",IF(T289="",CleanersPerJob,MAX(1,T289)))</f>
        <v>0</v>
      </c>
      <c r="AF289" s="34">
        <f>IF(G289="","",ROUND(AD289/AE289,2))</f>
        <v>0</v>
      </c>
      <c r="AG289" s="53">
        <f>IF(OR(G289="",F289="",AF289=""),"",F289+AF289/24)</f>
        <v>0</v>
      </c>
      <c r="AH289" s="21">
        <f>IF(G289="","",IF(IFERROR(INDEX(Clients!$O$5:$O$204,MATCH(G289,Clients!$A$5:$A$204,0)),0)&gt;0,IFERROR(INDEX(Clients!$O$5:$O$204,MATCH(G289,Clients!$A$5:$A$204,0)),0),HourlyRate))</f>
        <v>0</v>
      </c>
      <c r="AI289" s="21">
        <f>IF(G289="","",IF(AND(M289&lt;&gt;"",IFERROR(INDEX(Services!$P$5:$P$64,MATCH(M289,Services!$B$5:$B$64,0)),0)&gt;0,IFERROR(INDEX(Services!$D$5:$D$64,MATCH(M289,Services!$B$5:$B$64,0)),"")&lt;&gt;"Per hour"),IFERROR(INDEX(Services!$P$5:$P$64,MATCH(M289,Services!$B$5:$B$64,0)),0),AD289*AH289))</f>
        <v>0</v>
      </c>
      <c r="AJ289" s="21">
        <f>IF(G289="","",IF(V289&lt;&gt;"",V289,IF(P289="Cancelled",0,MAX(MinimumCharge,ROUND(AI289*IFERROR(INDEX(FreqFactors,MATCH(O289,FreqNames,0)),1),2)))))</f>
        <v>0</v>
      </c>
      <c r="AK289" s="34">
        <f>IF(G289="","",IF(SUMIFS(Timesheets!$U$5:$U$804,Timesheets!$G$5:$G$804,A289)&gt;0,SUMIFS(Timesheets!$U$5:$U$804,Timesheets!$G$5:$G$804,A289),IF(Z289="","",Z289)))</f>
        <v>0</v>
      </c>
      <c r="AL289" s="34">
        <f>IF(OR(AK289="",AD289=""),"",AK289-AD289)</f>
        <v>0</v>
      </c>
      <c r="AM289" s="31">
        <f>IF(A289="","",COUNTIFS('Job Tasks'!$B$5:$B$904,A289))</f>
        <v>0</v>
      </c>
      <c r="AN289" s="31">
        <f>IF(A289="","",COUNTIFS('Job Tasks'!$B$5:$B$904,A289,'Job Tasks'!$H$5:$H$904,"Done"))</f>
        <v>0</v>
      </c>
      <c r="AO289" s="38">
        <f>IF(OR(A289="",AM289=0),"",AN289/AM289)</f>
        <v>0</v>
      </c>
      <c r="AP289" s="43">
        <f>IF(A289="","",IFERROR(INDEX('Invoice Lines'!$B$5:$B$804,MATCH(A289,'Invoice Lines'!$C$5:$C$804,0)),""))</f>
        <v>0</v>
      </c>
      <c r="AQ289" s="18">
        <f>IF(OR(G289="",B289="",X289&lt;&gt;"Yes"),"",IF(IFERROR(INDEX(FreqDays,MATCH(O289,FreqNames,0)),0)=0,"",B289+IFERROR(INDEX(FreqDays,MATCH(O289,FreqNames,0)),0)))</f>
        <v>0</v>
      </c>
      <c r="AR289" s="39">
        <f>IF(G289="","",IF(R289="","Unassigned",IF(COUNTIFS($R$5:$R$604,R289,$B$5:$B$604,B289,$F$5:$F$604,F289)&gt;1,"Clash",IF(SUMIFS($AF$5:$AF$604,$R$5:$R$604,R289,$B$5:$B$604,B289)&gt;ProductiveHours,"Long day","OK"))))</f>
        <v>0</v>
      </c>
      <c r="AS289" s="18">
        <f>IF(OR(G289="",B289=""),"",IF(AND(B289&gt;=TodayDate,P289&lt;&gt;"Cancelled"),B289,""))</f>
        <v>0</v>
      </c>
      <c r="AT289" s="31">
        <f>IF(AS289="","",COUNTIFS($AS$5:$AS$604,"&lt;"&amp;AS289)+COUNTIFS($AS$5:AS289,AS289))</f>
        <v>0</v>
      </c>
      <c r="AU289" s="18">
        <f>IF(OR(G289="",B289="",R289&lt;&gt;""),"",IF(AND(B289&gt;=TodayDate,P289&lt;&gt;"Cancelled"),B289,""))</f>
        <v>0</v>
      </c>
      <c r="AV289" s="31">
        <f>IF(AU289="","",COUNTIFS($AU$5:$AU$604,"&lt;"&amp;AU289)+COUNTIFS($AU$5:AU289,AU289))</f>
        <v>0</v>
      </c>
      <c r="AW289" s="31">
        <f>IF(OR(G289="",B289=""),"",B289-TodayDate)</f>
        <v>0</v>
      </c>
      <c r="AX289" s="39">
        <f>IF(G289="","",IF(P289="Cancelled","Cancelled",IF(P289="No access","Action - no access, rebook",IF(AND(B289&lt;&gt;"",AW289&lt;0,OR(P289="Booked",P289="Confirmed",P289="In progress")),"Late - mark it completed",IF(AND(P289="Completed",AP289=""),"Action - not invoiced yet",IF(AND(AW289&gt;=0,AW289&lt;=ReminderDays,Y289&lt;&gt;"Yes"),"Confirm - visit coming up",IF(R289="","Assign - no cleaner booked",IF(AND(P289="Completed",AO289&lt;&gt;"",AO289&lt;1),"Check - checklist unfinished","OK"))))))))</f>
        <v>0</v>
      </c>
    </row>
    <row r="290" spans="1:50">
      <c r="A290" s="43">
        <f>IF(G290="","",JobPrefix&amp;TEXT(ROW()-4,"0000"))</f>
        <v>0</v>
      </c>
      <c r="C290" s="23">
        <f>IF(B290="","",TEXT(B290,"ddd"))</f>
        <v>0</v>
      </c>
      <c r="D290" s="31">
        <f>IF(B290="","",WEEKNUM(B290,IF(WeekStart="Sunday",1,2)))</f>
        <v>0</v>
      </c>
      <c r="E290" s="23">
        <f>IF(B290="","",TEXT(B290,"yyyy-mm"))</f>
        <v>0</v>
      </c>
      <c r="H290" s="23">
        <f>IF(G290="","",IFERROR(INDEX(Clients!$B$5:$B$204,MATCH(G290,Clients!$A$5:$A$204,0)),"Not found"))</f>
        <v>0</v>
      </c>
      <c r="I290" s="23">
        <f>IF(G290="","",IFERROR(INDEX(Clients!$C$5:$C$204,MATCH(G290,Clients!$A$5:$A$204,0)),""))</f>
        <v>0</v>
      </c>
      <c r="K290" s="23">
        <f>IF(J290="","",IFERROR(INDEX(Properties!$B$5:$B$254,MATCH(J290,Properties!$A$5:$A$254,0)),""))</f>
        <v>0</v>
      </c>
      <c r="L290" s="23">
        <f>IF(J290="","",IFERROR(INDEX(Properties!$F$5:$F$254,MATCH(J290,Properties!$A$5:$A$254,0)),""))</f>
        <v>0</v>
      </c>
      <c r="AD290" s="34">
        <f>IF(G290="","",IF(U290&lt;&gt;"",U290,IF(AND(IFERROR(INDEX(Services!$D$5:$D$64,MATCH(M290,Services!$B$5:$B$64,0)),"")="Per hour",IFERROR(INDEX(Properties!$X$5:$X$254,MATCH(J290,Properties!$A$5:$A$254,0)),0)&gt;0),IFERROR(INDEX(Properties!$X$5:$X$254,MATCH(J290,Properties!$A$5:$A$254,0)),0),IF(IFERROR(INDEX(Services!$G$5:$G$64,MATCH(M290,Services!$B$5:$B$64,0)),0)&gt;0,IFERROR(INDEX(Services!$G$5:$G$64,MATCH(M290,Services!$B$5:$B$64,0)),0),IFERROR(INDEX(Properties!$X$5:$X$254,MATCH(J290,Properties!$A$5:$A$254,0)),0)))))</f>
        <v>0</v>
      </c>
      <c r="AE290" s="31">
        <f>IF(G290="","",IF(T290="",CleanersPerJob,MAX(1,T290)))</f>
        <v>0</v>
      </c>
      <c r="AF290" s="34">
        <f>IF(G290="","",ROUND(AD290/AE290,2))</f>
        <v>0</v>
      </c>
      <c r="AG290" s="53">
        <f>IF(OR(G290="",F290="",AF290=""),"",F290+AF290/24)</f>
        <v>0</v>
      </c>
      <c r="AH290" s="21">
        <f>IF(G290="","",IF(IFERROR(INDEX(Clients!$O$5:$O$204,MATCH(G290,Clients!$A$5:$A$204,0)),0)&gt;0,IFERROR(INDEX(Clients!$O$5:$O$204,MATCH(G290,Clients!$A$5:$A$204,0)),0),HourlyRate))</f>
        <v>0</v>
      </c>
      <c r="AI290" s="21">
        <f>IF(G290="","",IF(AND(M290&lt;&gt;"",IFERROR(INDEX(Services!$P$5:$P$64,MATCH(M290,Services!$B$5:$B$64,0)),0)&gt;0,IFERROR(INDEX(Services!$D$5:$D$64,MATCH(M290,Services!$B$5:$B$64,0)),"")&lt;&gt;"Per hour"),IFERROR(INDEX(Services!$P$5:$P$64,MATCH(M290,Services!$B$5:$B$64,0)),0),AD290*AH290))</f>
        <v>0</v>
      </c>
      <c r="AJ290" s="21">
        <f>IF(G290="","",IF(V290&lt;&gt;"",V290,IF(P290="Cancelled",0,MAX(MinimumCharge,ROUND(AI290*IFERROR(INDEX(FreqFactors,MATCH(O290,FreqNames,0)),1),2)))))</f>
        <v>0</v>
      </c>
      <c r="AK290" s="34">
        <f>IF(G290="","",IF(SUMIFS(Timesheets!$U$5:$U$804,Timesheets!$G$5:$G$804,A290)&gt;0,SUMIFS(Timesheets!$U$5:$U$804,Timesheets!$G$5:$G$804,A290),IF(Z290="","",Z290)))</f>
        <v>0</v>
      </c>
      <c r="AL290" s="34">
        <f>IF(OR(AK290="",AD290=""),"",AK290-AD290)</f>
        <v>0</v>
      </c>
      <c r="AM290" s="31">
        <f>IF(A290="","",COUNTIFS('Job Tasks'!$B$5:$B$904,A290))</f>
        <v>0</v>
      </c>
      <c r="AN290" s="31">
        <f>IF(A290="","",COUNTIFS('Job Tasks'!$B$5:$B$904,A290,'Job Tasks'!$H$5:$H$904,"Done"))</f>
        <v>0</v>
      </c>
      <c r="AO290" s="38">
        <f>IF(OR(A290="",AM290=0),"",AN290/AM290)</f>
        <v>0</v>
      </c>
      <c r="AP290" s="43">
        <f>IF(A290="","",IFERROR(INDEX('Invoice Lines'!$B$5:$B$804,MATCH(A290,'Invoice Lines'!$C$5:$C$804,0)),""))</f>
        <v>0</v>
      </c>
      <c r="AQ290" s="18">
        <f>IF(OR(G290="",B290="",X290&lt;&gt;"Yes"),"",IF(IFERROR(INDEX(FreqDays,MATCH(O290,FreqNames,0)),0)=0,"",B290+IFERROR(INDEX(FreqDays,MATCH(O290,FreqNames,0)),0)))</f>
        <v>0</v>
      </c>
      <c r="AR290" s="39">
        <f>IF(G290="","",IF(R290="","Unassigned",IF(COUNTIFS($R$5:$R$604,R290,$B$5:$B$604,B290,$F$5:$F$604,F290)&gt;1,"Clash",IF(SUMIFS($AF$5:$AF$604,$R$5:$R$604,R290,$B$5:$B$604,B290)&gt;ProductiveHours,"Long day","OK"))))</f>
        <v>0</v>
      </c>
      <c r="AS290" s="18">
        <f>IF(OR(G290="",B290=""),"",IF(AND(B290&gt;=TodayDate,P290&lt;&gt;"Cancelled"),B290,""))</f>
        <v>0</v>
      </c>
      <c r="AT290" s="31">
        <f>IF(AS290="","",COUNTIFS($AS$5:$AS$604,"&lt;"&amp;AS290)+COUNTIFS($AS$5:AS290,AS290))</f>
        <v>0</v>
      </c>
      <c r="AU290" s="18">
        <f>IF(OR(G290="",B290="",R290&lt;&gt;""),"",IF(AND(B290&gt;=TodayDate,P290&lt;&gt;"Cancelled"),B290,""))</f>
        <v>0</v>
      </c>
      <c r="AV290" s="31">
        <f>IF(AU290="","",COUNTIFS($AU$5:$AU$604,"&lt;"&amp;AU290)+COUNTIFS($AU$5:AU290,AU290))</f>
        <v>0</v>
      </c>
      <c r="AW290" s="31">
        <f>IF(OR(G290="",B290=""),"",B290-TodayDate)</f>
        <v>0</v>
      </c>
      <c r="AX290" s="39">
        <f>IF(G290="","",IF(P290="Cancelled","Cancelled",IF(P290="No access","Action - no access, rebook",IF(AND(B290&lt;&gt;"",AW290&lt;0,OR(P290="Booked",P290="Confirmed",P290="In progress")),"Late - mark it completed",IF(AND(P290="Completed",AP290=""),"Action - not invoiced yet",IF(AND(AW290&gt;=0,AW290&lt;=ReminderDays,Y290&lt;&gt;"Yes"),"Confirm - visit coming up",IF(R290="","Assign - no cleaner booked",IF(AND(P290="Completed",AO290&lt;&gt;"",AO290&lt;1),"Check - checklist unfinished","OK"))))))))</f>
        <v>0</v>
      </c>
    </row>
    <row r="291" spans="1:50">
      <c r="A291" s="43">
        <f>IF(G291="","",JobPrefix&amp;TEXT(ROW()-4,"0000"))</f>
        <v>0</v>
      </c>
      <c r="C291" s="23">
        <f>IF(B291="","",TEXT(B291,"ddd"))</f>
        <v>0</v>
      </c>
      <c r="D291" s="31">
        <f>IF(B291="","",WEEKNUM(B291,IF(WeekStart="Sunday",1,2)))</f>
        <v>0</v>
      </c>
      <c r="E291" s="23">
        <f>IF(B291="","",TEXT(B291,"yyyy-mm"))</f>
        <v>0</v>
      </c>
      <c r="H291" s="23">
        <f>IF(G291="","",IFERROR(INDEX(Clients!$B$5:$B$204,MATCH(G291,Clients!$A$5:$A$204,0)),"Not found"))</f>
        <v>0</v>
      </c>
      <c r="I291" s="23">
        <f>IF(G291="","",IFERROR(INDEX(Clients!$C$5:$C$204,MATCH(G291,Clients!$A$5:$A$204,0)),""))</f>
        <v>0</v>
      </c>
      <c r="K291" s="23">
        <f>IF(J291="","",IFERROR(INDEX(Properties!$B$5:$B$254,MATCH(J291,Properties!$A$5:$A$254,0)),""))</f>
        <v>0</v>
      </c>
      <c r="L291" s="23">
        <f>IF(J291="","",IFERROR(INDEX(Properties!$F$5:$F$254,MATCH(J291,Properties!$A$5:$A$254,0)),""))</f>
        <v>0</v>
      </c>
      <c r="AD291" s="34">
        <f>IF(G291="","",IF(U291&lt;&gt;"",U291,IF(AND(IFERROR(INDEX(Services!$D$5:$D$64,MATCH(M291,Services!$B$5:$B$64,0)),"")="Per hour",IFERROR(INDEX(Properties!$X$5:$X$254,MATCH(J291,Properties!$A$5:$A$254,0)),0)&gt;0),IFERROR(INDEX(Properties!$X$5:$X$254,MATCH(J291,Properties!$A$5:$A$254,0)),0),IF(IFERROR(INDEX(Services!$G$5:$G$64,MATCH(M291,Services!$B$5:$B$64,0)),0)&gt;0,IFERROR(INDEX(Services!$G$5:$G$64,MATCH(M291,Services!$B$5:$B$64,0)),0),IFERROR(INDEX(Properties!$X$5:$X$254,MATCH(J291,Properties!$A$5:$A$254,0)),0)))))</f>
        <v>0</v>
      </c>
      <c r="AE291" s="31">
        <f>IF(G291="","",IF(T291="",CleanersPerJob,MAX(1,T291)))</f>
        <v>0</v>
      </c>
      <c r="AF291" s="34">
        <f>IF(G291="","",ROUND(AD291/AE291,2))</f>
        <v>0</v>
      </c>
      <c r="AG291" s="53">
        <f>IF(OR(G291="",F291="",AF291=""),"",F291+AF291/24)</f>
        <v>0</v>
      </c>
      <c r="AH291" s="21">
        <f>IF(G291="","",IF(IFERROR(INDEX(Clients!$O$5:$O$204,MATCH(G291,Clients!$A$5:$A$204,0)),0)&gt;0,IFERROR(INDEX(Clients!$O$5:$O$204,MATCH(G291,Clients!$A$5:$A$204,0)),0),HourlyRate))</f>
        <v>0</v>
      </c>
      <c r="AI291" s="21">
        <f>IF(G291="","",IF(AND(M291&lt;&gt;"",IFERROR(INDEX(Services!$P$5:$P$64,MATCH(M291,Services!$B$5:$B$64,0)),0)&gt;0,IFERROR(INDEX(Services!$D$5:$D$64,MATCH(M291,Services!$B$5:$B$64,0)),"")&lt;&gt;"Per hour"),IFERROR(INDEX(Services!$P$5:$P$64,MATCH(M291,Services!$B$5:$B$64,0)),0),AD291*AH291))</f>
        <v>0</v>
      </c>
      <c r="AJ291" s="21">
        <f>IF(G291="","",IF(V291&lt;&gt;"",V291,IF(P291="Cancelled",0,MAX(MinimumCharge,ROUND(AI291*IFERROR(INDEX(FreqFactors,MATCH(O291,FreqNames,0)),1),2)))))</f>
        <v>0</v>
      </c>
      <c r="AK291" s="34">
        <f>IF(G291="","",IF(SUMIFS(Timesheets!$U$5:$U$804,Timesheets!$G$5:$G$804,A291)&gt;0,SUMIFS(Timesheets!$U$5:$U$804,Timesheets!$G$5:$G$804,A291),IF(Z291="","",Z291)))</f>
        <v>0</v>
      </c>
      <c r="AL291" s="34">
        <f>IF(OR(AK291="",AD291=""),"",AK291-AD291)</f>
        <v>0</v>
      </c>
      <c r="AM291" s="31">
        <f>IF(A291="","",COUNTIFS('Job Tasks'!$B$5:$B$904,A291))</f>
        <v>0</v>
      </c>
      <c r="AN291" s="31">
        <f>IF(A291="","",COUNTIFS('Job Tasks'!$B$5:$B$904,A291,'Job Tasks'!$H$5:$H$904,"Done"))</f>
        <v>0</v>
      </c>
      <c r="AO291" s="38">
        <f>IF(OR(A291="",AM291=0),"",AN291/AM291)</f>
        <v>0</v>
      </c>
      <c r="AP291" s="43">
        <f>IF(A291="","",IFERROR(INDEX('Invoice Lines'!$B$5:$B$804,MATCH(A291,'Invoice Lines'!$C$5:$C$804,0)),""))</f>
        <v>0</v>
      </c>
      <c r="AQ291" s="18">
        <f>IF(OR(G291="",B291="",X291&lt;&gt;"Yes"),"",IF(IFERROR(INDEX(FreqDays,MATCH(O291,FreqNames,0)),0)=0,"",B291+IFERROR(INDEX(FreqDays,MATCH(O291,FreqNames,0)),0)))</f>
        <v>0</v>
      </c>
      <c r="AR291" s="39">
        <f>IF(G291="","",IF(R291="","Unassigned",IF(COUNTIFS($R$5:$R$604,R291,$B$5:$B$604,B291,$F$5:$F$604,F291)&gt;1,"Clash",IF(SUMIFS($AF$5:$AF$604,$R$5:$R$604,R291,$B$5:$B$604,B291)&gt;ProductiveHours,"Long day","OK"))))</f>
        <v>0</v>
      </c>
      <c r="AS291" s="18">
        <f>IF(OR(G291="",B291=""),"",IF(AND(B291&gt;=TodayDate,P291&lt;&gt;"Cancelled"),B291,""))</f>
        <v>0</v>
      </c>
      <c r="AT291" s="31">
        <f>IF(AS291="","",COUNTIFS($AS$5:$AS$604,"&lt;"&amp;AS291)+COUNTIFS($AS$5:AS291,AS291))</f>
        <v>0</v>
      </c>
      <c r="AU291" s="18">
        <f>IF(OR(G291="",B291="",R291&lt;&gt;""),"",IF(AND(B291&gt;=TodayDate,P291&lt;&gt;"Cancelled"),B291,""))</f>
        <v>0</v>
      </c>
      <c r="AV291" s="31">
        <f>IF(AU291="","",COUNTIFS($AU$5:$AU$604,"&lt;"&amp;AU291)+COUNTIFS($AU$5:AU291,AU291))</f>
        <v>0</v>
      </c>
      <c r="AW291" s="31">
        <f>IF(OR(G291="",B291=""),"",B291-TodayDate)</f>
        <v>0</v>
      </c>
      <c r="AX291" s="39">
        <f>IF(G291="","",IF(P291="Cancelled","Cancelled",IF(P291="No access","Action - no access, rebook",IF(AND(B291&lt;&gt;"",AW291&lt;0,OR(P291="Booked",P291="Confirmed",P291="In progress")),"Late - mark it completed",IF(AND(P291="Completed",AP291=""),"Action - not invoiced yet",IF(AND(AW291&gt;=0,AW291&lt;=ReminderDays,Y291&lt;&gt;"Yes"),"Confirm - visit coming up",IF(R291="","Assign - no cleaner booked",IF(AND(P291="Completed",AO291&lt;&gt;"",AO291&lt;1),"Check - checklist unfinished","OK"))))))))</f>
        <v>0</v>
      </c>
    </row>
    <row r="292" spans="1:50">
      <c r="A292" s="43">
        <f>IF(G292="","",JobPrefix&amp;TEXT(ROW()-4,"0000"))</f>
        <v>0</v>
      </c>
      <c r="C292" s="23">
        <f>IF(B292="","",TEXT(B292,"ddd"))</f>
        <v>0</v>
      </c>
      <c r="D292" s="31">
        <f>IF(B292="","",WEEKNUM(B292,IF(WeekStart="Sunday",1,2)))</f>
        <v>0</v>
      </c>
      <c r="E292" s="23">
        <f>IF(B292="","",TEXT(B292,"yyyy-mm"))</f>
        <v>0</v>
      </c>
      <c r="H292" s="23">
        <f>IF(G292="","",IFERROR(INDEX(Clients!$B$5:$B$204,MATCH(G292,Clients!$A$5:$A$204,0)),"Not found"))</f>
        <v>0</v>
      </c>
      <c r="I292" s="23">
        <f>IF(G292="","",IFERROR(INDEX(Clients!$C$5:$C$204,MATCH(G292,Clients!$A$5:$A$204,0)),""))</f>
        <v>0</v>
      </c>
      <c r="K292" s="23">
        <f>IF(J292="","",IFERROR(INDEX(Properties!$B$5:$B$254,MATCH(J292,Properties!$A$5:$A$254,0)),""))</f>
        <v>0</v>
      </c>
      <c r="L292" s="23">
        <f>IF(J292="","",IFERROR(INDEX(Properties!$F$5:$F$254,MATCH(J292,Properties!$A$5:$A$254,0)),""))</f>
        <v>0</v>
      </c>
      <c r="AD292" s="34">
        <f>IF(G292="","",IF(U292&lt;&gt;"",U292,IF(AND(IFERROR(INDEX(Services!$D$5:$D$64,MATCH(M292,Services!$B$5:$B$64,0)),"")="Per hour",IFERROR(INDEX(Properties!$X$5:$X$254,MATCH(J292,Properties!$A$5:$A$254,0)),0)&gt;0),IFERROR(INDEX(Properties!$X$5:$X$254,MATCH(J292,Properties!$A$5:$A$254,0)),0),IF(IFERROR(INDEX(Services!$G$5:$G$64,MATCH(M292,Services!$B$5:$B$64,0)),0)&gt;0,IFERROR(INDEX(Services!$G$5:$G$64,MATCH(M292,Services!$B$5:$B$64,0)),0),IFERROR(INDEX(Properties!$X$5:$X$254,MATCH(J292,Properties!$A$5:$A$254,0)),0)))))</f>
        <v>0</v>
      </c>
      <c r="AE292" s="31">
        <f>IF(G292="","",IF(T292="",CleanersPerJob,MAX(1,T292)))</f>
        <v>0</v>
      </c>
      <c r="AF292" s="34">
        <f>IF(G292="","",ROUND(AD292/AE292,2))</f>
        <v>0</v>
      </c>
      <c r="AG292" s="53">
        <f>IF(OR(G292="",F292="",AF292=""),"",F292+AF292/24)</f>
        <v>0</v>
      </c>
      <c r="AH292" s="21">
        <f>IF(G292="","",IF(IFERROR(INDEX(Clients!$O$5:$O$204,MATCH(G292,Clients!$A$5:$A$204,0)),0)&gt;0,IFERROR(INDEX(Clients!$O$5:$O$204,MATCH(G292,Clients!$A$5:$A$204,0)),0),HourlyRate))</f>
        <v>0</v>
      </c>
      <c r="AI292" s="21">
        <f>IF(G292="","",IF(AND(M292&lt;&gt;"",IFERROR(INDEX(Services!$P$5:$P$64,MATCH(M292,Services!$B$5:$B$64,0)),0)&gt;0,IFERROR(INDEX(Services!$D$5:$D$64,MATCH(M292,Services!$B$5:$B$64,0)),"")&lt;&gt;"Per hour"),IFERROR(INDEX(Services!$P$5:$P$64,MATCH(M292,Services!$B$5:$B$64,0)),0),AD292*AH292))</f>
        <v>0</v>
      </c>
      <c r="AJ292" s="21">
        <f>IF(G292="","",IF(V292&lt;&gt;"",V292,IF(P292="Cancelled",0,MAX(MinimumCharge,ROUND(AI292*IFERROR(INDEX(FreqFactors,MATCH(O292,FreqNames,0)),1),2)))))</f>
        <v>0</v>
      </c>
      <c r="AK292" s="34">
        <f>IF(G292="","",IF(SUMIFS(Timesheets!$U$5:$U$804,Timesheets!$G$5:$G$804,A292)&gt;0,SUMIFS(Timesheets!$U$5:$U$804,Timesheets!$G$5:$G$804,A292),IF(Z292="","",Z292)))</f>
        <v>0</v>
      </c>
      <c r="AL292" s="34">
        <f>IF(OR(AK292="",AD292=""),"",AK292-AD292)</f>
        <v>0</v>
      </c>
      <c r="AM292" s="31">
        <f>IF(A292="","",COUNTIFS('Job Tasks'!$B$5:$B$904,A292))</f>
        <v>0</v>
      </c>
      <c r="AN292" s="31">
        <f>IF(A292="","",COUNTIFS('Job Tasks'!$B$5:$B$904,A292,'Job Tasks'!$H$5:$H$904,"Done"))</f>
        <v>0</v>
      </c>
      <c r="AO292" s="38">
        <f>IF(OR(A292="",AM292=0),"",AN292/AM292)</f>
        <v>0</v>
      </c>
      <c r="AP292" s="43">
        <f>IF(A292="","",IFERROR(INDEX('Invoice Lines'!$B$5:$B$804,MATCH(A292,'Invoice Lines'!$C$5:$C$804,0)),""))</f>
        <v>0</v>
      </c>
      <c r="AQ292" s="18">
        <f>IF(OR(G292="",B292="",X292&lt;&gt;"Yes"),"",IF(IFERROR(INDEX(FreqDays,MATCH(O292,FreqNames,0)),0)=0,"",B292+IFERROR(INDEX(FreqDays,MATCH(O292,FreqNames,0)),0)))</f>
        <v>0</v>
      </c>
      <c r="AR292" s="39">
        <f>IF(G292="","",IF(R292="","Unassigned",IF(COUNTIFS($R$5:$R$604,R292,$B$5:$B$604,B292,$F$5:$F$604,F292)&gt;1,"Clash",IF(SUMIFS($AF$5:$AF$604,$R$5:$R$604,R292,$B$5:$B$604,B292)&gt;ProductiveHours,"Long day","OK"))))</f>
        <v>0</v>
      </c>
      <c r="AS292" s="18">
        <f>IF(OR(G292="",B292=""),"",IF(AND(B292&gt;=TodayDate,P292&lt;&gt;"Cancelled"),B292,""))</f>
        <v>0</v>
      </c>
      <c r="AT292" s="31">
        <f>IF(AS292="","",COUNTIFS($AS$5:$AS$604,"&lt;"&amp;AS292)+COUNTIFS($AS$5:AS292,AS292))</f>
        <v>0</v>
      </c>
      <c r="AU292" s="18">
        <f>IF(OR(G292="",B292="",R292&lt;&gt;""),"",IF(AND(B292&gt;=TodayDate,P292&lt;&gt;"Cancelled"),B292,""))</f>
        <v>0</v>
      </c>
      <c r="AV292" s="31">
        <f>IF(AU292="","",COUNTIFS($AU$5:$AU$604,"&lt;"&amp;AU292)+COUNTIFS($AU$5:AU292,AU292))</f>
        <v>0</v>
      </c>
      <c r="AW292" s="31">
        <f>IF(OR(G292="",B292=""),"",B292-TodayDate)</f>
        <v>0</v>
      </c>
      <c r="AX292" s="39">
        <f>IF(G292="","",IF(P292="Cancelled","Cancelled",IF(P292="No access","Action - no access, rebook",IF(AND(B292&lt;&gt;"",AW292&lt;0,OR(P292="Booked",P292="Confirmed",P292="In progress")),"Late - mark it completed",IF(AND(P292="Completed",AP292=""),"Action - not invoiced yet",IF(AND(AW292&gt;=0,AW292&lt;=ReminderDays,Y292&lt;&gt;"Yes"),"Confirm - visit coming up",IF(R292="","Assign - no cleaner booked",IF(AND(P292="Completed",AO292&lt;&gt;"",AO292&lt;1),"Check - checklist unfinished","OK"))))))))</f>
        <v>0</v>
      </c>
    </row>
    <row r="293" spans="1:50">
      <c r="A293" s="43">
        <f>IF(G293="","",JobPrefix&amp;TEXT(ROW()-4,"0000"))</f>
        <v>0</v>
      </c>
      <c r="C293" s="23">
        <f>IF(B293="","",TEXT(B293,"ddd"))</f>
        <v>0</v>
      </c>
      <c r="D293" s="31">
        <f>IF(B293="","",WEEKNUM(B293,IF(WeekStart="Sunday",1,2)))</f>
        <v>0</v>
      </c>
      <c r="E293" s="23">
        <f>IF(B293="","",TEXT(B293,"yyyy-mm"))</f>
        <v>0</v>
      </c>
      <c r="H293" s="23">
        <f>IF(G293="","",IFERROR(INDEX(Clients!$B$5:$B$204,MATCH(G293,Clients!$A$5:$A$204,0)),"Not found"))</f>
        <v>0</v>
      </c>
      <c r="I293" s="23">
        <f>IF(G293="","",IFERROR(INDEX(Clients!$C$5:$C$204,MATCH(G293,Clients!$A$5:$A$204,0)),""))</f>
        <v>0</v>
      </c>
      <c r="K293" s="23">
        <f>IF(J293="","",IFERROR(INDEX(Properties!$B$5:$B$254,MATCH(J293,Properties!$A$5:$A$254,0)),""))</f>
        <v>0</v>
      </c>
      <c r="L293" s="23">
        <f>IF(J293="","",IFERROR(INDEX(Properties!$F$5:$F$254,MATCH(J293,Properties!$A$5:$A$254,0)),""))</f>
        <v>0</v>
      </c>
      <c r="AD293" s="34">
        <f>IF(G293="","",IF(U293&lt;&gt;"",U293,IF(AND(IFERROR(INDEX(Services!$D$5:$D$64,MATCH(M293,Services!$B$5:$B$64,0)),"")="Per hour",IFERROR(INDEX(Properties!$X$5:$X$254,MATCH(J293,Properties!$A$5:$A$254,0)),0)&gt;0),IFERROR(INDEX(Properties!$X$5:$X$254,MATCH(J293,Properties!$A$5:$A$254,0)),0),IF(IFERROR(INDEX(Services!$G$5:$G$64,MATCH(M293,Services!$B$5:$B$64,0)),0)&gt;0,IFERROR(INDEX(Services!$G$5:$G$64,MATCH(M293,Services!$B$5:$B$64,0)),0),IFERROR(INDEX(Properties!$X$5:$X$254,MATCH(J293,Properties!$A$5:$A$254,0)),0)))))</f>
        <v>0</v>
      </c>
      <c r="AE293" s="31">
        <f>IF(G293="","",IF(T293="",CleanersPerJob,MAX(1,T293)))</f>
        <v>0</v>
      </c>
      <c r="AF293" s="34">
        <f>IF(G293="","",ROUND(AD293/AE293,2))</f>
        <v>0</v>
      </c>
      <c r="AG293" s="53">
        <f>IF(OR(G293="",F293="",AF293=""),"",F293+AF293/24)</f>
        <v>0</v>
      </c>
      <c r="AH293" s="21">
        <f>IF(G293="","",IF(IFERROR(INDEX(Clients!$O$5:$O$204,MATCH(G293,Clients!$A$5:$A$204,0)),0)&gt;0,IFERROR(INDEX(Clients!$O$5:$O$204,MATCH(G293,Clients!$A$5:$A$204,0)),0),HourlyRate))</f>
        <v>0</v>
      </c>
      <c r="AI293" s="21">
        <f>IF(G293="","",IF(AND(M293&lt;&gt;"",IFERROR(INDEX(Services!$P$5:$P$64,MATCH(M293,Services!$B$5:$B$64,0)),0)&gt;0,IFERROR(INDEX(Services!$D$5:$D$64,MATCH(M293,Services!$B$5:$B$64,0)),"")&lt;&gt;"Per hour"),IFERROR(INDEX(Services!$P$5:$P$64,MATCH(M293,Services!$B$5:$B$64,0)),0),AD293*AH293))</f>
        <v>0</v>
      </c>
      <c r="AJ293" s="21">
        <f>IF(G293="","",IF(V293&lt;&gt;"",V293,IF(P293="Cancelled",0,MAX(MinimumCharge,ROUND(AI293*IFERROR(INDEX(FreqFactors,MATCH(O293,FreqNames,0)),1),2)))))</f>
        <v>0</v>
      </c>
      <c r="AK293" s="34">
        <f>IF(G293="","",IF(SUMIFS(Timesheets!$U$5:$U$804,Timesheets!$G$5:$G$804,A293)&gt;0,SUMIFS(Timesheets!$U$5:$U$804,Timesheets!$G$5:$G$804,A293),IF(Z293="","",Z293)))</f>
        <v>0</v>
      </c>
      <c r="AL293" s="34">
        <f>IF(OR(AK293="",AD293=""),"",AK293-AD293)</f>
        <v>0</v>
      </c>
      <c r="AM293" s="31">
        <f>IF(A293="","",COUNTIFS('Job Tasks'!$B$5:$B$904,A293))</f>
        <v>0</v>
      </c>
      <c r="AN293" s="31">
        <f>IF(A293="","",COUNTIFS('Job Tasks'!$B$5:$B$904,A293,'Job Tasks'!$H$5:$H$904,"Done"))</f>
        <v>0</v>
      </c>
      <c r="AO293" s="38">
        <f>IF(OR(A293="",AM293=0),"",AN293/AM293)</f>
        <v>0</v>
      </c>
      <c r="AP293" s="43">
        <f>IF(A293="","",IFERROR(INDEX('Invoice Lines'!$B$5:$B$804,MATCH(A293,'Invoice Lines'!$C$5:$C$804,0)),""))</f>
        <v>0</v>
      </c>
      <c r="AQ293" s="18">
        <f>IF(OR(G293="",B293="",X293&lt;&gt;"Yes"),"",IF(IFERROR(INDEX(FreqDays,MATCH(O293,FreqNames,0)),0)=0,"",B293+IFERROR(INDEX(FreqDays,MATCH(O293,FreqNames,0)),0)))</f>
        <v>0</v>
      </c>
      <c r="AR293" s="39">
        <f>IF(G293="","",IF(R293="","Unassigned",IF(COUNTIFS($R$5:$R$604,R293,$B$5:$B$604,B293,$F$5:$F$604,F293)&gt;1,"Clash",IF(SUMIFS($AF$5:$AF$604,$R$5:$R$604,R293,$B$5:$B$604,B293)&gt;ProductiveHours,"Long day","OK"))))</f>
        <v>0</v>
      </c>
      <c r="AS293" s="18">
        <f>IF(OR(G293="",B293=""),"",IF(AND(B293&gt;=TodayDate,P293&lt;&gt;"Cancelled"),B293,""))</f>
        <v>0</v>
      </c>
      <c r="AT293" s="31">
        <f>IF(AS293="","",COUNTIFS($AS$5:$AS$604,"&lt;"&amp;AS293)+COUNTIFS($AS$5:AS293,AS293))</f>
        <v>0</v>
      </c>
      <c r="AU293" s="18">
        <f>IF(OR(G293="",B293="",R293&lt;&gt;""),"",IF(AND(B293&gt;=TodayDate,P293&lt;&gt;"Cancelled"),B293,""))</f>
        <v>0</v>
      </c>
      <c r="AV293" s="31">
        <f>IF(AU293="","",COUNTIFS($AU$5:$AU$604,"&lt;"&amp;AU293)+COUNTIFS($AU$5:AU293,AU293))</f>
        <v>0</v>
      </c>
      <c r="AW293" s="31">
        <f>IF(OR(G293="",B293=""),"",B293-TodayDate)</f>
        <v>0</v>
      </c>
      <c r="AX293" s="39">
        <f>IF(G293="","",IF(P293="Cancelled","Cancelled",IF(P293="No access","Action - no access, rebook",IF(AND(B293&lt;&gt;"",AW293&lt;0,OR(P293="Booked",P293="Confirmed",P293="In progress")),"Late - mark it completed",IF(AND(P293="Completed",AP293=""),"Action - not invoiced yet",IF(AND(AW293&gt;=0,AW293&lt;=ReminderDays,Y293&lt;&gt;"Yes"),"Confirm - visit coming up",IF(R293="","Assign - no cleaner booked",IF(AND(P293="Completed",AO293&lt;&gt;"",AO293&lt;1),"Check - checklist unfinished","OK"))))))))</f>
        <v>0</v>
      </c>
    </row>
    <row r="294" spans="1:50">
      <c r="A294" s="43">
        <f>IF(G294="","",JobPrefix&amp;TEXT(ROW()-4,"0000"))</f>
        <v>0</v>
      </c>
      <c r="C294" s="23">
        <f>IF(B294="","",TEXT(B294,"ddd"))</f>
        <v>0</v>
      </c>
      <c r="D294" s="31">
        <f>IF(B294="","",WEEKNUM(B294,IF(WeekStart="Sunday",1,2)))</f>
        <v>0</v>
      </c>
      <c r="E294" s="23">
        <f>IF(B294="","",TEXT(B294,"yyyy-mm"))</f>
        <v>0</v>
      </c>
      <c r="H294" s="23">
        <f>IF(G294="","",IFERROR(INDEX(Clients!$B$5:$B$204,MATCH(G294,Clients!$A$5:$A$204,0)),"Not found"))</f>
        <v>0</v>
      </c>
      <c r="I294" s="23">
        <f>IF(G294="","",IFERROR(INDEX(Clients!$C$5:$C$204,MATCH(G294,Clients!$A$5:$A$204,0)),""))</f>
        <v>0</v>
      </c>
      <c r="K294" s="23">
        <f>IF(J294="","",IFERROR(INDEX(Properties!$B$5:$B$254,MATCH(J294,Properties!$A$5:$A$254,0)),""))</f>
        <v>0</v>
      </c>
      <c r="L294" s="23">
        <f>IF(J294="","",IFERROR(INDEX(Properties!$F$5:$F$254,MATCH(J294,Properties!$A$5:$A$254,0)),""))</f>
        <v>0</v>
      </c>
      <c r="AD294" s="34">
        <f>IF(G294="","",IF(U294&lt;&gt;"",U294,IF(AND(IFERROR(INDEX(Services!$D$5:$D$64,MATCH(M294,Services!$B$5:$B$64,0)),"")="Per hour",IFERROR(INDEX(Properties!$X$5:$X$254,MATCH(J294,Properties!$A$5:$A$254,0)),0)&gt;0),IFERROR(INDEX(Properties!$X$5:$X$254,MATCH(J294,Properties!$A$5:$A$254,0)),0),IF(IFERROR(INDEX(Services!$G$5:$G$64,MATCH(M294,Services!$B$5:$B$64,0)),0)&gt;0,IFERROR(INDEX(Services!$G$5:$G$64,MATCH(M294,Services!$B$5:$B$64,0)),0),IFERROR(INDEX(Properties!$X$5:$X$254,MATCH(J294,Properties!$A$5:$A$254,0)),0)))))</f>
        <v>0</v>
      </c>
      <c r="AE294" s="31">
        <f>IF(G294="","",IF(T294="",CleanersPerJob,MAX(1,T294)))</f>
        <v>0</v>
      </c>
      <c r="AF294" s="34">
        <f>IF(G294="","",ROUND(AD294/AE294,2))</f>
        <v>0</v>
      </c>
      <c r="AG294" s="53">
        <f>IF(OR(G294="",F294="",AF294=""),"",F294+AF294/24)</f>
        <v>0</v>
      </c>
      <c r="AH294" s="21">
        <f>IF(G294="","",IF(IFERROR(INDEX(Clients!$O$5:$O$204,MATCH(G294,Clients!$A$5:$A$204,0)),0)&gt;0,IFERROR(INDEX(Clients!$O$5:$O$204,MATCH(G294,Clients!$A$5:$A$204,0)),0),HourlyRate))</f>
        <v>0</v>
      </c>
      <c r="AI294" s="21">
        <f>IF(G294="","",IF(AND(M294&lt;&gt;"",IFERROR(INDEX(Services!$P$5:$P$64,MATCH(M294,Services!$B$5:$B$64,0)),0)&gt;0,IFERROR(INDEX(Services!$D$5:$D$64,MATCH(M294,Services!$B$5:$B$64,0)),"")&lt;&gt;"Per hour"),IFERROR(INDEX(Services!$P$5:$P$64,MATCH(M294,Services!$B$5:$B$64,0)),0),AD294*AH294))</f>
        <v>0</v>
      </c>
      <c r="AJ294" s="21">
        <f>IF(G294="","",IF(V294&lt;&gt;"",V294,IF(P294="Cancelled",0,MAX(MinimumCharge,ROUND(AI294*IFERROR(INDEX(FreqFactors,MATCH(O294,FreqNames,0)),1),2)))))</f>
        <v>0</v>
      </c>
      <c r="AK294" s="34">
        <f>IF(G294="","",IF(SUMIFS(Timesheets!$U$5:$U$804,Timesheets!$G$5:$G$804,A294)&gt;0,SUMIFS(Timesheets!$U$5:$U$804,Timesheets!$G$5:$G$804,A294),IF(Z294="","",Z294)))</f>
        <v>0</v>
      </c>
      <c r="AL294" s="34">
        <f>IF(OR(AK294="",AD294=""),"",AK294-AD294)</f>
        <v>0</v>
      </c>
      <c r="AM294" s="31">
        <f>IF(A294="","",COUNTIFS('Job Tasks'!$B$5:$B$904,A294))</f>
        <v>0</v>
      </c>
      <c r="AN294" s="31">
        <f>IF(A294="","",COUNTIFS('Job Tasks'!$B$5:$B$904,A294,'Job Tasks'!$H$5:$H$904,"Done"))</f>
        <v>0</v>
      </c>
      <c r="AO294" s="38">
        <f>IF(OR(A294="",AM294=0),"",AN294/AM294)</f>
        <v>0</v>
      </c>
      <c r="AP294" s="43">
        <f>IF(A294="","",IFERROR(INDEX('Invoice Lines'!$B$5:$B$804,MATCH(A294,'Invoice Lines'!$C$5:$C$804,0)),""))</f>
        <v>0</v>
      </c>
      <c r="AQ294" s="18">
        <f>IF(OR(G294="",B294="",X294&lt;&gt;"Yes"),"",IF(IFERROR(INDEX(FreqDays,MATCH(O294,FreqNames,0)),0)=0,"",B294+IFERROR(INDEX(FreqDays,MATCH(O294,FreqNames,0)),0)))</f>
        <v>0</v>
      </c>
      <c r="AR294" s="39">
        <f>IF(G294="","",IF(R294="","Unassigned",IF(COUNTIFS($R$5:$R$604,R294,$B$5:$B$604,B294,$F$5:$F$604,F294)&gt;1,"Clash",IF(SUMIFS($AF$5:$AF$604,$R$5:$R$604,R294,$B$5:$B$604,B294)&gt;ProductiveHours,"Long day","OK"))))</f>
        <v>0</v>
      </c>
      <c r="AS294" s="18">
        <f>IF(OR(G294="",B294=""),"",IF(AND(B294&gt;=TodayDate,P294&lt;&gt;"Cancelled"),B294,""))</f>
        <v>0</v>
      </c>
      <c r="AT294" s="31">
        <f>IF(AS294="","",COUNTIFS($AS$5:$AS$604,"&lt;"&amp;AS294)+COUNTIFS($AS$5:AS294,AS294))</f>
        <v>0</v>
      </c>
      <c r="AU294" s="18">
        <f>IF(OR(G294="",B294="",R294&lt;&gt;""),"",IF(AND(B294&gt;=TodayDate,P294&lt;&gt;"Cancelled"),B294,""))</f>
        <v>0</v>
      </c>
      <c r="AV294" s="31">
        <f>IF(AU294="","",COUNTIFS($AU$5:$AU$604,"&lt;"&amp;AU294)+COUNTIFS($AU$5:AU294,AU294))</f>
        <v>0</v>
      </c>
      <c r="AW294" s="31">
        <f>IF(OR(G294="",B294=""),"",B294-TodayDate)</f>
        <v>0</v>
      </c>
      <c r="AX294" s="39">
        <f>IF(G294="","",IF(P294="Cancelled","Cancelled",IF(P294="No access","Action - no access, rebook",IF(AND(B294&lt;&gt;"",AW294&lt;0,OR(P294="Booked",P294="Confirmed",P294="In progress")),"Late - mark it completed",IF(AND(P294="Completed",AP294=""),"Action - not invoiced yet",IF(AND(AW294&gt;=0,AW294&lt;=ReminderDays,Y294&lt;&gt;"Yes"),"Confirm - visit coming up",IF(R294="","Assign - no cleaner booked",IF(AND(P294="Completed",AO294&lt;&gt;"",AO294&lt;1),"Check - checklist unfinished","OK"))))))))</f>
        <v>0</v>
      </c>
    </row>
    <row r="295" spans="1:50">
      <c r="A295" s="43">
        <f>IF(G295="","",JobPrefix&amp;TEXT(ROW()-4,"0000"))</f>
        <v>0</v>
      </c>
      <c r="C295" s="23">
        <f>IF(B295="","",TEXT(B295,"ddd"))</f>
        <v>0</v>
      </c>
      <c r="D295" s="31">
        <f>IF(B295="","",WEEKNUM(B295,IF(WeekStart="Sunday",1,2)))</f>
        <v>0</v>
      </c>
      <c r="E295" s="23">
        <f>IF(B295="","",TEXT(B295,"yyyy-mm"))</f>
        <v>0</v>
      </c>
      <c r="H295" s="23">
        <f>IF(G295="","",IFERROR(INDEX(Clients!$B$5:$B$204,MATCH(G295,Clients!$A$5:$A$204,0)),"Not found"))</f>
        <v>0</v>
      </c>
      <c r="I295" s="23">
        <f>IF(G295="","",IFERROR(INDEX(Clients!$C$5:$C$204,MATCH(G295,Clients!$A$5:$A$204,0)),""))</f>
        <v>0</v>
      </c>
      <c r="K295" s="23">
        <f>IF(J295="","",IFERROR(INDEX(Properties!$B$5:$B$254,MATCH(J295,Properties!$A$5:$A$254,0)),""))</f>
        <v>0</v>
      </c>
      <c r="L295" s="23">
        <f>IF(J295="","",IFERROR(INDEX(Properties!$F$5:$F$254,MATCH(J295,Properties!$A$5:$A$254,0)),""))</f>
        <v>0</v>
      </c>
      <c r="AD295" s="34">
        <f>IF(G295="","",IF(U295&lt;&gt;"",U295,IF(AND(IFERROR(INDEX(Services!$D$5:$D$64,MATCH(M295,Services!$B$5:$B$64,0)),"")="Per hour",IFERROR(INDEX(Properties!$X$5:$X$254,MATCH(J295,Properties!$A$5:$A$254,0)),0)&gt;0),IFERROR(INDEX(Properties!$X$5:$X$254,MATCH(J295,Properties!$A$5:$A$254,0)),0),IF(IFERROR(INDEX(Services!$G$5:$G$64,MATCH(M295,Services!$B$5:$B$64,0)),0)&gt;0,IFERROR(INDEX(Services!$G$5:$G$64,MATCH(M295,Services!$B$5:$B$64,0)),0),IFERROR(INDEX(Properties!$X$5:$X$254,MATCH(J295,Properties!$A$5:$A$254,0)),0)))))</f>
        <v>0</v>
      </c>
      <c r="AE295" s="31">
        <f>IF(G295="","",IF(T295="",CleanersPerJob,MAX(1,T295)))</f>
        <v>0</v>
      </c>
      <c r="AF295" s="34">
        <f>IF(G295="","",ROUND(AD295/AE295,2))</f>
        <v>0</v>
      </c>
      <c r="AG295" s="53">
        <f>IF(OR(G295="",F295="",AF295=""),"",F295+AF295/24)</f>
        <v>0</v>
      </c>
      <c r="AH295" s="21">
        <f>IF(G295="","",IF(IFERROR(INDEX(Clients!$O$5:$O$204,MATCH(G295,Clients!$A$5:$A$204,0)),0)&gt;0,IFERROR(INDEX(Clients!$O$5:$O$204,MATCH(G295,Clients!$A$5:$A$204,0)),0),HourlyRate))</f>
        <v>0</v>
      </c>
      <c r="AI295" s="21">
        <f>IF(G295="","",IF(AND(M295&lt;&gt;"",IFERROR(INDEX(Services!$P$5:$P$64,MATCH(M295,Services!$B$5:$B$64,0)),0)&gt;0,IFERROR(INDEX(Services!$D$5:$D$64,MATCH(M295,Services!$B$5:$B$64,0)),"")&lt;&gt;"Per hour"),IFERROR(INDEX(Services!$P$5:$P$64,MATCH(M295,Services!$B$5:$B$64,0)),0),AD295*AH295))</f>
        <v>0</v>
      </c>
      <c r="AJ295" s="21">
        <f>IF(G295="","",IF(V295&lt;&gt;"",V295,IF(P295="Cancelled",0,MAX(MinimumCharge,ROUND(AI295*IFERROR(INDEX(FreqFactors,MATCH(O295,FreqNames,0)),1),2)))))</f>
        <v>0</v>
      </c>
      <c r="AK295" s="34">
        <f>IF(G295="","",IF(SUMIFS(Timesheets!$U$5:$U$804,Timesheets!$G$5:$G$804,A295)&gt;0,SUMIFS(Timesheets!$U$5:$U$804,Timesheets!$G$5:$G$804,A295),IF(Z295="","",Z295)))</f>
        <v>0</v>
      </c>
      <c r="AL295" s="34">
        <f>IF(OR(AK295="",AD295=""),"",AK295-AD295)</f>
        <v>0</v>
      </c>
      <c r="AM295" s="31">
        <f>IF(A295="","",COUNTIFS('Job Tasks'!$B$5:$B$904,A295))</f>
        <v>0</v>
      </c>
      <c r="AN295" s="31">
        <f>IF(A295="","",COUNTIFS('Job Tasks'!$B$5:$B$904,A295,'Job Tasks'!$H$5:$H$904,"Done"))</f>
        <v>0</v>
      </c>
      <c r="AO295" s="38">
        <f>IF(OR(A295="",AM295=0),"",AN295/AM295)</f>
        <v>0</v>
      </c>
      <c r="AP295" s="43">
        <f>IF(A295="","",IFERROR(INDEX('Invoice Lines'!$B$5:$B$804,MATCH(A295,'Invoice Lines'!$C$5:$C$804,0)),""))</f>
        <v>0</v>
      </c>
      <c r="AQ295" s="18">
        <f>IF(OR(G295="",B295="",X295&lt;&gt;"Yes"),"",IF(IFERROR(INDEX(FreqDays,MATCH(O295,FreqNames,0)),0)=0,"",B295+IFERROR(INDEX(FreqDays,MATCH(O295,FreqNames,0)),0)))</f>
        <v>0</v>
      </c>
      <c r="AR295" s="39">
        <f>IF(G295="","",IF(R295="","Unassigned",IF(COUNTIFS($R$5:$R$604,R295,$B$5:$B$604,B295,$F$5:$F$604,F295)&gt;1,"Clash",IF(SUMIFS($AF$5:$AF$604,$R$5:$R$604,R295,$B$5:$B$604,B295)&gt;ProductiveHours,"Long day","OK"))))</f>
        <v>0</v>
      </c>
      <c r="AS295" s="18">
        <f>IF(OR(G295="",B295=""),"",IF(AND(B295&gt;=TodayDate,P295&lt;&gt;"Cancelled"),B295,""))</f>
        <v>0</v>
      </c>
      <c r="AT295" s="31">
        <f>IF(AS295="","",COUNTIFS($AS$5:$AS$604,"&lt;"&amp;AS295)+COUNTIFS($AS$5:AS295,AS295))</f>
        <v>0</v>
      </c>
      <c r="AU295" s="18">
        <f>IF(OR(G295="",B295="",R295&lt;&gt;""),"",IF(AND(B295&gt;=TodayDate,P295&lt;&gt;"Cancelled"),B295,""))</f>
        <v>0</v>
      </c>
      <c r="AV295" s="31">
        <f>IF(AU295="","",COUNTIFS($AU$5:$AU$604,"&lt;"&amp;AU295)+COUNTIFS($AU$5:AU295,AU295))</f>
        <v>0</v>
      </c>
      <c r="AW295" s="31">
        <f>IF(OR(G295="",B295=""),"",B295-TodayDate)</f>
        <v>0</v>
      </c>
      <c r="AX295" s="39">
        <f>IF(G295="","",IF(P295="Cancelled","Cancelled",IF(P295="No access","Action - no access, rebook",IF(AND(B295&lt;&gt;"",AW295&lt;0,OR(P295="Booked",P295="Confirmed",P295="In progress")),"Late - mark it completed",IF(AND(P295="Completed",AP295=""),"Action - not invoiced yet",IF(AND(AW295&gt;=0,AW295&lt;=ReminderDays,Y295&lt;&gt;"Yes"),"Confirm - visit coming up",IF(R295="","Assign - no cleaner booked",IF(AND(P295="Completed",AO295&lt;&gt;"",AO295&lt;1),"Check - checklist unfinished","OK"))))))))</f>
        <v>0</v>
      </c>
    </row>
    <row r="296" spans="1:50">
      <c r="A296" s="43">
        <f>IF(G296="","",JobPrefix&amp;TEXT(ROW()-4,"0000"))</f>
        <v>0</v>
      </c>
      <c r="C296" s="23">
        <f>IF(B296="","",TEXT(B296,"ddd"))</f>
        <v>0</v>
      </c>
      <c r="D296" s="31">
        <f>IF(B296="","",WEEKNUM(B296,IF(WeekStart="Sunday",1,2)))</f>
        <v>0</v>
      </c>
      <c r="E296" s="23">
        <f>IF(B296="","",TEXT(B296,"yyyy-mm"))</f>
        <v>0</v>
      </c>
      <c r="H296" s="23">
        <f>IF(G296="","",IFERROR(INDEX(Clients!$B$5:$B$204,MATCH(G296,Clients!$A$5:$A$204,0)),"Not found"))</f>
        <v>0</v>
      </c>
      <c r="I296" s="23">
        <f>IF(G296="","",IFERROR(INDEX(Clients!$C$5:$C$204,MATCH(G296,Clients!$A$5:$A$204,0)),""))</f>
        <v>0</v>
      </c>
      <c r="K296" s="23">
        <f>IF(J296="","",IFERROR(INDEX(Properties!$B$5:$B$254,MATCH(J296,Properties!$A$5:$A$254,0)),""))</f>
        <v>0</v>
      </c>
      <c r="L296" s="23">
        <f>IF(J296="","",IFERROR(INDEX(Properties!$F$5:$F$254,MATCH(J296,Properties!$A$5:$A$254,0)),""))</f>
        <v>0</v>
      </c>
      <c r="AD296" s="34">
        <f>IF(G296="","",IF(U296&lt;&gt;"",U296,IF(AND(IFERROR(INDEX(Services!$D$5:$D$64,MATCH(M296,Services!$B$5:$B$64,0)),"")="Per hour",IFERROR(INDEX(Properties!$X$5:$X$254,MATCH(J296,Properties!$A$5:$A$254,0)),0)&gt;0),IFERROR(INDEX(Properties!$X$5:$X$254,MATCH(J296,Properties!$A$5:$A$254,0)),0),IF(IFERROR(INDEX(Services!$G$5:$G$64,MATCH(M296,Services!$B$5:$B$64,0)),0)&gt;0,IFERROR(INDEX(Services!$G$5:$G$64,MATCH(M296,Services!$B$5:$B$64,0)),0),IFERROR(INDEX(Properties!$X$5:$X$254,MATCH(J296,Properties!$A$5:$A$254,0)),0)))))</f>
        <v>0</v>
      </c>
      <c r="AE296" s="31">
        <f>IF(G296="","",IF(T296="",CleanersPerJob,MAX(1,T296)))</f>
        <v>0</v>
      </c>
      <c r="AF296" s="34">
        <f>IF(G296="","",ROUND(AD296/AE296,2))</f>
        <v>0</v>
      </c>
      <c r="AG296" s="53">
        <f>IF(OR(G296="",F296="",AF296=""),"",F296+AF296/24)</f>
        <v>0</v>
      </c>
      <c r="AH296" s="21">
        <f>IF(G296="","",IF(IFERROR(INDEX(Clients!$O$5:$O$204,MATCH(G296,Clients!$A$5:$A$204,0)),0)&gt;0,IFERROR(INDEX(Clients!$O$5:$O$204,MATCH(G296,Clients!$A$5:$A$204,0)),0),HourlyRate))</f>
        <v>0</v>
      </c>
      <c r="AI296" s="21">
        <f>IF(G296="","",IF(AND(M296&lt;&gt;"",IFERROR(INDEX(Services!$P$5:$P$64,MATCH(M296,Services!$B$5:$B$64,0)),0)&gt;0,IFERROR(INDEX(Services!$D$5:$D$64,MATCH(M296,Services!$B$5:$B$64,0)),"")&lt;&gt;"Per hour"),IFERROR(INDEX(Services!$P$5:$P$64,MATCH(M296,Services!$B$5:$B$64,0)),0),AD296*AH296))</f>
        <v>0</v>
      </c>
      <c r="AJ296" s="21">
        <f>IF(G296="","",IF(V296&lt;&gt;"",V296,IF(P296="Cancelled",0,MAX(MinimumCharge,ROUND(AI296*IFERROR(INDEX(FreqFactors,MATCH(O296,FreqNames,0)),1),2)))))</f>
        <v>0</v>
      </c>
      <c r="AK296" s="34">
        <f>IF(G296="","",IF(SUMIFS(Timesheets!$U$5:$U$804,Timesheets!$G$5:$G$804,A296)&gt;0,SUMIFS(Timesheets!$U$5:$U$804,Timesheets!$G$5:$G$804,A296),IF(Z296="","",Z296)))</f>
        <v>0</v>
      </c>
      <c r="AL296" s="34">
        <f>IF(OR(AK296="",AD296=""),"",AK296-AD296)</f>
        <v>0</v>
      </c>
      <c r="AM296" s="31">
        <f>IF(A296="","",COUNTIFS('Job Tasks'!$B$5:$B$904,A296))</f>
        <v>0</v>
      </c>
      <c r="AN296" s="31">
        <f>IF(A296="","",COUNTIFS('Job Tasks'!$B$5:$B$904,A296,'Job Tasks'!$H$5:$H$904,"Done"))</f>
        <v>0</v>
      </c>
      <c r="AO296" s="38">
        <f>IF(OR(A296="",AM296=0),"",AN296/AM296)</f>
        <v>0</v>
      </c>
      <c r="AP296" s="43">
        <f>IF(A296="","",IFERROR(INDEX('Invoice Lines'!$B$5:$B$804,MATCH(A296,'Invoice Lines'!$C$5:$C$804,0)),""))</f>
        <v>0</v>
      </c>
      <c r="AQ296" s="18">
        <f>IF(OR(G296="",B296="",X296&lt;&gt;"Yes"),"",IF(IFERROR(INDEX(FreqDays,MATCH(O296,FreqNames,0)),0)=0,"",B296+IFERROR(INDEX(FreqDays,MATCH(O296,FreqNames,0)),0)))</f>
        <v>0</v>
      </c>
      <c r="AR296" s="39">
        <f>IF(G296="","",IF(R296="","Unassigned",IF(COUNTIFS($R$5:$R$604,R296,$B$5:$B$604,B296,$F$5:$F$604,F296)&gt;1,"Clash",IF(SUMIFS($AF$5:$AF$604,$R$5:$R$604,R296,$B$5:$B$604,B296)&gt;ProductiveHours,"Long day","OK"))))</f>
        <v>0</v>
      </c>
      <c r="AS296" s="18">
        <f>IF(OR(G296="",B296=""),"",IF(AND(B296&gt;=TodayDate,P296&lt;&gt;"Cancelled"),B296,""))</f>
        <v>0</v>
      </c>
      <c r="AT296" s="31">
        <f>IF(AS296="","",COUNTIFS($AS$5:$AS$604,"&lt;"&amp;AS296)+COUNTIFS($AS$5:AS296,AS296))</f>
        <v>0</v>
      </c>
      <c r="AU296" s="18">
        <f>IF(OR(G296="",B296="",R296&lt;&gt;""),"",IF(AND(B296&gt;=TodayDate,P296&lt;&gt;"Cancelled"),B296,""))</f>
        <v>0</v>
      </c>
      <c r="AV296" s="31">
        <f>IF(AU296="","",COUNTIFS($AU$5:$AU$604,"&lt;"&amp;AU296)+COUNTIFS($AU$5:AU296,AU296))</f>
        <v>0</v>
      </c>
      <c r="AW296" s="31">
        <f>IF(OR(G296="",B296=""),"",B296-TodayDate)</f>
        <v>0</v>
      </c>
      <c r="AX296" s="39">
        <f>IF(G296="","",IF(P296="Cancelled","Cancelled",IF(P296="No access","Action - no access, rebook",IF(AND(B296&lt;&gt;"",AW296&lt;0,OR(P296="Booked",P296="Confirmed",P296="In progress")),"Late - mark it completed",IF(AND(P296="Completed",AP296=""),"Action - not invoiced yet",IF(AND(AW296&gt;=0,AW296&lt;=ReminderDays,Y296&lt;&gt;"Yes"),"Confirm - visit coming up",IF(R296="","Assign - no cleaner booked",IF(AND(P296="Completed",AO296&lt;&gt;"",AO296&lt;1),"Check - checklist unfinished","OK"))))))))</f>
        <v>0</v>
      </c>
    </row>
    <row r="297" spans="1:50">
      <c r="A297" s="43">
        <f>IF(G297="","",JobPrefix&amp;TEXT(ROW()-4,"0000"))</f>
        <v>0</v>
      </c>
      <c r="C297" s="23">
        <f>IF(B297="","",TEXT(B297,"ddd"))</f>
        <v>0</v>
      </c>
      <c r="D297" s="31">
        <f>IF(B297="","",WEEKNUM(B297,IF(WeekStart="Sunday",1,2)))</f>
        <v>0</v>
      </c>
      <c r="E297" s="23">
        <f>IF(B297="","",TEXT(B297,"yyyy-mm"))</f>
        <v>0</v>
      </c>
      <c r="H297" s="23">
        <f>IF(G297="","",IFERROR(INDEX(Clients!$B$5:$B$204,MATCH(G297,Clients!$A$5:$A$204,0)),"Not found"))</f>
        <v>0</v>
      </c>
      <c r="I297" s="23">
        <f>IF(G297="","",IFERROR(INDEX(Clients!$C$5:$C$204,MATCH(G297,Clients!$A$5:$A$204,0)),""))</f>
        <v>0</v>
      </c>
      <c r="K297" s="23">
        <f>IF(J297="","",IFERROR(INDEX(Properties!$B$5:$B$254,MATCH(J297,Properties!$A$5:$A$254,0)),""))</f>
        <v>0</v>
      </c>
      <c r="L297" s="23">
        <f>IF(J297="","",IFERROR(INDEX(Properties!$F$5:$F$254,MATCH(J297,Properties!$A$5:$A$254,0)),""))</f>
        <v>0</v>
      </c>
      <c r="AD297" s="34">
        <f>IF(G297="","",IF(U297&lt;&gt;"",U297,IF(AND(IFERROR(INDEX(Services!$D$5:$D$64,MATCH(M297,Services!$B$5:$B$64,0)),"")="Per hour",IFERROR(INDEX(Properties!$X$5:$X$254,MATCH(J297,Properties!$A$5:$A$254,0)),0)&gt;0),IFERROR(INDEX(Properties!$X$5:$X$254,MATCH(J297,Properties!$A$5:$A$254,0)),0),IF(IFERROR(INDEX(Services!$G$5:$G$64,MATCH(M297,Services!$B$5:$B$64,0)),0)&gt;0,IFERROR(INDEX(Services!$G$5:$G$64,MATCH(M297,Services!$B$5:$B$64,0)),0),IFERROR(INDEX(Properties!$X$5:$X$254,MATCH(J297,Properties!$A$5:$A$254,0)),0)))))</f>
        <v>0</v>
      </c>
      <c r="AE297" s="31">
        <f>IF(G297="","",IF(T297="",CleanersPerJob,MAX(1,T297)))</f>
        <v>0</v>
      </c>
      <c r="AF297" s="34">
        <f>IF(G297="","",ROUND(AD297/AE297,2))</f>
        <v>0</v>
      </c>
      <c r="AG297" s="53">
        <f>IF(OR(G297="",F297="",AF297=""),"",F297+AF297/24)</f>
        <v>0</v>
      </c>
      <c r="AH297" s="21">
        <f>IF(G297="","",IF(IFERROR(INDEX(Clients!$O$5:$O$204,MATCH(G297,Clients!$A$5:$A$204,0)),0)&gt;0,IFERROR(INDEX(Clients!$O$5:$O$204,MATCH(G297,Clients!$A$5:$A$204,0)),0),HourlyRate))</f>
        <v>0</v>
      </c>
      <c r="AI297" s="21">
        <f>IF(G297="","",IF(AND(M297&lt;&gt;"",IFERROR(INDEX(Services!$P$5:$P$64,MATCH(M297,Services!$B$5:$B$64,0)),0)&gt;0,IFERROR(INDEX(Services!$D$5:$D$64,MATCH(M297,Services!$B$5:$B$64,0)),"")&lt;&gt;"Per hour"),IFERROR(INDEX(Services!$P$5:$P$64,MATCH(M297,Services!$B$5:$B$64,0)),0),AD297*AH297))</f>
        <v>0</v>
      </c>
      <c r="AJ297" s="21">
        <f>IF(G297="","",IF(V297&lt;&gt;"",V297,IF(P297="Cancelled",0,MAX(MinimumCharge,ROUND(AI297*IFERROR(INDEX(FreqFactors,MATCH(O297,FreqNames,0)),1),2)))))</f>
        <v>0</v>
      </c>
      <c r="AK297" s="34">
        <f>IF(G297="","",IF(SUMIFS(Timesheets!$U$5:$U$804,Timesheets!$G$5:$G$804,A297)&gt;0,SUMIFS(Timesheets!$U$5:$U$804,Timesheets!$G$5:$G$804,A297),IF(Z297="","",Z297)))</f>
        <v>0</v>
      </c>
      <c r="AL297" s="34">
        <f>IF(OR(AK297="",AD297=""),"",AK297-AD297)</f>
        <v>0</v>
      </c>
      <c r="AM297" s="31">
        <f>IF(A297="","",COUNTIFS('Job Tasks'!$B$5:$B$904,A297))</f>
        <v>0</v>
      </c>
      <c r="AN297" s="31">
        <f>IF(A297="","",COUNTIFS('Job Tasks'!$B$5:$B$904,A297,'Job Tasks'!$H$5:$H$904,"Done"))</f>
        <v>0</v>
      </c>
      <c r="AO297" s="38">
        <f>IF(OR(A297="",AM297=0),"",AN297/AM297)</f>
        <v>0</v>
      </c>
      <c r="AP297" s="43">
        <f>IF(A297="","",IFERROR(INDEX('Invoice Lines'!$B$5:$B$804,MATCH(A297,'Invoice Lines'!$C$5:$C$804,0)),""))</f>
        <v>0</v>
      </c>
      <c r="AQ297" s="18">
        <f>IF(OR(G297="",B297="",X297&lt;&gt;"Yes"),"",IF(IFERROR(INDEX(FreqDays,MATCH(O297,FreqNames,0)),0)=0,"",B297+IFERROR(INDEX(FreqDays,MATCH(O297,FreqNames,0)),0)))</f>
        <v>0</v>
      </c>
      <c r="AR297" s="39">
        <f>IF(G297="","",IF(R297="","Unassigned",IF(COUNTIFS($R$5:$R$604,R297,$B$5:$B$604,B297,$F$5:$F$604,F297)&gt;1,"Clash",IF(SUMIFS($AF$5:$AF$604,$R$5:$R$604,R297,$B$5:$B$604,B297)&gt;ProductiveHours,"Long day","OK"))))</f>
        <v>0</v>
      </c>
      <c r="AS297" s="18">
        <f>IF(OR(G297="",B297=""),"",IF(AND(B297&gt;=TodayDate,P297&lt;&gt;"Cancelled"),B297,""))</f>
        <v>0</v>
      </c>
      <c r="AT297" s="31">
        <f>IF(AS297="","",COUNTIFS($AS$5:$AS$604,"&lt;"&amp;AS297)+COUNTIFS($AS$5:AS297,AS297))</f>
        <v>0</v>
      </c>
      <c r="AU297" s="18">
        <f>IF(OR(G297="",B297="",R297&lt;&gt;""),"",IF(AND(B297&gt;=TodayDate,P297&lt;&gt;"Cancelled"),B297,""))</f>
        <v>0</v>
      </c>
      <c r="AV297" s="31">
        <f>IF(AU297="","",COUNTIFS($AU$5:$AU$604,"&lt;"&amp;AU297)+COUNTIFS($AU$5:AU297,AU297))</f>
        <v>0</v>
      </c>
      <c r="AW297" s="31">
        <f>IF(OR(G297="",B297=""),"",B297-TodayDate)</f>
        <v>0</v>
      </c>
      <c r="AX297" s="39">
        <f>IF(G297="","",IF(P297="Cancelled","Cancelled",IF(P297="No access","Action - no access, rebook",IF(AND(B297&lt;&gt;"",AW297&lt;0,OR(P297="Booked",P297="Confirmed",P297="In progress")),"Late - mark it completed",IF(AND(P297="Completed",AP297=""),"Action - not invoiced yet",IF(AND(AW297&gt;=0,AW297&lt;=ReminderDays,Y297&lt;&gt;"Yes"),"Confirm - visit coming up",IF(R297="","Assign - no cleaner booked",IF(AND(P297="Completed",AO297&lt;&gt;"",AO297&lt;1),"Check - checklist unfinished","OK"))))))))</f>
        <v>0</v>
      </c>
    </row>
    <row r="298" spans="1:50">
      <c r="A298" s="43">
        <f>IF(G298="","",JobPrefix&amp;TEXT(ROW()-4,"0000"))</f>
        <v>0</v>
      </c>
      <c r="C298" s="23">
        <f>IF(B298="","",TEXT(B298,"ddd"))</f>
        <v>0</v>
      </c>
      <c r="D298" s="31">
        <f>IF(B298="","",WEEKNUM(B298,IF(WeekStart="Sunday",1,2)))</f>
        <v>0</v>
      </c>
      <c r="E298" s="23">
        <f>IF(B298="","",TEXT(B298,"yyyy-mm"))</f>
        <v>0</v>
      </c>
      <c r="H298" s="23">
        <f>IF(G298="","",IFERROR(INDEX(Clients!$B$5:$B$204,MATCH(G298,Clients!$A$5:$A$204,0)),"Not found"))</f>
        <v>0</v>
      </c>
      <c r="I298" s="23">
        <f>IF(G298="","",IFERROR(INDEX(Clients!$C$5:$C$204,MATCH(G298,Clients!$A$5:$A$204,0)),""))</f>
        <v>0</v>
      </c>
      <c r="K298" s="23">
        <f>IF(J298="","",IFERROR(INDEX(Properties!$B$5:$B$254,MATCH(J298,Properties!$A$5:$A$254,0)),""))</f>
        <v>0</v>
      </c>
      <c r="L298" s="23">
        <f>IF(J298="","",IFERROR(INDEX(Properties!$F$5:$F$254,MATCH(J298,Properties!$A$5:$A$254,0)),""))</f>
        <v>0</v>
      </c>
      <c r="AD298" s="34">
        <f>IF(G298="","",IF(U298&lt;&gt;"",U298,IF(AND(IFERROR(INDEX(Services!$D$5:$D$64,MATCH(M298,Services!$B$5:$B$64,0)),"")="Per hour",IFERROR(INDEX(Properties!$X$5:$X$254,MATCH(J298,Properties!$A$5:$A$254,0)),0)&gt;0),IFERROR(INDEX(Properties!$X$5:$X$254,MATCH(J298,Properties!$A$5:$A$254,0)),0),IF(IFERROR(INDEX(Services!$G$5:$G$64,MATCH(M298,Services!$B$5:$B$64,0)),0)&gt;0,IFERROR(INDEX(Services!$G$5:$G$64,MATCH(M298,Services!$B$5:$B$64,0)),0),IFERROR(INDEX(Properties!$X$5:$X$254,MATCH(J298,Properties!$A$5:$A$254,0)),0)))))</f>
        <v>0</v>
      </c>
      <c r="AE298" s="31">
        <f>IF(G298="","",IF(T298="",CleanersPerJob,MAX(1,T298)))</f>
        <v>0</v>
      </c>
      <c r="AF298" s="34">
        <f>IF(G298="","",ROUND(AD298/AE298,2))</f>
        <v>0</v>
      </c>
      <c r="AG298" s="53">
        <f>IF(OR(G298="",F298="",AF298=""),"",F298+AF298/24)</f>
        <v>0</v>
      </c>
      <c r="AH298" s="21">
        <f>IF(G298="","",IF(IFERROR(INDEX(Clients!$O$5:$O$204,MATCH(G298,Clients!$A$5:$A$204,0)),0)&gt;0,IFERROR(INDEX(Clients!$O$5:$O$204,MATCH(G298,Clients!$A$5:$A$204,0)),0),HourlyRate))</f>
        <v>0</v>
      </c>
      <c r="AI298" s="21">
        <f>IF(G298="","",IF(AND(M298&lt;&gt;"",IFERROR(INDEX(Services!$P$5:$P$64,MATCH(M298,Services!$B$5:$B$64,0)),0)&gt;0,IFERROR(INDEX(Services!$D$5:$D$64,MATCH(M298,Services!$B$5:$B$64,0)),"")&lt;&gt;"Per hour"),IFERROR(INDEX(Services!$P$5:$P$64,MATCH(M298,Services!$B$5:$B$64,0)),0),AD298*AH298))</f>
        <v>0</v>
      </c>
      <c r="AJ298" s="21">
        <f>IF(G298="","",IF(V298&lt;&gt;"",V298,IF(P298="Cancelled",0,MAX(MinimumCharge,ROUND(AI298*IFERROR(INDEX(FreqFactors,MATCH(O298,FreqNames,0)),1),2)))))</f>
        <v>0</v>
      </c>
      <c r="AK298" s="34">
        <f>IF(G298="","",IF(SUMIFS(Timesheets!$U$5:$U$804,Timesheets!$G$5:$G$804,A298)&gt;0,SUMIFS(Timesheets!$U$5:$U$804,Timesheets!$G$5:$G$804,A298),IF(Z298="","",Z298)))</f>
        <v>0</v>
      </c>
      <c r="AL298" s="34">
        <f>IF(OR(AK298="",AD298=""),"",AK298-AD298)</f>
        <v>0</v>
      </c>
      <c r="AM298" s="31">
        <f>IF(A298="","",COUNTIFS('Job Tasks'!$B$5:$B$904,A298))</f>
        <v>0</v>
      </c>
      <c r="AN298" s="31">
        <f>IF(A298="","",COUNTIFS('Job Tasks'!$B$5:$B$904,A298,'Job Tasks'!$H$5:$H$904,"Done"))</f>
        <v>0</v>
      </c>
      <c r="AO298" s="38">
        <f>IF(OR(A298="",AM298=0),"",AN298/AM298)</f>
        <v>0</v>
      </c>
      <c r="AP298" s="43">
        <f>IF(A298="","",IFERROR(INDEX('Invoice Lines'!$B$5:$B$804,MATCH(A298,'Invoice Lines'!$C$5:$C$804,0)),""))</f>
        <v>0</v>
      </c>
      <c r="AQ298" s="18">
        <f>IF(OR(G298="",B298="",X298&lt;&gt;"Yes"),"",IF(IFERROR(INDEX(FreqDays,MATCH(O298,FreqNames,0)),0)=0,"",B298+IFERROR(INDEX(FreqDays,MATCH(O298,FreqNames,0)),0)))</f>
        <v>0</v>
      </c>
      <c r="AR298" s="39">
        <f>IF(G298="","",IF(R298="","Unassigned",IF(COUNTIFS($R$5:$R$604,R298,$B$5:$B$604,B298,$F$5:$F$604,F298)&gt;1,"Clash",IF(SUMIFS($AF$5:$AF$604,$R$5:$R$604,R298,$B$5:$B$604,B298)&gt;ProductiveHours,"Long day","OK"))))</f>
        <v>0</v>
      </c>
      <c r="AS298" s="18">
        <f>IF(OR(G298="",B298=""),"",IF(AND(B298&gt;=TodayDate,P298&lt;&gt;"Cancelled"),B298,""))</f>
        <v>0</v>
      </c>
      <c r="AT298" s="31">
        <f>IF(AS298="","",COUNTIFS($AS$5:$AS$604,"&lt;"&amp;AS298)+COUNTIFS($AS$5:AS298,AS298))</f>
        <v>0</v>
      </c>
      <c r="AU298" s="18">
        <f>IF(OR(G298="",B298="",R298&lt;&gt;""),"",IF(AND(B298&gt;=TodayDate,P298&lt;&gt;"Cancelled"),B298,""))</f>
        <v>0</v>
      </c>
      <c r="AV298" s="31">
        <f>IF(AU298="","",COUNTIFS($AU$5:$AU$604,"&lt;"&amp;AU298)+COUNTIFS($AU$5:AU298,AU298))</f>
        <v>0</v>
      </c>
      <c r="AW298" s="31">
        <f>IF(OR(G298="",B298=""),"",B298-TodayDate)</f>
        <v>0</v>
      </c>
      <c r="AX298" s="39">
        <f>IF(G298="","",IF(P298="Cancelled","Cancelled",IF(P298="No access","Action - no access, rebook",IF(AND(B298&lt;&gt;"",AW298&lt;0,OR(P298="Booked",P298="Confirmed",P298="In progress")),"Late - mark it completed",IF(AND(P298="Completed",AP298=""),"Action - not invoiced yet",IF(AND(AW298&gt;=0,AW298&lt;=ReminderDays,Y298&lt;&gt;"Yes"),"Confirm - visit coming up",IF(R298="","Assign - no cleaner booked",IF(AND(P298="Completed",AO298&lt;&gt;"",AO298&lt;1),"Check - checklist unfinished","OK"))))))))</f>
        <v>0</v>
      </c>
    </row>
    <row r="299" spans="1:50">
      <c r="A299" s="43">
        <f>IF(G299="","",JobPrefix&amp;TEXT(ROW()-4,"0000"))</f>
        <v>0</v>
      </c>
      <c r="C299" s="23">
        <f>IF(B299="","",TEXT(B299,"ddd"))</f>
        <v>0</v>
      </c>
      <c r="D299" s="31">
        <f>IF(B299="","",WEEKNUM(B299,IF(WeekStart="Sunday",1,2)))</f>
        <v>0</v>
      </c>
      <c r="E299" s="23">
        <f>IF(B299="","",TEXT(B299,"yyyy-mm"))</f>
        <v>0</v>
      </c>
      <c r="H299" s="23">
        <f>IF(G299="","",IFERROR(INDEX(Clients!$B$5:$B$204,MATCH(G299,Clients!$A$5:$A$204,0)),"Not found"))</f>
        <v>0</v>
      </c>
      <c r="I299" s="23">
        <f>IF(G299="","",IFERROR(INDEX(Clients!$C$5:$C$204,MATCH(G299,Clients!$A$5:$A$204,0)),""))</f>
        <v>0</v>
      </c>
      <c r="K299" s="23">
        <f>IF(J299="","",IFERROR(INDEX(Properties!$B$5:$B$254,MATCH(J299,Properties!$A$5:$A$254,0)),""))</f>
        <v>0</v>
      </c>
      <c r="L299" s="23">
        <f>IF(J299="","",IFERROR(INDEX(Properties!$F$5:$F$254,MATCH(J299,Properties!$A$5:$A$254,0)),""))</f>
        <v>0</v>
      </c>
      <c r="AD299" s="34">
        <f>IF(G299="","",IF(U299&lt;&gt;"",U299,IF(AND(IFERROR(INDEX(Services!$D$5:$D$64,MATCH(M299,Services!$B$5:$B$64,0)),"")="Per hour",IFERROR(INDEX(Properties!$X$5:$X$254,MATCH(J299,Properties!$A$5:$A$254,0)),0)&gt;0),IFERROR(INDEX(Properties!$X$5:$X$254,MATCH(J299,Properties!$A$5:$A$254,0)),0),IF(IFERROR(INDEX(Services!$G$5:$G$64,MATCH(M299,Services!$B$5:$B$64,0)),0)&gt;0,IFERROR(INDEX(Services!$G$5:$G$64,MATCH(M299,Services!$B$5:$B$64,0)),0),IFERROR(INDEX(Properties!$X$5:$X$254,MATCH(J299,Properties!$A$5:$A$254,0)),0)))))</f>
        <v>0</v>
      </c>
      <c r="AE299" s="31">
        <f>IF(G299="","",IF(T299="",CleanersPerJob,MAX(1,T299)))</f>
        <v>0</v>
      </c>
      <c r="AF299" s="34">
        <f>IF(G299="","",ROUND(AD299/AE299,2))</f>
        <v>0</v>
      </c>
      <c r="AG299" s="53">
        <f>IF(OR(G299="",F299="",AF299=""),"",F299+AF299/24)</f>
        <v>0</v>
      </c>
      <c r="AH299" s="21">
        <f>IF(G299="","",IF(IFERROR(INDEX(Clients!$O$5:$O$204,MATCH(G299,Clients!$A$5:$A$204,0)),0)&gt;0,IFERROR(INDEX(Clients!$O$5:$O$204,MATCH(G299,Clients!$A$5:$A$204,0)),0),HourlyRate))</f>
        <v>0</v>
      </c>
      <c r="AI299" s="21">
        <f>IF(G299="","",IF(AND(M299&lt;&gt;"",IFERROR(INDEX(Services!$P$5:$P$64,MATCH(M299,Services!$B$5:$B$64,0)),0)&gt;0,IFERROR(INDEX(Services!$D$5:$D$64,MATCH(M299,Services!$B$5:$B$64,0)),"")&lt;&gt;"Per hour"),IFERROR(INDEX(Services!$P$5:$P$64,MATCH(M299,Services!$B$5:$B$64,0)),0),AD299*AH299))</f>
        <v>0</v>
      </c>
      <c r="AJ299" s="21">
        <f>IF(G299="","",IF(V299&lt;&gt;"",V299,IF(P299="Cancelled",0,MAX(MinimumCharge,ROUND(AI299*IFERROR(INDEX(FreqFactors,MATCH(O299,FreqNames,0)),1),2)))))</f>
        <v>0</v>
      </c>
      <c r="AK299" s="34">
        <f>IF(G299="","",IF(SUMIFS(Timesheets!$U$5:$U$804,Timesheets!$G$5:$G$804,A299)&gt;0,SUMIFS(Timesheets!$U$5:$U$804,Timesheets!$G$5:$G$804,A299),IF(Z299="","",Z299)))</f>
        <v>0</v>
      </c>
      <c r="AL299" s="34">
        <f>IF(OR(AK299="",AD299=""),"",AK299-AD299)</f>
        <v>0</v>
      </c>
      <c r="AM299" s="31">
        <f>IF(A299="","",COUNTIFS('Job Tasks'!$B$5:$B$904,A299))</f>
        <v>0</v>
      </c>
      <c r="AN299" s="31">
        <f>IF(A299="","",COUNTIFS('Job Tasks'!$B$5:$B$904,A299,'Job Tasks'!$H$5:$H$904,"Done"))</f>
        <v>0</v>
      </c>
      <c r="AO299" s="38">
        <f>IF(OR(A299="",AM299=0),"",AN299/AM299)</f>
        <v>0</v>
      </c>
      <c r="AP299" s="43">
        <f>IF(A299="","",IFERROR(INDEX('Invoice Lines'!$B$5:$B$804,MATCH(A299,'Invoice Lines'!$C$5:$C$804,0)),""))</f>
        <v>0</v>
      </c>
      <c r="AQ299" s="18">
        <f>IF(OR(G299="",B299="",X299&lt;&gt;"Yes"),"",IF(IFERROR(INDEX(FreqDays,MATCH(O299,FreqNames,0)),0)=0,"",B299+IFERROR(INDEX(FreqDays,MATCH(O299,FreqNames,0)),0)))</f>
        <v>0</v>
      </c>
      <c r="AR299" s="39">
        <f>IF(G299="","",IF(R299="","Unassigned",IF(COUNTIFS($R$5:$R$604,R299,$B$5:$B$604,B299,$F$5:$F$604,F299)&gt;1,"Clash",IF(SUMIFS($AF$5:$AF$604,$R$5:$R$604,R299,$B$5:$B$604,B299)&gt;ProductiveHours,"Long day","OK"))))</f>
        <v>0</v>
      </c>
      <c r="AS299" s="18">
        <f>IF(OR(G299="",B299=""),"",IF(AND(B299&gt;=TodayDate,P299&lt;&gt;"Cancelled"),B299,""))</f>
        <v>0</v>
      </c>
      <c r="AT299" s="31">
        <f>IF(AS299="","",COUNTIFS($AS$5:$AS$604,"&lt;"&amp;AS299)+COUNTIFS($AS$5:AS299,AS299))</f>
        <v>0</v>
      </c>
      <c r="AU299" s="18">
        <f>IF(OR(G299="",B299="",R299&lt;&gt;""),"",IF(AND(B299&gt;=TodayDate,P299&lt;&gt;"Cancelled"),B299,""))</f>
        <v>0</v>
      </c>
      <c r="AV299" s="31">
        <f>IF(AU299="","",COUNTIFS($AU$5:$AU$604,"&lt;"&amp;AU299)+COUNTIFS($AU$5:AU299,AU299))</f>
        <v>0</v>
      </c>
      <c r="AW299" s="31">
        <f>IF(OR(G299="",B299=""),"",B299-TodayDate)</f>
        <v>0</v>
      </c>
      <c r="AX299" s="39">
        <f>IF(G299="","",IF(P299="Cancelled","Cancelled",IF(P299="No access","Action - no access, rebook",IF(AND(B299&lt;&gt;"",AW299&lt;0,OR(P299="Booked",P299="Confirmed",P299="In progress")),"Late - mark it completed",IF(AND(P299="Completed",AP299=""),"Action - not invoiced yet",IF(AND(AW299&gt;=0,AW299&lt;=ReminderDays,Y299&lt;&gt;"Yes"),"Confirm - visit coming up",IF(R299="","Assign - no cleaner booked",IF(AND(P299="Completed",AO299&lt;&gt;"",AO299&lt;1),"Check - checklist unfinished","OK"))))))))</f>
        <v>0</v>
      </c>
    </row>
    <row r="300" spans="1:50">
      <c r="A300" s="43">
        <f>IF(G300="","",JobPrefix&amp;TEXT(ROW()-4,"0000"))</f>
        <v>0</v>
      </c>
      <c r="C300" s="23">
        <f>IF(B300="","",TEXT(B300,"ddd"))</f>
        <v>0</v>
      </c>
      <c r="D300" s="31">
        <f>IF(B300="","",WEEKNUM(B300,IF(WeekStart="Sunday",1,2)))</f>
        <v>0</v>
      </c>
      <c r="E300" s="23">
        <f>IF(B300="","",TEXT(B300,"yyyy-mm"))</f>
        <v>0</v>
      </c>
      <c r="H300" s="23">
        <f>IF(G300="","",IFERROR(INDEX(Clients!$B$5:$B$204,MATCH(G300,Clients!$A$5:$A$204,0)),"Not found"))</f>
        <v>0</v>
      </c>
      <c r="I300" s="23">
        <f>IF(G300="","",IFERROR(INDEX(Clients!$C$5:$C$204,MATCH(G300,Clients!$A$5:$A$204,0)),""))</f>
        <v>0</v>
      </c>
      <c r="K300" s="23">
        <f>IF(J300="","",IFERROR(INDEX(Properties!$B$5:$B$254,MATCH(J300,Properties!$A$5:$A$254,0)),""))</f>
        <v>0</v>
      </c>
      <c r="L300" s="23">
        <f>IF(J300="","",IFERROR(INDEX(Properties!$F$5:$F$254,MATCH(J300,Properties!$A$5:$A$254,0)),""))</f>
        <v>0</v>
      </c>
      <c r="AD300" s="34">
        <f>IF(G300="","",IF(U300&lt;&gt;"",U300,IF(AND(IFERROR(INDEX(Services!$D$5:$D$64,MATCH(M300,Services!$B$5:$B$64,0)),"")="Per hour",IFERROR(INDEX(Properties!$X$5:$X$254,MATCH(J300,Properties!$A$5:$A$254,0)),0)&gt;0),IFERROR(INDEX(Properties!$X$5:$X$254,MATCH(J300,Properties!$A$5:$A$254,0)),0),IF(IFERROR(INDEX(Services!$G$5:$G$64,MATCH(M300,Services!$B$5:$B$64,0)),0)&gt;0,IFERROR(INDEX(Services!$G$5:$G$64,MATCH(M300,Services!$B$5:$B$64,0)),0),IFERROR(INDEX(Properties!$X$5:$X$254,MATCH(J300,Properties!$A$5:$A$254,0)),0)))))</f>
        <v>0</v>
      </c>
      <c r="AE300" s="31">
        <f>IF(G300="","",IF(T300="",CleanersPerJob,MAX(1,T300)))</f>
        <v>0</v>
      </c>
      <c r="AF300" s="34">
        <f>IF(G300="","",ROUND(AD300/AE300,2))</f>
        <v>0</v>
      </c>
      <c r="AG300" s="53">
        <f>IF(OR(G300="",F300="",AF300=""),"",F300+AF300/24)</f>
        <v>0</v>
      </c>
      <c r="AH300" s="21">
        <f>IF(G300="","",IF(IFERROR(INDEX(Clients!$O$5:$O$204,MATCH(G300,Clients!$A$5:$A$204,0)),0)&gt;0,IFERROR(INDEX(Clients!$O$5:$O$204,MATCH(G300,Clients!$A$5:$A$204,0)),0),HourlyRate))</f>
        <v>0</v>
      </c>
      <c r="AI300" s="21">
        <f>IF(G300="","",IF(AND(M300&lt;&gt;"",IFERROR(INDEX(Services!$P$5:$P$64,MATCH(M300,Services!$B$5:$B$64,0)),0)&gt;0,IFERROR(INDEX(Services!$D$5:$D$64,MATCH(M300,Services!$B$5:$B$64,0)),"")&lt;&gt;"Per hour"),IFERROR(INDEX(Services!$P$5:$P$64,MATCH(M300,Services!$B$5:$B$64,0)),0),AD300*AH300))</f>
        <v>0</v>
      </c>
      <c r="AJ300" s="21">
        <f>IF(G300="","",IF(V300&lt;&gt;"",V300,IF(P300="Cancelled",0,MAX(MinimumCharge,ROUND(AI300*IFERROR(INDEX(FreqFactors,MATCH(O300,FreqNames,0)),1),2)))))</f>
        <v>0</v>
      </c>
      <c r="AK300" s="34">
        <f>IF(G300="","",IF(SUMIFS(Timesheets!$U$5:$U$804,Timesheets!$G$5:$G$804,A300)&gt;0,SUMIFS(Timesheets!$U$5:$U$804,Timesheets!$G$5:$G$804,A300),IF(Z300="","",Z300)))</f>
        <v>0</v>
      </c>
      <c r="AL300" s="34">
        <f>IF(OR(AK300="",AD300=""),"",AK300-AD300)</f>
        <v>0</v>
      </c>
      <c r="AM300" s="31">
        <f>IF(A300="","",COUNTIFS('Job Tasks'!$B$5:$B$904,A300))</f>
        <v>0</v>
      </c>
      <c r="AN300" s="31">
        <f>IF(A300="","",COUNTIFS('Job Tasks'!$B$5:$B$904,A300,'Job Tasks'!$H$5:$H$904,"Done"))</f>
        <v>0</v>
      </c>
      <c r="AO300" s="38">
        <f>IF(OR(A300="",AM300=0),"",AN300/AM300)</f>
        <v>0</v>
      </c>
      <c r="AP300" s="43">
        <f>IF(A300="","",IFERROR(INDEX('Invoice Lines'!$B$5:$B$804,MATCH(A300,'Invoice Lines'!$C$5:$C$804,0)),""))</f>
        <v>0</v>
      </c>
      <c r="AQ300" s="18">
        <f>IF(OR(G300="",B300="",X300&lt;&gt;"Yes"),"",IF(IFERROR(INDEX(FreqDays,MATCH(O300,FreqNames,0)),0)=0,"",B300+IFERROR(INDEX(FreqDays,MATCH(O300,FreqNames,0)),0)))</f>
        <v>0</v>
      </c>
      <c r="AR300" s="39">
        <f>IF(G300="","",IF(R300="","Unassigned",IF(COUNTIFS($R$5:$R$604,R300,$B$5:$B$604,B300,$F$5:$F$604,F300)&gt;1,"Clash",IF(SUMIFS($AF$5:$AF$604,$R$5:$R$604,R300,$B$5:$B$604,B300)&gt;ProductiveHours,"Long day","OK"))))</f>
        <v>0</v>
      </c>
      <c r="AS300" s="18">
        <f>IF(OR(G300="",B300=""),"",IF(AND(B300&gt;=TodayDate,P300&lt;&gt;"Cancelled"),B300,""))</f>
        <v>0</v>
      </c>
      <c r="AT300" s="31">
        <f>IF(AS300="","",COUNTIFS($AS$5:$AS$604,"&lt;"&amp;AS300)+COUNTIFS($AS$5:AS300,AS300))</f>
        <v>0</v>
      </c>
      <c r="AU300" s="18">
        <f>IF(OR(G300="",B300="",R300&lt;&gt;""),"",IF(AND(B300&gt;=TodayDate,P300&lt;&gt;"Cancelled"),B300,""))</f>
        <v>0</v>
      </c>
      <c r="AV300" s="31">
        <f>IF(AU300="","",COUNTIFS($AU$5:$AU$604,"&lt;"&amp;AU300)+COUNTIFS($AU$5:AU300,AU300))</f>
        <v>0</v>
      </c>
      <c r="AW300" s="31">
        <f>IF(OR(G300="",B300=""),"",B300-TodayDate)</f>
        <v>0</v>
      </c>
      <c r="AX300" s="39">
        <f>IF(G300="","",IF(P300="Cancelled","Cancelled",IF(P300="No access","Action - no access, rebook",IF(AND(B300&lt;&gt;"",AW300&lt;0,OR(P300="Booked",P300="Confirmed",P300="In progress")),"Late - mark it completed",IF(AND(P300="Completed",AP300=""),"Action - not invoiced yet",IF(AND(AW300&gt;=0,AW300&lt;=ReminderDays,Y300&lt;&gt;"Yes"),"Confirm - visit coming up",IF(R300="","Assign - no cleaner booked",IF(AND(P300="Completed",AO300&lt;&gt;"",AO300&lt;1),"Check - checklist unfinished","OK"))))))))</f>
        <v>0</v>
      </c>
    </row>
    <row r="301" spans="1:50">
      <c r="A301" s="43">
        <f>IF(G301="","",JobPrefix&amp;TEXT(ROW()-4,"0000"))</f>
        <v>0</v>
      </c>
      <c r="C301" s="23">
        <f>IF(B301="","",TEXT(B301,"ddd"))</f>
        <v>0</v>
      </c>
      <c r="D301" s="31">
        <f>IF(B301="","",WEEKNUM(B301,IF(WeekStart="Sunday",1,2)))</f>
        <v>0</v>
      </c>
      <c r="E301" s="23">
        <f>IF(B301="","",TEXT(B301,"yyyy-mm"))</f>
        <v>0</v>
      </c>
      <c r="H301" s="23">
        <f>IF(G301="","",IFERROR(INDEX(Clients!$B$5:$B$204,MATCH(G301,Clients!$A$5:$A$204,0)),"Not found"))</f>
        <v>0</v>
      </c>
      <c r="I301" s="23">
        <f>IF(G301="","",IFERROR(INDEX(Clients!$C$5:$C$204,MATCH(G301,Clients!$A$5:$A$204,0)),""))</f>
        <v>0</v>
      </c>
      <c r="K301" s="23">
        <f>IF(J301="","",IFERROR(INDEX(Properties!$B$5:$B$254,MATCH(J301,Properties!$A$5:$A$254,0)),""))</f>
        <v>0</v>
      </c>
      <c r="L301" s="23">
        <f>IF(J301="","",IFERROR(INDEX(Properties!$F$5:$F$254,MATCH(J301,Properties!$A$5:$A$254,0)),""))</f>
        <v>0</v>
      </c>
      <c r="AD301" s="34">
        <f>IF(G301="","",IF(U301&lt;&gt;"",U301,IF(AND(IFERROR(INDEX(Services!$D$5:$D$64,MATCH(M301,Services!$B$5:$B$64,0)),"")="Per hour",IFERROR(INDEX(Properties!$X$5:$X$254,MATCH(J301,Properties!$A$5:$A$254,0)),0)&gt;0),IFERROR(INDEX(Properties!$X$5:$X$254,MATCH(J301,Properties!$A$5:$A$254,0)),0),IF(IFERROR(INDEX(Services!$G$5:$G$64,MATCH(M301,Services!$B$5:$B$64,0)),0)&gt;0,IFERROR(INDEX(Services!$G$5:$G$64,MATCH(M301,Services!$B$5:$B$64,0)),0),IFERROR(INDEX(Properties!$X$5:$X$254,MATCH(J301,Properties!$A$5:$A$254,0)),0)))))</f>
        <v>0</v>
      </c>
      <c r="AE301" s="31">
        <f>IF(G301="","",IF(T301="",CleanersPerJob,MAX(1,T301)))</f>
        <v>0</v>
      </c>
      <c r="AF301" s="34">
        <f>IF(G301="","",ROUND(AD301/AE301,2))</f>
        <v>0</v>
      </c>
      <c r="AG301" s="53">
        <f>IF(OR(G301="",F301="",AF301=""),"",F301+AF301/24)</f>
        <v>0</v>
      </c>
      <c r="AH301" s="21">
        <f>IF(G301="","",IF(IFERROR(INDEX(Clients!$O$5:$O$204,MATCH(G301,Clients!$A$5:$A$204,0)),0)&gt;0,IFERROR(INDEX(Clients!$O$5:$O$204,MATCH(G301,Clients!$A$5:$A$204,0)),0),HourlyRate))</f>
        <v>0</v>
      </c>
      <c r="AI301" s="21">
        <f>IF(G301="","",IF(AND(M301&lt;&gt;"",IFERROR(INDEX(Services!$P$5:$P$64,MATCH(M301,Services!$B$5:$B$64,0)),0)&gt;0,IFERROR(INDEX(Services!$D$5:$D$64,MATCH(M301,Services!$B$5:$B$64,0)),"")&lt;&gt;"Per hour"),IFERROR(INDEX(Services!$P$5:$P$64,MATCH(M301,Services!$B$5:$B$64,0)),0),AD301*AH301))</f>
        <v>0</v>
      </c>
      <c r="AJ301" s="21">
        <f>IF(G301="","",IF(V301&lt;&gt;"",V301,IF(P301="Cancelled",0,MAX(MinimumCharge,ROUND(AI301*IFERROR(INDEX(FreqFactors,MATCH(O301,FreqNames,0)),1),2)))))</f>
        <v>0</v>
      </c>
      <c r="AK301" s="34">
        <f>IF(G301="","",IF(SUMIFS(Timesheets!$U$5:$U$804,Timesheets!$G$5:$G$804,A301)&gt;0,SUMIFS(Timesheets!$U$5:$U$804,Timesheets!$G$5:$G$804,A301),IF(Z301="","",Z301)))</f>
        <v>0</v>
      </c>
      <c r="AL301" s="34">
        <f>IF(OR(AK301="",AD301=""),"",AK301-AD301)</f>
        <v>0</v>
      </c>
      <c r="AM301" s="31">
        <f>IF(A301="","",COUNTIFS('Job Tasks'!$B$5:$B$904,A301))</f>
        <v>0</v>
      </c>
      <c r="AN301" s="31">
        <f>IF(A301="","",COUNTIFS('Job Tasks'!$B$5:$B$904,A301,'Job Tasks'!$H$5:$H$904,"Done"))</f>
        <v>0</v>
      </c>
      <c r="AO301" s="38">
        <f>IF(OR(A301="",AM301=0),"",AN301/AM301)</f>
        <v>0</v>
      </c>
      <c r="AP301" s="43">
        <f>IF(A301="","",IFERROR(INDEX('Invoice Lines'!$B$5:$B$804,MATCH(A301,'Invoice Lines'!$C$5:$C$804,0)),""))</f>
        <v>0</v>
      </c>
      <c r="AQ301" s="18">
        <f>IF(OR(G301="",B301="",X301&lt;&gt;"Yes"),"",IF(IFERROR(INDEX(FreqDays,MATCH(O301,FreqNames,0)),0)=0,"",B301+IFERROR(INDEX(FreqDays,MATCH(O301,FreqNames,0)),0)))</f>
        <v>0</v>
      </c>
      <c r="AR301" s="39">
        <f>IF(G301="","",IF(R301="","Unassigned",IF(COUNTIFS($R$5:$R$604,R301,$B$5:$B$604,B301,$F$5:$F$604,F301)&gt;1,"Clash",IF(SUMIFS($AF$5:$AF$604,$R$5:$R$604,R301,$B$5:$B$604,B301)&gt;ProductiveHours,"Long day","OK"))))</f>
        <v>0</v>
      </c>
      <c r="AS301" s="18">
        <f>IF(OR(G301="",B301=""),"",IF(AND(B301&gt;=TodayDate,P301&lt;&gt;"Cancelled"),B301,""))</f>
        <v>0</v>
      </c>
      <c r="AT301" s="31">
        <f>IF(AS301="","",COUNTIFS($AS$5:$AS$604,"&lt;"&amp;AS301)+COUNTIFS($AS$5:AS301,AS301))</f>
        <v>0</v>
      </c>
      <c r="AU301" s="18">
        <f>IF(OR(G301="",B301="",R301&lt;&gt;""),"",IF(AND(B301&gt;=TodayDate,P301&lt;&gt;"Cancelled"),B301,""))</f>
        <v>0</v>
      </c>
      <c r="AV301" s="31">
        <f>IF(AU301="","",COUNTIFS($AU$5:$AU$604,"&lt;"&amp;AU301)+COUNTIFS($AU$5:AU301,AU301))</f>
        <v>0</v>
      </c>
      <c r="AW301" s="31">
        <f>IF(OR(G301="",B301=""),"",B301-TodayDate)</f>
        <v>0</v>
      </c>
      <c r="AX301" s="39">
        <f>IF(G301="","",IF(P301="Cancelled","Cancelled",IF(P301="No access","Action - no access, rebook",IF(AND(B301&lt;&gt;"",AW301&lt;0,OR(P301="Booked",P301="Confirmed",P301="In progress")),"Late - mark it completed",IF(AND(P301="Completed",AP301=""),"Action - not invoiced yet",IF(AND(AW301&gt;=0,AW301&lt;=ReminderDays,Y301&lt;&gt;"Yes"),"Confirm - visit coming up",IF(R301="","Assign - no cleaner booked",IF(AND(P301="Completed",AO301&lt;&gt;"",AO301&lt;1),"Check - checklist unfinished","OK"))))))))</f>
        <v>0</v>
      </c>
    </row>
    <row r="302" spans="1:50">
      <c r="A302" s="43">
        <f>IF(G302="","",JobPrefix&amp;TEXT(ROW()-4,"0000"))</f>
        <v>0</v>
      </c>
      <c r="C302" s="23">
        <f>IF(B302="","",TEXT(B302,"ddd"))</f>
        <v>0</v>
      </c>
      <c r="D302" s="31">
        <f>IF(B302="","",WEEKNUM(B302,IF(WeekStart="Sunday",1,2)))</f>
        <v>0</v>
      </c>
      <c r="E302" s="23">
        <f>IF(B302="","",TEXT(B302,"yyyy-mm"))</f>
        <v>0</v>
      </c>
      <c r="H302" s="23">
        <f>IF(G302="","",IFERROR(INDEX(Clients!$B$5:$B$204,MATCH(G302,Clients!$A$5:$A$204,0)),"Not found"))</f>
        <v>0</v>
      </c>
      <c r="I302" s="23">
        <f>IF(G302="","",IFERROR(INDEX(Clients!$C$5:$C$204,MATCH(G302,Clients!$A$5:$A$204,0)),""))</f>
        <v>0</v>
      </c>
      <c r="K302" s="23">
        <f>IF(J302="","",IFERROR(INDEX(Properties!$B$5:$B$254,MATCH(J302,Properties!$A$5:$A$254,0)),""))</f>
        <v>0</v>
      </c>
      <c r="L302" s="23">
        <f>IF(J302="","",IFERROR(INDEX(Properties!$F$5:$F$254,MATCH(J302,Properties!$A$5:$A$254,0)),""))</f>
        <v>0</v>
      </c>
      <c r="AD302" s="34">
        <f>IF(G302="","",IF(U302&lt;&gt;"",U302,IF(AND(IFERROR(INDEX(Services!$D$5:$D$64,MATCH(M302,Services!$B$5:$B$64,0)),"")="Per hour",IFERROR(INDEX(Properties!$X$5:$X$254,MATCH(J302,Properties!$A$5:$A$254,0)),0)&gt;0),IFERROR(INDEX(Properties!$X$5:$X$254,MATCH(J302,Properties!$A$5:$A$254,0)),0),IF(IFERROR(INDEX(Services!$G$5:$G$64,MATCH(M302,Services!$B$5:$B$64,0)),0)&gt;0,IFERROR(INDEX(Services!$G$5:$G$64,MATCH(M302,Services!$B$5:$B$64,0)),0),IFERROR(INDEX(Properties!$X$5:$X$254,MATCH(J302,Properties!$A$5:$A$254,0)),0)))))</f>
        <v>0</v>
      </c>
      <c r="AE302" s="31">
        <f>IF(G302="","",IF(T302="",CleanersPerJob,MAX(1,T302)))</f>
        <v>0</v>
      </c>
      <c r="AF302" s="34">
        <f>IF(G302="","",ROUND(AD302/AE302,2))</f>
        <v>0</v>
      </c>
      <c r="AG302" s="53">
        <f>IF(OR(G302="",F302="",AF302=""),"",F302+AF302/24)</f>
        <v>0</v>
      </c>
      <c r="AH302" s="21">
        <f>IF(G302="","",IF(IFERROR(INDEX(Clients!$O$5:$O$204,MATCH(G302,Clients!$A$5:$A$204,0)),0)&gt;0,IFERROR(INDEX(Clients!$O$5:$O$204,MATCH(G302,Clients!$A$5:$A$204,0)),0),HourlyRate))</f>
        <v>0</v>
      </c>
      <c r="AI302" s="21">
        <f>IF(G302="","",IF(AND(M302&lt;&gt;"",IFERROR(INDEX(Services!$P$5:$P$64,MATCH(M302,Services!$B$5:$B$64,0)),0)&gt;0,IFERROR(INDEX(Services!$D$5:$D$64,MATCH(M302,Services!$B$5:$B$64,0)),"")&lt;&gt;"Per hour"),IFERROR(INDEX(Services!$P$5:$P$64,MATCH(M302,Services!$B$5:$B$64,0)),0),AD302*AH302))</f>
        <v>0</v>
      </c>
      <c r="AJ302" s="21">
        <f>IF(G302="","",IF(V302&lt;&gt;"",V302,IF(P302="Cancelled",0,MAX(MinimumCharge,ROUND(AI302*IFERROR(INDEX(FreqFactors,MATCH(O302,FreqNames,0)),1),2)))))</f>
        <v>0</v>
      </c>
      <c r="AK302" s="34">
        <f>IF(G302="","",IF(SUMIFS(Timesheets!$U$5:$U$804,Timesheets!$G$5:$G$804,A302)&gt;0,SUMIFS(Timesheets!$U$5:$U$804,Timesheets!$G$5:$G$804,A302),IF(Z302="","",Z302)))</f>
        <v>0</v>
      </c>
      <c r="AL302" s="34">
        <f>IF(OR(AK302="",AD302=""),"",AK302-AD302)</f>
        <v>0</v>
      </c>
      <c r="AM302" s="31">
        <f>IF(A302="","",COUNTIFS('Job Tasks'!$B$5:$B$904,A302))</f>
        <v>0</v>
      </c>
      <c r="AN302" s="31">
        <f>IF(A302="","",COUNTIFS('Job Tasks'!$B$5:$B$904,A302,'Job Tasks'!$H$5:$H$904,"Done"))</f>
        <v>0</v>
      </c>
      <c r="AO302" s="38">
        <f>IF(OR(A302="",AM302=0),"",AN302/AM302)</f>
        <v>0</v>
      </c>
      <c r="AP302" s="43">
        <f>IF(A302="","",IFERROR(INDEX('Invoice Lines'!$B$5:$B$804,MATCH(A302,'Invoice Lines'!$C$5:$C$804,0)),""))</f>
        <v>0</v>
      </c>
      <c r="AQ302" s="18">
        <f>IF(OR(G302="",B302="",X302&lt;&gt;"Yes"),"",IF(IFERROR(INDEX(FreqDays,MATCH(O302,FreqNames,0)),0)=0,"",B302+IFERROR(INDEX(FreqDays,MATCH(O302,FreqNames,0)),0)))</f>
        <v>0</v>
      </c>
      <c r="AR302" s="39">
        <f>IF(G302="","",IF(R302="","Unassigned",IF(COUNTIFS($R$5:$R$604,R302,$B$5:$B$604,B302,$F$5:$F$604,F302)&gt;1,"Clash",IF(SUMIFS($AF$5:$AF$604,$R$5:$R$604,R302,$B$5:$B$604,B302)&gt;ProductiveHours,"Long day","OK"))))</f>
        <v>0</v>
      </c>
      <c r="AS302" s="18">
        <f>IF(OR(G302="",B302=""),"",IF(AND(B302&gt;=TodayDate,P302&lt;&gt;"Cancelled"),B302,""))</f>
        <v>0</v>
      </c>
      <c r="AT302" s="31">
        <f>IF(AS302="","",COUNTIFS($AS$5:$AS$604,"&lt;"&amp;AS302)+COUNTIFS($AS$5:AS302,AS302))</f>
        <v>0</v>
      </c>
      <c r="AU302" s="18">
        <f>IF(OR(G302="",B302="",R302&lt;&gt;""),"",IF(AND(B302&gt;=TodayDate,P302&lt;&gt;"Cancelled"),B302,""))</f>
        <v>0</v>
      </c>
      <c r="AV302" s="31">
        <f>IF(AU302="","",COUNTIFS($AU$5:$AU$604,"&lt;"&amp;AU302)+COUNTIFS($AU$5:AU302,AU302))</f>
        <v>0</v>
      </c>
      <c r="AW302" s="31">
        <f>IF(OR(G302="",B302=""),"",B302-TodayDate)</f>
        <v>0</v>
      </c>
      <c r="AX302" s="39">
        <f>IF(G302="","",IF(P302="Cancelled","Cancelled",IF(P302="No access","Action - no access, rebook",IF(AND(B302&lt;&gt;"",AW302&lt;0,OR(P302="Booked",P302="Confirmed",P302="In progress")),"Late - mark it completed",IF(AND(P302="Completed",AP302=""),"Action - not invoiced yet",IF(AND(AW302&gt;=0,AW302&lt;=ReminderDays,Y302&lt;&gt;"Yes"),"Confirm - visit coming up",IF(R302="","Assign - no cleaner booked",IF(AND(P302="Completed",AO302&lt;&gt;"",AO302&lt;1),"Check - checklist unfinished","OK"))))))))</f>
        <v>0</v>
      </c>
    </row>
    <row r="303" spans="1:50">
      <c r="A303" s="43">
        <f>IF(G303="","",JobPrefix&amp;TEXT(ROW()-4,"0000"))</f>
        <v>0</v>
      </c>
      <c r="C303" s="23">
        <f>IF(B303="","",TEXT(B303,"ddd"))</f>
        <v>0</v>
      </c>
      <c r="D303" s="31">
        <f>IF(B303="","",WEEKNUM(B303,IF(WeekStart="Sunday",1,2)))</f>
        <v>0</v>
      </c>
      <c r="E303" s="23">
        <f>IF(B303="","",TEXT(B303,"yyyy-mm"))</f>
        <v>0</v>
      </c>
      <c r="H303" s="23">
        <f>IF(G303="","",IFERROR(INDEX(Clients!$B$5:$B$204,MATCH(G303,Clients!$A$5:$A$204,0)),"Not found"))</f>
        <v>0</v>
      </c>
      <c r="I303" s="23">
        <f>IF(G303="","",IFERROR(INDEX(Clients!$C$5:$C$204,MATCH(G303,Clients!$A$5:$A$204,0)),""))</f>
        <v>0</v>
      </c>
      <c r="K303" s="23">
        <f>IF(J303="","",IFERROR(INDEX(Properties!$B$5:$B$254,MATCH(J303,Properties!$A$5:$A$254,0)),""))</f>
        <v>0</v>
      </c>
      <c r="L303" s="23">
        <f>IF(J303="","",IFERROR(INDEX(Properties!$F$5:$F$254,MATCH(J303,Properties!$A$5:$A$254,0)),""))</f>
        <v>0</v>
      </c>
      <c r="AD303" s="34">
        <f>IF(G303="","",IF(U303&lt;&gt;"",U303,IF(AND(IFERROR(INDEX(Services!$D$5:$D$64,MATCH(M303,Services!$B$5:$B$64,0)),"")="Per hour",IFERROR(INDEX(Properties!$X$5:$X$254,MATCH(J303,Properties!$A$5:$A$254,0)),0)&gt;0),IFERROR(INDEX(Properties!$X$5:$X$254,MATCH(J303,Properties!$A$5:$A$254,0)),0),IF(IFERROR(INDEX(Services!$G$5:$G$64,MATCH(M303,Services!$B$5:$B$64,0)),0)&gt;0,IFERROR(INDEX(Services!$G$5:$G$64,MATCH(M303,Services!$B$5:$B$64,0)),0),IFERROR(INDEX(Properties!$X$5:$X$254,MATCH(J303,Properties!$A$5:$A$254,0)),0)))))</f>
        <v>0</v>
      </c>
      <c r="AE303" s="31">
        <f>IF(G303="","",IF(T303="",CleanersPerJob,MAX(1,T303)))</f>
        <v>0</v>
      </c>
      <c r="AF303" s="34">
        <f>IF(G303="","",ROUND(AD303/AE303,2))</f>
        <v>0</v>
      </c>
      <c r="AG303" s="53">
        <f>IF(OR(G303="",F303="",AF303=""),"",F303+AF303/24)</f>
        <v>0</v>
      </c>
      <c r="AH303" s="21">
        <f>IF(G303="","",IF(IFERROR(INDEX(Clients!$O$5:$O$204,MATCH(G303,Clients!$A$5:$A$204,0)),0)&gt;0,IFERROR(INDEX(Clients!$O$5:$O$204,MATCH(G303,Clients!$A$5:$A$204,0)),0),HourlyRate))</f>
        <v>0</v>
      </c>
      <c r="AI303" s="21">
        <f>IF(G303="","",IF(AND(M303&lt;&gt;"",IFERROR(INDEX(Services!$P$5:$P$64,MATCH(M303,Services!$B$5:$B$64,0)),0)&gt;0,IFERROR(INDEX(Services!$D$5:$D$64,MATCH(M303,Services!$B$5:$B$64,0)),"")&lt;&gt;"Per hour"),IFERROR(INDEX(Services!$P$5:$P$64,MATCH(M303,Services!$B$5:$B$64,0)),0),AD303*AH303))</f>
        <v>0</v>
      </c>
      <c r="AJ303" s="21">
        <f>IF(G303="","",IF(V303&lt;&gt;"",V303,IF(P303="Cancelled",0,MAX(MinimumCharge,ROUND(AI303*IFERROR(INDEX(FreqFactors,MATCH(O303,FreqNames,0)),1),2)))))</f>
        <v>0</v>
      </c>
      <c r="AK303" s="34">
        <f>IF(G303="","",IF(SUMIFS(Timesheets!$U$5:$U$804,Timesheets!$G$5:$G$804,A303)&gt;0,SUMIFS(Timesheets!$U$5:$U$804,Timesheets!$G$5:$G$804,A303),IF(Z303="","",Z303)))</f>
        <v>0</v>
      </c>
      <c r="AL303" s="34">
        <f>IF(OR(AK303="",AD303=""),"",AK303-AD303)</f>
        <v>0</v>
      </c>
      <c r="AM303" s="31">
        <f>IF(A303="","",COUNTIFS('Job Tasks'!$B$5:$B$904,A303))</f>
        <v>0</v>
      </c>
      <c r="AN303" s="31">
        <f>IF(A303="","",COUNTIFS('Job Tasks'!$B$5:$B$904,A303,'Job Tasks'!$H$5:$H$904,"Done"))</f>
        <v>0</v>
      </c>
      <c r="AO303" s="38">
        <f>IF(OR(A303="",AM303=0),"",AN303/AM303)</f>
        <v>0</v>
      </c>
      <c r="AP303" s="43">
        <f>IF(A303="","",IFERROR(INDEX('Invoice Lines'!$B$5:$B$804,MATCH(A303,'Invoice Lines'!$C$5:$C$804,0)),""))</f>
        <v>0</v>
      </c>
      <c r="AQ303" s="18">
        <f>IF(OR(G303="",B303="",X303&lt;&gt;"Yes"),"",IF(IFERROR(INDEX(FreqDays,MATCH(O303,FreqNames,0)),0)=0,"",B303+IFERROR(INDEX(FreqDays,MATCH(O303,FreqNames,0)),0)))</f>
        <v>0</v>
      </c>
      <c r="AR303" s="39">
        <f>IF(G303="","",IF(R303="","Unassigned",IF(COUNTIFS($R$5:$R$604,R303,$B$5:$B$604,B303,$F$5:$F$604,F303)&gt;1,"Clash",IF(SUMIFS($AF$5:$AF$604,$R$5:$R$604,R303,$B$5:$B$604,B303)&gt;ProductiveHours,"Long day","OK"))))</f>
        <v>0</v>
      </c>
      <c r="AS303" s="18">
        <f>IF(OR(G303="",B303=""),"",IF(AND(B303&gt;=TodayDate,P303&lt;&gt;"Cancelled"),B303,""))</f>
        <v>0</v>
      </c>
      <c r="AT303" s="31">
        <f>IF(AS303="","",COUNTIFS($AS$5:$AS$604,"&lt;"&amp;AS303)+COUNTIFS($AS$5:AS303,AS303))</f>
        <v>0</v>
      </c>
      <c r="AU303" s="18">
        <f>IF(OR(G303="",B303="",R303&lt;&gt;""),"",IF(AND(B303&gt;=TodayDate,P303&lt;&gt;"Cancelled"),B303,""))</f>
        <v>0</v>
      </c>
      <c r="AV303" s="31">
        <f>IF(AU303="","",COUNTIFS($AU$5:$AU$604,"&lt;"&amp;AU303)+COUNTIFS($AU$5:AU303,AU303))</f>
        <v>0</v>
      </c>
      <c r="AW303" s="31">
        <f>IF(OR(G303="",B303=""),"",B303-TodayDate)</f>
        <v>0</v>
      </c>
      <c r="AX303" s="39">
        <f>IF(G303="","",IF(P303="Cancelled","Cancelled",IF(P303="No access","Action - no access, rebook",IF(AND(B303&lt;&gt;"",AW303&lt;0,OR(P303="Booked",P303="Confirmed",P303="In progress")),"Late - mark it completed",IF(AND(P303="Completed",AP303=""),"Action - not invoiced yet",IF(AND(AW303&gt;=0,AW303&lt;=ReminderDays,Y303&lt;&gt;"Yes"),"Confirm - visit coming up",IF(R303="","Assign - no cleaner booked",IF(AND(P303="Completed",AO303&lt;&gt;"",AO303&lt;1),"Check - checklist unfinished","OK"))))))))</f>
        <v>0</v>
      </c>
    </row>
    <row r="304" spans="1:50">
      <c r="A304" s="43">
        <f>IF(G304="","",JobPrefix&amp;TEXT(ROW()-4,"0000"))</f>
        <v>0</v>
      </c>
      <c r="C304" s="23">
        <f>IF(B304="","",TEXT(B304,"ddd"))</f>
        <v>0</v>
      </c>
      <c r="D304" s="31">
        <f>IF(B304="","",WEEKNUM(B304,IF(WeekStart="Sunday",1,2)))</f>
        <v>0</v>
      </c>
      <c r="E304" s="23">
        <f>IF(B304="","",TEXT(B304,"yyyy-mm"))</f>
        <v>0</v>
      </c>
      <c r="H304" s="23">
        <f>IF(G304="","",IFERROR(INDEX(Clients!$B$5:$B$204,MATCH(G304,Clients!$A$5:$A$204,0)),"Not found"))</f>
        <v>0</v>
      </c>
      <c r="I304" s="23">
        <f>IF(G304="","",IFERROR(INDEX(Clients!$C$5:$C$204,MATCH(G304,Clients!$A$5:$A$204,0)),""))</f>
        <v>0</v>
      </c>
      <c r="K304" s="23">
        <f>IF(J304="","",IFERROR(INDEX(Properties!$B$5:$B$254,MATCH(J304,Properties!$A$5:$A$254,0)),""))</f>
        <v>0</v>
      </c>
      <c r="L304" s="23">
        <f>IF(J304="","",IFERROR(INDEX(Properties!$F$5:$F$254,MATCH(J304,Properties!$A$5:$A$254,0)),""))</f>
        <v>0</v>
      </c>
      <c r="AD304" s="34">
        <f>IF(G304="","",IF(U304&lt;&gt;"",U304,IF(AND(IFERROR(INDEX(Services!$D$5:$D$64,MATCH(M304,Services!$B$5:$B$64,0)),"")="Per hour",IFERROR(INDEX(Properties!$X$5:$X$254,MATCH(J304,Properties!$A$5:$A$254,0)),0)&gt;0),IFERROR(INDEX(Properties!$X$5:$X$254,MATCH(J304,Properties!$A$5:$A$254,0)),0),IF(IFERROR(INDEX(Services!$G$5:$G$64,MATCH(M304,Services!$B$5:$B$64,0)),0)&gt;0,IFERROR(INDEX(Services!$G$5:$G$64,MATCH(M304,Services!$B$5:$B$64,0)),0),IFERROR(INDEX(Properties!$X$5:$X$254,MATCH(J304,Properties!$A$5:$A$254,0)),0)))))</f>
        <v>0</v>
      </c>
      <c r="AE304" s="31">
        <f>IF(G304="","",IF(T304="",CleanersPerJob,MAX(1,T304)))</f>
        <v>0</v>
      </c>
      <c r="AF304" s="34">
        <f>IF(G304="","",ROUND(AD304/AE304,2))</f>
        <v>0</v>
      </c>
      <c r="AG304" s="53">
        <f>IF(OR(G304="",F304="",AF304=""),"",F304+AF304/24)</f>
        <v>0</v>
      </c>
      <c r="AH304" s="21">
        <f>IF(G304="","",IF(IFERROR(INDEX(Clients!$O$5:$O$204,MATCH(G304,Clients!$A$5:$A$204,0)),0)&gt;0,IFERROR(INDEX(Clients!$O$5:$O$204,MATCH(G304,Clients!$A$5:$A$204,0)),0),HourlyRate))</f>
        <v>0</v>
      </c>
      <c r="AI304" s="21">
        <f>IF(G304="","",IF(AND(M304&lt;&gt;"",IFERROR(INDEX(Services!$P$5:$P$64,MATCH(M304,Services!$B$5:$B$64,0)),0)&gt;0,IFERROR(INDEX(Services!$D$5:$D$64,MATCH(M304,Services!$B$5:$B$64,0)),"")&lt;&gt;"Per hour"),IFERROR(INDEX(Services!$P$5:$P$64,MATCH(M304,Services!$B$5:$B$64,0)),0),AD304*AH304))</f>
        <v>0</v>
      </c>
      <c r="AJ304" s="21">
        <f>IF(G304="","",IF(V304&lt;&gt;"",V304,IF(P304="Cancelled",0,MAX(MinimumCharge,ROUND(AI304*IFERROR(INDEX(FreqFactors,MATCH(O304,FreqNames,0)),1),2)))))</f>
        <v>0</v>
      </c>
      <c r="AK304" s="34">
        <f>IF(G304="","",IF(SUMIFS(Timesheets!$U$5:$U$804,Timesheets!$G$5:$G$804,A304)&gt;0,SUMIFS(Timesheets!$U$5:$U$804,Timesheets!$G$5:$G$804,A304),IF(Z304="","",Z304)))</f>
        <v>0</v>
      </c>
      <c r="AL304" s="34">
        <f>IF(OR(AK304="",AD304=""),"",AK304-AD304)</f>
        <v>0</v>
      </c>
      <c r="AM304" s="31">
        <f>IF(A304="","",COUNTIFS('Job Tasks'!$B$5:$B$904,A304))</f>
        <v>0</v>
      </c>
      <c r="AN304" s="31">
        <f>IF(A304="","",COUNTIFS('Job Tasks'!$B$5:$B$904,A304,'Job Tasks'!$H$5:$H$904,"Done"))</f>
        <v>0</v>
      </c>
      <c r="AO304" s="38">
        <f>IF(OR(A304="",AM304=0),"",AN304/AM304)</f>
        <v>0</v>
      </c>
      <c r="AP304" s="43">
        <f>IF(A304="","",IFERROR(INDEX('Invoice Lines'!$B$5:$B$804,MATCH(A304,'Invoice Lines'!$C$5:$C$804,0)),""))</f>
        <v>0</v>
      </c>
      <c r="AQ304" s="18">
        <f>IF(OR(G304="",B304="",X304&lt;&gt;"Yes"),"",IF(IFERROR(INDEX(FreqDays,MATCH(O304,FreqNames,0)),0)=0,"",B304+IFERROR(INDEX(FreqDays,MATCH(O304,FreqNames,0)),0)))</f>
        <v>0</v>
      </c>
      <c r="AR304" s="39">
        <f>IF(G304="","",IF(R304="","Unassigned",IF(COUNTIFS($R$5:$R$604,R304,$B$5:$B$604,B304,$F$5:$F$604,F304)&gt;1,"Clash",IF(SUMIFS($AF$5:$AF$604,$R$5:$R$604,R304,$B$5:$B$604,B304)&gt;ProductiveHours,"Long day","OK"))))</f>
        <v>0</v>
      </c>
      <c r="AS304" s="18">
        <f>IF(OR(G304="",B304=""),"",IF(AND(B304&gt;=TodayDate,P304&lt;&gt;"Cancelled"),B304,""))</f>
        <v>0</v>
      </c>
      <c r="AT304" s="31">
        <f>IF(AS304="","",COUNTIFS($AS$5:$AS$604,"&lt;"&amp;AS304)+COUNTIFS($AS$5:AS304,AS304))</f>
        <v>0</v>
      </c>
      <c r="AU304" s="18">
        <f>IF(OR(G304="",B304="",R304&lt;&gt;""),"",IF(AND(B304&gt;=TodayDate,P304&lt;&gt;"Cancelled"),B304,""))</f>
        <v>0</v>
      </c>
      <c r="AV304" s="31">
        <f>IF(AU304="","",COUNTIFS($AU$5:$AU$604,"&lt;"&amp;AU304)+COUNTIFS($AU$5:AU304,AU304))</f>
        <v>0</v>
      </c>
      <c r="AW304" s="31">
        <f>IF(OR(G304="",B304=""),"",B304-TodayDate)</f>
        <v>0</v>
      </c>
      <c r="AX304" s="39">
        <f>IF(G304="","",IF(P304="Cancelled","Cancelled",IF(P304="No access","Action - no access, rebook",IF(AND(B304&lt;&gt;"",AW304&lt;0,OR(P304="Booked",P304="Confirmed",P304="In progress")),"Late - mark it completed",IF(AND(P304="Completed",AP304=""),"Action - not invoiced yet",IF(AND(AW304&gt;=0,AW304&lt;=ReminderDays,Y304&lt;&gt;"Yes"),"Confirm - visit coming up",IF(R304="","Assign - no cleaner booked",IF(AND(P304="Completed",AO304&lt;&gt;"",AO304&lt;1),"Check - checklist unfinished","OK"))))))))</f>
        <v>0</v>
      </c>
    </row>
    <row r="305" spans="1:50">
      <c r="A305" s="43">
        <f>IF(G305="","",JobPrefix&amp;TEXT(ROW()-4,"0000"))</f>
        <v>0</v>
      </c>
      <c r="C305" s="23">
        <f>IF(B305="","",TEXT(B305,"ddd"))</f>
        <v>0</v>
      </c>
      <c r="D305" s="31">
        <f>IF(B305="","",WEEKNUM(B305,IF(WeekStart="Sunday",1,2)))</f>
        <v>0</v>
      </c>
      <c r="E305" s="23">
        <f>IF(B305="","",TEXT(B305,"yyyy-mm"))</f>
        <v>0</v>
      </c>
      <c r="H305" s="23">
        <f>IF(G305="","",IFERROR(INDEX(Clients!$B$5:$B$204,MATCH(G305,Clients!$A$5:$A$204,0)),"Not found"))</f>
        <v>0</v>
      </c>
      <c r="I305" s="23">
        <f>IF(G305="","",IFERROR(INDEX(Clients!$C$5:$C$204,MATCH(G305,Clients!$A$5:$A$204,0)),""))</f>
        <v>0</v>
      </c>
      <c r="K305" s="23">
        <f>IF(J305="","",IFERROR(INDEX(Properties!$B$5:$B$254,MATCH(J305,Properties!$A$5:$A$254,0)),""))</f>
        <v>0</v>
      </c>
      <c r="L305" s="23">
        <f>IF(J305="","",IFERROR(INDEX(Properties!$F$5:$F$254,MATCH(J305,Properties!$A$5:$A$254,0)),""))</f>
        <v>0</v>
      </c>
      <c r="AD305" s="34">
        <f>IF(G305="","",IF(U305&lt;&gt;"",U305,IF(AND(IFERROR(INDEX(Services!$D$5:$D$64,MATCH(M305,Services!$B$5:$B$64,0)),"")="Per hour",IFERROR(INDEX(Properties!$X$5:$X$254,MATCH(J305,Properties!$A$5:$A$254,0)),0)&gt;0),IFERROR(INDEX(Properties!$X$5:$X$254,MATCH(J305,Properties!$A$5:$A$254,0)),0),IF(IFERROR(INDEX(Services!$G$5:$G$64,MATCH(M305,Services!$B$5:$B$64,0)),0)&gt;0,IFERROR(INDEX(Services!$G$5:$G$64,MATCH(M305,Services!$B$5:$B$64,0)),0),IFERROR(INDEX(Properties!$X$5:$X$254,MATCH(J305,Properties!$A$5:$A$254,0)),0)))))</f>
        <v>0</v>
      </c>
      <c r="AE305" s="31">
        <f>IF(G305="","",IF(T305="",CleanersPerJob,MAX(1,T305)))</f>
        <v>0</v>
      </c>
      <c r="AF305" s="34">
        <f>IF(G305="","",ROUND(AD305/AE305,2))</f>
        <v>0</v>
      </c>
      <c r="AG305" s="53">
        <f>IF(OR(G305="",F305="",AF305=""),"",F305+AF305/24)</f>
        <v>0</v>
      </c>
      <c r="AH305" s="21">
        <f>IF(G305="","",IF(IFERROR(INDEX(Clients!$O$5:$O$204,MATCH(G305,Clients!$A$5:$A$204,0)),0)&gt;0,IFERROR(INDEX(Clients!$O$5:$O$204,MATCH(G305,Clients!$A$5:$A$204,0)),0),HourlyRate))</f>
        <v>0</v>
      </c>
      <c r="AI305" s="21">
        <f>IF(G305="","",IF(AND(M305&lt;&gt;"",IFERROR(INDEX(Services!$P$5:$P$64,MATCH(M305,Services!$B$5:$B$64,0)),0)&gt;0,IFERROR(INDEX(Services!$D$5:$D$64,MATCH(M305,Services!$B$5:$B$64,0)),"")&lt;&gt;"Per hour"),IFERROR(INDEX(Services!$P$5:$P$64,MATCH(M305,Services!$B$5:$B$64,0)),0),AD305*AH305))</f>
        <v>0</v>
      </c>
      <c r="AJ305" s="21">
        <f>IF(G305="","",IF(V305&lt;&gt;"",V305,IF(P305="Cancelled",0,MAX(MinimumCharge,ROUND(AI305*IFERROR(INDEX(FreqFactors,MATCH(O305,FreqNames,0)),1),2)))))</f>
        <v>0</v>
      </c>
      <c r="AK305" s="34">
        <f>IF(G305="","",IF(SUMIFS(Timesheets!$U$5:$U$804,Timesheets!$G$5:$G$804,A305)&gt;0,SUMIFS(Timesheets!$U$5:$U$804,Timesheets!$G$5:$G$804,A305),IF(Z305="","",Z305)))</f>
        <v>0</v>
      </c>
      <c r="AL305" s="34">
        <f>IF(OR(AK305="",AD305=""),"",AK305-AD305)</f>
        <v>0</v>
      </c>
      <c r="AM305" s="31">
        <f>IF(A305="","",COUNTIFS('Job Tasks'!$B$5:$B$904,A305))</f>
        <v>0</v>
      </c>
      <c r="AN305" s="31">
        <f>IF(A305="","",COUNTIFS('Job Tasks'!$B$5:$B$904,A305,'Job Tasks'!$H$5:$H$904,"Done"))</f>
        <v>0</v>
      </c>
      <c r="AO305" s="38">
        <f>IF(OR(A305="",AM305=0),"",AN305/AM305)</f>
        <v>0</v>
      </c>
      <c r="AP305" s="43">
        <f>IF(A305="","",IFERROR(INDEX('Invoice Lines'!$B$5:$B$804,MATCH(A305,'Invoice Lines'!$C$5:$C$804,0)),""))</f>
        <v>0</v>
      </c>
      <c r="AQ305" s="18">
        <f>IF(OR(G305="",B305="",X305&lt;&gt;"Yes"),"",IF(IFERROR(INDEX(FreqDays,MATCH(O305,FreqNames,0)),0)=0,"",B305+IFERROR(INDEX(FreqDays,MATCH(O305,FreqNames,0)),0)))</f>
        <v>0</v>
      </c>
      <c r="AR305" s="39">
        <f>IF(G305="","",IF(R305="","Unassigned",IF(COUNTIFS($R$5:$R$604,R305,$B$5:$B$604,B305,$F$5:$F$604,F305)&gt;1,"Clash",IF(SUMIFS($AF$5:$AF$604,$R$5:$R$604,R305,$B$5:$B$604,B305)&gt;ProductiveHours,"Long day","OK"))))</f>
        <v>0</v>
      </c>
      <c r="AS305" s="18">
        <f>IF(OR(G305="",B305=""),"",IF(AND(B305&gt;=TodayDate,P305&lt;&gt;"Cancelled"),B305,""))</f>
        <v>0</v>
      </c>
      <c r="AT305" s="31">
        <f>IF(AS305="","",COUNTIFS($AS$5:$AS$604,"&lt;"&amp;AS305)+COUNTIFS($AS$5:AS305,AS305))</f>
        <v>0</v>
      </c>
      <c r="AU305" s="18">
        <f>IF(OR(G305="",B305="",R305&lt;&gt;""),"",IF(AND(B305&gt;=TodayDate,P305&lt;&gt;"Cancelled"),B305,""))</f>
        <v>0</v>
      </c>
      <c r="AV305" s="31">
        <f>IF(AU305="","",COUNTIFS($AU$5:$AU$604,"&lt;"&amp;AU305)+COUNTIFS($AU$5:AU305,AU305))</f>
        <v>0</v>
      </c>
      <c r="AW305" s="31">
        <f>IF(OR(G305="",B305=""),"",B305-TodayDate)</f>
        <v>0</v>
      </c>
      <c r="AX305" s="39">
        <f>IF(G305="","",IF(P305="Cancelled","Cancelled",IF(P305="No access","Action - no access, rebook",IF(AND(B305&lt;&gt;"",AW305&lt;0,OR(P305="Booked",P305="Confirmed",P305="In progress")),"Late - mark it completed",IF(AND(P305="Completed",AP305=""),"Action - not invoiced yet",IF(AND(AW305&gt;=0,AW305&lt;=ReminderDays,Y305&lt;&gt;"Yes"),"Confirm - visit coming up",IF(R305="","Assign - no cleaner booked",IF(AND(P305="Completed",AO305&lt;&gt;"",AO305&lt;1),"Check - checklist unfinished","OK"))))))))</f>
        <v>0</v>
      </c>
    </row>
    <row r="306" spans="1:50">
      <c r="A306" s="43">
        <f>IF(G306="","",JobPrefix&amp;TEXT(ROW()-4,"0000"))</f>
        <v>0</v>
      </c>
      <c r="C306" s="23">
        <f>IF(B306="","",TEXT(B306,"ddd"))</f>
        <v>0</v>
      </c>
      <c r="D306" s="31">
        <f>IF(B306="","",WEEKNUM(B306,IF(WeekStart="Sunday",1,2)))</f>
        <v>0</v>
      </c>
      <c r="E306" s="23">
        <f>IF(B306="","",TEXT(B306,"yyyy-mm"))</f>
        <v>0</v>
      </c>
      <c r="H306" s="23">
        <f>IF(G306="","",IFERROR(INDEX(Clients!$B$5:$B$204,MATCH(G306,Clients!$A$5:$A$204,0)),"Not found"))</f>
        <v>0</v>
      </c>
      <c r="I306" s="23">
        <f>IF(G306="","",IFERROR(INDEX(Clients!$C$5:$C$204,MATCH(G306,Clients!$A$5:$A$204,0)),""))</f>
        <v>0</v>
      </c>
      <c r="K306" s="23">
        <f>IF(J306="","",IFERROR(INDEX(Properties!$B$5:$B$254,MATCH(J306,Properties!$A$5:$A$254,0)),""))</f>
        <v>0</v>
      </c>
      <c r="L306" s="23">
        <f>IF(J306="","",IFERROR(INDEX(Properties!$F$5:$F$254,MATCH(J306,Properties!$A$5:$A$254,0)),""))</f>
        <v>0</v>
      </c>
      <c r="AD306" s="34">
        <f>IF(G306="","",IF(U306&lt;&gt;"",U306,IF(AND(IFERROR(INDEX(Services!$D$5:$D$64,MATCH(M306,Services!$B$5:$B$64,0)),"")="Per hour",IFERROR(INDEX(Properties!$X$5:$X$254,MATCH(J306,Properties!$A$5:$A$254,0)),0)&gt;0),IFERROR(INDEX(Properties!$X$5:$X$254,MATCH(J306,Properties!$A$5:$A$254,0)),0),IF(IFERROR(INDEX(Services!$G$5:$G$64,MATCH(M306,Services!$B$5:$B$64,0)),0)&gt;0,IFERROR(INDEX(Services!$G$5:$G$64,MATCH(M306,Services!$B$5:$B$64,0)),0),IFERROR(INDEX(Properties!$X$5:$X$254,MATCH(J306,Properties!$A$5:$A$254,0)),0)))))</f>
        <v>0</v>
      </c>
      <c r="AE306" s="31">
        <f>IF(G306="","",IF(T306="",CleanersPerJob,MAX(1,T306)))</f>
        <v>0</v>
      </c>
      <c r="AF306" s="34">
        <f>IF(G306="","",ROUND(AD306/AE306,2))</f>
        <v>0</v>
      </c>
      <c r="AG306" s="53">
        <f>IF(OR(G306="",F306="",AF306=""),"",F306+AF306/24)</f>
        <v>0</v>
      </c>
      <c r="AH306" s="21">
        <f>IF(G306="","",IF(IFERROR(INDEX(Clients!$O$5:$O$204,MATCH(G306,Clients!$A$5:$A$204,0)),0)&gt;0,IFERROR(INDEX(Clients!$O$5:$O$204,MATCH(G306,Clients!$A$5:$A$204,0)),0),HourlyRate))</f>
        <v>0</v>
      </c>
      <c r="AI306" s="21">
        <f>IF(G306="","",IF(AND(M306&lt;&gt;"",IFERROR(INDEX(Services!$P$5:$P$64,MATCH(M306,Services!$B$5:$B$64,0)),0)&gt;0,IFERROR(INDEX(Services!$D$5:$D$64,MATCH(M306,Services!$B$5:$B$64,0)),"")&lt;&gt;"Per hour"),IFERROR(INDEX(Services!$P$5:$P$64,MATCH(M306,Services!$B$5:$B$64,0)),0),AD306*AH306))</f>
        <v>0</v>
      </c>
      <c r="AJ306" s="21">
        <f>IF(G306="","",IF(V306&lt;&gt;"",V306,IF(P306="Cancelled",0,MAX(MinimumCharge,ROUND(AI306*IFERROR(INDEX(FreqFactors,MATCH(O306,FreqNames,0)),1),2)))))</f>
        <v>0</v>
      </c>
      <c r="AK306" s="34">
        <f>IF(G306="","",IF(SUMIFS(Timesheets!$U$5:$U$804,Timesheets!$G$5:$G$804,A306)&gt;0,SUMIFS(Timesheets!$U$5:$U$804,Timesheets!$G$5:$G$804,A306),IF(Z306="","",Z306)))</f>
        <v>0</v>
      </c>
      <c r="AL306" s="34">
        <f>IF(OR(AK306="",AD306=""),"",AK306-AD306)</f>
        <v>0</v>
      </c>
      <c r="AM306" s="31">
        <f>IF(A306="","",COUNTIFS('Job Tasks'!$B$5:$B$904,A306))</f>
        <v>0</v>
      </c>
      <c r="AN306" s="31">
        <f>IF(A306="","",COUNTIFS('Job Tasks'!$B$5:$B$904,A306,'Job Tasks'!$H$5:$H$904,"Done"))</f>
        <v>0</v>
      </c>
      <c r="AO306" s="38">
        <f>IF(OR(A306="",AM306=0),"",AN306/AM306)</f>
        <v>0</v>
      </c>
      <c r="AP306" s="43">
        <f>IF(A306="","",IFERROR(INDEX('Invoice Lines'!$B$5:$B$804,MATCH(A306,'Invoice Lines'!$C$5:$C$804,0)),""))</f>
        <v>0</v>
      </c>
      <c r="AQ306" s="18">
        <f>IF(OR(G306="",B306="",X306&lt;&gt;"Yes"),"",IF(IFERROR(INDEX(FreqDays,MATCH(O306,FreqNames,0)),0)=0,"",B306+IFERROR(INDEX(FreqDays,MATCH(O306,FreqNames,0)),0)))</f>
        <v>0</v>
      </c>
      <c r="AR306" s="39">
        <f>IF(G306="","",IF(R306="","Unassigned",IF(COUNTIFS($R$5:$R$604,R306,$B$5:$B$604,B306,$F$5:$F$604,F306)&gt;1,"Clash",IF(SUMIFS($AF$5:$AF$604,$R$5:$R$604,R306,$B$5:$B$604,B306)&gt;ProductiveHours,"Long day","OK"))))</f>
        <v>0</v>
      </c>
      <c r="AS306" s="18">
        <f>IF(OR(G306="",B306=""),"",IF(AND(B306&gt;=TodayDate,P306&lt;&gt;"Cancelled"),B306,""))</f>
        <v>0</v>
      </c>
      <c r="AT306" s="31">
        <f>IF(AS306="","",COUNTIFS($AS$5:$AS$604,"&lt;"&amp;AS306)+COUNTIFS($AS$5:AS306,AS306))</f>
        <v>0</v>
      </c>
      <c r="AU306" s="18">
        <f>IF(OR(G306="",B306="",R306&lt;&gt;""),"",IF(AND(B306&gt;=TodayDate,P306&lt;&gt;"Cancelled"),B306,""))</f>
        <v>0</v>
      </c>
      <c r="AV306" s="31">
        <f>IF(AU306="","",COUNTIFS($AU$5:$AU$604,"&lt;"&amp;AU306)+COUNTIFS($AU$5:AU306,AU306))</f>
        <v>0</v>
      </c>
      <c r="AW306" s="31">
        <f>IF(OR(G306="",B306=""),"",B306-TodayDate)</f>
        <v>0</v>
      </c>
      <c r="AX306" s="39">
        <f>IF(G306="","",IF(P306="Cancelled","Cancelled",IF(P306="No access","Action - no access, rebook",IF(AND(B306&lt;&gt;"",AW306&lt;0,OR(P306="Booked",P306="Confirmed",P306="In progress")),"Late - mark it completed",IF(AND(P306="Completed",AP306=""),"Action - not invoiced yet",IF(AND(AW306&gt;=0,AW306&lt;=ReminderDays,Y306&lt;&gt;"Yes"),"Confirm - visit coming up",IF(R306="","Assign - no cleaner booked",IF(AND(P306="Completed",AO306&lt;&gt;"",AO306&lt;1),"Check - checklist unfinished","OK"))))))))</f>
        <v>0</v>
      </c>
    </row>
    <row r="307" spans="1:50">
      <c r="A307" s="43">
        <f>IF(G307="","",JobPrefix&amp;TEXT(ROW()-4,"0000"))</f>
        <v>0</v>
      </c>
      <c r="C307" s="23">
        <f>IF(B307="","",TEXT(B307,"ddd"))</f>
        <v>0</v>
      </c>
      <c r="D307" s="31">
        <f>IF(B307="","",WEEKNUM(B307,IF(WeekStart="Sunday",1,2)))</f>
        <v>0</v>
      </c>
      <c r="E307" s="23">
        <f>IF(B307="","",TEXT(B307,"yyyy-mm"))</f>
        <v>0</v>
      </c>
      <c r="H307" s="23">
        <f>IF(G307="","",IFERROR(INDEX(Clients!$B$5:$B$204,MATCH(G307,Clients!$A$5:$A$204,0)),"Not found"))</f>
        <v>0</v>
      </c>
      <c r="I307" s="23">
        <f>IF(G307="","",IFERROR(INDEX(Clients!$C$5:$C$204,MATCH(G307,Clients!$A$5:$A$204,0)),""))</f>
        <v>0</v>
      </c>
      <c r="K307" s="23">
        <f>IF(J307="","",IFERROR(INDEX(Properties!$B$5:$B$254,MATCH(J307,Properties!$A$5:$A$254,0)),""))</f>
        <v>0</v>
      </c>
      <c r="L307" s="23">
        <f>IF(J307="","",IFERROR(INDEX(Properties!$F$5:$F$254,MATCH(J307,Properties!$A$5:$A$254,0)),""))</f>
        <v>0</v>
      </c>
      <c r="AD307" s="34">
        <f>IF(G307="","",IF(U307&lt;&gt;"",U307,IF(AND(IFERROR(INDEX(Services!$D$5:$D$64,MATCH(M307,Services!$B$5:$B$64,0)),"")="Per hour",IFERROR(INDEX(Properties!$X$5:$X$254,MATCH(J307,Properties!$A$5:$A$254,0)),0)&gt;0),IFERROR(INDEX(Properties!$X$5:$X$254,MATCH(J307,Properties!$A$5:$A$254,0)),0),IF(IFERROR(INDEX(Services!$G$5:$G$64,MATCH(M307,Services!$B$5:$B$64,0)),0)&gt;0,IFERROR(INDEX(Services!$G$5:$G$64,MATCH(M307,Services!$B$5:$B$64,0)),0),IFERROR(INDEX(Properties!$X$5:$X$254,MATCH(J307,Properties!$A$5:$A$254,0)),0)))))</f>
        <v>0</v>
      </c>
      <c r="AE307" s="31">
        <f>IF(G307="","",IF(T307="",CleanersPerJob,MAX(1,T307)))</f>
        <v>0</v>
      </c>
      <c r="AF307" s="34">
        <f>IF(G307="","",ROUND(AD307/AE307,2))</f>
        <v>0</v>
      </c>
      <c r="AG307" s="53">
        <f>IF(OR(G307="",F307="",AF307=""),"",F307+AF307/24)</f>
        <v>0</v>
      </c>
      <c r="AH307" s="21">
        <f>IF(G307="","",IF(IFERROR(INDEX(Clients!$O$5:$O$204,MATCH(G307,Clients!$A$5:$A$204,0)),0)&gt;0,IFERROR(INDEX(Clients!$O$5:$O$204,MATCH(G307,Clients!$A$5:$A$204,0)),0),HourlyRate))</f>
        <v>0</v>
      </c>
      <c r="AI307" s="21">
        <f>IF(G307="","",IF(AND(M307&lt;&gt;"",IFERROR(INDEX(Services!$P$5:$P$64,MATCH(M307,Services!$B$5:$B$64,0)),0)&gt;0,IFERROR(INDEX(Services!$D$5:$D$64,MATCH(M307,Services!$B$5:$B$64,0)),"")&lt;&gt;"Per hour"),IFERROR(INDEX(Services!$P$5:$P$64,MATCH(M307,Services!$B$5:$B$64,0)),0),AD307*AH307))</f>
        <v>0</v>
      </c>
      <c r="AJ307" s="21">
        <f>IF(G307="","",IF(V307&lt;&gt;"",V307,IF(P307="Cancelled",0,MAX(MinimumCharge,ROUND(AI307*IFERROR(INDEX(FreqFactors,MATCH(O307,FreqNames,0)),1),2)))))</f>
        <v>0</v>
      </c>
      <c r="AK307" s="34">
        <f>IF(G307="","",IF(SUMIFS(Timesheets!$U$5:$U$804,Timesheets!$G$5:$G$804,A307)&gt;0,SUMIFS(Timesheets!$U$5:$U$804,Timesheets!$G$5:$G$804,A307),IF(Z307="","",Z307)))</f>
        <v>0</v>
      </c>
      <c r="AL307" s="34">
        <f>IF(OR(AK307="",AD307=""),"",AK307-AD307)</f>
        <v>0</v>
      </c>
      <c r="AM307" s="31">
        <f>IF(A307="","",COUNTIFS('Job Tasks'!$B$5:$B$904,A307))</f>
        <v>0</v>
      </c>
      <c r="AN307" s="31">
        <f>IF(A307="","",COUNTIFS('Job Tasks'!$B$5:$B$904,A307,'Job Tasks'!$H$5:$H$904,"Done"))</f>
        <v>0</v>
      </c>
      <c r="AO307" s="38">
        <f>IF(OR(A307="",AM307=0),"",AN307/AM307)</f>
        <v>0</v>
      </c>
      <c r="AP307" s="43">
        <f>IF(A307="","",IFERROR(INDEX('Invoice Lines'!$B$5:$B$804,MATCH(A307,'Invoice Lines'!$C$5:$C$804,0)),""))</f>
        <v>0</v>
      </c>
      <c r="AQ307" s="18">
        <f>IF(OR(G307="",B307="",X307&lt;&gt;"Yes"),"",IF(IFERROR(INDEX(FreqDays,MATCH(O307,FreqNames,0)),0)=0,"",B307+IFERROR(INDEX(FreqDays,MATCH(O307,FreqNames,0)),0)))</f>
        <v>0</v>
      </c>
      <c r="AR307" s="39">
        <f>IF(G307="","",IF(R307="","Unassigned",IF(COUNTIFS($R$5:$R$604,R307,$B$5:$B$604,B307,$F$5:$F$604,F307)&gt;1,"Clash",IF(SUMIFS($AF$5:$AF$604,$R$5:$R$604,R307,$B$5:$B$604,B307)&gt;ProductiveHours,"Long day","OK"))))</f>
        <v>0</v>
      </c>
      <c r="AS307" s="18">
        <f>IF(OR(G307="",B307=""),"",IF(AND(B307&gt;=TodayDate,P307&lt;&gt;"Cancelled"),B307,""))</f>
        <v>0</v>
      </c>
      <c r="AT307" s="31">
        <f>IF(AS307="","",COUNTIFS($AS$5:$AS$604,"&lt;"&amp;AS307)+COUNTIFS($AS$5:AS307,AS307))</f>
        <v>0</v>
      </c>
      <c r="AU307" s="18">
        <f>IF(OR(G307="",B307="",R307&lt;&gt;""),"",IF(AND(B307&gt;=TodayDate,P307&lt;&gt;"Cancelled"),B307,""))</f>
        <v>0</v>
      </c>
      <c r="AV307" s="31">
        <f>IF(AU307="","",COUNTIFS($AU$5:$AU$604,"&lt;"&amp;AU307)+COUNTIFS($AU$5:AU307,AU307))</f>
        <v>0</v>
      </c>
      <c r="AW307" s="31">
        <f>IF(OR(G307="",B307=""),"",B307-TodayDate)</f>
        <v>0</v>
      </c>
      <c r="AX307" s="39">
        <f>IF(G307="","",IF(P307="Cancelled","Cancelled",IF(P307="No access","Action - no access, rebook",IF(AND(B307&lt;&gt;"",AW307&lt;0,OR(P307="Booked",P307="Confirmed",P307="In progress")),"Late - mark it completed",IF(AND(P307="Completed",AP307=""),"Action - not invoiced yet",IF(AND(AW307&gt;=0,AW307&lt;=ReminderDays,Y307&lt;&gt;"Yes"),"Confirm - visit coming up",IF(R307="","Assign - no cleaner booked",IF(AND(P307="Completed",AO307&lt;&gt;"",AO307&lt;1),"Check - checklist unfinished","OK"))))))))</f>
        <v>0</v>
      </c>
    </row>
    <row r="308" spans="1:50">
      <c r="A308" s="43">
        <f>IF(G308="","",JobPrefix&amp;TEXT(ROW()-4,"0000"))</f>
        <v>0</v>
      </c>
      <c r="C308" s="23">
        <f>IF(B308="","",TEXT(B308,"ddd"))</f>
        <v>0</v>
      </c>
      <c r="D308" s="31">
        <f>IF(B308="","",WEEKNUM(B308,IF(WeekStart="Sunday",1,2)))</f>
        <v>0</v>
      </c>
      <c r="E308" s="23">
        <f>IF(B308="","",TEXT(B308,"yyyy-mm"))</f>
        <v>0</v>
      </c>
      <c r="H308" s="23">
        <f>IF(G308="","",IFERROR(INDEX(Clients!$B$5:$B$204,MATCH(G308,Clients!$A$5:$A$204,0)),"Not found"))</f>
        <v>0</v>
      </c>
      <c r="I308" s="23">
        <f>IF(G308="","",IFERROR(INDEX(Clients!$C$5:$C$204,MATCH(G308,Clients!$A$5:$A$204,0)),""))</f>
        <v>0</v>
      </c>
      <c r="K308" s="23">
        <f>IF(J308="","",IFERROR(INDEX(Properties!$B$5:$B$254,MATCH(J308,Properties!$A$5:$A$254,0)),""))</f>
        <v>0</v>
      </c>
      <c r="L308" s="23">
        <f>IF(J308="","",IFERROR(INDEX(Properties!$F$5:$F$254,MATCH(J308,Properties!$A$5:$A$254,0)),""))</f>
        <v>0</v>
      </c>
      <c r="AD308" s="34">
        <f>IF(G308="","",IF(U308&lt;&gt;"",U308,IF(AND(IFERROR(INDEX(Services!$D$5:$D$64,MATCH(M308,Services!$B$5:$B$64,0)),"")="Per hour",IFERROR(INDEX(Properties!$X$5:$X$254,MATCH(J308,Properties!$A$5:$A$254,0)),0)&gt;0),IFERROR(INDEX(Properties!$X$5:$X$254,MATCH(J308,Properties!$A$5:$A$254,0)),0),IF(IFERROR(INDEX(Services!$G$5:$G$64,MATCH(M308,Services!$B$5:$B$64,0)),0)&gt;0,IFERROR(INDEX(Services!$G$5:$G$64,MATCH(M308,Services!$B$5:$B$64,0)),0),IFERROR(INDEX(Properties!$X$5:$X$254,MATCH(J308,Properties!$A$5:$A$254,0)),0)))))</f>
        <v>0</v>
      </c>
      <c r="AE308" s="31">
        <f>IF(G308="","",IF(T308="",CleanersPerJob,MAX(1,T308)))</f>
        <v>0</v>
      </c>
      <c r="AF308" s="34">
        <f>IF(G308="","",ROUND(AD308/AE308,2))</f>
        <v>0</v>
      </c>
      <c r="AG308" s="53">
        <f>IF(OR(G308="",F308="",AF308=""),"",F308+AF308/24)</f>
        <v>0</v>
      </c>
      <c r="AH308" s="21">
        <f>IF(G308="","",IF(IFERROR(INDEX(Clients!$O$5:$O$204,MATCH(G308,Clients!$A$5:$A$204,0)),0)&gt;0,IFERROR(INDEX(Clients!$O$5:$O$204,MATCH(G308,Clients!$A$5:$A$204,0)),0),HourlyRate))</f>
        <v>0</v>
      </c>
      <c r="AI308" s="21">
        <f>IF(G308="","",IF(AND(M308&lt;&gt;"",IFERROR(INDEX(Services!$P$5:$P$64,MATCH(M308,Services!$B$5:$B$64,0)),0)&gt;0,IFERROR(INDEX(Services!$D$5:$D$64,MATCH(M308,Services!$B$5:$B$64,0)),"")&lt;&gt;"Per hour"),IFERROR(INDEX(Services!$P$5:$P$64,MATCH(M308,Services!$B$5:$B$64,0)),0),AD308*AH308))</f>
        <v>0</v>
      </c>
      <c r="AJ308" s="21">
        <f>IF(G308="","",IF(V308&lt;&gt;"",V308,IF(P308="Cancelled",0,MAX(MinimumCharge,ROUND(AI308*IFERROR(INDEX(FreqFactors,MATCH(O308,FreqNames,0)),1),2)))))</f>
        <v>0</v>
      </c>
      <c r="AK308" s="34">
        <f>IF(G308="","",IF(SUMIFS(Timesheets!$U$5:$U$804,Timesheets!$G$5:$G$804,A308)&gt;0,SUMIFS(Timesheets!$U$5:$U$804,Timesheets!$G$5:$G$804,A308),IF(Z308="","",Z308)))</f>
        <v>0</v>
      </c>
      <c r="AL308" s="34">
        <f>IF(OR(AK308="",AD308=""),"",AK308-AD308)</f>
        <v>0</v>
      </c>
      <c r="AM308" s="31">
        <f>IF(A308="","",COUNTIFS('Job Tasks'!$B$5:$B$904,A308))</f>
        <v>0</v>
      </c>
      <c r="AN308" s="31">
        <f>IF(A308="","",COUNTIFS('Job Tasks'!$B$5:$B$904,A308,'Job Tasks'!$H$5:$H$904,"Done"))</f>
        <v>0</v>
      </c>
      <c r="AO308" s="38">
        <f>IF(OR(A308="",AM308=0),"",AN308/AM308)</f>
        <v>0</v>
      </c>
      <c r="AP308" s="43">
        <f>IF(A308="","",IFERROR(INDEX('Invoice Lines'!$B$5:$B$804,MATCH(A308,'Invoice Lines'!$C$5:$C$804,0)),""))</f>
        <v>0</v>
      </c>
      <c r="AQ308" s="18">
        <f>IF(OR(G308="",B308="",X308&lt;&gt;"Yes"),"",IF(IFERROR(INDEX(FreqDays,MATCH(O308,FreqNames,0)),0)=0,"",B308+IFERROR(INDEX(FreqDays,MATCH(O308,FreqNames,0)),0)))</f>
        <v>0</v>
      </c>
      <c r="AR308" s="39">
        <f>IF(G308="","",IF(R308="","Unassigned",IF(COUNTIFS($R$5:$R$604,R308,$B$5:$B$604,B308,$F$5:$F$604,F308)&gt;1,"Clash",IF(SUMIFS($AF$5:$AF$604,$R$5:$R$604,R308,$B$5:$B$604,B308)&gt;ProductiveHours,"Long day","OK"))))</f>
        <v>0</v>
      </c>
      <c r="AS308" s="18">
        <f>IF(OR(G308="",B308=""),"",IF(AND(B308&gt;=TodayDate,P308&lt;&gt;"Cancelled"),B308,""))</f>
        <v>0</v>
      </c>
      <c r="AT308" s="31">
        <f>IF(AS308="","",COUNTIFS($AS$5:$AS$604,"&lt;"&amp;AS308)+COUNTIFS($AS$5:AS308,AS308))</f>
        <v>0</v>
      </c>
      <c r="AU308" s="18">
        <f>IF(OR(G308="",B308="",R308&lt;&gt;""),"",IF(AND(B308&gt;=TodayDate,P308&lt;&gt;"Cancelled"),B308,""))</f>
        <v>0</v>
      </c>
      <c r="AV308" s="31">
        <f>IF(AU308="","",COUNTIFS($AU$5:$AU$604,"&lt;"&amp;AU308)+COUNTIFS($AU$5:AU308,AU308))</f>
        <v>0</v>
      </c>
      <c r="AW308" s="31">
        <f>IF(OR(G308="",B308=""),"",B308-TodayDate)</f>
        <v>0</v>
      </c>
      <c r="AX308" s="39">
        <f>IF(G308="","",IF(P308="Cancelled","Cancelled",IF(P308="No access","Action - no access, rebook",IF(AND(B308&lt;&gt;"",AW308&lt;0,OR(P308="Booked",P308="Confirmed",P308="In progress")),"Late - mark it completed",IF(AND(P308="Completed",AP308=""),"Action - not invoiced yet",IF(AND(AW308&gt;=0,AW308&lt;=ReminderDays,Y308&lt;&gt;"Yes"),"Confirm - visit coming up",IF(R308="","Assign - no cleaner booked",IF(AND(P308="Completed",AO308&lt;&gt;"",AO308&lt;1),"Check - checklist unfinished","OK"))))))))</f>
        <v>0</v>
      </c>
    </row>
    <row r="309" spans="1:50">
      <c r="A309" s="43">
        <f>IF(G309="","",JobPrefix&amp;TEXT(ROW()-4,"0000"))</f>
        <v>0</v>
      </c>
      <c r="C309" s="23">
        <f>IF(B309="","",TEXT(B309,"ddd"))</f>
        <v>0</v>
      </c>
      <c r="D309" s="31">
        <f>IF(B309="","",WEEKNUM(B309,IF(WeekStart="Sunday",1,2)))</f>
        <v>0</v>
      </c>
      <c r="E309" s="23">
        <f>IF(B309="","",TEXT(B309,"yyyy-mm"))</f>
        <v>0</v>
      </c>
      <c r="H309" s="23">
        <f>IF(G309="","",IFERROR(INDEX(Clients!$B$5:$B$204,MATCH(G309,Clients!$A$5:$A$204,0)),"Not found"))</f>
        <v>0</v>
      </c>
      <c r="I309" s="23">
        <f>IF(G309="","",IFERROR(INDEX(Clients!$C$5:$C$204,MATCH(G309,Clients!$A$5:$A$204,0)),""))</f>
        <v>0</v>
      </c>
      <c r="K309" s="23">
        <f>IF(J309="","",IFERROR(INDEX(Properties!$B$5:$B$254,MATCH(J309,Properties!$A$5:$A$254,0)),""))</f>
        <v>0</v>
      </c>
      <c r="L309" s="23">
        <f>IF(J309="","",IFERROR(INDEX(Properties!$F$5:$F$254,MATCH(J309,Properties!$A$5:$A$254,0)),""))</f>
        <v>0</v>
      </c>
      <c r="AD309" s="34">
        <f>IF(G309="","",IF(U309&lt;&gt;"",U309,IF(AND(IFERROR(INDEX(Services!$D$5:$D$64,MATCH(M309,Services!$B$5:$B$64,0)),"")="Per hour",IFERROR(INDEX(Properties!$X$5:$X$254,MATCH(J309,Properties!$A$5:$A$254,0)),0)&gt;0),IFERROR(INDEX(Properties!$X$5:$X$254,MATCH(J309,Properties!$A$5:$A$254,0)),0),IF(IFERROR(INDEX(Services!$G$5:$G$64,MATCH(M309,Services!$B$5:$B$64,0)),0)&gt;0,IFERROR(INDEX(Services!$G$5:$G$64,MATCH(M309,Services!$B$5:$B$64,0)),0),IFERROR(INDEX(Properties!$X$5:$X$254,MATCH(J309,Properties!$A$5:$A$254,0)),0)))))</f>
        <v>0</v>
      </c>
      <c r="AE309" s="31">
        <f>IF(G309="","",IF(T309="",CleanersPerJob,MAX(1,T309)))</f>
        <v>0</v>
      </c>
      <c r="AF309" s="34">
        <f>IF(G309="","",ROUND(AD309/AE309,2))</f>
        <v>0</v>
      </c>
      <c r="AG309" s="53">
        <f>IF(OR(G309="",F309="",AF309=""),"",F309+AF309/24)</f>
        <v>0</v>
      </c>
      <c r="AH309" s="21">
        <f>IF(G309="","",IF(IFERROR(INDEX(Clients!$O$5:$O$204,MATCH(G309,Clients!$A$5:$A$204,0)),0)&gt;0,IFERROR(INDEX(Clients!$O$5:$O$204,MATCH(G309,Clients!$A$5:$A$204,0)),0),HourlyRate))</f>
        <v>0</v>
      </c>
      <c r="AI309" s="21">
        <f>IF(G309="","",IF(AND(M309&lt;&gt;"",IFERROR(INDEX(Services!$P$5:$P$64,MATCH(M309,Services!$B$5:$B$64,0)),0)&gt;0,IFERROR(INDEX(Services!$D$5:$D$64,MATCH(M309,Services!$B$5:$B$64,0)),"")&lt;&gt;"Per hour"),IFERROR(INDEX(Services!$P$5:$P$64,MATCH(M309,Services!$B$5:$B$64,0)),0),AD309*AH309))</f>
        <v>0</v>
      </c>
      <c r="AJ309" s="21">
        <f>IF(G309="","",IF(V309&lt;&gt;"",V309,IF(P309="Cancelled",0,MAX(MinimumCharge,ROUND(AI309*IFERROR(INDEX(FreqFactors,MATCH(O309,FreqNames,0)),1),2)))))</f>
        <v>0</v>
      </c>
      <c r="AK309" s="34">
        <f>IF(G309="","",IF(SUMIFS(Timesheets!$U$5:$U$804,Timesheets!$G$5:$G$804,A309)&gt;0,SUMIFS(Timesheets!$U$5:$U$804,Timesheets!$G$5:$G$804,A309),IF(Z309="","",Z309)))</f>
        <v>0</v>
      </c>
      <c r="AL309" s="34">
        <f>IF(OR(AK309="",AD309=""),"",AK309-AD309)</f>
        <v>0</v>
      </c>
      <c r="AM309" s="31">
        <f>IF(A309="","",COUNTIFS('Job Tasks'!$B$5:$B$904,A309))</f>
        <v>0</v>
      </c>
      <c r="AN309" s="31">
        <f>IF(A309="","",COUNTIFS('Job Tasks'!$B$5:$B$904,A309,'Job Tasks'!$H$5:$H$904,"Done"))</f>
        <v>0</v>
      </c>
      <c r="AO309" s="38">
        <f>IF(OR(A309="",AM309=0),"",AN309/AM309)</f>
        <v>0</v>
      </c>
      <c r="AP309" s="43">
        <f>IF(A309="","",IFERROR(INDEX('Invoice Lines'!$B$5:$B$804,MATCH(A309,'Invoice Lines'!$C$5:$C$804,0)),""))</f>
        <v>0</v>
      </c>
      <c r="AQ309" s="18">
        <f>IF(OR(G309="",B309="",X309&lt;&gt;"Yes"),"",IF(IFERROR(INDEX(FreqDays,MATCH(O309,FreqNames,0)),0)=0,"",B309+IFERROR(INDEX(FreqDays,MATCH(O309,FreqNames,0)),0)))</f>
        <v>0</v>
      </c>
      <c r="AR309" s="39">
        <f>IF(G309="","",IF(R309="","Unassigned",IF(COUNTIFS($R$5:$R$604,R309,$B$5:$B$604,B309,$F$5:$F$604,F309)&gt;1,"Clash",IF(SUMIFS($AF$5:$AF$604,$R$5:$R$604,R309,$B$5:$B$604,B309)&gt;ProductiveHours,"Long day","OK"))))</f>
        <v>0</v>
      </c>
      <c r="AS309" s="18">
        <f>IF(OR(G309="",B309=""),"",IF(AND(B309&gt;=TodayDate,P309&lt;&gt;"Cancelled"),B309,""))</f>
        <v>0</v>
      </c>
      <c r="AT309" s="31">
        <f>IF(AS309="","",COUNTIFS($AS$5:$AS$604,"&lt;"&amp;AS309)+COUNTIFS($AS$5:AS309,AS309))</f>
        <v>0</v>
      </c>
      <c r="AU309" s="18">
        <f>IF(OR(G309="",B309="",R309&lt;&gt;""),"",IF(AND(B309&gt;=TodayDate,P309&lt;&gt;"Cancelled"),B309,""))</f>
        <v>0</v>
      </c>
      <c r="AV309" s="31">
        <f>IF(AU309="","",COUNTIFS($AU$5:$AU$604,"&lt;"&amp;AU309)+COUNTIFS($AU$5:AU309,AU309))</f>
        <v>0</v>
      </c>
      <c r="AW309" s="31">
        <f>IF(OR(G309="",B309=""),"",B309-TodayDate)</f>
        <v>0</v>
      </c>
      <c r="AX309" s="39">
        <f>IF(G309="","",IF(P309="Cancelled","Cancelled",IF(P309="No access","Action - no access, rebook",IF(AND(B309&lt;&gt;"",AW309&lt;0,OR(P309="Booked",P309="Confirmed",P309="In progress")),"Late - mark it completed",IF(AND(P309="Completed",AP309=""),"Action - not invoiced yet",IF(AND(AW309&gt;=0,AW309&lt;=ReminderDays,Y309&lt;&gt;"Yes"),"Confirm - visit coming up",IF(R309="","Assign - no cleaner booked",IF(AND(P309="Completed",AO309&lt;&gt;"",AO309&lt;1),"Check - checklist unfinished","OK"))))))))</f>
        <v>0</v>
      </c>
    </row>
    <row r="310" spans="1:50">
      <c r="A310" s="43">
        <f>IF(G310="","",JobPrefix&amp;TEXT(ROW()-4,"0000"))</f>
        <v>0</v>
      </c>
      <c r="C310" s="23">
        <f>IF(B310="","",TEXT(B310,"ddd"))</f>
        <v>0</v>
      </c>
      <c r="D310" s="31">
        <f>IF(B310="","",WEEKNUM(B310,IF(WeekStart="Sunday",1,2)))</f>
        <v>0</v>
      </c>
      <c r="E310" s="23">
        <f>IF(B310="","",TEXT(B310,"yyyy-mm"))</f>
        <v>0</v>
      </c>
      <c r="H310" s="23">
        <f>IF(G310="","",IFERROR(INDEX(Clients!$B$5:$B$204,MATCH(G310,Clients!$A$5:$A$204,0)),"Not found"))</f>
        <v>0</v>
      </c>
      <c r="I310" s="23">
        <f>IF(G310="","",IFERROR(INDEX(Clients!$C$5:$C$204,MATCH(G310,Clients!$A$5:$A$204,0)),""))</f>
        <v>0</v>
      </c>
      <c r="K310" s="23">
        <f>IF(J310="","",IFERROR(INDEX(Properties!$B$5:$B$254,MATCH(J310,Properties!$A$5:$A$254,0)),""))</f>
        <v>0</v>
      </c>
      <c r="L310" s="23">
        <f>IF(J310="","",IFERROR(INDEX(Properties!$F$5:$F$254,MATCH(J310,Properties!$A$5:$A$254,0)),""))</f>
        <v>0</v>
      </c>
      <c r="AD310" s="34">
        <f>IF(G310="","",IF(U310&lt;&gt;"",U310,IF(AND(IFERROR(INDEX(Services!$D$5:$D$64,MATCH(M310,Services!$B$5:$B$64,0)),"")="Per hour",IFERROR(INDEX(Properties!$X$5:$X$254,MATCH(J310,Properties!$A$5:$A$254,0)),0)&gt;0),IFERROR(INDEX(Properties!$X$5:$X$254,MATCH(J310,Properties!$A$5:$A$254,0)),0),IF(IFERROR(INDEX(Services!$G$5:$G$64,MATCH(M310,Services!$B$5:$B$64,0)),0)&gt;0,IFERROR(INDEX(Services!$G$5:$G$64,MATCH(M310,Services!$B$5:$B$64,0)),0),IFERROR(INDEX(Properties!$X$5:$X$254,MATCH(J310,Properties!$A$5:$A$254,0)),0)))))</f>
        <v>0</v>
      </c>
      <c r="AE310" s="31">
        <f>IF(G310="","",IF(T310="",CleanersPerJob,MAX(1,T310)))</f>
        <v>0</v>
      </c>
      <c r="AF310" s="34">
        <f>IF(G310="","",ROUND(AD310/AE310,2))</f>
        <v>0</v>
      </c>
      <c r="AG310" s="53">
        <f>IF(OR(G310="",F310="",AF310=""),"",F310+AF310/24)</f>
        <v>0</v>
      </c>
      <c r="AH310" s="21">
        <f>IF(G310="","",IF(IFERROR(INDEX(Clients!$O$5:$O$204,MATCH(G310,Clients!$A$5:$A$204,0)),0)&gt;0,IFERROR(INDEX(Clients!$O$5:$O$204,MATCH(G310,Clients!$A$5:$A$204,0)),0),HourlyRate))</f>
        <v>0</v>
      </c>
      <c r="AI310" s="21">
        <f>IF(G310="","",IF(AND(M310&lt;&gt;"",IFERROR(INDEX(Services!$P$5:$P$64,MATCH(M310,Services!$B$5:$B$64,0)),0)&gt;0,IFERROR(INDEX(Services!$D$5:$D$64,MATCH(M310,Services!$B$5:$B$64,0)),"")&lt;&gt;"Per hour"),IFERROR(INDEX(Services!$P$5:$P$64,MATCH(M310,Services!$B$5:$B$64,0)),0),AD310*AH310))</f>
        <v>0</v>
      </c>
      <c r="AJ310" s="21">
        <f>IF(G310="","",IF(V310&lt;&gt;"",V310,IF(P310="Cancelled",0,MAX(MinimumCharge,ROUND(AI310*IFERROR(INDEX(FreqFactors,MATCH(O310,FreqNames,0)),1),2)))))</f>
        <v>0</v>
      </c>
      <c r="AK310" s="34">
        <f>IF(G310="","",IF(SUMIFS(Timesheets!$U$5:$U$804,Timesheets!$G$5:$G$804,A310)&gt;0,SUMIFS(Timesheets!$U$5:$U$804,Timesheets!$G$5:$G$804,A310),IF(Z310="","",Z310)))</f>
        <v>0</v>
      </c>
      <c r="AL310" s="34">
        <f>IF(OR(AK310="",AD310=""),"",AK310-AD310)</f>
        <v>0</v>
      </c>
      <c r="AM310" s="31">
        <f>IF(A310="","",COUNTIFS('Job Tasks'!$B$5:$B$904,A310))</f>
        <v>0</v>
      </c>
      <c r="AN310" s="31">
        <f>IF(A310="","",COUNTIFS('Job Tasks'!$B$5:$B$904,A310,'Job Tasks'!$H$5:$H$904,"Done"))</f>
        <v>0</v>
      </c>
      <c r="AO310" s="38">
        <f>IF(OR(A310="",AM310=0),"",AN310/AM310)</f>
        <v>0</v>
      </c>
      <c r="AP310" s="43">
        <f>IF(A310="","",IFERROR(INDEX('Invoice Lines'!$B$5:$B$804,MATCH(A310,'Invoice Lines'!$C$5:$C$804,0)),""))</f>
        <v>0</v>
      </c>
      <c r="AQ310" s="18">
        <f>IF(OR(G310="",B310="",X310&lt;&gt;"Yes"),"",IF(IFERROR(INDEX(FreqDays,MATCH(O310,FreqNames,0)),0)=0,"",B310+IFERROR(INDEX(FreqDays,MATCH(O310,FreqNames,0)),0)))</f>
        <v>0</v>
      </c>
      <c r="AR310" s="39">
        <f>IF(G310="","",IF(R310="","Unassigned",IF(COUNTIFS($R$5:$R$604,R310,$B$5:$B$604,B310,$F$5:$F$604,F310)&gt;1,"Clash",IF(SUMIFS($AF$5:$AF$604,$R$5:$R$604,R310,$B$5:$B$604,B310)&gt;ProductiveHours,"Long day","OK"))))</f>
        <v>0</v>
      </c>
      <c r="AS310" s="18">
        <f>IF(OR(G310="",B310=""),"",IF(AND(B310&gt;=TodayDate,P310&lt;&gt;"Cancelled"),B310,""))</f>
        <v>0</v>
      </c>
      <c r="AT310" s="31">
        <f>IF(AS310="","",COUNTIFS($AS$5:$AS$604,"&lt;"&amp;AS310)+COUNTIFS($AS$5:AS310,AS310))</f>
        <v>0</v>
      </c>
      <c r="AU310" s="18">
        <f>IF(OR(G310="",B310="",R310&lt;&gt;""),"",IF(AND(B310&gt;=TodayDate,P310&lt;&gt;"Cancelled"),B310,""))</f>
        <v>0</v>
      </c>
      <c r="AV310" s="31">
        <f>IF(AU310="","",COUNTIFS($AU$5:$AU$604,"&lt;"&amp;AU310)+COUNTIFS($AU$5:AU310,AU310))</f>
        <v>0</v>
      </c>
      <c r="AW310" s="31">
        <f>IF(OR(G310="",B310=""),"",B310-TodayDate)</f>
        <v>0</v>
      </c>
      <c r="AX310" s="39">
        <f>IF(G310="","",IF(P310="Cancelled","Cancelled",IF(P310="No access","Action - no access, rebook",IF(AND(B310&lt;&gt;"",AW310&lt;0,OR(P310="Booked",P310="Confirmed",P310="In progress")),"Late - mark it completed",IF(AND(P310="Completed",AP310=""),"Action - not invoiced yet",IF(AND(AW310&gt;=0,AW310&lt;=ReminderDays,Y310&lt;&gt;"Yes"),"Confirm - visit coming up",IF(R310="","Assign - no cleaner booked",IF(AND(P310="Completed",AO310&lt;&gt;"",AO310&lt;1),"Check - checklist unfinished","OK"))))))))</f>
        <v>0</v>
      </c>
    </row>
    <row r="311" spans="1:50">
      <c r="A311" s="43">
        <f>IF(G311="","",JobPrefix&amp;TEXT(ROW()-4,"0000"))</f>
        <v>0</v>
      </c>
      <c r="C311" s="23">
        <f>IF(B311="","",TEXT(B311,"ddd"))</f>
        <v>0</v>
      </c>
      <c r="D311" s="31">
        <f>IF(B311="","",WEEKNUM(B311,IF(WeekStart="Sunday",1,2)))</f>
        <v>0</v>
      </c>
      <c r="E311" s="23">
        <f>IF(B311="","",TEXT(B311,"yyyy-mm"))</f>
        <v>0</v>
      </c>
      <c r="H311" s="23">
        <f>IF(G311="","",IFERROR(INDEX(Clients!$B$5:$B$204,MATCH(G311,Clients!$A$5:$A$204,0)),"Not found"))</f>
        <v>0</v>
      </c>
      <c r="I311" s="23">
        <f>IF(G311="","",IFERROR(INDEX(Clients!$C$5:$C$204,MATCH(G311,Clients!$A$5:$A$204,0)),""))</f>
        <v>0</v>
      </c>
      <c r="K311" s="23">
        <f>IF(J311="","",IFERROR(INDEX(Properties!$B$5:$B$254,MATCH(J311,Properties!$A$5:$A$254,0)),""))</f>
        <v>0</v>
      </c>
      <c r="L311" s="23">
        <f>IF(J311="","",IFERROR(INDEX(Properties!$F$5:$F$254,MATCH(J311,Properties!$A$5:$A$254,0)),""))</f>
        <v>0</v>
      </c>
      <c r="AD311" s="34">
        <f>IF(G311="","",IF(U311&lt;&gt;"",U311,IF(AND(IFERROR(INDEX(Services!$D$5:$D$64,MATCH(M311,Services!$B$5:$B$64,0)),"")="Per hour",IFERROR(INDEX(Properties!$X$5:$X$254,MATCH(J311,Properties!$A$5:$A$254,0)),0)&gt;0),IFERROR(INDEX(Properties!$X$5:$X$254,MATCH(J311,Properties!$A$5:$A$254,0)),0),IF(IFERROR(INDEX(Services!$G$5:$G$64,MATCH(M311,Services!$B$5:$B$64,0)),0)&gt;0,IFERROR(INDEX(Services!$G$5:$G$64,MATCH(M311,Services!$B$5:$B$64,0)),0),IFERROR(INDEX(Properties!$X$5:$X$254,MATCH(J311,Properties!$A$5:$A$254,0)),0)))))</f>
        <v>0</v>
      </c>
      <c r="AE311" s="31">
        <f>IF(G311="","",IF(T311="",CleanersPerJob,MAX(1,T311)))</f>
        <v>0</v>
      </c>
      <c r="AF311" s="34">
        <f>IF(G311="","",ROUND(AD311/AE311,2))</f>
        <v>0</v>
      </c>
      <c r="AG311" s="53">
        <f>IF(OR(G311="",F311="",AF311=""),"",F311+AF311/24)</f>
        <v>0</v>
      </c>
      <c r="AH311" s="21">
        <f>IF(G311="","",IF(IFERROR(INDEX(Clients!$O$5:$O$204,MATCH(G311,Clients!$A$5:$A$204,0)),0)&gt;0,IFERROR(INDEX(Clients!$O$5:$O$204,MATCH(G311,Clients!$A$5:$A$204,0)),0),HourlyRate))</f>
        <v>0</v>
      </c>
      <c r="AI311" s="21">
        <f>IF(G311="","",IF(AND(M311&lt;&gt;"",IFERROR(INDEX(Services!$P$5:$P$64,MATCH(M311,Services!$B$5:$B$64,0)),0)&gt;0,IFERROR(INDEX(Services!$D$5:$D$64,MATCH(M311,Services!$B$5:$B$64,0)),"")&lt;&gt;"Per hour"),IFERROR(INDEX(Services!$P$5:$P$64,MATCH(M311,Services!$B$5:$B$64,0)),0),AD311*AH311))</f>
        <v>0</v>
      </c>
      <c r="AJ311" s="21">
        <f>IF(G311="","",IF(V311&lt;&gt;"",V311,IF(P311="Cancelled",0,MAX(MinimumCharge,ROUND(AI311*IFERROR(INDEX(FreqFactors,MATCH(O311,FreqNames,0)),1),2)))))</f>
        <v>0</v>
      </c>
      <c r="AK311" s="34">
        <f>IF(G311="","",IF(SUMIFS(Timesheets!$U$5:$U$804,Timesheets!$G$5:$G$804,A311)&gt;0,SUMIFS(Timesheets!$U$5:$U$804,Timesheets!$G$5:$G$804,A311),IF(Z311="","",Z311)))</f>
        <v>0</v>
      </c>
      <c r="AL311" s="34">
        <f>IF(OR(AK311="",AD311=""),"",AK311-AD311)</f>
        <v>0</v>
      </c>
      <c r="AM311" s="31">
        <f>IF(A311="","",COUNTIFS('Job Tasks'!$B$5:$B$904,A311))</f>
        <v>0</v>
      </c>
      <c r="AN311" s="31">
        <f>IF(A311="","",COUNTIFS('Job Tasks'!$B$5:$B$904,A311,'Job Tasks'!$H$5:$H$904,"Done"))</f>
        <v>0</v>
      </c>
      <c r="AO311" s="38">
        <f>IF(OR(A311="",AM311=0),"",AN311/AM311)</f>
        <v>0</v>
      </c>
      <c r="AP311" s="43">
        <f>IF(A311="","",IFERROR(INDEX('Invoice Lines'!$B$5:$B$804,MATCH(A311,'Invoice Lines'!$C$5:$C$804,0)),""))</f>
        <v>0</v>
      </c>
      <c r="AQ311" s="18">
        <f>IF(OR(G311="",B311="",X311&lt;&gt;"Yes"),"",IF(IFERROR(INDEX(FreqDays,MATCH(O311,FreqNames,0)),0)=0,"",B311+IFERROR(INDEX(FreqDays,MATCH(O311,FreqNames,0)),0)))</f>
        <v>0</v>
      </c>
      <c r="AR311" s="39">
        <f>IF(G311="","",IF(R311="","Unassigned",IF(COUNTIFS($R$5:$R$604,R311,$B$5:$B$604,B311,$F$5:$F$604,F311)&gt;1,"Clash",IF(SUMIFS($AF$5:$AF$604,$R$5:$R$604,R311,$B$5:$B$604,B311)&gt;ProductiveHours,"Long day","OK"))))</f>
        <v>0</v>
      </c>
      <c r="AS311" s="18">
        <f>IF(OR(G311="",B311=""),"",IF(AND(B311&gt;=TodayDate,P311&lt;&gt;"Cancelled"),B311,""))</f>
        <v>0</v>
      </c>
      <c r="AT311" s="31">
        <f>IF(AS311="","",COUNTIFS($AS$5:$AS$604,"&lt;"&amp;AS311)+COUNTIFS($AS$5:AS311,AS311))</f>
        <v>0</v>
      </c>
      <c r="AU311" s="18">
        <f>IF(OR(G311="",B311="",R311&lt;&gt;""),"",IF(AND(B311&gt;=TodayDate,P311&lt;&gt;"Cancelled"),B311,""))</f>
        <v>0</v>
      </c>
      <c r="AV311" s="31">
        <f>IF(AU311="","",COUNTIFS($AU$5:$AU$604,"&lt;"&amp;AU311)+COUNTIFS($AU$5:AU311,AU311))</f>
        <v>0</v>
      </c>
      <c r="AW311" s="31">
        <f>IF(OR(G311="",B311=""),"",B311-TodayDate)</f>
        <v>0</v>
      </c>
      <c r="AX311" s="39">
        <f>IF(G311="","",IF(P311="Cancelled","Cancelled",IF(P311="No access","Action - no access, rebook",IF(AND(B311&lt;&gt;"",AW311&lt;0,OR(P311="Booked",P311="Confirmed",P311="In progress")),"Late - mark it completed",IF(AND(P311="Completed",AP311=""),"Action - not invoiced yet",IF(AND(AW311&gt;=0,AW311&lt;=ReminderDays,Y311&lt;&gt;"Yes"),"Confirm - visit coming up",IF(R311="","Assign - no cleaner booked",IF(AND(P311="Completed",AO311&lt;&gt;"",AO311&lt;1),"Check - checklist unfinished","OK"))))))))</f>
        <v>0</v>
      </c>
    </row>
    <row r="312" spans="1:50">
      <c r="A312" s="43">
        <f>IF(G312="","",JobPrefix&amp;TEXT(ROW()-4,"0000"))</f>
        <v>0</v>
      </c>
      <c r="C312" s="23">
        <f>IF(B312="","",TEXT(B312,"ddd"))</f>
        <v>0</v>
      </c>
      <c r="D312" s="31">
        <f>IF(B312="","",WEEKNUM(B312,IF(WeekStart="Sunday",1,2)))</f>
        <v>0</v>
      </c>
      <c r="E312" s="23">
        <f>IF(B312="","",TEXT(B312,"yyyy-mm"))</f>
        <v>0</v>
      </c>
      <c r="H312" s="23">
        <f>IF(G312="","",IFERROR(INDEX(Clients!$B$5:$B$204,MATCH(G312,Clients!$A$5:$A$204,0)),"Not found"))</f>
        <v>0</v>
      </c>
      <c r="I312" s="23">
        <f>IF(G312="","",IFERROR(INDEX(Clients!$C$5:$C$204,MATCH(G312,Clients!$A$5:$A$204,0)),""))</f>
        <v>0</v>
      </c>
      <c r="K312" s="23">
        <f>IF(J312="","",IFERROR(INDEX(Properties!$B$5:$B$254,MATCH(J312,Properties!$A$5:$A$254,0)),""))</f>
        <v>0</v>
      </c>
      <c r="L312" s="23">
        <f>IF(J312="","",IFERROR(INDEX(Properties!$F$5:$F$254,MATCH(J312,Properties!$A$5:$A$254,0)),""))</f>
        <v>0</v>
      </c>
      <c r="AD312" s="34">
        <f>IF(G312="","",IF(U312&lt;&gt;"",U312,IF(AND(IFERROR(INDEX(Services!$D$5:$D$64,MATCH(M312,Services!$B$5:$B$64,0)),"")="Per hour",IFERROR(INDEX(Properties!$X$5:$X$254,MATCH(J312,Properties!$A$5:$A$254,0)),0)&gt;0),IFERROR(INDEX(Properties!$X$5:$X$254,MATCH(J312,Properties!$A$5:$A$254,0)),0),IF(IFERROR(INDEX(Services!$G$5:$G$64,MATCH(M312,Services!$B$5:$B$64,0)),0)&gt;0,IFERROR(INDEX(Services!$G$5:$G$64,MATCH(M312,Services!$B$5:$B$64,0)),0),IFERROR(INDEX(Properties!$X$5:$X$254,MATCH(J312,Properties!$A$5:$A$254,0)),0)))))</f>
        <v>0</v>
      </c>
      <c r="AE312" s="31">
        <f>IF(G312="","",IF(T312="",CleanersPerJob,MAX(1,T312)))</f>
        <v>0</v>
      </c>
      <c r="AF312" s="34">
        <f>IF(G312="","",ROUND(AD312/AE312,2))</f>
        <v>0</v>
      </c>
      <c r="AG312" s="53">
        <f>IF(OR(G312="",F312="",AF312=""),"",F312+AF312/24)</f>
        <v>0</v>
      </c>
      <c r="AH312" s="21">
        <f>IF(G312="","",IF(IFERROR(INDEX(Clients!$O$5:$O$204,MATCH(G312,Clients!$A$5:$A$204,0)),0)&gt;0,IFERROR(INDEX(Clients!$O$5:$O$204,MATCH(G312,Clients!$A$5:$A$204,0)),0),HourlyRate))</f>
        <v>0</v>
      </c>
      <c r="AI312" s="21">
        <f>IF(G312="","",IF(AND(M312&lt;&gt;"",IFERROR(INDEX(Services!$P$5:$P$64,MATCH(M312,Services!$B$5:$B$64,0)),0)&gt;0,IFERROR(INDEX(Services!$D$5:$D$64,MATCH(M312,Services!$B$5:$B$64,0)),"")&lt;&gt;"Per hour"),IFERROR(INDEX(Services!$P$5:$P$64,MATCH(M312,Services!$B$5:$B$64,0)),0),AD312*AH312))</f>
        <v>0</v>
      </c>
      <c r="AJ312" s="21">
        <f>IF(G312="","",IF(V312&lt;&gt;"",V312,IF(P312="Cancelled",0,MAX(MinimumCharge,ROUND(AI312*IFERROR(INDEX(FreqFactors,MATCH(O312,FreqNames,0)),1),2)))))</f>
        <v>0</v>
      </c>
      <c r="AK312" s="34">
        <f>IF(G312="","",IF(SUMIFS(Timesheets!$U$5:$U$804,Timesheets!$G$5:$G$804,A312)&gt;0,SUMIFS(Timesheets!$U$5:$U$804,Timesheets!$G$5:$G$804,A312),IF(Z312="","",Z312)))</f>
        <v>0</v>
      </c>
      <c r="AL312" s="34">
        <f>IF(OR(AK312="",AD312=""),"",AK312-AD312)</f>
        <v>0</v>
      </c>
      <c r="AM312" s="31">
        <f>IF(A312="","",COUNTIFS('Job Tasks'!$B$5:$B$904,A312))</f>
        <v>0</v>
      </c>
      <c r="AN312" s="31">
        <f>IF(A312="","",COUNTIFS('Job Tasks'!$B$5:$B$904,A312,'Job Tasks'!$H$5:$H$904,"Done"))</f>
        <v>0</v>
      </c>
      <c r="AO312" s="38">
        <f>IF(OR(A312="",AM312=0),"",AN312/AM312)</f>
        <v>0</v>
      </c>
      <c r="AP312" s="43">
        <f>IF(A312="","",IFERROR(INDEX('Invoice Lines'!$B$5:$B$804,MATCH(A312,'Invoice Lines'!$C$5:$C$804,0)),""))</f>
        <v>0</v>
      </c>
      <c r="AQ312" s="18">
        <f>IF(OR(G312="",B312="",X312&lt;&gt;"Yes"),"",IF(IFERROR(INDEX(FreqDays,MATCH(O312,FreqNames,0)),0)=0,"",B312+IFERROR(INDEX(FreqDays,MATCH(O312,FreqNames,0)),0)))</f>
        <v>0</v>
      </c>
      <c r="AR312" s="39">
        <f>IF(G312="","",IF(R312="","Unassigned",IF(COUNTIFS($R$5:$R$604,R312,$B$5:$B$604,B312,$F$5:$F$604,F312)&gt;1,"Clash",IF(SUMIFS($AF$5:$AF$604,$R$5:$R$604,R312,$B$5:$B$604,B312)&gt;ProductiveHours,"Long day","OK"))))</f>
        <v>0</v>
      </c>
      <c r="AS312" s="18">
        <f>IF(OR(G312="",B312=""),"",IF(AND(B312&gt;=TodayDate,P312&lt;&gt;"Cancelled"),B312,""))</f>
        <v>0</v>
      </c>
      <c r="AT312" s="31">
        <f>IF(AS312="","",COUNTIFS($AS$5:$AS$604,"&lt;"&amp;AS312)+COUNTIFS($AS$5:AS312,AS312))</f>
        <v>0</v>
      </c>
      <c r="AU312" s="18">
        <f>IF(OR(G312="",B312="",R312&lt;&gt;""),"",IF(AND(B312&gt;=TodayDate,P312&lt;&gt;"Cancelled"),B312,""))</f>
        <v>0</v>
      </c>
      <c r="AV312" s="31">
        <f>IF(AU312="","",COUNTIFS($AU$5:$AU$604,"&lt;"&amp;AU312)+COUNTIFS($AU$5:AU312,AU312))</f>
        <v>0</v>
      </c>
      <c r="AW312" s="31">
        <f>IF(OR(G312="",B312=""),"",B312-TodayDate)</f>
        <v>0</v>
      </c>
      <c r="AX312" s="39">
        <f>IF(G312="","",IF(P312="Cancelled","Cancelled",IF(P312="No access","Action - no access, rebook",IF(AND(B312&lt;&gt;"",AW312&lt;0,OR(P312="Booked",P312="Confirmed",P312="In progress")),"Late - mark it completed",IF(AND(P312="Completed",AP312=""),"Action - not invoiced yet",IF(AND(AW312&gt;=0,AW312&lt;=ReminderDays,Y312&lt;&gt;"Yes"),"Confirm - visit coming up",IF(R312="","Assign - no cleaner booked",IF(AND(P312="Completed",AO312&lt;&gt;"",AO312&lt;1),"Check - checklist unfinished","OK"))))))))</f>
        <v>0</v>
      </c>
    </row>
    <row r="313" spans="1:50">
      <c r="A313" s="43">
        <f>IF(G313="","",JobPrefix&amp;TEXT(ROW()-4,"0000"))</f>
        <v>0</v>
      </c>
      <c r="C313" s="23">
        <f>IF(B313="","",TEXT(B313,"ddd"))</f>
        <v>0</v>
      </c>
      <c r="D313" s="31">
        <f>IF(B313="","",WEEKNUM(B313,IF(WeekStart="Sunday",1,2)))</f>
        <v>0</v>
      </c>
      <c r="E313" s="23">
        <f>IF(B313="","",TEXT(B313,"yyyy-mm"))</f>
        <v>0</v>
      </c>
      <c r="H313" s="23">
        <f>IF(G313="","",IFERROR(INDEX(Clients!$B$5:$B$204,MATCH(G313,Clients!$A$5:$A$204,0)),"Not found"))</f>
        <v>0</v>
      </c>
      <c r="I313" s="23">
        <f>IF(G313="","",IFERROR(INDEX(Clients!$C$5:$C$204,MATCH(G313,Clients!$A$5:$A$204,0)),""))</f>
        <v>0</v>
      </c>
      <c r="K313" s="23">
        <f>IF(J313="","",IFERROR(INDEX(Properties!$B$5:$B$254,MATCH(J313,Properties!$A$5:$A$254,0)),""))</f>
        <v>0</v>
      </c>
      <c r="L313" s="23">
        <f>IF(J313="","",IFERROR(INDEX(Properties!$F$5:$F$254,MATCH(J313,Properties!$A$5:$A$254,0)),""))</f>
        <v>0</v>
      </c>
      <c r="AD313" s="34">
        <f>IF(G313="","",IF(U313&lt;&gt;"",U313,IF(AND(IFERROR(INDEX(Services!$D$5:$D$64,MATCH(M313,Services!$B$5:$B$64,0)),"")="Per hour",IFERROR(INDEX(Properties!$X$5:$X$254,MATCH(J313,Properties!$A$5:$A$254,0)),0)&gt;0),IFERROR(INDEX(Properties!$X$5:$X$254,MATCH(J313,Properties!$A$5:$A$254,0)),0),IF(IFERROR(INDEX(Services!$G$5:$G$64,MATCH(M313,Services!$B$5:$B$64,0)),0)&gt;0,IFERROR(INDEX(Services!$G$5:$G$64,MATCH(M313,Services!$B$5:$B$64,0)),0),IFERROR(INDEX(Properties!$X$5:$X$254,MATCH(J313,Properties!$A$5:$A$254,0)),0)))))</f>
        <v>0</v>
      </c>
      <c r="AE313" s="31">
        <f>IF(G313="","",IF(T313="",CleanersPerJob,MAX(1,T313)))</f>
        <v>0</v>
      </c>
      <c r="AF313" s="34">
        <f>IF(G313="","",ROUND(AD313/AE313,2))</f>
        <v>0</v>
      </c>
      <c r="AG313" s="53">
        <f>IF(OR(G313="",F313="",AF313=""),"",F313+AF313/24)</f>
        <v>0</v>
      </c>
      <c r="AH313" s="21">
        <f>IF(G313="","",IF(IFERROR(INDEX(Clients!$O$5:$O$204,MATCH(G313,Clients!$A$5:$A$204,0)),0)&gt;0,IFERROR(INDEX(Clients!$O$5:$O$204,MATCH(G313,Clients!$A$5:$A$204,0)),0),HourlyRate))</f>
        <v>0</v>
      </c>
      <c r="AI313" s="21">
        <f>IF(G313="","",IF(AND(M313&lt;&gt;"",IFERROR(INDEX(Services!$P$5:$P$64,MATCH(M313,Services!$B$5:$B$64,0)),0)&gt;0,IFERROR(INDEX(Services!$D$5:$D$64,MATCH(M313,Services!$B$5:$B$64,0)),"")&lt;&gt;"Per hour"),IFERROR(INDEX(Services!$P$5:$P$64,MATCH(M313,Services!$B$5:$B$64,0)),0),AD313*AH313))</f>
        <v>0</v>
      </c>
      <c r="AJ313" s="21">
        <f>IF(G313="","",IF(V313&lt;&gt;"",V313,IF(P313="Cancelled",0,MAX(MinimumCharge,ROUND(AI313*IFERROR(INDEX(FreqFactors,MATCH(O313,FreqNames,0)),1),2)))))</f>
        <v>0</v>
      </c>
      <c r="AK313" s="34">
        <f>IF(G313="","",IF(SUMIFS(Timesheets!$U$5:$U$804,Timesheets!$G$5:$G$804,A313)&gt;0,SUMIFS(Timesheets!$U$5:$U$804,Timesheets!$G$5:$G$804,A313),IF(Z313="","",Z313)))</f>
        <v>0</v>
      </c>
      <c r="AL313" s="34">
        <f>IF(OR(AK313="",AD313=""),"",AK313-AD313)</f>
        <v>0</v>
      </c>
      <c r="AM313" s="31">
        <f>IF(A313="","",COUNTIFS('Job Tasks'!$B$5:$B$904,A313))</f>
        <v>0</v>
      </c>
      <c r="AN313" s="31">
        <f>IF(A313="","",COUNTIFS('Job Tasks'!$B$5:$B$904,A313,'Job Tasks'!$H$5:$H$904,"Done"))</f>
        <v>0</v>
      </c>
      <c r="AO313" s="38">
        <f>IF(OR(A313="",AM313=0),"",AN313/AM313)</f>
        <v>0</v>
      </c>
      <c r="AP313" s="43">
        <f>IF(A313="","",IFERROR(INDEX('Invoice Lines'!$B$5:$B$804,MATCH(A313,'Invoice Lines'!$C$5:$C$804,0)),""))</f>
        <v>0</v>
      </c>
      <c r="AQ313" s="18">
        <f>IF(OR(G313="",B313="",X313&lt;&gt;"Yes"),"",IF(IFERROR(INDEX(FreqDays,MATCH(O313,FreqNames,0)),0)=0,"",B313+IFERROR(INDEX(FreqDays,MATCH(O313,FreqNames,0)),0)))</f>
        <v>0</v>
      </c>
      <c r="AR313" s="39">
        <f>IF(G313="","",IF(R313="","Unassigned",IF(COUNTIFS($R$5:$R$604,R313,$B$5:$B$604,B313,$F$5:$F$604,F313)&gt;1,"Clash",IF(SUMIFS($AF$5:$AF$604,$R$5:$R$604,R313,$B$5:$B$604,B313)&gt;ProductiveHours,"Long day","OK"))))</f>
        <v>0</v>
      </c>
      <c r="AS313" s="18">
        <f>IF(OR(G313="",B313=""),"",IF(AND(B313&gt;=TodayDate,P313&lt;&gt;"Cancelled"),B313,""))</f>
        <v>0</v>
      </c>
      <c r="AT313" s="31">
        <f>IF(AS313="","",COUNTIFS($AS$5:$AS$604,"&lt;"&amp;AS313)+COUNTIFS($AS$5:AS313,AS313))</f>
        <v>0</v>
      </c>
      <c r="AU313" s="18">
        <f>IF(OR(G313="",B313="",R313&lt;&gt;""),"",IF(AND(B313&gt;=TodayDate,P313&lt;&gt;"Cancelled"),B313,""))</f>
        <v>0</v>
      </c>
      <c r="AV313" s="31">
        <f>IF(AU313="","",COUNTIFS($AU$5:$AU$604,"&lt;"&amp;AU313)+COUNTIFS($AU$5:AU313,AU313))</f>
        <v>0</v>
      </c>
      <c r="AW313" s="31">
        <f>IF(OR(G313="",B313=""),"",B313-TodayDate)</f>
        <v>0</v>
      </c>
      <c r="AX313" s="39">
        <f>IF(G313="","",IF(P313="Cancelled","Cancelled",IF(P313="No access","Action - no access, rebook",IF(AND(B313&lt;&gt;"",AW313&lt;0,OR(P313="Booked",P313="Confirmed",P313="In progress")),"Late - mark it completed",IF(AND(P313="Completed",AP313=""),"Action - not invoiced yet",IF(AND(AW313&gt;=0,AW313&lt;=ReminderDays,Y313&lt;&gt;"Yes"),"Confirm - visit coming up",IF(R313="","Assign - no cleaner booked",IF(AND(P313="Completed",AO313&lt;&gt;"",AO313&lt;1),"Check - checklist unfinished","OK"))))))))</f>
        <v>0</v>
      </c>
    </row>
    <row r="314" spans="1:50">
      <c r="A314" s="43">
        <f>IF(G314="","",JobPrefix&amp;TEXT(ROW()-4,"0000"))</f>
        <v>0</v>
      </c>
      <c r="C314" s="23">
        <f>IF(B314="","",TEXT(B314,"ddd"))</f>
        <v>0</v>
      </c>
      <c r="D314" s="31">
        <f>IF(B314="","",WEEKNUM(B314,IF(WeekStart="Sunday",1,2)))</f>
        <v>0</v>
      </c>
      <c r="E314" s="23">
        <f>IF(B314="","",TEXT(B314,"yyyy-mm"))</f>
        <v>0</v>
      </c>
      <c r="H314" s="23">
        <f>IF(G314="","",IFERROR(INDEX(Clients!$B$5:$B$204,MATCH(G314,Clients!$A$5:$A$204,0)),"Not found"))</f>
        <v>0</v>
      </c>
      <c r="I314" s="23">
        <f>IF(G314="","",IFERROR(INDEX(Clients!$C$5:$C$204,MATCH(G314,Clients!$A$5:$A$204,0)),""))</f>
        <v>0</v>
      </c>
      <c r="K314" s="23">
        <f>IF(J314="","",IFERROR(INDEX(Properties!$B$5:$B$254,MATCH(J314,Properties!$A$5:$A$254,0)),""))</f>
        <v>0</v>
      </c>
      <c r="L314" s="23">
        <f>IF(J314="","",IFERROR(INDEX(Properties!$F$5:$F$254,MATCH(J314,Properties!$A$5:$A$254,0)),""))</f>
        <v>0</v>
      </c>
      <c r="AD314" s="34">
        <f>IF(G314="","",IF(U314&lt;&gt;"",U314,IF(AND(IFERROR(INDEX(Services!$D$5:$D$64,MATCH(M314,Services!$B$5:$B$64,0)),"")="Per hour",IFERROR(INDEX(Properties!$X$5:$X$254,MATCH(J314,Properties!$A$5:$A$254,0)),0)&gt;0),IFERROR(INDEX(Properties!$X$5:$X$254,MATCH(J314,Properties!$A$5:$A$254,0)),0),IF(IFERROR(INDEX(Services!$G$5:$G$64,MATCH(M314,Services!$B$5:$B$64,0)),0)&gt;0,IFERROR(INDEX(Services!$G$5:$G$64,MATCH(M314,Services!$B$5:$B$64,0)),0),IFERROR(INDEX(Properties!$X$5:$X$254,MATCH(J314,Properties!$A$5:$A$254,0)),0)))))</f>
        <v>0</v>
      </c>
      <c r="AE314" s="31">
        <f>IF(G314="","",IF(T314="",CleanersPerJob,MAX(1,T314)))</f>
        <v>0</v>
      </c>
      <c r="AF314" s="34">
        <f>IF(G314="","",ROUND(AD314/AE314,2))</f>
        <v>0</v>
      </c>
      <c r="AG314" s="53">
        <f>IF(OR(G314="",F314="",AF314=""),"",F314+AF314/24)</f>
        <v>0</v>
      </c>
      <c r="AH314" s="21">
        <f>IF(G314="","",IF(IFERROR(INDEX(Clients!$O$5:$O$204,MATCH(G314,Clients!$A$5:$A$204,0)),0)&gt;0,IFERROR(INDEX(Clients!$O$5:$O$204,MATCH(G314,Clients!$A$5:$A$204,0)),0),HourlyRate))</f>
        <v>0</v>
      </c>
      <c r="AI314" s="21">
        <f>IF(G314="","",IF(AND(M314&lt;&gt;"",IFERROR(INDEX(Services!$P$5:$P$64,MATCH(M314,Services!$B$5:$B$64,0)),0)&gt;0,IFERROR(INDEX(Services!$D$5:$D$64,MATCH(M314,Services!$B$5:$B$64,0)),"")&lt;&gt;"Per hour"),IFERROR(INDEX(Services!$P$5:$P$64,MATCH(M314,Services!$B$5:$B$64,0)),0),AD314*AH314))</f>
        <v>0</v>
      </c>
      <c r="AJ314" s="21">
        <f>IF(G314="","",IF(V314&lt;&gt;"",V314,IF(P314="Cancelled",0,MAX(MinimumCharge,ROUND(AI314*IFERROR(INDEX(FreqFactors,MATCH(O314,FreqNames,0)),1),2)))))</f>
        <v>0</v>
      </c>
      <c r="AK314" s="34">
        <f>IF(G314="","",IF(SUMIFS(Timesheets!$U$5:$U$804,Timesheets!$G$5:$G$804,A314)&gt;0,SUMIFS(Timesheets!$U$5:$U$804,Timesheets!$G$5:$G$804,A314),IF(Z314="","",Z314)))</f>
        <v>0</v>
      </c>
      <c r="AL314" s="34">
        <f>IF(OR(AK314="",AD314=""),"",AK314-AD314)</f>
        <v>0</v>
      </c>
      <c r="AM314" s="31">
        <f>IF(A314="","",COUNTIFS('Job Tasks'!$B$5:$B$904,A314))</f>
        <v>0</v>
      </c>
      <c r="AN314" s="31">
        <f>IF(A314="","",COUNTIFS('Job Tasks'!$B$5:$B$904,A314,'Job Tasks'!$H$5:$H$904,"Done"))</f>
        <v>0</v>
      </c>
      <c r="AO314" s="38">
        <f>IF(OR(A314="",AM314=0),"",AN314/AM314)</f>
        <v>0</v>
      </c>
      <c r="AP314" s="43">
        <f>IF(A314="","",IFERROR(INDEX('Invoice Lines'!$B$5:$B$804,MATCH(A314,'Invoice Lines'!$C$5:$C$804,0)),""))</f>
        <v>0</v>
      </c>
      <c r="AQ314" s="18">
        <f>IF(OR(G314="",B314="",X314&lt;&gt;"Yes"),"",IF(IFERROR(INDEX(FreqDays,MATCH(O314,FreqNames,0)),0)=0,"",B314+IFERROR(INDEX(FreqDays,MATCH(O314,FreqNames,0)),0)))</f>
        <v>0</v>
      </c>
      <c r="AR314" s="39">
        <f>IF(G314="","",IF(R314="","Unassigned",IF(COUNTIFS($R$5:$R$604,R314,$B$5:$B$604,B314,$F$5:$F$604,F314)&gt;1,"Clash",IF(SUMIFS($AF$5:$AF$604,$R$5:$R$604,R314,$B$5:$B$604,B314)&gt;ProductiveHours,"Long day","OK"))))</f>
        <v>0</v>
      </c>
      <c r="AS314" s="18">
        <f>IF(OR(G314="",B314=""),"",IF(AND(B314&gt;=TodayDate,P314&lt;&gt;"Cancelled"),B314,""))</f>
        <v>0</v>
      </c>
      <c r="AT314" s="31">
        <f>IF(AS314="","",COUNTIFS($AS$5:$AS$604,"&lt;"&amp;AS314)+COUNTIFS($AS$5:AS314,AS314))</f>
        <v>0</v>
      </c>
      <c r="AU314" s="18">
        <f>IF(OR(G314="",B314="",R314&lt;&gt;""),"",IF(AND(B314&gt;=TodayDate,P314&lt;&gt;"Cancelled"),B314,""))</f>
        <v>0</v>
      </c>
      <c r="AV314" s="31">
        <f>IF(AU314="","",COUNTIFS($AU$5:$AU$604,"&lt;"&amp;AU314)+COUNTIFS($AU$5:AU314,AU314))</f>
        <v>0</v>
      </c>
      <c r="AW314" s="31">
        <f>IF(OR(G314="",B314=""),"",B314-TodayDate)</f>
        <v>0</v>
      </c>
      <c r="AX314" s="39">
        <f>IF(G314="","",IF(P314="Cancelled","Cancelled",IF(P314="No access","Action - no access, rebook",IF(AND(B314&lt;&gt;"",AW314&lt;0,OR(P314="Booked",P314="Confirmed",P314="In progress")),"Late - mark it completed",IF(AND(P314="Completed",AP314=""),"Action - not invoiced yet",IF(AND(AW314&gt;=0,AW314&lt;=ReminderDays,Y314&lt;&gt;"Yes"),"Confirm - visit coming up",IF(R314="","Assign - no cleaner booked",IF(AND(P314="Completed",AO314&lt;&gt;"",AO314&lt;1),"Check - checklist unfinished","OK"))))))))</f>
        <v>0</v>
      </c>
    </row>
    <row r="315" spans="1:50">
      <c r="A315" s="43">
        <f>IF(G315="","",JobPrefix&amp;TEXT(ROW()-4,"0000"))</f>
        <v>0</v>
      </c>
      <c r="C315" s="23">
        <f>IF(B315="","",TEXT(B315,"ddd"))</f>
        <v>0</v>
      </c>
      <c r="D315" s="31">
        <f>IF(B315="","",WEEKNUM(B315,IF(WeekStart="Sunday",1,2)))</f>
        <v>0</v>
      </c>
      <c r="E315" s="23">
        <f>IF(B315="","",TEXT(B315,"yyyy-mm"))</f>
        <v>0</v>
      </c>
      <c r="H315" s="23">
        <f>IF(G315="","",IFERROR(INDEX(Clients!$B$5:$B$204,MATCH(G315,Clients!$A$5:$A$204,0)),"Not found"))</f>
        <v>0</v>
      </c>
      <c r="I315" s="23">
        <f>IF(G315="","",IFERROR(INDEX(Clients!$C$5:$C$204,MATCH(G315,Clients!$A$5:$A$204,0)),""))</f>
        <v>0</v>
      </c>
      <c r="K315" s="23">
        <f>IF(J315="","",IFERROR(INDEX(Properties!$B$5:$B$254,MATCH(J315,Properties!$A$5:$A$254,0)),""))</f>
        <v>0</v>
      </c>
      <c r="L315" s="23">
        <f>IF(J315="","",IFERROR(INDEX(Properties!$F$5:$F$254,MATCH(J315,Properties!$A$5:$A$254,0)),""))</f>
        <v>0</v>
      </c>
      <c r="AD315" s="34">
        <f>IF(G315="","",IF(U315&lt;&gt;"",U315,IF(AND(IFERROR(INDEX(Services!$D$5:$D$64,MATCH(M315,Services!$B$5:$B$64,0)),"")="Per hour",IFERROR(INDEX(Properties!$X$5:$X$254,MATCH(J315,Properties!$A$5:$A$254,0)),0)&gt;0),IFERROR(INDEX(Properties!$X$5:$X$254,MATCH(J315,Properties!$A$5:$A$254,0)),0),IF(IFERROR(INDEX(Services!$G$5:$G$64,MATCH(M315,Services!$B$5:$B$64,0)),0)&gt;0,IFERROR(INDEX(Services!$G$5:$G$64,MATCH(M315,Services!$B$5:$B$64,0)),0),IFERROR(INDEX(Properties!$X$5:$X$254,MATCH(J315,Properties!$A$5:$A$254,0)),0)))))</f>
        <v>0</v>
      </c>
      <c r="AE315" s="31">
        <f>IF(G315="","",IF(T315="",CleanersPerJob,MAX(1,T315)))</f>
        <v>0</v>
      </c>
      <c r="AF315" s="34">
        <f>IF(G315="","",ROUND(AD315/AE315,2))</f>
        <v>0</v>
      </c>
      <c r="AG315" s="53">
        <f>IF(OR(G315="",F315="",AF315=""),"",F315+AF315/24)</f>
        <v>0</v>
      </c>
      <c r="AH315" s="21">
        <f>IF(G315="","",IF(IFERROR(INDEX(Clients!$O$5:$O$204,MATCH(G315,Clients!$A$5:$A$204,0)),0)&gt;0,IFERROR(INDEX(Clients!$O$5:$O$204,MATCH(G315,Clients!$A$5:$A$204,0)),0),HourlyRate))</f>
        <v>0</v>
      </c>
      <c r="AI315" s="21">
        <f>IF(G315="","",IF(AND(M315&lt;&gt;"",IFERROR(INDEX(Services!$P$5:$P$64,MATCH(M315,Services!$B$5:$B$64,0)),0)&gt;0,IFERROR(INDEX(Services!$D$5:$D$64,MATCH(M315,Services!$B$5:$B$64,0)),"")&lt;&gt;"Per hour"),IFERROR(INDEX(Services!$P$5:$P$64,MATCH(M315,Services!$B$5:$B$64,0)),0),AD315*AH315))</f>
        <v>0</v>
      </c>
      <c r="AJ315" s="21">
        <f>IF(G315="","",IF(V315&lt;&gt;"",V315,IF(P315="Cancelled",0,MAX(MinimumCharge,ROUND(AI315*IFERROR(INDEX(FreqFactors,MATCH(O315,FreqNames,0)),1),2)))))</f>
        <v>0</v>
      </c>
      <c r="AK315" s="34">
        <f>IF(G315="","",IF(SUMIFS(Timesheets!$U$5:$U$804,Timesheets!$G$5:$G$804,A315)&gt;0,SUMIFS(Timesheets!$U$5:$U$804,Timesheets!$G$5:$G$804,A315),IF(Z315="","",Z315)))</f>
        <v>0</v>
      </c>
      <c r="AL315" s="34">
        <f>IF(OR(AK315="",AD315=""),"",AK315-AD315)</f>
        <v>0</v>
      </c>
      <c r="AM315" s="31">
        <f>IF(A315="","",COUNTIFS('Job Tasks'!$B$5:$B$904,A315))</f>
        <v>0</v>
      </c>
      <c r="AN315" s="31">
        <f>IF(A315="","",COUNTIFS('Job Tasks'!$B$5:$B$904,A315,'Job Tasks'!$H$5:$H$904,"Done"))</f>
        <v>0</v>
      </c>
      <c r="AO315" s="38">
        <f>IF(OR(A315="",AM315=0),"",AN315/AM315)</f>
        <v>0</v>
      </c>
      <c r="AP315" s="43">
        <f>IF(A315="","",IFERROR(INDEX('Invoice Lines'!$B$5:$B$804,MATCH(A315,'Invoice Lines'!$C$5:$C$804,0)),""))</f>
        <v>0</v>
      </c>
      <c r="AQ315" s="18">
        <f>IF(OR(G315="",B315="",X315&lt;&gt;"Yes"),"",IF(IFERROR(INDEX(FreqDays,MATCH(O315,FreqNames,0)),0)=0,"",B315+IFERROR(INDEX(FreqDays,MATCH(O315,FreqNames,0)),0)))</f>
        <v>0</v>
      </c>
      <c r="AR315" s="39">
        <f>IF(G315="","",IF(R315="","Unassigned",IF(COUNTIFS($R$5:$R$604,R315,$B$5:$B$604,B315,$F$5:$F$604,F315)&gt;1,"Clash",IF(SUMIFS($AF$5:$AF$604,$R$5:$R$604,R315,$B$5:$B$604,B315)&gt;ProductiveHours,"Long day","OK"))))</f>
        <v>0</v>
      </c>
      <c r="AS315" s="18">
        <f>IF(OR(G315="",B315=""),"",IF(AND(B315&gt;=TodayDate,P315&lt;&gt;"Cancelled"),B315,""))</f>
        <v>0</v>
      </c>
      <c r="AT315" s="31">
        <f>IF(AS315="","",COUNTIFS($AS$5:$AS$604,"&lt;"&amp;AS315)+COUNTIFS($AS$5:AS315,AS315))</f>
        <v>0</v>
      </c>
      <c r="AU315" s="18">
        <f>IF(OR(G315="",B315="",R315&lt;&gt;""),"",IF(AND(B315&gt;=TodayDate,P315&lt;&gt;"Cancelled"),B315,""))</f>
        <v>0</v>
      </c>
      <c r="AV315" s="31">
        <f>IF(AU315="","",COUNTIFS($AU$5:$AU$604,"&lt;"&amp;AU315)+COUNTIFS($AU$5:AU315,AU315))</f>
        <v>0</v>
      </c>
      <c r="AW315" s="31">
        <f>IF(OR(G315="",B315=""),"",B315-TodayDate)</f>
        <v>0</v>
      </c>
      <c r="AX315" s="39">
        <f>IF(G315="","",IF(P315="Cancelled","Cancelled",IF(P315="No access","Action - no access, rebook",IF(AND(B315&lt;&gt;"",AW315&lt;0,OR(P315="Booked",P315="Confirmed",P315="In progress")),"Late - mark it completed",IF(AND(P315="Completed",AP315=""),"Action - not invoiced yet",IF(AND(AW315&gt;=0,AW315&lt;=ReminderDays,Y315&lt;&gt;"Yes"),"Confirm - visit coming up",IF(R315="","Assign - no cleaner booked",IF(AND(P315="Completed",AO315&lt;&gt;"",AO315&lt;1),"Check - checklist unfinished","OK"))))))))</f>
        <v>0</v>
      </c>
    </row>
    <row r="316" spans="1:50">
      <c r="A316" s="43">
        <f>IF(G316="","",JobPrefix&amp;TEXT(ROW()-4,"0000"))</f>
        <v>0</v>
      </c>
      <c r="C316" s="23">
        <f>IF(B316="","",TEXT(B316,"ddd"))</f>
        <v>0</v>
      </c>
      <c r="D316" s="31">
        <f>IF(B316="","",WEEKNUM(B316,IF(WeekStart="Sunday",1,2)))</f>
        <v>0</v>
      </c>
      <c r="E316" s="23">
        <f>IF(B316="","",TEXT(B316,"yyyy-mm"))</f>
        <v>0</v>
      </c>
      <c r="H316" s="23">
        <f>IF(G316="","",IFERROR(INDEX(Clients!$B$5:$B$204,MATCH(G316,Clients!$A$5:$A$204,0)),"Not found"))</f>
        <v>0</v>
      </c>
      <c r="I316" s="23">
        <f>IF(G316="","",IFERROR(INDEX(Clients!$C$5:$C$204,MATCH(G316,Clients!$A$5:$A$204,0)),""))</f>
        <v>0</v>
      </c>
      <c r="K316" s="23">
        <f>IF(J316="","",IFERROR(INDEX(Properties!$B$5:$B$254,MATCH(J316,Properties!$A$5:$A$254,0)),""))</f>
        <v>0</v>
      </c>
      <c r="L316" s="23">
        <f>IF(J316="","",IFERROR(INDEX(Properties!$F$5:$F$254,MATCH(J316,Properties!$A$5:$A$254,0)),""))</f>
        <v>0</v>
      </c>
      <c r="AD316" s="34">
        <f>IF(G316="","",IF(U316&lt;&gt;"",U316,IF(AND(IFERROR(INDEX(Services!$D$5:$D$64,MATCH(M316,Services!$B$5:$B$64,0)),"")="Per hour",IFERROR(INDEX(Properties!$X$5:$X$254,MATCH(J316,Properties!$A$5:$A$254,0)),0)&gt;0),IFERROR(INDEX(Properties!$X$5:$X$254,MATCH(J316,Properties!$A$5:$A$254,0)),0),IF(IFERROR(INDEX(Services!$G$5:$G$64,MATCH(M316,Services!$B$5:$B$64,0)),0)&gt;0,IFERROR(INDEX(Services!$G$5:$G$64,MATCH(M316,Services!$B$5:$B$64,0)),0),IFERROR(INDEX(Properties!$X$5:$X$254,MATCH(J316,Properties!$A$5:$A$254,0)),0)))))</f>
        <v>0</v>
      </c>
      <c r="AE316" s="31">
        <f>IF(G316="","",IF(T316="",CleanersPerJob,MAX(1,T316)))</f>
        <v>0</v>
      </c>
      <c r="AF316" s="34">
        <f>IF(G316="","",ROUND(AD316/AE316,2))</f>
        <v>0</v>
      </c>
      <c r="AG316" s="53">
        <f>IF(OR(G316="",F316="",AF316=""),"",F316+AF316/24)</f>
        <v>0</v>
      </c>
      <c r="AH316" s="21">
        <f>IF(G316="","",IF(IFERROR(INDEX(Clients!$O$5:$O$204,MATCH(G316,Clients!$A$5:$A$204,0)),0)&gt;0,IFERROR(INDEX(Clients!$O$5:$O$204,MATCH(G316,Clients!$A$5:$A$204,0)),0),HourlyRate))</f>
        <v>0</v>
      </c>
      <c r="AI316" s="21">
        <f>IF(G316="","",IF(AND(M316&lt;&gt;"",IFERROR(INDEX(Services!$P$5:$P$64,MATCH(M316,Services!$B$5:$B$64,0)),0)&gt;0,IFERROR(INDEX(Services!$D$5:$D$64,MATCH(M316,Services!$B$5:$B$64,0)),"")&lt;&gt;"Per hour"),IFERROR(INDEX(Services!$P$5:$P$64,MATCH(M316,Services!$B$5:$B$64,0)),0),AD316*AH316))</f>
        <v>0</v>
      </c>
      <c r="AJ316" s="21">
        <f>IF(G316="","",IF(V316&lt;&gt;"",V316,IF(P316="Cancelled",0,MAX(MinimumCharge,ROUND(AI316*IFERROR(INDEX(FreqFactors,MATCH(O316,FreqNames,0)),1),2)))))</f>
        <v>0</v>
      </c>
      <c r="AK316" s="34">
        <f>IF(G316="","",IF(SUMIFS(Timesheets!$U$5:$U$804,Timesheets!$G$5:$G$804,A316)&gt;0,SUMIFS(Timesheets!$U$5:$U$804,Timesheets!$G$5:$G$804,A316),IF(Z316="","",Z316)))</f>
        <v>0</v>
      </c>
      <c r="AL316" s="34">
        <f>IF(OR(AK316="",AD316=""),"",AK316-AD316)</f>
        <v>0</v>
      </c>
      <c r="AM316" s="31">
        <f>IF(A316="","",COUNTIFS('Job Tasks'!$B$5:$B$904,A316))</f>
        <v>0</v>
      </c>
      <c r="AN316" s="31">
        <f>IF(A316="","",COUNTIFS('Job Tasks'!$B$5:$B$904,A316,'Job Tasks'!$H$5:$H$904,"Done"))</f>
        <v>0</v>
      </c>
      <c r="AO316" s="38">
        <f>IF(OR(A316="",AM316=0),"",AN316/AM316)</f>
        <v>0</v>
      </c>
      <c r="AP316" s="43">
        <f>IF(A316="","",IFERROR(INDEX('Invoice Lines'!$B$5:$B$804,MATCH(A316,'Invoice Lines'!$C$5:$C$804,0)),""))</f>
        <v>0</v>
      </c>
      <c r="AQ316" s="18">
        <f>IF(OR(G316="",B316="",X316&lt;&gt;"Yes"),"",IF(IFERROR(INDEX(FreqDays,MATCH(O316,FreqNames,0)),0)=0,"",B316+IFERROR(INDEX(FreqDays,MATCH(O316,FreqNames,0)),0)))</f>
        <v>0</v>
      </c>
      <c r="AR316" s="39">
        <f>IF(G316="","",IF(R316="","Unassigned",IF(COUNTIFS($R$5:$R$604,R316,$B$5:$B$604,B316,$F$5:$F$604,F316)&gt;1,"Clash",IF(SUMIFS($AF$5:$AF$604,$R$5:$R$604,R316,$B$5:$B$604,B316)&gt;ProductiveHours,"Long day","OK"))))</f>
        <v>0</v>
      </c>
      <c r="AS316" s="18">
        <f>IF(OR(G316="",B316=""),"",IF(AND(B316&gt;=TodayDate,P316&lt;&gt;"Cancelled"),B316,""))</f>
        <v>0</v>
      </c>
      <c r="AT316" s="31">
        <f>IF(AS316="","",COUNTIFS($AS$5:$AS$604,"&lt;"&amp;AS316)+COUNTIFS($AS$5:AS316,AS316))</f>
        <v>0</v>
      </c>
      <c r="AU316" s="18">
        <f>IF(OR(G316="",B316="",R316&lt;&gt;""),"",IF(AND(B316&gt;=TodayDate,P316&lt;&gt;"Cancelled"),B316,""))</f>
        <v>0</v>
      </c>
      <c r="AV316" s="31">
        <f>IF(AU316="","",COUNTIFS($AU$5:$AU$604,"&lt;"&amp;AU316)+COUNTIFS($AU$5:AU316,AU316))</f>
        <v>0</v>
      </c>
      <c r="AW316" s="31">
        <f>IF(OR(G316="",B316=""),"",B316-TodayDate)</f>
        <v>0</v>
      </c>
      <c r="AX316" s="39">
        <f>IF(G316="","",IF(P316="Cancelled","Cancelled",IF(P316="No access","Action - no access, rebook",IF(AND(B316&lt;&gt;"",AW316&lt;0,OR(P316="Booked",P316="Confirmed",P316="In progress")),"Late - mark it completed",IF(AND(P316="Completed",AP316=""),"Action - not invoiced yet",IF(AND(AW316&gt;=0,AW316&lt;=ReminderDays,Y316&lt;&gt;"Yes"),"Confirm - visit coming up",IF(R316="","Assign - no cleaner booked",IF(AND(P316="Completed",AO316&lt;&gt;"",AO316&lt;1),"Check - checklist unfinished","OK"))))))))</f>
        <v>0</v>
      </c>
    </row>
    <row r="317" spans="1:50">
      <c r="A317" s="43">
        <f>IF(G317="","",JobPrefix&amp;TEXT(ROW()-4,"0000"))</f>
        <v>0</v>
      </c>
      <c r="C317" s="23">
        <f>IF(B317="","",TEXT(B317,"ddd"))</f>
        <v>0</v>
      </c>
      <c r="D317" s="31">
        <f>IF(B317="","",WEEKNUM(B317,IF(WeekStart="Sunday",1,2)))</f>
        <v>0</v>
      </c>
      <c r="E317" s="23">
        <f>IF(B317="","",TEXT(B317,"yyyy-mm"))</f>
        <v>0</v>
      </c>
      <c r="H317" s="23">
        <f>IF(G317="","",IFERROR(INDEX(Clients!$B$5:$B$204,MATCH(G317,Clients!$A$5:$A$204,0)),"Not found"))</f>
        <v>0</v>
      </c>
      <c r="I317" s="23">
        <f>IF(G317="","",IFERROR(INDEX(Clients!$C$5:$C$204,MATCH(G317,Clients!$A$5:$A$204,0)),""))</f>
        <v>0</v>
      </c>
      <c r="K317" s="23">
        <f>IF(J317="","",IFERROR(INDEX(Properties!$B$5:$B$254,MATCH(J317,Properties!$A$5:$A$254,0)),""))</f>
        <v>0</v>
      </c>
      <c r="L317" s="23">
        <f>IF(J317="","",IFERROR(INDEX(Properties!$F$5:$F$254,MATCH(J317,Properties!$A$5:$A$254,0)),""))</f>
        <v>0</v>
      </c>
      <c r="AD317" s="34">
        <f>IF(G317="","",IF(U317&lt;&gt;"",U317,IF(AND(IFERROR(INDEX(Services!$D$5:$D$64,MATCH(M317,Services!$B$5:$B$64,0)),"")="Per hour",IFERROR(INDEX(Properties!$X$5:$X$254,MATCH(J317,Properties!$A$5:$A$254,0)),0)&gt;0),IFERROR(INDEX(Properties!$X$5:$X$254,MATCH(J317,Properties!$A$5:$A$254,0)),0),IF(IFERROR(INDEX(Services!$G$5:$G$64,MATCH(M317,Services!$B$5:$B$64,0)),0)&gt;0,IFERROR(INDEX(Services!$G$5:$G$64,MATCH(M317,Services!$B$5:$B$64,0)),0),IFERROR(INDEX(Properties!$X$5:$X$254,MATCH(J317,Properties!$A$5:$A$254,0)),0)))))</f>
        <v>0</v>
      </c>
      <c r="AE317" s="31">
        <f>IF(G317="","",IF(T317="",CleanersPerJob,MAX(1,T317)))</f>
        <v>0</v>
      </c>
      <c r="AF317" s="34">
        <f>IF(G317="","",ROUND(AD317/AE317,2))</f>
        <v>0</v>
      </c>
      <c r="AG317" s="53">
        <f>IF(OR(G317="",F317="",AF317=""),"",F317+AF317/24)</f>
        <v>0</v>
      </c>
      <c r="AH317" s="21">
        <f>IF(G317="","",IF(IFERROR(INDEX(Clients!$O$5:$O$204,MATCH(G317,Clients!$A$5:$A$204,0)),0)&gt;0,IFERROR(INDEX(Clients!$O$5:$O$204,MATCH(G317,Clients!$A$5:$A$204,0)),0),HourlyRate))</f>
        <v>0</v>
      </c>
      <c r="AI317" s="21">
        <f>IF(G317="","",IF(AND(M317&lt;&gt;"",IFERROR(INDEX(Services!$P$5:$P$64,MATCH(M317,Services!$B$5:$B$64,0)),0)&gt;0,IFERROR(INDEX(Services!$D$5:$D$64,MATCH(M317,Services!$B$5:$B$64,0)),"")&lt;&gt;"Per hour"),IFERROR(INDEX(Services!$P$5:$P$64,MATCH(M317,Services!$B$5:$B$64,0)),0),AD317*AH317))</f>
        <v>0</v>
      </c>
      <c r="AJ317" s="21">
        <f>IF(G317="","",IF(V317&lt;&gt;"",V317,IF(P317="Cancelled",0,MAX(MinimumCharge,ROUND(AI317*IFERROR(INDEX(FreqFactors,MATCH(O317,FreqNames,0)),1),2)))))</f>
        <v>0</v>
      </c>
      <c r="AK317" s="34">
        <f>IF(G317="","",IF(SUMIFS(Timesheets!$U$5:$U$804,Timesheets!$G$5:$G$804,A317)&gt;0,SUMIFS(Timesheets!$U$5:$U$804,Timesheets!$G$5:$G$804,A317),IF(Z317="","",Z317)))</f>
        <v>0</v>
      </c>
      <c r="AL317" s="34">
        <f>IF(OR(AK317="",AD317=""),"",AK317-AD317)</f>
        <v>0</v>
      </c>
      <c r="AM317" s="31">
        <f>IF(A317="","",COUNTIFS('Job Tasks'!$B$5:$B$904,A317))</f>
        <v>0</v>
      </c>
      <c r="AN317" s="31">
        <f>IF(A317="","",COUNTIFS('Job Tasks'!$B$5:$B$904,A317,'Job Tasks'!$H$5:$H$904,"Done"))</f>
        <v>0</v>
      </c>
      <c r="AO317" s="38">
        <f>IF(OR(A317="",AM317=0),"",AN317/AM317)</f>
        <v>0</v>
      </c>
      <c r="AP317" s="43">
        <f>IF(A317="","",IFERROR(INDEX('Invoice Lines'!$B$5:$B$804,MATCH(A317,'Invoice Lines'!$C$5:$C$804,0)),""))</f>
        <v>0</v>
      </c>
      <c r="AQ317" s="18">
        <f>IF(OR(G317="",B317="",X317&lt;&gt;"Yes"),"",IF(IFERROR(INDEX(FreqDays,MATCH(O317,FreqNames,0)),0)=0,"",B317+IFERROR(INDEX(FreqDays,MATCH(O317,FreqNames,0)),0)))</f>
        <v>0</v>
      </c>
      <c r="AR317" s="39">
        <f>IF(G317="","",IF(R317="","Unassigned",IF(COUNTIFS($R$5:$R$604,R317,$B$5:$B$604,B317,$F$5:$F$604,F317)&gt;1,"Clash",IF(SUMIFS($AF$5:$AF$604,$R$5:$R$604,R317,$B$5:$B$604,B317)&gt;ProductiveHours,"Long day","OK"))))</f>
        <v>0</v>
      </c>
      <c r="AS317" s="18">
        <f>IF(OR(G317="",B317=""),"",IF(AND(B317&gt;=TodayDate,P317&lt;&gt;"Cancelled"),B317,""))</f>
        <v>0</v>
      </c>
      <c r="AT317" s="31">
        <f>IF(AS317="","",COUNTIFS($AS$5:$AS$604,"&lt;"&amp;AS317)+COUNTIFS($AS$5:AS317,AS317))</f>
        <v>0</v>
      </c>
      <c r="AU317" s="18">
        <f>IF(OR(G317="",B317="",R317&lt;&gt;""),"",IF(AND(B317&gt;=TodayDate,P317&lt;&gt;"Cancelled"),B317,""))</f>
        <v>0</v>
      </c>
      <c r="AV317" s="31">
        <f>IF(AU317="","",COUNTIFS($AU$5:$AU$604,"&lt;"&amp;AU317)+COUNTIFS($AU$5:AU317,AU317))</f>
        <v>0</v>
      </c>
      <c r="AW317" s="31">
        <f>IF(OR(G317="",B317=""),"",B317-TodayDate)</f>
        <v>0</v>
      </c>
      <c r="AX317" s="39">
        <f>IF(G317="","",IF(P317="Cancelled","Cancelled",IF(P317="No access","Action - no access, rebook",IF(AND(B317&lt;&gt;"",AW317&lt;0,OR(P317="Booked",P317="Confirmed",P317="In progress")),"Late - mark it completed",IF(AND(P317="Completed",AP317=""),"Action - not invoiced yet",IF(AND(AW317&gt;=0,AW317&lt;=ReminderDays,Y317&lt;&gt;"Yes"),"Confirm - visit coming up",IF(R317="","Assign - no cleaner booked",IF(AND(P317="Completed",AO317&lt;&gt;"",AO317&lt;1),"Check - checklist unfinished","OK"))))))))</f>
        <v>0</v>
      </c>
    </row>
    <row r="318" spans="1:50">
      <c r="A318" s="43">
        <f>IF(G318="","",JobPrefix&amp;TEXT(ROW()-4,"0000"))</f>
        <v>0</v>
      </c>
      <c r="C318" s="23">
        <f>IF(B318="","",TEXT(B318,"ddd"))</f>
        <v>0</v>
      </c>
      <c r="D318" s="31">
        <f>IF(B318="","",WEEKNUM(B318,IF(WeekStart="Sunday",1,2)))</f>
        <v>0</v>
      </c>
      <c r="E318" s="23">
        <f>IF(B318="","",TEXT(B318,"yyyy-mm"))</f>
        <v>0</v>
      </c>
      <c r="H318" s="23">
        <f>IF(G318="","",IFERROR(INDEX(Clients!$B$5:$B$204,MATCH(G318,Clients!$A$5:$A$204,0)),"Not found"))</f>
        <v>0</v>
      </c>
      <c r="I318" s="23">
        <f>IF(G318="","",IFERROR(INDEX(Clients!$C$5:$C$204,MATCH(G318,Clients!$A$5:$A$204,0)),""))</f>
        <v>0</v>
      </c>
      <c r="K318" s="23">
        <f>IF(J318="","",IFERROR(INDEX(Properties!$B$5:$B$254,MATCH(J318,Properties!$A$5:$A$254,0)),""))</f>
        <v>0</v>
      </c>
      <c r="L318" s="23">
        <f>IF(J318="","",IFERROR(INDEX(Properties!$F$5:$F$254,MATCH(J318,Properties!$A$5:$A$254,0)),""))</f>
        <v>0</v>
      </c>
      <c r="AD318" s="34">
        <f>IF(G318="","",IF(U318&lt;&gt;"",U318,IF(AND(IFERROR(INDEX(Services!$D$5:$D$64,MATCH(M318,Services!$B$5:$B$64,0)),"")="Per hour",IFERROR(INDEX(Properties!$X$5:$X$254,MATCH(J318,Properties!$A$5:$A$254,0)),0)&gt;0),IFERROR(INDEX(Properties!$X$5:$X$254,MATCH(J318,Properties!$A$5:$A$254,0)),0),IF(IFERROR(INDEX(Services!$G$5:$G$64,MATCH(M318,Services!$B$5:$B$64,0)),0)&gt;0,IFERROR(INDEX(Services!$G$5:$G$64,MATCH(M318,Services!$B$5:$B$64,0)),0),IFERROR(INDEX(Properties!$X$5:$X$254,MATCH(J318,Properties!$A$5:$A$254,0)),0)))))</f>
        <v>0</v>
      </c>
      <c r="AE318" s="31">
        <f>IF(G318="","",IF(T318="",CleanersPerJob,MAX(1,T318)))</f>
        <v>0</v>
      </c>
      <c r="AF318" s="34">
        <f>IF(G318="","",ROUND(AD318/AE318,2))</f>
        <v>0</v>
      </c>
      <c r="AG318" s="53">
        <f>IF(OR(G318="",F318="",AF318=""),"",F318+AF318/24)</f>
        <v>0</v>
      </c>
      <c r="AH318" s="21">
        <f>IF(G318="","",IF(IFERROR(INDEX(Clients!$O$5:$O$204,MATCH(G318,Clients!$A$5:$A$204,0)),0)&gt;0,IFERROR(INDEX(Clients!$O$5:$O$204,MATCH(G318,Clients!$A$5:$A$204,0)),0),HourlyRate))</f>
        <v>0</v>
      </c>
      <c r="AI318" s="21">
        <f>IF(G318="","",IF(AND(M318&lt;&gt;"",IFERROR(INDEX(Services!$P$5:$P$64,MATCH(M318,Services!$B$5:$B$64,0)),0)&gt;0,IFERROR(INDEX(Services!$D$5:$D$64,MATCH(M318,Services!$B$5:$B$64,0)),"")&lt;&gt;"Per hour"),IFERROR(INDEX(Services!$P$5:$P$64,MATCH(M318,Services!$B$5:$B$64,0)),0),AD318*AH318))</f>
        <v>0</v>
      </c>
      <c r="AJ318" s="21">
        <f>IF(G318="","",IF(V318&lt;&gt;"",V318,IF(P318="Cancelled",0,MAX(MinimumCharge,ROUND(AI318*IFERROR(INDEX(FreqFactors,MATCH(O318,FreqNames,0)),1),2)))))</f>
        <v>0</v>
      </c>
      <c r="AK318" s="34">
        <f>IF(G318="","",IF(SUMIFS(Timesheets!$U$5:$U$804,Timesheets!$G$5:$G$804,A318)&gt;0,SUMIFS(Timesheets!$U$5:$U$804,Timesheets!$G$5:$G$804,A318),IF(Z318="","",Z318)))</f>
        <v>0</v>
      </c>
      <c r="AL318" s="34">
        <f>IF(OR(AK318="",AD318=""),"",AK318-AD318)</f>
        <v>0</v>
      </c>
      <c r="AM318" s="31">
        <f>IF(A318="","",COUNTIFS('Job Tasks'!$B$5:$B$904,A318))</f>
        <v>0</v>
      </c>
      <c r="AN318" s="31">
        <f>IF(A318="","",COUNTIFS('Job Tasks'!$B$5:$B$904,A318,'Job Tasks'!$H$5:$H$904,"Done"))</f>
        <v>0</v>
      </c>
      <c r="AO318" s="38">
        <f>IF(OR(A318="",AM318=0),"",AN318/AM318)</f>
        <v>0</v>
      </c>
      <c r="AP318" s="43">
        <f>IF(A318="","",IFERROR(INDEX('Invoice Lines'!$B$5:$B$804,MATCH(A318,'Invoice Lines'!$C$5:$C$804,0)),""))</f>
        <v>0</v>
      </c>
      <c r="AQ318" s="18">
        <f>IF(OR(G318="",B318="",X318&lt;&gt;"Yes"),"",IF(IFERROR(INDEX(FreqDays,MATCH(O318,FreqNames,0)),0)=0,"",B318+IFERROR(INDEX(FreqDays,MATCH(O318,FreqNames,0)),0)))</f>
        <v>0</v>
      </c>
      <c r="AR318" s="39">
        <f>IF(G318="","",IF(R318="","Unassigned",IF(COUNTIFS($R$5:$R$604,R318,$B$5:$B$604,B318,$F$5:$F$604,F318)&gt;1,"Clash",IF(SUMIFS($AF$5:$AF$604,$R$5:$R$604,R318,$B$5:$B$604,B318)&gt;ProductiveHours,"Long day","OK"))))</f>
        <v>0</v>
      </c>
      <c r="AS318" s="18">
        <f>IF(OR(G318="",B318=""),"",IF(AND(B318&gt;=TodayDate,P318&lt;&gt;"Cancelled"),B318,""))</f>
        <v>0</v>
      </c>
      <c r="AT318" s="31">
        <f>IF(AS318="","",COUNTIFS($AS$5:$AS$604,"&lt;"&amp;AS318)+COUNTIFS($AS$5:AS318,AS318))</f>
        <v>0</v>
      </c>
      <c r="AU318" s="18">
        <f>IF(OR(G318="",B318="",R318&lt;&gt;""),"",IF(AND(B318&gt;=TodayDate,P318&lt;&gt;"Cancelled"),B318,""))</f>
        <v>0</v>
      </c>
      <c r="AV318" s="31">
        <f>IF(AU318="","",COUNTIFS($AU$5:$AU$604,"&lt;"&amp;AU318)+COUNTIFS($AU$5:AU318,AU318))</f>
        <v>0</v>
      </c>
      <c r="AW318" s="31">
        <f>IF(OR(G318="",B318=""),"",B318-TodayDate)</f>
        <v>0</v>
      </c>
      <c r="AX318" s="39">
        <f>IF(G318="","",IF(P318="Cancelled","Cancelled",IF(P318="No access","Action - no access, rebook",IF(AND(B318&lt;&gt;"",AW318&lt;0,OR(P318="Booked",P318="Confirmed",P318="In progress")),"Late - mark it completed",IF(AND(P318="Completed",AP318=""),"Action - not invoiced yet",IF(AND(AW318&gt;=0,AW318&lt;=ReminderDays,Y318&lt;&gt;"Yes"),"Confirm - visit coming up",IF(R318="","Assign - no cleaner booked",IF(AND(P318="Completed",AO318&lt;&gt;"",AO318&lt;1),"Check - checklist unfinished","OK"))))))))</f>
        <v>0</v>
      </c>
    </row>
    <row r="319" spans="1:50">
      <c r="A319" s="43">
        <f>IF(G319="","",JobPrefix&amp;TEXT(ROW()-4,"0000"))</f>
        <v>0</v>
      </c>
      <c r="C319" s="23">
        <f>IF(B319="","",TEXT(B319,"ddd"))</f>
        <v>0</v>
      </c>
      <c r="D319" s="31">
        <f>IF(B319="","",WEEKNUM(B319,IF(WeekStart="Sunday",1,2)))</f>
        <v>0</v>
      </c>
      <c r="E319" s="23">
        <f>IF(B319="","",TEXT(B319,"yyyy-mm"))</f>
        <v>0</v>
      </c>
      <c r="H319" s="23">
        <f>IF(G319="","",IFERROR(INDEX(Clients!$B$5:$B$204,MATCH(G319,Clients!$A$5:$A$204,0)),"Not found"))</f>
        <v>0</v>
      </c>
      <c r="I319" s="23">
        <f>IF(G319="","",IFERROR(INDEX(Clients!$C$5:$C$204,MATCH(G319,Clients!$A$5:$A$204,0)),""))</f>
        <v>0</v>
      </c>
      <c r="K319" s="23">
        <f>IF(J319="","",IFERROR(INDEX(Properties!$B$5:$B$254,MATCH(J319,Properties!$A$5:$A$254,0)),""))</f>
        <v>0</v>
      </c>
      <c r="L319" s="23">
        <f>IF(J319="","",IFERROR(INDEX(Properties!$F$5:$F$254,MATCH(J319,Properties!$A$5:$A$254,0)),""))</f>
        <v>0</v>
      </c>
      <c r="AD319" s="34">
        <f>IF(G319="","",IF(U319&lt;&gt;"",U319,IF(AND(IFERROR(INDEX(Services!$D$5:$D$64,MATCH(M319,Services!$B$5:$B$64,0)),"")="Per hour",IFERROR(INDEX(Properties!$X$5:$X$254,MATCH(J319,Properties!$A$5:$A$254,0)),0)&gt;0),IFERROR(INDEX(Properties!$X$5:$X$254,MATCH(J319,Properties!$A$5:$A$254,0)),0),IF(IFERROR(INDEX(Services!$G$5:$G$64,MATCH(M319,Services!$B$5:$B$64,0)),0)&gt;0,IFERROR(INDEX(Services!$G$5:$G$64,MATCH(M319,Services!$B$5:$B$64,0)),0),IFERROR(INDEX(Properties!$X$5:$X$254,MATCH(J319,Properties!$A$5:$A$254,0)),0)))))</f>
        <v>0</v>
      </c>
      <c r="AE319" s="31">
        <f>IF(G319="","",IF(T319="",CleanersPerJob,MAX(1,T319)))</f>
        <v>0</v>
      </c>
      <c r="AF319" s="34">
        <f>IF(G319="","",ROUND(AD319/AE319,2))</f>
        <v>0</v>
      </c>
      <c r="AG319" s="53">
        <f>IF(OR(G319="",F319="",AF319=""),"",F319+AF319/24)</f>
        <v>0</v>
      </c>
      <c r="AH319" s="21">
        <f>IF(G319="","",IF(IFERROR(INDEX(Clients!$O$5:$O$204,MATCH(G319,Clients!$A$5:$A$204,0)),0)&gt;0,IFERROR(INDEX(Clients!$O$5:$O$204,MATCH(G319,Clients!$A$5:$A$204,0)),0),HourlyRate))</f>
        <v>0</v>
      </c>
      <c r="AI319" s="21">
        <f>IF(G319="","",IF(AND(M319&lt;&gt;"",IFERROR(INDEX(Services!$P$5:$P$64,MATCH(M319,Services!$B$5:$B$64,0)),0)&gt;0,IFERROR(INDEX(Services!$D$5:$D$64,MATCH(M319,Services!$B$5:$B$64,0)),"")&lt;&gt;"Per hour"),IFERROR(INDEX(Services!$P$5:$P$64,MATCH(M319,Services!$B$5:$B$64,0)),0),AD319*AH319))</f>
        <v>0</v>
      </c>
      <c r="AJ319" s="21">
        <f>IF(G319="","",IF(V319&lt;&gt;"",V319,IF(P319="Cancelled",0,MAX(MinimumCharge,ROUND(AI319*IFERROR(INDEX(FreqFactors,MATCH(O319,FreqNames,0)),1),2)))))</f>
        <v>0</v>
      </c>
      <c r="AK319" s="34">
        <f>IF(G319="","",IF(SUMIFS(Timesheets!$U$5:$U$804,Timesheets!$G$5:$G$804,A319)&gt;0,SUMIFS(Timesheets!$U$5:$U$804,Timesheets!$G$5:$G$804,A319),IF(Z319="","",Z319)))</f>
        <v>0</v>
      </c>
      <c r="AL319" s="34">
        <f>IF(OR(AK319="",AD319=""),"",AK319-AD319)</f>
        <v>0</v>
      </c>
      <c r="AM319" s="31">
        <f>IF(A319="","",COUNTIFS('Job Tasks'!$B$5:$B$904,A319))</f>
        <v>0</v>
      </c>
      <c r="AN319" s="31">
        <f>IF(A319="","",COUNTIFS('Job Tasks'!$B$5:$B$904,A319,'Job Tasks'!$H$5:$H$904,"Done"))</f>
        <v>0</v>
      </c>
      <c r="AO319" s="38">
        <f>IF(OR(A319="",AM319=0),"",AN319/AM319)</f>
        <v>0</v>
      </c>
      <c r="AP319" s="43">
        <f>IF(A319="","",IFERROR(INDEX('Invoice Lines'!$B$5:$B$804,MATCH(A319,'Invoice Lines'!$C$5:$C$804,0)),""))</f>
        <v>0</v>
      </c>
      <c r="AQ319" s="18">
        <f>IF(OR(G319="",B319="",X319&lt;&gt;"Yes"),"",IF(IFERROR(INDEX(FreqDays,MATCH(O319,FreqNames,0)),0)=0,"",B319+IFERROR(INDEX(FreqDays,MATCH(O319,FreqNames,0)),0)))</f>
        <v>0</v>
      </c>
      <c r="AR319" s="39">
        <f>IF(G319="","",IF(R319="","Unassigned",IF(COUNTIFS($R$5:$R$604,R319,$B$5:$B$604,B319,$F$5:$F$604,F319)&gt;1,"Clash",IF(SUMIFS($AF$5:$AF$604,$R$5:$R$604,R319,$B$5:$B$604,B319)&gt;ProductiveHours,"Long day","OK"))))</f>
        <v>0</v>
      </c>
      <c r="AS319" s="18">
        <f>IF(OR(G319="",B319=""),"",IF(AND(B319&gt;=TodayDate,P319&lt;&gt;"Cancelled"),B319,""))</f>
        <v>0</v>
      </c>
      <c r="AT319" s="31">
        <f>IF(AS319="","",COUNTIFS($AS$5:$AS$604,"&lt;"&amp;AS319)+COUNTIFS($AS$5:AS319,AS319))</f>
        <v>0</v>
      </c>
      <c r="AU319" s="18">
        <f>IF(OR(G319="",B319="",R319&lt;&gt;""),"",IF(AND(B319&gt;=TodayDate,P319&lt;&gt;"Cancelled"),B319,""))</f>
        <v>0</v>
      </c>
      <c r="AV319" s="31">
        <f>IF(AU319="","",COUNTIFS($AU$5:$AU$604,"&lt;"&amp;AU319)+COUNTIFS($AU$5:AU319,AU319))</f>
        <v>0</v>
      </c>
      <c r="AW319" s="31">
        <f>IF(OR(G319="",B319=""),"",B319-TodayDate)</f>
        <v>0</v>
      </c>
      <c r="AX319" s="39">
        <f>IF(G319="","",IF(P319="Cancelled","Cancelled",IF(P319="No access","Action - no access, rebook",IF(AND(B319&lt;&gt;"",AW319&lt;0,OR(P319="Booked",P319="Confirmed",P319="In progress")),"Late - mark it completed",IF(AND(P319="Completed",AP319=""),"Action - not invoiced yet",IF(AND(AW319&gt;=0,AW319&lt;=ReminderDays,Y319&lt;&gt;"Yes"),"Confirm - visit coming up",IF(R319="","Assign - no cleaner booked",IF(AND(P319="Completed",AO319&lt;&gt;"",AO319&lt;1),"Check - checklist unfinished","OK"))))))))</f>
        <v>0</v>
      </c>
    </row>
    <row r="320" spans="1:50">
      <c r="A320" s="43">
        <f>IF(G320="","",JobPrefix&amp;TEXT(ROW()-4,"0000"))</f>
        <v>0</v>
      </c>
      <c r="C320" s="23">
        <f>IF(B320="","",TEXT(B320,"ddd"))</f>
        <v>0</v>
      </c>
      <c r="D320" s="31">
        <f>IF(B320="","",WEEKNUM(B320,IF(WeekStart="Sunday",1,2)))</f>
        <v>0</v>
      </c>
      <c r="E320" s="23">
        <f>IF(B320="","",TEXT(B320,"yyyy-mm"))</f>
        <v>0</v>
      </c>
      <c r="H320" s="23">
        <f>IF(G320="","",IFERROR(INDEX(Clients!$B$5:$B$204,MATCH(G320,Clients!$A$5:$A$204,0)),"Not found"))</f>
        <v>0</v>
      </c>
      <c r="I320" s="23">
        <f>IF(G320="","",IFERROR(INDEX(Clients!$C$5:$C$204,MATCH(G320,Clients!$A$5:$A$204,0)),""))</f>
        <v>0</v>
      </c>
      <c r="K320" s="23">
        <f>IF(J320="","",IFERROR(INDEX(Properties!$B$5:$B$254,MATCH(J320,Properties!$A$5:$A$254,0)),""))</f>
        <v>0</v>
      </c>
      <c r="L320" s="23">
        <f>IF(J320="","",IFERROR(INDEX(Properties!$F$5:$F$254,MATCH(J320,Properties!$A$5:$A$254,0)),""))</f>
        <v>0</v>
      </c>
      <c r="AD320" s="34">
        <f>IF(G320="","",IF(U320&lt;&gt;"",U320,IF(AND(IFERROR(INDEX(Services!$D$5:$D$64,MATCH(M320,Services!$B$5:$B$64,0)),"")="Per hour",IFERROR(INDEX(Properties!$X$5:$X$254,MATCH(J320,Properties!$A$5:$A$254,0)),0)&gt;0),IFERROR(INDEX(Properties!$X$5:$X$254,MATCH(J320,Properties!$A$5:$A$254,0)),0),IF(IFERROR(INDEX(Services!$G$5:$G$64,MATCH(M320,Services!$B$5:$B$64,0)),0)&gt;0,IFERROR(INDEX(Services!$G$5:$G$64,MATCH(M320,Services!$B$5:$B$64,0)),0),IFERROR(INDEX(Properties!$X$5:$X$254,MATCH(J320,Properties!$A$5:$A$254,0)),0)))))</f>
        <v>0</v>
      </c>
      <c r="AE320" s="31">
        <f>IF(G320="","",IF(T320="",CleanersPerJob,MAX(1,T320)))</f>
        <v>0</v>
      </c>
      <c r="AF320" s="34">
        <f>IF(G320="","",ROUND(AD320/AE320,2))</f>
        <v>0</v>
      </c>
      <c r="AG320" s="53">
        <f>IF(OR(G320="",F320="",AF320=""),"",F320+AF320/24)</f>
        <v>0</v>
      </c>
      <c r="AH320" s="21">
        <f>IF(G320="","",IF(IFERROR(INDEX(Clients!$O$5:$O$204,MATCH(G320,Clients!$A$5:$A$204,0)),0)&gt;0,IFERROR(INDEX(Clients!$O$5:$O$204,MATCH(G320,Clients!$A$5:$A$204,0)),0),HourlyRate))</f>
        <v>0</v>
      </c>
      <c r="AI320" s="21">
        <f>IF(G320="","",IF(AND(M320&lt;&gt;"",IFERROR(INDEX(Services!$P$5:$P$64,MATCH(M320,Services!$B$5:$B$64,0)),0)&gt;0,IFERROR(INDEX(Services!$D$5:$D$64,MATCH(M320,Services!$B$5:$B$64,0)),"")&lt;&gt;"Per hour"),IFERROR(INDEX(Services!$P$5:$P$64,MATCH(M320,Services!$B$5:$B$64,0)),0),AD320*AH320))</f>
        <v>0</v>
      </c>
      <c r="AJ320" s="21">
        <f>IF(G320="","",IF(V320&lt;&gt;"",V320,IF(P320="Cancelled",0,MAX(MinimumCharge,ROUND(AI320*IFERROR(INDEX(FreqFactors,MATCH(O320,FreqNames,0)),1),2)))))</f>
        <v>0</v>
      </c>
      <c r="AK320" s="34">
        <f>IF(G320="","",IF(SUMIFS(Timesheets!$U$5:$U$804,Timesheets!$G$5:$G$804,A320)&gt;0,SUMIFS(Timesheets!$U$5:$U$804,Timesheets!$G$5:$G$804,A320),IF(Z320="","",Z320)))</f>
        <v>0</v>
      </c>
      <c r="AL320" s="34">
        <f>IF(OR(AK320="",AD320=""),"",AK320-AD320)</f>
        <v>0</v>
      </c>
      <c r="AM320" s="31">
        <f>IF(A320="","",COUNTIFS('Job Tasks'!$B$5:$B$904,A320))</f>
        <v>0</v>
      </c>
      <c r="AN320" s="31">
        <f>IF(A320="","",COUNTIFS('Job Tasks'!$B$5:$B$904,A320,'Job Tasks'!$H$5:$H$904,"Done"))</f>
        <v>0</v>
      </c>
      <c r="AO320" s="38">
        <f>IF(OR(A320="",AM320=0),"",AN320/AM320)</f>
        <v>0</v>
      </c>
      <c r="AP320" s="43">
        <f>IF(A320="","",IFERROR(INDEX('Invoice Lines'!$B$5:$B$804,MATCH(A320,'Invoice Lines'!$C$5:$C$804,0)),""))</f>
        <v>0</v>
      </c>
      <c r="AQ320" s="18">
        <f>IF(OR(G320="",B320="",X320&lt;&gt;"Yes"),"",IF(IFERROR(INDEX(FreqDays,MATCH(O320,FreqNames,0)),0)=0,"",B320+IFERROR(INDEX(FreqDays,MATCH(O320,FreqNames,0)),0)))</f>
        <v>0</v>
      </c>
      <c r="AR320" s="39">
        <f>IF(G320="","",IF(R320="","Unassigned",IF(COUNTIFS($R$5:$R$604,R320,$B$5:$B$604,B320,$F$5:$F$604,F320)&gt;1,"Clash",IF(SUMIFS($AF$5:$AF$604,$R$5:$R$604,R320,$B$5:$B$604,B320)&gt;ProductiveHours,"Long day","OK"))))</f>
        <v>0</v>
      </c>
      <c r="AS320" s="18">
        <f>IF(OR(G320="",B320=""),"",IF(AND(B320&gt;=TodayDate,P320&lt;&gt;"Cancelled"),B320,""))</f>
        <v>0</v>
      </c>
      <c r="AT320" s="31">
        <f>IF(AS320="","",COUNTIFS($AS$5:$AS$604,"&lt;"&amp;AS320)+COUNTIFS($AS$5:AS320,AS320))</f>
        <v>0</v>
      </c>
      <c r="AU320" s="18">
        <f>IF(OR(G320="",B320="",R320&lt;&gt;""),"",IF(AND(B320&gt;=TodayDate,P320&lt;&gt;"Cancelled"),B320,""))</f>
        <v>0</v>
      </c>
      <c r="AV320" s="31">
        <f>IF(AU320="","",COUNTIFS($AU$5:$AU$604,"&lt;"&amp;AU320)+COUNTIFS($AU$5:AU320,AU320))</f>
        <v>0</v>
      </c>
      <c r="AW320" s="31">
        <f>IF(OR(G320="",B320=""),"",B320-TodayDate)</f>
        <v>0</v>
      </c>
      <c r="AX320" s="39">
        <f>IF(G320="","",IF(P320="Cancelled","Cancelled",IF(P320="No access","Action - no access, rebook",IF(AND(B320&lt;&gt;"",AW320&lt;0,OR(P320="Booked",P320="Confirmed",P320="In progress")),"Late - mark it completed",IF(AND(P320="Completed",AP320=""),"Action - not invoiced yet",IF(AND(AW320&gt;=0,AW320&lt;=ReminderDays,Y320&lt;&gt;"Yes"),"Confirm - visit coming up",IF(R320="","Assign - no cleaner booked",IF(AND(P320="Completed",AO320&lt;&gt;"",AO320&lt;1),"Check - checklist unfinished","OK"))))))))</f>
        <v>0</v>
      </c>
    </row>
    <row r="321" spans="1:50">
      <c r="A321" s="43">
        <f>IF(G321="","",JobPrefix&amp;TEXT(ROW()-4,"0000"))</f>
        <v>0</v>
      </c>
      <c r="C321" s="23">
        <f>IF(B321="","",TEXT(B321,"ddd"))</f>
        <v>0</v>
      </c>
      <c r="D321" s="31">
        <f>IF(B321="","",WEEKNUM(B321,IF(WeekStart="Sunday",1,2)))</f>
        <v>0</v>
      </c>
      <c r="E321" s="23">
        <f>IF(B321="","",TEXT(B321,"yyyy-mm"))</f>
        <v>0</v>
      </c>
      <c r="H321" s="23">
        <f>IF(G321="","",IFERROR(INDEX(Clients!$B$5:$B$204,MATCH(G321,Clients!$A$5:$A$204,0)),"Not found"))</f>
        <v>0</v>
      </c>
      <c r="I321" s="23">
        <f>IF(G321="","",IFERROR(INDEX(Clients!$C$5:$C$204,MATCH(G321,Clients!$A$5:$A$204,0)),""))</f>
        <v>0</v>
      </c>
      <c r="K321" s="23">
        <f>IF(J321="","",IFERROR(INDEX(Properties!$B$5:$B$254,MATCH(J321,Properties!$A$5:$A$254,0)),""))</f>
        <v>0</v>
      </c>
      <c r="L321" s="23">
        <f>IF(J321="","",IFERROR(INDEX(Properties!$F$5:$F$254,MATCH(J321,Properties!$A$5:$A$254,0)),""))</f>
        <v>0</v>
      </c>
      <c r="AD321" s="34">
        <f>IF(G321="","",IF(U321&lt;&gt;"",U321,IF(AND(IFERROR(INDEX(Services!$D$5:$D$64,MATCH(M321,Services!$B$5:$B$64,0)),"")="Per hour",IFERROR(INDEX(Properties!$X$5:$X$254,MATCH(J321,Properties!$A$5:$A$254,0)),0)&gt;0),IFERROR(INDEX(Properties!$X$5:$X$254,MATCH(J321,Properties!$A$5:$A$254,0)),0),IF(IFERROR(INDEX(Services!$G$5:$G$64,MATCH(M321,Services!$B$5:$B$64,0)),0)&gt;0,IFERROR(INDEX(Services!$G$5:$G$64,MATCH(M321,Services!$B$5:$B$64,0)),0),IFERROR(INDEX(Properties!$X$5:$X$254,MATCH(J321,Properties!$A$5:$A$254,0)),0)))))</f>
        <v>0</v>
      </c>
      <c r="AE321" s="31">
        <f>IF(G321="","",IF(T321="",CleanersPerJob,MAX(1,T321)))</f>
        <v>0</v>
      </c>
      <c r="AF321" s="34">
        <f>IF(G321="","",ROUND(AD321/AE321,2))</f>
        <v>0</v>
      </c>
      <c r="AG321" s="53">
        <f>IF(OR(G321="",F321="",AF321=""),"",F321+AF321/24)</f>
        <v>0</v>
      </c>
      <c r="AH321" s="21">
        <f>IF(G321="","",IF(IFERROR(INDEX(Clients!$O$5:$O$204,MATCH(G321,Clients!$A$5:$A$204,0)),0)&gt;0,IFERROR(INDEX(Clients!$O$5:$O$204,MATCH(G321,Clients!$A$5:$A$204,0)),0),HourlyRate))</f>
        <v>0</v>
      </c>
      <c r="AI321" s="21">
        <f>IF(G321="","",IF(AND(M321&lt;&gt;"",IFERROR(INDEX(Services!$P$5:$P$64,MATCH(M321,Services!$B$5:$B$64,0)),0)&gt;0,IFERROR(INDEX(Services!$D$5:$D$64,MATCH(M321,Services!$B$5:$B$64,0)),"")&lt;&gt;"Per hour"),IFERROR(INDEX(Services!$P$5:$P$64,MATCH(M321,Services!$B$5:$B$64,0)),0),AD321*AH321))</f>
        <v>0</v>
      </c>
      <c r="AJ321" s="21">
        <f>IF(G321="","",IF(V321&lt;&gt;"",V321,IF(P321="Cancelled",0,MAX(MinimumCharge,ROUND(AI321*IFERROR(INDEX(FreqFactors,MATCH(O321,FreqNames,0)),1),2)))))</f>
        <v>0</v>
      </c>
      <c r="AK321" s="34">
        <f>IF(G321="","",IF(SUMIFS(Timesheets!$U$5:$U$804,Timesheets!$G$5:$G$804,A321)&gt;0,SUMIFS(Timesheets!$U$5:$U$804,Timesheets!$G$5:$G$804,A321),IF(Z321="","",Z321)))</f>
        <v>0</v>
      </c>
      <c r="AL321" s="34">
        <f>IF(OR(AK321="",AD321=""),"",AK321-AD321)</f>
        <v>0</v>
      </c>
      <c r="AM321" s="31">
        <f>IF(A321="","",COUNTIFS('Job Tasks'!$B$5:$B$904,A321))</f>
        <v>0</v>
      </c>
      <c r="AN321" s="31">
        <f>IF(A321="","",COUNTIFS('Job Tasks'!$B$5:$B$904,A321,'Job Tasks'!$H$5:$H$904,"Done"))</f>
        <v>0</v>
      </c>
      <c r="AO321" s="38">
        <f>IF(OR(A321="",AM321=0),"",AN321/AM321)</f>
        <v>0</v>
      </c>
      <c r="AP321" s="43">
        <f>IF(A321="","",IFERROR(INDEX('Invoice Lines'!$B$5:$B$804,MATCH(A321,'Invoice Lines'!$C$5:$C$804,0)),""))</f>
        <v>0</v>
      </c>
      <c r="AQ321" s="18">
        <f>IF(OR(G321="",B321="",X321&lt;&gt;"Yes"),"",IF(IFERROR(INDEX(FreqDays,MATCH(O321,FreqNames,0)),0)=0,"",B321+IFERROR(INDEX(FreqDays,MATCH(O321,FreqNames,0)),0)))</f>
        <v>0</v>
      </c>
      <c r="AR321" s="39">
        <f>IF(G321="","",IF(R321="","Unassigned",IF(COUNTIFS($R$5:$R$604,R321,$B$5:$B$604,B321,$F$5:$F$604,F321)&gt;1,"Clash",IF(SUMIFS($AF$5:$AF$604,$R$5:$R$604,R321,$B$5:$B$604,B321)&gt;ProductiveHours,"Long day","OK"))))</f>
        <v>0</v>
      </c>
      <c r="AS321" s="18">
        <f>IF(OR(G321="",B321=""),"",IF(AND(B321&gt;=TodayDate,P321&lt;&gt;"Cancelled"),B321,""))</f>
        <v>0</v>
      </c>
      <c r="AT321" s="31">
        <f>IF(AS321="","",COUNTIFS($AS$5:$AS$604,"&lt;"&amp;AS321)+COUNTIFS($AS$5:AS321,AS321))</f>
        <v>0</v>
      </c>
      <c r="AU321" s="18">
        <f>IF(OR(G321="",B321="",R321&lt;&gt;""),"",IF(AND(B321&gt;=TodayDate,P321&lt;&gt;"Cancelled"),B321,""))</f>
        <v>0</v>
      </c>
      <c r="AV321" s="31">
        <f>IF(AU321="","",COUNTIFS($AU$5:$AU$604,"&lt;"&amp;AU321)+COUNTIFS($AU$5:AU321,AU321))</f>
        <v>0</v>
      </c>
      <c r="AW321" s="31">
        <f>IF(OR(G321="",B321=""),"",B321-TodayDate)</f>
        <v>0</v>
      </c>
      <c r="AX321" s="39">
        <f>IF(G321="","",IF(P321="Cancelled","Cancelled",IF(P321="No access","Action - no access, rebook",IF(AND(B321&lt;&gt;"",AW321&lt;0,OR(P321="Booked",P321="Confirmed",P321="In progress")),"Late - mark it completed",IF(AND(P321="Completed",AP321=""),"Action - not invoiced yet",IF(AND(AW321&gt;=0,AW321&lt;=ReminderDays,Y321&lt;&gt;"Yes"),"Confirm - visit coming up",IF(R321="","Assign - no cleaner booked",IF(AND(P321="Completed",AO321&lt;&gt;"",AO321&lt;1),"Check - checklist unfinished","OK"))))))))</f>
        <v>0</v>
      </c>
    </row>
    <row r="322" spans="1:50">
      <c r="A322" s="43">
        <f>IF(G322="","",JobPrefix&amp;TEXT(ROW()-4,"0000"))</f>
        <v>0</v>
      </c>
      <c r="C322" s="23">
        <f>IF(B322="","",TEXT(B322,"ddd"))</f>
        <v>0</v>
      </c>
      <c r="D322" s="31">
        <f>IF(B322="","",WEEKNUM(B322,IF(WeekStart="Sunday",1,2)))</f>
        <v>0</v>
      </c>
      <c r="E322" s="23">
        <f>IF(B322="","",TEXT(B322,"yyyy-mm"))</f>
        <v>0</v>
      </c>
      <c r="H322" s="23">
        <f>IF(G322="","",IFERROR(INDEX(Clients!$B$5:$B$204,MATCH(G322,Clients!$A$5:$A$204,0)),"Not found"))</f>
        <v>0</v>
      </c>
      <c r="I322" s="23">
        <f>IF(G322="","",IFERROR(INDEX(Clients!$C$5:$C$204,MATCH(G322,Clients!$A$5:$A$204,0)),""))</f>
        <v>0</v>
      </c>
      <c r="K322" s="23">
        <f>IF(J322="","",IFERROR(INDEX(Properties!$B$5:$B$254,MATCH(J322,Properties!$A$5:$A$254,0)),""))</f>
        <v>0</v>
      </c>
      <c r="L322" s="23">
        <f>IF(J322="","",IFERROR(INDEX(Properties!$F$5:$F$254,MATCH(J322,Properties!$A$5:$A$254,0)),""))</f>
        <v>0</v>
      </c>
      <c r="AD322" s="34">
        <f>IF(G322="","",IF(U322&lt;&gt;"",U322,IF(AND(IFERROR(INDEX(Services!$D$5:$D$64,MATCH(M322,Services!$B$5:$B$64,0)),"")="Per hour",IFERROR(INDEX(Properties!$X$5:$X$254,MATCH(J322,Properties!$A$5:$A$254,0)),0)&gt;0),IFERROR(INDEX(Properties!$X$5:$X$254,MATCH(J322,Properties!$A$5:$A$254,0)),0),IF(IFERROR(INDEX(Services!$G$5:$G$64,MATCH(M322,Services!$B$5:$B$64,0)),0)&gt;0,IFERROR(INDEX(Services!$G$5:$G$64,MATCH(M322,Services!$B$5:$B$64,0)),0),IFERROR(INDEX(Properties!$X$5:$X$254,MATCH(J322,Properties!$A$5:$A$254,0)),0)))))</f>
        <v>0</v>
      </c>
      <c r="AE322" s="31">
        <f>IF(G322="","",IF(T322="",CleanersPerJob,MAX(1,T322)))</f>
        <v>0</v>
      </c>
      <c r="AF322" s="34">
        <f>IF(G322="","",ROUND(AD322/AE322,2))</f>
        <v>0</v>
      </c>
      <c r="AG322" s="53">
        <f>IF(OR(G322="",F322="",AF322=""),"",F322+AF322/24)</f>
        <v>0</v>
      </c>
      <c r="AH322" s="21">
        <f>IF(G322="","",IF(IFERROR(INDEX(Clients!$O$5:$O$204,MATCH(G322,Clients!$A$5:$A$204,0)),0)&gt;0,IFERROR(INDEX(Clients!$O$5:$O$204,MATCH(G322,Clients!$A$5:$A$204,0)),0),HourlyRate))</f>
        <v>0</v>
      </c>
      <c r="AI322" s="21">
        <f>IF(G322="","",IF(AND(M322&lt;&gt;"",IFERROR(INDEX(Services!$P$5:$P$64,MATCH(M322,Services!$B$5:$B$64,0)),0)&gt;0,IFERROR(INDEX(Services!$D$5:$D$64,MATCH(M322,Services!$B$5:$B$64,0)),"")&lt;&gt;"Per hour"),IFERROR(INDEX(Services!$P$5:$P$64,MATCH(M322,Services!$B$5:$B$64,0)),0),AD322*AH322))</f>
        <v>0</v>
      </c>
      <c r="AJ322" s="21">
        <f>IF(G322="","",IF(V322&lt;&gt;"",V322,IF(P322="Cancelled",0,MAX(MinimumCharge,ROUND(AI322*IFERROR(INDEX(FreqFactors,MATCH(O322,FreqNames,0)),1),2)))))</f>
        <v>0</v>
      </c>
      <c r="AK322" s="34">
        <f>IF(G322="","",IF(SUMIFS(Timesheets!$U$5:$U$804,Timesheets!$G$5:$G$804,A322)&gt;0,SUMIFS(Timesheets!$U$5:$U$804,Timesheets!$G$5:$G$804,A322),IF(Z322="","",Z322)))</f>
        <v>0</v>
      </c>
      <c r="AL322" s="34">
        <f>IF(OR(AK322="",AD322=""),"",AK322-AD322)</f>
        <v>0</v>
      </c>
      <c r="AM322" s="31">
        <f>IF(A322="","",COUNTIFS('Job Tasks'!$B$5:$B$904,A322))</f>
        <v>0</v>
      </c>
      <c r="AN322" s="31">
        <f>IF(A322="","",COUNTIFS('Job Tasks'!$B$5:$B$904,A322,'Job Tasks'!$H$5:$H$904,"Done"))</f>
        <v>0</v>
      </c>
      <c r="AO322" s="38">
        <f>IF(OR(A322="",AM322=0),"",AN322/AM322)</f>
        <v>0</v>
      </c>
      <c r="AP322" s="43">
        <f>IF(A322="","",IFERROR(INDEX('Invoice Lines'!$B$5:$B$804,MATCH(A322,'Invoice Lines'!$C$5:$C$804,0)),""))</f>
        <v>0</v>
      </c>
      <c r="AQ322" s="18">
        <f>IF(OR(G322="",B322="",X322&lt;&gt;"Yes"),"",IF(IFERROR(INDEX(FreqDays,MATCH(O322,FreqNames,0)),0)=0,"",B322+IFERROR(INDEX(FreqDays,MATCH(O322,FreqNames,0)),0)))</f>
        <v>0</v>
      </c>
      <c r="AR322" s="39">
        <f>IF(G322="","",IF(R322="","Unassigned",IF(COUNTIFS($R$5:$R$604,R322,$B$5:$B$604,B322,$F$5:$F$604,F322)&gt;1,"Clash",IF(SUMIFS($AF$5:$AF$604,$R$5:$R$604,R322,$B$5:$B$604,B322)&gt;ProductiveHours,"Long day","OK"))))</f>
        <v>0</v>
      </c>
      <c r="AS322" s="18">
        <f>IF(OR(G322="",B322=""),"",IF(AND(B322&gt;=TodayDate,P322&lt;&gt;"Cancelled"),B322,""))</f>
        <v>0</v>
      </c>
      <c r="AT322" s="31">
        <f>IF(AS322="","",COUNTIFS($AS$5:$AS$604,"&lt;"&amp;AS322)+COUNTIFS($AS$5:AS322,AS322))</f>
        <v>0</v>
      </c>
      <c r="AU322" s="18">
        <f>IF(OR(G322="",B322="",R322&lt;&gt;""),"",IF(AND(B322&gt;=TodayDate,P322&lt;&gt;"Cancelled"),B322,""))</f>
        <v>0</v>
      </c>
      <c r="AV322" s="31">
        <f>IF(AU322="","",COUNTIFS($AU$5:$AU$604,"&lt;"&amp;AU322)+COUNTIFS($AU$5:AU322,AU322))</f>
        <v>0</v>
      </c>
      <c r="AW322" s="31">
        <f>IF(OR(G322="",B322=""),"",B322-TodayDate)</f>
        <v>0</v>
      </c>
      <c r="AX322" s="39">
        <f>IF(G322="","",IF(P322="Cancelled","Cancelled",IF(P322="No access","Action - no access, rebook",IF(AND(B322&lt;&gt;"",AW322&lt;0,OR(P322="Booked",P322="Confirmed",P322="In progress")),"Late - mark it completed",IF(AND(P322="Completed",AP322=""),"Action - not invoiced yet",IF(AND(AW322&gt;=0,AW322&lt;=ReminderDays,Y322&lt;&gt;"Yes"),"Confirm - visit coming up",IF(R322="","Assign - no cleaner booked",IF(AND(P322="Completed",AO322&lt;&gt;"",AO322&lt;1),"Check - checklist unfinished","OK"))))))))</f>
        <v>0</v>
      </c>
    </row>
    <row r="323" spans="1:50">
      <c r="A323" s="43">
        <f>IF(G323="","",JobPrefix&amp;TEXT(ROW()-4,"0000"))</f>
        <v>0</v>
      </c>
      <c r="C323" s="23">
        <f>IF(B323="","",TEXT(B323,"ddd"))</f>
        <v>0</v>
      </c>
      <c r="D323" s="31">
        <f>IF(B323="","",WEEKNUM(B323,IF(WeekStart="Sunday",1,2)))</f>
        <v>0</v>
      </c>
      <c r="E323" s="23">
        <f>IF(B323="","",TEXT(B323,"yyyy-mm"))</f>
        <v>0</v>
      </c>
      <c r="H323" s="23">
        <f>IF(G323="","",IFERROR(INDEX(Clients!$B$5:$B$204,MATCH(G323,Clients!$A$5:$A$204,0)),"Not found"))</f>
        <v>0</v>
      </c>
      <c r="I323" s="23">
        <f>IF(G323="","",IFERROR(INDEX(Clients!$C$5:$C$204,MATCH(G323,Clients!$A$5:$A$204,0)),""))</f>
        <v>0</v>
      </c>
      <c r="K323" s="23">
        <f>IF(J323="","",IFERROR(INDEX(Properties!$B$5:$B$254,MATCH(J323,Properties!$A$5:$A$254,0)),""))</f>
        <v>0</v>
      </c>
      <c r="L323" s="23">
        <f>IF(J323="","",IFERROR(INDEX(Properties!$F$5:$F$254,MATCH(J323,Properties!$A$5:$A$254,0)),""))</f>
        <v>0</v>
      </c>
      <c r="AD323" s="34">
        <f>IF(G323="","",IF(U323&lt;&gt;"",U323,IF(AND(IFERROR(INDEX(Services!$D$5:$D$64,MATCH(M323,Services!$B$5:$B$64,0)),"")="Per hour",IFERROR(INDEX(Properties!$X$5:$X$254,MATCH(J323,Properties!$A$5:$A$254,0)),0)&gt;0),IFERROR(INDEX(Properties!$X$5:$X$254,MATCH(J323,Properties!$A$5:$A$254,0)),0),IF(IFERROR(INDEX(Services!$G$5:$G$64,MATCH(M323,Services!$B$5:$B$64,0)),0)&gt;0,IFERROR(INDEX(Services!$G$5:$G$64,MATCH(M323,Services!$B$5:$B$64,0)),0),IFERROR(INDEX(Properties!$X$5:$X$254,MATCH(J323,Properties!$A$5:$A$254,0)),0)))))</f>
        <v>0</v>
      </c>
      <c r="AE323" s="31">
        <f>IF(G323="","",IF(T323="",CleanersPerJob,MAX(1,T323)))</f>
        <v>0</v>
      </c>
      <c r="AF323" s="34">
        <f>IF(G323="","",ROUND(AD323/AE323,2))</f>
        <v>0</v>
      </c>
      <c r="AG323" s="53">
        <f>IF(OR(G323="",F323="",AF323=""),"",F323+AF323/24)</f>
        <v>0</v>
      </c>
      <c r="AH323" s="21">
        <f>IF(G323="","",IF(IFERROR(INDEX(Clients!$O$5:$O$204,MATCH(G323,Clients!$A$5:$A$204,0)),0)&gt;0,IFERROR(INDEX(Clients!$O$5:$O$204,MATCH(G323,Clients!$A$5:$A$204,0)),0),HourlyRate))</f>
        <v>0</v>
      </c>
      <c r="AI323" s="21">
        <f>IF(G323="","",IF(AND(M323&lt;&gt;"",IFERROR(INDEX(Services!$P$5:$P$64,MATCH(M323,Services!$B$5:$B$64,0)),0)&gt;0,IFERROR(INDEX(Services!$D$5:$D$64,MATCH(M323,Services!$B$5:$B$64,0)),"")&lt;&gt;"Per hour"),IFERROR(INDEX(Services!$P$5:$P$64,MATCH(M323,Services!$B$5:$B$64,0)),0),AD323*AH323))</f>
        <v>0</v>
      </c>
      <c r="AJ323" s="21">
        <f>IF(G323="","",IF(V323&lt;&gt;"",V323,IF(P323="Cancelled",0,MAX(MinimumCharge,ROUND(AI323*IFERROR(INDEX(FreqFactors,MATCH(O323,FreqNames,0)),1),2)))))</f>
        <v>0</v>
      </c>
      <c r="AK323" s="34">
        <f>IF(G323="","",IF(SUMIFS(Timesheets!$U$5:$U$804,Timesheets!$G$5:$G$804,A323)&gt;0,SUMIFS(Timesheets!$U$5:$U$804,Timesheets!$G$5:$G$804,A323),IF(Z323="","",Z323)))</f>
        <v>0</v>
      </c>
      <c r="AL323" s="34">
        <f>IF(OR(AK323="",AD323=""),"",AK323-AD323)</f>
        <v>0</v>
      </c>
      <c r="AM323" s="31">
        <f>IF(A323="","",COUNTIFS('Job Tasks'!$B$5:$B$904,A323))</f>
        <v>0</v>
      </c>
      <c r="AN323" s="31">
        <f>IF(A323="","",COUNTIFS('Job Tasks'!$B$5:$B$904,A323,'Job Tasks'!$H$5:$H$904,"Done"))</f>
        <v>0</v>
      </c>
      <c r="AO323" s="38">
        <f>IF(OR(A323="",AM323=0),"",AN323/AM323)</f>
        <v>0</v>
      </c>
      <c r="AP323" s="43">
        <f>IF(A323="","",IFERROR(INDEX('Invoice Lines'!$B$5:$B$804,MATCH(A323,'Invoice Lines'!$C$5:$C$804,0)),""))</f>
        <v>0</v>
      </c>
      <c r="AQ323" s="18">
        <f>IF(OR(G323="",B323="",X323&lt;&gt;"Yes"),"",IF(IFERROR(INDEX(FreqDays,MATCH(O323,FreqNames,0)),0)=0,"",B323+IFERROR(INDEX(FreqDays,MATCH(O323,FreqNames,0)),0)))</f>
        <v>0</v>
      </c>
      <c r="AR323" s="39">
        <f>IF(G323="","",IF(R323="","Unassigned",IF(COUNTIFS($R$5:$R$604,R323,$B$5:$B$604,B323,$F$5:$F$604,F323)&gt;1,"Clash",IF(SUMIFS($AF$5:$AF$604,$R$5:$R$604,R323,$B$5:$B$604,B323)&gt;ProductiveHours,"Long day","OK"))))</f>
        <v>0</v>
      </c>
      <c r="AS323" s="18">
        <f>IF(OR(G323="",B323=""),"",IF(AND(B323&gt;=TodayDate,P323&lt;&gt;"Cancelled"),B323,""))</f>
        <v>0</v>
      </c>
      <c r="AT323" s="31">
        <f>IF(AS323="","",COUNTIFS($AS$5:$AS$604,"&lt;"&amp;AS323)+COUNTIFS($AS$5:AS323,AS323))</f>
        <v>0</v>
      </c>
      <c r="AU323" s="18">
        <f>IF(OR(G323="",B323="",R323&lt;&gt;""),"",IF(AND(B323&gt;=TodayDate,P323&lt;&gt;"Cancelled"),B323,""))</f>
        <v>0</v>
      </c>
      <c r="AV323" s="31">
        <f>IF(AU323="","",COUNTIFS($AU$5:$AU$604,"&lt;"&amp;AU323)+COUNTIFS($AU$5:AU323,AU323))</f>
        <v>0</v>
      </c>
      <c r="AW323" s="31">
        <f>IF(OR(G323="",B323=""),"",B323-TodayDate)</f>
        <v>0</v>
      </c>
      <c r="AX323" s="39">
        <f>IF(G323="","",IF(P323="Cancelled","Cancelled",IF(P323="No access","Action - no access, rebook",IF(AND(B323&lt;&gt;"",AW323&lt;0,OR(P323="Booked",P323="Confirmed",P323="In progress")),"Late - mark it completed",IF(AND(P323="Completed",AP323=""),"Action - not invoiced yet",IF(AND(AW323&gt;=0,AW323&lt;=ReminderDays,Y323&lt;&gt;"Yes"),"Confirm - visit coming up",IF(R323="","Assign - no cleaner booked",IF(AND(P323="Completed",AO323&lt;&gt;"",AO323&lt;1),"Check - checklist unfinished","OK"))))))))</f>
        <v>0</v>
      </c>
    </row>
    <row r="324" spans="1:50">
      <c r="A324" s="43">
        <f>IF(G324="","",JobPrefix&amp;TEXT(ROW()-4,"0000"))</f>
        <v>0</v>
      </c>
      <c r="C324" s="23">
        <f>IF(B324="","",TEXT(B324,"ddd"))</f>
        <v>0</v>
      </c>
      <c r="D324" s="31">
        <f>IF(B324="","",WEEKNUM(B324,IF(WeekStart="Sunday",1,2)))</f>
        <v>0</v>
      </c>
      <c r="E324" s="23">
        <f>IF(B324="","",TEXT(B324,"yyyy-mm"))</f>
        <v>0</v>
      </c>
      <c r="H324" s="23">
        <f>IF(G324="","",IFERROR(INDEX(Clients!$B$5:$B$204,MATCH(G324,Clients!$A$5:$A$204,0)),"Not found"))</f>
        <v>0</v>
      </c>
      <c r="I324" s="23">
        <f>IF(G324="","",IFERROR(INDEX(Clients!$C$5:$C$204,MATCH(G324,Clients!$A$5:$A$204,0)),""))</f>
        <v>0</v>
      </c>
      <c r="K324" s="23">
        <f>IF(J324="","",IFERROR(INDEX(Properties!$B$5:$B$254,MATCH(J324,Properties!$A$5:$A$254,0)),""))</f>
        <v>0</v>
      </c>
      <c r="L324" s="23">
        <f>IF(J324="","",IFERROR(INDEX(Properties!$F$5:$F$254,MATCH(J324,Properties!$A$5:$A$254,0)),""))</f>
        <v>0</v>
      </c>
      <c r="AD324" s="34">
        <f>IF(G324="","",IF(U324&lt;&gt;"",U324,IF(AND(IFERROR(INDEX(Services!$D$5:$D$64,MATCH(M324,Services!$B$5:$B$64,0)),"")="Per hour",IFERROR(INDEX(Properties!$X$5:$X$254,MATCH(J324,Properties!$A$5:$A$254,0)),0)&gt;0),IFERROR(INDEX(Properties!$X$5:$X$254,MATCH(J324,Properties!$A$5:$A$254,0)),0),IF(IFERROR(INDEX(Services!$G$5:$G$64,MATCH(M324,Services!$B$5:$B$64,0)),0)&gt;0,IFERROR(INDEX(Services!$G$5:$G$64,MATCH(M324,Services!$B$5:$B$64,0)),0),IFERROR(INDEX(Properties!$X$5:$X$254,MATCH(J324,Properties!$A$5:$A$254,0)),0)))))</f>
        <v>0</v>
      </c>
      <c r="AE324" s="31">
        <f>IF(G324="","",IF(T324="",CleanersPerJob,MAX(1,T324)))</f>
        <v>0</v>
      </c>
      <c r="AF324" s="34">
        <f>IF(G324="","",ROUND(AD324/AE324,2))</f>
        <v>0</v>
      </c>
      <c r="AG324" s="53">
        <f>IF(OR(G324="",F324="",AF324=""),"",F324+AF324/24)</f>
        <v>0</v>
      </c>
      <c r="AH324" s="21">
        <f>IF(G324="","",IF(IFERROR(INDEX(Clients!$O$5:$O$204,MATCH(G324,Clients!$A$5:$A$204,0)),0)&gt;0,IFERROR(INDEX(Clients!$O$5:$O$204,MATCH(G324,Clients!$A$5:$A$204,0)),0),HourlyRate))</f>
        <v>0</v>
      </c>
      <c r="AI324" s="21">
        <f>IF(G324="","",IF(AND(M324&lt;&gt;"",IFERROR(INDEX(Services!$P$5:$P$64,MATCH(M324,Services!$B$5:$B$64,0)),0)&gt;0,IFERROR(INDEX(Services!$D$5:$D$64,MATCH(M324,Services!$B$5:$B$64,0)),"")&lt;&gt;"Per hour"),IFERROR(INDEX(Services!$P$5:$P$64,MATCH(M324,Services!$B$5:$B$64,0)),0),AD324*AH324))</f>
        <v>0</v>
      </c>
      <c r="AJ324" s="21">
        <f>IF(G324="","",IF(V324&lt;&gt;"",V324,IF(P324="Cancelled",0,MAX(MinimumCharge,ROUND(AI324*IFERROR(INDEX(FreqFactors,MATCH(O324,FreqNames,0)),1),2)))))</f>
        <v>0</v>
      </c>
      <c r="AK324" s="34">
        <f>IF(G324="","",IF(SUMIFS(Timesheets!$U$5:$U$804,Timesheets!$G$5:$G$804,A324)&gt;0,SUMIFS(Timesheets!$U$5:$U$804,Timesheets!$G$5:$G$804,A324),IF(Z324="","",Z324)))</f>
        <v>0</v>
      </c>
      <c r="AL324" s="34">
        <f>IF(OR(AK324="",AD324=""),"",AK324-AD324)</f>
        <v>0</v>
      </c>
      <c r="AM324" s="31">
        <f>IF(A324="","",COUNTIFS('Job Tasks'!$B$5:$B$904,A324))</f>
        <v>0</v>
      </c>
      <c r="AN324" s="31">
        <f>IF(A324="","",COUNTIFS('Job Tasks'!$B$5:$B$904,A324,'Job Tasks'!$H$5:$H$904,"Done"))</f>
        <v>0</v>
      </c>
      <c r="AO324" s="38">
        <f>IF(OR(A324="",AM324=0),"",AN324/AM324)</f>
        <v>0</v>
      </c>
      <c r="AP324" s="43">
        <f>IF(A324="","",IFERROR(INDEX('Invoice Lines'!$B$5:$B$804,MATCH(A324,'Invoice Lines'!$C$5:$C$804,0)),""))</f>
        <v>0</v>
      </c>
      <c r="AQ324" s="18">
        <f>IF(OR(G324="",B324="",X324&lt;&gt;"Yes"),"",IF(IFERROR(INDEX(FreqDays,MATCH(O324,FreqNames,0)),0)=0,"",B324+IFERROR(INDEX(FreqDays,MATCH(O324,FreqNames,0)),0)))</f>
        <v>0</v>
      </c>
      <c r="AR324" s="39">
        <f>IF(G324="","",IF(R324="","Unassigned",IF(COUNTIFS($R$5:$R$604,R324,$B$5:$B$604,B324,$F$5:$F$604,F324)&gt;1,"Clash",IF(SUMIFS($AF$5:$AF$604,$R$5:$R$604,R324,$B$5:$B$604,B324)&gt;ProductiveHours,"Long day","OK"))))</f>
        <v>0</v>
      </c>
      <c r="AS324" s="18">
        <f>IF(OR(G324="",B324=""),"",IF(AND(B324&gt;=TodayDate,P324&lt;&gt;"Cancelled"),B324,""))</f>
        <v>0</v>
      </c>
      <c r="AT324" s="31">
        <f>IF(AS324="","",COUNTIFS($AS$5:$AS$604,"&lt;"&amp;AS324)+COUNTIFS($AS$5:AS324,AS324))</f>
        <v>0</v>
      </c>
      <c r="AU324" s="18">
        <f>IF(OR(G324="",B324="",R324&lt;&gt;""),"",IF(AND(B324&gt;=TodayDate,P324&lt;&gt;"Cancelled"),B324,""))</f>
        <v>0</v>
      </c>
      <c r="AV324" s="31">
        <f>IF(AU324="","",COUNTIFS($AU$5:$AU$604,"&lt;"&amp;AU324)+COUNTIFS($AU$5:AU324,AU324))</f>
        <v>0</v>
      </c>
      <c r="AW324" s="31">
        <f>IF(OR(G324="",B324=""),"",B324-TodayDate)</f>
        <v>0</v>
      </c>
      <c r="AX324" s="39">
        <f>IF(G324="","",IF(P324="Cancelled","Cancelled",IF(P324="No access","Action - no access, rebook",IF(AND(B324&lt;&gt;"",AW324&lt;0,OR(P324="Booked",P324="Confirmed",P324="In progress")),"Late - mark it completed",IF(AND(P324="Completed",AP324=""),"Action - not invoiced yet",IF(AND(AW324&gt;=0,AW324&lt;=ReminderDays,Y324&lt;&gt;"Yes"),"Confirm - visit coming up",IF(R324="","Assign - no cleaner booked",IF(AND(P324="Completed",AO324&lt;&gt;"",AO324&lt;1),"Check - checklist unfinished","OK"))))))))</f>
        <v>0</v>
      </c>
    </row>
    <row r="325" spans="1:50">
      <c r="A325" s="43">
        <f>IF(G325="","",JobPrefix&amp;TEXT(ROW()-4,"0000"))</f>
        <v>0</v>
      </c>
      <c r="C325" s="23">
        <f>IF(B325="","",TEXT(B325,"ddd"))</f>
        <v>0</v>
      </c>
      <c r="D325" s="31">
        <f>IF(B325="","",WEEKNUM(B325,IF(WeekStart="Sunday",1,2)))</f>
        <v>0</v>
      </c>
      <c r="E325" s="23">
        <f>IF(B325="","",TEXT(B325,"yyyy-mm"))</f>
        <v>0</v>
      </c>
      <c r="H325" s="23">
        <f>IF(G325="","",IFERROR(INDEX(Clients!$B$5:$B$204,MATCH(G325,Clients!$A$5:$A$204,0)),"Not found"))</f>
        <v>0</v>
      </c>
      <c r="I325" s="23">
        <f>IF(G325="","",IFERROR(INDEX(Clients!$C$5:$C$204,MATCH(G325,Clients!$A$5:$A$204,0)),""))</f>
        <v>0</v>
      </c>
      <c r="K325" s="23">
        <f>IF(J325="","",IFERROR(INDEX(Properties!$B$5:$B$254,MATCH(J325,Properties!$A$5:$A$254,0)),""))</f>
        <v>0</v>
      </c>
      <c r="L325" s="23">
        <f>IF(J325="","",IFERROR(INDEX(Properties!$F$5:$F$254,MATCH(J325,Properties!$A$5:$A$254,0)),""))</f>
        <v>0</v>
      </c>
      <c r="AD325" s="34">
        <f>IF(G325="","",IF(U325&lt;&gt;"",U325,IF(AND(IFERROR(INDEX(Services!$D$5:$D$64,MATCH(M325,Services!$B$5:$B$64,0)),"")="Per hour",IFERROR(INDEX(Properties!$X$5:$X$254,MATCH(J325,Properties!$A$5:$A$254,0)),0)&gt;0),IFERROR(INDEX(Properties!$X$5:$X$254,MATCH(J325,Properties!$A$5:$A$254,0)),0),IF(IFERROR(INDEX(Services!$G$5:$G$64,MATCH(M325,Services!$B$5:$B$64,0)),0)&gt;0,IFERROR(INDEX(Services!$G$5:$G$64,MATCH(M325,Services!$B$5:$B$64,0)),0),IFERROR(INDEX(Properties!$X$5:$X$254,MATCH(J325,Properties!$A$5:$A$254,0)),0)))))</f>
        <v>0</v>
      </c>
      <c r="AE325" s="31">
        <f>IF(G325="","",IF(T325="",CleanersPerJob,MAX(1,T325)))</f>
        <v>0</v>
      </c>
      <c r="AF325" s="34">
        <f>IF(G325="","",ROUND(AD325/AE325,2))</f>
        <v>0</v>
      </c>
      <c r="AG325" s="53">
        <f>IF(OR(G325="",F325="",AF325=""),"",F325+AF325/24)</f>
        <v>0</v>
      </c>
      <c r="AH325" s="21">
        <f>IF(G325="","",IF(IFERROR(INDEX(Clients!$O$5:$O$204,MATCH(G325,Clients!$A$5:$A$204,0)),0)&gt;0,IFERROR(INDEX(Clients!$O$5:$O$204,MATCH(G325,Clients!$A$5:$A$204,0)),0),HourlyRate))</f>
        <v>0</v>
      </c>
      <c r="AI325" s="21">
        <f>IF(G325="","",IF(AND(M325&lt;&gt;"",IFERROR(INDEX(Services!$P$5:$P$64,MATCH(M325,Services!$B$5:$B$64,0)),0)&gt;0,IFERROR(INDEX(Services!$D$5:$D$64,MATCH(M325,Services!$B$5:$B$64,0)),"")&lt;&gt;"Per hour"),IFERROR(INDEX(Services!$P$5:$P$64,MATCH(M325,Services!$B$5:$B$64,0)),0),AD325*AH325))</f>
        <v>0</v>
      </c>
      <c r="AJ325" s="21">
        <f>IF(G325="","",IF(V325&lt;&gt;"",V325,IF(P325="Cancelled",0,MAX(MinimumCharge,ROUND(AI325*IFERROR(INDEX(FreqFactors,MATCH(O325,FreqNames,0)),1),2)))))</f>
        <v>0</v>
      </c>
      <c r="AK325" s="34">
        <f>IF(G325="","",IF(SUMIFS(Timesheets!$U$5:$U$804,Timesheets!$G$5:$G$804,A325)&gt;0,SUMIFS(Timesheets!$U$5:$U$804,Timesheets!$G$5:$G$804,A325),IF(Z325="","",Z325)))</f>
        <v>0</v>
      </c>
      <c r="AL325" s="34">
        <f>IF(OR(AK325="",AD325=""),"",AK325-AD325)</f>
        <v>0</v>
      </c>
      <c r="AM325" s="31">
        <f>IF(A325="","",COUNTIFS('Job Tasks'!$B$5:$B$904,A325))</f>
        <v>0</v>
      </c>
      <c r="AN325" s="31">
        <f>IF(A325="","",COUNTIFS('Job Tasks'!$B$5:$B$904,A325,'Job Tasks'!$H$5:$H$904,"Done"))</f>
        <v>0</v>
      </c>
      <c r="AO325" s="38">
        <f>IF(OR(A325="",AM325=0),"",AN325/AM325)</f>
        <v>0</v>
      </c>
      <c r="AP325" s="43">
        <f>IF(A325="","",IFERROR(INDEX('Invoice Lines'!$B$5:$B$804,MATCH(A325,'Invoice Lines'!$C$5:$C$804,0)),""))</f>
        <v>0</v>
      </c>
      <c r="AQ325" s="18">
        <f>IF(OR(G325="",B325="",X325&lt;&gt;"Yes"),"",IF(IFERROR(INDEX(FreqDays,MATCH(O325,FreqNames,0)),0)=0,"",B325+IFERROR(INDEX(FreqDays,MATCH(O325,FreqNames,0)),0)))</f>
        <v>0</v>
      </c>
      <c r="AR325" s="39">
        <f>IF(G325="","",IF(R325="","Unassigned",IF(COUNTIFS($R$5:$R$604,R325,$B$5:$B$604,B325,$F$5:$F$604,F325)&gt;1,"Clash",IF(SUMIFS($AF$5:$AF$604,$R$5:$R$604,R325,$B$5:$B$604,B325)&gt;ProductiveHours,"Long day","OK"))))</f>
        <v>0</v>
      </c>
      <c r="AS325" s="18">
        <f>IF(OR(G325="",B325=""),"",IF(AND(B325&gt;=TodayDate,P325&lt;&gt;"Cancelled"),B325,""))</f>
        <v>0</v>
      </c>
      <c r="AT325" s="31">
        <f>IF(AS325="","",COUNTIFS($AS$5:$AS$604,"&lt;"&amp;AS325)+COUNTIFS($AS$5:AS325,AS325))</f>
        <v>0</v>
      </c>
      <c r="AU325" s="18">
        <f>IF(OR(G325="",B325="",R325&lt;&gt;""),"",IF(AND(B325&gt;=TodayDate,P325&lt;&gt;"Cancelled"),B325,""))</f>
        <v>0</v>
      </c>
      <c r="AV325" s="31">
        <f>IF(AU325="","",COUNTIFS($AU$5:$AU$604,"&lt;"&amp;AU325)+COUNTIFS($AU$5:AU325,AU325))</f>
        <v>0</v>
      </c>
      <c r="AW325" s="31">
        <f>IF(OR(G325="",B325=""),"",B325-TodayDate)</f>
        <v>0</v>
      </c>
      <c r="AX325" s="39">
        <f>IF(G325="","",IF(P325="Cancelled","Cancelled",IF(P325="No access","Action - no access, rebook",IF(AND(B325&lt;&gt;"",AW325&lt;0,OR(P325="Booked",P325="Confirmed",P325="In progress")),"Late - mark it completed",IF(AND(P325="Completed",AP325=""),"Action - not invoiced yet",IF(AND(AW325&gt;=0,AW325&lt;=ReminderDays,Y325&lt;&gt;"Yes"),"Confirm - visit coming up",IF(R325="","Assign - no cleaner booked",IF(AND(P325="Completed",AO325&lt;&gt;"",AO325&lt;1),"Check - checklist unfinished","OK"))))))))</f>
        <v>0</v>
      </c>
    </row>
    <row r="326" spans="1:50">
      <c r="A326" s="43">
        <f>IF(G326="","",JobPrefix&amp;TEXT(ROW()-4,"0000"))</f>
        <v>0</v>
      </c>
      <c r="C326" s="23">
        <f>IF(B326="","",TEXT(B326,"ddd"))</f>
        <v>0</v>
      </c>
      <c r="D326" s="31">
        <f>IF(B326="","",WEEKNUM(B326,IF(WeekStart="Sunday",1,2)))</f>
        <v>0</v>
      </c>
      <c r="E326" s="23">
        <f>IF(B326="","",TEXT(B326,"yyyy-mm"))</f>
        <v>0</v>
      </c>
      <c r="H326" s="23">
        <f>IF(G326="","",IFERROR(INDEX(Clients!$B$5:$B$204,MATCH(G326,Clients!$A$5:$A$204,0)),"Not found"))</f>
        <v>0</v>
      </c>
      <c r="I326" s="23">
        <f>IF(G326="","",IFERROR(INDEX(Clients!$C$5:$C$204,MATCH(G326,Clients!$A$5:$A$204,0)),""))</f>
        <v>0</v>
      </c>
      <c r="K326" s="23">
        <f>IF(J326="","",IFERROR(INDEX(Properties!$B$5:$B$254,MATCH(J326,Properties!$A$5:$A$254,0)),""))</f>
        <v>0</v>
      </c>
      <c r="L326" s="23">
        <f>IF(J326="","",IFERROR(INDEX(Properties!$F$5:$F$254,MATCH(J326,Properties!$A$5:$A$254,0)),""))</f>
        <v>0</v>
      </c>
      <c r="AD326" s="34">
        <f>IF(G326="","",IF(U326&lt;&gt;"",U326,IF(AND(IFERROR(INDEX(Services!$D$5:$D$64,MATCH(M326,Services!$B$5:$B$64,0)),"")="Per hour",IFERROR(INDEX(Properties!$X$5:$X$254,MATCH(J326,Properties!$A$5:$A$254,0)),0)&gt;0),IFERROR(INDEX(Properties!$X$5:$X$254,MATCH(J326,Properties!$A$5:$A$254,0)),0),IF(IFERROR(INDEX(Services!$G$5:$G$64,MATCH(M326,Services!$B$5:$B$64,0)),0)&gt;0,IFERROR(INDEX(Services!$G$5:$G$64,MATCH(M326,Services!$B$5:$B$64,0)),0),IFERROR(INDEX(Properties!$X$5:$X$254,MATCH(J326,Properties!$A$5:$A$254,0)),0)))))</f>
        <v>0</v>
      </c>
      <c r="AE326" s="31">
        <f>IF(G326="","",IF(T326="",CleanersPerJob,MAX(1,T326)))</f>
        <v>0</v>
      </c>
      <c r="AF326" s="34">
        <f>IF(G326="","",ROUND(AD326/AE326,2))</f>
        <v>0</v>
      </c>
      <c r="AG326" s="53">
        <f>IF(OR(G326="",F326="",AF326=""),"",F326+AF326/24)</f>
        <v>0</v>
      </c>
      <c r="AH326" s="21">
        <f>IF(G326="","",IF(IFERROR(INDEX(Clients!$O$5:$O$204,MATCH(G326,Clients!$A$5:$A$204,0)),0)&gt;0,IFERROR(INDEX(Clients!$O$5:$O$204,MATCH(G326,Clients!$A$5:$A$204,0)),0),HourlyRate))</f>
        <v>0</v>
      </c>
      <c r="AI326" s="21">
        <f>IF(G326="","",IF(AND(M326&lt;&gt;"",IFERROR(INDEX(Services!$P$5:$P$64,MATCH(M326,Services!$B$5:$B$64,0)),0)&gt;0,IFERROR(INDEX(Services!$D$5:$D$64,MATCH(M326,Services!$B$5:$B$64,0)),"")&lt;&gt;"Per hour"),IFERROR(INDEX(Services!$P$5:$P$64,MATCH(M326,Services!$B$5:$B$64,0)),0),AD326*AH326))</f>
        <v>0</v>
      </c>
      <c r="AJ326" s="21">
        <f>IF(G326="","",IF(V326&lt;&gt;"",V326,IF(P326="Cancelled",0,MAX(MinimumCharge,ROUND(AI326*IFERROR(INDEX(FreqFactors,MATCH(O326,FreqNames,0)),1),2)))))</f>
        <v>0</v>
      </c>
      <c r="AK326" s="34">
        <f>IF(G326="","",IF(SUMIFS(Timesheets!$U$5:$U$804,Timesheets!$G$5:$G$804,A326)&gt;0,SUMIFS(Timesheets!$U$5:$U$804,Timesheets!$G$5:$G$804,A326),IF(Z326="","",Z326)))</f>
        <v>0</v>
      </c>
      <c r="AL326" s="34">
        <f>IF(OR(AK326="",AD326=""),"",AK326-AD326)</f>
        <v>0</v>
      </c>
      <c r="AM326" s="31">
        <f>IF(A326="","",COUNTIFS('Job Tasks'!$B$5:$B$904,A326))</f>
        <v>0</v>
      </c>
      <c r="AN326" s="31">
        <f>IF(A326="","",COUNTIFS('Job Tasks'!$B$5:$B$904,A326,'Job Tasks'!$H$5:$H$904,"Done"))</f>
        <v>0</v>
      </c>
      <c r="AO326" s="38">
        <f>IF(OR(A326="",AM326=0),"",AN326/AM326)</f>
        <v>0</v>
      </c>
      <c r="AP326" s="43">
        <f>IF(A326="","",IFERROR(INDEX('Invoice Lines'!$B$5:$B$804,MATCH(A326,'Invoice Lines'!$C$5:$C$804,0)),""))</f>
        <v>0</v>
      </c>
      <c r="AQ326" s="18">
        <f>IF(OR(G326="",B326="",X326&lt;&gt;"Yes"),"",IF(IFERROR(INDEX(FreqDays,MATCH(O326,FreqNames,0)),0)=0,"",B326+IFERROR(INDEX(FreqDays,MATCH(O326,FreqNames,0)),0)))</f>
        <v>0</v>
      </c>
      <c r="AR326" s="39">
        <f>IF(G326="","",IF(R326="","Unassigned",IF(COUNTIFS($R$5:$R$604,R326,$B$5:$B$604,B326,$F$5:$F$604,F326)&gt;1,"Clash",IF(SUMIFS($AF$5:$AF$604,$R$5:$R$604,R326,$B$5:$B$604,B326)&gt;ProductiveHours,"Long day","OK"))))</f>
        <v>0</v>
      </c>
      <c r="AS326" s="18">
        <f>IF(OR(G326="",B326=""),"",IF(AND(B326&gt;=TodayDate,P326&lt;&gt;"Cancelled"),B326,""))</f>
        <v>0</v>
      </c>
      <c r="AT326" s="31">
        <f>IF(AS326="","",COUNTIFS($AS$5:$AS$604,"&lt;"&amp;AS326)+COUNTIFS($AS$5:AS326,AS326))</f>
        <v>0</v>
      </c>
      <c r="AU326" s="18">
        <f>IF(OR(G326="",B326="",R326&lt;&gt;""),"",IF(AND(B326&gt;=TodayDate,P326&lt;&gt;"Cancelled"),B326,""))</f>
        <v>0</v>
      </c>
      <c r="AV326" s="31">
        <f>IF(AU326="","",COUNTIFS($AU$5:$AU$604,"&lt;"&amp;AU326)+COUNTIFS($AU$5:AU326,AU326))</f>
        <v>0</v>
      </c>
      <c r="AW326" s="31">
        <f>IF(OR(G326="",B326=""),"",B326-TodayDate)</f>
        <v>0</v>
      </c>
      <c r="AX326" s="39">
        <f>IF(G326="","",IF(P326="Cancelled","Cancelled",IF(P326="No access","Action - no access, rebook",IF(AND(B326&lt;&gt;"",AW326&lt;0,OR(P326="Booked",P326="Confirmed",P326="In progress")),"Late - mark it completed",IF(AND(P326="Completed",AP326=""),"Action - not invoiced yet",IF(AND(AW326&gt;=0,AW326&lt;=ReminderDays,Y326&lt;&gt;"Yes"),"Confirm - visit coming up",IF(R326="","Assign - no cleaner booked",IF(AND(P326="Completed",AO326&lt;&gt;"",AO326&lt;1),"Check - checklist unfinished","OK"))))))))</f>
        <v>0</v>
      </c>
    </row>
    <row r="327" spans="1:50">
      <c r="A327" s="43">
        <f>IF(G327="","",JobPrefix&amp;TEXT(ROW()-4,"0000"))</f>
        <v>0</v>
      </c>
      <c r="C327" s="23">
        <f>IF(B327="","",TEXT(B327,"ddd"))</f>
        <v>0</v>
      </c>
      <c r="D327" s="31">
        <f>IF(B327="","",WEEKNUM(B327,IF(WeekStart="Sunday",1,2)))</f>
        <v>0</v>
      </c>
      <c r="E327" s="23">
        <f>IF(B327="","",TEXT(B327,"yyyy-mm"))</f>
        <v>0</v>
      </c>
      <c r="H327" s="23">
        <f>IF(G327="","",IFERROR(INDEX(Clients!$B$5:$B$204,MATCH(G327,Clients!$A$5:$A$204,0)),"Not found"))</f>
        <v>0</v>
      </c>
      <c r="I327" s="23">
        <f>IF(G327="","",IFERROR(INDEX(Clients!$C$5:$C$204,MATCH(G327,Clients!$A$5:$A$204,0)),""))</f>
        <v>0</v>
      </c>
      <c r="K327" s="23">
        <f>IF(J327="","",IFERROR(INDEX(Properties!$B$5:$B$254,MATCH(J327,Properties!$A$5:$A$254,0)),""))</f>
        <v>0</v>
      </c>
      <c r="L327" s="23">
        <f>IF(J327="","",IFERROR(INDEX(Properties!$F$5:$F$254,MATCH(J327,Properties!$A$5:$A$254,0)),""))</f>
        <v>0</v>
      </c>
      <c r="AD327" s="34">
        <f>IF(G327="","",IF(U327&lt;&gt;"",U327,IF(AND(IFERROR(INDEX(Services!$D$5:$D$64,MATCH(M327,Services!$B$5:$B$64,0)),"")="Per hour",IFERROR(INDEX(Properties!$X$5:$X$254,MATCH(J327,Properties!$A$5:$A$254,0)),0)&gt;0),IFERROR(INDEX(Properties!$X$5:$X$254,MATCH(J327,Properties!$A$5:$A$254,0)),0),IF(IFERROR(INDEX(Services!$G$5:$G$64,MATCH(M327,Services!$B$5:$B$64,0)),0)&gt;0,IFERROR(INDEX(Services!$G$5:$G$64,MATCH(M327,Services!$B$5:$B$64,0)),0),IFERROR(INDEX(Properties!$X$5:$X$254,MATCH(J327,Properties!$A$5:$A$254,0)),0)))))</f>
        <v>0</v>
      </c>
      <c r="AE327" s="31">
        <f>IF(G327="","",IF(T327="",CleanersPerJob,MAX(1,T327)))</f>
        <v>0</v>
      </c>
      <c r="AF327" s="34">
        <f>IF(G327="","",ROUND(AD327/AE327,2))</f>
        <v>0</v>
      </c>
      <c r="AG327" s="53">
        <f>IF(OR(G327="",F327="",AF327=""),"",F327+AF327/24)</f>
        <v>0</v>
      </c>
      <c r="AH327" s="21">
        <f>IF(G327="","",IF(IFERROR(INDEX(Clients!$O$5:$O$204,MATCH(G327,Clients!$A$5:$A$204,0)),0)&gt;0,IFERROR(INDEX(Clients!$O$5:$O$204,MATCH(G327,Clients!$A$5:$A$204,0)),0),HourlyRate))</f>
        <v>0</v>
      </c>
      <c r="AI327" s="21">
        <f>IF(G327="","",IF(AND(M327&lt;&gt;"",IFERROR(INDEX(Services!$P$5:$P$64,MATCH(M327,Services!$B$5:$B$64,0)),0)&gt;0,IFERROR(INDEX(Services!$D$5:$D$64,MATCH(M327,Services!$B$5:$B$64,0)),"")&lt;&gt;"Per hour"),IFERROR(INDEX(Services!$P$5:$P$64,MATCH(M327,Services!$B$5:$B$64,0)),0),AD327*AH327))</f>
        <v>0</v>
      </c>
      <c r="AJ327" s="21">
        <f>IF(G327="","",IF(V327&lt;&gt;"",V327,IF(P327="Cancelled",0,MAX(MinimumCharge,ROUND(AI327*IFERROR(INDEX(FreqFactors,MATCH(O327,FreqNames,0)),1),2)))))</f>
        <v>0</v>
      </c>
      <c r="AK327" s="34">
        <f>IF(G327="","",IF(SUMIFS(Timesheets!$U$5:$U$804,Timesheets!$G$5:$G$804,A327)&gt;0,SUMIFS(Timesheets!$U$5:$U$804,Timesheets!$G$5:$G$804,A327),IF(Z327="","",Z327)))</f>
        <v>0</v>
      </c>
      <c r="AL327" s="34">
        <f>IF(OR(AK327="",AD327=""),"",AK327-AD327)</f>
        <v>0</v>
      </c>
      <c r="AM327" s="31">
        <f>IF(A327="","",COUNTIFS('Job Tasks'!$B$5:$B$904,A327))</f>
        <v>0</v>
      </c>
      <c r="AN327" s="31">
        <f>IF(A327="","",COUNTIFS('Job Tasks'!$B$5:$B$904,A327,'Job Tasks'!$H$5:$H$904,"Done"))</f>
        <v>0</v>
      </c>
      <c r="AO327" s="38">
        <f>IF(OR(A327="",AM327=0),"",AN327/AM327)</f>
        <v>0</v>
      </c>
      <c r="AP327" s="43">
        <f>IF(A327="","",IFERROR(INDEX('Invoice Lines'!$B$5:$B$804,MATCH(A327,'Invoice Lines'!$C$5:$C$804,0)),""))</f>
        <v>0</v>
      </c>
      <c r="AQ327" s="18">
        <f>IF(OR(G327="",B327="",X327&lt;&gt;"Yes"),"",IF(IFERROR(INDEX(FreqDays,MATCH(O327,FreqNames,0)),0)=0,"",B327+IFERROR(INDEX(FreqDays,MATCH(O327,FreqNames,0)),0)))</f>
        <v>0</v>
      </c>
      <c r="AR327" s="39">
        <f>IF(G327="","",IF(R327="","Unassigned",IF(COUNTIFS($R$5:$R$604,R327,$B$5:$B$604,B327,$F$5:$F$604,F327)&gt;1,"Clash",IF(SUMIFS($AF$5:$AF$604,$R$5:$R$604,R327,$B$5:$B$604,B327)&gt;ProductiveHours,"Long day","OK"))))</f>
        <v>0</v>
      </c>
      <c r="AS327" s="18">
        <f>IF(OR(G327="",B327=""),"",IF(AND(B327&gt;=TodayDate,P327&lt;&gt;"Cancelled"),B327,""))</f>
        <v>0</v>
      </c>
      <c r="AT327" s="31">
        <f>IF(AS327="","",COUNTIFS($AS$5:$AS$604,"&lt;"&amp;AS327)+COUNTIFS($AS$5:AS327,AS327))</f>
        <v>0</v>
      </c>
      <c r="AU327" s="18">
        <f>IF(OR(G327="",B327="",R327&lt;&gt;""),"",IF(AND(B327&gt;=TodayDate,P327&lt;&gt;"Cancelled"),B327,""))</f>
        <v>0</v>
      </c>
      <c r="AV327" s="31">
        <f>IF(AU327="","",COUNTIFS($AU$5:$AU$604,"&lt;"&amp;AU327)+COUNTIFS($AU$5:AU327,AU327))</f>
        <v>0</v>
      </c>
      <c r="AW327" s="31">
        <f>IF(OR(G327="",B327=""),"",B327-TodayDate)</f>
        <v>0</v>
      </c>
      <c r="AX327" s="39">
        <f>IF(G327="","",IF(P327="Cancelled","Cancelled",IF(P327="No access","Action - no access, rebook",IF(AND(B327&lt;&gt;"",AW327&lt;0,OR(P327="Booked",P327="Confirmed",P327="In progress")),"Late - mark it completed",IF(AND(P327="Completed",AP327=""),"Action - not invoiced yet",IF(AND(AW327&gt;=0,AW327&lt;=ReminderDays,Y327&lt;&gt;"Yes"),"Confirm - visit coming up",IF(R327="","Assign - no cleaner booked",IF(AND(P327="Completed",AO327&lt;&gt;"",AO327&lt;1),"Check - checklist unfinished","OK"))))))))</f>
        <v>0</v>
      </c>
    </row>
    <row r="328" spans="1:50">
      <c r="A328" s="43">
        <f>IF(G328="","",JobPrefix&amp;TEXT(ROW()-4,"0000"))</f>
        <v>0</v>
      </c>
      <c r="C328" s="23">
        <f>IF(B328="","",TEXT(B328,"ddd"))</f>
        <v>0</v>
      </c>
      <c r="D328" s="31">
        <f>IF(B328="","",WEEKNUM(B328,IF(WeekStart="Sunday",1,2)))</f>
        <v>0</v>
      </c>
      <c r="E328" s="23">
        <f>IF(B328="","",TEXT(B328,"yyyy-mm"))</f>
        <v>0</v>
      </c>
      <c r="H328" s="23">
        <f>IF(G328="","",IFERROR(INDEX(Clients!$B$5:$B$204,MATCH(G328,Clients!$A$5:$A$204,0)),"Not found"))</f>
        <v>0</v>
      </c>
      <c r="I328" s="23">
        <f>IF(G328="","",IFERROR(INDEX(Clients!$C$5:$C$204,MATCH(G328,Clients!$A$5:$A$204,0)),""))</f>
        <v>0</v>
      </c>
      <c r="K328" s="23">
        <f>IF(J328="","",IFERROR(INDEX(Properties!$B$5:$B$254,MATCH(J328,Properties!$A$5:$A$254,0)),""))</f>
        <v>0</v>
      </c>
      <c r="L328" s="23">
        <f>IF(J328="","",IFERROR(INDEX(Properties!$F$5:$F$254,MATCH(J328,Properties!$A$5:$A$254,0)),""))</f>
        <v>0</v>
      </c>
      <c r="AD328" s="34">
        <f>IF(G328="","",IF(U328&lt;&gt;"",U328,IF(AND(IFERROR(INDEX(Services!$D$5:$D$64,MATCH(M328,Services!$B$5:$B$64,0)),"")="Per hour",IFERROR(INDEX(Properties!$X$5:$X$254,MATCH(J328,Properties!$A$5:$A$254,0)),0)&gt;0),IFERROR(INDEX(Properties!$X$5:$X$254,MATCH(J328,Properties!$A$5:$A$254,0)),0),IF(IFERROR(INDEX(Services!$G$5:$G$64,MATCH(M328,Services!$B$5:$B$64,0)),0)&gt;0,IFERROR(INDEX(Services!$G$5:$G$64,MATCH(M328,Services!$B$5:$B$64,0)),0),IFERROR(INDEX(Properties!$X$5:$X$254,MATCH(J328,Properties!$A$5:$A$254,0)),0)))))</f>
        <v>0</v>
      </c>
      <c r="AE328" s="31">
        <f>IF(G328="","",IF(T328="",CleanersPerJob,MAX(1,T328)))</f>
        <v>0</v>
      </c>
      <c r="AF328" s="34">
        <f>IF(G328="","",ROUND(AD328/AE328,2))</f>
        <v>0</v>
      </c>
      <c r="AG328" s="53">
        <f>IF(OR(G328="",F328="",AF328=""),"",F328+AF328/24)</f>
        <v>0</v>
      </c>
      <c r="AH328" s="21">
        <f>IF(G328="","",IF(IFERROR(INDEX(Clients!$O$5:$O$204,MATCH(G328,Clients!$A$5:$A$204,0)),0)&gt;0,IFERROR(INDEX(Clients!$O$5:$O$204,MATCH(G328,Clients!$A$5:$A$204,0)),0),HourlyRate))</f>
        <v>0</v>
      </c>
      <c r="AI328" s="21">
        <f>IF(G328="","",IF(AND(M328&lt;&gt;"",IFERROR(INDEX(Services!$P$5:$P$64,MATCH(M328,Services!$B$5:$B$64,0)),0)&gt;0,IFERROR(INDEX(Services!$D$5:$D$64,MATCH(M328,Services!$B$5:$B$64,0)),"")&lt;&gt;"Per hour"),IFERROR(INDEX(Services!$P$5:$P$64,MATCH(M328,Services!$B$5:$B$64,0)),0),AD328*AH328))</f>
        <v>0</v>
      </c>
      <c r="AJ328" s="21">
        <f>IF(G328="","",IF(V328&lt;&gt;"",V328,IF(P328="Cancelled",0,MAX(MinimumCharge,ROUND(AI328*IFERROR(INDEX(FreqFactors,MATCH(O328,FreqNames,0)),1),2)))))</f>
        <v>0</v>
      </c>
      <c r="AK328" s="34">
        <f>IF(G328="","",IF(SUMIFS(Timesheets!$U$5:$U$804,Timesheets!$G$5:$G$804,A328)&gt;0,SUMIFS(Timesheets!$U$5:$U$804,Timesheets!$G$5:$G$804,A328),IF(Z328="","",Z328)))</f>
        <v>0</v>
      </c>
      <c r="AL328" s="34">
        <f>IF(OR(AK328="",AD328=""),"",AK328-AD328)</f>
        <v>0</v>
      </c>
      <c r="AM328" s="31">
        <f>IF(A328="","",COUNTIFS('Job Tasks'!$B$5:$B$904,A328))</f>
        <v>0</v>
      </c>
      <c r="AN328" s="31">
        <f>IF(A328="","",COUNTIFS('Job Tasks'!$B$5:$B$904,A328,'Job Tasks'!$H$5:$H$904,"Done"))</f>
        <v>0</v>
      </c>
      <c r="AO328" s="38">
        <f>IF(OR(A328="",AM328=0),"",AN328/AM328)</f>
        <v>0</v>
      </c>
      <c r="AP328" s="43">
        <f>IF(A328="","",IFERROR(INDEX('Invoice Lines'!$B$5:$B$804,MATCH(A328,'Invoice Lines'!$C$5:$C$804,0)),""))</f>
        <v>0</v>
      </c>
      <c r="AQ328" s="18">
        <f>IF(OR(G328="",B328="",X328&lt;&gt;"Yes"),"",IF(IFERROR(INDEX(FreqDays,MATCH(O328,FreqNames,0)),0)=0,"",B328+IFERROR(INDEX(FreqDays,MATCH(O328,FreqNames,0)),0)))</f>
        <v>0</v>
      </c>
      <c r="AR328" s="39">
        <f>IF(G328="","",IF(R328="","Unassigned",IF(COUNTIFS($R$5:$R$604,R328,$B$5:$B$604,B328,$F$5:$F$604,F328)&gt;1,"Clash",IF(SUMIFS($AF$5:$AF$604,$R$5:$R$604,R328,$B$5:$B$604,B328)&gt;ProductiveHours,"Long day","OK"))))</f>
        <v>0</v>
      </c>
      <c r="AS328" s="18">
        <f>IF(OR(G328="",B328=""),"",IF(AND(B328&gt;=TodayDate,P328&lt;&gt;"Cancelled"),B328,""))</f>
        <v>0</v>
      </c>
      <c r="AT328" s="31">
        <f>IF(AS328="","",COUNTIFS($AS$5:$AS$604,"&lt;"&amp;AS328)+COUNTIFS($AS$5:AS328,AS328))</f>
        <v>0</v>
      </c>
      <c r="AU328" s="18">
        <f>IF(OR(G328="",B328="",R328&lt;&gt;""),"",IF(AND(B328&gt;=TodayDate,P328&lt;&gt;"Cancelled"),B328,""))</f>
        <v>0</v>
      </c>
      <c r="AV328" s="31">
        <f>IF(AU328="","",COUNTIFS($AU$5:$AU$604,"&lt;"&amp;AU328)+COUNTIFS($AU$5:AU328,AU328))</f>
        <v>0</v>
      </c>
      <c r="AW328" s="31">
        <f>IF(OR(G328="",B328=""),"",B328-TodayDate)</f>
        <v>0</v>
      </c>
      <c r="AX328" s="39">
        <f>IF(G328="","",IF(P328="Cancelled","Cancelled",IF(P328="No access","Action - no access, rebook",IF(AND(B328&lt;&gt;"",AW328&lt;0,OR(P328="Booked",P328="Confirmed",P328="In progress")),"Late - mark it completed",IF(AND(P328="Completed",AP328=""),"Action - not invoiced yet",IF(AND(AW328&gt;=0,AW328&lt;=ReminderDays,Y328&lt;&gt;"Yes"),"Confirm - visit coming up",IF(R328="","Assign - no cleaner booked",IF(AND(P328="Completed",AO328&lt;&gt;"",AO328&lt;1),"Check - checklist unfinished","OK"))))))))</f>
        <v>0</v>
      </c>
    </row>
    <row r="329" spans="1:50">
      <c r="A329" s="43">
        <f>IF(G329="","",JobPrefix&amp;TEXT(ROW()-4,"0000"))</f>
        <v>0</v>
      </c>
      <c r="C329" s="23">
        <f>IF(B329="","",TEXT(B329,"ddd"))</f>
        <v>0</v>
      </c>
      <c r="D329" s="31">
        <f>IF(B329="","",WEEKNUM(B329,IF(WeekStart="Sunday",1,2)))</f>
        <v>0</v>
      </c>
      <c r="E329" s="23">
        <f>IF(B329="","",TEXT(B329,"yyyy-mm"))</f>
        <v>0</v>
      </c>
      <c r="H329" s="23">
        <f>IF(G329="","",IFERROR(INDEX(Clients!$B$5:$B$204,MATCH(G329,Clients!$A$5:$A$204,0)),"Not found"))</f>
        <v>0</v>
      </c>
      <c r="I329" s="23">
        <f>IF(G329="","",IFERROR(INDEX(Clients!$C$5:$C$204,MATCH(G329,Clients!$A$5:$A$204,0)),""))</f>
        <v>0</v>
      </c>
      <c r="K329" s="23">
        <f>IF(J329="","",IFERROR(INDEX(Properties!$B$5:$B$254,MATCH(J329,Properties!$A$5:$A$254,0)),""))</f>
        <v>0</v>
      </c>
      <c r="L329" s="23">
        <f>IF(J329="","",IFERROR(INDEX(Properties!$F$5:$F$254,MATCH(J329,Properties!$A$5:$A$254,0)),""))</f>
        <v>0</v>
      </c>
      <c r="AD329" s="34">
        <f>IF(G329="","",IF(U329&lt;&gt;"",U329,IF(AND(IFERROR(INDEX(Services!$D$5:$D$64,MATCH(M329,Services!$B$5:$B$64,0)),"")="Per hour",IFERROR(INDEX(Properties!$X$5:$X$254,MATCH(J329,Properties!$A$5:$A$254,0)),0)&gt;0),IFERROR(INDEX(Properties!$X$5:$X$254,MATCH(J329,Properties!$A$5:$A$254,0)),0),IF(IFERROR(INDEX(Services!$G$5:$G$64,MATCH(M329,Services!$B$5:$B$64,0)),0)&gt;0,IFERROR(INDEX(Services!$G$5:$G$64,MATCH(M329,Services!$B$5:$B$64,0)),0),IFERROR(INDEX(Properties!$X$5:$X$254,MATCH(J329,Properties!$A$5:$A$254,0)),0)))))</f>
        <v>0</v>
      </c>
      <c r="AE329" s="31">
        <f>IF(G329="","",IF(T329="",CleanersPerJob,MAX(1,T329)))</f>
        <v>0</v>
      </c>
      <c r="AF329" s="34">
        <f>IF(G329="","",ROUND(AD329/AE329,2))</f>
        <v>0</v>
      </c>
      <c r="AG329" s="53">
        <f>IF(OR(G329="",F329="",AF329=""),"",F329+AF329/24)</f>
        <v>0</v>
      </c>
      <c r="AH329" s="21">
        <f>IF(G329="","",IF(IFERROR(INDEX(Clients!$O$5:$O$204,MATCH(G329,Clients!$A$5:$A$204,0)),0)&gt;0,IFERROR(INDEX(Clients!$O$5:$O$204,MATCH(G329,Clients!$A$5:$A$204,0)),0),HourlyRate))</f>
        <v>0</v>
      </c>
      <c r="AI329" s="21">
        <f>IF(G329="","",IF(AND(M329&lt;&gt;"",IFERROR(INDEX(Services!$P$5:$P$64,MATCH(M329,Services!$B$5:$B$64,0)),0)&gt;0,IFERROR(INDEX(Services!$D$5:$D$64,MATCH(M329,Services!$B$5:$B$64,0)),"")&lt;&gt;"Per hour"),IFERROR(INDEX(Services!$P$5:$P$64,MATCH(M329,Services!$B$5:$B$64,0)),0),AD329*AH329))</f>
        <v>0</v>
      </c>
      <c r="AJ329" s="21">
        <f>IF(G329="","",IF(V329&lt;&gt;"",V329,IF(P329="Cancelled",0,MAX(MinimumCharge,ROUND(AI329*IFERROR(INDEX(FreqFactors,MATCH(O329,FreqNames,0)),1),2)))))</f>
        <v>0</v>
      </c>
      <c r="AK329" s="34">
        <f>IF(G329="","",IF(SUMIFS(Timesheets!$U$5:$U$804,Timesheets!$G$5:$G$804,A329)&gt;0,SUMIFS(Timesheets!$U$5:$U$804,Timesheets!$G$5:$G$804,A329),IF(Z329="","",Z329)))</f>
        <v>0</v>
      </c>
      <c r="AL329" s="34">
        <f>IF(OR(AK329="",AD329=""),"",AK329-AD329)</f>
        <v>0</v>
      </c>
      <c r="AM329" s="31">
        <f>IF(A329="","",COUNTIFS('Job Tasks'!$B$5:$B$904,A329))</f>
        <v>0</v>
      </c>
      <c r="AN329" s="31">
        <f>IF(A329="","",COUNTIFS('Job Tasks'!$B$5:$B$904,A329,'Job Tasks'!$H$5:$H$904,"Done"))</f>
        <v>0</v>
      </c>
      <c r="AO329" s="38">
        <f>IF(OR(A329="",AM329=0),"",AN329/AM329)</f>
        <v>0</v>
      </c>
      <c r="AP329" s="43">
        <f>IF(A329="","",IFERROR(INDEX('Invoice Lines'!$B$5:$B$804,MATCH(A329,'Invoice Lines'!$C$5:$C$804,0)),""))</f>
        <v>0</v>
      </c>
      <c r="AQ329" s="18">
        <f>IF(OR(G329="",B329="",X329&lt;&gt;"Yes"),"",IF(IFERROR(INDEX(FreqDays,MATCH(O329,FreqNames,0)),0)=0,"",B329+IFERROR(INDEX(FreqDays,MATCH(O329,FreqNames,0)),0)))</f>
        <v>0</v>
      </c>
      <c r="AR329" s="39">
        <f>IF(G329="","",IF(R329="","Unassigned",IF(COUNTIFS($R$5:$R$604,R329,$B$5:$B$604,B329,$F$5:$F$604,F329)&gt;1,"Clash",IF(SUMIFS($AF$5:$AF$604,$R$5:$R$604,R329,$B$5:$B$604,B329)&gt;ProductiveHours,"Long day","OK"))))</f>
        <v>0</v>
      </c>
      <c r="AS329" s="18">
        <f>IF(OR(G329="",B329=""),"",IF(AND(B329&gt;=TodayDate,P329&lt;&gt;"Cancelled"),B329,""))</f>
        <v>0</v>
      </c>
      <c r="AT329" s="31">
        <f>IF(AS329="","",COUNTIFS($AS$5:$AS$604,"&lt;"&amp;AS329)+COUNTIFS($AS$5:AS329,AS329))</f>
        <v>0</v>
      </c>
      <c r="AU329" s="18">
        <f>IF(OR(G329="",B329="",R329&lt;&gt;""),"",IF(AND(B329&gt;=TodayDate,P329&lt;&gt;"Cancelled"),B329,""))</f>
        <v>0</v>
      </c>
      <c r="AV329" s="31">
        <f>IF(AU329="","",COUNTIFS($AU$5:$AU$604,"&lt;"&amp;AU329)+COUNTIFS($AU$5:AU329,AU329))</f>
        <v>0</v>
      </c>
      <c r="AW329" s="31">
        <f>IF(OR(G329="",B329=""),"",B329-TodayDate)</f>
        <v>0</v>
      </c>
      <c r="AX329" s="39">
        <f>IF(G329="","",IF(P329="Cancelled","Cancelled",IF(P329="No access","Action - no access, rebook",IF(AND(B329&lt;&gt;"",AW329&lt;0,OR(P329="Booked",P329="Confirmed",P329="In progress")),"Late - mark it completed",IF(AND(P329="Completed",AP329=""),"Action - not invoiced yet",IF(AND(AW329&gt;=0,AW329&lt;=ReminderDays,Y329&lt;&gt;"Yes"),"Confirm - visit coming up",IF(R329="","Assign - no cleaner booked",IF(AND(P329="Completed",AO329&lt;&gt;"",AO329&lt;1),"Check - checklist unfinished","OK"))))))))</f>
        <v>0</v>
      </c>
    </row>
    <row r="330" spans="1:50">
      <c r="A330" s="43">
        <f>IF(G330="","",JobPrefix&amp;TEXT(ROW()-4,"0000"))</f>
        <v>0</v>
      </c>
      <c r="C330" s="23">
        <f>IF(B330="","",TEXT(B330,"ddd"))</f>
        <v>0</v>
      </c>
      <c r="D330" s="31">
        <f>IF(B330="","",WEEKNUM(B330,IF(WeekStart="Sunday",1,2)))</f>
        <v>0</v>
      </c>
      <c r="E330" s="23">
        <f>IF(B330="","",TEXT(B330,"yyyy-mm"))</f>
        <v>0</v>
      </c>
      <c r="H330" s="23">
        <f>IF(G330="","",IFERROR(INDEX(Clients!$B$5:$B$204,MATCH(G330,Clients!$A$5:$A$204,0)),"Not found"))</f>
        <v>0</v>
      </c>
      <c r="I330" s="23">
        <f>IF(G330="","",IFERROR(INDEX(Clients!$C$5:$C$204,MATCH(G330,Clients!$A$5:$A$204,0)),""))</f>
        <v>0</v>
      </c>
      <c r="K330" s="23">
        <f>IF(J330="","",IFERROR(INDEX(Properties!$B$5:$B$254,MATCH(J330,Properties!$A$5:$A$254,0)),""))</f>
        <v>0</v>
      </c>
      <c r="L330" s="23">
        <f>IF(J330="","",IFERROR(INDEX(Properties!$F$5:$F$254,MATCH(J330,Properties!$A$5:$A$254,0)),""))</f>
        <v>0</v>
      </c>
      <c r="AD330" s="34">
        <f>IF(G330="","",IF(U330&lt;&gt;"",U330,IF(AND(IFERROR(INDEX(Services!$D$5:$D$64,MATCH(M330,Services!$B$5:$B$64,0)),"")="Per hour",IFERROR(INDEX(Properties!$X$5:$X$254,MATCH(J330,Properties!$A$5:$A$254,0)),0)&gt;0),IFERROR(INDEX(Properties!$X$5:$X$254,MATCH(J330,Properties!$A$5:$A$254,0)),0),IF(IFERROR(INDEX(Services!$G$5:$G$64,MATCH(M330,Services!$B$5:$B$64,0)),0)&gt;0,IFERROR(INDEX(Services!$G$5:$G$64,MATCH(M330,Services!$B$5:$B$64,0)),0),IFERROR(INDEX(Properties!$X$5:$X$254,MATCH(J330,Properties!$A$5:$A$254,0)),0)))))</f>
        <v>0</v>
      </c>
      <c r="AE330" s="31">
        <f>IF(G330="","",IF(T330="",CleanersPerJob,MAX(1,T330)))</f>
        <v>0</v>
      </c>
      <c r="AF330" s="34">
        <f>IF(G330="","",ROUND(AD330/AE330,2))</f>
        <v>0</v>
      </c>
      <c r="AG330" s="53">
        <f>IF(OR(G330="",F330="",AF330=""),"",F330+AF330/24)</f>
        <v>0</v>
      </c>
      <c r="AH330" s="21">
        <f>IF(G330="","",IF(IFERROR(INDEX(Clients!$O$5:$O$204,MATCH(G330,Clients!$A$5:$A$204,0)),0)&gt;0,IFERROR(INDEX(Clients!$O$5:$O$204,MATCH(G330,Clients!$A$5:$A$204,0)),0),HourlyRate))</f>
        <v>0</v>
      </c>
      <c r="AI330" s="21">
        <f>IF(G330="","",IF(AND(M330&lt;&gt;"",IFERROR(INDEX(Services!$P$5:$P$64,MATCH(M330,Services!$B$5:$B$64,0)),0)&gt;0,IFERROR(INDEX(Services!$D$5:$D$64,MATCH(M330,Services!$B$5:$B$64,0)),"")&lt;&gt;"Per hour"),IFERROR(INDEX(Services!$P$5:$P$64,MATCH(M330,Services!$B$5:$B$64,0)),0),AD330*AH330))</f>
        <v>0</v>
      </c>
      <c r="AJ330" s="21">
        <f>IF(G330="","",IF(V330&lt;&gt;"",V330,IF(P330="Cancelled",0,MAX(MinimumCharge,ROUND(AI330*IFERROR(INDEX(FreqFactors,MATCH(O330,FreqNames,0)),1),2)))))</f>
        <v>0</v>
      </c>
      <c r="AK330" s="34">
        <f>IF(G330="","",IF(SUMIFS(Timesheets!$U$5:$U$804,Timesheets!$G$5:$G$804,A330)&gt;0,SUMIFS(Timesheets!$U$5:$U$804,Timesheets!$G$5:$G$804,A330),IF(Z330="","",Z330)))</f>
        <v>0</v>
      </c>
      <c r="AL330" s="34">
        <f>IF(OR(AK330="",AD330=""),"",AK330-AD330)</f>
        <v>0</v>
      </c>
      <c r="AM330" s="31">
        <f>IF(A330="","",COUNTIFS('Job Tasks'!$B$5:$B$904,A330))</f>
        <v>0</v>
      </c>
      <c r="AN330" s="31">
        <f>IF(A330="","",COUNTIFS('Job Tasks'!$B$5:$B$904,A330,'Job Tasks'!$H$5:$H$904,"Done"))</f>
        <v>0</v>
      </c>
      <c r="AO330" s="38">
        <f>IF(OR(A330="",AM330=0),"",AN330/AM330)</f>
        <v>0</v>
      </c>
      <c r="AP330" s="43">
        <f>IF(A330="","",IFERROR(INDEX('Invoice Lines'!$B$5:$B$804,MATCH(A330,'Invoice Lines'!$C$5:$C$804,0)),""))</f>
        <v>0</v>
      </c>
      <c r="AQ330" s="18">
        <f>IF(OR(G330="",B330="",X330&lt;&gt;"Yes"),"",IF(IFERROR(INDEX(FreqDays,MATCH(O330,FreqNames,0)),0)=0,"",B330+IFERROR(INDEX(FreqDays,MATCH(O330,FreqNames,0)),0)))</f>
        <v>0</v>
      </c>
      <c r="AR330" s="39">
        <f>IF(G330="","",IF(R330="","Unassigned",IF(COUNTIFS($R$5:$R$604,R330,$B$5:$B$604,B330,$F$5:$F$604,F330)&gt;1,"Clash",IF(SUMIFS($AF$5:$AF$604,$R$5:$R$604,R330,$B$5:$B$604,B330)&gt;ProductiveHours,"Long day","OK"))))</f>
        <v>0</v>
      </c>
      <c r="AS330" s="18">
        <f>IF(OR(G330="",B330=""),"",IF(AND(B330&gt;=TodayDate,P330&lt;&gt;"Cancelled"),B330,""))</f>
        <v>0</v>
      </c>
      <c r="AT330" s="31">
        <f>IF(AS330="","",COUNTIFS($AS$5:$AS$604,"&lt;"&amp;AS330)+COUNTIFS($AS$5:AS330,AS330))</f>
        <v>0</v>
      </c>
      <c r="AU330" s="18">
        <f>IF(OR(G330="",B330="",R330&lt;&gt;""),"",IF(AND(B330&gt;=TodayDate,P330&lt;&gt;"Cancelled"),B330,""))</f>
        <v>0</v>
      </c>
      <c r="AV330" s="31">
        <f>IF(AU330="","",COUNTIFS($AU$5:$AU$604,"&lt;"&amp;AU330)+COUNTIFS($AU$5:AU330,AU330))</f>
        <v>0</v>
      </c>
      <c r="AW330" s="31">
        <f>IF(OR(G330="",B330=""),"",B330-TodayDate)</f>
        <v>0</v>
      </c>
      <c r="AX330" s="39">
        <f>IF(G330="","",IF(P330="Cancelled","Cancelled",IF(P330="No access","Action - no access, rebook",IF(AND(B330&lt;&gt;"",AW330&lt;0,OR(P330="Booked",P330="Confirmed",P330="In progress")),"Late - mark it completed",IF(AND(P330="Completed",AP330=""),"Action - not invoiced yet",IF(AND(AW330&gt;=0,AW330&lt;=ReminderDays,Y330&lt;&gt;"Yes"),"Confirm - visit coming up",IF(R330="","Assign - no cleaner booked",IF(AND(P330="Completed",AO330&lt;&gt;"",AO330&lt;1),"Check - checklist unfinished","OK"))))))))</f>
        <v>0</v>
      </c>
    </row>
    <row r="331" spans="1:50">
      <c r="A331" s="43">
        <f>IF(G331="","",JobPrefix&amp;TEXT(ROW()-4,"0000"))</f>
        <v>0</v>
      </c>
      <c r="C331" s="23">
        <f>IF(B331="","",TEXT(B331,"ddd"))</f>
        <v>0</v>
      </c>
      <c r="D331" s="31">
        <f>IF(B331="","",WEEKNUM(B331,IF(WeekStart="Sunday",1,2)))</f>
        <v>0</v>
      </c>
      <c r="E331" s="23">
        <f>IF(B331="","",TEXT(B331,"yyyy-mm"))</f>
        <v>0</v>
      </c>
      <c r="H331" s="23">
        <f>IF(G331="","",IFERROR(INDEX(Clients!$B$5:$B$204,MATCH(G331,Clients!$A$5:$A$204,0)),"Not found"))</f>
        <v>0</v>
      </c>
      <c r="I331" s="23">
        <f>IF(G331="","",IFERROR(INDEX(Clients!$C$5:$C$204,MATCH(G331,Clients!$A$5:$A$204,0)),""))</f>
        <v>0</v>
      </c>
      <c r="K331" s="23">
        <f>IF(J331="","",IFERROR(INDEX(Properties!$B$5:$B$254,MATCH(J331,Properties!$A$5:$A$254,0)),""))</f>
        <v>0</v>
      </c>
      <c r="L331" s="23">
        <f>IF(J331="","",IFERROR(INDEX(Properties!$F$5:$F$254,MATCH(J331,Properties!$A$5:$A$254,0)),""))</f>
        <v>0</v>
      </c>
      <c r="AD331" s="34">
        <f>IF(G331="","",IF(U331&lt;&gt;"",U331,IF(AND(IFERROR(INDEX(Services!$D$5:$D$64,MATCH(M331,Services!$B$5:$B$64,0)),"")="Per hour",IFERROR(INDEX(Properties!$X$5:$X$254,MATCH(J331,Properties!$A$5:$A$254,0)),0)&gt;0),IFERROR(INDEX(Properties!$X$5:$X$254,MATCH(J331,Properties!$A$5:$A$254,0)),0),IF(IFERROR(INDEX(Services!$G$5:$G$64,MATCH(M331,Services!$B$5:$B$64,0)),0)&gt;0,IFERROR(INDEX(Services!$G$5:$G$64,MATCH(M331,Services!$B$5:$B$64,0)),0),IFERROR(INDEX(Properties!$X$5:$X$254,MATCH(J331,Properties!$A$5:$A$254,0)),0)))))</f>
        <v>0</v>
      </c>
      <c r="AE331" s="31">
        <f>IF(G331="","",IF(T331="",CleanersPerJob,MAX(1,T331)))</f>
        <v>0</v>
      </c>
      <c r="AF331" s="34">
        <f>IF(G331="","",ROUND(AD331/AE331,2))</f>
        <v>0</v>
      </c>
      <c r="AG331" s="53">
        <f>IF(OR(G331="",F331="",AF331=""),"",F331+AF331/24)</f>
        <v>0</v>
      </c>
      <c r="AH331" s="21">
        <f>IF(G331="","",IF(IFERROR(INDEX(Clients!$O$5:$O$204,MATCH(G331,Clients!$A$5:$A$204,0)),0)&gt;0,IFERROR(INDEX(Clients!$O$5:$O$204,MATCH(G331,Clients!$A$5:$A$204,0)),0),HourlyRate))</f>
        <v>0</v>
      </c>
      <c r="AI331" s="21">
        <f>IF(G331="","",IF(AND(M331&lt;&gt;"",IFERROR(INDEX(Services!$P$5:$P$64,MATCH(M331,Services!$B$5:$B$64,0)),0)&gt;0,IFERROR(INDEX(Services!$D$5:$D$64,MATCH(M331,Services!$B$5:$B$64,0)),"")&lt;&gt;"Per hour"),IFERROR(INDEX(Services!$P$5:$P$64,MATCH(M331,Services!$B$5:$B$64,0)),0),AD331*AH331))</f>
        <v>0</v>
      </c>
      <c r="AJ331" s="21">
        <f>IF(G331="","",IF(V331&lt;&gt;"",V331,IF(P331="Cancelled",0,MAX(MinimumCharge,ROUND(AI331*IFERROR(INDEX(FreqFactors,MATCH(O331,FreqNames,0)),1),2)))))</f>
        <v>0</v>
      </c>
      <c r="AK331" s="34">
        <f>IF(G331="","",IF(SUMIFS(Timesheets!$U$5:$U$804,Timesheets!$G$5:$G$804,A331)&gt;0,SUMIFS(Timesheets!$U$5:$U$804,Timesheets!$G$5:$G$804,A331),IF(Z331="","",Z331)))</f>
        <v>0</v>
      </c>
      <c r="AL331" s="34">
        <f>IF(OR(AK331="",AD331=""),"",AK331-AD331)</f>
        <v>0</v>
      </c>
      <c r="AM331" s="31">
        <f>IF(A331="","",COUNTIFS('Job Tasks'!$B$5:$B$904,A331))</f>
        <v>0</v>
      </c>
      <c r="AN331" s="31">
        <f>IF(A331="","",COUNTIFS('Job Tasks'!$B$5:$B$904,A331,'Job Tasks'!$H$5:$H$904,"Done"))</f>
        <v>0</v>
      </c>
      <c r="AO331" s="38">
        <f>IF(OR(A331="",AM331=0),"",AN331/AM331)</f>
        <v>0</v>
      </c>
      <c r="AP331" s="43">
        <f>IF(A331="","",IFERROR(INDEX('Invoice Lines'!$B$5:$B$804,MATCH(A331,'Invoice Lines'!$C$5:$C$804,0)),""))</f>
        <v>0</v>
      </c>
      <c r="AQ331" s="18">
        <f>IF(OR(G331="",B331="",X331&lt;&gt;"Yes"),"",IF(IFERROR(INDEX(FreqDays,MATCH(O331,FreqNames,0)),0)=0,"",B331+IFERROR(INDEX(FreqDays,MATCH(O331,FreqNames,0)),0)))</f>
        <v>0</v>
      </c>
      <c r="AR331" s="39">
        <f>IF(G331="","",IF(R331="","Unassigned",IF(COUNTIFS($R$5:$R$604,R331,$B$5:$B$604,B331,$F$5:$F$604,F331)&gt;1,"Clash",IF(SUMIFS($AF$5:$AF$604,$R$5:$R$604,R331,$B$5:$B$604,B331)&gt;ProductiveHours,"Long day","OK"))))</f>
        <v>0</v>
      </c>
      <c r="AS331" s="18">
        <f>IF(OR(G331="",B331=""),"",IF(AND(B331&gt;=TodayDate,P331&lt;&gt;"Cancelled"),B331,""))</f>
        <v>0</v>
      </c>
      <c r="AT331" s="31">
        <f>IF(AS331="","",COUNTIFS($AS$5:$AS$604,"&lt;"&amp;AS331)+COUNTIFS($AS$5:AS331,AS331))</f>
        <v>0</v>
      </c>
      <c r="AU331" s="18">
        <f>IF(OR(G331="",B331="",R331&lt;&gt;""),"",IF(AND(B331&gt;=TodayDate,P331&lt;&gt;"Cancelled"),B331,""))</f>
        <v>0</v>
      </c>
      <c r="AV331" s="31">
        <f>IF(AU331="","",COUNTIFS($AU$5:$AU$604,"&lt;"&amp;AU331)+COUNTIFS($AU$5:AU331,AU331))</f>
        <v>0</v>
      </c>
      <c r="AW331" s="31">
        <f>IF(OR(G331="",B331=""),"",B331-TodayDate)</f>
        <v>0</v>
      </c>
      <c r="AX331" s="39">
        <f>IF(G331="","",IF(P331="Cancelled","Cancelled",IF(P331="No access","Action - no access, rebook",IF(AND(B331&lt;&gt;"",AW331&lt;0,OR(P331="Booked",P331="Confirmed",P331="In progress")),"Late - mark it completed",IF(AND(P331="Completed",AP331=""),"Action - not invoiced yet",IF(AND(AW331&gt;=0,AW331&lt;=ReminderDays,Y331&lt;&gt;"Yes"),"Confirm - visit coming up",IF(R331="","Assign - no cleaner booked",IF(AND(P331="Completed",AO331&lt;&gt;"",AO331&lt;1),"Check - checklist unfinished","OK"))))))))</f>
        <v>0</v>
      </c>
    </row>
    <row r="332" spans="1:50">
      <c r="A332" s="43">
        <f>IF(G332="","",JobPrefix&amp;TEXT(ROW()-4,"0000"))</f>
        <v>0</v>
      </c>
      <c r="C332" s="23">
        <f>IF(B332="","",TEXT(B332,"ddd"))</f>
        <v>0</v>
      </c>
      <c r="D332" s="31">
        <f>IF(B332="","",WEEKNUM(B332,IF(WeekStart="Sunday",1,2)))</f>
        <v>0</v>
      </c>
      <c r="E332" s="23">
        <f>IF(B332="","",TEXT(B332,"yyyy-mm"))</f>
        <v>0</v>
      </c>
      <c r="H332" s="23">
        <f>IF(G332="","",IFERROR(INDEX(Clients!$B$5:$B$204,MATCH(G332,Clients!$A$5:$A$204,0)),"Not found"))</f>
        <v>0</v>
      </c>
      <c r="I332" s="23">
        <f>IF(G332="","",IFERROR(INDEX(Clients!$C$5:$C$204,MATCH(G332,Clients!$A$5:$A$204,0)),""))</f>
        <v>0</v>
      </c>
      <c r="K332" s="23">
        <f>IF(J332="","",IFERROR(INDEX(Properties!$B$5:$B$254,MATCH(J332,Properties!$A$5:$A$254,0)),""))</f>
        <v>0</v>
      </c>
      <c r="L332" s="23">
        <f>IF(J332="","",IFERROR(INDEX(Properties!$F$5:$F$254,MATCH(J332,Properties!$A$5:$A$254,0)),""))</f>
        <v>0</v>
      </c>
      <c r="AD332" s="34">
        <f>IF(G332="","",IF(U332&lt;&gt;"",U332,IF(AND(IFERROR(INDEX(Services!$D$5:$D$64,MATCH(M332,Services!$B$5:$B$64,0)),"")="Per hour",IFERROR(INDEX(Properties!$X$5:$X$254,MATCH(J332,Properties!$A$5:$A$254,0)),0)&gt;0),IFERROR(INDEX(Properties!$X$5:$X$254,MATCH(J332,Properties!$A$5:$A$254,0)),0),IF(IFERROR(INDEX(Services!$G$5:$G$64,MATCH(M332,Services!$B$5:$B$64,0)),0)&gt;0,IFERROR(INDEX(Services!$G$5:$G$64,MATCH(M332,Services!$B$5:$B$64,0)),0),IFERROR(INDEX(Properties!$X$5:$X$254,MATCH(J332,Properties!$A$5:$A$254,0)),0)))))</f>
        <v>0</v>
      </c>
      <c r="AE332" s="31">
        <f>IF(G332="","",IF(T332="",CleanersPerJob,MAX(1,T332)))</f>
        <v>0</v>
      </c>
      <c r="AF332" s="34">
        <f>IF(G332="","",ROUND(AD332/AE332,2))</f>
        <v>0</v>
      </c>
      <c r="AG332" s="53">
        <f>IF(OR(G332="",F332="",AF332=""),"",F332+AF332/24)</f>
        <v>0</v>
      </c>
      <c r="AH332" s="21">
        <f>IF(G332="","",IF(IFERROR(INDEX(Clients!$O$5:$O$204,MATCH(G332,Clients!$A$5:$A$204,0)),0)&gt;0,IFERROR(INDEX(Clients!$O$5:$O$204,MATCH(G332,Clients!$A$5:$A$204,0)),0),HourlyRate))</f>
        <v>0</v>
      </c>
      <c r="AI332" s="21">
        <f>IF(G332="","",IF(AND(M332&lt;&gt;"",IFERROR(INDEX(Services!$P$5:$P$64,MATCH(M332,Services!$B$5:$B$64,0)),0)&gt;0,IFERROR(INDEX(Services!$D$5:$D$64,MATCH(M332,Services!$B$5:$B$64,0)),"")&lt;&gt;"Per hour"),IFERROR(INDEX(Services!$P$5:$P$64,MATCH(M332,Services!$B$5:$B$64,0)),0),AD332*AH332))</f>
        <v>0</v>
      </c>
      <c r="AJ332" s="21">
        <f>IF(G332="","",IF(V332&lt;&gt;"",V332,IF(P332="Cancelled",0,MAX(MinimumCharge,ROUND(AI332*IFERROR(INDEX(FreqFactors,MATCH(O332,FreqNames,0)),1),2)))))</f>
        <v>0</v>
      </c>
      <c r="AK332" s="34">
        <f>IF(G332="","",IF(SUMIFS(Timesheets!$U$5:$U$804,Timesheets!$G$5:$G$804,A332)&gt;0,SUMIFS(Timesheets!$U$5:$U$804,Timesheets!$G$5:$G$804,A332),IF(Z332="","",Z332)))</f>
        <v>0</v>
      </c>
      <c r="AL332" s="34">
        <f>IF(OR(AK332="",AD332=""),"",AK332-AD332)</f>
        <v>0</v>
      </c>
      <c r="AM332" s="31">
        <f>IF(A332="","",COUNTIFS('Job Tasks'!$B$5:$B$904,A332))</f>
        <v>0</v>
      </c>
      <c r="AN332" s="31">
        <f>IF(A332="","",COUNTIFS('Job Tasks'!$B$5:$B$904,A332,'Job Tasks'!$H$5:$H$904,"Done"))</f>
        <v>0</v>
      </c>
      <c r="AO332" s="38">
        <f>IF(OR(A332="",AM332=0),"",AN332/AM332)</f>
        <v>0</v>
      </c>
      <c r="AP332" s="43">
        <f>IF(A332="","",IFERROR(INDEX('Invoice Lines'!$B$5:$B$804,MATCH(A332,'Invoice Lines'!$C$5:$C$804,0)),""))</f>
        <v>0</v>
      </c>
      <c r="AQ332" s="18">
        <f>IF(OR(G332="",B332="",X332&lt;&gt;"Yes"),"",IF(IFERROR(INDEX(FreqDays,MATCH(O332,FreqNames,0)),0)=0,"",B332+IFERROR(INDEX(FreqDays,MATCH(O332,FreqNames,0)),0)))</f>
        <v>0</v>
      </c>
      <c r="AR332" s="39">
        <f>IF(G332="","",IF(R332="","Unassigned",IF(COUNTIFS($R$5:$R$604,R332,$B$5:$B$604,B332,$F$5:$F$604,F332)&gt;1,"Clash",IF(SUMIFS($AF$5:$AF$604,$R$5:$R$604,R332,$B$5:$B$604,B332)&gt;ProductiveHours,"Long day","OK"))))</f>
        <v>0</v>
      </c>
      <c r="AS332" s="18">
        <f>IF(OR(G332="",B332=""),"",IF(AND(B332&gt;=TodayDate,P332&lt;&gt;"Cancelled"),B332,""))</f>
        <v>0</v>
      </c>
      <c r="AT332" s="31">
        <f>IF(AS332="","",COUNTIFS($AS$5:$AS$604,"&lt;"&amp;AS332)+COUNTIFS($AS$5:AS332,AS332))</f>
        <v>0</v>
      </c>
      <c r="AU332" s="18">
        <f>IF(OR(G332="",B332="",R332&lt;&gt;""),"",IF(AND(B332&gt;=TodayDate,P332&lt;&gt;"Cancelled"),B332,""))</f>
        <v>0</v>
      </c>
      <c r="AV332" s="31">
        <f>IF(AU332="","",COUNTIFS($AU$5:$AU$604,"&lt;"&amp;AU332)+COUNTIFS($AU$5:AU332,AU332))</f>
        <v>0</v>
      </c>
      <c r="AW332" s="31">
        <f>IF(OR(G332="",B332=""),"",B332-TodayDate)</f>
        <v>0</v>
      </c>
      <c r="AX332" s="39">
        <f>IF(G332="","",IF(P332="Cancelled","Cancelled",IF(P332="No access","Action - no access, rebook",IF(AND(B332&lt;&gt;"",AW332&lt;0,OR(P332="Booked",P332="Confirmed",P332="In progress")),"Late - mark it completed",IF(AND(P332="Completed",AP332=""),"Action - not invoiced yet",IF(AND(AW332&gt;=0,AW332&lt;=ReminderDays,Y332&lt;&gt;"Yes"),"Confirm - visit coming up",IF(R332="","Assign - no cleaner booked",IF(AND(P332="Completed",AO332&lt;&gt;"",AO332&lt;1),"Check - checklist unfinished","OK"))))))))</f>
        <v>0</v>
      </c>
    </row>
    <row r="333" spans="1:50">
      <c r="A333" s="43">
        <f>IF(G333="","",JobPrefix&amp;TEXT(ROW()-4,"0000"))</f>
        <v>0</v>
      </c>
      <c r="C333" s="23">
        <f>IF(B333="","",TEXT(B333,"ddd"))</f>
        <v>0</v>
      </c>
      <c r="D333" s="31">
        <f>IF(B333="","",WEEKNUM(B333,IF(WeekStart="Sunday",1,2)))</f>
        <v>0</v>
      </c>
      <c r="E333" s="23">
        <f>IF(B333="","",TEXT(B333,"yyyy-mm"))</f>
        <v>0</v>
      </c>
      <c r="H333" s="23">
        <f>IF(G333="","",IFERROR(INDEX(Clients!$B$5:$B$204,MATCH(G333,Clients!$A$5:$A$204,0)),"Not found"))</f>
        <v>0</v>
      </c>
      <c r="I333" s="23">
        <f>IF(G333="","",IFERROR(INDEX(Clients!$C$5:$C$204,MATCH(G333,Clients!$A$5:$A$204,0)),""))</f>
        <v>0</v>
      </c>
      <c r="K333" s="23">
        <f>IF(J333="","",IFERROR(INDEX(Properties!$B$5:$B$254,MATCH(J333,Properties!$A$5:$A$254,0)),""))</f>
        <v>0</v>
      </c>
      <c r="L333" s="23">
        <f>IF(J333="","",IFERROR(INDEX(Properties!$F$5:$F$254,MATCH(J333,Properties!$A$5:$A$254,0)),""))</f>
        <v>0</v>
      </c>
      <c r="AD333" s="34">
        <f>IF(G333="","",IF(U333&lt;&gt;"",U333,IF(AND(IFERROR(INDEX(Services!$D$5:$D$64,MATCH(M333,Services!$B$5:$B$64,0)),"")="Per hour",IFERROR(INDEX(Properties!$X$5:$X$254,MATCH(J333,Properties!$A$5:$A$254,0)),0)&gt;0),IFERROR(INDEX(Properties!$X$5:$X$254,MATCH(J333,Properties!$A$5:$A$254,0)),0),IF(IFERROR(INDEX(Services!$G$5:$G$64,MATCH(M333,Services!$B$5:$B$64,0)),0)&gt;0,IFERROR(INDEX(Services!$G$5:$G$64,MATCH(M333,Services!$B$5:$B$64,0)),0),IFERROR(INDEX(Properties!$X$5:$X$254,MATCH(J333,Properties!$A$5:$A$254,0)),0)))))</f>
        <v>0</v>
      </c>
      <c r="AE333" s="31">
        <f>IF(G333="","",IF(T333="",CleanersPerJob,MAX(1,T333)))</f>
        <v>0</v>
      </c>
      <c r="AF333" s="34">
        <f>IF(G333="","",ROUND(AD333/AE333,2))</f>
        <v>0</v>
      </c>
      <c r="AG333" s="53">
        <f>IF(OR(G333="",F333="",AF333=""),"",F333+AF333/24)</f>
        <v>0</v>
      </c>
      <c r="AH333" s="21">
        <f>IF(G333="","",IF(IFERROR(INDEX(Clients!$O$5:$O$204,MATCH(G333,Clients!$A$5:$A$204,0)),0)&gt;0,IFERROR(INDEX(Clients!$O$5:$O$204,MATCH(G333,Clients!$A$5:$A$204,0)),0),HourlyRate))</f>
        <v>0</v>
      </c>
      <c r="AI333" s="21">
        <f>IF(G333="","",IF(AND(M333&lt;&gt;"",IFERROR(INDEX(Services!$P$5:$P$64,MATCH(M333,Services!$B$5:$B$64,0)),0)&gt;0,IFERROR(INDEX(Services!$D$5:$D$64,MATCH(M333,Services!$B$5:$B$64,0)),"")&lt;&gt;"Per hour"),IFERROR(INDEX(Services!$P$5:$P$64,MATCH(M333,Services!$B$5:$B$64,0)),0),AD333*AH333))</f>
        <v>0</v>
      </c>
      <c r="AJ333" s="21">
        <f>IF(G333="","",IF(V333&lt;&gt;"",V333,IF(P333="Cancelled",0,MAX(MinimumCharge,ROUND(AI333*IFERROR(INDEX(FreqFactors,MATCH(O333,FreqNames,0)),1),2)))))</f>
        <v>0</v>
      </c>
      <c r="AK333" s="34">
        <f>IF(G333="","",IF(SUMIFS(Timesheets!$U$5:$U$804,Timesheets!$G$5:$G$804,A333)&gt;0,SUMIFS(Timesheets!$U$5:$U$804,Timesheets!$G$5:$G$804,A333),IF(Z333="","",Z333)))</f>
        <v>0</v>
      </c>
      <c r="AL333" s="34">
        <f>IF(OR(AK333="",AD333=""),"",AK333-AD333)</f>
        <v>0</v>
      </c>
      <c r="AM333" s="31">
        <f>IF(A333="","",COUNTIFS('Job Tasks'!$B$5:$B$904,A333))</f>
        <v>0</v>
      </c>
      <c r="AN333" s="31">
        <f>IF(A333="","",COUNTIFS('Job Tasks'!$B$5:$B$904,A333,'Job Tasks'!$H$5:$H$904,"Done"))</f>
        <v>0</v>
      </c>
      <c r="AO333" s="38">
        <f>IF(OR(A333="",AM333=0),"",AN333/AM333)</f>
        <v>0</v>
      </c>
      <c r="AP333" s="43">
        <f>IF(A333="","",IFERROR(INDEX('Invoice Lines'!$B$5:$B$804,MATCH(A333,'Invoice Lines'!$C$5:$C$804,0)),""))</f>
        <v>0</v>
      </c>
      <c r="AQ333" s="18">
        <f>IF(OR(G333="",B333="",X333&lt;&gt;"Yes"),"",IF(IFERROR(INDEX(FreqDays,MATCH(O333,FreqNames,0)),0)=0,"",B333+IFERROR(INDEX(FreqDays,MATCH(O333,FreqNames,0)),0)))</f>
        <v>0</v>
      </c>
      <c r="AR333" s="39">
        <f>IF(G333="","",IF(R333="","Unassigned",IF(COUNTIFS($R$5:$R$604,R333,$B$5:$B$604,B333,$F$5:$F$604,F333)&gt;1,"Clash",IF(SUMIFS($AF$5:$AF$604,$R$5:$R$604,R333,$B$5:$B$604,B333)&gt;ProductiveHours,"Long day","OK"))))</f>
        <v>0</v>
      </c>
      <c r="AS333" s="18">
        <f>IF(OR(G333="",B333=""),"",IF(AND(B333&gt;=TodayDate,P333&lt;&gt;"Cancelled"),B333,""))</f>
        <v>0</v>
      </c>
      <c r="AT333" s="31">
        <f>IF(AS333="","",COUNTIFS($AS$5:$AS$604,"&lt;"&amp;AS333)+COUNTIFS($AS$5:AS333,AS333))</f>
        <v>0</v>
      </c>
      <c r="AU333" s="18">
        <f>IF(OR(G333="",B333="",R333&lt;&gt;""),"",IF(AND(B333&gt;=TodayDate,P333&lt;&gt;"Cancelled"),B333,""))</f>
        <v>0</v>
      </c>
      <c r="AV333" s="31">
        <f>IF(AU333="","",COUNTIFS($AU$5:$AU$604,"&lt;"&amp;AU333)+COUNTIFS($AU$5:AU333,AU333))</f>
        <v>0</v>
      </c>
      <c r="AW333" s="31">
        <f>IF(OR(G333="",B333=""),"",B333-TodayDate)</f>
        <v>0</v>
      </c>
      <c r="AX333" s="39">
        <f>IF(G333="","",IF(P333="Cancelled","Cancelled",IF(P333="No access","Action - no access, rebook",IF(AND(B333&lt;&gt;"",AW333&lt;0,OR(P333="Booked",P333="Confirmed",P333="In progress")),"Late - mark it completed",IF(AND(P333="Completed",AP333=""),"Action - not invoiced yet",IF(AND(AW333&gt;=0,AW333&lt;=ReminderDays,Y333&lt;&gt;"Yes"),"Confirm - visit coming up",IF(R333="","Assign - no cleaner booked",IF(AND(P333="Completed",AO333&lt;&gt;"",AO333&lt;1),"Check - checklist unfinished","OK"))))))))</f>
        <v>0</v>
      </c>
    </row>
    <row r="334" spans="1:50">
      <c r="A334" s="43">
        <f>IF(G334="","",JobPrefix&amp;TEXT(ROW()-4,"0000"))</f>
        <v>0</v>
      </c>
      <c r="C334" s="23">
        <f>IF(B334="","",TEXT(B334,"ddd"))</f>
        <v>0</v>
      </c>
      <c r="D334" s="31">
        <f>IF(B334="","",WEEKNUM(B334,IF(WeekStart="Sunday",1,2)))</f>
        <v>0</v>
      </c>
      <c r="E334" s="23">
        <f>IF(B334="","",TEXT(B334,"yyyy-mm"))</f>
        <v>0</v>
      </c>
      <c r="H334" s="23">
        <f>IF(G334="","",IFERROR(INDEX(Clients!$B$5:$B$204,MATCH(G334,Clients!$A$5:$A$204,0)),"Not found"))</f>
        <v>0</v>
      </c>
      <c r="I334" s="23">
        <f>IF(G334="","",IFERROR(INDEX(Clients!$C$5:$C$204,MATCH(G334,Clients!$A$5:$A$204,0)),""))</f>
        <v>0</v>
      </c>
      <c r="K334" s="23">
        <f>IF(J334="","",IFERROR(INDEX(Properties!$B$5:$B$254,MATCH(J334,Properties!$A$5:$A$254,0)),""))</f>
        <v>0</v>
      </c>
      <c r="L334" s="23">
        <f>IF(J334="","",IFERROR(INDEX(Properties!$F$5:$F$254,MATCH(J334,Properties!$A$5:$A$254,0)),""))</f>
        <v>0</v>
      </c>
      <c r="AD334" s="34">
        <f>IF(G334="","",IF(U334&lt;&gt;"",U334,IF(AND(IFERROR(INDEX(Services!$D$5:$D$64,MATCH(M334,Services!$B$5:$B$64,0)),"")="Per hour",IFERROR(INDEX(Properties!$X$5:$X$254,MATCH(J334,Properties!$A$5:$A$254,0)),0)&gt;0),IFERROR(INDEX(Properties!$X$5:$X$254,MATCH(J334,Properties!$A$5:$A$254,0)),0),IF(IFERROR(INDEX(Services!$G$5:$G$64,MATCH(M334,Services!$B$5:$B$64,0)),0)&gt;0,IFERROR(INDEX(Services!$G$5:$G$64,MATCH(M334,Services!$B$5:$B$64,0)),0),IFERROR(INDEX(Properties!$X$5:$X$254,MATCH(J334,Properties!$A$5:$A$254,0)),0)))))</f>
        <v>0</v>
      </c>
      <c r="AE334" s="31">
        <f>IF(G334="","",IF(T334="",CleanersPerJob,MAX(1,T334)))</f>
        <v>0</v>
      </c>
      <c r="AF334" s="34">
        <f>IF(G334="","",ROUND(AD334/AE334,2))</f>
        <v>0</v>
      </c>
      <c r="AG334" s="53">
        <f>IF(OR(G334="",F334="",AF334=""),"",F334+AF334/24)</f>
        <v>0</v>
      </c>
      <c r="AH334" s="21">
        <f>IF(G334="","",IF(IFERROR(INDEX(Clients!$O$5:$O$204,MATCH(G334,Clients!$A$5:$A$204,0)),0)&gt;0,IFERROR(INDEX(Clients!$O$5:$O$204,MATCH(G334,Clients!$A$5:$A$204,0)),0),HourlyRate))</f>
        <v>0</v>
      </c>
      <c r="AI334" s="21">
        <f>IF(G334="","",IF(AND(M334&lt;&gt;"",IFERROR(INDEX(Services!$P$5:$P$64,MATCH(M334,Services!$B$5:$B$64,0)),0)&gt;0,IFERROR(INDEX(Services!$D$5:$D$64,MATCH(M334,Services!$B$5:$B$64,0)),"")&lt;&gt;"Per hour"),IFERROR(INDEX(Services!$P$5:$P$64,MATCH(M334,Services!$B$5:$B$64,0)),0),AD334*AH334))</f>
        <v>0</v>
      </c>
      <c r="AJ334" s="21">
        <f>IF(G334="","",IF(V334&lt;&gt;"",V334,IF(P334="Cancelled",0,MAX(MinimumCharge,ROUND(AI334*IFERROR(INDEX(FreqFactors,MATCH(O334,FreqNames,0)),1),2)))))</f>
        <v>0</v>
      </c>
      <c r="AK334" s="34">
        <f>IF(G334="","",IF(SUMIFS(Timesheets!$U$5:$U$804,Timesheets!$G$5:$G$804,A334)&gt;0,SUMIFS(Timesheets!$U$5:$U$804,Timesheets!$G$5:$G$804,A334),IF(Z334="","",Z334)))</f>
        <v>0</v>
      </c>
      <c r="AL334" s="34">
        <f>IF(OR(AK334="",AD334=""),"",AK334-AD334)</f>
        <v>0</v>
      </c>
      <c r="AM334" s="31">
        <f>IF(A334="","",COUNTIFS('Job Tasks'!$B$5:$B$904,A334))</f>
        <v>0</v>
      </c>
      <c r="AN334" s="31">
        <f>IF(A334="","",COUNTIFS('Job Tasks'!$B$5:$B$904,A334,'Job Tasks'!$H$5:$H$904,"Done"))</f>
        <v>0</v>
      </c>
      <c r="AO334" s="38">
        <f>IF(OR(A334="",AM334=0),"",AN334/AM334)</f>
        <v>0</v>
      </c>
      <c r="AP334" s="43">
        <f>IF(A334="","",IFERROR(INDEX('Invoice Lines'!$B$5:$B$804,MATCH(A334,'Invoice Lines'!$C$5:$C$804,0)),""))</f>
        <v>0</v>
      </c>
      <c r="AQ334" s="18">
        <f>IF(OR(G334="",B334="",X334&lt;&gt;"Yes"),"",IF(IFERROR(INDEX(FreqDays,MATCH(O334,FreqNames,0)),0)=0,"",B334+IFERROR(INDEX(FreqDays,MATCH(O334,FreqNames,0)),0)))</f>
        <v>0</v>
      </c>
      <c r="AR334" s="39">
        <f>IF(G334="","",IF(R334="","Unassigned",IF(COUNTIFS($R$5:$R$604,R334,$B$5:$B$604,B334,$F$5:$F$604,F334)&gt;1,"Clash",IF(SUMIFS($AF$5:$AF$604,$R$5:$R$604,R334,$B$5:$B$604,B334)&gt;ProductiveHours,"Long day","OK"))))</f>
        <v>0</v>
      </c>
      <c r="AS334" s="18">
        <f>IF(OR(G334="",B334=""),"",IF(AND(B334&gt;=TodayDate,P334&lt;&gt;"Cancelled"),B334,""))</f>
        <v>0</v>
      </c>
      <c r="AT334" s="31">
        <f>IF(AS334="","",COUNTIFS($AS$5:$AS$604,"&lt;"&amp;AS334)+COUNTIFS($AS$5:AS334,AS334))</f>
        <v>0</v>
      </c>
      <c r="AU334" s="18">
        <f>IF(OR(G334="",B334="",R334&lt;&gt;""),"",IF(AND(B334&gt;=TodayDate,P334&lt;&gt;"Cancelled"),B334,""))</f>
        <v>0</v>
      </c>
      <c r="AV334" s="31">
        <f>IF(AU334="","",COUNTIFS($AU$5:$AU$604,"&lt;"&amp;AU334)+COUNTIFS($AU$5:AU334,AU334))</f>
        <v>0</v>
      </c>
      <c r="AW334" s="31">
        <f>IF(OR(G334="",B334=""),"",B334-TodayDate)</f>
        <v>0</v>
      </c>
      <c r="AX334" s="39">
        <f>IF(G334="","",IF(P334="Cancelled","Cancelled",IF(P334="No access","Action - no access, rebook",IF(AND(B334&lt;&gt;"",AW334&lt;0,OR(P334="Booked",P334="Confirmed",P334="In progress")),"Late - mark it completed",IF(AND(P334="Completed",AP334=""),"Action - not invoiced yet",IF(AND(AW334&gt;=0,AW334&lt;=ReminderDays,Y334&lt;&gt;"Yes"),"Confirm - visit coming up",IF(R334="","Assign - no cleaner booked",IF(AND(P334="Completed",AO334&lt;&gt;"",AO334&lt;1),"Check - checklist unfinished","OK"))))))))</f>
        <v>0</v>
      </c>
    </row>
    <row r="335" spans="1:50">
      <c r="A335" s="43">
        <f>IF(G335="","",JobPrefix&amp;TEXT(ROW()-4,"0000"))</f>
        <v>0</v>
      </c>
      <c r="C335" s="23">
        <f>IF(B335="","",TEXT(B335,"ddd"))</f>
        <v>0</v>
      </c>
      <c r="D335" s="31">
        <f>IF(B335="","",WEEKNUM(B335,IF(WeekStart="Sunday",1,2)))</f>
        <v>0</v>
      </c>
      <c r="E335" s="23">
        <f>IF(B335="","",TEXT(B335,"yyyy-mm"))</f>
        <v>0</v>
      </c>
      <c r="H335" s="23">
        <f>IF(G335="","",IFERROR(INDEX(Clients!$B$5:$B$204,MATCH(G335,Clients!$A$5:$A$204,0)),"Not found"))</f>
        <v>0</v>
      </c>
      <c r="I335" s="23">
        <f>IF(G335="","",IFERROR(INDEX(Clients!$C$5:$C$204,MATCH(G335,Clients!$A$5:$A$204,0)),""))</f>
        <v>0</v>
      </c>
      <c r="K335" s="23">
        <f>IF(J335="","",IFERROR(INDEX(Properties!$B$5:$B$254,MATCH(J335,Properties!$A$5:$A$254,0)),""))</f>
        <v>0</v>
      </c>
      <c r="L335" s="23">
        <f>IF(J335="","",IFERROR(INDEX(Properties!$F$5:$F$254,MATCH(J335,Properties!$A$5:$A$254,0)),""))</f>
        <v>0</v>
      </c>
      <c r="AD335" s="34">
        <f>IF(G335="","",IF(U335&lt;&gt;"",U335,IF(AND(IFERROR(INDEX(Services!$D$5:$D$64,MATCH(M335,Services!$B$5:$B$64,0)),"")="Per hour",IFERROR(INDEX(Properties!$X$5:$X$254,MATCH(J335,Properties!$A$5:$A$254,0)),0)&gt;0),IFERROR(INDEX(Properties!$X$5:$X$254,MATCH(J335,Properties!$A$5:$A$254,0)),0),IF(IFERROR(INDEX(Services!$G$5:$G$64,MATCH(M335,Services!$B$5:$B$64,0)),0)&gt;0,IFERROR(INDEX(Services!$G$5:$G$64,MATCH(M335,Services!$B$5:$B$64,0)),0),IFERROR(INDEX(Properties!$X$5:$X$254,MATCH(J335,Properties!$A$5:$A$254,0)),0)))))</f>
        <v>0</v>
      </c>
      <c r="AE335" s="31">
        <f>IF(G335="","",IF(T335="",CleanersPerJob,MAX(1,T335)))</f>
        <v>0</v>
      </c>
      <c r="AF335" s="34">
        <f>IF(G335="","",ROUND(AD335/AE335,2))</f>
        <v>0</v>
      </c>
      <c r="AG335" s="53">
        <f>IF(OR(G335="",F335="",AF335=""),"",F335+AF335/24)</f>
        <v>0</v>
      </c>
      <c r="AH335" s="21">
        <f>IF(G335="","",IF(IFERROR(INDEX(Clients!$O$5:$O$204,MATCH(G335,Clients!$A$5:$A$204,0)),0)&gt;0,IFERROR(INDEX(Clients!$O$5:$O$204,MATCH(G335,Clients!$A$5:$A$204,0)),0),HourlyRate))</f>
        <v>0</v>
      </c>
      <c r="AI335" s="21">
        <f>IF(G335="","",IF(AND(M335&lt;&gt;"",IFERROR(INDEX(Services!$P$5:$P$64,MATCH(M335,Services!$B$5:$B$64,0)),0)&gt;0,IFERROR(INDEX(Services!$D$5:$D$64,MATCH(M335,Services!$B$5:$B$64,0)),"")&lt;&gt;"Per hour"),IFERROR(INDEX(Services!$P$5:$P$64,MATCH(M335,Services!$B$5:$B$64,0)),0),AD335*AH335))</f>
        <v>0</v>
      </c>
      <c r="AJ335" s="21">
        <f>IF(G335="","",IF(V335&lt;&gt;"",V335,IF(P335="Cancelled",0,MAX(MinimumCharge,ROUND(AI335*IFERROR(INDEX(FreqFactors,MATCH(O335,FreqNames,0)),1),2)))))</f>
        <v>0</v>
      </c>
      <c r="AK335" s="34">
        <f>IF(G335="","",IF(SUMIFS(Timesheets!$U$5:$U$804,Timesheets!$G$5:$G$804,A335)&gt;0,SUMIFS(Timesheets!$U$5:$U$804,Timesheets!$G$5:$G$804,A335),IF(Z335="","",Z335)))</f>
        <v>0</v>
      </c>
      <c r="AL335" s="34">
        <f>IF(OR(AK335="",AD335=""),"",AK335-AD335)</f>
        <v>0</v>
      </c>
      <c r="AM335" s="31">
        <f>IF(A335="","",COUNTIFS('Job Tasks'!$B$5:$B$904,A335))</f>
        <v>0</v>
      </c>
      <c r="AN335" s="31">
        <f>IF(A335="","",COUNTIFS('Job Tasks'!$B$5:$B$904,A335,'Job Tasks'!$H$5:$H$904,"Done"))</f>
        <v>0</v>
      </c>
      <c r="AO335" s="38">
        <f>IF(OR(A335="",AM335=0),"",AN335/AM335)</f>
        <v>0</v>
      </c>
      <c r="AP335" s="43">
        <f>IF(A335="","",IFERROR(INDEX('Invoice Lines'!$B$5:$B$804,MATCH(A335,'Invoice Lines'!$C$5:$C$804,0)),""))</f>
        <v>0</v>
      </c>
      <c r="AQ335" s="18">
        <f>IF(OR(G335="",B335="",X335&lt;&gt;"Yes"),"",IF(IFERROR(INDEX(FreqDays,MATCH(O335,FreqNames,0)),0)=0,"",B335+IFERROR(INDEX(FreqDays,MATCH(O335,FreqNames,0)),0)))</f>
        <v>0</v>
      </c>
      <c r="AR335" s="39">
        <f>IF(G335="","",IF(R335="","Unassigned",IF(COUNTIFS($R$5:$R$604,R335,$B$5:$B$604,B335,$F$5:$F$604,F335)&gt;1,"Clash",IF(SUMIFS($AF$5:$AF$604,$R$5:$R$604,R335,$B$5:$B$604,B335)&gt;ProductiveHours,"Long day","OK"))))</f>
        <v>0</v>
      </c>
      <c r="AS335" s="18">
        <f>IF(OR(G335="",B335=""),"",IF(AND(B335&gt;=TodayDate,P335&lt;&gt;"Cancelled"),B335,""))</f>
        <v>0</v>
      </c>
      <c r="AT335" s="31">
        <f>IF(AS335="","",COUNTIFS($AS$5:$AS$604,"&lt;"&amp;AS335)+COUNTIFS($AS$5:AS335,AS335))</f>
        <v>0</v>
      </c>
      <c r="AU335" s="18">
        <f>IF(OR(G335="",B335="",R335&lt;&gt;""),"",IF(AND(B335&gt;=TodayDate,P335&lt;&gt;"Cancelled"),B335,""))</f>
        <v>0</v>
      </c>
      <c r="AV335" s="31">
        <f>IF(AU335="","",COUNTIFS($AU$5:$AU$604,"&lt;"&amp;AU335)+COUNTIFS($AU$5:AU335,AU335))</f>
        <v>0</v>
      </c>
      <c r="AW335" s="31">
        <f>IF(OR(G335="",B335=""),"",B335-TodayDate)</f>
        <v>0</v>
      </c>
      <c r="AX335" s="39">
        <f>IF(G335="","",IF(P335="Cancelled","Cancelled",IF(P335="No access","Action - no access, rebook",IF(AND(B335&lt;&gt;"",AW335&lt;0,OR(P335="Booked",P335="Confirmed",P335="In progress")),"Late - mark it completed",IF(AND(P335="Completed",AP335=""),"Action - not invoiced yet",IF(AND(AW335&gt;=0,AW335&lt;=ReminderDays,Y335&lt;&gt;"Yes"),"Confirm - visit coming up",IF(R335="","Assign - no cleaner booked",IF(AND(P335="Completed",AO335&lt;&gt;"",AO335&lt;1),"Check - checklist unfinished","OK"))))))))</f>
        <v>0</v>
      </c>
    </row>
    <row r="336" spans="1:50">
      <c r="A336" s="43">
        <f>IF(G336="","",JobPrefix&amp;TEXT(ROW()-4,"0000"))</f>
        <v>0</v>
      </c>
      <c r="C336" s="23">
        <f>IF(B336="","",TEXT(B336,"ddd"))</f>
        <v>0</v>
      </c>
      <c r="D336" s="31">
        <f>IF(B336="","",WEEKNUM(B336,IF(WeekStart="Sunday",1,2)))</f>
        <v>0</v>
      </c>
      <c r="E336" s="23">
        <f>IF(B336="","",TEXT(B336,"yyyy-mm"))</f>
        <v>0</v>
      </c>
      <c r="H336" s="23">
        <f>IF(G336="","",IFERROR(INDEX(Clients!$B$5:$B$204,MATCH(G336,Clients!$A$5:$A$204,0)),"Not found"))</f>
        <v>0</v>
      </c>
      <c r="I336" s="23">
        <f>IF(G336="","",IFERROR(INDEX(Clients!$C$5:$C$204,MATCH(G336,Clients!$A$5:$A$204,0)),""))</f>
        <v>0</v>
      </c>
      <c r="K336" s="23">
        <f>IF(J336="","",IFERROR(INDEX(Properties!$B$5:$B$254,MATCH(J336,Properties!$A$5:$A$254,0)),""))</f>
        <v>0</v>
      </c>
      <c r="L336" s="23">
        <f>IF(J336="","",IFERROR(INDEX(Properties!$F$5:$F$254,MATCH(J336,Properties!$A$5:$A$254,0)),""))</f>
        <v>0</v>
      </c>
      <c r="AD336" s="34">
        <f>IF(G336="","",IF(U336&lt;&gt;"",U336,IF(AND(IFERROR(INDEX(Services!$D$5:$D$64,MATCH(M336,Services!$B$5:$B$64,0)),"")="Per hour",IFERROR(INDEX(Properties!$X$5:$X$254,MATCH(J336,Properties!$A$5:$A$254,0)),0)&gt;0),IFERROR(INDEX(Properties!$X$5:$X$254,MATCH(J336,Properties!$A$5:$A$254,0)),0),IF(IFERROR(INDEX(Services!$G$5:$G$64,MATCH(M336,Services!$B$5:$B$64,0)),0)&gt;0,IFERROR(INDEX(Services!$G$5:$G$64,MATCH(M336,Services!$B$5:$B$64,0)),0),IFERROR(INDEX(Properties!$X$5:$X$254,MATCH(J336,Properties!$A$5:$A$254,0)),0)))))</f>
        <v>0</v>
      </c>
      <c r="AE336" s="31">
        <f>IF(G336="","",IF(T336="",CleanersPerJob,MAX(1,T336)))</f>
        <v>0</v>
      </c>
      <c r="AF336" s="34">
        <f>IF(G336="","",ROUND(AD336/AE336,2))</f>
        <v>0</v>
      </c>
      <c r="AG336" s="53">
        <f>IF(OR(G336="",F336="",AF336=""),"",F336+AF336/24)</f>
        <v>0</v>
      </c>
      <c r="AH336" s="21">
        <f>IF(G336="","",IF(IFERROR(INDEX(Clients!$O$5:$O$204,MATCH(G336,Clients!$A$5:$A$204,0)),0)&gt;0,IFERROR(INDEX(Clients!$O$5:$O$204,MATCH(G336,Clients!$A$5:$A$204,0)),0),HourlyRate))</f>
        <v>0</v>
      </c>
      <c r="AI336" s="21">
        <f>IF(G336="","",IF(AND(M336&lt;&gt;"",IFERROR(INDEX(Services!$P$5:$P$64,MATCH(M336,Services!$B$5:$B$64,0)),0)&gt;0,IFERROR(INDEX(Services!$D$5:$D$64,MATCH(M336,Services!$B$5:$B$64,0)),"")&lt;&gt;"Per hour"),IFERROR(INDEX(Services!$P$5:$P$64,MATCH(M336,Services!$B$5:$B$64,0)),0),AD336*AH336))</f>
        <v>0</v>
      </c>
      <c r="AJ336" s="21">
        <f>IF(G336="","",IF(V336&lt;&gt;"",V336,IF(P336="Cancelled",0,MAX(MinimumCharge,ROUND(AI336*IFERROR(INDEX(FreqFactors,MATCH(O336,FreqNames,0)),1),2)))))</f>
        <v>0</v>
      </c>
      <c r="AK336" s="34">
        <f>IF(G336="","",IF(SUMIFS(Timesheets!$U$5:$U$804,Timesheets!$G$5:$G$804,A336)&gt;0,SUMIFS(Timesheets!$U$5:$U$804,Timesheets!$G$5:$G$804,A336),IF(Z336="","",Z336)))</f>
        <v>0</v>
      </c>
      <c r="AL336" s="34">
        <f>IF(OR(AK336="",AD336=""),"",AK336-AD336)</f>
        <v>0</v>
      </c>
      <c r="AM336" s="31">
        <f>IF(A336="","",COUNTIFS('Job Tasks'!$B$5:$B$904,A336))</f>
        <v>0</v>
      </c>
      <c r="AN336" s="31">
        <f>IF(A336="","",COUNTIFS('Job Tasks'!$B$5:$B$904,A336,'Job Tasks'!$H$5:$H$904,"Done"))</f>
        <v>0</v>
      </c>
      <c r="AO336" s="38">
        <f>IF(OR(A336="",AM336=0),"",AN336/AM336)</f>
        <v>0</v>
      </c>
      <c r="AP336" s="43">
        <f>IF(A336="","",IFERROR(INDEX('Invoice Lines'!$B$5:$B$804,MATCH(A336,'Invoice Lines'!$C$5:$C$804,0)),""))</f>
        <v>0</v>
      </c>
      <c r="AQ336" s="18">
        <f>IF(OR(G336="",B336="",X336&lt;&gt;"Yes"),"",IF(IFERROR(INDEX(FreqDays,MATCH(O336,FreqNames,0)),0)=0,"",B336+IFERROR(INDEX(FreqDays,MATCH(O336,FreqNames,0)),0)))</f>
        <v>0</v>
      </c>
      <c r="AR336" s="39">
        <f>IF(G336="","",IF(R336="","Unassigned",IF(COUNTIFS($R$5:$R$604,R336,$B$5:$B$604,B336,$F$5:$F$604,F336)&gt;1,"Clash",IF(SUMIFS($AF$5:$AF$604,$R$5:$R$604,R336,$B$5:$B$604,B336)&gt;ProductiveHours,"Long day","OK"))))</f>
        <v>0</v>
      </c>
      <c r="AS336" s="18">
        <f>IF(OR(G336="",B336=""),"",IF(AND(B336&gt;=TodayDate,P336&lt;&gt;"Cancelled"),B336,""))</f>
        <v>0</v>
      </c>
      <c r="AT336" s="31">
        <f>IF(AS336="","",COUNTIFS($AS$5:$AS$604,"&lt;"&amp;AS336)+COUNTIFS($AS$5:AS336,AS336))</f>
        <v>0</v>
      </c>
      <c r="AU336" s="18">
        <f>IF(OR(G336="",B336="",R336&lt;&gt;""),"",IF(AND(B336&gt;=TodayDate,P336&lt;&gt;"Cancelled"),B336,""))</f>
        <v>0</v>
      </c>
      <c r="AV336" s="31">
        <f>IF(AU336="","",COUNTIFS($AU$5:$AU$604,"&lt;"&amp;AU336)+COUNTIFS($AU$5:AU336,AU336))</f>
        <v>0</v>
      </c>
      <c r="AW336" s="31">
        <f>IF(OR(G336="",B336=""),"",B336-TodayDate)</f>
        <v>0</v>
      </c>
      <c r="AX336" s="39">
        <f>IF(G336="","",IF(P336="Cancelled","Cancelled",IF(P336="No access","Action - no access, rebook",IF(AND(B336&lt;&gt;"",AW336&lt;0,OR(P336="Booked",P336="Confirmed",P336="In progress")),"Late - mark it completed",IF(AND(P336="Completed",AP336=""),"Action - not invoiced yet",IF(AND(AW336&gt;=0,AW336&lt;=ReminderDays,Y336&lt;&gt;"Yes"),"Confirm - visit coming up",IF(R336="","Assign - no cleaner booked",IF(AND(P336="Completed",AO336&lt;&gt;"",AO336&lt;1),"Check - checklist unfinished","OK"))))))))</f>
        <v>0</v>
      </c>
    </row>
    <row r="337" spans="1:50">
      <c r="A337" s="43">
        <f>IF(G337="","",JobPrefix&amp;TEXT(ROW()-4,"0000"))</f>
        <v>0</v>
      </c>
      <c r="C337" s="23">
        <f>IF(B337="","",TEXT(B337,"ddd"))</f>
        <v>0</v>
      </c>
      <c r="D337" s="31">
        <f>IF(B337="","",WEEKNUM(B337,IF(WeekStart="Sunday",1,2)))</f>
        <v>0</v>
      </c>
      <c r="E337" s="23">
        <f>IF(B337="","",TEXT(B337,"yyyy-mm"))</f>
        <v>0</v>
      </c>
      <c r="H337" s="23">
        <f>IF(G337="","",IFERROR(INDEX(Clients!$B$5:$B$204,MATCH(G337,Clients!$A$5:$A$204,0)),"Not found"))</f>
        <v>0</v>
      </c>
      <c r="I337" s="23">
        <f>IF(G337="","",IFERROR(INDEX(Clients!$C$5:$C$204,MATCH(G337,Clients!$A$5:$A$204,0)),""))</f>
        <v>0</v>
      </c>
      <c r="K337" s="23">
        <f>IF(J337="","",IFERROR(INDEX(Properties!$B$5:$B$254,MATCH(J337,Properties!$A$5:$A$254,0)),""))</f>
        <v>0</v>
      </c>
      <c r="L337" s="23">
        <f>IF(J337="","",IFERROR(INDEX(Properties!$F$5:$F$254,MATCH(J337,Properties!$A$5:$A$254,0)),""))</f>
        <v>0</v>
      </c>
      <c r="AD337" s="34">
        <f>IF(G337="","",IF(U337&lt;&gt;"",U337,IF(AND(IFERROR(INDEX(Services!$D$5:$D$64,MATCH(M337,Services!$B$5:$B$64,0)),"")="Per hour",IFERROR(INDEX(Properties!$X$5:$X$254,MATCH(J337,Properties!$A$5:$A$254,0)),0)&gt;0),IFERROR(INDEX(Properties!$X$5:$X$254,MATCH(J337,Properties!$A$5:$A$254,0)),0),IF(IFERROR(INDEX(Services!$G$5:$G$64,MATCH(M337,Services!$B$5:$B$64,0)),0)&gt;0,IFERROR(INDEX(Services!$G$5:$G$64,MATCH(M337,Services!$B$5:$B$64,0)),0),IFERROR(INDEX(Properties!$X$5:$X$254,MATCH(J337,Properties!$A$5:$A$254,0)),0)))))</f>
        <v>0</v>
      </c>
      <c r="AE337" s="31">
        <f>IF(G337="","",IF(T337="",CleanersPerJob,MAX(1,T337)))</f>
        <v>0</v>
      </c>
      <c r="AF337" s="34">
        <f>IF(G337="","",ROUND(AD337/AE337,2))</f>
        <v>0</v>
      </c>
      <c r="AG337" s="53">
        <f>IF(OR(G337="",F337="",AF337=""),"",F337+AF337/24)</f>
        <v>0</v>
      </c>
      <c r="AH337" s="21">
        <f>IF(G337="","",IF(IFERROR(INDEX(Clients!$O$5:$O$204,MATCH(G337,Clients!$A$5:$A$204,0)),0)&gt;0,IFERROR(INDEX(Clients!$O$5:$O$204,MATCH(G337,Clients!$A$5:$A$204,0)),0),HourlyRate))</f>
        <v>0</v>
      </c>
      <c r="AI337" s="21">
        <f>IF(G337="","",IF(AND(M337&lt;&gt;"",IFERROR(INDEX(Services!$P$5:$P$64,MATCH(M337,Services!$B$5:$B$64,0)),0)&gt;0,IFERROR(INDEX(Services!$D$5:$D$64,MATCH(M337,Services!$B$5:$B$64,0)),"")&lt;&gt;"Per hour"),IFERROR(INDEX(Services!$P$5:$P$64,MATCH(M337,Services!$B$5:$B$64,0)),0),AD337*AH337))</f>
        <v>0</v>
      </c>
      <c r="AJ337" s="21">
        <f>IF(G337="","",IF(V337&lt;&gt;"",V337,IF(P337="Cancelled",0,MAX(MinimumCharge,ROUND(AI337*IFERROR(INDEX(FreqFactors,MATCH(O337,FreqNames,0)),1),2)))))</f>
        <v>0</v>
      </c>
      <c r="AK337" s="34">
        <f>IF(G337="","",IF(SUMIFS(Timesheets!$U$5:$U$804,Timesheets!$G$5:$G$804,A337)&gt;0,SUMIFS(Timesheets!$U$5:$U$804,Timesheets!$G$5:$G$804,A337),IF(Z337="","",Z337)))</f>
        <v>0</v>
      </c>
      <c r="AL337" s="34">
        <f>IF(OR(AK337="",AD337=""),"",AK337-AD337)</f>
        <v>0</v>
      </c>
      <c r="AM337" s="31">
        <f>IF(A337="","",COUNTIFS('Job Tasks'!$B$5:$B$904,A337))</f>
        <v>0</v>
      </c>
      <c r="AN337" s="31">
        <f>IF(A337="","",COUNTIFS('Job Tasks'!$B$5:$B$904,A337,'Job Tasks'!$H$5:$H$904,"Done"))</f>
        <v>0</v>
      </c>
      <c r="AO337" s="38">
        <f>IF(OR(A337="",AM337=0),"",AN337/AM337)</f>
        <v>0</v>
      </c>
      <c r="AP337" s="43">
        <f>IF(A337="","",IFERROR(INDEX('Invoice Lines'!$B$5:$B$804,MATCH(A337,'Invoice Lines'!$C$5:$C$804,0)),""))</f>
        <v>0</v>
      </c>
      <c r="AQ337" s="18">
        <f>IF(OR(G337="",B337="",X337&lt;&gt;"Yes"),"",IF(IFERROR(INDEX(FreqDays,MATCH(O337,FreqNames,0)),0)=0,"",B337+IFERROR(INDEX(FreqDays,MATCH(O337,FreqNames,0)),0)))</f>
        <v>0</v>
      </c>
      <c r="AR337" s="39">
        <f>IF(G337="","",IF(R337="","Unassigned",IF(COUNTIFS($R$5:$R$604,R337,$B$5:$B$604,B337,$F$5:$F$604,F337)&gt;1,"Clash",IF(SUMIFS($AF$5:$AF$604,$R$5:$R$604,R337,$B$5:$B$604,B337)&gt;ProductiveHours,"Long day","OK"))))</f>
        <v>0</v>
      </c>
      <c r="AS337" s="18">
        <f>IF(OR(G337="",B337=""),"",IF(AND(B337&gt;=TodayDate,P337&lt;&gt;"Cancelled"),B337,""))</f>
        <v>0</v>
      </c>
      <c r="AT337" s="31">
        <f>IF(AS337="","",COUNTIFS($AS$5:$AS$604,"&lt;"&amp;AS337)+COUNTIFS($AS$5:AS337,AS337))</f>
        <v>0</v>
      </c>
      <c r="AU337" s="18">
        <f>IF(OR(G337="",B337="",R337&lt;&gt;""),"",IF(AND(B337&gt;=TodayDate,P337&lt;&gt;"Cancelled"),B337,""))</f>
        <v>0</v>
      </c>
      <c r="AV337" s="31">
        <f>IF(AU337="","",COUNTIFS($AU$5:$AU$604,"&lt;"&amp;AU337)+COUNTIFS($AU$5:AU337,AU337))</f>
        <v>0</v>
      </c>
      <c r="AW337" s="31">
        <f>IF(OR(G337="",B337=""),"",B337-TodayDate)</f>
        <v>0</v>
      </c>
      <c r="AX337" s="39">
        <f>IF(G337="","",IF(P337="Cancelled","Cancelled",IF(P337="No access","Action - no access, rebook",IF(AND(B337&lt;&gt;"",AW337&lt;0,OR(P337="Booked",P337="Confirmed",P337="In progress")),"Late - mark it completed",IF(AND(P337="Completed",AP337=""),"Action - not invoiced yet",IF(AND(AW337&gt;=0,AW337&lt;=ReminderDays,Y337&lt;&gt;"Yes"),"Confirm - visit coming up",IF(R337="","Assign - no cleaner booked",IF(AND(P337="Completed",AO337&lt;&gt;"",AO337&lt;1),"Check - checklist unfinished","OK"))))))))</f>
        <v>0</v>
      </c>
    </row>
    <row r="338" spans="1:50">
      <c r="A338" s="43">
        <f>IF(G338="","",JobPrefix&amp;TEXT(ROW()-4,"0000"))</f>
        <v>0</v>
      </c>
      <c r="C338" s="23">
        <f>IF(B338="","",TEXT(B338,"ddd"))</f>
        <v>0</v>
      </c>
      <c r="D338" s="31">
        <f>IF(B338="","",WEEKNUM(B338,IF(WeekStart="Sunday",1,2)))</f>
        <v>0</v>
      </c>
      <c r="E338" s="23">
        <f>IF(B338="","",TEXT(B338,"yyyy-mm"))</f>
        <v>0</v>
      </c>
      <c r="H338" s="23">
        <f>IF(G338="","",IFERROR(INDEX(Clients!$B$5:$B$204,MATCH(G338,Clients!$A$5:$A$204,0)),"Not found"))</f>
        <v>0</v>
      </c>
      <c r="I338" s="23">
        <f>IF(G338="","",IFERROR(INDEX(Clients!$C$5:$C$204,MATCH(G338,Clients!$A$5:$A$204,0)),""))</f>
        <v>0</v>
      </c>
      <c r="K338" s="23">
        <f>IF(J338="","",IFERROR(INDEX(Properties!$B$5:$B$254,MATCH(J338,Properties!$A$5:$A$254,0)),""))</f>
        <v>0</v>
      </c>
      <c r="L338" s="23">
        <f>IF(J338="","",IFERROR(INDEX(Properties!$F$5:$F$254,MATCH(J338,Properties!$A$5:$A$254,0)),""))</f>
        <v>0</v>
      </c>
      <c r="AD338" s="34">
        <f>IF(G338="","",IF(U338&lt;&gt;"",U338,IF(AND(IFERROR(INDEX(Services!$D$5:$D$64,MATCH(M338,Services!$B$5:$B$64,0)),"")="Per hour",IFERROR(INDEX(Properties!$X$5:$X$254,MATCH(J338,Properties!$A$5:$A$254,0)),0)&gt;0),IFERROR(INDEX(Properties!$X$5:$X$254,MATCH(J338,Properties!$A$5:$A$254,0)),0),IF(IFERROR(INDEX(Services!$G$5:$G$64,MATCH(M338,Services!$B$5:$B$64,0)),0)&gt;0,IFERROR(INDEX(Services!$G$5:$G$64,MATCH(M338,Services!$B$5:$B$64,0)),0),IFERROR(INDEX(Properties!$X$5:$X$254,MATCH(J338,Properties!$A$5:$A$254,0)),0)))))</f>
        <v>0</v>
      </c>
      <c r="AE338" s="31">
        <f>IF(G338="","",IF(T338="",CleanersPerJob,MAX(1,T338)))</f>
        <v>0</v>
      </c>
      <c r="AF338" s="34">
        <f>IF(G338="","",ROUND(AD338/AE338,2))</f>
        <v>0</v>
      </c>
      <c r="AG338" s="53">
        <f>IF(OR(G338="",F338="",AF338=""),"",F338+AF338/24)</f>
        <v>0</v>
      </c>
      <c r="AH338" s="21">
        <f>IF(G338="","",IF(IFERROR(INDEX(Clients!$O$5:$O$204,MATCH(G338,Clients!$A$5:$A$204,0)),0)&gt;0,IFERROR(INDEX(Clients!$O$5:$O$204,MATCH(G338,Clients!$A$5:$A$204,0)),0),HourlyRate))</f>
        <v>0</v>
      </c>
      <c r="AI338" s="21">
        <f>IF(G338="","",IF(AND(M338&lt;&gt;"",IFERROR(INDEX(Services!$P$5:$P$64,MATCH(M338,Services!$B$5:$B$64,0)),0)&gt;0,IFERROR(INDEX(Services!$D$5:$D$64,MATCH(M338,Services!$B$5:$B$64,0)),"")&lt;&gt;"Per hour"),IFERROR(INDEX(Services!$P$5:$P$64,MATCH(M338,Services!$B$5:$B$64,0)),0),AD338*AH338))</f>
        <v>0</v>
      </c>
      <c r="AJ338" s="21">
        <f>IF(G338="","",IF(V338&lt;&gt;"",V338,IF(P338="Cancelled",0,MAX(MinimumCharge,ROUND(AI338*IFERROR(INDEX(FreqFactors,MATCH(O338,FreqNames,0)),1),2)))))</f>
        <v>0</v>
      </c>
      <c r="AK338" s="34">
        <f>IF(G338="","",IF(SUMIFS(Timesheets!$U$5:$U$804,Timesheets!$G$5:$G$804,A338)&gt;0,SUMIFS(Timesheets!$U$5:$U$804,Timesheets!$G$5:$G$804,A338),IF(Z338="","",Z338)))</f>
        <v>0</v>
      </c>
      <c r="AL338" s="34">
        <f>IF(OR(AK338="",AD338=""),"",AK338-AD338)</f>
        <v>0</v>
      </c>
      <c r="AM338" s="31">
        <f>IF(A338="","",COUNTIFS('Job Tasks'!$B$5:$B$904,A338))</f>
        <v>0</v>
      </c>
      <c r="AN338" s="31">
        <f>IF(A338="","",COUNTIFS('Job Tasks'!$B$5:$B$904,A338,'Job Tasks'!$H$5:$H$904,"Done"))</f>
        <v>0</v>
      </c>
      <c r="AO338" s="38">
        <f>IF(OR(A338="",AM338=0),"",AN338/AM338)</f>
        <v>0</v>
      </c>
      <c r="AP338" s="43">
        <f>IF(A338="","",IFERROR(INDEX('Invoice Lines'!$B$5:$B$804,MATCH(A338,'Invoice Lines'!$C$5:$C$804,0)),""))</f>
        <v>0</v>
      </c>
      <c r="AQ338" s="18">
        <f>IF(OR(G338="",B338="",X338&lt;&gt;"Yes"),"",IF(IFERROR(INDEX(FreqDays,MATCH(O338,FreqNames,0)),0)=0,"",B338+IFERROR(INDEX(FreqDays,MATCH(O338,FreqNames,0)),0)))</f>
        <v>0</v>
      </c>
      <c r="AR338" s="39">
        <f>IF(G338="","",IF(R338="","Unassigned",IF(COUNTIFS($R$5:$R$604,R338,$B$5:$B$604,B338,$F$5:$F$604,F338)&gt;1,"Clash",IF(SUMIFS($AF$5:$AF$604,$R$5:$R$604,R338,$B$5:$B$604,B338)&gt;ProductiveHours,"Long day","OK"))))</f>
        <v>0</v>
      </c>
      <c r="AS338" s="18">
        <f>IF(OR(G338="",B338=""),"",IF(AND(B338&gt;=TodayDate,P338&lt;&gt;"Cancelled"),B338,""))</f>
        <v>0</v>
      </c>
      <c r="AT338" s="31">
        <f>IF(AS338="","",COUNTIFS($AS$5:$AS$604,"&lt;"&amp;AS338)+COUNTIFS($AS$5:AS338,AS338))</f>
        <v>0</v>
      </c>
      <c r="AU338" s="18">
        <f>IF(OR(G338="",B338="",R338&lt;&gt;""),"",IF(AND(B338&gt;=TodayDate,P338&lt;&gt;"Cancelled"),B338,""))</f>
        <v>0</v>
      </c>
      <c r="AV338" s="31">
        <f>IF(AU338="","",COUNTIFS($AU$5:$AU$604,"&lt;"&amp;AU338)+COUNTIFS($AU$5:AU338,AU338))</f>
        <v>0</v>
      </c>
      <c r="AW338" s="31">
        <f>IF(OR(G338="",B338=""),"",B338-TodayDate)</f>
        <v>0</v>
      </c>
      <c r="AX338" s="39">
        <f>IF(G338="","",IF(P338="Cancelled","Cancelled",IF(P338="No access","Action - no access, rebook",IF(AND(B338&lt;&gt;"",AW338&lt;0,OR(P338="Booked",P338="Confirmed",P338="In progress")),"Late - mark it completed",IF(AND(P338="Completed",AP338=""),"Action - not invoiced yet",IF(AND(AW338&gt;=0,AW338&lt;=ReminderDays,Y338&lt;&gt;"Yes"),"Confirm - visit coming up",IF(R338="","Assign - no cleaner booked",IF(AND(P338="Completed",AO338&lt;&gt;"",AO338&lt;1),"Check - checklist unfinished","OK"))))))))</f>
        <v>0</v>
      </c>
    </row>
    <row r="339" spans="1:50">
      <c r="A339" s="43">
        <f>IF(G339="","",JobPrefix&amp;TEXT(ROW()-4,"0000"))</f>
        <v>0</v>
      </c>
      <c r="C339" s="23">
        <f>IF(B339="","",TEXT(B339,"ddd"))</f>
        <v>0</v>
      </c>
      <c r="D339" s="31">
        <f>IF(B339="","",WEEKNUM(B339,IF(WeekStart="Sunday",1,2)))</f>
        <v>0</v>
      </c>
      <c r="E339" s="23">
        <f>IF(B339="","",TEXT(B339,"yyyy-mm"))</f>
        <v>0</v>
      </c>
      <c r="H339" s="23">
        <f>IF(G339="","",IFERROR(INDEX(Clients!$B$5:$B$204,MATCH(G339,Clients!$A$5:$A$204,0)),"Not found"))</f>
        <v>0</v>
      </c>
      <c r="I339" s="23">
        <f>IF(G339="","",IFERROR(INDEX(Clients!$C$5:$C$204,MATCH(G339,Clients!$A$5:$A$204,0)),""))</f>
        <v>0</v>
      </c>
      <c r="K339" s="23">
        <f>IF(J339="","",IFERROR(INDEX(Properties!$B$5:$B$254,MATCH(J339,Properties!$A$5:$A$254,0)),""))</f>
        <v>0</v>
      </c>
      <c r="L339" s="23">
        <f>IF(J339="","",IFERROR(INDEX(Properties!$F$5:$F$254,MATCH(J339,Properties!$A$5:$A$254,0)),""))</f>
        <v>0</v>
      </c>
      <c r="AD339" s="34">
        <f>IF(G339="","",IF(U339&lt;&gt;"",U339,IF(AND(IFERROR(INDEX(Services!$D$5:$D$64,MATCH(M339,Services!$B$5:$B$64,0)),"")="Per hour",IFERROR(INDEX(Properties!$X$5:$X$254,MATCH(J339,Properties!$A$5:$A$254,0)),0)&gt;0),IFERROR(INDEX(Properties!$X$5:$X$254,MATCH(J339,Properties!$A$5:$A$254,0)),0),IF(IFERROR(INDEX(Services!$G$5:$G$64,MATCH(M339,Services!$B$5:$B$64,0)),0)&gt;0,IFERROR(INDEX(Services!$G$5:$G$64,MATCH(M339,Services!$B$5:$B$64,0)),0),IFERROR(INDEX(Properties!$X$5:$X$254,MATCH(J339,Properties!$A$5:$A$254,0)),0)))))</f>
        <v>0</v>
      </c>
      <c r="AE339" s="31">
        <f>IF(G339="","",IF(T339="",CleanersPerJob,MAX(1,T339)))</f>
        <v>0</v>
      </c>
      <c r="AF339" s="34">
        <f>IF(G339="","",ROUND(AD339/AE339,2))</f>
        <v>0</v>
      </c>
      <c r="AG339" s="53">
        <f>IF(OR(G339="",F339="",AF339=""),"",F339+AF339/24)</f>
        <v>0</v>
      </c>
      <c r="AH339" s="21">
        <f>IF(G339="","",IF(IFERROR(INDEX(Clients!$O$5:$O$204,MATCH(G339,Clients!$A$5:$A$204,0)),0)&gt;0,IFERROR(INDEX(Clients!$O$5:$O$204,MATCH(G339,Clients!$A$5:$A$204,0)),0),HourlyRate))</f>
        <v>0</v>
      </c>
      <c r="AI339" s="21">
        <f>IF(G339="","",IF(AND(M339&lt;&gt;"",IFERROR(INDEX(Services!$P$5:$P$64,MATCH(M339,Services!$B$5:$B$64,0)),0)&gt;0,IFERROR(INDEX(Services!$D$5:$D$64,MATCH(M339,Services!$B$5:$B$64,0)),"")&lt;&gt;"Per hour"),IFERROR(INDEX(Services!$P$5:$P$64,MATCH(M339,Services!$B$5:$B$64,0)),0),AD339*AH339))</f>
        <v>0</v>
      </c>
      <c r="AJ339" s="21">
        <f>IF(G339="","",IF(V339&lt;&gt;"",V339,IF(P339="Cancelled",0,MAX(MinimumCharge,ROUND(AI339*IFERROR(INDEX(FreqFactors,MATCH(O339,FreqNames,0)),1),2)))))</f>
        <v>0</v>
      </c>
      <c r="AK339" s="34">
        <f>IF(G339="","",IF(SUMIFS(Timesheets!$U$5:$U$804,Timesheets!$G$5:$G$804,A339)&gt;0,SUMIFS(Timesheets!$U$5:$U$804,Timesheets!$G$5:$G$804,A339),IF(Z339="","",Z339)))</f>
        <v>0</v>
      </c>
      <c r="AL339" s="34">
        <f>IF(OR(AK339="",AD339=""),"",AK339-AD339)</f>
        <v>0</v>
      </c>
      <c r="AM339" s="31">
        <f>IF(A339="","",COUNTIFS('Job Tasks'!$B$5:$B$904,A339))</f>
        <v>0</v>
      </c>
      <c r="AN339" s="31">
        <f>IF(A339="","",COUNTIFS('Job Tasks'!$B$5:$B$904,A339,'Job Tasks'!$H$5:$H$904,"Done"))</f>
        <v>0</v>
      </c>
      <c r="AO339" s="38">
        <f>IF(OR(A339="",AM339=0),"",AN339/AM339)</f>
        <v>0</v>
      </c>
      <c r="AP339" s="43">
        <f>IF(A339="","",IFERROR(INDEX('Invoice Lines'!$B$5:$B$804,MATCH(A339,'Invoice Lines'!$C$5:$C$804,0)),""))</f>
        <v>0</v>
      </c>
      <c r="AQ339" s="18">
        <f>IF(OR(G339="",B339="",X339&lt;&gt;"Yes"),"",IF(IFERROR(INDEX(FreqDays,MATCH(O339,FreqNames,0)),0)=0,"",B339+IFERROR(INDEX(FreqDays,MATCH(O339,FreqNames,0)),0)))</f>
        <v>0</v>
      </c>
      <c r="AR339" s="39">
        <f>IF(G339="","",IF(R339="","Unassigned",IF(COUNTIFS($R$5:$R$604,R339,$B$5:$B$604,B339,$F$5:$F$604,F339)&gt;1,"Clash",IF(SUMIFS($AF$5:$AF$604,$R$5:$R$604,R339,$B$5:$B$604,B339)&gt;ProductiveHours,"Long day","OK"))))</f>
        <v>0</v>
      </c>
      <c r="AS339" s="18">
        <f>IF(OR(G339="",B339=""),"",IF(AND(B339&gt;=TodayDate,P339&lt;&gt;"Cancelled"),B339,""))</f>
        <v>0</v>
      </c>
      <c r="AT339" s="31">
        <f>IF(AS339="","",COUNTIFS($AS$5:$AS$604,"&lt;"&amp;AS339)+COUNTIFS($AS$5:AS339,AS339))</f>
        <v>0</v>
      </c>
      <c r="AU339" s="18">
        <f>IF(OR(G339="",B339="",R339&lt;&gt;""),"",IF(AND(B339&gt;=TodayDate,P339&lt;&gt;"Cancelled"),B339,""))</f>
        <v>0</v>
      </c>
      <c r="AV339" s="31">
        <f>IF(AU339="","",COUNTIFS($AU$5:$AU$604,"&lt;"&amp;AU339)+COUNTIFS($AU$5:AU339,AU339))</f>
        <v>0</v>
      </c>
      <c r="AW339" s="31">
        <f>IF(OR(G339="",B339=""),"",B339-TodayDate)</f>
        <v>0</v>
      </c>
      <c r="AX339" s="39">
        <f>IF(G339="","",IF(P339="Cancelled","Cancelled",IF(P339="No access","Action - no access, rebook",IF(AND(B339&lt;&gt;"",AW339&lt;0,OR(P339="Booked",P339="Confirmed",P339="In progress")),"Late - mark it completed",IF(AND(P339="Completed",AP339=""),"Action - not invoiced yet",IF(AND(AW339&gt;=0,AW339&lt;=ReminderDays,Y339&lt;&gt;"Yes"),"Confirm - visit coming up",IF(R339="","Assign - no cleaner booked",IF(AND(P339="Completed",AO339&lt;&gt;"",AO339&lt;1),"Check - checklist unfinished","OK"))))))))</f>
        <v>0</v>
      </c>
    </row>
    <row r="340" spans="1:50">
      <c r="A340" s="43">
        <f>IF(G340="","",JobPrefix&amp;TEXT(ROW()-4,"0000"))</f>
        <v>0</v>
      </c>
      <c r="C340" s="23">
        <f>IF(B340="","",TEXT(B340,"ddd"))</f>
        <v>0</v>
      </c>
      <c r="D340" s="31">
        <f>IF(B340="","",WEEKNUM(B340,IF(WeekStart="Sunday",1,2)))</f>
        <v>0</v>
      </c>
      <c r="E340" s="23">
        <f>IF(B340="","",TEXT(B340,"yyyy-mm"))</f>
        <v>0</v>
      </c>
      <c r="H340" s="23">
        <f>IF(G340="","",IFERROR(INDEX(Clients!$B$5:$B$204,MATCH(G340,Clients!$A$5:$A$204,0)),"Not found"))</f>
        <v>0</v>
      </c>
      <c r="I340" s="23">
        <f>IF(G340="","",IFERROR(INDEX(Clients!$C$5:$C$204,MATCH(G340,Clients!$A$5:$A$204,0)),""))</f>
        <v>0</v>
      </c>
      <c r="K340" s="23">
        <f>IF(J340="","",IFERROR(INDEX(Properties!$B$5:$B$254,MATCH(J340,Properties!$A$5:$A$254,0)),""))</f>
        <v>0</v>
      </c>
      <c r="L340" s="23">
        <f>IF(J340="","",IFERROR(INDEX(Properties!$F$5:$F$254,MATCH(J340,Properties!$A$5:$A$254,0)),""))</f>
        <v>0</v>
      </c>
      <c r="AD340" s="34">
        <f>IF(G340="","",IF(U340&lt;&gt;"",U340,IF(AND(IFERROR(INDEX(Services!$D$5:$D$64,MATCH(M340,Services!$B$5:$B$64,0)),"")="Per hour",IFERROR(INDEX(Properties!$X$5:$X$254,MATCH(J340,Properties!$A$5:$A$254,0)),0)&gt;0),IFERROR(INDEX(Properties!$X$5:$X$254,MATCH(J340,Properties!$A$5:$A$254,0)),0),IF(IFERROR(INDEX(Services!$G$5:$G$64,MATCH(M340,Services!$B$5:$B$64,0)),0)&gt;0,IFERROR(INDEX(Services!$G$5:$G$64,MATCH(M340,Services!$B$5:$B$64,0)),0),IFERROR(INDEX(Properties!$X$5:$X$254,MATCH(J340,Properties!$A$5:$A$254,0)),0)))))</f>
        <v>0</v>
      </c>
      <c r="AE340" s="31">
        <f>IF(G340="","",IF(T340="",CleanersPerJob,MAX(1,T340)))</f>
        <v>0</v>
      </c>
      <c r="AF340" s="34">
        <f>IF(G340="","",ROUND(AD340/AE340,2))</f>
        <v>0</v>
      </c>
      <c r="AG340" s="53">
        <f>IF(OR(G340="",F340="",AF340=""),"",F340+AF340/24)</f>
        <v>0</v>
      </c>
      <c r="AH340" s="21">
        <f>IF(G340="","",IF(IFERROR(INDEX(Clients!$O$5:$O$204,MATCH(G340,Clients!$A$5:$A$204,0)),0)&gt;0,IFERROR(INDEX(Clients!$O$5:$O$204,MATCH(G340,Clients!$A$5:$A$204,0)),0),HourlyRate))</f>
        <v>0</v>
      </c>
      <c r="AI340" s="21">
        <f>IF(G340="","",IF(AND(M340&lt;&gt;"",IFERROR(INDEX(Services!$P$5:$P$64,MATCH(M340,Services!$B$5:$B$64,0)),0)&gt;0,IFERROR(INDEX(Services!$D$5:$D$64,MATCH(M340,Services!$B$5:$B$64,0)),"")&lt;&gt;"Per hour"),IFERROR(INDEX(Services!$P$5:$P$64,MATCH(M340,Services!$B$5:$B$64,0)),0),AD340*AH340))</f>
        <v>0</v>
      </c>
      <c r="AJ340" s="21">
        <f>IF(G340="","",IF(V340&lt;&gt;"",V340,IF(P340="Cancelled",0,MAX(MinimumCharge,ROUND(AI340*IFERROR(INDEX(FreqFactors,MATCH(O340,FreqNames,0)),1),2)))))</f>
        <v>0</v>
      </c>
      <c r="AK340" s="34">
        <f>IF(G340="","",IF(SUMIFS(Timesheets!$U$5:$U$804,Timesheets!$G$5:$G$804,A340)&gt;0,SUMIFS(Timesheets!$U$5:$U$804,Timesheets!$G$5:$G$804,A340),IF(Z340="","",Z340)))</f>
        <v>0</v>
      </c>
      <c r="AL340" s="34">
        <f>IF(OR(AK340="",AD340=""),"",AK340-AD340)</f>
        <v>0</v>
      </c>
      <c r="AM340" s="31">
        <f>IF(A340="","",COUNTIFS('Job Tasks'!$B$5:$B$904,A340))</f>
        <v>0</v>
      </c>
      <c r="AN340" s="31">
        <f>IF(A340="","",COUNTIFS('Job Tasks'!$B$5:$B$904,A340,'Job Tasks'!$H$5:$H$904,"Done"))</f>
        <v>0</v>
      </c>
      <c r="AO340" s="38">
        <f>IF(OR(A340="",AM340=0),"",AN340/AM340)</f>
        <v>0</v>
      </c>
      <c r="AP340" s="43">
        <f>IF(A340="","",IFERROR(INDEX('Invoice Lines'!$B$5:$B$804,MATCH(A340,'Invoice Lines'!$C$5:$C$804,0)),""))</f>
        <v>0</v>
      </c>
      <c r="AQ340" s="18">
        <f>IF(OR(G340="",B340="",X340&lt;&gt;"Yes"),"",IF(IFERROR(INDEX(FreqDays,MATCH(O340,FreqNames,0)),0)=0,"",B340+IFERROR(INDEX(FreqDays,MATCH(O340,FreqNames,0)),0)))</f>
        <v>0</v>
      </c>
      <c r="AR340" s="39">
        <f>IF(G340="","",IF(R340="","Unassigned",IF(COUNTIFS($R$5:$R$604,R340,$B$5:$B$604,B340,$F$5:$F$604,F340)&gt;1,"Clash",IF(SUMIFS($AF$5:$AF$604,$R$5:$R$604,R340,$B$5:$B$604,B340)&gt;ProductiveHours,"Long day","OK"))))</f>
        <v>0</v>
      </c>
      <c r="AS340" s="18">
        <f>IF(OR(G340="",B340=""),"",IF(AND(B340&gt;=TodayDate,P340&lt;&gt;"Cancelled"),B340,""))</f>
        <v>0</v>
      </c>
      <c r="AT340" s="31">
        <f>IF(AS340="","",COUNTIFS($AS$5:$AS$604,"&lt;"&amp;AS340)+COUNTIFS($AS$5:AS340,AS340))</f>
        <v>0</v>
      </c>
      <c r="AU340" s="18">
        <f>IF(OR(G340="",B340="",R340&lt;&gt;""),"",IF(AND(B340&gt;=TodayDate,P340&lt;&gt;"Cancelled"),B340,""))</f>
        <v>0</v>
      </c>
      <c r="AV340" s="31">
        <f>IF(AU340="","",COUNTIFS($AU$5:$AU$604,"&lt;"&amp;AU340)+COUNTIFS($AU$5:AU340,AU340))</f>
        <v>0</v>
      </c>
      <c r="AW340" s="31">
        <f>IF(OR(G340="",B340=""),"",B340-TodayDate)</f>
        <v>0</v>
      </c>
      <c r="AX340" s="39">
        <f>IF(G340="","",IF(P340="Cancelled","Cancelled",IF(P340="No access","Action - no access, rebook",IF(AND(B340&lt;&gt;"",AW340&lt;0,OR(P340="Booked",P340="Confirmed",P340="In progress")),"Late - mark it completed",IF(AND(P340="Completed",AP340=""),"Action - not invoiced yet",IF(AND(AW340&gt;=0,AW340&lt;=ReminderDays,Y340&lt;&gt;"Yes"),"Confirm - visit coming up",IF(R340="","Assign - no cleaner booked",IF(AND(P340="Completed",AO340&lt;&gt;"",AO340&lt;1),"Check - checklist unfinished","OK"))))))))</f>
        <v>0</v>
      </c>
    </row>
    <row r="341" spans="1:50">
      <c r="A341" s="43">
        <f>IF(G341="","",JobPrefix&amp;TEXT(ROW()-4,"0000"))</f>
        <v>0</v>
      </c>
      <c r="C341" s="23">
        <f>IF(B341="","",TEXT(B341,"ddd"))</f>
        <v>0</v>
      </c>
      <c r="D341" s="31">
        <f>IF(B341="","",WEEKNUM(B341,IF(WeekStart="Sunday",1,2)))</f>
        <v>0</v>
      </c>
      <c r="E341" s="23">
        <f>IF(B341="","",TEXT(B341,"yyyy-mm"))</f>
        <v>0</v>
      </c>
      <c r="H341" s="23">
        <f>IF(G341="","",IFERROR(INDEX(Clients!$B$5:$B$204,MATCH(G341,Clients!$A$5:$A$204,0)),"Not found"))</f>
        <v>0</v>
      </c>
      <c r="I341" s="23">
        <f>IF(G341="","",IFERROR(INDEX(Clients!$C$5:$C$204,MATCH(G341,Clients!$A$5:$A$204,0)),""))</f>
        <v>0</v>
      </c>
      <c r="K341" s="23">
        <f>IF(J341="","",IFERROR(INDEX(Properties!$B$5:$B$254,MATCH(J341,Properties!$A$5:$A$254,0)),""))</f>
        <v>0</v>
      </c>
      <c r="L341" s="23">
        <f>IF(J341="","",IFERROR(INDEX(Properties!$F$5:$F$254,MATCH(J341,Properties!$A$5:$A$254,0)),""))</f>
        <v>0</v>
      </c>
      <c r="AD341" s="34">
        <f>IF(G341="","",IF(U341&lt;&gt;"",U341,IF(AND(IFERROR(INDEX(Services!$D$5:$D$64,MATCH(M341,Services!$B$5:$B$64,0)),"")="Per hour",IFERROR(INDEX(Properties!$X$5:$X$254,MATCH(J341,Properties!$A$5:$A$254,0)),0)&gt;0),IFERROR(INDEX(Properties!$X$5:$X$254,MATCH(J341,Properties!$A$5:$A$254,0)),0),IF(IFERROR(INDEX(Services!$G$5:$G$64,MATCH(M341,Services!$B$5:$B$64,0)),0)&gt;0,IFERROR(INDEX(Services!$G$5:$G$64,MATCH(M341,Services!$B$5:$B$64,0)),0),IFERROR(INDEX(Properties!$X$5:$X$254,MATCH(J341,Properties!$A$5:$A$254,0)),0)))))</f>
        <v>0</v>
      </c>
      <c r="AE341" s="31">
        <f>IF(G341="","",IF(T341="",CleanersPerJob,MAX(1,T341)))</f>
        <v>0</v>
      </c>
      <c r="AF341" s="34">
        <f>IF(G341="","",ROUND(AD341/AE341,2))</f>
        <v>0</v>
      </c>
      <c r="AG341" s="53">
        <f>IF(OR(G341="",F341="",AF341=""),"",F341+AF341/24)</f>
        <v>0</v>
      </c>
      <c r="AH341" s="21">
        <f>IF(G341="","",IF(IFERROR(INDEX(Clients!$O$5:$O$204,MATCH(G341,Clients!$A$5:$A$204,0)),0)&gt;0,IFERROR(INDEX(Clients!$O$5:$O$204,MATCH(G341,Clients!$A$5:$A$204,0)),0),HourlyRate))</f>
        <v>0</v>
      </c>
      <c r="AI341" s="21">
        <f>IF(G341="","",IF(AND(M341&lt;&gt;"",IFERROR(INDEX(Services!$P$5:$P$64,MATCH(M341,Services!$B$5:$B$64,0)),0)&gt;0,IFERROR(INDEX(Services!$D$5:$D$64,MATCH(M341,Services!$B$5:$B$64,0)),"")&lt;&gt;"Per hour"),IFERROR(INDEX(Services!$P$5:$P$64,MATCH(M341,Services!$B$5:$B$64,0)),0),AD341*AH341))</f>
        <v>0</v>
      </c>
      <c r="AJ341" s="21">
        <f>IF(G341="","",IF(V341&lt;&gt;"",V341,IF(P341="Cancelled",0,MAX(MinimumCharge,ROUND(AI341*IFERROR(INDEX(FreqFactors,MATCH(O341,FreqNames,0)),1),2)))))</f>
        <v>0</v>
      </c>
      <c r="AK341" s="34">
        <f>IF(G341="","",IF(SUMIFS(Timesheets!$U$5:$U$804,Timesheets!$G$5:$G$804,A341)&gt;0,SUMIFS(Timesheets!$U$5:$U$804,Timesheets!$G$5:$G$804,A341),IF(Z341="","",Z341)))</f>
        <v>0</v>
      </c>
      <c r="AL341" s="34">
        <f>IF(OR(AK341="",AD341=""),"",AK341-AD341)</f>
        <v>0</v>
      </c>
      <c r="AM341" s="31">
        <f>IF(A341="","",COUNTIFS('Job Tasks'!$B$5:$B$904,A341))</f>
        <v>0</v>
      </c>
      <c r="AN341" s="31">
        <f>IF(A341="","",COUNTIFS('Job Tasks'!$B$5:$B$904,A341,'Job Tasks'!$H$5:$H$904,"Done"))</f>
        <v>0</v>
      </c>
      <c r="AO341" s="38">
        <f>IF(OR(A341="",AM341=0),"",AN341/AM341)</f>
        <v>0</v>
      </c>
      <c r="AP341" s="43">
        <f>IF(A341="","",IFERROR(INDEX('Invoice Lines'!$B$5:$B$804,MATCH(A341,'Invoice Lines'!$C$5:$C$804,0)),""))</f>
        <v>0</v>
      </c>
      <c r="AQ341" s="18">
        <f>IF(OR(G341="",B341="",X341&lt;&gt;"Yes"),"",IF(IFERROR(INDEX(FreqDays,MATCH(O341,FreqNames,0)),0)=0,"",B341+IFERROR(INDEX(FreqDays,MATCH(O341,FreqNames,0)),0)))</f>
        <v>0</v>
      </c>
      <c r="AR341" s="39">
        <f>IF(G341="","",IF(R341="","Unassigned",IF(COUNTIFS($R$5:$R$604,R341,$B$5:$B$604,B341,$F$5:$F$604,F341)&gt;1,"Clash",IF(SUMIFS($AF$5:$AF$604,$R$5:$R$604,R341,$B$5:$B$604,B341)&gt;ProductiveHours,"Long day","OK"))))</f>
        <v>0</v>
      </c>
      <c r="AS341" s="18">
        <f>IF(OR(G341="",B341=""),"",IF(AND(B341&gt;=TodayDate,P341&lt;&gt;"Cancelled"),B341,""))</f>
        <v>0</v>
      </c>
      <c r="AT341" s="31">
        <f>IF(AS341="","",COUNTIFS($AS$5:$AS$604,"&lt;"&amp;AS341)+COUNTIFS($AS$5:AS341,AS341))</f>
        <v>0</v>
      </c>
      <c r="AU341" s="18">
        <f>IF(OR(G341="",B341="",R341&lt;&gt;""),"",IF(AND(B341&gt;=TodayDate,P341&lt;&gt;"Cancelled"),B341,""))</f>
        <v>0</v>
      </c>
      <c r="AV341" s="31">
        <f>IF(AU341="","",COUNTIFS($AU$5:$AU$604,"&lt;"&amp;AU341)+COUNTIFS($AU$5:AU341,AU341))</f>
        <v>0</v>
      </c>
      <c r="AW341" s="31">
        <f>IF(OR(G341="",B341=""),"",B341-TodayDate)</f>
        <v>0</v>
      </c>
      <c r="AX341" s="39">
        <f>IF(G341="","",IF(P341="Cancelled","Cancelled",IF(P341="No access","Action - no access, rebook",IF(AND(B341&lt;&gt;"",AW341&lt;0,OR(P341="Booked",P341="Confirmed",P341="In progress")),"Late - mark it completed",IF(AND(P341="Completed",AP341=""),"Action - not invoiced yet",IF(AND(AW341&gt;=0,AW341&lt;=ReminderDays,Y341&lt;&gt;"Yes"),"Confirm - visit coming up",IF(R341="","Assign - no cleaner booked",IF(AND(P341="Completed",AO341&lt;&gt;"",AO341&lt;1),"Check - checklist unfinished","OK"))))))))</f>
        <v>0</v>
      </c>
    </row>
    <row r="342" spans="1:50">
      <c r="A342" s="43">
        <f>IF(G342="","",JobPrefix&amp;TEXT(ROW()-4,"0000"))</f>
        <v>0</v>
      </c>
      <c r="C342" s="23">
        <f>IF(B342="","",TEXT(B342,"ddd"))</f>
        <v>0</v>
      </c>
      <c r="D342" s="31">
        <f>IF(B342="","",WEEKNUM(B342,IF(WeekStart="Sunday",1,2)))</f>
        <v>0</v>
      </c>
      <c r="E342" s="23">
        <f>IF(B342="","",TEXT(B342,"yyyy-mm"))</f>
        <v>0</v>
      </c>
      <c r="H342" s="23">
        <f>IF(G342="","",IFERROR(INDEX(Clients!$B$5:$B$204,MATCH(G342,Clients!$A$5:$A$204,0)),"Not found"))</f>
        <v>0</v>
      </c>
      <c r="I342" s="23">
        <f>IF(G342="","",IFERROR(INDEX(Clients!$C$5:$C$204,MATCH(G342,Clients!$A$5:$A$204,0)),""))</f>
        <v>0</v>
      </c>
      <c r="K342" s="23">
        <f>IF(J342="","",IFERROR(INDEX(Properties!$B$5:$B$254,MATCH(J342,Properties!$A$5:$A$254,0)),""))</f>
        <v>0</v>
      </c>
      <c r="L342" s="23">
        <f>IF(J342="","",IFERROR(INDEX(Properties!$F$5:$F$254,MATCH(J342,Properties!$A$5:$A$254,0)),""))</f>
        <v>0</v>
      </c>
      <c r="AD342" s="34">
        <f>IF(G342="","",IF(U342&lt;&gt;"",U342,IF(AND(IFERROR(INDEX(Services!$D$5:$D$64,MATCH(M342,Services!$B$5:$B$64,0)),"")="Per hour",IFERROR(INDEX(Properties!$X$5:$X$254,MATCH(J342,Properties!$A$5:$A$254,0)),0)&gt;0),IFERROR(INDEX(Properties!$X$5:$X$254,MATCH(J342,Properties!$A$5:$A$254,0)),0),IF(IFERROR(INDEX(Services!$G$5:$G$64,MATCH(M342,Services!$B$5:$B$64,0)),0)&gt;0,IFERROR(INDEX(Services!$G$5:$G$64,MATCH(M342,Services!$B$5:$B$64,0)),0),IFERROR(INDEX(Properties!$X$5:$X$254,MATCH(J342,Properties!$A$5:$A$254,0)),0)))))</f>
        <v>0</v>
      </c>
      <c r="AE342" s="31">
        <f>IF(G342="","",IF(T342="",CleanersPerJob,MAX(1,T342)))</f>
        <v>0</v>
      </c>
      <c r="AF342" s="34">
        <f>IF(G342="","",ROUND(AD342/AE342,2))</f>
        <v>0</v>
      </c>
      <c r="AG342" s="53">
        <f>IF(OR(G342="",F342="",AF342=""),"",F342+AF342/24)</f>
        <v>0</v>
      </c>
      <c r="AH342" s="21">
        <f>IF(G342="","",IF(IFERROR(INDEX(Clients!$O$5:$O$204,MATCH(G342,Clients!$A$5:$A$204,0)),0)&gt;0,IFERROR(INDEX(Clients!$O$5:$O$204,MATCH(G342,Clients!$A$5:$A$204,0)),0),HourlyRate))</f>
        <v>0</v>
      </c>
      <c r="AI342" s="21">
        <f>IF(G342="","",IF(AND(M342&lt;&gt;"",IFERROR(INDEX(Services!$P$5:$P$64,MATCH(M342,Services!$B$5:$B$64,0)),0)&gt;0,IFERROR(INDEX(Services!$D$5:$D$64,MATCH(M342,Services!$B$5:$B$64,0)),"")&lt;&gt;"Per hour"),IFERROR(INDEX(Services!$P$5:$P$64,MATCH(M342,Services!$B$5:$B$64,0)),0),AD342*AH342))</f>
        <v>0</v>
      </c>
      <c r="AJ342" s="21">
        <f>IF(G342="","",IF(V342&lt;&gt;"",V342,IF(P342="Cancelled",0,MAX(MinimumCharge,ROUND(AI342*IFERROR(INDEX(FreqFactors,MATCH(O342,FreqNames,0)),1),2)))))</f>
        <v>0</v>
      </c>
      <c r="AK342" s="34">
        <f>IF(G342="","",IF(SUMIFS(Timesheets!$U$5:$U$804,Timesheets!$G$5:$G$804,A342)&gt;0,SUMIFS(Timesheets!$U$5:$U$804,Timesheets!$G$5:$G$804,A342),IF(Z342="","",Z342)))</f>
        <v>0</v>
      </c>
      <c r="AL342" s="34">
        <f>IF(OR(AK342="",AD342=""),"",AK342-AD342)</f>
        <v>0</v>
      </c>
      <c r="AM342" s="31">
        <f>IF(A342="","",COUNTIFS('Job Tasks'!$B$5:$B$904,A342))</f>
        <v>0</v>
      </c>
      <c r="AN342" s="31">
        <f>IF(A342="","",COUNTIFS('Job Tasks'!$B$5:$B$904,A342,'Job Tasks'!$H$5:$H$904,"Done"))</f>
        <v>0</v>
      </c>
      <c r="AO342" s="38">
        <f>IF(OR(A342="",AM342=0),"",AN342/AM342)</f>
        <v>0</v>
      </c>
      <c r="AP342" s="43">
        <f>IF(A342="","",IFERROR(INDEX('Invoice Lines'!$B$5:$B$804,MATCH(A342,'Invoice Lines'!$C$5:$C$804,0)),""))</f>
        <v>0</v>
      </c>
      <c r="AQ342" s="18">
        <f>IF(OR(G342="",B342="",X342&lt;&gt;"Yes"),"",IF(IFERROR(INDEX(FreqDays,MATCH(O342,FreqNames,0)),0)=0,"",B342+IFERROR(INDEX(FreqDays,MATCH(O342,FreqNames,0)),0)))</f>
        <v>0</v>
      </c>
      <c r="AR342" s="39">
        <f>IF(G342="","",IF(R342="","Unassigned",IF(COUNTIFS($R$5:$R$604,R342,$B$5:$B$604,B342,$F$5:$F$604,F342)&gt;1,"Clash",IF(SUMIFS($AF$5:$AF$604,$R$5:$R$604,R342,$B$5:$B$604,B342)&gt;ProductiveHours,"Long day","OK"))))</f>
        <v>0</v>
      </c>
      <c r="AS342" s="18">
        <f>IF(OR(G342="",B342=""),"",IF(AND(B342&gt;=TodayDate,P342&lt;&gt;"Cancelled"),B342,""))</f>
        <v>0</v>
      </c>
      <c r="AT342" s="31">
        <f>IF(AS342="","",COUNTIFS($AS$5:$AS$604,"&lt;"&amp;AS342)+COUNTIFS($AS$5:AS342,AS342))</f>
        <v>0</v>
      </c>
      <c r="AU342" s="18">
        <f>IF(OR(G342="",B342="",R342&lt;&gt;""),"",IF(AND(B342&gt;=TodayDate,P342&lt;&gt;"Cancelled"),B342,""))</f>
        <v>0</v>
      </c>
      <c r="AV342" s="31">
        <f>IF(AU342="","",COUNTIFS($AU$5:$AU$604,"&lt;"&amp;AU342)+COUNTIFS($AU$5:AU342,AU342))</f>
        <v>0</v>
      </c>
      <c r="AW342" s="31">
        <f>IF(OR(G342="",B342=""),"",B342-TodayDate)</f>
        <v>0</v>
      </c>
      <c r="AX342" s="39">
        <f>IF(G342="","",IF(P342="Cancelled","Cancelled",IF(P342="No access","Action - no access, rebook",IF(AND(B342&lt;&gt;"",AW342&lt;0,OR(P342="Booked",P342="Confirmed",P342="In progress")),"Late - mark it completed",IF(AND(P342="Completed",AP342=""),"Action - not invoiced yet",IF(AND(AW342&gt;=0,AW342&lt;=ReminderDays,Y342&lt;&gt;"Yes"),"Confirm - visit coming up",IF(R342="","Assign - no cleaner booked",IF(AND(P342="Completed",AO342&lt;&gt;"",AO342&lt;1),"Check - checklist unfinished","OK"))))))))</f>
        <v>0</v>
      </c>
    </row>
    <row r="343" spans="1:50">
      <c r="A343" s="43">
        <f>IF(G343="","",JobPrefix&amp;TEXT(ROW()-4,"0000"))</f>
        <v>0</v>
      </c>
      <c r="C343" s="23">
        <f>IF(B343="","",TEXT(B343,"ddd"))</f>
        <v>0</v>
      </c>
      <c r="D343" s="31">
        <f>IF(B343="","",WEEKNUM(B343,IF(WeekStart="Sunday",1,2)))</f>
        <v>0</v>
      </c>
      <c r="E343" s="23">
        <f>IF(B343="","",TEXT(B343,"yyyy-mm"))</f>
        <v>0</v>
      </c>
      <c r="H343" s="23">
        <f>IF(G343="","",IFERROR(INDEX(Clients!$B$5:$B$204,MATCH(G343,Clients!$A$5:$A$204,0)),"Not found"))</f>
        <v>0</v>
      </c>
      <c r="I343" s="23">
        <f>IF(G343="","",IFERROR(INDEX(Clients!$C$5:$C$204,MATCH(G343,Clients!$A$5:$A$204,0)),""))</f>
        <v>0</v>
      </c>
      <c r="K343" s="23">
        <f>IF(J343="","",IFERROR(INDEX(Properties!$B$5:$B$254,MATCH(J343,Properties!$A$5:$A$254,0)),""))</f>
        <v>0</v>
      </c>
      <c r="L343" s="23">
        <f>IF(J343="","",IFERROR(INDEX(Properties!$F$5:$F$254,MATCH(J343,Properties!$A$5:$A$254,0)),""))</f>
        <v>0</v>
      </c>
      <c r="AD343" s="34">
        <f>IF(G343="","",IF(U343&lt;&gt;"",U343,IF(AND(IFERROR(INDEX(Services!$D$5:$D$64,MATCH(M343,Services!$B$5:$B$64,0)),"")="Per hour",IFERROR(INDEX(Properties!$X$5:$X$254,MATCH(J343,Properties!$A$5:$A$254,0)),0)&gt;0),IFERROR(INDEX(Properties!$X$5:$X$254,MATCH(J343,Properties!$A$5:$A$254,0)),0),IF(IFERROR(INDEX(Services!$G$5:$G$64,MATCH(M343,Services!$B$5:$B$64,0)),0)&gt;0,IFERROR(INDEX(Services!$G$5:$G$64,MATCH(M343,Services!$B$5:$B$64,0)),0),IFERROR(INDEX(Properties!$X$5:$X$254,MATCH(J343,Properties!$A$5:$A$254,0)),0)))))</f>
        <v>0</v>
      </c>
      <c r="AE343" s="31">
        <f>IF(G343="","",IF(T343="",CleanersPerJob,MAX(1,T343)))</f>
        <v>0</v>
      </c>
      <c r="AF343" s="34">
        <f>IF(G343="","",ROUND(AD343/AE343,2))</f>
        <v>0</v>
      </c>
      <c r="AG343" s="53">
        <f>IF(OR(G343="",F343="",AF343=""),"",F343+AF343/24)</f>
        <v>0</v>
      </c>
      <c r="AH343" s="21">
        <f>IF(G343="","",IF(IFERROR(INDEX(Clients!$O$5:$O$204,MATCH(G343,Clients!$A$5:$A$204,0)),0)&gt;0,IFERROR(INDEX(Clients!$O$5:$O$204,MATCH(G343,Clients!$A$5:$A$204,0)),0),HourlyRate))</f>
        <v>0</v>
      </c>
      <c r="AI343" s="21">
        <f>IF(G343="","",IF(AND(M343&lt;&gt;"",IFERROR(INDEX(Services!$P$5:$P$64,MATCH(M343,Services!$B$5:$B$64,0)),0)&gt;0,IFERROR(INDEX(Services!$D$5:$D$64,MATCH(M343,Services!$B$5:$B$64,0)),"")&lt;&gt;"Per hour"),IFERROR(INDEX(Services!$P$5:$P$64,MATCH(M343,Services!$B$5:$B$64,0)),0),AD343*AH343))</f>
        <v>0</v>
      </c>
      <c r="AJ343" s="21">
        <f>IF(G343="","",IF(V343&lt;&gt;"",V343,IF(P343="Cancelled",0,MAX(MinimumCharge,ROUND(AI343*IFERROR(INDEX(FreqFactors,MATCH(O343,FreqNames,0)),1),2)))))</f>
        <v>0</v>
      </c>
      <c r="AK343" s="34">
        <f>IF(G343="","",IF(SUMIFS(Timesheets!$U$5:$U$804,Timesheets!$G$5:$G$804,A343)&gt;0,SUMIFS(Timesheets!$U$5:$U$804,Timesheets!$G$5:$G$804,A343),IF(Z343="","",Z343)))</f>
        <v>0</v>
      </c>
      <c r="AL343" s="34">
        <f>IF(OR(AK343="",AD343=""),"",AK343-AD343)</f>
        <v>0</v>
      </c>
      <c r="AM343" s="31">
        <f>IF(A343="","",COUNTIFS('Job Tasks'!$B$5:$B$904,A343))</f>
        <v>0</v>
      </c>
      <c r="AN343" s="31">
        <f>IF(A343="","",COUNTIFS('Job Tasks'!$B$5:$B$904,A343,'Job Tasks'!$H$5:$H$904,"Done"))</f>
        <v>0</v>
      </c>
      <c r="AO343" s="38">
        <f>IF(OR(A343="",AM343=0),"",AN343/AM343)</f>
        <v>0</v>
      </c>
      <c r="AP343" s="43">
        <f>IF(A343="","",IFERROR(INDEX('Invoice Lines'!$B$5:$B$804,MATCH(A343,'Invoice Lines'!$C$5:$C$804,0)),""))</f>
        <v>0</v>
      </c>
      <c r="AQ343" s="18">
        <f>IF(OR(G343="",B343="",X343&lt;&gt;"Yes"),"",IF(IFERROR(INDEX(FreqDays,MATCH(O343,FreqNames,0)),0)=0,"",B343+IFERROR(INDEX(FreqDays,MATCH(O343,FreqNames,0)),0)))</f>
        <v>0</v>
      </c>
      <c r="AR343" s="39">
        <f>IF(G343="","",IF(R343="","Unassigned",IF(COUNTIFS($R$5:$R$604,R343,$B$5:$B$604,B343,$F$5:$F$604,F343)&gt;1,"Clash",IF(SUMIFS($AF$5:$AF$604,$R$5:$R$604,R343,$B$5:$B$604,B343)&gt;ProductiveHours,"Long day","OK"))))</f>
        <v>0</v>
      </c>
      <c r="AS343" s="18">
        <f>IF(OR(G343="",B343=""),"",IF(AND(B343&gt;=TodayDate,P343&lt;&gt;"Cancelled"),B343,""))</f>
        <v>0</v>
      </c>
      <c r="AT343" s="31">
        <f>IF(AS343="","",COUNTIFS($AS$5:$AS$604,"&lt;"&amp;AS343)+COUNTIFS($AS$5:AS343,AS343))</f>
        <v>0</v>
      </c>
      <c r="AU343" s="18">
        <f>IF(OR(G343="",B343="",R343&lt;&gt;""),"",IF(AND(B343&gt;=TodayDate,P343&lt;&gt;"Cancelled"),B343,""))</f>
        <v>0</v>
      </c>
      <c r="AV343" s="31">
        <f>IF(AU343="","",COUNTIFS($AU$5:$AU$604,"&lt;"&amp;AU343)+COUNTIFS($AU$5:AU343,AU343))</f>
        <v>0</v>
      </c>
      <c r="AW343" s="31">
        <f>IF(OR(G343="",B343=""),"",B343-TodayDate)</f>
        <v>0</v>
      </c>
      <c r="AX343" s="39">
        <f>IF(G343="","",IF(P343="Cancelled","Cancelled",IF(P343="No access","Action - no access, rebook",IF(AND(B343&lt;&gt;"",AW343&lt;0,OR(P343="Booked",P343="Confirmed",P343="In progress")),"Late - mark it completed",IF(AND(P343="Completed",AP343=""),"Action - not invoiced yet",IF(AND(AW343&gt;=0,AW343&lt;=ReminderDays,Y343&lt;&gt;"Yes"),"Confirm - visit coming up",IF(R343="","Assign - no cleaner booked",IF(AND(P343="Completed",AO343&lt;&gt;"",AO343&lt;1),"Check - checklist unfinished","OK"))))))))</f>
        <v>0</v>
      </c>
    </row>
    <row r="344" spans="1:50">
      <c r="A344" s="43">
        <f>IF(G344="","",JobPrefix&amp;TEXT(ROW()-4,"0000"))</f>
        <v>0</v>
      </c>
      <c r="C344" s="23">
        <f>IF(B344="","",TEXT(B344,"ddd"))</f>
        <v>0</v>
      </c>
      <c r="D344" s="31">
        <f>IF(B344="","",WEEKNUM(B344,IF(WeekStart="Sunday",1,2)))</f>
        <v>0</v>
      </c>
      <c r="E344" s="23">
        <f>IF(B344="","",TEXT(B344,"yyyy-mm"))</f>
        <v>0</v>
      </c>
      <c r="H344" s="23">
        <f>IF(G344="","",IFERROR(INDEX(Clients!$B$5:$B$204,MATCH(G344,Clients!$A$5:$A$204,0)),"Not found"))</f>
        <v>0</v>
      </c>
      <c r="I344" s="23">
        <f>IF(G344="","",IFERROR(INDEX(Clients!$C$5:$C$204,MATCH(G344,Clients!$A$5:$A$204,0)),""))</f>
        <v>0</v>
      </c>
      <c r="K344" s="23">
        <f>IF(J344="","",IFERROR(INDEX(Properties!$B$5:$B$254,MATCH(J344,Properties!$A$5:$A$254,0)),""))</f>
        <v>0</v>
      </c>
      <c r="L344" s="23">
        <f>IF(J344="","",IFERROR(INDEX(Properties!$F$5:$F$254,MATCH(J344,Properties!$A$5:$A$254,0)),""))</f>
        <v>0</v>
      </c>
      <c r="AD344" s="34">
        <f>IF(G344="","",IF(U344&lt;&gt;"",U344,IF(AND(IFERROR(INDEX(Services!$D$5:$D$64,MATCH(M344,Services!$B$5:$B$64,0)),"")="Per hour",IFERROR(INDEX(Properties!$X$5:$X$254,MATCH(J344,Properties!$A$5:$A$254,0)),0)&gt;0),IFERROR(INDEX(Properties!$X$5:$X$254,MATCH(J344,Properties!$A$5:$A$254,0)),0),IF(IFERROR(INDEX(Services!$G$5:$G$64,MATCH(M344,Services!$B$5:$B$64,0)),0)&gt;0,IFERROR(INDEX(Services!$G$5:$G$64,MATCH(M344,Services!$B$5:$B$64,0)),0),IFERROR(INDEX(Properties!$X$5:$X$254,MATCH(J344,Properties!$A$5:$A$254,0)),0)))))</f>
        <v>0</v>
      </c>
      <c r="AE344" s="31">
        <f>IF(G344="","",IF(T344="",CleanersPerJob,MAX(1,T344)))</f>
        <v>0</v>
      </c>
      <c r="AF344" s="34">
        <f>IF(G344="","",ROUND(AD344/AE344,2))</f>
        <v>0</v>
      </c>
      <c r="AG344" s="53">
        <f>IF(OR(G344="",F344="",AF344=""),"",F344+AF344/24)</f>
        <v>0</v>
      </c>
      <c r="AH344" s="21">
        <f>IF(G344="","",IF(IFERROR(INDEX(Clients!$O$5:$O$204,MATCH(G344,Clients!$A$5:$A$204,0)),0)&gt;0,IFERROR(INDEX(Clients!$O$5:$O$204,MATCH(G344,Clients!$A$5:$A$204,0)),0),HourlyRate))</f>
        <v>0</v>
      </c>
      <c r="AI344" s="21">
        <f>IF(G344="","",IF(AND(M344&lt;&gt;"",IFERROR(INDEX(Services!$P$5:$P$64,MATCH(M344,Services!$B$5:$B$64,0)),0)&gt;0,IFERROR(INDEX(Services!$D$5:$D$64,MATCH(M344,Services!$B$5:$B$64,0)),"")&lt;&gt;"Per hour"),IFERROR(INDEX(Services!$P$5:$P$64,MATCH(M344,Services!$B$5:$B$64,0)),0),AD344*AH344))</f>
        <v>0</v>
      </c>
      <c r="AJ344" s="21">
        <f>IF(G344="","",IF(V344&lt;&gt;"",V344,IF(P344="Cancelled",0,MAX(MinimumCharge,ROUND(AI344*IFERROR(INDEX(FreqFactors,MATCH(O344,FreqNames,0)),1),2)))))</f>
        <v>0</v>
      </c>
      <c r="AK344" s="34">
        <f>IF(G344="","",IF(SUMIFS(Timesheets!$U$5:$U$804,Timesheets!$G$5:$G$804,A344)&gt;0,SUMIFS(Timesheets!$U$5:$U$804,Timesheets!$G$5:$G$804,A344),IF(Z344="","",Z344)))</f>
        <v>0</v>
      </c>
      <c r="AL344" s="34">
        <f>IF(OR(AK344="",AD344=""),"",AK344-AD344)</f>
        <v>0</v>
      </c>
      <c r="AM344" s="31">
        <f>IF(A344="","",COUNTIFS('Job Tasks'!$B$5:$B$904,A344))</f>
        <v>0</v>
      </c>
      <c r="AN344" s="31">
        <f>IF(A344="","",COUNTIFS('Job Tasks'!$B$5:$B$904,A344,'Job Tasks'!$H$5:$H$904,"Done"))</f>
        <v>0</v>
      </c>
      <c r="AO344" s="38">
        <f>IF(OR(A344="",AM344=0),"",AN344/AM344)</f>
        <v>0</v>
      </c>
      <c r="AP344" s="43">
        <f>IF(A344="","",IFERROR(INDEX('Invoice Lines'!$B$5:$B$804,MATCH(A344,'Invoice Lines'!$C$5:$C$804,0)),""))</f>
        <v>0</v>
      </c>
      <c r="AQ344" s="18">
        <f>IF(OR(G344="",B344="",X344&lt;&gt;"Yes"),"",IF(IFERROR(INDEX(FreqDays,MATCH(O344,FreqNames,0)),0)=0,"",B344+IFERROR(INDEX(FreqDays,MATCH(O344,FreqNames,0)),0)))</f>
        <v>0</v>
      </c>
      <c r="AR344" s="39">
        <f>IF(G344="","",IF(R344="","Unassigned",IF(COUNTIFS($R$5:$R$604,R344,$B$5:$B$604,B344,$F$5:$F$604,F344)&gt;1,"Clash",IF(SUMIFS($AF$5:$AF$604,$R$5:$R$604,R344,$B$5:$B$604,B344)&gt;ProductiveHours,"Long day","OK"))))</f>
        <v>0</v>
      </c>
      <c r="AS344" s="18">
        <f>IF(OR(G344="",B344=""),"",IF(AND(B344&gt;=TodayDate,P344&lt;&gt;"Cancelled"),B344,""))</f>
        <v>0</v>
      </c>
      <c r="AT344" s="31">
        <f>IF(AS344="","",COUNTIFS($AS$5:$AS$604,"&lt;"&amp;AS344)+COUNTIFS($AS$5:AS344,AS344))</f>
        <v>0</v>
      </c>
      <c r="AU344" s="18">
        <f>IF(OR(G344="",B344="",R344&lt;&gt;""),"",IF(AND(B344&gt;=TodayDate,P344&lt;&gt;"Cancelled"),B344,""))</f>
        <v>0</v>
      </c>
      <c r="AV344" s="31">
        <f>IF(AU344="","",COUNTIFS($AU$5:$AU$604,"&lt;"&amp;AU344)+COUNTIFS($AU$5:AU344,AU344))</f>
        <v>0</v>
      </c>
      <c r="AW344" s="31">
        <f>IF(OR(G344="",B344=""),"",B344-TodayDate)</f>
        <v>0</v>
      </c>
      <c r="AX344" s="39">
        <f>IF(G344="","",IF(P344="Cancelled","Cancelled",IF(P344="No access","Action - no access, rebook",IF(AND(B344&lt;&gt;"",AW344&lt;0,OR(P344="Booked",P344="Confirmed",P344="In progress")),"Late - mark it completed",IF(AND(P344="Completed",AP344=""),"Action - not invoiced yet",IF(AND(AW344&gt;=0,AW344&lt;=ReminderDays,Y344&lt;&gt;"Yes"),"Confirm - visit coming up",IF(R344="","Assign - no cleaner booked",IF(AND(P344="Completed",AO344&lt;&gt;"",AO344&lt;1),"Check - checklist unfinished","OK"))))))))</f>
        <v>0</v>
      </c>
    </row>
    <row r="345" spans="1:50">
      <c r="A345" s="43">
        <f>IF(G345="","",JobPrefix&amp;TEXT(ROW()-4,"0000"))</f>
        <v>0</v>
      </c>
      <c r="C345" s="23">
        <f>IF(B345="","",TEXT(B345,"ddd"))</f>
        <v>0</v>
      </c>
      <c r="D345" s="31">
        <f>IF(B345="","",WEEKNUM(B345,IF(WeekStart="Sunday",1,2)))</f>
        <v>0</v>
      </c>
      <c r="E345" s="23">
        <f>IF(B345="","",TEXT(B345,"yyyy-mm"))</f>
        <v>0</v>
      </c>
      <c r="H345" s="23">
        <f>IF(G345="","",IFERROR(INDEX(Clients!$B$5:$B$204,MATCH(G345,Clients!$A$5:$A$204,0)),"Not found"))</f>
        <v>0</v>
      </c>
      <c r="I345" s="23">
        <f>IF(G345="","",IFERROR(INDEX(Clients!$C$5:$C$204,MATCH(G345,Clients!$A$5:$A$204,0)),""))</f>
        <v>0</v>
      </c>
      <c r="K345" s="23">
        <f>IF(J345="","",IFERROR(INDEX(Properties!$B$5:$B$254,MATCH(J345,Properties!$A$5:$A$254,0)),""))</f>
        <v>0</v>
      </c>
      <c r="L345" s="23">
        <f>IF(J345="","",IFERROR(INDEX(Properties!$F$5:$F$254,MATCH(J345,Properties!$A$5:$A$254,0)),""))</f>
        <v>0</v>
      </c>
      <c r="AD345" s="34">
        <f>IF(G345="","",IF(U345&lt;&gt;"",U345,IF(AND(IFERROR(INDEX(Services!$D$5:$D$64,MATCH(M345,Services!$B$5:$B$64,0)),"")="Per hour",IFERROR(INDEX(Properties!$X$5:$X$254,MATCH(J345,Properties!$A$5:$A$254,0)),0)&gt;0),IFERROR(INDEX(Properties!$X$5:$X$254,MATCH(J345,Properties!$A$5:$A$254,0)),0),IF(IFERROR(INDEX(Services!$G$5:$G$64,MATCH(M345,Services!$B$5:$B$64,0)),0)&gt;0,IFERROR(INDEX(Services!$G$5:$G$64,MATCH(M345,Services!$B$5:$B$64,0)),0),IFERROR(INDEX(Properties!$X$5:$X$254,MATCH(J345,Properties!$A$5:$A$254,0)),0)))))</f>
        <v>0</v>
      </c>
      <c r="AE345" s="31">
        <f>IF(G345="","",IF(T345="",CleanersPerJob,MAX(1,T345)))</f>
        <v>0</v>
      </c>
      <c r="AF345" s="34">
        <f>IF(G345="","",ROUND(AD345/AE345,2))</f>
        <v>0</v>
      </c>
      <c r="AG345" s="53">
        <f>IF(OR(G345="",F345="",AF345=""),"",F345+AF345/24)</f>
        <v>0</v>
      </c>
      <c r="AH345" s="21">
        <f>IF(G345="","",IF(IFERROR(INDEX(Clients!$O$5:$O$204,MATCH(G345,Clients!$A$5:$A$204,0)),0)&gt;0,IFERROR(INDEX(Clients!$O$5:$O$204,MATCH(G345,Clients!$A$5:$A$204,0)),0),HourlyRate))</f>
        <v>0</v>
      </c>
      <c r="AI345" s="21">
        <f>IF(G345="","",IF(AND(M345&lt;&gt;"",IFERROR(INDEX(Services!$P$5:$P$64,MATCH(M345,Services!$B$5:$B$64,0)),0)&gt;0,IFERROR(INDEX(Services!$D$5:$D$64,MATCH(M345,Services!$B$5:$B$64,0)),"")&lt;&gt;"Per hour"),IFERROR(INDEX(Services!$P$5:$P$64,MATCH(M345,Services!$B$5:$B$64,0)),0),AD345*AH345))</f>
        <v>0</v>
      </c>
      <c r="AJ345" s="21">
        <f>IF(G345="","",IF(V345&lt;&gt;"",V345,IF(P345="Cancelled",0,MAX(MinimumCharge,ROUND(AI345*IFERROR(INDEX(FreqFactors,MATCH(O345,FreqNames,0)),1),2)))))</f>
        <v>0</v>
      </c>
      <c r="AK345" s="34">
        <f>IF(G345="","",IF(SUMIFS(Timesheets!$U$5:$U$804,Timesheets!$G$5:$G$804,A345)&gt;0,SUMIFS(Timesheets!$U$5:$U$804,Timesheets!$G$5:$G$804,A345),IF(Z345="","",Z345)))</f>
        <v>0</v>
      </c>
      <c r="AL345" s="34">
        <f>IF(OR(AK345="",AD345=""),"",AK345-AD345)</f>
        <v>0</v>
      </c>
      <c r="AM345" s="31">
        <f>IF(A345="","",COUNTIFS('Job Tasks'!$B$5:$B$904,A345))</f>
        <v>0</v>
      </c>
      <c r="AN345" s="31">
        <f>IF(A345="","",COUNTIFS('Job Tasks'!$B$5:$B$904,A345,'Job Tasks'!$H$5:$H$904,"Done"))</f>
        <v>0</v>
      </c>
      <c r="AO345" s="38">
        <f>IF(OR(A345="",AM345=0),"",AN345/AM345)</f>
        <v>0</v>
      </c>
      <c r="AP345" s="43">
        <f>IF(A345="","",IFERROR(INDEX('Invoice Lines'!$B$5:$B$804,MATCH(A345,'Invoice Lines'!$C$5:$C$804,0)),""))</f>
        <v>0</v>
      </c>
      <c r="AQ345" s="18">
        <f>IF(OR(G345="",B345="",X345&lt;&gt;"Yes"),"",IF(IFERROR(INDEX(FreqDays,MATCH(O345,FreqNames,0)),0)=0,"",B345+IFERROR(INDEX(FreqDays,MATCH(O345,FreqNames,0)),0)))</f>
        <v>0</v>
      </c>
      <c r="AR345" s="39">
        <f>IF(G345="","",IF(R345="","Unassigned",IF(COUNTIFS($R$5:$R$604,R345,$B$5:$B$604,B345,$F$5:$F$604,F345)&gt;1,"Clash",IF(SUMIFS($AF$5:$AF$604,$R$5:$R$604,R345,$B$5:$B$604,B345)&gt;ProductiveHours,"Long day","OK"))))</f>
        <v>0</v>
      </c>
      <c r="AS345" s="18">
        <f>IF(OR(G345="",B345=""),"",IF(AND(B345&gt;=TodayDate,P345&lt;&gt;"Cancelled"),B345,""))</f>
        <v>0</v>
      </c>
      <c r="AT345" s="31">
        <f>IF(AS345="","",COUNTIFS($AS$5:$AS$604,"&lt;"&amp;AS345)+COUNTIFS($AS$5:AS345,AS345))</f>
        <v>0</v>
      </c>
      <c r="AU345" s="18">
        <f>IF(OR(G345="",B345="",R345&lt;&gt;""),"",IF(AND(B345&gt;=TodayDate,P345&lt;&gt;"Cancelled"),B345,""))</f>
        <v>0</v>
      </c>
      <c r="AV345" s="31">
        <f>IF(AU345="","",COUNTIFS($AU$5:$AU$604,"&lt;"&amp;AU345)+COUNTIFS($AU$5:AU345,AU345))</f>
        <v>0</v>
      </c>
      <c r="AW345" s="31">
        <f>IF(OR(G345="",B345=""),"",B345-TodayDate)</f>
        <v>0</v>
      </c>
      <c r="AX345" s="39">
        <f>IF(G345="","",IF(P345="Cancelled","Cancelled",IF(P345="No access","Action - no access, rebook",IF(AND(B345&lt;&gt;"",AW345&lt;0,OR(P345="Booked",P345="Confirmed",P345="In progress")),"Late - mark it completed",IF(AND(P345="Completed",AP345=""),"Action - not invoiced yet",IF(AND(AW345&gt;=0,AW345&lt;=ReminderDays,Y345&lt;&gt;"Yes"),"Confirm - visit coming up",IF(R345="","Assign - no cleaner booked",IF(AND(P345="Completed",AO345&lt;&gt;"",AO345&lt;1),"Check - checklist unfinished","OK"))))))))</f>
        <v>0</v>
      </c>
    </row>
    <row r="346" spans="1:50">
      <c r="A346" s="43">
        <f>IF(G346="","",JobPrefix&amp;TEXT(ROW()-4,"0000"))</f>
        <v>0</v>
      </c>
      <c r="C346" s="23">
        <f>IF(B346="","",TEXT(B346,"ddd"))</f>
        <v>0</v>
      </c>
      <c r="D346" s="31">
        <f>IF(B346="","",WEEKNUM(B346,IF(WeekStart="Sunday",1,2)))</f>
        <v>0</v>
      </c>
      <c r="E346" s="23">
        <f>IF(B346="","",TEXT(B346,"yyyy-mm"))</f>
        <v>0</v>
      </c>
      <c r="H346" s="23">
        <f>IF(G346="","",IFERROR(INDEX(Clients!$B$5:$B$204,MATCH(G346,Clients!$A$5:$A$204,0)),"Not found"))</f>
        <v>0</v>
      </c>
      <c r="I346" s="23">
        <f>IF(G346="","",IFERROR(INDEX(Clients!$C$5:$C$204,MATCH(G346,Clients!$A$5:$A$204,0)),""))</f>
        <v>0</v>
      </c>
      <c r="K346" s="23">
        <f>IF(J346="","",IFERROR(INDEX(Properties!$B$5:$B$254,MATCH(J346,Properties!$A$5:$A$254,0)),""))</f>
        <v>0</v>
      </c>
      <c r="L346" s="23">
        <f>IF(J346="","",IFERROR(INDEX(Properties!$F$5:$F$254,MATCH(J346,Properties!$A$5:$A$254,0)),""))</f>
        <v>0</v>
      </c>
      <c r="AD346" s="34">
        <f>IF(G346="","",IF(U346&lt;&gt;"",U346,IF(AND(IFERROR(INDEX(Services!$D$5:$D$64,MATCH(M346,Services!$B$5:$B$64,0)),"")="Per hour",IFERROR(INDEX(Properties!$X$5:$X$254,MATCH(J346,Properties!$A$5:$A$254,0)),0)&gt;0),IFERROR(INDEX(Properties!$X$5:$X$254,MATCH(J346,Properties!$A$5:$A$254,0)),0),IF(IFERROR(INDEX(Services!$G$5:$G$64,MATCH(M346,Services!$B$5:$B$64,0)),0)&gt;0,IFERROR(INDEX(Services!$G$5:$G$64,MATCH(M346,Services!$B$5:$B$64,0)),0),IFERROR(INDEX(Properties!$X$5:$X$254,MATCH(J346,Properties!$A$5:$A$254,0)),0)))))</f>
        <v>0</v>
      </c>
      <c r="AE346" s="31">
        <f>IF(G346="","",IF(T346="",CleanersPerJob,MAX(1,T346)))</f>
        <v>0</v>
      </c>
      <c r="AF346" s="34">
        <f>IF(G346="","",ROUND(AD346/AE346,2))</f>
        <v>0</v>
      </c>
      <c r="AG346" s="53">
        <f>IF(OR(G346="",F346="",AF346=""),"",F346+AF346/24)</f>
        <v>0</v>
      </c>
      <c r="AH346" s="21">
        <f>IF(G346="","",IF(IFERROR(INDEX(Clients!$O$5:$O$204,MATCH(G346,Clients!$A$5:$A$204,0)),0)&gt;0,IFERROR(INDEX(Clients!$O$5:$O$204,MATCH(G346,Clients!$A$5:$A$204,0)),0),HourlyRate))</f>
        <v>0</v>
      </c>
      <c r="AI346" s="21">
        <f>IF(G346="","",IF(AND(M346&lt;&gt;"",IFERROR(INDEX(Services!$P$5:$P$64,MATCH(M346,Services!$B$5:$B$64,0)),0)&gt;0,IFERROR(INDEX(Services!$D$5:$D$64,MATCH(M346,Services!$B$5:$B$64,0)),"")&lt;&gt;"Per hour"),IFERROR(INDEX(Services!$P$5:$P$64,MATCH(M346,Services!$B$5:$B$64,0)),0),AD346*AH346))</f>
        <v>0</v>
      </c>
      <c r="AJ346" s="21">
        <f>IF(G346="","",IF(V346&lt;&gt;"",V346,IF(P346="Cancelled",0,MAX(MinimumCharge,ROUND(AI346*IFERROR(INDEX(FreqFactors,MATCH(O346,FreqNames,0)),1),2)))))</f>
        <v>0</v>
      </c>
      <c r="AK346" s="34">
        <f>IF(G346="","",IF(SUMIFS(Timesheets!$U$5:$U$804,Timesheets!$G$5:$G$804,A346)&gt;0,SUMIFS(Timesheets!$U$5:$U$804,Timesheets!$G$5:$G$804,A346),IF(Z346="","",Z346)))</f>
        <v>0</v>
      </c>
      <c r="AL346" s="34">
        <f>IF(OR(AK346="",AD346=""),"",AK346-AD346)</f>
        <v>0</v>
      </c>
      <c r="AM346" s="31">
        <f>IF(A346="","",COUNTIFS('Job Tasks'!$B$5:$B$904,A346))</f>
        <v>0</v>
      </c>
      <c r="AN346" s="31">
        <f>IF(A346="","",COUNTIFS('Job Tasks'!$B$5:$B$904,A346,'Job Tasks'!$H$5:$H$904,"Done"))</f>
        <v>0</v>
      </c>
      <c r="AO346" s="38">
        <f>IF(OR(A346="",AM346=0),"",AN346/AM346)</f>
        <v>0</v>
      </c>
      <c r="AP346" s="43">
        <f>IF(A346="","",IFERROR(INDEX('Invoice Lines'!$B$5:$B$804,MATCH(A346,'Invoice Lines'!$C$5:$C$804,0)),""))</f>
        <v>0</v>
      </c>
      <c r="AQ346" s="18">
        <f>IF(OR(G346="",B346="",X346&lt;&gt;"Yes"),"",IF(IFERROR(INDEX(FreqDays,MATCH(O346,FreqNames,0)),0)=0,"",B346+IFERROR(INDEX(FreqDays,MATCH(O346,FreqNames,0)),0)))</f>
        <v>0</v>
      </c>
      <c r="AR346" s="39">
        <f>IF(G346="","",IF(R346="","Unassigned",IF(COUNTIFS($R$5:$R$604,R346,$B$5:$B$604,B346,$F$5:$F$604,F346)&gt;1,"Clash",IF(SUMIFS($AF$5:$AF$604,$R$5:$R$604,R346,$B$5:$B$604,B346)&gt;ProductiveHours,"Long day","OK"))))</f>
        <v>0</v>
      </c>
      <c r="AS346" s="18">
        <f>IF(OR(G346="",B346=""),"",IF(AND(B346&gt;=TodayDate,P346&lt;&gt;"Cancelled"),B346,""))</f>
        <v>0</v>
      </c>
      <c r="AT346" s="31">
        <f>IF(AS346="","",COUNTIFS($AS$5:$AS$604,"&lt;"&amp;AS346)+COUNTIFS($AS$5:AS346,AS346))</f>
        <v>0</v>
      </c>
      <c r="AU346" s="18">
        <f>IF(OR(G346="",B346="",R346&lt;&gt;""),"",IF(AND(B346&gt;=TodayDate,P346&lt;&gt;"Cancelled"),B346,""))</f>
        <v>0</v>
      </c>
      <c r="AV346" s="31">
        <f>IF(AU346="","",COUNTIFS($AU$5:$AU$604,"&lt;"&amp;AU346)+COUNTIFS($AU$5:AU346,AU346))</f>
        <v>0</v>
      </c>
      <c r="AW346" s="31">
        <f>IF(OR(G346="",B346=""),"",B346-TodayDate)</f>
        <v>0</v>
      </c>
      <c r="AX346" s="39">
        <f>IF(G346="","",IF(P346="Cancelled","Cancelled",IF(P346="No access","Action - no access, rebook",IF(AND(B346&lt;&gt;"",AW346&lt;0,OR(P346="Booked",P346="Confirmed",P346="In progress")),"Late - mark it completed",IF(AND(P346="Completed",AP346=""),"Action - not invoiced yet",IF(AND(AW346&gt;=0,AW346&lt;=ReminderDays,Y346&lt;&gt;"Yes"),"Confirm - visit coming up",IF(R346="","Assign - no cleaner booked",IF(AND(P346="Completed",AO346&lt;&gt;"",AO346&lt;1),"Check - checklist unfinished","OK"))))))))</f>
        <v>0</v>
      </c>
    </row>
    <row r="347" spans="1:50">
      <c r="A347" s="43">
        <f>IF(G347="","",JobPrefix&amp;TEXT(ROW()-4,"0000"))</f>
        <v>0</v>
      </c>
      <c r="C347" s="23">
        <f>IF(B347="","",TEXT(B347,"ddd"))</f>
        <v>0</v>
      </c>
      <c r="D347" s="31">
        <f>IF(B347="","",WEEKNUM(B347,IF(WeekStart="Sunday",1,2)))</f>
        <v>0</v>
      </c>
      <c r="E347" s="23">
        <f>IF(B347="","",TEXT(B347,"yyyy-mm"))</f>
        <v>0</v>
      </c>
      <c r="H347" s="23">
        <f>IF(G347="","",IFERROR(INDEX(Clients!$B$5:$B$204,MATCH(G347,Clients!$A$5:$A$204,0)),"Not found"))</f>
        <v>0</v>
      </c>
      <c r="I347" s="23">
        <f>IF(G347="","",IFERROR(INDEX(Clients!$C$5:$C$204,MATCH(G347,Clients!$A$5:$A$204,0)),""))</f>
        <v>0</v>
      </c>
      <c r="K347" s="23">
        <f>IF(J347="","",IFERROR(INDEX(Properties!$B$5:$B$254,MATCH(J347,Properties!$A$5:$A$254,0)),""))</f>
        <v>0</v>
      </c>
      <c r="L347" s="23">
        <f>IF(J347="","",IFERROR(INDEX(Properties!$F$5:$F$254,MATCH(J347,Properties!$A$5:$A$254,0)),""))</f>
        <v>0</v>
      </c>
      <c r="AD347" s="34">
        <f>IF(G347="","",IF(U347&lt;&gt;"",U347,IF(AND(IFERROR(INDEX(Services!$D$5:$D$64,MATCH(M347,Services!$B$5:$B$64,0)),"")="Per hour",IFERROR(INDEX(Properties!$X$5:$X$254,MATCH(J347,Properties!$A$5:$A$254,0)),0)&gt;0),IFERROR(INDEX(Properties!$X$5:$X$254,MATCH(J347,Properties!$A$5:$A$254,0)),0),IF(IFERROR(INDEX(Services!$G$5:$G$64,MATCH(M347,Services!$B$5:$B$64,0)),0)&gt;0,IFERROR(INDEX(Services!$G$5:$G$64,MATCH(M347,Services!$B$5:$B$64,0)),0),IFERROR(INDEX(Properties!$X$5:$X$254,MATCH(J347,Properties!$A$5:$A$254,0)),0)))))</f>
        <v>0</v>
      </c>
      <c r="AE347" s="31">
        <f>IF(G347="","",IF(T347="",CleanersPerJob,MAX(1,T347)))</f>
        <v>0</v>
      </c>
      <c r="AF347" s="34">
        <f>IF(G347="","",ROUND(AD347/AE347,2))</f>
        <v>0</v>
      </c>
      <c r="AG347" s="53">
        <f>IF(OR(G347="",F347="",AF347=""),"",F347+AF347/24)</f>
        <v>0</v>
      </c>
      <c r="AH347" s="21">
        <f>IF(G347="","",IF(IFERROR(INDEX(Clients!$O$5:$O$204,MATCH(G347,Clients!$A$5:$A$204,0)),0)&gt;0,IFERROR(INDEX(Clients!$O$5:$O$204,MATCH(G347,Clients!$A$5:$A$204,0)),0),HourlyRate))</f>
        <v>0</v>
      </c>
      <c r="AI347" s="21">
        <f>IF(G347="","",IF(AND(M347&lt;&gt;"",IFERROR(INDEX(Services!$P$5:$P$64,MATCH(M347,Services!$B$5:$B$64,0)),0)&gt;0,IFERROR(INDEX(Services!$D$5:$D$64,MATCH(M347,Services!$B$5:$B$64,0)),"")&lt;&gt;"Per hour"),IFERROR(INDEX(Services!$P$5:$P$64,MATCH(M347,Services!$B$5:$B$64,0)),0),AD347*AH347))</f>
        <v>0</v>
      </c>
      <c r="AJ347" s="21">
        <f>IF(G347="","",IF(V347&lt;&gt;"",V347,IF(P347="Cancelled",0,MAX(MinimumCharge,ROUND(AI347*IFERROR(INDEX(FreqFactors,MATCH(O347,FreqNames,0)),1),2)))))</f>
        <v>0</v>
      </c>
      <c r="AK347" s="34">
        <f>IF(G347="","",IF(SUMIFS(Timesheets!$U$5:$U$804,Timesheets!$G$5:$G$804,A347)&gt;0,SUMIFS(Timesheets!$U$5:$U$804,Timesheets!$G$5:$G$804,A347),IF(Z347="","",Z347)))</f>
        <v>0</v>
      </c>
      <c r="AL347" s="34">
        <f>IF(OR(AK347="",AD347=""),"",AK347-AD347)</f>
        <v>0</v>
      </c>
      <c r="AM347" s="31">
        <f>IF(A347="","",COUNTIFS('Job Tasks'!$B$5:$B$904,A347))</f>
        <v>0</v>
      </c>
      <c r="AN347" s="31">
        <f>IF(A347="","",COUNTIFS('Job Tasks'!$B$5:$B$904,A347,'Job Tasks'!$H$5:$H$904,"Done"))</f>
        <v>0</v>
      </c>
      <c r="AO347" s="38">
        <f>IF(OR(A347="",AM347=0),"",AN347/AM347)</f>
        <v>0</v>
      </c>
      <c r="AP347" s="43">
        <f>IF(A347="","",IFERROR(INDEX('Invoice Lines'!$B$5:$B$804,MATCH(A347,'Invoice Lines'!$C$5:$C$804,0)),""))</f>
        <v>0</v>
      </c>
      <c r="AQ347" s="18">
        <f>IF(OR(G347="",B347="",X347&lt;&gt;"Yes"),"",IF(IFERROR(INDEX(FreqDays,MATCH(O347,FreqNames,0)),0)=0,"",B347+IFERROR(INDEX(FreqDays,MATCH(O347,FreqNames,0)),0)))</f>
        <v>0</v>
      </c>
      <c r="AR347" s="39">
        <f>IF(G347="","",IF(R347="","Unassigned",IF(COUNTIFS($R$5:$R$604,R347,$B$5:$B$604,B347,$F$5:$F$604,F347)&gt;1,"Clash",IF(SUMIFS($AF$5:$AF$604,$R$5:$R$604,R347,$B$5:$B$604,B347)&gt;ProductiveHours,"Long day","OK"))))</f>
        <v>0</v>
      </c>
      <c r="AS347" s="18">
        <f>IF(OR(G347="",B347=""),"",IF(AND(B347&gt;=TodayDate,P347&lt;&gt;"Cancelled"),B347,""))</f>
        <v>0</v>
      </c>
      <c r="AT347" s="31">
        <f>IF(AS347="","",COUNTIFS($AS$5:$AS$604,"&lt;"&amp;AS347)+COUNTIFS($AS$5:AS347,AS347))</f>
        <v>0</v>
      </c>
      <c r="AU347" s="18">
        <f>IF(OR(G347="",B347="",R347&lt;&gt;""),"",IF(AND(B347&gt;=TodayDate,P347&lt;&gt;"Cancelled"),B347,""))</f>
        <v>0</v>
      </c>
      <c r="AV347" s="31">
        <f>IF(AU347="","",COUNTIFS($AU$5:$AU$604,"&lt;"&amp;AU347)+COUNTIFS($AU$5:AU347,AU347))</f>
        <v>0</v>
      </c>
      <c r="AW347" s="31">
        <f>IF(OR(G347="",B347=""),"",B347-TodayDate)</f>
        <v>0</v>
      </c>
      <c r="AX347" s="39">
        <f>IF(G347="","",IF(P347="Cancelled","Cancelled",IF(P347="No access","Action - no access, rebook",IF(AND(B347&lt;&gt;"",AW347&lt;0,OR(P347="Booked",P347="Confirmed",P347="In progress")),"Late - mark it completed",IF(AND(P347="Completed",AP347=""),"Action - not invoiced yet",IF(AND(AW347&gt;=0,AW347&lt;=ReminderDays,Y347&lt;&gt;"Yes"),"Confirm - visit coming up",IF(R347="","Assign - no cleaner booked",IF(AND(P347="Completed",AO347&lt;&gt;"",AO347&lt;1),"Check - checklist unfinished","OK"))))))))</f>
        <v>0</v>
      </c>
    </row>
    <row r="348" spans="1:50">
      <c r="A348" s="43">
        <f>IF(G348="","",JobPrefix&amp;TEXT(ROW()-4,"0000"))</f>
        <v>0</v>
      </c>
      <c r="C348" s="23">
        <f>IF(B348="","",TEXT(B348,"ddd"))</f>
        <v>0</v>
      </c>
      <c r="D348" s="31">
        <f>IF(B348="","",WEEKNUM(B348,IF(WeekStart="Sunday",1,2)))</f>
        <v>0</v>
      </c>
      <c r="E348" s="23">
        <f>IF(B348="","",TEXT(B348,"yyyy-mm"))</f>
        <v>0</v>
      </c>
      <c r="H348" s="23">
        <f>IF(G348="","",IFERROR(INDEX(Clients!$B$5:$B$204,MATCH(G348,Clients!$A$5:$A$204,0)),"Not found"))</f>
        <v>0</v>
      </c>
      <c r="I348" s="23">
        <f>IF(G348="","",IFERROR(INDEX(Clients!$C$5:$C$204,MATCH(G348,Clients!$A$5:$A$204,0)),""))</f>
        <v>0</v>
      </c>
      <c r="K348" s="23">
        <f>IF(J348="","",IFERROR(INDEX(Properties!$B$5:$B$254,MATCH(J348,Properties!$A$5:$A$254,0)),""))</f>
        <v>0</v>
      </c>
      <c r="L348" s="23">
        <f>IF(J348="","",IFERROR(INDEX(Properties!$F$5:$F$254,MATCH(J348,Properties!$A$5:$A$254,0)),""))</f>
        <v>0</v>
      </c>
      <c r="AD348" s="34">
        <f>IF(G348="","",IF(U348&lt;&gt;"",U348,IF(AND(IFERROR(INDEX(Services!$D$5:$D$64,MATCH(M348,Services!$B$5:$B$64,0)),"")="Per hour",IFERROR(INDEX(Properties!$X$5:$X$254,MATCH(J348,Properties!$A$5:$A$254,0)),0)&gt;0),IFERROR(INDEX(Properties!$X$5:$X$254,MATCH(J348,Properties!$A$5:$A$254,0)),0),IF(IFERROR(INDEX(Services!$G$5:$G$64,MATCH(M348,Services!$B$5:$B$64,0)),0)&gt;0,IFERROR(INDEX(Services!$G$5:$G$64,MATCH(M348,Services!$B$5:$B$64,0)),0),IFERROR(INDEX(Properties!$X$5:$X$254,MATCH(J348,Properties!$A$5:$A$254,0)),0)))))</f>
        <v>0</v>
      </c>
      <c r="AE348" s="31">
        <f>IF(G348="","",IF(T348="",CleanersPerJob,MAX(1,T348)))</f>
        <v>0</v>
      </c>
      <c r="AF348" s="34">
        <f>IF(G348="","",ROUND(AD348/AE348,2))</f>
        <v>0</v>
      </c>
      <c r="AG348" s="53">
        <f>IF(OR(G348="",F348="",AF348=""),"",F348+AF348/24)</f>
        <v>0</v>
      </c>
      <c r="AH348" s="21">
        <f>IF(G348="","",IF(IFERROR(INDEX(Clients!$O$5:$O$204,MATCH(G348,Clients!$A$5:$A$204,0)),0)&gt;0,IFERROR(INDEX(Clients!$O$5:$O$204,MATCH(G348,Clients!$A$5:$A$204,0)),0),HourlyRate))</f>
        <v>0</v>
      </c>
      <c r="AI348" s="21">
        <f>IF(G348="","",IF(AND(M348&lt;&gt;"",IFERROR(INDEX(Services!$P$5:$P$64,MATCH(M348,Services!$B$5:$B$64,0)),0)&gt;0,IFERROR(INDEX(Services!$D$5:$D$64,MATCH(M348,Services!$B$5:$B$64,0)),"")&lt;&gt;"Per hour"),IFERROR(INDEX(Services!$P$5:$P$64,MATCH(M348,Services!$B$5:$B$64,0)),0),AD348*AH348))</f>
        <v>0</v>
      </c>
      <c r="AJ348" s="21">
        <f>IF(G348="","",IF(V348&lt;&gt;"",V348,IF(P348="Cancelled",0,MAX(MinimumCharge,ROUND(AI348*IFERROR(INDEX(FreqFactors,MATCH(O348,FreqNames,0)),1),2)))))</f>
        <v>0</v>
      </c>
      <c r="AK348" s="34">
        <f>IF(G348="","",IF(SUMIFS(Timesheets!$U$5:$U$804,Timesheets!$G$5:$G$804,A348)&gt;0,SUMIFS(Timesheets!$U$5:$U$804,Timesheets!$G$5:$G$804,A348),IF(Z348="","",Z348)))</f>
        <v>0</v>
      </c>
      <c r="AL348" s="34">
        <f>IF(OR(AK348="",AD348=""),"",AK348-AD348)</f>
        <v>0</v>
      </c>
      <c r="AM348" s="31">
        <f>IF(A348="","",COUNTIFS('Job Tasks'!$B$5:$B$904,A348))</f>
        <v>0</v>
      </c>
      <c r="AN348" s="31">
        <f>IF(A348="","",COUNTIFS('Job Tasks'!$B$5:$B$904,A348,'Job Tasks'!$H$5:$H$904,"Done"))</f>
        <v>0</v>
      </c>
      <c r="AO348" s="38">
        <f>IF(OR(A348="",AM348=0),"",AN348/AM348)</f>
        <v>0</v>
      </c>
      <c r="AP348" s="43">
        <f>IF(A348="","",IFERROR(INDEX('Invoice Lines'!$B$5:$B$804,MATCH(A348,'Invoice Lines'!$C$5:$C$804,0)),""))</f>
        <v>0</v>
      </c>
      <c r="AQ348" s="18">
        <f>IF(OR(G348="",B348="",X348&lt;&gt;"Yes"),"",IF(IFERROR(INDEX(FreqDays,MATCH(O348,FreqNames,0)),0)=0,"",B348+IFERROR(INDEX(FreqDays,MATCH(O348,FreqNames,0)),0)))</f>
        <v>0</v>
      </c>
      <c r="AR348" s="39">
        <f>IF(G348="","",IF(R348="","Unassigned",IF(COUNTIFS($R$5:$R$604,R348,$B$5:$B$604,B348,$F$5:$F$604,F348)&gt;1,"Clash",IF(SUMIFS($AF$5:$AF$604,$R$5:$R$604,R348,$B$5:$B$604,B348)&gt;ProductiveHours,"Long day","OK"))))</f>
        <v>0</v>
      </c>
      <c r="AS348" s="18">
        <f>IF(OR(G348="",B348=""),"",IF(AND(B348&gt;=TodayDate,P348&lt;&gt;"Cancelled"),B348,""))</f>
        <v>0</v>
      </c>
      <c r="AT348" s="31">
        <f>IF(AS348="","",COUNTIFS($AS$5:$AS$604,"&lt;"&amp;AS348)+COUNTIFS($AS$5:AS348,AS348))</f>
        <v>0</v>
      </c>
      <c r="AU348" s="18">
        <f>IF(OR(G348="",B348="",R348&lt;&gt;""),"",IF(AND(B348&gt;=TodayDate,P348&lt;&gt;"Cancelled"),B348,""))</f>
        <v>0</v>
      </c>
      <c r="AV348" s="31">
        <f>IF(AU348="","",COUNTIFS($AU$5:$AU$604,"&lt;"&amp;AU348)+COUNTIFS($AU$5:AU348,AU348))</f>
        <v>0</v>
      </c>
      <c r="AW348" s="31">
        <f>IF(OR(G348="",B348=""),"",B348-TodayDate)</f>
        <v>0</v>
      </c>
      <c r="AX348" s="39">
        <f>IF(G348="","",IF(P348="Cancelled","Cancelled",IF(P348="No access","Action - no access, rebook",IF(AND(B348&lt;&gt;"",AW348&lt;0,OR(P348="Booked",P348="Confirmed",P348="In progress")),"Late - mark it completed",IF(AND(P348="Completed",AP348=""),"Action - not invoiced yet",IF(AND(AW348&gt;=0,AW348&lt;=ReminderDays,Y348&lt;&gt;"Yes"),"Confirm - visit coming up",IF(R348="","Assign - no cleaner booked",IF(AND(P348="Completed",AO348&lt;&gt;"",AO348&lt;1),"Check - checklist unfinished","OK"))))))))</f>
        <v>0</v>
      </c>
    </row>
    <row r="349" spans="1:50">
      <c r="A349" s="43">
        <f>IF(G349="","",JobPrefix&amp;TEXT(ROW()-4,"0000"))</f>
        <v>0</v>
      </c>
      <c r="C349" s="23">
        <f>IF(B349="","",TEXT(B349,"ddd"))</f>
        <v>0</v>
      </c>
      <c r="D349" s="31">
        <f>IF(B349="","",WEEKNUM(B349,IF(WeekStart="Sunday",1,2)))</f>
        <v>0</v>
      </c>
      <c r="E349" s="23">
        <f>IF(B349="","",TEXT(B349,"yyyy-mm"))</f>
        <v>0</v>
      </c>
      <c r="H349" s="23">
        <f>IF(G349="","",IFERROR(INDEX(Clients!$B$5:$B$204,MATCH(G349,Clients!$A$5:$A$204,0)),"Not found"))</f>
        <v>0</v>
      </c>
      <c r="I349" s="23">
        <f>IF(G349="","",IFERROR(INDEX(Clients!$C$5:$C$204,MATCH(G349,Clients!$A$5:$A$204,0)),""))</f>
        <v>0</v>
      </c>
      <c r="K349" s="23">
        <f>IF(J349="","",IFERROR(INDEX(Properties!$B$5:$B$254,MATCH(J349,Properties!$A$5:$A$254,0)),""))</f>
        <v>0</v>
      </c>
      <c r="L349" s="23">
        <f>IF(J349="","",IFERROR(INDEX(Properties!$F$5:$F$254,MATCH(J349,Properties!$A$5:$A$254,0)),""))</f>
        <v>0</v>
      </c>
      <c r="AD349" s="34">
        <f>IF(G349="","",IF(U349&lt;&gt;"",U349,IF(AND(IFERROR(INDEX(Services!$D$5:$D$64,MATCH(M349,Services!$B$5:$B$64,0)),"")="Per hour",IFERROR(INDEX(Properties!$X$5:$X$254,MATCH(J349,Properties!$A$5:$A$254,0)),0)&gt;0),IFERROR(INDEX(Properties!$X$5:$X$254,MATCH(J349,Properties!$A$5:$A$254,0)),0),IF(IFERROR(INDEX(Services!$G$5:$G$64,MATCH(M349,Services!$B$5:$B$64,0)),0)&gt;0,IFERROR(INDEX(Services!$G$5:$G$64,MATCH(M349,Services!$B$5:$B$64,0)),0),IFERROR(INDEX(Properties!$X$5:$X$254,MATCH(J349,Properties!$A$5:$A$254,0)),0)))))</f>
        <v>0</v>
      </c>
      <c r="AE349" s="31">
        <f>IF(G349="","",IF(T349="",CleanersPerJob,MAX(1,T349)))</f>
        <v>0</v>
      </c>
      <c r="AF349" s="34">
        <f>IF(G349="","",ROUND(AD349/AE349,2))</f>
        <v>0</v>
      </c>
      <c r="AG349" s="53">
        <f>IF(OR(G349="",F349="",AF349=""),"",F349+AF349/24)</f>
        <v>0</v>
      </c>
      <c r="AH349" s="21">
        <f>IF(G349="","",IF(IFERROR(INDEX(Clients!$O$5:$O$204,MATCH(G349,Clients!$A$5:$A$204,0)),0)&gt;0,IFERROR(INDEX(Clients!$O$5:$O$204,MATCH(G349,Clients!$A$5:$A$204,0)),0),HourlyRate))</f>
        <v>0</v>
      </c>
      <c r="AI349" s="21">
        <f>IF(G349="","",IF(AND(M349&lt;&gt;"",IFERROR(INDEX(Services!$P$5:$P$64,MATCH(M349,Services!$B$5:$B$64,0)),0)&gt;0,IFERROR(INDEX(Services!$D$5:$D$64,MATCH(M349,Services!$B$5:$B$64,0)),"")&lt;&gt;"Per hour"),IFERROR(INDEX(Services!$P$5:$P$64,MATCH(M349,Services!$B$5:$B$64,0)),0),AD349*AH349))</f>
        <v>0</v>
      </c>
      <c r="AJ349" s="21">
        <f>IF(G349="","",IF(V349&lt;&gt;"",V349,IF(P349="Cancelled",0,MAX(MinimumCharge,ROUND(AI349*IFERROR(INDEX(FreqFactors,MATCH(O349,FreqNames,0)),1),2)))))</f>
        <v>0</v>
      </c>
      <c r="AK349" s="34">
        <f>IF(G349="","",IF(SUMIFS(Timesheets!$U$5:$U$804,Timesheets!$G$5:$G$804,A349)&gt;0,SUMIFS(Timesheets!$U$5:$U$804,Timesheets!$G$5:$G$804,A349),IF(Z349="","",Z349)))</f>
        <v>0</v>
      </c>
      <c r="AL349" s="34">
        <f>IF(OR(AK349="",AD349=""),"",AK349-AD349)</f>
        <v>0</v>
      </c>
      <c r="AM349" s="31">
        <f>IF(A349="","",COUNTIFS('Job Tasks'!$B$5:$B$904,A349))</f>
        <v>0</v>
      </c>
      <c r="AN349" s="31">
        <f>IF(A349="","",COUNTIFS('Job Tasks'!$B$5:$B$904,A349,'Job Tasks'!$H$5:$H$904,"Done"))</f>
        <v>0</v>
      </c>
      <c r="AO349" s="38">
        <f>IF(OR(A349="",AM349=0),"",AN349/AM349)</f>
        <v>0</v>
      </c>
      <c r="AP349" s="43">
        <f>IF(A349="","",IFERROR(INDEX('Invoice Lines'!$B$5:$B$804,MATCH(A349,'Invoice Lines'!$C$5:$C$804,0)),""))</f>
        <v>0</v>
      </c>
      <c r="AQ349" s="18">
        <f>IF(OR(G349="",B349="",X349&lt;&gt;"Yes"),"",IF(IFERROR(INDEX(FreqDays,MATCH(O349,FreqNames,0)),0)=0,"",B349+IFERROR(INDEX(FreqDays,MATCH(O349,FreqNames,0)),0)))</f>
        <v>0</v>
      </c>
      <c r="AR349" s="39">
        <f>IF(G349="","",IF(R349="","Unassigned",IF(COUNTIFS($R$5:$R$604,R349,$B$5:$B$604,B349,$F$5:$F$604,F349)&gt;1,"Clash",IF(SUMIFS($AF$5:$AF$604,$R$5:$R$604,R349,$B$5:$B$604,B349)&gt;ProductiveHours,"Long day","OK"))))</f>
        <v>0</v>
      </c>
      <c r="AS349" s="18">
        <f>IF(OR(G349="",B349=""),"",IF(AND(B349&gt;=TodayDate,P349&lt;&gt;"Cancelled"),B349,""))</f>
        <v>0</v>
      </c>
      <c r="AT349" s="31">
        <f>IF(AS349="","",COUNTIFS($AS$5:$AS$604,"&lt;"&amp;AS349)+COUNTIFS($AS$5:AS349,AS349))</f>
        <v>0</v>
      </c>
      <c r="AU349" s="18">
        <f>IF(OR(G349="",B349="",R349&lt;&gt;""),"",IF(AND(B349&gt;=TodayDate,P349&lt;&gt;"Cancelled"),B349,""))</f>
        <v>0</v>
      </c>
      <c r="AV349" s="31">
        <f>IF(AU349="","",COUNTIFS($AU$5:$AU$604,"&lt;"&amp;AU349)+COUNTIFS($AU$5:AU349,AU349))</f>
        <v>0</v>
      </c>
      <c r="AW349" s="31">
        <f>IF(OR(G349="",B349=""),"",B349-TodayDate)</f>
        <v>0</v>
      </c>
      <c r="AX349" s="39">
        <f>IF(G349="","",IF(P349="Cancelled","Cancelled",IF(P349="No access","Action - no access, rebook",IF(AND(B349&lt;&gt;"",AW349&lt;0,OR(P349="Booked",P349="Confirmed",P349="In progress")),"Late - mark it completed",IF(AND(P349="Completed",AP349=""),"Action - not invoiced yet",IF(AND(AW349&gt;=0,AW349&lt;=ReminderDays,Y349&lt;&gt;"Yes"),"Confirm - visit coming up",IF(R349="","Assign - no cleaner booked",IF(AND(P349="Completed",AO349&lt;&gt;"",AO349&lt;1),"Check - checklist unfinished","OK"))))))))</f>
        <v>0</v>
      </c>
    </row>
    <row r="350" spans="1:50">
      <c r="A350" s="43">
        <f>IF(G350="","",JobPrefix&amp;TEXT(ROW()-4,"0000"))</f>
        <v>0</v>
      </c>
      <c r="C350" s="23">
        <f>IF(B350="","",TEXT(B350,"ddd"))</f>
        <v>0</v>
      </c>
      <c r="D350" s="31">
        <f>IF(B350="","",WEEKNUM(B350,IF(WeekStart="Sunday",1,2)))</f>
        <v>0</v>
      </c>
      <c r="E350" s="23">
        <f>IF(B350="","",TEXT(B350,"yyyy-mm"))</f>
        <v>0</v>
      </c>
      <c r="H350" s="23">
        <f>IF(G350="","",IFERROR(INDEX(Clients!$B$5:$B$204,MATCH(G350,Clients!$A$5:$A$204,0)),"Not found"))</f>
        <v>0</v>
      </c>
      <c r="I350" s="23">
        <f>IF(G350="","",IFERROR(INDEX(Clients!$C$5:$C$204,MATCH(G350,Clients!$A$5:$A$204,0)),""))</f>
        <v>0</v>
      </c>
      <c r="K350" s="23">
        <f>IF(J350="","",IFERROR(INDEX(Properties!$B$5:$B$254,MATCH(J350,Properties!$A$5:$A$254,0)),""))</f>
        <v>0</v>
      </c>
      <c r="L350" s="23">
        <f>IF(J350="","",IFERROR(INDEX(Properties!$F$5:$F$254,MATCH(J350,Properties!$A$5:$A$254,0)),""))</f>
        <v>0</v>
      </c>
      <c r="AD350" s="34">
        <f>IF(G350="","",IF(U350&lt;&gt;"",U350,IF(AND(IFERROR(INDEX(Services!$D$5:$D$64,MATCH(M350,Services!$B$5:$B$64,0)),"")="Per hour",IFERROR(INDEX(Properties!$X$5:$X$254,MATCH(J350,Properties!$A$5:$A$254,0)),0)&gt;0),IFERROR(INDEX(Properties!$X$5:$X$254,MATCH(J350,Properties!$A$5:$A$254,0)),0),IF(IFERROR(INDEX(Services!$G$5:$G$64,MATCH(M350,Services!$B$5:$B$64,0)),0)&gt;0,IFERROR(INDEX(Services!$G$5:$G$64,MATCH(M350,Services!$B$5:$B$64,0)),0),IFERROR(INDEX(Properties!$X$5:$X$254,MATCH(J350,Properties!$A$5:$A$254,0)),0)))))</f>
        <v>0</v>
      </c>
      <c r="AE350" s="31">
        <f>IF(G350="","",IF(T350="",CleanersPerJob,MAX(1,T350)))</f>
        <v>0</v>
      </c>
      <c r="AF350" s="34">
        <f>IF(G350="","",ROUND(AD350/AE350,2))</f>
        <v>0</v>
      </c>
      <c r="AG350" s="53">
        <f>IF(OR(G350="",F350="",AF350=""),"",F350+AF350/24)</f>
        <v>0</v>
      </c>
      <c r="AH350" s="21">
        <f>IF(G350="","",IF(IFERROR(INDEX(Clients!$O$5:$O$204,MATCH(G350,Clients!$A$5:$A$204,0)),0)&gt;0,IFERROR(INDEX(Clients!$O$5:$O$204,MATCH(G350,Clients!$A$5:$A$204,0)),0),HourlyRate))</f>
        <v>0</v>
      </c>
      <c r="AI350" s="21">
        <f>IF(G350="","",IF(AND(M350&lt;&gt;"",IFERROR(INDEX(Services!$P$5:$P$64,MATCH(M350,Services!$B$5:$B$64,0)),0)&gt;0,IFERROR(INDEX(Services!$D$5:$D$64,MATCH(M350,Services!$B$5:$B$64,0)),"")&lt;&gt;"Per hour"),IFERROR(INDEX(Services!$P$5:$P$64,MATCH(M350,Services!$B$5:$B$64,0)),0),AD350*AH350))</f>
        <v>0</v>
      </c>
      <c r="AJ350" s="21">
        <f>IF(G350="","",IF(V350&lt;&gt;"",V350,IF(P350="Cancelled",0,MAX(MinimumCharge,ROUND(AI350*IFERROR(INDEX(FreqFactors,MATCH(O350,FreqNames,0)),1),2)))))</f>
        <v>0</v>
      </c>
      <c r="AK350" s="34">
        <f>IF(G350="","",IF(SUMIFS(Timesheets!$U$5:$U$804,Timesheets!$G$5:$G$804,A350)&gt;0,SUMIFS(Timesheets!$U$5:$U$804,Timesheets!$G$5:$G$804,A350),IF(Z350="","",Z350)))</f>
        <v>0</v>
      </c>
      <c r="AL350" s="34">
        <f>IF(OR(AK350="",AD350=""),"",AK350-AD350)</f>
        <v>0</v>
      </c>
      <c r="AM350" s="31">
        <f>IF(A350="","",COUNTIFS('Job Tasks'!$B$5:$B$904,A350))</f>
        <v>0</v>
      </c>
      <c r="AN350" s="31">
        <f>IF(A350="","",COUNTIFS('Job Tasks'!$B$5:$B$904,A350,'Job Tasks'!$H$5:$H$904,"Done"))</f>
        <v>0</v>
      </c>
      <c r="AO350" s="38">
        <f>IF(OR(A350="",AM350=0),"",AN350/AM350)</f>
        <v>0</v>
      </c>
      <c r="AP350" s="43">
        <f>IF(A350="","",IFERROR(INDEX('Invoice Lines'!$B$5:$B$804,MATCH(A350,'Invoice Lines'!$C$5:$C$804,0)),""))</f>
        <v>0</v>
      </c>
      <c r="AQ350" s="18">
        <f>IF(OR(G350="",B350="",X350&lt;&gt;"Yes"),"",IF(IFERROR(INDEX(FreqDays,MATCH(O350,FreqNames,0)),0)=0,"",B350+IFERROR(INDEX(FreqDays,MATCH(O350,FreqNames,0)),0)))</f>
        <v>0</v>
      </c>
      <c r="AR350" s="39">
        <f>IF(G350="","",IF(R350="","Unassigned",IF(COUNTIFS($R$5:$R$604,R350,$B$5:$B$604,B350,$F$5:$F$604,F350)&gt;1,"Clash",IF(SUMIFS($AF$5:$AF$604,$R$5:$R$604,R350,$B$5:$B$604,B350)&gt;ProductiveHours,"Long day","OK"))))</f>
        <v>0</v>
      </c>
      <c r="AS350" s="18">
        <f>IF(OR(G350="",B350=""),"",IF(AND(B350&gt;=TodayDate,P350&lt;&gt;"Cancelled"),B350,""))</f>
        <v>0</v>
      </c>
      <c r="AT350" s="31">
        <f>IF(AS350="","",COUNTIFS($AS$5:$AS$604,"&lt;"&amp;AS350)+COUNTIFS($AS$5:AS350,AS350))</f>
        <v>0</v>
      </c>
      <c r="AU350" s="18">
        <f>IF(OR(G350="",B350="",R350&lt;&gt;""),"",IF(AND(B350&gt;=TodayDate,P350&lt;&gt;"Cancelled"),B350,""))</f>
        <v>0</v>
      </c>
      <c r="AV350" s="31">
        <f>IF(AU350="","",COUNTIFS($AU$5:$AU$604,"&lt;"&amp;AU350)+COUNTIFS($AU$5:AU350,AU350))</f>
        <v>0</v>
      </c>
      <c r="AW350" s="31">
        <f>IF(OR(G350="",B350=""),"",B350-TodayDate)</f>
        <v>0</v>
      </c>
      <c r="AX350" s="39">
        <f>IF(G350="","",IF(P350="Cancelled","Cancelled",IF(P350="No access","Action - no access, rebook",IF(AND(B350&lt;&gt;"",AW350&lt;0,OR(P350="Booked",P350="Confirmed",P350="In progress")),"Late - mark it completed",IF(AND(P350="Completed",AP350=""),"Action - not invoiced yet",IF(AND(AW350&gt;=0,AW350&lt;=ReminderDays,Y350&lt;&gt;"Yes"),"Confirm - visit coming up",IF(R350="","Assign - no cleaner booked",IF(AND(P350="Completed",AO350&lt;&gt;"",AO350&lt;1),"Check - checklist unfinished","OK"))))))))</f>
        <v>0</v>
      </c>
    </row>
    <row r="351" spans="1:50">
      <c r="A351" s="43">
        <f>IF(G351="","",JobPrefix&amp;TEXT(ROW()-4,"0000"))</f>
        <v>0</v>
      </c>
      <c r="C351" s="23">
        <f>IF(B351="","",TEXT(B351,"ddd"))</f>
        <v>0</v>
      </c>
      <c r="D351" s="31">
        <f>IF(B351="","",WEEKNUM(B351,IF(WeekStart="Sunday",1,2)))</f>
        <v>0</v>
      </c>
      <c r="E351" s="23">
        <f>IF(B351="","",TEXT(B351,"yyyy-mm"))</f>
        <v>0</v>
      </c>
      <c r="H351" s="23">
        <f>IF(G351="","",IFERROR(INDEX(Clients!$B$5:$B$204,MATCH(G351,Clients!$A$5:$A$204,0)),"Not found"))</f>
        <v>0</v>
      </c>
      <c r="I351" s="23">
        <f>IF(G351="","",IFERROR(INDEX(Clients!$C$5:$C$204,MATCH(G351,Clients!$A$5:$A$204,0)),""))</f>
        <v>0</v>
      </c>
      <c r="K351" s="23">
        <f>IF(J351="","",IFERROR(INDEX(Properties!$B$5:$B$254,MATCH(J351,Properties!$A$5:$A$254,0)),""))</f>
        <v>0</v>
      </c>
      <c r="L351" s="23">
        <f>IF(J351="","",IFERROR(INDEX(Properties!$F$5:$F$254,MATCH(J351,Properties!$A$5:$A$254,0)),""))</f>
        <v>0</v>
      </c>
      <c r="AD351" s="34">
        <f>IF(G351="","",IF(U351&lt;&gt;"",U351,IF(AND(IFERROR(INDEX(Services!$D$5:$D$64,MATCH(M351,Services!$B$5:$B$64,0)),"")="Per hour",IFERROR(INDEX(Properties!$X$5:$X$254,MATCH(J351,Properties!$A$5:$A$254,0)),0)&gt;0),IFERROR(INDEX(Properties!$X$5:$X$254,MATCH(J351,Properties!$A$5:$A$254,0)),0),IF(IFERROR(INDEX(Services!$G$5:$G$64,MATCH(M351,Services!$B$5:$B$64,0)),0)&gt;0,IFERROR(INDEX(Services!$G$5:$G$64,MATCH(M351,Services!$B$5:$B$64,0)),0),IFERROR(INDEX(Properties!$X$5:$X$254,MATCH(J351,Properties!$A$5:$A$254,0)),0)))))</f>
        <v>0</v>
      </c>
      <c r="AE351" s="31">
        <f>IF(G351="","",IF(T351="",CleanersPerJob,MAX(1,T351)))</f>
        <v>0</v>
      </c>
      <c r="AF351" s="34">
        <f>IF(G351="","",ROUND(AD351/AE351,2))</f>
        <v>0</v>
      </c>
      <c r="AG351" s="53">
        <f>IF(OR(G351="",F351="",AF351=""),"",F351+AF351/24)</f>
        <v>0</v>
      </c>
      <c r="AH351" s="21">
        <f>IF(G351="","",IF(IFERROR(INDEX(Clients!$O$5:$O$204,MATCH(G351,Clients!$A$5:$A$204,0)),0)&gt;0,IFERROR(INDEX(Clients!$O$5:$O$204,MATCH(G351,Clients!$A$5:$A$204,0)),0),HourlyRate))</f>
        <v>0</v>
      </c>
      <c r="AI351" s="21">
        <f>IF(G351="","",IF(AND(M351&lt;&gt;"",IFERROR(INDEX(Services!$P$5:$P$64,MATCH(M351,Services!$B$5:$B$64,0)),0)&gt;0,IFERROR(INDEX(Services!$D$5:$D$64,MATCH(M351,Services!$B$5:$B$64,0)),"")&lt;&gt;"Per hour"),IFERROR(INDEX(Services!$P$5:$P$64,MATCH(M351,Services!$B$5:$B$64,0)),0),AD351*AH351))</f>
        <v>0</v>
      </c>
      <c r="AJ351" s="21">
        <f>IF(G351="","",IF(V351&lt;&gt;"",V351,IF(P351="Cancelled",0,MAX(MinimumCharge,ROUND(AI351*IFERROR(INDEX(FreqFactors,MATCH(O351,FreqNames,0)),1),2)))))</f>
        <v>0</v>
      </c>
      <c r="AK351" s="34">
        <f>IF(G351="","",IF(SUMIFS(Timesheets!$U$5:$U$804,Timesheets!$G$5:$G$804,A351)&gt;0,SUMIFS(Timesheets!$U$5:$U$804,Timesheets!$G$5:$G$804,A351),IF(Z351="","",Z351)))</f>
        <v>0</v>
      </c>
      <c r="AL351" s="34">
        <f>IF(OR(AK351="",AD351=""),"",AK351-AD351)</f>
        <v>0</v>
      </c>
      <c r="AM351" s="31">
        <f>IF(A351="","",COUNTIFS('Job Tasks'!$B$5:$B$904,A351))</f>
        <v>0</v>
      </c>
      <c r="AN351" s="31">
        <f>IF(A351="","",COUNTIFS('Job Tasks'!$B$5:$B$904,A351,'Job Tasks'!$H$5:$H$904,"Done"))</f>
        <v>0</v>
      </c>
      <c r="AO351" s="38">
        <f>IF(OR(A351="",AM351=0),"",AN351/AM351)</f>
        <v>0</v>
      </c>
      <c r="AP351" s="43">
        <f>IF(A351="","",IFERROR(INDEX('Invoice Lines'!$B$5:$B$804,MATCH(A351,'Invoice Lines'!$C$5:$C$804,0)),""))</f>
        <v>0</v>
      </c>
      <c r="AQ351" s="18">
        <f>IF(OR(G351="",B351="",X351&lt;&gt;"Yes"),"",IF(IFERROR(INDEX(FreqDays,MATCH(O351,FreqNames,0)),0)=0,"",B351+IFERROR(INDEX(FreqDays,MATCH(O351,FreqNames,0)),0)))</f>
        <v>0</v>
      </c>
      <c r="AR351" s="39">
        <f>IF(G351="","",IF(R351="","Unassigned",IF(COUNTIFS($R$5:$R$604,R351,$B$5:$B$604,B351,$F$5:$F$604,F351)&gt;1,"Clash",IF(SUMIFS($AF$5:$AF$604,$R$5:$R$604,R351,$B$5:$B$604,B351)&gt;ProductiveHours,"Long day","OK"))))</f>
        <v>0</v>
      </c>
      <c r="AS351" s="18">
        <f>IF(OR(G351="",B351=""),"",IF(AND(B351&gt;=TodayDate,P351&lt;&gt;"Cancelled"),B351,""))</f>
        <v>0</v>
      </c>
      <c r="AT351" s="31">
        <f>IF(AS351="","",COUNTIFS($AS$5:$AS$604,"&lt;"&amp;AS351)+COUNTIFS($AS$5:AS351,AS351))</f>
        <v>0</v>
      </c>
      <c r="AU351" s="18">
        <f>IF(OR(G351="",B351="",R351&lt;&gt;""),"",IF(AND(B351&gt;=TodayDate,P351&lt;&gt;"Cancelled"),B351,""))</f>
        <v>0</v>
      </c>
      <c r="AV351" s="31">
        <f>IF(AU351="","",COUNTIFS($AU$5:$AU$604,"&lt;"&amp;AU351)+COUNTIFS($AU$5:AU351,AU351))</f>
        <v>0</v>
      </c>
      <c r="AW351" s="31">
        <f>IF(OR(G351="",B351=""),"",B351-TodayDate)</f>
        <v>0</v>
      </c>
      <c r="AX351" s="39">
        <f>IF(G351="","",IF(P351="Cancelled","Cancelled",IF(P351="No access","Action - no access, rebook",IF(AND(B351&lt;&gt;"",AW351&lt;0,OR(P351="Booked",P351="Confirmed",P351="In progress")),"Late - mark it completed",IF(AND(P351="Completed",AP351=""),"Action - not invoiced yet",IF(AND(AW351&gt;=0,AW351&lt;=ReminderDays,Y351&lt;&gt;"Yes"),"Confirm - visit coming up",IF(R351="","Assign - no cleaner booked",IF(AND(P351="Completed",AO351&lt;&gt;"",AO351&lt;1),"Check - checklist unfinished","OK"))))))))</f>
        <v>0</v>
      </c>
    </row>
    <row r="352" spans="1:50">
      <c r="A352" s="43">
        <f>IF(G352="","",JobPrefix&amp;TEXT(ROW()-4,"0000"))</f>
        <v>0</v>
      </c>
      <c r="C352" s="23">
        <f>IF(B352="","",TEXT(B352,"ddd"))</f>
        <v>0</v>
      </c>
      <c r="D352" s="31">
        <f>IF(B352="","",WEEKNUM(B352,IF(WeekStart="Sunday",1,2)))</f>
        <v>0</v>
      </c>
      <c r="E352" s="23">
        <f>IF(B352="","",TEXT(B352,"yyyy-mm"))</f>
        <v>0</v>
      </c>
      <c r="H352" s="23">
        <f>IF(G352="","",IFERROR(INDEX(Clients!$B$5:$B$204,MATCH(G352,Clients!$A$5:$A$204,0)),"Not found"))</f>
        <v>0</v>
      </c>
      <c r="I352" s="23">
        <f>IF(G352="","",IFERROR(INDEX(Clients!$C$5:$C$204,MATCH(G352,Clients!$A$5:$A$204,0)),""))</f>
        <v>0</v>
      </c>
      <c r="K352" s="23">
        <f>IF(J352="","",IFERROR(INDEX(Properties!$B$5:$B$254,MATCH(J352,Properties!$A$5:$A$254,0)),""))</f>
        <v>0</v>
      </c>
      <c r="L352" s="23">
        <f>IF(J352="","",IFERROR(INDEX(Properties!$F$5:$F$254,MATCH(J352,Properties!$A$5:$A$254,0)),""))</f>
        <v>0</v>
      </c>
      <c r="AD352" s="34">
        <f>IF(G352="","",IF(U352&lt;&gt;"",U352,IF(AND(IFERROR(INDEX(Services!$D$5:$D$64,MATCH(M352,Services!$B$5:$B$64,0)),"")="Per hour",IFERROR(INDEX(Properties!$X$5:$X$254,MATCH(J352,Properties!$A$5:$A$254,0)),0)&gt;0),IFERROR(INDEX(Properties!$X$5:$X$254,MATCH(J352,Properties!$A$5:$A$254,0)),0),IF(IFERROR(INDEX(Services!$G$5:$G$64,MATCH(M352,Services!$B$5:$B$64,0)),0)&gt;0,IFERROR(INDEX(Services!$G$5:$G$64,MATCH(M352,Services!$B$5:$B$64,0)),0),IFERROR(INDEX(Properties!$X$5:$X$254,MATCH(J352,Properties!$A$5:$A$254,0)),0)))))</f>
        <v>0</v>
      </c>
      <c r="AE352" s="31">
        <f>IF(G352="","",IF(T352="",CleanersPerJob,MAX(1,T352)))</f>
        <v>0</v>
      </c>
      <c r="AF352" s="34">
        <f>IF(G352="","",ROUND(AD352/AE352,2))</f>
        <v>0</v>
      </c>
      <c r="AG352" s="53">
        <f>IF(OR(G352="",F352="",AF352=""),"",F352+AF352/24)</f>
        <v>0</v>
      </c>
      <c r="AH352" s="21">
        <f>IF(G352="","",IF(IFERROR(INDEX(Clients!$O$5:$O$204,MATCH(G352,Clients!$A$5:$A$204,0)),0)&gt;0,IFERROR(INDEX(Clients!$O$5:$O$204,MATCH(G352,Clients!$A$5:$A$204,0)),0),HourlyRate))</f>
        <v>0</v>
      </c>
      <c r="AI352" s="21">
        <f>IF(G352="","",IF(AND(M352&lt;&gt;"",IFERROR(INDEX(Services!$P$5:$P$64,MATCH(M352,Services!$B$5:$B$64,0)),0)&gt;0,IFERROR(INDEX(Services!$D$5:$D$64,MATCH(M352,Services!$B$5:$B$64,0)),"")&lt;&gt;"Per hour"),IFERROR(INDEX(Services!$P$5:$P$64,MATCH(M352,Services!$B$5:$B$64,0)),0),AD352*AH352))</f>
        <v>0</v>
      </c>
      <c r="AJ352" s="21">
        <f>IF(G352="","",IF(V352&lt;&gt;"",V352,IF(P352="Cancelled",0,MAX(MinimumCharge,ROUND(AI352*IFERROR(INDEX(FreqFactors,MATCH(O352,FreqNames,0)),1),2)))))</f>
        <v>0</v>
      </c>
      <c r="AK352" s="34">
        <f>IF(G352="","",IF(SUMIFS(Timesheets!$U$5:$U$804,Timesheets!$G$5:$G$804,A352)&gt;0,SUMIFS(Timesheets!$U$5:$U$804,Timesheets!$G$5:$G$804,A352),IF(Z352="","",Z352)))</f>
        <v>0</v>
      </c>
      <c r="AL352" s="34">
        <f>IF(OR(AK352="",AD352=""),"",AK352-AD352)</f>
        <v>0</v>
      </c>
      <c r="AM352" s="31">
        <f>IF(A352="","",COUNTIFS('Job Tasks'!$B$5:$B$904,A352))</f>
        <v>0</v>
      </c>
      <c r="AN352" s="31">
        <f>IF(A352="","",COUNTIFS('Job Tasks'!$B$5:$B$904,A352,'Job Tasks'!$H$5:$H$904,"Done"))</f>
        <v>0</v>
      </c>
      <c r="AO352" s="38">
        <f>IF(OR(A352="",AM352=0),"",AN352/AM352)</f>
        <v>0</v>
      </c>
      <c r="AP352" s="43">
        <f>IF(A352="","",IFERROR(INDEX('Invoice Lines'!$B$5:$B$804,MATCH(A352,'Invoice Lines'!$C$5:$C$804,0)),""))</f>
        <v>0</v>
      </c>
      <c r="AQ352" s="18">
        <f>IF(OR(G352="",B352="",X352&lt;&gt;"Yes"),"",IF(IFERROR(INDEX(FreqDays,MATCH(O352,FreqNames,0)),0)=0,"",B352+IFERROR(INDEX(FreqDays,MATCH(O352,FreqNames,0)),0)))</f>
        <v>0</v>
      </c>
      <c r="AR352" s="39">
        <f>IF(G352="","",IF(R352="","Unassigned",IF(COUNTIFS($R$5:$R$604,R352,$B$5:$B$604,B352,$F$5:$F$604,F352)&gt;1,"Clash",IF(SUMIFS($AF$5:$AF$604,$R$5:$R$604,R352,$B$5:$B$604,B352)&gt;ProductiveHours,"Long day","OK"))))</f>
        <v>0</v>
      </c>
      <c r="AS352" s="18">
        <f>IF(OR(G352="",B352=""),"",IF(AND(B352&gt;=TodayDate,P352&lt;&gt;"Cancelled"),B352,""))</f>
        <v>0</v>
      </c>
      <c r="AT352" s="31">
        <f>IF(AS352="","",COUNTIFS($AS$5:$AS$604,"&lt;"&amp;AS352)+COUNTIFS($AS$5:AS352,AS352))</f>
        <v>0</v>
      </c>
      <c r="AU352" s="18">
        <f>IF(OR(G352="",B352="",R352&lt;&gt;""),"",IF(AND(B352&gt;=TodayDate,P352&lt;&gt;"Cancelled"),B352,""))</f>
        <v>0</v>
      </c>
      <c r="AV352" s="31">
        <f>IF(AU352="","",COUNTIFS($AU$5:$AU$604,"&lt;"&amp;AU352)+COUNTIFS($AU$5:AU352,AU352))</f>
        <v>0</v>
      </c>
      <c r="AW352" s="31">
        <f>IF(OR(G352="",B352=""),"",B352-TodayDate)</f>
        <v>0</v>
      </c>
      <c r="AX352" s="39">
        <f>IF(G352="","",IF(P352="Cancelled","Cancelled",IF(P352="No access","Action - no access, rebook",IF(AND(B352&lt;&gt;"",AW352&lt;0,OR(P352="Booked",P352="Confirmed",P352="In progress")),"Late - mark it completed",IF(AND(P352="Completed",AP352=""),"Action - not invoiced yet",IF(AND(AW352&gt;=0,AW352&lt;=ReminderDays,Y352&lt;&gt;"Yes"),"Confirm - visit coming up",IF(R352="","Assign - no cleaner booked",IF(AND(P352="Completed",AO352&lt;&gt;"",AO352&lt;1),"Check - checklist unfinished","OK"))))))))</f>
        <v>0</v>
      </c>
    </row>
    <row r="353" spans="1:50">
      <c r="A353" s="43">
        <f>IF(G353="","",JobPrefix&amp;TEXT(ROW()-4,"0000"))</f>
        <v>0</v>
      </c>
      <c r="C353" s="23">
        <f>IF(B353="","",TEXT(B353,"ddd"))</f>
        <v>0</v>
      </c>
      <c r="D353" s="31">
        <f>IF(B353="","",WEEKNUM(B353,IF(WeekStart="Sunday",1,2)))</f>
        <v>0</v>
      </c>
      <c r="E353" s="23">
        <f>IF(B353="","",TEXT(B353,"yyyy-mm"))</f>
        <v>0</v>
      </c>
      <c r="H353" s="23">
        <f>IF(G353="","",IFERROR(INDEX(Clients!$B$5:$B$204,MATCH(G353,Clients!$A$5:$A$204,0)),"Not found"))</f>
        <v>0</v>
      </c>
      <c r="I353" s="23">
        <f>IF(G353="","",IFERROR(INDEX(Clients!$C$5:$C$204,MATCH(G353,Clients!$A$5:$A$204,0)),""))</f>
        <v>0</v>
      </c>
      <c r="K353" s="23">
        <f>IF(J353="","",IFERROR(INDEX(Properties!$B$5:$B$254,MATCH(J353,Properties!$A$5:$A$254,0)),""))</f>
        <v>0</v>
      </c>
      <c r="L353" s="23">
        <f>IF(J353="","",IFERROR(INDEX(Properties!$F$5:$F$254,MATCH(J353,Properties!$A$5:$A$254,0)),""))</f>
        <v>0</v>
      </c>
      <c r="AD353" s="34">
        <f>IF(G353="","",IF(U353&lt;&gt;"",U353,IF(AND(IFERROR(INDEX(Services!$D$5:$D$64,MATCH(M353,Services!$B$5:$B$64,0)),"")="Per hour",IFERROR(INDEX(Properties!$X$5:$X$254,MATCH(J353,Properties!$A$5:$A$254,0)),0)&gt;0),IFERROR(INDEX(Properties!$X$5:$X$254,MATCH(J353,Properties!$A$5:$A$254,0)),0),IF(IFERROR(INDEX(Services!$G$5:$G$64,MATCH(M353,Services!$B$5:$B$64,0)),0)&gt;0,IFERROR(INDEX(Services!$G$5:$G$64,MATCH(M353,Services!$B$5:$B$64,0)),0),IFERROR(INDEX(Properties!$X$5:$X$254,MATCH(J353,Properties!$A$5:$A$254,0)),0)))))</f>
        <v>0</v>
      </c>
      <c r="AE353" s="31">
        <f>IF(G353="","",IF(T353="",CleanersPerJob,MAX(1,T353)))</f>
        <v>0</v>
      </c>
      <c r="AF353" s="34">
        <f>IF(G353="","",ROUND(AD353/AE353,2))</f>
        <v>0</v>
      </c>
      <c r="AG353" s="53">
        <f>IF(OR(G353="",F353="",AF353=""),"",F353+AF353/24)</f>
        <v>0</v>
      </c>
      <c r="AH353" s="21">
        <f>IF(G353="","",IF(IFERROR(INDEX(Clients!$O$5:$O$204,MATCH(G353,Clients!$A$5:$A$204,0)),0)&gt;0,IFERROR(INDEX(Clients!$O$5:$O$204,MATCH(G353,Clients!$A$5:$A$204,0)),0),HourlyRate))</f>
        <v>0</v>
      </c>
      <c r="AI353" s="21">
        <f>IF(G353="","",IF(AND(M353&lt;&gt;"",IFERROR(INDEX(Services!$P$5:$P$64,MATCH(M353,Services!$B$5:$B$64,0)),0)&gt;0,IFERROR(INDEX(Services!$D$5:$D$64,MATCH(M353,Services!$B$5:$B$64,0)),"")&lt;&gt;"Per hour"),IFERROR(INDEX(Services!$P$5:$P$64,MATCH(M353,Services!$B$5:$B$64,0)),0),AD353*AH353))</f>
        <v>0</v>
      </c>
      <c r="AJ353" s="21">
        <f>IF(G353="","",IF(V353&lt;&gt;"",V353,IF(P353="Cancelled",0,MAX(MinimumCharge,ROUND(AI353*IFERROR(INDEX(FreqFactors,MATCH(O353,FreqNames,0)),1),2)))))</f>
        <v>0</v>
      </c>
      <c r="AK353" s="34">
        <f>IF(G353="","",IF(SUMIFS(Timesheets!$U$5:$U$804,Timesheets!$G$5:$G$804,A353)&gt;0,SUMIFS(Timesheets!$U$5:$U$804,Timesheets!$G$5:$G$804,A353),IF(Z353="","",Z353)))</f>
        <v>0</v>
      </c>
      <c r="AL353" s="34">
        <f>IF(OR(AK353="",AD353=""),"",AK353-AD353)</f>
        <v>0</v>
      </c>
      <c r="AM353" s="31">
        <f>IF(A353="","",COUNTIFS('Job Tasks'!$B$5:$B$904,A353))</f>
        <v>0</v>
      </c>
      <c r="AN353" s="31">
        <f>IF(A353="","",COUNTIFS('Job Tasks'!$B$5:$B$904,A353,'Job Tasks'!$H$5:$H$904,"Done"))</f>
        <v>0</v>
      </c>
      <c r="AO353" s="38">
        <f>IF(OR(A353="",AM353=0),"",AN353/AM353)</f>
        <v>0</v>
      </c>
      <c r="AP353" s="43">
        <f>IF(A353="","",IFERROR(INDEX('Invoice Lines'!$B$5:$B$804,MATCH(A353,'Invoice Lines'!$C$5:$C$804,0)),""))</f>
        <v>0</v>
      </c>
      <c r="AQ353" s="18">
        <f>IF(OR(G353="",B353="",X353&lt;&gt;"Yes"),"",IF(IFERROR(INDEX(FreqDays,MATCH(O353,FreqNames,0)),0)=0,"",B353+IFERROR(INDEX(FreqDays,MATCH(O353,FreqNames,0)),0)))</f>
        <v>0</v>
      </c>
      <c r="AR353" s="39">
        <f>IF(G353="","",IF(R353="","Unassigned",IF(COUNTIFS($R$5:$R$604,R353,$B$5:$B$604,B353,$F$5:$F$604,F353)&gt;1,"Clash",IF(SUMIFS($AF$5:$AF$604,$R$5:$R$604,R353,$B$5:$B$604,B353)&gt;ProductiveHours,"Long day","OK"))))</f>
        <v>0</v>
      </c>
      <c r="AS353" s="18">
        <f>IF(OR(G353="",B353=""),"",IF(AND(B353&gt;=TodayDate,P353&lt;&gt;"Cancelled"),B353,""))</f>
        <v>0</v>
      </c>
      <c r="AT353" s="31">
        <f>IF(AS353="","",COUNTIFS($AS$5:$AS$604,"&lt;"&amp;AS353)+COUNTIFS($AS$5:AS353,AS353))</f>
        <v>0</v>
      </c>
      <c r="AU353" s="18">
        <f>IF(OR(G353="",B353="",R353&lt;&gt;""),"",IF(AND(B353&gt;=TodayDate,P353&lt;&gt;"Cancelled"),B353,""))</f>
        <v>0</v>
      </c>
      <c r="AV353" s="31">
        <f>IF(AU353="","",COUNTIFS($AU$5:$AU$604,"&lt;"&amp;AU353)+COUNTIFS($AU$5:AU353,AU353))</f>
        <v>0</v>
      </c>
      <c r="AW353" s="31">
        <f>IF(OR(G353="",B353=""),"",B353-TodayDate)</f>
        <v>0</v>
      </c>
      <c r="AX353" s="39">
        <f>IF(G353="","",IF(P353="Cancelled","Cancelled",IF(P353="No access","Action - no access, rebook",IF(AND(B353&lt;&gt;"",AW353&lt;0,OR(P353="Booked",P353="Confirmed",P353="In progress")),"Late - mark it completed",IF(AND(P353="Completed",AP353=""),"Action - not invoiced yet",IF(AND(AW353&gt;=0,AW353&lt;=ReminderDays,Y353&lt;&gt;"Yes"),"Confirm - visit coming up",IF(R353="","Assign - no cleaner booked",IF(AND(P353="Completed",AO353&lt;&gt;"",AO353&lt;1),"Check - checklist unfinished","OK"))))))))</f>
        <v>0</v>
      </c>
    </row>
    <row r="354" spans="1:50">
      <c r="A354" s="43">
        <f>IF(G354="","",JobPrefix&amp;TEXT(ROW()-4,"0000"))</f>
        <v>0</v>
      </c>
      <c r="C354" s="23">
        <f>IF(B354="","",TEXT(B354,"ddd"))</f>
        <v>0</v>
      </c>
      <c r="D354" s="31">
        <f>IF(B354="","",WEEKNUM(B354,IF(WeekStart="Sunday",1,2)))</f>
        <v>0</v>
      </c>
      <c r="E354" s="23">
        <f>IF(B354="","",TEXT(B354,"yyyy-mm"))</f>
        <v>0</v>
      </c>
      <c r="H354" s="23">
        <f>IF(G354="","",IFERROR(INDEX(Clients!$B$5:$B$204,MATCH(G354,Clients!$A$5:$A$204,0)),"Not found"))</f>
        <v>0</v>
      </c>
      <c r="I354" s="23">
        <f>IF(G354="","",IFERROR(INDEX(Clients!$C$5:$C$204,MATCH(G354,Clients!$A$5:$A$204,0)),""))</f>
        <v>0</v>
      </c>
      <c r="K354" s="23">
        <f>IF(J354="","",IFERROR(INDEX(Properties!$B$5:$B$254,MATCH(J354,Properties!$A$5:$A$254,0)),""))</f>
        <v>0</v>
      </c>
      <c r="L354" s="23">
        <f>IF(J354="","",IFERROR(INDEX(Properties!$F$5:$F$254,MATCH(J354,Properties!$A$5:$A$254,0)),""))</f>
        <v>0</v>
      </c>
      <c r="AD354" s="34">
        <f>IF(G354="","",IF(U354&lt;&gt;"",U354,IF(AND(IFERROR(INDEX(Services!$D$5:$D$64,MATCH(M354,Services!$B$5:$B$64,0)),"")="Per hour",IFERROR(INDEX(Properties!$X$5:$X$254,MATCH(J354,Properties!$A$5:$A$254,0)),0)&gt;0),IFERROR(INDEX(Properties!$X$5:$X$254,MATCH(J354,Properties!$A$5:$A$254,0)),0),IF(IFERROR(INDEX(Services!$G$5:$G$64,MATCH(M354,Services!$B$5:$B$64,0)),0)&gt;0,IFERROR(INDEX(Services!$G$5:$G$64,MATCH(M354,Services!$B$5:$B$64,0)),0),IFERROR(INDEX(Properties!$X$5:$X$254,MATCH(J354,Properties!$A$5:$A$254,0)),0)))))</f>
        <v>0</v>
      </c>
      <c r="AE354" s="31">
        <f>IF(G354="","",IF(T354="",CleanersPerJob,MAX(1,T354)))</f>
        <v>0</v>
      </c>
      <c r="AF354" s="34">
        <f>IF(G354="","",ROUND(AD354/AE354,2))</f>
        <v>0</v>
      </c>
      <c r="AG354" s="53">
        <f>IF(OR(G354="",F354="",AF354=""),"",F354+AF354/24)</f>
        <v>0</v>
      </c>
      <c r="AH354" s="21">
        <f>IF(G354="","",IF(IFERROR(INDEX(Clients!$O$5:$O$204,MATCH(G354,Clients!$A$5:$A$204,0)),0)&gt;0,IFERROR(INDEX(Clients!$O$5:$O$204,MATCH(G354,Clients!$A$5:$A$204,0)),0),HourlyRate))</f>
        <v>0</v>
      </c>
      <c r="AI354" s="21">
        <f>IF(G354="","",IF(AND(M354&lt;&gt;"",IFERROR(INDEX(Services!$P$5:$P$64,MATCH(M354,Services!$B$5:$B$64,0)),0)&gt;0,IFERROR(INDEX(Services!$D$5:$D$64,MATCH(M354,Services!$B$5:$B$64,0)),"")&lt;&gt;"Per hour"),IFERROR(INDEX(Services!$P$5:$P$64,MATCH(M354,Services!$B$5:$B$64,0)),0),AD354*AH354))</f>
        <v>0</v>
      </c>
      <c r="AJ354" s="21">
        <f>IF(G354="","",IF(V354&lt;&gt;"",V354,IF(P354="Cancelled",0,MAX(MinimumCharge,ROUND(AI354*IFERROR(INDEX(FreqFactors,MATCH(O354,FreqNames,0)),1),2)))))</f>
        <v>0</v>
      </c>
      <c r="AK354" s="34">
        <f>IF(G354="","",IF(SUMIFS(Timesheets!$U$5:$U$804,Timesheets!$G$5:$G$804,A354)&gt;0,SUMIFS(Timesheets!$U$5:$U$804,Timesheets!$G$5:$G$804,A354),IF(Z354="","",Z354)))</f>
        <v>0</v>
      </c>
      <c r="AL354" s="34">
        <f>IF(OR(AK354="",AD354=""),"",AK354-AD354)</f>
        <v>0</v>
      </c>
      <c r="AM354" s="31">
        <f>IF(A354="","",COUNTIFS('Job Tasks'!$B$5:$B$904,A354))</f>
        <v>0</v>
      </c>
      <c r="AN354" s="31">
        <f>IF(A354="","",COUNTIFS('Job Tasks'!$B$5:$B$904,A354,'Job Tasks'!$H$5:$H$904,"Done"))</f>
        <v>0</v>
      </c>
      <c r="AO354" s="38">
        <f>IF(OR(A354="",AM354=0),"",AN354/AM354)</f>
        <v>0</v>
      </c>
      <c r="AP354" s="43">
        <f>IF(A354="","",IFERROR(INDEX('Invoice Lines'!$B$5:$B$804,MATCH(A354,'Invoice Lines'!$C$5:$C$804,0)),""))</f>
        <v>0</v>
      </c>
      <c r="AQ354" s="18">
        <f>IF(OR(G354="",B354="",X354&lt;&gt;"Yes"),"",IF(IFERROR(INDEX(FreqDays,MATCH(O354,FreqNames,0)),0)=0,"",B354+IFERROR(INDEX(FreqDays,MATCH(O354,FreqNames,0)),0)))</f>
        <v>0</v>
      </c>
      <c r="AR354" s="39">
        <f>IF(G354="","",IF(R354="","Unassigned",IF(COUNTIFS($R$5:$R$604,R354,$B$5:$B$604,B354,$F$5:$F$604,F354)&gt;1,"Clash",IF(SUMIFS($AF$5:$AF$604,$R$5:$R$604,R354,$B$5:$B$604,B354)&gt;ProductiveHours,"Long day","OK"))))</f>
        <v>0</v>
      </c>
      <c r="AS354" s="18">
        <f>IF(OR(G354="",B354=""),"",IF(AND(B354&gt;=TodayDate,P354&lt;&gt;"Cancelled"),B354,""))</f>
        <v>0</v>
      </c>
      <c r="AT354" s="31">
        <f>IF(AS354="","",COUNTIFS($AS$5:$AS$604,"&lt;"&amp;AS354)+COUNTIFS($AS$5:AS354,AS354))</f>
        <v>0</v>
      </c>
      <c r="AU354" s="18">
        <f>IF(OR(G354="",B354="",R354&lt;&gt;""),"",IF(AND(B354&gt;=TodayDate,P354&lt;&gt;"Cancelled"),B354,""))</f>
        <v>0</v>
      </c>
      <c r="AV354" s="31">
        <f>IF(AU354="","",COUNTIFS($AU$5:$AU$604,"&lt;"&amp;AU354)+COUNTIFS($AU$5:AU354,AU354))</f>
        <v>0</v>
      </c>
      <c r="AW354" s="31">
        <f>IF(OR(G354="",B354=""),"",B354-TodayDate)</f>
        <v>0</v>
      </c>
      <c r="AX354" s="39">
        <f>IF(G354="","",IF(P354="Cancelled","Cancelled",IF(P354="No access","Action - no access, rebook",IF(AND(B354&lt;&gt;"",AW354&lt;0,OR(P354="Booked",P354="Confirmed",P354="In progress")),"Late - mark it completed",IF(AND(P354="Completed",AP354=""),"Action - not invoiced yet",IF(AND(AW354&gt;=0,AW354&lt;=ReminderDays,Y354&lt;&gt;"Yes"),"Confirm - visit coming up",IF(R354="","Assign - no cleaner booked",IF(AND(P354="Completed",AO354&lt;&gt;"",AO354&lt;1),"Check - checklist unfinished","OK"))))))))</f>
        <v>0</v>
      </c>
    </row>
    <row r="355" spans="1:50">
      <c r="A355" s="43">
        <f>IF(G355="","",JobPrefix&amp;TEXT(ROW()-4,"0000"))</f>
        <v>0</v>
      </c>
      <c r="C355" s="23">
        <f>IF(B355="","",TEXT(B355,"ddd"))</f>
        <v>0</v>
      </c>
      <c r="D355" s="31">
        <f>IF(B355="","",WEEKNUM(B355,IF(WeekStart="Sunday",1,2)))</f>
        <v>0</v>
      </c>
      <c r="E355" s="23">
        <f>IF(B355="","",TEXT(B355,"yyyy-mm"))</f>
        <v>0</v>
      </c>
      <c r="H355" s="23">
        <f>IF(G355="","",IFERROR(INDEX(Clients!$B$5:$B$204,MATCH(G355,Clients!$A$5:$A$204,0)),"Not found"))</f>
        <v>0</v>
      </c>
      <c r="I355" s="23">
        <f>IF(G355="","",IFERROR(INDEX(Clients!$C$5:$C$204,MATCH(G355,Clients!$A$5:$A$204,0)),""))</f>
        <v>0</v>
      </c>
      <c r="K355" s="23">
        <f>IF(J355="","",IFERROR(INDEX(Properties!$B$5:$B$254,MATCH(J355,Properties!$A$5:$A$254,0)),""))</f>
        <v>0</v>
      </c>
      <c r="L355" s="23">
        <f>IF(J355="","",IFERROR(INDEX(Properties!$F$5:$F$254,MATCH(J355,Properties!$A$5:$A$254,0)),""))</f>
        <v>0</v>
      </c>
      <c r="AD355" s="34">
        <f>IF(G355="","",IF(U355&lt;&gt;"",U355,IF(AND(IFERROR(INDEX(Services!$D$5:$D$64,MATCH(M355,Services!$B$5:$B$64,0)),"")="Per hour",IFERROR(INDEX(Properties!$X$5:$X$254,MATCH(J355,Properties!$A$5:$A$254,0)),0)&gt;0),IFERROR(INDEX(Properties!$X$5:$X$254,MATCH(J355,Properties!$A$5:$A$254,0)),0),IF(IFERROR(INDEX(Services!$G$5:$G$64,MATCH(M355,Services!$B$5:$B$64,0)),0)&gt;0,IFERROR(INDEX(Services!$G$5:$G$64,MATCH(M355,Services!$B$5:$B$64,0)),0),IFERROR(INDEX(Properties!$X$5:$X$254,MATCH(J355,Properties!$A$5:$A$254,0)),0)))))</f>
        <v>0</v>
      </c>
      <c r="AE355" s="31">
        <f>IF(G355="","",IF(T355="",CleanersPerJob,MAX(1,T355)))</f>
        <v>0</v>
      </c>
      <c r="AF355" s="34">
        <f>IF(G355="","",ROUND(AD355/AE355,2))</f>
        <v>0</v>
      </c>
      <c r="AG355" s="53">
        <f>IF(OR(G355="",F355="",AF355=""),"",F355+AF355/24)</f>
        <v>0</v>
      </c>
      <c r="AH355" s="21">
        <f>IF(G355="","",IF(IFERROR(INDEX(Clients!$O$5:$O$204,MATCH(G355,Clients!$A$5:$A$204,0)),0)&gt;0,IFERROR(INDEX(Clients!$O$5:$O$204,MATCH(G355,Clients!$A$5:$A$204,0)),0),HourlyRate))</f>
        <v>0</v>
      </c>
      <c r="AI355" s="21">
        <f>IF(G355="","",IF(AND(M355&lt;&gt;"",IFERROR(INDEX(Services!$P$5:$P$64,MATCH(M355,Services!$B$5:$B$64,0)),0)&gt;0,IFERROR(INDEX(Services!$D$5:$D$64,MATCH(M355,Services!$B$5:$B$64,0)),"")&lt;&gt;"Per hour"),IFERROR(INDEX(Services!$P$5:$P$64,MATCH(M355,Services!$B$5:$B$64,0)),0),AD355*AH355))</f>
        <v>0</v>
      </c>
      <c r="AJ355" s="21">
        <f>IF(G355="","",IF(V355&lt;&gt;"",V355,IF(P355="Cancelled",0,MAX(MinimumCharge,ROUND(AI355*IFERROR(INDEX(FreqFactors,MATCH(O355,FreqNames,0)),1),2)))))</f>
        <v>0</v>
      </c>
      <c r="AK355" s="34">
        <f>IF(G355="","",IF(SUMIFS(Timesheets!$U$5:$U$804,Timesheets!$G$5:$G$804,A355)&gt;0,SUMIFS(Timesheets!$U$5:$U$804,Timesheets!$G$5:$G$804,A355),IF(Z355="","",Z355)))</f>
        <v>0</v>
      </c>
      <c r="AL355" s="34">
        <f>IF(OR(AK355="",AD355=""),"",AK355-AD355)</f>
        <v>0</v>
      </c>
      <c r="AM355" s="31">
        <f>IF(A355="","",COUNTIFS('Job Tasks'!$B$5:$B$904,A355))</f>
        <v>0</v>
      </c>
      <c r="AN355" s="31">
        <f>IF(A355="","",COUNTIFS('Job Tasks'!$B$5:$B$904,A355,'Job Tasks'!$H$5:$H$904,"Done"))</f>
        <v>0</v>
      </c>
      <c r="AO355" s="38">
        <f>IF(OR(A355="",AM355=0),"",AN355/AM355)</f>
        <v>0</v>
      </c>
      <c r="AP355" s="43">
        <f>IF(A355="","",IFERROR(INDEX('Invoice Lines'!$B$5:$B$804,MATCH(A355,'Invoice Lines'!$C$5:$C$804,0)),""))</f>
        <v>0</v>
      </c>
      <c r="AQ355" s="18">
        <f>IF(OR(G355="",B355="",X355&lt;&gt;"Yes"),"",IF(IFERROR(INDEX(FreqDays,MATCH(O355,FreqNames,0)),0)=0,"",B355+IFERROR(INDEX(FreqDays,MATCH(O355,FreqNames,0)),0)))</f>
        <v>0</v>
      </c>
      <c r="AR355" s="39">
        <f>IF(G355="","",IF(R355="","Unassigned",IF(COUNTIFS($R$5:$R$604,R355,$B$5:$B$604,B355,$F$5:$F$604,F355)&gt;1,"Clash",IF(SUMIFS($AF$5:$AF$604,$R$5:$R$604,R355,$B$5:$B$604,B355)&gt;ProductiveHours,"Long day","OK"))))</f>
        <v>0</v>
      </c>
      <c r="AS355" s="18">
        <f>IF(OR(G355="",B355=""),"",IF(AND(B355&gt;=TodayDate,P355&lt;&gt;"Cancelled"),B355,""))</f>
        <v>0</v>
      </c>
      <c r="AT355" s="31">
        <f>IF(AS355="","",COUNTIFS($AS$5:$AS$604,"&lt;"&amp;AS355)+COUNTIFS($AS$5:AS355,AS355))</f>
        <v>0</v>
      </c>
      <c r="AU355" s="18">
        <f>IF(OR(G355="",B355="",R355&lt;&gt;""),"",IF(AND(B355&gt;=TodayDate,P355&lt;&gt;"Cancelled"),B355,""))</f>
        <v>0</v>
      </c>
      <c r="AV355" s="31">
        <f>IF(AU355="","",COUNTIFS($AU$5:$AU$604,"&lt;"&amp;AU355)+COUNTIFS($AU$5:AU355,AU355))</f>
        <v>0</v>
      </c>
      <c r="AW355" s="31">
        <f>IF(OR(G355="",B355=""),"",B355-TodayDate)</f>
        <v>0</v>
      </c>
      <c r="AX355" s="39">
        <f>IF(G355="","",IF(P355="Cancelled","Cancelled",IF(P355="No access","Action - no access, rebook",IF(AND(B355&lt;&gt;"",AW355&lt;0,OR(P355="Booked",P355="Confirmed",P355="In progress")),"Late - mark it completed",IF(AND(P355="Completed",AP355=""),"Action - not invoiced yet",IF(AND(AW355&gt;=0,AW355&lt;=ReminderDays,Y355&lt;&gt;"Yes"),"Confirm - visit coming up",IF(R355="","Assign - no cleaner booked",IF(AND(P355="Completed",AO355&lt;&gt;"",AO355&lt;1),"Check - checklist unfinished","OK"))))))))</f>
        <v>0</v>
      </c>
    </row>
    <row r="356" spans="1:50">
      <c r="A356" s="43">
        <f>IF(G356="","",JobPrefix&amp;TEXT(ROW()-4,"0000"))</f>
        <v>0</v>
      </c>
      <c r="C356" s="23">
        <f>IF(B356="","",TEXT(B356,"ddd"))</f>
        <v>0</v>
      </c>
      <c r="D356" s="31">
        <f>IF(B356="","",WEEKNUM(B356,IF(WeekStart="Sunday",1,2)))</f>
        <v>0</v>
      </c>
      <c r="E356" s="23">
        <f>IF(B356="","",TEXT(B356,"yyyy-mm"))</f>
        <v>0</v>
      </c>
      <c r="H356" s="23">
        <f>IF(G356="","",IFERROR(INDEX(Clients!$B$5:$B$204,MATCH(G356,Clients!$A$5:$A$204,0)),"Not found"))</f>
        <v>0</v>
      </c>
      <c r="I356" s="23">
        <f>IF(G356="","",IFERROR(INDEX(Clients!$C$5:$C$204,MATCH(G356,Clients!$A$5:$A$204,0)),""))</f>
        <v>0</v>
      </c>
      <c r="K356" s="23">
        <f>IF(J356="","",IFERROR(INDEX(Properties!$B$5:$B$254,MATCH(J356,Properties!$A$5:$A$254,0)),""))</f>
        <v>0</v>
      </c>
      <c r="L356" s="23">
        <f>IF(J356="","",IFERROR(INDEX(Properties!$F$5:$F$254,MATCH(J356,Properties!$A$5:$A$254,0)),""))</f>
        <v>0</v>
      </c>
      <c r="AD356" s="34">
        <f>IF(G356="","",IF(U356&lt;&gt;"",U356,IF(AND(IFERROR(INDEX(Services!$D$5:$D$64,MATCH(M356,Services!$B$5:$B$64,0)),"")="Per hour",IFERROR(INDEX(Properties!$X$5:$X$254,MATCH(J356,Properties!$A$5:$A$254,0)),0)&gt;0),IFERROR(INDEX(Properties!$X$5:$X$254,MATCH(J356,Properties!$A$5:$A$254,0)),0),IF(IFERROR(INDEX(Services!$G$5:$G$64,MATCH(M356,Services!$B$5:$B$64,0)),0)&gt;0,IFERROR(INDEX(Services!$G$5:$G$64,MATCH(M356,Services!$B$5:$B$64,0)),0),IFERROR(INDEX(Properties!$X$5:$X$254,MATCH(J356,Properties!$A$5:$A$254,0)),0)))))</f>
        <v>0</v>
      </c>
      <c r="AE356" s="31">
        <f>IF(G356="","",IF(T356="",CleanersPerJob,MAX(1,T356)))</f>
        <v>0</v>
      </c>
      <c r="AF356" s="34">
        <f>IF(G356="","",ROUND(AD356/AE356,2))</f>
        <v>0</v>
      </c>
      <c r="AG356" s="53">
        <f>IF(OR(G356="",F356="",AF356=""),"",F356+AF356/24)</f>
        <v>0</v>
      </c>
      <c r="AH356" s="21">
        <f>IF(G356="","",IF(IFERROR(INDEX(Clients!$O$5:$O$204,MATCH(G356,Clients!$A$5:$A$204,0)),0)&gt;0,IFERROR(INDEX(Clients!$O$5:$O$204,MATCH(G356,Clients!$A$5:$A$204,0)),0),HourlyRate))</f>
        <v>0</v>
      </c>
      <c r="AI356" s="21">
        <f>IF(G356="","",IF(AND(M356&lt;&gt;"",IFERROR(INDEX(Services!$P$5:$P$64,MATCH(M356,Services!$B$5:$B$64,0)),0)&gt;0,IFERROR(INDEX(Services!$D$5:$D$64,MATCH(M356,Services!$B$5:$B$64,0)),"")&lt;&gt;"Per hour"),IFERROR(INDEX(Services!$P$5:$P$64,MATCH(M356,Services!$B$5:$B$64,0)),0),AD356*AH356))</f>
        <v>0</v>
      </c>
      <c r="AJ356" s="21">
        <f>IF(G356="","",IF(V356&lt;&gt;"",V356,IF(P356="Cancelled",0,MAX(MinimumCharge,ROUND(AI356*IFERROR(INDEX(FreqFactors,MATCH(O356,FreqNames,0)),1),2)))))</f>
        <v>0</v>
      </c>
      <c r="AK356" s="34">
        <f>IF(G356="","",IF(SUMIFS(Timesheets!$U$5:$U$804,Timesheets!$G$5:$G$804,A356)&gt;0,SUMIFS(Timesheets!$U$5:$U$804,Timesheets!$G$5:$G$804,A356),IF(Z356="","",Z356)))</f>
        <v>0</v>
      </c>
      <c r="AL356" s="34">
        <f>IF(OR(AK356="",AD356=""),"",AK356-AD356)</f>
        <v>0</v>
      </c>
      <c r="AM356" s="31">
        <f>IF(A356="","",COUNTIFS('Job Tasks'!$B$5:$B$904,A356))</f>
        <v>0</v>
      </c>
      <c r="AN356" s="31">
        <f>IF(A356="","",COUNTIFS('Job Tasks'!$B$5:$B$904,A356,'Job Tasks'!$H$5:$H$904,"Done"))</f>
        <v>0</v>
      </c>
      <c r="AO356" s="38">
        <f>IF(OR(A356="",AM356=0),"",AN356/AM356)</f>
        <v>0</v>
      </c>
      <c r="AP356" s="43">
        <f>IF(A356="","",IFERROR(INDEX('Invoice Lines'!$B$5:$B$804,MATCH(A356,'Invoice Lines'!$C$5:$C$804,0)),""))</f>
        <v>0</v>
      </c>
      <c r="AQ356" s="18">
        <f>IF(OR(G356="",B356="",X356&lt;&gt;"Yes"),"",IF(IFERROR(INDEX(FreqDays,MATCH(O356,FreqNames,0)),0)=0,"",B356+IFERROR(INDEX(FreqDays,MATCH(O356,FreqNames,0)),0)))</f>
        <v>0</v>
      </c>
      <c r="AR356" s="39">
        <f>IF(G356="","",IF(R356="","Unassigned",IF(COUNTIFS($R$5:$R$604,R356,$B$5:$B$604,B356,$F$5:$F$604,F356)&gt;1,"Clash",IF(SUMIFS($AF$5:$AF$604,$R$5:$R$604,R356,$B$5:$B$604,B356)&gt;ProductiveHours,"Long day","OK"))))</f>
        <v>0</v>
      </c>
      <c r="AS356" s="18">
        <f>IF(OR(G356="",B356=""),"",IF(AND(B356&gt;=TodayDate,P356&lt;&gt;"Cancelled"),B356,""))</f>
        <v>0</v>
      </c>
      <c r="AT356" s="31">
        <f>IF(AS356="","",COUNTIFS($AS$5:$AS$604,"&lt;"&amp;AS356)+COUNTIFS($AS$5:AS356,AS356))</f>
        <v>0</v>
      </c>
      <c r="AU356" s="18">
        <f>IF(OR(G356="",B356="",R356&lt;&gt;""),"",IF(AND(B356&gt;=TodayDate,P356&lt;&gt;"Cancelled"),B356,""))</f>
        <v>0</v>
      </c>
      <c r="AV356" s="31">
        <f>IF(AU356="","",COUNTIFS($AU$5:$AU$604,"&lt;"&amp;AU356)+COUNTIFS($AU$5:AU356,AU356))</f>
        <v>0</v>
      </c>
      <c r="AW356" s="31">
        <f>IF(OR(G356="",B356=""),"",B356-TodayDate)</f>
        <v>0</v>
      </c>
      <c r="AX356" s="39">
        <f>IF(G356="","",IF(P356="Cancelled","Cancelled",IF(P356="No access","Action - no access, rebook",IF(AND(B356&lt;&gt;"",AW356&lt;0,OR(P356="Booked",P356="Confirmed",P356="In progress")),"Late - mark it completed",IF(AND(P356="Completed",AP356=""),"Action - not invoiced yet",IF(AND(AW356&gt;=0,AW356&lt;=ReminderDays,Y356&lt;&gt;"Yes"),"Confirm - visit coming up",IF(R356="","Assign - no cleaner booked",IF(AND(P356="Completed",AO356&lt;&gt;"",AO356&lt;1),"Check - checklist unfinished","OK"))))))))</f>
        <v>0</v>
      </c>
    </row>
    <row r="357" spans="1:50">
      <c r="A357" s="43">
        <f>IF(G357="","",JobPrefix&amp;TEXT(ROW()-4,"0000"))</f>
        <v>0</v>
      </c>
      <c r="C357" s="23">
        <f>IF(B357="","",TEXT(B357,"ddd"))</f>
        <v>0</v>
      </c>
      <c r="D357" s="31">
        <f>IF(B357="","",WEEKNUM(B357,IF(WeekStart="Sunday",1,2)))</f>
        <v>0</v>
      </c>
      <c r="E357" s="23">
        <f>IF(B357="","",TEXT(B357,"yyyy-mm"))</f>
        <v>0</v>
      </c>
      <c r="H357" s="23">
        <f>IF(G357="","",IFERROR(INDEX(Clients!$B$5:$B$204,MATCH(G357,Clients!$A$5:$A$204,0)),"Not found"))</f>
        <v>0</v>
      </c>
      <c r="I357" s="23">
        <f>IF(G357="","",IFERROR(INDEX(Clients!$C$5:$C$204,MATCH(G357,Clients!$A$5:$A$204,0)),""))</f>
        <v>0</v>
      </c>
      <c r="K357" s="23">
        <f>IF(J357="","",IFERROR(INDEX(Properties!$B$5:$B$254,MATCH(J357,Properties!$A$5:$A$254,0)),""))</f>
        <v>0</v>
      </c>
      <c r="L357" s="23">
        <f>IF(J357="","",IFERROR(INDEX(Properties!$F$5:$F$254,MATCH(J357,Properties!$A$5:$A$254,0)),""))</f>
        <v>0</v>
      </c>
      <c r="AD357" s="34">
        <f>IF(G357="","",IF(U357&lt;&gt;"",U357,IF(AND(IFERROR(INDEX(Services!$D$5:$D$64,MATCH(M357,Services!$B$5:$B$64,0)),"")="Per hour",IFERROR(INDEX(Properties!$X$5:$X$254,MATCH(J357,Properties!$A$5:$A$254,0)),0)&gt;0),IFERROR(INDEX(Properties!$X$5:$X$254,MATCH(J357,Properties!$A$5:$A$254,0)),0),IF(IFERROR(INDEX(Services!$G$5:$G$64,MATCH(M357,Services!$B$5:$B$64,0)),0)&gt;0,IFERROR(INDEX(Services!$G$5:$G$64,MATCH(M357,Services!$B$5:$B$64,0)),0),IFERROR(INDEX(Properties!$X$5:$X$254,MATCH(J357,Properties!$A$5:$A$254,0)),0)))))</f>
        <v>0</v>
      </c>
      <c r="AE357" s="31">
        <f>IF(G357="","",IF(T357="",CleanersPerJob,MAX(1,T357)))</f>
        <v>0</v>
      </c>
      <c r="AF357" s="34">
        <f>IF(G357="","",ROUND(AD357/AE357,2))</f>
        <v>0</v>
      </c>
      <c r="AG357" s="53">
        <f>IF(OR(G357="",F357="",AF357=""),"",F357+AF357/24)</f>
        <v>0</v>
      </c>
      <c r="AH357" s="21">
        <f>IF(G357="","",IF(IFERROR(INDEX(Clients!$O$5:$O$204,MATCH(G357,Clients!$A$5:$A$204,0)),0)&gt;0,IFERROR(INDEX(Clients!$O$5:$O$204,MATCH(G357,Clients!$A$5:$A$204,0)),0),HourlyRate))</f>
        <v>0</v>
      </c>
      <c r="AI357" s="21">
        <f>IF(G357="","",IF(AND(M357&lt;&gt;"",IFERROR(INDEX(Services!$P$5:$P$64,MATCH(M357,Services!$B$5:$B$64,0)),0)&gt;0,IFERROR(INDEX(Services!$D$5:$D$64,MATCH(M357,Services!$B$5:$B$64,0)),"")&lt;&gt;"Per hour"),IFERROR(INDEX(Services!$P$5:$P$64,MATCH(M357,Services!$B$5:$B$64,0)),0),AD357*AH357))</f>
        <v>0</v>
      </c>
      <c r="AJ357" s="21">
        <f>IF(G357="","",IF(V357&lt;&gt;"",V357,IF(P357="Cancelled",0,MAX(MinimumCharge,ROUND(AI357*IFERROR(INDEX(FreqFactors,MATCH(O357,FreqNames,0)),1),2)))))</f>
        <v>0</v>
      </c>
      <c r="AK357" s="34">
        <f>IF(G357="","",IF(SUMIFS(Timesheets!$U$5:$U$804,Timesheets!$G$5:$G$804,A357)&gt;0,SUMIFS(Timesheets!$U$5:$U$804,Timesheets!$G$5:$G$804,A357),IF(Z357="","",Z357)))</f>
        <v>0</v>
      </c>
      <c r="AL357" s="34">
        <f>IF(OR(AK357="",AD357=""),"",AK357-AD357)</f>
        <v>0</v>
      </c>
      <c r="AM357" s="31">
        <f>IF(A357="","",COUNTIFS('Job Tasks'!$B$5:$B$904,A357))</f>
        <v>0</v>
      </c>
      <c r="AN357" s="31">
        <f>IF(A357="","",COUNTIFS('Job Tasks'!$B$5:$B$904,A357,'Job Tasks'!$H$5:$H$904,"Done"))</f>
        <v>0</v>
      </c>
      <c r="AO357" s="38">
        <f>IF(OR(A357="",AM357=0),"",AN357/AM357)</f>
        <v>0</v>
      </c>
      <c r="AP357" s="43">
        <f>IF(A357="","",IFERROR(INDEX('Invoice Lines'!$B$5:$B$804,MATCH(A357,'Invoice Lines'!$C$5:$C$804,0)),""))</f>
        <v>0</v>
      </c>
      <c r="AQ357" s="18">
        <f>IF(OR(G357="",B357="",X357&lt;&gt;"Yes"),"",IF(IFERROR(INDEX(FreqDays,MATCH(O357,FreqNames,0)),0)=0,"",B357+IFERROR(INDEX(FreqDays,MATCH(O357,FreqNames,0)),0)))</f>
        <v>0</v>
      </c>
      <c r="AR357" s="39">
        <f>IF(G357="","",IF(R357="","Unassigned",IF(COUNTIFS($R$5:$R$604,R357,$B$5:$B$604,B357,$F$5:$F$604,F357)&gt;1,"Clash",IF(SUMIFS($AF$5:$AF$604,$R$5:$R$604,R357,$B$5:$B$604,B357)&gt;ProductiveHours,"Long day","OK"))))</f>
        <v>0</v>
      </c>
      <c r="AS357" s="18">
        <f>IF(OR(G357="",B357=""),"",IF(AND(B357&gt;=TodayDate,P357&lt;&gt;"Cancelled"),B357,""))</f>
        <v>0</v>
      </c>
      <c r="AT357" s="31">
        <f>IF(AS357="","",COUNTIFS($AS$5:$AS$604,"&lt;"&amp;AS357)+COUNTIFS($AS$5:AS357,AS357))</f>
        <v>0</v>
      </c>
      <c r="AU357" s="18">
        <f>IF(OR(G357="",B357="",R357&lt;&gt;""),"",IF(AND(B357&gt;=TodayDate,P357&lt;&gt;"Cancelled"),B357,""))</f>
        <v>0</v>
      </c>
      <c r="AV357" s="31">
        <f>IF(AU357="","",COUNTIFS($AU$5:$AU$604,"&lt;"&amp;AU357)+COUNTIFS($AU$5:AU357,AU357))</f>
        <v>0</v>
      </c>
      <c r="AW357" s="31">
        <f>IF(OR(G357="",B357=""),"",B357-TodayDate)</f>
        <v>0</v>
      </c>
      <c r="AX357" s="39">
        <f>IF(G357="","",IF(P357="Cancelled","Cancelled",IF(P357="No access","Action - no access, rebook",IF(AND(B357&lt;&gt;"",AW357&lt;0,OR(P357="Booked",P357="Confirmed",P357="In progress")),"Late - mark it completed",IF(AND(P357="Completed",AP357=""),"Action - not invoiced yet",IF(AND(AW357&gt;=0,AW357&lt;=ReminderDays,Y357&lt;&gt;"Yes"),"Confirm - visit coming up",IF(R357="","Assign - no cleaner booked",IF(AND(P357="Completed",AO357&lt;&gt;"",AO357&lt;1),"Check - checklist unfinished","OK"))))))))</f>
        <v>0</v>
      </c>
    </row>
    <row r="358" spans="1:50">
      <c r="A358" s="43">
        <f>IF(G358="","",JobPrefix&amp;TEXT(ROW()-4,"0000"))</f>
        <v>0</v>
      </c>
      <c r="C358" s="23">
        <f>IF(B358="","",TEXT(B358,"ddd"))</f>
        <v>0</v>
      </c>
      <c r="D358" s="31">
        <f>IF(B358="","",WEEKNUM(B358,IF(WeekStart="Sunday",1,2)))</f>
        <v>0</v>
      </c>
      <c r="E358" s="23">
        <f>IF(B358="","",TEXT(B358,"yyyy-mm"))</f>
        <v>0</v>
      </c>
      <c r="H358" s="23">
        <f>IF(G358="","",IFERROR(INDEX(Clients!$B$5:$B$204,MATCH(G358,Clients!$A$5:$A$204,0)),"Not found"))</f>
        <v>0</v>
      </c>
      <c r="I358" s="23">
        <f>IF(G358="","",IFERROR(INDEX(Clients!$C$5:$C$204,MATCH(G358,Clients!$A$5:$A$204,0)),""))</f>
        <v>0</v>
      </c>
      <c r="K358" s="23">
        <f>IF(J358="","",IFERROR(INDEX(Properties!$B$5:$B$254,MATCH(J358,Properties!$A$5:$A$254,0)),""))</f>
        <v>0</v>
      </c>
      <c r="L358" s="23">
        <f>IF(J358="","",IFERROR(INDEX(Properties!$F$5:$F$254,MATCH(J358,Properties!$A$5:$A$254,0)),""))</f>
        <v>0</v>
      </c>
      <c r="AD358" s="34">
        <f>IF(G358="","",IF(U358&lt;&gt;"",U358,IF(AND(IFERROR(INDEX(Services!$D$5:$D$64,MATCH(M358,Services!$B$5:$B$64,0)),"")="Per hour",IFERROR(INDEX(Properties!$X$5:$X$254,MATCH(J358,Properties!$A$5:$A$254,0)),0)&gt;0),IFERROR(INDEX(Properties!$X$5:$X$254,MATCH(J358,Properties!$A$5:$A$254,0)),0),IF(IFERROR(INDEX(Services!$G$5:$G$64,MATCH(M358,Services!$B$5:$B$64,0)),0)&gt;0,IFERROR(INDEX(Services!$G$5:$G$64,MATCH(M358,Services!$B$5:$B$64,0)),0),IFERROR(INDEX(Properties!$X$5:$X$254,MATCH(J358,Properties!$A$5:$A$254,0)),0)))))</f>
        <v>0</v>
      </c>
      <c r="AE358" s="31">
        <f>IF(G358="","",IF(T358="",CleanersPerJob,MAX(1,T358)))</f>
        <v>0</v>
      </c>
      <c r="AF358" s="34">
        <f>IF(G358="","",ROUND(AD358/AE358,2))</f>
        <v>0</v>
      </c>
      <c r="AG358" s="53">
        <f>IF(OR(G358="",F358="",AF358=""),"",F358+AF358/24)</f>
        <v>0</v>
      </c>
      <c r="AH358" s="21">
        <f>IF(G358="","",IF(IFERROR(INDEX(Clients!$O$5:$O$204,MATCH(G358,Clients!$A$5:$A$204,0)),0)&gt;0,IFERROR(INDEX(Clients!$O$5:$O$204,MATCH(G358,Clients!$A$5:$A$204,0)),0),HourlyRate))</f>
        <v>0</v>
      </c>
      <c r="AI358" s="21">
        <f>IF(G358="","",IF(AND(M358&lt;&gt;"",IFERROR(INDEX(Services!$P$5:$P$64,MATCH(M358,Services!$B$5:$B$64,0)),0)&gt;0,IFERROR(INDEX(Services!$D$5:$D$64,MATCH(M358,Services!$B$5:$B$64,0)),"")&lt;&gt;"Per hour"),IFERROR(INDEX(Services!$P$5:$P$64,MATCH(M358,Services!$B$5:$B$64,0)),0),AD358*AH358))</f>
        <v>0</v>
      </c>
      <c r="AJ358" s="21">
        <f>IF(G358="","",IF(V358&lt;&gt;"",V358,IF(P358="Cancelled",0,MAX(MinimumCharge,ROUND(AI358*IFERROR(INDEX(FreqFactors,MATCH(O358,FreqNames,0)),1),2)))))</f>
        <v>0</v>
      </c>
      <c r="AK358" s="34">
        <f>IF(G358="","",IF(SUMIFS(Timesheets!$U$5:$U$804,Timesheets!$G$5:$G$804,A358)&gt;0,SUMIFS(Timesheets!$U$5:$U$804,Timesheets!$G$5:$G$804,A358),IF(Z358="","",Z358)))</f>
        <v>0</v>
      </c>
      <c r="AL358" s="34">
        <f>IF(OR(AK358="",AD358=""),"",AK358-AD358)</f>
        <v>0</v>
      </c>
      <c r="AM358" s="31">
        <f>IF(A358="","",COUNTIFS('Job Tasks'!$B$5:$B$904,A358))</f>
        <v>0</v>
      </c>
      <c r="AN358" s="31">
        <f>IF(A358="","",COUNTIFS('Job Tasks'!$B$5:$B$904,A358,'Job Tasks'!$H$5:$H$904,"Done"))</f>
        <v>0</v>
      </c>
      <c r="AO358" s="38">
        <f>IF(OR(A358="",AM358=0),"",AN358/AM358)</f>
        <v>0</v>
      </c>
      <c r="AP358" s="43">
        <f>IF(A358="","",IFERROR(INDEX('Invoice Lines'!$B$5:$B$804,MATCH(A358,'Invoice Lines'!$C$5:$C$804,0)),""))</f>
        <v>0</v>
      </c>
      <c r="AQ358" s="18">
        <f>IF(OR(G358="",B358="",X358&lt;&gt;"Yes"),"",IF(IFERROR(INDEX(FreqDays,MATCH(O358,FreqNames,0)),0)=0,"",B358+IFERROR(INDEX(FreqDays,MATCH(O358,FreqNames,0)),0)))</f>
        <v>0</v>
      </c>
      <c r="AR358" s="39">
        <f>IF(G358="","",IF(R358="","Unassigned",IF(COUNTIFS($R$5:$R$604,R358,$B$5:$B$604,B358,$F$5:$F$604,F358)&gt;1,"Clash",IF(SUMIFS($AF$5:$AF$604,$R$5:$R$604,R358,$B$5:$B$604,B358)&gt;ProductiveHours,"Long day","OK"))))</f>
        <v>0</v>
      </c>
      <c r="AS358" s="18">
        <f>IF(OR(G358="",B358=""),"",IF(AND(B358&gt;=TodayDate,P358&lt;&gt;"Cancelled"),B358,""))</f>
        <v>0</v>
      </c>
      <c r="AT358" s="31">
        <f>IF(AS358="","",COUNTIFS($AS$5:$AS$604,"&lt;"&amp;AS358)+COUNTIFS($AS$5:AS358,AS358))</f>
        <v>0</v>
      </c>
      <c r="AU358" s="18">
        <f>IF(OR(G358="",B358="",R358&lt;&gt;""),"",IF(AND(B358&gt;=TodayDate,P358&lt;&gt;"Cancelled"),B358,""))</f>
        <v>0</v>
      </c>
      <c r="AV358" s="31">
        <f>IF(AU358="","",COUNTIFS($AU$5:$AU$604,"&lt;"&amp;AU358)+COUNTIFS($AU$5:AU358,AU358))</f>
        <v>0</v>
      </c>
      <c r="AW358" s="31">
        <f>IF(OR(G358="",B358=""),"",B358-TodayDate)</f>
        <v>0</v>
      </c>
      <c r="AX358" s="39">
        <f>IF(G358="","",IF(P358="Cancelled","Cancelled",IF(P358="No access","Action - no access, rebook",IF(AND(B358&lt;&gt;"",AW358&lt;0,OR(P358="Booked",P358="Confirmed",P358="In progress")),"Late - mark it completed",IF(AND(P358="Completed",AP358=""),"Action - not invoiced yet",IF(AND(AW358&gt;=0,AW358&lt;=ReminderDays,Y358&lt;&gt;"Yes"),"Confirm - visit coming up",IF(R358="","Assign - no cleaner booked",IF(AND(P358="Completed",AO358&lt;&gt;"",AO358&lt;1),"Check - checklist unfinished","OK"))))))))</f>
        <v>0</v>
      </c>
    </row>
    <row r="359" spans="1:50">
      <c r="A359" s="43">
        <f>IF(G359="","",JobPrefix&amp;TEXT(ROW()-4,"0000"))</f>
        <v>0</v>
      </c>
      <c r="C359" s="23">
        <f>IF(B359="","",TEXT(B359,"ddd"))</f>
        <v>0</v>
      </c>
      <c r="D359" s="31">
        <f>IF(B359="","",WEEKNUM(B359,IF(WeekStart="Sunday",1,2)))</f>
        <v>0</v>
      </c>
      <c r="E359" s="23">
        <f>IF(B359="","",TEXT(B359,"yyyy-mm"))</f>
        <v>0</v>
      </c>
      <c r="H359" s="23">
        <f>IF(G359="","",IFERROR(INDEX(Clients!$B$5:$B$204,MATCH(G359,Clients!$A$5:$A$204,0)),"Not found"))</f>
        <v>0</v>
      </c>
      <c r="I359" s="23">
        <f>IF(G359="","",IFERROR(INDEX(Clients!$C$5:$C$204,MATCH(G359,Clients!$A$5:$A$204,0)),""))</f>
        <v>0</v>
      </c>
      <c r="K359" s="23">
        <f>IF(J359="","",IFERROR(INDEX(Properties!$B$5:$B$254,MATCH(J359,Properties!$A$5:$A$254,0)),""))</f>
        <v>0</v>
      </c>
      <c r="L359" s="23">
        <f>IF(J359="","",IFERROR(INDEX(Properties!$F$5:$F$254,MATCH(J359,Properties!$A$5:$A$254,0)),""))</f>
        <v>0</v>
      </c>
      <c r="AD359" s="34">
        <f>IF(G359="","",IF(U359&lt;&gt;"",U359,IF(AND(IFERROR(INDEX(Services!$D$5:$D$64,MATCH(M359,Services!$B$5:$B$64,0)),"")="Per hour",IFERROR(INDEX(Properties!$X$5:$X$254,MATCH(J359,Properties!$A$5:$A$254,0)),0)&gt;0),IFERROR(INDEX(Properties!$X$5:$X$254,MATCH(J359,Properties!$A$5:$A$254,0)),0),IF(IFERROR(INDEX(Services!$G$5:$G$64,MATCH(M359,Services!$B$5:$B$64,0)),0)&gt;0,IFERROR(INDEX(Services!$G$5:$G$64,MATCH(M359,Services!$B$5:$B$64,0)),0),IFERROR(INDEX(Properties!$X$5:$X$254,MATCH(J359,Properties!$A$5:$A$254,0)),0)))))</f>
        <v>0</v>
      </c>
      <c r="AE359" s="31">
        <f>IF(G359="","",IF(T359="",CleanersPerJob,MAX(1,T359)))</f>
        <v>0</v>
      </c>
      <c r="AF359" s="34">
        <f>IF(G359="","",ROUND(AD359/AE359,2))</f>
        <v>0</v>
      </c>
      <c r="AG359" s="53">
        <f>IF(OR(G359="",F359="",AF359=""),"",F359+AF359/24)</f>
        <v>0</v>
      </c>
      <c r="AH359" s="21">
        <f>IF(G359="","",IF(IFERROR(INDEX(Clients!$O$5:$O$204,MATCH(G359,Clients!$A$5:$A$204,0)),0)&gt;0,IFERROR(INDEX(Clients!$O$5:$O$204,MATCH(G359,Clients!$A$5:$A$204,0)),0),HourlyRate))</f>
        <v>0</v>
      </c>
      <c r="AI359" s="21">
        <f>IF(G359="","",IF(AND(M359&lt;&gt;"",IFERROR(INDEX(Services!$P$5:$P$64,MATCH(M359,Services!$B$5:$B$64,0)),0)&gt;0,IFERROR(INDEX(Services!$D$5:$D$64,MATCH(M359,Services!$B$5:$B$64,0)),"")&lt;&gt;"Per hour"),IFERROR(INDEX(Services!$P$5:$P$64,MATCH(M359,Services!$B$5:$B$64,0)),0),AD359*AH359))</f>
        <v>0</v>
      </c>
      <c r="AJ359" s="21">
        <f>IF(G359="","",IF(V359&lt;&gt;"",V359,IF(P359="Cancelled",0,MAX(MinimumCharge,ROUND(AI359*IFERROR(INDEX(FreqFactors,MATCH(O359,FreqNames,0)),1),2)))))</f>
        <v>0</v>
      </c>
      <c r="AK359" s="34">
        <f>IF(G359="","",IF(SUMIFS(Timesheets!$U$5:$U$804,Timesheets!$G$5:$G$804,A359)&gt;0,SUMIFS(Timesheets!$U$5:$U$804,Timesheets!$G$5:$G$804,A359),IF(Z359="","",Z359)))</f>
        <v>0</v>
      </c>
      <c r="AL359" s="34">
        <f>IF(OR(AK359="",AD359=""),"",AK359-AD359)</f>
        <v>0</v>
      </c>
      <c r="AM359" s="31">
        <f>IF(A359="","",COUNTIFS('Job Tasks'!$B$5:$B$904,A359))</f>
        <v>0</v>
      </c>
      <c r="AN359" s="31">
        <f>IF(A359="","",COUNTIFS('Job Tasks'!$B$5:$B$904,A359,'Job Tasks'!$H$5:$H$904,"Done"))</f>
        <v>0</v>
      </c>
      <c r="AO359" s="38">
        <f>IF(OR(A359="",AM359=0),"",AN359/AM359)</f>
        <v>0</v>
      </c>
      <c r="AP359" s="43">
        <f>IF(A359="","",IFERROR(INDEX('Invoice Lines'!$B$5:$B$804,MATCH(A359,'Invoice Lines'!$C$5:$C$804,0)),""))</f>
        <v>0</v>
      </c>
      <c r="AQ359" s="18">
        <f>IF(OR(G359="",B359="",X359&lt;&gt;"Yes"),"",IF(IFERROR(INDEX(FreqDays,MATCH(O359,FreqNames,0)),0)=0,"",B359+IFERROR(INDEX(FreqDays,MATCH(O359,FreqNames,0)),0)))</f>
        <v>0</v>
      </c>
      <c r="AR359" s="39">
        <f>IF(G359="","",IF(R359="","Unassigned",IF(COUNTIFS($R$5:$R$604,R359,$B$5:$B$604,B359,$F$5:$F$604,F359)&gt;1,"Clash",IF(SUMIFS($AF$5:$AF$604,$R$5:$R$604,R359,$B$5:$B$604,B359)&gt;ProductiveHours,"Long day","OK"))))</f>
        <v>0</v>
      </c>
      <c r="AS359" s="18">
        <f>IF(OR(G359="",B359=""),"",IF(AND(B359&gt;=TodayDate,P359&lt;&gt;"Cancelled"),B359,""))</f>
        <v>0</v>
      </c>
      <c r="AT359" s="31">
        <f>IF(AS359="","",COUNTIFS($AS$5:$AS$604,"&lt;"&amp;AS359)+COUNTIFS($AS$5:AS359,AS359))</f>
        <v>0</v>
      </c>
      <c r="AU359" s="18">
        <f>IF(OR(G359="",B359="",R359&lt;&gt;""),"",IF(AND(B359&gt;=TodayDate,P359&lt;&gt;"Cancelled"),B359,""))</f>
        <v>0</v>
      </c>
      <c r="AV359" s="31">
        <f>IF(AU359="","",COUNTIFS($AU$5:$AU$604,"&lt;"&amp;AU359)+COUNTIFS($AU$5:AU359,AU359))</f>
        <v>0</v>
      </c>
      <c r="AW359" s="31">
        <f>IF(OR(G359="",B359=""),"",B359-TodayDate)</f>
        <v>0</v>
      </c>
      <c r="AX359" s="39">
        <f>IF(G359="","",IF(P359="Cancelled","Cancelled",IF(P359="No access","Action - no access, rebook",IF(AND(B359&lt;&gt;"",AW359&lt;0,OR(P359="Booked",P359="Confirmed",P359="In progress")),"Late - mark it completed",IF(AND(P359="Completed",AP359=""),"Action - not invoiced yet",IF(AND(AW359&gt;=0,AW359&lt;=ReminderDays,Y359&lt;&gt;"Yes"),"Confirm - visit coming up",IF(R359="","Assign - no cleaner booked",IF(AND(P359="Completed",AO359&lt;&gt;"",AO359&lt;1),"Check - checklist unfinished","OK"))))))))</f>
        <v>0</v>
      </c>
    </row>
    <row r="360" spans="1:50">
      <c r="A360" s="43">
        <f>IF(G360="","",JobPrefix&amp;TEXT(ROW()-4,"0000"))</f>
        <v>0</v>
      </c>
      <c r="C360" s="23">
        <f>IF(B360="","",TEXT(B360,"ddd"))</f>
        <v>0</v>
      </c>
      <c r="D360" s="31">
        <f>IF(B360="","",WEEKNUM(B360,IF(WeekStart="Sunday",1,2)))</f>
        <v>0</v>
      </c>
      <c r="E360" s="23">
        <f>IF(B360="","",TEXT(B360,"yyyy-mm"))</f>
        <v>0</v>
      </c>
      <c r="H360" s="23">
        <f>IF(G360="","",IFERROR(INDEX(Clients!$B$5:$B$204,MATCH(G360,Clients!$A$5:$A$204,0)),"Not found"))</f>
        <v>0</v>
      </c>
      <c r="I360" s="23">
        <f>IF(G360="","",IFERROR(INDEX(Clients!$C$5:$C$204,MATCH(G360,Clients!$A$5:$A$204,0)),""))</f>
        <v>0</v>
      </c>
      <c r="K360" s="23">
        <f>IF(J360="","",IFERROR(INDEX(Properties!$B$5:$B$254,MATCH(J360,Properties!$A$5:$A$254,0)),""))</f>
        <v>0</v>
      </c>
      <c r="L360" s="23">
        <f>IF(J360="","",IFERROR(INDEX(Properties!$F$5:$F$254,MATCH(J360,Properties!$A$5:$A$254,0)),""))</f>
        <v>0</v>
      </c>
      <c r="AD360" s="34">
        <f>IF(G360="","",IF(U360&lt;&gt;"",U360,IF(AND(IFERROR(INDEX(Services!$D$5:$D$64,MATCH(M360,Services!$B$5:$B$64,0)),"")="Per hour",IFERROR(INDEX(Properties!$X$5:$X$254,MATCH(J360,Properties!$A$5:$A$254,0)),0)&gt;0),IFERROR(INDEX(Properties!$X$5:$X$254,MATCH(J360,Properties!$A$5:$A$254,0)),0),IF(IFERROR(INDEX(Services!$G$5:$G$64,MATCH(M360,Services!$B$5:$B$64,0)),0)&gt;0,IFERROR(INDEX(Services!$G$5:$G$64,MATCH(M360,Services!$B$5:$B$64,0)),0),IFERROR(INDEX(Properties!$X$5:$X$254,MATCH(J360,Properties!$A$5:$A$254,0)),0)))))</f>
        <v>0</v>
      </c>
      <c r="AE360" s="31">
        <f>IF(G360="","",IF(T360="",CleanersPerJob,MAX(1,T360)))</f>
        <v>0</v>
      </c>
      <c r="AF360" s="34">
        <f>IF(G360="","",ROUND(AD360/AE360,2))</f>
        <v>0</v>
      </c>
      <c r="AG360" s="53">
        <f>IF(OR(G360="",F360="",AF360=""),"",F360+AF360/24)</f>
        <v>0</v>
      </c>
      <c r="AH360" s="21">
        <f>IF(G360="","",IF(IFERROR(INDEX(Clients!$O$5:$O$204,MATCH(G360,Clients!$A$5:$A$204,0)),0)&gt;0,IFERROR(INDEX(Clients!$O$5:$O$204,MATCH(G360,Clients!$A$5:$A$204,0)),0),HourlyRate))</f>
        <v>0</v>
      </c>
      <c r="AI360" s="21">
        <f>IF(G360="","",IF(AND(M360&lt;&gt;"",IFERROR(INDEX(Services!$P$5:$P$64,MATCH(M360,Services!$B$5:$B$64,0)),0)&gt;0,IFERROR(INDEX(Services!$D$5:$D$64,MATCH(M360,Services!$B$5:$B$64,0)),"")&lt;&gt;"Per hour"),IFERROR(INDEX(Services!$P$5:$P$64,MATCH(M360,Services!$B$5:$B$64,0)),0),AD360*AH360))</f>
        <v>0</v>
      </c>
      <c r="AJ360" s="21">
        <f>IF(G360="","",IF(V360&lt;&gt;"",V360,IF(P360="Cancelled",0,MAX(MinimumCharge,ROUND(AI360*IFERROR(INDEX(FreqFactors,MATCH(O360,FreqNames,0)),1),2)))))</f>
        <v>0</v>
      </c>
      <c r="AK360" s="34">
        <f>IF(G360="","",IF(SUMIFS(Timesheets!$U$5:$U$804,Timesheets!$G$5:$G$804,A360)&gt;0,SUMIFS(Timesheets!$U$5:$U$804,Timesheets!$G$5:$G$804,A360),IF(Z360="","",Z360)))</f>
        <v>0</v>
      </c>
      <c r="AL360" s="34">
        <f>IF(OR(AK360="",AD360=""),"",AK360-AD360)</f>
        <v>0</v>
      </c>
      <c r="AM360" s="31">
        <f>IF(A360="","",COUNTIFS('Job Tasks'!$B$5:$B$904,A360))</f>
        <v>0</v>
      </c>
      <c r="AN360" s="31">
        <f>IF(A360="","",COUNTIFS('Job Tasks'!$B$5:$B$904,A360,'Job Tasks'!$H$5:$H$904,"Done"))</f>
        <v>0</v>
      </c>
      <c r="AO360" s="38">
        <f>IF(OR(A360="",AM360=0),"",AN360/AM360)</f>
        <v>0</v>
      </c>
      <c r="AP360" s="43">
        <f>IF(A360="","",IFERROR(INDEX('Invoice Lines'!$B$5:$B$804,MATCH(A360,'Invoice Lines'!$C$5:$C$804,0)),""))</f>
        <v>0</v>
      </c>
      <c r="AQ360" s="18">
        <f>IF(OR(G360="",B360="",X360&lt;&gt;"Yes"),"",IF(IFERROR(INDEX(FreqDays,MATCH(O360,FreqNames,0)),0)=0,"",B360+IFERROR(INDEX(FreqDays,MATCH(O360,FreqNames,0)),0)))</f>
        <v>0</v>
      </c>
      <c r="AR360" s="39">
        <f>IF(G360="","",IF(R360="","Unassigned",IF(COUNTIFS($R$5:$R$604,R360,$B$5:$B$604,B360,$F$5:$F$604,F360)&gt;1,"Clash",IF(SUMIFS($AF$5:$AF$604,$R$5:$R$604,R360,$B$5:$B$604,B360)&gt;ProductiveHours,"Long day","OK"))))</f>
        <v>0</v>
      </c>
      <c r="AS360" s="18">
        <f>IF(OR(G360="",B360=""),"",IF(AND(B360&gt;=TodayDate,P360&lt;&gt;"Cancelled"),B360,""))</f>
        <v>0</v>
      </c>
      <c r="AT360" s="31">
        <f>IF(AS360="","",COUNTIFS($AS$5:$AS$604,"&lt;"&amp;AS360)+COUNTIFS($AS$5:AS360,AS360))</f>
        <v>0</v>
      </c>
      <c r="AU360" s="18">
        <f>IF(OR(G360="",B360="",R360&lt;&gt;""),"",IF(AND(B360&gt;=TodayDate,P360&lt;&gt;"Cancelled"),B360,""))</f>
        <v>0</v>
      </c>
      <c r="AV360" s="31">
        <f>IF(AU360="","",COUNTIFS($AU$5:$AU$604,"&lt;"&amp;AU360)+COUNTIFS($AU$5:AU360,AU360))</f>
        <v>0</v>
      </c>
      <c r="AW360" s="31">
        <f>IF(OR(G360="",B360=""),"",B360-TodayDate)</f>
        <v>0</v>
      </c>
      <c r="AX360" s="39">
        <f>IF(G360="","",IF(P360="Cancelled","Cancelled",IF(P360="No access","Action - no access, rebook",IF(AND(B360&lt;&gt;"",AW360&lt;0,OR(P360="Booked",P360="Confirmed",P360="In progress")),"Late - mark it completed",IF(AND(P360="Completed",AP360=""),"Action - not invoiced yet",IF(AND(AW360&gt;=0,AW360&lt;=ReminderDays,Y360&lt;&gt;"Yes"),"Confirm - visit coming up",IF(R360="","Assign - no cleaner booked",IF(AND(P360="Completed",AO360&lt;&gt;"",AO360&lt;1),"Check - checklist unfinished","OK"))))))))</f>
        <v>0</v>
      </c>
    </row>
    <row r="361" spans="1:50">
      <c r="A361" s="43">
        <f>IF(G361="","",JobPrefix&amp;TEXT(ROW()-4,"0000"))</f>
        <v>0</v>
      </c>
      <c r="C361" s="23">
        <f>IF(B361="","",TEXT(B361,"ddd"))</f>
        <v>0</v>
      </c>
      <c r="D361" s="31">
        <f>IF(B361="","",WEEKNUM(B361,IF(WeekStart="Sunday",1,2)))</f>
        <v>0</v>
      </c>
      <c r="E361" s="23">
        <f>IF(B361="","",TEXT(B361,"yyyy-mm"))</f>
        <v>0</v>
      </c>
      <c r="H361" s="23">
        <f>IF(G361="","",IFERROR(INDEX(Clients!$B$5:$B$204,MATCH(G361,Clients!$A$5:$A$204,0)),"Not found"))</f>
        <v>0</v>
      </c>
      <c r="I361" s="23">
        <f>IF(G361="","",IFERROR(INDEX(Clients!$C$5:$C$204,MATCH(G361,Clients!$A$5:$A$204,0)),""))</f>
        <v>0</v>
      </c>
      <c r="K361" s="23">
        <f>IF(J361="","",IFERROR(INDEX(Properties!$B$5:$B$254,MATCH(J361,Properties!$A$5:$A$254,0)),""))</f>
        <v>0</v>
      </c>
      <c r="L361" s="23">
        <f>IF(J361="","",IFERROR(INDEX(Properties!$F$5:$F$254,MATCH(J361,Properties!$A$5:$A$254,0)),""))</f>
        <v>0</v>
      </c>
      <c r="AD361" s="34">
        <f>IF(G361="","",IF(U361&lt;&gt;"",U361,IF(AND(IFERROR(INDEX(Services!$D$5:$D$64,MATCH(M361,Services!$B$5:$B$64,0)),"")="Per hour",IFERROR(INDEX(Properties!$X$5:$X$254,MATCH(J361,Properties!$A$5:$A$254,0)),0)&gt;0),IFERROR(INDEX(Properties!$X$5:$X$254,MATCH(J361,Properties!$A$5:$A$254,0)),0),IF(IFERROR(INDEX(Services!$G$5:$G$64,MATCH(M361,Services!$B$5:$B$64,0)),0)&gt;0,IFERROR(INDEX(Services!$G$5:$G$64,MATCH(M361,Services!$B$5:$B$64,0)),0),IFERROR(INDEX(Properties!$X$5:$X$254,MATCH(J361,Properties!$A$5:$A$254,0)),0)))))</f>
        <v>0</v>
      </c>
      <c r="AE361" s="31">
        <f>IF(G361="","",IF(T361="",CleanersPerJob,MAX(1,T361)))</f>
        <v>0</v>
      </c>
      <c r="AF361" s="34">
        <f>IF(G361="","",ROUND(AD361/AE361,2))</f>
        <v>0</v>
      </c>
      <c r="AG361" s="53">
        <f>IF(OR(G361="",F361="",AF361=""),"",F361+AF361/24)</f>
        <v>0</v>
      </c>
      <c r="AH361" s="21">
        <f>IF(G361="","",IF(IFERROR(INDEX(Clients!$O$5:$O$204,MATCH(G361,Clients!$A$5:$A$204,0)),0)&gt;0,IFERROR(INDEX(Clients!$O$5:$O$204,MATCH(G361,Clients!$A$5:$A$204,0)),0),HourlyRate))</f>
        <v>0</v>
      </c>
      <c r="AI361" s="21">
        <f>IF(G361="","",IF(AND(M361&lt;&gt;"",IFERROR(INDEX(Services!$P$5:$P$64,MATCH(M361,Services!$B$5:$B$64,0)),0)&gt;0,IFERROR(INDEX(Services!$D$5:$D$64,MATCH(M361,Services!$B$5:$B$64,0)),"")&lt;&gt;"Per hour"),IFERROR(INDEX(Services!$P$5:$P$64,MATCH(M361,Services!$B$5:$B$64,0)),0),AD361*AH361))</f>
        <v>0</v>
      </c>
      <c r="AJ361" s="21">
        <f>IF(G361="","",IF(V361&lt;&gt;"",V361,IF(P361="Cancelled",0,MAX(MinimumCharge,ROUND(AI361*IFERROR(INDEX(FreqFactors,MATCH(O361,FreqNames,0)),1),2)))))</f>
        <v>0</v>
      </c>
      <c r="AK361" s="34">
        <f>IF(G361="","",IF(SUMIFS(Timesheets!$U$5:$U$804,Timesheets!$G$5:$G$804,A361)&gt;0,SUMIFS(Timesheets!$U$5:$U$804,Timesheets!$G$5:$G$804,A361),IF(Z361="","",Z361)))</f>
        <v>0</v>
      </c>
      <c r="AL361" s="34">
        <f>IF(OR(AK361="",AD361=""),"",AK361-AD361)</f>
        <v>0</v>
      </c>
      <c r="AM361" s="31">
        <f>IF(A361="","",COUNTIFS('Job Tasks'!$B$5:$B$904,A361))</f>
        <v>0</v>
      </c>
      <c r="AN361" s="31">
        <f>IF(A361="","",COUNTIFS('Job Tasks'!$B$5:$B$904,A361,'Job Tasks'!$H$5:$H$904,"Done"))</f>
        <v>0</v>
      </c>
      <c r="AO361" s="38">
        <f>IF(OR(A361="",AM361=0),"",AN361/AM361)</f>
        <v>0</v>
      </c>
      <c r="AP361" s="43">
        <f>IF(A361="","",IFERROR(INDEX('Invoice Lines'!$B$5:$B$804,MATCH(A361,'Invoice Lines'!$C$5:$C$804,0)),""))</f>
        <v>0</v>
      </c>
      <c r="AQ361" s="18">
        <f>IF(OR(G361="",B361="",X361&lt;&gt;"Yes"),"",IF(IFERROR(INDEX(FreqDays,MATCH(O361,FreqNames,0)),0)=0,"",B361+IFERROR(INDEX(FreqDays,MATCH(O361,FreqNames,0)),0)))</f>
        <v>0</v>
      </c>
      <c r="AR361" s="39">
        <f>IF(G361="","",IF(R361="","Unassigned",IF(COUNTIFS($R$5:$R$604,R361,$B$5:$B$604,B361,$F$5:$F$604,F361)&gt;1,"Clash",IF(SUMIFS($AF$5:$AF$604,$R$5:$R$604,R361,$B$5:$B$604,B361)&gt;ProductiveHours,"Long day","OK"))))</f>
        <v>0</v>
      </c>
      <c r="AS361" s="18">
        <f>IF(OR(G361="",B361=""),"",IF(AND(B361&gt;=TodayDate,P361&lt;&gt;"Cancelled"),B361,""))</f>
        <v>0</v>
      </c>
      <c r="AT361" s="31">
        <f>IF(AS361="","",COUNTIFS($AS$5:$AS$604,"&lt;"&amp;AS361)+COUNTIFS($AS$5:AS361,AS361))</f>
        <v>0</v>
      </c>
      <c r="AU361" s="18">
        <f>IF(OR(G361="",B361="",R361&lt;&gt;""),"",IF(AND(B361&gt;=TodayDate,P361&lt;&gt;"Cancelled"),B361,""))</f>
        <v>0</v>
      </c>
      <c r="AV361" s="31">
        <f>IF(AU361="","",COUNTIFS($AU$5:$AU$604,"&lt;"&amp;AU361)+COUNTIFS($AU$5:AU361,AU361))</f>
        <v>0</v>
      </c>
      <c r="AW361" s="31">
        <f>IF(OR(G361="",B361=""),"",B361-TodayDate)</f>
        <v>0</v>
      </c>
      <c r="AX361" s="39">
        <f>IF(G361="","",IF(P361="Cancelled","Cancelled",IF(P361="No access","Action - no access, rebook",IF(AND(B361&lt;&gt;"",AW361&lt;0,OR(P361="Booked",P361="Confirmed",P361="In progress")),"Late - mark it completed",IF(AND(P361="Completed",AP361=""),"Action - not invoiced yet",IF(AND(AW361&gt;=0,AW361&lt;=ReminderDays,Y361&lt;&gt;"Yes"),"Confirm - visit coming up",IF(R361="","Assign - no cleaner booked",IF(AND(P361="Completed",AO361&lt;&gt;"",AO361&lt;1),"Check - checklist unfinished","OK"))))))))</f>
        <v>0</v>
      </c>
    </row>
    <row r="362" spans="1:50">
      <c r="A362" s="43">
        <f>IF(G362="","",JobPrefix&amp;TEXT(ROW()-4,"0000"))</f>
        <v>0</v>
      </c>
      <c r="C362" s="23">
        <f>IF(B362="","",TEXT(B362,"ddd"))</f>
        <v>0</v>
      </c>
      <c r="D362" s="31">
        <f>IF(B362="","",WEEKNUM(B362,IF(WeekStart="Sunday",1,2)))</f>
        <v>0</v>
      </c>
      <c r="E362" s="23">
        <f>IF(B362="","",TEXT(B362,"yyyy-mm"))</f>
        <v>0</v>
      </c>
      <c r="H362" s="23">
        <f>IF(G362="","",IFERROR(INDEX(Clients!$B$5:$B$204,MATCH(G362,Clients!$A$5:$A$204,0)),"Not found"))</f>
        <v>0</v>
      </c>
      <c r="I362" s="23">
        <f>IF(G362="","",IFERROR(INDEX(Clients!$C$5:$C$204,MATCH(G362,Clients!$A$5:$A$204,0)),""))</f>
        <v>0</v>
      </c>
      <c r="K362" s="23">
        <f>IF(J362="","",IFERROR(INDEX(Properties!$B$5:$B$254,MATCH(J362,Properties!$A$5:$A$254,0)),""))</f>
        <v>0</v>
      </c>
      <c r="L362" s="23">
        <f>IF(J362="","",IFERROR(INDEX(Properties!$F$5:$F$254,MATCH(J362,Properties!$A$5:$A$254,0)),""))</f>
        <v>0</v>
      </c>
      <c r="AD362" s="34">
        <f>IF(G362="","",IF(U362&lt;&gt;"",U362,IF(AND(IFERROR(INDEX(Services!$D$5:$D$64,MATCH(M362,Services!$B$5:$B$64,0)),"")="Per hour",IFERROR(INDEX(Properties!$X$5:$X$254,MATCH(J362,Properties!$A$5:$A$254,0)),0)&gt;0),IFERROR(INDEX(Properties!$X$5:$X$254,MATCH(J362,Properties!$A$5:$A$254,0)),0),IF(IFERROR(INDEX(Services!$G$5:$G$64,MATCH(M362,Services!$B$5:$B$64,0)),0)&gt;0,IFERROR(INDEX(Services!$G$5:$G$64,MATCH(M362,Services!$B$5:$B$64,0)),0),IFERROR(INDEX(Properties!$X$5:$X$254,MATCH(J362,Properties!$A$5:$A$254,0)),0)))))</f>
        <v>0</v>
      </c>
      <c r="AE362" s="31">
        <f>IF(G362="","",IF(T362="",CleanersPerJob,MAX(1,T362)))</f>
        <v>0</v>
      </c>
      <c r="AF362" s="34">
        <f>IF(G362="","",ROUND(AD362/AE362,2))</f>
        <v>0</v>
      </c>
      <c r="AG362" s="53">
        <f>IF(OR(G362="",F362="",AF362=""),"",F362+AF362/24)</f>
        <v>0</v>
      </c>
      <c r="AH362" s="21">
        <f>IF(G362="","",IF(IFERROR(INDEX(Clients!$O$5:$O$204,MATCH(G362,Clients!$A$5:$A$204,0)),0)&gt;0,IFERROR(INDEX(Clients!$O$5:$O$204,MATCH(G362,Clients!$A$5:$A$204,0)),0),HourlyRate))</f>
        <v>0</v>
      </c>
      <c r="AI362" s="21">
        <f>IF(G362="","",IF(AND(M362&lt;&gt;"",IFERROR(INDEX(Services!$P$5:$P$64,MATCH(M362,Services!$B$5:$B$64,0)),0)&gt;0,IFERROR(INDEX(Services!$D$5:$D$64,MATCH(M362,Services!$B$5:$B$64,0)),"")&lt;&gt;"Per hour"),IFERROR(INDEX(Services!$P$5:$P$64,MATCH(M362,Services!$B$5:$B$64,0)),0),AD362*AH362))</f>
        <v>0</v>
      </c>
      <c r="AJ362" s="21">
        <f>IF(G362="","",IF(V362&lt;&gt;"",V362,IF(P362="Cancelled",0,MAX(MinimumCharge,ROUND(AI362*IFERROR(INDEX(FreqFactors,MATCH(O362,FreqNames,0)),1),2)))))</f>
        <v>0</v>
      </c>
      <c r="AK362" s="34">
        <f>IF(G362="","",IF(SUMIFS(Timesheets!$U$5:$U$804,Timesheets!$G$5:$G$804,A362)&gt;0,SUMIFS(Timesheets!$U$5:$U$804,Timesheets!$G$5:$G$804,A362),IF(Z362="","",Z362)))</f>
        <v>0</v>
      </c>
      <c r="AL362" s="34">
        <f>IF(OR(AK362="",AD362=""),"",AK362-AD362)</f>
        <v>0</v>
      </c>
      <c r="AM362" s="31">
        <f>IF(A362="","",COUNTIFS('Job Tasks'!$B$5:$B$904,A362))</f>
        <v>0</v>
      </c>
      <c r="AN362" s="31">
        <f>IF(A362="","",COUNTIFS('Job Tasks'!$B$5:$B$904,A362,'Job Tasks'!$H$5:$H$904,"Done"))</f>
        <v>0</v>
      </c>
      <c r="AO362" s="38">
        <f>IF(OR(A362="",AM362=0),"",AN362/AM362)</f>
        <v>0</v>
      </c>
      <c r="AP362" s="43">
        <f>IF(A362="","",IFERROR(INDEX('Invoice Lines'!$B$5:$B$804,MATCH(A362,'Invoice Lines'!$C$5:$C$804,0)),""))</f>
        <v>0</v>
      </c>
      <c r="AQ362" s="18">
        <f>IF(OR(G362="",B362="",X362&lt;&gt;"Yes"),"",IF(IFERROR(INDEX(FreqDays,MATCH(O362,FreqNames,0)),0)=0,"",B362+IFERROR(INDEX(FreqDays,MATCH(O362,FreqNames,0)),0)))</f>
        <v>0</v>
      </c>
      <c r="AR362" s="39">
        <f>IF(G362="","",IF(R362="","Unassigned",IF(COUNTIFS($R$5:$R$604,R362,$B$5:$B$604,B362,$F$5:$F$604,F362)&gt;1,"Clash",IF(SUMIFS($AF$5:$AF$604,$R$5:$R$604,R362,$B$5:$B$604,B362)&gt;ProductiveHours,"Long day","OK"))))</f>
        <v>0</v>
      </c>
      <c r="AS362" s="18">
        <f>IF(OR(G362="",B362=""),"",IF(AND(B362&gt;=TodayDate,P362&lt;&gt;"Cancelled"),B362,""))</f>
        <v>0</v>
      </c>
      <c r="AT362" s="31">
        <f>IF(AS362="","",COUNTIFS($AS$5:$AS$604,"&lt;"&amp;AS362)+COUNTIFS($AS$5:AS362,AS362))</f>
        <v>0</v>
      </c>
      <c r="AU362" s="18">
        <f>IF(OR(G362="",B362="",R362&lt;&gt;""),"",IF(AND(B362&gt;=TodayDate,P362&lt;&gt;"Cancelled"),B362,""))</f>
        <v>0</v>
      </c>
      <c r="AV362" s="31">
        <f>IF(AU362="","",COUNTIFS($AU$5:$AU$604,"&lt;"&amp;AU362)+COUNTIFS($AU$5:AU362,AU362))</f>
        <v>0</v>
      </c>
      <c r="AW362" s="31">
        <f>IF(OR(G362="",B362=""),"",B362-TodayDate)</f>
        <v>0</v>
      </c>
      <c r="AX362" s="39">
        <f>IF(G362="","",IF(P362="Cancelled","Cancelled",IF(P362="No access","Action - no access, rebook",IF(AND(B362&lt;&gt;"",AW362&lt;0,OR(P362="Booked",P362="Confirmed",P362="In progress")),"Late - mark it completed",IF(AND(P362="Completed",AP362=""),"Action - not invoiced yet",IF(AND(AW362&gt;=0,AW362&lt;=ReminderDays,Y362&lt;&gt;"Yes"),"Confirm - visit coming up",IF(R362="","Assign - no cleaner booked",IF(AND(P362="Completed",AO362&lt;&gt;"",AO362&lt;1),"Check - checklist unfinished","OK"))))))))</f>
        <v>0</v>
      </c>
    </row>
    <row r="363" spans="1:50">
      <c r="A363" s="43">
        <f>IF(G363="","",JobPrefix&amp;TEXT(ROW()-4,"0000"))</f>
        <v>0</v>
      </c>
      <c r="C363" s="23">
        <f>IF(B363="","",TEXT(B363,"ddd"))</f>
        <v>0</v>
      </c>
      <c r="D363" s="31">
        <f>IF(B363="","",WEEKNUM(B363,IF(WeekStart="Sunday",1,2)))</f>
        <v>0</v>
      </c>
      <c r="E363" s="23">
        <f>IF(B363="","",TEXT(B363,"yyyy-mm"))</f>
        <v>0</v>
      </c>
      <c r="H363" s="23">
        <f>IF(G363="","",IFERROR(INDEX(Clients!$B$5:$B$204,MATCH(G363,Clients!$A$5:$A$204,0)),"Not found"))</f>
        <v>0</v>
      </c>
      <c r="I363" s="23">
        <f>IF(G363="","",IFERROR(INDEX(Clients!$C$5:$C$204,MATCH(G363,Clients!$A$5:$A$204,0)),""))</f>
        <v>0</v>
      </c>
      <c r="K363" s="23">
        <f>IF(J363="","",IFERROR(INDEX(Properties!$B$5:$B$254,MATCH(J363,Properties!$A$5:$A$254,0)),""))</f>
        <v>0</v>
      </c>
      <c r="L363" s="23">
        <f>IF(J363="","",IFERROR(INDEX(Properties!$F$5:$F$254,MATCH(J363,Properties!$A$5:$A$254,0)),""))</f>
        <v>0</v>
      </c>
      <c r="AD363" s="34">
        <f>IF(G363="","",IF(U363&lt;&gt;"",U363,IF(AND(IFERROR(INDEX(Services!$D$5:$D$64,MATCH(M363,Services!$B$5:$B$64,0)),"")="Per hour",IFERROR(INDEX(Properties!$X$5:$X$254,MATCH(J363,Properties!$A$5:$A$254,0)),0)&gt;0),IFERROR(INDEX(Properties!$X$5:$X$254,MATCH(J363,Properties!$A$5:$A$254,0)),0),IF(IFERROR(INDEX(Services!$G$5:$G$64,MATCH(M363,Services!$B$5:$B$64,0)),0)&gt;0,IFERROR(INDEX(Services!$G$5:$G$64,MATCH(M363,Services!$B$5:$B$64,0)),0),IFERROR(INDEX(Properties!$X$5:$X$254,MATCH(J363,Properties!$A$5:$A$254,0)),0)))))</f>
        <v>0</v>
      </c>
      <c r="AE363" s="31">
        <f>IF(G363="","",IF(T363="",CleanersPerJob,MAX(1,T363)))</f>
        <v>0</v>
      </c>
      <c r="AF363" s="34">
        <f>IF(G363="","",ROUND(AD363/AE363,2))</f>
        <v>0</v>
      </c>
      <c r="AG363" s="53">
        <f>IF(OR(G363="",F363="",AF363=""),"",F363+AF363/24)</f>
        <v>0</v>
      </c>
      <c r="AH363" s="21">
        <f>IF(G363="","",IF(IFERROR(INDEX(Clients!$O$5:$O$204,MATCH(G363,Clients!$A$5:$A$204,0)),0)&gt;0,IFERROR(INDEX(Clients!$O$5:$O$204,MATCH(G363,Clients!$A$5:$A$204,0)),0),HourlyRate))</f>
        <v>0</v>
      </c>
      <c r="AI363" s="21">
        <f>IF(G363="","",IF(AND(M363&lt;&gt;"",IFERROR(INDEX(Services!$P$5:$P$64,MATCH(M363,Services!$B$5:$B$64,0)),0)&gt;0,IFERROR(INDEX(Services!$D$5:$D$64,MATCH(M363,Services!$B$5:$B$64,0)),"")&lt;&gt;"Per hour"),IFERROR(INDEX(Services!$P$5:$P$64,MATCH(M363,Services!$B$5:$B$64,0)),0),AD363*AH363))</f>
        <v>0</v>
      </c>
      <c r="AJ363" s="21">
        <f>IF(G363="","",IF(V363&lt;&gt;"",V363,IF(P363="Cancelled",0,MAX(MinimumCharge,ROUND(AI363*IFERROR(INDEX(FreqFactors,MATCH(O363,FreqNames,0)),1),2)))))</f>
        <v>0</v>
      </c>
      <c r="AK363" s="34">
        <f>IF(G363="","",IF(SUMIFS(Timesheets!$U$5:$U$804,Timesheets!$G$5:$G$804,A363)&gt;0,SUMIFS(Timesheets!$U$5:$U$804,Timesheets!$G$5:$G$804,A363),IF(Z363="","",Z363)))</f>
        <v>0</v>
      </c>
      <c r="AL363" s="34">
        <f>IF(OR(AK363="",AD363=""),"",AK363-AD363)</f>
        <v>0</v>
      </c>
      <c r="AM363" s="31">
        <f>IF(A363="","",COUNTIFS('Job Tasks'!$B$5:$B$904,A363))</f>
        <v>0</v>
      </c>
      <c r="AN363" s="31">
        <f>IF(A363="","",COUNTIFS('Job Tasks'!$B$5:$B$904,A363,'Job Tasks'!$H$5:$H$904,"Done"))</f>
        <v>0</v>
      </c>
      <c r="AO363" s="38">
        <f>IF(OR(A363="",AM363=0),"",AN363/AM363)</f>
        <v>0</v>
      </c>
      <c r="AP363" s="43">
        <f>IF(A363="","",IFERROR(INDEX('Invoice Lines'!$B$5:$B$804,MATCH(A363,'Invoice Lines'!$C$5:$C$804,0)),""))</f>
        <v>0</v>
      </c>
      <c r="AQ363" s="18">
        <f>IF(OR(G363="",B363="",X363&lt;&gt;"Yes"),"",IF(IFERROR(INDEX(FreqDays,MATCH(O363,FreqNames,0)),0)=0,"",B363+IFERROR(INDEX(FreqDays,MATCH(O363,FreqNames,0)),0)))</f>
        <v>0</v>
      </c>
      <c r="AR363" s="39">
        <f>IF(G363="","",IF(R363="","Unassigned",IF(COUNTIFS($R$5:$R$604,R363,$B$5:$B$604,B363,$F$5:$F$604,F363)&gt;1,"Clash",IF(SUMIFS($AF$5:$AF$604,$R$5:$R$604,R363,$B$5:$B$604,B363)&gt;ProductiveHours,"Long day","OK"))))</f>
        <v>0</v>
      </c>
      <c r="AS363" s="18">
        <f>IF(OR(G363="",B363=""),"",IF(AND(B363&gt;=TodayDate,P363&lt;&gt;"Cancelled"),B363,""))</f>
        <v>0</v>
      </c>
      <c r="AT363" s="31">
        <f>IF(AS363="","",COUNTIFS($AS$5:$AS$604,"&lt;"&amp;AS363)+COUNTIFS($AS$5:AS363,AS363))</f>
        <v>0</v>
      </c>
      <c r="AU363" s="18">
        <f>IF(OR(G363="",B363="",R363&lt;&gt;""),"",IF(AND(B363&gt;=TodayDate,P363&lt;&gt;"Cancelled"),B363,""))</f>
        <v>0</v>
      </c>
      <c r="AV363" s="31">
        <f>IF(AU363="","",COUNTIFS($AU$5:$AU$604,"&lt;"&amp;AU363)+COUNTIFS($AU$5:AU363,AU363))</f>
        <v>0</v>
      </c>
      <c r="AW363" s="31">
        <f>IF(OR(G363="",B363=""),"",B363-TodayDate)</f>
        <v>0</v>
      </c>
      <c r="AX363" s="39">
        <f>IF(G363="","",IF(P363="Cancelled","Cancelled",IF(P363="No access","Action - no access, rebook",IF(AND(B363&lt;&gt;"",AW363&lt;0,OR(P363="Booked",P363="Confirmed",P363="In progress")),"Late - mark it completed",IF(AND(P363="Completed",AP363=""),"Action - not invoiced yet",IF(AND(AW363&gt;=0,AW363&lt;=ReminderDays,Y363&lt;&gt;"Yes"),"Confirm - visit coming up",IF(R363="","Assign - no cleaner booked",IF(AND(P363="Completed",AO363&lt;&gt;"",AO363&lt;1),"Check - checklist unfinished","OK"))))))))</f>
        <v>0</v>
      </c>
    </row>
    <row r="364" spans="1:50">
      <c r="A364" s="43">
        <f>IF(G364="","",JobPrefix&amp;TEXT(ROW()-4,"0000"))</f>
        <v>0</v>
      </c>
      <c r="C364" s="23">
        <f>IF(B364="","",TEXT(B364,"ddd"))</f>
        <v>0</v>
      </c>
      <c r="D364" s="31">
        <f>IF(B364="","",WEEKNUM(B364,IF(WeekStart="Sunday",1,2)))</f>
        <v>0</v>
      </c>
      <c r="E364" s="23">
        <f>IF(B364="","",TEXT(B364,"yyyy-mm"))</f>
        <v>0</v>
      </c>
      <c r="H364" s="23">
        <f>IF(G364="","",IFERROR(INDEX(Clients!$B$5:$B$204,MATCH(G364,Clients!$A$5:$A$204,0)),"Not found"))</f>
        <v>0</v>
      </c>
      <c r="I364" s="23">
        <f>IF(G364="","",IFERROR(INDEX(Clients!$C$5:$C$204,MATCH(G364,Clients!$A$5:$A$204,0)),""))</f>
        <v>0</v>
      </c>
      <c r="K364" s="23">
        <f>IF(J364="","",IFERROR(INDEX(Properties!$B$5:$B$254,MATCH(J364,Properties!$A$5:$A$254,0)),""))</f>
        <v>0</v>
      </c>
      <c r="L364" s="23">
        <f>IF(J364="","",IFERROR(INDEX(Properties!$F$5:$F$254,MATCH(J364,Properties!$A$5:$A$254,0)),""))</f>
        <v>0</v>
      </c>
      <c r="AD364" s="34">
        <f>IF(G364="","",IF(U364&lt;&gt;"",U364,IF(AND(IFERROR(INDEX(Services!$D$5:$D$64,MATCH(M364,Services!$B$5:$B$64,0)),"")="Per hour",IFERROR(INDEX(Properties!$X$5:$X$254,MATCH(J364,Properties!$A$5:$A$254,0)),0)&gt;0),IFERROR(INDEX(Properties!$X$5:$X$254,MATCH(J364,Properties!$A$5:$A$254,0)),0),IF(IFERROR(INDEX(Services!$G$5:$G$64,MATCH(M364,Services!$B$5:$B$64,0)),0)&gt;0,IFERROR(INDEX(Services!$G$5:$G$64,MATCH(M364,Services!$B$5:$B$64,0)),0),IFERROR(INDEX(Properties!$X$5:$X$254,MATCH(J364,Properties!$A$5:$A$254,0)),0)))))</f>
        <v>0</v>
      </c>
      <c r="AE364" s="31">
        <f>IF(G364="","",IF(T364="",CleanersPerJob,MAX(1,T364)))</f>
        <v>0</v>
      </c>
      <c r="AF364" s="34">
        <f>IF(G364="","",ROUND(AD364/AE364,2))</f>
        <v>0</v>
      </c>
      <c r="AG364" s="53">
        <f>IF(OR(G364="",F364="",AF364=""),"",F364+AF364/24)</f>
        <v>0</v>
      </c>
      <c r="AH364" s="21">
        <f>IF(G364="","",IF(IFERROR(INDEX(Clients!$O$5:$O$204,MATCH(G364,Clients!$A$5:$A$204,0)),0)&gt;0,IFERROR(INDEX(Clients!$O$5:$O$204,MATCH(G364,Clients!$A$5:$A$204,0)),0),HourlyRate))</f>
        <v>0</v>
      </c>
      <c r="AI364" s="21">
        <f>IF(G364="","",IF(AND(M364&lt;&gt;"",IFERROR(INDEX(Services!$P$5:$P$64,MATCH(M364,Services!$B$5:$B$64,0)),0)&gt;0,IFERROR(INDEX(Services!$D$5:$D$64,MATCH(M364,Services!$B$5:$B$64,0)),"")&lt;&gt;"Per hour"),IFERROR(INDEX(Services!$P$5:$P$64,MATCH(M364,Services!$B$5:$B$64,0)),0),AD364*AH364))</f>
        <v>0</v>
      </c>
      <c r="AJ364" s="21">
        <f>IF(G364="","",IF(V364&lt;&gt;"",V364,IF(P364="Cancelled",0,MAX(MinimumCharge,ROUND(AI364*IFERROR(INDEX(FreqFactors,MATCH(O364,FreqNames,0)),1),2)))))</f>
        <v>0</v>
      </c>
      <c r="AK364" s="34">
        <f>IF(G364="","",IF(SUMIFS(Timesheets!$U$5:$U$804,Timesheets!$G$5:$G$804,A364)&gt;0,SUMIFS(Timesheets!$U$5:$U$804,Timesheets!$G$5:$G$804,A364),IF(Z364="","",Z364)))</f>
        <v>0</v>
      </c>
      <c r="AL364" s="34">
        <f>IF(OR(AK364="",AD364=""),"",AK364-AD364)</f>
        <v>0</v>
      </c>
      <c r="AM364" s="31">
        <f>IF(A364="","",COUNTIFS('Job Tasks'!$B$5:$B$904,A364))</f>
        <v>0</v>
      </c>
      <c r="AN364" s="31">
        <f>IF(A364="","",COUNTIFS('Job Tasks'!$B$5:$B$904,A364,'Job Tasks'!$H$5:$H$904,"Done"))</f>
        <v>0</v>
      </c>
      <c r="AO364" s="38">
        <f>IF(OR(A364="",AM364=0),"",AN364/AM364)</f>
        <v>0</v>
      </c>
      <c r="AP364" s="43">
        <f>IF(A364="","",IFERROR(INDEX('Invoice Lines'!$B$5:$B$804,MATCH(A364,'Invoice Lines'!$C$5:$C$804,0)),""))</f>
        <v>0</v>
      </c>
      <c r="AQ364" s="18">
        <f>IF(OR(G364="",B364="",X364&lt;&gt;"Yes"),"",IF(IFERROR(INDEX(FreqDays,MATCH(O364,FreqNames,0)),0)=0,"",B364+IFERROR(INDEX(FreqDays,MATCH(O364,FreqNames,0)),0)))</f>
        <v>0</v>
      </c>
      <c r="AR364" s="39">
        <f>IF(G364="","",IF(R364="","Unassigned",IF(COUNTIFS($R$5:$R$604,R364,$B$5:$B$604,B364,$F$5:$F$604,F364)&gt;1,"Clash",IF(SUMIFS($AF$5:$AF$604,$R$5:$R$604,R364,$B$5:$B$604,B364)&gt;ProductiveHours,"Long day","OK"))))</f>
        <v>0</v>
      </c>
      <c r="AS364" s="18">
        <f>IF(OR(G364="",B364=""),"",IF(AND(B364&gt;=TodayDate,P364&lt;&gt;"Cancelled"),B364,""))</f>
        <v>0</v>
      </c>
      <c r="AT364" s="31">
        <f>IF(AS364="","",COUNTIFS($AS$5:$AS$604,"&lt;"&amp;AS364)+COUNTIFS($AS$5:AS364,AS364))</f>
        <v>0</v>
      </c>
      <c r="AU364" s="18">
        <f>IF(OR(G364="",B364="",R364&lt;&gt;""),"",IF(AND(B364&gt;=TodayDate,P364&lt;&gt;"Cancelled"),B364,""))</f>
        <v>0</v>
      </c>
      <c r="AV364" s="31">
        <f>IF(AU364="","",COUNTIFS($AU$5:$AU$604,"&lt;"&amp;AU364)+COUNTIFS($AU$5:AU364,AU364))</f>
        <v>0</v>
      </c>
      <c r="AW364" s="31">
        <f>IF(OR(G364="",B364=""),"",B364-TodayDate)</f>
        <v>0</v>
      </c>
      <c r="AX364" s="39">
        <f>IF(G364="","",IF(P364="Cancelled","Cancelled",IF(P364="No access","Action - no access, rebook",IF(AND(B364&lt;&gt;"",AW364&lt;0,OR(P364="Booked",P364="Confirmed",P364="In progress")),"Late - mark it completed",IF(AND(P364="Completed",AP364=""),"Action - not invoiced yet",IF(AND(AW364&gt;=0,AW364&lt;=ReminderDays,Y364&lt;&gt;"Yes"),"Confirm - visit coming up",IF(R364="","Assign - no cleaner booked",IF(AND(P364="Completed",AO364&lt;&gt;"",AO364&lt;1),"Check - checklist unfinished","OK"))))))))</f>
        <v>0</v>
      </c>
    </row>
    <row r="365" spans="1:50">
      <c r="A365" s="43">
        <f>IF(G365="","",JobPrefix&amp;TEXT(ROW()-4,"0000"))</f>
        <v>0</v>
      </c>
      <c r="C365" s="23">
        <f>IF(B365="","",TEXT(B365,"ddd"))</f>
        <v>0</v>
      </c>
      <c r="D365" s="31">
        <f>IF(B365="","",WEEKNUM(B365,IF(WeekStart="Sunday",1,2)))</f>
        <v>0</v>
      </c>
      <c r="E365" s="23">
        <f>IF(B365="","",TEXT(B365,"yyyy-mm"))</f>
        <v>0</v>
      </c>
      <c r="H365" s="23">
        <f>IF(G365="","",IFERROR(INDEX(Clients!$B$5:$B$204,MATCH(G365,Clients!$A$5:$A$204,0)),"Not found"))</f>
        <v>0</v>
      </c>
      <c r="I365" s="23">
        <f>IF(G365="","",IFERROR(INDEX(Clients!$C$5:$C$204,MATCH(G365,Clients!$A$5:$A$204,0)),""))</f>
        <v>0</v>
      </c>
      <c r="K365" s="23">
        <f>IF(J365="","",IFERROR(INDEX(Properties!$B$5:$B$254,MATCH(J365,Properties!$A$5:$A$254,0)),""))</f>
        <v>0</v>
      </c>
      <c r="L365" s="23">
        <f>IF(J365="","",IFERROR(INDEX(Properties!$F$5:$F$254,MATCH(J365,Properties!$A$5:$A$254,0)),""))</f>
        <v>0</v>
      </c>
      <c r="AD365" s="34">
        <f>IF(G365="","",IF(U365&lt;&gt;"",U365,IF(AND(IFERROR(INDEX(Services!$D$5:$D$64,MATCH(M365,Services!$B$5:$B$64,0)),"")="Per hour",IFERROR(INDEX(Properties!$X$5:$X$254,MATCH(J365,Properties!$A$5:$A$254,0)),0)&gt;0),IFERROR(INDEX(Properties!$X$5:$X$254,MATCH(J365,Properties!$A$5:$A$254,0)),0),IF(IFERROR(INDEX(Services!$G$5:$G$64,MATCH(M365,Services!$B$5:$B$64,0)),0)&gt;0,IFERROR(INDEX(Services!$G$5:$G$64,MATCH(M365,Services!$B$5:$B$64,0)),0),IFERROR(INDEX(Properties!$X$5:$X$254,MATCH(J365,Properties!$A$5:$A$254,0)),0)))))</f>
        <v>0</v>
      </c>
      <c r="AE365" s="31">
        <f>IF(G365="","",IF(T365="",CleanersPerJob,MAX(1,T365)))</f>
        <v>0</v>
      </c>
      <c r="AF365" s="34">
        <f>IF(G365="","",ROUND(AD365/AE365,2))</f>
        <v>0</v>
      </c>
      <c r="AG365" s="53">
        <f>IF(OR(G365="",F365="",AF365=""),"",F365+AF365/24)</f>
        <v>0</v>
      </c>
      <c r="AH365" s="21">
        <f>IF(G365="","",IF(IFERROR(INDEX(Clients!$O$5:$O$204,MATCH(G365,Clients!$A$5:$A$204,0)),0)&gt;0,IFERROR(INDEX(Clients!$O$5:$O$204,MATCH(G365,Clients!$A$5:$A$204,0)),0),HourlyRate))</f>
        <v>0</v>
      </c>
      <c r="AI365" s="21">
        <f>IF(G365="","",IF(AND(M365&lt;&gt;"",IFERROR(INDEX(Services!$P$5:$P$64,MATCH(M365,Services!$B$5:$B$64,0)),0)&gt;0,IFERROR(INDEX(Services!$D$5:$D$64,MATCH(M365,Services!$B$5:$B$64,0)),"")&lt;&gt;"Per hour"),IFERROR(INDEX(Services!$P$5:$P$64,MATCH(M365,Services!$B$5:$B$64,0)),0),AD365*AH365))</f>
        <v>0</v>
      </c>
      <c r="AJ365" s="21">
        <f>IF(G365="","",IF(V365&lt;&gt;"",V365,IF(P365="Cancelled",0,MAX(MinimumCharge,ROUND(AI365*IFERROR(INDEX(FreqFactors,MATCH(O365,FreqNames,0)),1),2)))))</f>
        <v>0</v>
      </c>
      <c r="AK365" s="34">
        <f>IF(G365="","",IF(SUMIFS(Timesheets!$U$5:$U$804,Timesheets!$G$5:$G$804,A365)&gt;0,SUMIFS(Timesheets!$U$5:$U$804,Timesheets!$G$5:$G$804,A365),IF(Z365="","",Z365)))</f>
        <v>0</v>
      </c>
      <c r="AL365" s="34">
        <f>IF(OR(AK365="",AD365=""),"",AK365-AD365)</f>
        <v>0</v>
      </c>
      <c r="AM365" s="31">
        <f>IF(A365="","",COUNTIFS('Job Tasks'!$B$5:$B$904,A365))</f>
        <v>0</v>
      </c>
      <c r="AN365" s="31">
        <f>IF(A365="","",COUNTIFS('Job Tasks'!$B$5:$B$904,A365,'Job Tasks'!$H$5:$H$904,"Done"))</f>
        <v>0</v>
      </c>
      <c r="AO365" s="38">
        <f>IF(OR(A365="",AM365=0),"",AN365/AM365)</f>
        <v>0</v>
      </c>
      <c r="AP365" s="43">
        <f>IF(A365="","",IFERROR(INDEX('Invoice Lines'!$B$5:$B$804,MATCH(A365,'Invoice Lines'!$C$5:$C$804,0)),""))</f>
        <v>0</v>
      </c>
      <c r="AQ365" s="18">
        <f>IF(OR(G365="",B365="",X365&lt;&gt;"Yes"),"",IF(IFERROR(INDEX(FreqDays,MATCH(O365,FreqNames,0)),0)=0,"",B365+IFERROR(INDEX(FreqDays,MATCH(O365,FreqNames,0)),0)))</f>
        <v>0</v>
      </c>
      <c r="AR365" s="39">
        <f>IF(G365="","",IF(R365="","Unassigned",IF(COUNTIFS($R$5:$R$604,R365,$B$5:$B$604,B365,$F$5:$F$604,F365)&gt;1,"Clash",IF(SUMIFS($AF$5:$AF$604,$R$5:$R$604,R365,$B$5:$B$604,B365)&gt;ProductiveHours,"Long day","OK"))))</f>
        <v>0</v>
      </c>
      <c r="AS365" s="18">
        <f>IF(OR(G365="",B365=""),"",IF(AND(B365&gt;=TodayDate,P365&lt;&gt;"Cancelled"),B365,""))</f>
        <v>0</v>
      </c>
      <c r="AT365" s="31">
        <f>IF(AS365="","",COUNTIFS($AS$5:$AS$604,"&lt;"&amp;AS365)+COUNTIFS($AS$5:AS365,AS365))</f>
        <v>0</v>
      </c>
      <c r="AU365" s="18">
        <f>IF(OR(G365="",B365="",R365&lt;&gt;""),"",IF(AND(B365&gt;=TodayDate,P365&lt;&gt;"Cancelled"),B365,""))</f>
        <v>0</v>
      </c>
      <c r="AV365" s="31">
        <f>IF(AU365="","",COUNTIFS($AU$5:$AU$604,"&lt;"&amp;AU365)+COUNTIFS($AU$5:AU365,AU365))</f>
        <v>0</v>
      </c>
      <c r="AW365" s="31">
        <f>IF(OR(G365="",B365=""),"",B365-TodayDate)</f>
        <v>0</v>
      </c>
      <c r="AX365" s="39">
        <f>IF(G365="","",IF(P365="Cancelled","Cancelled",IF(P365="No access","Action - no access, rebook",IF(AND(B365&lt;&gt;"",AW365&lt;0,OR(P365="Booked",P365="Confirmed",P365="In progress")),"Late - mark it completed",IF(AND(P365="Completed",AP365=""),"Action - not invoiced yet",IF(AND(AW365&gt;=0,AW365&lt;=ReminderDays,Y365&lt;&gt;"Yes"),"Confirm - visit coming up",IF(R365="","Assign - no cleaner booked",IF(AND(P365="Completed",AO365&lt;&gt;"",AO365&lt;1),"Check - checklist unfinished","OK"))))))))</f>
        <v>0</v>
      </c>
    </row>
    <row r="366" spans="1:50">
      <c r="A366" s="43">
        <f>IF(G366="","",JobPrefix&amp;TEXT(ROW()-4,"0000"))</f>
        <v>0</v>
      </c>
      <c r="C366" s="23">
        <f>IF(B366="","",TEXT(B366,"ddd"))</f>
        <v>0</v>
      </c>
      <c r="D366" s="31">
        <f>IF(B366="","",WEEKNUM(B366,IF(WeekStart="Sunday",1,2)))</f>
        <v>0</v>
      </c>
      <c r="E366" s="23">
        <f>IF(B366="","",TEXT(B366,"yyyy-mm"))</f>
        <v>0</v>
      </c>
      <c r="H366" s="23">
        <f>IF(G366="","",IFERROR(INDEX(Clients!$B$5:$B$204,MATCH(G366,Clients!$A$5:$A$204,0)),"Not found"))</f>
        <v>0</v>
      </c>
      <c r="I366" s="23">
        <f>IF(G366="","",IFERROR(INDEX(Clients!$C$5:$C$204,MATCH(G366,Clients!$A$5:$A$204,0)),""))</f>
        <v>0</v>
      </c>
      <c r="K366" s="23">
        <f>IF(J366="","",IFERROR(INDEX(Properties!$B$5:$B$254,MATCH(J366,Properties!$A$5:$A$254,0)),""))</f>
        <v>0</v>
      </c>
      <c r="L366" s="23">
        <f>IF(J366="","",IFERROR(INDEX(Properties!$F$5:$F$254,MATCH(J366,Properties!$A$5:$A$254,0)),""))</f>
        <v>0</v>
      </c>
      <c r="AD366" s="34">
        <f>IF(G366="","",IF(U366&lt;&gt;"",U366,IF(AND(IFERROR(INDEX(Services!$D$5:$D$64,MATCH(M366,Services!$B$5:$B$64,0)),"")="Per hour",IFERROR(INDEX(Properties!$X$5:$X$254,MATCH(J366,Properties!$A$5:$A$254,0)),0)&gt;0),IFERROR(INDEX(Properties!$X$5:$X$254,MATCH(J366,Properties!$A$5:$A$254,0)),0),IF(IFERROR(INDEX(Services!$G$5:$G$64,MATCH(M366,Services!$B$5:$B$64,0)),0)&gt;0,IFERROR(INDEX(Services!$G$5:$G$64,MATCH(M366,Services!$B$5:$B$64,0)),0),IFERROR(INDEX(Properties!$X$5:$X$254,MATCH(J366,Properties!$A$5:$A$254,0)),0)))))</f>
        <v>0</v>
      </c>
      <c r="AE366" s="31">
        <f>IF(G366="","",IF(T366="",CleanersPerJob,MAX(1,T366)))</f>
        <v>0</v>
      </c>
      <c r="AF366" s="34">
        <f>IF(G366="","",ROUND(AD366/AE366,2))</f>
        <v>0</v>
      </c>
      <c r="AG366" s="53">
        <f>IF(OR(G366="",F366="",AF366=""),"",F366+AF366/24)</f>
        <v>0</v>
      </c>
      <c r="AH366" s="21">
        <f>IF(G366="","",IF(IFERROR(INDEX(Clients!$O$5:$O$204,MATCH(G366,Clients!$A$5:$A$204,0)),0)&gt;0,IFERROR(INDEX(Clients!$O$5:$O$204,MATCH(G366,Clients!$A$5:$A$204,0)),0),HourlyRate))</f>
        <v>0</v>
      </c>
      <c r="AI366" s="21">
        <f>IF(G366="","",IF(AND(M366&lt;&gt;"",IFERROR(INDEX(Services!$P$5:$P$64,MATCH(M366,Services!$B$5:$B$64,0)),0)&gt;0,IFERROR(INDEX(Services!$D$5:$D$64,MATCH(M366,Services!$B$5:$B$64,0)),"")&lt;&gt;"Per hour"),IFERROR(INDEX(Services!$P$5:$P$64,MATCH(M366,Services!$B$5:$B$64,0)),0),AD366*AH366))</f>
        <v>0</v>
      </c>
      <c r="AJ366" s="21">
        <f>IF(G366="","",IF(V366&lt;&gt;"",V366,IF(P366="Cancelled",0,MAX(MinimumCharge,ROUND(AI366*IFERROR(INDEX(FreqFactors,MATCH(O366,FreqNames,0)),1),2)))))</f>
        <v>0</v>
      </c>
      <c r="AK366" s="34">
        <f>IF(G366="","",IF(SUMIFS(Timesheets!$U$5:$U$804,Timesheets!$G$5:$G$804,A366)&gt;0,SUMIFS(Timesheets!$U$5:$U$804,Timesheets!$G$5:$G$804,A366),IF(Z366="","",Z366)))</f>
        <v>0</v>
      </c>
      <c r="AL366" s="34">
        <f>IF(OR(AK366="",AD366=""),"",AK366-AD366)</f>
        <v>0</v>
      </c>
      <c r="AM366" s="31">
        <f>IF(A366="","",COUNTIFS('Job Tasks'!$B$5:$B$904,A366))</f>
        <v>0</v>
      </c>
      <c r="AN366" s="31">
        <f>IF(A366="","",COUNTIFS('Job Tasks'!$B$5:$B$904,A366,'Job Tasks'!$H$5:$H$904,"Done"))</f>
        <v>0</v>
      </c>
      <c r="AO366" s="38">
        <f>IF(OR(A366="",AM366=0),"",AN366/AM366)</f>
        <v>0</v>
      </c>
      <c r="AP366" s="43">
        <f>IF(A366="","",IFERROR(INDEX('Invoice Lines'!$B$5:$B$804,MATCH(A366,'Invoice Lines'!$C$5:$C$804,0)),""))</f>
        <v>0</v>
      </c>
      <c r="AQ366" s="18">
        <f>IF(OR(G366="",B366="",X366&lt;&gt;"Yes"),"",IF(IFERROR(INDEX(FreqDays,MATCH(O366,FreqNames,0)),0)=0,"",B366+IFERROR(INDEX(FreqDays,MATCH(O366,FreqNames,0)),0)))</f>
        <v>0</v>
      </c>
      <c r="AR366" s="39">
        <f>IF(G366="","",IF(R366="","Unassigned",IF(COUNTIFS($R$5:$R$604,R366,$B$5:$B$604,B366,$F$5:$F$604,F366)&gt;1,"Clash",IF(SUMIFS($AF$5:$AF$604,$R$5:$R$604,R366,$B$5:$B$604,B366)&gt;ProductiveHours,"Long day","OK"))))</f>
        <v>0</v>
      </c>
      <c r="AS366" s="18">
        <f>IF(OR(G366="",B366=""),"",IF(AND(B366&gt;=TodayDate,P366&lt;&gt;"Cancelled"),B366,""))</f>
        <v>0</v>
      </c>
      <c r="AT366" s="31">
        <f>IF(AS366="","",COUNTIFS($AS$5:$AS$604,"&lt;"&amp;AS366)+COUNTIFS($AS$5:AS366,AS366))</f>
        <v>0</v>
      </c>
      <c r="AU366" s="18">
        <f>IF(OR(G366="",B366="",R366&lt;&gt;""),"",IF(AND(B366&gt;=TodayDate,P366&lt;&gt;"Cancelled"),B366,""))</f>
        <v>0</v>
      </c>
      <c r="AV366" s="31">
        <f>IF(AU366="","",COUNTIFS($AU$5:$AU$604,"&lt;"&amp;AU366)+COUNTIFS($AU$5:AU366,AU366))</f>
        <v>0</v>
      </c>
      <c r="AW366" s="31">
        <f>IF(OR(G366="",B366=""),"",B366-TodayDate)</f>
        <v>0</v>
      </c>
      <c r="AX366" s="39">
        <f>IF(G366="","",IF(P366="Cancelled","Cancelled",IF(P366="No access","Action - no access, rebook",IF(AND(B366&lt;&gt;"",AW366&lt;0,OR(P366="Booked",P366="Confirmed",P366="In progress")),"Late - mark it completed",IF(AND(P366="Completed",AP366=""),"Action - not invoiced yet",IF(AND(AW366&gt;=0,AW366&lt;=ReminderDays,Y366&lt;&gt;"Yes"),"Confirm - visit coming up",IF(R366="","Assign - no cleaner booked",IF(AND(P366="Completed",AO366&lt;&gt;"",AO366&lt;1),"Check - checklist unfinished","OK"))))))))</f>
        <v>0</v>
      </c>
    </row>
    <row r="367" spans="1:50">
      <c r="A367" s="43">
        <f>IF(G367="","",JobPrefix&amp;TEXT(ROW()-4,"0000"))</f>
        <v>0</v>
      </c>
      <c r="C367" s="23">
        <f>IF(B367="","",TEXT(B367,"ddd"))</f>
        <v>0</v>
      </c>
      <c r="D367" s="31">
        <f>IF(B367="","",WEEKNUM(B367,IF(WeekStart="Sunday",1,2)))</f>
        <v>0</v>
      </c>
      <c r="E367" s="23">
        <f>IF(B367="","",TEXT(B367,"yyyy-mm"))</f>
        <v>0</v>
      </c>
      <c r="H367" s="23">
        <f>IF(G367="","",IFERROR(INDEX(Clients!$B$5:$B$204,MATCH(G367,Clients!$A$5:$A$204,0)),"Not found"))</f>
        <v>0</v>
      </c>
      <c r="I367" s="23">
        <f>IF(G367="","",IFERROR(INDEX(Clients!$C$5:$C$204,MATCH(G367,Clients!$A$5:$A$204,0)),""))</f>
        <v>0</v>
      </c>
      <c r="K367" s="23">
        <f>IF(J367="","",IFERROR(INDEX(Properties!$B$5:$B$254,MATCH(J367,Properties!$A$5:$A$254,0)),""))</f>
        <v>0</v>
      </c>
      <c r="L367" s="23">
        <f>IF(J367="","",IFERROR(INDEX(Properties!$F$5:$F$254,MATCH(J367,Properties!$A$5:$A$254,0)),""))</f>
        <v>0</v>
      </c>
      <c r="AD367" s="34">
        <f>IF(G367="","",IF(U367&lt;&gt;"",U367,IF(AND(IFERROR(INDEX(Services!$D$5:$D$64,MATCH(M367,Services!$B$5:$B$64,0)),"")="Per hour",IFERROR(INDEX(Properties!$X$5:$X$254,MATCH(J367,Properties!$A$5:$A$254,0)),0)&gt;0),IFERROR(INDEX(Properties!$X$5:$X$254,MATCH(J367,Properties!$A$5:$A$254,0)),0),IF(IFERROR(INDEX(Services!$G$5:$G$64,MATCH(M367,Services!$B$5:$B$64,0)),0)&gt;0,IFERROR(INDEX(Services!$G$5:$G$64,MATCH(M367,Services!$B$5:$B$64,0)),0),IFERROR(INDEX(Properties!$X$5:$X$254,MATCH(J367,Properties!$A$5:$A$254,0)),0)))))</f>
        <v>0</v>
      </c>
      <c r="AE367" s="31">
        <f>IF(G367="","",IF(T367="",CleanersPerJob,MAX(1,T367)))</f>
        <v>0</v>
      </c>
      <c r="AF367" s="34">
        <f>IF(G367="","",ROUND(AD367/AE367,2))</f>
        <v>0</v>
      </c>
      <c r="AG367" s="53">
        <f>IF(OR(G367="",F367="",AF367=""),"",F367+AF367/24)</f>
        <v>0</v>
      </c>
      <c r="AH367" s="21">
        <f>IF(G367="","",IF(IFERROR(INDEX(Clients!$O$5:$O$204,MATCH(G367,Clients!$A$5:$A$204,0)),0)&gt;0,IFERROR(INDEX(Clients!$O$5:$O$204,MATCH(G367,Clients!$A$5:$A$204,0)),0),HourlyRate))</f>
        <v>0</v>
      </c>
      <c r="AI367" s="21">
        <f>IF(G367="","",IF(AND(M367&lt;&gt;"",IFERROR(INDEX(Services!$P$5:$P$64,MATCH(M367,Services!$B$5:$B$64,0)),0)&gt;0,IFERROR(INDEX(Services!$D$5:$D$64,MATCH(M367,Services!$B$5:$B$64,0)),"")&lt;&gt;"Per hour"),IFERROR(INDEX(Services!$P$5:$P$64,MATCH(M367,Services!$B$5:$B$64,0)),0),AD367*AH367))</f>
        <v>0</v>
      </c>
      <c r="AJ367" s="21">
        <f>IF(G367="","",IF(V367&lt;&gt;"",V367,IF(P367="Cancelled",0,MAX(MinimumCharge,ROUND(AI367*IFERROR(INDEX(FreqFactors,MATCH(O367,FreqNames,0)),1),2)))))</f>
        <v>0</v>
      </c>
      <c r="AK367" s="34">
        <f>IF(G367="","",IF(SUMIFS(Timesheets!$U$5:$U$804,Timesheets!$G$5:$G$804,A367)&gt;0,SUMIFS(Timesheets!$U$5:$U$804,Timesheets!$G$5:$G$804,A367),IF(Z367="","",Z367)))</f>
        <v>0</v>
      </c>
      <c r="AL367" s="34">
        <f>IF(OR(AK367="",AD367=""),"",AK367-AD367)</f>
        <v>0</v>
      </c>
      <c r="AM367" s="31">
        <f>IF(A367="","",COUNTIFS('Job Tasks'!$B$5:$B$904,A367))</f>
        <v>0</v>
      </c>
      <c r="AN367" s="31">
        <f>IF(A367="","",COUNTIFS('Job Tasks'!$B$5:$B$904,A367,'Job Tasks'!$H$5:$H$904,"Done"))</f>
        <v>0</v>
      </c>
      <c r="AO367" s="38">
        <f>IF(OR(A367="",AM367=0),"",AN367/AM367)</f>
        <v>0</v>
      </c>
      <c r="AP367" s="43">
        <f>IF(A367="","",IFERROR(INDEX('Invoice Lines'!$B$5:$B$804,MATCH(A367,'Invoice Lines'!$C$5:$C$804,0)),""))</f>
        <v>0</v>
      </c>
      <c r="AQ367" s="18">
        <f>IF(OR(G367="",B367="",X367&lt;&gt;"Yes"),"",IF(IFERROR(INDEX(FreqDays,MATCH(O367,FreqNames,0)),0)=0,"",B367+IFERROR(INDEX(FreqDays,MATCH(O367,FreqNames,0)),0)))</f>
        <v>0</v>
      </c>
      <c r="AR367" s="39">
        <f>IF(G367="","",IF(R367="","Unassigned",IF(COUNTIFS($R$5:$R$604,R367,$B$5:$B$604,B367,$F$5:$F$604,F367)&gt;1,"Clash",IF(SUMIFS($AF$5:$AF$604,$R$5:$R$604,R367,$B$5:$B$604,B367)&gt;ProductiveHours,"Long day","OK"))))</f>
        <v>0</v>
      </c>
      <c r="AS367" s="18">
        <f>IF(OR(G367="",B367=""),"",IF(AND(B367&gt;=TodayDate,P367&lt;&gt;"Cancelled"),B367,""))</f>
        <v>0</v>
      </c>
      <c r="AT367" s="31">
        <f>IF(AS367="","",COUNTIFS($AS$5:$AS$604,"&lt;"&amp;AS367)+COUNTIFS($AS$5:AS367,AS367))</f>
        <v>0</v>
      </c>
      <c r="AU367" s="18">
        <f>IF(OR(G367="",B367="",R367&lt;&gt;""),"",IF(AND(B367&gt;=TodayDate,P367&lt;&gt;"Cancelled"),B367,""))</f>
        <v>0</v>
      </c>
      <c r="AV367" s="31">
        <f>IF(AU367="","",COUNTIFS($AU$5:$AU$604,"&lt;"&amp;AU367)+COUNTIFS($AU$5:AU367,AU367))</f>
        <v>0</v>
      </c>
      <c r="AW367" s="31">
        <f>IF(OR(G367="",B367=""),"",B367-TodayDate)</f>
        <v>0</v>
      </c>
      <c r="AX367" s="39">
        <f>IF(G367="","",IF(P367="Cancelled","Cancelled",IF(P367="No access","Action - no access, rebook",IF(AND(B367&lt;&gt;"",AW367&lt;0,OR(P367="Booked",P367="Confirmed",P367="In progress")),"Late - mark it completed",IF(AND(P367="Completed",AP367=""),"Action - not invoiced yet",IF(AND(AW367&gt;=0,AW367&lt;=ReminderDays,Y367&lt;&gt;"Yes"),"Confirm - visit coming up",IF(R367="","Assign - no cleaner booked",IF(AND(P367="Completed",AO367&lt;&gt;"",AO367&lt;1),"Check - checklist unfinished","OK"))))))))</f>
        <v>0</v>
      </c>
    </row>
    <row r="368" spans="1:50">
      <c r="A368" s="43">
        <f>IF(G368="","",JobPrefix&amp;TEXT(ROW()-4,"0000"))</f>
        <v>0</v>
      </c>
      <c r="C368" s="23">
        <f>IF(B368="","",TEXT(B368,"ddd"))</f>
        <v>0</v>
      </c>
      <c r="D368" s="31">
        <f>IF(B368="","",WEEKNUM(B368,IF(WeekStart="Sunday",1,2)))</f>
        <v>0</v>
      </c>
      <c r="E368" s="23">
        <f>IF(B368="","",TEXT(B368,"yyyy-mm"))</f>
        <v>0</v>
      </c>
      <c r="H368" s="23">
        <f>IF(G368="","",IFERROR(INDEX(Clients!$B$5:$B$204,MATCH(G368,Clients!$A$5:$A$204,0)),"Not found"))</f>
        <v>0</v>
      </c>
      <c r="I368" s="23">
        <f>IF(G368="","",IFERROR(INDEX(Clients!$C$5:$C$204,MATCH(G368,Clients!$A$5:$A$204,0)),""))</f>
        <v>0</v>
      </c>
      <c r="K368" s="23">
        <f>IF(J368="","",IFERROR(INDEX(Properties!$B$5:$B$254,MATCH(J368,Properties!$A$5:$A$254,0)),""))</f>
        <v>0</v>
      </c>
      <c r="L368" s="23">
        <f>IF(J368="","",IFERROR(INDEX(Properties!$F$5:$F$254,MATCH(J368,Properties!$A$5:$A$254,0)),""))</f>
        <v>0</v>
      </c>
      <c r="AD368" s="34">
        <f>IF(G368="","",IF(U368&lt;&gt;"",U368,IF(AND(IFERROR(INDEX(Services!$D$5:$D$64,MATCH(M368,Services!$B$5:$B$64,0)),"")="Per hour",IFERROR(INDEX(Properties!$X$5:$X$254,MATCH(J368,Properties!$A$5:$A$254,0)),0)&gt;0),IFERROR(INDEX(Properties!$X$5:$X$254,MATCH(J368,Properties!$A$5:$A$254,0)),0),IF(IFERROR(INDEX(Services!$G$5:$G$64,MATCH(M368,Services!$B$5:$B$64,0)),0)&gt;0,IFERROR(INDEX(Services!$G$5:$G$64,MATCH(M368,Services!$B$5:$B$64,0)),0),IFERROR(INDEX(Properties!$X$5:$X$254,MATCH(J368,Properties!$A$5:$A$254,0)),0)))))</f>
        <v>0</v>
      </c>
      <c r="AE368" s="31">
        <f>IF(G368="","",IF(T368="",CleanersPerJob,MAX(1,T368)))</f>
        <v>0</v>
      </c>
      <c r="AF368" s="34">
        <f>IF(G368="","",ROUND(AD368/AE368,2))</f>
        <v>0</v>
      </c>
      <c r="AG368" s="53">
        <f>IF(OR(G368="",F368="",AF368=""),"",F368+AF368/24)</f>
        <v>0</v>
      </c>
      <c r="AH368" s="21">
        <f>IF(G368="","",IF(IFERROR(INDEX(Clients!$O$5:$O$204,MATCH(G368,Clients!$A$5:$A$204,0)),0)&gt;0,IFERROR(INDEX(Clients!$O$5:$O$204,MATCH(G368,Clients!$A$5:$A$204,0)),0),HourlyRate))</f>
        <v>0</v>
      </c>
      <c r="AI368" s="21">
        <f>IF(G368="","",IF(AND(M368&lt;&gt;"",IFERROR(INDEX(Services!$P$5:$P$64,MATCH(M368,Services!$B$5:$B$64,0)),0)&gt;0,IFERROR(INDEX(Services!$D$5:$D$64,MATCH(M368,Services!$B$5:$B$64,0)),"")&lt;&gt;"Per hour"),IFERROR(INDEX(Services!$P$5:$P$64,MATCH(M368,Services!$B$5:$B$64,0)),0),AD368*AH368))</f>
        <v>0</v>
      </c>
      <c r="AJ368" s="21">
        <f>IF(G368="","",IF(V368&lt;&gt;"",V368,IF(P368="Cancelled",0,MAX(MinimumCharge,ROUND(AI368*IFERROR(INDEX(FreqFactors,MATCH(O368,FreqNames,0)),1),2)))))</f>
        <v>0</v>
      </c>
      <c r="AK368" s="34">
        <f>IF(G368="","",IF(SUMIFS(Timesheets!$U$5:$U$804,Timesheets!$G$5:$G$804,A368)&gt;0,SUMIFS(Timesheets!$U$5:$U$804,Timesheets!$G$5:$G$804,A368),IF(Z368="","",Z368)))</f>
        <v>0</v>
      </c>
      <c r="AL368" s="34">
        <f>IF(OR(AK368="",AD368=""),"",AK368-AD368)</f>
        <v>0</v>
      </c>
      <c r="AM368" s="31">
        <f>IF(A368="","",COUNTIFS('Job Tasks'!$B$5:$B$904,A368))</f>
        <v>0</v>
      </c>
      <c r="AN368" s="31">
        <f>IF(A368="","",COUNTIFS('Job Tasks'!$B$5:$B$904,A368,'Job Tasks'!$H$5:$H$904,"Done"))</f>
        <v>0</v>
      </c>
      <c r="AO368" s="38">
        <f>IF(OR(A368="",AM368=0),"",AN368/AM368)</f>
        <v>0</v>
      </c>
      <c r="AP368" s="43">
        <f>IF(A368="","",IFERROR(INDEX('Invoice Lines'!$B$5:$B$804,MATCH(A368,'Invoice Lines'!$C$5:$C$804,0)),""))</f>
        <v>0</v>
      </c>
      <c r="AQ368" s="18">
        <f>IF(OR(G368="",B368="",X368&lt;&gt;"Yes"),"",IF(IFERROR(INDEX(FreqDays,MATCH(O368,FreqNames,0)),0)=0,"",B368+IFERROR(INDEX(FreqDays,MATCH(O368,FreqNames,0)),0)))</f>
        <v>0</v>
      </c>
      <c r="AR368" s="39">
        <f>IF(G368="","",IF(R368="","Unassigned",IF(COUNTIFS($R$5:$R$604,R368,$B$5:$B$604,B368,$F$5:$F$604,F368)&gt;1,"Clash",IF(SUMIFS($AF$5:$AF$604,$R$5:$R$604,R368,$B$5:$B$604,B368)&gt;ProductiveHours,"Long day","OK"))))</f>
        <v>0</v>
      </c>
      <c r="AS368" s="18">
        <f>IF(OR(G368="",B368=""),"",IF(AND(B368&gt;=TodayDate,P368&lt;&gt;"Cancelled"),B368,""))</f>
        <v>0</v>
      </c>
      <c r="AT368" s="31">
        <f>IF(AS368="","",COUNTIFS($AS$5:$AS$604,"&lt;"&amp;AS368)+COUNTIFS($AS$5:AS368,AS368))</f>
        <v>0</v>
      </c>
      <c r="AU368" s="18">
        <f>IF(OR(G368="",B368="",R368&lt;&gt;""),"",IF(AND(B368&gt;=TodayDate,P368&lt;&gt;"Cancelled"),B368,""))</f>
        <v>0</v>
      </c>
      <c r="AV368" s="31">
        <f>IF(AU368="","",COUNTIFS($AU$5:$AU$604,"&lt;"&amp;AU368)+COUNTIFS($AU$5:AU368,AU368))</f>
        <v>0</v>
      </c>
      <c r="AW368" s="31">
        <f>IF(OR(G368="",B368=""),"",B368-TodayDate)</f>
        <v>0</v>
      </c>
      <c r="AX368" s="39">
        <f>IF(G368="","",IF(P368="Cancelled","Cancelled",IF(P368="No access","Action - no access, rebook",IF(AND(B368&lt;&gt;"",AW368&lt;0,OR(P368="Booked",P368="Confirmed",P368="In progress")),"Late - mark it completed",IF(AND(P368="Completed",AP368=""),"Action - not invoiced yet",IF(AND(AW368&gt;=0,AW368&lt;=ReminderDays,Y368&lt;&gt;"Yes"),"Confirm - visit coming up",IF(R368="","Assign - no cleaner booked",IF(AND(P368="Completed",AO368&lt;&gt;"",AO368&lt;1),"Check - checklist unfinished","OK"))))))))</f>
        <v>0</v>
      </c>
    </row>
    <row r="369" spans="1:50">
      <c r="A369" s="43">
        <f>IF(G369="","",JobPrefix&amp;TEXT(ROW()-4,"0000"))</f>
        <v>0</v>
      </c>
      <c r="C369" s="23">
        <f>IF(B369="","",TEXT(B369,"ddd"))</f>
        <v>0</v>
      </c>
      <c r="D369" s="31">
        <f>IF(B369="","",WEEKNUM(B369,IF(WeekStart="Sunday",1,2)))</f>
        <v>0</v>
      </c>
      <c r="E369" s="23">
        <f>IF(B369="","",TEXT(B369,"yyyy-mm"))</f>
        <v>0</v>
      </c>
      <c r="H369" s="23">
        <f>IF(G369="","",IFERROR(INDEX(Clients!$B$5:$B$204,MATCH(G369,Clients!$A$5:$A$204,0)),"Not found"))</f>
        <v>0</v>
      </c>
      <c r="I369" s="23">
        <f>IF(G369="","",IFERROR(INDEX(Clients!$C$5:$C$204,MATCH(G369,Clients!$A$5:$A$204,0)),""))</f>
        <v>0</v>
      </c>
      <c r="K369" s="23">
        <f>IF(J369="","",IFERROR(INDEX(Properties!$B$5:$B$254,MATCH(J369,Properties!$A$5:$A$254,0)),""))</f>
        <v>0</v>
      </c>
      <c r="L369" s="23">
        <f>IF(J369="","",IFERROR(INDEX(Properties!$F$5:$F$254,MATCH(J369,Properties!$A$5:$A$254,0)),""))</f>
        <v>0</v>
      </c>
      <c r="AD369" s="34">
        <f>IF(G369="","",IF(U369&lt;&gt;"",U369,IF(AND(IFERROR(INDEX(Services!$D$5:$D$64,MATCH(M369,Services!$B$5:$B$64,0)),"")="Per hour",IFERROR(INDEX(Properties!$X$5:$X$254,MATCH(J369,Properties!$A$5:$A$254,0)),0)&gt;0),IFERROR(INDEX(Properties!$X$5:$X$254,MATCH(J369,Properties!$A$5:$A$254,0)),0),IF(IFERROR(INDEX(Services!$G$5:$G$64,MATCH(M369,Services!$B$5:$B$64,0)),0)&gt;0,IFERROR(INDEX(Services!$G$5:$G$64,MATCH(M369,Services!$B$5:$B$64,0)),0),IFERROR(INDEX(Properties!$X$5:$X$254,MATCH(J369,Properties!$A$5:$A$254,0)),0)))))</f>
        <v>0</v>
      </c>
      <c r="AE369" s="31">
        <f>IF(G369="","",IF(T369="",CleanersPerJob,MAX(1,T369)))</f>
        <v>0</v>
      </c>
      <c r="AF369" s="34">
        <f>IF(G369="","",ROUND(AD369/AE369,2))</f>
        <v>0</v>
      </c>
      <c r="AG369" s="53">
        <f>IF(OR(G369="",F369="",AF369=""),"",F369+AF369/24)</f>
        <v>0</v>
      </c>
      <c r="AH369" s="21">
        <f>IF(G369="","",IF(IFERROR(INDEX(Clients!$O$5:$O$204,MATCH(G369,Clients!$A$5:$A$204,0)),0)&gt;0,IFERROR(INDEX(Clients!$O$5:$O$204,MATCH(G369,Clients!$A$5:$A$204,0)),0),HourlyRate))</f>
        <v>0</v>
      </c>
      <c r="AI369" s="21">
        <f>IF(G369="","",IF(AND(M369&lt;&gt;"",IFERROR(INDEX(Services!$P$5:$P$64,MATCH(M369,Services!$B$5:$B$64,0)),0)&gt;0,IFERROR(INDEX(Services!$D$5:$D$64,MATCH(M369,Services!$B$5:$B$64,0)),"")&lt;&gt;"Per hour"),IFERROR(INDEX(Services!$P$5:$P$64,MATCH(M369,Services!$B$5:$B$64,0)),0),AD369*AH369))</f>
        <v>0</v>
      </c>
      <c r="AJ369" s="21">
        <f>IF(G369="","",IF(V369&lt;&gt;"",V369,IF(P369="Cancelled",0,MAX(MinimumCharge,ROUND(AI369*IFERROR(INDEX(FreqFactors,MATCH(O369,FreqNames,0)),1),2)))))</f>
        <v>0</v>
      </c>
      <c r="AK369" s="34">
        <f>IF(G369="","",IF(SUMIFS(Timesheets!$U$5:$U$804,Timesheets!$G$5:$G$804,A369)&gt;0,SUMIFS(Timesheets!$U$5:$U$804,Timesheets!$G$5:$G$804,A369),IF(Z369="","",Z369)))</f>
        <v>0</v>
      </c>
      <c r="AL369" s="34">
        <f>IF(OR(AK369="",AD369=""),"",AK369-AD369)</f>
        <v>0</v>
      </c>
      <c r="AM369" s="31">
        <f>IF(A369="","",COUNTIFS('Job Tasks'!$B$5:$B$904,A369))</f>
        <v>0</v>
      </c>
      <c r="AN369" s="31">
        <f>IF(A369="","",COUNTIFS('Job Tasks'!$B$5:$B$904,A369,'Job Tasks'!$H$5:$H$904,"Done"))</f>
        <v>0</v>
      </c>
      <c r="AO369" s="38">
        <f>IF(OR(A369="",AM369=0),"",AN369/AM369)</f>
        <v>0</v>
      </c>
      <c r="AP369" s="43">
        <f>IF(A369="","",IFERROR(INDEX('Invoice Lines'!$B$5:$B$804,MATCH(A369,'Invoice Lines'!$C$5:$C$804,0)),""))</f>
        <v>0</v>
      </c>
      <c r="AQ369" s="18">
        <f>IF(OR(G369="",B369="",X369&lt;&gt;"Yes"),"",IF(IFERROR(INDEX(FreqDays,MATCH(O369,FreqNames,0)),0)=0,"",B369+IFERROR(INDEX(FreqDays,MATCH(O369,FreqNames,0)),0)))</f>
        <v>0</v>
      </c>
      <c r="AR369" s="39">
        <f>IF(G369="","",IF(R369="","Unassigned",IF(COUNTIFS($R$5:$R$604,R369,$B$5:$B$604,B369,$F$5:$F$604,F369)&gt;1,"Clash",IF(SUMIFS($AF$5:$AF$604,$R$5:$R$604,R369,$B$5:$B$604,B369)&gt;ProductiveHours,"Long day","OK"))))</f>
        <v>0</v>
      </c>
      <c r="AS369" s="18">
        <f>IF(OR(G369="",B369=""),"",IF(AND(B369&gt;=TodayDate,P369&lt;&gt;"Cancelled"),B369,""))</f>
        <v>0</v>
      </c>
      <c r="AT369" s="31">
        <f>IF(AS369="","",COUNTIFS($AS$5:$AS$604,"&lt;"&amp;AS369)+COUNTIFS($AS$5:AS369,AS369))</f>
        <v>0</v>
      </c>
      <c r="AU369" s="18">
        <f>IF(OR(G369="",B369="",R369&lt;&gt;""),"",IF(AND(B369&gt;=TodayDate,P369&lt;&gt;"Cancelled"),B369,""))</f>
        <v>0</v>
      </c>
      <c r="AV369" s="31">
        <f>IF(AU369="","",COUNTIFS($AU$5:$AU$604,"&lt;"&amp;AU369)+COUNTIFS($AU$5:AU369,AU369))</f>
        <v>0</v>
      </c>
      <c r="AW369" s="31">
        <f>IF(OR(G369="",B369=""),"",B369-TodayDate)</f>
        <v>0</v>
      </c>
      <c r="AX369" s="39">
        <f>IF(G369="","",IF(P369="Cancelled","Cancelled",IF(P369="No access","Action - no access, rebook",IF(AND(B369&lt;&gt;"",AW369&lt;0,OR(P369="Booked",P369="Confirmed",P369="In progress")),"Late - mark it completed",IF(AND(P369="Completed",AP369=""),"Action - not invoiced yet",IF(AND(AW369&gt;=0,AW369&lt;=ReminderDays,Y369&lt;&gt;"Yes"),"Confirm - visit coming up",IF(R369="","Assign - no cleaner booked",IF(AND(P369="Completed",AO369&lt;&gt;"",AO369&lt;1),"Check - checklist unfinished","OK"))))))))</f>
        <v>0</v>
      </c>
    </row>
    <row r="370" spans="1:50">
      <c r="A370" s="43">
        <f>IF(G370="","",JobPrefix&amp;TEXT(ROW()-4,"0000"))</f>
        <v>0</v>
      </c>
      <c r="C370" s="23">
        <f>IF(B370="","",TEXT(B370,"ddd"))</f>
        <v>0</v>
      </c>
      <c r="D370" s="31">
        <f>IF(B370="","",WEEKNUM(B370,IF(WeekStart="Sunday",1,2)))</f>
        <v>0</v>
      </c>
      <c r="E370" s="23">
        <f>IF(B370="","",TEXT(B370,"yyyy-mm"))</f>
        <v>0</v>
      </c>
      <c r="H370" s="23">
        <f>IF(G370="","",IFERROR(INDEX(Clients!$B$5:$B$204,MATCH(G370,Clients!$A$5:$A$204,0)),"Not found"))</f>
        <v>0</v>
      </c>
      <c r="I370" s="23">
        <f>IF(G370="","",IFERROR(INDEX(Clients!$C$5:$C$204,MATCH(G370,Clients!$A$5:$A$204,0)),""))</f>
        <v>0</v>
      </c>
      <c r="K370" s="23">
        <f>IF(J370="","",IFERROR(INDEX(Properties!$B$5:$B$254,MATCH(J370,Properties!$A$5:$A$254,0)),""))</f>
        <v>0</v>
      </c>
      <c r="L370" s="23">
        <f>IF(J370="","",IFERROR(INDEX(Properties!$F$5:$F$254,MATCH(J370,Properties!$A$5:$A$254,0)),""))</f>
        <v>0</v>
      </c>
      <c r="AD370" s="34">
        <f>IF(G370="","",IF(U370&lt;&gt;"",U370,IF(AND(IFERROR(INDEX(Services!$D$5:$D$64,MATCH(M370,Services!$B$5:$B$64,0)),"")="Per hour",IFERROR(INDEX(Properties!$X$5:$X$254,MATCH(J370,Properties!$A$5:$A$254,0)),0)&gt;0),IFERROR(INDEX(Properties!$X$5:$X$254,MATCH(J370,Properties!$A$5:$A$254,0)),0),IF(IFERROR(INDEX(Services!$G$5:$G$64,MATCH(M370,Services!$B$5:$B$64,0)),0)&gt;0,IFERROR(INDEX(Services!$G$5:$G$64,MATCH(M370,Services!$B$5:$B$64,0)),0),IFERROR(INDEX(Properties!$X$5:$X$254,MATCH(J370,Properties!$A$5:$A$254,0)),0)))))</f>
        <v>0</v>
      </c>
      <c r="AE370" s="31">
        <f>IF(G370="","",IF(T370="",CleanersPerJob,MAX(1,T370)))</f>
        <v>0</v>
      </c>
      <c r="AF370" s="34">
        <f>IF(G370="","",ROUND(AD370/AE370,2))</f>
        <v>0</v>
      </c>
      <c r="AG370" s="53">
        <f>IF(OR(G370="",F370="",AF370=""),"",F370+AF370/24)</f>
        <v>0</v>
      </c>
      <c r="AH370" s="21">
        <f>IF(G370="","",IF(IFERROR(INDEX(Clients!$O$5:$O$204,MATCH(G370,Clients!$A$5:$A$204,0)),0)&gt;0,IFERROR(INDEX(Clients!$O$5:$O$204,MATCH(G370,Clients!$A$5:$A$204,0)),0),HourlyRate))</f>
        <v>0</v>
      </c>
      <c r="AI370" s="21">
        <f>IF(G370="","",IF(AND(M370&lt;&gt;"",IFERROR(INDEX(Services!$P$5:$P$64,MATCH(M370,Services!$B$5:$B$64,0)),0)&gt;0,IFERROR(INDEX(Services!$D$5:$D$64,MATCH(M370,Services!$B$5:$B$64,0)),"")&lt;&gt;"Per hour"),IFERROR(INDEX(Services!$P$5:$P$64,MATCH(M370,Services!$B$5:$B$64,0)),0),AD370*AH370))</f>
        <v>0</v>
      </c>
      <c r="AJ370" s="21">
        <f>IF(G370="","",IF(V370&lt;&gt;"",V370,IF(P370="Cancelled",0,MAX(MinimumCharge,ROUND(AI370*IFERROR(INDEX(FreqFactors,MATCH(O370,FreqNames,0)),1),2)))))</f>
        <v>0</v>
      </c>
      <c r="AK370" s="34">
        <f>IF(G370="","",IF(SUMIFS(Timesheets!$U$5:$U$804,Timesheets!$G$5:$G$804,A370)&gt;0,SUMIFS(Timesheets!$U$5:$U$804,Timesheets!$G$5:$G$804,A370),IF(Z370="","",Z370)))</f>
        <v>0</v>
      </c>
      <c r="AL370" s="34">
        <f>IF(OR(AK370="",AD370=""),"",AK370-AD370)</f>
        <v>0</v>
      </c>
      <c r="AM370" s="31">
        <f>IF(A370="","",COUNTIFS('Job Tasks'!$B$5:$B$904,A370))</f>
        <v>0</v>
      </c>
      <c r="AN370" s="31">
        <f>IF(A370="","",COUNTIFS('Job Tasks'!$B$5:$B$904,A370,'Job Tasks'!$H$5:$H$904,"Done"))</f>
        <v>0</v>
      </c>
      <c r="AO370" s="38">
        <f>IF(OR(A370="",AM370=0),"",AN370/AM370)</f>
        <v>0</v>
      </c>
      <c r="AP370" s="43">
        <f>IF(A370="","",IFERROR(INDEX('Invoice Lines'!$B$5:$B$804,MATCH(A370,'Invoice Lines'!$C$5:$C$804,0)),""))</f>
        <v>0</v>
      </c>
      <c r="AQ370" s="18">
        <f>IF(OR(G370="",B370="",X370&lt;&gt;"Yes"),"",IF(IFERROR(INDEX(FreqDays,MATCH(O370,FreqNames,0)),0)=0,"",B370+IFERROR(INDEX(FreqDays,MATCH(O370,FreqNames,0)),0)))</f>
        <v>0</v>
      </c>
      <c r="AR370" s="39">
        <f>IF(G370="","",IF(R370="","Unassigned",IF(COUNTIFS($R$5:$R$604,R370,$B$5:$B$604,B370,$F$5:$F$604,F370)&gt;1,"Clash",IF(SUMIFS($AF$5:$AF$604,$R$5:$R$604,R370,$B$5:$B$604,B370)&gt;ProductiveHours,"Long day","OK"))))</f>
        <v>0</v>
      </c>
      <c r="AS370" s="18">
        <f>IF(OR(G370="",B370=""),"",IF(AND(B370&gt;=TodayDate,P370&lt;&gt;"Cancelled"),B370,""))</f>
        <v>0</v>
      </c>
      <c r="AT370" s="31">
        <f>IF(AS370="","",COUNTIFS($AS$5:$AS$604,"&lt;"&amp;AS370)+COUNTIFS($AS$5:AS370,AS370))</f>
        <v>0</v>
      </c>
      <c r="AU370" s="18">
        <f>IF(OR(G370="",B370="",R370&lt;&gt;""),"",IF(AND(B370&gt;=TodayDate,P370&lt;&gt;"Cancelled"),B370,""))</f>
        <v>0</v>
      </c>
      <c r="AV370" s="31">
        <f>IF(AU370="","",COUNTIFS($AU$5:$AU$604,"&lt;"&amp;AU370)+COUNTIFS($AU$5:AU370,AU370))</f>
        <v>0</v>
      </c>
      <c r="AW370" s="31">
        <f>IF(OR(G370="",B370=""),"",B370-TodayDate)</f>
        <v>0</v>
      </c>
      <c r="AX370" s="39">
        <f>IF(G370="","",IF(P370="Cancelled","Cancelled",IF(P370="No access","Action - no access, rebook",IF(AND(B370&lt;&gt;"",AW370&lt;0,OR(P370="Booked",P370="Confirmed",P370="In progress")),"Late - mark it completed",IF(AND(P370="Completed",AP370=""),"Action - not invoiced yet",IF(AND(AW370&gt;=0,AW370&lt;=ReminderDays,Y370&lt;&gt;"Yes"),"Confirm - visit coming up",IF(R370="","Assign - no cleaner booked",IF(AND(P370="Completed",AO370&lt;&gt;"",AO370&lt;1),"Check - checklist unfinished","OK"))))))))</f>
        <v>0</v>
      </c>
    </row>
    <row r="371" spans="1:50">
      <c r="A371" s="43">
        <f>IF(G371="","",JobPrefix&amp;TEXT(ROW()-4,"0000"))</f>
        <v>0</v>
      </c>
      <c r="C371" s="23">
        <f>IF(B371="","",TEXT(B371,"ddd"))</f>
        <v>0</v>
      </c>
      <c r="D371" s="31">
        <f>IF(B371="","",WEEKNUM(B371,IF(WeekStart="Sunday",1,2)))</f>
        <v>0</v>
      </c>
      <c r="E371" s="23">
        <f>IF(B371="","",TEXT(B371,"yyyy-mm"))</f>
        <v>0</v>
      </c>
      <c r="H371" s="23">
        <f>IF(G371="","",IFERROR(INDEX(Clients!$B$5:$B$204,MATCH(G371,Clients!$A$5:$A$204,0)),"Not found"))</f>
        <v>0</v>
      </c>
      <c r="I371" s="23">
        <f>IF(G371="","",IFERROR(INDEX(Clients!$C$5:$C$204,MATCH(G371,Clients!$A$5:$A$204,0)),""))</f>
        <v>0</v>
      </c>
      <c r="K371" s="23">
        <f>IF(J371="","",IFERROR(INDEX(Properties!$B$5:$B$254,MATCH(J371,Properties!$A$5:$A$254,0)),""))</f>
        <v>0</v>
      </c>
      <c r="L371" s="23">
        <f>IF(J371="","",IFERROR(INDEX(Properties!$F$5:$F$254,MATCH(J371,Properties!$A$5:$A$254,0)),""))</f>
        <v>0</v>
      </c>
      <c r="AD371" s="34">
        <f>IF(G371="","",IF(U371&lt;&gt;"",U371,IF(AND(IFERROR(INDEX(Services!$D$5:$D$64,MATCH(M371,Services!$B$5:$B$64,0)),"")="Per hour",IFERROR(INDEX(Properties!$X$5:$X$254,MATCH(J371,Properties!$A$5:$A$254,0)),0)&gt;0),IFERROR(INDEX(Properties!$X$5:$X$254,MATCH(J371,Properties!$A$5:$A$254,0)),0),IF(IFERROR(INDEX(Services!$G$5:$G$64,MATCH(M371,Services!$B$5:$B$64,0)),0)&gt;0,IFERROR(INDEX(Services!$G$5:$G$64,MATCH(M371,Services!$B$5:$B$64,0)),0),IFERROR(INDEX(Properties!$X$5:$X$254,MATCH(J371,Properties!$A$5:$A$254,0)),0)))))</f>
        <v>0</v>
      </c>
      <c r="AE371" s="31">
        <f>IF(G371="","",IF(T371="",CleanersPerJob,MAX(1,T371)))</f>
        <v>0</v>
      </c>
      <c r="AF371" s="34">
        <f>IF(G371="","",ROUND(AD371/AE371,2))</f>
        <v>0</v>
      </c>
      <c r="AG371" s="53">
        <f>IF(OR(G371="",F371="",AF371=""),"",F371+AF371/24)</f>
        <v>0</v>
      </c>
      <c r="AH371" s="21">
        <f>IF(G371="","",IF(IFERROR(INDEX(Clients!$O$5:$O$204,MATCH(G371,Clients!$A$5:$A$204,0)),0)&gt;0,IFERROR(INDEX(Clients!$O$5:$O$204,MATCH(G371,Clients!$A$5:$A$204,0)),0),HourlyRate))</f>
        <v>0</v>
      </c>
      <c r="AI371" s="21">
        <f>IF(G371="","",IF(AND(M371&lt;&gt;"",IFERROR(INDEX(Services!$P$5:$P$64,MATCH(M371,Services!$B$5:$B$64,0)),0)&gt;0,IFERROR(INDEX(Services!$D$5:$D$64,MATCH(M371,Services!$B$5:$B$64,0)),"")&lt;&gt;"Per hour"),IFERROR(INDEX(Services!$P$5:$P$64,MATCH(M371,Services!$B$5:$B$64,0)),0),AD371*AH371))</f>
        <v>0</v>
      </c>
      <c r="AJ371" s="21">
        <f>IF(G371="","",IF(V371&lt;&gt;"",V371,IF(P371="Cancelled",0,MAX(MinimumCharge,ROUND(AI371*IFERROR(INDEX(FreqFactors,MATCH(O371,FreqNames,0)),1),2)))))</f>
        <v>0</v>
      </c>
      <c r="AK371" s="34">
        <f>IF(G371="","",IF(SUMIFS(Timesheets!$U$5:$U$804,Timesheets!$G$5:$G$804,A371)&gt;0,SUMIFS(Timesheets!$U$5:$U$804,Timesheets!$G$5:$G$804,A371),IF(Z371="","",Z371)))</f>
        <v>0</v>
      </c>
      <c r="AL371" s="34">
        <f>IF(OR(AK371="",AD371=""),"",AK371-AD371)</f>
        <v>0</v>
      </c>
      <c r="AM371" s="31">
        <f>IF(A371="","",COUNTIFS('Job Tasks'!$B$5:$B$904,A371))</f>
        <v>0</v>
      </c>
      <c r="AN371" s="31">
        <f>IF(A371="","",COUNTIFS('Job Tasks'!$B$5:$B$904,A371,'Job Tasks'!$H$5:$H$904,"Done"))</f>
        <v>0</v>
      </c>
      <c r="AO371" s="38">
        <f>IF(OR(A371="",AM371=0),"",AN371/AM371)</f>
        <v>0</v>
      </c>
      <c r="AP371" s="43">
        <f>IF(A371="","",IFERROR(INDEX('Invoice Lines'!$B$5:$B$804,MATCH(A371,'Invoice Lines'!$C$5:$C$804,0)),""))</f>
        <v>0</v>
      </c>
      <c r="AQ371" s="18">
        <f>IF(OR(G371="",B371="",X371&lt;&gt;"Yes"),"",IF(IFERROR(INDEX(FreqDays,MATCH(O371,FreqNames,0)),0)=0,"",B371+IFERROR(INDEX(FreqDays,MATCH(O371,FreqNames,0)),0)))</f>
        <v>0</v>
      </c>
      <c r="AR371" s="39">
        <f>IF(G371="","",IF(R371="","Unassigned",IF(COUNTIFS($R$5:$R$604,R371,$B$5:$B$604,B371,$F$5:$F$604,F371)&gt;1,"Clash",IF(SUMIFS($AF$5:$AF$604,$R$5:$R$604,R371,$B$5:$B$604,B371)&gt;ProductiveHours,"Long day","OK"))))</f>
        <v>0</v>
      </c>
      <c r="AS371" s="18">
        <f>IF(OR(G371="",B371=""),"",IF(AND(B371&gt;=TodayDate,P371&lt;&gt;"Cancelled"),B371,""))</f>
        <v>0</v>
      </c>
      <c r="AT371" s="31">
        <f>IF(AS371="","",COUNTIFS($AS$5:$AS$604,"&lt;"&amp;AS371)+COUNTIFS($AS$5:AS371,AS371))</f>
        <v>0</v>
      </c>
      <c r="AU371" s="18">
        <f>IF(OR(G371="",B371="",R371&lt;&gt;""),"",IF(AND(B371&gt;=TodayDate,P371&lt;&gt;"Cancelled"),B371,""))</f>
        <v>0</v>
      </c>
      <c r="AV371" s="31">
        <f>IF(AU371="","",COUNTIFS($AU$5:$AU$604,"&lt;"&amp;AU371)+COUNTIFS($AU$5:AU371,AU371))</f>
        <v>0</v>
      </c>
      <c r="AW371" s="31">
        <f>IF(OR(G371="",B371=""),"",B371-TodayDate)</f>
        <v>0</v>
      </c>
      <c r="AX371" s="39">
        <f>IF(G371="","",IF(P371="Cancelled","Cancelled",IF(P371="No access","Action - no access, rebook",IF(AND(B371&lt;&gt;"",AW371&lt;0,OR(P371="Booked",P371="Confirmed",P371="In progress")),"Late - mark it completed",IF(AND(P371="Completed",AP371=""),"Action - not invoiced yet",IF(AND(AW371&gt;=0,AW371&lt;=ReminderDays,Y371&lt;&gt;"Yes"),"Confirm - visit coming up",IF(R371="","Assign - no cleaner booked",IF(AND(P371="Completed",AO371&lt;&gt;"",AO371&lt;1),"Check - checklist unfinished","OK"))))))))</f>
        <v>0</v>
      </c>
    </row>
    <row r="372" spans="1:50">
      <c r="A372" s="43">
        <f>IF(G372="","",JobPrefix&amp;TEXT(ROW()-4,"0000"))</f>
        <v>0</v>
      </c>
      <c r="C372" s="23">
        <f>IF(B372="","",TEXT(B372,"ddd"))</f>
        <v>0</v>
      </c>
      <c r="D372" s="31">
        <f>IF(B372="","",WEEKNUM(B372,IF(WeekStart="Sunday",1,2)))</f>
        <v>0</v>
      </c>
      <c r="E372" s="23">
        <f>IF(B372="","",TEXT(B372,"yyyy-mm"))</f>
        <v>0</v>
      </c>
      <c r="H372" s="23">
        <f>IF(G372="","",IFERROR(INDEX(Clients!$B$5:$B$204,MATCH(G372,Clients!$A$5:$A$204,0)),"Not found"))</f>
        <v>0</v>
      </c>
      <c r="I372" s="23">
        <f>IF(G372="","",IFERROR(INDEX(Clients!$C$5:$C$204,MATCH(G372,Clients!$A$5:$A$204,0)),""))</f>
        <v>0</v>
      </c>
      <c r="K372" s="23">
        <f>IF(J372="","",IFERROR(INDEX(Properties!$B$5:$B$254,MATCH(J372,Properties!$A$5:$A$254,0)),""))</f>
        <v>0</v>
      </c>
      <c r="L372" s="23">
        <f>IF(J372="","",IFERROR(INDEX(Properties!$F$5:$F$254,MATCH(J372,Properties!$A$5:$A$254,0)),""))</f>
        <v>0</v>
      </c>
      <c r="AD372" s="34">
        <f>IF(G372="","",IF(U372&lt;&gt;"",U372,IF(AND(IFERROR(INDEX(Services!$D$5:$D$64,MATCH(M372,Services!$B$5:$B$64,0)),"")="Per hour",IFERROR(INDEX(Properties!$X$5:$X$254,MATCH(J372,Properties!$A$5:$A$254,0)),0)&gt;0),IFERROR(INDEX(Properties!$X$5:$X$254,MATCH(J372,Properties!$A$5:$A$254,0)),0),IF(IFERROR(INDEX(Services!$G$5:$G$64,MATCH(M372,Services!$B$5:$B$64,0)),0)&gt;0,IFERROR(INDEX(Services!$G$5:$G$64,MATCH(M372,Services!$B$5:$B$64,0)),0),IFERROR(INDEX(Properties!$X$5:$X$254,MATCH(J372,Properties!$A$5:$A$254,0)),0)))))</f>
        <v>0</v>
      </c>
      <c r="AE372" s="31">
        <f>IF(G372="","",IF(T372="",CleanersPerJob,MAX(1,T372)))</f>
        <v>0</v>
      </c>
      <c r="AF372" s="34">
        <f>IF(G372="","",ROUND(AD372/AE372,2))</f>
        <v>0</v>
      </c>
      <c r="AG372" s="53">
        <f>IF(OR(G372="",F372="",AF372=""),"",F372+AF372/24)</f>
        <v>0</v>
      </c>
      <c r="AH372" s="21">
        <f>IF(G372="","",IF(IFERROR(INDEX(Clients!$O$5:$O$204,MATCH(G372,Clients!$A$5:$A$204,0)),0)&gt;0,IFERROR(INDEX(Clients!$O$5:$O$204,MATCH(G372,Clients!$A$5:$A$204,0)),0),HourlyRate))</f>
        <v>0</v>
      </c>
      <c r="AI372" s="21">
        <f>IF(G372="","",IF(AND(M372&lt;&gt;"",IFERROR(INDEX(Services!$P$5:$P$64,MATCH(M372,Services!$B$5:$B$64,0)),0)&gt;0,IFERROR(INDEX(Services!$D$5:$D$64,MATCH(M372,Services!$B$5:$B$64,0)),"")&lt;&gt;"Per hour"),IFERROR(INDEX(Services!$P$5:$P$64,MATCH(M372,Services!$B$5:$B$64,0)),0),AD372*AH372))</f>
        <v>0</v>
      </c>
      <c r="AJ372" s="21">
        <f>IF(G372="","",IF(V372&lt;&gt;"",V372,IF(P372="Cancelled",0,MAX(MinimumCharge,ROUND(AI372*IFERROR(INDEX(FreqFactors,MATCH(O372,FreqNames,0)),1),2)))))</f>
        <v>0</v>
      </c>
      <c r="AK372" s="34">
        <f>IF(G372="","",IF(SUMIFS(Timesheets!$U$5:$U$804,Timesheets!$G$5:$G$804,A372)&gt;0,SUMIFS(Timesheets!$U$5:$U$804,Timesheets!$G$5:$G$804,A372),IF(Z372="","",Z372)))</f>
        <v>0</v>
      </c>
      <c r="AL372" s="34">
        <f>IF(OR(AK372="",AD372=""),"",AK372-AD372)</f>
        <v>0</v>
      </c>
      <c r="AM372" s="31">
        <f>IF(A372="","",COUNTIFS('Job Tasks'!$B$5:$B$904,A372))</f>
        <v>0</v>
      </c>
      <c r="AN372" s="31">
        <f>IF(A372="","",COUNTIFS('Job Tasks'!$B$5:$B$904,A372,'Job Tasks'!$H$5:$H$904,"Done"))</f>
        <v>0</v>
      </c>
      <c r="AO372" s="38">
        <f>IF(OR(A372="",AM372=0),"",AN372/AM372)</f>
        <v>0</v>
      </c>
      <c r="AP372" s="43">
        <f>IF(A372="","",IFERROR(INDEX('Invoice Lines'!$B$5:$B$804,MATCH(A372,'Invoice Lines'!$C$5:$C$804,0)),""))</f>
        <v>0</v>
      </c>
      <c r="AQ372" s="18">
        <f>IF(OR(G372="",B372="",X372&lt;&gt;"Yes"),"",IF(IFERROR(INDEX(FreqDays,MATCH(O372,FreqNames,0)),0)=0,"",B372+IFERROR(INDEX(FreqDays,MATCH(O372,FreqNames,0)),0)))</f>
        <v>0</v>
      </c>
      <c r="AR372" s="39">
        <f>IF(G372="","",IF(R372="","Unassigned",IF(COUNTIFS($R$5:$R$604,R372,$B$5:$B$604,B372,$F$5:$F$604,F372)&gt;1,"Clash",IF(SUMIFS($AF$5:$AF$604,$R$5:$R$604,R372,$B$5:$B$604,B372)&gt;ProductiveHours,"Long day","OK"))))</f>
        <v>0</v>
      </c>
      <c r="AS372" s="18">
        <f>IF(OR(G372="",B372=""),"",IF(AND(B372&gt;=TodayDate,P372&lt;&gt;"Cancelled"),B372,""))</f>
        <v>0</v>
      </c>
      <c r="AT372" s="31">
        <f>IF(AS372="","",COUNTIFS($AS$5:$AS$604,"&lt;"&amp;AS372)+COUNTIFS($AS$5:AS372,AS372))</f>
        <v>0</v>
      </c>
      <c r="AU372" s="18">
        <f>IF(OR(G372="",B372="",R372&lt;&gt;""),"",IF(AND(B372&gt;=TodayDate,P372&lt;&gt;"Cancelled"),B372,""))</f>
        <v>0</v>
      </c>
      <c r="AV372" s="31">
        <f>IF(AU372="","",COUNTIFS($AU$5:$AU$604,"&lt;"&amp;AU372)+COUNTIFS($AU$5:AU372,AU372))</f>
        <v>0</v>
      </c>
      <c r="AW372" s="31">
        <f>IF(OR(G372="",B372=""),"",B372-TodayDate)</f>
        <v>0</v>
      </c>
      <c r="AX372" s="39">
        <f>IF(G372="","",IF(P372="Cancelled","Cancelled",IF(P372="No access","Action - no access, rebook",IF(AND(B372&lt;&gt;"",AW372&lt;0,OR(P372="Booked",P372="Confirmed",P372="In progress")),"Late - mark it completed",IF(AND(P372="Completed",AP372=""),"Action - not invoiced yet",IF(AND(AW372&gt;=0,AW372&lt;=ReminderDays,Y372&lt;&gt;"Yes"),"Confirm - visit coming up",IF(R372="","Assign - no cleaner booked",IF(AND(P372="Completed",AO372&lt;&gt;"",AO372&lt;1),"Check - checklist unfinished","OK"))))))))</f>
        <v>0</v>
      </c>
    </row>
    <row r="373" spans="1:50">
      <c r="A373" s="43">
        <f>IF(G373="","",JobPrefix&amp;TEXT(ROW()-4,"0000"))</f>
        <v>0</v>
      </c>
      <c r="C373" s="23">
        <f>IF(B373="","",TEXT(B373,"ddd"))</f>
        <v>0</v>
      </c>
      <c r="D373" s="31">
        <f>IF(B373="","",WEEKNUM(B373,IF(WeekStart="Sunday",1,2)))</f>
        <v>0</v>
      </c>
      <c r="E373" s="23">
        <f>IF(B373="","",TEXT(B373,"yyyy-mm"))</f>
        <v>0</v>
      </c>
      <c r="H373" s="23">
        <f>IF(G373="","",IFERROR(INDEX(Clients!$B$5:$B$204,MATCH(G373,Clients!$A$5:$A$204,0)),"Not found"))</f>
        <v>0</v>
      </c>
      <c r="I373" s="23">
        <f>IF(G373="","",IFERROR(INDEX(Clients!$C$5:$C$204,MATCH(G373,Clients!$A$5:$A$204,0)),""))</f>
        <v>0</v>
      </c>
      <c r="K373" s="23">
        <f>IF(J373="","",IFERROR(INDEX(Properties!$B$5:$B$254,MATCH(J373,Properties!$A$5:$A$254,0)),""))</f>
        <v>0</v>
      </c>
      <c r="L373" s="23">
        <f>IF(J373="","",IFERROR(INDEX(Properties!$F$5:$F$254,MATCH(J373,Properties!$A$5:$A$254,0)),""))</f>
        <v>0</v>
      </c>
      <c r="AD373" s="34">
        <f>IF(G373="","",IF(U373&lt;&gt;"",U373,IF(AND(IFERROR(INDEX(Services!$D$5:$D$64,MATCH(M373,Services!$B$5:$B$64,0)),"")="Per hour",IFERROR(INDEX(Properties!$X$5:$X$254,MATCH(J373,Properties!$A$5:$A$254,0)),0)&gt;0),IFERROR(INDEX(Properties!$X$5:$X$254,MATCH(J373,Properties!$A$5:$A$254,0)),0),IF(IFERROR(INDEX(Services!$G$5:$G$64,MATCH(M373,Services!$B$5:$B$64,0)),0)&gt;0,IFERROR(INDEX(Services!$G$5:$G$64,MATCH(M373,Services!$B$5:$B$64,0)),0),IFERROR(INDEX(Properties!$X$5:$X$254,MATCH(J373,Properties!$A$5:$A$254,0)),0)))))</f>
        <v>0</v>
      </c>
      <c r="AE373" s="31">
        <f>IF(G373="","",IF(T373="",CleanersPerJob,MAX(1,T373)))</f>
        <v>0</v>
      </c>
      <c r="AF373" s="34">
        <f>IF(G373="","",ROUND(AD373/AE373,2))</f>
        <v>0</v>
      </c>
      <c r="AG373" s="53">
        <f>IF(OR(G373="",F373="",AF373=""),"",F373+AF373/24)</f>
        <v>0</v>
      </c>
      <c r="AH373" s="21">
        <f>IF(G373="","",IF(IFERROR(INDEX(Clients!$O$5:$O$204,MATCH(G373,Clients!$A$5:$A$204,0)),0)&gt;0,IFERROR(INDEX(Clients!$O$5:$O$204,MATCH(G373,Clients!$A$5:$A$204,0)),0),HourlyRate))</f>
        <v>0</v>
      </c>
      <c r="AI373" s="21">
        <f>IF(G373="","",IF(AND(M373&lt;&gt;"",IFERROR(INDEX(Services!$P$5:$P$64,MATCH(M373,Services!$B$5:$B$64,0)),0)&gt;0,IFERROR(INDEX(Services!$D$5:$D$64,MATCH(M373,Services!$B$5:$B$64,0)),"")&lt;&gt;"Per hour"),IFERROR(INDEX(Services!$P$5:$P$64,MATCH(M373,Services!$B$5:$B$64,0)),0),AD373*AH373))</f>
        <v>0</v>
      </c>
      <c r="AJ373" s="21">
        <f>IF(G373="","",IF(V373&lt;&gt;"",V373,IF(P373="Cancelled",0,MAX(MinimumCharge,ROUND(AI373*IFERROR(INDEX(FreqFactors,MATCH(O373,FreqNames,0)),1),2)))))</f>
        <v>0</v>
      </c>
      <c r="AK373" s="34">
        <f>IF(G373="","",IF(SUMIFS(Timesheets!$U$5:$U$804,Timesheets!$G$5:$G$804,A373)&gt;0,SUMIFS(Timesheets!$U$5:$U$804,Timesheets!$G$5:$G$804,A373),IF(Z373="","",Z373)))</f>
        <v>0</v>
      </c>
      <c r="AL373" s="34">
        <f>IF(OR(AK373="",AD373=""),"",AK373-AD373)</f>
        <v>0</v>
      </c>
      <c r="AM373" s="31">
        <f>IF(A373="","",COUNTIFS('Job Tasks'!$B$5:$B$904,A373))</f>
        <v>0</v>
      </c>
      <c r="AN373" s="31">
        <f>IF(A373="","",COUNTIFS('Job Tasks'!$B$5:$B$904,A373,'Job Tasks'!$H$5:$H$904,"Done"))</f>
        <v>0</v>
      </c>
      <c r="AO373" s="38">
        <f>IF(OR(A373="",AM373=0),"",AN373/AM373)</f>
        <v>0</v>
      </c>
      <c r="AP373" s="43">
        <f>IF(A373="","",IFERROR(INDEX('Invoice Lines'!$B$5:$B$804,MATCH(A373,'Invoice Lines'!$C$5:$C$804,0)),""))</f>
        <v>0</v>
      </c>
      <c r="AQ373" s="18">
        <f>IF(OR(G373="",B373="",X373&lt;&gt;"Yes"),"",IF(IFERROR(INDEX(FreqDays,MATCH(O373,FreqNames,0)),0)=0,"",B373+IFERROR(INDEX(FreqDays,MATCH(O373,FreqNames,0)),0)))</f>
        <v>0</v>
      </c>
      <c r="AR373" s="39">
        <f>IF(G373="","",IF(R373="","Unassigned",IF(COUNTIFS($R$5:$R$604,R373,$B$5:$B$604,B373,$F$5:$F$604,F373)&gt;1,"Clash",IF(SUMIFS($AF$5:$AF$604,$R$5:$R$604,R373,$B$5:$B$604,B373)&gt;ProductiveHours,"Long day","OK"))))</f>
        <v>0</v>
      </c>
      <c r="AS373" s="18">
        <f>IF(OR(G373="",B373=""),"",IF(AND(B373&gt;=TodayDate,P373&lt;&gt;"Cancelled"),B373,""))</f>
        <v>0</v>
      </c>
      <c r="AT373" s="31">
        <f>IF(AS373="","",COUNTIFS($AS$5:$AS$604,"&lt;"&amp;AS373)+COUNTIFS($AS$5:AS373,AS373))</f>
        <v>0</v>
      </c>
      <c r="AU373" s="18">
        <f>IF(OR(G373="",B373="",R373&lt;&gt;""),"",IF(AND(B373&gt;=TodayDate,P373&lt;&gt;"Cancelled"),B373,""))</f>
        <v>0</v>
      </c>
      <c r="AV373" s="31">
        <f>IF(AU373="","",COUNTIFS($AU$5:$AU$604,"&lt;"&amp;AU373)+COUNTIFS($AU$5:AU373,AU373))</f>
        <v>0</v>
      </c>
      <c r="AW373" s="31">
        <f>IF(OR(G373="",B373=""),"",B373-TodayDate)</f>
        <v>0</v>
      </c>
      <c r="AX373" s="39">
        <f>IF(G373="","",IF(P373="Cancelled","Cancelled",IF(P373="No access","Action - no access, rebook",IF(AND(B373&lt;&gt;"",AW373&lt;0,OR(P373="Booked",P373="Confirmed",P373="In progress")),"Late - mark it completed",IF(AND(P373="Completed",AP373=""),"Action - not invoiced yet",IF(AND(AW373&gt;=0,AW373&lt;=ReminderDays,Y373&lt;&gt;"Yes"),"Confirm - visit coming up",IF(R373="","Assign - no cleaner booked",IF(AND(P373="Completed",AO373&lt;&gt;"",AO373&lt;1),"Check - checklist unfinished","OK"))))))))</f>
        <v>0</v>
      </c>
    </row>
    <row r="374" spans="1:50">
      <c r="A374" s="43">
        <f>IF(G374="","",JobPrefix&amp;TEXT(ROW()-4,"0000"))</f>
        <v>0</v>
      </c>
      <c r="C374" s="23">
        <f>IF(B374="","",TEXT(B374,"ddd"))</f>
        <v>0</v>
      </c>
      <c r="D374" s="31">
        <f>IF(B374="","",WEEKNUM(B374,IF(WeekStart="Sunday",1,2)))</f>
        <v>0</v>
      </c>
      <c r="E374" s="23">
        <f>IF(B374="","",TEXT(B374,"yyyy-mm"))</f>
        <v>0</v>
      </c>
      <c r="H374" s="23">
        <f>IF(G374="","",IFERROR(INDEX(Clients!$B$5:$B$204,MATCH(G374,Clients!$A$5:$A$204,0)),"Not found"))</f>
        <v>0</v>
      </c>
      <c r="I374" s="23">
        <f>IF(G374="","",IFERROR(INDEX(Clients!$C$5:$C$204,MATCH(G374,Clients!$A$5:$A$204,0)),""))</f>
        <v>0</v>
      </c>
      <c r="K374" s="23">
        <f>IF(J374="","",IFERROR(INDEX(Properties!$B$5:$B$254,MATCH(J374,Properties!$A$5:$A$254,0)),""))</f>
        <v>0</v>
      </c>
      <c r="L374" s="23">
        <f>IF(J374="","",IFERROR(INDEX(Properties!$F$5:$F$254,MATCH(J374,Properties!$A$5:$A$254,0)),""))</f>
        <v>0</v>
      </c>
      <c r="AD374" s="34">
        <f>IF(G374="","",IF(U374&lt;&gt;"",U374,IF(AND(IFERROR(INDEX(Services!$D$5:$D$64,MATCH(M374,Services!$B$5:$B$64,0)),"")="Per hour",IFERROR(INDEX(Properties!$X$5:$X$254,MATCH(J374,Properties!$A$5:$A$254,0)),0)&gt;0),IFERROR(INDEX(Properties!$X$5:$X$254,MATCH(J374,Properties!$A$5:$A$254,0)),0),IF(IFERROR(INDEX(Services!$G$5:$G$64,MATCH(M374,Services!$B$5:$B$64,0)),0)&gt;0,IFERROR(INDEX(Services!$G$5:$G$64,MATCH(M374,Services!$B$5:$B$64,0)),0),IFERROR(INDEX(Properties!$X$5:$X$254,MATCH(J374,Properties!$A$5:$A$254,0)),0)))))</f>
        <v>0</v>
      </c>
      <c r="AE374" s="31">
        <f>IF(G374="","",IF(T374="",CleanersPerJob,MAX(1,T374)))</f>
        <v>0</v>
      </c>
      <c r="AF374" s="34">
        <f>IF(G374="","",ROUND(AD374/AE374,2))</f>
        <v>0</v>
      </c>
      <c r="AG374" s="53">
        <f>IF(OR(G374="",F374="",AF374=""),"",F374+AF374/24)</f>
        <v>0</v>
      </c>
      <c r="AH374" s="21">
        <f>IF(G374="","",IF(IFERROR(INDEX(Clients!$O$5:$O$204,MATCH(G374,Clients!$A$5:$A$204,0)),0)&gt;0,IFERROR(INDEX(Clients!$O$5:$O$204,MATCH(G374,Clients!$A$5:$A$204,0)),0),HourlyRate))</f>
        <v>0</v>
      </c>
      <c r="AI374" s="21">
        <f>IF(G374="","",IF(AND(M374&lt;&gt;"",IFERROR(INDEX(Services!$P$5:$P$64,MATCH(M374,Services!$B$5:$B$64,0)),0)&gt;0,IFERROR(INDEX(Services!$D$5:$D$64,MATCH(M374,Services!$B$5:$B$64,0)),"")&lt;&gt;"Per hour"),IFERROR(INDEX(Services!$P$5:$P$64,MATCH(M374,Services!$B$5:$B$64,0)),0),AD374*AH374))</f>
        <v>0</v>
      </c>
      <c r="AJ374" s="21">
        <f>IF(G374="","",IF(V374&lt;&gt;"",V374,IF(P374="Cancelled",0,MAX(MinimumCharge,ROUND(AI374*IFERROR(INDEX(FreqFactors,MATCH(O374,FreqNames,0)),1),2)))))</f>
        <v>0</v>
      </c>
      <c r="AK374" s="34">
        <f>IF(G374="","",IF(SUMIFS(Timesheets!$U$5:$U$804,Timesheets!$G$5:$G$804,A374)&gt;0,SUMIFS(Timesheets!$U$5:$U$804,Timesheets!$G$5:$G$804,A374),IF(Z374="","",Z374)))</f>
        <v>0</v>
      </c>
      <c r="AL374" s="34">
        <f>IF(OR(AK374="",AD374=""),"",AK374-AD374)</f>
        <v>0</v>
      </c>
      <c r="AM374" s="31">
        <f>IF(A374="","",COUNTIFS('Job Tasks'!$B$5:$B$904,A374))</f>
        <v>0</v>
      </c>
      <c r="AN374" s="31">
        <f>IF(A374="","",COUNTIFS('Job Tasks'!$B$5:$B$904,A374,'Job Tasks'!$H$5:$H$904,"Done"))</f>
        <v>0</v>
      </c>
      <c r="AO374" s="38">
        <f>IF(OR(A374="",AM374=0),"",AN374/AM374)</f>
        <v>0</v>
      </c>
      <c r="AP374" s="43">
        <f>IF(A374="","",IFERROR(INDEX('Invoice Lines'!$B$5:$B$804,MATCH(A374,'Invoice Lines'!$C$5:$C$804,0)),""))</f>
        <v>0</v>
      </c>
      <c r="AQ374" s="18">
        <f>IF(OR(G374="",B374="",X374&lt;&gt;"Yes"),"",IF(IFERROR(INDEX(FreqDays,MATCH(O374,FreqNames,0)),0)=0,"",B374+IFERROR(INDEX(FreqDays,MATCH(O374,FreqNames,0)),0)))</f>
        <v>0</v>
      </c>
      <c r="AR374" s="39">
        <f>IF(G374="","",IF(R374="","Unassigned",IF(COUNTIFS($R$5:$R$604,R374,$B$5:$B$604,B374,$F$5:$F$604,F374)&gt;1,"Clash",IF(SUMIFS($AF$5:$AF$604,$R$5:$R$604,R374,$B$5:$B$604,B374)&gt;ProductiveHours,"Long day","OK"))))</f>
        <v>0</v>
      </c>
      <c r="AS374" s="18">
        <f>IF(OR(G374="",B374=""),"",IF(AND(B374&gt;=TodayDate,P374&lt;&gt;"Cancelled"),B374,""))</f>
        <v>0</v>
      </c>
      <c r="AT374" s="31">
        <f>IF(AS374="","",COUNTIFS($AS$5:$AS$604,"&lt;"&amp;AS374)+COUNTIFS($AS$5:AS374,AS374))</f>
        <v>0</v>
      </c>
      <c r="AU374" s="18">
        <f>IF(OR(G374="",B374="",R374&lt;&gt;""),"",IF(AND(B374&gt;=TodayDate,P374&lt;&gt;"Cancelled"),B374,""))</f>
        <v>0</v>
      </c>
      <c r="AV374" s="31">
        <f>IF(AU374="","",COUNTIFS($AU$5:$AU$604,"&lt;"&amp;AU374)+COUNTIFS($AU$5:AU374,AU374))</f>
        <v>0</v>
      </c>
      <c r="AW374" s="31">
        <f>IF(OR(G374="",B374=""),"",B374-TodayDate)</f>
        <v>0</v>
      </c>
      <c r="AX374" s="39">
        <f>IF(G374="","",IF(P374="Cancelled","Cancelled",IF(P374="No access","Action - no access, rebook",IF(AND(B374&lt;&gt;"",AW374&lt;0,OR(P374="Booked",P374="Confirmed",P374="In progress")),"Late - mark it completed",IF(AND(P374="Completed",AP374=""),"Action - not invoiced yet",IF(AND(AW374&gt;=0,AW374&lt;=ReminderDays,Y374&lt;&gt;"Yes"),"Confirm - visit coming up",IF(R374="","Assign - no cleaner booked",IF(AND(P374="Completed",AO374&lt;&gt;"",AO374&lt;1),"Check - checklist unfinished","OK"))))))))</f>
        <v>0</v>
      </c>
    </row>
    <row r="375" spans="1:50">
      <c r="A375" s="43">
        <f>IF(G375="","",JobPrefix&amp;TEXT(ROW()-4,"0000"))</f>
        <v>0</v>
      </c>
      <c r="C375" s="23">
        <f>IF(B375="","",TEXT(B375,"ddd"))</f>
        <v>0</v>
      </c>
      <c r="D375" s="31">
        <f>IF(B375="","",WEEKNUM(B375,IF(WeekStart="Sunday",1,2)))</f>
        <v>0</v>
      </c>
      <c r="E375" s="23">
        <f>IF(B375="","",TEXT(B375,"yyyy-mm"))</f>
        <v>0</v>
      </c>
      <c r="H375" s="23">
        <f>IF(G375="","",IFERROR(INDEX(Clients!$B$5:$B$204,MATCH(G375,Clients!$A$5:$A$204,0)),"Not found"))</f>
        <v>0</v>
      </c>
      <c r="I375" s="23">
        <f>IF(G375="","",IFERROR(INDEX(Clients!$C$5:$C$204,MATCH(G375,Clients!$A$5:$A$204,0)),""))</f>
        <v>0</v>
      </c>
      <c r="K375" s="23">
        <f>IF(J375="","",IFERROR(INDEX(Properties!$B$5:$B$254,MATCH(J375,Properties!$A$5:$A$254,0)),""))</f>
        <v>0</v>
      </c>
      <c r="L375" s="23">
        <f>IF(J375="","",IFERROR(INDEX(Properties!$F$5:$F$254,MATCH(J375,Properties!$A$5:$A$254,0)),""))</f>
        <v>0</v>
      </c>
      <c r="AD375" s="34">
        <f>IF(G375="","",IF(U375&lt;&gt;"",U375,IF(AND(IFERROR(INDEX(Services!$D$5:$D$64,MATCH(M375,Services!$B$5:$B$64,0)),"")="Per hour",IFERROR(INDEX(Properties!$X$5:$X$254,MATCH(J375,Properties!$A$5:$A$254,0)),0)&gt;0),IFERROR(INDEX(Properties!$X$5:$X$254,MATCH(J375,Properties!$A$5:$A$254,0)),0),IF(IFERROR(INDEX(Services!$G$5:$G$64,MATCH(M375,Services!$B$5:$B$64,0)),0)&gt;0,IFERROR(INDEX(Services!$G$5:$G$64,MATCH(M375,Services!$B$5:$B$64,0)),0),IFERROR(INDEX(Properties!$X$5:$X$254,MATCH(J375,Properties!$A$5:$A$254,0)),0)))))</f>
        <v>0</v>
      </c>
      <c r="AE375" s="31">
        <f>IF(G375="","",IF(T375="",CleanersPerJob,MAX(1,T375)))</f>
        <v>0</v>
      </c>
      <c r="AF375" s="34">
        <f>IF(G375="","",ROUND(AD375/AE375,2))</f>
        <v>0</v>
      </c>
      <c r="AG375" s="53">
        <f>IF(OR(G375="",F375="",AF375=""),"",F375+AF375/24)</f>
        <v>0</v>
      </c>
      <c r="AH375" s="21">
        <f>IF(G375="","",IF(IFERROR(INDEX(Clients!$O$5:$O$204,MATCH(G375,Clients!$A$5:$A$204,0)),0)&gt;0,IFERROR(INDEX(Clients!$O$5:$O$204,MATCH(G375,Clients!$A$5:$A$204,0)),0),HourlyRate))</f>
        <v>0</v>
      </c>
      <c r="AI375" s="21">
        <f>IF(G375="","",IF(AND(M375&lt;&gt;"",IFERROR(INDEX(Services!$P$5:$P$64,MATCH(M375,Services!$B$5:$B$64,0)),0)&gt;0,IFERROR(INDEX(Services!$D$5:$D$64,MATCH(M375,Services!$B$5:$B$64,0)),"")&lt;&gt;"Per hour"),IFERROR(INDEX(Services!$P$5:$P$64,MATCH(M375,Services!$B$5:$B$64,0)),0),AD375*AH375))</f>
        <v>0</v>
      </c>
      <c r="AJ375" s="21">
        <f>IF(G375="","",IF(V375&lt;&gt;"",V375,IF(P375="Cancelled",0,MAX(MinimumCharge,ROUND(AI375*IFERROR(INDEX(FreqFactors,MATCH(O375,FreqNames,0)),1),2)))))</f>
        <v>0</v>
      </c>
      <c r="AK375" s="34">
        <f>IF(G375="","",IF(SUMIFS(Timesheets!$U$5:$U$804,Timesheets!$G$5:$G$804,A375)&gt;0,SUMIFS(Timesheets!$U$5:$U$804,Timesheets!$G$5:$G$804,A375),IF(Z375="","",Z375)))</f>
        <v>0</v>
      </c>
      <c r="AL375" s="34">
        <f>IF(OR(AK375="",AD375=""),"",AK375-AD375)</f>
        <v>0</v>
      </c>
      <c r="AM375" s="31">
        <f>IF(A375="","",COUNTIFS('Job Tasks'!$B$5:$B$904,A375))</f>
        <v>0</v>
      </c>
      <c r="AN375" s="31">
        <f>IF(A375="","",COUNTIFS('Job Tasks'!$B$5:$B$904,A375,'Job Tasks'!$H$5:$H$904,"Done"))</f>
        <v>0</v>
      </c>
      <c r="AO375" s="38">
        <f>IF(OR(A375="",AM375=0),"",AN375/AM375)</f>
        <v>0</v>
      </c>
      <c r="AP375" s="43">
        <f>IF(A375="","",IFERROR(INDEX('Invoice Lines'!$B$5:$B$804,MATCH(A375,'Invoice Lines'!$C$5:$C$804,0)),""))</f>
        <v>0</v>
      </c>
      <c r="AQ375" s="18">
        <f>IF(OR(G375="",B375="",X375&lt;&gt;"Yes"),"",IF(IFERROR(INDEX(FreqDays,MATCH(O375,FreqNames,0)),0)=0,"",B375+IFERROR(INDEX(FreqDays,MATCH(O375,FreqNames,0)),0)))</f>
        <v>0</v>
      </c>
      <c r="AR375" s="39">
        <f>IF(G375="","",IF(R375="","Unassigned",IF(COUNTIFS($R$5:$R$604,R375,$B$5:$B$604,B375,$F$5:$F$604,F375)&gt;1,"Clash",IF(SUMIFS($AF$5:$AF$604,$R$5:$R$604,R375,$B$5:$B$604,B375)&gt;ProductiveHours,"Long day","OK"))))</f>
        <v>0</v>
      </c>
      <c r="AS375" s="18">
        <f>IF(OR(G375="",B375=""),"",IF(AND(B375&gt;=TodayDate,P375&lt;&gt;"Cancelled"),B375,""))</f>
        <v>0</v>
      </c>
      <c r="AT375" s="31">
        <f>IF(AS375="","",COUNTIFS($AS$5:$AS$604,"&lt;"&amp;AS375)+COUNTIFS($AS$5:AS375,AS375))</f>
        <v>0</v>
      </c>
      <c r="AU375" s="18">
        <f>IF(OR(G375="",B375="",R375&lt;&gt;""),"",IF(AND(B375&gt;=TodayDate,P375&lt;&gt;"Cancelled"),B375,""))</f>
        <v>0</v>
      </c>
      <c r="AV375" s="31">
        <f>IF(AU375="","",COUNTIFS($AU$5:$AU$604,"&lt;"&amp;AU375)+COUNTIFS($AU$5:AU375,AU375))</f>
        <v>0</v>
      </c>
      <c r="AW375" s="31">
        <f>IF(OR(G375="",B375=""),"",B375-TodayDate)</f>
        <v>0</v>
      </c>
      <c r="AX375" s="39">
        <f>IF(G375="","",IF(P375="Cancelled","Cancelled",IF(P375="No access","Action - no access, rebook",IF(AND(B375&lt;&gt;"",AW375&lt;0,OR(P375="Booked",P375="Confirmed",P375="In progress")),"Late - mark it completed",IF(AND(P375="Completed",AP375=""),"Action - not invoiced yet",IF(AND(AW375&gt;=0,AW375&lt;=ReminderDays,Y375&lt;&gt;"Yes"),"Confirm - visit coming up",IF(R375="","Assign - no cleaner booked",IF(AND(P375="Completed",AO375&lt;&gt;"",AO375&lt;1),"Check - checklist unfinished","OK"))))))))</f>
        <v>0</v>
      </c>
    </row>
    <row r="376" spans="1:50">
      <c r="A376" s="43">
        <f>IF(G376="","",JobPrefix&amp;TEXT(ROW()-4,"0000"))</f>
        <v>0</v>
      </c>
      <c r="C376" s="23">
        <f>IF(B376="","",TEXT(B376,"ddd"))</f>
        <v>0</v>
      </c>
      <c r="D376" s="31">
        <f>IF(B376="","",WEEKNUM(B376,IF(WeekStart="Sunday",1,2)))</f>
        <v>0</v>
      </c>
      <c r="E376" s="23">
        <f>IF(B376="","",TEXT(B376,"yyyy-mm"))</f>
        <v>0</v>
      </c>
      <c r="H376" s="23">
        <f>IF(G376="","",IFERROR(INDEX(Clients!$B$5:$B$204,MATCH(G376,Clients!$A$5:$A$204,0)),"Not found"))</f>
        <v>0</v>
      </c>
      <c r="I376" s="23">
        <f>IF(G376="","",IFERROR(INDEX(Clients!$C$5:$C$204,MATCH(G376,Clients!$A$5:$A$204,0)),""))</f>
        <v>0</v>
      </c>
      <c r="K376" s="23">
        <f>IF(J376="","",IFERROR(INDEX(Properties!$B$5:$B$254,MATCH(J376,Properties!$A$5:$A$254,0)),""))</f>
        <v>0</v>
      </c>
      <c r="L376" s="23">
        <f>IF(J376="","",IFERROR(INDEX(Properties!$F$5:$F$254,MATCH(J376,Properties!$A$5:$A$254,0)),""))</f>
        <v>0</v>
      </c>
      <c r="AD376" s="34">
        <f>IF(G376="","",IF(U376&lt;&gt;"",U376,IF(AND(IFERROR(INDEX(Services!$D$5:$D$64,MATCH(M376,Services!$B$5:$B$64,0)),"")="Per hour",IFERROR(INDEX(Properties!$X$5:$X$254,MATCH(J376,Properties!$A$5:$A$254,0)),0)&gt;0),IFERROR(INDEX(Properties!$X$5:$X$254,MATCH(J376,Properties!$A$5:$A$254,0)),0),IF(IFERROR(INDEX(Services!$G$5:$G$64,MATCH(M376,Services!$B$5:$B$64,0)),0)&gt;0,IFERROR(INDEX(Services!$G$5:$G$64,MATCH(M376,Services!$B$5:$B$64,0)),0),IFERROR(INDEX(Properties!$X$5:$X$254,MATCH(J376,Properties!$A$5:$A$254,0)),0)))))</f>
        <v>0</v>
      </c>
      <c r="AE376" s="31">
        <f>IF(G376="","",IF(T376="",CleanersPerJob,MAX(1,T376)))</f>
        <v>0</v>
      </c>
      <c r="AF376" s="34">
        <f>IF(G376="","",ROUND(AD376/AE376,2))</f>
        <v>0</v>
      </c>
      <c r="AG376" s="53">
        <f>IF(OR(G376="",F376="",AF376=""),"",F376+AF376/24)</f>
        <v>0</v>
      </c>
      <c r="AH376" s="21">
        <f>IF(G376="","",IF(IFERROR(INDEX(Clients!$O$5:$O$204,MATCH(G376,Clients!$A$5:$A$204,0)),0)&gt;0,IFERROR(INDEX(Clients!$O$5:$O$204,MATCH(G376,Clients!$A$5:$A$204,0)),0),HourlyRate))</f>
        <v>0</v>
      </c>
      <c r="AI376" s="21">
        <f>IF(G376="","",IF(AND(M376&lt;&gt;"",IFERROR(INDEX(Services!$P$5:$P$64,MATCH(M376,Services!$B$5:$B$64,0)),0)&gt;0,IFERROR(INDEX(Services!$D$5:$D$64,MATCH(M376,Services!$B$5:$B$64,0)),"")&lt;&gt;"Per hour"),IFERROR(INDEX(Services!$P$5:$P$64,MATCH(M376,Services!$B$5:$B$64,0)),0),AD376*AH376))</f>
        <v>0</v>
      </c>
      <c r="AJ376" s="21">
        <f>IF(G376="","",IF(V376&lt;&gt;"",V376,IF(P376="Cancelled",0,MAX(MinimumCharge,ROUND(AI376*IFERROR(INDEX(FreqFactors,MATCH(O376,FreqNames,0)),1),2)))))</f>
        <v>0</v>
      </c>
      <c r="AK376" s="34">
        <f>IF(G376="","",IF(SUMIFS(Timesheets!$U$5:$U$804,Timesheets!$G$5:$G$804,A376)&gt;0,SUMIFS(Timesheets!$U$5:$U$804,Timesheets!$G$5:$G$804,A376),IF(Z376="","",Z376)))</f>
        <v>0</v>
      </c>
      <c r="AL376" s="34">
        <f>IF(OR(AK376="",AD376=""),"",AK376-AD376)</f>
        <v>0</v>
      </c>
      <c r="AM376" s="31">
        <f>IF(A376="","",COUNTIFS('Job Tasks'!$B$5:$B$904,A376))</f>
        <v>0</v>
      </c>
      <c r="AN376" s="31">
        <f>IF(A376="","",COUNTIFS('Job Tasks'!$B$5:$B$904,A376,'Job Tasks'!$H$5:$H$904,"Done"))</f>
        <v>0</v>
      </c>
      <c r="AO376" s="38">
        <f>IF(OR(A376="",AM376=0),"",AN376/AM376)</f>
        <v>0</v>
      </c>
      <c r="AP376" s="43">
        <f>IF(A376="","",IFERROR(INDEX('Invoice Lines'!$B$5:$B$804,MATCH(A376,'Invoice Lines'!$C$5:$C$804,0)),""))</f>
        <v>0</v>
      </c>
      <c r="AQ376" s="18">
        <f>IF(OR(G376="",B376="",X376&lt;&gt;"Yes"),"",IF(IFERROR(INDEX(FreqDays,MATCH(O376,FreqNames,0)),0)=0,"",B376+IFERROR(INDEX(FreqDays,MATCH(O376,FreqNames,0)),0)))</f>
        <v>0</v>
      </c>
      <c r="AR376" s="39">
        <f>IF(G376="","",IF(R376="","Unassigned",IF(COUNTIFS($R$5:$R$604,R376,$B$5:$B$604,B376,$F$5:$F$604,F376)&gt;1,"Clash",IF(SUMIFS($AF$5:$AF$604,$R$5:$R$604,R376,$B$5:$B$604,B376)&gt;ProductiveHours,"Long day","OK"))))</f>
        <v>0</v>
      </c>
      <c r="AS376" s="18">
        <f>IF(OR(G376="",B376=""),"",IF(AND(B376&gt;=TodayDate,P376&lt;&gt;"Cancelled"),B376,""))</f>
        <v>0</v>
      </c>
      <c r="AT376" s="31">
        <f>IF(AS376="","",COUNTIFS($AS$5:$AS$604,"&lt;"&amp;AS376)+COUNTIFS($AS$5:AS376,AS376))</f>
        <v>0</v>
      </c>
      <c r="AU376" s="18">
        <f>IF(OR(G376="",B376="",R376&lt;&gt;""),"",IF(AND(B376&gt;=TodayDate,P376&lt;&gt;"Cancelled"),B376,""))</f>
        <v>0</v>
      </c>
      <c r="AV376" s="31">
        <f>IF(AU376="","",COUNTIFS($AU$5:$AU$604,"&lt;"&amp;AU376)+COUNTIFS($AU$5:AU376,AU376))</f>
        <v>0</v>
      </c>
      <c r="AW376" s="31">
        <f>IF(OR(G376="",B376=""),"",B376-TodayDate)</f>
        <v>0</v>
      </c>
      <c r="AX376" s="39">
        <f>IF(G376="","",IF(P376="Cancelled","Cancelled",IF(P376="No access","Action - no access, rebook",IF(AND(B376&lt;&gt;"",AW376&lt;0,OR(P376="Booked",P376="Confirmed",P376="In progress")),"Late - mark it completed",IF(AND(P376="Completed",AP376=""),"Action - not invoiced yet",IF(AND(AW376&gt;=0,AW376&lt;=ReminderDays,Y376&lt;&gt;"Yes"),"Confirm - visit coming up",IF(R376="","Assign - no cleaner booked",IF(AND(P376="Completed",AO376&lt;&gt;"",AO376&lt;1),"Check - checklist unfinished","OK"))))))))</f>
        <v>0</v>
      </c>
    </row>
    <row r="377" spans="1:50">
      <c r="A377" s="43">
        <f>IF(G377="","",JobPrefix&amp;TEXT(ROW()-4,"0000"))</f>
        <v>0</v>
      </c>
      <c r="C377" s="23">
        <f>IF(B377="","",TEXT(B377,"ddd"))</f>
        <v>0</v>
      </c>
      <c r="D377" s="31">
        <f>IF(B377="","",WEEKNUM(B377,IF(WeekStart="Sunday",1,2)))</f>
        <v>0</v>
      </c>
      <c r="E377" s="23">
        <f>IF(B377="","",TEXT(B377,"yyyy-mm"))</f>
        <v>0</v>
      </c>
      <c r="H377" s="23">
        <f>IF(G377="","",IFERROR(INDEX(Clients!$B$5:$B$204,MATCH(G377,Clients!$A$5:$A$204,0)),"Not found"))</f>
        <v>0</v>
      </c>
      <c r="I377" s="23">
        <f>IF(G377="","",IFERROR(INDEX(Clients!$C$5:$C$204,MATCH(G377,Clients!$A$5:$A$204,0)),""))</f>
        <v>0</v>
      </c>
      <c r="K377" s="23">
        <f>IF(J377="","",IFERROR(INDEX(Properties!$B$5:$B$254,MATCH(J377,Properties!$A$5:$A$254,0)),""))</f>
        <v>0</v>
      </c>
      <c r="L377" s="23">
        <f>IF(J377="","",IFERROR(INDEX(Properties!$F$5:$F$254,MATCH(J377,Properties!$A$5:$A$254,0)),""))</f>
        <v>0</v>
      </c>
      <c r="AD377" s="34">
        <f>IF(G377="","",IF(U377&lt;&gt;"",U377,IF(AND(IFERROR(INDEX(Services!$D$5:$D$64,MATCH(M377,Services!$B$5:$B$64,0)),"")="Per hour",IFERROR(INDEX(Properties!$X$5:$X$254,MATCH(J377,Properties!$A$5:$A$254,0)),0)&gt;0),IFERROR(INDEX(Properties!$X$5:$X$254,MATCH(J377,Properties!$A$5:$A$254,0)),0),IF(IFERROR(INDEX(Services!$G$5:$G$64,MATCH(M377,Services!$B$5:$B$64,0)),0)&gt;0,IFERROR(INDEX(Services!$G$5:$G$64,MATCH(M377,Services!$B$5:$B$64,0)),0),IFERROR(INDEX(Properties!$X$5:$X$254,MATCH(J377,Properties!$A$5:$A$254,0)),0)))))</f>
        <v>0</v>
      </c>
      <c r="AE377" s="31">
        <f>IF(G377="","",IF(T377="",CleanersPerJob,MAX(1,T377)))</f>
        <v>0</v>
      </c>
      <c r="AF377" s="34">
        <f>IF(G377="","",ROUND(AD377/AE377,2))</f>
        <v>0</v>
      </c>
      <c r="AG377" s="53">
        <f>IF(OR(G377="",F377="",AF377=""),"",F377+AF377/24)</f>
        <v>0</v>
      </c>
      <c r="AH377" s="21">
        <f>IF(G377="","",IF(IFERROR(INDEX(Clients!$O$5:$O$204,MATCH(G377,Clients!$A$5:$A$204,0)),0)&gt;0,IFERROR(INDEX(Clients!$O$5:$O$204,MATCH(G377,Clients!$A$5:$A$204,0)),0),HourlyRate))</f>
        <v>0</v>
      </c>
      <c r="AI377" s="21">
        <f>IF(G377="","",IF(AND(M377&lt;&gt;"",IFERROR(INDEX(Services!$P$5:$P$64,MATCH(M377,Services!$B$5:$B$64,0)),0)&gt;0,IFERROR(INDEX(Services!$D$5:$D$64,MATCH(M377,Services!$B$5:$B$64,0)),"")&lt;&gt;"Per hour"),IFERROR(INDEX(Services!$P$5:$P$64,MATCH(M377,Services!$B$5:$B$64,0)),0),AD377*AH377))</f>
        <v>0</v>
      </c>
      <c r="AJ377" s="21">
        <f>IF(G377="","",IF(V377&lt;&gt;"",V377,IF(P377="Cancelled",0,MAX(MinimumCharge,ROUND(AI377*IFERROR(INDEX(FreqFactors,MATCH(O377,FreqNames,0)),1),2)))))</f>
        <v>0</v>
      </c>
      <c r="AK377" s="34">
        <f>IF(G377="","",IF(SUMIFS(Timesheets!$U$5:$U$804,Timesheets!$G$5:$G$804,A377)&gt;0,SUMIFS(Timesheets!$U$5:$U$804,Timesheets!$G$5:$G$804,A377),IF(Z377="","",Z377)))</f>
        <v>0</v>
      </c>
      <c r="AL377" s="34">
        <f>IF(OR(AK377="",AD377=""),"",AK377-AD377)</f>
        <v>0</v>
      </c>
      <c r="AM377" s="31">
        <f>IF(A377="","",COUNTIFS('Job Tasks'!$B$5:$B$904,A377))</f>
        <v>0</v>
      </c>
      <c r="AN377" s="31">
        <f>IF(A377="","",COUNTIFS('Job Tasks'!$B$5:$B$904,A377,'Job Tasks'!$H$5:$H$904,"Done"))</f>
        <v>0</v>
      </c>
      <c r="AO377" s="38">
        <f>IF(OR(A377="",AM377=0),"",AN377/AM377)</f>
        <v>0</v>
      </c>
      <c r="AP377" s="43">
        <f>IF(A377="","",IFERROR(INDEX('Invoice Lines'!$B$5:$B$804,MATCH(A377,'Invoice Lines'!$C$5:$C$804,0)),""))</f>
        <v>0</v>
      </c>
      <c r="AQ377" s="18">
        <f>IF(OR(G377="",B377="",X377&lt;&gt;"Yes"),"",IF(IFERROR(INDEX(FreqDays,MATCH(O377,FreqNames,0)),0)=0,"",B377+IFERROR(INDEX(FreqDays,MATCH(O377,FreqNames,0)),0)))</f>
        <v>0</v>
      </c>
      <c r="AR377" s="39">
        <f>IF(G377="","",IF(R377="","Unassigned",IF(COUNTIFS($R$5:$R$604,R377,$B$5:$B$604,B377,$F$5:$F$604,F377)&gt;1,"Clash",IF(SUMIFS($AF$5:$AF$604,$R$5:$R$604,R377,$B$5:$B$604,B377)&gt;ProductiveHours,"Long day","OK"))))</f>
        <v>0</v>
      </c>
      <c r="AS377" s="18">
        <f>IF(OR(G377="",B377=""),"",IF(AND(B377&gt;=TodayDate,P377&lt;&gt;"Cancelled"),B377,""))</f>
        <v>0</v>
      </c>
      <c r="AT377" s="31">
        <f>IF(AS377="","",COUNTIFS($AS$5:$AS$604,"&lt;"&amp;AS377)+COUNTIFS($AS$5:AS377,AS377))</f>
        <v>0</v>
      </c>
      <c r="AU377" s="18">
        <f>IF(OR(G377="",B377="",R377&lt;&gt;""),"",IF(AND(B377&gt;=TodayDate,P377&lt;&gt;"Cancelled"),B377,""))</f>
        <v>0</v>
      </c>
      <c r="AV377" s="31">
        <f>IF(AU377="","",COUNTIFS($AU$5:$AU$604,"&lt;"&amp;AU377)+COUNTIFS($AU$5:AU377,AU377))</f>
        <v>0</v>
      </c>
      <c r="AW377" s="31">
        <f>IF(OR(G377="",B377=""),"",B377-TodayDate)</f>
        <v>0</v>
      </c>
      <c r="AX377" s="39">
        <f>IF(G377="","",IF(P377="Cancelled","Cancelled",IF(P377="No access","Action - no access, rebook",IF(AND(B377&lt;&gt;"",AW377&lt;0,OR(P377="Booked",P377="Confirmed",P377="In progress")),"Late - mark it completed",IF(AND(P377="Completed",AP377=""),"Action - not invoiced yet",IF(AND(AW377&gt;=0,AW377&lt;=ReminderDays,Y377&lt;&gt;"Yes"),"Confirm - visit coming up",IF(R377="","Assign - no cleaner booked",IF(AND(P377="Completed",AO377&lt;&gt;"",AO377&lt;1),"Check - checklist unfinished","OK"))))))))</f>
        <v>0</v>
      </c>
    </row>
    <row r="378" spans="1:50">
      <c r="A378" s="43">
        <f>IF(G378="","",JobPrefix&amp;TEXT(ROW()-4,"0000"))</f>
        <v>0</v>
      </c>
      <c r="C378" s="23">
        <f>IF(B378="","",TEXT(B378,"ddd"))</f>
        <v>0</v>
      </c>
      <c r="D378" s="31">
        <f>IF(B378="","",WEEKNUM(B378,IF(WeekStart="Sunday",1,2)))</f>
        <v>0</v>
      </c>
      <c r="E378" s="23">
        <f>IF(B378="","",TEXT(B378,"yyyy-mm"))</f>
        <v>0</v>
      </c>
      <c r="H378" s="23">
        <f>IF(G378="","",IFERROR(INDEX(Clients!$B$5:$B$204,MATCH(G378,Clients!$A$5:$A$204,0)),"Not found"))</f>
        <v>0</v>
      </c>
      <c r="I378" s="23">
        <f>IF(G378="","",IFERROR(INDEX(Clients!$C$5:$C$204,MATCH(G378,Clients!$A$5:$A$204,0)),""))</f>
        <v>0</v>
      </c>
      <c r="K378" s="23">
        <f>IF(J378="","",IFERROR(INDEX(Properties!$B$5:$B$254,MATCH(J378,Properties!$A$5:$A$254,0)),""))</f>
        <v>0</v>
      </c>
      <c r="L378" s="23">
        <f>IF(J378="","",IFERROR(INDEX(Properties!$F$5:$F$254,MATCH(J378,Properties!$A$5:$A$254,0)),""))</f>
        <v>0</v>
      </c>
      <c r="AD378" s="34">
        <f>IF(G378="","",IF(U378&lt;&gt;"",U378,IF(AND(IFERROR(INDEX(Services!$D$5:$D$64,MATCH(M378,Services!$B$5:$B$64,0)),"")="Per hour",IFERROR(INDEX(Properties!$X$5:$X$254,MATCH(J378,Properties!$A$5:$A$254,0)),0)&gt;0),IFERROR(INDEX(Properties!$X$5:$X$254,MATCH(J378,Properties!$A$5:$A$254,0)),0),IF(IFERROR(INDEX(Services!$G$5:$G$64,MATCH(M378,Services!$B$5:$B$64,0)),0)&gt;0,IFERROR(INDEX(Services!$G$5:$G$64,MATCH(M378,Services!$B$5:$B$64,0)),0),IFERROR(INDEX(Properties!$X$5:$X$254,MATCH(J378,Properties!$A$5:$A$254,0)),0)))))</f>
        <v>0</v>
      </c>
      <c r="AE378" s="31">
        <f>IF(G378="","",IF(T378="",CleanersPerJob,MAX(1,T378)))</f>
        <v>0</v>
      </c>
      <c r="AF378" s="34">
        <f>IF(G378="","",ROUND(AD378/AE378,2))</f>
        <v>0</v>
      </c>
      <c r="AG378" s="53">
        <f>IF(OR(G378="",F378="",AF378=""),"",F378+AF378/24)</f>
        <v>0</v>
      </c>
      <c r="AH378" s="21">
        <f>IF(G378="","",IF(IFERROR(INDEX(Clients!$O$5:$O$204,MATCH(G378,Clients!$A$5:$A$204,0)),0)&gt;0,IFERROR(INDEX(Clients!$O$5:$O$204,MATCH(G378,Clients!$A$5:$A$204,0)),0),HourlyRate))</f>
        <v>0</v>
      </c>
      <c r="AI378" s="21">
        <f>IF(G378="","",IF(AND(M378&lt;&gt;"",IFERROR(INDEX(Services!$P$5:$P$64,MATCH(M378,Services!$B$5:$B$64,0)),0)&gt;0,IFERROR(INDEX(Services!$D$5:$D$64,MATCH(M378,Services!$B$5:$B$64,0)),"")&lt;&gt;"Per hour"),IFERROR(INDEX(Services!$P$5:$P$64,MATCH(M378,Services!$B$5:$B$64,0)),0),AD378*AH378))</f>
        <v>0</v>
      </c>
      <c r="AJ378" s="21">
        <f>IF(G378="","",IF(V378&lt;&gt;"",V378,IF(P378="Cancelled",0,MAX(MinimumCharge,ROUND(AI378*IFERROR(INDEX(FreqFactors,MATCH(O378,FreqNames,0)),1),2)))))</f>
        <v>0</v>
      </c>
      <c r="AK378" s="34">
        <f>IF(G378="","",IF(SUMIFS(Timesheets!$U$5:$U$804,Timesheets!$G$5:$G$804,A378)&gt;0,SUMIFS(Timesheets!$U$5:$U$804,Timesheets!$G$5:$G$804,A378),IF(Z378="","",Z378)))</f>
        <v>0</v>
      </c>
      <c r="AL378" s="34">
        <f>IF(OR(AK378="",AD378=""),"",AK378-AD378)</f>
        <v>0</v>
      </c>
      <c r="AM378" s="31">
        <f>IF(A378="","",COUNTIFS('Job Tasks'!$B$5:$B$904,A378))</f>
        <v>0</v>
      </c>
      <c r="AN378" s="31">
        <f>IF(A378="","",COUNTIFS('Job Tasks'!$B$5:$B$904,A378,'Job Tasks'!$H$5:$H$904,"Done"))</f>
        <v>0</v>
      </c>
      <c r="AO378" s="38">
        <f>IF(OR(A378="",AM378=0),"",AN378/AM378)</f>
        <v>0</v>
      </c>
      <c r="AP378" s="43">
        <f>IF(A378="","",IFERROR(INDEX('Invoice Lines'!$B$5:$B$804,MATCH(A378,'Invoice Lines'!$C$5:$C$804,0)),""))</f>
        <v>0</v>
      </c>
      <c r="AQ378" s="18">
        <f>IF(OR(G378="",B378="",X378&lt;&gt;"Yes"),"",IF(IFERROR(INDEX(FreqDays,MATCH(O378,FreqNames,0)),0)=0,"",B378+IFERROR(INDEX(FreqDays,MATCH(O378,FreqNames,0)),0)))</f>
        <v>0</v>
      </c>
      <c r="AR378" s="39">
        <f>IF(G378="","",IF(R378="","Unassigned",IF(COUNTIFS($R$5:$R$604,R378,$B$5:$B$604,B378,$F$5:$F$604,F378)&gt;1,"Clash",IF(SUMIFS($AF$5:$AF$604,$R$5:$R$604,R378,$B$5:$B$604,B378)&gt;ProductiveHours,"Long day","OK"))))</f>
        <v>0</v>
      </c>
      <c r="AS378" s="18">
        <f>IF(OR(G378="",B378=""),"",IF(AND(B378&gt;=TodayDate,P378&lt;&gt;"Cancelled"),B378,""))</f>
        <v>0</v>
      </c>
      <c r="AT378" s="31">
        <f>IF(AS378="","",COUNTIFS($AS$5:$AS$604,"&lt;"&amp;AS378)+COUNTIFS($AS$5:AS378,AS378))</f>
        <v>0</v>
      </c>
      <c r="AU378" s="18">
        <f>IF(OR(G378="",B378="",R378&lt;&gt;""),"",IF(AND(B378&gt;=TodayDate,P378&lt;&gt;"Cancelled"),B378,""))</f>
        <v>0</v>
      </c>
      <c r="AV378" s="31">
        <f>IF(AU378="","",COUNTIFS($AU$5:$AU$604,"&lt;"&amp;AU378)+COUNTIFS($AU$5:AU378,AU378))</f>
        <v>0</v>
      </c>
      <c r="AW378" s="31">
        <f>IF(OR(G378="",B378=""),"",B378-TodayDate)</f>
        <v>0</v>
      </c>
      <c r="AX378" s="39">
        <f>IF(G378="","",IF(P378="Cancelled","Cancelled",IF(P378="No access","Action - no access, rebook",IF(AND(B378&lt;&gt;"",AW378&lt;0,OR(P378="Booked",P378="Confirmed",P378="In progress")),"Late - mark it completed",IF(AND(P378="Completed",AP378=""),"Action - not invoiced yet",IF(AND(AW378&gt;=0,AW378&lt;=ReminderDays,Y378&lt;&gt;"Yes"),"Confirm - visit coming up",IF(R378="","Assign - no cleaner booked",IF(AND(P378="Completed",AO378&lt;&gt;"",AO378&lt;1),"Check - checklist unfinished","OK"))))))))</f>
        <v>0</v>
      </c>
    </row>
    <row r="379" spans="1:50">
      <c r="A379" s="43">
        <f>IF(G379="","",JobPrefix&amp;TEXT(ROW()-4,"0000"))</f>
        <v>0</v>
      </c>
      <c r="C379" s="23">
        <f>IF(B379="","",TEXT(B379,"ddd"))</f>
        <v>0</v>
      </c>
      <c r="D379" s="31">
        <f>IF(B379="","",WEEKNUM(B379,IF(WeekStart="Sunday",1,2)))</f>
        <v>0</v>
      </c>
      <c r="E379" s="23">
        <f>IF(B379="","",TEXT(B379,"yyyy-mm"))</f>
        <v>0</v>
      </c>
      <c r="H379" s="23">
        <f>IF(G379="","",IFERROR(INDEX(Clients!$B$5:$B$204,MATCH(G379,Clients!$A$5:$A$204,0)),"Not found"))</f>
        <v>0</v>
      </c>
      <c r="I379" s="23">
        <f>IF(G379="","",IFERROR(INDEX(Clients!$C$5:$C$204,MATCH(G379,Clients!$A$5:$A$204,0)),""))</f>
        <v>0</v>
      </c>
      <c r="K379" s="23">
        <f>IF(J379="","",IFERROR(INDEX(Properties!$B$5:$B$254,MATCH(J379,Properties!$A$5:$A$254,0)),""))</f>
        <v>0</v>
      </c>
      <c r="L379" s="23">
        <f>IF(J379="","",IFERROR(INDEX(Properties!$F$5:$F$254,MATCH(J379,Properties!$A$5:$A$254,0)),""))</f>
        <v>0</v>
      </c>
      <c r="AD379" s="34">
        <f>IF(G379="","",IF(U379&lt;&gt;"",U379,IF(AND(IFERROR(INDEX(Services!$D$5:$D$64,MATCH(M379,Services!$B$5:$B$64,0)),"")="Per hour",IFERROR(INDEX(Properties!$X$5:$X$254,MATCH(J379,Properties!$A$5:$A$254,0)),0)&gt;0),IFERROR(INDEX(Properties!$X$5:$X$254,MATCH(J379,Properties!$A$5:$A$254,0)),0),IF(IFERROR(INDEX(Services!$G$5:$G$64,MATCH(M379,Services!$B$5:$B$64,0)),0)&gt;0,IFERROR(INDEX(Services!$G$5:$G$64,MATCH(M379,Services!$B$5:$B$64,0)),0),IFERROR(INDEX(Properties!$X$5:$X$254,MATCH(J379,Properties!$A$5:$A$254,0)),0)))))</f>
        <v>0</v>
      </c>
      <c r="AE379" s="31">
        <f>IF(G379="","",IF(T379="",CleanersPerJob,MAX(1,T379)))</f>
        <v>0</v>
      </c>
      <c r="AF379" s="34">
        <f>IF(G379="","",ROUND(AD379/AE379,2))</f>
        <v>0</v>
      </c>
      <c r="AG379" s="53">
        <f>IF(OR(G379="",F379="",AF379=""),"",F379+AF379/24)</f>
        <v>0</v>
      </c>
      <c r="AH379" s="21">
        <f>IF(G379="","",IF(IFERROR(INDEX(Clients!$O$5:$O$204,MATCH(G379,Clients!$A$5:$A$204,0)),0)&gt;0,IFERROR(INDEX(Clients!$O$5:$O$204,MATCH(G379,Clients!$A$5:$A$204,0)),0),HourlyRate))</f>
        <v>0</v>
      </c>
      <c r="AI379" s="21">
        <f>IF(G379="","",IF(AND(M379&lt;&gt;"",IFERROR(INDEX(Services!$P$5:$P$64,MATCH(M379,Services!$B$5:$B$64,0)),0)&gt;0,IFERROR(INDEX(Services!$D$5:$D$64,MATCH(M379,Services!$B$5:$B$64,0)),"")&lt;&gt;"Per hour"),IFERROR(INDEX(Services!$P$5:$P$64,MATCH(M379,Services!$B$5:$B$64,0)),0),AD379*AH379))</f>
        <v>0</v>
      </c>
      <c r="AJ379" s="21">
        <f>IF(G379="","",IF(V379&lt;&gt;"",V379,IF(P379="Cancelled",0,MAX(MinimumCharge,ROUND(AI379*IFERROR(INDEX(FreqFactors,MATCH(O379,FreqNames,0)),1),2)))))</f>
        <v>0</v>
      </c>
      <c r="AK379" s="34">
        <f>IF(G379="","",IF(SUMIFS(Timesheets!$U$5:$U$804,Timesheets!$G$5:$G$804,A379)&gt;0,SUMIFS(Timesheets!$U$5:$U$804,Timesheets!$G$5:$G$804,A379),IF(Z379="","",Z379)))</f>
        <v>0</v>
      </c>
      <c r="AL379" s="34">
        <f>IF(OR(AK379="",AD379=""),"",AK379-AD379)</f>
        <v>0</v>
      </c>
      <c r="AM379" s="31">
        <f>IF(A379="","",COUNTIFS('Job Tasks'!$B$5:$B$904,A379))</f>
        <v>0</v>
      </c>
      <c r="AN379" s="31">
        <f>IF(A379="","",COUNTIFS('Job Tasks'!$B$5:$B$904,A379,'Job Tasks'!$H$5:$H$904,"Done"))</f>
        <v>0</v>
      </c>
      <c r="AO379" s="38">
        <f>IF(OR(A379="",AM379=0),"",AN379/AM379)</f>
        <v>0</v>
      </c>
      <c r="AP379" s="43">
        <f>IF(A379="","",IFERROR(INDEX('Invoice Lines'!$B$5:$B$804,MATCH(A379,'Invoice Lines'!$C$5:$C$804,0)),""))</f>
        <v>0</v>
      </c>
      <c r="AQ379" s="18">
        <f>IF(OR(G379="",B379="",X379&lt;&gt;"Yes"),"",IF(IFERROR(INDEX(FreqDays,MATCH(O379,FreqNames,0)),0)=0,"",B379+IFERROR(INDEX(FreqDays,MATCH(O379,FreqNames,0)),0)))</f>
        <v>0</v>
      </c>
      <c r="AR379" s="39">
        <f>IF(G379="","",IF(R379="","Unassigned",IF(COUNTIFS($R$5:$R$604,R379,$B$5:$B$604,B379,$F$5:$F$604,F379)&gt;1,"Clash",IF(SUMIFS($AF$5:$AF$604,$R$5:$R$604,R379,$B$5:$B$604,B379)&gt;ProductiveHours,"Long day","OK"))))</f>
        <v>0</v>
      </c>
      <c r="AS379" s="18">
        <f>IF(OR(G379="",B379=""),"",IF(AND(B379&gt;=TodayDate,P379&lt;&gt;"Cancelled"),B379,""))</f>
        <v>0</v>
      </c>
      <c r="AT379" s="31">
        <f>IF(AS379="","",COUNTIFS($AS$5:$AS$604,"&lt;"&amp;AS379)+COUNTIFS($AS$5:AS379,AS379))</f>
        <v>0</v>
      </c>
      <c r="AU379" s="18">
        <f>IF(OR(G379="",B379="",R379&lt;&gt;""),"",IF(AND(B379&gt;=TodayDate,P379&lt;&gt;"Cancelled"),B379,""))</f>
        <v>0</v>
      </c>
      <c r="AV379" s="31">
        <f>IF(AU379="","",COUNTIFS($AU$5:$AU$604,"&lt;"&amp;AU379)+COUNTIFS($AU$5:AU379,AU379))</f>
        <v>0</v>
      </c>
      <c r="AW379" s="31">
        <f>IF(OR(G379="",B379=""),"",B379-TodayDate)</f>
        <v>0</v>
      </c>
      <c r="AX379" s="39">
        <f>IF(G379="","",IF(P379="Cancelled","Cancelled",IF(P379="No access","Action - no access, rebook",IF(AND(B379&lt;&gt;"",AW379&lt;0,OR(P379="Booked",P379="Confirmed",P379="In progress")),"Late - mark it completed",IF(AND(P379="Completed",AP379=""),"Action - not invoiced yet",IF(AND(AW379&gt;=0,AW379&lt;=ReminderDays,Y379&lt;&gt;"Yes"),"Confirm - visit coming up",IF(R379="","Assign - no cleaner booked",IF(AND(P379="Completed",AO379&lt;&gt;"",AO379&lt;1),"Check - checklist unfinished","OK"))))))))</f>
        <v>0</v>
      </c>
    </row>
    <row r="380" spans="1:50">
      <c r="A380" s="43">
        <f>IF(G380="","",JobPrefix&amp;TEXT(ROW()-4,"0000"))</f>
        <v>0</v>
      </c>
      <c r="C380" s="23">
        <f>IF(B380="","",TEXT(B380,"ddd"))</f>
        <v>0</v>
      </c>
      <c r="D380" s="31">
        <f>IF(B380="","",WEEKNUM(B380,IF(WeekStart="Sunday",1,2)))</f>
        <v>0</v>
      </c>
      <c r="E380" s="23">
        <f>IF(B380="","",TEXT(B380,"yyyy-mm"))</f>
        <v>0</v>
      </c>
      <c r="H380" s="23">
        <f>IF(G380="","",IFERROR(INDEX(Clients!$B$5:$B$204,MATCH(G380,Clients!$A$5:$A$204,0)),"Not found"))</f>
        <v>0</v>
      </c>
      <c r="I380" s="23">
        <f>IF(G380="","",IFERROR(INDEX(Clients!$C$5:$C$204,MATCH(G380,Clients!$A$5:$A$204,0)),""))</f>
        <v>0</v>
      </c>
      <c r="K380" s="23">
        <f>IF(J380="","",IFERROR(INDEX(Properties!$B$5:$B$254,MATCH(J380,Properties!$A$5:$A$254,0)),""))</f>
        <v>0</v>
      </c>
      <c r="L380" s="23">
        <f>IF(J380="","",IFERROR(INDEX(Properties!$F$5:$F$254,MATCH(J380,Properties!$A$5:$A$254,0)),""))</f>
        <v>0</v>
      </c>
      <c r="AD380" s="34">
        <f>IF(G380="","",IF(U380&lt;&gt;"",U380,IF(AND(IFERROR(INDEX(Services!$D$5:$D$64,MATCH(M380,Services!$B$5:$B$64,0)),"")="Per hour",IFERROR(INDEX(Properties!$X$5:$X$254,MATCH(J380,Properties!$A$5:$A$254,0)),0)&gt;0),IFERROR(INDEX(Properties!$X$5:$X$254,MATCH(J380,Properties!$A$5:$A$254,0)),0),IF(IFERROR(INDEX(Services!$G$5:$G$64,MATCH(M380,Services!$B$5:$B$64,0)),0)&gt;0,IFERROR(INDEX(Services!$G$5:$G$64,MATCH(M380,Services!$B$5:$B$64,0)),0),IFERROR(INDEX(Properties!$X$5:$X$254,MATCH(J380,Properties!$A$5:$A$254,0)),0)))))</f>
        <v>0</v>
      </c>
      <c r="AE380" s="31">
        <f>IF(G380="","",IF(T380="",CleanersPerJob,MAX(1,T380)))</f>
        <v>0</v>
      </c>
      <c r="AF380" s="34">
        <f>IF(G380="","",ROUND(AD380/AE380,2))</f>
        <v>0</v>
      </c>
      <c r="AG380" s="53">
        <f>IF(OR(G380="",F380="",AF380=""),"",F380+AF380/24)</f>
        <v>0</v>
      </c>
      <c r="AH380" s="21">
        <f>IF(G380="","",IF(IFERROR(INDEX(Clients!$O$5:$O$204,MATCH(G380,Clients!$A$5:$A$204,0)),0)&gt;0,IFERROR(INDEX(Clients!$O$5:$O$204,MATCH(G380,Clients!$A$5:$A$204,0)),0),HourlyRate))</f>
        <v>0</v>
      </c>
      <c r="AI380" s="21">
        <f>IF(G380="","",IF(AND(M380&lt;&gt;"",IFERROR(INDEX(Services!$P$5:$P$64,MATCH(M380,Services!$B$5:$B$64,0)),0)&gt;0,IFERROR(INDEX(Services!$D$5:$D$64,MATCH(M380,Services!$B$5:$B$64,0)),"")&lt;&gt;"Per hour"),IFERROR(INDEX(Services!$P$5:$P$64,MATCH(M380,Services!$B$5:$B$64,0)),0),AD380*AH380))</f>
        <v>0</v>
      </c>
      <c r="AJ380" s="21">
        <f>IF(G380="","",IF(V380&lt;&gt;"",V380,IF(P380="Cancelled",0,MAX(MinimumCharge,ROUND(AI380*IFERROR(INDEX(FreqFactors,MATCH(O380,FreqNames,0)),1),2)))))</f>
        <v>0</v>
      </c>
      <c r="AK380" s="34">
        <f>IF(G380="","",IF(SUMIFS(Timesheets!$U$5:$U$804,Timesheets!$G$5:$G$804,A380)&gt;0,SUMIFS(Timesheets!$U$5:$U$804,Timesheets!$G$5:$G$804,A380),IF(Z380="","",Z380)))</f>
        <v>0</v>
      </c>
      <c r="AL380" s="34">
        <f>IF(OR(AK380="",AD380=""),"",AK380-AD380)</f>
        <v>0</v>
      </c>
      <c r="AM380" s="31">
        <f>IF(A380="","",COUNTIFS('Job Tasks'!$B$5:$B$904,A380))</f>
        <v>0</v>
      </c>
      <c r="AN380" s="31">
        <f>IF(A380="","",COUNTIFS('Job Tasks'!$B$5:$B$904,A380,'Job Tasks'!$H$5:$H$904,"Done"))</f>
        <v>0</v>
      </c>
      <c r="AO380" s="38">
        <f>IF(OR(A380="",AM380=0),"",AN380/AM380)</f>
        <v>0</v>
      </c>
      <c r="AP380" s="43">
        <f>IF(A380="","",IFERROR(INDEX('Invoice Lines'!$B$5:$B$804,MATCH(A380,'Invoice Lines'!$C$5:$C$804,0)),""))</f>
        <v>0</v>
      </c>
      <c r="AQ380" s="18">
        <f>IF(OR(G380="",B380="",X380&lt;&gt;"Yes"),"",IF(IFERROR(INDEX(FreqDays,MATCH(O380,FreqNames,0)),0)=0,"",B380+IFERROR(INDEX(FreqDays,MATCH(O380,FreqNames,0)),0)))</f>
        <v>0</v>
      </c>
      <c r="AR380" s="39">
        <f>IF(G380="","",IF(R380="","Unassigned",IF(COUNTIFS($R$5:$R$604,R380,$B$5:$B$604,B380,$F$5:$F$604,F380)&gt;1,"Clash",IF(SUMIFS($AF$5:$AF$604,$R$5:$R$604,R380,$B$5:$B$604,B380)&gt;ProductiveHours,"Long day","OK"))))</f>
        <v>0</v>
      </c>
      <c r="AS380" s="18">
        <f>IF(OR(G380="",B380=""),"",IF(AND(B380&gt;=TodayDate,P380&lt;&gt;"Cancelled"),B380,""))</f>
        <v>0</v>
      </c>
      <c r="AT380" s="31">
        <f>IF(AS380="","",COUNTIFS($AS$5:$AS$604,"&lt;"&amp;AS380)+COUNTIFS($AS$5:AS380,AS380))</f>
        <v>0</v>
      </c>
      <c r="AU380" s="18">
        <f>IF(OR(G380="",B380="",R380&lt;&gt;""),"",IF(AND(B380&gt;=TodayDate,P380&lt;&gt;"Cancelled"),B380,""))</f>
        <v>0</v>
      </c>
      <c r="AV380" s="31">
        <f>IF(AU380="","",COUNTIFS($AU$5:$AU$604,"&lt;"&amp;AU380)+COUNTIFS($AU$5:AU380,AU380))</f>
        <v>0</v>
      </c>
      <c r="AW380" s="31">
        <f>IF(OR(G380="",B380=""),"",B380-TodayDate)</f>
        <v>0</v>
      </c>
      <c r="AX380" s="39">
        <f>IF(G380="","",IF(P380="Cancelled","Cancelled",IF(P380="No access","Action - no access, rebook",IF(AND(B380&lt;&gt;"",AW380&lt;0,OR(P380="Booked",P380="Confirmed",P380="In progress")),"Late - mark it completed",IF(AND(P380="Completed",AP380=""),"Action - not invoiced yet",IF(AND(AW380&gt;=0,AW380&lt;=ReminderDays,Y380&lt;&gt;"Yes"),"Confirm - visit coming up",IF(R380="","Assign - no cleaner booked",IF(AND(P380="Completed",AO380&lt;&gt;"",AO380&lt;1),"Check - checklist unfinished","OK"))))))))</f>
        <v>0</v>
      </c>
    </row>
    <row r="381" spans="1:50">
      <c r="A381" s="43">
        <f>IF(G381="","",JobPrefix&amp;TEXT(ROW()-4,"0000"))</f>
        <v>0</v>
      </c>
      <c r="C381" s="23">
        <f>IF(B381="","",TEXT(B381,"ddd"))</f>
        <v>0</v>
      </c>
      <c r="D381" s="31">
        <f>IF(B381="","",WEEKNUM(B381,IF(WeekStart="Sunday",1,2)))</f>
        <v>0</v>
      </c>
      <c r="E381" s="23">
        <f>IF(B381="","",TEXT(B381,"yyyy-mm"))</f>
        <v>0</v>
      </c>
      <c r="H381" s="23">
        <f>IF(G381="","",IFERROR(INDEX(Clients!$B$5:$B$204,MATCH(G381,Clients!$A$5:$A$204,0)),"Not found"))</f>
        <v>0</v>
      </c>
      <c r="I381" s="23">
        <f>IF(G381="","",IFERROR(INDEX(Clients!$C$5:$C$204,MATCH(G381,Clients!$A$5:$A$204,0)),""))</f>
        <v>0</v>
      </c>
      <c r="K381" s="23">
        <f>IF(J381="","",IFERROR(INDEX(Properties!$B$5:$B$254,MATCH(J381,Properties!$A$5:$A$254,0)),""))</f>
        <v>0</v>
      </c>
      <c r="L381" s="23">
        <f>IF(J381="","",IFERROR(INDEX(Properties!$F$5:$F$254,MATCH(J381,Properties!$A$5:$A$254,0)),""))</f>
        <v>0</v>
      </c>
      <c r="AD381" s="34">
        <f>IF(G381="","",IF(U381&lt;&gt;"",U381,IF(AND(IFERROR(INDEX(Services!$D$5:$D$64,MATCH(M381,Services!$B$5:$B$64,0)),"")="Per hour",IFERROR(INDEX(Properties!$X$5:$X$254,MATCH(J381,Properties!$A$5:$A$254,0)),0)&gt;0),IFERROR(INDEX(Properties!$X$5:$X$254,MATCH(J381,Properties!$A$5:$A$254,0)),0),IF(IFERROR(INDEX(Services!$G$5:$G$64,MATCH(M381,Services!$B$5:$B$64,0)),0)&gt;0,IFERROR(INDEX(Services!$G$5:$G$64,MATCH(M381,Services!$B$5:$B$64,0)),0),IFERROR(INDEX(Properties!$X$5:$X$254,MATCH(J381,Properties!$A$5:$A$254,0)),0)))))</f>
        <v>0</v>
      </c>
      <c r="AE381" s="31">
        <f>IF(G381="","",IF(T381="",CleanersPerJob,MAX(1,T381)))</f>
        <v>0</v>
      </c>
      <c r="AF381" s="34">
        <f>IF(G381="","",ROUND(AD381/AE381,2))</f>
        <v>0</v>
      </c>
      <c r="AG381" s="53">
        <f>IF(OR(G381="",F381="",AF381=""),"",F381+AF381/24)</f>
        <v>0</v>
      </c>
      <c r="AH381" s="21">
        <f>IF(G381="","",IF(IFERROR(INDEX(Clients!$O$5:$O$204,MATCH(G381,Clients!$A$5:$A$204,0)),0)&gt;0,IFERROR(INDEX(Clients!$O$5:$O$204,MATCH(G381,Clients!$A$5:$A$204,0)),0),HourlyRate))</f>
        <v>0</v>
      </c>
      <c r="AI381" s="21">
        <f>IF(G381="","",IF(AND(M381&lt;&gt;"",IFERROR(INDEX(Services!$P$5:$P$64,MATCH(M381,Services!$B$5:$B$64,0)),0)&gt;0,IFERROR(INDEX(Services!$D$5:$D$64,MATCH(M381,Services!$B$5:$B$64,0)),"")&lt;&gt;"Per hour"),IFERROR(INDEX(Services!$P$5:$P$64,MATCH(M381,Services!$B$5:$B$64,0)),0),AD381*AH381))</f>
        <v>0</v>
      </c>
      <c r="AJ381" s="21">
        <f>IF(G381="","",IF(V381&lt;&gt;"",V381,IF(P381="Cancelled",0,MAX(MinimumCharge,ROUND(AI381*IFERROR(INDEX(FreqFactors,MATCH(O381,FreqNames,0)),1),2)))))</f>
        <v>0</v>
      </c>
      <c r="AK381" s="34">
        <f>IF(G381="","",IF(SUMIFS(Timesheets!$U$5:$U$804,Timesheets!$G$5:$G$804,A381)&gt;0,SUMIFS(Timesheets!$U$5:$U$804,Timesheets!$G$5:$G$804,A381),IF(Z381="","",Z381)))</f>
        <v>0</v>
      </c>
      <c r="AL381" s="34">
        <f>IF(OR(AK381="",AD381=""),"",AK381-AD381)</f>
        <v>0</v>
      </c>
      <c r="AM381" s="31">
        <f>IF(A381="","",COUNTIFS('Job Tasks'!$B$5:$B$904,A381))</f>
        <v>0</v>
      </c>
      <c r="AN381" s="31">
        <f>IF(A381="","",COUNTIFS('Job Tasks'!$B$5:$B$904,A381,'Job Tasks'!$H$5:$H$904,"Done"))</f>
        <v>0</v>
      </c>
      <c r="AO381" s="38">
        <f>IF(OR(A381="",AM381=0),"",AN381/AM381)</f>
        <v>0</v>
      </c>
      <c r="AP381" s="43">
        <f>IF(A381="","",IFERROR(INDEX('Invoice Lines'!$B$5:$B$804,MATCH(A381,'Invoice Lines'!$C$5:$C$804,0)),""))</f>
        <v>0</v>
      </c>
      <c r="AQ381" s="18">
        <f>IF(OR(G381="",B381="",X381&lt;&gt;"Yes"),"",IF(IFERROR(INDEX(FreqDays,MATCH(O381,FreqNames,0)),0)=0,"",B381+IFERROR(INDEX(FreqDays,MATCH(O381,FreqNames,0)),0)))</f>
        <v>0</v>
      </c>
      <c r="AR381" s="39">
        <f>IF(G381="","",IF(R381="","Unassigned",IF(COUNTIFS($R$5:$R$604,R381,$B$5:$B$604,B381,$F$5:$F$604,F381)&gt;1,"Clash",IF(SUMIFS($AF$5:$AF$604,$R$5:$R$604,R381,$B$5:$B$604,B381)&gt;ProductiveHours,"Long day","OK"))))</f>
        <v>0</v>
      </c>
      <c r="AS381" s="18">
        <f>IF(OR(G381="",B381=""),"",IF(AND(B381&gt;=TodayDate,P381&lt;&gt;"Cancelled"),B381,""))</f>
        <v>0</v>
      </c>
      <c r="AT381" s="31">
        <f>IF(AS381="","",COUNTIFS($AS$5:$AS$604,"&lt;"&amp;AS381)+COUNTIFS($AS$5:AS381,AS381))</f>
        <v>0</v>
      </c>
      <c r="AU381" s="18">
        <f>IF(OR(G381="",B381="",R381&lt;&gt;""),"",IF(AND(B381&gt;=TodayDate,P381&lt;&gt;"Cancelled"),B381,""))</f>
        <v>0</v>
      </c>
      <c r="AV381" s="31">
        <f>IF(AU381="","",COUNTIFS($AU$5:$AU$604,"&lt;"&amp;AU381)+COUNTIFS($AU$5:AU381,AU381))</f>
        <v>0</v>
      </c>
      <c r="AW381" s="31">
        <f>IF(OR(G381="",B381=""),"",B381-TodayDate)</f>
        <v>0</v>
      </c>
      <c r="AX381" s="39">
        <f>IF(G381="","",IF(P381="Cancelled","Cancelled",IF(P381="No access","Action - no access, rebook",IF(AND(B381&lt;&gt;"",AW381&lt;0,OR(P381="Booked",P381="Confirmed",P381="In progress")),"Late - mark it completed",IF(AND(P381="Completed",AP381=""),"Action - not invoiced yet",IF(AND(AW381&gt;=0,AW381&lt;=ReminderDays,Y381&lt;&gt;"Yes"),"Confirm - visit coming up",IF(R381="","Assign - no cleaner booked",IF(AND(P381="Completed",AO381&lt;&gt;"",AO381&lt;1),"Check - checklist unfinished","OK"))))))))</f>
        <v>0</v>
      </c>
    </row>
    <row r="382" spans="1:50">
      <c r="A382" s="43">
        <f>IF(G382="","",JobPrefix&amp;TEXT(ROW()-4,"0000"))</f>
        <v>0</v>
      </c>
      <c r="C382" s="23">
        <f>IF(B382="","",TEXT(B382,"ddd"))</f>
        <v>0</v>
      </c>
      <c r="D382" s="31">
        <f>IF(B382="","",WEEKNUM(B382,IF(WeekStart="Sunday",1,2)))</f>
        <v>0</v>
      </c>
      <c r="E382" s="23">
        <f>IF(B382="","",TEXT(B382,"yyyy-mm"))</f>
        <v>0</v>
      </c>
      <c r="H382" s="23">
        <f>IF(G382="","",IFERROR(INDEX(Clients!$B$5:$B$204,MATCH(G382,Clients!$A$5:$A$204,0)),"Not found"))</f>
        <v>0</v>
      </c>
      <c r="I382" s="23">
        <f>IF(G382="","",IFERROR(INDEX(Clients!$C$5:$C$204,MATCH(G382,Clients!$A$5:$A$204,0)),""))</f>
        <v>0</v>
      </c>
      <c r="K382" s="23">
        <f>IF(J382="","",IFERROR(INDEX(Properties!$B$5:$B$254,MATCH(J382,Properties!$A$5:$A$254,0)),""))</f>
        <v>0</v>
      </c>
      <c r="L382" s="23">
        <f>IF(J382="","",IFERROR(INDEX(Properties!$F$5:$F$254,MATCH(J382,Properties!$A$5:$A$254,0)),""))</f>
        <v>0</v>
      </c>
      <c r="AD382" s="34">
        <f>IF(G382="","",IF(U382&lt;&gt;"",U382,IF(AND(IFERROR(INDEX(Services!$D$5:$D$64,MATCH(M382,Services!$B$5:$B$64,0)),"")="Per hour",IFERROR(INDEX(Properties!$X$5:$X$254,MATCH(J382,Properties!$A$5:$A$254,0)),0)&gt;0),IFERROR(INDEX(Properties!$X$5:$X$254,MATCH(J382,Properties!$A$5:$A$254,0)),0),IF(IFERROR(INDEX(Services!$G$5:$G$64,MATCH(M382,Services!$B$5:$B$64,0)),0)&gt;0,IFERROR(INDEX(Services!$G$5:$G$64,MATCH(M382,Services!$B$5:$B$64,0)),0),IFERROR(INDEX(Properties!$X$5:$X$254,MATCH(J382,Properties!$A$5:$A$254,0)),0)))))</f>
        <v>0</v>
      </c>
      <c r="AE382" s="31">
        <f>IF(G382="","",IF(T382="",CleanersPerJob,MAX(1,T382)))</f>
        <v>0</v>
      </c>
      <c r="AF382" s="34">
        <f>IF(G382="","",ROUND(AD382/AE382,2))</f>
        <v>0</v>
      </c>
      <c r="AG382" s="53">
        <f>IF(OR(G382="",F382="",AF382=""),"",F382+AF382/24)</f>
        <v>0</v>
      </c>
      <c r="AH382" s="21">
        <f>IF(G382="","",IF(IFERROR(INDEX(Clients!$O$5:$O$204,MATCH(G382,Clients!$A$5:$A$204,0)),0)&gt;0,IFERROR(INDEX(Clients!$O$5:$O$204,MATCH(G382,Clients!$A$5:$A$204,0)),0),HourlyRate))</f>
        <v>0</v>
      </c>
      <c r="AI382" s="21">
        <f>IF(G382="","",IF(AND(M382&lt;&gt;"",IFERROR(INDEX(Services!$P$5:$P$64,MATCH(M382,Services!$B$5:$B$64,0)),0)&gt;0,IFERROR(INDEX(Services!$D$5:$D$64,MATCH(M382,Services!$B$5:$B$64,0)),"")&lt;&gt;"Per hour"),IFERROR(INDEX(Services!$P$5:$P$64,MATCH(M382,Services!$B$5:$B$64,0)),0),AD382*AH382))</f>
        <v>0</v>
      </c>
      <c r="AJ382" s="21">
        <f>IF(G382="","",IF(V382&lt;&gt;"",V382,IF(P382="Cancelled",0,MAX(MinimumCharge,ROUND(AI382*IFERROR(INDEX(FreqFactors,MATCH(O382,FreqNames,0)),1),2)))))</f>
        <v>0</v>
      </c>
      <c r="AK382" s="34">
        <f>IF(G382="","",IF(SUMIFS(Timesheets!$U$5:$U$804,Timesheets!$G$5:$G$804,A382)&gt;0,SUMIFS(Timesheets!$U$5:$U$804,Timesheets!$G$5:$G$804,A382),IF(Z382="","",Z382)))</f>
        <v>0</v>
      </c>
      <c r="AL382" s="34">
        <f>IF(OR(AK382="",AD382=""),"",AK382-AD382)</f>
        <v>0</v>
      </c>
      <c r="AM382" s="31">
        <f>IF(A382="","",COUNTIFS('Job Tasks'!$B$5:$B$904,A382))</f>
        <v>0</v>
      </c>
      <c r="AN382" s="31">
        <f>IF(A382="","",COUNTIFS('Job Tasks'!$B$5:$B$904,A382,'Job Tasks'!$H$5:$H$904,"Done"))</f>
        <v>0</v>
      </c>
      <c r="AO382" s="38">
        <f>IF(OR(A382="",AM382=0),"",AN382/AM382)</f>
        <v>0</v>
      </c>
      <c r="AP382" s="43">
        <f>IF(A382="","",IFERROR(INDEX('Invoice Lines'!$B$5:$B$804,MATCH(A382,'Invoice Lines'!$C$5:$C$804,0)),""))</f>
        <v>0</v>
      </c>
      <c r="AQ382" s="18">
        <f>IF(OR(G382="",B382="",X382&lt;&gt;"Yes"),"",IF(IFERROR(INDEX(FreqDays,MATCH(O382,FreqNames,0)),0)=0,"",B382+IFERROR(INDEX(FreqDays,MATCH(O382,FreqNames,0)),0)))</f>
        <v>0</v>
      </c>
      <c r="AR382" s="39">
        <f>IF(G382="","",IF(R382="","Unassigned",IF(COUNTIFS($R$5:$R$604,R382,$B$5:$B$604,B382,$F$5:$F$604,F382)&gt;1,"Clash",IF(SUMIFS($AF$5:$AF$604,$R$5:$R$604,R382,$B$5:$B$604,B382)&gt;ProductiveHours,"Long day","OK"))))</f>
        <v>0</v>
      </c>
      <c r="AS382" s="18">
        <f>IF(OR(G382="",B382=""),"",IF(AND(B382&gt;=TodayDate,P382&lt;&gt;"Cancelled"),B382,""))</f>
        <v>0</v>
      </c>
      <c r="AT382" s="31">
        <f>IF(AS382="","",COUNTIFS($AS$5:$AS$604,"&lt;"&amp;AS382)+COUNTIFS($AS$5:AS382,AS382))</f>
        <v>0</v>
      </c>
      <c r="AU382" s="18">
        <f>IF(OR(G382="",B382="",R382&lt;&gt;""),"",IF(AND(B382&gt;=TodayDate,P382&lt;&gt;"Cancelled"),B382,""))</f>
        <v>0</v>
      </c>
      <c r="AV382" s="31">
        <f>IF(AU382="","",COUNTIFS($AU$5:$AU$604,"&lt;"&amp;AU382)+COUNTIFS($AU$5:AU382,AU382))</f>
        <v>0</v>
      </c>
      <c r="AW382" s="31">
        <f>IF(OR(G382="",B382=""),"",B382-TodayDate)</f>
        <v>0</v>
      </c>
      <c r="AX382" s="39">
        <f>IF(G382="","",IF(P382="Cancelled","Cancelled",IF(P382="No access","Action - no access, rebook",IF(AND(B382&lt;&gt;"",AW382&lt;0,OR(P382="Booked",P382="Confirmed",P382="In progress")),"Late - mark it completed",IF(AND(P382="Completed",AP382=""),"Action - not invoiced yet",IF(AND(AW382&gt;=0,AW382&lt;=ReminderDays,Y382&lt;&gt;"Yes"),"Confirm - visit coming up",IF(R382="","Assign - no cleaner booked",IF(AND(P382="Completed",AO382&lt;&gt;"",AO382&lt;1),"Check - checklist unfinished","OK"))))))))</f>
        <v>0</v>
      </c>
    </row>
    <row r="383" spans="1:50">
      <c r="A383" s="43">
        <f>IF(G383="","",JobPrefix&amp;TEXT(ROW()-4,"0000"))</f>
        <v>0</v>
      </c>
      <c r="C383" s="23">
        <f>IF(B383="","",TEXT(B383,"ddd"))</f>
        <v>0</v>
      </c>
      <c r="D383" s="31">
        <f>IF(B383="","",WEEKNUM(B383,IF(WeekStart="Sunday",1,2)))</f>
        <v>0</v>
      </c>
      <c r="E383" s="23">
        <f>IF(B383="","",TEXT(B383,"yyyy-mm"))</f>
        <v>0</v>
      </c>
      <c r="H383" s="23">
        <f>IF(G383="","",IFERROR(INDEX(Clients!$B$5:$B$204,MATCH(G383,Clients!$A$5:$A$204,0)),"Not found"))</f>
        <v>0</v>
      </c>
      <c r="I383" s="23">
        <f>IF(G383="","",IFERROR(INDEX(Clients!$C$5:$C$204,MATCH(G383,Clients!$A$5:$A$204,0)),""))</f>
        <v>0</v>
      </c>
      <c r="K383" s="23">
        <f>IF(J383="","",IFERROR(INDEX(Properties!$B$5:$B$254,MATCH(J383,Properties!$A$5:$A$254,0)),""))</f>
        <v>0</v>
      </c>
      <c r="L383" s="23">
        <f>IF(J383="","",IFERROR(INDEX(Properties!$F$5:$F$254,MATCH(J383,Properties!$A$5:$A$254,0)),""))</f>
        <v>0</v>
      </c>
      <c r="AD383" s="34">
        <f>IF(G383="","",IF(U383&lt;&gt;"",U383,IF(AND(IFERROR(INDEX(Services!$D$5:$D$64,MATCH(M383,Services!$B$5:$B$64,0)),"")="Per hour",IFERROR(INDEX(Properties!$X$5:$X$254,MATCH(J383,Properties!$A$5:$A$254,0)),0)&gt;0),IFERROR(INDEX(Properties!$X$5:$X$254,MATCH(J383,Properties!$A$5:$A$254,0)),0),IF(IFERROR(INDEX(Services!$G$5:$G$64,MATCH(M383,Services!$B$5:$B$64,0)),0)&gt;0,IFERROR(INDEX(Services!$G$5:$G$64,MATCH(M383,Services!$B$5:$B$64,0)),0),IFERROR(INDEX(Properties!$X$5:$X$254,MATCH(J383,Properties!$A$5:$A$254,0)),0)))))</f>
        <v>0</v>
      </c>
      <c r="AE383" s="31">
        <f>IF(G383="","",IF(T383="",CleanersPerJob,MAX(1,T383)))</f>
        <v>0</v>
      </c>
      <c r="AF383" s="34">
        <f>IF(G383="","",ROUND(AD383/AE383,2))</f>
        <v>0</v>
      </c>
      <c r="AG383" s="53">
        <f>IF(OR(G383="",F383="",AF383=""),"",F383+AF383/24)</f>
        <v>0</v>
      </c>
      <c r="AH383" s="21">
        <f>IF(G383="","",IF(IFERROR(INDEX(Clients!$O$5:$O$204,MATCH(G383,Clients!$A$5:$A$204,0)),0)&gt;0,IFERROR(INDEX(Clients!$O$5:$O$204,MATCH(G383,Clients!$A$5:$A$204,0)),0),HourlyRate))</f>
        <v>0</v>
      </c>
      <c r="AI383" s="21">
        <f>IF(G383="","",IF(AND(M383&lt;&gt;"",IFERROR(INDEX(Services!$P$5:$P$64,MATCH(M383,Services!$B$5:$B$64,0)),0)&gt;0,IFERROR(INDEX(Services!$D$5:$D$64,MATCH(M383,Services!$B$5:$B$64,0)),"")&lt;&gt;"Per hour"),IFERROR(INDEX(Services!$P$5:$P$64,MATCH(M383,Services!$B$5:$B$64,0)),0),AD383*AH383))</f>
        <v>0</v>
      </c>
      <c r="AJ383" s="21">
        <f>IF(G383="","",IF(V383&lt;&gt;"",V383,IF(P383="Cancelled",0,MAX(MinimumCharge,ROUND(AI383*IFERROR(INDEX(FreqFactors,MATCH(O383,FreqNames,0)),1),2)))))</f>
        <v>0</v>
      </c>
      <c r="AK383" s="34">
        <f>IF(G383="","",IF(SUMIFS(Timesheets!$U$5:$U$804,Timesheets!$G$5:$G$804,A383)&gt;0,SUMIFS(Timesheets!$U$5:$U$804,Timesheets!$G$5:$G$804,A383),IF(Z383="","",Z383)))</f>
        <v>0</v>
      </c>
      <c r="AL383" s="34">
        <f>IF(OR(AK383="",AD383=""),"",AK383-AD383)</f>
        <v>0</v>
      </c>
      <c r="AM383" s="31">
        <f>IF(A383="","",COUNTIFS('Job Tasks'!$B$5:$B$904,A383))</f>
        <v>0</v>
      </c>
      <c r="AN383" s="31">
        <f>IF(A383="","",COUNTIFS('Job Tasks'!$B$5:$B$904,A383,'Job Tasks'!$H$5:$H$904,"Done"))</f>
        <v>0</v>
      </c>
      <c r="AO383" s="38">
        <f>IF(OR(A383="",AM383=0),"",AN383/AM383)</f>
        <v>0</v>
      </c>
      <c r="AP383" s="43">
        <f>IF(A383="","",IFERROR(INDEX('Invoice Lines'!$B$5:$B$804,MATCH(A383,'Invoice Lines'!$C$5:$C$804,0)),""))</f>
        <v>0</v>
      </c>
      <c r="AQ383" s="18">
        <f>IF(OR(G383="",B383="",X383&lt;&gt;"Yes"),"",IF(IFERROR(INDEX(FreqDays,MATCH(O383,FreqNames,0)),0)=0,"",B383+IFERROR(INDEX(FreqDays,MATCH(O383,FreqNames,0)),0)))</f>
        <v>0</v>
      </c>
      <c r="AR383" s="39">
        <f>IF(G383="","",IF(R383="","Unassigned",IF(COUNTIFS($R$5:$R$604,R383,$B$5:$B$604,B383,$F$5:$F$604,F383)&gt;1,"Clash",IF(SUMIFS($AF$5:$AF$604,$R$5:$R$604,R383,$B$5:$B$604,B383)&gt;ProductiveHours,"Long day","OK"))))</f>
        <v>0</v>
      </c>
      <c r="AS383" s="18">
        <f>IF(OR(G383="",B383=""),"",IF(AND(B383&gt;=TodayDate,P383&lt;&gt;"Cancelled"),B383,""))</f>
        <v>0</v>
      </c>
      <c r="AT383" s="31">
        <f>IF(AS383="","",COUNTIFS($AS$5:$AS$604,"&lt;"&amp;AS383)+COUNTIFS($AS$5:AS383,AS383))</f>
        <v>0</v>
      </c>
      <c r="AU383" s="18">
        <f>IF(OR(G383="",B383="",R383&lt;&gt;""),"",IF(AND(B383&gt;=TodayDate,P383&lt;&gt;"Cancelled"),B383,""))</f>
        <v>0</v>
      </c>
      <c r="AV383" s="31">
        <f>IF(AU383="","",COUNTIFS($AU$5:$AU$604,"&lt;"&amp;AU383)+COUNTIFS($AU$5:AU383,AU383))</f>
        <v>0</v>
      </c>
      <c r="AW383" s="31">
        <f>IF(OR(G383="",B383=""),"",B383-TodayDate)</f>
        <v>0</v>
      </c>
      <c r="AX383" s="39">
        <f>IF(G383="","",IF(P383="Cancelled","Cancelled",IF(P383="No access","Action - no access, rebook",IF(AND(B383&lt;&gt;"",AW383&lt;0,OR(P383="Booked",P383="Confirmed",P383="In progress")),"Late - mark it completed",IF(AND(P383="Completed",AP383=""),"Action - not invoiced yet",IF(AND(AW383&gt;=0,AW383&lt;=ReminderDays,Y383&lt;&gt;"Yes"),"Confirm - visit coming up",IF(R383="","Assign - no cleaner booked",IF(AND(P383="Completed",AO383&lt;&gt;"",AO383&lt;1),"Check - checklist unfinished","OK"))))))))</f>
        <v>0</v>
      </c>
    </row>
    <row r="384" spans="1:50">
      <c r="A384" s="43">
        <f>IF(G384="","",JobPrefix&amp;TEXT(ROW()-4,"0000"))</f>
        <v>0</v>
      </c>
      <c r="C384" s="23">
        <f>IF(B384="","",TEXT(B384,"ddd"))</f>
        <v>0</v>
      </c>
      <c r="D384" s="31">
        <f>IF(B384="","",WEEKNUM(B384,IF(WeekStart="Sunday",1,2)))</f>
        <v>0</v>
      </c>
      <c r="E384" s="23">
        <f>IF(B384="","",TEXT(B384,"yyyy-mm"))</f>
        <v>0</v>
      </c>
      <c r="H384" s="23">
        <f>IF(G384="","",IFERROR(INDEX(Clients!$B$5:$B$204,MATCH(G384,Clients!$A$5:$A$204,0)),"Not found"))</f>
        <v>0</v>
      </c>
      <c r="I384" s="23">
        <f>IF(G384="","",IFERROR(INDEX(Clients!$C$5:$C$204,MATCH(G384,Clients!$A$5:$A$204,0)),""))</f>
        <v>0</v>
      </c>
      <c r="K384" s="23">
        <f>IF(J384="","",IFERROR(INDEX(Properties!$B$5:$B$254,MATCH(J384,Properties!$A$5:$A$254,0)),""))</f>
        <v>0</v>
      </c>
      <c r="L384" s="23">
        <f>IF(J384="","",IFERROR(INDEX(Properties!$F$5:$F$254,MATCH(J384,Properties!$A$5:$A$254,0)),""))</f>
        <v>0</v>
      </c>
      <c r="AD384" s="34">
        <f>IF(G384="","",IF(U384&lt;&gt;"",U384,IF(AND(IFERROR(INDEX(Services!$D$5:$D$64,MATCH(M384,Services!$B$5:$B$64,0)),"")="Per hour",IFERROR(INDEX(Properties!$X$5:$X$254,MATCH(J384,Properties!$A$5:$A$254,0)),0)&gt;0),IFERROR(INDEX(Properties!$X$5:$X$254,MATCH(J384,Properties!$A$5:$A$254,0)),0),IF(IFERROR(INDEX(Services!$G$5:$G$64,MATCH(M384,Services!$B$5:$B$64,0)),0)&gt;0,IFERROR(INDEX(Services!$G$5:$G$64,MATCH(M384,Services!$B$5:$B$64,0)),0),IFERROR(INDEX(Properties!$X$5:$X$254,MATCH(J384,Properties!$A$5:$A$254,0)),0)))))</f>
        <v>0</v>
      </c>
      <c r="AE384" s="31">
        <f>IF(G384="","",IF(T384="",CleanersPerJob,MAX(1,T384)))</f>
        <v>0</v>
      </c>
      <c r="AF384" s="34">
        <f>IF(G384="","",ROUND(AD384/AE384,2))</f>
        <v>0</v>
      </c>
      <c r="AG384" s="53">
        <f>IF(OR(G384="",F384="",AF384=""),"",F384+AF384/24)</f>
        <v>0</v>
      </c>
      <c r="AH384" s="21">
        <f>IF(G384="","",IF(IFERROR(INDEX(Clients!$O$5:$O$204,MATCH(G384,Clients!$A$5:$A$204,0)),0)&gt;0,IFERROR(INDEX(Clients!$O$5:$O$204,MATCH(G384,Clients!$A$5:$A$204,0)),0),HourlyRate))</f>
        <v>0</v>
      </c>
      <c r="AI384" s="21">
        <f>IF(G384="","",IF(AND(M384&lt;&gt;"",IFERROR(INDEX(Services!$P$5:$P$64,MATCH(M384,Services!$B$5:$B$64,0)),0)&gt;0,IFERROR(INDEX(Services!$D$5:$D$64,MATCH(M384,Services!$B$5:$B$64,0)),"")&lt;&gt;"Per hour"),IFERROR(INDEX(Services!$P$5:$P$64,MATCH(M384,Services!$B$5:$B$64,0)),0),AD384*AH384))</f>
        <v>0</v>
      </c>
      <c r="AJ384" s="21">
        <f>IF(G384="","",IF(V384&lt;&gt;"",V384,IF(P384="Cancelled",0,MAX(MinimumCharge,ROUND(AI384*IFERROR(INDEX(FreqFactors,MATCH(O384,FreqNames,0)),1),2)))))</f>
        <v>0</v>
      </c>
      <c r="AK384" s="34">
        <f>IF(G384="","",IF(SUMIFS(Timesheets!$U$5:$U$804,Timesheets!$G$5:$G$804,A384)&gt;0,SUMIFS(Timesheets!$U$5:$U$804,Timesheets!$G$5:$G$804,A384),IF(Z384="","",Z384)))</f>
        <v>0</v>
      </c>
      <c r="AL384" s="34">
        <f>IF(OR(AK384="",AD384=""),"",AK384-AD384)</f>
        <v>0</v>
      </c>
      <c r="AM384" s="31">
        <f>IF(A384="","",COUNTIFS('Job Tasks'!$B$5:$B$904,A384))</f>
        <v>0</v>
      </c>
      <c r="AN384" s="31">
        <f>IF(A384="","",COUNTIFS('Job Tasks'!$B$5:$B$904,A384,'Job Tasks'!$H$5:$H$904,"Done"))</f>
        <v>0</v>
      </c>
      <c r="AO384" s="38">
        <f>IF(OR(A384="",AM384=0),"",AN384/AM384)</f>
        <v>0</v>
      </c>
      <c r="AP384" s="43">
        <f>IF(A384="","",IFERROR(INDEX('Invoice Lines'!$B$5:$B$804,MATCH(A384,'Invoice Lines'!$C$5:$C$804,0)),""))</f>
        <v>0</v>
      </c>
      <c r="AQ384" s="18">
        <f>IF(OR(G384="",B384="",X384&lt;&gt;"Yes"),"",IF(IFERROR(INDEX(FreqDays,MATCH(O384,FreqNames,0)),0)=0,"",B384+IFERROR(INDEX(FreqDays,MATCH(O384,FreqNames,0)),0)))</f>
        <v>0</v>
      </c>
      <c r="AR384" s="39">
        <f>IF(G384="","",IF(R384="","Unassigned",IF(COUNTIFS($R$5:$R$604,R384,$B$5:$B$604,B384,$F$5:$F$604,F384)&gt;1,"Clash",IF(SUMIFS($AF$5:$AF$604,$R$5:$R$604,R384,$B$5:$B$604,B384)&gt;ProductiveHours,"Long day","OK"))))</f>
        <v>0</v>
      </c>
      <c r="AS384" s="18">
        <f>IF(OR(G384="",B384=""),"",IF(AND(B384&gt;=TodayDate,P384&lt;&gt;"Cancelled"),B384,""))</f>
        <v>0</v>
      </c>
      <c r="AT384" s="31">
        <f>IF(AS384="","",COUNTIFS($AS$5:$AS$604,"&lt;"&amp;AS384)+COUNTIFS($AS$5:AS384,AS384))</f>
        <v>0</v>
      </c>
      <c r="AU384" s="18">
        <f>IF(OR(G384="",B384="",R384&lt;&gt;""),"",IF(AND(B384&gt;=TodayDate,P384&lt;&gt;"Cancelled"),B384,""))</f>
        <v>0</v>
      </c>
      <c r="AV384" s="31">
        <f>IF(AU384="","",COUNTIFS($AU$5:$AU$604,"&lt;"&amp;AU384)+COUNTIFS($AU$5:AU384,AU384))</f>
        <v>0</v>
      </c>
      <c r="AW384" s="31">
        <f>IF(OR(G384="",B384=""),"",B384-TodayDate)</f>
        <v>0</v>
      </c>
      <c r="AX384" s="39">
        <f>IF(G384="","",IF(P384="Cancelled","Cancelled",IF(P384="No access","Action - no access, rebook",IF(AND(B384&lt;&gt;"",AW384&lt;0,OR(P384="Booked",P384="Confirmed",P384="In progress")),"Late - mark it completed",IF(AND(P384="Completed",AP384=""),"Action - not invoiced yet",IF(AND(AW384&gt;=0,AW384&lt;=ReminderDays,Y384&lt;&gt;"Yes"),"Confirm - visit coming up",IF(R384="","Assign - no cleaner booked",IF(AND(P384="Completed",AO384&lt;&gt;"",AO384&lt;1),"Check - checklist unfinished","OK"))))))))</f>
        <v>0</v>
      </c>
    </row>
    <row r="385" spans="1:50">
      <c r="A385" s="43">
        <f>IF(G385="","",JobPrefix&amp;TEXT(ROW()-4,"0000"))</f>
        <v>0</v>
      </c>
      <c r="C385" s="23">
        <f>IF(B385="","",TEXT(B385,"ddd"))</f>
        <v>0</v>
      </c>
      <c r="D385" s="31">
        <f>IF(B385="","",WEEKNUM(B385,IF(WeekStart="Sunday",1,2)))</f>
        <v>0</v>
      </c>
      <c r="E385" s="23">
        <f>IF(B385="","",TEXT(B385,"yyyy-mm"))</f>
        <v>0</v>
      </c>
      <c r="H385" s="23">
        <f>IF(G385="","",IFERROR(INDEX(Clients!$B$5:$B$204,MATCH(G385,Clients!$A$5:$A$204,0)),"Not found"))</f>
        <v>0</v>
      </c>
      <c r="I385" s="23">
        <f>IF(G385="","",IFERROR(INDEX(Clients!$C$5:$C$204,MATCH(G385,Clients!$A$5:$A$204,0)),""))</f>
        <v>0</v>
      </c>
      <c r="K385" s="23">
        <f>IF(J385="","",IFERROR(INDEX(Properties!$B$5:$B$254,MATCH(J385,Properties!$A$5:$A$254,0)),""))</f>
        <v>0</v>
      </c>
      <c r="L385" s="23">
        <f>IF(J385="","",IFERROR(INDEX(Properties!$F$5:$F$254,MATCH(J385,Properties!$A$5:$A$254,0)),""))</f>
        <v>0</v>
      </c>
      <c r="AD385" s="34">
        <f>IF(G385="","",IF(U385&lt;&gt;"",U385,IF(AND(IFERROR(INDEX(Services!$D$5:$D$64,MATCH(M385,Services!$B$5:$B$64,0)),"")="Per hour",IFERROR(INDEX(Properties!$X$5:$X$254,MATCH(J385,Properties!$A$5:$A$254,0)),0)&gt;0),IFERROR(INDEX(Properties!$X$5:$X$254,MATCH(J385,Properties!$A$5:$A$254,0)),0),IF(IFERROR(INDEX(Services!$G$5:$G$64,MATCH(M385,Services!$B$5:$B$64,0)),0)&gt;0,IFERROR(INDEX(Services!$G$5:$G$64,MATCH(M385,Services!$B$5:$B$64,0)),0),IFERROR(INDEX(Properties!$X$5:$X$254,MATCH(J385,Properties!$A$5:$A$254,0)),0)))))</f>
        <v>0</v>
      </c>
      <c r="AE385" s="31">
        <f>IF(G385="","",IF(T385="",CleanersPerJob,MAX(1,T385)))</f>
        <v>0</v>
      </c>
      <c r="AF385" s="34">
        <f>IF(G385="","",ROUND(AD385/AE385,2))</f>
        <v>0</v>
      </c>
      <c r="AG385" s="53">
        <f>IF(OR(G385="",F385="",AF385=""),"",F385+AF385/24)</f>
        <v>0</v>
      </c>
      <c r="AH385" s="21">
        <f>IF(G385="","",IF(IFERROR(INDEX(Clients!$O$5:$O$204,MATCH(G385,Clients!$A$5:$A$204,0)),0)&gt;0,IFERROR(INDEX(Clients!$O$5:$O$204,MATCH(G385,Clients!$A$5:$A$204,0)),0),HourlyRate))</f>
        <v>0</v>
      </c>
      <c r="AI385" s="21">
        <f>IF(G385="","",IF(AND(M385&lt;&gt;"",IFERROR(INDEX(Services!$P$5:$P$64,MATCH(M385,Services!$B$5:$B$64,0)),0)&gt;0,IFERROR(INDEX(Services!$D$5:$D$64,MATCH(M385,Services!$B$5:$B$64,0)),"")&lt;&gt;"Per hour"),IFERROR(INDEX(Services!$P$5:$P$64,MATCH(M385,Services!$B$5:$B$64,0)),0),AD385*AH385))</f>
        <v>0</v>
      </c>
      <c r="AJ385" s="21">
        <f>IF(G385="","",IF(V385&lt;&gt;"",V385,IF(P385="Cancelled",0,MAX(MinimumCharge,ROUND(AI385*IFERROR(INDEX(FreqFactors,MATCH(O385,FreqNames,0)),1),2)))))</f>
        <v>0</v>
      </c>
      <c r="AK385" s="34">
        <f>IF(G385="","",IF(SUMIFS(Timesheets!$U$5:$U$804,Timesheets!$G$5:$G$804,A385)&gt;0,SUMIFS(Timesheets!$U$5:$U$804,Timesheets!$G$5:$G$804,A385),IF(Z385="","",Z385)))</f>
        <v>0</v>
      </c>
      <c r="AL385" s="34">
        <f>IF(OR(AK385="",AD385=""),"",AK385-AD385)</f>
        <v>0</v>
      </c>
      <c r="AM385" s="31">
        <f>IF(A385="","",COUNTIFS('Job Tasks'!$B$5:$B$904,A385))</f>
        <v>0</v>
      </c>
      <c r="AN385" s="31">
        <f>IF(A385="","",COUNTIFS('Job Tasks'!$B$5:$B$904,A385,'Job Tasks'!$H$5:$H$904,"Done"))</f>
        <v>0</v>
      </c>
      <c r="AO385" s="38">
        <f>IF(OR(A385="",AM385=0),"",AN385/AM385)</f>
        <v>0</v>
      </c>
      <c r="AP385" s="43">
        <f>IF(A385="","",IFERROR(INDEX('Invoice Lines'!$B$5:$B$804,MATCH(A385,'Invoice Lines'!$C$5:$C$804,0)),""))</f>
        <v>0</v>
      </c>
      <c r="AQ385" s="18">
        <f>IF(OR(G385="",B385="",X385&lt;&gt;"Yes"),"",IF(IFERROR(INDEX(FreqDays,MATCH(O385,FreqNames,0)),0)=0,"",B385+IFERROR(INDEX(FreqDays,MATCH(O385,FreqNames,0)),0)))</f>
        <v>0</v>
      </c>
      <c r="AR385" s="39">
        <f>IF(G385="","",IF(R385="","Unassigned",IF(COUNTIFS($R$5:$R$604,R385,$B$5:$B$604,B385,$F$5:$F$604,F385)&gt;1,"Clash",IF(SUMIFS($AF$5:$AF$604,$R$5:$R$604,R385,$B$5:$B$604,B385)&gt;ProductiveHours,"Long day","OK"))))</f>
        <v>0</v>
      </c>
      <c r="AS385" s="18">
        <f>IF(OR(G385="",B385=""),"",IF(AND(B385&gt;=TodayDate,P385&lt;&gt;"Cancelled"),B385,""))</f>
        <v>0</v>
      </c>
      <c r="AT385" s="31">
        <f>IF(AS385="","",COUNTIFS($AS$5:$AS$604,"&lt;"&amp;AS385)+COUNTIFS($AS$5:AS385,AS385))</f>
        <v>0</v>
      </c>
      <c r="AU385" s="18">
        <f>IF(OR(G385="",B385="",R385&lt;&gt;""),"",IF(AND(B385&gt;=TodayDate,P385&lt;&gt;"Cancelled"),B385,""))</f>
        <v>0</v>
      </c>
      <c r="AV385" s="31">
        <f>IF(AU385="","",COUNTIFS($AU$5:$AU$604,"&lt;"&amp;AU385)+COUNTIFS($AU$5:AU385,AU385))</f>
        <v>0</v>
      </c>
      <c r="AW385" s="31">
        <f>IF(OR(G385="",B385=""),"",B385-TodayDate)</f>
        <v>0</v>
      </c>
      <c r="AX385" s="39">
        <f>IF(G385="","",IF(P385="Cancelled","Cancelled",IF(P385="No access","Action - no access, rebook",IF(AND(B385&lt;&gt;"",AW385&lt;0,OR(P385="Booked",P385="Confirmed",P385="In progress")),"Late - mark it completed",IF(AND(P385="Completed",AP385=""),"Action - not invoiced yet",IF(AND(AW385&gt;=0,AW385&lt;=ReminderDays,Y385&lt;&gt;"Yes"),"Confirm - visit coming up",IF(R385="","Assign - no cleaner booked",IF(AND(P385="Completed",AO385&lt;&gt;"",AO385&lt;1),"Check - checklist unfinished","OK"))))))))</f>
        <v>0</v>
      </c>
    </row>
    <row r="386" spans="1:50">
      <c r="A386" s="43">
        <f>IF(G386="","",JobPrefix&amp;TEXT(ROW()-4,"0000"))</f>
        <v>0</v>
      </c>
      <c r="C386" s="23">
        <f>IF(B386="","",TEXT(B386,"ddd"))</f>
        <v>0</v>
      </c>
      <c r="D386" s="31">
        <f>IF(B386="","",WEEKNUM(B386,IF(WeekStart="Sunday",1,2)))</f>
        <v>0</v>
      </c>
      <c r="E386" s="23">
        <f>IF(B386="","",TEXT(B386,"yyyy-mm"))</f>
        <v>0</v>
      </c>
      <c r="H386" s="23">
        <f>IF(G386="","",IFERROR(INDEX(Clients!$B$5:$B$204,MATCH(G386,Clients!$A$5:$A$204,0)),"Not found"))</f>
        <v>0</v>
      </c>
      <c r="I386" s="23">
        <f>IF(G386="","",IFERROR(INDEX(Clients!$C$5:$C$204,MATCH(G386,Clients!$A$5:$A$204,0)),""))</f>
        <v>0</v>
      </c>
      <c r="K386" s="23">
        <f>IF(J386="","",IFERROR(INDEX(Properties!$B$5:$B$254,MATCH(J386,Properties!$A$5:$A$254,0)),""))</f>
        <v>0</v>
      </c>
      <c r="L386" s="23">
        <f>IF(J386="","",IFERROR(INDEX(Properties!$F$5:$F$254,MATCH(J386,Properties!$A$5:$A$254,0)),""))</f>
        <v>0</v>
      </c>
      <c r="AD386" s="34">
        <f>IF(G386="","",IF(U386&lt;&gt;"",U386,IF(AND(IFERROR(INDEX(Services!$D$5:$D$64,MATCH(M386,Services!$B$5:$B$64,0)),"")="Per hour",IFERROR(INDEX(Properties!$X$5:$X$254,MATCH(J386,Properties!$A$5:$A$254,0)),0)&gt;0),IFERROR(INDEX(Properties!$X$5:$X$254,MATCH(J386,Properties!$A$5:$A$254,0)),0),IF(IFERROR(INDEX(Services!$G$5:$G$64,MATCH(M386,Services!$B$5:$B$64,0)),0)&gt;0,IFERROR(INDEX(Services!$G$5:$G$64,MATCH(M386,Services!$B$5:$B$64,0)),0),IFERROR(INDEX(Properties!$X$5:$X$254,MATCH(J386,Properties!$A$5:$A$254,0)),0)))))</f>
        <v>0</v>
      </c>
      <c r="AE386" s="31">
        <f>IF(G386="","",IF(T386="",CleanersPerJob,MAX(1,T386)))</f>
        <v>0</v>
      </c>
      <c r="AF386" s="34">
        <f>IF(G386="","",ROUND(AD386/AE386,2))</f>
        <v>0</v>
      </c>
      <c r="AG386" s="53">
        <f>IF(OR(G386="",F386="",AF386=""),"",F386+AF386/24)</f>
        <v>0</v>
      </c>
      <c r="AH386" s="21">
        <f>IF(G386="","",IF(IFERROR(INDEX(Clients!$O$5:$O$204,MATCH(G386,Clients!$A$5:$A$204,0)),0)&gt;0,IFERROR(INDEX(Clients!$O$5:$O$204,MATCH(G386,Clients!$A$5:$A$204,0)),0),HourlyRate))</f>
        <v>0</v>
      </c>
      <c r="AI386" s="21">
        <f>IF(G386="","",IF(AND(M386&lt;&gt;"",IFERROR(INDEX(Services!$P$5:$P$64,MATCH(M386,Services!$B$5:$B$64,0)),0)&gt;0,IFERROR(INDEX(Services!$D$5:$D$64,MATCH(M386,Services!$B$5:$B$64,0)),"")&lt;&gt;"Per hour"),IFERROR(INDEX(Services!$P$5:$P$64,MATCH(M386,Services!$B$5:$B$64,0)),0),AD386*AH386))</f>
        <v>0</v>
      </c>
      <c r="AJ386" s="21">
        <f>IF(G386="","",IF(V386&lt;&gt;"",V386,IF(P386="Cancelled",0,MAX(MinimumCharge,ROUND(AI386*IFERROR(INDEX(FreqFactors,MATCH(O386,FreqNames,0)),1),2)))))</f>
        <v>0</v>
      </c>
      <c r="AK386" s="34">
        <f>IF(G386="","",IF(SUMIFS(Timesheets!$U$5:$U$804,Timesheets!$G$5:$G$804,A386)&gt;0,SUMIFS(Timesheets!$U$5:$U$804,Timesheets!$G$5:$G$804,A386),IF(Z386="","",Z386)))</f>
        <v>0</v>
      </c>
      <c r="AL386" s="34">
        <f>IF(OR(AK386="",AD386=""),"",AK386-AD386)</f>
        <v>0</v>
      </c>
      <c r="AM386" s="31">
        <f>IF(A386="","",COUNTIFS('Job Tasks'!$B$5:$B$904,A386))</f>
        <v>0</v>
      </c>
      <c r="AN386" s="31">
        <f>IF(A386="","",COUNTIFS('Job Tasks'!$B$5:$B$904,A386,'Job Tasks'!$H$5:$H$904,"Done"))</f>
        <v>0</v>
      </c>
      <c r="AO386" s="38">
        <f>IF(OR(A386="",AM386=0),"",AN386/AM386)</f>
        <v>0</v>
      </c>
      <c r="AP386" s="43">
        <f>IF(A386="","",IFERROR(INDEX('Invoice Lines'!$B$5:$B$804,MATCH(A386,'Invoice Lines'!$C$5:$C$804,0)),""))</f>
        <v>0</v>
      </c>
      <c r="AQ386" s="18">
        <f>IF(OR(G386="",B386="",X386&lt;&gt;"Yes"),"",IF(IFERROR(INDEX(FreqDays,MATCH(O386,FreqNames,0)),0)=0,"",B386+IFERROR(INDEX(FreqDays,MATCH(O386,FreqNames,0)),0)))</f>
        <v>0</v>
      </c>
      <c r="AR386" s="39">
        <f>IF(G386="","",IF(R386="","Unassigned",IF(COUNTIFS($R$5:$R$604,R386,$B$5:$B$604,B386,$F$5:$F$604,F386)&gt;1,"Clash",IF(SUMIFS($AF$5:$AF$604,$R$5:$R$604,R386,$B$5:$B$604,B386)&gt;ProductiveHours,"Long day","OK"))))</f>
        <v>0</v>
      </c>
      <c r="AS386" s="18">
        <f>IF(OR(G386="",B386=""),"",IF(AND(B386&gt;=TodayDate,P386&lt;&gt;"Cancelled"),B386,""))</f>
        <v>0</v>
      </c>
      <c r="AT386" s="31">
        <f>IF(AS386="","",COUNTIFS($AS$5:$AS$604,"&lt;"&amp;AS386)+COUNTIFS($AS$5:AS386,AS386))</f>
        <v>0</v>
      </c>
      <c r="AU386" s="18">
        <f>IF(OR(G386="",B386="",R386&lt;&gt;""),"",IF(AND(B386&gt;=TodayDate,P386&lt;&gt;"Cancelled"),B386,""))</f>
        <v>0</v>
      </c>
      <c r="AV386" s="31">
        <f>IF(AU386="","",COUNTIFS($AU$5:$AU$604,"&lt;"&amp;AU386)+COUNTIFS($AU$5:AU386,AU386))</f>
        <v>0</v>
      </c>
      <c r="AW386" s="31">
        <f>IF(OR(G386="",B386=""),"",B386-TodayDate)</f>
        <v>0</v>
      </c>
      <c r="AX386" s="39">
        <f>IF(G386="","",IF(P386="Cancelled","Cancelled",IF(P386="No access","Action - no access, rebook",IF(AND(B386&lt;&gt;"",AW386&lt;0,OR(P386="Booked",P386="Confirmed",P386="In progress")),"Late - mark it completed",IF(AND(P386="Completed",AP386=""),"Action - not invoiced yet",IF(AND(AW386&gt;=0,AW386&lt;=ReminderDays,Y386&lt;&gt;"Yes"),"Confirm - visit coming up",IF(R386="","Assign - no cleaner booked",IF(AND(P386="Completed",AO386&lt;&gt;"",AO386&lt;1),"Check - checklist unfinished","OK"))))))))</f>
        <v>0</v>
      </c>
    </row>
    <row r="387" spans="1:50">
      <c r="A387" s="43">
        <f>IF(G387="","",JobPrefix&amp;TEXT(ROW()-4,"0000"))</f>
        <v>0</v>
      </c>
      <c r="C387" s="23">
        <f>IF(B387="","",TEXT(B387,"ddd"))</f>
        <v>0</v>
      </c>
      <c r="D387" s="31">
        <f>IF(B387="","",WEEKNUM(B387,IF(WeekStart="Sunday",1,2)))</f>
        <v>0</v>
      </c>
      <c r="E387" s="23">
        <f>IF(B387="","",TEXT(B387,"yyyy-mm"))</f>
        <v>0</v>
      </c>
      <c r="H387" s="23">
        <f>IF(G387="","",IFERROR(INDEX(Clients!$B$5:$B$204,MATCH(G387,Clients!$A$5:$A$204,0)),"Not found"))</f>
        <v>0</v>
      </c>
      <c r="I387" s="23">
        <f>IF(G387="","",IFERROR(INDEX(Clients!$C$5:$C$204,MATCH(G387,Clients!$A$5:$A$204,0)),""))</f>
        <v>0</v>
      </c>
      <c r="K387" s="23">
        <f>IF(J387="","",IFERROR(INDEX(Properties!$B$5:$B$254,MATCH(J387,Properties!$A$5:$A$254,0)),""))</f>
        <v>0</v>
      </c>
      <c r="L387" s="23">
        <f>IF(J387="","",IFERROR(INDEX(Properties!$F$5:$F$254,MATCH(J387,Properties!$A$5:$A$254,0)),""))</f>
        <v>0</v>
      </c>
      <c r="AD387" s="34">
        <f>IF(G387="","",IF(U387&lt;&gt;"",U387,IF(AND(IFERROR(INDEX(Services!$D$5:$D$64,MATCH(M387,Services!$B$5:$B$64,0)),"")="Per hour",IFERROR(INDEX(Properties!$X$5:$X$254,MATCH(J387,Properties!$A$5:$A$254,0)),0)&gt;0),IFERROR(INDEX(Properties!$X$5:$X$254,MATCH(J387,Properties!$A$5:$A$254,0)),0),IF(IFERROR(INDEX(Services!$G$5:$G$64,MATCH(M387,Services!$B$5:$B$64,0)),0)&gt;0,IFERROR(INDEX(Services!$G$5:$G$64,MATCH(M387,Services!$B$5:$B$64,0)),0),IFERROR(INDEX(Properties!$X$5:$X$254,MATCH(J387,Properties!$A$5:$A$254,0)),0)))))</f>
        <v>0</v>
      </c>
      <c r="AE387" s="31">
        <f>IF(G387="","",IF(T387="",CleanersPerJob,MAX(1,T387)))</f>
        <v>0</v>
      </c>
      <c r="AF387" s="34">
        <f>IF(G387="","",ROUND(AD387/AE387,2))</f>
        <v>0</v>
      </c>
      <c r="AG387" s="53">
        <f>IF(OR(G387="",F387="",AF387=""),"",F387+AF387/24)</f>
        <v>0</v>
      </c>
      <c r="AH387" s="21">
        <f>IF(G387="","",IF(IFERROR(INDEX(Clients!$O$5:$O$204,MATCH(G387,Clients!$A$5:$A$204,0)),0)&gt;0,IFERROR(INDEX(Clients!$O$5:$O$204,MATCH(G387,Clients!$A$5:$A$204,0)),0),HourlyRate))</f>
        <v>0</v>
      </c>
      <c r="AI387" s="21">
        <f>IF(G387="","",IF(AND(M387&lt;&gt;"",IFERROR(INDEX(Services!$P$5:$P$64,MATCH(M387,Services!$B$5:$B$64,0)),0)&gt;0,IFERROR(INDEX(Services!$D$5:$D$64,MATCH(M387,Services!$B$5:$B$64,0)),"")&lt;&gt;"Per hour"),IFERROR(INDEX(Services!$P$5:$P$64,MATCH(M387,Services!$B$5:$B$64,0)),0),AD387*AH387))</f>
        <v>0</v>
      </c>
      <c r="AJ387" s="21">
        <f>IF(G387="","",IF(V387&lt;&gt;"",V387,IF(P387="Cancelled",0,MAX(MinimumCharge,ROUND(AI387*IFERROR(INDEX(FreqFactors,MATCH(O387,FreqNames,0)),1),2)))))</f>
        <v>0</v>
      </c>
      <c r="AK387" s="34">
        <f>IF(G387="","",IF(SUMIFS(Timesheets!$U$5:$U$804,Timesheets!$G$5:$G$804,A387)&gt;0,SUMIFS(Timesheets!$U$5:$U$804,Timesheets!$G$5:$G$804,A387),IF(Z387="","",Z387)))</f>
        <v>0</v>
      </c>
      <c r="AL387" s="34">
        <f>IF(OR(AK387="",AD387=""),"",AK387-AD387)</f>
        <v>0</v>
      </c>
      <c r="AM387" s="31">
        <f>IF(A387="","",COUNTIFS('Job Tasks'!$B$5:$B$904,A387))</f>
        <v>0</v>
      </c>
      <c r="AN387" s="31">
        <f>IF(A387="","",COUNTIFS('Job Tasks'!$B$5:$B$904,A387,'Job Tasks'!$H$5:$H$904,"Done"))</f>
        <v>0</v>
      </c>
      <c r="AO387" s="38">
        <f>IF(OR(A387="",AM387=0),"",AN387/AM387)</f>
        <v>0</v>
      </c>
      <c r="AP387" s="43">
        <f>IF(A387="","",IFERROR(INDEX('Invoice Lines'!$B$5:$B$804,MATCH(A387,'Invoice Lines'!$C$5:$C$804,0)),""))</f>
        <v>0</v>
      </c>
      <c r="AQ387" s="18">
        <f>IF(OR(G387="",B387="",X387&lt;&gt;"Yes"),"",IF(IFERROR(INDEX(FreqDays,MATCH(O387,FreqNames,0)),0)=0,"",B387+IFERROR(INDEX(FreqDays,MATCH(O387,FreqNames,0)),0)))</f>
        <v>0</v>
      </c>
      <c r="AR387" s="39">
        <f>IF(G387="","",IF(R387="","Unassigned",IF(COUNTIFS($R$5:$R$604,R387,$B$5:$B$604,B387,$F$5:$F$604,F387)&gt;1,"Clash",IF(SUMIFS($AF$5:$AF$604,$R$5:$R$604,R387,$B$5:$B$604,B387)&gt;ProductiveHours,"Long day","OK"))))</f>
        <v>0</v>
      </c>
      <c r="AS387" s="18">
        <f>IF(OR(G387="",B387=""),"",IF(AND(B387&gt;=TodayDate,P387&lt;&gt;"Cancelled"),B387,""))</f>
        <v>0</v>
      </c>
      <c r="AT387" s="31">
        <f>IF(AS387="","",COUNTIFS($AS$5:$AS$604,"&lt;"&amp;AS387)+COUNTIFS($AS$5:AS387,AS387))</f>
        <v>0</v>
      </c>
      <c r="AU387" s="18">
        <f>IF(OR(G387="",B387="",R387&lt;&gt;""),"",IF(AND(B387&gt;=TodayDate,P387&lt;&gt;"Cancelled"),B387,""))</f>
        <v>0</v>
      </c>
      <c r="AV387" s="31">
        <f>IF(AU387="","",COUNTIFS($AU$5:$AU$604,"&lt;"&amp;AU387)+COUNTIFS($AU$5:AU387,AU387))</f>
        <v>0</v>
      </c>
      <c r="AW387" s="31">
        <f>IF(OR(G387="",B387=""),"",B387-TodayDate)</f>
        <v>0</v>
      </c>
      <c r="AX387" s="39">
        <f>IF(G387="","",IF(P387="Cancelled","Cancelled",IF(P387="No access","Action - no access, rebook",IF(AND(B387&lt;&gt;"",AW387&lt;0,OR(P387="Booked",P387="Confirmed",P387="In progress")),"Late - mark it completed",IF(AND(P387="Completed",AP387=""),"Action - not invoiced yet",IF(AND(AW387&gt;=0,AW387&lt;=ReminderDays,Y387&lt;&gt;"Yes"),"Confirm - visit coming up",IF(R387="","Assign - no cleaner booked",IF(AND(P387="Completed",AO387&lt;&gt;"",AO387&lt;1),"Check - checklist unfinished","OK"))))))))</f>
        <v>0</v>
      </c>
    </row>
    <row r="388" spans="1:50">
      <c r="A388" s="43">
        <f>IF(G388="","",JobPrefix&amp;TEXT(ROW()-4,"0000"))</f>
        <v>0</v>
      </c>
      <c r="C388" s="23">
        <f>IF(B388="","",TEXT(B388,"ddd"))</f>
        <v>0</v>
      </c>
      <c r="D388" s="31">
        <f>IF(B388="","",WEEKNUM(B388,IF(WeekStart="Sunday",1,2)))</f>
        <v>0</v>
      </c>
      <c r="E388" s="23">
        <f>IF(B388="","",TEXT(B388,"yyyy-mm"))</f>
        <v>0</v>
      </c>
      <c r="H388" s="23">
        <f>IF(G388="","",IFERROR(INDEX(Clients!$B$5:$B$204,MATCH(G388,Clients!$A$5:$A$204,0)),"Not found"))</f>
        <v>0</v>
      </c>
      <c r="I388" s="23">
        <f>IF(G388="","",IFERROR(INDEX(Clients!$C$5:$C$204,MATCH(G388,Clients!$A$5:$A$204,0)),""))</f>
        <v>0</v>
      </c>
      <c r="K388" s="23">
        <f>IF(J388="","",IFERROR(INDEX(Properties!$B$5:$B$254,MATCH(J388,Properties!$A$5:$A$254,0)),""))</f>
        <v>0</v>
      </c>
      <c r="L388" s="23">
        <f>IF(J388="","",IFERROR(INDEX(Properties!$F$5:$F$254,MATCH(J388,Properties!$A$5:$A$254,0)),""))</f>
        <v>0</v>
      </c>
      <c r="AD388" s="34">
        <f>IF(G388="","",IF(U388&lt;&gt;"",U388,IF(AND(IFERROR(INDEX(Services!$D$5:$D$64,MATCH(M388,Services!$B$5:$B$64,0)),"")="Per hour",IFERROR(INDEX(Properties!$X$5:$X$254,MATCH(J388,Properties!$A$5:$A$254,0)),0)&gt;0),IFERROR(INDEX(Properties!$X$5:$X$254,MATCH(J388,Properties!$A$5:$A$254,0)),0),IF(IFERROR(INDEX(Services!$G$5:$G$64,MATCH(M388,Services!$B$5:$B$64,0)),0)&gt;0,IFERROR(INDEX(Services!$G$5:$G$64,MATCH(M388,Services!$B$5:$B$64,0)),0),IFERROR(INDEX(Properties!$X$5:$X$254,MATCH(J388,Properties!$A$5:$A$254,0)),0)))))</f>
        <v>0</v>
      </c>
      <c r="AE388" s="31">
        <f>IF(G388="","",IF(T388="",CleanersPerJob,MAX(1,T388)))</f>
        <v>0</v>
      </c>
      <c r="AF388" s="34">
        <f>IF(G388="","",ROUND(AD388/AE388,2))</f>
        <v>0</v>
      </c>
      <c r="AG388" s="53">
        <f>IF(OR(G388="",F388="",AF388=""),"",F388+AF388/24)</f>
        <v>0</v>
      </c>
      <c r="AH388" s="21">
        <f>IF(G388="","",IF(IFERROR(INDEX(Clients!$O$5:$O$204,MATCH(G388,Clients!$A$5:$A$204,0)),0)&gt;0,IFERROR(INDEX(Clients!$O$5:$O$204,MATCH(G388,Clients!$A$5:$A$204,0)),0),HourlyRate))</f>
        <v>0</v>
      </c>
      <c r="AI388" s="21">
        <f>IF(G388="","",IF(AND(M388&lt;&gt;"",IFERROR(INDEX(Services!$P$5:$P$64,MATCH(M388,Services!$B$5:$B$64,0)),0)&gt;0,IFERROR(INDEX(Services!$D$5:$D$64,MATCH(M388,Services!$B$5:$B$64,0)),"")&lt;&gt;"Per hour"),IFERROR(INDEX(Services!$P$5:$P$64,MATCH(M388,Services!$B$5:$B$64,0)),0),AD388*AH388))</f>
        <v>0</v>
      </c>
      <c r="AJ388" s="21">
        <f>IF(G388="","",IF(V388&lt;&gt;"",V388,IF(P388="Cancelled",0,MAX(MinimumCharge,ROUND(AI388*IFERROR(INDEX(FreqFactors,MATCH(O388,FreqNames,0)),1),2)))))</f>
        <v>0</v>
      </c>
      <c r="AK388" s="34">
        <f>IF(G388="","",IF(SUMIFS(Timesheets!$U$5:$U$804,Timesheets!$G$5:$G$804,A388)&gt;0,SUMIFS(Timesheets!$U$5:$U$804,Timesheets!$G$5:$G$804,A388),IF(Z388="","",Z388)))</f>
        <v>0</v>
      </c>
      <c r="AL388" s="34">
        <f>IF(OR(AK388="",AD388=""),"",AK388-AD388)</f>
        <v>0</v>
      </c>
      <c r="AM388" s="31">
        <f>IF(A388="","",COUNTIFS('Job Tasks'!$B$5:$B$904,A388))</f>
        <v>0</v>
      </c>
      <c r="AN388" s="31">
        <f>IF(A388="","",COUNTIFS('Job Tasks'!$B$5:$B$904,A388,'Job Tasks'!$H$5:$H$904,"Done"))</f>
        <v>0</v>
      </c>
      <c r="AO388" s="38">
        <f>IF(OR(A388="",AM388=0),"",AN388/AM388)</f>
        <v>0</v>
      </c>
      <c r="AP388" s="43">
        <f>IF(A388="","",IFERROR(INDEX('Invoice Lines'!$B$5:$B$804,MATCH(A388,'Invoice Lines'!$C$5:$C$804,0)),""))</f>
        <v>0</v>
      </c>
      <c r="AQ388" s="18">
        <f>IF(OR(G388="",B388="",X388&lt;&gt;"Yes"),"",IF(IFERROR(INDEX(FreqDays,MATCH(O388,FreqNames,0)),0)=0,"",B388+IFERROR(INDEX(FreqDays,MATCH(O388,FreqNames,0)),0)))</f>
        <v>0</v>
      </c>
      <c r="AR388" s="39">
        <f>IF(G388="","",IF(R388="","Unassigned",IF(COUNTIFS($R$5:$R$604,R388,$B$5:$B$604,B388,$F$5:$F$604,F388)&gt;1,"Clash",IF(SUMIFS($AF$5:$AF$604,$R$5:$R$604,R388,$B$5:$B$604,B388)&gt;ProductiveHours,"Long day","OK"))))</f>
        <v>0</v>
      </c>
      <c r="AS388" s="18">
        <f>IF(OR(G388="",B388=""),"",IF(AND(B388&gt;=TodayDate,P388&lt;&gt;"Cancelled"),B388,""))</f>
        <v>0</v>
      </c>
      <c r="AT388" s="31">
        <f>IF(AS388="","",COUNTIFS($AS$5:$AS$604,"&lt;"&amp;AS388)+COUNTIFS($AS$5:AS388,AS388))</f>
        <v>0</v>
      </c>
      <c r="AU388" s="18">
        <f>IF(OR(G388="",B388="",R388&lt;&gt;""),"",IF(AND(B388&gt;=TodayDate,P388&lt;&gt;"Cancelled"),B388,""))</f>
        <v>0</v>
      </c>
      <c r="AV388" s="31">
        <f>IF(AU388="","",COUNTIFS($AU$5:$AU$604,"&lt;"&amp;AU388)+COUNTIFS($AU$5:AU388,AU388))</f>
        <v>0</v>
      </c>
      <c r="AW388" s="31">
        <f>IF(OR(G388="",B388=""),"",B388-TodayDate)</f>
        <v>0</v>
      </c>
      <c r="AX388" s="39">
        <f>IF(G388="","",IF(P388="Cancelled","Cancelled",IF(P388="No access","Action - no access, rebook",IF(AND(B388&lt;&gt;"",AW388&lt;0,OR(P388="Booked",P388="Confirmed",P388="In progress")),"Late - mark it completed",IF(AND(P388="Completed",AP388=""),"Action - not invoiced yet",IF(AND(AW388&gt;=0,AW388&lt;=ReminderDays,Y388&lt;&gt;"Yes"),"Confirm - visit coming up",IF(R388="","Assign - no cleaner booked",IF(AND(P388="Completed",AO388&lt;&gt;"",AO388&lt;1),"Check - checklist unfinished","OK"))))))))</f>
        <v>0</v>
      </c>
    </row>
    <row r="389" spans="1:50">
      <c r="A389" s="43">
        <f>IF(G389="","",JobPrefix&amp;TEXT(ROW()-4,"0000"))</f>
        <v>0</v>
      </c>
      <c r="C389" s="23">
        <f>IF(B389="","",TEXT(B389,"ddd"))</f>
        <v>0</v>
      </c>
      <c r="D389" s="31">
        <f>IF(B389="","",WEEKNUM(B389,IF(WeekStart="Sunday",1,2)))</f>
        <v>0</v>
      </c>
      <c r="E389" s="23">
        <f>IF(B389="","",TEXT(B389,"yyyy-mm"))</f>
        <v>0</v>
      </c>
      <c r="H389" s="23">
        <f>IF(G389="","",IFERROR(INDEX(Clients!$B$5:$B$204,MATCH(G389,Clients!$A$5:$A$204,0)),"Not found"))</f>
        <v>0</v>
      </c>
      <c r="I389" s="23">
        <f>IF(G389="","",IFERROR(INDEX(Clients!$C$5:$C$204,MATCH(G389,Clients!$A$5:$A$204,0)),""))</f>
        <v>0</v>
      </c>
      <c r="K389" s="23">
        <f>IF(J389="","",IFERROR(INDEX(Properties!$B$5:$B$254,MATCH(J389,Properties!$A$5:$A$254,0)),""))</f>
        <v>0</v>
      </c>
      <c r="L389" s="23">
        <f>IF(J389="","",IFERROR(INDEX(Properties!$F$5:$F$254,MATCH(J389,Properties!$A$5:$A$254,0)),""))</f>
        <v>0</v>
      </c>
      <c r="AD389" s="34">
        <f>IF(G389="","",IF(U389&lt;&gt;"",U389,IF(AND(IFERROR(INDEX(Services!$D$5:$D$64,MATCH(M389,Services!$B$5:$B$64,0)),"")="Per hour",IFERROR(INDEX(Properties!$X$5:$X$254,MATCH(J389,Properties!$A$5:$A$254,0)),0)&gt;0),IFERROR(INDEX(Properties!$X$5:$X$254,MATCH(J389,Properties!$A$5:$A$254,0)),0),IF(IFERROR(INDEX(Services!$G$5:$G$64,MATCH(M389,Services!$B$5:$B$64,0)),0)&gt;0,IFERROR(INDEX(Services!$G$5:$G$64,MATCH(M389,Services!$B$5:$B$64,0)),0),IFERROR(INDEX(Properties!$X$5:$X$254,MATCH(J389,Properties!$A$5:$A$254,0)),0)))))</f>
        <v>0</v>
      </c>
      <c r="AE389" s="31">
        <f>IF(G389="","",IF(T389="",CleanersPerJob,MAX(1,T389)))</f>
        <v>0</v>
      </c>
      <c r="AF389" s="34">
        <f>IF(G389="","",ROUND(AD389/AE389,2))</f>
        <v>0</v>
      </c>
      <c r="AG389" s="53">
        <f>IF(OR(G389="",F389="",AF389=""),"",F389+AF389/24)</f>
        <v>0</v>
      </c>
      <c r="AH389" s="21">
        <f>IF(G389="","",IF(IFERROR(INDEX(Clients!$O$5:$O$204,MATCH(G389,Clients!$A$5:$A$204,0)),0)&gt;0,IFERROR(INDEX(Clients!$O$5:$O$204,MATCH(G389,Clients!$A$5:$A$204,0)),0),HourlyRate))</f>
        <v>0</v>
      </c>
      <c r="AI389" s="21">
        <f>IF(G389="","",IF(AND(M389&lt;&gt;"",IFERROR(INDEX(Services!$P$5:$P$64,MATCH(M389,Services!$B$5:$B$64,0)),0)&gt;0,IFERROR(INDEX(Services!$D$5:$D$64,MATCH(M389,Services!$B$5:$B$64,0)),"")&lt;&gt;"Per hour"),IFERROR(INDEX(Services!$P$5:$P$64,MATCH(M389,Services!$B$5:$B$64,0)),0),AD389*AH389))</f>
        <v>0</v>
      </c>
      <c r="AJ389" s="21">
        <f>IF(G389="","",IF(V389&lt;&gt;"",V389,IF(P389="Cancelled",0,MAX(MinimumCharge,ROUND(AI389*IFERROR(INDEX(FreqFactors,MATCH(O389,FreqNames,0)),1),2)))))</f>
        <v>0</v>
      </c>
      <c r="AK389" s="34">
        <f>IF(G389="","",IF(SUMIFS(Timesheets!$U$5:$U$804,Timesheets!$G$5:$G$804,A389)&gt;0,SUMIFS(Timesheets!$U$5:$U$804,Timesheets!$G$5:$G$804,A389),IF(Z389="","",Z389)))</f>
        <v>0</v>
      </c>
      <c r="AL389" s="34">
        <f>IF(OR(AK389="",AD389=""),"",AK389-AD389)</f>
        <v>0</v>
      </c>
      <c r="AM389" s="31">
        <f>IF(A389="","",COUNTIFS('Job Tasks'!$B$5:$B$904,A389))</f>
        <v>0</v>
      </c>
      <c r="AN389" s="31">
        <f>IF(A389="","",COUNTIFS('Job Tasks'!$B$5:$B$904,A389,'Job Tasks'!$H$5:$H$904,"Done"))</f>
        <v>0</v>
      </c>
      <c r="AO389" s="38">
        <f>IF(OR(A389="",AM389=0),"",AN389/AM389)</f>
        <v>0</v>
      </c>
      <c r="AP389" s="43">
        <f>IF(A389="","",IFERROR(INDEX('Invoice Lines'!$B$5:$B$804,MATCH(A389,'Invoice Lines'!$C$5:$C$804,0)),""))</f>
        <v>0</v>
      </c>
      <c r="AQ389" s="18">
        <f>IF(OR(G389="",B389="",X389&lt;&gt;"Yes"),"",IF(IFERROR(INDEX(FreqDays,MATCH(O389,FreqNames,0)),0)=0,"",B389+IFERROR(INDEX(FreqDays,MATCH(O389,FreqNames,0)),0)))</f>
        <v>0</v>
      </c>
      <c r="AR389" s="39">
        <f>IF(G389="","",IF(R389="","Unassigned",IF(COUNTIFS($R$5:$R$604,R389,$B$5:$B$604,B389,$F$5:$F$604,F389)&gt;1,"Clash",IF(SUMIFS($AF$5:$AF$604,$R$5:$R$604,R389,$B$5:$B$604,B389)&gt;ProductiveHours,"Long day","OK"))))</f>
        <v>0</v>
      </c>
      <c r="AS389" s="18">
        <f>IF(OR(G389="",B389=""),"",IF(AND(B389&gt;=TodayDate,P389&lt;&gt;"Cancelled"),B389,""))</f>
        <v>0</v>
      </c>
      <c r="AT389" s="31">
        <f>IF(AS389="","",COUNTIFS($AS$5:$AS$604,"&lt;"&amp;AS389)+COUNTIFS($AS$5:AS389,AS389))</f>
        <v>0</v>
      </c>
      <c r="AU389" s="18">
        <f>IF(OR(G389="",B389="",R389&lt;&gt;""),"",IF(AND(B389&gt;=TodayDate,P389&lt;&gt;"Cancelled"),B389,""))</f>
        <v>0</v>
      </c>
      <c r="AV389" s="31">
        <f>IF(AU389="","",COUNTIFS($AU$5:$AU$604,"&lt;"&amp;AU389)+COUNTIFS($AU$5:AU389,AU389))</f>
        <v>0</v>
      </c>
      <c r="AW389" s="31">
        <f>IF(OR(G389="",B389=""),"",B389-TodayDate)</f>
        <v>0</v>
      </c>
      <c r="AX389" s="39">
        <f>IF(G389="","",IF(P389="Cancelled","Cancelled",IF(P389="No access","Action - no access, rebook",IF(AND(B389&lt;&gt;"",AW389&lt;0,OR(P389="Booked",P389="Confirmed",P389="In progress")),"Late - mark it completed",IF(AND(P389="Completed",AP389=""),"Action - not invoiced yet",IF(AND(AW389&gt;=0,AW389&lt;=ReminderDays,Y389&lt;&gt;"Yes"),"Confirm - visit coming up",IF(R389="","Assign - no cleaner booked",IF(AND(P389="Completed",AO389&lt;&gt;"",AO389&lt;1),"Check - checklist unfinished","OK"))))))))</f>
        <v>0</v>
      </c>
    </row>
    <row r="390" spans="1:50">
      <c r="A390" s="43">
        <f>IF(G390="","",JobPrefix&amp;TEXT(ROW()-4,"0000"))</f>
        <v>0</v>
      </c>
      <c r="C390" s="23">
        <f>IF(B390="","",TEXT(B390,"ddd"))</f>
        <v>0</v>
      </c>
      <c r="D390" s="31">
        <f>IF(B390="","",WEEKNUM(B390,IF(WeekStart="Sunday",1,2)))</f>
        <v>0</v>
      </c>
      <c r="E390" s="23">
        <f>IF(B390="","",TEXT(B390,"yyyy-mm"))</f>
        <v>0</v>
      </c>
      <c r="H390" s="23">
        <f>IF(G390="","",IFERROR(INDEX(Clients!$B$5:$B$204,MATCH(G390,Clients!$A$5:$A$204,0)),"Not found"))</f>
        <v>0</v>
      </c>
      <c r="I390" s="23">
        <f>IF(G390="","",IFERROR(INDEX(Clients!$C$5:$C$204,MATCH(G390,Clients!$A$5:$A$204,0)),""))</f>
        <v>0</v>
      </c>
      <c r="K390" s="23">
        <f>IF(J390="","",IFERROR(INDEX(Properties!$B$5:$B$254,MATCH(J390,Properties!$A$5:$A$254,0)),""))</f>
        <v>0</v>
      </c>
      <c r="L390" s="23">
        <f>IF(J390="","",IFERROR(INDEX(Properties!$F$5:$F$254,MATCH(J390,Properties!$A$5:$A$254,0)),""))</f>
        <v>0</v>
      </c>
      <c r="AD390" s="34">
        <f>IF(G390="","",IF(U390&lt;&gt;"",U390,IF(AND(IFERROR(INDEX(Services!$D$5:$D$64,MATCH(M390,Services!$B$5:$B$64,0)),"")="Per hour",IFERROR(INDEX(Properties!$X$5:$X$254,MATCH(J390,Properties!$A$5:$A$254,0)),0)&gt;0),IFERROR(INDEX(Properties!$X$5:$X$254,MATCH(J390,Properties!$A$5:$A$254,0)),0),IF(IFERROR(INDEX(Services!$G$5:$G$64,MATCH(M390,Services!$B$5:$B$64,0)),0)&gt;0,IFERROR(INDEX(Services!$G$5:$G$64,MATCH(M390,Services!$B$5:$B$64,0)),0),IFERROR(INDEX(Properties!$X$5:$X$254,MATCH(J390,Properties!$A$5:$A$254,0)),0)))))</f>
        <v>0</v>
      </c>
      <c r="AE390" s="31">
        <f>IF(G390="","",IF(T390="",CleanersPerJob,MAX(1,T390)))</f>
        <v>0</v>
      </c>
      <c r="AF390" s="34">
        <f>IF(G390="","",ROUND(AD390/AE390,2))</f>
        <v>0</v>
      </c>
      <c r="AG390" s="53">
        <f>IF(OR(G390="",F390="",AF390=""),"",F390+AF390/24)</f>
        <v>0</v>
      </c>
      <c r="AH390" s="21">
        <f>IF(G390="","",IF(IFERROR(INDEX(Clients!$O$5:$O$204,MATCH(G390,Clients!$A$5:$A$204,0)),0)&gt;0,IFERROR(INDEX(Clients!$O$5:$O$204,MATCH(G390,Clients!$A$5:$A$204,0)),0),HourlyRate))</f>
        <v>0</v>
      </c>
      <c r="AI390" s="21">
        <f>IF(G390="","",IF(AND(M390&lt;&gt;"",IFERROR(INDEX(Services!$P$5:$P$64,MATCH(M390,Services!$B$5:$B$64,0)),0)&gt;0,IFERROR(INDEX(Services!$D$5:$D$64,MATCH(M390,Services!$B$5:$B$64,0)),"")&lt;&gt;"Per hour"),IFERROR(INDEX(Services!$P$5:$P$64,MATCH(M390,Services!$B$5:$B$64,0)),0),AD390*AH390))</f>
        <v>0</v>
      </c>
      <c r="AJ390" s="21">
        <f>IF(G390="","",IF(V390&lt;&gt;"",V390,IF(P390="Cancelled",0,MAX(MinimumCharge,ROUND(AI390*IFERROR(INDEX(FreqFactors,MATCH(O390,FreqNames,0)),1),2)))))</f>
        <v>0</v>
      </c>
      <c r="AK390" s="34">
        <f>IF(G390="","",IF(SUMIFS(Timesheets!$U$5:$U$804,Timesheets!$G$5:$G$804,A390)&gt;0,SUMIFS(Timesheets!$U$5:$U$804,Timesheets!$G$5:$G$804,A390),IF(Z390="","",Z390)))</f>
        <v>0</v>
      </c>
      <c r="AL390" s="34">
        <f>IF(OR(AK390="",AD390=""),"",AK390-AD390)</f>
        <v>0</v>
      </c>
      <c r="AM390" s="31">
        <f>IF(A390="","",COUNTIFS('Job Tasks'!$B$5:$B$904,A390))</f>
        <v>0</v>
      </c>
      <c r="AN390" s="31">
        <f>IF(A390="","",COUNTIFS('Job Tasks'!$B$5:$B$904,A390,'Job Tasks'!$H$5:$H$904,"Done"))</f>
        <v>0</v>
      </c>
      <c r="AO390" s="38">
        <f>IF(OR(A390="",AM390=0),"",AN390/AM390)</f>
        <v>0</v>
      </c>
      <c r="AP390" s="43">
        <f>IF(A390="","",IFERROR(INDEX('Invoice Lines'!$B$5:$B$804,MATCH(A390,'Invoice Lines'!$C$5:$C$804,0)),""))</f>
        <v>0</v>
      </c>
      <c r="AQ390" s="18">
        <f>IF(OR(G390="",B390="",X390&lt;&gt;"Yes"),"",IF(IFERROR(INDEX(FreqDays,MATCH(O390,FreqNames,0)),0)=0,"",B390+IFERROR(INDEX(FreqDays,MATCH(O390,FreqNames,0)),0)))</f>
        <v>0</v>
      </c>
      <c r="AR390" s="39">
        <f>IF(G390="","",IF(R390="","Unassigned",IF(COUNTIFS($R$5:$R$604,R390,$B$5:$B$604,B390,$F$5:$F$604,F390)&gt;1,"Clash",IF(SUMIFS($AF$5:$AF$604,$R$5:$R$604,R390,$B$5:$B$604,B390)&gt;ProductiveHours,"Long day","OK"))))</f>
        <v>0</v>
      </c>
      <c r="AS390" s="18">
        <f>IF(OR(G390="",B390=""),"",IF(AND(B390&gt;=TodayDate,P390&lt;&gt;"Cancelled"),B390,""))</f>
        <v>0</v>
      </c>
      <c r="AT390" s="31">
        <f>IF(AS390="","",COUNTIFS($AS$5:$AS$604,"&lt;"&amp;AS390)+COUNTIFS($AS$5:AS390,AS390))</f>
        <v>0</v>
      </c>
      <c r="AU390" s="18">
        <f>IF(OR(G390="",B390="",R390&lt;&gt;""),"",IF(AND(B390&gt;=TodayDate,P390&lt;&gt;"Cancelled"),B390,""))</f>
        <v>0</v>
      </c>
      <c r="AV390" s="31">
        <f>IF(AU390="","",COUNTIFS($AU$5:$AU$604,"&lt;"&amp;AU390)+COUNTIFS($AU$5:AU390,AU390))</f>
        <v>0</v>
      </c>
      <c r="AW390" s="31">
        <f>IF(OR(G390="",B390=""),"",B390-TodayDate)</f>
        <v>0</v>
      </c>
      <c r="AX390" s="39">
        <f>IF(G390="","",IF(P390="Cancelled","Cancelled",IF(P390="No access","Action - no access, rebook",IF(AND(B390&lt;&gt;"",AW390&lt;0,OR(P390="Booked",P390="Confirmed",P390="In progress")),"Late - mark it completed",IF(AND(P390="Completed",AP390=""),"Action - not invoiced yet",IF(AND(AW390&gt;=0,AW390&lt;=ReminderDays,Y390&lt;&gt;"Yes"),"Confirm - visit coming up",IF(R390="","Assign - no cleaner booked",IF(AND(P390="Completed",AO390&lt;&gt;"",AO390&lt;1),"Check - checklist unfinished","OK"))))))))</f>
        <v>0</v>
      </c>
    </row>
    <row r="391" spans="1:50">
      <c r="A391" s="43">
        <f>IF(G391="","",JobPrefix&amp;TEXT(ROW()-4,"0000"))</f>
        <v>0</v>
      </c>
      <c r="C391" s="23">
        <f>IF(B391="","",TEXT(B391,"ddd"))</f>
        <v>0</v>
      </c>
      <c r="D391" s="31">
        <f>IF(B391="","",WEEKNUM(B391,IF(WeekStart="Sunday",1,2)))</f>
        <v>0</v>
      </c>
      <c r="E391" s="23">
        <f>IF(B391="","",TEXT(B391,"yyyy-mm"))</f>
        <v>0</v>
      </c>
      <c r="H391" s="23">
        <f>IF(G391="","",IFERROR(INDEX(Clients!$B$5:$B$204,MATCH(G391,Clients!$A$5:$A$204,0)),"Not found"))</f>
        <v>0</v>
      </c>
      <c r="I391" s="23">
        <f>IF(G391="","",IFERROR(INDEX(Clients!$C$5:$C$204,MATCH(G391,Clients!$A$5:$A$204,0)),""))</f>
        <v>0</v>
      </c>
      <c r="K391" s="23">
        <f>IF(J391="","",IFERROR(INDEX(Properties!$B$5:$B$254,MATCH(J391,Properties!$A$5:$A$254,0)),""))</f>
        <v>0</v>
      </c>
      <c r="L391" s="23">
        <f>IF(J391="","",IFERROR(INDEX(Properties!$F$5:$F$254,MATCH(J391,Properties!$A$5:$A$254,0)),""))</f>
        <v>0</v>
      </c>
      <c r="AD391" s="34">
        <f>IF(G391="","",IF(U391&lt;&gt;"",U391,IF(AND(IFERROR(INDEX(Services!$D$5:$D$64,MATCH(M391,Services!$B$5:$B$64,0)),"")="Per hour",IFERROR(INDEX(Properties!$X$5:$X$254,MATCH(J391,Properties!$A$5:$A$254,0)),0)&gt;0),IFERROR(INDEX(Properties!$X$5:$X$254,MATCH(J391,Properties!$A$5:$A$254,0)),0),IF(IFERROR(INDEX(Services!$G$5:$G$64,MATCH(M391,Services!$B$5:$B$64,0)),0)&gt;0,IFERROR(INDEX(Services!$G$5:$G$64,MATCH(M391,Services!$B$5:$B$64,0)),0),IFERROR(INDEX(Properties!$X$5:$X$254,MATCH(J391,Properties!$A$5:$A$254,0)),0)))))</f>
        <v>0</v>
      </c>
      <c r="AE391" s="31">
        <f>IF(G391="","",IF(T391="",CleanersPerJob,MAX(1,T391)))</f>
        <v>0</v>
      </c>
      <c r="AF391" s="34">
        <f>IF(G391="","",ROUND(AD391/AE391,2))</f>
        <v>0</v>
      </c>
      <c r="AG391" s="53">
        <f>IF(OR(G391="",F391="",AF391=""),"",F391+AF391/24)</f>
        <v>0</v>
      </c>
      <c r="AH391" s="21">
        <f>IF(G391="","",IF(IFERROR(INDEX(Clients!$O$5:$O$204,MATCH(G391,Clients!$A$5:$A$204,0)),0)&gt;0,IFERROR(INDEX(Clients!$O$5:$O$204,MATCH(G391,Clients!$A$5:$A$204,0)),0),HourlyRate))</f>
        <v>0</v>
      </c>
      <c r="AI391" s="21">
        <f>IF(G391="","",IF(AND(M391&lt;&gt;"",IFERROR(INDEX(Services!$P$5:$P$64,MATCH(M391,Services!$B$5:$B$64,0)),0)&gt;0,IFERROR(INDEX(Services!$D$5:$D$64,MATCH(M391,Services!$B$5:$B$64,0)),"")&lt;&gt;"Per hour"),IFERROR(INDEX(Services!$P$5:$P$64,MATCH(M391,Services!$B$5:$B$64,0)),0),AD391*AH391))</f>
        <v>0</v>
      </c>
      <c r="AJ391" s="21">
        <f>IF(G391="","",IF(V391&lt;&gt;"",V391,IF(P391="Cancelled",0,MAX(MinimumCharge,ROUND(AI391*IFERROR(INDEX(FreqFactors,MATCH(O391,FreqNames,0)),1),2)))))</f>
        <v>0</v>
      </c>
      <c r="AK391" s="34">
        <f>IF(G391="","",IF(SUMIFS(Timesheets!$U$5:$U$804,Timesheets!$G$5:$G$804,A391)&gt;0,SUMIFS(Timesheets!$U$5:$U$804,Timesheets!$G$5:$G$804,A391),IF(Z391="","",Z391)))</f>
        <v>0</v>
      </c>
      <c r="AL391" s="34">
        <f>IF(OR(AK391="",AD391=""),"",AK391-AD391)</f>
        <v>0</v>
      </c>
      <c r="AM391" s="31">
        <f>IF(A391="","",COUNTIFS('Job Tasks'!$B$5:$B$904,A391))</f>
        <v>0</v>
      </c>
      <c r="AN391" s="31">
        <f>IF(A391="","",COUNTIFS('Job Tasks'!$B$5:$B$904,A391,'Job Tasks'!$H$5:$H$904,"Done"))</f>
        <v>0</v>
      </c>
      <c r="AO391" s="38">
        <f>IF(OR(A391="",AM391=0),"",AN391/AM391)</f>
        <v>0</v>
      </c>
      <c r="AP391" s="43">
        <f>IF(A391="","",IFERROR(INDEX('Invoice Lines'!$B$5:$B$804,MATCH(A391,'Invoice Lines'!$C$5:$C$804,0)),""))</f>
        <v>0</v>
      </c>
      <c r="AQ391" s="18">
        <f>IF(OR(G391="",B391="",X391&lt;&gt;"Yes"),"",IF(IFERROR(INDEX(FreqDays,MATCH(O391,FreqNames,0)),0)=0,"",B391+IFERROR(INDEX(FreqDays,MATCH(O391,FreqNames,0)),0)))</f>
        <v>0</v>
      </c>
      <c r="AR391" s="39">
        <f>IF(G391="","",IF(R391="","Unassigned",IF(COUNTIFS($R$5:$R$604,R391,$B$5:$B$604,B391,$F$5:$F$604,F391)&gt;1,"Clash",IF(SUMIFS($AF$5:$AF$604,$R$5:$R$604,R391,$B$5:$B$604,B391)&gt;ProductiveHours,"Long day","OK"))))</f>
        <v>0</v>
      </c>
      <c r="AS391" s="18">
        <f>IF(OR(G391="",B391=""),"",IF(AND(B391&gt;=TodayDate,P391&lt;&gt;"Cancelled"),B391,""))</f>
        <v>0</v>
      </c>
      <c r="AT391" s="31">
        <f>IF(AS391="","",COUNTIFS($AS$5:$AS$604,"&lt;"&amp;AS391)+COUNTIFS($AS$5:AS391,AS391))</f>
        <v>0</v>
      </c>
      <c r="AU391" s="18">
        <f>IF(OR(G391="",B391="",R391&lt;&gt;""),"",IF(AND(B391&gt;=TodayDate,P391&lt;&gt;"Cancelled"),B391,""))</f>
        <v>0</v>
      </c>
      <c r="AV391" s="31">
        <f>IF(AU391="","",COUNTIFS($AU$5:$AU$604,"&lt;"&amp;AU391)+COUNTIFS($AU$5:AU391,AU391))</f>
        <v>0</v>
      </c>
      <c r="AW391" s="31">
        <f>IF(OR(G391="",B391=""),"",B391-TodayDate)</f>
        <v>0</v>
      </c>
      <c r="AX391" s="39">
        <f>IF(G391="","",IF(P391="Cancelled","Cancelled",IF(P391="No access","Action - no access, rebook",IF(AND(B391&lt;&gt;"",AW391&lt;0,OR(P391="Booked",P391="Confirmed",P391="In progress")),"Late - mark it completed",IF(AND(P391="Completed",AP391=""),"Action - not invoiced yet",IF(AND(AW391&gt;=0,AW391&lt;=ReminderDays,Y391&lt;&gt;"Yes"),"Confirm - visit coming up",IF(R391="","Assign - no cleaner booked",IF(AND(P391="Completed",AO391&lt;&gt;"",AO391&lt;1),"Check - checklist unfinished","OK"))))))))</f>
        <v>0</v>
      </c>
    </row>
    <row r="392" spans="1:50">
      <c r="A392" s="43">
        <f>IF(G392="","",JobPrefix&amp;TEXT(ROW()-4,"0000"))</f>
        <v>0</v>
      </c>
      <c r="C392" s="23">
        <f>IF(B392="","",TEXT(B392,"ddd"))</f>
        <v>0</v>
      </c>
      <c r="D392" s="31">
        <f>IF(B392="","",WEEKNUM(B392,IF(WeekStart="Sunday",1,2)))</f>
        <v>0</v>
      </c>
      <c r="E392" s="23">
        <f>IF(B392="","",TEXT(B392,"yyyy-mm"))</f>
        <v>0</v>
      </c>
      <c r="H392" s="23">
        <f>IF(G392="","",IFERROR(INDEX(Clients!$B$5:$B$204,MATCH(G392,Clients!$A$5:$A$204,0)),"Not found"))</f>
        <v>0</v>
      </c>
      <c r="I392" s="23">
        <f>IF(G392="","",IFERROR(INDEX(Clients!$C$5:$C$204,MATCH(G392,Clients!$A$5:$A$204,0)),""))</f>
        <v>0</v>
      </c>
      <c r="K392" s="23">
        <f>IF(J392="","",IFERROR(INDEX(Properties!$B$5:$B$254,MATCH(J392,Properties!$A$5:$A$254,0)),""))</f>
        <v>0</v>
      </c>
      <c r="L392" s="23">
        <f>IF(J392="","",IFERROR(INDEX(Properties!$F$5:$F$254,MATCH(J392,Properties!$A$5:$A$254,0)),""))</f>
        <v>0</v>
      </c>
      <c r="AD392" s="34">
        <f>IF(G392="","",IF(U392&lt;&gt;"",U392,IF(AND(IFERROR(INDEX(Services!$D$5:$D$64,MATCH(M392,Services!$B$5:$B$64,0)),"")="Per hour",IFERROR(INDEX(Properties!$X$5:$X$254,MATCH(J392,Properties!$A$5:$A$254,0)),0)&gt;0),IFERROR(INDEX(Properties!$X$5:$X$254,MATCH(J392,Properties!$A$5:$A$254,0)),0),IF(IFERROR(INDEX(Services!$G$5:$G$64,MATCH(M392,Services!$B$5:$B$64,0)),0)&gt;0,IFERROR(INDEX(Services!$G$5:$G$64,MATCH(M392,Services!$B$5:$B$64,0)),0),IFERROR(INDEX(Properties!$X$5:$X$254,MATCH(J392,Properties!$A$5:$A$254,0)),0)))))</f>
        <v>0</v>
      </c>
      <c r="AE392" s="31">
        <f>IF(G392="","",IF(T392="",CleanersPerJob,MAX(1,T392)))</f>
        <v>0</v>
      </c>
      <c r="AF392" s="34">
        <f>IF(G392="","",ROUND(AD392/AE392,2))</f>
        <v>0</v>
      </c>
      <c r="AG392" s="53">
        <f>IF(OR(G392="",F392="",AF392=""),"",F392+AF392/24)</f>
        <v>0</v>
      </c>
      <c r="AH392" s="21">
        <f>IF(G392="","",IF(IFERROR(INDEX(Clients!$O$5:$O$204,MATCH(G392,Clients!$A$5:$A$204,0)),0)&gt;0,IFERROR(INDEX(Clients!$O$5:$O$204,MATCH(G392,Clients!$A$5:$A$204,0)),0),HourlyRate))</f>
        <v>0</v>
      </c>
      <c r="AI392" s="21">
        <f>IF(G392="","",IF(AND(M392&lt;&gt;"",IFERROR(INDEX(Services!$P$5:$P$64,MATCH(M392,Services!$B$5:$B$64,0)),0)&gt;0,IFERROR(INDEX(Services!$D$5:$D$64,MATCH(M392,Services!$B$5:$B$64,0)),"")&lt;&gt;"Per hour"),IFERROR(INDEX(Services!$P$5:$P$64,MATCH(M392,Services!$B$5:$B$64,0)),0),AD392*AH392))</f>
        <v>0</v>
      </c>
      <c r="AJ392" s="21">
        <f>IF(G392="","",IF(V392&lt;&gt;"",V392,IF(P392="Cancelled",0,MAX(MinimumCharge,ROUND(AI392*IFERROR(INDEX(FreqFactors,MATCH(O392,FreqNames,0)),1),2)))))</f>
        <v>0</v>
      </c>
      <c r="AK392" s="34">
        <f>IF(G392="","",IF(SUMIFS(Timesheets!$U$5:$U$804,Timesheets!$G$5:$G$804,A392)&gt;0,SUMIFS(Timesheets!$U$5:$U$804,Timesheets!$G$5:$G$804,A392),IF(Z392="","",Z392)))</f>
        <v>0</v>
      </c>
      <c r="AL392" s="34">
        <f>IF(OR(AK392="",AD392=""),"",AK392-AD392)</f>
        <v>0</v>
      </c>
      <c r="AM392" s="31">
        <f>IF(A392="","",COUNTIFS('Job Tasks'!$B$5:$B$904,A392))</f>
        <v>0</v>
      </c>
      <c r="AN392" s="31">
        <f>IF(A392="","",COUNTIFS('Job Tasks'!$B$5:$B$904,A392,'Job Tasks'!$H$5:$H$904,"Done"))</f>
        <v>0</v>
      </c>
      <c r="AO392" s="38">
        <f>IF(OR(A392="",AM392=0),"",AN392/AM392)</f>
        <v>0</v>
      </c>
      <c r="AP392" s="43">
        <f>IF(A392="","",IFERROR(INDEX('Invoice Lines'!$B$5:$B$804,MATCH(A392,'Invoice Lines'!$C$5:$C$804,0)),""))</f>
        <v>0</v>
      </c>
      <c r="AQ392" s="18">
        <f>IF(OR(G392="",B392="",X392&lt;&gt;"Yes"),"",IF(IFERROR(INDEX(FreqDays,MATCH(O392,FreqNames,0)),0)=0,"",B392+IFERROR(INDEX(FreqDays,MATCH(O392,FreqNames,0)),0)))</f>
        <v>0</v>
      </c>
      <c r="AR392" s="39">
        <f>IF(G392="","",IF(R392="","Unassigned",IF(COUNTIFS($R$5:$R$604,R392,$B$5:$B$604,B392,$F$5:$F$604,F392)&gt;1,"Clash",IF(SUMIFS($AF$5:$AF$604,$R$5:$R$604,R392,$B$5:$B$604,B392)&gt;ProductiveHours,"Long day","OK"))))</f>
        <v>0</v>
      </c>
      <c r="AS392" s="18">
        <f>IF(OR(G392="",B392=""),"",IF(AND(B392&gt;=TodayDate,P392&lt;&gt;"Cancelled"),B392,""))</f>
        <v>0</v>
      </c>
      <c r="AT392" s="31">
        <f>IF(AS392="","",COUNTIFS($AS$5:$AS$604,"&lt;"&amp;AS392)+COUNTIFS($AS$5:AS392,AS392))</f>
        <v>0</v>
      </c>
      <c r="AU392" s="18">
        <f>IF(OR(G392="",B392="",R392&lt;&gt;""),"",IF(AND(B392&gt;=TodayDate,P392&lt;&gt;"Cancelled"),B392,""))</f>
        <v>0</v>
      </c>
      <c r="AV392" s="31">
        <f>IF(AU392="","",COUNTIFS($AU$5:$AU$604,"&lt;"&amp;AU392)+COUNTIFS($AU$5:AU392,AU392))</f>
        <v>0</v>
      </c>
      <c r="AW392" s="31">
        <f>IF(OR(G392="",B392=""),"",B392-TodayDate)</f>
        <v>0</v>
      </c>
      <c r="AX392" s="39">
        <f>IF(G392="","",IF(P392="Cancelled","Cancelled",IF(P392="No access","Action - no access, rebook",IF(AND(B392&lt;&gt;"",AW392&lt;0,OR(P392="Booked",P392="Confirmed",P392="In progress")),"Late - mark it completed",IF(AND(P392="Completed",AP392=""),"Action - not invoiced yet",IF(AND(AW392&gt;=0,AW392&lt;=ReminderDays,Y392&lt;&gt;"Yes"),"Confirm - visit coming up",IF(R392="","Assign - no cleaner booked",IF(AND(P392="Completed",AO392&lt;&gt;"",AO392&lt;1),"Check - checklist unfinished","OK"))))))))</f>
        <v>0</v>
      </c>
    </row>
    <row r="393" spans="1:50">
      <c r="A393" s="43">
        <f>IF(G393="","",JobPrefix&amp;TEXT(ROW()-4,"0000"))</f>
        <v>0</v>
      </c>
      <c r="C393" s="23">
        <f>IF(B393="","",TEXT(B393,"ddd"))</f>
        <v>0</v>
      </c>
      <c r="D393" s="31">
        <f>IF(B393="","",WEEKNUM(B393,IF(WeekStart="Sunday",1,2)))</f>
        <v>0</v>
      </c>
      <c r="E393" s="23">
        <f>IF(B393="","",TEXT(B393,"yyyy-mm"))</f>
        <v>0</v>
      </c>
      <c r="H393" s="23">
        <f>IF(G393="","",IFERROR(INDEX(Clients!$B$5:$B$204,MATCH(G393,Clients!$A$5:$A$204,0)),"Not found"))</f>
        <v>0</v>
      </c>
      <c r="I393" s="23">
        <f>IF(G393="","",IFERROR(INDEX(Clients!$C$5:$C$204,MATCH(G393,Clients!$A$5:$A$204,0)),""))</f>
        <v>0</v>
      </c>
      <c r="K393" s="23">
        <f>IF(J393="","",IFERROR(INDEX(Properties!$B$5:$B$254,MATCH(J393,Properties!$A$5:$A$254,0)),""))</f>
        <v>0</v>
      </c>
      <c r="L393" s="23">
        <f>IF(J393="","",IFERROR(INDEX(Properties!$F$5:$F$254,MATCH(J393,Properties!$A$5:$A$254,0)),""))</f>
        <v>0</v>
      </c>
      <c r="AD393" s="34">
        <f>IF(G393="","",IF(U393&lt;&gt;"",U393,IF(AND(IFERROR(INDEX(Services!$D$5:$D$64,MATCH(M393,Services!$B$5:$B$64,0)),"")="Per hour",IFERROR(INDEX(Properties!$X$5:$X$254,MATCH(J393,Properties!$A$5:$A$254,0)),0)&gt;0),IFERROR(INDEX(Properties!$X$5:$X$254,MATCH(J393,Properties!$A$5:$A$254,0)),0),IF(IFERROR(INDEX(Services!$G$5:$G$64,MATCH(M393,Services!$B$5:$B$64,0)),0)&gt;0,IFERROR(INDEX(Services!$G$5:$G$64,MATCH(M393,Services!$B$5:$B$64,0)),0),IFERROR(INDEX(Properties!$X$5:$X$254,MATCH(J393,Properties!$A$5:$A$254,0)),0)))))</f>
        <v>0</v>
      </c>
      <c r="AE393" s="31">
        <f>IF(G393="","",IF(T393="",CleanersPerJob,MAX(1,T393)))</f>
        <v>0</v>
      </c>
      <c r="AF393" s="34">
        <f>IF(G393="","",ROUND(AD393/AE393,2))</f>
        <v>0</v>
      </c>
      <c r="AG393" s="53">
        <f>IF(OR(G393="",F393="",AF393=""),"",F393+AF393/24)</f>
        <v>0</v>
      </c>
      <c r="AH393" s="21">
        <f>IF(G393="","",IF(IFERROR(INDEX(Clients!$O$5:$O$204,MATCH(G393,Clients!$A$5:$A$204,0)),0)&gt;0,IFERROR(INDEX(Clients!$O$5:$O$204,MATCH(G393,Clients!$A$5:$A$204,0)),0),HourlyRate))</f>
        <v>0</v>
      </c>
      <c r="AI393" s="21">
        <f>IF(G393="","",IF(AND(M393&lt;&gt;"",IFERROR(INDEX(Services!$P$5:$P$64,MATCH(M393,Services!$B$5:$B$64,0)),0)&gt;0,IFERROR(INDEX(Services!$D$5:$D$64,MATCH(M393,Services!$B$5:$B$64,0)),"")&lt;&gt;"Per hour"),IFERROR(INDEX(Services!$P$5:$P$64,MATCH(M393,Services!$B$5:$B$64,0)),0),AD393*AH393))</f>
        <v>0</v>
      </c>
      <c r="AJ393" s="21">
        <f>IF(G393="","",IF(V393&lt;&gt;"",V393,IF(P393="Cancelled",0,MAX(MinimumCharge,ROUND(AI393*IFERROR(INDEX(FreqFactors,MATCH(O393,FreqNames,0)),1),2)))))</f>
        <v>0</v>
      </c>
      <c r="AK393" s="34">
        <f>IF(G393="","",IF(SUMIFS(Timesheets!$U$5:$U$804,Timesheets!$G$5:$G$804,A393)&gt;0,SUMIFS(Timesheets!$U$5:$U$804,Timesheets!$G$5:$G$804,A393),IF(Z393="","",Z393)))</f>
        <v>0</v>
      </c>
      <c r="AL393" s="34">
        <f>IF(OR(AK393="",AD393=""),"",AK393-AD393)</f>
        <v>0</v>
      </c>
      <c r="AM393" s="31">
        <f>IF(A393="","",COUNTIFS('Job Tasks'!$B$5:$B$904,A393))</f>
        <v>0</v>
      </c>
      <c r="AN393" s="31">
        <f>IF(A393="","",COUNTIFS('Job Tasks'!$B$5:$B$904,A393,'Job Tasks'!$H$5:$H$904,"Done"))</f>
        <v>0</v>
      </c>
      <c r="AO393" s="38">
        <f>IF(OR(A393="",AM393=0),"",AN393/AM393)</f>
        <v>0</v>
      </c>
      <c r="AP393" s="43">
        <f>IF(A393="","",IFERROR(INDEX('Invoice Lines'!$B$5:$B$804,MATCH(A393,'Invoice Lines'!$C$5:$C$804,0)),""))</f>
        <v>0</v>
      </c>
      <c r="AQ393" s="18">
        <f>IF(OR(G393="",B393="",X393&lt;&gt;"Yes"),"",IF(IFERROR(INDEX(FreqDays,MATCH(O393,FreqNames,0)),0)=0,"",B393+IFERROR(INDEX(FreqDays,MATCH(O393,FreqNames,0)),0)))</f>
        <v>0</v>
      </c>
      <c r="AR393" s="39">
        <f>IF(G393="","",IF(R393="","Unassigned",IF(COUNTIFS($R$5:$R$604,R393,$B$5:$B$604,B393,$F$5:$F$604,F393)&gt;1,"Clash",IF(SUMIFS($AF$5:$AF$604,$R$5:$R$604,R393,$B$5:$B$604,B393)&gt;ProductiveHours,"Long day","OK"))))</f>
        <v>0</v>
      </c>
      <c r="AS393" s="18">
        <f>IF(OR(G393="",B393=""),"",IF(AND(B393&gt;=TodayDate,P393&lt;&gt;"Cancelled"),B393,""))</f>
        <v>0</v>
      </c>
      <c r="AT393" s="31">
        <f>IF(AS393="","",COUNTIFS($AS$5:$AS$604,"&lt;"&amp;AS393)+COUNTIFS($AS$5:AS393,AS393))</f>
        <v>0</v>
      </c>
      <c r="AU393" s="18">
        <f>IF(OR(G393="",B393="",R393&lt;&gt;""),"",IF(AND(B393&gt;=TodayDate,P393&lt;&gt;"Cancelled"),B393,""))</f>
        <v>0</v>
      </c>
      <c r="AV393" s="31">
        <f>IF(AU393="","",COUNTIFS($AU$5:$AU$604,"&lt;"&amp;AU393)+COUNTIFS($AU$5:AU393,AU393))</f>
        <v>0</v>
      </c>
      <c r="AW393" s="31">
        <f>IF(OR(G393="",B393=""),"",B393-TodayDate)</f>
        <v>0</v>
      </c>
      <c r="AX393" s="39">
        <f>IF(G393="","",IF(P393="Cancelled","Cancelled",IF(P393="No access","Action - no access, rebook",IF(AND(B393&lt;&gt;"",AW393&lt;0,OR(P393="Booked",P393="Confirmed",P393="In progress")),"Late - mark it completed",IF(AND(P393="Completed",AP393=""),"Action - not invoiced yet",IF(AND(AW393&gt;=0,AW393&lt;=ReminderDays,Y393&lt;&gt;"Yes"),"Confirm - visit coming up",IF(R393="","Assign - no cleaner booked",IF(AND(P393="Completed",AO393&lt;&gt;"",AO393&lt;1),"Check - checklist unfinished","OK"))))))))</f>
        <v>0</v>
      </c>
    </row>
    <row r="394" spans="1:50">
      <c r="A394" s="43">
        <f>IF(G394="","",JobPrefix&amp;TEXT(ROW()-4,"0000"))</f>
        <v>0</v>
      </c>
      <c r="C394" s="23">
        <f>IF(B394="","",TEXT(B394,"ddd"))</f>
        <v>0</v>
      </c>
      <c r="D394" s="31">
        <f>IF(B394="","",WEEKNUM(B394,IF(WeekStart="Sunday",1,2)))</f>
        <v>0</v>
      </c>
      <c r="E394" s="23">
        <f>IF(B394="","",TEXT(B394,"yyyy-mm"))</f>
        <v>0</v>
      </c>
      <c r="H394" s="23">
        <f>IF(G394="","",IFERROR(INDEX(Clients!$B$5:$B$204,MATCH(G394,Clients!$A$5:$A$204,0)),"Not found"))</f>
        <v>0</v>
      </c>
      <c r="I394" s="23">
        <f>IF(G394="","",IFERROR(INDEX(Clients!$C$5:$C$204,MATCH(G394,Clients!$A$5:$A$204,0)),""))</f>
        <v>0</v>
      </c>
      <c r="K394" s="23">
        <f>IF(J394="","",IFERROR(INDEX(Properties!$B$5:$B$254,MATCH(J394,Properties!$A$5:$A$254,0)),""))</f>
        <v>0</v>
      </c>
      <c r="L394" s="23">
        <f>IF(J394="","",IFERROR(INDEX(Properties!$F$5:$F$254,MATCH(J394,Properties!$A$5:$A$254,0)),""))</f>
        <v>0</v>
      </c>
      <c r="AD394" s="34">
        <f>IF(G394="","",IF(U394&lt;&gt;"",U394,IF(AND(IFERROR(INDEX(Services!$D$5:$D$64,MATCH(M394,Services!$B$5:$B$64,0)),"")="Per hour",IFERROR(INDEX(Properties!$X$5:$X$254,MATCH(J394,Properties!$A$5:$A$254,0)),0)&gt;0),IFERROR(INDEX(Properties!$X$5:$X$254,MATCH(J394,Properties!$A$5:$A$254,0)),0),IF(IFERROR(INDEX(Services!$G$5:$G$64,MATCH(M394,Services!$B$5:$B$64,0)),0)&gt;0,IFERROR(INDEX(Services!$G$5:$G$64,MATCH(M394,Services!$B$5:$B$64,0)),0),IFERROR(INDEX(Properties!$X$5:$X$254,MATCH(J394,Properties!$A$5:$A$254,0)),0)))))</f>
        <v>0</v>
      </c>
      <c r="AE394" s="31">
        <f>IF(G394="","",IF(T394="",CleanersPerJob,MAX(1,T394)))</f>
        <v>0</v>
      </c>
      <c r="AF394" s="34">
        <f>IF(G394="","",ROUND(AD394/AE394,2))</f>
        <v>0</v>
      </c>
      <c r="AG394" s="53">
        <f>IF(OR(G394="",F394="",AF394=""),"",F394+AF394/24)</f>
        <v>0</v>
      </c>
      <c r="AH394" s="21">
        <f>IF(G394="","",IF(IFERROR(INDEX(Clients!$O$5:$O$204,MATCH(G394,Clients!$A$5:$A$204,0)),0)&gt;0,IFERROR(INDEX(Clients!$O$5:$O$204,MATCH(G394,Clients!$A$5:$A$204,0)),0),HourlyRate))</f>
        <v>0</v>
      </c>
      <c r="AI394" s="21">
        <f>IF(G394="","",IF(AND(M394&lt;&gt;"",IFERROR(INDEX(Services!$P$5:$P$64,MATCH(M394,Services!$B$5:$B$64,0)),0)&gt;0,IFERROR(INDEX(Services!$D$5:$D$64,MATCH(M394,Services!$B$5:$B$64,0)),"")&lt;&gt;"Per hour"),IFERROR(INDEX(Services!$P$5:$P$64,MATCH(M394,Services!$B$5:$B$64,0)),0),AD394*AH394))</f>
        <v>0</v>
      </c>
      <c r="AJ394" s="21">
        <f>IF(G394="","",IF(V394&lt;&gt;"",V394,IF(P394="Cancelled",0,MAX(MinimumCharge,ROUND(AI394*IFERROR(INDEX(FreqFactors,MATCH(O394,FreqNames,0)),1),2)))))</f>
        <v>0</v>
      </c>
      <c r="AK394" s="34">
        <f>IF(G394="","",IF(SUMIFS(Timesheets!$U$5:$U$804,Timesheets!$G$5:$G$804,A394)&gt;0,SUMIFS(Timesheets!$U$5:$U$804,Timesheets!$G$5:$G$804,A394),IF(Z394="","",Z394)))</f>
        <v>0</v>
      </c>
      <c r="AL394" s="34">
        <f>IF(OR(AK394="",AD394=""),"",AK394-AD394)</f>
        <v>0</v>
      </c>
      <c r="AM394" s="31">
        <f>IF(A394="","",COUNTIFS('Job Tasks'!$B$5:$B$904,A394))</f>
        <v>0</v>
      </c>
      <c r="AN394" s="31">
        <f>IF(A394="","",COUNTIFS('Job Tasks'!$B$5:$B$904,A394,'Job Tasks'!$H$5:$H$904,"Done"))</f>
        <v>0</v>
      </c>
      <c r="AO394" s="38">
        <f>IF(OR(A394="",AM394=0),"",AN394/AM394)</f>
        <v>0</v>
      </c>
      <c r="AP394" s="43">
        <f>IF(A394="","",IFERROR(INDEX('Invoice Lines'!$B$5:$B$804,MATCH(A394,'Invoice Lines'!$C$5:$C$804,0)),""))</f>
        <v>0</v>
      </c>
      <c r="AQ394" s="18">
        <f>IF(OR(G394="",B394="",X394&lt;&gt;"Yes"),"",IF(IFERROR(INDEX(FreqDays,MATCH(O394,FreqNames,0)),0)=0,"",B394+IFERROR(INDEX(FreqDays,MATCH(O394,FreqNames,0)),0)))</f>
        <v>0</v>
      </c>
      <c r="AR394" s="39">
        <f>IF(G394="","",IF(R394="","Unassigned",IF(COUNTIFS($R$5:$R$604,R394,$B$5:$B$604,B394,$F$5:$F$604,F394)&gt;1,"Clash",IF(SUMIFS($AF$5:$AF$604,$R$5:$R$604,R394,$B$5:$B$604,B394)&gt;ProductiveHours,"Long day","OK"))))</f>
        <v>0</v>
      </c>
      <c r="AS394" s="18">
        <f>IF(OR(G394="",B394=""),"",IF(AND(B394&gt;=TodayDate,P394&lt;&gt;"Cancelled"),B394,""))</f>
        <v>0</v>
      </c>
      <c r="AT394" s="31">
        <f>IF(AS394="","",COUNTIFS($AS$5:$AS$604,"&lt;"&amp;AS394)+COUNTIFS($AS$5:AS394,AS394))</f>
        <v>0</v>
      </c>
      <c r="AU394" s="18">
        <f>IF(OR(G394="",B394="",R394&lt;&gt;""),"",IF(AND(B394&gt;=TodayDate,P394&lt;&gt;"Cancelled"),B394,""))</f>
        <v>0</v>
      </c>
      <c r="AV394" s="31">
        <f>IF(AU394="","",COUNTIFS($AU$5:$AU$604,"&lt;"&amp;AU394)+COUNTIFS($AU$5:AU394,AU394))</f>
        <v>0</v>
      </c>
      <c r="AW394" s="31">
        <f>IF(OR(G394="",B394=""),"",B394-TodayDate)</f>
        <v>0</v>
      </c>
      <c r="AX394" s="39">
        <f>IF(G394="","",IF(P394="Cancelled","Cancelled",IF(P394="No access","Action - no access, rebook",IF(AND(B394&lt;&gt;"",AW394&lt;0,OR(P394="Booked",P394="Confirmed",P394="In progress")),"Late - mark it completed",IF(AND(P394="Completed",AP394=""),"Action - not invoiced yet",IF(AND(AW394&gt;=0,AW394&lt;=ReminderDays,Y394&lt;&gt;"Yes"),"Confirm - visit coming up",IF(R394="","Assign - no cleaner booked",IF(AND(P394="Completed",AO394&lt;&gt;"",AO394&lt;1),"Check - checklist unfinished","OK"))))))))</f>
        <v>0</v>
      </c>
    </row>
    <row r="395" spans="1:50">
      <c r="A395" s="43">
        <f>IF(G395="","",JobPrefix&amp;TEXT(ROW()-4,"0000"))</f>
        <v>0</v>
      </c>
      <c r="C395" s="23">
        <f>IF(B395="","",TEXT(B395,"ddd"))</f>
        <v>0</v>
      </c>
      <c r="D395" s="31">
        <f>IF(B395="","",WEEKNUM(B395,IF(WeekStart="Sunday",1,2)))</f>
        <v>0</v>
      </c>
      <c r="E395" s="23">
        <f>IF(B395="","",TEXT(B395,"yyyy-mm"))</f>
        <v>0</v>
      </c>
      <c r="H395" s="23">
        <f>IF(G395="","",IFERROR(INDEX(Clients!$B$5:$B$204,MATCH(G395,Clients!$A$5:$A$204,0)),"Not found"))</f>
        <v>0</v>
      </c>
      <c r="I395" s="23">
        <f>IF(G395="","",IFERROR(INDEX(Clients!$C$5:$C$204,MATCH(G395,Clients!$A$5:$A$204,0)),""))</f>
        <v>0</v>
      </c>
      <c r="K395" s="23">
        <f>IF(J395="","",IFERROR(INDEX(Properties!$B$5:$B$254,MATCH(J395,Properties!$A$5:$A$254,0)),""))</f>
        <v>0</v>
      </c>
      <c r="L395" s="23">
        <f>IF(J395="","",IFERROR(INDEX(Properties!$F$5:$F$254,MATCH(J395,Properties!$A$5:$A$254,0)),""))</f>
        <v>0</v>
      </c>
      <c r="AD395" s="34">
        <f>IF(G395="","",IF(U395&lt;&gt;"",U395,IF(AND(IFERROR(INDEX(Services!$D$5:$D$64,MATCH(M395,Services!$B$5:$B$64,0)),"")="Per hour",IFERROR(INDEX(Properties!$X$5:$X$254,MATCH(J395,Properties!$A$5:$A$254,0)),0)&gt;0),IFERROR(INDEX(Properties!$X$5:$X$254,MATCH(J395,Properties!$A$5:$A$254,0)),0),IF(IFERROR(INDEX(Services!$G$5:$G$64,MATCH(M395,Services!$B$5:$B$64,0)),0)&gt;0,IFERROR(INDEX(Services!$G$5:$G$64,MATCH(M395,Services!$B$5:$B$64,0)),0),IFERROR(INDEX(Properties!$X$5:$X$254,MATCH(J395,Properties!$A$5:$A$254,0)),0)))))</f>
        <v>0</v>
      </c>
      <c r="AE395" s="31">
        <f>IF(G395="","",IF(T395="",CleanersPerJob,MAX(1,T395)))</f>
        <v>0</v>
      </c>
      <c r="AF395" s="34">
        <f>IF(G395="","",ROUND(AD395/AE395,2))</f>
        <v>0</v>
      </c>
      <c r="AG395" s="53">
        <f>IF(OR(G395="",F395="",AF395=""),"",F395+AF395/24)</f>
        <v>0</v>
      </c>
      <c r="AH395" s="21">
        <f>IF(G395="","",IF(IFERROR(INDEX(Clients!$O$5:$O$204,MATCH(G395,Clients!$A$5:$A$204,0)),0)&gt;0,IFERROR(INDEX(Clients!$O$5:$O$204,MATCH(G395,Clients!$A$5:$A$204,0)),0),HourlyRate))</f>
        <v>0</v>
      </c>
      <c r="AI395" s="21">
        <f>IF(G395="","",IF(AND(M395&lt;&gt;"",IFERROR(INDEX(Services!$P$5:$P$64,MATCH(M395,Services!$B$5:$B$64,0)),0)&gt;0,IFERROR(INDEX(Services!$D$5:$D$64,MATCH(M395,Services!$B$5:$B$64,0)),"")&lt;&gt;"Per hour"),IFERROR(INDEX(Services!$P$5:$P$64,MATCH(M395,Services!$B$5:$B$64,0)),0),AD395*AH395))</f>
        <v>0</v>
      </c>
      <c r="AJ395" s="21">
        <f>IF(G395="","",IF(V395&lt;&gt;"",V395,IF(P395="Cancelled",0,MAX(MinimumCharge,ROUND(AI395*IFERROR(INDEX(FreqFactors,MATCH(O395,FreqNames,0)),1),2)))))</f>
        <v>0</v>
      </c>
      <c r="AK395" s="34">
        <f>IF(G395="","",IF(SUMIFS(Timesheets!$U$5:$U$804,Timesheets!$G$5:$G$804,A395)&gt;0,SUMIFS(Timesheets!$U$5:$U$804,Timesheets!$G$5:$G$804,A395),IF(Z395="","",Z395)))</f>
        <v>0</v>
      </c>
      <c r="AL395" s="34">
        <f>IF(OR(AK395="",AD395=""),"",AK395-AD395)</f>
        <v>0</v>
      </c>
      <c r="AM395" s="31">
        <f>IF(A395="","",COUNTIFS('Job Tasks'!$B$5:$B$904,A395))</f>
        <v>0</v>
      </c>
      <c r="AN395" s="31">
        <f>IF(A395="","",COUNTIFS('Job Tasks'!$B$5:$B$904,A395,'Job Tasks'!$H$5:$H$904,"Done"))</f>
        <v>0</v>
      </c>
      <c r="AO395" s="38">
        <f>IF(OR(A395="",AM395=0),"",AN395/AM395)</f>
        <v>0</v>
      </c>
      <c r="AP395" s="43">
        <f>IF(A395="","",IFERROR(INDEX('Invoice Lines'!$B$5:$B$804,MATCH(A395,'Invoice Lines'!$C$5:$C$804,0)),""))</f>
        <v>0</v>
      </c>
      <c r="AQ395" s="18">
        <f>IF(OR(G395="",B395="",X395&lt;&gt;"Yes"),"",IF(IFERROR(INDEX(FreqDays,MATCH(O395,FreqNames,0)),0)=0,"",B395+IFERROR(INDEX(FreqDays,MATCH(O395,FreqNames,0)),0)))</f>
        <v>0</v>
      </c>
      <c r="AR395" s="39">
        <f>IF(G395="","",IF(R395="","Unassigned",IF(COUNTIFS($R$5:$R$604,R395,$B$5:$B$604,B395,$F$5:$F$604,F395)&gt;1,"Clash",IF(SUMIFS($AF$5:$AF$604,$R$5:$R$604,R395,$B$5:$B$604,B395)&gt;ProductiveHours,"Long day","OK"))))</f>
        <v>0</v>
      </c>
      <c r="AS395" s="18">
        <f>IF(OR(G395="",B395=""),"",IF(AND(B395&gt;=TodayDate,P395&lt;&gt;"Cancelled"),B395,""))</f>
        <v>0</v>
      </c>
      <c r="AT395" s="31">
        <f>IF(AS395="","",COUNTIFS($AS$5:$AS$604,"&lt;"&amp;AS395)+COUNTIFS($AS$5:AS395,AS395))</f>
        <v>0</v>
      </c>
      <c r="AU395" s="18">
        <f>IF(OR(G395="",B395="",R395&lt;&gt;""),"",IF(AND(B395&gt;=TodayDate,P395&lt;&gt;"Cancelled"),B395,""))</f>
        <v>0</v>
      </c>
      <c r="AV395" s="31">
        <f>IF(AU395="","",COUNTIFS($AU$5:$AU$604,"&lt;"&amp;AU395)+COUNTIFS($AU$5:AU395,AU395))</f>
        <v>0</v>
      </c>
      <c r="AW395" s="31">
        <f>IF(OR(G395="",B395=""),"",B395-TodayDate)</f>
        <v>0</v>
      </c>
      <c r="AX395" s="39">
        <f>IF(G395="","",IF(P395="Cancelled","Cancelled",IF(P395="No access","Action - no access, rebook",IF(AND(B395&lt;&gt;"",AW395&lt;0,OR(P395="Booked",P395="Confirmed",P395="In progress")),"Late - mark it completed",IF(AND(P395="Completed",AP395=""),"Action - not invoiced yet",IF(AND(AW395&gt;=0,AW395&lt;=ReminderDays,Y395&lt;&gt;"Yes"),"Confirm - visit coming up",IF(R395="","Assign - no cleaner booked",IF(AND(P395="Completed",AO395&lt;&gt;"",AO395&lt;1),"Check - checklist unfinished","OK"))))))))</f>
        <v>0</v>
      </c>
    </row>
    <row r="396" spans="1:50">
      <c r="A396" s="43">
        <f>IF(G396="","",JobPrefix&amp;TEXT(ROW()-4,"0000"))</f>
        <v>0</v>
      </c>
      <c r="C396" s="23">
        <f>IF(B396="","",TEXT(B396,"ddd"))</f>
        <v>0</v>
      </c>
      <c r="D396" s="31">
        <f>IF(B396="","",WEEKNUM(B396,IF(WeekStart="Sunday",1,2)))</f>
        <v>0</v>
      </c>
      <c r="E396" s="23">
        <f>IF(B396="","",TEXT(B396,"yyyy-mm"))</f>
        <v>0</v>
      </c>
      <c r="H396" s="23">
        <f>IF(G396="","",IFERROR(INDEX(Clients!$B$5:$B$204,MATCH(G396,Clients!$A$5:$A$204,0)),"Not found"))</f>
        <v>0</v>
      </c>
      <c r="I396" s="23">
        <f>IF(G396="","",IFERROR(INDEX(Clients!$C$5:$C$204,MATCH(G396,Clients!$A$5:$A$204,0)),""))</f>
        <v>0</v>
      </c>
      <c r="K396" s="23">
        <f>IF(J396="","",IFERROR(INDEX(Properties!$B$5:$B$254,MATCH(J396,Properties!$A$5:$A$254,0)),""))</f>
        <v>0</v>
      </c>
      <c r="L396" s="23">
        <f>IF(J396="","",IFERROR(INDEX(Properties!$F$5:$F$254,MATCH(J396,Properties!$A$5:$A$254,0)),""))</f>
        <v>0</v>
      </c>
      <c r="AD396" s="34">
        <f>IF(G396="","",IF(U396&lt;&gt;"",U396,IF(AND(IFERROR(INDEX(Services!$D$5:$D$64,MATCH(M396,Services!$B$5:$B$64,0)),"")="Per hour",IFERROR(INDEX(Properties!$X$5:$X$254,MATCH(J396,Properties!$A$5:$A$254,0)),0)&gt;0),IFERROR(INDEX(Properties!$X$5:$X$254,MATCH(J396,Properties!$A$5:$A$254,0)),0),IF(IFERROR(INDEX(Services!$G$5:$G$64,MATCH(M396,Services!$B$5:$B$64,0)),0)&gt;0,IFERROR(INDEX(Services!$G$5:$G$64,MATCH(M396,Services!$B$5:$B$64,0)),0),IFERROR(INDEX(Properties!$X$5:$X$254,MATCH(J396,Properties!$A$5:$A$254,0)),0)))))</f>
        <v>0</v>
      </c>
      <c r="AE396" s="31">
        <f>IF(G396="","",IF(T396="",CleanersPerJob,MAX(1,T396)))</f>
        <v>0</v>
      </c>
      <c r="AF396" s="34">
        <f>IF(G396="","",ROUND(AD396/AE396,2))</f>
        <v>0</v>
      </c>
      <c r="AG396" s="53">
        <f>IF(OR(G396="",F396="",AF396=""),"",F396+AF396/24)</f>
        <v>0</v>
      </c>
      <c r="AH396" s="21">
        <f>IF(G396="","",IF(IFERROR(INDEX(Clients!$O$5:$O$204,MATCH(G396,Clients!$A$5:$A$204,0)),0)&gt;0,IFERROR(INDEX(Clients!$O$5:$O$204,MATCH(G396,Clients!$A$5:$A$204,0)),0),HourlyRate))</f>
        <v>0</v>
      </c>
      <c r="AI396" s="21">
        <f>IF(G396="","",IF(AND(M396&lt;&gt;"",IFERROR(INDEX(Services!$P$5:$P$64,MATCH(M396,Services!$B$5:$B$64,0)),0)&gt;0,IFERROR(INDEX(Services!$D$5:$D$64,MATCH(M396,Services!$B$5:$B$64,0)),"")&lt;&gt;"Per hour"),IFERROR(INDEX(Services!$P$5:$P$64,MATCH(M396,Services!$B$5:$B$64,0)),0),AD396*AH396))</f>
        <v>0</v>
      </c>
      <c r="AJ396" s="21">
        <f>IF(G396="","",IF(V396&lt;&gt;"",V396,IF(P396="Cancelled",0,MAX(MinimumCharge,ROUND(AI396*IFERROR(INDEX(FreqFactors,MATCH(O396,FreqNames,0)),1),2)))))</f>
        <v>0</v>
      </c>
      <c r="AK396" s="34">
        <f>IF(G396="","",IF(SUMIFS(Timesheets!$U$5:$U$804,Timesheets!$G$5:$G$804,A396)&gt;0,SUMIFS(Timesheets!$U$5:$U$804,Timesheets!$G$5:$G$804,A396),IF(Z396="","",Z396)))</f>
        <v>0</v>
      </c>
      <c r="AL396" s="34">
        <f>IF(OR(AK396="",AD396=""),"",AK396-AD396)</f>
        <v>0</v>
      </c>
      <c r="AM396" s="31">
        <f>IF(A396="","",COUNTIFS('Job Tasks'!$B$5:$B$904,A396))</f>
        <v>0</v>
      </c>
      <c r="AN396" s="31">
        <f>IF(A396="","",COUNTIFS('Job Tasks'!$B$5:$B$904,A396,'Job Tasks'!$H$5:$H$904,"Done"))</f>
        <v>0</v>
      </c>
      <c r="AO396" s="38">
        <f>IF(OR(A396="",AM396=0),"",AN396/AM396)</f>
        <v>0</v>
      </c>
      <c r="AP396" s="43">
        <f>IF(A396="","",IFERROR(INDEX('Invoice Lines'!$B$5:$B$804,MATCH(A396,'Invoice Lines'!$C$5:$C$804,0)),""))</f>
        <v>0</v>
      </c>
      <c r="AQ396" s="18">
        <f>IF(OR(G396="",B396="",X396&lt;&gt;"Yes"),"",IF(IFERROR(INDEX(FreqDays,MATCH(O396,FreqNames,0)),0)=0,"",B396+IFERROR(INDEX(FreqDays,MATCH(O396,FreqNames,0)),0)))</f>
        <v>0</v>
      </c>
      <c r="AR396" s="39">
        <f>IF(G396="","",IF(R396="","Unassigned",IF(COUNTIFS($R$5:$R$604,R396,$B$5:$B$604,B396,$F$5:$F$604,F396)&gt;1,"Clash",IF(SUMIFS($AF$5:$AF$604,$R$5:$R$604,R396,$B$5:$B$604,B396)&gt;ProductiveHours,"Long day","OK"))))</f>
        <v>0</v>
      </c>
      <c r="AS396" s="18">
        <f>IF(OR(G396="",B396=""),"",IF(AND(B396&gt;=TodayDate,P396&lt;&gt;"Cancelled"),B396,""))</f>
        <v>0</v>
      </c>
      <c r="AT396" s="31">
        <f>IF(AS396="","",COUNTIFS($AS$5:$AS$604,"&lt;"&amp;AS396)+COUNTIFS($AS$5:AS396,AS396))</f>
        <v>0</v>
      </c>
      <c r="AU396" s="18">
        <f>IF(OR(G396="",B396="",R396&lt;&gt;""),"",IF(AND(B396&gt;=TodayDate,P396&lt;&gt;"Cancelled"),B396,""))</f>
        <v>0</v>
      </c>
      <c r="AV396" s="31">
        <f>IF(AU396="","",COUNTIFS($AU$5:$AU$604,"&lt;"&amp;AU396)+COUNTIFS($AU$5:AU396,AU396))</f>
        <v>0</v>
      </c>
      <c r="AW396" s="31">
        <f>IF(OR(G396="",B396=""),"",B396-TodayDate)</f>
        <v>0</v>
      </c>
      <c r="AX396" s="39">
        <f>IF(G396="","",IF(P396="Cancelled","Cancelled",IF(P396="No access","Action - no access, rebook",IF(AND(B396&lt;&gt;"",AW396&lt;0,OR(P396="Booked",P396="Confirmed",P396="In progress")),"Late - mark it completed",IF(AND(P396="Completed",AP396=""),"Action - not invoiced yet",IF(AND(AW396&gt;=0,AW396&lt;=ReminderDays,Y396&lt;&gt;"Yes"),"Confirm - visit coming up",IF(R396="","Assign - no cleaner booked",IF(AND(P396="Completed",AO396&lt;&gt;"",AO396&lt;1),"Check - checklist unfinished","OK"))))))))</f>
        <v>0</v>
      </c>
    </row>
    <row r="397" spans="1:50">
      <c r="A397" s="43">
        <f>IF(G397="","",JobPrefix&amp;TEXT(ROW()-4,"0000"))</f>
        <v>0</v>
      </c>
      <c r="C397" s="23">
        <f>IF(B397="","",TEXT(B397,"ddd"))</f>
        <v>0</v>
      </c>
      <c r="D397" s="31">
        <f>IF(B397="","",WEEKNUM(B397,IF(WeekStart="Sunday",1,2)))</f>
        <v>0</v>
      </c>
      <c r="E397" s="23">
        <f>IF(B397="","",TEXT(B397,"yyyy-mm"))</f>
        <v>0</v>
      </c>
      <c r="H397" s="23">
        <f>IF(G397="","",IFERROR(INDEX(Clients!$B$5:$B$204,MATCH(G397,Clients!$A$5:$A$204,0)),"Not found"))</f>
        <v>0</v>
      </c>
      <c r="I397" s="23">
        <f>IF(G397="","",IFERROR(INDEX(Clients!$C$5:$C$204,MATCH(G397,Clients!$A$5:$A$204,0)),""))</f>
        <v>0</v>
      </c>
      <c r="K397" s="23">
        <f>IF(J397="","",IFERROR(INDEX(Properties!$B$5:$B$254,MATCH(J397,Properties!$A$5:$A$254,0)),""))</f>
        <v>0</v>
      </c>
      <c r="L397" s="23">
        <f>IF(J397="","",IFERROR(INDEX(Properties!$F$5:$F$254,MATCH(J397,Properties!$A$5:$A$254,0)),""))</f>
        <v>0</v>
      </c>
      <c r="AD397" s="34">
        <f>IF(G397="","",IF(U397&lt;&gt;"",U397,IF(AND(IFERROR(INDEX(Services!$D$5:$D$64,MATCH(M397,Services!$B$5:$B$64,0)),"")="Per hour",IFERROR(INDEX(Properties!$X$5:$X$254,MATCH(J397,Properties!$A$5:$A$254,0)),0)&gt;0),IFERROR(INDEX(Properties!$X$5:$X$254,MATCH(J397,Properties!$A$5:$A$254,0)),0),IF(IFERROR(INDEX(Services!$G$5:$G$64,MATCH(M397,Services!$B$5:$B$64,0)),0)&gt;0,IFERROR(INDEX(Services!$G$5:$G$64,MATCH(M397,Services!$B$5:$B$64,0)),0),IFERROR(INDEX(Properties!$X$5:$X$254,MATCH(J397,Properties!$A$5:$A$254,0)),0)))))</f>
        <v>0</v>
      </c>
      <c r="AE397" s="31">
        <f>IF(G397="","",IF(T397="",CleanersPerJob,MAX(1,T397)))</f>
        <v>0</v>
      </c>
      <c r="AF397" s="34">
        <f>IF(G397="","",ROUND(AD397/AE397,2))</f>
        <v>0</v>
      </c>
      <c r="AG397" s="53">
        <f>IF(OR(G397="",F397="",AF397=""),"",F397+AF397/24)</f>
        <v>0</v>
      </c>
      <c r="AH397" s="21">
        <f>IF(G397="","",IF(IFERROR(INDEX(Clients!$O$5:$O$204,MATCH(G397,Clients!$A$5:$A$204,0)),0)&gt;0,IFERROR(INDEX(Clients!$O$5:$O$204,MATCH(G397,Clients!$A$5:$A$204,0)),0),HourlyRate))</f>
        <v>0</v>
      </c>
      <c r="AI397" s="21">
        <f>IF(G397="","",IF(AND(M397&lt;&gt;"",IFERROR(INDEX(Services!$P$5:$P$64,MATCH(M397,Services!$B$5:$B$64,0)),0)&gt;0,IFERROR(INDEX(Services!$D$5:$D$64,MATCH(M397,Services!$B$5:$B$64,0)),"")&lt;&gt;"Per hour"),IFERROR(INDEX(Services!$P$5:$P$64,MATCH(M397,Services!$B$5:$B$64,0)),0),AD397*AH397))</f>
        <v>0</v>
      </c>
      <c r="AJ397" s="21">
        <f>IF(G397="","",IF(V397&lt;&gt;"",V397,IF(P397="Cancelled",0,MAX(MinimumCharge,ROUND(AI397*IFERROR(INDEX(FreqFactors,MATCH(O397,FreqNames,0)),1),2)))))</f>
        <v>0</v>
      </c>
      <c r="AK397" s="34">
        <f>IF(G397="","",IF(SUMIFS(Timesheets!$U$5:$U$804,Timesheets!$G$5:$G$804,A397)&gt;0,SUMIFS(Timesheets!$U$5:$U$804,Timesheets!$G$5:$G$804,A397),IF(Z397="","",Z397)))</f>
        <v>0</v>
      </c>
      <c r="AL397" s="34">
        <f>IF(OR(AK397="",AD397=""),"",AK397-AD397)</f>
        <v>0</v>
      </c>
      <c r="AM397" s="31">
        <f>IF(A397="","",COUNTIFS('Job Tasks'!$B$5:$B$904,A397))</f>
        <v>0</v>
      </c>
      <c r="AN397" s="31">
        <f>IF(A397="","",COUNTIFS('Job Tasks'!$B$5:$B$904,A397,'Job Tasks'!$H$5:$H$904,"Done"))</f>
        <v>0</v>
      </c>
      <c r="AO397" s="38">
        <f>IF(OR(A397="",AM397=0),"",AN397/AM397)</f>
        <v>0</v>
      </c>
      <c r="AP397" s="43">
        <f>IF(A397="","",IFERROR(INDEX('Invoice Lines'!$B$5:$B$804,MATCH(A397,'Invoice Lines'!$C$5:$C$804,0)),""))</f>
        <v>0</v>
      </c>
      <c r="AQ397" s="18">
        <f>IF(OR(G397="",B397="",X397&lt;&gt;"Yes"),"",IF(IFERROR(INDEX(FreqDays,MATCH(O397,FreqNames,0)),0)=0,"",B397+IFERROR(INDEX(FreqDays,MATCH(O397,FreqNames,0)),0)))</f>
        <v>0</v>
      </c>
      <c r="AR397" s="39">
        <f>IF(G397="","",IF(R397="","Unassigned",IF(COUNTIFS($R$5:$R$604,R397,$B$5:$B$604,B397,$F$5:$F$604,F397)&gt;1,"Clash",IF(SUMIFS($AF$5:$AF$604,$R$5:$R$604,R397,$B$5:$B$604,B397)&gt;ProductiveHours,"Long day","OK"))))</f>
        <v>0</v>
      </c>
      <c r="AS397" s="18">
        <f>IF(OR(G397="",B397=""),"",IF(AND(B397&gt;=TodayDate,P397&lt;&gt;"Cancelled"),B397,""))</f>
        <v>0</v>
      </c>
      <c r="AT397" s="31">
        <f>IF(AS397="","",COUNTIFS($AS$5:$AS$604,"&lt;"&amp;AS397)+COUNTIFS($AS$5:AS397,AS397))</f>
        <v>0</v>
      </c>
      <c r="AU397" s="18">
        <f>IF(OR(G397="",B397="",R397&lt;&gt;""),"",IF(AND(B397&gt;=TodayDate,P397&lt;&gt;"Cancelled"),B397,""))</f>
        <v>0</v>
      </c>
      <c r="AV397" s="31">
        <f>IF(AU397="","",COUNTIFS($AU$5:$AU$604,"&lt;"&amp;AU397)+COUNTIFS($AU$5:AU397,AU397))</f>
        <v>0</v>
      </c>
      <c r="AW397" s="31">
        <f>IF(OR(G397="",B397=""),"",B397-TodayDate)</f>
        <v>0</v>
      </c>
      <c r="AX397" s="39">
        <f>IF(G397="","",IF(P397="Cancelled","Cancelled",IF(P397="No access","Action - no access, rebook",IF(AND(B397&lt;&gt;"",AW397&lt;0,OR(P397="Booked",P397="Confirmed",P397="In progress")),"Late - mark it completed",IF(AND(P397="Completed",AP397=""),"Action - not invoiced yet",IF(AND(AW397&gt;=0,AW397&lt;=ReminderDays,Y397&lt;&gt;"Yes"),"Confirm - visit coming up",IF(R397="","Assign - no cleaner booked",IF(AND(P397="Completed",AO397&lt;&gt;"",AO397&lt;1),"Check - checklist unfinished","OK"))))))))</f>
        <v>0</v>
      </c>
    </row>
    <row r="398" spans="1:50">
      <c r="A398" s="43">
        <f>IF(G398="","",JobPrefix&amp;TEXT(ROW()-4,"0000"))</f>
        <v>0</v>
      </c>
      <c r="C398" s="23">
        <f>IF(B398="","",TEXT(B398,"ddd"))</f>
        <v>0</v>
      </c>
      <c r="D398" s="31">
        <f>IF(B398="","",WEEKNUM(B398,IF(WeekStart="Sunday",1,2)))</f>
        <v>0</v>
      </c>
      <c r="E398" s="23">
        <f>IF(B398="","",TEXT(B398,"yyyy-mm"))</f>
        <v>0</v>
      </c>
      <c r="H398" s="23">
        <f>IF(G398="","",IFERROR(INDEX(Clients!$B$5:$B$204,MATCH(G398,Clients!$A$5:$A$204,0)),"Not found"))</f>
        <v>0</v>
      </c>
      <c r="I398" s="23">
        <f>IF(G398="","",IFERROR(INDEX(Clients!$C$5:$C$204,MATCH(G398,Clients!$A$5:$A$204,0)),""))</f>
        <v>0</v>
      </c>
      <c r="K398" s="23">
        <f>IF(J398="","",IFERROR(INDEX(Properties!$B$5:$B$254,MATCH(J398,Properties!$A$5:$A$254,0)),""))</f>
        <v>0</v>
      </c>
      <c r="L398" s="23">
        <f>IF(J398="","",IFERROR(INDEX(Properties!$F$5:$F$254,MATCH(J398,Properties!$A$5:$A$254,0)),""))</f>
        <v>0</v>
      </c>
      <c r="AD398" s="34">
        <f>IF(G398="","",IF(U398&lt;&gt;"",U398,IF(AND(IFERROR(INDEX(Services!$D$5:$D$64,MATCH(M398,Services!$B$5:$B$64,0)),"")="Per hour",IFERROR(INDEX(Properties!$X$5:$X$254,MATCH(J398,Properties!$A$5:$A$254,0)),0)&gt;0),IFERROR(INDEX(Properties!$X$5:$X$254,MATCH(J398,Properties!$A$5:$A$254,0)),0),IF(IFERROR(INDEX(Services!$G$5:$G$64,MATCH(M398,Services!$B$5:$B$64,0)),0)&gt;0,IFERROR(INDEX(Services!$G$5:$G$64,MATCH(M398,Services!$B$5:$B$64,0)),0),IFERROR(INDEX(Properties!$X$5:$X$254,MATCH(J398,Properties!$A$5:$A$254,0)),0)))))</f>
        <v>0</v>
      </c>
      <c r="AE398" s="31">
        <f>IF(G398="","",IF(T398="",CleanersPerJob,MAX(1,T398)))</f>
        <v>0</v>
      </c>
      <c r="AF398" s="34">
        <f>IF(G398="","",ROUND(AD398/AE398,2))</f>
        <v>0</v>
      </c>
      <c r="AG398" s="53">
        <f>IF(OR(G398="",F398="",AF398=""),"",F398+AF398/24)</f>
        <v>0</v>
      </c>
      <c r="AH398" s="21">
        <f>IF(G398="","",IF(IFERROR(INDEX(Clients!$O$5:$O$204,MATCH(G398,Clients!$A$5:$A$204,0)),0)&gt;0,IFERROR(INDEX(Clients!$O$5:$O$204,MATCH(G398,Clients!$A$5:$A$204,0)),0),HourlyRate))</f>
        <v>0</v>
      </c>
      <c r="AI398" s="21">
        <f>IF(G398="","",IF(AND(M398&lt;&gt;"",IFERROR(INDEX(Services!$P$5:$P$64,MATCH(M398,Services!$B$5:$B$64,0)),0)&gt;0,IFERROR(INDEX(Services!$D$5:$D$64,MATCH(M398,Services!$B$5:$B$64,0)),"")&lt;&gt;"Per hour"),IFERROR(INDEX(Services!$P$5:$P$64,MATCH(M398,Services!$B$5:$B$64,0)),0),AD398*AH398))</f>
        <v>0</v>
      </c>
      <c r="AJ398" s="21">
        <f>IF(G398="","",IF(V398&lt;&gt;"",V398,IF(P398="Cancelled",0,MAX(MinimumCharge,ROUND(AI398*IFERROR(INDEX(FreqFactors,MATCH(O398,FreqNames,0)),1),2)))))</f>
        <v>0</v>
      </c>
      <c r="AK398" s="34">
        <f>IF(G398="","",IF(SUMIFS(Timesheets!$U$5:$U$804,Timesheets!$G$5:$G$804,A398)&gt;0,SUMIFS(Timesheets!$U$5:$U$804,Timesheets!$G$5:$G$804,A398),IF(Z398="","",Z398)))</f>
        <v>0</v>
      </c>
      <c r="AL398" s="34">
        <f>IF(OR(AK398="",AD398=""),"",AK398-AD398)</f>
        <v>0</v>
      </c>
      <c r="AM398" s="31">
        <f>IF(A398="","",COUNTIFS('Job Tasks'!$B$5:$B$904,A398))</f>
        <v>0</v>
      </c>
      <c r="AN398" s="31">
        <f>IF(A398="","",COUNTIFS('Job Tasks'!$B$5:$B$904,A398,'Job Tasks'!$H$5:$H$904,"Done"))</f>
        <v>0</v>
      </c>
      <c r="AO398" s="38">
        <f>IF(OR(A398="",AM398=0),"",AN398/AM398)</f>
        <v>0</v>
      </c>
      <c r="AP398" s="43">
        <f>IF(A398="","",IFERROR(INDEX('Invoice Lines'!$B$5:$B$804,MATCH(A398,'Invoice Lines'!$C$5:$C$804,0)),""))</f>
        <v>0</v>
      </c>
      <c r="AQ398" s="18">
        <f>IF(OR(G398="",B398="",X398&lt;&gt;"Yes"),"",IF(IFERROR(INDEX(FreqDays,MATCH(O398,FreqNames,0)),0)=0,"",B398+IFERROR(INDEX(FreqDays,MATCH(O398,FreqNames,0)),0)))</f>
        <v>0</v>
      </c>
      <c r="AR398" s="39">
        <f>IF(G398="","",IF(R398="","Unassigned",IF(COUNTIFS($R$5:$R$604,R398,$B$5:$B$604,B398,$F$5:$F$604,F398)&gt;1,"Clash",IF(SUMIFS($AF$5:$AF$604,$R$5:$R$604,R398,$B$5:$B$604,B398)&gt;ProductiveHours,"Long day","OK"))))</f>
        <v>0</v>
      </c>
      <c r="AS398" s="18">
        <f>IF(OR(G398="",B398=""),"",IF(AND(B398&gt;=TodayDate,P398&lt;&gt;"Cancelled"),B398,""))</f>
        <v>0</v>
      </c>
      <c r="AT398" s="31">
        <f>IF(AS398="","",COUNTIFS($AS$5:$AS$604,"&lt;"&amp;AS398)+COUNTIFS($AS$5:AS398,AS398))</f>
        <v>0</v>
      </c>
      <c r="AU398" s="18">
        <f>IF(OR(G398="",B398="",R398&lt;&gt;""),"",IF(AND(B398&gt;=TodayDate,P398&lt;&gt;"Cancelled"),B398,""))</f>
        <v>0</v>
      </c>
      <c r="AV398" s="31">
        <f>IF(AU398="","",COUNTIFS($AU$5:$AU$604,"&lt;"&amp;AU398)+COUNTIFS($AU$5:AU398,AU398))</f>
        <v>0</v>
      </c>
      <c r="AW398" s="31">
        <f>IF(OR(G398="",B398=""),"",B398-TodayDate)</f>
        <v>0</v>
      </c>
      <c r="AX398" s="39">
        <f>IF(G398="","",IF(P398="Cancelled","Cancelled",IF(P398="No access","Action - no access, rebook",IF(AND(B398&lt;&gt;"",AW398&lt;0,OR(P398="Booked",P398="Confirmed",P398="In progress")),"Late - mark it completed",IF(AND(P398="Completed",AP398=""),"Action - not invoiced yet",IF(AND(AW398&gt;=0,AW398&lt;=ReminderDays,Y398&lt;&gt;"Yes"),"Confirm - visit coming up",IF(R398="","Assign - no cleaner booked",IF(AND(P398="Completed",AO398&lt;&gt;"",AO398&lt;1),"Check - checklist unfinished","OK"))))))))</f>
        <v>0</v>
      </c>
    </row>
    <row r="399" spans="1:50">
      <c r="A399" s="43">
        <f>IF(G399="","",JobPrefix&amp;TEXT(ROW()-4,"0000"))</f>
        <v>0</v>
      </c>
      <c r="C399" s="23">
        <f>IF(B399="","",TEXT(B399,"ddd"))</f>
        <v>0</v>
      </c>
      <c r="D399" s="31">
        <f>IF(B399="","",WEEKNUM(B399,IF(WeekStart="Sunday",1,2)))</f>
        <v>0</v>
      </c>
      <c r="E399" s="23">
        <f>IF(B399="","",TEXT(B399,"yyyy-mm"))</f>
        <v>0</v>
      </c>
      <c r="H399" s="23">
        <f>IF(G399="","",IFERROR(INDEX(Clients!$B$5:$B$204,MATCH(G399,Clients!$A$5:$A$204,0)),"Not found"))</f>
        <v>0</v>
      </c>
      <c r="I399" s="23">
        <f>IF(G399="","",IFERROR(INDEX(Clients!$C$5:$C$204,MATCH(G399,Clients!$A$5:$A$204,0)),""))</f>
        <v>0</v>
      </c>
      <c r="K399" s="23">
        <f>IF(J399="","",IFERROR(INDEX(Properties!$B$5:$B$254,MATCH(J399,Properties!$A$5:$A$254,0)),""))</f>
        <v>0</v>
      </c>
      <c r="L399" s="23">
        <f>IF(J399="","",IFERROR(INDEX(Properties!$F$5:$F$254,MATCH(J399,Properties!$A$5:$A$254,0)),""))</f>
        <v>0</v>
      </c>
      <c r="AD399" s="34">
        <f>IF(G399="","",IF(U399&lt;&gt;"",U399,IF(AND(IFERROR(INDEX(Services!$D$5:$D$64,MATCH(M399,Services!$B$5:$B$64,0)),"")="Per hour",IFERROR(INDEX(Properties!$X$5:$X$254,MATCH(J399,Properties!$A$5:$A$254,0)),0)&gt;0),IFERROR(INDEX(Properties!$X$5:$X$254,MATCH(J399,Properties!$A$5:$A$254,0)),0),IF(IFERROR(INDEX(Services!$G$5:$G$64,MATCH(M399,Services!$B$5:$B$64,0)),0)&gt;0,IFERROR(INDEX(Services!$G$5:$G$64,MATCH(M399,Services!$B$5:$B$64,0)),0),IFERROR(INDEX(Properties!$X$5:$X$254,MATCH(J399,Properties!$A$5:$A$254,0)),0)))))</f>
        <v>0</v>
      </c>
      <c r="AE399" s="31">
        <f>IF(G399="","",IF(T399="",CleanersPerJob,MAX(1,T399)))</f>
        <v>0</v>
      </c>
      <c r="AF399" s="34">
        <f>IF(G399="","",ROUND(AD399/AE399,2))</f>
        <v>0</v>
      </c>
      <c r="AG399" s="53">
        <f>IF(OR(G399="",F399="",AF399=""),"",F399+AF399/24)</f>
        <v>0</v>
      </c>
      <c r="AH399" s="21">
        <f>IF(G399="","",IF(IFERROR(INDEX(Clients!$O$5:$O$204,MATCH(G399,Clients!$A$5:$A$204,0)),0)&gt;0,IFERROR(INDEX(Clients!$O$5:$O$204,MATCH(G399,Clients!$A$5:$A$204,0)),0),HourlyRate))</f>
        <v>0</v>
      </c>
      <c r="AI399" s="21">
        <f>IF(G399="","",IF(AND(M399&lt;&gt;"",IFERROR(INDEX(Services!$P$5:$P$64,MATCH(M399,Services!$B$5:$B$64,0)),0)&gt;0,IFERROR(INDEX(Services!$D$5:$D$64,MATCH(M399,Services!$B$5:$B$64,0)),"")&lt;&gt;"Per hour"),IFERROR(INDEX(Services!$P$5:$P$64,MATCH(M399,Services!$B$5:$B$64,0)),0),AD399*AH399))</f>
        <v>0</v>
      </c>
      <c r="AJ399" s="21">
        <f>IF(G399="","",IF(V399&lt;&gt;"",V399,IF(P399="Cancelled",0,MAX(MinimumCharge,ROUND(AI399*IFERROR(INDEX(FreqFactors,MATCH(O399,FreqNames,0)),1),2)))))</f>
        <v>0</v>
      </c>
      <c r="AK399" s="34">
        <f>IF(G399="","",IF(SUMIFS(Timesheets!$U$5:$U$804,Timesheets!$G$5:$G$804,A399)&gt;0,SUMIFS(Timesheets!$U$5:$U$804,Timesheets!$G$5:$G$804,A399),IF(Z399="","",Z399)))</f>
        <v>0</v>
      </c>
      <c r="AL399" s="34">
        <f>IF(OR(AK399="",AD399=""),"",AK399-AD399)</f>
        <v>0</v>
      </c>
      <c r="AM399" s="31">
        <f>IF(A399="","",COUNTIFS('Job Tasks'!$B$5:$B$904,A399))</f>
        <v>0</v>
      </c>
      <c r="AN399" s="31">
        <f>IF(A399="","",COUNTIFS('Job Tasks'!$B$5:$B$904,A399,'Job Tasks'!$H$5:$H$904,"Done"))</f>
        <v>0</v>
      </c>
      <c r="AO399" s="38">
        <f>IF(OR(A399="",AM399=0),"",AN399/AM399)</f>
        <v>0</v>
      </c>
      <c r="AP399" s="43">
        <f>IF(A399="","",IFERROR(INDEX('Invoice Lines'!$B$5:$B$804,MATCH(A399,'Invoice Lines'!$C$5:$C$804,0)),""))</f>
        <v>0</v>
      </c>
      <c r="AQ399" s="18">
        <f>IF(OR(G399="",B399="",X399&lt;&gt;"Yes"),"",IF(IFERROR(INDEX(FreqDays,MATCH(O399,FreqNames,0)),0)=0,"",B399+IFERROR(INDEX(FreqDays,MATCH(O399,FreqNames,0)),0)))</f>
        <v>0</v>
      </c>
      <c r="AR399" s="39">
        <f>IF(G399="","",IF(R399="","Unassigned",IF(COUNTIFS($R$5:$R$604,R399,$B$5:$B$604,B399,$F$5:$F$604,F399)&gt;1,"Clash",IF(SUMIFS($AF$5:$AF$604,$R$5:$R$604,R399,$B$5:$B$604,B399)&gt;ProductiveHours,"Long day","OK"))))</f>
        <v>0</v>
      </c>
      <c r="AS399" s="18">
        <f>IF(OR(G399="",B399=""),"",IF(AND(B399&gt;=TodayDate,P399&lt;&gt;"Cancelled"),B399,""))</f>
        <v>0</v>
      </c>
      <c r="AT399" s="31">
        <f>IF(AS399="","",COUNTIFS($AS$5:$AS$604,"&lt;"&amp;AS399)+COUNTIFS($AS$5:AS399,AS399))</f>
        <v>0</v>
      </c>
      <c r="AU399" s="18">
        <f>IF(OR(G399="",B399="",R399&lt;&gt;""),"",IF(AND(B399&gt;=TodayDate,P399&lt;&gt;"Cancelled"),B399,""))</f>
        <v>0</v>
      </c>
      <c r="AV399" s="31">
        <f>IF(AU399="","",COUNTIFS($AU$5:$AU$604,"&lt;"&amp;AU399)+COUNTIFS($AU$5:AU399,AU399))</f>
        <v>0</v>
      </c>
      <c r="AW399" s="31">
        <f>IF(OR(G399="",B399=""),"",B399-TodayDate)</f>
        <v>0</v>
      </c>
      <c r="AX399" s="39">
        <f>IF(G399="","",IF(P399="Cancelled","Cancelled",IF(P399="No access","Action - no access, rebook",IF(AND(B399&lt;&gt;"",AW399&lt;0,OR(P399="Booked",P399="Confirmed",P399="In progress")),"Late - mark it completed",IF(AND(P399="Completed",AP399=""),"Action - not invoiced yet",IF(AND(AW399&gt;=0,AW399&lt;=ReminderDays,Y399&lt;&gt;"Yes"),"Confirm - visit coming up",IF(R399="","Assign - no cleaner booked",IF(AND(P399="Completed",AO399&lt;&gt;"",AO399&lt;1),"Check - checklist unfinished","OK"))))))))</f>
        <v>0</v>
      </c>
    </row>
    <row r="400" spans="1:50">
      <c r="A400" s="43">
        <f>IF(G400="","",JobPrefix&amp;TEXT(ROW()-4,"0000"))</f>
        <v>0</v>
      </c>
      <c r="C400" s="23">
        <f>IF(B400="","",TEXT(B400,"ddd"))</f>
        <v>0</v>
      </c>
      <c r="D400" s="31">
        <f>IF(B400="","",WEEKNUM(B400,IF(WeekStart="Sunday",1,2)))</f>
        <v>0</v>
      </c>
      <c r="E400" s="23">
        <f>IF(B400="","",TEXT(B400,"yyyy-mm"))</f>
        <v>0</v>
      </c>
      <c r="H400" s="23">
        <f>IF(G400="","",IFERROR(INDEX(Clients!$B$5:$B$204,MATCH(G400,Clients!$A$5:$A$204,0)),"Not found"))</f>
        <v>0</v>
      </c>
      <c r="I400" s="23">
        <f>IF(G400="","",IFERROR(INDEX(Clients!$C$5:$C$204,MATCH(G400,Clients!$A$5:$A$204,0)),""))</f>
        <v>0</v>
      </c>
      <c r="K400" s="23">
        <f>IF(J400="","",IFERROR(INDEX(Properties!$B$5:$B$254,MATCH(J400,Properties!$A$5:$A$254,0)),""))</f>
        <v>0</v>
      </c>
      <c r="L400" s="23">
        <f>IF(J400="","",IFERROR(INDEX(Properties!$F$5:$F$254,MATCH(J400,Properties!$A$5:$A$254,0)),""))</f>
        <v>0</v>
      </c>
      <c r="AD400" s="34">
        <f>IF(G400="","",IF(U400&lt;&gt;"",U400,IF(AND(IFERROR(INDEX(Services!$D$5:$D$64,MATCH(M400,Services!$B$5:$B$64,0)),"")="Per hour",IFERROR(INDEX(Properties!$X$5:$X$254,MATCH(J400,Properties!$A$5:$A$254,0)),0)&gt;0),IFERROR(INDEX(Properties!$X$5:$X$254,MATCH(J400,Properties!$A$5:$A$254,0)),0),IF(IFERROR(INDEX(Services!$G$5:$G$64,MATCH(M400,Services!$B$5:$B$64,0)),0)&gt;0,IFERROR(INDEX(Services!$G$5:$G$64,MATCH(M400,Services!$B$5:$B$64,0)),0),IFERROR(INDEX(Properties!$X$5:$X$254,MATCH(J400,Properties!$A$5:$A$254,0)),0)))))</f>
        <v>0</v>
      </c>
      <c r="AE400" s="31">
        <f>IF(G400="","",IF(T400="",CleanersPerJob,MAX(1,T400)))</f>
        <v>0</v>
      </c>
      <c r="AF400" s="34">
        <f>IF(G400="","",ROUND(AD400/AE400,2))</f>
        <v>0</v>
      </c>
      <c r="AG400" s="53">
        <f>IF(OR(G400="",F400="",AF400=""),"",F400+AF400/24)</f>
        <v>0</v>
      </c>
      <c r="AH400" s="21">
        <f>IF(G400="","",IF(IFERROR(INDEX(Clients!$O$5:$O$204,MATCH(G400,Clients!$A$5:$A$204,0)),0)&gt;0,IFERROR(INDEX(Clients!$O$5:$O$204,MATCH(G400,Clients!$A$5:$A$204,0)),0),HourlyRate))</f>
        <v>0</v>
      </c>
      <c r="AI400" s="21">
        <f>IF(G400="","",IF(AND(M400&lt;&gt;"",IFERROR(INDEX(Services!$P$5:$P$64,MATCH(M400,Services!$B$5:$B$64,0)),0)&gt;0,IFERROR(INDEX(Services!$D$5:$D$64,MATCH(M400,Services!$B$5:$B$64,0)),"")&lt;&gt;"Per hour"),IFERROR(INDEX(Services!$P$5:$P$64,MATCH(M400,Services!$B$5:$B$64,0)),0),AD400*AH400))</f>
        <v>0</v>
      </c>
      <c r="AJ400" s="21">
        <f>IF(G400="","",IF(V400&lt;&gt;"",V400,IF(P400="Cancelled",0,MAX(MinimumCharge,ROUND(AI400*IFERROR(INDEX(FreqFactors,MATCH(O400,FreqNames,0)),1),2)))))</f>
        <v>0</v>
      </c>
      <c r="AK400" s="34">
        <f>IF(G400="","",IF(SUMIFS(Timesheets!$U$5:$U$804,Timesheets!$G$5:$G$804,A400)&gt;0,SUMIFS(Timesheets!$U$5:$U$804,Timesheets!$G$5:$G$804,A400),IF(Z400="","",Z400)))</f>
        <v>0</v>
      </c>
      <c r="AL400" s="34">
        <f>IF(OR(AK400="",AD400=""),"",AK400-AD400)</f>
        <v>0</v>
      </c>
      <c r="AM400" s="31">
        <f>IF(A400="","",COUNTIFS('Job Tasks'!$B$5:$B$904,A400))</f>
        <v>0</v>
      </c>
      <c r="AN400" s="31">
        <f>IF(A400="","",COUNTIFS('Job Tasks'!$B$5:$B$904,A400,'Job Tasks'!$H$5:$H$904,"Done"))</f>
        <v>0</v>
      </c>
      <c r="AO400" s="38">
        <f>IF(OR(A400="",AM400=0),"",AN400/AM400)</f>
        <v>0</v>
      </c>
      <c r="AP400" s="43">
        <f>IF(A400="","",IFERROR(INDEX('Invoice Lines'!$B$5:$B$804,MATCH(A400,'Invoice Lines'!$C$5:$C$804,0)),""))</f>
        <v>0</v>
      </c>
      <c r="AQ400" s="18">
        <f>IF(OR(G400="",B400="",X400&lt;&gt;"Yes"),"",IF(IFERROR(INDEX(FreqDays,MATCH(O400,FreqNames,0)),0)=0,"",B400+IFERROR(INDEX(FreqDays,MATCH(O400,FreqNames,0)),0)))</f>
        <v>0</v>
      </c>
      <c r="AR400" s="39">
        <f>IF(G400="","",IF(R400="","Unassigned",IF(COUNTIFS($R$5:$R$604,R400,$B$5:$B$604,B400,$F$5:$F$604,F400)&gt;1,"Clash",IF(SUMIFS($AF$5:$AF$604,$R$5:$R$604,R400,$B$5:$B$604,B400)&gt;ProductiveHours,"Long day","OK"))))</f>
        <v>0</v>
      </c>
      <c r="AS400" s="18">
        <f>IF(OR(G400="",B400=""),"",IF(AND(B400&gt;=TodayDate,P400&lt;&gt;"Cancelled"),B400,""))</f>
        <v>0</v>
      </c>
      <c r="AT400" s="31">
        <f>IF(AS400="","",COUNTIFS($AS$5:$AS$604,"&lt;"&amp;AS400)+COUNTIFS($AS$5:AS400,AS400))</f>
        <v>0</v>
      </c>
      <c r="AU400" s="18">
        <f>IF(OR(G400="",B400="",R400&lt;&gt;""),"",IF(AND(B400&gt;=TodayDate,P400&lt;&gt;"Cancelled"),B400,""))</f>
        <v>0</v>
      </c>
      <c r="AV400" s="31">
        <f>IF(AU400="","",COUNTIFS($AU$5:$AU$604,"&lt;"&amp;AU400)+COUNTIFS($AU$5:AU400,AU400))</f>
        <v>0</v>
      </c>
      <c r="AW400" s="31">
        <f>IF(OR(G400="",B400=""),"",B400-TodayDate)</f>
        <v>0</v>
      </c>
      <c r="AX400" s="39">
        <f>IF(G400="","",IF(P400="Cancelled","Cancelled",IF(P400="No access","Action - no access, rebook",IF(AND(B400&lt;&gt;"",AW400&lt;0,OR(P400="Booked",P400="Confirmed",P400="In progress")),"Late - mark it completed",IF(AND(P400="Completed",AP400=""),"Action - not invoiced yet",IF(AND(AW400&gt;=0,AW400&lt;=ReminderDays,Y400&lt;&gt;"Yes"),"Confirm - visit coming up",IF(R400="","Assign - no cleaner booked",IF(AND(P400="Completed",AO400&lt;&gt;"",AO400&lt;1),"Check - checklist unfinished","OK"))))))))</f>
        <v>0</v>
      </c>
    </row>
    <row r="401" spans="1:50">
      <c r="A401" s="43">
        <f>IF(G401="","",JobPrefix&amp;TEXT(ROW()-4,"0000"))</f>
        <v>0</v>
      </c>
      <c r="C401" s="23">
        <f>IF(B401="","",TEXT(B401,"ddd"))</f>
        <v>0</v>
      </c>
      <c r="D401" s="31">
        <f>IF(B401="","",WEEKNUM(B401,IF(WeekStart="Sunday",1,2)))</f>
        <v>0</v>
      </c>
      <c r="E401" s="23">
        <f>IF(B401="","",TEXT(B401,"yyyy-mm"))</f>
        <v>0</v>
      </c>
      <c r="H401" s="23">
        <f>IF(G401="","",IFERROR(INDEX(Clients!$B$5:$B$204,MATCH(G401,Clients!$A$5:$A$204,0)),"Not found"))</f>
        <v>0</v>
      </c>
      <c r="I401" s="23">
        <f>IF(G401="","",IFERROR(INDEX(Clients!$C$5:$C$204,MATCH(G401,Clients!$A$5:$A$204,0)),""))</f>
        <v>0</v>
      </c>
      <c r="K401" s="23">
        <f>IF(J401="","",IFERROR(INDEX(Properties!$B$5:$B$254,MATCH(J401,Properties!$A$5:$A$254,0)),""))</f>
        <v>0</v>
      </c>
      <c r="L401" s="23">
        <f>IF(J401="","",IFERROR(INDEX(Properties!$F$5:$F$254,MATCH(J401,Properties!$A$5:$A$254,0)),""))</f>
        <v>0</v>
      </c>
      <c r="AD401" s="34">
        <f>IF(G401="","",IF(U401&lt;&gt;"",U401,IF(AND(IFERROR(INDEX(Services!$D$5:$D$64,MATCH(M401,Services!$B$5:$B$64,0)),"")="Per hour",IFERROR(INDEX(Properties!$X$5:$X$254,MATCH(J401,Properties!$A$5:$A$254,0)),0)&gt;0),IFERROR(INDEX(Properties!$X$5:$X$254,MATCH(J401,Properties!$A$5:$A$254,0)),0),IF(IFERROR(INDEX(Services!$G$5:$G$64,MATCH(M401,Services!$B$5:$B$64,0)),0)&gt;0,IFERROR(INDEX(Services!$G$5:$G$64,MATCH(M401,Services!$B$5:$B$64,0)),0),IFERROR(INDEX(Properties!$X$5:$X$254,MATCH(J401,Properties!$A$5:$A$254,0)),0)))))</f>
        <v>0</v>
      </c>
      <c r="AE401" s="31">
        <f>IF(G401="","",IF(T401="",CleanersPerJob,MAX(1,T401)))</f>
        <v>0</v>
      </c>
      <c r="AF401" s="34">
        <f>IF(G401="","",ROUND(AD401/AE401,2))</f>
        <v>0</v>
      </c>
      <c r="AG401" s="53">
        <f>IF(OR(G401="",F401="",AF401=""),"",F401+AF401/24)</f>
        <v>0</v>
      </c>
      <c r="AH401" s="21">
        <f>IF(G401="","",IF(IFERROR(INDEX(Clients!$O$5:$O$204,MATCH(G401,Clients!$A$5:$A$204,0)),0)&gt;0,IFERROR(INDEX(Clients!$O$5:$O$204,MATCH(G401,Clients!$A$5:$A$204,0)),0),HourlyRate))</f>
        <v>0</v>
      </c>
      <c r="AI401" s="21">
        <f>IF(G401="","",IF(AND(M401&lt;&gt;"",IFERROR(INDEX(Services!$P$5:$P$64,MATCH(M401,Services!$B$5:$B$64,0)),0)&gt;0,IFERROR(INDEX(Services!$D$5:$D$64,MATCH(M401,Services!$B$5:$B$64,0)),"")&lt;&gt;"Per hour"),IFERROR(INDEX(Services!$P$5:$P$64,MATCH(M401,Services!$B$5:$B$64,0)),0),AD401*AH401))</f>
        <v>0</v>
      </c>
      <c r="AJ401" s="21">
        <f>IF(G401="","",IF(V401&lt;&gt;"",V401,IF(P401="Cancelled",0,MAX(MinimumCharge,ROUND(AI401*IFERROR(INDEX(FreqFactors,MATCH(O401,FreqNames,0)),1),2)))))</f>
        <v>0</v>
      </c>
      <c r="AK401" s="34">
        <f>IF(G401="","",IF(SUMIFS(Timesheets!$U$5:$U$804,Timesheets!$G$5:$G$804,A401)&gt;0,SUMIFS(Timesheets!$U$5:$U$804,Timesheets!$G$5:$G$804,A401),IF(Z401="","",Z401)))</f>
        <v>0</v>
      </c>
      <c r="AL401" s="34">
        <f>IF(OR(AK401="",AD401=""),"",AK401-AD401)</f>
        <v>0</v>
      </c>
      <c r="AM401" s="31">
        <f>IF(A401="","",COUNTIFS('Job Tasks'!$B$5:$B$904,A401))</f>
        <v>0</v>
      </c>
      <c r="AN401" s="31">
        <f>IF(A401="","",COUNTIFS('Job Tasks'!$B$5:$B$904,A401,'Job Tasks'!$H$5:$H$904,"Done"))</f>
        <v>0</v>
      </c>
      <c r="AO401" s="38">
        <f>IF(OR(A401="",AM401=0),"",AN401/AM401)</f>
        <v>0</v>
      </c>
      <c r="AP401" s="43">
        <f>IF(A401="","",IFERROR(INDEX('Invoice Lines'!$B$5:$B$804,MATCH(A401,'Invoice Lines'!$C$5:$C$804,0)),""))</f>
        <v>0</v>
      </c>
      <c r="AQ401" s="18">
        <f>IF(OR(G401="",B401="",X401&lt;&gt;"Yes"),"",IF(IFERROR(INDEX(FreqDays,MATCH(O401,FreqNames,0)),0)=0,"",B401+IFERROR(INDEX(FreqDays,MATCH(O401,FreqNames,0)),0)))</f>
        <v>0</v>
      </c>
      <c r="AR401" s="39">
        <f>IF(G401="","",IF(R401="","Unassigned",IF(COUNTIFS($R$5:$R$604,R401,$B$5:$B$604,B401,$F$5:$F$604,F401)&gt;1,"Clash",IF(SUMIFS($AF$5:$AF$604,$R$5:$R$604,R401,$B$5:$B$604,B401)&gt;ProductiveHours,"Long day","OK"))))</f>
        <v>0</v>
      </c>
      <c r="AS401" s="18">
        <f>IF(OR(G401="",B401=""),"",IF(AND(B401&gt;=TodayDate,P401&lt;&gt;"Cancelled"),B401,""))</f>
        <v>0</v>
      </c>
      <c r="AT401" s="31">
        <f>IF(AS401="","",COUNTIFS($AS$5:$AS$604,"&lt;"&amp;AS401)+COUNTIFS($AS$5:AS401,AS401))</f>
        <v>0</v>
      </c>
      <c r="AU401" s="18">
        <f>IF(OR(G401="",B401="",R401&lt;&gt;""),"",IF(AND(B401&gt;=TodayDate,P401&lt;&gt;"Cancelled"),B401,""))</f>
        <v>0</v>
      </c>
      <c r="AV401" s="31">
        <f>IF(AU401="","",COUNTIFS($AU$5:$AU$604,"&lt;"&amp;AU401)+COUNTIFS($AU$5:AU401,AU401))</f>
        <v>0</v>
      </c>
      <c r="AW401" s="31">
        <f>IF(OR(G401="",B401=""),"",B401-TodayDate)</f>
        <v>0</v>
      </c>
      <c r="AX401" s="39">
        <f>IF(G401="","",IF(P401="Cancelled","Cancelled",IF(P401="No access","Action - no access, rebook",IF(AND(B401&lt;&gt;"",AW401&lt;0,OR(P401="Booked",P401="Confirmed",P401="In progress")),"Late - mark it completed",IF(AND(P401="Completed",AP401=""),"Action - not invoiced yet",IF(AND(AW401&gt;=0,AW401&lt;=ReminderDays,Y401&lt;&gt;"Yes"),"Confirm - visit coming up",IF(R401="","Assign - no cleaner booked",IF(AND(P401="Completed",AO401&lt;&gt;"",AO401&lt;1),"Check - checklist unfinished","OK"))))))))</f>
        <v>0</v>
      </c>
    </row>
    <row r="402" spans="1:50">
      <c r="A402" s="43">
        <f>IF(G402="","",JobPrefix&amp;TEXT(ROW()-4,"0000"))</f>
        <v>0</v>
      </c>
      <c r="C402" s="23">
        <f>IF(B402="","",TEXT(B402,"ddd"))</f>
        <v>0</v>
      </c>
      <c r="D402" s="31">
        <f>IF(B402="","",WEEKNUM(B402,IF(WeekStart="Sunday",1,2)))</f>
        <v>0</v>
      </c>
      <c r="E402" s="23">
        <f>IF(B402="","",TEXT(B402,"yyyy-mm"))</f>
        <v>0</v>
      </c>
      <c r="H402" s="23">
        <f>IF(G402="","",IFERROR(INDEX(Clients!$B$5:$B$204,MATCH(G402,Clients!$A$5:$A$204,0)),"Not found"))</f>
        <v>0</v>
      </c>
      <c r="I402" s="23">
        <f>IF(G402="","",IFERROR(INDEX(Clients!$C$5:$C$204,MATCH(G402,Clients!$A$5:$A$204,0)),""))</f>
        <v>0</v>
      </c>
      <c r="K402" s="23">
        <f>IF(J402="","",IFERROR(INDEX(Properties!$B$5:$B$254,MATCH(J402,Properties!$A$5:$A$254,0)),""))</f>
        <v>0</v>
      </c>
      <c r="L402" s="23">
        <f>IF(J402="","",IFERROR(INDEX(Properties!$F$5:$F$254,MATCH(J402,Properties!$A$5:$A$254,0)),""))</f>
        <v>0</v>
      </c>
      <c r="AD402" s="34">
        <f>IF(G402="","",IF(U402&lt;&gt;"",U402,IF(AND(IFERROR(INDEX(Services!$D$5:$D$64,MATCH(M402,Services!$B$5:$B$64,0)),"")="Per hour",IFERROR(INDEX(Properties!$X$5:$X$254,MATCH(J402,Properties!$A$5:$A$254,0)),0)&gt;0),IFERROR(INDEX(Properties!$X$5:$X$254,MATCH(J402,Properties!$A$5:$A$254,0)),0),IF(IFERROR(INDEX(Services!$G$5:$G$64,MATCH(M402,Services!$B$5:$B$64,0)),0)&gt;0,IFERROR(INDEX(Services!$G$5:$G$64,MATCH(M402,Services!$B$5:$B$64,0)),0),IFERROR(INDEX(Properties!$X$5:$X$254,MATCH(J402,Properties!$A$5:$A$254,0)),0)))))</f>
        <v>0</v>
      </c>
      <c r="AE402" s="31">
        <f>IF(G402="","",IF(T402="",CleanersPerJob,MAX(1,T402)))</f>
        <v>0</v>
      </c>
      <c r="AF402" s="34">
        <f>IF(G402="","",ROUND(AD402/AE402,2))</f>
        <v>0</v>
      </c>
      <c r="AG402" s="53">
        <f>IF(OR(G402="",F402="",AF402=""),"",F402+AF402/24)</f>
        <v>0</v>
      </c>
      <c r="AH402" s="21">
        <f>IF(G402="","",IF(IFERROR(INDEX(Clients!$O$5:$O$204,MATCH(G402,Clients!$A$5:$A$204,0)),0)&gt;0,IFERROR(INDEX(Clients!$O$5:$O$204,MATCH(G402,Clients!$A$5:$A$204,0)),0),HourlyRate))</f>
        <v>0</v>
      </c>
      <c r="AI402" s="21">
        <f>IF(G402="","",IF(AND(M402&lt;&gt;"",IFERROR(INDEX(Services!$P$5:$P$64,MATCH(M402,Services!$B$5:$B$64,0)),0)&gt;0,IFERROR(INDEX(Services!$D$5:$D$64,MATCH(M402,Services!$B$5:$B$64,0)),"")&lt;&gt;"Per hour"),IFERROR(INDEX(Services!$P$5:$P$64,MATCH(M402,Services!$B$5:$B$64,0)),0),AD402*AH402))</f>
        <v>0</v>
      </c>
      <c r="AJ402" s="21">
        <f>IF(G402="","",IF(V402&lt;&gt;"",V402,IF(P402="Cancelled",0,MAX(MinimumCharge,ROUND(AI402*IFERROR(INDEX(FreqFactors,MATCH(O402,FreqNames,0)),1),2)))))</f>
        <v>0</v>
      </c>
      <c r="AK402" s="34">
        <f>IF(G402="","",IF(SUMIFS(Timesheets!$U$5:$U$804,Timesheets!$G$5:$G$804,A402)&gt;0,SUMIFS(Timesheets!$U$5:$U$804,Timesheets!$G$5:$G$804,A402),IF(Z402="","",Z402)))</f>
        <v>0</v>
      </c>
      <c r="AL402" s="34">
        <f>IF(OR(AK402="",AD402=""),"",AK402-AD402)</f>
        <v>0</v>
      </c>
      <c r="AM402" s="31">
        <f>IF(A402="","",COUNTIFS('Job Tasks'!$B$5:$B$904,A402))</f>
        <v>0</v>
      </c>
      <c r="AN402" s="31">
        <f>IF(A402="","",COUNTIFS('Job Tasks'!$B$5:$B$904,A402,'Job Tasks'!$H$5:$H$904,"Done"))</f>
        <v>0</v>
      </c>
      <c r="AO402" s="38">
        <f>IF(OR(A402="",AM402=0),"",AN402/AM402)</f>
        <v>0</v>
      </c>
      <c r="AP402" s="43">
        <f>IF(A402="","",IFERROR(INDEX('Invoice Lines'!$B$5:$B$804,MATCH(A402,'Invoice Lines'!$C$5:$C$804,0)),""))</f>
        <v>0</v>
      </c>
      <c r="AQ402" s="18">
        <f>IF(OR(G402="",B402="",X402&lt;&gt;"Yes"),"",IF(IFERROR(INDEX(FreqDays,MATCH(O402,FreqNames,0)),0)=0,"",B402+IFERROR(INDEX(FreqDays,MATCH(O402,FreqNames,0)),0)))</f>
        <v>0</v>
      </c>
      <c r="AR402" s="39">
        <f>IF(G402="","",IF(R402="","Unassigned",IF(COUNTIFS($R$5:$R$604,R402,$B$5:$B$604,B402,$F$5:$F$604,F402)&gt;1,"Clash",IF(SUMIFS($AF$5:$AF$604,$R$5:$R$604,R402,$B$5:$B$604,B402)&gt;ProductiveHours,"Long day","OK"))))</f>
        <v>0</v>
      </c>
      <c r="AS402" s="18">
        <f>IF(OR(G402="",B402=""),"",IF(AND(B402&gt;=TodayDate,P402&lt;&gt;"Cancelled"),B402,""))</f>
        <v>0</v>
      </c>
      <c r="AT402" s="31">
        <f>IF(AS402="","",COUNTIFS($AS$5:$AS$604,"&lt;"&amp;AS402)+COUNTIFS($AS$5:AS402,AS402))</f>
        <v>0</v>
      </c>
      <c r="AU402" s="18">
        <f>IF(OR(G402="",B402="",R402&lt;&gt;""),"",IF(AND(B402&gt;=TodayDate,P402&lt;&gt;"Cancelled"),B402,""))</f>
        <v>0</v>
      </c>
      <c r="AV402" s="31">
        <f>IF(AU402="","",COUNTIFS($AU$5:$AU$604,"&lt;"&amp;AU402)+COUNTIFS($AU$5:AU402,AU402))</f>
        <v>0</v>
      </c>
      <c r="AW402" s="31">
        <f>IF(OR(G402="",B402=""),"",B402-TodayDate)</f>
        <v>0</v>
      </c>
      <c r="AX402" s="39">
        <f>IF(G402="","",IF(P402="Cancelled","Cancelled",IF(P402="No access","Action - no access, rebook",IF(AND(B402&lt;&gt;"",AW402&lt;0,OR(P402="Booked",P402="Confirmed",P402="In progress")),"Late - mark it completed",IF(AND(P402="Completed",AP402=""),"Action - not invoiced yet",IF(AND(AW402&gt;=0,AW402&lt;=ReminderDays,Y402&lt;&gt;"Yes"),"Confirm - visit coming up",IF(R402="","Assign - no cleaner booked",IF(AND(P402="Completed",AO402&lt;&gt;"",AO402&lt;1),"Check - checklist unfinished","OK"))))))))</f>
        <v>0</v>
      </c>
    </row>
    <row r="403" spans="1:50">
      <c r="A403" s="43">
        <f>IF(G403="","",JobPrefix&amp;TEXT(ROW()-4,"0000"))</f>
        <v>0</v>
      </c>
      <c r="C403" s="23">
        <f>IF(B403="","",TEXT(B403,"ddd"))</f>
        <v>0</v>
      </c>
      <c r="D403" s="31">
        <f>IF(B403="","",WEEKNUM(B403,IF(WeekStart="Sunday",1,2)))</f>
        <v>0</v>
      </c>
      <c r="E403" s="23">
        <f>IF(B403="","",TEXT(B403,"yyyy-mm"))</f>
        <v>0</v>
      </c>
      <c r="H403" s="23">
        <f>IF(G403="","",IFERROR(INDEX(Clients!$B$5:$B$204,MATCH(G403,Clients!$A$5:$A$204,0)),"Not found"))</f>
        <v>0</v>
      </c>
      <c r="I403" s="23">
        <f>IF(G403="","",IFERROR(INDEX(Clients!$C$5:$C$204,MATCH(G403,Clients!$A$5:$A$204,0)),""))</f>
        <v>0</v>
      </c>
      <c r="K403" s="23">
        <f>IF(J403="","",IFERROR(INDEX(Properties!$B$5:$B$254,MATCH(J403,Properties!$A$5:$A$254,0)),""))</f>
        <v>0</v>
      </c>
      <c r="L403" s="23">
        <f>IF(J403="","",IFERROR(INDEX(Properties!$F$5:$F$254,MATCH(J403,Properties!$A$5:$A$254,0)),""))</f>
        <v>0</v>
      </c>
      <c r="AD403" s="34">
        <f>IF(G403="","",IF(U403&lt;&gt;"",U403,IF(AND(IFERROR(INDEX(Services!$D$5:$D$64,MATCH(M403,Services!$B$5:$B$64,0)),"")="Per hour",IFERROR(INDEX(Properties!$X$5:$X$254,MATCH(J403,Properties!$A$5:$A$254,0)),0)&gt;0),IFERROR(INDEX(Properties!$X$5:$X$254,MATCH(J403,Properties!$A$5:$A$254,0)),0),IF(IFERROR(INDEX(Services!$G$5:$G$64,MATCH(M403,Services!$B$5:$B$64,0)),0)&gt;0,IFERROR(INDEX(Services!$G$5:$G$64,MATCH(M403,Services!$B$5:$B$64,0)),0),IFERROR(INDEX(Properties!$X$5:$X$254,MATCH(J403,Properties!$A$5:$A$254,0)),0)))))</f>
        <v>0</v>
      </c>
      <c r="AE403" s="31">
        <f>IF(G403="","",IF(T403="",CleanersPerJob,MAX(1,T403)))</f>
        <v>0</v>
      </c>
      <c r="AF403" s="34">
        <f>IF(G403="","",ROUND(AD403/AE403,2))</f>
        <v>0</v>
      </c>
      <c r="AG403" s="53">
        <f>IF(OR(G403="",F403="",AF403=""),"",F403+AF403/24)</f>
        <v>0</v>
      </c>
      <c r="AH403" s="21">
        <f>IF(G403="","",IF(IFERROR(INDEX(Clients!$O$5:$O$204,MATCH(G403,Clients!$A$5:$A$204,0)),0)&gt;0,IFERROR(INDEX(Clients!$O$5:$O$204,MATCH(G403,Clients!$A$5:$A$204,0)),0),HourlyRate))</f>
        <v>0</v>
      </c>
      <c r="AI403" s="21">
        <f>IF(G403="","",IF(AND(M403&lt;&gt;"",IFERROR(INDEX(Services!$P$5:$P$64,MATCH(M403,Services!$B$5:$B$64,0)),0)&gt;0,IFERROR(INDEX(Services!$D$5:$D$64,MATCH(M403,Services!$B$5:$B$64,0)),"")&lt;&gt;"Per hour"),IFERROR(INDEX(Services!$P$5:$P$64,MATCH(M403,Services!$B$5:$B$64,0)),0),AD403*AH403))</f>
        <v>0</v>
      </c>
      <c r="AJ403" s="21">
        <f>IF(G403="","",IF(V403&lt;&gt;"",V403,IF(P403="Cancelled",0,MAX(MinimumCharge,ROUND(AI403*IFERROR(INDEX(FreqFactors,MATCH(O403,FreqNames,0)),1),2)))))</f>
        <v>0</v>
      </c>
      <c r="AK403" s="34">
        <f>IF(G403="","",IF(SUMIFS(Timesheets!$U$5:$U$804,Timesheets!$G$5:$G$804,A403)&gt;0,SUMIFS(Timesheets!$U$5:$U$804,Timesheets!$G$5:$G$804,A403),IF(Z403="","",Z403)))</f>
        <v>0</v>
      </c>
      <c r="AL403" s="34">
        <f>IF(OR(AK403="",AD403=""),"",AK403-AD403)</f>
        <v>0</v>
      </c>
      <c r="AM403" s="31">
        <f>IF(A403="","",COUNTIFS('Job Tasks'!$B$5:$B$904,A403))</f>
        <v>0</v>
      </c>
      <c r="AN403" s="31">
        <f>IF(A403="","",COUNTIFS('Job Tasks'!$B$5:$B$904,A403,'Job Tasks'!$H$5:$H$904,"Done"))</f>
        <v>0</v>
      </c>
      <c r="AO403" s="38">
        <f>IF(OR(A403="",AM403=0),"",AN403/AM403)</f>
        <v>0</v>
      </c>
      <c r="AP403" s="43">
        <f>IF(A403="","",IFERROR(INDEX('Invoice Lines'!$B$5:$B$804,MATCH(A403,'Invoice Lines'!$C$5:$C$804,0)),""))</f>
        <v>0</v>
      </c>
      <c r="AQ403" s="18">
        <f>IF(OR(G403="",B403="",X403&lt;&gt;"Yes"),"",IF(IFERROR(INDEX(FreqDays,MATCH(O403,FreqNames,0)),0)=0,"",B403+IFERROR(INDEX(FreqDays,MATCH(O403,FreqNames,0)),0)))</f>
        <v>0</v>
      </c>
      <c r="AR403" s="39">
        <f>IF(G403="","",IF(R403="","Unassigned",IF(COUNTIFS($R$5:$R$604,R403,$B$5:$B$604,B403,$F$5:$F$604,F403)&gt;1,"Clash",IF(SUMIFS($AF$5:$AF$604,$R$5:$R$604,R403,$B$5:$B$604,B403)&gt;ProductiveHours,"Long day","OK"))))</f>
        <v>0</v>
      </c>
      <c r="AS403" s="18">
        <f>IF(OR(G403="",B403=""),"",IF(AND(B403&gt;=TodayDate,P403&lt;&gt;"Cancelled"),B403,""))</f>
        <v>0</v>
      </c>
      <c r="AT403" s="31">
        <f>IF(AS403="","",COUNTIFS($AS$5:$AS$604,"&lt;"&amp;AS403)+COUNTIFS($AS$5:AS403,AS403))</f>
        <v>0</v>
      </c>
      <c r="AU403" s="18">
        <f>IF(OR(G403="",B403="",R403&lt;&gt;""),"",IF(AND(B403&gt;=TodayDate,P403&lt;&gt;"Cancelled"),B403,""))</f>
        <v>0</v>
      </c>
      <c r="AV403" s="31">
        <f>IF(AU403="","",COUNTIFS($AU$5:$AU$604,"&lt;"&amp;AU403)+COUNTIFS($AU$5:AU403,AU403))</f>
        <v>0</v>
      </c>
      <c r="AW403" s="31">
        <f>IF(OR(G403="",B403=""),"",B403-TodayDate)</f>
        <v>0</v>
      </c>
      <c r="AX403" s="39">
        <f>IF(G403="","",IF(P403="Cancelled","Cancelled",IF(P403="No access","Action - no access, rebook",IF(AND(B403&lt;&gt;"",AW403&lt;0,OR(P403="Booked",P403="Confirmed",P403="In progress")),"Late - mark it completed",IF(AND(P403="Completed",AP403=""),"Action - not invoiced yet",IF(AND(AW403&gt;=0,AW403&lt;=ReminderDays,Y403&lt;&gt;"Yes"),"Confirm - visit coming up",IF(R403="","Assign - no cleaner booked",IF(AND(P403="Completed",AO403&lt;&gt;"",AO403&lt;1),"Check - checklist unfinished","OK"))))))))</f>
        <v>0</v>
      </c>
    </row>
    <row r="404" spans="1:50">
      <c r="A404" s="43">
        <f>IF(G404="","",JobPrefix&amp;TEXT(ROW()-4,"0000"))</f>
        <v>0</v>
      </c>
      <c r="C404" s="23">
        <f>IF(B404="","",TEXT(B404,"ddd"))</f>
        <v>0</v>
      </c>
      <c r="D404" s="31">
        <f>IF(B404="","",WEEKNUM(B404,IF(WeekStart="Sunday",1,2)))</f>
        <v>0</v>
      </c>
      <c r="E404" s="23">
        <f>IF(B404="","",TEXT(B404,"yyyy-mm"))</f>
        <v>0</v>
      </c>
      <c r="H404" s="23">
        <f>IF(G404="","",IFERROR(INDEX(Clients!$B$5:$B$204,MATCH(G404,Clients!$A$5:$A$204,0)),"Not found"))</f>
        <v>0</v>
      </c>
      <c r="I404" s="23">
        <f>IF(G404="","",IFERROR(INDEX(Clients!$C$5:$C$204,MATCH(G404,Clients!$A$5:$A$204,0)),""))</f>
        <v>0</v>
      </c>
      <c r="K404" s="23">
        <f>IF(J404="","",IFERROR(INDEX(Properties!$B$5:$B$254,MATCH(J404,Properties!$A$5:$A$254,0)),""))</f>
        <v>0</v>
      </c>
      <c r="L404" s="23">
        <f>IF(J404="","",IFERROR(INDEX(Properties!$F$5:$F$254,MATCH(J404,Properties!$A$5:$A$254,0)),""))</f>
        <v>0</v>
      </c>
      <c r="AD404" s="34">
        <f>IF(G404="","",IF(U404&lt;&gt;"",U404,IF(AND(IFERROR(INDEX(Services!$D$5:$D$64,MATCH(M404,Services!$B$5:$B$64,0)),"")="Per hour",IFERROR(INDEX(Properties!$X$5:$X$254,MATCH(J404,Properties!$A$5:$A$254,0)),0)&gt;0),IFERROR(INDEX(Properties!$X$5:$X$254,MATCH(J404,Properties!$A$5:$A$254,0)),0),IF(IFERROR(INDEX(Services!$G$5:$G$64,MATCH(M404,Services!$B$5:$B$64,0)),0)&gt;0,IFERROR(INDEX(Services!$G$5:$G$64,MATCH(M404,Services!$B$5:$B$64,0)),0),IFERROR(INDEX(Properties!$X$5:$X$254,MATCH(J404,Properties!$A$5:$A$254,0)),0)))))</f>
        <v>0</v>
      </c>
      <c r="AE404" s="31">
        <f>IF(G404="","",IF(T404="",CleanersPerJob,MAX(1,T404)))</f>
        <v>0</v>
      </c>
      <c r="AF404" s="34">
        <f>IF(G404="","",ROUND(AD404/AE404,2))</f>
        <v>0</v>
      </c>
      <c r="AG404" s="53">
        <f>IF(OR(G404="",F404="",AF404=""),"",F404+AF404/24)</f>
        <v>0</v>
      </c>
      <c r="AH404" s="21">
        <f>IF(G404="","",IF(IFERROR(INDEX(Clients!$O$5:$O$204,MATCH(G404,Clients!$A$5:$A$204,0)),0)&gt;0,IFERROR(INDEX(Clients!$O$5:$O$204,MATCH(G404,Clients!$A$5:$A$204,0)),0),HourlyRate))</f>
        <v>0</v>
      </c>
      <c r="AI404" s="21">
        <f>IF(G404="","",IF(AND(M404&lt;&gt;"",IFERROR(INDEX(Services!$P$5:$P$64,MATCH(M404,Services!$B$5:$B$64,0)),0)&gt;0,IFERROR(INDEX(Services!$D$5:$D$64,MATCH(M404,Services!$B$5:$B$64,0)),"")&lt;&gt;"Per hour"),IFERROR(INDEX(Services!$P$5:$P$64,MATCH(M404,Services!$B$5:$B$64,0)),0),AD404*AH404))</f>
        <v>0</v>
      </c>
      <c r="AJ404" s="21">
        <f>IF(G404="","",IF(V404&lt;&gt;"",V404,IF(P404="Cancelled",0,MAX(MinimumCharge,ROUND(AI404*IFERROR(INDEX(FreqFactors,MATCH(O404,FreqNames,0)),1),2)))))</f>
        <v>0</v>
      </c>
      <c r="AK404" s="34">
        <f>IF(G404="","",IF(SUMIFS(Timesheets!$U$5:$U$804,Timesheets!$G$5:$G$804,A404)&gt;0,SUMIFS(Timesheets!$U$5:$U$804,Timesheets!$G$5:$G$804,A404),IF(Z404="","",Z404)))</f>
        <v>0</v>
      </c>
      <c r="AL404" s="34">
        <f>IF(OR(AK404="",AD404=""),"",AK404-AD404)</f>
        <v>0</v>
      </c>
      <c r="AM404" s="31">
        <f>IF(A404="","",COUNTIFS('Job Tasks'!$B$5:$B$904,A404))</f>
        <v>0</v>
      </c>
      <c r="AN404" s="31">
        <f>IF(A404="","",COUNTIFS('Job Tasks'!$B$5:$B$904,A404,'Job Tasks'!$H$5:$H$904,"Done"))</f>
        <v>0</v>
      </c>
      <c r="AO404" s="38">
        <f>IF(OR(A404="",AM404=0),"",AN404/AM404)</f>
        <v>0</v>
      </c>
      <c r="AP404" s="43">
        <f>IF(A404="","",IFERROR(INDEX('Invoice Lines'!$B$5:$B$804,MATCH(A404,'Invoice Lines'!$C$5:$C$804,0)),""))</f>
        <v>0</v>
      </c>
      <c r="AQ404" s="18">
        <f>IF(OR(G404="",B404="",X404&lt;&gt;"Yes"),"",IF(IFERROR(INDEX(FreqDays,MATCH(O404,FreqNames,0)),0)=0,"",B404+IFERROR(INDEX(FreqDays,MATCH(O404,FreqNames,0)),0)))</f>
        <v>0</v>
      </c>
      <c r="AR404" s="39">
        <f>IF(G404="","",IF(R404="","Unassigned",IF(COUNTIFS($R$5:$R$604,R404,$B$5:$B$604,B404,$F$5:$F$604,F404)&gt;1,"Clash",IF(SUMIFS($AF$5:$AF$604,$R$5:$R$604,R404,$B$5:$B$604,B404)&gt;ProductiveHours,"Long day","OK"))))</f>
        <v>0</v>
      </c>
      <c r="AS404" s="18">
        <f>IF(OR(G404="",B404=""),"",IF(AND(B404&gt;=TodayDate,P404&lt;&gt;"Cancelled"),B404,""))</f>
        <v>0</v>
      </c>
      <c r="AT404" s="31">
        <f>IF(AS404="","",COUNTIFS($AS$5:$AS$604,"&lt;"&amp;AS404)+COUNTIFS($AS$5:AS404,AS404))</f>
        <v>0</v>
      </c>
      <c r="AU404" s="18">
        <f>IF(OR(G404="",B404="",R404&lt;&gt;""),"",IF(AND(B404&gt;=TodayDate,P404&lt;&gt;"Cancelled"),B404,""))</f>
        <v>0</v>
      </c>
      <c r="AV404" s="31">
        <f>IF(AU404="","",COUNTIFS($AU$5:$AU$604,"&lt;"&amp;AU404)+COUNTIFS($AU$5:AU404,AU404))</f>
        <v>0</v>
      </c>
      <c r="AW404" s="31">
        <f>IF(OR(G404="",B404=""),"",B404-TodayDate)</f>
        <v>0</v>
      </c>
      <c r="AX404" s="39">
        <f>IF(G404="","",IF(P404="Cancelled","Cancelled",IF(P404="No access","Action - no access, rebook",IF(AND(B404&lt;&gt;"",AW404&lt;0,OR(P404="Booked",P404="Confirmed",P404="In progress")),"Late - mark it completed",IF(AND(P404="Completed",AP404=""),"Action - not invoiced yet",IF(AND(AW404&gt;=0,AW404&lt;=ReminderDays,Y404&lt;&gt;"Yes"),"Confirm - visit coming up",IF(R404="","Assign - no cleaner booked",IF(AND(P404="Completed",AO404&lt;&gt;"",AO404&lt;1),"Check - checklist unfinished","OK"))))))))</f>
        <v>0</v>
      </c>
    </row>
    <row r="405" spans="1:50">
      <c r="A405" s="43">
        <f>IF(G405="","",JobPrefix&amp;TEXT(ROW()-4,"0000"))</f>
        <v>0</v>
      </c>
      <c r="C405" s="23">
        <f>IF(B405="","",TEXT(B405,"ddd"))</f>
        <v>0</v>
      </c>
      <c r="D405" s="31">
        <f>IF(B405="","",WEEKNUM(B405,IF(WeekStart="Sunday",1,2)))</f>
        <v>0</v>
      </c>
      <c r="E405" s="23">
        <f>IF(B405="","",TEXT(B405,"yyyy-mm"))</f>
        <v>0</v>
      </c>
      <c r="H405" s="23">
        <f>IF(G405="","",IFERROR(INDEX(Clients!$B$5:$B$204,MATCH(G405,Clients!$A$5:$A$204,0)),"Not found"))</f>
        <v>0</v>
      </c>
      <c r="I405" s="23">
        <f>IF(G405="","",IFERROR(INDEX(Clients!$C$5:$C$204,MATCH(G405,Clients!$A$5:$A$204,0)),""))</f>
        <v>0</v>
      </c>
      <c r="K405" s="23">
        <f>IF(J405="","",IFERROR(INDEX(Properties!$B$5:$B$254,MATCH(J405,Properties!$A$5:$A$254,0)),""))</f>
        <v>0</v>
      </c>
      <c r="L405" s="23">
        <f>IF(J405="","",IFERROR(INDEX(Properties!$F$5:$F$254,MATCH(J405,Properties!$A$5:$A$254,0)),""))</f>
        <v>0</v>
      </c>
      <c r="AD405" s="34">
        <f>IF(G405="","",IF(U405&lt;&gt;"",U405,IF(AND(IFERROR(INDEX(Services!$D$5:$D$64,MATCH(M405,Services!$B$5:$B$64,0)),"")="Per hour",IFERROR(INDEX(Properties!$X$5:$X$254,MATCH(J405,Properties!$A$5:$A$254,0)),0)&gt;0),IFERROR(INDEX(Properties!$X$5:$X$254,MATCH(J405,Properties!$A$5:$A$254,0)),0),IF(IFERROR(INDEX(Services!$G$5:$G$64,MATCH(M405,Services!$B$5:$B$64,0)),0)&gt;0,IFERROR(INDEX(Services!$G$5:$G$64,MATCH(M405,Services!$B$5:$B$64,0)),0),IFERROR(INDEX(Properties!$X$5:$X$254,MATCH(J405,Properties!$A$5:$A$254,0)),0)))))</f>
        <v>0</v>
      </c>
      <c r="AE405" s="31">
        <f>IF(G405="","",IF(T405="",CleanersPerJob,MAX(1,T405)))</f>
        <v>0</v>
      </c>
      <c r="AF405" s="34">
        <f>IF(G405="","",ROUND(AD405/AE405,2))</f>
        <v>0</v>
      </c>
      <c r="AG405" s="53">
        <f>IF(OR(G405="",F405="",AF405=""),"",F405+AF405/24)</f>
        <v>0</v>
      </c>
      <c r="AH405" s="21">
        <f>IF(G405="","",IF(IFERROR(INDEX(Clients!$O$5:$O$204,MATCH(G405,Clients!$A$5:$A$204,0)),0)&gt;0,IFERROR(INDEX(Clients!$O$5:$O$204,MATCH(G405,Clients!$A$5:$A$204,0)),0),HourlyRate))</f>
        <v>0</v>
      </c>
      <c r="AI405" s="21">
        <f>IF(G405="","",IF(AND(M405&lt;&gt;"",IFERROR(INDEX(Services!$P$5:$P$64,MATCH(M405,Services!$B$5:$B$64,0)),0)&gt;0,IFERROR(INDEX(Services!$D$5:$D$64,MATCH(M405,Services!$B$5:$B$64,0)),"")&lt;&gt;"Per hour"),IFERROR(INDEX(Services!$P$5:$P$64,MATCH(M405,Services!$B$5:$B$64,0)),0),AD405*AH405))</f>
        <v>0</v>
      </c>
      <c r="AJ405" s="21">
        <f>IF(G405="","",IF(V405&lt;&gt;"",V405,IF(P405="Cancelled",0,MAX(MinimumCharge,ROUND(AI405*IFERROR(INDEX(FreqFactors,MATCH(O405,FreqNames,0)),1),2)))))</f>
        <v>0</v>
      </c>
      <c r="AK405" s="34">
        <f>IF(G405="","",IF(SUMIFS(Timesheets!$U$5:$U$804,Timesheets!$G$5:$G$804,A405)&gt;0,SUMIFS(Timesheets!$U$5:$U$804,Timesheets!$G$5:$G$804,A405),IF(Z405="","",Z405)))</f>
        <v>0</v>
      </c>
      <c r="AL405" s="34">
        <f>IF(OR(AK405="",AD405=""),"",AK405-AD405)</f>
        <v>0</v>
      </c>
      <c r="AM405" s="31">
        <f>IF(A405="","",COUNTIFS('Job Tasks'!$B$5:$B$904,A405))</f>
        <v>0</v>
      </c>
      <c r="AN405" s="31">
        <f>IF(A405="","",COUNTIFS('Job Tasks'!$B$5:$B$904,A405,'Job Tasks'!$H$5:$H$904,"Done"))</f>
        <v>0</v>
      </c>
      <c r="AO405" s="38">
        <f>IF(OR(A405="",AM405=0),"",AN405/AM405)</f>
        <v>0</v>
      </c>
      <c r="AP405" s="43">
        <f>IF(A405="","",IFERROR(INDEX('Invoice Lines'!$B$5:$B$804,MATCH(A405,'Invoice Lines'!$C$5:$C$804,0)),""))</f>
        <v>0</v>
      </c>
      <c r="AQ405" s="18">
        <f>IF(OR(G405="",B405="",X405&lt;&gt;"Yes"),"",IF(IFERROR(INDEX(FreqDays,MATCH(O405,FreqNames,0)),0)=0,"",B405+IFERROR(INDEX(FreqDays,MATCH(O405,FreqNames,0)),0)))</f>
        <v>0</v>
      </c>
      <c r="AR405" s="39">
        <f>IF(G405="","",IF(R405="","Unassigned",IF(COUNTIFS($R$5:$R$604,R405,$B$5:$B$604,B405,$F$5:$F$604,F405)&gt;1,"Clash",IF(SUMIFS($AF$5:$AF$604,$R$5:$R$604,R405,$B$5:$B$604,B405)&gt;ProductiveHours,"Long day","OK"))))</f>
        <v>0</v>
      </c>
      <c r="AS405" s="18">
        <f>IF(OR(G405="",B405=""),"",IF(AND(B405&gt;=TodayDate,P405&lt;&gt;"Cancelled"),B405,""))</f>
        <v>0</v>
      </c>
      <c r="AT405" s="31">
        <f>IF(AS405="","",COUNTIFS($AS$5:$AS$604,"&lt;"&amp;AS405)+COUNTIFS($AS$5:AS405,AS405))</f>
        <v>0</v>
      </c>
      <c r="AU405" s="18">
        <f>IF(OR(G405="",B405="",R405&lt;&gt;""),"",IF(AND(B405&gt;=TodayDate,P405&lt;&gt;"Cancelled"),B405,""))</f>
        <v>0</v>
      </c>
      <c r="AV405" s="31">
        <f>IF(AU405="","",COUNTIFS($AU$5:$AU$604,"&lt;"&amp;AU405)+COUNTIFS($AU$5:AU405,AU405))</f>
        <v>0</v>
      </c>
      <c r="AW405" s="31">
        <f>IF(OR(G405="",B405=""),"",B405-TodayDate)</f>
        <v>0</v>
      </c>
      <c r="AX405" s="39">
        <f>IF(G405="","",IF(P405="Cancelled","Cancelled",IF(P405="No access","Action - no access, rebook",IF(AND(B405&lt;&gt;"",AW405&lt;0,OR(P405="Booked",P405="Confirmed",P405="In progress")),"Late - mark it completed",IF(AND(P405="Completed",AP405=""),"Action - not invoiced yet",IF(AND(AW405&gt;=0,AW405&lt;=ReminderDays,Y405&lt;&gt;"Yes"),"Confirm - visit coming up",IF(R405="","Assign - no cleaner booked",IF(AND(P405="Completed",AO405&lt;&gt;"",AO405&lt;1),"Check - checklist unfinished","OK"))))))))</f>
        <v>0</v>
      </c>
    </row>
    <row r="406" spans="1:50">
      <c r="A406" s="43">
        <f>IF(G406="","",JobPrefix&amp;TEXT(ROW()-4,"0000"))</f>
        <v>0</v>
      </c>
      <c r="C406" s="23">
        <f>IF(B406="","",TEXT(B406,"ddd"))</f>
        <v>0</v>
      </c>
      <c r="D406" s="31">
        <f>IF(B406="","",WEEKNUM(B406,IF(WeekStart="Sunday",1,2)))</f>
        <v>0</v>
      </c>
      <c r="E406" s="23">
        <f>IF(B406="","",TEXT(B406,"yyyy-mm"))</f>
        <v>0</v>
      </c>
      <c r="H406" s="23">
        <f>IF(G406="","",IFERROR(INDEX(Clients!$B$5:$B$204,MATCH(G406,Clients!$A$5:$A$204,0)),"Not found"))</f>
        <v>0</v>
      </c>
      <c r="I406" s="23">
        <f>IF(G406="","",IFERROR(INDEX(Clients!$C$5:$C$204,MATCH(G406,Clients!$A$5:$A$204,0)),""))</f>
        <v>0</v>
      </c>
      <c r="K406" s="23">
        <f>IF(J406="","",IFERROR(INDEX(Properties!$B$5:$B$254,MATCH(J406,Properties!$A$5:$A$254,0)),""))</f>
        <v>0</v>
      </c>
      <c r="L406" s="23">
        <f>IF(J406="","",IFERROR(INDEX(Properties!$F$5:$F$254,MATCH(J406,Properties!$A$5:$A$254,0)),""))</f>
        <v>0</v>
      </c>
      <c r="AD406" s="34">
        <f>IF(G406="","",IF(U406&lt;&gt;"",U406,IF(AND(IFERROR(INDEX(Services!$D$5:$D$64,MATCH(M406,Services!$B$5:$B$64,0)),"")="Per hour",IFERROR(INDEX(Properties!$X$5:$X$254,MATCH(J406,Properties!$A$5:$A$254,0)),0)&gt;0),IFERROR(INDEX(Properties!$X$5:$X$254,MATCH(J406,Properties!$A$5:$A$254,0)),0),IF(IFERROR(INDEX(Services!$G$5:$G$64,MATCH(M406,Services!$B$5:$B$64,0)),0)&gt;0,IFERROR(INDEX(Services!$G$5:$G$64,MATCH(M406,Services!$B$5:$B$64,0)),0),IFERROR(INDEX(Properties!$X$5:$X$254,MATCH(J406,Properties!$A$5:$A$254,0)),0)))))</f>
        <v>0</v>
      </c>
      <c r="AE406" s="31">
        <f>IF(G406="","",IF(T406="",CleanersPerJob,MAX(1,T406)))</f>
        <v>0</v>
      </c>
      <c r="AF406" s="34">
        <f>IF(G406="","",ROUND(AD406/AE406,2))</f>
        <v>0</v>
      </c>
      <c r="AG406" s="53">
        <f>IF(OR(G406="",F406="",AF406=""),"",F406+AF406/24)</f>
        <v>0</v>
      </c>
      <c r="AH406" s="21">
        <f>IF(G406="","",IF(IFERROR(INDEX(Clients!$O$5:$O$204,MATCH(G406,Clients!$A$5:$A$204,0)),0)&gt;0,IFERROR(INDEX(Clients!$O$5:$O$204,MATCH(G406,Clients!$A$5:$A$204,0)),0),HourlyRate))</f>
        <v>0</v>
      </c>
      <c r="AI406" s="21">
        <f>IF(G406="","",IF(AND(M406&lt;&gt;"",IFERROR(INDEX(Services!$P$5:$P$64,MATCH(M406,Services!$B$5:$B$64,0)),0)&gt;0,IFERROR(INDEX(Services!$D$5:$D$64,MATCH(M406,Services!$B$5:$B$64,0)),"")&lt;&gt;"Per hour"),IFERROR(INDEX(Services!$P$5:$P$64,MATCH(M406,Services!$B$5:$B$64,0)),0),AD406*AH406))</f>
        <v>0</v>
      </c>
      <c r="AJ406" s="21">
        <f>IF(G406="","",IF(V406&lt;&gt;"",V406,IF(P406="Cancelled",0,MAX(MinimumCharge,ROUND(AI406*IFERROR(INDEX(FreqFactors,MATCH(O406,FreqNames,0)),1),2)))))</f>
        <v>0</v>
      </c>
      <c r="AK406" s="34">
        <f>IF(G406="","",IF(SUMIFS(Timesheets!$U$5:$U$804,Timesheets!$G$5:$G$804,A406)&gt;0,SUMIFS(Timesheets!$U$5:$U$804,Timesheets!$G$5:$G$804,A406),IF(Z406="","",Z406)))</f>
        <v>0</v>
      </c>
      <c r="AL406" s="34">
        <f>IF(OR(AK406="",AD406=""),"",AK406-AD406)</f>
        <v>0</v>
      </c>
      <c r="AM406" s="31">
        <f>IF(A406="","",COUNTIFS('Job Tasks'!$B$5:$B$904,A406))</f>
        <v>0</v>
      </c>
      <c r="AN406" s="31">
        <f>IF(A406="","",COUNTIFS('Job Tasks'!$B$5:$B$904,A406,'Job Tasks'!$H$5:$H$904,"Done"))</f>
        <v>0</v>
      </c>
      <c r="AO406" s="38">
        <f>IF(OR(A406="",AM406=0),"",AN406/AM406)</f>
        <v>0</v>
      </c>
      <c r="AP406" s="43">
        <f>IF(A406="","",IFERROR(INDEX('Invoice Lines'!$B$5:$B$804,MATCH(A406,'Invoice Lines'!$C$5:$C$804,0)),""))</f>
        <v>0</v>
      </c>
      <c r="AQ406" s="18">
        <f>IF(OR(G406="",B406="",X406&lt;&gt;"Yes"),"",IF(IFERROR(INDEX(FreqDays,MATCH(O406,FreqNames,0)),0)=0,"",B406+IFERROR(INDEX(FreqDays,MATCH(O406,FreqNames,0)),0)))</f>
        <v>0</v>
      </c>
      <c r="AR406" s="39">
        <f>IF(G406="","",IF(R406="","Unassigned",IF(COUNTIFS($R$5:$R$604,R406,$B$5:$B$604,B406,$F$5:$F$604,F406)&gt;1,"Clash",IF(SUMIFS($AF$5:$AF$604,$R$5:$R$604,R406,$B$5:$B$604,B406)&gt;ProductiveHours,"Long day","OK"))))</f>
        <v>0</v>
      </c>
      <c r="AS406" s="18">
        <f>IF(OR(G406="",B406=""),"",IF(AND(B406&gt;=TodayDate,P406&lt;&gt;"Cancelled"),B406,""))</f>
        <v>0</v>
      </c>
      <c r="AT406" s="31">
        <f>IF(AS406="","",COUNTIFS($AS$5:$AS$604,"&lt;"&amp;AS406)+COUNTIFS($AS$5:AS406,AS406))</f>
        <v>0</v>
      </c>
      <c r="AU406" s="18">
        <f>IF(OR(G406="",B406="",R406&lt;&gt;""),"",IF(AND(B406&gt;=TodayDate,P406&lt;&gt;"Cancelled"),B406,""))</f>
        <v>0</v>
      </c>
      <c r="AV406" s="31">
        <f>IF(AU406="","",COUNTIFS($AU$5:$AU$604,"&lt;"&amp;AU406)+COUNTIFS($AU$5:AU406,AU406))</f>
        <v>0</v>
      </c>
      <c r="AW406" s="31">
        <f>IF(OR(G406="",B406=""),"",B406-TodayDate)</f>
        <v>0</v>
      </c>
      <c r="AX406" s="39">
        <f>IF(G406="","",IF(P406="Cancelled","Cancelled",IF(P406="No access","Action - no access, rebook",IF(AND(B406&lt;&gt;"",AW406&lt;0,OR(P406="Booked",P406="Confirmed",P406="In progress")),"Late - mark it completed",IF(AND(P406="Completed",AP406=""),"Action - not invoiced yet",IF(AND(AW406&gt;=0,AW406&lt;=ReminderDays,Y406&lt;&gt;"Yes"),"Confirm - visit coming up",IF(R406="","Assign - no cleaner booked",IF(AND(P406="Completed",AO406&lt;&gt;"",AO406&lt;1),"Check - checklist unfinished","OK"))))))))</f>
        <v>0</v>
      </c>
    </row>
    <row r="407" spans="1:50">
      <c r="A407" s="43">
        <f>IF(G407="","",JobPrefix&amp;TEXT(ROW()-4,"0000"))</f>
        <v>0</v>
      </c>
      <c r="C407" s="23">
        <f>IF(B407="","",TEXT(B407,"ddd"))</f>
        <v>0</v>
      </c>
      <c r="D407" s="31">
        <f>IF(B407="","",WEEKNUM(B407,IF(WeekStart="Sunday",1,2)))</f>
        <v>0</v>
      </c>
      <c r="E407" s="23">
        <f>IF(B407="","",TEXT(B407,"yyyy-mm"))</f>
        <v>0</v>
      </c>
      <c r="H407" s="23">
        <f>IF(G407="","",IFERROR(INDEX(Clients!$B$5:$B$204,MATCH(G407,Clients!$A$5:$A$204,0)),"Not found"))</f>
        <v>0</v>
      </c>
      <c r="I407" s="23">
        <f>IF(G407="","",IFERROR(INDEX(Clients!$C$5:$C$204,MATCH(G407,Clients!$A$5:$A$204,0)),""))</f>
        <v>0</v>
      </c>
      <c r="K407" s="23">
        <f>IF(J407="","",IFERROR(INDEX(Properties!$B$5:$B$254,MATCH(J407,Properties!$A$5:$A$254,0)),""))</f>
        <v>0</v>
      </c>
      <c r="L407" s="23">
        <f>IF(J407="","",IFERROR(INDEX(Properties!$F$5:$F$254,MATCH(J407,Properties!$A$5:$A$254,0)),""))</f>
        <v>0</v>
      </c>
      <c r="AD407" s="34">
        <f>IF(G407="","",IF(U407&lt;&gt;"",U407,IF(AND(IFERROR(INDEX(Services!$D$5:$D$64,MATCH(M407,Services!$B$5:$B$64,0)),"")="Per hour",IFERROR(INDEX(Properties!$X$5:$X$254,MATCH(J407,Properties!$A$5:$A$254,0)),0)&gt;0),IFERROR(INDEX(Properties!$X$5:$X$254,MATCH(J407,Properties!$A$5:$A$254,0)),0),IF(IFERROR(INDEX(Services!$G$5:$G$64,MATCH(M407,Services!$B$5:$B$64,0)),0)&gt;0,IFERROR(INDEX(Services!$G$5:$G$64,MATCH(M407,Services!$B$5:$B$64,0)),0),IFERROR(INDEX(Properties!$X$5:$X$254,MATCH(J407,Properties!$A$5:$A$254,0)),0)))))</f>
        <v>0</v>
      </c>
      <c r="AE407" s="31">
        <f>IF(G407="","",IF(T407="",CleanersPerJob,MAX(1,T407)))</f>
        <v>0</v>
      </c>
      <c r="AF407" s="34">
        <f>IF(G407="","",ROUND(AD407/AE407,2))</f>
        <v>0</v>
      </c>
      <c r="AG407" s="53">
        <f>IF(OR(G407="",F407="",AF407=""),"",F407+AF407/24)</f>
        <v>0</v>
      </c>
      <c r="AH407" s="21">
        <f>IF(G407="","",IF(IFERROR(INDEX(Clients!$O$5:$O$204,MATCH(G407,Clients!$A$5:$A$204,0)),0)&gt;0,IFERROR(INDEX(Clients!$O$5:$O$204,MATCH(G407,Clients!$A$5:$A$204,0)),0),HourlyRate))</f>
        <v>0</v>
      </c>
      <c r="AI407" s="21">
        <f>IF(G407="","",IF(AND(M407&lt;&gt;"",IFERROR(INDEX(Services!$P$5:$P$64,MATCH(M407,Services!$B$5:$B$64,0)),0)&gt;0,IFERROR(INDEX(Services!$D$5:$D$64,MATCH(M407,Services!$B$5:$B$64,0)),"")&lt;&gt;"Per hour"),IFERROR(INDEX(Services!$P$5:$P$64,MATCH(M407,Services!$B$5:$B$64,0)),0),AD407*AH407))</f>
        <v>0</v>
      </c>
      <c r="AJ407" s="21">
        <f>IF(G407="","",IF(V407&lt;&gt;"",V407,IF(P407="Cancelled",0,MAX(MinimumCharge,ROUND(AI407*IFERROR(INDEX(FreqFactors,MATCH(O407,FreqNames,0)),1),2)))))</f>
        <v>0</v>
      </c>
      <c r="AK407" s="34">
        <f>IF(G407="","",IF(SUMIFS(Timesheets!$U$5:$U$804,Timesheets!$G$5:$G$804,A407)&gt;0,SUMIFS(Timesheets!$U$5:$U$804,Timesheets!$G$5:$G$804,A407),IF(Z407="","",Z407)))</f>
        <v>0</v>
      </c>
      <c r="AL407" s="34">
        <f>IF(OR(AK407="",AD407=""),"",AK407-AD407)</f>
        <v>0</v>
      </c>
      <c r="AM407" s="31">
        <f>IF(A407="","",COUNTIFS('Job Tasks'!$B$5:$B$904,A407))</f>
        <v>0</v>
      </c>
      <c r="AN407" s="31">
        <f>IF(A407="","",COUNTIFS('Job Tasks'!$B$5:$B$904,A407,'Job Tasks'!$H$5:$H$904,"Done"))</f>
        <v>0</v>
      </c>
      <c r="AO407" s="38">
        <f>IF(OR(A407="",AM407=0),"",AN407/AM407)</f>
        <v>0</v>
      </c>
      <c r="AP407" s="43">
        <f>IF(A407="","",IFERROR(INDEX('Invoice Lines'!$B$5:$B$804,MATCH(A407,'Invoice Lines'!$C$5:$C$804,0)),""))</f>
        <v>0</v>
      </c>
      <c r="AQ407" s="18">
        <f>IF(OR(G407="",B407="",X407&lt;&gt;"Yes"),"",IF(IFERROR(INDEX(FreqDays,MATCH(O407,FreqNames,0)),0)=0,"",B407+IFERROR(INDEX(FreqDays,MATCH(O407,FreqNames,0)),0)))</f>
        <v>0</v>
      </c>
      <c r="AR407" s="39">
        <f>IF(G407="","",IF(R407="","Unassigned",IF(COUNTIFS($R$5:$R$604,R407,$B$5:$B$604,B407,$F$5:$F$604,F407)&gt;1,"Clash",IF(SUMIFS($AF$5:$AF$604,$R$5:$R$604,R407,$B$5:$B$604,B407)&gt;ProductiveHours,"Long day","OK"))))</f>
        <v>0</v>
      </c>
      <c r="AS407" s="18">
        <f>IF(OR(G407="",B407=""),"",IF(AND(B407&gt;=TodayDate,P407&lt;&gt;"Cancelled"),B407,""))</f>
        <v>0</v>
      </c>
      <c r="AT407" s="31">
        <f>IF(AS407="","",COUNTIFS($AS$5:$AS$604,"&lt;"&amp;AS407)+COUNTIFS($AS$5:AS407,AS407))</f>
        <v>0</v>
      </c>
      <c r="AU407" s="18">
        <f>IF(OR(G407="",B407="",R407&lt;&gt;""),"",IF(AND(B407&gt;=TodayDate,P407&lt;&gt;"Cancelled"),B407,""))</f>
        <v>0</v>
      </c>
      <c r="AV407" s="31">
        <f>IF(AU407="","",COUNTIFS($AU$5:$AU$604,"&lt;"&amp;AU407)+COUNTIFS($AU$5:AU407,AU407))</f>
        <v>0</v>
      </c>
      <c r="AW407" s="31">
        <f>IF(OR(G407="",B407=""),"",B407-TodayDate)</f>
        <v>0</v>
      </c>
      <c r="AX407" s="39">
        <f>IF(G407="","",IF(P407="Cancelled","Cancelled",IF(P407="No access","Action - no access, rebook",IF(AND(B407&lt;&gt;"",AW407&lt;0,OR(P407="Booked",P407="Confirmed",P407="In progress")),"Late - mark it completed",IF(AND(P407="Completed",AP407=""),"Action - not invoiced yet",IF(AND(AW407&gt;=0,AW407&lt;=ReminderDays,Y407&lt;&gt;"Yes"),"Confirm - visit coming up",IF(R407="","Assign - no cleaner booked",IF(AND(P407="Completed",AO407&lt;&gt;"",AO407&lt;1),"Check - checklist unfinished","OK"))))))))</f>
        <v>0</v>
      </c>
    </row>
    <row r="408" spans="1:50">
      <c r="A408" s="43">
        <f>IF(G408="","",JobPrefix&amp;TEXT(ROW()-4,"0000"))</f>
        <v>0</v>
      </c>
      <c r="C408" s="23">
        <f>IF(B408="","",TEXT(B408,"ddd"))</f>
        <v>0</v>
      </c>
      <c r="D408" s="31">
        <f>IF(B408="","",WEEKNUM(B408,IF(WeekStart="Sunday",1,2)))</f>
        <v>0</v>
      </c>
      <c r="E408" s="23">
        <f>IF(B408="","",TEXT(B408,"yyyy-mm"))</f>
        <v>0</v>
      </c>
      <c r="H408" s="23">
        <f>IF(G408="","",IFERROR(INDEX(Clients!$B$5:$B$204,MATCH(G408,Clients!$A$5:$A$204,0)),"Not found"))</f>
        <v>0</v>
      </c>
      <c r="I408" s="23">
        <f>IF(G408="","",IFERROR(INDEX(Clients!$C$5:$C$204,MATCH(G408,Clients!$A$5:$A$204,0)),""))</f>
        <v>0</v>
      </c>
      <c r="K408" s="23">
        <f>IF(J408="","",IFERROR(INDEX(Properties!$B$5:$B$254,MATCH(J408,Properties!$A$5:$A$254,0)),""))</f>
        <v>0</v>
      </c>
      <c r="L408" s="23">
        <f>IF(J408="","",IFERROR(INDEX(Properties!$F$5:$F$254,MATCH(J408,Properties!$A$5:$A$254,0)),""))</f>
        <v>0</v>
      </c>
      <c r="AD408" s="34">
        <f>IF(G408="","",IF(U408&lt;&gt;"",U408,IF(AND(IFERROR(INDEX(Services!$D$5:$D$64,MATCH(M408,Services!$B$5:$B$64,0)),"")="Per hour",IFERROR(INDEX(Properties!$X$5:$X$254,MATCH(J408,Properties!$A$5:$A$254,0)),0)&gt;0),IFERROR(INDEX(Properties!$X$5:$X$254,MATCH(J408,Properties!$A$5:$A$254,0)),0),IF(IFERROR(INDEX(Services!$G$5:$G$64,MATCH(M408,Services!$B$5:$B$64,0)),0)&gt;0,IFERROR(INDEX(Services!$G$5:$G$64,MATCH(M408,Services!$B$5:$B$64,0)),0),IFERROR(INDEX(Properties!$X$5:$X$254,MATCH(J408,Properties!$A$5:$A$254,0)),0)))))</f>
        <v>0</v>
      </c>
      <c r="AE408" s="31">
        <f>IF(G408="","",IF(T408="",CleanersPerJob,MAX(1,T408)))</f>
        <v>0</v>
      </c>
      <c r="AF408" s="34">
        <f>IF(G408="","",ROUND(AD408/AE408,2))</f>
        <v>0</v>
      </c>
      <c r="AG408" s="53">
        <f>IF(OR(G408="",F408="",AF408=""),"",F408+AF408/24)</f>
        <v>0</v>
      </c>
      <c r="AH408" s="21">
        <f>IF(G408="","",IF(IFERROR(INDEX(Clients!$O$5:$O$204,MATCH(G408,Clients!$A$5:$A$204,0)),0)&gt;0,IFERROR(INDEX(Clients!$O$5:$O$204,MATCH(G408,Clients!$A$5:$A$204,0)),0),HourlyRate))</f>
        <v>0</v>
      </c>
      <c r="AI408" s="21">
        <f>IF(G408="","",IF(AND(M408&lt;&gt;"",IFERROR(INDEX(Services!$P$5:$P$64,MATCH(M408,Services!$B$5:$B$64,0)),0)&gt;0,IFERROR(INDEX(Services!$D$5:$D$64,MATCH(M408,Services!$B$5:$B$64,0)),"")&lt;&gt;"Per hour"),IFERROR(INDEX(Services!$P$5:$P$64,MATCH(M408,Services!$B$5:$B$64,0)),0),AD408*AH408))</f>
        <v>0</v>
      </c>
      <c r="AJ408" s="21">
        <f>IF(G408="","",IF(V408&lt;&gt;"",V408,IF(P408="Cancelled",0,MAX(MinimumCharge,ROUND(AI408*IFERROR(INDEX(FreqFactors,MATCH(O408,FreqNames,0)),1),2)))))</f>
        <v>0</v>
      </c>
      <c r="AK408" s="34">
        <f>IF(G408="","",IF(SUMIFS(Timesheets!$U$5:$U$804,Timesheets!$G$5:$G$804,A408)&gt;0,SUMIFS(Timesheets!$U$5:$U$804,Timesheets!$G$5:$G$804,A408),IF(Z408="","",Z408)))</f>
        <v>0</v>
      </c>
      <c r="AL408" s="34">
        <f>IF(OR(AK408="",AD408=""),"",AK408-AD408)</f>
        <v>0</v>
      </c>
      <c r="AM408" s="31">
        <f>IF(A408="","",COUNTIFS('Job Tasks'!$B$5:$B$904,A408))</f>
        <v>0</v>
      </c>
      <c r="AN408" s="31">
        <f>IF(A408="","",COUNTIFS('Job Tasks'!$B$5:$B$904,A408,'Job Tasks'!$H$5:$H$904,"Done"))</f>
        <v>0</v>
      </c>
      <c r="AO408" s="38">
        <f>IF(OR(A408="",AM408=0),"",AN408/AM408)</f>
        <v>0</v>
      </c>
      <c r="AP408" s="43">
        <f>IF(A408="","",IFERROR(INDEX('Invoice Lines'!$B$5:$B$804,MATCH(A408,'Invoice Lines'!$C$5:$C$804,0)),""))</f>
        <v>0</v>
      </c>
      <c r="AQ408" s="18">
        <f>IF(OR(G408="",B408="",X408&lt;&gt;"Yes"),"",IF(IFERROR(INDEX(FreqDays,MATCH(O408,FreqNames,0)),0)=0,"",B408+IFERROR(INDEX(FreqDays,MATCH(O408,FreqNames,0)),0)))</f>
        <v>0</v>
      </c>
      <c r="AR408" s="39">
        <f>IF(G408="","",IF(R408="","Unassigned",IF(COUNTIFS($R$5:$R$604,R408,$B$5:$B$604,B408,$F$5:$F$604,F408)&gt;1,"Clash",IF(SUMIFS($AF$5:$AF$604,$R$5:$R$604,R408,$B$5:$B$604,B408)&gt;ProductiveHours,"Long day","OK"))))</f>
        <v>0</v>
      </c>
      <c r="AS408" s="18">
        <f>IF(OR(G408="",B408=""),"",IF(AND(B408&gt;=TodayDate,P408&lt;&gt;"Cancelled"),B408,""))</f>
        <v>0</v>
      </c>
      <c r="AT408" s="31">
        <f>IF(AS408="","",COUNTIFS($AS$5:$AS$604,"&lt;"&amp;AS408)+COUNTIFS($AS$5:AS408,AS408))</f>
        <v>0</v>
      </c>
      <c r="AU408" s="18">
        <f>IF(OR(G408="",B408="",R408&lt;&gt;""),"",IF(AND(B408&gt;=TodayDate,P408&lt;&gt;"Cancelled"),B408,""))</f>
        <v>0</v>
      </c>
      <c r="AV408" s="31">
        <f>IF(AU408="","",COUNTIFS($AU$5:$AU$604,"&lt;"&amp;AU408)+COUNTIFS($AU$5:AU408,AU408))</f>
        <v>0</v>
      </c>
      <c r="AW408" s="31">
        <f>IF(OR(G408="",B408=""),"",B408-TodayDate)</f>
        <v>0</v>
      </c>
      <c r="AX408" s="39">
        <f>IF(G408="","",IF(P408="Cancelled","Cancelled",IF(P408="No access","Action - no access, rebook",IF(AND(B408&lt;&gt;"",AW408&lt;0,OR(P408="Booked",P408="Confirmed",P408="In progress")),"Late - mark it completed",IF(AND(P408="Completed",AP408=""),"Action - not invoiced yet",IF(AND(AW408&gt;=0,AW408&lt;=ReminderDays,Y408&lt;&gt;"Yes"),"Confirm - visit coming up",IF(R408="","Assign - no cleaner booked",IF(AND(P408="Completed",AO408&lt;&gt;"",AO408&lt;1),"Check - checklist unfinished","OK"))))))))</f>
        <v>0</v>
      </c>
    </row>
    <row r="409" spans="1:50">
      <c r="A409" s="43">
        <f>IF(G409="","",JobPrefix&amp;TEXT(ROW()-4,"0000"))</f>
        <v>0</v>
      </c>
      <c r="C409" s="23">
        <f>IF(B409="","",TEXT(B409,"ddd"))</f>
        <v>0</v>
      </c>
      <c r="D409" s="31">
        <f>IF(B409="","",WEEKNUM(B409,IF(WeekStart="Sunday",1,2)))</f>
        <v>0</v>
      </c>
      <c r="E409" s="23">
        <f>IF(B409="","",TEXT(B409,"yyyy-mm"))</f>
        <v>0</v>
      </c>
      <c r="H409" s="23">
        <f>IF(G409="","",IFERROR(INDEX(Clients!$B$5:$B$204,MATCH(G409,Clients!$A$5:$A$204,0)),"Not found"))</f>
        <v>0</v>
      </c>
      <c r="I409" s="23">
        <f>IF(G409="","",IFERROR(INDEX(Clients!$C$5:$C$204,MATCH(G409,Clients!$A$5:$A$204,0)),""))</f>
        <v>0</v>
      </c>
      <c r="K409" s="23">
        <f>IF(J409="","",IFERROR(INDEX(Properties!$B$5:$B$254,MATCH(J409,Properties!$A$5:$A$254,0)),""))</f>
        <v>0</v>
      </c>
      <c r="L409" s="23">
        <f>IF(J409="","",IFERROR(INDEX(Properties!$F$5:$F$254,MATCH(J409,Properties!$A$5:$A$254,0)),""))</f>
        <v>0</v>
      </c>
      <c r="AD409" s="34">
        <f>IF(G409="","",IF(U409&lt;&gt;"",U409,IF(AND(IFERROR(INDEX(Services!$D$5:$D$64,MATCH(M409,Services!$B$5:$B$64,0)),"")="Per hour",IFERROR(INDEX(Properties!$X$5:$X$254,MATCH(J409,Properties!$A$5:$A$254,0)),0)&gt;0),IFERROR(INDEX(Properties!$X$5:$X$254,MATCH(J409,Properties!$A$5:$A$254,0)),0),IF(IFERROR(INDEX(Services!$G$5:$G$64,MATCH(M409,Services!$B$5:$B$64,0)),0)&gt;0,IFERROR(INDEX(Services!$G$5:$G$64,MATCH(M409,Services!$B$5:$B$64,0)),0),IFERROR(INDEX(Properties!$X$5:$X$254,MATCH(J409,Properties!$A$5:$A$254,0)),0)))))</f>
        <v>0</v>
      </c>
      <c r="AE409" s="31">
        <f>IF(G409="","",IF(T409="",CleanersPerJob,MAX(1,T409)))</f>
        <v>0</v>
      </c>
      <c r="AF409" s="34">
        <f>IF(G409="","",ROUND(AD409/AE409,2))</f>
        <v>0</v>
      </c>
      <c r="AG409" s="53">
        <f>IF(OR(G409="",F409="",AF409=""),"",F409+AF409/24)</f>
        <v>0</v>
      </c>
      <c r="AH409" s="21">
        <f>IF(G409="","",IF(IFERROR(INDEX(Clients!$O$5:$O$204,MATCH(G409,Clients!$A$5:$A$204,0)),0)&gt;0,IFERROR(INDEX(Clients!$O$5:$O$204,MATCH(G409,Clients!$A$5:$A$204,0)),0),HourlyRate))</f>
        <v>0</v>
      </c>
      <c r="AI409" s="21">
        <f>IF(G409="","",IF(AND(M409&lt;&gt;"",IFERROR(INDEX(Services!$P$5:$P$64,MATCH(M409,Services!$B$5:$B$64,0)),0)&gt;0,IFERROR(INDEX(Services!$D$5:$D$64,MATCH(M409,Services!$B$5:$B$64,0)),"")&lt;&gt;"Per hour"),IFERROR(INDEX(Services!$P$5:$P$64,MATCH(M409,Services!$B$5:$B$64,0)),0),AD409*AH409))</f>
        <v>0</v>
      </c>
      <c r="AJ409" s="21">
        <f>IF(G409="","",IF(V409&lt;&gt;"",V409,IF(P409="Cancelled",0,MAX(MinimumCharge,ROUND(AI409*IFERROR(INDEX(FreqFactors,MATCH(O409,FreqNames,0)),1),2)))))</f>
        <v>0</v>
      </c>
      <c r="AK409" s="34">
        <f>IF(G409="","",IF(SUMIFS(Timesheets!$U$5:$U$804,Timesheets!$G$5:$G$804,A409)&gt;0,SUMIFS(Timesheets!$U$5:$U$804,Timesheets!$G$5:$G$804,A409),IF(Z409="","",Z409)))</f>
        <v>0</v>
      </c>
      <c r="AL409" s="34">
        <f>IF(OR(AK409="",AD409=""),"",AK409-AD409)</f>
        <v>0</v>
      </c>
      <c r="AM409" s="31">
        <f>IF(A409="","",COUNTIFS('Job Tasks'!$B$5:$B$904,A409))</f>
        <v>0</v>
      </c>
      <c r="AN409" s="31">
        <f>IF(A409="","",COUNTIFS('Job Tasks'!$B$5:$B$904,A409,'Job Tasks'!$H$5:$H$904,"Done"))</f>
        <v>0</v>
      </c>
      <c r="AO409" s="38">
        <f>IF(OR(A409="",AM409=0),"",AN409/AM409)</f>
        <v>0</v>
      </c>
      <c r="AP409" s="43">
        <f>IF(A409="","",IFERROR(INDEX('Invoice Lines'!$B$5:$B$804,MATCH(A409,'Invoice Lines'!$C$5:$C$804,0)),""))</f>
        <v>0</v>
      </c>
      <c r="AQ409" s="18">
        <f>IF(OR(G409="",B409="",X409&lt;&gt;"Yes"),"",IF(IFERROR(INDEX(FreqDays,MATCH(O409,FreqNames,0)),0)=0,"",B409+IFERROR(INDEX(FreqDays,MATCH(O409,FreqNames,0)),0)))</f>
        <v>0</v>
      </c>
      <c r="AR409" s="39">
        <f>IF(G409="","",IF(R409="","Unassigned",IF(COUNTIFS($R$5:$R$604,R409,$B$5:$B$604,B409,$F$5:$F$604,F409)&gt;1,"Clash",IF(SUMIFS($AF$5:$AF$604,$R$5:$R$604,R409,$B$5:$B$604,B409)&gt;ProductiveHours,"Long day","OK"))))</f>
        <v>0</v>
      </c>
      <c r="AS409" s="18">
        <f>IF(OR(G409="",B409=""),"",IF(AND(B409&gt;=TodayDate,P409&lt;&gt;"Cancelled"),B409,""))</f>
        <v>0</v>
      </c>
      <c r="AT409" s="31">
        <f>IF(AS409="","",COUNTIFS($AS$5:$AS$604,"&lt;"&amp;AS409)+COUNTIFS($AS$5:AS409,AS409))</f>
        <v>0</v>
      </c>
      <c r="AU409" s="18">
        <f>IF(OR(G409="",B409="",R409&lt;&gt;""),"",IF(AND(B409&gt;=TodayDate,P409&lt;&gt;"Cancelled"),B409,""))</f>
        <v>0</v>
      </c>
      <c r="AV409" s="31">
        <f>IF(AU409="","",COUNTIFS($AU$5:$AU$604,"&lt;"&amp;AU409)+COUNTIFS($AU$5:AU409,AU409))</f>
        <v>0</v>
      </c>
      <c r="AW409" s="31">
        <f>IF(OR(G409="",B409=""),"",B409-TodayDate)</f>
        <v>0</v>
      </c>
      <c r="AX409" s="39">
        <f>IF(G409="","",IF(P409="Cancelled","Cancelled",IF(P409="No access","Action - no access, rebook",IF(AND(B409&lt;&gt;"",AW409&lt;0,OR(P409="Booked",P409="Confirmed",P409="In progress")),"Late - mark it completed",IF(AND(P409="Completed",AP409=""),"Action - not invoiced yet",IF(AND(AW409&gt;=0,AW409&lt;=ReminderDays,Y409&lt;&gt;"Yes"),"Confirm - visit coming up",IF(R409="","Assign - no cleaner booked",IF(AND(P409="Completed",AO409&lt;&gt;"",AO409&lt;1),"Check - checklist unfinished","OK"))))))))</f>
        <v>0</v>
      </c>
    </row>
    <row r="410" spans="1:50">
      <c r="A410" s="43">
        <f>IF(G410="","",JobPrefix&amp;TEXT(ROW()-4,"0000"))</f>
        <v>0</v>
      </c>
      <c r="C410" s="23">
        <f>IF(B410="","",TEXT(B410,"ddd"))</f>
        <v>0</v>
      </c>
      <c r="D410" s="31">
        <f>IF(B410="","",WEEKNUM(B410,IF(WeekStart="Sunday",1,2)))</f>
        <v>0</v>
      </c>
      <c r="E410" s="23">
        <f>IF(B410="","",TEXT(B410,"yyyy-mm"))</f>
        <v>0</v>
      </c>
      <c r="H410" s="23">
        <f>IF(G410="","",IFERROR(INDEX(Clients!$B$5:$B$204,MATCH(G410,Clients!$A$5:$A$204,0)),"Not found"))</f>
        <v>0</v>
      </c>
      <c r="I410" s="23">
        <f>IF(G410="","",IFERROR(INDEX(Clients!$C$5:$C$204,MATCH(G410,Clients!$A$5:$A$204,0)),""))</f>
        <v>0</v>
      </c>
      <c r="K410" s="23">
        <f>IF(J410="","",IFERROR(INDEX(Properties!$B$5:$B$254,MATCH(J410,Properties!$A$5:$A$254,0)),""))</f>
        <v>0</v>
      </c>
      <c r="L410" s="23">
        <f>IF(J410="","",IFERROR(INDEX(Properties!$F$5:$F$254,MATCH(J410,Properties!$A$5:$A$254,0)),""))</f>
        <v>0</v>
      </c>
      <c r="AD410" s="34">
        <f>IF(G410="","",IF(U410&lt;&gt;"",U410,IF(AND(IFERROR(INDEX(Services!$D$5:$D$64,MATCH(M410,Services!$B$5:$B$64,0)),"")="Per hour",IFERROR(INDEX(Properties!$X$5:$X$254,MATCH(J410,Properties!$A$5:$A$254,0)),0)&gt;0),IFERROR(INDEX(Properties!$X$5:$X$254,MATCH(J410,Properties!$A$5:$A$254,0)),0),IF(IFERROR(INDEX(Services!$G$5:$G$64,MATCH(M410,Services!$B$5:$B$64,0)),0)&gt;0,IFERROR(INDEX(Services!$G$5:$G$64,MATCH(M410,Services!$B$5:$B$64,0)),0),IFERROR(INDEX(Properties!$X$5:$X$254,MATCH(J410,Properties!$A$5:$A$254,0)),0)))))</f>
        <v>0</v>
      </c>
      <c r="AE410" s="31">
        <f>IF(G410="","",IF(T410="",CleanersPerJob,MAX(1,T410)))</f>
        <v>0</v>
      </c>
      <c r="AF410" s="34">
        <f>IF(G410="","",ROUND(AD410/AE410,2))</f>
        <v>0</v>
      </c>
      <c r="AG410" s="53">
        <f>IF(OR(G410="",F410="",AF410=""),"",F410+AF410/24)</f>
        <v>0</v>
      </c>
      <c r="AH410" s="21">
        <f>IF(G410="","",IF(IFERROR(INDEX(Clients!$O$5:$O$204,MATCH(G410,Clients!$A$5:$A$204,0)),0)&gt;0,IFERROR(INDEX(Clients!$O$5:$O$204,MATCH(G410,Clients!$A$5:$A$204,0)),0),HourlyRate))</f>
        <v>0</v>
      </c>
      <c r="AI410" s="21">
        <f>IF(G410="","",IF(AND(M410&lt;&gt;"",IFERROR(INDEX(Services!$P$5:$P$64,MATCH(M410,Services!$B$5:$B$64,0)),0)&gt;0,IFERROR(INDEX(Services!$D$5:$D$64,MATCH(M410,Services!$B$5:$B$64,0)),"")&lt;&gt;"Per hour"),IFERROR(INDEX(Services!$P$5:$P$64,MATCH(M410,Services!$B$5:$B$64,0)),0),AD410*AH410))</f>
        <v>0</v>
      </c>
      <c r="AJ410" s="21">
        <f>IF(G410="","",IF(V410&lt;&gt;"",V410,IF(P410="Cancelled",0,MAX(MinimumCharge,ROUND(AI410*IFERROR(INDEX(FreqFactors,MATCH(O410,FreqNames,0)),1),2)))))</f>
        <v>0</v>
      </c>
      <c r="AK410" s="34">
        <f>IF(G410="","",IF(SUMIFS(Timesheets!$U$5:$U$804,Timesheets!$G$5:$G$804,A410)&gt;0,SUMIFS(Timesheets!$U$5:$U$804,Timesheets!$G$5:$G$804,A410),IF(Z410="","",Z410)))</f>
        <v>0</v>
      </c>
      <c r="AL410" s="34">
        <f>IF(OR(AK410="",AD410=""),"",AK410-AD410)</f>
        <v>0</v>
      </c>
      <c r="AM410" s="31">
        <f>IF(A410="","",COUNTIFS('Job Tasks'!$B$5:$B$904,A410))</f>
        <v>0</v>
      </c>
      <c r="AN410" s="31">
        <f>IF(A410="","",COUNTIFS('Job Tasks'!$B$5:$B$904,A410,'Job Tasks'!$H$5:$H$904,"Done"))</f>
        <v>0</v>
      </c>
      <c r="AO410" s="38">
        <f>IF(OR(A410="",AM410=0),"",AN410/AM410)</f>
        <v>0</v>
      </c>
      <c r="AP410" s="43">
        <f>IF(A410="","",IFERROR(INDEX('Invoice Lines'!$B$5:$B$804,MATCH(A410,'Invoice Lines'!$C$5:$C$804,0)),""))</f>
        <v>0</v>
      </c>
      <c r="AQ410" s="18">
        <f>IF(OR(G410="",B410="",X410&lt;&gt;"Yes"),"",IF(IFERROR(INDEX(FreqDays,MATCH(O410,FreqNames,0)),0)=0,"",B410+IFERROR(INDEX(FreqDays,MATCH(O410,FreqNames,0)),0)))</f>
        <v>0</v>
      </c>
      <c r="AR410" s="39">
        <f>IF(G410="","",IF(R410="","Unassigned",IF(COUNTIFS($R$5:$R$604,R410,$B$5:$B$604,B410,$F$5:$F$604,F410)&gt;1,"Clash",IF(SUMIFS($AF$5:$AF$604,$R$5:$R$604,R410,$B$5:$B$604,B410)&gt;ProductiveHours,"Long day","OK"))))</f>
        <v>0</v>
      </c>
      <c r="AS410" s="18">
        <f>IF(OR(G410="",B410=""),"",IF(AND(B410&gt;=TodayDate,P410&lt;&gt;"Cancelled"),B410,""))</f>
        <v>0</v>
      </c>
      <c r="AT410" s="31">
        <f>IF(AS410="","",COUNTIFS($AS$5:$AS$604,"&lt;"&amp;AS410)+COUNTIFS($AS$5:AS410,AS410))</f>
        <v>0</v>
      </c>
      <c r="AU410" s="18">
        <f>IF(OR(G410="",B410="",R410&lt;&gt;""),"",IF(AND(B410&gt;=TodayDate,P410&lt;&gt;"Cancelled"),B410,""))</f>
        <v>0</v>
      </c>
      <c r="AV410" s="31">
        <f>IF(AU410="","",COUNTIFS($AU$5:$AU$604,"&lt;"&amp;AU410)+COUNTIFS($AU$5:AU410,AU410))</f>
        <v>0</v>
      </c>
      <c r="AW410" s="31">
        <f>IF(OR(G410="",B410=""),"",B410-TodayDate)</f>
        <v>0</v>
      </c>
      <c r="AX410" s="39">
        <f>IF(G410="","",IF(P410="Cancelled","Cancelled",IF(P410="No access","Action - no access, rebook",IF(AND(B410&lt;&gt;"",AW410&lt;0,OR(P410="Booked",P410="Confirmed",P410="In progress")),"Late - mark it completed",IF(AND(P410="Completed",AP410=""),"Action - not invoiced yet",IF(AND(AW410&gt;=0,AW410&lt;=ReminderDays,Y410&lt;&gt;"Yes"),"Confirm - visit coming up",IF(R410="","Assign - no cleaner booked",IF(AND(P410="Completed",AO410&lt;&gt;"",AO410&lt;1),"Check - checklist unfinished","OK"))))))))</f>
        <v>0</v>
      </c>
    </row>
    <row r="411" spans="1:50">
      <c r="A411" s="43">
        <f>IF(G411="","",JobPrefix&amp;TEXT(ROW()-4,"0000"))</f>
        <v>0</v>
      </c>
      <c r="C411" s="23">
        <f>IF(B411="","",TEXT(B411,"ddd"))</f>
        <v>0</v>
      </c>
      <c r="D411" s="31">
        <f>IF(B411="","",WEEKNUM(B411,IF(WeekStart="Sunday",1,2)))</f>
        <v>0</v>
      </c>
      <c r="E411" s="23">
        <f>IF(B411="","",TEXT(B411,"yyyy-mm"))</f>
        <v>0</v>
      </c>
      <c r="H411" s="23">
        <f>IF(G411="","",IFERROR(INDEX(Clients!$B$5:$B$204,MATCH(G411,Clients!$A$5:$A$204,0)),"Not found"))</f>
        <v>0</v>
      </c>
      <c r="I411" s="23">
        <f>IF(G411="","",IFERROR(INDEX(Clients!$C$5:$C$204,MATCH(G411,Clients!$A$5:$A$204,0)),""))</f>
        <v>0</v>
      </c>
      <c r="K411" s="23">
        <f>IF(J411="","",IFERROR(INDEX(Properties!$B$5:$B$254,MATCH(J411,Properties!$A$5:$A$254,0)),""))</f>
        <v>0</v>
      </c>
      <c r="L411" s="23">
        <f>IF(J411="","",IFERROR(INDEX(Properties!$F$5:$F$254,MATCH(J411,Properties!$A$5:$A$254,0)),""))</f>
        <v>0</v>
      </c>
      <c r="AD411" s="34">
        <f>IF(G411="","",IF(U411&lt;&gt;"",U411,IF(AND(IFERROR(INDEX(Services!$D$5:$D$64,MATCH(M411,Services!$B$5:$B$64,0)),"")="Per hour",IFERROR(INDEX(Properties!$X$5:$X$254,MATCH(J411,Properties!$A$5:$A$254,0)),0)&gt;0),IFERROR(INDEX(Properties!$X$5:$X$254,MATCH(J411,Properties!$A$5:$A$254,0)),0),IF(IFERROR(INDEX(Services!$G$5:$G$64,MATCH(M411,Services!$B$5:$B$64,0)),0)&gt;0,IFERROR(INDEX(Services!$G$5:$G$64,MATCH(M411,Services!$B$5:$B$64,0)),0),IFERROR(INDEX(Properties!$X$5:$X$254,MATCH(J411,Properties!$A$5:$A$254,0)),0)))))</f>
        <v>0</v>
      </c>
      <c r="AE411" s="31">
        <f>IF(G411="","",IF(T411="",CleanersPerJob,MAX(1,T411)))</f>
        <v>0</v>
      </c>
      <c r="AF411" s="34">
        <f>IF(G411="","",ROUND(AD411/AE411,2))</f>
        <v>0</v>
      </c>
      <c r="AG411" s="53">
        <f>IF(OR(G411="",F411="",AF411=""),"",F411+AF411/24)</f>
        <v>0</v>
      </c>
      <c r="AH411" s="21">
        <f>IF(G411="","",IF(IFERROR(INDEX(Clients!$O$5:$O$204,MATCH(G411,Clients!$A$5:$A$204,0)),0)&gt;0,IFERROR(INDEX(Clients!$O$5:$O$204,MATCH(G411,Clients!$A$5:$A$204,0)),0),HourlyRate))</f>
        <v>0</v>
      </c>
      <c r="AI411" s="21">
        <f>IF(G411="","",IF(AND(M411&lt;&gt;"",IFERROR(INDEX(Services!$P$5:$P$64,MATCH(M411,Services!$B$5:$B$64,0)),0)&gt;0,IFERROR(INDEX(Services!$D$5:$D$64,MATCH(M411,Services!$B$5:$B$64,0)),"")&lt;&gt;"Per hour"),IFERROR(INDEX(Services!$P$5:$P$64,MATCH(M411,Services!$B$5:$B$64,0)),0),AD411*AH411))</f>
        <v>0</v>
      </c>
      <c r="AJ411" s="21">
        <f>IF(G411="","",IF(V411&lt;&gt;"",V411,IF(P411="Cancelled",0,MAX(MinimumCharge,ROUND(AI411*IFERROR(INDEX(FreqFactors,MATCH(O411,FreqNames,0)),1),2)))))</f>
        <v>0</v>
      </c>
      <c r="AK411" s="34">
        <f>IF(G411="","",IF(SUMIFS(Timesheets!$U$5:$U$804,Timesheets!$G$5:$G$804,A411)&gt;0,SUMIFS(Timesheets!$U$5:$U$804,Timesheets!$G$5:$G$804,A411),IF(Z411="","",Z411)))</f>
        <v>0</v>
      </c>
      <c r="AL411" s="34">
        <f>IF(OR(AK411="",AD411=""),"",AK411-AD411)</f>
        <v>0</v>
      </c>
      <c r="AM411" s="31">
        <f>IF(A411="","",COUNTIFS('Job Tasks'!$B$5:$B$904,A411))</f>
        <v>0</v>
      </c>
      <c r="AN411" s="31">
        <f>IF(A411="","",COUNTIFS('Job Tasks'!$B$5:$B$904,A411,'Job Tasks'!$H$5:$H$904,"Done"))</f>
        <v>0</v>
      </c>
      <c r="AO411" s="38">
        <f>IF(OR(A411="",AM411=0),"",AN411/AM411)</f>
        <v>0</v>
      </c>
      <c r="AP411" s="43">
        <f>IF(A411="","",IFERROR(INDEX('Invoice Lines'!$B$5:$B$804,MATCH(A411,'Invoice Lines'!$C$5:$C$804,0)),""))</f>
        <v>0</v>
      </c>
      <c r="AQ411" s="18">
        <f>IF(OR(G411="",B411="",X411&lt;&gt;"Yes"),"",IF(IFERROR(INDEX(FreqDays,MATCH(O411,FreqNames,0)),0)=0,"",B411+IFERROR(INDEX(FreqDays,MATCH(O411,FreqNames,0)),0)))</f>
        <v>0</v>
      </c>
      <c r="AR411" s="39">
        <f>IF(G411="","",IF(R411="","Unassigned",IF(COUNTIFS($R$5:$R$604,R411,$B$5:$B$604,B411,$F$5:$F$604,F411)&gt;1,"Clash",IF(SUMIFS($AF$5:$AF$604,$R$5:$R$604,R411,$B$5:$B$604,B411)&gt;ProductiveHours,"Long day","OK"))))</f>
        <v>0</v>
      </c>
      <c r="AS411" s="18">
        <f>IF(OR(G411="",B411=""),"",IF(AND(B411&gt;=TodayDate,P411&lt;&gt;"Cancelled"),B411,""))</f>
        <v>0</v>
      </c>
      <c r="AT411" s="31">
        <f>IF(AS411="","",COUNTIFS($AS$5:$AS$604,"&lt;"&amp;AS411)+COUNTIFS($AS$5:AS411,AS411))</f>
        <v>0</v>
      </c>
      <c r="AU411" s="18">
        <f>IF(OR(G411="",B411="",R411&lt;&gt;""),"",IF(AND(B411&gt;=TodayDate,P411&lt;&gt;"Cancelled"),B411,""))</f>
        <v>0</v>
      </c>
      <c r="AV411" s="31">
        <f>IF(AU411="","",COUNTIFS($AU$5:$AU$604,"&lt;"&amp;AU411)+COUNTIFS($AU$5:AU411,AU411))</f>
        <v>0</v>
      </c>
      <c r="AW411" s="31">
        <f>IF(OR(G411="",B411=""),"",B411-TodayDate)</f>
        <v>0</v>
      </c>
      <c r="AX411" s="39">
        <f>IF(G411="","",IF(P411="Cancelled","Cancelled",IF(P411="No access","Action - no access, rebook",IF(AND(B411&lt;&gt;"",AW411&lt;0,OR(P411="Booked",P411="Confirmed",P411="In progress")),"Late - mark it completed",IF(AND(P411="Completed",AP411=""),"Action - not invoiced yet",IF(AND(AW411&gt;=0,AW411&lt;=ReminderDays,Y411&lt;&gt;"Yes"),"Confirm - visit coming up",IF(R411="","Assign - no cleaner booked",IF(AND(P411="Completed",AO411&lt;&gt;"",AO411&lt;1),"Check - checklist unfinished","OK"))))))))</f>
        <v>0</v>
      </c>
    </row>
    <row r="412" spans="1:50">
      <c r="A412" s="43">
        <f>IF(G412="","",JobPrefix&amp;TEXT(ROW()-4,"0000"))</f>
        <v>0</v>
      </c>
      <c r="C412" s="23">
        <f>IF(B412="","",TEXT(B412,"ddd"))</f>
        <v>0</v>
      </c>
      <c r="D412" s="31">
        <f>IF(B412="","",WEEKNUM(B412,IF(WeekStart="Sunday",1,2)))</f>
        <v>0</v>
      </c>
      <c r="E412" s="23">
        <f>IF(B412="","",TEXT(B412,"yyyy-mm"))</f>
        <v>0</v>
      </c>
      <c r="H412" s="23">
        <f>IF(G412="","",IFERROR(INDEX(Clients!$B$5:$B$204,MATCH(G412,Clients!$A$5:$A$204,0)),"Not found"))</f>
        <v>0</v>
      </c>
      <c r="I412" s="23">
        <f>IF(G412="","",IFERROR(INDEX(Clients!$C$5:$C$204,MATCH(G412,Clients!$A$5:$A$204,0)),""))</f>
        <v>0</v>
      </c>
      <c r="K412" s="23">
        <f>IF(J412="","",IFERROR(INDEX(Properties!$B$5:$B$254,MATCH(J412,Properties!$A$5:$A$254,0)),""))</f>
        <v>0</v>
      </c>
      <c r="L412" s="23">
        <f>IF(J412="","",IFERROR(INDEX(Properties!$F$5:$F$254,MATCH(J412,Properties!$A$5:$A$254,0)),""))</f>
        <v>0</v>
      </c>
      <c r="AD412" s="34">
        <f>IF(G412="","",IF(U412&lt;&gt;"",U412,IF(AND(IFERROR(INDEX(Services!$D$5:$D$64,MATCH(M412,Services!$B$5:$B$64,0)),"")="Per hour",IFERROR(INDEX(Properties!$X$5:$X$254,MATCH(J412,Properties!$A$5:$A$254,0)),0)&gt;0),IFERROR(INDEX(Properties!$X$5:$X$254,MATCH(J412,Properties!$A$5:$A$254,0)),0),IF(IFERROR(INDEX(Services!$G$5:$G$64,MATCH(M412,Services!$B$5:$B$64,0)),0)&gt;0,IFERROR(INDEX(Services!$G$5:$G$64,MATCH(M412,Services!$B$5:$B$64,0)),0),IFERROR(INDEX(Properties!$X$5:$X$254,MATCH(J412,Properties!$A$5:$A$254,0)),0)))))</f>
        <v>0</v>
      </c>
      <c r="AE412" s="31">
        <f>IF(G412="","",IF(T412="",CleanersPerJob,MAX(1,T412)))</f>
        <v>0</v>
      </c>
      <c r="AF412" s="34">
        <f>IF(G412="","",ROUND(AD412/AE412,2))</f>
        <v>0</v>
      </c>
      <c r="AG412" s="53">
        <f>IF(OR(G412="",F412="",AF412=""),"",F412+AF412/24)</f>
        <v>0</v>
      </c>
      <c r="AH412" s="21">
        <f>IF(G412="","",IF(IFERROR(INDEX(Clients!$O$5:$O$204,MATCH(G412,Clients!$A$5:$A$204,0)),0)&gt;0,IFERROR(INDEX(Clients!$O$5:$O$204,MATCH(G412,Clients!$A$5:$A$204,0)),0),HourlyRate))</f>
        <v>0</v>
      </c>
      <c r="AI412" s="21">
        <f>IF(G412="","",IF(AND(M412&lt;&gt;"",IFERROR(INDEX(Services!$P$5:$P$64,MATCH(M412,Services!$B$5:$B$64,0)),0)&gt;0,IFERROR(INDEX(Services!$D$5:$D$64,MATCH(M412,Services!$B$5:$B$64,0)),"")&lt;&gt;"Per hour"),IFERROR(INDEX(Services!$P$5:$P$64,MATCH(M412,Services!$B$5:$B$64,0)),0),AD412*AH412))</f>
        <v>0</v>
      </c>
      <c r="AJ412" s="21">
        <f>IF(G412="","",IF(V412&lt;&gt;"",V412,IF(P412="Cancelled",0,MAX(MinimumCharge,ROUND(AI412*IFERROR(INDEX(FreqFactors,MATCH(O412,FreqNames,0)),1),2)))))</f>
        <v>0</v>
      </c>
      <c r="AK412" s="34">
        <f>IF(G412="","",IF(SUMIFS(Timesheets!$U$5:$U$804,Timesheets!$G$5:$G$804,A412)&gt;0,SUMIFS(Timesheets!$U$5:$U$804,Timesheets!$G$5:$G$804,A412),IF(Z412="","",Z412)))</f>
        <v>0</v>
      </c>
      <c r="AL412" s="34">
        <f>IF(OR(AK412="",AD412=""),"",AK412-AD412)</f>
        <v>0</v>
      </c>
      <c r="AM412" s="31">
        <f>IF(A412="","",COUNTIFS('Job Tasks'!$B$5:$B$904,A412))</f>
        <v>0</v>
      </c>
      <c r="AN412" s="31">
        <f>IF(A412="","",COUNTIFS('Job Tasks'!$B$5:$B$904,A412,'Job Tasks'!$H$5:$H$904,"Done"))</f>
        <v>0</v>
      </c>
      <c r="AO412" s="38">
        <f>IF(OR(A412="",AM412=0),"",AN412/AM412)</f>
        <v>0</v>
      </c>
      <c r="AP412" s="43">
        <f>IF(A412="","",IFERROR(INDEX('Invoice Lines'!$B$5:$B$804,MATCH(A412,'Invoice Lines'!$C$5:$C$804,0)),""))</f>
        <v>0</v>
      </c>
      <c r="AQ412" s="18">
        <f>IF(OR(G412="",B412="",X412&lt;&gt;"Yes"),"",IF(IFERROR(INDEX(FreqDays,MATCH(O412,FreqNames,0)),0)=0,"",B412+IFERROR(INDEX(FreqDays,MATCH(O412,FreqNames,0)),0)))</f>
        <v>0</v>
      </c>
      <c r="AR412" s="39">
        <f>IF(G412="","",IF(R412="","Unassigned",IF(COUNTIFS($R$5:$R$604,R412,$B$5:$B$604,B412,$F$5:$F$604,F412)&gt;1,"Clash",IF(SUMIFS($AF$5:$AF$604,$R$5:$R$604,R412,$B$5:$B$604,B412)&gt;ProductiveHours,"Long day","OK"))))</f>
        <v>0</v>
      </c>
      <c r="AS412" s="18">
        <f>IF(OR(G412="",B412=""),"",IF(AND(B412&gt;=TodayDate,P412&lt;&gt;"Cancelled"),B412,""))</f>
        <v>0</v>
      </c>
      <c r="AT412" s="31">
        <f>IF(AS412="","",COUNTIFS($AS$5:$AS$604,"&lt;"&amp;AS412)+COUNTIFS($AS$5:AS412,AS412))</f>
        <v>0</v>
      </c>
      <c r="AU412" s="18">
        <f>IF(OR(G412="",B412="",R412&lt;&gt;""),"",IF(AND(B412&gt;=TodayDate,P412&lt;&gt;"Cancelled"),B412,""))</f>
        <v>0</v>
      </c>
      <c r="AV412" s="31">
        <f>IF(AU412="","",COUNTIFS($AU$5:$AU$604,"&lt;"&amp;AU412)+COUNTIFS($AU$5:AU412,AU412))</f>
        <v>0</v>
      </c>
      <c r="AW412" s="31">
        <f>IF(OR(G412="",B412=""),"",B412-TodayDate)</f>
        <v>0</v>
      </c>
      <c r="AX412" s="39">
        <f>IF(G412="","",IF(P412="Cancelled","Cancelled",IF(P412="No access","Action - no access, rebook",IF(AND(B412&lt;&gt;"",AW412&lt;0,OR(P412="Booked",P412="Confirmed",P412="In progress")),"Late - mark it completed",IF(AND(P412="Completed",AP412=""),"Action - not invoiced yet",IF(AND(AW412&gt;=0,AW412&lt;=ReminderDays,Y412&lt;&gt;"Yes"),"Confirm - visit coming up",IF(R412="","Assign - no cleaner booked",IF(AND(P412="Completed",AO412&lt;&gt;"",AO412&lt;1),"Check - checklist unfinished","OK"))))))))</f>
        <v>0</v>
      </c>
    </row>
    <row r="413" spans="1:50">
      <c r="A413" s="43">
        <f>IF(G413="","",JobPrefix&amp;TEXT(ROW()-4,"0000"))</f>
        <v>0</v>
      </c>
      <c r="C413" s="23">
        <f>IF(B413="","",TEXT(B413,"ddd"))</f>
        <v>0</v>
      </c>
      <c r="D413" s="31">
        <f>IF(B413="","",WEEKNUM(B413,IF(WeekStart="Sunday",1,2)))</f>
        <v>0</v>
      </c>
      <c r="E413" s="23">
        <f>IF(B413="","",TEXT(B413,"yyyy-mm"))</f>
        <v>0</v>
      </c>
      <c r="H413" s="23">
        <f>IF(G413="","",IFERROR(INDEX(Clients!$B$5:$B$204,MATCH(G413,Clients!$A$5:$A$204,0)),"Not found"))</f>
        <v>0</v>
      </c>
      <c r="I413" s="23">
        <f>IF(G413="","",IFERROR(INDEX(Clients!$C$5:$C$204,MATCH(G413,Clients!$A$5:$A$204,0)),""))</f>
        <v>0</v>
      </c>
      <c r="K413" s="23">
        <f>IF(J413="","",IFERROR(INDEX(Properties!$B$5:$B$254,MATCH(J413,Properties!$A$5:$A$254,0)),""))</f>
        <v>0</v>
      </c>
      <c r="L413" s="23">
        <f>IF(J413="","",IFERROR(INDEX(Properties!$F$5:$F$254,MATCH(J413,Properties!$A$5:$A$254,0)),""))</f>
        <v>0</v>
      </c>
      <c r="AD413" s="34">
        <f>IF(G413="","",IF(U413&lt;&gt;"",U413,IF(AND(IFERROR(INDEX(Services!$D$5:$D$64,MATCH(M413,Services!$B$5:$B$64,0)),"")="Per hour",IFERROR(INDEX(Properties!$X$5:$X$254,MATCH(J413,Properties!$A$5:$A$254,0)),0)&gt;0),IFERROR(INDEX(Properties!$X$5:$X$254,MATCH(J413,Properties!$A$5:$A$254,0)),0),IF(IFERROR(INDEX(Services!$G$5:$G$64,MATCH(M413,Services!$B$5:$B$64,0)),0)&gt;0,IFERROR(INDEX(Services!$G$5:$G$64,MATCH(M413,Services!$B$5:$B$64,0)),0),IFERROR(INDEX(Properties!$X$5:$X$254,MATCH(J413,Properties!$A$5:$A$254,0)),0)))))</f>
        <v>0</v>
      </c>
      <c r="AE413" s="31">
        <f>IF(G413="","",IF(T413="",CleanersPerJob,MAX(1,T413)))</f>
        <v>0</v>
      </c>
      <c r="AF413" s="34">
        <f>IF(G413="","",ROUND(AD413/AE413,2))</f>
        <v>0</v>
      </c>
      <c r="AG413" s="53">
        <f>IF(OR(G413="",F413="",AF413=""),"",F413+AF413/24)</f>
        <v>0</v>
      </c>
      <c r="AH413" s="21">
        <f>IF(G413="","",IF(IFERROR(INDEX(Clients!$O$5:$O$204,MATCH(G413,Clients!$A$5:$A$204,0)),0)&gt;0,IFERROR(INDEX(Clients!$O$5:$O$204,MATCH(G413,Clients!$A$5:$A$204,0)),0),HourlyRate))</f>
        <v>0</v>
      </c>
      <c r="AI413" s="21">
        <f>IF(G413="","",IF(AND(M413&lt;&gt;"",IFERROR(INDEX(Services!$P$5:$P$64,MATCH(M413,Services!$B$5:$B$64,0)),0)&gt;0,IFERROR(INDEX(Services!$D$5:$D$64,MATCH(M413,Services!$B$5:$B$64,0)),"")&lt;&gt;"Per hour"),IFERROR(INDEX(Services!$P$5:$P$64,MATCH(M413,Services!$B$5:$B$64,0)),0),AD413*AH413))</f>
        <v>0</v>
      </c>
      <c r="AJ413" s="21">
        <f>IF(G413="","",IF(V413&lt;&gt;"",V413,IF(P413="Cancelled",0,MAX(MinimumCharge,ROUND(AI413*IFERROR(INDEX(FreqFactors,MATCH(O413,FreqNames,0)),1),2)))))</f>
        <v>0</v>
      </c>
      <c r="AK413" s="34">
        <f>IF(G413="","",IF(SUMIFS(Timesheets!$U$5:$U$804,Timesheets!$G$5:$G$804,A413)&gt;0,SUMIFS(Timesheets!$U$5:$U$804,Timesheets!$G$5:$G$804,A413),IF(Z413="","",Z413)))</f>
        <v>0</v>
      </c>
      <c r="AL413" s="34">
        <f>IF(OR(AK413="",AD413=""),"",AK413-AD413)</f>
        <v>0</v>
      </c>
      <c r="AM413" s="31">
        <f>IF(A413="","",COUNTIFS('Job Tasks'!$B$5:$B$904,A413))</f>
        <v>0</v>
      </c>
      <c r="AN413" s="31">
        <f>IF(A413="","",COUNTIFS('Job Tasks'!$B$5:$B$904,A413,'Job Tasks'!$H$5:$H$904,"Done"))</f>
        <v>0</v>
      </c>
      <c r="AO413" s="38">
        <f>IF(OR(A413="",AM413=0),"",AN413/AM413)</f>
        <v>0</v>
      </c>
      <c r="AP413" s="43">
        <f>IF(A413="","",IFERROR(INDEX('Invoice Lines'!$B$5:$B$804,MATCH(A413,'Invoice Lines'!$C$5:$C$804,0)),""))</f>
        <v>0</v>
      </c>
      <c r="AQ413" s="18">
        <f>IF(OR(G413="",B413="",X413&lt;&gt;"Yes"),"",IF(IFERROR(INDEX(FreqDays,MATCH(O413,FreqNames,0)),0)=0,"",B413+IFERROR(INDEX(FreqDays,MATCH(O413,FreqNames,0)),0)))</f>
        <v>0</v>
      </c>
      <c r="AR413" s="39">
        <f>IF(G413="","",IF(R413="","Unassigned",IF(COUNTIFS($R$5:$R$604,R413,$B$5:$B$604,B413,$F$5:$F$604,F413)&gt;1,"Clash",IF(SUMIFS($AF$5:$AF$604,$R$5:$R$604,R413,$B$5:$B$604,B413)&gt;ProductiveHours,"Long day","OK"))))</f>
        <v>0</v>
      </c>
      <c r="AS413" s="18">
        <f>IF(OR(G413="",B413=""),"",IF(AND(B413&gt;=TodayDate,P413&lt;&gt;"Cancelled"),B413,""))</f>
        <v>0</v>
      </c>
      <c r="AT413" s="31">
        <f>IF(AS413="","",COUNTIFS($AS$5:$AS$604,"&lt;"&amp;AS413)+COUNTIFS($AS$5:AS413,AS413))</f>
        <v>0</v>
      </c>
      <c r="AU413" s="18">
        <f>IF(OR(G413="",B413="",R413&lt;&gt;""),"",IF(AND(B413&gt;=TodayDate,P413&lt;&gt;"Cancelled"),B413,""))</f>
        <v>0</v>
      </c>
      <c r="AV413" s="31">
        <f>IF(AU413="","",COUNTIFS($AU$5:$AU$604,"&lt;"&amp;AU413)+COUNTIFS($AU$5:AU413,AU413))</f>
        <v>0</v>
      </c>
      <c r="AW413" s="31">
        <f>IF(OR(G413="",B413=""),"",B413-TodayDate)</f>
        <v>0</v>
      </c>
      <c r="AX413" s="39">
        <f>IF(G413="","",IF(P413="Cancelled","Cancelled",IF(P413="No access","Action - no access, rebook",IF(AND(B413&lt;&gt;"",AW413&lt;0,OR(P413="Booked",P413="Confirmed",P413="In progress")),"Late - mark it completed",IF(AND(P413="Completed",AP413=""),"Action - not invoiced yet",IF(AND(AW413&gt;=0,AW413&lt;=ReminderDays,Y413&lt;&gt;"Yes"),"Confirm - visit coming up",IF(R413="","Assign - no cleaner booked",IF(AND(P413="Completed",AO413&lt;&gt;"",AO413&lt;1),"Check - checklist unfinished","OK"))))))))</f>
        <v>0</v>
      </c>
    </row>
    <row r="414" spans="1:50">
      <c r="A414" s="43">
        <f>IF(G414="","",JobPrefix&amp;TEXT(ROW()-4,"0000"))</f>
        <v>0</v>
      </c>
      <c r="C414" s="23">
        <f>IF(B414="","",TEXT(B414,"ddd"))</f>
        <v>0</v>
      </c>
      <c r="D414" s="31">
        <f>IF(B414="","",WEEKNUM(B414,IF(WeekStart="Sunday",1,2)))</f>
        <v>0</v>
      </c>
      <c r="E414" s="23">
        <f>IF(B414="","",TEXT(B414,"yyyy-mm"))</f>
        <v>0</v>
      </c>
      <c r="H414" s="23">
        <f>IF(G414="","",IFERROR(INDEX(Clients!$B$5:$B$204,MATCH(G414,Clients!$A$5:$A$204,0)),"Not found"))</f>
        <v>0</v>
      </c>
      <c r="I414" s="23">
        <f>IF(G414="","",IFERROR(INDEX(Clients!$C$5:$C$204,MATCH(G414,Clients!$A$5:$A$204,0)),""))</f>
        <v>0</v>
      </c>
      <c r="K414" s="23">
        <f>IF(J414="","",IFERROR(INDEX(Properties!$B$5:$B$254,MATCH(J414,Properties!$A$5:$A$254,0)),""))</f>
        <v>0</v>
      </c>
      <c r="L414" s="23">
        <f>IF(J414="","",IFERROR(INDEX(Properties!$F$5:$F$254,MATCH(J414,Properties!$A$5:$A$254,0)),""))</f>
        <v>0</v>
      </c>
      <c r="AD414" s="34">
        <f>IF(G414="","",IF(U414&lt;&gt;"",U414,IF(AND(IFERROR(INDEX(Services!$D$5:$D$64,MATCH(M414,Services!$B$5:$B$64,0)),"")="Per hour",IFERROR(INDEX(Properties!$X$5:$X$254,MATCH(J414,Properties!$A$5:$A$254,0)),0)&gt;0),IFERROR(INDEX(Properties!$X$5:$X$254,MATCH(J414,Properties!$A$5:$A$254,0)),0),IF(IFERROR(INDEX(Services!$G$5:$G$64,MATCH(M414,Services!$B$5:$B$64,0)),0)&gt;0,IFERROR(INDEX(Services!$G$5:$G$64,MATCH(M414,Services!$B$5:$B$64,0)),0),IFERROR(INDEX(Properties!$X$5:$X$254,MATCH(J414,Properties!$A$5:$A$254,0)),0)))))</f>
        <v>0</v>
      </c>
      <c r="AE414" s="31">
        <f>IF(G414="","",IF(T414="",CleanersPerJob,MAX(1,T414)))</f>
        <v>0</v>
      </c>
      <c r="AF414" s="34">
        <f>IF(G414="","",ROUND(AD414/AE414,2))</f>
        <v>0</v>
      </c>
      <c r="AG414" s="53">
        <f>IF(OR(G414="",F414="",AF414=""),"",F414+AF414/24)</f>
        <v>0</v>
      </c>
      <c r="AH414" s="21">
        <f>IF(G414="","",IF(IFERROR(INDEX(Clients!$O$5:$O$204,MATCH(G414,Clients!$A$5:$A$204,0)),0)&gt;0,IFERROR(INDEX(Clients!$O$5:$O$204,MATCH(G414,Clients!$A$5:$A$204,0)),0),HourlyRate))</f>
        <v>0</v>
      </c>
      <c r="AI414" s="21">
        <f>IF(G414="","",IF(AND(M414&lt;&gt;"",IFERROR(INDEX(Services!$P$5:$P$64,MATCH(M414,Services!$B$5:$B$64,0)),0)&gt;0,IFERROR(INDEX(Services!$D$5:$D$64,MATCH(M414,Services!$B$5:$B$64,0)),"")&lt;&gt;"Per hour"),IFERROR(INDEX(Services!$P$5:$P$64,MATCH(M414,Services!$B$5:$B$64,0)),0),AD414*AH414))</f>
        <v>0</v>
      </c>
      <c r="AJ414" s="21">
        <f>IF(G414="","",IF(V414&lt;&gt;"",V414,IF(P414="Cancelled",0,MAX(MinimumCharge,ROUND(AI414*IFERROR(INDEX(FreqFactors,MATCH(O414,FreqNames,0)),1),2)))))</f>
        <v>0</v>
      </c>
      <c r="AK414" s="34">
        <f>IF(G414="","",IF(SUMIFS(Timesheets!$U$5:$U$804,Timesheets!$G$5:$G$804,A414)&gt;0,SUMIFS(Timesheets!$U$5:$U$804,Timesheets!$G$5:$G$804,A414),IF(Z414="","",Z414)))</f>
        <v>0</v>
      </c>
      <c r="AL414" s="34">
        <f>IF(OR(AK414="",AD414=""),"",AK414-AD414)</f>
        <v>0</v>
      </c>
      <c r="AM414" s="31">
        <f>IF(A414="","",COUNTIFS('Job Tasks'!$B$5:$B$904,A414))</f>
        <v>0</v>
      </c>
      <c r="AN414" s="31">
        <f>IF(A414="","",COUNTIFS('Job Tasks'!$B$5:$B$904,A414,'Job Tasks'!$H$5:$H$904,"Done"))</f>
        <v>0</v>
      </c>
      <c r="AO414" s="38">
        <f>IF(OR(A414="",AM414=0),"",AN414/AM414)</f>
        <v>0</v>
      </c>
      <c r="AP414" s="43">
        <f>IF(A414="","",IFERROR(INDEX('Invoice Lines'!$B$5:$B$804,MATCH(A414,'Invoice Lines'!$C$5:$C$804,0)),""))</f>
        <v>0</v>
      </c>
      <c r="AQ414" s="18">
        <f>IF(OR(G414="",B414="",X414&lt;&gt;"Yes"),"",IF(IFERROR(INDEX(FreqDays,MATCH(O414,FreqNames,0)),0)=0,"",B414+IFERROR(INDEX(FreqDays,MATCH(O414,FreqNames,0)),0)))</f>
        <v>0</v>
      </c>
      <c r="AR414" s="39">
        <f>IF(G414="","",IF(R414="","Unassigned",IF(COUNTIFS($R$5:$R$604,R414,$B$5:$B$604,B414,$F$5:$F$604,F414)&gt;1,"Clash",IF(SUMIFS($AF$5:$AF$604,$R$5:$R$604,R414,$B$5:$B$604,B414)&gt;ProductiveHours,"Long day","OK"))))</f>
        <v>0</v>
      </c>
      <c r="AS414" s="18">
        <f>IF(OR(G414="",B414=""),"",IF(AND(B414&gt;=TodayDate,P414&lt;&gt;"Cancelled"),B414,""))</f>
        <v>0</v>
      </c>
      <c r="AT414" s="31">
        <f>IF(AS414="","",COUNTIFS($AS$5:$AS$604,"&lt;"&amp;AS414)+COUNTIFS($AS$5:AS414,AS414))</f>
        <v>0</v>
      </c>
      <c r="AU414" s="18">
        <f>IF(OR(G414="",B414="",R414&lt;&gt;""),"",IF(AND(B414&gt;=TodayDate,P414&lt;&gt;"Cancelled"),B414,""))</f>
        <v>0</v>
      </c>
      <c r="AV414" s="31">
        <f>IF(AU414="","",COUNTIFS($AU$5:$AU$604,"&lt;"&amp;AU414)+COUNTIFS($AU$5:AU414,AU414))</f>
        <v>0</v>
      </c>
      <c r="AW414" s="31">
        <f>IF(OR(G414="",B414=""),"",B414-TodayDate)</f>
        <v>0</v>
      </c>
      <c r="AX414" s="39">
        <f>IF(G414="","",IF(P414="Cancelled","Cancelled",IF(P414="No access","Action - no access, rebook",IF(AND(B414&lt;&gt;"",AW414&lt;0,OR(P414="Booked",P414="Confirmed",P414="In progress")),"Late - mark it completed",IF(AND(P414="Completed",AP414=""),"Action - not invoiced yet",IF(AND(AW414&gt;=0,AW414&lt;=ReminderDays,Y414&lt;&gt;"Yes"),"Confirm - visit coming up",IF(R414="","Assign - no cleaner booked",IF(AND(P414="Completed",AO414&lt;&gt;"",AO414&lt;1),"Check - checklist unfinished","OK"))))))))</f>
        <v>0</v>
      </c>
    </row>
    <row r="415" spans="1:50">
      <c r="A415" s="43">
        <f>IF(G415="","",JobPrefix&amp;TEXT(ROW()-4,"0000"))</f>
        <v>0</v>
      </c>
      <c r="C415" s="23">
        <f>IF(B415="","",TEXT(B415,"ddd"))</f>
        <v>0</v>
      </c>
      <c r="D415" s="31">
        <f>IF(B415="","",WEEKNUM(B415,IF(WeekStart="Sunday",1,2)))</f>
        <v>0</v>
      </c>
      <c r="E415" s="23">
        <f>IF(B415="","",TEXT(B415,"yyyy-mm"))</f>
        <v>0</v>
      </c>
      <c r="H415" s="23">
        <f>IF(G415="","",IFERROR(INDEX(Clients!$B$5:$B$204,MATCH(G415,Clients!$A$5:$A$204,0)),"Not found"))</f>
        <v>0</v>
      </c>
      <c r="I415" s="23">
        <f>IF(G415="","",IFERROR(INDEX(Clients!$C$5:$C$204,MATCH(G415,Clients!$A$5:$A$204,0)),""))</f>
        <v>0</v>
      </c>
      <c r="K415" s="23">
        <f>IF(J415="","",IFERROR(INDEX(Properties!$B$5:$B$254,MATCH(J415,Properties!$A$5:$A$254,0)),""))</f>
        <v>0</v>
      </c>
      <c r="L415" s="23">
        <f>IF(J415="","",IFERROR(INDEX(Properties!$F$5:$F$254,MATCH(J415,Properties!$A$5:$A$254,0)),""))</f>
        <v>0</v>
      </c>
      <c r="AD415" s="34">
        <f>IF(G415="","",IF(U415&lt;&gt;"",U415,IF(AND(IFERROR(INDEX(Services!$D$5:$D$64,MATCH(M415,Services!$B$5:$B$64,0)),"")="Per hour",IFERROR(INDEX(Properties!$X$5:$X$254,MATCH(J415,Properties!$A$5:$A$254,0)),0)&gt;0),IFERROR(INDEX(Properties!$X$5:$X$254,MATCH(J415,Properties!$A$5:$A$254,0)),0),IF(IFERROR(INDEX(Services!$G$5:$G$64,MATCH(M415,Services!$B$5:$B$64,0)),0)&gt;0,IFERROR(INDEX(Services!$G$5:$G$64,MATCH(M415,Services!$B$5:$B$64,0)),0),IFERROR(INDEX(Properties!$X$5:$X$254,MATCH(J415,Properties!$A$5:$A$254,0)),0)))))</f>
        <v>0</v>
      </c>
      <c r="AE415" s="31">
        <f>IF(G415="","",IF(T415="",CleanersPerJob,MAX(1,T415)))</f>
        <v>0</v>
      </c>
      <c r="AF415" s="34">
        <f>IF(G415="","",ROUND(AD415/AE415,2))</f>
        <v>0</v>
      </c>
      <c r="AG415" s="53">
        <f>IF(OR(G415="",F415="",AF415=""),"",F415+AF415/24)</f>
        <v>0</v>
      </c>
      <c r="AH415" s="21">
        <f>IF(G415="","",IF(IFERROR(INDEX(Clients!$O$5:$O$204,MATCH(G415,Clients!$A$5:$A$204,0)),0)&gt;0,IFERROR(INDEX(Clients!$O$5:$O$204,MATCH(G415,Clients!$A$5:$A$204,0)),0),HourlyRate))</f>
        <v>0</v>
      </c>
      <c r="AI415" s="21">
        <f>IF(G415="","",IF(AND(M415&lt;&gt;"",IFERROR(INDEX(Services!$P$5:$P$64,MATCH(M415,Services!$B$5:$B$64,0)),0)&gt;0,IFERROR(INDEX(Services!$D$5:$D$64,MATCH(M415,Services!$B$5:$B$64,0)),"")&lt;&gt;"Per hour"),IFERROR(INDEX(Services!$P$5:$P$64,MATCH(M415,Services!$B$5:$B$64,0)),0),AD415*AH415))</f>
        <v>0</v>
      </c>
      <c r="AJ415" s="21">
        <f>IF(G415="","",IF(V415&lt;&gt;"",V415,IF(P415="Cancelled",0,MAX(MinimumCharge,ROUND(AI415*IFERROR(INDEX(FreqFactors,MATCH(O415,FreqNames,0)),1),2)))))</f>
        <v>0</v>
      </c>
      <c r="AK415" s="34">
        <f>IF(G415="","",IF(SUMIFS(Timesheets!$U$5:$U$804,Timesheets!$G$5:$G$804,A415)&gt;0,SUMIFS(Timesheets!$U$5:$U$804,Timesheets!$G$5:$G$804,A415),IF(Z415="","",Z415)))</f>
        <v>0</v>
      </c>
      <c r="AL415" s="34">
        <f>IF(OR(AK415="",AD415=""),"",AK415-AD415)</f>
        <v>0</v>
      </c>
      <c r="AM415" s="31">
        <f>IF(A415="","",COUNTIFS('Job Tasks'!$B$5:$B$904,A415))</f>
        <v>0</v>
      </c>
      <c r="AN415" s="31">
        <f>IF(A415="","",COUNTIFS('Job Tasks'!$B$5:$B$904,A415,'Job Tasks'!$H$5:$H$904,"Done"))</f>
        <v>0</v>
      </c>
      <c r="AO415" s="38">
        <f>IF(OR(A415="",AM415=0),"",AN415/AM415)</f>
        <v>0</v>
      </c>
      <c r="AP415" s="43">
        <f>IF(A415="","",IFERROR(INDEX('Invoice Lines'!$B$5:$B$804,MATCH(A415,'Invoice Lines'!$C$5:$C$804,0)),""))</f>
        <v>0</v>
      </c>
      <c r="AQ415" s="18">
        <f>IF(OR(G415="",B415="",X415&lt;&gt;"Yes"),"",IF(IFERROR(INDEX(FreqDays,MATCH(O415,FreqNames,0)),0)=0,"",B415+IFERROR(INDEX(FreqDays,MATCH(O415,FreqNames,0)),0)))</f>
        <v>0</v>
      </c>
      <c r="AR415" s="39">
        <f>IF(G415="","",IF(R415="","Unassigned",IF(COUNTIFS($R$5:$R$604,R415,$B$5:$B$604,B415,$F$5:$F$604,F415)&gt;1,"Clash",IF(SUMIFS($AF$5:$AF$604,$R$5:$R$604,R415,$B$5:$B$604,B415)&gt;ProductiveHours,"Long day","OK"))))</f>
        <v>0</v>
      </c>
      <c r="AS415" s="18">
        <f>IF(OR(G415="",B415=""),"",IF(AND(B415&gt;=TodayDate,P415&lt;&gt;"Cancelled"),B415,""))</f>
        <v>0</v>
      </c>
      <c r="AT415" s="31">
        <f>IF(AS415="","",COUNTIFS($AS$5:$AS$604,"&lt;"&amp;AS415)+COUNTIFS($AS$5:AS415,AS415))</f>
        <v>0</v>
      </c>
      <c r="AU415" s="18">
        <f>IF(OR(G415="",B415="",R415&lt;&gt;""),"",IF(AND(B415&gt;=TodayDate,P415&lt;&gt;"Cancelled"),B415,""))</f>
        <v>0</v>
      </c>
      <c r="AV415" s="31">
        <f>IF(AU415="","",COUNTIFS($AU$5:$AU$604,"&lt;"&amp;AU415)+COUNTIFS($AU$5:AU415,AU415))</f>
        <v>0</v>
      </c>
      <c r="AW415" s="31">
        <f>IF(OR(G415="",B415=""),"",B415-TodayDate)</f>
        <v>0</v>
      </c>
      <c r="AX415" s="39">
        <f>IF(G415="","",IF(P415="Cancelled","Cancelled",IF(P415="No access","Action - no access, rebook",IF(AND(B415&lt;&gt;"",AW415&lt;0,OR(P415="Booked",P415="Confirmed",P415="In progress")),"Late - mark it completed",IF(AND(P415="Completed",AP415=""),"Action - not invoiced yet",IF(AND(AW415&gt;=0,AW415&lt;=ReminderDays,Y415&lt;&gt;"Yes"),"Confirm - visit coming up",IF(R415="","Assign - no cleaner booked",IF(AND(P415="Completed",AO415&lt;&gt;"",AO415&lt;1),"Check - checklist unfinished","OK"))))))))</f>
        <v>0</v>
      </c>
    </row>
    <row r="416" spans="1:50">
      <c r="A416" s="43">
        <f>IF(G416="","",JobPrefix&amp;TEXT(ROW()-4,"0000"))</f>
        <v>0</v>
      </c>
      <c r="C416" s="23">
        <f>IF(B416="","",TEXT(B416,"ddd"))</f>
        <v>0</v>
      </c>
      <c r="D416" s="31">
        <f>IF(B416="","",WEEKNUM(B416,IF(WeekStart="Sunday",1,2)))</f>
        <v>0</v>
      </c>
      <c r="E416" s="23">
        <f>IF(B416="","",TEXT(B416,"yyyy-mm"))</f>
        <v>0</v>
      </c>
      <c r="H416" s="23">
        <f>IF(G416="","",IFERROR(INDEX(Clients!$B$5:$B$204,MATCH(G416,Clients!$A$5:$A$204,0)),"Not found"))</f>
        <v>0</v>
      </c>
      <c r="I416" s="23">
        <f>IF(G416="","",IFERROR(INDEX(Clients!$C$5:$C$204,MATCH(G416,Clients!$A$5:$A$204,0)),""))</f>
        <v>0</v>
      </c>
      <c r="K416" s="23">
        <f>IF(J416="","",IFERROR(INDEX(Properties!$B$5:$B$254,MATCH(J416,Properties!$A$5:$A$254,0)),""))</f>
        <v>0</v>
      </c>
      <c r="L416" s="23">
        <f>IF(J416="","",IFERROR(INDEX(Properties!$F$5:$F$254,MATCH(J416,Properties!$A$5:$A$254,0)),""))</f>
        <v>0</v>
      </c>
      <c r="AD416" s="34">
        <f>IF(G416="","",IF(U416&lt;&gt;"",U416,IF(AND(IFERROR(INDEX(Services!$D$5:$D$64,MATCH(M416,Services!$B$5:$B$64,0)),"")="Per hour",IFERROR(INDEX(Properties!$X$5:$X$254,MATCH(J416,Properties!$A$5:$A$254,0)),0)&gt;0),IFERROR(INDEX(Properties!$X$5:$X$254,MATCH(J416,Properties!$A$5:$A$254,0)),0),IF(IFERROR(INDEX(Services!$G$5:$G$64,MATCH(M416,Services!$B$5:$B$64,0)),0)&gt;0,IFERROR(INDEX(Services!$G$5:$G$64,MATCH(M416,Services!$B$5:$B$64,0)),0),IFERROR(INDEX(Properties!$X$5:$X$254,MATCH(J416,Properties!$A$5:$A$254,0)),0)))))</f>
        <v>0</v>
      </c>
      <c r="AE416" s="31">
        <f>IF(G416="","",IF(T416="",CleanersPerJob,MAX(1,T416)))</f>
        <v>0</v>
      </c>
      <c r="AF416" s="34">
        <f>IF(G416="","",ROUND(AD416/AE416,2))</f>
        <v>0</v>
      </c>
      <c r="AG416" s="53">
        <f>IF(OR(G416="",F416="",AF416=""),"",F416+AF416/24)</f>
        <v>0</v>
      </c>
      <c r="AH416" s="21">
        <f>IF(G416="","",IF(IFERROR(INDEX(Clients!$O$5:$O$204,MATCH(G416,Clients!$A$5:$A$204,0)),0)&gt;0,IFERROR(INDEX(Clients!$O$5:$O$204,MATCH(G416,Clients!$A$5:$A$204,0)),0),HourlyRate))</f>
        <v>0</v>
      </c>
      <c r="AI416" s="21">
        <f>IF(G416="","",IF(AND(M416&lt;&gt;"",IFERROR(INDEX(Services!$P$5:$P$64,MATCH(M416,Services!$B$5:$B$64,0)),0)&gt;0,IFERROR(INDEX(Services!$D$5:$D$64,MATCH(M416,Services!$B$5:$B$64,0)),"")&lt;&gt;"Per hour"),IFERROR(INDEX(Services!$P$5:$P$64,MATCH(M416,Services!$B$5:$B$64,0)),0),AD416*AH416))</f>
        <v>0</v>
      </c>
      <c r="AJ416" s="21">
        <f>IF(G416="","",IF(V416&lt;&gt;"",V416,IF(P416="Cancelled",0,MAX(MinimumCharge,ROUND(AI416*IFERROR(INDEX(FreqFactors,MATCH(O416,FreqNames,0)),1),2)))))</f>
        <v>0</v>
      </c>
      <c r="AK416" s="34">
        <f>IF(G416="","",IF(SUMIFS(Timesheets!$U$5:$U$804,Timesheets!$G$5:$G$804,A416)&gt;0,SUMIFS(Timesheets!$U$5:$U$804,Timesheets!$G$5:$G$804,A416),IF(Z416="","",Z416)))</f>
        <v>0</v>
      </c>
      <c r="AL416" s="34">
        <f>IF(OR(AK416="",AD416=""),"",AK416-AD416)</f>
        <v>0</v>
      </c>
      <c r="AM416" s="31">
        <f>IF(A416="","",COUNTIFS('Job Tasks'!$B$5:$B$904,A416))</f>
        <v>0</v>
      </c>
      <c r="AN416" s="31">
        <f>IF(A416="","",COUNTIFS('Job Tasks'!$B$5:$B$904,A416,'Job Tasks'!$H$5:$H$904,"Done"))</f>
        <v>0</v>
      </c>
      <c r="AO416" s="38">
        <f>IF(OR(A416="",AM416=0),"",AN416/AM416)</f>
        <v>0</v>
      </c>
      <c r="AP416" s="43">
        <f>IF(A416="","",IFERROR(INDEX('Invoice Lines'!$B$5:$B$804,MATCH(A416,'Invoice Lines'!$C$5:$C$804,0)),""))</f>
        <v>0</v>
      </c>
      <c r="AQ416" s="18">
        <f>IF(OR(G416="",B416="",X416&lt;&gt;"Yes"),"",IF(IFERROR(INDEX(FreqDays,MATCH(O416,FreqNames,0)),0)=0,"",B416+IFERROR(INDEX(FreqDays,MATCH(O416,FreqNames,0)),0)))</f>
        <v>0</v>
      </c>
      <c r="AR416" s="39">
        <f>IF(G416="","",IF(R416="","Unassigned",IF(COUNTIFS($R$5:$R$604,R416,$B$5:$B$604,B416,$F$5:$F$604,F416)&gt;1,"Clash",IF(SUMIFS($AF$5:$AF$604,$R$5:$R$604,R416,$B$5:$B$604,B416)&gt;ProductiveHours,"Long day","OK"))))</f>
        <v>0</v>
      </c>
      <c r="AS416" s="18">
        <f>IF(OR(G416="",B416=""),"",IF(AND(B416&gt;=TodayDate,P416&lt;&gt;"Cancelled"),B416,""))</f>
        <v>0</v>
      </c>
      <c r="AT416" s="31">
        <f>IF(AS416="","",COUNTIFS($AS$5:$AS$604,"&lt;"&amp;AS416)+COUNTIFS($AS$5:AS416,AS416))</f>
        <v>0</v>
      </c>
      <c r="AU416" s="18">
        <f>IF(OR(G416="",B416="",R416&lt;&gt;""),"",IF(AND(B416&gt;=TodayDate,P416&lt;&gt;"Cancelled"),B416,""))</f>
        <v>0</v>
      </c>
      <c r="AV416" s="31">
        <f>IF(AU416="","",COUNTIFS($AU$5:$AU$604,"&lt;"&amp;AU416)+COUNTIFS($AU$5:AU416,AU416))</f>
        <v>0</v>
      </c>
      <c r="AW416" s="31">
        <f>IF(OR(G416="",B416=""),"",B416-TodayDate)</f>
        <v>0</v>
      </c>
      <c r="AX416" s="39">
        <f>IF(G416="","",IF(P416="Cancelled","Cancelled",IF(P416="No access","Action - no access, rebook",IF(AND(B416&lt;&gt;"",AW416&lt;0,OR(P416="Booked",P416="Confirmed",P416="In progress")),"Late - mark it completed",IF(AND(P416="Completed",AP416=""),"Action - not invoiced yet",IF(AND(AW416&gt;=0,AW416&lt;=ReminderDays,Y416&lt;&gt;"Yes"),"Confirm - visit coming up",IF(R416="","Assign - no cleaner booked",IF(AND(P416="Completed",AO416&lt;&gt;"",AO416&lt;1),"Check - checklist unfinished","OK"))))))))</f>
        <v>0</v>
      </c>
    </row>
    <row r="417" spans="1:50">
      <c r="A417" s="43">
        <f>IF(G417="","",JobPrefix&amp;TEXT(ROW()-4,"0000"))</f>
        <v>0</v>
      </c>
      <c r="C417" s="23">
        <f>IF(B417="","",TEXT(B417,"ddd"))</f>
        <v>0</v>
      </c>
      <c r="D417" s="31">
        <f>IF(B417="","",WEEKNUM(B417,IF(WeekStart="Sunday",1,2)))</f>
        <v>0</v>
      </c>
      <c r="E417" s="23">
        <f>IF(B417="","",TEXT(B417,"yyyy-mm"))</f>
        <v>0</v>
      </c>
      <c r="H417" s="23">
        <f>IF(G417="","",IFERROR(INDEX(Clients!$B$5:$B$204,MATCH(G417,Clients!$A$5:$A$204,0)),"Not found"))</f>
        <v>0</v>
      </c>
      <c r="I417" s="23">
        <f>IF(G417="","",IFERROR(INDEX(Clients!$C$5:$C$204,MATCH(G417,Clients!$A$5:$A$204,0)),""))</f>
        <v>0</v>
      </c>
      <c r="K417" s="23">
        <f>IF(J417="","",IFERROR(INDEX(Properties!$B$5:$B$254,MATCH(J417,Properties!$A$5:$A$254,0)),""))</f>
        <v>0</v>
      </c>
      <c r="L417" s="23">
        <f>IF(J417="","",IFERROR(INDEX(Properties!$F$5:$F$254,MATCH(J417,Properties!$A$5:$A$254,0)),""))</f>
        <v>0</v>
      </c>
      <c r="AD417" s="34">
        <f>IF(G417="","",IF(U417&lt;&gt;"",U417,IF(AND(IFERROR(INDEX(Services!$D$5:$D$64,MATCH(M417,Services!$B$5:$B$64,0)),"")="Per hour",IFERROR(INDEX(Properties!$X$5:$X$254,MATCH(J417,Properties!$A$5:$A$254,0)),0)&gt;0),IFERROR(INDEX(Properties!$X$5:$X$254,MATCH(J417,Properties!$A$5:$A$254,0)),0),IF(IFERROR(INDEX(Services!$G$5:$G$64,MATCH(M417,Services!$B$5:$B$64,0)),0)&gt;0,IFERROR(INDEX(Services!$G$5:$G$64,MATCH(M417,Services!$B$5:$B$64,0)),0),IFERROR(INDEX(Properties!$X$5:$X$254,MATCH(J417,Properties!$A$5:$A$254,0)),0)))))</f>
        <v>0</v>
      </c>
      <c r="AE417" s="31">
        <f>IF(G417="","",IF(T417="",CleanersPerJob,MAX(1,T417)))</f>
        <v>0</v>
      </c>
      <c r="AF417" s="34">
        <f>IF(G417="","",ROUND(AD417/AE417,2))</f>
        <v>0</v>
      </c>
      <c r="AG417" s="53">
        <f>IF(OR(G417="",F417="",AF417=""),"",F417+AF417/24)</f>
        <v>0</v>
      </c>
      <c r="AH417" s="21">
        <f>IF(G417="","",IF(IFERROR(INDEX(Clients!$O$5:$O$204,MATCH(G417,Clients!$A$5:$A$204,0)),0)&gt;0,IFERROR(INDEX(Clients!$O$5:$O$204,MATCH(G417,Clients!$A$5:$A$204,0)),0),HourlyRate))</f>
        <v>0</v>
      </c>
      <c r="AI417" s="21">
        <f>IF(G417="","",IF(AND(M417&lt;&gt;"",IFERROR(INDEX(Services!$P$5:$P$64,MATCH(M417,Services!$B$5:$B$64,0)),0)&gt;0,IFERROR(INDEX(Services!$D$5:$D$64,MATCH(M417,Services!$B$5:$B$64,0)),"")&lt;&gt;"Per hour"),IFERROR(INDEX(Services!$P$5:$P$64,MATCH(M417,Services!$B$5:$B$64,0)),0),AD417*AH417))</f>
        <v>0</v>
      </c>
      <c r="AJ417" s="21">
        <f>IF(G417="","",IF(V417&lt;&gt;"",V417,IF(P417="Cancelled",0,MAX(MinimumCharge,ROUND(AI417*IFERROR(INDEX(FreqFactors,MATCH(O417,FreqNames,0)),1),2)))))</f>
        <v>0</v>
      </c>
      <c r="AK417" s="34">
        <f>IF(G417="","",IF(SUMIFS(Timesheets!$U$5:$U$804,Timesheets!$G$5:$G$804,A417)&gt;0,SUMIFS(Timesheets!$U$5:$U$804,Timesheets!$G$5:$G$804,A417),IF(Z417="","",Z417)))</f>
        <v>0</v>
      </c>
      <c r="AL417" s="34">
        <f>IF(OR(AK417="",AD417=""),"",AK417-AD417)</f>
        <v>0</v>
      </c>
      <c r="AM417" s="31">
        <f>IF(A417="","",COUNTIFS('Job Tasks'!$B$5:$B$904,A417))</f>
        <v>0</v>
      </c>
      <c r="AN417" s="31">
        <f>IF(A417="","",COUNTIFS('Job Tasks'!$B$5:$B$904,A417,'Job Tasks'!$H$5:$H$904,"Done"))</f>
        <v>0</v>
      </c>
      <c r="AO417" s="38">
        <f>IF(OR(A417="",AM417=0),"",AN417/AM417)</f>
        <v>0</v>
      </c>
      <c r="AP417" s="43">
        <f>IF(A417="","",IFERROR(INDEX('Invoice Lines'!$B$5:$B$804,MATCH(A417,'Invoice Lines'!$C$5:$C$804,0)),""))</f>
        <v>0</v>
      </c>
      <c r="AQ417" s="18">
        <f>IF(OR(G417="",B417="",X417&lt;&gt;"Yes"),"",IF(IFERROR(INDEX(FreqDays,MATCH(O417,FreqNames,0)),0)=0,"",B417+IFERROR(INDEX(FreqDays,MATCH(O417,FreqNames,0)),0)))</f>
        <v>0</v>
      </c>
      <c r="AR417" s="39">
        <f>IF(G417="","",IF(R417="","Unassigned",IF(COUNTIFS($R$5:$R$604,R417,$B$5:$B$604,B417,$F$5:$F$604,F417)&gt;1,"Clash",IF(SUMIFS($AF$5:$AF$604,$R$5:$R$604,R417,$B$5:$B$604,B417)&gt;ProductiveHours,"Long day","OK"))))</f>
        <v>0</v>
      </c>
      <c r="AS417" s="18">
        <f>IF(OR(G417="",B417=""),"",IF(AND(B417&gt;=TodayDate,P417&lt;&gt;"Cancelled"),B417,""))</f>
        <v>0</v>
      </c>
      <c r="AT417" s="31">
        <f>IF(AS417="","",COUNTIFS($AS$5:$AS$604,"&lt;"&amp;AS417)+COUNTIFS($AS$5:AS417,AS417))</f>
        <v>0</v>
      </c>
      <c r="AU417" s="18">
        <f>IF(OR(G417="",B417="",R417&lt;&gt;""),"",IF(AND(B417&gt;=TodayDate,P417&lt;&gt;"Cancelled"),B417,""))</f>
        <v>0</v>
      </c>
      <c r="AV417" s="31">
        <f>IF(AU417="","",COUNTIFS($AU$5:$AU$604,"&lt;"&amp;AU417)+COUNTIFS($AU$5:AU417,AU417))</f>
        <v>0</v>
      </c>
      <c r="AW417" s="31">
        <f>IF(OR(G417="",B417=""),"",B417-TodayDate)</f>
        <v>0</v>
      </c>
      <c r="AX417" s="39">
        <f>IF(G417="","",IF(P417="Cancelled","Cancelled",IF(P417="No access","Action - no access, rebook",IF(AND(B417&lt;&gt;"",AW417&lt;0,OR(P417="Booked",P417="Confirmed",P417="In progress")),"Late - mark it completed",IF(AND(P417="Completed",AP417=""),"Action - not invoiced yet",IF(AND(AW417&gt;=0,AW417&lt;=ReminderDays,Y417&lt;&gt;"Yes"),"Confirm - visit coming up",IF(R417="","Assign - no cleaner booked",IF(AND(P417="Completed",AO417&lt;&gt;"",AO417&lt;1),"Check - checklist unfinished","OK"))))))))</f>
        <v>0</v>
      </c>
    </row>
    <row r="418" spans="1:50">
      <c r="A418" s="43">
        <f>IF(G418="","",JobPrefix&amp;TEXT(ROW()-4,"0000"))</f>
        <v>0</v>
      </c>
      <c r="C418" s="23">
        <f>IF(B418="","",TEXT(B418,"ddd"))</f>
        <v>0</v>
      </c>
      <c r="D418" s="31">
        <f>IF(B418="","",WEEKNUM(B418,IF(WeekStart="Sunday",1,2)))</f>
        <v>0</v>
      </c>
      <c r="E418" s="23">
        <f>IF(B418="","",TEXT(B418,"yyyy-mm"))</f>
        <v>0</v>
      </c>
      <c r="H418" s="23">
        <f>IF(G418="","",IFERROR(INDEX(Clients!$B$5:$B$204,MATCH(G418,Clients!$A$5:$A$204,0)),"Not found"))</f>
        <v>0</v>
      </c>
      <c r="I418" s="23">
        <f>IF(G418="","",IFERROR(INDEX(Clients!$C$5:$C$204,MATCH(G418,Clients!$A$5:$A$204,0)),""))</f>
        <v>0</v>
      </c>
      <c r="K418" s="23">
        <f>IF(J418="","",IFERROR(INDEX(Properties!$B$5:$B$254,MATCH(J418,Properties!$A$5:$A$254,0)),""))</f>
        <v>0</v>
      </c>
      <c r="L418" s="23">
        <f>IF(J418="","",IFERROR(INDEX(Properties!$F$5:$F$254,MATCH(J418,Properties!$A$5:$A$254,0)),""))</f>
        <v>0</v>
      </c>
      <c r="AD418" s="34">
        <f>IF(G418="","",IF(U418&lt;&gt;"",U418,IF(AND(IFERROR(INDEX(Services!$D$5:$D$64,MATCH(M418,Services!$B$5:$B$64,0)),"")="Per hour",IFERROR(INDEX(Properties!$X$5:$X$254,MATCH(J418,Properties!$A$5:$A$254,0)),0)&gt;0),IFERROR(INDEX(Properties!$X$5:$X$254,MATCH(J418,Properties!$A$5:$A$254,0)),0),IF(IFERROR(INDEX(Services!$G$5:$G$64,MATCH(M418,Services!$B$5:$B$64,0)),0)&gt;0,IFERROR(INDEX(Services!$G$5:$G$64,MATCH(M418,Services!$B$5:$B$64,0)),0),IFERROR(INDEX(Properties!$X$5:$X$254,MATCH(J418,Properties!$A$5:$A$254,0)),0)))))</f>
        <v>0</v>
      </c>
      <c r="AE418" s="31">
        <f>IF(G418="","",IF(T418="",CleanersPerJob,MAX(1,T418)))</f>
        <v>0</v>
      </c>
      <c r="AF418" s="34">
        <f>IF(G418="","",ROUND(AD418/AE418,2))</f>
        <v>0</v>
      </c>
      <c r="AG418" s="53">
        <f>IF(OR(G418="",F418="",AF418=""),"",F418+AF418/24)</f>
        <v>0</v>
      </c>
      <c r="AH418" s="21">
        <f>IF(G418="","",IF(IFERROR(INDEX(Clients!$O$5:$O$204,MATCH(G418,Clients!$A$5:$A$204,0)),0)&gt;0,IFERROR(INDEX(Clients!$O$5:$O$204,MATCH(G418,Clients!$A$5:$A$204,0)),0),HourlyRate))</f>
        <v>0</v>
      </c>
      <c r="AI418" s="21">
        <f>IF(G418="","",IF(AND(M418&lt;&gt;"",IFERROR(INDEX(Services!$P$5:$P$64,MATCH(M418,Services!$B$5:$B$64,0)),0)&gt;0,IFERROR(INDEX(Services!$D$5:$D$64,MATCH(M418,Services!$B$5:$B$64,0)),"")&lt;&gt;"Per hour"),IFERROR(INDEX(Services!$P$5:$P$64,MATCH(M418,Services!$B$5:$B$64,0)),0),AD418*AH418))</f>
        <v>0</v>
      </c>
      <c r="AJ418" s="21">
        <f>IF(G418="","",IF(V418&lt;&gt;"",V418,IF(P418="Cancelled",0,MAX(MinimumCharge,ROUND(AI418*IFERROR(INDEX(FreqFactors,MATCH(O418,FreqNames,0)),1),2)))))</f>
        <v>0</v>
      </c>
      <c r="AK418" s="34">
        <f>IF(G418="","",IF(SUMIFS(Timesheets!$U$5:$U$804,Timesheets!$G$5:$G$804,A418)&gt;0,SUMIFS(Timesheets!$U$5:$U$804,Timesheets!$G$5:$G$804,A418),IF(Z418="","",Z418)))</f>
        <v>0</v>
      </c>
      <c r="AL418" s="34">
        <f>IF(OR(AK418="",AD418=""),"",AK418-AD418)</f>
        <v>0</v>
      </c>
      <c r="AM418" s="31">
        <f>IF(A418="","",COUNTIFS('Job Tasks'!$B$5:$B$904,A418))</f>
        <v>0</v>
      </c>
      <c r="AN418" s="31">
        <f>IF(A418="","",COUNTIFS('Job Tasks'!$B$5:$B$904,A418,'Job Tasks'!$H$5:$H$904,"Done"))</f>
        <v>0</v>
      </c>
      <c r="AO418" s="38">
        <f>IF(OR(A418="",AM418=0),"",AN418/AM418)</f>
        <v>0</v>
      </c>
      <c r="AP418" s="43">
        <f>IF(A418="","",IFERROR(INDEX('Invoice Lines'!$B$5:$B$804,MATCH(A418,'Invoice Lines'!$C$5:$C$804,0)),""))</f>
        <v>0</v>
      </c>
      <c r="AQ418" s="18">
        <f>IF(OR(G418="",B418="",X418&lt;&gt;"Yes"),"",IF(IFERROR(INDEX(FreqDays,MATCH(O418,FreqNames,0)),0)=0,"",B418+IFERROR(INDEX(FreqDays,MATCH(O418,FreqNames,0)),0)))</f>
        <v>0</v>
      </c>
      <c r="AR418" s="39">
        <f>IF(G418="","",IF(R418="","Unassigned",IF(COUNTIFS($R$5:$R$604,R418,$B$5:$B$604,B418,$F$5:$F$604,F418)&gt;1,"Clash",IF(SUMIFS($AF$5:$AF$604,$R$5:$R$604,R418,$B$5:$B$604,B418)&gt;ProductiveHours,"Long day","OK"))))</f>
        <v>0</v>
      </c>
      <c r="AS418" s="18">
        <f>IF(OR(G418="",B418=""),"",IF(AND(B418&gt;=TodayDate,P418&lt;&gt;"Cancelled"),B418,""))</f>
        <v>0</v>
      </c>
      <c r="AT418" s="31">
        <f>IF(AS418="","",COUNTIFS($AS$5:$AS$604,"&lt;"&amp;AS418)+COUNTIFS($AS$5:AS418,AS418))</f>
        <v>0</v>
      </c>
      <c r="AU418" s="18">
        <f>IF(OR(G418="",B418="",R418&lt;&gt;""),"",IF(AND(B418&gt;=TodayDate,P418&lt;&gt;"Cancelled"),B418,""))</f>
        <v>0</v>
      </c>
      <c r="AV418" s="31">
        <f>IF(AU418="","",COUNTIFS($AU$5:$AU$604,"&lt;"&amp;AU418)+COUNTIFS($AU$5:AU418,AU418))</f>
        <v>0</v>
      </c>
      <c r="AW418" s="31">
        <f>IF(OR(G418="",B418=""),"",B418-TodayDate)</f>
        <v>0</v>
      </c>
      <c r="AX418" s="39">
        <f>IF(G418="","",IF(P418="Cancelled","Cancelled",IF(P418="No access","Action - no access, rebook",IF(AND(B418&lt;&gt;"",AW418&lt;0,OR(P418="Booked",P418="Confirmed",P418="In progress")),"Late - mark it completed",IF(AND(P418="Completed",AP418=""),"Action - not invoiced yet",IF(AND(AW418&gt;=0,AW418&lt;=ReminderDays,Y418&lt;&gt;"Yes"),"Confirm - visit coming up",IF(R418="","Assign - no cleaner booked",IF(AND(P418="Completed",AO418&lt;&gt;"",AO418&lt;1),"Check - checklist unfinished","OK"))))))))</f>
        <v>0</v>
      </c>
    </row>
    <row r="419" spans="1:50">
      <c r="A419" s="43">
        <f>IF(G419="","",JobPrefix&amp;TEXT(ROW()-4,"0000"))</f>
        <v>0</v>
      </c>
      <c r="C419" s="23">
        <f>IF(B419="","",TEXT(B419,"ddd"))</f>
        <v>0</v>
      </c>
      <c r="D419" s="31">
        <f>IF(B419="","",WEEKNUM(B419,IF(WeekStart="Sunday",1,2)))</f>
        <v>0</v>
      </c>
      <c r="E419" s="23">
        <f>IF(B419="","",TEXT(B419,"yyyy-mm"))</f>
        <v>0</v>
      </c>
      <c r="H419" s="23">
        <f>IF(G419="","",IFERROR(INDEX(Clients!$B$5:$B$204,MATCH(G419,Clients!$A$5:$A$204,0)),"Not found"))</f>
        <v>0</v>
      </c>
      <c r="I419" s="23">
        <f>IF(G419="","",IFERROR(INDEX(Clients!$C$5:$C$204,MATCH(G419,Clients!$A$5:$A$204,0)),""))</f>
        <v>0</v>
      </c>
      <c r="K419" s="23">
        <f>IF(J419="","",IFERROR(INDEX(Properties!$B$5:$B$254,MATCH(J419,Properties!$A$5:$A$254,0)),""))</f>
        <v>0</v>
      </c>
      <c r="L419" s="23">
        <f>IF(J419="","",IFERROR(INDEX(Properties!$F$5:$F$254,MATCH(J419,Properties!$A$5:$A$254,0)),""))</f>
        <v>0</v>
      </c>
      <c r="AD419" s="34">
        <f>IF(G419="","",IF(U419&lt;&gt;"",U419,IF(AND(IFERROR(INDEX(Services!$D$5:$D$64,MATCH(M419,Services!$B$5:$B$64,0)),"")="Per hour",IFERROR(INDEX(Properties!$X$5:$X$254,MATCH(J419,Properties!$A$5:$A$254,0)),0)&gt;0),IFERROR(INDEX(Properties!$X$5:$X$254,MATCH(J419,Properties!$A$5:$A$254,0)),0),IF(IFERROR(INDEX(Services!$G$5:$G$64,MATCH(M419,Services!$B$5:$B$64,0)),0)&gt;0,IFERROR(INDEX(Services!$G$5:$G$64,MATCH(M419,Services!$B$5:$B$64,0)),0),IFERROR(INDEX(Properties!$X$5:$X$254,MATCH(J419,Properties!$A$5:$A$254,0)),0)))))</f>
        <v>0</v>
      </c>
      <c r="AE419" s="31">
        <f>IF(G419="","",IF(T419="",CleanersPerJob,MAX(1,T419)))</f>
        <v>0</v>
      </c>
      <c r="AF419" s="34">
        <f>IF(G419="","",ROUND(AD419/AE419,2))</f>
        <v>0</v>
      </c>
      <c r="AG419" s="53">
        <f>IF(OR(G419="",F419="",AF419=""),"",F419+AF419/24)</f>
        <v>0</v>
      </c>
      <c r="AH419" s="21">
        <f>IF(G419="","",IF(IFERROR(INDEX(Clients!$O$5:$O$204,MATCH(G419,Clients!$A$5:$A$204,0)),0)&gt;0,IFERROR(INDEX(Clients!$O$5:$O$204,MATCH(G419,Clients!$A$5:$A$204,0)),0),HourlyRate))</f>
        <v>0</v>
      </c>
      <c r="AI419" s="21">
        <f>IF(G419="","",IF(AND(M419&lt;&gt;"",IFERROR(INDEX(Services!$P$5:$P$64,MATCH(M419,Services!$B$5:$B$64,0)),0)&gt;0,IFERROR(INDEX(Services!$D$5:$D$64,MATCH(M419,Services!$B$5:$B$64,0)),"")&lt;&gt;"Per hour"),IFERROR(INDEX(Services!$P$5:$P$64,MATCH(M419,Services!$B$5:$B$64,0)),0),AD419*AH419))</f>
        <v>0</v>
      </c>
      <c r="AJ419" s="21">
        <f>IF(G419="","",IF(V419&lt;&gt;"",V419,IF(P419="Cancelled",0,MAX(MinimumCharge,ROUND(AI419*IFERROR(INDEX(FreqFactors,MATCH(O419,FreqNames,0)),1),2)))))</f>
        <v>0</v>
      </c>
      <c r="AK419" s="34">
        <f>IF(G419="","",IF(SUMIFS(Timesheets!$U$5:$U$804,Timesheets!$G$5:$G$804,A419)&gt;0,SUMIFS(Timesheets!$U$5:$U$804,Timesheets!$G$5:$G$804,A419),IF(Z419="","",Z419)))</f>
        <v>0</v>
      </c>
      <c r="AL419" s="34">
        <f>IF(OR(AK419="",AD419=""),"",AK419-AD419)</f>
        <v>0</v>
      </c>
      <c r="AM419" s="31">
        <f>IF(A419="","",COUNTIFS('Job Tasks'!$B$5:$B$904,A419))</f>
        <v>0</v>
      </c>
      <c r="AN419" s="31">
        <f>IF(A419="","",COUNTIFS('Job Tasks'!$B$5:$B$904,A419,'Job Tasks'!$H$5:$H$904,"Done"))</f>
        <v>0</v>
      </c>
      <c r="AO419" s="38">
        <f>IF(OR(A419="",AM419=0),"",AN419/AM419)</f>
        <v>0</v>
      </c>
      <c r="AP419" s="43">
        <f>IF(A419="","",IFERROR(INDEX('Invoice Lines'!$B$5:$B$804,MATCH(A419,'Invoice Lines'!$C$5:$C$804,0)),""))</f>
        <v>0</v>
      </c>
      <c r="AQ419" s="18">
        <f>IF(OR(G419="",B419="",X419&lt;&gt;"Yes"),"",IF(IFERROR(INDEX(FreqDays,MATCH(O419,FreqNames,0)),0)=0,"",B419+IFERROR(INDEX(FreqDays,MATCH(O419,FreqNames,0)),0)))</f>
        <v>0</v>
      </c>
      <c r="AR419" s="39">
        <f>IF(G419="","",IF(R419="","Unassigned",IF(COUNTIFS($R$5:$R$604,R419,$B$5:$B$604,B419,$F$5:$F$604,F419)&gt;1,"Clash",IF(SUMIFS($AF$5:$AF$604,$R$5:$R$604,R419,$B$5:$B$604,B419)&gt;ProductiveHours,"Long day","OK"))))</f>
        <v>0</v>
      </c>
      <c r="AS419" s="18">
        <f>IF(OR(G419="",B419=""),"",IF(AND(B419&gt;=TodayDate,P419&lt;&gt;"Cancelled"),B419,""))</f>
        <v>0</v>
      </c>
      <c r="AT419" s="31">
        <f>IF(AS419="","",COUNTIFS($AS$5:$AS$604,"&lt;"&amp;AS419)+COUNTIFS($AS$5:AS419,AS419))</f>
        <v>0</v>
      </c>
      <c r="AU419" s="18">
        <f>IF(OR(G419="",B419="",R419&lt;&gt;""),"",IF(AND(B419&gt;=TodayDate,P419&lt;&gt;"Cancelled"),B419,""))</f>
        <v>0</v>
      </c>
      <c r="AV419" s="31">
        <f>IF(AU419="","",COUNTIFS($AU$5:$AU$604,"&lt;"&amp;AU419)+COUNTIFS($AU$5:AU419,AU419))</f>
        <v>0</v>
      </c>
      <c r="AW419" s="31">
        <f>IF(OR(G419="",B419=""),"",B419-TodayDate)</f>
        <v>0</v>
      </c>
      <c r="AX419" s="39">
        <f>IF(G419="","",IF(P419="Cancelled","Cancelled",IF(P419="No access","Action - no access, rebook",IF(AND(B419&lt;&gt;"",AW419&lt;0,OR(P419="Booked",P419="Confirmed",P419="In progress")),"Late - mark it completed",IF(AND(P419="Completed",AP419=""),"Action - not invoiced yet",IF(AND(AW419&gt;=0,AW419&lt;=ReminderDays,Y419&lt;&gt;"Yes"),"Confirm - visit coming up",IF(R419="","Assign - no cleaner booked",IF(AND(P419="Completed",AO419&lt;&gt;"",AO419&lt;1),"Check - checklist unfinished","OK"))))))))</f>
        <v>0</v>
      </c>
    </row>
    <row r="420" spans="1:50">
      <c r="A420" s="43">
        <f>IF(G420="","",JobPrefix&amp;TEXT(ROW()-4,"0000"))</f>
        <v>0</v>
      </c>
      <c r="C420" s="23">
        <f>IF(B420="","",TEXT(B420,"ddd"))</f>
        <v>0</v>
      </c>
      <c r="D420" s="31">
        <f>IF(B420="","",WEEKNUM(B420,IF(WeekStart="Sunday",1,2)))</f>
        <v>0</v>
      </c>
      <c r="E420" s="23">
        <f>IF(B420="","",TEXT(B420,"yyyy-mm"))</f>
        <v>0</v>
      </c>
      <c r="H420" s="23">
        <f>IF(G420="","",IFERROR(INDEX(Clients!$B$5:$B$204,MATCH(G420,Clients!$A$5:$A$204,0)),"Not found"))</f>
        <v>0</v>
      </c>
      <c r="I420" s="23">
        <f>IF(G420="","",IFERROR(INDEX(Clients!$C$5:$C$204,MATCH(G420,Clients!$A$5:$A$204,0)),""))</f>
        <v>0</v>
      </c>
      <c r="K420" s="23">
        <f>IF(J420="","",IFERROR(INDEX(Properties!$B$5:$B$254,MATCH(J420,Properties!$A$5:$A$254,0)),""))</f>
        <v>0</v>
      </c>
      <c r="L420" s="23">
        <f>IF(J420="","",IFERROR(INDEX(Properties!$F$5:$F$254,MATCH(J420,Properties!$A$5:$A$254,0)),""))</f>
        <v>0</v>
      </c>
      <c r="AD420" s="34">
        <f>IF(G420="","",IF(U420&lt;&gt;"",U420,IF(AND(IFERROR(INDEX(Services!$D$5:$D$64,MATCH(M420,Services!$B$5:$B$64,0)),"")="Per hour",IFERROR(INDEX(Properties!$X$5:$X$254,MATCH(J420,Properties!$A$5:$A$254,0)),0)&gt;0),IFERROR(INDEX(Properties!$X$5:$X$254,MATCH(J420,Properties!$A$5:$A$254,0)),0),IF(IFERROR(INDEX(Services!$G$5:$G$64,MATCH(M420,Services!$B$5:$B$64,0)),0)&gt;0,IFERROR(INDEX(Services!$G$5:$G$64,MATCH(M420,Services!$B$5:$B$64,0)),0),IFERROR(INDEX(Properties!$X$5:$X$254,MATCH(J420,Properties!$A$5:$A$254,0)),0)))))</f>
        <v>0</v>
      </c>
      <c r="AE420" s="31">
        <f>IF(G420="","",IF(T420="",CleanersPerJob,MAX(1,T420)))</f>
        <v>0</v>
      </c>
      <c r="AF420" s="34">
        <f>IF(G420="","",ROUND(AD420/AE420,2))</f>
        <v>0</v>
      </c>
      <c r="AG420" s="53">
        <f>IF(OR(G420="",F420="",AF420=""),"",F420+AF420/24)</f>
        <v>0</v>
      </c>
      <c r="AH420" s="21">
        <f>IF(G420="","",IF(IFERROR(INDEX(Clients!$O$5:$O$204,MATCH(G420,Clients!$A$5:$A$204,0)),0)&gt;0,IFERROR(INDEX(Clients!$O$5:$O$204,MATCH(G420,Clients!$A$5:$A$204,0)),0),HourlyRate))</f>
        <v>0</v>
      </c>
      <c r="AI420" s="21">
        <f>IF(G420="","",IF(AND(M420&lt;&gt;"",IFERROR(INDEX(Services!$P$5:$P$64,MATCH(M420,Services!$B$5:$B$64,0)),0)&gt;0,IFERROR(INDEX(Services!$D$5:$D$64,MATCH(M420,Services!$B$5:$B$64,0)),"")&lt;&gt;"Per hour"),IFERROR(INDEX(Services!$P$5:$P$64,MATCH(M420,Services!$B$5:$B$64,0)),0),AD420*AH420))</f>
        <v>0</v>
      </c>
      <c r="AJ420" s="21">
        <f>IF(G420="","",IF(V420&lt;&gt;"",V420,IF(P420="Cancelled",0,MAX(MinimumCharge,ROUND(AI420*IFERROR(INDEX(FreqFactors,MATCH(O420,FreqNames,0)),1),2)))))</f>
        <v>0</v>
      </c>
      <c r="AK420" s="34">
        <f>IF(G420="","",IF(SUMIFS(Timesheets!$U$5:$U$804,Timesheets!$G$5:$G$804,A420)&gt;0,SUMIFS(Timesheets!$U$5:$U$804,Timesheets!$G$5:$G$804,A420),IF(Z420="","",Z420)))</f>
        <v>0</v>
      </c>
      <c r="AL420" s="34">
        <f>IF(OR(AK420="",AD420=""),"",AK420-AD420)</f>
        <v>0</v>
      </c>
      <c r="AM420" s="31">
        <f>IF(A420="","",COUNTIFS('Job Tasks'!$B$5:$B$904,A420))</f>
        <v>0</v>
      </c>
      <c r="AN420" s="31">
        <f>IF(A420="","",COUNTIFS('Job Tasks'!$B$5:$B$904,A420,'Job Tasks'!$H$5:$H$904,"Done"))</f>
        <v>0</v>
      </c>
      <c r="AO420" s="38">
        <f>IF(OR(A420="",AM420=0),"",AN420/AM420)</f>
        <v>0</v>
      </c>
      <c r="AP420" s="43">
        <f>IF(A420="","",IFERROR(INDEX('Invoice Lines'!$B$5:$B$804,MATCH(A420,'Invoice Lines'!$C$5:$C$804,0)),""))</f>
        <v>0</v>
      </c>
      <c r="AQ420" s="18">
        <f>IF(OR(G420="",B420="",X420&lt;&gt;"Yes"),"",IF(IFERROR(INDEX(FreqDays,MATCH(O420,FreqNames,0)),0)=0,"",B420+IFERROR(INDEX(FreqDays,MATCH(O420,FreqNames,0)),0)))</f>
        <v>0</v>
      </c>
      <c r="AR420" s="39">
        <f>IF(G420="","",IF(R420="","Unassigned",IF(COUNTIFS($R$5:$R$604,R420,$B$5:$B$604,B420,$F$5:$F$604,F420)&gt;1,"Clash",IF(SUMIFS($AF$5:$AF$604,$R$5:$R$604,R420,$B$5:$B$604,B420)&gt;ProductiveHours,"Long day","OK"))))</f>
        <v>0</v>
      </c>
      <c r="AS420" s="18">
        <f>IF(OR(G420="",B420=""),"",IF(AND(B420&gt;=TodayDate,P420&lt;&gt;"Cancelled"),B420,""))</f>
        <v>0</v>
      </c>
      <c r="AT420" s="31">
        <f>IF(AS420="","",COUNTIFS($AS$5:$AS$604,"&lt;"&amp;AS420)+COUNTIFS($AS$5:AS420,AS420))</f>
        <v>0</v>
      </c>
      <c r="AU420" s="18">
        <f>IF(OR(G420="",B420="",R420&lt;&gt;""),"",IF(AND(B420&gt;=TodayDate,P420&lt;&gt;"Cancelled"),B420,""))</f>
        <v>0</v>
      </c>
      <c r="AV420" s="31">
        <f>IF(AU420="","",COUNTIFS($AU$5:$AU$604,"&lt;"&amp;AU420)+COUNTIFS($AU$5:AU420,AU420))</f>
        <v>0</v>
      </c>
      <c r="AW420" s="31">
        <f>IF(OR(G420="",B420=""),"",B420-TodayDate)</f>
        <v>0</v>
      </c>
      <c r="AX420" s="39">
        <f>IF(G420="","",IF(P420="Cancelled","Cancelled",IF(P420="No access","Action - no access, rebook",IF(AND(B420&lt;&gt;"",AW420&lt;0,OR(P420="Booked",P420="Confirmed",P420="In progress")),"Late - mark it completed",IF(AND(P420="Completed",AP420=""),"Action - not invoiced yet",IF(AND(AW420&gt;=0,AW420&lt;=ReminderDays,Y420&lt;&gt;"Yes"),"Confirm - visit coming up",IF(R420="","Assign - no cleaner booked",IF(AND(P420="Completed",AO420&lt;&gt;"",AO420&lt;1),"Check - checklist unfinished","OK"))))))))</f>
        <v>0</v>
      </c>
    </row>
    <row r="421" spans="1:50">
      <c r="A421" s="43">
        <f>IF(G421="","",JobPrefix&amp;TEXT(ROW()-4,"0000"))</f>
        <v>0</v>
      </c>
      <c r="C421" s="23">
        <f>IF(B421="","",TEXT(B421,"ddd"))</f>
        <v>0</v>
      </c>
      <c r="D421" s="31">
        <f>IF(B421="","",WEEKNUM(B421,IF(WeekStart="Sunday",1,2)))</f>
        <v>0</v>
      </c>
      <c r="E421" s="23">
        <f>IF(B421="","",TEXT(B421,"yyyy-mm"))</f>
        <v>0</v>
      </c>
      <c r="H421" s="23">
        <f>IF(G421="","",IFERROR(INDEX(Clients!$B$5:$B$204,MATCH(G421,Clients!$A$5:$A$204,0)),"Not found"))</f>
        <v>0</v>
      </c>
      <c r="I421" s="23">
        <f>IF(G421="","",IFERROR(INDEX(Clients!$C$5:$C$204,MATCH(G421,Clients!$A$5:$A$204,0)),""))</f>
        <v>0</v>
      </c>
      <c r="K421" s="23">
        <f>IF(J421="","",IFERROR(INDEX(Properties!$B$5:$B$254,MATCH(J421,Properties!$A$5:$A$254,0)),""))</f>
        <v>0</v>
      </c>
      <c r="L421" s="23">
        <f>IF(J421="","",IFERROR(INDEX(Properties!$F$5:$F$254,MATCH(J421,Properties!$A$5:$A$254,0)),""))</f>
        <v>0</v>
      </c>
      <c r="AD421" s="34">
        <f>IF(G421="","",IF(U421&lt;&gt;"",U421,IF(AND(IFERROR(INDEX(Services!$D$5:$D$64,MATCH(M421,Services!$B$5:$B$64,0)),"")="Per hour",IFERROR(INDEX(Properties!$X$5:$X$254,MATCH(J421,Properties!$A$5:$A$254,0)),0)&gt;0),IFERROR(INDEX(Properties!$X$5:$X$254,MATCH(J421,Properties!$A$5:$A$254,0)),0),IF(IFERROR(INDEX(Services!$G$5:$G$64,MATCH(M421,Services!$B$5:$B$64,0)),0)&gt;0,IFERROR(INDEX(Services!$G$5:$G$64,MATCH(M421,Services!$B$5:$B$64,0)),0),IFERROR(INDEX(Properties!$X$5:$X$254,MATCH(J421,Properties!$A$5:$A$254,0)),0)))))</f>
        <v>0</v>
      </c>
      <c r="AE421" s="31">
        <f>IF(G421="","",IF(T421="",CleanersPerJob,MAX(1,T421)))</f>
        <v>0</v>
      </c>
      <c r="AF421" s="34">
        <f>IF(G421="","",ROUND(AD421/AE421,2))</f>
        <v>0</v>
      </c>
      <c r="AG421" s="53">
        <f>IF(OR(G421="",F421="",AF421=""),"",F421+AF421/24)</f>
        <v>0</v>
      </c>
      <c r="AH421" s="21">
        <f>IF(G421="","",IF(IFERROR(INDEX(Clients!$O$5:$O$204,MATCH(G421,Clients!$A$5:$A$204,0)),0)&gt;0,IFERROR(INDEX(Clients!$O$5:$O$204,MATCH(G421,Clients!$A$5:$A$204,0)),0),HourlyRate))</f>
        <v>0</v>
      </c>
      <c r="AI421" s="21">
        <f>IF(G421="","",IF(AND(M421&lt;&gt;"",IFERROR(INDEX(Services!$P$5:$P$64,MATCH(M421,Services!$B$5:$B$64,0)),0)&gt;0,IFERROR(INDEX(Services!$D$5:$D$64,MATCH(M421,Services!$B$5:$B$64,0)),"")&lt;&gt;"Per hour"),IFERROR(INDEX(Services!$P$5:$P$64,MATCH(M421,Services!$B$5:$B$64,0)),0),AD421*AH421))</f>
        <v>0</v>
      </c>
      <c r="AJ421" s="21">
        <f>IF(G421="","",IF(V421&lt;&gt;"",V421,IF(P421="Cancelled",0,MAX(MinimumCharge,ROUND(AI421*IFERROR(INDEX(FreqFactors,MATCH(O421,FreqNames,0)),1),2)))))</f>
        <v>0</v>
      </c>
      <c r="AK421" s="34">
        <f>IF(G421="","",IF(SUMIFS(Timesheets!$U$5:$U$804,Timesheets!$G$5:$G$804,A421)&gt;0,SUMIFS(Timesheets!$U$5:$U$804,Timesheets!$G$5:$G$804,A421),IF(Z421="","",Z421)))</f>
        <v>0</v>
      </c>
      <c r="AL421" s="34">
        <f>IF(OR(AK421="",AD421=""),"",AK421-AD421)</f>
        <v>0</v>
      </c>
      <c r="AM421" s="31">
        <f>IF(A421="","",COUNTIFS('Job Tasks'!$B$5:$B$904,A421))</f>
        <v>0</v>
      </c>
      <c r="AN421" s="31">
        <f>IF(A421="","",COUNTIFS('Job Tasks'!$B$5:$B$904,A421,'Job Tasks'!$H$5:$H$904,"Done"))</f>
        <v>0</v>
      </c>
      <c r="AO421" s="38">
        <f>IF(OR(A421="",AM421=0),"",AN421/AM421)</f>
        <v>0</v>
      </c>
      <c r="AP421" s="43">
        <f>IF(A421="","",IFERROR(INDEX('Invoice Lines'!$B$5:$B$804,MATCH(A421,'Invoice Lines'!$C$5:$C$804,0)),""))</f>
        <v>0</v>
      </c>
      <c r="AQ421" s="18">
        <f>IF(OR(G421="",B421="",X421&lt;&gt;"Yes"),"",IF(IFERROR(INDEX(FreqDays,MATCH(O421,FreqNames,0)),0)=0,"",B421+IFERROR(INDEX(FreqDays,MATCH(O421,FreqNames,0)),0)))</f>
        <v>0</v>
      </c>
      <c r="AR421" s="39">
        <f>IF(G421="","",IF(R421="","Unassigned",IF(COUNTIFS($R$5:$R$604,R421,$B$5:$B$604,B421,$F$5:$F$604,F421)&gt;1,"Clash",IF(SUMIFS($AF$5:$AF$604,$R$5:$R$604,R421,$B$5:$B$604,B421)&gt;ProductiveHours,"Long day","OK"))))</f>
        <v>0</v>
      </c>
      <c r="AS421" s="18">
        <f>IF(OR(G421="",B421=""),"",IF(AND(B421&gt;=TodayDate,P421&lt;&gt;"Cancelled"),B421,""))</f>
        <v>0</v>
      </c>
      <c r="AT421" s="31">
        <f>IF(AS421="","",COUNTIFS($AS$5:$AS$604,"&lt;"&amp;AS421)+COUNTIFS($AS$5:AS421,AS421))</f>
        <v>0</v>
      </c>
      <c r="AU421" s="18">
        <f>IF(OR(G421="",B421="",R421&lt;&gt;""),"",IF(AND(B421&gt;=TodayDate,P421&lt;&gt;"Cancelled"),B421,""))</f>
        <v>0</v>
      </c>
      <c r="AV421" s="31">
        <f>IF(AU421="","",COUNTIFS($AU$5:$AU$604,"&lt;"&amp;AU421)+COUNTIFS($AU$5:AU421,AU421))</f>
        <v>0</v>
      </c>
      <c r="AW421" s="31">
        <f>IF(OR(G421="",B421=""),"",B421-TodayDate)</f>
        <v>0</v>
      </c>
      <c r="AX421" s="39">
        <f>IF(G421="","",IF(P421="Cancelled","Cancelled",IF(P421="No access","Action - no access, rebook",IF(AND(B421&lt;&gt;"",AW421&lt;0,OR(P421="Booked",P421="Confirmed",P421="In progress")),"Late - mark it completed",IF(AND(P421="Completed",AP421=""),"Action - not invoiced yet",IF(AND(AW421&gt;=0,AW421&lt;=ReminderDays,Y421&lt;&gt;"Yes"),"Confirm - visit coming up",IF(R421="","Assign - no cleaner booked",IF(AND(P421="Completed",AO421&lt;&gt;"",AO421&lt;1),"Check - checklist unfinished","OK"))))))))</f>
        <v>0</v>
      </c>
    </row>
    <row r="422" spans="1:50">
      <c r="A422" s="43">
        <f>IF(G422="","",JobPrefix&amp;TEXT(ROW()-4,"0000"))</f>
        <v>0</v>
      </c>
      <c r="C422" s="23">
        <f>IF(B422="","",TEXT(B422,"ddd"))</f>
        <v>0</v>
      </c>
      <c r="D422" s="31">
        <f>IF(B422="","",WEEKNUM(B422,IF(WeekStart="Sunday",1,2)))</f>
        <v>0</v>
      </c>
      <c r="E422" s="23">
        <f>IF(B422="","",TEXT(B422,"yyyy-mm"))</f>
        <v>0</v>
      </c>
      <c r="H422" s="23">
        <f>IF(G422="","",IFERROR(INDEX(Clients!$B$5:$B$204,MATCH(G422,Clients!$A$5:$A$204,0)),"Not found"))</f>
        <v>0</v>
      </c>
      <c r="I422" s="23">
        <f>IF(G422="","",IFERROR(INDEX(Clients!$C$5:$C$204,MATCH(G422,Clients!$A$5:$A$204,0)),""))</f>
        <v>0</v>
      </c>
      <c r="K422" s="23">
        <f>IF(J422="","",IFERROR(INDEX(Properties!$B$5:$B$254,MATCH(J422,Properties!$A$5:$A$254,0)),""))</f>
        <v>0</v>
      </c>
      <c r="L422" s="23">
        <f>IF(J422="","",IFERROR(INDEX(Properties!$F$5:$F$254,MATCH(J422,Properties!$A$5:$A$254,0)),""))</f>
        <v>0</v>
      </c>
      <c r="AD422" s="34">
        <f>IF(G422="","",IF(U422&lt;&gt;"",U422,IF(AND(IFERROR(INDEX(Services!$D$5:$D$64,MATCH(M422,Services!$B$5:$B$64,0)),"")="Per hour",IFERROR(INDEX(Properties!$X$5:$X$254,MATCH(J422,Properties!$A$5:$A$254,0)),0)&gt;0),IFERROR(INDEX(Properties!$X$5:$X$254,MATCH(J422,Properties!$A$5:$A$254,0)),0),IF(IFERROR(INDEX(Services!$G$5:$G$64,MATCH(M422,Services!$B$5:$B$64,0)),0)&gt;0,IFERROR(INDEX(Services!$G$5:$G$64,MATCH(M422,Services!$B$5:$B$64,0)),0),IFERROR(INDEX(Properties!$X$5:$X$254,MATCH(J422,Properties!$A$5:$A$254,0)),0)))))</f>
        <v>0</v>
      </c>
      <c r="AE422" s="31">
        <f>IF(G422="","",IF(T422="",CleanersPerJob,MAX(1,T422)))</f>
        <v>0</v>
      </c>
      <c r="AF422" s="34">
        <f>IF(G422="","",ROUND(AD422/AE422,2))</f>
        <v>0</v>
      </c>
      <c r="AG422" s="53">
        <f>IF(OR(G422="",F422="",AF422=""),"",F422+AF422/24)</f>
        <v>0</v>
      </c>
      <c r="AH422" s="21">
        <f>IF(G422="","",IF(IFERROR(INDEX(Clients!$O$5:$O$204,MATCH(G422,Clients!$A$5:$A$204,0)),0)&gt;0,IFERROR(INDEX(Clients!$O$5:$O$204,MATCH(G422,Clients!$A$5:$A$204,0)),0),HourlyRate))</f>
        <v>0</v>
      </c>
      <c r="AI422" s="21">
        <f>IF(G422="","",IF(AND(M422&lt;&gt;"",IFERROR(INDEX(Services!$P$5:$P$64,MATCH(M422,Services!$B$5:$B$64,0)),0)&gt;0,IFERROR(INDEX(Services!$D$5:$D$64,MATCH(M422,Services!$B$5:$B$64,0)),"")&lt;&gt;"Per hour"),IFERROR(INDEX(Services!$P$5:$P$64,MATCH(M422,Services!$B$5:$B$64,0)),0),AD422*AH422))</f>
        <v>0</v>
      </c>
      <c r="AJ422" s="21">
        <f>IF(G422="","",IF(V422&lt;&gt;"",V422,IF(P422="Cancelled",0,MAX(MinimumCharge,ROUND(AI422*IFERROR(INDEX(FreqFactors,MATCH(O422,FreqNames,0)),1),2)))))</f>
        <v>0</v>
      </c>
      <c r="AK422" s="34">
        <f>IF(G422="","",IF(SUMIFS(Timesheets!$U$5:$U$804,Timesheets!$G$5:$G$804,A422)&gt;0,SUMIFS(Timesheets!$U$5:$U$804,Timesheets!$G$5:$G$804,A422),IF(Z422="","",Z422)))</f>
        <v>0</v>
      </c>
      <c r="AL422" s="34">
        <f>IF(OR(AK422="",AD422=""),"",AK422-AD422)</f>
        <v>0</v>
      </c>
      <c r="AM422" s="31">
        <f>IF(A422="","",COUNTIFS('Job Tasks'!$B$5:$B$904,A422))</f>
        <v>0</v>
      </c>
      <c r="AN422" s="31">
        <f>IF(A422="","",COUNTIFS('Job Tasks'!$B$5:$B$904,A422,'Job Tasks'!$H$5:$H$904,"Done"))</f>
        <v>0</v>
      </c>
      <c r="AO422" s="38">
        <f>IF(OR(A422="",AM422=0),"",AN422/AM422)</f>
        <v>0</v>
      </c>
      <c r="AP422" s="43">
        <f>IF(A422="","",IFERROR(INDEX('Invoice Lines'!$B$5:$B$804,MATCH(A422,'Invoice Lines'!$C$5:$C$804,0)),""))</f>
        <v>0</v>
      </c>
      <c r="AQ422" s="18">
        <f>IF(OR(G422="",B422="",X422&lt;&gt;"Yes"),"",IF(IFERROR(INDEX(FreqDays,MATCH(O422,FreqNames,0)),0)=0,"",B422+IFERROR(INDEX(FreqDays,MATCH(O422,FreqNames,0)),0)))</f>
        <v>0</v>
      </c>
      <c r="AR422" s="39">
        <f>IF(G422="","",IF(R422="","Unassigned",IF(COUNTIFS($R$5:$R$604,R422,$B$5:$B$604,B422,$F$5:$F$604,F422)&gt;1,"Clash",IF(SUMIFS($AF$5:$AF$604,$R$5:$R$604,R422,$B$5:$B$604,B422)&gt;ProductiveHours,"Long day","OK"))))</f>
        <v>0</v>
      </c>
      <c r="AS422" s="18">
        <f>IF(OR(G422="",B422=""),"",IF(AND(B422&gt;=TodayDate,P422&lt;&gt;"Cancelled"),B422,""))</f>
        <v>0</v>
      </c>
      <c r="AT422" s="31">
        <f>IF(AS422="","",COUNTIFS($AS$5:$AS$604,"&lt;"&amp;AS422)+COUNTIFS($AS$5:AS422,AS422))</f>
        <v>0</v>
      </c>
      <c r="AU422" s="18">
        <f>IF(OR(G422="",B422="",R422&lt;&gt;""),"",IF(AND(B422&gt;=TodayDate,P422&lt;&gt;"Cancelled"),B422,""))</f>
        <v>0</v>
      </c>
      <c r="AV422" s="31">
        <f>IF(AU422="","",COUNTIFS($AU$5:$AU$604,"&lt;"&amp;AU422)+COUNTIFS($AU$5:AU422,AU422))</f>
        <v>0</v>
      </c>
      <c r="AW422" s="31">
        <f>IF(OR(G422="",B422=""),"",B422-TodayDate)</f>
        <v>0</v>
      </c>
      <c r="AX422" s="39">
        <f>IF(G422="","",IF(P422="Cancelled","Cancelled",IF(P422="No access","Action - no access, rebook",IF(AND(B422&lt;&gt;"",AW422&lt;0,OR(P422="Booked",P422="Confirmed",P422="In progress")),"Late - mark it completed",IF(AND(P422="Completed",AP422=""),"Action - not invoiced yet",IF(AND(AW422&gt;=0,AW422&lt;=ReminderDays,Y422&lt;&gt;"Yes"),"Confirm - visit coming up",IF(R422="","Assign - no cleaner booked",IF(AND(P422="Completed",AO422&lt;&gt;"",AO422&lt;1),"Check - checklist unfinished","OK"))))))))</f>
        <v>0</v>
      </c>
    </row>
    <row r="423" spans="1:50">
      <c r="A423" s="43">
        <f>IF(G423="","",JobPrefix&amp;TEXT(ROW()-4,"0000"))</f>
        <v>0</v>
      </c>
      <c r="C423" s="23">
        <f>IF(B423="","",TEXT(B423,"ddd"))</f>
        <v>0</v>
      </c>
      <c r="D423" s="31">
        <f>IF(B423="","",WEEKNUM(B423,IF(WeekStart="Sunday",1,2)))</f>
        <v>0</v>
      </c>
      <c r="E423" s="23">
        <f>IF(B423="","",TEXT(B423,"yyyy-mm"))</f>
        <v>0</v>
      </c>
      <c r="H423" s="23">
        <f>IF(G423="","",IFERROR(INDEX(Clients!$B$5:$B$204,MATCH(G423,Clients!$A$5:$A$204,0)),"Not found"))</f>
        <v>0</v>
      </c>
      <c r="I423" s="23">
        <f>IF(G423="","",IFERROR(INDEX(Clients!$C$5:$C$204,MATCH(G423,Clients!$A$5:$A$204,0)),""))</f>
        <v>0</v>
      </c>
      <c r="K423" s="23">
        <f>IF(J423="","",IFERROR(INDEX(Properties!$B$5:$B$254,MATCH(J423,Properties!$A$5:$A$254,0)),""))</f>
        <v>0</v>
      </c>
      <c r="L423" s="23">
        <f>IF(J423="","",IFERROR(INDEX(Properties!$F$5:$F$254,MATCH(J423,Properties!$A$5:$A$254,0)),""))</f>
        <v>0</v>
      </c>
      <c r="AD423" s="34">
        <f>IF(G423="","",IF(U423&lt;&gt;"",U423,IF(AND(IFERROR(INDEX(Services!$D$5:$D$64,MATCH(M423,Services!$B$5:$B$64,0)),"")="Per hour",IFERROR(INDEX(Properties!$X$5:$X$254,MATCH(J423,Properties!$A$5:$A$254,0)),0)&gt;0),IFERROR(INDEX(Properties!$X$5:$X$254,MATCH(J423,Properties!$A$5:$A$254,0)),0),IF(IFERROR(INDEX(Services!$G$5:$G$64,MATCH(M423,Services!$B$5:$B$64,0)),0)&gt;0,IFERROR(INDEX(Services!$G$5:$G$64,MATCH(M423,Services!$B$5:$B$64,0)),0),IFERROR(INDEX(Properties!$X$5:$X$254,MATCH(J423,Properties!$A$5:$A$254,0)),0)))))</f>
        <v>0</v>
      </c>
      <c r="AE423" s="31">
        <f>IF(G423="","",IF(T423="",CleanersPerJob,MAX(1,T423)))</f>
        <v>0</v>
      </c>
      <c r="AF423" s="34">
        <f>IF(G423="","",ROUND(AD423/AE423,2))</f>
        <v>0</v>
      </c>
      <c r="AG423" s="53">
        <f>IF(OR(G423="",F423="",AF423=""),"",F423+AF423/24)</f>
        <v>0</v>
      </c>
      <c r="AH423" s="21">
        <f>IF(G423="","",IF(IFERROR(INDEX(Clients!$O$5:$O$204,MATCH(G423,Clients!$A$5:$A$204,0)),0)&gt;0,IFERROR(INDEX(Clients!$O$5:$O$204,MATCH(G423,Clients!$A$5:$A$204,0)),0),HourlyRate))</f>
        <v>0</v>
      </c>
      <c r="AI423" s="21">
        <f>IF(G423="","",IF(AND(M423&lt;&gt;"",IFERROR(INDEX(Services!$P$5:$P$64,MATCH(M423,Services!$B$5:$B$64,0)),0)&gt;0,IFERROR(INDEX(Services!$D$5:$D$64,MATCH(M423,Services!$B$5:$B$64,0)),"")&lt;&gt;"Per hour"),IFERROR(INDEX(Services!$P$5:$P$64,MATCH(M423,Services!$B$5:$B$64,0)),0),AD423*AH423))</f>
        <v>0</v>
      </c>
      <c r="AJ423" s="21">
        <f>IF(G423="","",IF(V423&lt;&gt;"",V423,IF(P423="Cancelled",0,MAX(MinimumCharge,ROUND(AI423*IFERROR(INDEX(FreqFactors,MATCH(O423,FreqNames,0)),1),2)))))</f>
        <v>0</v>
      </c>
      <c r="AK423" s="34">
        <f>IF(G423="","",IF(SUMIFS(Timesheets!$U$5:$U$804,Timesheets!$G$5:$G$804,A423)&gt;0,SUMIFS(Timesheets!$U$5:$U$804,Timesheets!$G$5:$G$804,A423),IF(Z423="","",Z423)))</f>
        <v>0</v>
      </c>
      <c r="AL423" s="34">
        <f>IF(OR(AK423="",AD423=""),"",AK423-AD423)</f>
        <v>0</v>
      </c>
      <c r="AM423" s="31">
        <f>IF(A423="","",COUNTIFS('Job Tasks'!$B$5:$B$904,A423))</f>
        <v>0</v>
      </c>
      <c r="AN423" s="31">
        <f>IF(A423="","",COUNTIFS('Job Tasks'!$B$5:$B$904,A423,'Job Tasks'!$H$5:$H$904,"Done"))</f>
        <v>0</v>
      </c>
      <c r="AO423" s="38">
        <f>IF(OR(A423="",AM423=0),"",AN423/AM423)</f>
        <v>0</v>
      </c>
      <c r="AP423" s="43">
        <f>IF(A423="","",IFERROR(INDEX('Invoice Lines'!$B$5:$B$804,MATCH(A423,'Invoice Lines'!$C$5:$C$804,0)),""))</f>
        <v>0</v>
      </c>
      <c r="AQ423" s="18">
        <f>IF(OR(G423="",B423="",X423&lt;&gt;"Yes"),"",IF(IFERROR(INDEX(FreqDays,MATCH(O423,FreqNames,0)),0)=0,"",B423+IFERROR(INDEX(FreqDays,MATCH(O423,FreqNames,0)),0)))</f>
        <v>0</v>
      </c>
      <c r="AR423" s="39">
        <f>IF(G423="","",IF(R423="","Unassigned",IF(COUNTIFS($R$5:$R$604,R423,$B$5:$B$604,B423,$F$5:$F$604,F423)&gt;1,"Clash",IF(SUMIFS($AF$5:$AF$604,$R$5:$R$604,R423,$B$5:$B$604,B423)&gt;ProductiveHours,"Long day","OK"))))</f>
        <v>0</v>
      </c>
      <c r="AS423" s="18">
        <f>IF(OR(G423="",B423=""),"",IF(AND(B423&gt;=TodayDate,P423&lt;&gt;"Cancelled"),B423,""))</f>
        <v>0</v>
      </c>
      <c r="AT423" s="31">
        <f>IF(AS423="","",COUNTIFS($AS$5:$AS$604,"&lt;"&amp;AS423)+COUNTIFS($AS$5:AS423,AS423))</f>
        <v>0</v>
      </c>
      <c r="AU423" s="18">
        <f>IF(OR(G423="",B423="",R423&lt;&gt;""),"",IF(AND(B423&gt;=TodayDate,P423&lt;&gt;"Cancelled"),B423,""))</f>
        <v>0</v>
      </c>
      <c r="AV423" s="31">
        <f>IF(AU423="","",COUNTIFS($AU$5:$AU$604,"&lt;"&amp;AU423)+COUNTIFS($AU$5:AU423,AU423))</f>
        <v>0</v>
      </c>
      <c r="AW423" s="31">
        <f>IF(OR(G423="",B423=""),"",B423-TodayDate)</f>
        <v>0</v>
      </c>
      <c r="AX423" s="39">
        <f>IF(G423="","",IF(P423="Cancelled","Cancelled",IF(P423="No access","Action - no access, rebook",IF(AND(B423&lt;&gt;"",AW423&lt;0,OR(P423="Booked",P423="Confirmed",P423="In progress")),"Late - mark it completed",IF(AND(P423="Completed",AP423=""),"Action - not invoiced yet",IF(AND(AW423&gt;=0,AW423&lt;=ReminderDays,Y423&lt;&gt;"Yes"),"Confirm - visit coming up",IF(R423="","Assign - no cleaner booked",IF(AND(P423="Completed",AO423&lt;&gt;"",AO423&lt;1),"Check - checklist unfinished","OK"))))))))</f>
        <v>0</v>
      </c>
    </row>
    <row r="424" spans="1:50">
      <c r="A424" s="43">
        <f>IF(G424="","",JobPrefix&amp;TEXT(ROW()-4,"0000"))</f>
        <v>0</v>
      </c>
      <c r="C424" s="23">
        <f>IF(B424="","",TEXT(B424,"ddd"))</f>
        <v>0</v>
      </c>
      <c r="D424" s="31">
        <f>IF(B424="","",WEEKNUM(B424,IF(WeekStart="Sunday",1,2)))</f>
        <v>0</v>
      </c>
      <c r="E424" s="23">
        <f>IF(B424="","",TEXT(B424,"yyyy-mm"))</f>
        <v>0</v>
      </c>
      <c r="H424" s="23">
        <f>IF(G424="","",IFERROR(INDEX(Clients!$B$5:$B$204,MATCH(G424,Clients!$A$5:$A$204,0)),"Not found"))</f>
        <v>0</v>
      </c>
      <c r="I424" s="23">
        <f>IF(G424="","",IFERROR(INDEX(Clients!$C$5:$C$204,MATCH(G424,Clients!$A$5:$A$204,0)),""))</f>
        <v>0</v>
      </c>
      <c r="K424" s="23">
        <f>IF(J424="","",IFERROR(INDEX(Properties!$B$5:$B$254,MATCH(J424,Properties!$A$5:$A$254,0)),""))</f>
        <v>0</v>
      </c>
      <c r="L424" s="23">
        <f>IF(J424="","",IFERROR(INDEX(Properties!$F$5:$F$254,MATCH(J424,Properties!$A$5:$A$254,0)),""))</f>
        <v>0</v>
      </c>
      <c r="AD424" s="34">
        <f>IF(G424="","",IF(U424&lt;&gt;"",U424,IF(AND(IFERROR(INDEX(Services!$D$5:$D$64,MATCH(M424,Services!$B$5:$B$64,0)),"")="Per hour",IFERROR(INDEX(Properties!$X$5:$X$254,MATCH(J424,Properties!$A$5:$A$254,0)),0)&gt;0),IFERROR(INDEX(Properties!$X$5:$X$254,MATCH(J424,Properties!$A$5:$A$254,0)),0),IF(IFERROR(INDEX(Services!$G$5:$G$64,MATCH(M424,Services!$B$5:$B$64,0)),0)&gt;0,IFERROR(INDEX(Services!$G$5:$G$64,MATCH(M424,Services!$B$5:$B$64,0)),0),IFERROR(INDEX(Properties!$X$5:$X$254,MATCH(J424,Properties!$A$5:$A$254,0)),0)))))</f>
        <v>0</v>
      </c>
      <c r="AE424" s="31">
        <f>IF(G424="","",IF(T424="",CleanersPerJob,MAX(1,T424)))</f>
        <v>0</v>
      </c>
      <c r="AF424" s="34">
        <f>IF(G424="","",ROUND(AD424/AE424,2))</f>
        <v>0</v>
      </c>
      <c r="AG424" s="53">
        <f>IF(OR(G424="",F424="",AF424=""),"",F424+AF424/24)</f>
        <v>0</v>
      </c>
      <c r="AH424" s="21">
        <f>IF(G424="","",IF(IFERROR(INDEX(Clients!$O$5:$O$204,MATCH(G424,Clients!$A$5:$A$204,0)),0)&gt;0,IFERROR(INDEX(Clients!$O$5:$O$204,MATCH(G424,Clients!$A$5:$A$204,0)),0),HourlyRate))</f>
        <v>0</v>
      </c>
      <c r="AI424" s="21">
        <f>IF(G424="","",IF(AND(M424&lt;&gt;"",IFERROR(INDEX(Services!$P$5:$P$64,MATCH(M424,Services!$B$5:$B$64,0)),0)&gt;0,IFERROR(INDEX(Services!$D$5:$D$64,MATCH(M424,Services!$B$5:$B$64,0)),"")&lt;&gt;"Per hour"),IFERROR(INDEX(Services!$P$5:$P$64,MATCH(M424,Services!$B$5:$B$64,0)),0),AD424*AH424))</f>
        <v>0</v>
      </c>
      <c r="AJ424" s="21">
        <f>IF(G424="","",IF(V424&lt;&gt;"",V424,IF(P424="Cancelled",0,MAX(MinimumCharge,ROUND(AI424*IFERROR(INDEX(FreqFactors,MATCH(O424,FreqNames,0)),1),2)))))</f>
        <v>0</v>
      </c>
      <c r="AK424" s="34">
        <f>IF(G424="","",IF(SUMIFS(Timesheets!$U$5:$U$804,Timesheets!$G$5:$G$804,A424)&gt;0,SUMIFS(Timesheets!$U$5:$U$804,Timesheets!$G$5:$G$804,A424),IF(Z424="","",Z424)))</f>
        <v>0</v>
      </c>
      <c r="AL424" s="34">
        <f>IF(OR(AK424="",AD424=""),"",AK424-AD424)</f>
        <v>0</v>
      </c>
      <c r="AM424" s="31">
        <f>IF(A424="","",COUNTIFS('Job Tasks'!$B$5:$B$904,A424))</f>
        <v>0</v>
      </c>
      <c r="AN424" s="31">
        <f>IF(A424="","",COUNTIFS('Job Tasks'!$B$5:$B$904,A424,'Job Tasks'!$H$5:$H$904,"Done"))</f>
        <v>0</v>
      </c>
      <c r="AO424" s="38">
        <f>IF(OR(A424="",AM424=0),"",AN424/AM424)</f>
        <v>0</v>
      </c>
      <c r="AP424" s="43">
        <f>IF(A424="","",IFERROR(INDEX('Invoice Lines'!$B$5:$B$804,MATCH(A424,'Invoice Lines'!$C$5:$C$804,0)),""))</f>
        <v>0</v>
      </c>
      <c r="AQ424" s="18">
        <f>IF(OR(G424="",B424="",X424&lt;&gt;"Yes"),"",IF(IFERROR(INDEX(FreqDays,MATCH(O424,FreqNames,0)),0)=0,"",B424+IFERROR(INDEX(FreqDays,MATCH(O424,FreqNames,0)),0)))</f>
        <v>0</v>
      </c>
      <c r="AR424" s="39">
        <f>IF(G424="","",IF(R424="","Unassigned",IF(COUNTIFS($R$5:$R$604,R424,$B$5:$B$604,B424,$F$5:$F$604,F424)&gt;1,"Clash",IF(SUMIFS($AF$5:$AF$604,$R$5:$R$604,R424,$B$5:$B$604,B424)&gt;ProductiveHours,"Long day","OK"))))</f>
        <v>0</v>
      </c>
      <c r="AS424" s="18">
        <f>IF(OR(G424="",B424=""),"",IF(AND(B424&gt;=TodayDate,P424&lt;&gt;"Cancelled"),B424,""))</f>
        <v>0</v>
      </c>
      <c r="AT424" s="31">
        <f>IF(AS424="","",COUNTIFS($AS$5:$AS$604,"&lt;"&amp;AS424)+COUNTIFS($AS$5:AS424,AS424))</f>
        <v>0</v>
      </c>
      <c r="AU424" s="18">
        <f>IF(OR(G424="",B424="",R424&lt;&gt;""),"",IF(AND(B424&gt;=TodayDate,P424&lt;&gt;"Cancelled"),B424,""))</f>
        <v>0</v>
      </c>
      <c r="AV424" s="31">
        <f>IF(AU424="","",COUNTIFS($AU$5:$AU$604,"&lt;"&amp;AU424)+COUNTIFS($AU$5:AU424,AU424))</f>
        <v>0</v>
      </c>
      <c r="AW424" s="31">
        <f>IF(OR(G424="",B424=""),"",B424-TodayDate)</f>
        <v>0</v>
      </c>
      <c r="AX424" s="39">
        <f>IF(G424="","",IF(P424="Cancelled","Cancelled",IF(P424="No access","Action - no access, rebook",IF(AND(B424&lt;&gt;"",AW424&lt;0,OR(P424="Booked",P424="Confirmed",P424="In progress")),"Late - mark it completed",IF(AND(P424="Completed",AP424=""),"Action - not invoiced yet",IF(AND(AW424&gt;=0,AW424&lt;=ReminderDays,Y424&lt;&gt;"Yes"),"Confirm - visit coming up",IF(R424="","Assign - no cleaner booked",IF(AND(P424="Completed",AO424&lt;&gt;"",AO424&lt;1),"Check - checklist unfinished","OK"))))))))</f>
        <v>0</v>
      </c>
    </row>
    <row r="425" spans="1:50">
      <c r="A425" s="43">
        <f>IF(G425="","",JobPrefix&amp;TEXT(ROW()-4,"0000"))</f>
        <v>0</v>
      </c>
      <c r="C425" s="23">
        <f>IF(B425="","",TEXT(B425,"ddd"))</f>
        <v>0</v>
      </c>
      <c r="D425" s="31">
        <f>IF(B425="","",WEEKNUM(B425,IF(WeekStart="Sunday",1,2)))</f>
        <v>0</v>
      </c>
      <c r="E425" s="23">
        <f>IF(B425="","",TEXT(B425,"yyyy-mm"))</f>
        <v>0</v>
      </c>
      <c r="H425" s="23">
        <f>IF(G425="","",IFERROR(INDEX(Clients!$B$5:$B$204,MATCH(G425,Clients!$A$5:$A$204,0)),"Not found"))</f>
        <v>0</v>
      </c>
      <c r="I425" s="23">
        <f>IF(G425="","",IFERROR(INDEX(Clients!$C$5:$C$204,MATCH(G425,Clients!$A$5:$A$204,0)),""))</f>
        <v>0</v>
      </c>
      <c r="K425" s="23">
        <f>IF(J425="","",IFERROR(INDEX(Properties!$B$5:$B$254,MATCH(J425,Properties!$A$5:$A$254,0)),""))</f>
        <v>0</v>
      </c>
      <c r="L425" s="23">
        <f>IF(J425="","",IFERROR(INDEX(Properties!$F$5:$F$254,MATCH(J425,Properties!$A$5:$A$254,0)),""))</f>
        <v>0</v>
      </c>
      <c r="AD425" s="34">
        <f>IF(G425="","",IF(U425&lt;&gt;"",U425,IF(AND(IFERROR(INDEX(Services!$D$5:$D$64,MATCH(M425,Services!$B$5:$B$64,0)),"")="Per hour",IFERROR(INDEX(Properties!$X$5:$X$254,MATCH(J425,Properties!$A$5:$A$254,0)),0)&gt;0),IFERROR(INDEX(Properties!$X$5:$X$254,MATCH(J425,Properties!$A$5:$A$254,0)),0),IF(IFERROR(INDEX(Services!$G$5:$G$64,MATCH(M425,Services!$B$5:$B$64,0)),0)&gt;0,IFERROR(INDEX(Services!$G$5:$G$64,MATCH(M425,Services!$B$5:$B$64,0)),0),IFERROR(INDEX(Properties!$X$5:$X$254,MATCH(J425,Properties!$A$5:$A$254,0)),0)))))</f>
        <v>0</v>
      </c>
      <c r="AE425" s="31">
        <f>IF(G425="","",IF(T425="",CleanersPerJob,MAX(1,T425)))</f>
        <v>0</v>
      </c>
      <c r="AF425" s="34">
        <f>IF(G425="","",ROUND(AD425/AE425,2))</f>
        <v>0</v>
      </c>
      <c r="AG425" s="53">
        <f>IF(OR(G425="",F425="",AF425=""),"",F425+AF425/24)</f>
        <v>0</v>
      </c>
      <c r="AH425" s="21">
        <f>IF(G425="","",IF(IFERROR(INDEX(Clients!$O$5:$O$204,MATCH(G425,Clients!$A$5:$A$204,0)),0)&gt;0,IFERROR(INDEX(Clients!$O$5:$O$204,MATCH(G425,Clients!$A$5:$A$204,0)),0),HourlyRate))</f>
        <v>0</v>
      </c>
      <c r="AI425" s="21">
        <f>IF(G425="","",IF(AND(M425&lt;&gt;"",IFERROR(INDEX(Services!$P$5:$P$64,MATCH(M425,Services!$B$5:$B$64,0)),0)&gt;0,IFERROR(INDEX(Services!$D$5:$D$64,MATCH(M425,Services!$B$5:$B$64,0)),"")&lt;&gt;"Per hour"),IFERROR(INDEX(Services!$P$5:$P$64,MATCH(M425,Services!$B$5:$B$64,0)),0),AD425*AH425))</f>
        <v>0</v>
      </c>
      <c r="AJ425" s="21">
        <f>IF(G425="","",IF(V425&lt;&gt;"",V425,IF(P425="Cancelled",0,MAX(MinimumCharge,ROUND(AI425*IFERROR(INDEX(FreqFactors,MATCH(O425,FreqNames,0)),1),2)))))</f>
        <v>0</v>
      </c>
      <c r="AK425" s="34">
        <f>IF(G425="","",IF(SUMIFS(Timesheets!$U$5:$U$804,Timesheets!$G$5:$G$804,A425)&gt;0,SUMIFS(Timesheets!$U$5:$U$804,Timesheets!$G$5:$G$804,A425),IF(Z425="","",Z425)))</f>
        <v>0</v>
      </c>
      <c r="AL425" s="34">
        <f>IF(OR(AK425="",AD425=""),"",AK425-AD425)</f>
        <v>0</v>
      </c>
      <c r="AM425" s="31">
        <f>IF(A425="","",COUNTIFS('Job Tasks'!$B$5:$B$904,A425))</f>
        <v>0</v>
      </c>
      <c r="AN425" s="31">
        <f>IF(A425="","",COUNTIFS('Job Tasks'!$B$5:$B$904,A425,'Job Tasks'!$H$5:$H$904,"Done"))</f>
        <v>0</v>
      </c>
      <c r="AO425" s="38">
        <f>IF(OR(A425="",AM425=0),"",AN425/AM425)</f>
        <v>0</v>
      </c>
      <c r="AP425" s="43">
        <f>IF(A425="","",IFERROR(INDEX('Invoice Lines'!$B$5:$B$804,MATCH(A425,'Invoice Lines'!$C$5:$C$804,0)),""))</f>
        <v>0</v>
      </c>
      <c r="AQ425" s="18">
        <f>IF(OR(G425="",B425="",X425&lt;&gt;"Yes"),"",IF(IFERROR(INDEX(FreqDays,MATCH(O425,FreqNames,0)),0)=0,"",B425+IFERROR(INDEX(FreqDays,MATCH(O425,FreqNames,0)),0)))</f>
        <v>0</v>
      </c>
      <c r="AR425" s="39">
        <f>IF(G425="","",IF(R425="","Unassigned",IF(COUNTIFS($R$5:$R$604,R425,$B$5:$B$604,B425,$F$5:$F$604,F425)&gt;1,"Clash",IF(SUMIFS($AF$5:$AF$604,$R$5:$R$604,R425,$B$5:$B$604,B425)&gt;ProductiveHours,"Long day","OK"))))</f>
        <v>0</v>
      </c>
      <c r="AS425" s="18">
        <f>IF(OR(G425="",B425=""),"",IF(AND(B425&gt;=TodayDate,P425&lt;&gt;"Cancelled"),B425,""))</f>
        <v>0</v>
      </c>
      <c r="AT425" s="31">
        <f>IF(AS425="","",COUNTIFS($AS$5:$AS$604,"&lt;"&amp;AS425)+COUNTIFS($AS$5:AS425,AS425))</f>
        <v>0</v>
      </c>
      <c r="AU425" s="18">
        <f>IF(OR(G425="",B425="",R425&lt;&gt;""),"",IF(AND(B425&gt;=TodayDate,P425&lt;&gt;"Cancelled"),B425,""))</f>
        <v>0</v>
      </c>
      <c r="AV425" s="31">
        <f>IF(AU425="","",COUNTIFS($AU$5:$AU$604,"&lt;"&amp;AU425)+COUNTIFS($AU$5:AU425,AU425))</f>
        <v>0</v>
      </c>
      <c r="AW425" s="31">
        <f>IF(OR(G425="",B425=""),"",B425-TodayDate)</f>
        <v>0</v>
      </c>
      <c r="AX425" s="39">
        <f>IF(G425="","",IF(P425="Cancelled","Cancelled",IF(P425="No access","Action - no access, rebook",IF(AND(B425&lt;&gt;"",AW425&lt;0,OR(P425="Booked",P425="Confirmed",P425="In progress")),"Late - mark it completed",IF(AND(P425="Completed",AP425=""),"Action - not invoiced yet",IF(AND(AW425&gt;=0,AW425&lt;=ReminderDays,Y425&lt;&gt;"Yes"),"Confirm - visit coming up",IF(R425="","Assign - no cleaner booked",IF(AND(P425="Completed",AO425&lt;&gt;"",AO425&lt;1),"Check - checklist unfinished","OK"))))))))</f>
        <v>0</v>
      </c>
    </row>
    <row r="426" spans="1:50">
      <c r="A426" s="43">
        <f>IF(G426="","",JobPrefix&amp;TEXT(ROW()-4,"0000"))</f>
        <v>0</v>
      </c>
      <c r="C426" s="23">
        <f>IF(B426="","",TEXT(B426,"ddd"))</f>
        <v>0</v>
      </c>
      <c r="D426" s="31">
        <f>IF(B426="","",WEEKNUM(B426,IF(WeekStart="Sunday",1,2)))</f>
        <v>0</v>
      </c>
      <c r="E426" s="23">
        <f>IF(B426="","",TEXT(B426,"yyyy-mm"))</f>
        <v>0</v>
      </c>
      <c r="H426" s="23">
        <f>IF(G426="","",IFERROR(INDEX(Clients!$B$5:$B$204,MATCH(G426,Clients!$A$5:$A$204,0)),"Not found"))</f>
        <v>0</v>
      </c>
      <c r="I426" s="23">
        <f>IF(G426="","",IFERROR(INDEX(Clients!$C$5:$C$204,MATCH(G426,Clients!$A$5:$A$204,0)),""))</f>
        <v>0</v>
      </c>
      <c r="K426" s="23">
        <f>IF(J426="","",IFERROR(INDEX(Properties!$B$5:$B$254,MATCH(J426,Properties!$A$5:$A$254,0)),""))</f>
        <v>0</v>
      </c>
      <c r="L426" s="23">
        <f>IF(J426="","",IFERROR(INDEX(Properties!$F$5:$F$254,MATCH(J426,Properties!$A$5:$A$254,0)),""))</f>
        <v>0</v>
      </c>
      <c r="AD426" s="34">
        <f>IF(G426="","",IF(U426&lt;&gt;"",U426,IF(AND(IFERROR(INDEX(Services!$D$5:$D$64,MATCH(M426,Services!$B$5:$B$64,0)),"")="Per hour",IFERROR(INDEX(Properties!$X$5:$X$254,MATCH(J426,Properties!$A$5:$A$254,0)),0)&gt;0),IFERROR(INDEX(Properties!$X$5:$X$254,MATCH(J426,Properties!$A$5:$A$254,0)),0),IF(IFERROR(INDEX(Services!$G$5:$G$64,MATCH(M426,Services!$B$5:$B$64,0)),0)&gt;0,IFERROR(INDEX(Services!$G$5:$G$64,MATCH(M426,Services!$B$5:$B$64,0)),0),IFERROR(INDEX(Properties!$X$5:$X$254,MATCH(J426,Properties!$A$5:$A$254,0)),0)))))</f>
        <v>0</v>
      </c>
      <c r="AE426" s="31">
        <f>IF(G426="","",IF(T426="",CleanersPerJob,MAX(1,T426)))</f>
        <v>0</v>
      </c>
      <c r="AF426" s="34">
        <f>IF(G426="","",ROUND(AD426/AE426,2))</f>
        <v>0</v>
      </c>
      <c r="AG426" s="53">
        <f>IF(OR(G426="",F426="",AF426=""),"",F426+AF426/24)</f>
        <v>0</v>
      </c>
      <c r="AH426" s="21">
        <f>IF(G426="","",IF(IFERROR(INDEX(Clients!$O$5:$O$204,MATCH(G426,Clients!$A$5:$A$204,0)),0)&gt;0,IFERROR(INDEX(Clients!$O$5:$O$204,MATCH(G426,Clients!$A$5:$A$204,0)),0),HourlyRate))</f>
        <v>0</v>
      </c>
      <c r="AI426" s="21">
        <f>IF(G426="","",IF(AND(M426&lt;&gt;"",IFERROR(INDEX(Services!$P$5:$P$64,MATCH(M426,Services!$B$5:$B$64,0)),0)&gt;0,IFERROR(INDEX(Services!$D$5:$D$64,MATCH(M426,Services!$B$5:$B$64,0)),"")&lt;&gt;"Per hour"),IFERROR(INDEX(Services!$P$5:$P$64,MATCH(M426,Services!$B$5:$B$64,0)),0),AD426*AH426))</f>
        <v>0</v>
      </c>
      <c r="AJ426" s="21">
        <f>IF(G426="","",IF(V426&lt;&gt;"",V426,IF(P426="Cancelled",0,MAX(MinimumCharge,ROUND(AI426*IFERROR(INDEX(FreqFactors,MATCH(O426,FreqNames,0)),1),2)))))</f>
        <v>0</v>
      </c>
      <c r="AK426" s="34">
        <f>IF(G426="","",IF(SUMIFS(Timesheets!$U$5:$U$804,Timesheets!$G$5:$G$804,A426)&gt;0,SUMIFS(Timesheets!$U$5:$U$804,Timesheets!$G$5:$G$804,A426),IF(Z426="","",Z426)))</f>
        <v>0</v>
      </c>
      <c r="AL426" s="34">
        <f>IF(OR(AK426="",AD426=""),"",AK426-AD426)</f>
        <v>0</v>
      </c>
      <c r="AM426" s="31">
        <f>IF(A426="","",COUNTIFS('Job Tasks'!$B$5:$B$904,A426))</f>
        <v>0</v>
      </c>
      <c r="AN426" s="31">
        <f>IF(A426="","",COUNTIFS('Job Tasks'!$B$5:$B$904,A426,'Job Tasks'!$H$5:$H$904,"Done"))</f>
        <v>0</v>
      </c>
      <c r="AO426" s="38">
        <f>IF(OR(A426="",AM426=0),"",AN426/AM426)</f>
        <v>0</v>
      </c>
      <c r="AP426" s="43">
        <f>IF(A426="","",IFERROR(INDEX('Invoice Lines'!$B$5:$B$804,MATCH(A426,'Invoice Lines'!$C$5:$C$804,0)),""))</f>
        <v>0</v>
      </c>
      <c r="AQ426" s="18">
        <f>IF(OR(G426="",B426="",X426&lt;&gt;"Yes"),"",IF(IFERROR(INDEX(FreqDays,MATCH(O426,FreqNames,0)),0)=0,"",B426+IFERROR(INDEX(FreqDays,MATCH(O426,FreqNames,0)),0)))</f>
        <v>0</v>
      </c>
      <c r="AR426" s="39">
        <f>IF(G426="","",IF(R426="","Unassigned",IF(COUNTIFS($R$5:$R$604,R426,$B$5:$B$604,B426,$F$5:$F$604,F426)&gt;1,"Clash",IF(SUMIFS($AF$5:$AF$604,$R$5:$R$604,R426,$B$5:$B$604,B426)&gt;ProductiveHours,"Long day","OK"))))</f>
        <v>0</v>
      </c>
      <c r="AS426" s="18">
        <f>IF(OR(G426="",B426=""),"",IF(AND(B426&gt;=TodayDate,P426&lt;&gt;"Cancelled"),B426,""))</f>
        <v>0</v>
      </c>
      <c r="AT426" s="31">
        <f>IF(AS426="","",COUNTIFS($AS$5:$AS$604,"&lt;"&amp;AS426)+COUNTIFS($AS$5:AS426,AS426))</f>
        <v>0</v>
      </c>
      <c r="AU426" s="18">
        <f>IF(OR(G426="",B426="",R426&lt;&gt;""),"",IF(AND(B426&gt;=TodayDate,P426&lt;&gt;"Cancelled"),B426,""))</f>
        <v>0</v>
      </c>
      <c r="AV426" s="31">
        <f>IF(AU426="","",COUNTIFS($AU$5:$AU$604,"&lt;"&amp;AU426)+COUNTIFS($AU$5:AU426,AU426))</f>
        <v>0</v>
      </c>
      <c r="AW426" s="31">
        <f>IF(OR(G426="",B426=""),"",B426-TodayDate)</f>
        <v>0</v>
      </c>
      <c r="AX426" s="39">
        <f>IF(G426="","",IF(P426="Cancelled","Cancelled",IF(P426="No access","Action - no access, rebook",IF(AND(B426&lt;&gt;"",AW426&lt;0,OR(P426="Booked",P426="Confirmed",P426="In progress")),"Late - mark it completed",IF(AND(P426="Completed",AP426=""),"Action - not invoiced yet",IF(AND(AW426&gt;=0,AW426&lt;=ReminderDays,Y426&lt;&gt;"Yes"),"Confirm - visit coming up",IF(R426="","Assign - no cleaner booked",IF(AND(P426="Completed",AO426&lt;&gt;"",AO426&lt;1),"Check - checklist unfinished","OK"))))))))</f>
        <v>0</v>
      </c>
    </row>
    <row r="427" spans="1:50">
      <c r="A427" s="43">
        <f>IF(G427="","",JobPrefix&amp;TEXT(ROW()-4,"0000"))</f>
        <v>0</v>
      </c>
      <c r="C427" s="23">
        <f>IF(B427="","",TEXT(B427,"ddd"))</f>
        <v>0</v>
      </c>
      <c r="D427" s="31">
        <f>IF(B427="","",WEEKNUM(B427,IF(WeekStart="Sunday",1,2)))</f>
        <v>0</v>
      </c>
      <c r="E427" s="23">
        <f>IF(B427="","",TEXT(B427,"yyyy-mm"))</f>
        <v>0</v>
      </c>
      <c r="H427" s="23">
        <f>IF(G427="","",IFERROR(INDEX(Clients!$B$5:$B$204,MATCH(G427,Clients!$A$5:$A$204,0)),"Not found"))</f>
        <v>0</v>
      </c>
      <c r="I427" s="23">
        <f>IF(G427="","",IFERROR(INDEX(Clients!$C$5:$C$204,MATCH(G427,Clients!$A$5:$A$204,0)),""))</f>
        <v>0</v>
      </c>
      <c r="K427" s="23">
        <f>IF(J427="","",IFERROR(INDEX(Properties!$B$5:$B$254,MATCH(J427,Properties!$A$5:$A$254,0)),""))</f>
        <v>0</v>
      </c>
      <c r="L427" s="23">
        <f>IF(J427="","",IFERROR(INDEX(Properties!$F$5:$F$254,MATCH(J427,Properties!$A$5:$A$254,0)),""))</f>
        <v>0</v>
      </c>
      <c r="AD427" s="34">
        <f>IF(G427="","",IF(U427&lt;&gt;"",U427,IF(AND(IFERROR(INDEX(Services!$D$5:$D$64,MATCH(M427,Services!$B$5:$B$64,0)),"")="Per hour",IFERROR(INDEX(Properties!$X$5:$X$254,MATCH(J427,Properties!$A$5:$A$254,0)),0)&gt;0),IFERROR(INDEX(Properties!$X$5:$X$254,MATCH(J427,Properties!$A$5:$A$254,0)),0),IF(IFERROR(INDEX(Services!$G$5:$G$64,MATCH(M427,Services!$B$5:$B$64,0)),0)&gt;0,IFERROR(INDEX(Services!$G$5:$G$64,MATCH(M427,Services!$B$5:$B$64,0)),0),IFERROR(INDEX(Properties!$X$5:$X$254,MATCH(J427,Properties!$A$5:$A$254,0)),0)))))</f>
        <v>0</v>
      </c>
      <c r="AE427" s="31">
        <f>IF(G427="","",IF(T427="",CleanersPerJob,MAX(1,T427)))</f>
        <v>0</v>
      </c>
      <c r="AF427" s="34">
        <f>IF(G427="","",ROUND(AD427/AE427,2))</f>
        <v>0</v>
      </c>
      <c r="AG427" s="53">
        <f>IF(OR(G427="",F427="",AF427=""),"",F427+AF427/24)</f>
        <v>0</v>
      </c>
      <c r="AH427" s="21">
        <f>IF(G427="","",IF(IFERROR(INDEX(Clients!$O$5:$O$204,MATCH(G427,Clients!$A$5:$A$204,0)),0)&gt;0,IFERROR(INDEX(Clients!$O$5:$O$204,MATCH(G427,Clients!$A$5:$A$204,0)),0),HourlyRate))</f>
        <v>0</v>
      </c>
      <c r="AI427" s="21">
        <f>IF(G427="","",IF(AND(M427&lt;&gt;"",IFERROR(INDEX(Services!$P$5:$P$64,MATCH(M427,Services!$B$5:$B$64,0)),0)&gt;0,IFERROR(INDEX(Services!$D$5:$D$64,MATCH(M427,Services!$B$5:$B$64,0)),"")&lt;&gt;"Per hour"),IFERROR(INDEX(Services!$P$5:$P$64,MATCH(M427,Services!$B$5:$B$64,0)),0),AD427*AH427))</f>
        <v>0</v>
      </c>
      <c r="AJ427" s="21">
        <f>IF(G427="","",IF(V427&lt;&gt;"",V427,IF(P427="Cancelled",0,MAX(MinimumCharge,ROUND(AI427*IFERROR(INDEX(FreqFactors,MATCH(O427,FreqNames,0)),1),2)))))</f>
        <v>0</v>
      </c>
      <c r="AK427" s="34">
        <f>IF(G427="","",IF(SUMIFS(Timesheets!$U$5:$U$804,Timesheets!$G$5:$G$804,A427)&gt;0,SUMIFS(Timesheets!$U$5:$U$804,Timesheets!$G$5:$G$804,A427),IF(Z427="","",Z427)))</f>
        <v>0</v>
      </c>
      <c r="AL427" s="34">
        <f>IF(OR(AK427="",AD427=""),"",AK427-AD427)</f>
        <v>0</v>
      </c>
      <c r="AM427" s="31">
        <f>IF(A427="","",COUNTIFS('Job Tasks'!$B$5:$B$904,A427))</f>
        <v>0</v>
      </c>
      <c r="AN427" s="31">
        <f>IF(A427="","",COUNTIFS('Job Tasks'!$B$5:$B$904,A427,'Job Tasks'!$H$5:$H$904,"Done"))</f>
        <v>0</v>
      </c>
      <c r="AO427" s="38">
        <f>IF(OR(A427="",AM427=0),"",AN427/AM427)</f>
        <v>0</v>
      </c>
      <c r="AP427" s="43">
        <f>IF(A427="","",IFERROR(INDEX('Invoice Lines'!$B$5:$B$804,MATCH(A427,'Invoice Lines'!$C$5:$C$804,0)),""))</f>
        <v>0</v>
      </c>
      <c r="AQ427" s="18">
        <f>IF(OR(G427="",B427="",X427&lt;&gt;"Yes"),"",IF(IFERROR(INDEX(FreqDays,MATCH(O427,FreqNames,0)),0)=0,"",B427+IFERROR(INDEX(FreqDays,MATCH(O427,FreqNames,0)),0)))</f>
        <v>0</v>
      </c>
      <c r="AR427" s="39">
        <f>IF(G427="","",IF(R427="","Unassigned",IF(COUNTIFS($R$5:$R$604,R427,$B$5:$B$604,B427,$F$5:$F$604,F427)&gt;1,"Clash",IF(SUMIFS($AF$5:$AF$604,$R$5:$R$604,R427,$B$5:$B$604,B427)&gt;ProductiveHours,"Long day","OK"))))</f>
        <v>0</v>
      </c>
      <c r="AS427" s="18">
        <f>IF(OR(G427="",B427=""),"",IF(AND(B427&gt;=TodayDate,P427&lt;&gt;"Cancelled"),B427,""))</f>
        <v>0</v>
      </c>
      <c r="AT427" s="31">
        <f>IF(AS427="","",COUNTIFS($AS$5:$AS$604,"&lt;"&amp;AS427)+COUNTIFS($AS$5:AS427,AS427))</f>
        <v>0</v>
      </c>
      <c r="AU427" s="18">
        <f>IF(OR(G427="",B427="",R427&lt;&gt;""),"",IF(AND(B427&gt;=TodayDate,P427&lt;&gt;"Cancelled"),B427,""))</f>
        <v>0</v>
      </c>
      <c r="AV427" s="31">
        <f>IF(AU427="","",COUNTIFS($AU$5:$AU$604,"&lt;"&amp;AU427)+COUNTIFS($AU$5:AU427,AU427))</f>
        <v>0</v>
      </c>
      <c r="AW427" s="31">
        <f>IF(OR(G427="",B427=""),"",B427-TodayDate)</f>
        <v>0</v>
      </c>
      <c r="AX427" s="39">
        <f>IF(G427="","",IF(P427="Cancelled","Cancelled",IF(P427="No access","Action - no access, rebook",IF(AND(B427&lt;&gt;"",AW427&lt;0,OR(P427="Booked",P427="Confirmed",P427="In progress")),"Late - mark it completed",IF(AND(P427="Completed",AP427=""),"Action - not invoiced yet",IF(AND(AW427&gt;=0,AW427&lt;=ReminderDays,Y427&lt;&gt;"Yes"),"Confirm - visit coming up",IF(R427="","Assign - no cleaner booked",IF(AND(P427="Completed",AO427&lt;&gt;"",AO427&lt;1),"Check - checklist unfinished","OK"))))))))</f>
        <v>0</v>
      </c>
    </row>
    <row r="428" spans="1:50">
      <c r="A428" s="43">
        <f>IF(G428="","",JobPrefix&amp;TEXT(ROW()-4,"0000"))</f>
        <v>0</v>
      </c>
      <c r="C428" s="23">
        <f>IF(B428="","",TEXT(B428,"ddd"))</f>
        <v>0</v>
      </c>
      <c r="D428" s="31">
        <f>IF(B428="","",WEEKNUM(B428,IF(WeekStart="Sunday",1,2)))</f>
        <v>0</v>
      </c>
      <c r="E428" s="23">
        <f>IF(B428="","",TEXT(B428,"yyyy-mm"))</f>
        <v>0</v>
      </c>
      <c r="H428" s="23">
        <f>IF(G428="","",IFERROR(INDEX(Clients!$B$5:$B$204,MATCH(G428,Clients!$A$5:$A$204,0)),"Not found"))</f>
        <v>0</v>
      </c>
      <c r="I428" s="23">
        <f>IF(G428="","",IFERROR(INDEX(Clients!$C$5:$C$204,MATCH(G428,Clients!$A$5:$A$204,0)),""))</f>
        <v>0</v>
      </c>
      <c r="K428" s="23">
        <f>IF(J428="","",IFERROR(INDEX(Properties!$B$5:$B$254,MATCH(J428,Properties!$A$5:$A$254,0)),""))</f>
        <v>0</v>
      </c>
      <c r="L428" s="23">
        <f>IF(J428="","",IFERROR(INDEX(Properties!$F$5:$F$254,MATCH(J428,Properties!$A$5:$A$254,0)),""))</f>
        <v>0</v>
      </c>
      <c r="AD428" s="34">
        <f>IF(G428="","",IF(U428&lt;&gt;"",U428,IF(AND(IFERROR(INDEX(Services!$D$5:$D$64,MATCH(M428,Services!$B$5:$B$64,0)),"")="Per hour",IFERROR(INDEX(Properties!$X$5:$X$254,MATCH(J428,Properties!$A$5:$A$254,0)),0)&gt;0),IFERROR(INDEX(Properties!$X$5:$X$254,MATCH(J428,Properties!$A$5:$A$254,0)),0),IF(IFERROR(INDEX(Services!$G$5:$G$64,MATCH(M428,Services!$B$5:$B$64,0)),0)&gt;0,IFERROR(INDEX(Services!$G$5:$G$64,MATCH(M428,Services!$B$5:$B$64,0)),0),IFERROR(INDEX(Properties!$X$5:$X$254,MATCH(J428,Properties!$A$5:$A$254,0)),0)))))</f>
        <v>0</v>
      </c>
      <c r="AE428" s="31">
        <f>IF(G428="","",IF(T428="",CleanersPerJob,MAX(1,T428)))</f>
        <v>0</v>
      </c>
      <c r="AF428" s="34">
        <f>IF(G428="","",ROUND(AD428/AE428,2))</f>
        <v>0</v>
      </c>
      <c r="AG428" s="53">
        <f>IF(OR(G428="",F428="",AF428=""),"",F428+AF428/24)</f>
        <v>0</v>
      </c>
      <c r="AH428" s="21">
        <f>IF(G428="","",IF(IFERROR(INDEX(Clients!$O$5:$O$204,MATCH(G428,Clients!$A$5:$A$204,0)),0)&gt;0,IFERROR(INDEX(Clients!$O$5:$O$204,MATCH(G428,Clients!$A$5:$A$204,0)),0),HourlyRate))</f>
        <v>0</v>
      </c>
      <c r="AI428" s="21">
        <f>IF(G428="","",IF(AND(M428&lt;&gt;"",IFERROR(INDEX(Services!$P$5:$P$64,MATCH(M428,Services!$B$5:$B$64,0)),0)&gt;0,IFERROR(INDEX(Services!$D$5:$D$64,MATCH(M428,Services!$B$5:$B$64,0)),"")&lt;&gt;"Per hour"),IFERROR(INDEX(Services!$P$5:$P$64,MATCH(M428,Services!$B$5:$B$64,0)),0),AD428*AH428))</f>
        <v>0</v>
      </c>
      <c r="AJ428" s="21">
        <f>IF(G428="","",IF(V428&lt;&gt;"",V428,IF(P428="Cancelled",0,MAX(MinimumCharge,ROUND(AI428*IFERROR(INDEX(FreqFactors,MATCH(O428,FreqNames,0)),1),2)))))</f>
        <v>0</v>
      </c>
      <c r="AK428" s="34">
        <f>IF(G428="","",IF(SUMIFS(Timesheets!$U$5:$U$804,Timesheets!$G$5:$G$804,A428)&gt;0,SUMIFS(Timesheets!$U$5:$U$804,Timesheets!$G$5:$G$804,A428),IF(Z428="","",Z428)))</f>
        <v>0</v>
      </c>
      <c r="AL428" s="34">
        <f>IF(OR(AK428="",AD428=""),"",AK428-AD428)</f>
        <v>0</v>
      </c>
      <c r="AM428" s="31">
        <f>IF(A428="","",COUNTIFS('Job Tasks'!$B$5:$B$904,A428))</f>
        <v>0</v>
      </c>
      <c r="AN428" s="31">
        <f>IF(A428="","",COUNTIFS('Job Tasks'!$B$5:$B$904,A428,'Job Tasks'!$H$5:$H$904,"Done"))</f>
        <v>0</v>
      </c>
      <c r="AO428" s="38">
        <f>IF(OR(A428="",AM428=0),"",AN428/AM428)</f>
        <v>0</v>
      </c>
      <c r="AP428" s="43">
        <f>IF(A428="","",IFERROR(INDEX('Invoice Lines'!$B$5:$B$804,MATCH(A428,'Invoice Lines'!$C$5:$C$804,0)),""))</f>
        <v>0</v>
      </c>
      <c r="AQ428" s="18">
        <f>IF(OR(G428="",B428="",X428&lt;&gt;"Yes"),"",IF(IFERROR(INDEX(FreqDays,MATCH(O428,FreqNames,0)),0)=0,"",B428+IFERROR(INDEX(FreqDays,MATCH(O428,FreqNames,0)),0)))</f>
        <v>0</v>
      </c>
      <c r="AR428" s="39">
        <f>IF(G428="","",IF(R428="","Unassigned",IF(COUNTIFS($R$5:$R$604,R428,$B$5:$B$604,B428,$F$5:$F$604,F428)&gt;1,"Clash",IF(SUMIFS($AF$5:$AF$604,$R$5:$R$604,R428,$B$5:$B$604,B428)&gt;ProductiveHours,"Long day","OK"))))</f>
        <v>0</v>
      </c>
      <c r="AS428" s="18">
        <f>IF(OR(G428="",B428=""),"",IF(AND(B428&gt;=TodayDate,P428&lt;&gt;"Cancelled"),B428,""))</f>
        <v>0</v>
      </c>
      <c r="AT428" s="31">
        <f>IF(AS428="","",COUNTIFS($AS$5:$AS$604,"&lt;"&amp;AS428)+COUNTIFS($AS$5:AS428,AS428))</f>
        <v>0</v>
      </c>
      <c r="AU428" s="18">
        <f>IF(OR(G428="",B428="",R428&lt;&gt;""),"",IF(AND(B428&gt;=TodayDate,P428&lt;&gt;"Cancelled"),B428,""))</f>
        <v>0</v>
      </c>
      <c r="AV428" s="31">
        <f>IF(AU428="","",COUNTIFS($AU$5:$AU$604,"&lt;"&amp;AU428)+COUNTIFS($AU$5:AU428,AU428))</f>
        <v>0</v>
      </c>
      <c r="AW428" s="31">
        <f>IF(OR(G428="",B428=""),"",B428-TodayDate)</f>
        <v>0</v>
      </c>
      <c r="AX428" s="39">
        <f>IF(G428="","",IF(P428="Cancelled","Cancelled",IF(P428="No access","Action - no access, rebook",IF(AND(B428&lt;&gt;"",AW428&lt;0,OR(P428="Booked",P428="Confirmed",P428="In progress")),"Late - mark it completed",IF(AND(P428="Completed",AP428=""),"Action - not invoiced yet",IF(AND(AW428&gt;=0,AW428&lt;=ReminderDays,Y428&lt;&gt;"Yes"),"Confirm - visit coming up",IF(R428="","Assign - no cleaner booked",IF(AND(P428="Completed",AO428&lt;&gt;"",AO428&lt;1),"Check - checklist unfinished","OK"))))))))</f>
        <v>0</v>
      </c>
    </row>
    <row r="429" spans="1:50">
      <c r="A429" s="43">
        <f>IF(G429="","",JobPrefix&amp;TEXT(ROW()-4,"0000"))</f>
        <v>0</v>
      </c>
      <c r="C429" s="23">
        <f>IF(B429="","",TEXT(B429,"ddd"))</f>
        <v>0</v>
      </c>
      <c r="D429" s="31">
        <f>IF(B429="","",WEEKNUM(B429,IF(WeekStart="Sunday",1,2)))</f>
        <v>0</v>
      </c>
      <c r="E429" s="23">
        <f>IF(B429="","",TEXT(B429,"yyyy-mm"))</f>
        <v>0</v>
      </c>
      <c r="H429" s="23">
        <f>IF(G429="","",IFERROR(INDEX(Clients!$B$5:$B$204,MATCH(G429,Clients!$A$5:$A$204,0)),"Not found"))</f>
        <v>0</v>
      </c>
      <c r="I429" s="23">
        <f>IF(G429="","",IFERROR(INDEX(Clients!$C$5:$C$204,MATCH(G429,Clients!$A$5:$A$204,0)),""))</f>
        <v>0</v>
      </c>
      <c r="K429" s="23">
        <f>IF(J429="","",IFERROR(INDEX(Properties!$B$5:$B$254,MATCH(J429,Properties!$A$5:$A$254,0)),""))</f>
        <v>0</v>
      </c>
      <c r="L429" s="23">
        <f>IF(J429="","",IFERROR(INDEX(Properties!$F$5:$F$254,MATCH(J429,Properties!$A$5:$A$254,0)),""))</f>
        <v>0</v>
      </c>
      <c r="AD429" s="34">
        <f>IF(G429="","",IF(U429&lt;&gt;"",U429,IF(AND(IFERROR(INDEX(Services!$D$5:$D$64,MATCH(M429,Services!$B$5:$B$64,0)),"")="Per hour",IFERROR(INDEX(Properties!$X$5:$X$254,MATCH(J429,Properties!$A$5:$A$254,0)),0)&gt;0),IFERROR(INDEX(Properties!$X$5:$X$254,MATCH(J429,Properties!$A$5:$A$254,0)),0),IF(IFERROR(INDEX(Services!$G$5:$G$64,MATCH(M429,Services!$B$5:$B$64,0)),0)&gt;0,IFERROR(INDEX(Services!$G$5:$G$64,MATCH(M429,Services!$B$5:$B$64,0)),0),IFERROR(INDEX(Properties!$X$5:$X$254,MATCH(J429,Properties!$A$5:$A$254,0)),0)))))</f>
        <v>0</v>
      </c>
      <c r="AE429" s="31">
        <f>IF(G429="","",IF(T429="",CleanersPerJob,MAX(1,T429)))</f>
        <v>0</v>
      </c>
      <c r="AF429" s="34">
        <f>IF(G429="","",ROUND(AD429/AE429,2))</f>
        <v>0</v>
      </c>
      <c r="AG429" s="53">
        <f>IF(OR(G429="",F429="",AF429=""),"",F429+AF429/24)</f>
        <v>0</v>
      </c>
      <c r="AH429" s="21">
        <f>IF(G429="","",IF(IFERROR(INDEX(Clients!$O$5:$O$204,MATCH(G429,Clients!$A$5:$A$204,0)),0)&gt;0,IFERROR(INDEX(Clients!$O$5:$O$204,MATCH(G429,Clients!$A$5:$A$204,0)),0),HourlyRate))</f>
        <v>0</v>
      </c>
      <c r="AI429" s="21">
        <f>IF(G429="","",IF(AND(M429&lt;&gt;"",IFERROR(INDEX(Services!$P$5:$P$64,MATCH(M429,Services!$B$5:$B$64,0)),0)&gt;0,IFERROR(INDEX(Services!$D$5:$D$64,MATCH(M429,Services!$B$5:$B$64,0)),"")&lt;&gt;"Per hour"),IFERROR(INDEX(Services!$P$5:$P$64,MATCH(M429,Services!$B$5:$B$64,0)),0),AD429*AH429))</f>
        <v>0</v>
      </c>
      <c r="AJ429" s="21">
        <f>IF(G429="","",IF(V429&lt;&gt;"",V429,IF(P429="Cancelled",0,MAX(MinimumCharge,ROUND(AI429*IFERROR(INDEX(FreqFactors,MATCH(O429,FreqNames,0)),1),2)))))</f>
        <v>0</v>
      </c>
      <c r="AK429" s="34">
        <f>IF(G429="","",IF(SUMIFS(Timesheets!$U$5:$U$804,Timesheets!$G$5:$G$804,A429)&gt;0,SUMIFS(Timesheets!$U$5:$U$804,Timesheets!$G$5:$G$804,A429),IF(Z429="","",Z429)))</f>
        <v>0</v>
      </c>
      <c r="AL429" s="34">
        <f>IF(OR(AK429="",AD429=""),"",AK429-AD429)</f>
        <v>0</v>
      </c>
      <c r="AM429" s="31">
        <f>IF(A429="","",COUNTIFS('Job Tasks'!$B$5:$B$904,A429))</f>
        <v>0</v>
      </c>
      <c r="AN429" s="31">
        <f>IF(A429="","",COUNTIFS('Job Tasks'!$B$5:$B$904,A429,'Job Tasks'!$H$5:$H$904,"Done"))</f>
        <v>0</v>
      </c>
      <c r="AO429" s="38">
        <f>IF(OR(A429="",AM429=0),"",AN429/AM429)</f>
        <v>0</v>
      </c>
      <c r="AP429" s="43">
        <f>IF(A429="","",IFERROR(INDEX('Invoice Lines'!$B$5:$B$804,MATCH(A429,'Invoice Lines'!$C$5:$C$804,0)),""))</f>
        <v>0</v>
      </c>
      <c r="AQ429" s="18">
        <f>IF(OR(G429="",B429="",X429&lt;&gt;"Yes"),"",IF(IFERROR(INDEX(FreqDays,MATCH(O429,FreqNames,0)),0)=0,"",B429+IFERROR(INDEX(FreqDays,MATCH(O429,FreqNames,0)),0)))</f>
        <v>0</v>
      </c>
      <c r="AR429" s="39">
        <f>IF(G429="","",IF(R429="","Unassigned",IF(COUNTIFS($R$5:$R$604,R429,$B$5:$B$604,B429,$F$5:$F$604,F429)&gt;1,"Clash",IF(SUMIFS($AF$5:$AF$604,$R$5:$R$604,R429,$B$5:$B$604,B429)&gt;ProductiveHours,"Long day","OK"))))</f>
        <v>0</v>
      </c>
      <c r="AS429" s="18">
        <f>IF(OR(G429="",B429=""),"",IF(AND(B429&gt;=TodayDate,P429&lt;&gt;"Cancelled"),B429,""))</f>
        <v>0</v>
      </c>
      <c r="AT429" s="31">
        <f>IF(AS429="","",COUNTIFS($AS$5:$AS$604,"&lt;"&amp;AS429)+COUNTIFS($AS$5:AS429,AS429))</f>
        <v>0</v>
      </c>
      <c r="AU429" s="18">
        <f>IF(OR(G429="",B429="",R429&lt;&gt;""),"",IF(AND(B429&gt;=TodayDate,P429&lt;&gt;"Cancelled"),B429,""))</f>
        <v>0</v>
      </c>
      <c r="AV429" s="31">
        <f>IF(AU429="","",COUNTIFS($AU$5:$AU$604,"&lt;"&amp;AU429)+COUNTIFS($AU$5:AU429,AU429))</f>
        <v>0</v>
      </c>
      <c r="AW429" s="31">
        <f>IF(OR(G429="",B429=""),"",B429-TodayDate)</f>
        <v>0</v>
      </c>
      <c r="AX429" s="39">
        <f>IF(G429="","",IF(P429="Cancelled","Cancelled",IF(P429="No access","Action - no access, rebook",IF(AND(B429&lt;&gt;"",AW429&lt;0,OR(P429="Booked",P429="Confirmed",P429="In progress")),"Late - mark it completed",IF(AND(P429="Completed",AP429=""),"Action - not invoiced yet",IF(AND(AW429&gt;=0,AW429&lt;=ReminderDays,Y429&lt;&gt;"Yes"),"Confirm - visit coming up",IF(R429="","Assign - no cleaner booked",IF(AND(P429="Completed",AO429&lt;&gt;"",AO429&lt;1),"Check - checklist unfinished","OK"))))))))</f>
        <v>0</v>
      </c>
    </row>
    <row r="430" spans="1:50">
      <c r="A430" s="43">
        <f>IF(G430="","",JobPrefix&amp;TEXT(ROW()-4,"0000"))</f>
        <v>0</v>
      </c>
      <c r="C430" s="23">
        <f>IF(B430="","",TEXT(B430,"ddd"))</f>
        <v>0</v>
      </c>
      <c r="D430" s="31">
        <f>IF(B430="","",WEEKNUM(B430,IF(WeekStart="Sunday",1,2)))</f>
        <v>0</v>
      </c>
      <c r="E430" s="23">
        <f>IF(B430="","",TEXT(B430,"yyyy-mm"))</f>
        <v>0</v>
      </c>
      <c r="H430" s="23">
        <f>IF(G430="","",IFERROR(INDEX(Clients!$B$5:$B$204,MATCH(G430,Clients!$A$5:$A$204,0)),"Not found"))</f>
        <v>0</v>
      </c>
      <c r="I430" s="23">
        <f>IF(G430="","",IFERROR(INDEX(Clients!$C$5:$C$204,MATCH(G430,Clients!$A$5:$A$204,0)),""))</f>
        <v>0</v>
      </c>
      <c r="K430" s="23">
        <f>IF(J430="","",IFERROR(INDEX(Properties!$B$5:$B$254,MATCH(J430,Properties!$A$5:$A$254,0)),""))</f>
        <v>0</v>
      </c>
      <c r="L430" s="23">
        <f>IF(J430="","",IFERROR(INDEX(Properties!$F$5:$F$254,MATCH(J430,Properties!$A$5:$A$254,0)),""))</f>
        <v>0</v>
      </c>
      <c r="AD430" s="34">
        <f>IF(G430="","",IF(U430&lt;&gt;"",U430,IF(AND(IFERROR(INDEX(Services!$D$5:$D$64,MATCH(M430,Services!$B$5:$B$64,0)),"")="Per hour",IFERROR(INDEX(Properties!$X$5:$X$254,MATCH(J430,Properties!$A$5:$A$254,0)),0)&gt;0),IFERROR(INDEX(Properties!$X$5:$X$254,MATCH(J430,Properties!$A$5:$A$254,0)),0),IF(IFERROR(INDEX(Services!$G$5:$G$64,MATCH(M430,Services!$B$5:$B$64,0)),0)&gt;0,IFERROR(INDEX(Services!$G$5:$G$64,MATCH(M430,Services!$B$5:$B$64,0)),0),IFERROR(INDEX(Properties!$X$5:$X$254,MATCH(J430,Properties!$A$5:$A$254,0)),0)))))</f>
        <v>0</v>
      </c>
      <c r="AE430" s="31">
        <f>IF(G430="","",IF(T430="",CleanersPerJob,MAX(1,T430)))</f>
        <v>0</v>
      </c>
      <c r="AF430" s="34">
        <f>IF(G430="","",ROUND(AD430/AE430,2))</f>
        <v>0</v>
      </c>
      <c r="AG430" s="53">
        <f>IF(OR(G430="",F430="",AF430=""),"",F430+AF430/24)</f>
        <v>0</v>
      </c>
      <c r="AH430" s="21">
        <f>IF(G430="","",IF(IFERROR(INDEX(Clients!$O$5:$O$204,MATCH(G430,Clients!$A$5:$A$204,0)),0)&gt;0,IFERROR(INDEX(Clients!$O$5:$O$204,MATCH(G430,Clients!$A$5:$A$204,0)),0),HourlyRate))</f>
        <v>0</v>
      </c>
      <c r="AI430" s="21">
        <f>IF(G430="","",IF(AND(M430&lt;&gt;"",IFERROR(INDEX(Services!$P$5:$P$64,MATCH(M430,Services!$B$5:$B$64,0)),0)&gt;0,IFERROR(INDEX(Services!$D$5:$D$64,MATCH(M430,Services!$B$5:$B$64,0)),"")&lt;&gt;"Per hour"),IFERROR(INDEX(Services!$P$5:$P$64,MATCH(M430,Services!$B$5:$B$64,0)),0),AD430*AH430))</f>
        <v>0</v>
      </c>
      <c r="AJ430" s="21">
        <f>IF(G430="","",IF(V430&lt;&gt;"",V430,IF(P430="Cancelled",0,MAX(MinimumCharge,ROUND(AI430*IFERROR(INDEX(FreqFactors,MATCH(O430,FreqNames,0)),1),2)))))</f>
        <v>0</v>
      </c>
      <c r="AK430" s="34">
        <f>IF(G430="","",IF(SUMIFS(Timesheets!$U$5:$U$804,Timesheets!$G$5:$G$804,A430)&gt;0,SUMIFS(Timesheets!$U$5:$U$804,Timesheets!$G$5:$G$804,A430),IF(Z430="","",Z430)))</f>
        <v>0</v>
      </c>
      <c r="AL430" s="34">
        <f>IF(OR(AK430="",AD430=""),"",AK430-AD430)</f>
        <v>0</v>
      </c>
      <c r="AM430" s="31">
        <f>IF(A430="","",COUNTIFS('Job Tasks'!$B$5:$B$904,A430))</f>
        <v>0</v>
      </c>
      <c r="AN430" s="31">
        <f>IF(A430="","",COUNTIFS('Job Tasks'!$B$5:$B$904,A430,'Job Tasks'!$H$5:$H$904,"Done"))</f>
        <v>0</v>
      </c>
      <c r="AO430" s="38">
        <f>IF(OR(A430="",AM430=0),"",AN430/AM430)</f>
        <v>0</v>
      </c>
      <c r="AP430" s="43">
        <f>IF(A430="","",IFERROR(INDEX('Invoice Lines'!$B$5:$B$804,MATCH(A430,'Invoice Lines'!$C$5:$C$804,0)),""))</f>
        <v>0</v>
      </c>
      <c r="AQ430" s="18">
        <f>IF(OR(G430="",B430="",X430&lt;&gt;"Yes"),"",IF(IFERROR(INDEX(FreqDays,MATCH(O430,FreqNames,0)),0)=0,"",B430+IFERROR(INDEX(FreqDays,MATCH(O430,FreqNames,0)),0)))</f>
        <v>0</v>
      </c>
      <c r="AR430" s="39">
        <f>IF(G430="","",IF(R430="","Unassigned",IF(COUNTIFS($R$5:$R$604,R430,$B$5:$B$604,B430,$F$5:$F$604,F430)&gt;1,"Clash",IF(SUMIFS($AF$5:$AF$604,$R$5:$R$604,R430,$B$5:$B$604,B430)&gt;ProductiveHours,"Long day","OK"))))</f>
        <v>0</v>
      </c>
      <c r="AS430" s="18">
        <f>IF(OR(G430="",B430=""),"",IF(AND(B430&gt;=TodayDate,P430&lt;&gt;"Cancelled"),B430,""))</f>
        <v>0</v>
      </c>
      <c r="AT430" s="31">
        <f>IF(AS430="","",COUNTIFS($AS$5:$AS$604,"&lt;"&amp;AS430)+COUNTIFS($AS$5:AS430,AS430))</f>
        <v>0</v>
      </c>
      <c r="AU430" s="18">
        <f>IF(OR(G430="",B430="",R430&lt;&gt;""),"",IF(AND(B430&gt;=TodayDate,P430&lt;&gt;"Cancelled"),B430,""))</f>
        <v>0</v>
      </c>
      <c r="AV430" s="31">
        <f>IF(AU430="","",COUNTIFS($AU$5:$AU$604,"&lt;"&amp;AU430)+COUNTIFS($AU$5:AU430,AU430))</f>
        <v>0</v>
      </c>
      <c r="AW430" s="31">
        <f>IF(OR(G430="",B430=""),"",B430-TodayDate)</f>
        <v>0</v>
      </c>
      <c r="AX430" s="39">
        <f>IF(G430="","",IF(P430="Cancelled","Cancelled",IF(P430="No access","Action - no access, rebook",IF(AND(B430&lt;&gt;"",AW430&lt;0,OR(P430="Booked",P430="Confirmed",P430="In progress")),"Late - mark it completed",IF(AND(P430="Completed",AP430=""),"Action - not invoiced yet",IF(AND(AW430&gt;=0,AW430&lt;=ReminderDays,Y430&lt;&gt;"Yes"),"Confirm - visit coming up",IF(R430="","Assign - no cleaner booked",IF(AND(P430="Completed",AO430&lt;&gt;"",AO430&lt;1),"Check - checklist unfinished","OK"))))))))</f>
        <v>0</v>
      </c>
    </row>
    <row r="431" spans="1:50">
      <c r="A431" s="43">
        <f>IF(G431="","",JobPrefix&amp;TEXT(ROW()-4,"0000"))</f>
        <v>0</v>
      </c>
      <c r="C431" s="23">
        <f>IF(B431="","",TEXT(B431,"ddd"))</f>
        <v>0</v>
      </c>
      <c r="D431" s="31">
        <f>IF(B431="","",WEEKNUM(B431,IF(WeekStart="Sunday",1,2)))</f>
        <v>0</v>
      </c>
      <c r="E431" s="23">
        <f>IF(B431="","",TEXT(B431,"yyyy-mm"))</f>
        <v>0</v>
      </c>
      <c r="H431" s="23">
        <f>IF(G431="","",IFERROR(INDEX(Clients!$B$5:$B$204,MATCH(G431,Clients!$A$5:$A$204,0)),"Not found"))</f>
        <v>0</v>
      </c>
      <c r="I431" s="23">
        <f>IF(G431="","",IFERROR(INDEX(Clients!$C$5:$C$204,MATCH(G431,Clients!$A$5:$A$204,0)),""))</f>
        <v>0</v>
      </c>
      <c r="K431" s="23">
        <f>IF(J431="","",IFERROR(INDEX(Properties!$B$5:$B$254,MATCH(J431,Properties!$A$5:$A$254,0)),""))</f>
        <v>0</v>
      </c>
      <c r="L431" s="23">
        <f>IF(J431="","",IFERROR(INDEX(Properties!$F$5:$F$254,MATCH(J431,Properties!$A$5:$A$254,0)),""))</f>
        <v>0</v>
      </c>
      <c r="AD431" s="34">
        <f>IF(G431="","",IF(U431&lt;&gt;"",U431,IF(AND(IFERROR(INDEX(Services!$D$5:$D$64,MATCH(M431,Services!$B$5:$B$64,0)),"")="Per hour",IFERROR(INDEX(Properties!$X$5:$X$254,MATCH(J431,Properties!$A$5:$A$254,0)),0)&gt;0),IFERROR(INDEX(Properties!$X$5:$X$254,MATCH(J431,Properties!$A$5:$A$254,0)),0),IF(IFERROR(INDEX(Services!$G$5:$G$64,MATCH(M431,Services!$B$5:$B$64,0)),0)&gt;0,IFERROR(INDEX(Services!$G$5:$G$64,MATCH(M431,Services!$B$5:$B$64,0)),0),IFERROR(INDEX(Properties!$X$5:$X$254,MATCH(J431,Properties!$A$5:$A$254,0)),0)))))</f>
        <v>0</v>
      </c>
      <c r="AE431" s="31">
        <f>IF(G431="","",IF(T431="",CleanersPerJob,MAX(1,T431)))</f>
        <v>0</v>
      </c>
      <c r="AF431" s="34">
        <f>IF(G431="","",ROUND(AD431/AE431,2))</f>
        <v>0</v>
      </c>
      <c r="AG431" s="53">
        <f>IF(OR(G431="",F431="",AF431=""),"",F431+AF431/24)</f>
        <v>0</v>
      </c>
      <c r="AH431" s="21">
        <f>IF(G431="","",IF(IFERROR(INDEX(Clients!$O$5:$O$204,MATCH(G431,Clients!$A$5:$A$204,0)),0)&gt;0,IFERROR(INDEX(Clients!$O$5:$O$204,MATCH(G431,Clients!$A$5:$A$204,0)),0),HourlyRate))</f>
        <v>0</v>
      </c>
      <c r="AI431" s="21">
        <f>IF(G431="","",IF(AND(M431&lt;&gt;"",IFERROR(INDEX(Services!$P$5:$P$64,MATCH(M431,Services!$B$5:$B$64,0)),0)&gt;0,IFERROR(INDEX(Services!$D$5:$D$64,MATCH(M431,Services!$B$5:$B$64,0)),"")&lt;&gt;"Per hour"),IFERROR(INDEX(Services!$P$5:$P$64,MATCH(M431,Services!$B$5:$B$64,0)),0),AD431*AH431))</f>
        <v>0</v>
      </c>
      <c r="AJ431" s="21">
        <f>IF(G431="","",IF(V431&lt;&gt;"",V431,IF(P431="Cancelled",0,MAX(MinimumCharge,ROUND(AI431*IFERROR(INDEX(FreqFactors,MATCH(O431,FreqNames,0)),1),2)))))</f>
        <v>0</v>
      </c>
      <c r="AK431" s="34">
        <f>IF(G431="","",IF(SUMIFS(Timesheets!$U$5:$U$804,Timesheets!$G$5:$G$804,A431)&gt;0,SUMIFS(Timesheets!$U$5:$U$804,Timesheets!$G$5:$G$804,A431),IF(Z431="","",Z431)))</f>
        <v>0</v>
      </c>
      <c r="AL431" s="34">
        <f>IF(OR(AK431="",AD431=""),"",AK431-AD431)</f>
        <v>0</v>
      </c>
      <c r="AM431" s="31">
        <f>IF(A431="","",COUNTIFS('Job Tasks'!$B$5:$B$904,A431))</f>
        <v>0</v>
      </c>
      <c r="AN431" s="31">
        <f>IF(A431="","",COUNTIFS('Job Tasks'!$B$5:$B$904,A431,'Job Tasks'!$H$5:$H$904,"Done"))</f>
        <v>0</v>
      </c>
      <c r="AO431" s="38">
        <f>IF(OR(A431="",AM431=0),"",AN431/AM431)</f>
        <v>0</v>
      </c>
      <c r="AP431" s="43">
        <f>IF(A431="","",IFERROR(INDEX('Invoice Lines'!$B$5:$B$804,MATCH(A431,'Invoice Lines'!$C$5:$C$804,0)),""))</f>
        <v>0</v>
      </c>
      <c r="AQ431" s="18">
        <f>IF(OR(G431="",B431="",X431&lt;&gt;"Yes"),"",IF(IFERROR(INDEX(FreqDays,MATCH(O431,FreqNames,0)),0)=0,"",B431+IFERROR(INDEX(FreqDays,MATCH(O431,FreqNames,0)),0)))</f>
        <v>0</v>
      </c>
      <c r="AR431" s="39">
        <f>IF(G431="","",IF(R431="","Unassigned",IF(COUNTIFS($R$5:$R$604,R431,$B$5:$B$604,B431,$F$5:$F$604,F431)&gt;1,"Clash",IF(SUMIFS($AF$5:$AF$604,$R$5:$R$604,R431,$B$5:$B$604,B431)&gt;ProductiveHours,"Long day","OK"))))</f>
        <v>0</v>
      </c>
      <c r="AS431" s="18">
        <f>IF(OR(G431="",B431=""),"",IF(AND(B431&gt;=TodayDate,P431&lt;&gt;"Cancelled"),B431,""))</f>
        <v>0</v>
      </c>
      <c r="AT431" s="31">
        <f>IF(AS431="","",COUNTIFS($AS$5:$AS$604,"&lt;"&amp;AS431)+COUNTIFS($AS$5:AS431,AS431))</f>
        <v>0</v>
      </c>
      <c r="AU431" s="18">
        <f>IF(OR(G431="",B431="",R431&lt;&gt;""),"",IF(AND(B431&gt;=TodayDate,P431&lt;&gt;"Cancelled"),B431,""))</f>
        <v>0</v>
      </c>
      <c r="AV431" s="31">
        <f>IF(AU431="","",COUNTIFS($AU$5:$AU$604,"&lt;"&amp;AU431)+COUNTIFS($AU$5:AU431,AU431))</f>
        <v>0</v>
      </c>
      <c r="AW431" s="31">
        <f>IF(OR(G431="",B431=""),"",B431-TodayDate)</f>
        <v>0</v>
      </c>
      <c r="AX431" s="39">
        <f>IF(G431="","",IF(P431="Cancelled","Cancelled",IF(P431="No access","Action - no access, rebook",IF(AND(B431&lt;&gt;"",AW431&lt;0,OR(P431="Booked",P431="Confirmed",P431="In progress")),"Late - mark it completed",IF(AND(P431="Completed",AP431=""),"Action - not invoiced yet",IF(AND(AW431&gt;=0,AW431&lt;=ReminderDays,Y431&lt;&gt;"Yes"),"Confirm - visit coming up",IF(R431="","Assign - no cleaner booked",IF(AND(P431="Completed",AO431&lt;&gt;"",AO431&lt;1),"Check - checklist unfinished","OK"))))))))</f>
        <v>0</v>
      </c>
    </row>
    <row r="432" spans="1:50">
      <c r="A432" s="43">
        <f>IF(G432="","",JobPrefix&amp;TEXT(ROW()-4,"0000"))</f>
        <v>0</v>
      </c>
      <c r="C432" s="23">
        <f>IF(B432="","",TEXT(B432,"ddd"))</f>
        <v>0</v>
      </c>
      <c r="D432" s="31">
        <f>IF(B432="","",WEEKNUM(B432,IF(WeekStart="Sunday",1,2)))</f>
        <v>0</v>
      </c>
      <c r="E432" s="23">
        <f>IF(B432="","",TEXT(B432,"yyyy-mm"))</f>
        <v>0</v>
      </c>
      <c r="H432" s="23">
        <f>IF(G432="","",IFERROR(INDEX(Clients!$B$5:$B$204,MATCH(G432,Clients!$A$5:$A$204,0)),"Not found"))</f>
        <v>0</v>
      </c>
      <c r="I432" s="23">
        <f>IF(G432="","",IFERROR(INDEX(Clients!$C$5:$C$204,MATCH(G432,Clients!$A$5:$A$204,0)),""))</f>
        <v>0</v>
      </c>
      <c r="K432" s="23">
        <f>IF(J432="","",IFERROR(INDEX(Properties!$B$5:$B$254,MATCH(J432,Properties!$A$5:$A$254,0)),""))</f>
        <v>0</v>
      </c>
      <c r="L432" s="23">
        <f>IF(J432="","",IFERROR(INDEX(Properties!$F$5:$F$254,MATCH(J432,Properties!$A$5:$A$254,0)),""))</f>
        <v>0</v>
      </c>
      <c r="AD432" s="34">
        <f>IF(G432="","",IF(U432&lt;&gt;"",U432,IF(AND(IFERROR(INDEX(Services!$D$5:$D$64,MATCH(M432,Services!$B$5:$B$64,0)),"")="Per hour",IFERROR(INDEX(Properties!$X$5:$X$254,MATCH(J432,Properties!$A$5:$A$254,0)),0)&gt;0),IFERROR(INDEX(Properties!$X$5:$X$254,MATCH(J432,Properties!$A$5:$A$254,0)),0),IF(IFERROR(INDEX(Services!$G$5:$G$64,MATCH(M432,Services!$B$5:$B$64,0)),0)&gt;0,IFERROR(INDEX(Services!$G$5:$G$64,MATCH(M432,Services!$B$5:$B$64,0)),0),IFERROR(INDEX(Properties!$X$5:$X$254,MATCH(J432,Properties!$A$5:$A$254,0)),0)))))</f>
        <v>0</v>
      </c>
      <c r="AE432" s="31">
        <f>IF(G432="","",IF(T432="",CleanersPerJob,MAX(1,T432)))</f>
        <v>0</v>
      </c>
      <c r="AF432" s="34">
        <f>IF(G432="","",ROUND(AD432/AE432,2))</f>
        <v>0</v>
      </c>
      <c r="AG432" s="53">
        <f>IF(OR(G432="",F432="",AF432=""),"",F432+AF432/24)</f>
        <v>0</v>
      </c>
      <c r="AH432" s="21">
        <f>IF(G432="","",IF(IFERROR(INDEX(Clients!$O$5:$O$204,MATCH(G432,Clients!$A$5:$A$204,0)),0)&gt;0,IFERROR(INDEX(Clients!$O$5:$O$204,MATCH(G432,Clients!$A$5:$A$204,0)),0),HourlyRate))</f>
        <v>0</v>
      </c>
      <c r="AI432" s="21">
        <f>IF(G432="","",IF(AND(M432&lt;&gt;"",IFERROR(INDEX(Services!$P$5:$P$64,MATCH(M432,Services!$B$5:$B$64,0)),0)&gt;0,IFERROR(INDEX(Services!$D$5:$D$64,MATCH(M432,Services!$B$5:$B$64,0)),"")&lt;&gt;"Per hour"),IFERROR(INDEX(Services!$P$5:$P$64,MATCH(M432,Services!$B$5:$B$64,0)),0),AD432*AH432))</f>
        <v>0</v>
      </c>
      <c r="AJ432" s="21">
        <f>IF(G432="","",IF(V432&lt;&gt;"",V432,IF(P432="Cancelled",0,MAX(MinimumCharge,ROUND(AI432*IFERROR(INDEX(FreqFactors,MATCH(O432,FreqNames,0)),1),2)))))</f>
        <v>0</v>
      </c>
      <c r="AK432" s="34">
        <f>IF(G432="","",IF(SUMIFS(Timesheets!$U$5:$U$804,Timesheets!$G$5:$G$804,A432)&gt;0,SUMIFS(Timesheets!$U$5:$U$804,Timesheets!$G$5:$G$804,A432),IF(Z432="","",Z432)))</f>
        <v>0</v>
      </c>
      <c r="AL432" s="34">
        <f>IF(OR(AK432="",AD432=""),"",AK432-AD432)</f>
        <v>0</v>
      </c>
      <c r="AM432" s="31">
        <f>IF(A432="","",COUNTIFS('Job Tasks'!$B$5:$B$904,A432))</f>
        <v>0</v>
      </c>
      <c r="AN432" s="31">
        <f>IF(A432="","",COUNTIFS('Job Tasks'!$B$5:$B$904,A432,'Job Tasks'!$H$5:$H$904,"Done"))</f>
        <v>0</v>
      </c>
      <c r="AO432" s="38">
        <f>IF(OR(A432="",AM432=0),"",AN432/AM432)</f>
        <v>0</v>
      </c>
      <c r="AP432" s="43">
        <f>IF(A432="","",IFERROR(INDEX('Invoice Lines'!$B$5:$B$804,MATCH(A432,'Invoice Lines'!$C$5:$C$804,0)),""))</f>
        <v>0</v>
      </c>
      <c r="AQ432" s="18">
        <f>IF(OR(G432="",B432="",X432&lt;&gt;"Yes"),"",IF(IFERROR(INDEX(FreqDays,MATCH(O432,FreqNames,0)),0)=0,"",B432+IFERROR(INDEX(FreqDays,MATCH(O432,FreqNames,0)),0)))</f>
        <v>0</v>
      </c>
      <c r="AR432" s="39">
        <f>IF(G432="","",IF(R432="","Unassigned",IF(COUNTIFS($R$5:$R$604,R432,$B$5:$B$604,B432,$F$5:$F$604,F432)&gt;1,"Clash",IF(SUMIFS($AF$5:$AF$604,$R$5:$R$604,R432,$B$5:$B$604,B432)&gt;ProductiveHours,"Long day","OK"))))</f>
        <v>0</v>
      </c>
      <c r="AS432" s="18">
        <f>IF(OR(G432="",B432=""),"",IF(AND(B432&gt;=TodayDate,P432&lt;&gt;"Cancelled"),B432,""))</f>
        <v>0</v>
      </c>
      <c r="AT432" s="31">
        <f>IF(AS432="","",COUNTIFS($AS$5:$AS$604,"&lt;"&amp;AS432)+COUNTIFS($AS$5:AS432,AS432))</f>
        <v>0</v>
      </c>
      <c r="AU432" s="18">
        <f>IF(OR(G432="",B432="",R432&lt;&gt;""),"",IF(AND(B432&gt;=TodayDate,P432&lt;&gt;"Cancelled"),B432,""))</f>
        <v>0</v>
      </c>
      <c r="AV432" s="31">
        <f>IF(AU432="","",COUNTIFS($AU$5:$AU$604,"&lt;"&amp;AU432)+COUNTIFS($AU$5:AU432,AU432))</f>
        <v>0</v>
      </c>
      <c r="AW432" s="31">
        <f>IF(OR(G432="",B432=""),"",B432-TodayDate)</f>
        <v>0</v>
      </c>
      <c r="AX432" s="39">
        <f>IF(G432="","",IF(P432="Cancelled","Cancelled",IF(P432="No access","Action - no access, rebook",IF(AND(B432&lt;&gt;"",AW432&lt;0,OR(P432="Booked",P432="Confirmed",P432="In progress")),"Late - mark it completed",IF(AND(P432="Completed",AP432=""),"Action - not invoiced yet",IF(AND(AW432&gt;=0,AW432&lt;=ReminderDays,Y432&lt;&gt;"Yes"),"Confirm - visit coming up",IF(R432="","Assign - no cleaner booked",IF(AND(P432="Completed",AO432&lt;&gt;"",AO432&lt;1),"Check - checklist unfinished","OK"))))))))</f>
        <v>0</v>
      </c>
    </row>
    <row r="433" spans="1:50">
      <c r="A433" s="43">
        <f>IF(G433="","",JobPrefix&amp;TEXT(ROW()-4,"0000"))</f>
        <v>0</v>
      </c>
      <c r="C433" s="23">
        <f>IF(B433="","",TEXT(B433,"ddd"))</f>
        <v>0</v>
      </c>
      <c r="D433" s="31">
        <f>IF(B433="","",WEEKNUM(B433,IF(WeekStart="Sunday",1,2)))</f>
        <v>0</v>
      </c>
      <c r="E433" s="23">
        <f>IF(B433="","",TEXT(B433,"yyyy-mm"))</f>
        <v>0</v>
      </c>
      <c r="H433" s="23">
        <f>IF(G433="","",IFERROR(INDEX(Clients!$B$5:$B$204,MATCH(G433,Clients!$A$5:$A$204,0)),"Not found"))</f>
        <v>0</v>
      </c>
      <c r="I433" s="23">
        <f>IF(G433="","",IFERROR(INDEX(Clients!$C$5:$C$204,MATCH(G433,Clients!$A$5:$A$204,0)),""))</f>
        <v>0</v>
      </c>
      <c r="K433" s="23">
        <f>IF(J433="","",IFERROR(INDEX(Properties!$B$5:$B$254,MATCH(J433,Properties!$A$5:$A$254,0)),""))</f>
        <v>0</v>
      </c>
      <c r="L433" s="23">
        <f>IF(J433="","",IFERROR(INDEX(Properties!$F$5:$F$254,MATCH(J433,Properties!$A$5:$A$254,0)),""))</f>
        <v>0</v>
      </c>
      <c r="AD433" s="34">
        <f>IF(G433="","",IF(U433&lt;&gt;"",U433,IF(AND(IFERROR(INDEX(Services!$D$5:$D$64,MATCH(M433,Services!$B$5:$B$64,0)),"")="Per hour",IFERROR(INDEX(Properties!$X$5:$X$254,MATCH(J433,Properties!$A$5:$A$254,0)),0)&gt;0),IFERROR(INDEX(Properties!$X$5:$X$254,MATCH(J433,Properties!$A$5:$A$254,0)),0),IF(IFERROR(INDEX(Services!$G$5:$G$64,MATCH(M433,Services!$B$5:$B$64,0)),0)&gt;0,IFERROR(INDEX(Services!$G$5:$G$64,MATCH(M433,Services!$B$5:$B$64,0)),0),IFERROR(INDEX(Properties!$X$5:$X$254,MATCH(J433,Properties!$A$5:$A$254,0)),0)))))</f>
        <v>0</v>
      </c>
      <c r="AE433" s="31">
        <f>IF(G433="","",IF(T433="",CleanersPerJob,MAX(1,T433)))</f>
        <v>0</v>
      </c>
      <c r="AF433" s="34">
        <f>IF(G433="","",ROUND(AD433/AE433,2))</f>
        <v>0</v>
      </c>
      <c r="AG433" s="53">
        <f>IF(OR(G433="",F433="",AF433=""),"",F433+AF433/24)</f>
        <v>0</v>
      </c>
      <c r="AH433" s="21">
        <f>IF(G433="","",IF(IFERROR(INDEX(Clients!$O$5:$O$204,MATCH(G433,Clients!$A$5:$A$204,0)),0)&gt;0,IFERROR(INDEX(Clients!$O$5:$O$204,MATCH(G433,Clients!$A$5:$A$204,0)),0),HourlyRate))</f>
        <v>0</v>
      </c>
      <c r="AI433" s="21">
        <f>IF(G433="","",IF(AND(M433&lt;&gt;"",IFERROR(INDEX(Services!$P$5:$P$64,MATCH(M433,Services!$B$5:$B$64,0)),0)&gt;0,IFERROR(INDEX(Services!$D$5:$D$64,MATCH(M433,Services!$B$5:$B$64,0)),"")&lt;&gt;"Per hour"),IFERROR(INDEX(Services!$P$5:$P$64,MATCH(M433,Services!$B$5:$B$64,0)),0),AD433*AH433))</f>
        <v>0</v>
      </c>
      <c r="AJ433" s="21">
        <f>IF(G433="","",IF(V433&lt;&gt;"",V433,IF(P433="Cancelled",0,MAX(MinimumCharge,ROUND(AI433*IFERROR(INDEX(FreqFactors,MATCH(O433,FreqNames,0)),1),2)))))</f>
        <v>0</v>
      </c>
      <c r="AK433" s="34">
        <f>IF(G433="","",IF(SUMIFS(Timesheets!$U$5:$U$804,Timesheets!$G$5:$G$804,A433)&gt;0,SUMIFS(Timesheets!$U$5:$U$804,Timesheets!$G$5:$G$804,A433),IF(Z433="","",Z433)))</f>
        <v>0</v>
      </c>
      <c r="AL433" s="34">
        <f>IF(OR(AK433="",AD433=""),"",AK433-AD433)</f>
        <v>0</v>
      </c>
      <c r="AM433" s="31">
        <f>IF(A433="","",COUNTIFS('Job Tasks'!$B$5:$B$904,A433))</f>
        <v>0</v>
      </c>
      <c r="AN433" s="31">
        <f>IF(A433="","",COUNTIFS('Job Tasks'!$B$5:$B$904,A433,'Job Tasks'!$H$5:$H$904,"Done"))</f>
        <v>0</v>
      </c>
      <c r="AO433" s="38">
        <f>IF(OR(A433="",AM433=0),"",AN433/AM433)</f>
        <v>0</v>
      </c>
      <c r="AP433" s="43">
        <f>IF(A433="","",IFERROR(INDEX('Invoice Lines'!$B$5:$B$804,MATCH(A433,'Invoice Lines'!$C$5:$C$804,0)),""))</f>
        <v>0</v>
      </c>
      <c r="AQ433" s="18">
        <f>IF(OR(G433="",B433="",X433&lt;&gt;"Yes"),"",IF(IFERROR(INDEX(FreqDays,MATCH(O433,FreqNames,0)),0)=0,"",B433+IFERROR(INDEX(FreqDays,MATCH(O433,FreqNames,0)),0)))</f>
        <v>0</v>
      </c>
      <c r="AR433" s="39">
        <f>IF(G433="","",IF(R433="","Unassigned",IF(COUNTIFS($R$5:$R$604,R433,$B$5:$B$604,B433,$F$5:$F$604,F433)&gt;1,"Clash",IF(SUMIFS($AF$5:$AF$604,$R$5:$R$604,R433,$B$5:$B$604,B433)&gt;ProductiveHours,"Long day","OK"))))</f>
        <v>0</v>
      </c>
      <c r="AS433" s="18">
        <f>IF(OR(G433="",B433=""),"",IF(AND(B433&gt;=TodayDate,P433&lt;&gt;"Cancelled"),B433,""))</f>
        <v>0</v>
      </c>
      <c r="AT433" s="31">
        <f>IF(AS433="","",COUNTIFS($AS$5:$AS$604,"&lt;"&amp;AS433)+COUNTIFS($AS$5:AS433,AS433))</f>
        <v>0</v>
      </c>
      <c r="AU433" s="18">
        <f>IF(OR(G433="",B433="",R433&lt;&gt;""),"",IF(AND(B433&gt;=TodayDate,P433&lt;&gt;"Cancelled"),B433,""))</f>
        <v>0</v>
      </c>
      <c r="AV433" s="31">
        <f>IF(AU433="","",COUNTIFS($AU$5:$AU$604,"&lt;"&amp;AU433)+COUNTIFS($AU$5:AU433,AU433))</f>
        <v>0</v>
      </c>
      <c r="AW433" s="31">
        <f>IF(OR(G433="",B433=""),"",B433-TodayDate)</f>
        <v>0</v>
      </c>
      <c r="AX433" s="39">
        <f>IF(G433="","",IF(P433="Cancelled","Cancelled",IF(P433="No access","Action - no access, rebook",IF(AND(B433&lt;&gt;"",AW433&lt;0,OR(P433="Booked",P433="Confirmed",P433="In progress")),"Late - mark it completed",IF(AND(P433="Completed",AP433=""),"Action - not invoiced yet",IF(AND(AW433&gt;=0,AW433&lt;=ReminderDays,Y433&lt;&gt;"Yes"),"Confirm - visit coming up",IF(R433="","Assign - no cleaner booked",IF(AND(P433="Completed",AO433&lt;&gt;"",AO433&lt;1),"Check - checklist unfinished","OK"))))))))</f>
        <v>0</v>
      </c>
    </row>
    <row r="434" spans="1:50">
      <c r="A434" s="43">
        <f>IF(G434="","",JobPrefix&amp;TEXT(ROW()-4,"0000"))</f>
        <v>0</v>
      </c>
      <c r="C434" s="23">
        <f>IF(B434="","",TEXT(B434,"ddd"))</f>
        <v>0</v>
      </c>
      <c r="D434" s="31">
        <f>IF(B434="","",WEEKNUM(B434,IF(WeekStart="Sunday",1,2)))</f>
        <v>0</v>
      </c>
      <c r="E434" s="23">
        <f>IF(B434="","",TEXT(B434,"yyyy-mm"))</f>
        <v>0</v>
      </c>
      <c r="H434" s="23">
        <f>IF(G434="","",IFERROR(INDEX(Clients!$B$5:$B$204,MATCH(G434,Clients!$A$5:$A$204,0)),"Not found"))</f>
        <v>0</v>
      </c>
      <c r="I434" s="23">
        <f>IF(G434="","",IFERROR(INDEX(Clients!$C$5:$C$204,MATCH(G434,Clients!$A$5:$A$204,0)),""))</f>
        <v>0</v>
      </c>
      <c r="K434" s="23">
        <f>IF(J434="","",IFERROR(INDEX(Properties!$B$5:$B$254,MATCH(J434,Properties!$A$5:$A$254,0)),""))</f>
        <v>0</v>
      </c>
      <c r="L434" s="23">
        <f>IF(J434="","",IFERROR(INDEX(Properties!$F$5:$F$254,MATCH(J434,Properties!$A$5:$A$254,0)),""))</f>
        <v>0</v>
      </c>
      <c r="AD434" s="34">
        <f>IF(G434="","",IF(U434&lt;&gt;"",U434,IF(AND(IFERROR(INDEX(Services!$D$5:$D$64,MATCH(M434,Services!$B$5:$B$64,0)),"")="Per hour",IFERROR(INDEX(Properties!$X$5:$X$254,MATCH(J434,Properties!$A$5:$A$254,0)),0)&gt;0),IFERROR(INDEX(Properties!$X$5:$X$254,MATCH(J434,Properties!$A$5:$A$254,0)),0),IF(IFERROR(INDEX(Services!$G$5:$G$64,MATCH(M434,Services!$B$5:$B$64,0)),0)&gt;0,IFERROR(INDEX(Services!$G$5:$G$64,MATCH(M434,Services!$B$5:$B$64,0)),0),IFERROR(INDEX(Properties!$X$5:$X$254,MATCH(J434,Properties!$A$5:$A$254,0)),0)))))</f>
        <v>0</v>
      </c>
      <c r="AE434" s="31">
        <f>IF(G434="","",IF(T434="",CleanersPerJob,MAX(1,T434)))</f>
        <v>0</v>
      </c>
      <c r="AF434" s="34">
        <f>IF(G434="","",ROUND(AD434/AE434,2))</f>
        <v>0</v>
      </c>
      <c r="AG434" s="53">
        <f>IF(OR(G434="",F434="",AF434=""),"",F434+AF434/24)</f>
        <v>0</v>
      </c>
      <c r="AH434" s="21">
        <f>IF(G434="","",IF(IFERROR(INDEX(Clients!$O$5:$O$204,MATCH(G434,Clients!$A$5:$A$204,0)),0)&gt;0,IFERROR(INDEX(Clients!$O$5:$O$204,MATCH(G434,Clients!$A$5:$A$204,0)),0),HourlyRate))</f>
        <v>0</v>
      </c>
      <c r="AI434" s="21">
        <f>IF(G434="","",IF(AND(M434&lt;&gt;"",IFERROR(INDEX(Services!$P$5:$P$64,MATCH(M434,Services!$B$5:$B$64,0)),0)&gt;0,IFERROR(INDEX(Services!$D$5:$D$64,MATCH(M434,Services!$B$5:$B$64,0)),"")&lt;&gt;"Per hour"),IFERROR(INDEX(Services!$P$5:$P$64,MATCH(M434,Services!$B$5:$B$64,0)),0),AD434*AH434))</f>
        <v>0</v>
      </c>
      <c r="AJ434" s="21">
        <f>IF(G434="","",IF(V434&lt;&gt;"",V434,IF(P434="Cancelled",0,MAX(MinimumCharge,ROUND(AI434*IFERROR(INDEX(FreqFactors,MATCH(O434,FreqNames,0)),1),2)))))</f>
        <v>0</v>
      </c>
      <c r="AK434" s="34">
        <f>IF(G434="","",IF(SUMIFS(Timesheets!$U$5:$U$804,Timesheets!$G$5:$G$804,A434)&gt;0,SUMIFS(Timesheets!$U$5:$U$804,Timesheets!$G$5:$G$804,A434),IF(Z434="","",Z434)))</f>
        <v>0</v>
      </c>
      <c r="AL434" s="34">
        <f>IF(OR(AK434="",AD434=""),"",AK434-AD434)</f>
        <v>0</v>
      </c>
      <c r="AM434" s="31">
        <f>IF(A434="","",COUNTIFS('Job Tasks'!$B$5:$B$904,A434))</f>
        <v>0</v>
      </c>
      <c r="AN434" s="31">
        <f>IF(A434="","",COUNTIFS('Job Tasks'!$B$5:$B$904,A434,'Job Tasks'!$H$5:$H$904,"Done"))</f>
        <v>0</v>
      </c>
      <c r="AO434" s="38">
        <f>IF(OR(A434="",AM434=0),"",AN434/AM434)</f>
        <v>0</v>
      </c>
      <c r="AP434" s="43">
        <f>IF(A434="","",IFERROR(INDEX('Invoice Lines'!$B$5:$B$804,MATCH(A434,'Invoice Lines'!$C$5:$C$804,0)),""))</f>
        <v>0</v>
      </c>
      <c r="AQ434" s="18">
        <f>IF(OR(G434="",B434="",X434&lt;&gt;"Yes"),"",IF(IFERROR(INDEX(FreqDays,MATCH(O434,FreqNames,0)),0)=0,"",B434+IFERROR(INDEX(FreqDays,MATCH(O434,FreqNames,0)),0)))</f>
        <v>0</v>
      </c>
      <c r="AR434" s="39">
        <f>IF(G434="","",IF(R434="","Unassigned",IF(COUNTIFS($R$5:$R$604,R434,$B$5:$B$604,B434,$F$5:$F$604,F434)&gt;1,"Clash",IF(SUMIFS($AF$5:$AF$604,$R$5:$R$604,R434,$B$5:$B$604,B434)&gt;ProductiveHours,"Long day","OK"))))</f>
        <v>0</v>
      </c>
      <c r="AS434" s="18">
        <f>IF(OR(G434="",B434=""),"",IF(AND(B434&gt;=TodayDate,P434&lt;&gt;"Cancelled"),B434,""))</f>
        <v>0</v>
      </c>
      <c r="AT434" s="31">
        <f>IF(AS434="","",COUNTIFS($AS$5:$AS$604,"&lt;"&amp;AS434)+COUNTIFS($AS$5:AS434,AS434))</f>
        <v>0</v>
      </c>
      <c r="AU434" s="18">
        <f>IF(OR(G434="",B434="",R434&lt;&gt;""),"",IF(AND(B434&gt;=TodayDate,P434&lt;&gt;"Cancelled"),B434,""))</f>
        <v>0</v>
      </c>
      <c r="AV434" s="31">
        <f>IF(AU434="","",COUNTIFS($AU$5:$AU$604,"&lt;"&amp;AU434)+COUNTIFS($AU$5:AU434,AU434))</f>
        <v>0</v>
      </c>
      <c r="AW434" s="31">
        <f>IF(OR(G434="",B434=""),"",B434-TodayDate)</f>
        <v>0</v>
      </c>
      <c r="AX434" s="39">
        <f>IF(G434="","",IF(P434="Cancelled","Cancelled",IF(P434="No access","Action - no access, rebook",IF(AND(B434&lt;&gt;"",AW434&lt;0,OR(P434="Booked",P434="Confirmed",P434="In progress")),"Late - mark it completed",IF(AND(P434="Completed",AP434=""),"Action - not invoiced yet",IF(AND(AW434&gt;=0,AW434&lt;=ReminderDays,Y434&lt;&gt;"Yes"),"Confirm - visit coming up",IF(R434="","Assign - no cleaner booked",IF(AND(P434="Completed",AO434&lt;&gt;"",AO434&lt;1),"Check - checklist unfinished","OK"))))))))</f>
        <v>0</v>
      </c>
    </row>
    <row r="435" spans="1:50">
      <c r="A435" s="43">
        <f>IF(G435="","",JobPrefix&amp;TEXT(ROW()-4,"0000"))</f>
        <v>0</v>
      </c>
      <c r="C435" s="23">
        <f>IF(B435="","",TEXT(B435,"ddd"))</f>
        <v>0</v>
      </c>
      <c r="D435" s="31">
        <f>IF(B435="","",WEEKNUM(B435,IF(WeekStart="Sunday",1,2)))</f>
        <v>0</v>
      </c>
      <c r="E435" s="23">
        <f>IF(B435="","",TEXT(B435,"yyyy-mm"))</f>
        <v>0</v>
      </c>
      <c r="H435" s="23">
        <f>IF(G435="","",IFERROR(INDEX(Clients!$B$5:$B$204,MATCH(G435,Clients!$A$5:$A$204,0)),"Not found"))</f>
        <v>0</v>
      </c>
      <c r="I435" s="23">
        <f>IF(G435="","",IFERROR(INDEX(Clients!$C$5:$C$204,MATCH(G435,Clients!$A$5:$A$204,0)),""))</f>
        <v>0</v>
      </c>
      <c r="K435" s="23">
        <f>IF(J435="","",IFERROR(INDEX(Properties!$B$5:$B$254,MATCH(J435,Properties!$A$5:$A$254,0)),""))</f>
        <v>0</v>
      </c>
      <c r="L435" s="23">
        <f>IF(J435="","",IFERROR(INDEX(Properties!$F$5:$F$254,MATCH(J435,Properties!$A$5:$A$254,0)),""))</f>
        <v>0</v>
      </c>
      <c r="AD435" s="34">
        <f>IF(G435="","",IF(U435&lt;&gt;"",U435,IF(AND(IFERROR(INDEX(Services!$D$5:$D$64,MATCH(M435,Services!$B$5:$B$64,0)),"")="Per hour",IFERROR(INDEX(Properties!$X$5:$X$254,MATCH(J435,Properties!$A$5:$A$254,0)),0)&gt;0),IFERROR(INDEX(Properties!$X$5:$X$254,MATCH(J435,Properties!$A$5:$A$254,0)),0),IF(IFERROR(INDEX(Services!$G$5:$G$64,MATCH(M435,Services!$B$5:$B$64,0)),0)&gt;0,IFERROR(INDEX(Services!$G$5:$G$64,MATCH(M435,Services!$B$5:$B$64,0)),0),IFERROR(INDEX(Properties!$X$5:$X$254,MATCH(J435,Properties!$A$5:$A$254,0)),0)))))</f>
        <v>0</v>
      </c>
      <c r="AE435" s="31">
        <f>IF(G435="","",IF(T435="",CleanersPerJob,MAX(1,T435)))</f>
        <v>0</v>
      </c>
      <c r="AF435" s="34">
        <f>IF(G435="","",ROUND(AD435/AE435,2))</f>
        <v>0</v>
      </c>
      <c r="AG435" s="53">
        <f>IF(OR(G435="",F435="",AF435=""),"",F435+AF435/24)</f>
        <v>0</v>
      </c>
      <c r="AH435" s="21">
        <f>IF(G435="","",IF(IFERROR(INDEX(Clients!$O$5:$O$204,MATCH(G435,Clients!$A$5:$A$204,0)),0)&gt;0,IFERROR(INDEX(Clients!$O$5:$O$204,MATCH(G435,Clients!$A$5:$A$204,0)),0),HourlyRate))</f>
        <v>0</v>
      </c>
      <c r="AI435" s="21">
        <f>IF(G435="","",IF(AND(M435&lt;&gt;"",IFERROR(INDEX(Services!$P$5:$P$64,MATCH(M435,Services!$B$5:$B$64,0)),0)&gt;0,IFERROR(INDEX(Services!$D$5:$D$64,MATCH(M435,Services!$B$5:$B$64,0)),"")&lt;&gt;"Per hour"),IFERROR(INDEX(Services!$P$5:$P$64,MATCH(M435,Services!$B$5:$B$64,0)),0),AD435*AH435))</f>
        <v>0</v>
      </c>
      <c r="AJ435" s="21">
        <f>IF(G435="","",IF(V435&lt;&gt;"",V435,IF(P435="Cancelled",0,MAX(MinimumCharge,ROUND(AI435*IFERROR(INDEX(FreqFactors,MATCH(O435,FreqNames,0)),1),2)))))</f>
        <v>0</v>
      </c>
      <c r="AK435" s="34">
        <f>IF(G435="","",IF(SUMIFS(Timesheets!$U$5:$U$804,Timesheets!$G$5:$G$804,A435)&gt;0,SUMIFS(Timesheets!$U$5:$U$804,Timesheets!$G$5:$G$804,A435),IF(Z435="","",Z435)))</f>
        <v>0</v>
      </c>
      <c r="AL435" s="34">
        <f>IF(OR(AK435="",AD435=""),"",AK435-AD435)</f>
        <v>0</v>
      </c>
      <c r="AM435" s="31">
        <f>IF(A435="","",COUNTIFS('Job Tasks'!$B$5:$B$904,A435))</f>
        <v>0</v>
      </c>
      <c r="AN435" s="31">
        <f>IF(A435="","",COUNTIFS('Job Tasks'!$B$5:$B$904,A435,'Job Tasks'!$H$5:$H$904,"Done"))</f>
        <v>0</v>
      </c>
      <c r="AO435" s="38">
        <f>IF(OR(A435="",AM435=0),"",AN435/AM435)</f>
        <v>0</v>
      </c>
      <c r="AP435" s="43">
        <f>IF(A435="","",IFERROR(INDEX('Invoice Lines'!$B$5:$B$804,MATCH(A435,'Invoice Lines'!$C$5:$C$804,0)),""))</f>
        <v>0</v>
      </c>
      <c r="AQ435" s="18">
        <f>IF(OR(G435="",B435="",X435&lt;&gt;"Yes"),"",IF(IFERROR(INDEX(FreqDays,MATCH(O435,FreqNames,0)),0)=0,"",B435+IFERROR(INDEX(FreqDays,MATCH(O435,FreqNames,0)),0)))</f>
        <v>0</v>
      </c>
      <c r="AR435" s="39">
        <f>IF(G435="","",IF(R435="","Unassigned",IF(COUNTIFS($R$5:$R$604,R435,$B$5:$B$604,B435,$F$5:$F$604,F435)&gt;1,"Clash",IF(SUMIFS($AF$5:$AF$604,$R$5:$R$604,R435,$B$5:$B$604,B435)&gt;ProductiveHours,"Long day","OK"))))</f>
        <v>0</v>
      </c>
      <c r="AS435" s="18">
        <f>IF(OR(G435="",B435=""),"",IF(AND(B435&gt;=TodayDate,P435&lt;&gt;"Cancelled"),B435,""))</f>
        <v>0</v>
      </c>
      <c r="AT435" s="31">
        <f>IF(AS435="","",COUNTIFS($AS$5:$AS$604,"&lt;"&amp;AS435)+COUNTIFS($AS$5:AS435,AS435))</f>
        <v>0</v>
      </c>
      <c r="AU435" s="18">
        <f>IF(OR(G435="",B435="",R435&lt;&gt;""),"",IF(AND(B435&gt;=TodayDate,P435&lt;&gt;"Cancelled"),B435,""))</f>
        <v>0</v>
      </c>
      <c r="AV435" s="31">
        <f>IF(AU435="","",COUNTIFS($AU$5:$AU$604,"&lt;"&amp;AU435)+COUNTIFS($AU$5:AU435,AU435))</f>
        <v>0</v>
      </c>
      <c r="AW435" s="31">
        <f>IF(OR(G435="",B435=""),"",B435-TodayDate)</f>
        <v>0</v>
      </c>
      <c r="AX435" s="39">
        <f>IF(G435="","",IF(P435="Cancelled","Cancelled",IF(P435="No access","Action - no access, rebook",IF(AND(B435&lt;&gt;"",AW435&lt;0,OR(P435="Booked",P435="Confirmed",P435="In progress")),"Late - mark it completed",IF(AND(P435="Completed",AP435=""),"Action - not invoiced yet",IF(AND(AW435&gt;=0,AW435&lt;=ReminderDays,Y435&lt;&gt;"Yes"),"Confirm - visit coming up",IF(R435="","Assign - no cleaner booked",IF(AND(P435="Completed",AO435&lt;&gt;"",AO435&lt;1),"Check - checklist unfinished","OK"))))))))</f>
        <v>0</v>
      </c>
    </row>
    <row r="436" spans="1:50">
      <c r="A436" s="43">
        <f>IF(G436="","",JobPrefix&amp;TEXT(ROW()-4,"0000"))</f>
        <v>0</v>
      </c>
      <c r="C436" s="23">
        <f>IF(B436="","",TEXT(B436,"ddd"))</f>
        <v>0</v>
      </c>
      <c r="D436" s="31">
        <f>IF(B436="","",WEEKNUM(B436,IF(WeekStart="Sunday",1,2)))</f>
        <v>0</v>
      </c>
      <c r="E436" s="23">
        <f>IF(B436="","",TEXT(B436,"yyyy-mm"))</f>
        <v>0</v>
      </c>
      <c r="H436" s="23">
        <f>IF(G436="","",IFERROR(INDEX(Clients!$B$5:$B$204,MATCH(G436,Clients!$A$5:$A$204,0)),"Not found"))</f>
        <v>0</v>
      </c>
      <c r="I436" s="23">
        <f>IF(G436="","",IFERROR(INDEX(Clients!$C$5:$C$204,MATCH(G436,Clients!$A$5:$A$204,0)),""))</f>
        <v>0</v>
      </c>
      <c r="K436" s="23">
        <f>IF(J436="","",IFERROR(INDEX(Properties!$B$5:$B$254,MATCH(J436,Properties!$A$5:$A$254,0)),""))</f>
        <v>0</v>
      </c>
      <c r="L436" s="23">
        <f>IF(J436="","",IFERROR(INDEX(Properties!$F$5:$F$254,MATCH(J436,Properties!$A$5:$A$254,0)),""))</f>
        <v>0</v>
      </c>
      <c r="AD436" s="34">
        <f>IF(G436="","",IF(U436&lt;&gt;"",U436,IF(AND(IFERROR(INDEX(Services!$D$5:$D$64,MATCH(M436,Services!$B$5:$B$64,0)),"")="Per hour",IFERROR(INDEX(Properties!$X$5:$X$254,MATCH(J436,Properties!$A$5:$A$254,0)),0)&gt;0),IFERROR(INDEX(Properties!$X$5:$X$254,MATCH(J436,Properties!$A$5:$A$254,0)),0),IF(IFERROR(INDEX(Services!$G$5:$G$64,MATCH(M436,Services!$B$5:$B$64,0)),0)&gt;0,IFERROR(INDEX(Services!$G$5:$G$64,MATCH(M436,Services!$B$5:$B$64,0)),0),IFERROR(INDEX(Properties!$X$5:$X$254,MATCH(J436,Properties!$A$5:$A$254,0)),0)))))</f>
        <v>0</v>
      </c>
      <c r="AE436" s="31">
        <f>IF(G436="","",IF(T436="",CleanersPerJob,MAX(1,T436)))</f>
        <v>0</v>
      </c>
      <c r="AF436" s="34">
        <f>IF(G436="","",ROUND(AD436/AE436,2))</f>
        <v>0</v>
      </c>
      <c r="AG436" s="53">
        <f>IF(OR(G436="",F436="",AF436=""),"",F436+AF436/24)</f>
        <v>0</v>
      </c>
      <c r="AH436" s="21">
        <f>IF(G436="","",IF(IFERROR(INDEX(Clients!$O$5:$O$204,MATCH(G436,Clients!$A$5:$A$204,0)),0)&gt;0,IFERROR(INDEX(Clients!$O$5:$O$204,MATCH(G436,Clients!$A$5:$A$204,0)),0),HourlyRate))</f>
        <v>0</v>
      </c>
      <c r="AI436" s="21">
        <f>IF(G436="","",IF(AND(M436&lt;&gt;"",IFERROR(INDEX(Services!$P$5:$P$64,MATCH(M436,Services!$B$5:$B$64,0)),0)&gt;0,IFERROR(INDEX(Services!$D$5:$D$64,MATCH(M436,Services!$B$5:$B$64,0)),"")&lt;&gt;"Per hour"),IFERROR(INDEX(Services!$P$5:$P$64,MATCH(M436,Services!$B$5:$B$64,0)),0),AD436*AH436))</f>
        <v>0</v>
      </c>
      <c r="AJ436" s="21">
        <f>IF(G436="","",IF(V436&lt;&gt;"",V436,IF(P436="Cancelled",0,MAX(MinimumCharge,ROUND(AI436*IFERROR(INDEX(FreqFactors,MATCH(O436,FreqNames,0)),1),2)))))</f>
        <v>0</v>
      </c>
      <c r="AK436" s="34">
        <f>IF(G436="","",IF(SUMIFS(Timesheets!$U$5:$U$804,Timesheets!$G$5:$G$804,A436)&gt;0,SUMIFS(Timesheets!$U$5:$U$804,Timesheets!$G$5:$G$804,A436),IF(Z436="","",Z436)))</f>
        <v>0</v>
      </c>
      <c r="AL436" s="34">
        <f>IF(OR(AK436="",AD436=""),"",AK436-AD436)</f>
        <v>0</v>
      </c>
      <c r="AM436" s="31">
        <f>IF(A436="","",COUNTIFS('Job Tasks'!$B$5:$B$904,A436))</f>
        <v>0</v>
      </c>
      <c r="AN436" s="31">
        <f>IF(A436="","",COUNTIFS('Job Tasks'!$B$5:$B$904,A436,'Job Tasks'!$H$5:$H$904,"Done"))</f>
        <v>0</v>
      </c>
      <c r="AO436" s="38">
        <f>IF(OR(A436="",AM436=0),"",AN436/AM436)</f>
        <v>0</v>
      </c>
      <c r="AP436" s="43">
        <f>IF(A436="","",IFERROR(INDEX('Invoice Lines'!$B$5:$B$804,MATCH(A436,'Invoice Lines'!$C$5:$C$804,0)),""))</f>
        <v>0</v>
      </c>
      <c r="AQ436" s="18">
        <f>IF(OR(G436="",B436="",X436&lt;&gt;"Yes"),"",IF(IFERROR(INDEX(FreqDays,MATCH(O436,FreqNames,0)),0)=0,"",B436+IFERROR(INDEX(FreqDays,MATCH(O436,FreqNames,0)),0)))</f>
        <v>0</v>
      </c>
      <c r="AR436" s="39">
        <f>IF(G436="","",IF(R436="","Unassigned",IF(COUNTIFS($R$5:$R$604,R436,$B$5:$B$604,B436,$F$5:$F$604,F436)&gt;1,"Clash",IF(SUMIFS($AF$5:$AF$604,$R$5:$R$604,R436,$B$5:$B$604,B436)&gt;ProductiveHours,"Long day","OK"))))</f>
        <v>0</v>
      </c>
      <c r="AS436" s="18">
        <f>IF(OR(G436="",B436=""),"",IF(AND(B436&gt;=TodayDate,P436&lt;&gt;"Cancelled"),B436,""))</f>
        <v>0</v>
      </c>
      <c r="AT436" s="31">
        <f>IF(AS436="","",COUNTIFS($AS$5:$AS$604,"&lt;"&amp;AS436)+COUNTIFS($AS$5:AS436,AS436))</f>
        <v>0</v>
      </c>
      <c r="AU436" s="18">
        <f>IF(OR(G436="",B436="",R436&lt;&gt;""),"",IF(AND(B436&gt;=TodayDate,P436&lt;&gt;"Cancelled"),B436,""))</f>
        <v>0</v>
      </c>
      <c r="AV436" s="31">
        <f>IF(AU436="","",COUNTIFS($AU$5:$AU$604,"&lt;"&amp;AU436)+COUNTIFS($AU$5:AU436,AU436))</f>
        <v>0</v>
      </c>
      <c r="AW436" s="31">
        <f>IF(OR(G436="",B436=""),"",B436-TodayDate)</f>
        <v>0</v>
      </c>
      <c r="AX436" s="39">
        <f>IF(G436="","",IF(P436="Cancelled","Cancelled",IF(P436="No access","Action - no access, rebook",IF(AND(B436&lt;&gt;"",AW436&lt;0,OR(P436="Booked",P436="Confirmed",P436="In progress")),"Late - mark it completed",IF(AND(P436="Completed",AP436=""),"Action - not invoiced yet",IF(AND(AW436&gt;=0,AW436&lt;=ReminderDays,Y436&lt;&gt;"Yes"),"Confirm - visit coming up",IF(R436="","Assign - no cleaner booked",IF(AND(P436="Completed",AO436&lt;&gt;"",AO436&lt;1),"Check - checklist unfinished","OK"))))))))</f>
        <v>0</v>
      </c>
    </row>
    <row r="437" spans="1:50">
      <c r="A437" s="43">
        <f>IF(G437="","",JobPrefix&amp;TEXT(ROW()-4,"0000"))</f>
        <v>0</v>
      </c>
      <c r="C437" s="23">
        <f>IF(B437="","",TEXT(B437,"ddd"))</f>
        <v>0</v>
      </c>
      <c r="D437" s="31">
        <f>IF(B437="","",WEEKNUM(B437,IF(WeekStart="Sunday",1,2)))</f>
        <v>0</v>
      </c>
      <c r="E437" s="23">
        <f>IF(B437="","",TEXT(B437,"yyyy-mm"))</f>
        <v>0</v>
      </c>
      <c r="H437" s="23">
        <f>IF(G437="","",IFERROR(INDEX(Clients!$B$5:$B$204,MATCH(G437,Clients!$A$5:$A$204,0)),"Not found"))</f>
        <v>0</v>
      </c>
      <c r="I437" s="23">
        <f>IF(G437="","",IFERROR(INDEX(Clients!$C$5:$C$204,MATCH(G437,Clients!$A$5:$A$204,0)),""))</f>
        <v>0</v>
      </c>
      <c r="K437" s="23">
        <f>IF(J437="","",IFERROR(INDEX(Properties!$B$5:$B$254,MATCH(J437,Properties!$A$5:$A$254,0)),""))</f>
        <v>0</v>
      </c>
      <c r="L437" s="23">
        <f>IF(J437="","",IFERROR(INDEX(Properties!$F$5:$F$254,MATCH(J437,Properties!$A$5:$A$254,0)),""))</f>
        <v>0</v>
      </c>
      <c r="AD437" s="34">
        <f>IF(G437="","",IF(U437&lt;&gt;"",U437,IF(AND(IFERROR(INDEX(Services!$D$5:$D$64,MATCH(M437,Services!$B$5:$B$64,0)),"")="Per hour",IFERROR(INDEX(Properties!$X$5:$X$254,MATCH(J437,Properties!$A$5:$A$254,0)),0)&gt;0),IFERROR(INDEX(Properties!$X$5:$X$254,MATCH(J437,Properties!$A$5:$A$254,0)),0),IF(IFERROR(INDEX(Services!$G$5:$G$64,MATCH(M437,Services!$B$5:$B$64,0)),0)&gt;0,IFERROR(INDEX(Services!$G$5:$G$64,MATCH(M437,Services!$B$5:$B$64,0)),0),IFERROR(INDEX(Properties!$X$5:$X$254,MATCH(J437,Properties!$A$5:$A$254,0)),0)))))</f>
        <v>0</v>
      </c>
      <c r="AE437" s="31">
        <f>IF(G437="","",IF(T437="",CleanersPerJob,MAX(1,T437)))</f>
        <v>0</v>
      </c>
      <c r="AF437" s="34">
        <f>IF(G437="","",ROUND(AD437/AE437,2))</f>
        <v>0</v>
      </c>
      <c r="AG437" s="53">
        <f>IF(OR(G437="",F437="",AF437=""),"",F437+AF437/24)</f>
        <v>0</v>
      </c>
      <c r="AH437" s="21">
        <f>IF(G437="","",IF(IFERROR(INDEX(Clients!$O$5:$O$204,MATCH(G437,Clients!$A$5:$A$204,0)),0)&gt;0,IFERROR(INDEX(Clients!$O$5:$O$204,MATCH(G437,Clients!$A$5:$A$204,0)),0),HourlyRate))</f>
        <v>0</v>
      </c>
      <c r="AI437" s="21">
        <f>IF(G437="","",IF(AND(M437&lt;&gt;"",IFERROR(INDEX(Services!$P$5:$P$64,MATCH(M437,Services!$B$5:$B$64,0)),0)&gt;0,IFERROR(INDEX(Services!$D$5:$D$64,MATCH(M437,Services!$B$5:$B$64,0)),"")&lt;&gt;"Per hour"),IFERROR(INDEX(Services!$P$5:$P$64,MATCH(M437,Services!$B$5:$B$64,0)),0),AD437*AH437))</f>
        <v>0</v>
      </c>
      <c r="AJ437" s="21">
        <f>IF(G437="","",IF(V437&lt;&gt;"",V437,IF(P437="Cancelled",0,MAX(MinimumCharge,ROUND(AI437*IFERROR(INDEX(FreqFactors,MATCH(O437,FreqNames,0)),1),2)))))</f>
        <v>0</v>
      </c>
      <c r="AK437" s="34">
        <f>IF(G437="","",IF(SUMIFS(Timesheets!$U$5:$U$804,Timesheets!$G$5:$G$804,A437)&gt;0,SUMIFS(Timesheets!$U$5:$U$804,Timesheets!$G$5:$G$804,A437),IF(Z437="","",Z437)))</f>
        <v>0</v>
      </c>
      <c r="AL437" s="34">
        <f>IF(OR(AK437="",AD437=""),"",AK437-AD437)</f>
        <v>0</v>
      </c>
      <c r="AM437" s="31">
        <f>IF(A437="","",COUNTIFS('Job Tasks'!$B$5:$B$904,A437))</f>
        <v>0</v>
      </c>
      <c r="AN437" s="31">
        <f>IF(A437="","",COUNTIFS('Job Tasks'!$B$5:$B$904,A437,'Job Tasks'!$H$5:$H$904,"Done"))</f>
        <v>0</v>
      </c>
      <c r="AO437" s="38">
        <f>IF(OR(A437="",AM437=0),"",AN437/AM437)</f>
        <v>0</v>
      </c>
      <c r="AP437" s="43">
        <f>IF(A437="","",IFERROR(INDEX('Invoice Lines'!$B$5:$B$804,MATCH(A437,'Invoice Lines'!$C$5:$C$804,0)),""))</f>
        <v>0</v>
      </c>
      <c r="AQ437" s="18">
        <f>IF(OR(G437="",B437="",X437&lt;&gt;"Yes"),"",IF(IFERROR(INDEX(FreqDays,MATCH(O437,FreqNames,0)),0)=0,"",B437+IFERROR(INDEX(FreqDays,MATCH(O437,FreqNames,0)),0)))</f>
        <v>0</v>
      </c>
      <c r="AR437" s="39">
        <f>IF(G437="","",IF(R437="","Unassigned",IF(COUNTIFS($R$5:$R$604,R437,$B$5:$B$604,B437,$F$5:$F$604,F437)&gt;1,"Clash",IF(SUMIFS($AF$5:$AF$604,$R$5:$R$604,R437,$B$5:$B$604,B437)&gt;ProductiveHours,"Long day","OK"))))</f>
        <v>0</v>
      </c>
      <c r="AS437" s="18">
        <f>IF(OR(G437="",B437=""),"",IF(AND(B437&gt;=TodayDate,P437&lt;&gt;"Cancelled"),B437,""))</f>
        <v>0</v>
      </c>
      <c r="AT437" s="31">
        <f>IF(AS437="","",COUNTIFS($AS$5:$AS$604,"&lt;"&amp;AS437)+COUNTIFS($AS$5:AS437,AS437))</f>
        <v>0</v>
      </c>
      <c r="AU437" s="18">
        <f>IF(OR(G437="",B437="",R437&lt;&gt;""),"",IF(AND(B437&gt;=TodayDate,P437&lt;&gt;"Cancelled"),B437,""))</f>
        <v>0</v>
      </c>
      <c r="AV437" s="31">
        <f>IF(AU437="","",COUNTIFS($AU$5:$AU$604,"&lt;"&amp;AU437)+COUNTIFS($AU$5:AU437,AU437))</f>
        <v>0</v>
      </c>
      <c r="AW437" s="31">
        <f>IF(OR(G437="",B437=""),"",B437-TodayDate)</f>
        <v>0</v>
      </c>
      <c r="AX437" s="39">
        <f>IF(G437="","",IF(P437="Cancelled","Cancelled",IF(P437="No access","Action - no access, rebook",IF(AND(B437&lt;&gt;"",AW437&lt;0,OR(P437="Booked",P437="Confirmed",P437="In progress")),"Late - mark it completed",IF(AND(P437="Completed",AP437=""),"Action - not invoiced yet",IF(AND(AW437&gt;=0,AW437&lt;=ReminderDays,Y437&lt;&gt;"Yes"),"Confirm - visit coming up",IF(R437="","Assign - no cleaner booked",IF(AND(P437="Completed",AO437&lt;&gt;"",AO437&lt;1),"Check - checklist unfinished","OK"))))))))</f>
        <v>0</v>
      </c>
    </row>
    <row r="438" spans="1:50">
      <c r="A438" s="43">
        <f>IF(G438="","",JobPrefix&amp;TEXT(ROW()-4,"0000"))</f>
        <v>0</v>
      </c>
      <c r="C438" s="23">
        <f>IF(B438="","",TEXT(B438,"ddd"))</f>
        <v>0</v>
      </c>
      <c r="D438" s="31">
        <f>IF(B438="","",WEEKNUM(B438,IF(WeekStart="Sunday",1,2)))</f>
        <v>0</v>
      </c>
      <c r="E438" s="23">
        <f>IF(B438="","",TEXT(B438,"yyyy-mm"))</f>
        <v>0</v>
      </c>
      <c r="H438" s="23">
        <f>IF(G438="","",IFERROR(INDEX(Clients!$B$5:$B$204,MATCH(G438,Clients!$A$5:$A$204,0)),"Not found"))</f>
        <v>0</v>
      </c>
      <c r="I438" s="23">
        <f>IF(G438="","",IFERROR(INDEX(Clients!$C$5:$C$204,MATCH(G438,Clients!$A$5:$A$204,0)),""))</f>
        <v>0</v>
      </c>
      <c r="K438" s="23">
        <f>IF(J438="","",IFERROR(INDEX(Properties!$B$5:$B$254,MATCH(J438,Properties!$A$5:$A$254,0)),""))</f>
        <v>0</v>
      </c>
      <c r="L438" s="23">
        <f>IF(J438="","",IFERROR(INDEX(Properties!$F$5:$F$254,MATCH(J438,Properties!$A$5:$A$254,0)),""))</f>
        <v>0</v>
      </c>
      <c r="AD438" s="34">
        <f>IF(G438="","",IF(U438&lt;&gt;"",U438,IF(AND(IFERROR(INDEX(Services!$D$5:$D$64,MATCH(M438,Services!$B$5:$B$64,0)),"")="Per hour",IFERROR(INDEX(Properties!$X$5:$X$254,MATCH(J438,Properties!$A$5:$A$254,0)),0)&gt;0),IFERROR(INDEX(Properties!$X$5:$X$254,MATCH(J438,Properties!$A$5:$A$254,0)),0),IF(IFERROR(INDEX(Services!$G$5:$G$64,MATCH(M438,Services!$B$5:$B$64,0)),0)&gt;0,IFERROR(INDEX(Services!$G$5:$G$64,MATCH(M438,Services!$B$5:$B$64,0)),0),IFERROR(INDEX(Properties!$X$5:$X$254,MATCH(J438,Properties!$A$5:$A$254,0)),0)))))</f>
        <v>0</v>
      </c>
      <c r="AE438" s="31">
        <f>IF(G438="","",IF(T438="",CleanersPerJob,MAX(1,T438)))</f>
        <v>0</v>
      </c>
      <c r="AF438" s="34">
        <f>IF(G438="","",ROUND(AD438/AE438,2))</f>
        <v>0</v>
      </c>
      <c r="AG438" s="53">
        <f>IF(OR(G438="",F438="",AF438=""),"",F438+AF438/24)</f>
        <v>0</v>
      </c>
      <c r="AH438" s="21">
        <f>IF(G438="","",IF(IFERROR(INDEX(Clients!$O$5:$O$204,MATCH(G438,Clients!$A$5:$A$204,0)),0)&gt;0,IFERROR(INDEX(Clients!$O$5:$O$204,MATCH(G438,Clients!$A$5:$A$204,0)),0),HourlyRate))</f>
        <v>0</v>
      </c>
      <c r="AI438" s="21">
        <f>IF(G438="","",IF(AND(M438&lt;&gt;"",IFERROR(INDEX(Services!$P$5:$P$64,MATCH(M438,Services!$B$5:$B$64,0)),0)&gt;0,IFERROR(INDEX(Services!$D$5:$D$64,MATCH(M438,Services!$B$5:$B$64,0)),"")&lt;&gt;"Per hour"),IFERROR(INDEX(Services!$P$5:$P$64,MATCH(M438,Services!$B$5:$B$64,0)),0),AD438*AH438))</f>
        <v>0</v>
      </c>
      <c r="AJ438" s="21">
        <f>IF(G438="","",IF(V438&lt;&gt;"",V438,IF(P438="Cancelled",0,MAX(MinimumCharge,ROUND(AI438*IFERROR(INDEX(FreqFactors,MATCH(O438,FreqNames,0)),1),2)))))</f>
        <v>0</v>
      </c>
      <c r="AK438" s="34">
        <f>IF(G438="","",IF(SUMIFS(Timesheets!$U$5:$U$804,Timesheets!$G$5:$G$804,A438)&gt;0,SUMIFS(Timesheets!$U$5:$U$804,Timesheets!$G$5:$G$804,A438),IF(Z438="","",Z438)))</f>
        <v>0</v>
      </c>
      <c r="AL438" s="34">
        <f>IF(OR(AK438="",AD438=""),"",AK438-AD438)</f>
        <v>0</v>
      </c>
      <c r="AM438" s="31">
        <f>IF(A438="","",COUNTIFS('Job Tasks'!$B$5:$B$904,A438))</f>
        <v>0</v>
      </c>
      <c r="AN438" s="31">
        <f>IF(A438="","",COUNTIFS('Job Tasks'!$B$5:$B$904,A438,'Job Tasks'!$H$5:$H$904,"Done"))</f>
        <v>0</v>
      </c>
      <c r="AO438" s="38">
        <f>IF(OR(A438="",AM438=0),"",AN438/AM438)</f>
        <v>0</v>
      </c>
      <c r="AP438" s="43">
        <f>IF(A438="","",IFERROR(INDEX('Invoice Lines'!$B$5:$B$804,MATCH(A438,'Invoice Lines'!$C$5:$C$804,0)),""))</f>
        <v>0</v>
      </c>
      <c r="AQ438" s="18">
        <f>IF(OR(G438="",B438="",X438&lt;&gt;"Yes"),"",IF(IFERROR(INDEX(FreqDays,MATCH(O438,FreqNames,0)),0)=0,"",B438+IFERROR(INDEX(FreqDays,MATCH(O438,FreqNames,0)),0)))</f>
        <v>0</v>
      </c>
      <c r="AR438" s="39">
        <f>IF(G438="","",IF(R438="","Unassigned",IF(COUNTIFS($R$5:$R$604,R438,$B$5:$B$604,B438,$F$5:$F$604,F438)&gt;1,"Clash",IF(SUMIFS($AF$5:$AF$604,$R$5:$R$604,R438,$B$5:$B$604,B438)&gt;ProductiveHours,"Long day","OK"))))</f>
        <v>0</v>
      </c>
      <c r="AS438" s="18">
        <f>IF(OR(G438="",B438=""),"",IF(AND(B438&gt;=TodayDate,P438&lt;&gt;"Cancelled"),B438,""))</f>
        <v>0</v>
      </c>
      <c r="AT438" s="31">
        <f>IF(AS438="","",COUNTIFS($AS$5:$AS$604,"&lt;"&amp;AS438)+COUNTIFS($AS$5:AS438,AS438))</f>
        <v>0</v>
      </c>
      <c r="AU438" s="18">
        <f>IF(OR(G438="",B438="",R438&lt;&gt;""),"",IF(AND(B438&gt;=TodayDate,P438&lt;&gt;"Cancelled"),B438,""))</f>
        <v>0</v>
      </c>
      <c r="AV438" s="31">
        <f>IF(AU438="","",COUNTIFS($AU$5:$AU$604,"&lt;"&amp;AU438)+COUNTIFS($AU$5:AU438,AU438))</f>
        <v>0</v>
      </c>
      <c r="AW438" s="31">
        <f>IF(OR(G438="",B438=""),"",B438-TodayDate)</f>
        <v>0</v>
      </c>
      <c r="AX438" s="39">
        <f>IF(G438="","",IF(P438="Cancelled","Cancelled",IF(P438="No access","Action - no access, rebook",IF(AND(B438&lt;&gt;"",AW438&lt;0,OR(P438="Booked",P438="Confirmed",P438="In progress")),"Late - mark it completed",IF(AND(P438="Completed",AP438=""),"Action - not invoiced yet",IF(AND(AW438&gt;=0,AW438&lt;=ReminderDays,Y438&lt;&gt;"Yes"),"Confirm - visit coming up",IF(R438="","Assign - no cleaner booked",IF(AND(P438="Completed",AO438&lt;&gt;"",AO438&lt;1),"Check - checklist unfinished","OK"))))))))</f>
        <v>0</v>
      </c>
    </row>
    <row r="439" spans="1:50">
      <c r="A439" s="43">
        <f>IF(G439="","",JobPrefix&amp;TEXT(ROW()-4,"0000"))</f>
        <v>0</v>
      </c>
      <c r="C439" s="23">
        <f>IF(B439="","",TEXT(B439,"ddd"))</f>
        <v>0</v>
      </c>
      <c r="D439" s="31">
        <f>IF(B439="","",WEEKNUM(B439,IF(WeekStart="Sunday",1,2)))</f>
        <v>0</v>
      </c>
      <c r="E439" s="23">
        <f>IF(B439="","",TEXT(B439,"yyyy-mm"))</f>
        <v>0</v>
      </c>
      <c r="H439" s="23">
        <f>IF(G439="","",IFERROR(INDEX(Clients!$B$5:$B$204,MATCH(G439,Clients!$A$5:$A$204,0)),"Not found"))</f>
        <v>0</v>
      </c>
      <c r="I439" s="23">
        <f>IF(G439="","",IFERROR(INDEX(Clients!$C$5:$C$204,MATCH(G439,Clients!$A$5:$A$204,0)),""))</f>
        <v>0</v>
      </c>
      <c r="K439" s="23">
        <f>IF(J439="","",IFERROR(INDEX(Properties!$B$5:$B$254,MATCH(J439,Properties!$A$5:$A$254,0)),""))</f>
        <v>0</v>
      </c>
      <c r="L439" s="23">
        <f>IF(J439="","",IFERROR(INDEX(Properties!$F$5:$F$254,MATCH(J439,Properties!$A$5:$A$254,0)),""))</f>
        <v>0</v>
      </c>
      <c r="AD439" s="34">
        <f>IF(G439="","",IF(U439&lt;&gt;"",U439,IF(AND(IFERROR(INDEX(Services!$D$5:$D$64,MATCH(M439,Services!$B$5:$B$64,0)),"")="Per hour",IFERROR(INDEX(Properties!$X$5:$X$254,MATCH(J439,Properties!$A$5:$A$254,0)),0)&gt;0),IFERROR(INDEX(Properties!$X$5:$X$254,MATCH(J439,Properties!$A$5:$A$254,0)),0),IF(IFERROR(INDEX(Services!$G$5:$G$64,MATCH(M439,Services!$B$5:$B$64,0)),0)&gt;0,IFERROR(INDEX(Services!$G$5:$G$64,MATCH(M439,Services!$B$5:$B$64,0)),0),IFERROR(INDEX(Properties!$X$5:$X$254,MATCH(J439,Properties!$A$5:$A$254,0)),0)))))</f>
        <v>0</v>
      </c>
      <c r="AE439" s="31">
        <f>IF(G439="","",IF(T439="",CleanersPerJob,MAX(1,T439)))</f>
        <v>0</v>
      </c>
      <c r="AF439" s="34">
        <f>IF(G439="","",ROUND(AD439/AE439,2))</f>
        <v>0</v>
      </c>
      <c r="AG439" s="53">
        <f>IF(OR(G439="",F439="",AF439=""),"",F439+AF439/24)</f>
        <v>0</v>
      </c>
      <c r="AH439" s="21">
        <f>IF(G439="","",IF(IFERROR(INDEX(Clients!$O$5:$O$204,MATCH(G439,Clients!$A$5:$A$204,0)),0)&gt;0,IFERROR(INDEX(Clients!$O$5:$O$204,MATCH(G439,Clients!$A$5:$A$204,0)),0),HourlyRate))</f>
        <v>0</v>
      </c>
      <c r="AI439" s="21">
        <f>IF(G439="","",IF(AND(M439&lt;&gt;"",IFERROR(INDEX(Services!$P$5:$P$64,MATCH(M439,Services!$B$5:$B$64,0)),0)&gt;0,IFERROR(INDEX(Services!$D$5:$D$64,MATCH(M439,Services!$B$5:$B$64,0)),"")&lt;&gt;"Per hour"),IFERROR(INDEX(Services!$P$5:$P$64,MATCH(M439,Services!$B$5:$B$64,0)),0),AD439*AH439))</f>
        <v>0</v>
      </c>
      <c r="AJ439" s="21">
        <f>IF(G439="","",IF(V439&lt;&gt;"",V439,IF(P439="Cancelled",0,MAX(MinimumCharge,ROUND(AI439*IFERROR(INDEX(FreqFactors,MATCH(O439,FreqNames,0)),1),2)))))</f>
        <v>0</v>
      </c>
      <c r="AK439" s="34">
        <f>IF(G439="","",IF(SUMIFS(Timesheets!$U$5:$U$804,Timesheets!$G$5:$G$804,A439)&gt;0,SUMIFS(Timesheets!$U$5:$U$804,Timesheets!$G$5:$G$804,A439),IF(Z439="","",Z439)))</f>
        <v>0</v>
      </c>
      <c r="AL439" s="34">
        <f>IF(OR(AK439="",AD439=""),"",AK439-AD439)</f>
        <v>0</v>
      </c>
      <c r="AM439" s="31">
        <f>IF(A439="","",COUNTIFS('Job Tasks'!$B$5:$B$904,A439))</f>
        <v>0</v>
      </c>
      <c r="AN439" s="31">
        <f>IF(A439="","",COUNTIFS('Job Tasks'!$B$5:$B$904,A439,'Job Tasks'!$H$5:$H$904,"Done"))</f>
        <v>0</v>
      </c>
      <c r="AO439" s="38">
        <f>IF(OR(A439="",AM439=0),"",AN439/AM439)</f>
        <v>0</v>
      </c>
      <c r="AP439" s="43">
        <f>IF(A439="","",IFERROR(INDEX('Invoice Lines'!$B$5:$B$804,MATCH(A439,'Invoice Lines'!$C$5:$C$804,0)),""))</f>
        <v>0</v>
      </c>
      <c r="AQ439" s="18">
        <f>IF(OR(G439="",B439="",X439&lt;&gt;"Yes"),"",IF(IFERROR(INDEX(FreqDays,MATCH(O439,FreqNames,0)),0)=0,"",B439+IFERROR(INDEX(FreqDays,MATCH(O439,FreqNames,0)),0)))</f>
        <v>0</v>
      </c>
      <c r="AR439" s="39">
        <f>IF(G439="","",IF(R439="","Unassigned",IF(COUNTIFS($R$5:$R$604,R439,$B$5:$B$604,B439,$F$5:$F$604,F439)&gt;1,"Clash",IF(SUMIFS($AF$5:$AF$604,$R$5:$R$604,R439,$B$5:$B$604,B439)&gt;ProductiveHours,"Long day","OK"))))</f>
        <v>0</v>
      </c>
      <c r="AS439" s="18">
        <f>IF(OR(G439="",B439=""),"",IF(AND(B439&gt;=TodayDate,P439&lt;&gt;"Cancelled"),B439,""))</f>
        <v>0</v>
      </c>
      <c r="AT439" s="31">
        <f>IF(AS439="","",COUNTIFS($AS$5:$AS$604,"&lt;"&amp;AS439)+COUNTIFS($AS$5:AS439,AS439))</f>
        <v>0</v>
      </c>
      <c r="AU439" s="18">
        <f>IF(OR(G439="",B439="",R439&lt;&gt;""),"",IF(AND(B439&gt;=TodayDate,P439&lt;&gt;"Cancelled"),B439,""))</f>
        <v>0</v>
      </c>
      <c r="AV439" s="31">
        <f>IF(AU439="","",COUNTIFS($AU$5:$AU$604,"&lt;"&amp;AU439)+COUNTIFS($AU$5:AU439,AU439))</f>
        <v>0</v>
      </c>
      <c r="AW439" s="31">
        <f>IF(OR(G439="",B439=""),"",B439-TodayDate)</f>
        <v>0</v>
      </c>
      <c r="AX439" s="39">
        <f>IF(G439="","",IF(P439="Cancelled","Cancelled",IF(P439="No access","Action - no access, rebook",IF(AND(B439&lt;&gt;"",AW439&lt;0,OR(P439="Booked",P439="Confirmed",P439="In progress")),"Late - mark it completed",IF(AND(P439="Completed",AP439=""),"Action - not invoiced yet",IF(AND(AW439&gt;=0,AW439&lt;=ReminderDays,Y439&lt;&gt;"Yes"),"Confirm - visit coming up",IF(R439="","Assign - no cleaner booked",IF(AND(P439="Completed",AO439&lt;&gt;"",AO439&lt;1),"Check - checklist unfinished","OK"))))))))</f>
        <v>0</v>
      </c>
    </row>
    <row r="440" spans="1:50">
      <c r="A440" s="43">
        <f>IF(G440="","",JobPrefix&amp;TEXT(ROW()-4,"0000"))</f>
        <v>0</v>
      </c>
      <c r="C440" s="23">
        <f>IF(B440="","",TEXT(B440,"ddd"))</f>
        <v>0</v>
      </c>
      <c r="D440" s="31">
        <f>IF(B440="","",WEEKNUM(B440,IF(WeekStart="Sunday",1,2)))</f>
        <v>0</v>
      </c>
      <c r="E440" s="23">
        <f>IF(B440="","",TEXT(B440,"yyyy-mm"))</f>
        <v>0</v>
      </c>
      <c r="H440" s="23">
        <f>IF(G440="","",IFERROR(INDEX(Clients!$B$5:$B$204,MATCH(G440,Clients!$A$5:$A$204,0)),"Not found"))</f>
        <v>0</v>
      </c>
      <c r="I440" s="23">
        <f>IF(G440="","",IFERROR(INDEX(Clients!$C$5:$C$204,MATCH(G440,Clients!$A$5:$A$204,0)),""))</f>
        <v>0</v>
      </c>
      <c r="K440" s="23">
        <f>IF(J440="","",IFERROR(INDEX(Properties!$B$5:$B$254,MATCH(J440,Properties!$A$5:$A$254,0)),""))</f>
        <v>0</v>
      </c>
      <c r="L440" s="23">
        <f>IF(J440="","",IFERROR(INDEX(Properties!$F$5:$F$254,MATCH(J440,Properties!$A$5:$A$254,0)),""))</f>
        <v>0</v>
      </c>
      <c r="AD440" s="34">
        <f>IF(G440="","",IF(U440&lt;&gt;"",U440,IF(AND(IFERROR(INDEX(Services!$D$5:$D$64,MATCH(M440,Services!$B$5:$B$64,0)),"")="Per hour",IFERROR(INDEX(Properties!$X$5:$X$254,MATCH(J440,Properties!$A$5:$A$254,0)),0)&gt;0),IFERROR(INDEX(Properties!$X$5:$X$254,MATCH(J440,Properties!$A$5:$A$254,0)),0),IF(IFERROR(INDEX(Services!$G$5:$G$64,MATCH(M440,Services!$B$5:$B$64,0)),0)&gt;0,IFERROR(INDEX(Services!$G$5:$G$64,MATCH(M440,Services!$B$5:$B$64,0)),0),IFERROR(INDEX(Properties!$X$5:$X$254,MATCH(J440,Properties!$A$5:$A$254,0)),0)))))</f>
        <v>0</v>
      </c>
      <c r="AE440" s="31">
        <f>IF(G440="","",IF(T440="",CleanersPerJob,MAX(1,T440)))</f>
        <v>0</v>
      </c>
      <c r="AF440" s="34">
        <f>IF(G440="","",ROUND(AD440/AE440,2))</f>
        <v>0</v>
      </c>
      <c r="AG440" s="53">
        <f>IF(OR(G440="",F440="",AF440=""),"",F440+AF440/24)</f>
        <v>0</v>
      </c>
      <c r="AH440" s="21">
        <f>IF(G440="","",IF(IFERROR(INDEX(Clients!$O$5:$O$204,MATCH(G440,Clients!$A$5:$A$204,0)),0)&gt;0,IFERROR(INDEX(Clients!$O$5:$O$204,MATCH(G440,Clients!$A$5:$A$204,0)),0),HourlyRate))</f>
        <v>0</v>
      </c>
      <c r="AI440" s="21">
        <f>IF(G440="","",IF(AND(M440&lt;&gt;"",IFERROR(INDEX(Services!$P$5:$P$64,MATCH(M440,Services!$B$5:$B$64,0)),0)&gt;0,IFERROR(INDEX(Services!$D$5:$D$64,MATCH(M440,Services!$B$5:$B$64,0)),"")&lt;&gt;"Per hour"),IFERROR(INDEX(Services!$P$5:$P$64,MATCH(M440,Services!$B$5:$B$64,0)),0),AD440*AH440))</f>
        <v>0</v>
      </c>
      <c r="AJ440" s="21">
        <f>IF(G440="","",IF(V440&lt;&gt;"",V440,IF(P440="Cancelled",0,MAX(MinimumCharge,ROUND(AI440*IFERROR(INDEX(FreqFactors,MATCH(O440,FreqNames,0)),1),2)))))</f>
        <v>0</v>
      </c>
      <c r="AK440" s="34">
        <f>IF(G440="","",IF(SUMIFS(Timesheets!$U$5:$U$804,Timesheets!$G$5:$G$804,A440)&gt;0,SUMIFS(Timesheets!$U$5:$U$804,Timesheets!$G$5:$G$804,A440),IF(Z440="","",Z440)))</f>
        <v>0</v>
      </c>
      <c r="AL440" s="34">
        <f>IF(OR(AK440="",AD440=""),"",AK440-AD440)</f>
        <v>0</v>
      </c>
      <c r="AM440" s="31">
        <f>IF(A440="","",COUNTIFS('Job Tasks'!$B$5:$B$904,A440))</f>
        <v>0</v>
      </c>
      <c r="AN440" s="31">
        <f>IF(A440="","",COUNTIFS('Job Tasks'!$B$5:$B$904,A440,'Job Tasks'!$H$5:$H$904,"Done"))</f>
        <v>0</v>
      </c>
      <c r="AO440" s="38">
        <f>IF(OR(A440="",AM440=0),"",AN440/AM440)</f>
        <v>0</v>
      </c>
      <c r="AP440" s="43">
        <f>IF(A440="","",IFERROR(INDEX('Invoice Lines'!$B$5:$B$804,MATCH(A440,'Invoice Lines'!$C$5:$C$804,0)),""))</f>
        <v>0</v>
      </c>
      <c r="AQ440" s="18">
        <f>IF(OR(G440="",B440="",X440&lt;&gt;"Yes"),"",IF(IFERROR(INDEX(FreqDays,MATCH(O440,FreqNames,0)),0)=0,"",B440+IFERROR(INDEX(FreqDays,MATCH(O440,FreqNames,0)),0)))</f>
        <v>0</v>
      </c>
      <c r="AR440" s="39">
        <f>IF(G440="","",IF(R440="","Unassigned",IF(COUNTIFS($R$5:$R$604,R440,$B$5:$B$604,B440,$F$5:$F$604,F440)&gt;1,"Clash",IF(SUMIFS($AF$5:$AF$604,$R$5:$R$604,R440,$B$5:$B$604,B440)&gt;ProductiveHours,"Long day","OK"))))</f>
        <v>0</v>
      </c>
      <c r="AS440" s="18">
        <f>IF(OR(G440="",B440=""),"",IF(AND(B440&gt;=TodayDate,P440&lt;&gt;"Cancelled"),B440,""))</f>
        <v>0</v>
      </c>
      <c r="AT440" s="31">
        <f>IF(AS440="","",COUNTIFS($AS$5:$AS$604,"&lt;"&amp;AS440)+COUNTIFS($AS$5:AS440,AS440))</f>
        <v>0</v>
      </c>
      <c r="AU440" s="18">
        <f>IF(OR(G440="",B440="",R440&lt;&gt;""),"",IF(AND(B440&gt;=TodayDate,P440&lt;&gt;"Cancelled"),B440,""))</f>
        <v>0</v>
      </c>
      <c r="AV440" s="31">
        <f>IF(AU440="","",COUNTIFS($AU$5:$AU$604,"&lt;"&amp;AU440)+COUNTIFS($AU$5:AU440,AU440))</f>
        <v>0</v>
      </c>
      <c r="AW440" s="31">
        <f>IF(OR(G440="",B440=""),"",B440-TodayDate)</f>
        <v>0</v>
      </c>
      <c r="AX440" s="39">
        <f>IF(G440="","",IF(P440="Cancelled","Cancelled",IF(P440="No access","Action - no access, rebook",IF(AND(B440&lt;&gt;"",AW440&lt;0,OR(P440="Booked",P440="Confirmed",P440="In progress")),"Late - mark it completed",IF(AND(P440="Completed",AP440=""),"Action - not invoiced yet",IF(AND(AW440&gt;=0,AW440&lt;=ReminderDays,Y440&lt;&gt;"Yes"),"Confirm - visit coming up",IF(R440="","Assign - no cleaner booked",IF(AND(P440="Completed",AO440&lt;&gt;"",AO440&lt;1),"Check - checklist unfinished","OK"))))))))</f>
        <v>0</v>
      </c>
    </row>
    <row r="441" spans="1:50">
      <c r="A441" s="43">
        <f>IF(G441="","",JobPrefix&amp;TEXT(ROW()-4,"0000"))</f>
        <v>0</v>
      </c>
      <c r="C441" s="23">
        <f>IF(B441="","",TEXT(B441,"ddd"))</f>
        <v>0</v>
      </c>
      <c r="D441" s="31">
        <f>IF(B441="","",WEEKNUM(B441,IF(WeekStart="Sunday",1,2)))</f>
        <v>0</v>
      </c>
      <c r="E441" s="23">
        <f>IF(B441="","",TEXT(B441,"yyyy-mm"))</f>
        <v>0</v>
      </c>
      <c r="H441" s="23">
        <f>IF(G441="","",IFERROR(INDEX(Clients!$B$5:$B$204,MATCH(G441,Clients!$A$5:$A$204,0)),"Not found"))</f>
        <v>0</v>
      </c>
      <c r="I441" s="23">
        <f>IF(G441="","",IFERROR(INDEX(Clients!$C$5:$C$204,MATCH(G441,Clients!$A$5:$A$204,0)),""))</f>
        <v>0</v>
      </c>
      <c r="K441" s="23">
        <f>IF(J441="","",IFERROR(INDEX(Properties!$B$5:$B$254,MATCH(J441,Properties!$A$5:$A$254,0)),""))</f>
        <v>0</v>
      </c>
      <c r="L441" s="23">
        <f>IF(J441="","",IFERROR(INDEX(Properties!$F$5:$F$254,MATCH(J441,Properties!$A$5:$A$254,0)),""))</f>
        <v>0</v>
      </c>
      <c r="AD441" s="34">
        <f>IF(G441="","",IF(U441&lt;&gt;"",U441,IF(AND(IFERROR(INDEX(Services!$D$5:$D$64,MATCH(M441,Services!$B$5:$B$64,0)),"")="Per hour",IFERROR(INDEX(Properties!$X$5:$X$254,MATCH(J441,Properties!$A$5:$A$254,0)),0)&gt;0),IFERROR(INDEX(Properties!$X$5:$X$254,MATCH(J441,Properties!$A$5:$A$254,0)),0),IF(IFERROR(INDEX(Services!$G$5:$G$64,MATCH(M441,Services!$B$5:$B$64,0)),0)&gt;0,IFERROR(INDEX(Services!$G$5:$G$64,MATCH(M441,Services!$B$5:$B$64,0)),0),IFERROR(INDEX(Properties!$X$5:$X$254,MATCH(J441,Properties!$A$5:$A$254,0)),0)))))</f>
        <v>0</v>
      </c>
      <c r="AE441" s="31">
        <f>IF(G441="","",IF(T441="",CleanersPerJob,MAX(1,T441)))</f>
        <v>0</v>
      </c>
      <c r="AF441" s="34">
        <f>IF(G441="","",ROUND(AD441/AE441,2))</f>
        <v>0</v>
      </c>
      <c r="AG441" s="53">
        <f>IF(OR(G441="",F441="",AF441=""),"",F441+AF441/24)</f>
        <v>0</v>
      </c>
      <c r="AH441" s="21">
        <f>IF(G441="","",IF(IFERROR(INDEX(Clients!$O$5:$O$204,MATCH(G441,Clients!$A$5:$A$204,0)),0)&gt;0,IFERROR(INDEX(Clients!$O$5:$O$204,MATCH(G441,Clients!$A$5:$A$204,0)),0),HourlyRate))</f>
        <v>0</v>
      </c>
      <c r="AI441" s="21">
        <f>IF(G441="","",IF(AND(M441&lt;&gt;"",IFERROR(INDEX(Services!$P$5:$P$64,MATCH(M441,Services!$B$5:$B$64,0)),0)&gt;0,IFERROR(INDEX(Services!$D$5:$D$64,MATCH(M441,Services!$B$5:$B$64,0)),"")&lt;&gt;"Per hour"),IFERROR(INDEX(Services!$P$5:$P$64,MATCH(M441,Services!$B$5:$B$64,0)),0),AD441*AH441))</f>
        <v>0</v>
      </c>
      <c r="AJ441" s="21">
        <f>IF(G441="","",IF(V441&lt;&gt;"",V441,IF(P441="Cancelled",0,MAX(MinimumCharge,ROUND(AI441*IFERROR(INDEX(FreqFactors,MATCH(O441,FreqNames,0)),1),2)))))</f>
        <v>0</v>
      </c>
      <c r="AK441" s="34">
        <f>IF(G441="","",IF(SUMIFS(Timesheets!$U$5:$U$804,Timesheets!$G$5:$G$804,A441)&gt;0,SUMIFS(Timesheets!$U$5:$U$804,Timesheets!$G$5:$G$804,A441),IF(Z441="","",Z441)))</f>
        <v>0</v>
      </c>
      <c r="AL441" s="34">
        <f>IF(OR(AK441="",AD441=""),"",AK441-AD441)</f>
        <v>0</v>
      </c>
      <c r="AM441" s="31">
        <f>IF(A441="","",COUNTIFS('Job Tasks'!$B$5:$B$904,A441))</f>
        <v>0</v>
      </c>
      <c r="AN441" s="31">
        <f>IF(A441="","",COUNTIFS('Job Tasks'!$B$5:$B$904,A441,'Job Tasks'!$H$5:$H$904,"Done"))</f>
        <v>0</v>
      </c>
      <c r="AO441" s="38">
        <f>IF(OR(A441="",AM441=0),"",AN441/AM441)</f>
        <v>0</v>
      </c>
      <c r="AP441" s="43">
        <f>IF(A441="","",IFERROR(INDEX('Invoice Lines'!$B$5:$B$804,MATCH(A441,'Invoice Lines'!$C$5:$C$804,0)),""))</f>
        <v>0</v>
      </c>
      <c r="AQ441" s="18">
        <f>IF(OR(G441="",B441="",X441&lt;&gt;"Yes"),"",IF(IFERROR(INDEX(FreqDays,MATCH(O441,FreqNames,0)),0)=0,"",B441+IFERROR(INDEX(FreqDays,MATCH(O441,FreqNames,0)),0)))</f>
        <v>0</v>
      </c>
      <c r="AR441" s="39">
        <f>IF(G441="","",IF(R441="","Unassigned",IF(COUNTIFS($R$5:$R$604,R441,$B$5:$B$604,B441,$F$5:$F$604,F441)&gt;1,"Clash",IF(SUMIFS($AF$5:$AF$604,$R$5:$R$604,R441,$B$5:$B$604,B441)&gt;ProductiveHours,"Long day","OK"))))</f>
        <v>0</v>
      </c>
      <c r="AS441" s="18">
        <f>IF(OR(G441="",B441=""),"",IF(AND(B441&gt;=TodayDate,P441&lt;&gt;"Cancelled"),B441,""))</f>
        <v>0</v>
      </c>
      <c r="AT441" s="31">
        <f>IF(AS441="","",COUNTIFS($AS$5:$AS$604,"&lt;"&amp;AS441)+COUNTIFS($AS$5:AS441,AS441))</f>
        <v>0</v>
      </c>
      <c r="AU441" s="18">
        <f>IF(OR(G441="",B441="",R441&lt;&gt;""),"",IF(AND(B441&gt;=TodayDate,P441&lt;&gt;"Cancelled"),B441,""))</f>
        <v>0</v>
      </c>
      <c r="AV441" s="31">
        <f>IF(AU441="","",COUNTIFS($AU$5:$AU$604,"&lt;"&amp;AU441)+COUNTIFS($AU$5:AU441,AU441))</f>
        <v>0</v>
      </c>
      <c r="AW441" s="31">
        <f>IF(OR(G441="",B441=""),"",B441-TodayDate)</f>
        <v>0</v>
      </c>
      <c r="AX441" s="39">
        <f>IF(G441="","",IF(P441="Cancelled","Cancelled",IF(P441="No access","Action - no access, rebook",IF(AND(B441&lt;&gt;"",AW441&lt;0,OR(P441="Booked",P441="Confirmed",P441="In progress")),"Late - mark it completed",IF(AND(P441="Completed",AP441=""),"Action - not invoiced yet",IF(AND(AW441&gt;=0,AW441&lt;=ReminderDays,Y441&lt;&gt;"Yes"),"Confirm - visit coming up",IF(R441="","Assign - no cleaner booked",IF(AND(P441="Completed",AO441&lt;&gt;"",AO441&lt;1),"Check - checklist unfinished","OK"))))))))</f>
        <v>0</v>
      </c>
    </row>
    <row r="442" spans="1:50">
      <c r="A442" s="43">
        <f>IF(G442="","",JobPrefix&amp;TEXT(ROW()-4,"0000"))</f>
        <v>0</v>
      </c>
      <c r="C442" s="23">
        <f>IF(B442="","",TEXT(B442,"ddd"))</f>
        <v>0</v>
      </c>
      <c r="D442" s="31">
        <f>IF(B442="","",WEEKNUM(B442,IF(WeekStart="Sunday",1,2)))</f>
        <v>0</v>
      </c>
      <c r="E442" s="23">
        <f>IF(B442="","",TEXT(B442,"yyyy-mm"))</f>
        <v>0</v>
      </c>
      <c r="H442" s="23">
        <f>IF(G442="","",IFERROR(INDEX(Clients!$B$5:$B$204,MATCH(G442,Clients!$A$5:$A$204,0)),"Not found"))</f>
        <v>0</v>
      </c>
      <c r="I442" s="23">
        <f>IF(G442="","",IFERROR(INDEX(Clients!$C$5:$C$204,MATCH(G442,Clients!$A$5:$A$204,0)),""))</f>
        <v>0</v>
      </c>
      <c r="K442" s="23">
        <f>IF(J442="","",IFERROR(INDEX(Properties!$B$5:$B$254,MATCH(J442,Properties!$A$5:$A$254,0)),""))</f>
        <v>0</v>
      </c>
      <c r="L442" s="23">
        <f>IF(J442="","",IFERROR(INDEX(Properties!$F$5:$F$254,MATCH(J442,Properties!$A$5:$A$254,0)),""))</f>
        <v>0</v>
      </c>
      <c r="AD442" s="34">
        <f>IF(G442="","",IF(U442&lt;&gt;"",U442,IF(AND(IFERROR(INDEX(Services!$D$5:$D$64,MATCH(M442,Services!$B$5:$B$64,0)),"")="Per hour",IFERROR(INDEX(Properties!$X$5:$X$254,MATCH(J442,Properties!$A$5:$A$254,0)),0)&gt;0),IFERROR(INDEX(Properties!$X$5:$X$254,MATCH(J442,Properties!$A$5:$A$254,0)),0),IF(IFERROR(INDEX(Services!$G$5:$G$64,MATCH(M442,Services!$B$5:$B$64,0)),0)&gt;0,IFERROR(INDEX(Services!$G$5:$G$64,MATCH(M442,Services!$B$5:$B$64,0)),0),IFERROR(INDEX(Properties!$X$5:$X$254,MATCH(J442,Properties!$A$5:$A$254,0)),0)))))</f>
        <v>0</v>
      </c>
      <c r="AE442" s="31">
        <f>IF(G442="","",IF(T442="",CleanersPerJob,MAX(1,T442)))</f>
        <v>0</v>
      </c>
      <c r="AF442" s="34">
        <f>IF(G442="","",ROUND(AD442/AE442,2))</f>
        <v>0</v>
      </c>
      <c r="AG442" s="53">
        <f>IF(OR(G442="",F442="",AF442=""),"",F442+AF442/24)</f>
        <v>0</v>
      </c>
      <c r="AH442" s="21">
        <f>IF(G442="","",IF(IFERROR(INDEX(Clients!$O$5:$O$204,MATCH(G442,Clients!$A$5:$A$204,0)),0)&gt;0,IFERROR(INDEX(Clients!$O$5:$O$204,MATCH(G442,Clients!$A$5:$A$204,0)),0),HourlyRate))</f>
        <v>0</v>
      </c>
      <c r="AI442" s="21">
        <f>IF(G442="","",IF(AND(M442&lt;&gt;"",IFERROR(INDEX(Services!$P$5:$P$64,MATCH(M442,Services!$B$5:$B$64,0)),0)&gt;0,IFERROR(INDEX(Services!$D$5:$D$64,MATCH(M442,Services!$B$5:$B$64,0)),"")&lt;&gt;"Per hour"),IFERROR(INDEX(Services!$P$5:$P$64,MATCH(M442,Services!$B$5:$B$64,0)),0),AD442*AH442))</f>
        <v>0</v>
      </c>
      <c r="AJ442" s="21">
        <f>IF(G442="","",IF(V442&lt;&gt;"",V442,IF(P442="Cancelled",0,MAX(MinimumCharge,ROUND(AI442*IFERROR(INDEX(FreqFactors,MATCH(O442,FreqNames,0)),1),2)))))</f>
        <v>0</v>
      </c>
      <c r="AK442" s="34">
        <f>IF(G442="","",IF(SUMIFS(Timesheets!$U$5:$U$804,Timesheets!$G$5:$G$804,A442)&gt;0,SUMIFS(Timesheets!$U$5:$U$804,Timesheets!$G$5:$G$804,A442),IF(Z442="","",Z442)))</f>
        <v>0</v>
      </c>
      <c r="AL442" s="34">
        <f>IF(OR(AK442="",AD442=""),"",AK442-AD442)</f>
        <v>0</v>
      </c>
      <c r="AM442" s="31">
        <f>IF(A442="","",COUNTIFS('Job Tasks'!$B$5:$B$904,A442))</f>
        <v>0</v>
      </c>
      <c r="AN442" s="31">
        <f>IF(A442="","",COUNTIFS('Job Tasks'!$B$5:$B$904,A442,'Job Tasks'!$H$5:$H$904,"Done"))</f>
        <v>0</v>
      </c>
      <c r="AO442" s="38">
        <f>IF(OR(A442="",AM442=0),"",AN442/AM442)</f>
        <v>0</v>
      </c>
      <c r="AP442" s="43">
        <f>IF(A442="","",IFERROR(INDEX('Invoice Lines'!$B$5:$B$804,MATCH(A442,'Invoice Lines'!$C$5:$C$804,0)),""))</f>
        <v>0</v>
      </c>
      <c r="AQ442" s="18">
        <f>IF(OR(G442="",B442="",X442&lt;&gt;"Yes"),"",IF(IFERROR(INDEX(FreqDays,MATCH(O442,FreqNames,0)),0)=0,"",B442+IFERROR(INDEX(FreqDays,MATCH(O442,FreqNames,0)),0)))</f>
        <v>0</v>
      </c>
      <c r="AR442" s="39">
        <f>IF(G442="","",IF(R442="","Unassigned",IF(COUNTIFS($R$5:$R$604,R442,$B$5:$B$604,B442,$F$5:$F$604,F442)&gt;1,"Clash",IF(SUMIFS($AF$5:$AF$604,$R$5:$R$604,R442,$B$5:$B$604,B442)&gt;ProductiveHours,"Long day","OK"))))</f>
        <v>0</v>
      </c>
      <c r="AS442" s="18">
        <f>IF(OR(G442="",B442=""),"",IF(AND(B442&gt;=TodayDate,P442&lt;&gt;"Cancelled"),B442,""))</f>
        <v>0</v>
      </c>
      <c r="AT442" s="31">
        <f>IF(AS442="","",COUNTIFS($AS$5:$AS$604,"&lt;"&amp;AS442)+COUNTIFS($AS$5:AS442,AS442))</f>
        <v>0</v>
      </c>
      <c r="AU442" s="18">
        <f>IF(OR(G442="",B442="",R442&lt;&gt;""),"",IF(AND(B442&gt;=TodayDate,P442&lt;&gt;"Cancelled"),B442,""))</f>
        <v>0</v>
      </c>
      <c r="AV442" s="31">
        <f>IF(AU442="","",COUNTIFS($AU$5:$AU$604,"&lt;"&amp;AU442)+COUNTIFS($AU$5:AU442,AU442))</f>
        <v>0</v>
      </c>
      <c r="AW442" s="31">
        <f>IF(OR(G442="",B442=""),"",B442-TodayDate)</f>
        <v>0</v>
      </c>
      <c r="AX442" s="39">
        <f>IF(G442="","",IF(P442="Cancelled","Cancelled",IF(P442="No access","Action - no access, rebook",IF(AND(B442&lt;&gt;"",AW442&lt;0,OR(P442="Booked",P442="Confirmed",P442="In progress")),"Late - mark it completed",IF(AND(P442="Completed",AP442=""),"Action - not invoiced yet",IF(AND(AW442&gt;=0,AW442&lt;=ReminderDays,Y442&lt;&gt;"Yes"),"Confirm - visit coming up",IF(R442="","Assign - no cleaner booked",IF(AND(P442="Completed",AO442&lt;&gt;"",AO442&lt;1),"Check - checklist unfinished","OK"))))))))</f>
        <v>0</v>
      </c>
    </row>
    <row r="443" spans="1:50">
      <c r="A443" s="43">
        <f>IF(G443="","",JobPrefix&amp;TEXT(ROW()-4,"0000"))</f>
        <v>0</v>
      </c>
      <c r="C443" s="23">
        <f>IF(B443="","",TEXT(B443,"ddd"))</f>
        <v>0</v>
      </c>
      <c r="D443" s="31">
        <f>IF(B443="","",WEEKNUM(B443,IF(WeekStart="Sunday",1,2)))</f>
        <v>0</v>
      </c>
      <c r="E443" s="23">
        <f>IF(B443="","",TEXT(B443,"yyyy-mm"))</f>
        <v>0</v>
      </c>
      <c r="H443" s="23">
        <f>IF(G443="","",IFERROR(INDEX(Clients!$B$5:$B$204,MATCH(G443,Clients!$A$5:$A$204,0)),"Not found"))</f>
        <v>0</v>
      </c>
      <c r="I443" s="23">
        <f>IF(G443="","",IFERROR(INDEX(Clients!$C$5:$C$204,MATCH(G443,Clients!$A$5:$A$204,0)),""))</f>
        <v>0</v>
      </c>
      <c r="K443" s="23">
        <f>IF(J443="","",IFERROR(INDEX(Properties!$B$5:$B$254,MATCH(J443,Properties!$A$5:$A$254,0)),""))</f>
        <v>0</v>
      </c>
      <c r="L443" s="23">
        <f>IF(J443="","",IFERROR(INDEX(Properties!$F$5:$F$254,MATCH(J443,Properties!$A$5:$A$254,0)),""))</f>
        <v>0</v>
      </c>
      <c r="AD443" s="34">
        <f>IF(G443="","",IF(U443&lt;&gt;"",U443,IF(AND(IFERROR(INDEX(Services!$D$5:$D$64,MATCH(M443,Services!$B$5:$B$64,0)),"")="Per hour",IFERROR(INDEX(Properties!$X$5:$X$254,MATCH(J443,Properties!$A$5:$A$254,0)),0)&gt;0),IFERROR(INDEX(Properties!$X$5:$X$254,MATCH(J443,Properties!$A$5:$A$254,0)),0),IF(IFERROR(INDEX(Services!$G$5:$G$64,MATCH(M443,Services!$B$5:$B$64,0)),0)&gt;0,IFERROR(INDEX(Services!$G$5:$G$64,MATCH(M443,Services!$B$5:$B$64,0)),0),IFERROR(INDEX(Properties!$X$5:$X$254,MATCH(J443,Properties!$A$5:$A$254,0)),0)))))</f>
        <v>0</v>
      </c>
      <c r="AE443" s="31">
        <f>IF(G443="","",IF(T443="",CleanersPerJob,MAX(1,T443)))</f>
        <v>0</v>
      </c>
      <c r="AF443" s="34">
        <f>IF(G443="","",ROUND(AD443/AE443,2))</f>
        <v>0</v>
      </c>
      <c r="AG443" s="53">
        <f>IF(OR(G443="",F443="",AF443=""),"",F443+AF443/24)</f>
        <v>0</v>
      </c>
      <c r="AH443" s="21">
        <f>IF(G443="","",IF(IFERROR(INDEX(Clients!$O$5:$O$204,MATCH(G443,Clients!$A$5:$A$204,0)),0)&gt;0,IFERROR(INDEX(Clients!$O$5:$O$204,MATCH(G443,Clients!$A$5:$A$204,0)),0),HourlyRate))</f>
        <v>0</v>
      </c>
      <c r="AI443" s="21">
        <f>IF(G443="","",IF(AND(M443&lt;&gt;"",IFERROR(INDEX(Services!$P$5:$P$64,MATCH(M443,Services!$B$5:$B$64,0)),0)&gt;0,IFERROR(INDEX(Services!$D$5:$D$64,MATCH(M443,Services!$B$5:$B$64,0)),"")&lt;&gt;"Per hour"),IFERROR(INDEX(Services!$P$5:$P$64,MATCH(M443,Services!$B$5:$B$64,0)),0),AD443*AH443))</f>
        <v>0</v>
      </c>
      <c r="AJ443" s="21">
        <f>IF(G443="","",IF(V443&lt;&gt;"",V443,IF(P443="Cancelled",0,MAX(MinimumCharge,ROUND(AI443*IFERROR(INDEX(FreqFactors,MATCH(O443,FreqNames,0)),1),2)))))</f>
        <v>0</v>
      </c>
      <c r="AK443" s="34">
        <f>IF(G443="","",IF(SUMIFS(Timesheets!$U$5:$U$804,Timesheets!$G$5:$G$804,A443)&gt;0,SUMIFS(Timesheets!$U$5:$U$804,Timesheets!$G$5:$G$804,A443),IF(Z443="","",Z443)))</f>
        <v>0</v>
      </c>
      <c r="AL443" s="34">
        <f>IF(OR(AK443="",AD443=""),"",AK443-AD443)</f>
        <v>0</v>
      </c>
      <c r="AM443" s="31">
        <f>IF(A443="","",COUNTIFS('Job Tasks'!$B$5:$B$904,A443))</f>
        <v>0</v>
      </c>
      <c r="AN443" s="31">
        <f>IF(A443="","",COUNTIFS('Job Tasks'!$B$5:$B$904,A443,'Job Tasks'!$H$5:$H$904,"Done"))</f>
        <v>0</v>
      </c>
      <c r="AO443" s="38">
        <f>IF(OR(A443="",AM443=0),"",AN443/AM443)</f>
        <v>0</v>
      </c>
      <c r="AP443" s="43">
        <f>IF(A443="","",IFERROR(INDEX('Invoice Lines'!$B$5:$B$804,MATCH(A443,'Invoice Lines'!$C$5:$C$804,0)),""))</f>
        <v>0</v>
      </c>
      <c r="AQ443" s="18">
        <f>IF(OR(G443="",B443="",X443&lt;&gt;"Yes"),"",IF(IFERROR(INDEX(FreqDays,MATCH(O443,FreqNames,0)),0)=0,"",B443+IFERROR(INDEX(FreqDays,MATCH(O443,FreqNames,0)),0)))</f>
        <v>0</v>
      </c>
      <c r="AR443" s="39">
        <f>IF(G443="","",IF(R443="","Unassigned",IF(COUNTIFS($R$5:$R$604,R443,$B$5:$B$604,B443,$F$5:$F$604,F443)&gt;1,"Clash",IF(SUMIFS($AF$5:$AF$604,$R$5:$R$604,R443,$B$5:$B$604,B443)&gt;ProductiveHours,"Long day","OK"))))</f>
        <v>0</v>
      </c>
      <c r="AS443" s="18">
        <f>IF(OR(G443="",B443=""),"",IF(AND(B443&gt;=TodayDate,P443&lt;&gt;"Cancelled"),B443,""))</f>
        <v>0</v>
      </c>
      <c r="AT443" s="31">
        <f>IF(AS443="","",COUNTIFS($AS$5:$AS$604,"&lt;"&amp;AS443)+COUNTIFS($AS$5:AS443,AS443))</f>
        <v>0</v>
      </c>
      <c r="AU443" s="18">
        <f>IF(OR(G443="",B443="",R443&lt;&gt;""),"",IF(AND(B443&gt;=TodayDate,P443&lt;&gt;"Cancelled"),B443,""))</f>
        <v>0</v>
      </c>
      <c r="AV443" s="31">
        <f>IF(AU443="","",COUNTIFS($AU$5:$AU$604,"&lt;"&amp;AU443)+COUNTIFS($AU$5:AU443,AU443))</f>
        <v>0</v>
      </c>
      <c r="AW443" s="31">
        <f>IF(OR(G443="",B443=""),"",B443-TodayDate)</f>
        <v>0</v>
      </c>
      <c r="AX443" s="39">
        <f>IF(G443="","",IF(P443="Cancelled","Cancelled",IF(P443="No access","Action - no access, rebook",IF(AND(B443&lt;&gt;"",AW443&lt;0,OR(P443="Booked",P443="Confirmed",P443="In progress")),"Late - mark it completed",IF(AND(P443="Completed",AP443=""),"Action - not invoiced yet",IF(AND(AW443&gt;=0,AW443&lt;=ReminderDays,Y443&lt;&gt;"Yes"),"Confirm - visit coming up",IF(R443="","Assign - no cleaner booked",IF(AND(P443="Completed",AO443&lt;&gt;"",AO443&lt;1),"Check - checklist unfinished","OK"))))))))</f>
        <v>0</v>
      </c>
    </row>
    <row r="444" spans="1:50">
      <c r="A444" s="43">
        <f>IF(G444="","",JobPrefix&amp;TEXT(ROW()-4,"0000"))</f>
        <v>0</v>
      </c>
      <c r="C444" s="23">
        <f>IF(B444="","",TEXT(B444,"ddd"))</f>
        <v>0</v>
      </c>
      <c r="D444" s="31">
        <f>IF(B444="","",WEEKNUM(B444,IF(WeekStart="Sunday",1,2)))</f>
        <v>0</v>
      </c>
      <c r="E444" s="23">
        <f>IF(B444="","",TEXT(B444,"yyyy-mm"))</f>
        <v>0</v>
      </c>
      <c r="H444" s="23">
        <f>IF(G444="","",IFERROR(INDEX(Clients!$B$5:$B$204,MATCH(G444,Clients!$A$5:$A$204,0)),"Not found"))</f>
        <v>0</v>
      </c>
      <c r="I444" s="23">
        <f>IF(G444="","",IFERROR(INDEX(Clients!$C$5:$C$204,MATCH(G444,Clients!$A$5:$A$204,0)),""))</f>
        <v>0</v>
      </c>
      <c r="K444" s="23">
        <f>IF(J444="","",IFERROR(INDEX(Properties!$B$5:$B$254,MATCH(J444,Properties!$A$5:$A$254,0)),""))</f>
        <v>0</v>
      </c>
      <c r="L444" s="23">
        <f>IF(J444="","",IFERROR(INDEX(Properties!$F$5:$F$254,MATCH(J444,Properties!$A$5:$A$254,0)),""))</f>
        <v>0</v>
      </c>
      <c r="AD444" s="34">
        <f>IF(G444="","",IF(U444&lt;&gt;"",U444,IF(AND(IFERROR(INDEX(Services!$D$5:$D$64,MATCH(M444,Services!$B$5:$B$64,0)),"")="Per hour",IFERROR(INDEX(Properties!$X$5:$X$254,MATCH(J444,Properties!$A$5:$A$254,0)),0)&gt;0),IFERROR(INDEX(Properties!$X$5:$X$254,MATCH(J444,Properties!$A$5:$A$254,0)),0),IF(IFERROR(INDEX(Services!$G$5:$G$64,MATCH(M444,Services!$B$5:$B$64,0)),0)&gt;0,IFERROR(INDEX(Services!$G$5:$G$64,MATCH(M444,Services!$B$5:$B$64,0)),0),IFERROR(INDEX(Properties!$X$5:$X$254,MATCH(J444,Properties!$A$5:$A$254,0)),0)))))</f>
        <v>0</v>
      </c>
      <c r="AE444" s="31">
        <f>IF(G444="","",IF(T444="",CleanersPerJob,MAX(1,T444)))</f>
        <v>0</v>
      </c>
      <c r="AF444" s="34">
        <f>IF(G444="","",ROUND(AD444/AE444,2))</f>
        <v>0</v>
      </c>
      <c r="AG444" s="53">
        <f>IF(OR(G444="",F444="",AF444=""),"",F444+AF444/24)</f>
        <v>0</v>
      </c>
      <c r="AH444" s="21">
        <f>IF(G444="","",IF(IFERROR(INDEX(Clients!$O$5:$O$204,MATCH(G444,Clients!$A$5:$A$204,0)),0)&gt;0,IFERROR(INDEX(Clients!$O$5:$O$204,MATCH(G444,Clients!$A$5:$A$204,0)),0),HourlyRate))</f>
        <v>0</v>
      </c>
      <c r="AI444" s="21">
        <f>IF(G444="","",IF(AND(M444&lt;&gt;"",IFERROR(INDEX(Services!$P$5:$P$64,MATCH(M444,Services!$B$5:$B$64,0)),0)&gt;0,IFERROR(INDEX(Services!$D$5:$D$64,MATCH(M444,Services!$B$5:$B$64,0)),"")&lt;&gt;"Per hour"),IFERROR(INDEX(Services!$P$5:$P$64,MATCH(M444,Services!$B$5:$B$64,0)),0),AD444*AH444))</f>
        <v>0</v>
      </c>
      <c r="AJ444" s="21">
        <f>IF(G444="","",IF(V444&lt;&gt;"",V444,IF(P444="Cancelled",0,MAX(MinimumCharge,ROUND(AI444*IFERROR(INDEX(FreqFactors,MATCH(O444,FreqNames,0)),1),2)))))</f>
        <v>0</v>
      </c>
      <c r="AK444" s="34">
        <f>IF(G444="","",IF(SUMIFS(Timesheets!$U$5:$U$804,Timesheets!$G$5:$G$804,A444)&gt;0,SUMIFS(Timesheets!$U$5:$U$804,Timesheets!$G$5:$G$804,A444),IF(Z444="","",Z444)))</f>
        <v>0</v>
      </c>
      <c r="AL444" s="34">
        <f>IF(OR(AK444="",AD444=""),"",AK444-AD444)</f>
        <v>0</v>
      </c>
      <c r="AM444" s="31">
        <f>IF(A444="","",COUNTIFS('Job Tasks'!$B$5:$B$904,A444))</f>
        <v>0</v>
      </c>
      <c r="AN444" s="31">
        <f>IF(A444="","",COUNTIFS('Job Tasks'!$B$5:$B$904,A444,'Job Tasks'!$H$5:$H$904,"Done"))</f>
        <v>0</v>
      </c>
      <c r="AO444" s="38">
        <f>IF(OR(A444="",AM444=0),"",AN444/AM444)</f>
        <v>0</v>
      </c>
      <c r="AP444" s="43">
        <f>IF(A444="","",IFERROR(INDEX('Invoice Lines'!$B$5:$B$804,MATCH(A444,'Invoice Lines'!$C$5:$C$804,0)),""))</f>
        <v>0</v>
      </c>
      <c r="AQ444" s="18">
        <f>IF(OR(G444="",B444="",X444&lt;&gt;"Yes"),"",IF(IFERROR(INDEX(FreqDays,MATCH(O444,FreqNames,0)),0)=0,"",B444+IFERROR(INDEX(FreqDays,MATCH(O444,FreqNames,0)),0)))</f>
        <v>0</v>
      </c>
      <c r="AR444" s="39">
        <f>IF(G444="","",IF(R444="","Unassigned",IF(COUNTIFS($R$5:$R$604,R444,$B$5:$B$604,B444,$F$5:$F$604,F444)&gt;1,"Clash",IF(SUMIFS($AF$5:$AF$604,$R$5:$R$604,R444,$B$5:$B$604,B444)&gt;ProductiveHours,"Long day","OK"))))</f>
        <v>0</v>
      </c>
      <c r="AS444" s="18">
        <f>IF(OR(G444="",B444=""),"",IF(AND(B444&gt;=TodayDate,P444&lt;&gt;"Cancelled"),B444,""))</f>
        <v>0</v>
      </c>
      <c r="AT444" s="31">
        <f>IF(AS444="","",COUNTIFS($AS$5:$AS$604,"&lt;"&amp;AS444)+COUNTIFS($AS$5:AS444,AS444))</f>
        <v>0</v>
      </c>
      <c r="AU444" s="18">
        <f>IF(OR(G444="",B444="",R444&lt;&gt;""),"",IF(AND(B444&gt;=TodayDate,P444&lt;&gt;"Cancelled"),B444,""))</f>
        <v>0</v>
      </c>
      <c r="AV444" s="31">
        <f>IF(AU444="","",COUNTIFS($AU$5:$AU$604,"&lt;"&amp;AU444)+COUNTIFS($AU$5:AU444,AU444))</f>
        <v>0</v>
      </c>
      <c r="AW444" s="31">
        <f>IF(OR(G444="",B444=""),"",B444-TodayDate)</f>
        <v>0</v>
      </c>
      <c r="AX444" s="39">
        <f>IF(G444="","",IF(P444="Cancelled","Cancelled",IF(P444="No access","Action - no access, rebook",IF(AND(B444&lt;&gt;"",AW444&lt;0,OR(P444="Booked",P444="Confirmed",P444="In progress")),"Late - mark it completed",IF(AND(P444="Completed",AP444=""),"Action - not invoiced yet",IF(AND(AW444&gt;=0,AW444&lt;=ReminderDays,Y444&lt;&gt;"Yes"),"Confirm - visit coming up",IF(R444="","Assign - no cleaner booked",IF(AND(P444="Completed",AO444&lt;&gt;"",AO444&lt;1),"Check - checklist unfinished","OK"))))))))</f>
        <v>0</v>
      </c>
    </row>
    <row r="445" spans="1:50">
      <c r="A445" s="43">
        <f>IF(G445="","",JobPrefix&amp;TEXT(ROW()-4,"0000"))</f>
        <v>0</v>
      </c>
      <c r="C445" s="23">
        <f>IF(B445="","",TEXT(B445,"ddd"))</f>
        <v>0</v>
      </c>
      <c r="D445" s="31">
        <f>IF(B445="","",WEEKNUM(B445,IF(WeekStart="Sunday",1,2)))</f>
        <v>0</v>
      </c>
      <c r="E445" s="23">
        <f>IF(B445="","",TEXT(B445,"yyyy-mm"))</f>
        <v>0</v>
      </c>
      <c r="H445" s="23">
        <f>IF(G445="","",IFERROR(INDEX(Clients!$B$5:$B$204,MATCH(G445,Clients!$A$5:$A$204,0)),"Not found"))</f>
        <v>0</v>
      </c>
      <c r="I445" s="23">
        <f>IF(G445="","",IFERROR(INDEX(Clients!$C$5:$C$204,MATCH(G445,Clients!$A$5:$A$204,0)),""))</f>
        <v>0</v>
      </c>
      <c r="K445" s="23">
        <f>IF(J445="","",IFERROR(INDEX(Properties!$B$5:$B$254,MATCH(J445,Properties!$A$5:$A$254,0)),""))</f>
        <v>0</v>
      </c>
      <c r="L445" s="23">
        <f>IF(J445="","",IFERROR(INDEX(Properties!$F$5:$F$254,MATCH(J445,Properties!$A$5:$A$254,0)),""))</f>
        <v>0</v>
      </c>
      <c r="AD445" s="34">
        <f>IF(G445="","",IF(U445&lt;&gt;"",U445,IF(AND(IFERROR(INDEX(Services!$D$5:$D$64,MATCH(M445,Services!$B$5:$B$64,0)),"")="Per hour",IFERROR(INDEX(Properties!$X$5:$X$254,MATCH(J445,Properties!$A$5:$A$254,0)),0)&gt;0),IFERROR(INDEX(Properties!$X$5:$X$254,MATCH(J445,Properties!$A$5:$A$254,0)),0),IF(IFERROR(INDEX(Services!$G$5:$G$64,MATCH(M445,Services!$B$5:$B$64,0)),0)&gt;0,IFERROR(INDEX(Services!$G$5:$G$64,MATCH(M445,Services!$B$5:$B$64,0)),0),IFERROR(INDEX(Properties!$X$5:$X$254,MATCH(J445,Properties!$A$5:$A$254,0)),0)))))</f>
        <v>0</v>
      </c>
      <c r="AE445" s="31">
        <f>IF(G445="","",IF(T445="",CleanersPerJob,MAX(1,T445)))</f>
        <v>0</v>
      </c>
      <c r="AF445" s="34">
        <f>IF(G445="","",ROUND(AD445/AE445,2))</f>
        <v>0</v>
      </c>
      <c r="AG445" s="53">
        <f>IF(OR(G445="",F445="",AF445=""),"",F445+AF445/24)</f>
        <v>0</v>
      </c>
      <c r="AH445" s="21">
        <f>IF(G445="","",IF(IFERROR(INDEX(Clients!$O$5:$O$204,MATCH(G445,Clients!$A$5:$A$204,0)),0)&gt;0,IFERROR(INDEX(Clients!$O$5:$O$204,MATCH(G445,Clients!$A$5:$A$204,0)),0),HourlyRate))</f>
        <v>0</v>
      </c>
      <c r="AI445" s="21">
        <f>IF(G445="","",IF(AND(M445&lt;&gt;"",IFERROR(INDEX(Services!$P$5:$P$64,MATCH(M445,Services!$B$5:$B$64,0)),0)&gt;0,IFERROR(INDEX(Services!$D$5:$D$64,MATCH(M445,Services!$B$5:$B$64,0)),"")&lt;&gt;"Per hour"),IFERROR(INDEX(Services!$P$5:$P$64,MATCH(M445,Services!$B$5:$B$64,0)),0),AD445*AH445))</f>
        <v>0</v>
      </c>
      <c r="AJ445" s="21">
        <f>IF(G445="","",IF(V445&lt;&gt;"",V445,IF(P445="Cancelled",0,MAX(MinimumCharge,ROUND(AI445*IFERROR(INDEX(FreqFactors,MATCH(O445,FreqNames,0)),1),2)))))</f>
        <v>0</v>
      </c>
      <c r="AK445" s="34">
        <f>IF(G445="","",IF(SUMIFS(Timesheets!$U$5:$U$804,Timesheets!$G$5:$G$804,A445)&gt;0,SUMIFS(Timesheets!$U$5:$U$804,Timesheets!$G$5:$G$804,A445),IF(Z445="","",Z445)))</f>
        <v>0</v>
      </c>
      <c r="AL445" s="34">
        <f>IF(OR(AK445="",AD445=""),"",AK445-AD445)</f>
        <v>0</v>
      </c>
      <c r="AM445" s="31">
        <f>IF(A445="","",COUNTIFS('Job Tasks'!$B$5:$B$904,A445))</f>
        <v>0</v>
      </c>
      <c r="AN445" s="31">
        <f>IF(A445="","",COUNTIFS('Job Tasks'!$B$5:$B$904,A445,'Job Tasks'!$H$5:$H$904,"Done"))</f>
        <v>0</v>
      </c>
      <c r="AO445" s="38">
        <f>IF(OR(A445="",AM445=0),"",AN445/AM445)</f>
        <v>0</v>
      </c>
      <c r="AP445" s="43">
        <f>IF(A445="","",IFERROR(INDEX('Invoice Lines'!$B$5:$B$804,MATCH(A445,'Invoice Lines'!$C$5:$C$804,0)),""))</f>
        <v>0</v>
      </c>
      <c r="AQ445" s="18">
        <f>IF(OR(G445="",B445="",X445&lt;&gt;"Yes"),"",IF(IFERROR(INDEX(FreqDays,MATCH(O445,FreqNames,0)),0)=0,"",B445+IFERROR(INDEX(FreqDays,MATCH(O445,FreqNames,0)),0)))</f>
        <v>0</v>
      </c>
      <c r="AR445" s="39">
        <f>IF(G445="","",IF(R445="","Unassigned",IF(COUNTIFS($R$5:$R$604,R445,$B$5:$B$604,B445,$F$5:$F$604,F445)&gt;1,"Clash",IF(SUMIFS($AF$5:$AF$604,$R$5:$R$604,R445,$B$5:$B$604,B445)&gt;ProductiveHours,"Long day","OK"))))</f>
        <v>0</v>
      </c>
      <c r="AS445" s="18">
        <f>IF(OR(G445="",B445=""),"",IF(AND(B445&gt;=TodayDate,P445&lt;&gt;"Cancelled"),B445,""))</f>
        <v>0</v>
      </c>
      <c r="AT445" s="31">
        <f>IF(AS445="","",COUNTIFS($AS$5:$AS$604,"&lt;"&amp;AS445)+COUNTIFS($AS$5:AS445,AS445))</f>
        <v>0</v>
      </c>
      <c r="AU445" s="18">
        <f>IF(OR(G445="",B445="",R445&lt;&gt;""),"",IF(AND(B445&gt;=TodayDate,P445&lt;&gt;"Cancelled"),B445,""))</f>
        <v>0</v>
      </c>
      <c r="AV445" s="31">
        <f>IF(AU445="","",COUNTIFS($AU$5:$AU$604,"&lt;"&amp;AU445)+COUNTIFS($AU$5:AU445,AU445))</f>
        <v>0</v>
      </c>
      <c r="AW445" s="31">
        <f>IF(OR(G445="",B445=""),"",B445-TodayDate)</f>
        <v>0</v>
      </c>
      <c r="AX445" s="39">
        <f>IF(G445="","",IF(P445="Cancelled","Cancelled",IF(P445="No access","Action - no access, rebook",IF(AND(B445&lt;&gt;"",AW445&lt;0,OR(P445="Booked",P445="Confirmed",P445="In progress")),"Late - mark it completed",IF(AND(P445="Completed",AP445=""),"Action - not invoiced yet",IF(AND(AW445&gt;=0,AW445&lt;=ReminderDays,Y445&lt;&gt;"Yes"),"Confirm - visit coming up",IF(R445="","Assign - no cleaner booked",IF(AND(P445="Completed",AO445&lt;&gt;"",AO445&lt;1),"Check - checklist unfinished","OK"))))))))</f>
        <v>0</v>
      </c>
    </row>
    <row r="446" spans="1:50">
      <c r="A446" s="43">
        <f>IF(G446="","",JobPrefix&amp;TEXT(ROW()-4,"0000"))</f>
        <v>0</v>
      </c>
      <c r="C446" s="23">
        <f>IF(B446="","",TEXT(B446,"ddd"))</f>
        <v>0</v>
      </c>
      <c r="D446" s="31">
        <f>IF(B446="","",WEEKNUM(B446,IF(WeekStart="Sunday",1,2)))</f>
        <v>0</v>
      </c>
      <c r="E446" s="23">
        <f>IF(B446="","",TEXT(B446,"yyyy-mm"))</f>
        <v>0</v>
      </c>
      <c r="H446" s="23">
        <f>IF(G446="","",IFERROR(INDEX(Clients!$B$5:$B$204,MATCH(G446,Clients!$A$5:$A$204,0)),"Not found"))</f>
        <v>0</v>
      </c>
      <c r="I446" s="23">
        <f>IF(G446="","",IFERROR(INDEX(Clients!$C$5:$C$204,MATCH(G446,Clients!$A$5:$A$204,0)),""))</f>
        <v>0</v>
      </c>
      <c r="K446" s="23">
        <f>IF(J446="","",IFERROR(INDEX(Properties!$B$5:$B$254,MATCH(J446,Properties!$A$5:$A$254,0)),""))</f>
        <v>0</v>
      </c>
      <c r="L446" s="23">
        <f>IF(J446="","",IFERROR(INDEX(Properties!$F$5:$F$254,MATCH(J446,Properties!$A$5:$A$254,0)),""))</f>
        <v>0</v>
      </c>
      <c r="AD446" s="34">
        <f>IF(G446="","",IF(U446&lt;&gt;"",U446,IF(AND(IFERROR(INDEX(Services!$D$5:$D$64,MATCH(M446,Services!$B$5:$B$64,0)),"")="Per hour",IFERROR(INDEX(Properties!$X$5:$X$254,MATCH(J446,Properties!$A$5:$A$254,0)),0)&gt;0),IFERROR(INDEX(Properties!$X$5:$X$254,MATCH(J446,Properties!$A$5:$A$254,0)),0),IF(IFERROR(INDEX(Services!$G$5:$G$64,MATCH(M446,Services!$B$5:$B$64,0)),0)&gt;0,IFERROR(INDEX(Services!$G$5:$G$64,MATCH(M446,Services!$B$5:$B$64,0)),0),IFERROR(INDEX(Properties!$X$5:$X$254,MATCH(J446,Properties!$A$5:$A$254,0)),0)))))</f>
        <v>0</v>
      </c>
      <c r="AE446" s="31">
        <f>IF(G446="","",IF(T446="",CleanersPerJob,MAX(1,T446)))</f>
        <v>0</v>
      </c>
      <c r="AF446" s="34">
        <f>IF(G446="","",ROUND(AD446/AE446,2))</f>
        <v>0</v>
      </c>
      <c r="AG446" s="53">
        <f>IF(OR(G446="",F446="",AF446=""),"",F446+AF446/24)</f>
        <v>0</v>
      </c>
      <c r="AH446" s="21">
        <f>IF(G446="","",IF(IFERROR(INDEX(Clients!$O$5:$O$204,MATCH(G446,Clients!$A$5:$A$204,0)),0)&gt;0,IFERROR(INDEX(Clients!$O$5:$O$204,MATCH(G446,Clients!$A$5:$A$204,0)),0),HourlyRate))</f>
        <v>0</v>
      </c>
      <c r="AI446" s="21">
        <f>IF(G446="","",IF(AND(M446&lt;&gt;"",IFERROR(INDEX(Services!$P$5:$P$64,MATCH(M446,Services!$B$5:$B$64,0)),0)&gt;0,IFERROR(INDEX(Services!$D$5:$D$64,MATCH(M446,Services!$B$5:$B$64,0)),"")&lt;&gt;"Per hour"),IFERROR(INDEX(Services!$P$5:$P$64,MATCH(M446,Services!$B$5:$B$64,0)),0),AD446*AH446))</f>
        <v>0</v>
      </c>
      <c r="AJ446" s="21">
        <f>IF(G446="","",IF(V446&lt;&gt;"",V446,IF(P446="Cancelled",0,MAX(MinimumCharge,ROUND(AI446*IFERROR(INDEX(FreqFactors,MATCH(O446,FreqNames,0)),1),2)))))</f>
        <v>0</v>
      </c>
      <c r="AK446" s="34">
        <f>IF(G446="","",IF(SUMIFS(Timesheets!$U$5:$U$804,Timesheets!$G$5:$G$804,A446)&gt;0,SUMIFS(Timesheets!$U$5:$U$804,Timesheets!$G$5:$G$804,A446),IF(Z446="","",Z446)))</f>
        <v>0</v>
      </c>
      <c r="AL446" s="34">
        <f>IF(OR(AK446="",AD446=""),"",AK446-AD446)</f>
        <v>0</v>
      </c>
      <c r="AM446" s="31">
        <f>IF(A446="","",COUNTIFS('Job Tasks'!$B$5:$B$904,A446))</f>
        <v>0</v>
      </c>
      <c r="AN446" s="31">
        <f>IF(A446="","",COUNTIFS('Job Tasks'!$B$5:$B$904,A446,'Job Tasks'!$H$5:$H$904,"Done"))</f>
        <v>0</v>
      </c>
      <c r="AO446" s="38">
        <f>IF(OR(A446="",AM446=0),"",AN446/AM446)</f>
        <v>0</v>
      </c>
      <c r="AP446" s="43">
        <f>IF(A446="","",IFERROR(INDEX('Invoice Lines'!$B$5:$B$804,MATCH(A446,'Invoice Lines'!$C$5:$C$804,0)),""))</f>
        <v>0</v>
      </c>
      <c r="AQ446" s="18">
        <f>IF(OR(G446="",B446="",X446&lt;&gt;"Yes"),"",IF(IFERROR(INDEX(FreqDays,MATCH(O446,FreqNames,0)),0)=0,"",B446+IFERROR(INDEX(FreqDays,MATCH(O446,FreqNames,0)),0)))</f>
        <v>0</v>
      </c>
      <c r="AR446" s="39">
        <f>IF(G446="","",IF(R446="","Unassigned",IF(COUNTIFS($R$5:$R$604,R446,$B$5:$B$604,B446,$F$5:$F$604,F446)&gt;1,"Clash",IF(SUMIFS($AF$5:$AF$604,$R$5:$R$604,R446,$B$5:$B$604,B446)&gt;ProductiveHours,"Long day","OK"))))</f>
        <v>0</v>
      </c>
      <c r="AS446" s="18">
        <f>IF(OR(G446="",B446=""),"",IF(AND(B446&gt;=TodayDate,P446&lt;&gt;"Cancelled"),B446,""))</f>
        <v>0</v>
      </c>
      <c r="AT446" s="31">
        <f>IF(AS446="","",COUNTIFS($AS$5:$AS$604,"&lt;"&amp;AS446)+COUNTIFS($AS$5:AS446,AS446))</f>
        <v>0</v>
      </c>
      <c r="AU446" s="18">
        <f>IF(OR(G446="",B446="",R446&lt;&gt;""),"",IF(AND(B446&gt;=TodayDate,P446&lt;&gt;"Cancelled"),B446,""))</f>
        <v>0</v>
      </c>
      <c r="AV446" s="31">
        <f>IF(AU446="","",COUNTIFS($AU$5:$AU$604,"&lt;"&amp;AU446)+COUNTIFS($AU$5:AU446,AU446))</f>
        <v>0</v>
      </c>
      <c r="AW446" s="31">
        <f>IF(OR(G446="",B446=""),"",B446-TodayDate)</f>
        <v>0</v>
      </c>
      <c r="AX446" s="39">
        <f>IF(G446="","",IF(P446="Cancelled","Cancelled",IF(P446="No access","Action - no access, rebook",IF(AND(B446&lt;&gt;"",AW446&lt;0,OR(P446="Booked",P446="Confirmed",P446="In progress")),"Late - mark it completed",IF(AND(P446="Completed",AP446=""),"Action - not invoiced yet",IF(AND(AW446&gt;=0,AW446&lt;=ReminderDays,Y446&lt;&gt;"Yes"),"Confirm - visit coming up",IF(R446="","Assign - no cleaner booked",IF(AND(P446="Completed",AO446&lt;&gt;"",AO446&lt;1),"Check - checklist unfinished","OK"))))))))</f>
        <v>0</v>
      </c>
    </row>
    <row r="447" spans="1:50">
      <c r="A447" s="43">
        <f>IF(G447="","",JobPrefix&amp;TEXT(ROW()-4,"0000"))</f>
        <v>0</v>
      </c>
      <c r="C447" s="23">
        <f>IF(B447="","",TEXT(B447,"ddd"))</f>
        <v>0</v>
      </c>
      <c r="D447" s="31">
        <f>IF(B447="","",WEEKNUM(B447,IF(WeekStart="Sunday",1,2)))</f>
        <v>0</v>
      </c>
      <c r="E447" s="23">
        <f>IF(B447="","",TEXT(B447,"yyyy-mm"))</f>
        <v>0</v>
      </c>
      <c r="H447" s="23">
        <f>IF(G447="","",IFERROR(INDEX(Clients!$B$5:$B$204,MATCH(G447,Clients!$A$5:$A$204,0)),"Not found"))</f>
        <v>0</v>
      </c>
      <c r="I447" s="23">
        <f>IF(G447="","",IFERROR(INDEX(Clients!$C$5:$C$204,MATCH(G447,Clients!$A$5:$A$204,0)),""))</f>
        <v>0</v>
      </c>
      <c r="K447" s="23">
        <f>IF(J447="","",IFERROR(INDEX(Properties!$B$5:$B$254,MATCH(J447,Properties!$A$5:$A$254,0)),""))</f>
        <v>0</v>
      </c>
      <c r="L447" s="23">
        <f>IF(J447="","",IFERROR(INDEX(Properties!$F$5:$F$254,MATCH(J447,Properties!$A$5:$A$254,0)),""))</f>
        <v>0</v>
      </c>
      <c r="AD447" s="34">
        <f>IF(G447="","",IF(U447&lt;&gt;"",U447,IF(AND(IFERROR(INDEX(Services!$D$5:$D$64,MATCH(M447,Services!$B$5:$B$64,0)),"")="Per hour",IFERROR(INDEX(Properties!$X$5:$X$254,MATCH(J447,Properties!$A$5:$A$254,0)),0)&gt;0),IFERROR(INDEX(Properties!$X$5:$X$254,MATCH(J447,Properties!$A$5:$A$254,0)),0),IF(IFERROR(INDEX(Services!$G$5:$G$64,MATCH(M447,Services!$B$5:$B$64,0)),0)&gt;0,IFERROR(INDEX(Services!$G$5:$G$64,MATCH(M447,Services!$B$5:$B$64,0)),0),IFERROR(INDEX(Properties!$X$5:$X$254,MATCH(J447,Properties!$A$5:$A$254,0)),0)))))</f>
        <v>0</v>
      </c>
      <c r="AE447" s="31">
        <f>IF(G447="","",IF(T447="",CleanersPerJob,MAX(1,T447)))</f>
        <v>0</v>
      </c>
      <c r="AF447" s="34">
        <f>IF(G447="","",ROUND(AD447/AE447,2))</f>
        <v>0</v>
      </c>
      <c r="AG447" s="53">
        <f>IF(OR(G447="",F447="",AF447=""),"",F447+AF447/24)</f>
        <v>0</v>
      </c>
      <c r="AH447" s="21">
        <f>IF(G447="","",IF(IFERROR(INDEX(Clients!$O$5:$O$204,MATCH(G447,Clients!$A$5:$A$204,0)),0)&gt;0,IFERROR(INDEX(Clients!$O$5:$O$204,MATCH(G447,Clients!$A$5:$A$204,0)),0),HourlyRate))</f>
        <v>0</v>
      </c>
      <c r="AI447" s="21">
        <f>IF(G447="","",IF(AND(M447&lt;&gt;"",IFERROR(INDEX(Services!$P$5:$P$64,MATCH(M447,Services!$B$5:$B$64,0)),0)&gt;0,IFERROR(INDEX(Services!$D$5:$D$64,MATCH(M447,Services!$B$5:$B$64,0)),"")&lt;&gt;"Per hour"),IFERROR(INDEX(Services!$P$5:$P$64,MATCH(M447,Services!$B$5:$B$64,0)),0),AD447*AH447))</f>
        <v>0</v>
      </c>
      <c r="AJ447" s="21">
        <f>IF(G447="","",IF(V447&lt;&gt;"",V447,IF(P447="Cancelled",0,MAX(MinimumCharge,ROUND(AI447*IFERROR(INDEX(FreqFactors,MATCH(O447,FreqNames,0)),1),2)))))</f>
        <v>0</v>
      </c>
      <c r="AK447" s="34">
        <f>IF(G447="","",IF(SUMIFS(Timesheets!$U$5:$U$804,Timesheets!$G$5:$G$804,A447)&gt;0,SUMIFS(Timesheets!$U$5:$U$804,Timesheets!$G$5:$G$804,A447),IF(Z447="","",Z447)))</f>
        <v>0</v>
      </c>
      <c r="AL447" s="34">
        <f>IF(OR(AK447="",AD447=""),"",AK447-AD447)</f>
        <v>0</v>
      </c>
      <c r="AM447" s="31">
        <f>IF(A447="","",COUNTIFS('Job Tasks'!$B$5:$B$904,A447))</f>
        <v>0</v>
      </c>
      <c r="AN447" s="31">
        <f>IF(A447="","",COUNTIFS('Job Tasks'!$B$5:$B$904,A447,'Job Tasks'!$H$5:$H$904,"Done"))</f>
        <v>0</v>
      </c>
      <c r="AO447" s="38">
        <f>IF(OR(A447="",AM447=0),"",AN447/AM447)</f>
        <v>0</v>
      </c>
      <c r="AP447" s="43">
        <f>IF(A447="","",IFERROR(INDEX('Invoice Lines'!$B$5:$B$804,MATCH(A447,'Invoice Lines'!$C$5:$C$804,0)),""))</f>
        <v>0</v>
      </c>
      <c r="AQ447" s="18">
        <f>IF(OR(G447="",B447="",X447&lt;&gt;"Yes"),"",IF(IFERROR(INDEX(FreqDays,MATCH(O447,FreqNames,0)),0)=0,"",B447+IFERROR(INDEX(FreqDays,MATCH(O447,FreqNames,0)),0)))</f>
        <v>0</v>
      </c>
      <c r="AR447" s="39">
        <f>IF(G447="","",IF(R447="","Unassigned",IF(COUNTIFS($R$5:$R$604,R447,$B$5:$B$604,B447,$F$5:$F$604,F447)&gt;1,"Clash",IF(SUMIFS($AF$5:$AF$604,$R$5:$R$604,R447,$B$5:$B$604,B447)&gt;ProductiveHours,"Long day","OK"))))</f>
        <v>0</v>
      </c>
      <c r="AS447" s="18">
        <f>IF(OR(G447="",B447=""),"",IF(AND(B447&gt;=TodayDate,P447&lt;&gt;"Cancelled"),B447,""))</f>
        <v>0</v>
      </c>
      <c r="AT447" s="31">
        <f>IF(AS447="","",COUNTIFS($AS$5:$AS$604,"&lt;"&amp;AS447)+COUNTIFS($AS$5:AS447,AS447))</f>
        <v>0</v>
      </c>
      <c r="AU447" s="18">
        <f>IF(OR(G447="",B447="",R447&lt;&gt;""),"",IF(AND(B447&gt;=TodayDate,P447&lt;&gt;"Cancelled"),B447,""))</f>
        <v>0</v>
      </c>
      <c r="AV447" s="31">
        <f>IF(AU447="","",COUNTIFS($AU$5:$AU$604,"&lt;"&amp;AU447)+COUNTIFS($AU$5:AU447,AU447))</f>
        <v>0</v>
      </c>
      <c r="AW447" s="31">
        <f>IF(OR(G447="",B447=""),"",B447-TodayDate)</f>
        <v>0</v>
      </c>
      <c r="AX447" s="39">
        <f>IF(G447="","",IF(P447="Cancelled","Cancelled",IF(P447="No access","Action - no access, rebook",IF(AND(B447&lt;&gt;"",AW447&lt;0,OR(P447="Booked",P447="Confirmed",P447="In progress")),"Late - mark it completed",IF(AND(P447="Completed",AP447=""),"Action - not invoiced yet",IF(AND(AW447&gt;=0,AW447&lt;=ReminderDays,Y447&lt;&gt;"Yes"),"Confirm - visit coming up",IF(R447="","Assign - no cleaner booked",IF(AND(P447="Completed",AO447&lt;&gt;"",AO447&lt;1),"Check - checklist unfinished","OK"))))))))</f>
        <v>0</v>
      </c>
    </row>
    <row r="448" spans="1:50">
      <c r="A448" s="43">
        <f>IF(G448="","",JobPrefix&amp;TEXT(ROW()-4,"0000"))</f>
        <v>0</v>
      </c>
      <c r="C448" s="23">
        <f>IF(B448="","",TEXT(B448,"ddd"))</f>
        <v>0</v>
      </c>
      <c r="D448" s="31">
        <f>IF(B448="","",WEEKNUM(B448,IF(WeekStart="Sunday",1,2)))</f>
        <v>0</v>
      </c>
      <c r="E448" s="23">
        <f>IF(B448="","",TEXT(B448,"yyyy-mm"))</f>
        <v>0</v>
      </c>
      <c r="H448" s="23">
        <f>IF(G448="","",IFERROR(INDEX(Clients!$B$5:$B$204,MATCH(G448,Clients!$A$5:$A$204,0)),"Not found"))</f>
        <v>0</v>
      </c>
      <c r="I448" s="23">
        <f>IF(G448="","",IFERROR(INDEX(Clients!$C$5:$C$204,MATCH(G448,Clients!$A$5:$A$204,0)),""))</f>
        <v>0</v>
      </c>
      <c r="K448" s="23">
        <f>IF(J448="","",IFERROR(INDEX(Properties!$B$5:$B$254,MATCH(J448,Properties!$A$5:$A$254,0)),""))</f>
        <v>0</v>
      </c>
      <c r="L448" s="23">
        <f>IF(J448="","",IFERROR(INDEX(Properties!$F$5:$F$254,MATCH(J448,Properties!$A$5:$A$254,0)),""))</f>
        <v>0</v>
      </c>
      <c r="AD448" s="34">
        <f>IF(G448="","",IF(U448&lt;&gt;"",U448,IF(AND(IFERROR(INDEX(Services!$D$5:$D$64,MATCH(M448,Services!$B$5:$B$64,0)),"")="Per hour",IFERROR(INDEX(Properties!$X$5:$X$254,MATCH(J448,Properties!$A$5:$A$254,0)),0)&gt;0),IFERROR(INDEX(Properties!$X$5:$X$254,MATCH(J448,Properties!$A$5:$A$254,0)),0),IF(IFERROR(INDEX(Services!$G$5:$G$64,MATCH(M448,Services!$B$5:$B$64,0)),0)&gt;0,IFERROR(INDEX(Services!$G$5:$G$64,MATCH(M448,Services!$B$5:$B$64,0)),0),IFERROR(INDEX(Properties!$X$5:$X$254,MATCH(J448,Properties!$A$5:$A$254,0)),0)))))</f>
        <v>0</v>
      </c>
      <c r="AE448" s="31">
        <f>IF(G448="","",IF(T448="",CleanersPerJob,MAX(1,T448)))</f>
        <v>0</v>
      </c>
      <c r="AF448" s="34">
        <f>IF(G448="","",ROUND(AD448/AE448,2))</f>
        <v>0</v>
      </c>
      <c r="AG448" s="53">
        <f>IF(OR(G448="",F448="",AF448=""),"",F448+AF448/24)</f>
        <v>0</v>
      </c>
      <c r="AH448" s="21">
        <f>IF(G448="","",IF(IFERROR(INDEX(Clients!$O$5:$O$204,MATCH(G448,Clients!$A$5:$A$204,0)),0)&gt;0,IFERROR(INDEX(Clients!$O$5:$O$204,MATCH(G448,Clients!$A$5:$A$204,0)),0),HourlyRate))</f>
        <v>0</v>
      </c>
      <c r="AI448" s="21">
        <f>IF(G448="","",IF(AND(M448&lt;&gt;"",IFERROR(INDEX(Services!$P$5:$P$64,MATCH(M448,Services!$B$5:$B$64,0)),0)&gt;0,IFERROR(INDEX(Services!$D$5:$D$64,MATCH(M448,Services!$B$5:$B$64,0)),"")&lt;&gt;"Per hour"),IFERROR(INDEX(Services!$P$5:$P$64,MATCH(M448,Services!$B$5:$B$64,0)),0),AD448*AH448))</f>
        <v>0</v>
      </c>
      <c r="AJ448" s="21">
        <f>IF(G448="","",IF(V448&lt;&gt;"",V448,IF(P448="Cancelled",0,MAX(MinimumCharge,ROUND(AI448*IFERROR(INDEX(FreqFactors,MATCH(O448,FreqNames,0)),1),2)))))</f>
        <v>0</v>
      </c>
      <c r="AK448" s="34">
        <f>IF(G448="","",IF(SUMIFS(Timesheets!$U$5:$U$804,Timesheets!$G$5:$G$804,A448)&gt;0,SUMIFS(Timesheets!$U$5:$U$804,Timesheets!$G$5:$G$804,A448),IF(Z448="","",Z448)))</f>
        <v>0</v>
      </c>
      <c r="AL448" s="34">
        <f>IF(OR(AK448="",AD448=""),"",AK448-AD448)</f>
        <v>0</v>
      </c>
      <c r="AM448" s="31">
        <f>IF(A448="","",COUNTIFS('Job Tasks'!$B$5:$B$904,A448))</f>
        <v>0</v>
      </c>
      <c r="AN448" s="31">
        <f>IF(A448="","",COUNTIFS('Job Tasks'!$B$5:$B$904,A448,'Job Tasks'!$H$5:$H$904,"Done"))</f>
        <v>0</v>
      </c>
      <c r="AO448" s="38">
        <f>IF(OR(A448="",AM448=0),"",AN448/AM448)</f>
        <v>0</v>
      </c>
      <c r="AP448" s="43">
        <f>IF(A448="","",IFERROR(INDEX('Invoice Lines'!$B$5:$B$804,MATCH(A448,'Invoice Lines'!$C$5:$C$804,0)),""))</f>
        <v>0</v>
      </c>
      <c r="AQ448" s="18">
        <f>IF(OR(G448="",B448="",X448&lt;&gt;"Yes"),"",IF(IFERROR(INDEX(FreqDays,MATCH(O448,FreqNames,0)),0)=0,"",B448+IFERROR(INDEX(FreqDays,MATCH(O448,FreqNames,0)),0)))</f>
        <v>0</v>
      </c>
      <c r="AR448" s="39">
        <f>IF(G448="","",IF(R448="","Unassigned",IF(COUNTIFS($R$5:$R$604,R448,$B$5:$B$604,B448,$F$5:$F$604,F448)&gt;1,"Clash",IF(SUMIFS($AF$5:$AF$604,$R$5:$R$604,R448,$B$5:$B$604,B448)&gt;ProductiveHours,"Long day","OK"))))</f>
        <v>0</v>
      </c>
      <c r="AS448" s="18">
        <f>IF(OR(G448="",B448=""),"",IF(AND(B448&gt;=TodayDate,P448&lt;&gt;"Cancelled"),B448,""))</f>
        <v>0</v>
      </c>
      <c r="AT448" s="31">
        <f>IF(AS448="","",COUNTIFS($AS$5:$AS$604,"&lt;"&amp;AS448)+COUNTIFS($AS$5:AS448,AS448))</f>
        <v>0</v>
      </c>
      <c r="AU448" s="18">
        <f>IF(OR(G448="",B448="",R448&lt;&gt;""),"",IF(AND(B448&gt;=TodayDate,P448&lt;&gt;"Cancelled"),B448,""))</f>
        <v>0</v>
      </c>
      <c r="AV448" s="31">
        <f>IF(AU448="","",COUNTIFS($AU$5:$AU$604,"&lt;"&amp;AU448)+COUNTIFS($AU$5:AU448,AU448))</f>
        <v>0</v>
      </c>
      <c r="AW448" s="31">
        <f>IF(OR(G448="",B448=""),"",B448-TodayDate)</f>
        <v>0</v>
      </c>
      <c r="AX448" s="39">
        <f>IF(G448="","",IF(P448="Cancelled","Cancelled",IF(P448="No access","Action - no access, rebook",IF(AND(B448&lt;&gt;"",AW448&lt;0,OR(P448="Booked",P448="Confirmed",P448="In progress")),"Late - mark it completed",IF(AND(P448="Completed",AP448=""),"Action - not invoiced yet",IF(AND(AW448&gt;=0,AW448&lt;=ReminderDays,Y448&lt;&gt;"Yes"),"Confirm - visit coming up",IF(R448="","Assign - no cleaner booked",IF(AND(P448="Completed",AO448&lt;&gt;"",AO448&lt;1),"Check - checklist unfinished","OK"))))))))</f>
        <v>0</v>
      </c>
    </row>
    <row r="449" spans="1:50">
      <c r="A449" s="43">
        <f>IF(G449="","",JobPrefix&amp;TEXT(ROW()-4,"0000"))</f>
        <v>0</v>
      </c>
      <c r="C449" s="23">
        <f>IF(B449="","",TEXT(B449,"ddd"))</f>
        <v>0</v>
      </c>
      <c r="D449" s="31">
        <f>IF(B449="","",WEEKNUM(B449,IF(WeekStart="Sunday",1,2)))</f>
        <v>0</v>
      </c>
      <c r="E449" s="23">
        <f>IF(B449="","",TEXT(B449,"yyyy-mm"))</f>
        <v>0</v>
      </c>
      <c r="H449" s="23">
        <f>IF(G449="","",IFERROR(INDEX(Clients!$B$5:$B$204,MATCH(G449,Clients!$A$5:$A$204,0)),"Not found"))</f>
        <v>0</v>
      </c>
      <c r="I449" s="23">
        <f>IF(G449="","",IFERROR(INDEX(Clients!$C$5:$C$204,MATCH(G449,Clients!$A$5:$A$204,0)),""))</f>
        <v>0</v>
      </c>
      <c r="K449" s="23">
        <f>IF(J449="","",IFERROR(INDEX(Properties!$B$5:$B$254,MATCH(J449,Properties!$A$5:$A$254,0)),""))</f>
        <v>0</v>
      </c>
      <c r="L449" s="23">
        <f>IF(J449="","",IFERROR(INDEX(Properties!$F$5:$F$254,MATCH(J449,Properties!$A$5:$A$254,0)),""))</f>
        <v>0</v>
      </c>
      <c r="AD449" s="34">
        <f>IF(G449="","",IF(U449&lt;&gt;"",U449,IF(AND(IFERROR(INDEX(Services!$D$5:$D$64,MATCH(M449,Services!$B$5:$B$64,0)),"")="Per hour",IFERROR(INDEX(Properties!$X$5:$X$254,MATCH(J449,Properties!$A$5:$A$254,0)),0)&gt;0),IFERROR(INDEX(Properties!$X$5:$X$254,MATCH(J449,Properties!$A$5:$A$254,0)),0),IF(IFERROR(INDEX(Services!$G$5:$G$64,MATCH(M449,Services!$B$5:$B$64,0)),0)&gt;0,IFERROR(INDEX(Services!$G$5:$G$64,MATCH(M449,Services!$B$5:$B$64,0)),0),IFERROR(INDEX(Properties!$X$5:$X$254,MATCH(J449,Properties!$A$5:$A$254,0)),0)))))</f>
        <v>0</v>
      </c>
      <c r="AE449" s="31">
        <f>IF(G449="","",IF(T449="",CleanersPerJob,MAX(1,T449)))</f>
        <v>0</v>
      </c>
      <c r="AF449" s="34">
        <f>IF(G449="","",ROUND(AD449/AE449,2))</f>
        <v>0</v>
      </c>
      <c r="AG449" s="53">
        <f>IF(OR(G449="",F449="",AF449=""),"",F449+AF449/24)</f>
        <v>0</v>
      </c>
      <c r="AH449" s="21">
        <f>IF(G449="","",IF(IFERROR(INDEX(Clients!$O$5:$O$204,MATCH(G449,Clients!$A$5:$A$204,0)),0)&gt;0,IFERROR(INDEX(Clients!$O$5:$O$204,MATCH(G449,Clients!$A$5:$A$204,0)),0),HourlyRate))</f>
        <v>0</v>
      </c>
      <c r="AI449" s="21">
        <f>IF(G449="","",IF(AND(M449&lt;&gt;"",IFERROR(INDEX(Services!$P$5:$P$64,MATCH(M449,Services!$B$5:$B$64,0)),0)&gt;0,IFERROR(INDEX(Services!$D$5:$D$64,MATCH(M449,Services!$B$5:$B$64,0)),"")&lt;&gt;"Per hour"),IFERROR(INDEX(Services!$P$5:$P$64,MATCH(M449,Services!$B$5:$B$64,0)),0),AD449*AH449))</f>
        <v>0</v>
      </c>
      <c r="AJ449" s="21">
        <f>IF(G449="","",IF(V449&lt;&gt;"",V449,IF(P449="Cancelled",0,MAX(MinimumCharge,ROUND(AI449*IFERROR(INDEX(FreqFactors,MATCH(O449,FreqNames,0)),1),2)))))</f>
        <v>0</v>
      </c>
      <c r="AK449" s="34">
        <f>IF(G449="","",IF(SUMIFS(Timesheets!$U$5:$U$804,Timesheets!$G$5:$G$804,A449)&gt;0,SUMIFS(Timesheets!$U$5:$U$804,Timesheets!$G$5:$G$804,A449),IF(Z449="","",Z449)))</f>
        <v>0</v>
      </c>
      <c r="AL449" s="34">
        <f>IF(OR(AK449="",AD449=""),"",AK449-AD449)</f>
        <v>0</v>
      </c>
      <c r="AM449" s="31">
        <f>IF(A449="","",COUNTIFS('Job Tasks'!$B$5:$B$904,A449))</f>
        <v>0</v>
      </c>
      <c r="AN449" s="31">
        <f>IF(A449="","",COUNTIFS('Job Tasks'!$B$5:$B$904,A449,'Job Tasks'!$H$5:$H$904,"Done"))</f>
        <v>0</v>
      </c>
      <c r="AO449" s="38">
        <f>IF(OR(A449="",AM449=0),"",AN449/AM449)</f>
        <v>0</v>
      </c>
      <c r="AP449" s="43">
        <f>IF(A449="","",IFERROR(INDEX('Invoice Lines'!$B$5:$B$804,MATCH(A449,'Invoice Lines'!$C$5:$C$804,0)),""))</f>
        <v>0</v>
      </c>
      <c r="AQ449" s="18">
        <f>IF(OR(G449="",B449="",X449&lt;&gt;"Yes"),"",IF(IFERROR(INDEX(FreqDays,MATCH(O449,FreqNames,0)),0)=0,"",B449+IFERROR(INDEX(FreqDays,MATCH(O449,FreqNames,0)),0)))</f>
        <v>0</v>
      </c>
      <c r="AR449" s="39">
        <f>IF(G449="","",IF(R449="","Unassigned",IF(COUNTIFS($R$5:$R$604,R449,$B$5:$B$604,B449,$F$5:$F$604,F449)&gt;1,"Clash",IF(SUMIFS($AF$5:$AF$604,$R$5:$R$604,R449,$B$5:$B$604,B449)&gt;ProductiveHours,"Long day","OK"))))</f>
        <v>0</v>
      </c>
      <c r="AS449" s="18">
        <f>IF(OR(G449="",B449=""),"",IF(AND(B449&gt;=TodayDate,P449&lt;&gt;"Cancelled"),B449,""))</f>
        <v>0</v>
      </c>
      <c r="AT449" s="31">
        <f>IF(AS449="","",COUNTIFS($AS$5:$AS$604,"&lt;"&amp;AS449)+COUNTIFS($AS$5:AS449,AS449))</f>
        <v>0</v>
      </c>
      <c r="AU449" s="18">
        <f>IF(OR(G449="",B449="",R449&lt;&gt;""),"",IF(AND(B449&gt;=TodayDate,P449&lt;&gt;"Cancelled"),B449,""))</f>
        <v>0</v>
      </c>
      <c r="AV449" s="31">
        <f>IF(AU449="","",COUNTIFS($AU$5:$AU$604,"&lt;"&amp;AU449)+COUNTIFS($AU$5:AU449,AU449))</f>
        <v>0</v>
      </c>
      <c r="AW449" s="31">
        <f>IF(OR(G449="",B449=""),"",B449-TodayDate)</f>
        <v>0</v>
      </c>
      <c r="AX449" s="39">
        <f>IF(G449="","",IF(P449="Cancelled","Cancelled",IF(P449="No access","Action - no access, rebook",IF(AND(B449&lt;&gt;"",AW449&lt;0,OR(P449="Booked",P449="Confirmed",P449="In progress")),"Late - mark it completed",IF(AND(P449="Completed",AP449=""),"Action - not invoiced yet",IF(AND(AW449&gt;=0,AW449&lt;=ReminderDays,Y449&lt;&gt;"Yes"),"Confirm - visit coming up",IF(R449="","Assign - no cleaner booked",IF(AND(P449="Completed",AO449&lt;&gt;"",AO449&lt;1),"Check - checklist unfinished","OK"))))))))</f>
        <v>0</v>
      </c>
    </row>
    <row r="450" spans="1:50">
      <c r="A450" s="43">
        <f>IF(G450="","",JobPrefix&amp;TEXT(ROW()-4,"0000"))</f>
        <v>0</v>
      </c>
      <c r="C450" s="23">
        <f>IF(B450="","",TEXT(B450,"ddd"))</f>
        <v>0</v>
      </c>
      <c r="D450" s="31">
        <f>IF(B450="","",WEEKNUM(B450,IF(WeekStart="Sunday",1,2)))</f>
        <v>0</v>
      </c>
      <c r="E450" s="23">
        <f>IF(B450="","",TEXT(B450,"yyyy-mm"))</f>
        <v>0</v>
      </c>
      <c r="H450" s="23">
        <f>IF(G450="","",IFERROR(INDEX(Clients!$B$5:$B$204,MATCH(G450,Clients!$A$5:$A$204,0)),"Not found"))</f>
        <v>0</v>
      </c>
      <c r="I450" s="23">
        <f>IF(G450="","",IFERROR(INDEX(Clients!$C$5:$C$204,MATCH(G450,Clients!$A$5:$A$204,0)),""))</f>
        <v>0</v>
      </c>
      <c r="K450" s="23">
        <f>IF(J450="","",IFERROR(INDEX(Properties!$B$5:$B$254,MATCH(J450,Properties!$A$5:$A$254,0)),""))</f>
        <v>0</v>
      </c>
      <c r="L450" s="23">
        <f>IF(J450="","",IFERROR(INDEX(Properties!$F$5:$F$254,MATCH(J450,Properties!$A$5:$A$254,0)),""))</f>
        <v>0</v>
      </c>
      <c r="AD450" s="34">
        <f>IF(G450="","",IF(U450&lt;&gt;"",U450,IF(AND(IFERROR(INDEX(Services!$D$5:$D$64,MATCH(M450,Services!$B$5:$B$64,0)),"")="Per hour",IFERROR(INDEX(Properties!$X$5:$X$254,MATCH(J450,Properties!$A$5:$A$254,0)),0)&gt;0),IFERROR(INDEX(Properties!$X$5:$X$254,MATCH(J450,Properties!$A$5:$A$254,0)),0),IF(IFERROR(INDEX(Services!$G$5:$G$64,MATCH(M450,Services!$B$5:$B$64,0)),0)&gt;0,IFERROR(INDEX(Services!$G$5:$G$64,MATCH(M450,Services!$B$5:$B$64,0)),0),IFERROR(INDEX(Properties!$X$5:$X$254,MATCH(J450,Properties!$A$5:$A$254,0)),0)))))</f>
        <v>0</v>
      </c>
      <c r="AE450" s="31">
        <f>IF(G450="","",IF(T450="",CleanersPerJob,MAX(1,T450)))</f>
        <v>0</v>
      </c>
      <c r="AF450" s="34">
        <f>IF(G450="","",ROUND(AD450/AE450,2))</f>
        <v>0</v>
      </c>
      <c r="AG450" s="53">
        <f>IF(OR(G450="",F450="",AF450=""),"",F450+AF450/24)</f>
        <v>0</v>
      </c>
      <c r="AH450" s="21">
        <f>IF(G450="","",IF(IFERROR(INDEX(Clients!$O$5:$O$204,MATCH(G450,Clients!$A$5:$A$204,0)),0)&gt;0,IFERROR(INDEX(Clients!$O$5:$O$204,MATCH(G450,Clients!$A$5:$A$204,0)),0),HourlyRate))</f>
        <v>0</v>
      </c>
      <c r="AI450" s="21">
        <f>IF(G450="","",IF(AND(M450&lt;&gt;"",IFERROR(INDEX(Services!$P$5:$P$64,MATCH(M450,Services!$B$5:$B$64,0)),0)&gt;0,IFERROR(INDEX(Services!$D$5:$D$64,MATCH(M450,Services!$B$5:$B$64,0)),"")&lt;&gt;"Per hour"),IFERROR(INDEX(Services!$P$5:$P$64,MATCH(M450,Services!$B$5:$B$64,0)),0),AD450*AH450))</f>
        <v>0</v>
      </c>
      <c r="AJ450" s="21">
        <f>IF(G450="","",IF(V450&lt;&gt;"",V450,IF(P450="Cancelled",0,MAX(MinimumCharge,ROUND(AI450*IFERROR(INDEX(FreqFactors,MATCH(O450,FreqNames,0)),1),2)))))</f>
        <v>0</v>
      </c>
      <c r="AK450" s="34">
        <f>IF(G450="","",IF(SUMIFS(Timesheets!$U$5:$U$804,Timesheets!$G$5:$G$804,A450)&gt;0,SUMIFS(Timesheets!$U$5:$U$804,Timesheets!$G$5:$G$804,A450),IF(Z450="","",Z450)))</f>
        <v>0</v>
      </c>
      <c r="AL450" s="34">
        <f>IF(OR(AK450="",AD450=""),"",AK450-AD450)</f>
        <v>0</v>
      </c>
      <c r="AM450" s="31">
        <f>IF(A450="","",COUNTIFS('Job Tasks'!$B$5:$B$904,A450))</f>
        <v>0</v>
      </c>
      <c r="AN450" s="31">
        <f>IF(A450="","",COUNTIFS('Job Tasks'!$B$5:$B$904,A450,'Job Tasks'!$H$5:$H$904,"Done"))</f>
        <v>0</v>
      </c>
      <c r="AO450" s="38">
        <f>IF(OR(A450="",AM450=0),"",AN450/AM450)</f>
        <v>0</v>
      </c>
      <c r="AP450" s="43">
        <f>IF(A450="","",IFERROR(INDEX('Invoice Lines'!$B$5:$B$804,MATCH(A450,'Invoice Lines'!$C$5:$C$804,0)),""))</f>
        <v>0</v>
      </c>
      <c r="AQ450" s="18">
        <f>IF(OR(G450="",B450="",X450&lt;&gt;"Yes"),"",IF(IFERROR(INDEX(FreqDays,MATCH(O450,FreqNames,0)),0)=0,"",B450+IFERROR(INDEX(FreqDays,MATCH(O450,FreqNames,0)),0)))</f>
        <v>0</v>
      </c>
      <c r="AR450" s="39">
        <f>IF(G450="","",IF(R450="","Unassigned",IF(COUNTIFS($R$5:$R$604,R450,$B$5:$B$604,B450,$F$5:$F$604,F450)&gt;1,"Clash",IF(SUMIFS($AF$5:$AF$604,$R$5:$R$604,R450,$B$5:$B$604,B450)&gt;ProductiveHours,"Long day","OK"))))</f>
        <v>0</v>
      </c>
      <c r="AS450" s="18">
        <f>IF(OR(G450="",B450=""),"",IF(AND(B450&gt;=TodayDate,P450&lt;&gt;"Cancelled"),B450,""))</f>
        <v>0</v>
      </c>
      <c r="AT450" s="31">
        <f>IF(AS450="","",COUNTIFS($AS$5:$AS$604,"&lt;"&amp;AS450)+COUNTIFS($AS$5:AS450,AS450))</f>
        <v>0</v>
      </c>
      <c r="AU450" s="18">
        <f>IF(OR(G450="",B450="",R450&lt;&gt;""),"",IF(AND(B450&gt;=TodayDate,P450&lt;&gt;"Cancelled"),B450,""))</f>
        <v>0</v>
      </c>
      <c r="AV450" s="31">
        <f>IF(AU450="","",COUNTIFS($AU$5:$AU$604,"&lt;"&amp;AU450)+COUNTIFS($AU$5:AU450,AU450))</f>
        <v>0</v>
      </c>
      <c r="AW450" s="31">
        <f>IF(OR(G450="",B450=""),"",B450-TodayDate)</f>
        <v>0</v>
      </c>
      <c r="AX450" s="39">
        <f>IF(G450="","",IF(P450="Cancelled","Cancelled",IF(P450="No access","Action - no access, rebook",IF(AND(B450&lt;&gt;"",AW450&lt;0,OR(P450="Booked",P450="Confirmed",P450="In progress")),"Late - mark it completed",IF(AND(P450="Completed",AP450=""),"Action - not invoiced yet",IF(AND(AW450&gt;=0,AW450&lt;=ReminderDays,Y450&lt;&gt;"Yes"),"Confirm - visit coming up",IF(R450="","Assign - no cleaner booked",IF(AND(P450="Completed",AO450&lt;&gt;"",AO450&lt;1),"Check - checklist unfinished","OK"))))))))</f>
        <v>0</v>
      </c>
    </row>
    <row r="451" spans="1:50">
      <c r="A451" s="43">
        <f>IF(G451="","",JobPrefix&amp;TEXT(ROW()-4,"0000"))</f>
        <v>0</v>
      </c>
      <c r="C451" s="23">
        <f>IF(B451="","",TEXT(B451,"ddd"))</f>
        <v>0</v>
      </c>
      <c r="D451" s="31">
        <f>IF(B451="","",WEEKNUM(B451,IF(WeekStart="Sunday",1,2)))</f>
        <v>0</v>
      </c>
      <c r="E451" s="23">
        <f>IF(B451="","",TEXT(B451,"yyyy-mm"))</f>
        <v>0</v>
      </c>
      <c r="H451" s="23">
        <f>IF(G451="","",IFERROR(INDEX(Clients!$B$5:$B$204,MATCH(G451,Clients!$A$5:$A$204,0)),"Not found"))</f>
        <v>0</v>
      </c>
      <c r="I451" s="23">
        <f>IF(G451="","",IFERROR(INDEX(Clients!$C$5:$C$204,MATCH(G451,Clients!$A$5:$A$204,0)),""))</f>
        <v>0</v>
      </c>
      <c r="K451" s="23">
        <f>IF(J451="","",IFERROR(INDEX(Properties!$B$5:$B$254,MATCH(J451,Properties!$A$5:$A$254,0)),""))</f>
        <v>0</v>
      </c>
      <c r="L451" s="23">
        <f>IF(J451="","",IFERROR(INDEX(Properties!$F$5:$F$254,MATCH(J451,Properties!$A$5:$A$254,0)),""))</f>
        <v>0</v>
      </c>
      <c r="AD451" s="34">
        <f>IF(G451="","",IF(U451&lt;&gt;"",U451,IF(AND(IFERROR(INDEX(Services!$D$5:$D$64,MATCH(M451,Services!$B$5:$B$64,0)),"")="Per hour",IFERROR(INDEX(Properties!$X$5:$X$254,MATCH(J451,Properties!$A$5:$A$254,0)),0)&gt;0),IFERROR(INDEX(Properties!$X$5:$X$254,MATCH(J451,Properties!$A$5:$A$254,0)),0),IF(IFERROR(INDEX(Services!$G$5:$G$64,MATCH(M451,Services!$B$5:$B$64,0)),0)&gt;0,IFERROR(INDEX(Services!$G$5:$G$64,MATCH(M451,Services!$B$5:$B$64,0)),0),IFERROR(INDEX(Properties!$X$5:$X$254,MATCH(J451,Properties!$A$5:$A$254,0)),0)))))</f>
        <v>0</v>
      </c>
      <c r="AE451" s="31">
        <f>IF(G451="","",IF(T451="",CleanersPerJob,MAX(1,T451)))</f>
        <v>0</v>
      </c>
      <c r="AF451" s="34">
        <f>IF(G451="","",ROUND(AD451/AE451,2))</f>
        <v>0</v>
      </c>
      <c r="AG451" s="53">
        <f>IF(OR(G451="",F451="",AF451=""),"",F451+AF451/24)</f>
        <v>0</v>
      </c>
      <c r="AH451" s="21">
        <f>IF(G451="","",IF(IFERROR(INDEX(Clients!$O$5:$O$204,MATCH(G451,Clients!$A$5:$A$204,0)),0)&gt;0,IFERROR(INDEX(Clients!$O$5:$O$204,MATCH(G451,Clients!$A$5:$A$204,0)),0),HourlyRate))</f>
        <v>0</v>
      </c>
      <c r="AI451" s="21">
        <f>IF(G451="","",IF(AND(M451&lt;&gt;"",IFERROR(INDEX(Services!$P$5:$P$64,MATCH(M451,Services!$B$5:$B$64,0)),0)&gt;0,IFERROR(INDEX(Services!$D$5:$D$64,MATCH(M451,Services!$B$5:$B$64,0)),"")&lt;&gt;"Per hour"),IFERROR(INDEX(Services!$P$5:$P$64,MATCH(M451,Services!$B$5:$B$64,0)),0),AD451*AH451))</f>
        <v>0</v>
      </c>
      <c r="AJ451" s="21">
        <f>IF(G451="","",IF(V451&lt;&gt;"",V451,IF(P451="Cancelled",0,MAX(MinimumCharge,ROUND(AI451*IFERROR(INDEX(FreqFactors,MATCH(O451,FreqNames,0)),1),2)))))</f>
        <v>0</v>
      </c>
      <c r="AK451" s="34">
        <f>IF(G451="","",IF(SUMIFS(Timesheets!$U$5:$U$804,Timesheets!$G$5:$G$804,A451)&gt;0,SUMIFS(Timesheets!$U$5:$U$804,Timesheets!$G$5:$G$804,A451),IF(Z451="","",Z451)))</f>
        <v>0</v>
      </c>
      <c r="AL451" s="34">
        <f>IF(OR(AK451="",AD451=""),"",AK451-AD451)</f>
        <v>0</v>
      </c>
      <c r="AM451" s="31">
        <f>IF(A451="","",COUNTIFS('Job Tasks'!$B$5:$B$904,A451))</f>
        <v>0</v>
      </c>
      <c r="AN451" s="31">
        <f>IF(A451="","",COUNTIFS('Job Tasks'!$B$5:$B$904,A451,'Job Tasks'!$H$5:$H$904,"Done"))</f>
        <v>0</v>
      </c>
      <c r="AO451" s="38">
        <f>IF(OR(A451="",AM451=0),"",AN451/AM451)</f>
        <v>0</v>
      </c>
      <c r="AP451" s="43">
        <f>IF(A451="","",IFERROR(INDEX('Invoice Lines'!$B$5:$B$804,MATCH(A451,'Invoice Lines'!$C$5:$C$804,0)),""))</f>
        <v>0</v>
      </c>
      <c r="AQ451" s="18">
        <f>IF(OR(G451="",B451="",X451&lt;&gt;"Yes"),"",IF(IFERROR(INDEX(FreqDays,MATCH(O451,FreqNames,0)),0)=0,"",B451+IFERROR(INDEX(FreqDays,MATCH(O451,FreqNames,0)),0)))</f>
        <v>0</v>
      </c>
      <c r="AR451" s="39">
        <f>IF(G451="","",IF(R451="","Unassigned",IF(COUNTIFS($R$5:$R$604,R451,$B$5:$B$604,B451,$F$5:$F$604,F451)&gt;1,"Clash",IF(SUMIFS($AF$5:$AF$604,$R$5:$R$604,R451,$B$5:$B$604,B451)&gt;ProductiveHours,"Long day","OK"))))</f>
        <v>0</v>
      </c>
      <c r="AS451" s="18">
        <f>IF(OR(G451="",B451=""),"",IF(AND(B451&gt;=TodayDate,P451&lt;&gt;"Cancelled"),B451,""))</f>
        <v>0</v>
      </c>
      <c r="AT451" s="31">
        <f>IF(AS451="","",COUNTIFS($AS$5:$AS$604,"&lt;"&amp;AS451)+COUNTIFS($AS$5:AS451,AS451))</f>
        <v>0</v>
      </c>
      <c r="AU451" s="18">
        <f>IF(OR(G451="",B451="",R451&lt;&gt;""),"",IF(AND(B451&gt;=TodayDate,P451&lt;&gt;"Cancelled"),B451,""))</f>
        <v>0</v>
      </c>
      <c r="AV451" s="31">
        <f>IF(AU451="","",COUNTIFS($AU$5:$AU$604,"&lt;"&amp;AU451)+COUNTIFS($AU$5:AU451,AU451))</f>
        <v>0</v>
      </c>
      <c r="AW451" s="31">
        <f>IF(OR(G451="",B451=""),"",B451-TodayDate)</f>
        <v>0</v>
      </c>
      <c r="AX451" s="39">
        <f>IF(G451="","",IF(P451="Cancelled","Cancelled",IF(P451="No access","Action - no access, rebook",IF(AND(B451&lt;&gt;"",AW451&lt;0,OR(P451="Booked",P451="Confirmed",P451="In progress")),"Late - mark it completed",IF(AND(P451="Completed",AP451=""),"Action - not invoiced yet",IF(AND(AW451&gt;=0,AW451&lt;=ReminderDays,Y451&lt;&gt;"Yes"),"Confirm - visit coming up",IF(R451="","Assign - no cleaner booked",IF(AND(P451="Completed",AO451&lt;&gt;"",AO451&lt;1),"Check - checklist unfinished","OK"))))))))</f>
        <v>0</v>
      </c>
    </row>
    <row r="452" spans="1:50">
      <c r="A452" s="43">
        <f>IF(G452="","",JobPrefix&amp;TEXT(ROW()-4,"0000"))</f>
        <v>0</v>
      </c>
      <c r="C452" s="23">
        <f>IF(B452="","",TEXT(B452,"ddd"))</f>
        <v>0</v>
      </c>
      <c r="D452" s="31">
        <f>IF(B452="","",WEEKNUM(B452,IF(WeekStart="Sunday",1,2)))</f>
        <v>0</v>
      </c>
      <c r="E452" s="23">
        <f>IF(B452="","",TEXT(B452,"yyyy-mm"))</f>
        <v>0</v>
      </c>
      <c r="H452" s="23">
        <f>IF(G452="","",IFERROR(INDEX(Clients!$B$5:$B$204,MATCH(G452,Clients!$A$5:$A$204,0)),"Not found"))</f>
        <v>0</v>
      </c>
      <c r="I452" s="23">
        <f>IF(G452="","",IFERROR(INDEX(Clients!$C$5:$C$204,MATCH(G452,Clients!$A$5:$A$204,0)),""))</f>
        <v>0</v>
      </c>
      <c r="K452" s="23">
        <f>IF(J452="","",IFERROR(INDEX(Properties!$B$5:$B$254,MATCH(J452,Properties!$A$5:$A$254,0)),""))</f>
        <v>0</v>
      </c>
      <c r="L452" s="23">
        <f>IF(J452="","",IFERROR(INDEX(Properties!$F$5:$F$254,MATCH(J452,Properties!$A$5:$A$254,0)),""))</f>
        <v>0</v>
      </c>
      <c r="AD452" s="34">
        <f>IF(G452="","",IF(U452&lt;&gt;"",U452,IF(AND(IFERROR(INDEX(Services!$D$5:$D$64,MATCH(M452,Services!$B$5:$B$64,0)),"")="Per hour",IFERROR(INDEX(Properties!$X$5:$X$254,MATCH(J452,Properties!$A$5:$A$254,0)),0)&gt;0),IFERROR(INDEX(Properties!$X$5:$X$254,MATCH(J452,Properties!$A$5:$A$254,0)),0),IF(IFERROR(INDEX(Services!$G$5:$G$64,MATCH(M452,Services!$B$5:$B$64,0)),0)&gt;0,IFERROR(INDEX(Services!$G$5:$G$64,MATCH(M452,Services!$B$5:$B$64,0)),0),IFERROR(INDEX(Properties!$X$5:$X$254,MATCH(J452,Properties!$A$5:$A$254,0)),0)))))</f>
        <v>0</v>
      </c>
      <c r="AE452" s="31">
        <f>IF(G452="","",IF(T452="",CleanersPerJob,MAX(1,T452)))</f>
        <v>0</v>
      </c>
      <c r="AF452" s="34">
        <f>IF(G452="","",ROUND(AD452/AE452,2))</f>
        <v>0</v>
      </c>
      <c r="AG452" s="53">
        <f>IF(OR(G452="",F452="",AF452=""),"",F452+AF452/24)</f>
        <v>0</v>
      </c>
      <c r="AH452" s="21">
        <f>IF(G452="","",IF(IFERROR(INDEX(Clients!$O$5:$O$204,MATCH(G452,Clients!$A$5:$A$204,0)),0)&gt;0,IFERROR(INDEX(Clients!$O$5:$O$204,MATCH(G452,Clients!$A$5:$A$204,0)),0),HourlyRate))</f>
        <v>0</v>
      </c>
      <c r="AI452" s="21">
        <f>IF(G452="","",IF(AND(M452&lt;&gt;"",IFERROR(INDEX(Services!$P$5:$P$64,MATCH(M452,Services!$B$5:$B$64,0)),0)&gt;0,IFERROR(INDEX(Services!$D$5:$D$64,MATCH(M452,Services!$B$5:$B$64,0)),"")&lt;&gt;"Per hour"),IFERROR(INDEX(Services!$P$5:$P$64,MATCH(M452,Services!$B$5:$B$64,0)),0),AD452*AH452))</f>
        <v>0</v>
      </c>
      <c r="AJ452" s="21">
        <f>IF(G452="","",IF(V452&lt;&gt;"",V452,IF(P452="Cancelled",0,MAX(MinimumCharge,ROUND(AI452*IFERROR(INDEX(FreqFactors,MATCH(O452,FreqNames,0)),1),2)))))</f>
        <v>0</v>
      </c>
      <c r="AK452" s="34">
        <f>IF(G452="","",IF(SUMIFS(Timesheets!$U$5:$U$804,Timesheets!$G$5:$G$804,A452)&gt;0,SUMIFS(Timesheets!$U$5:$U$804,Timesheets!$G$5:$G$804,A452),IF(Z452="","",Z452)))</f>
        <v>0</v>
      </c>
      <c r="AL452" s="34">
        <f>IF(OR(AK452="",AD452=""),"",AK452-AD452)</f>
        <v>0</v>
      </c>
      <c r="AM452" s="31">
        <f>IF(A452="","",COUNTIFS('Job Tasks'!$B$5:$B$904,A452))</f>
        <v>0</v>
      </c>
      <c r="AN452" s="31">
        <f>IF(A452="","",COUNTIFS('Job Tasks'!$B$5:$B$904,A452,'Job Tasks'!$H$5:$H$904,"Done"))</f>
        <v>0</v>
      </c>
      <c r="AO452" s="38">
        <f>IF(OR(A452="",AM452=0),"",AN452/AM452)</f>
        <v>0</v>
      </c>
      <c r="AP452" s="43">
        <f>IF(A452="","",IFERROR(INDEX('Invoice Lines'!$B$5:$B$804,MATCH(A452,'Invoice Lines'!$C$5:$C$804,0)),""))</f>
        <v>0</v>
      </c>
      <c r="AQ452" s="18">
        <f>IF(OR(G452="",B452="",X452&lt;&gt;"Yes"),"",IF(IFERROR(INDEX(FreqDays,MATCH(O452,FreqNames,0)),0)=0,"",B452+IFERROR(INDEX(FreqDays,MATCH(O452,FreqNames,0)),0)))</f>
        <v>0</v>
      </c>
      <c r="AR452" s="39">
        <f>IF(G452="","",IF(R452="","Unassigned",IF(COUNTIFS($R$5:$R$604,R452,$B$5:$B$604,B452,$F$5:$F$604,F452)&gt;1,"Clash",IF(SUMIFS($AF$5:$AF$604,$R$5:$R$604,R452,$B$5:$B$604,B452)&gt;ProductiveHours,"Long day","OK"))))</f>
        <v>0</v>
      </c>
      <c r="AS452" s="18">
        <f>IF(OR(G452="",B452=""),"",IF(AND(B452&gt;=TodayDate,P452&lt;&gt;"Cancelled"),B452,""))</f>
        <v>0</v>
      </c>
      <c r="AT452" s="31">
        <f>IF(AS452="","",COUNTIFS($AS$5:$AS$604,"&lt;"&amp;AS452)+COUNTIFS($AS$5:AS452,AS452))</f>
        <v>0</v>
      </c>
      <c r="AU452" s="18">
        <f>IF(OR(G452="",B452="",R452&lt;&gt;""),"",IF(AND(B452&gt;=TodayDate,P452&lt;&gt;"Cancelled"),B452,""))</f>
        <v>0</v>
      </c>
      <c r="AV452" s="31">
        <f>IF(AU452="","",COUNTIFS($AU$5:$AU$604,"&lt;"&amp;AU452)+COUNTIFS($AU$5:AU452,AU452))</f>
        <v>0</v>
      </c>
      <c r="AW452" s="31">
        <f>IF(OR(G452="",B452=""),"",B452-TodayDate)</f>
        <v>0</v>
      </c>
      <c r="AX452" s="39">
        <f>IF(G452="","",IF(P452="Cancelled","Cancelled",IF(P452="No access","Action - no access, rebook",IF(AND(B452&lt;&gt;"",AW452&lt;0,OR(P452="Booked",P452="Confirmed",P452="In progress")),"Late - mark it completed",IF(AND(P452="Completed",AP452=""),"Action - not invoiced yet",IF(AND(AW452&gt;=0,AW452&lt;=ReminderDays,Y452&lt;&gt;"Yes"),"Confirm - visit coming up",IF(R452="","Assign - no cleaner booked",IF(AND(P452="Completed",AO452&lt;&gt;"",AO452&lt;1),"Check - checklist unfinished","OK"))))))))</f>
        <v>0</v>
      </c>
    </row>
    <row r="453" spans="1:50">
      <c r="A453" s="43">
        <f>IF(G453="","",JobPrefix&amp;TEXT(ROW()-4,"0000"))</f>
        <v>0</v>
      </c>
      <c r="C453" s="23">
        <f>IF(B453="","",TEXT(B453,"ddd"))</f>
        <v>0</v>
      </c>
      <c r="D453" s="31">
        <f>IF(B453="","",WEEKNUM(B453,IF(WeekStart="Sunday",1,2)))</f>
        <v>0</v>
      </c>
      <c r="E453" s="23">
        <f>IF(B453="","",TEXT(B453,"yyyy-mm"))</f>
        <v>0</v>
      </c>
      <c r="H453" s="23">
        <f>IF(G453="","",IFERROR(INDEX(Clients!$B$5:$B$204,MATCH(G453,Clients!$A$5:$A$204,0)),"Not found"))</f>
        <v>0</v>
      </c>
      <c r="I453" s="23">
        <f>IF(G453="","",IFERROR(INDEX(Clients!$C$5:$C$204,MATCH(G453,Clients!$A$5:$A$204,0)),""))</f>
        <v>0</v>
      </c>
      <c r="K453" s="23">
        <f>IF(J453="","",IFERROR(INDEX(Properties!$B$5:$B$254,MATCH(J453,Properties!$A$5:$A$254,0)),""))</f>
        <v>0</v>
      </c>
      <c r="L453" s="23">
        <f>IF(J453="","",IFERROR(INDEX(Properties!$F$5:$F$254,MATCH(J453,Properties!$A$5:$A$254,0)),""))</f>
        <v>0</v>
      </c>
      <c r="AD453" s="34">
        <f>IF(G453="","",IF(U453&lt;&gt;"",U453,IF(AND(IFERROR(INDEX(Services!$D$5:$D$64,MATCH(M453,Services!$B$5:$B$64,0)),"")="Per hour",IFERROR(INDEX(Properties!$X$5:$X$254,MATCH(J453,Properties!$A$5:$A$254,0)),0)&gt;0),IFERROR(INDEX(Properties!$X$5:$X$254,MATCH(J453,Properties!$A$5:$A$254,0)),0),IF(IFERROR(INDEX(Services!$G$5:$G$64,MATCH(M453,Services!$B$5:$B$64,0)),0)&gt;0,IFERROR(INDEX(Services!$G$5:$G$64,MATCH(M453,Services!$B$5:$B$64,0)),0),IFERROR(INDEX(Properties!$X$5:$X$254,MATCH(J453,Properties!$A$5:$A$254,0)),0)))))</f>
        <v>0</v>
      </c>
      <c r="AE453" s="31">
        <f>IF(G453="","",IF(T453="",CleanersPerJob,MAX(1,T453)))</f>
        <v>0</v>
      </c>
      <c r="AF453" s="34">
        <f>IF(G453="","",ROUND(AD453/AE453,2))</f>
        <v>0</v>
      </c>
      <c r="AG453" s="53">
        <f>IF(OR(G453="",F453="",AF453=""),"",F453+AF453/24)</f>
        <v>0</v>
      </c>
      <c r="AH453" s="21">
        <f>IF(G453="","",IF(IFERROR(INDEX(Clients!$O$5:$O$204,MATCH(G453,Clients!$A$5:$A$204,0)),0)&gt;0,IFERROR(INDEX(Clients!$O$5:$O$204,MATCH(G453,Clients!$A$5:$A$204,0)),0),HourlyRate))</f>
        <v>0</v>
      </c>
      <c r="AI453" s="21">
        <f>IF(G453="","",IF(AND(M453&lt;&gt;"",IFERROR(INDEX(Services!$P$5:$P$64,MATCH(M453,Services!$B$5:$B$64,0)),0)&gt;0,IFERROR(INDEX(Services!$D$5:$D$64,MATCH(M453,Services!$B$5:$B$64,0)),"")&lt;&gt;"Per hour"),IFERROR(INDEX(Services!$P$5:$P$64,MATCH(M453,Services!$B$5:$B$64,0)),0),AD453*AH453))</f>
        <v>0</v>
      </c>
      <c r="AJ453" s="21">
        <f>IF(G453="","",IF(V453&lt;&gt;"",V453,IF(P453="Cancelled",0,MAX(MinimumCharge,ROUND(AI453*IFERROR(INDEX(FreqFactors,MATCH(O453,FreqNames,0)),1),2)))))</f>
        <v>0</v>
      </c>
      <c r="AK453" s="34">
        <f>IF(G453="","",IF(SUMIFS(Timesheets!$U$5:$U$804,Timesheets!$G$5:$G$804,A453)&gt;0,SUMIFS(Timesheets!$U$5:$U$804,Timesheets!$G$5:$G$804,A453),IF(Z453="","",Z453)))</f>
        <v>0</v>
      </c>
      <c r="AL453" s="34">
        <f>IF(OR(AK453="",AD453=""),"",AK453-AD453)</f>
        <v>0</v>
      </c>
      <c r="AM453" s="31">
        <f>IF(A453="","",COUNTIFS('Job Tasks'!$B$5:$B$904,A453))</f>
        <v>0</v>
      </c>
      <c r="AN453" s="31">
        <f>IF(A453="","",COUNTIFS('Job Tasks'!$B$5:$B$904,A453,'Job Tasks'!$H$5:$H$904,"Done"))</f>
        <v>0</v>
      </c>
      <c r="AO453" s="38">
        <f>IF(OR(A453="",AM453=0),"",AN453/AM453)</f>
        <v>0</v>
      </c>
      <c r="AP453" s="43">
        <f>IF(A453="","",IFERROR(INDEX('Invoice Lines'!$B$5:$B$804,MATCH(A453,'Invoice Lines'!$C$5:$C$804,0)),""))</f>
        <v>0</v>
      </c>
      <c r="AQ453" s="18">
        <f>IF(OR(G453="",B453="",X453&lt;&gt;"Yes"),"",IF(IFERROR(INDEX(FreqDays,MATCH(O453,FreqNames,0)),0)=0,"",B453+IFERROR(INDEX(FreqDays,MATCH(O453,FreqNames,0)),0)))</f>
        <v>0</v>
      </c>
      <c r="AR453" s="39">
        <f>IF(G453="","",IF(R453="","Unassigned",IF(COUNTIFS($R$5:$R$604,R453,$B$5:$B$604,B453,$F$5:$F$604,F453)&gt;1,"Clash",IF(SUMIFS($AF$5:$AF$604,$R$5:$R$604,R453,$B$5:$B$604,B453)&gt;ProductiveHours,"Long day","OK"))))</f>
        <v>0</v>
      </c>
      <c r="AS453" s="18">
        <f>IF(OR(G453="",B453=""),"",IF(AND(B453&gt;=TodayDate,P453&lt;&gt;"Cancelled"),B453,""))</f>
        <v>0</v>
      </c>
      <c r="AT453" s="31">
        <f>IF(AS453="","",COUNTIFS($AS$5:$AS$604,"&lt;"&amp;AS453)+COUNTIFS($AS$5:AS453,AS453))</f>
        <v>0</v>
      </c>
      <c r="AU453" s="18">
        <f>IF(OR(G453="",B453="",R453&lt;&gt;""),"",IF(AND(B453&gt;=TodayDate,P453&lt;&gt;"Cancelled"),B453,""))</f>
        <v>0</v>
      </c>
      <c r="AV453" s="31">
        <f>IF(AU453="","",COUNTIFS($AU$5:$AU$604,"&lt;"&amp;AU453)+COUNTIFS($AU$5:AU453,AU453))</f>
        <v>0</v>
      </c>
      <c r="AW453" s="31">
        <f>IF(OR(G453="",B453=""),"",B453-TodayDate)</f>
        <v>0</v>
      </c>
      <c r="AX453" s="39">
        <f>IF(G453="","",IF(P453="Cancelled","Cancelled",IF(P453="No access","Action - no access, rebook",IF(AND(B453&lt;&gt;"",AW453&lt;0,OR(P453="Booked",P453="Confirmed",P453="In progress")),"Late - mark it completed",IF(AND(P453="Completed",AP453=""),"Action - not invoiced yet",IF(AND(AW453&gt;=0,AW453&lt;=ReminderDays,Y453&lt;&gt;"Yes"),"Confirm - visit coming up",IF(R453="","Assign - no cleaner booked",IF(AND(P453="Completed",AO453&lt;&gt;"",AO453&lt;1),"Check - checklist unfinished","OK"))))))))</f>
        <v>0</v>
      </c>
    </row>
    <row r="454" spans="1:50">
      <c r="A454" s="43">
        <f>IF(G454="","",JobPrefix&amp;TEXT(ROW()-4,"0000"))</f>
        <v>0</v>
      </c>
      <c r="C454" s="23">
        <f>IF(B454="","",TEXT(B454,"ddd"))</f>
        <v>0</v>
      </c>
      <c r="D454" s="31">
        <f>IF(B454="","",WEEKNUM(B454,IF(WeekStart="Sunday",1,2)))</f>
        <v>0</v>
      </c>
      <c r="E454" s="23">
        <f>IF(B454="","",TEXT(B454,"yyyy-mm"))</f>
        <v>0</v>
      </c>
      <c r="H454" s="23">
        <f>IF(G454="","",IFERROR(INDEX(Clients!$B$5:$B$204,MATCH(G454,Clients!$A$5:$A$204,0)),"Not found"))</f>
        <v>0</v>
      </c>
      <c r="I454" s="23">
        <f>IF(G454="","",IFERROR(INDEX(Clients!$C$5:$C$204,MATCH(G454,Clients!$A$5:$A$204,0)),""))</f>
        <v>0</v>
      </c>
      <c r="K454" s="23">
        <f>IF(J454="","",IFERROR(INDEX(Properties!$B$5:$B$254,MATCH(J454,Properties!$A$5:$A$254,0)),""))</f>
        <v>0</v>
      </c>
      <c r="L454" s="23">
        <f>IF(J454="","",IFERROR(INDEX(Properties!$F$5:$F$254,MATCH(J454,Properties!$A$5:$A$254,0)),""))</f>
        <v>0</v>
      </c>
      <c r="AD454" s="34">
        <f>IF(G454="","",IF(U454&lt;&gt;"",U454,IF(AND(IFERROR(INDEX(Services!$D$5:$D$64,MATCH(M454,Services!$B$5:$B$64,0)),"")="Per hour",IFERROR(INDEX(Properties!$X$5:$X$254,MATCH(J454,Properties!$A$5:$A$254,0)),0)&gt;0),IFERROR(INDEX(Properties!$X$5:$X$254,MATCH(J454,Properties!$A$5:$A$254,0)),0),IF(IFERROR(INDEX(Services!$G$5:$G$64,MATCH(M454,Services!$B$5:$B$64,0)),0)&gt;0,IFERROR(INDEX(Services!$G$5:$G$64,MATCH(M454,Services!$B$5:$B$64,0)),0),IFERROR(INDEX(Properties!$X$5:$X$254,MATCH(J454,Properties!$A$5:$A$254,0)),0)))))</f>
        <v>0</v>
      </c>
      <c r="AE454" s="31">
        <f>IF(G454="","",IF(T454="",CleanersPerJob,MAX(1,T454)))</f>
        <v>0</v>
      </c>
      <c r="AF454" s="34">
        <f>IF(G454="","",ROUND(AD454/AE454,2))</f>
        <v>0</v>
      </c>
      <c r="AG454" s="53">
        <f>IF(OR(G454="",F454="",AF454=""),"",F454+AF454/24)</f>
        <v>0</v>
      </c>
      <c r="AH454" s="21">
        <f>IF(G454="","",IF(IFERROR(INDEX(Clients!$O$5:$O$204,MATCH(G454,Clients!$A$5:$A$204,0)),0)&gt;0,IFERROR(INDEX(Clients!$O$5:$O$204,MATCH(G454,Clients!$A$5:$A$204,0)),0),HourlyRate))</f>
        <v>0</v>
      </c>
      <c r="AI454" s="21">
        <f>IF(G454="","",IF(AND(M454&lt;&gt;"",IFERROR(INDEX(Services!$P$5:$P$64,MATCH(M454,Services!$B$5:$B$64,0)),0)&gt;0,IFERROR(INDEX(Services!$D$5:$D$64,MATCH(M454,Services!$B$5:$B$64,0)),"")&lt;&gt;"Per hour"),IFERROR(INDEX(Services!$P$5:$P$64,MATCH(M454,Services!$B$5:$B$64,0)),0),AD454*AH454))</f>
        <v>0</v>
      </c>
      <c r="AJ454" s="21">
        <f>IF(G454="","",IF(V454&lt;&gt;"",V454,IF(P454="Cancelled",0,MAX(MinimumCharge,ROUND(AI454*IFERROR(INDEX(FreqFactors,MATCH(O454,FreqNames,0)),1),2)))))</f>
        <v>0</v>
      </c>
      <c r="AK454" s="34">
        <f>IF(G454="","",IF(SUMIFS(Timesheets!$U$5:$U$804,Timesheets!$G$5:$G$804,A454)&gt;0,SUMIFS(Timesheets!$U$5:$U$804,Timesheets!$G$5:$G$804,A454),IF(Z454="","",Z454)))</f>
        <v>0</v>
      </c>
      <c r="AL454" s="34">
        <f>IF(OR(AK454="",AD454=""),"",AK454-AD454)</f>
        <v>0</v>
      </c>
      <c r="AM454" s="31">
        <f>IF(A454="","",COUNTIFS('Job Tasks'!$B$5:$B$904,A454))</f>
        <v>0</v>
      </c>
      <c r="AN454" s="31">
        <f>IF(A454="","",COUNTIFS('Job Tasks'!$B$5:$B$904,A454,'Job Tasks'!$H$5:$H$904,"Done"))</f>
        <v>0</v>
      </c>
      <c r="AO454" s="38">
        <f>IF(OR(A454="",AM454=0),"",AN454/AM454)</f>
        <v>0</v>
      </c>
      <c r="AP454" s="43">
        <f>IF(A454="","",IFERROR(INDEX('Invoice Lines'!$B$5:$B$804,MATCH(A454,'Invoice Lines'!$C$5:$C$804,0)),""))</f>
        <v>0</v>
      </c>
      <c r="AQ454" s="18">
        <f>IF(OR(G454="",B454="",X454&lt;&gt;"Yes"),"",IF(IFERROR(INDEX(FreqDays,MATCH(O454,FreqNames,0)),0)=0,"",B454+IFERROR(INDEX(FreqDays,MATCH(O454,FreqNames,0)),0)))</f>
        <v>0</v>
      </c>
      <c r="AR454" s="39">
        <f>IF(G454="","",IF(R454="","Unassigned",IF(COUNTIFS($R$5:$R$604,R454,$B$5:$B$604,B454,$F$5:$F$604,F454)&gt;1,"Clash",IF(SUMIFS($AF$5:$AF$604,$R$5:$R$604,R454,$B$5:$B$604,B454)&gt;ProductiveHours,"Long day","OK"))))</f>
        <v>0</v>
      </c>
      <c r="AS454" s="18">
        <f>IF(OR(G454="",B454=""),"",IF(AND(B454&gt;=TodayDate,P454&lt;&gt;"Cancelled"),B454,""))</f>
        <v>0</v>
      </c>
      <c r="AT454" s="31">
        <f>IF(AS454="","",COUNTIFS($AS$5:$AS$604,"&lt;"&amp;AS454)+COUNTIFS($AS$5:AS454,AS454))</f>
        <v>0</v>
      </c>
      <c r="AU454" s="18">
        <f>IF(OR(G454="",B454="",R454&lt;&gt;""),"",IF(AND(B454&gt;=TodayDate,P454&lt;&gt;"Cancelled"),B454,""))</f>
        <v>0</v>
      </c>
      <c r="AV454" s="31">
        <f>IF(AU454="","",COUNTIFS($AU$5:$AU$604,"&lt;"&amp;AU454)+COUNTIFS($AU$5:AU454,AU454))</f>
        <v>0</v>
      </c>
      <c r="AW454" s="31">
        <f>IF(OR(G454="",B454=""),"",B454-TodayDate)</f>
        <v>0</v>
      </c>
      <c r="AX454" s="39">
        <f>IF(G454="","",IF(P454="Cancelled","Cancelled",IF(P454="No access","Action - no access, rebook",IF(AND(B454&lt;&gt;"",AW454&lt;0,OR(P454="Booked",P454="Confirmed",P454="In progress")),"Late - mark it completed",IF(AND(P454="Completed",AP454=""),"Action - not invoiced yet",IF(AND(AW454&gt;=0,AW454&lt;=ReminderDays,Y454&lt;&gt;"Yes"),"Confirm - visit coming up",IF(R454="","Assign - no cleaner booked",IF(AND(P454="Completed",AO454&lt;&gt;"",AO454&lt;1),"Check - checklist unfinished","OK"))))))))</f>
        <v>0</v>
      </c>
    </row>
    <row r="455" spans="1:50">
      <c r="A455" s="43">
        <f>IF(G455="","",JobPrefix&amp;TEXT(ROW()-4,"0000"))</f>
        <v>0</v>
      </c>
      <c r="C455" s="23">
        <f>IF(B455="","",TEXT(B455,"ddd"))</f>
        <v>0</v>
      </c>
      <c r="D455" s="31">
        <f>IF(B455="","",WEEKNUM(B455,IF(WeekStart="Sunday",1,2)))</f>
        <v>0</v>
      </c>
      <c r="E455" s="23">
        <f>IF(B455="","",TEXT(B455,"yyyy-mm"))</f>
        <v>0</v>
      </c>
      <c r="H455" s="23">
        <f>IF(G455="","",IFERROR(INDEX(Clients!$B$5:$B$204,MATCH(G455,Clients!$A$5:$A$204,0)),"Not found"))</f>
        <v>0</v>
      </c>
      <c r="I455" s="23">
        <f>IF(G455="","",IFERROR(INDEX(Clients!$C$5:$C$204,MATCH(G455,Clients!$A$5:$A$204,0)),""))</f>
        <v>0</v>
      </c>
      <c r="K455" s="23">
        <f>IF(J455="","",IFERROR(INDEX(Properties!$B$5:$B$254,MATCH(J455,Properties!$A$5:$A$254,0)),""))</f>
        <v>0</v>
      </c>
      <c r="L455" s="23">
        <f>IF(J455="","",IFERROR(INDEX(Properties!$F$5:$F$254,MATCH(J455,Properties!$A$5:$A$254,0)),""))</f>
        <v>0</v>
      </c>
      <c r="AD455" s="34">
        <f>IF(G455="","",IF(U455&lt;&gt;"",U455,IF(AND(IFERROR(INDEX(Services!$D$5:$D$64,MATCH(M455,Services!$B$5:$B$64,0)),"")="Per hour",IFERROR(INDEX(Properties!$X$5:$X$254,MATCH(J455,Properties!$A$5:$A$254,0)),0)&gt;0),IFERROR(INDEX(Properties!$X$5:$X$254,MATCH(J455,Properties!$A$5:$A$254,0)),0),IF(IFERROR(INDEX(Services!$G$5:$G$64,MATCH(M455,Services!$B$5:$B$64,0)),0)&gt;0,IFERROR(INDEX(Services!$G$5:$G$64,MATCH(M455,Services!$B$5:$B$64,0)),0),IFERROR(INDEX(Properties!$X$5:$X$254,MATCH(J455,Properties!$A$5:$A$254,0)),0)))))</f>
        <v>0</v>
      </c>
      <c r="AE455" s="31">
        <f>IF(G455="","",IF(T455="",CleanersPerJob,MAX(1,T455)))</f>
        <v>0</v>
      </c>
      <c r="AF455" s="34">
        <f>IF(G455="","",ROUND(AD455/AE455,2))</f>
        <v>0</v>
      </c>
      <c r="AG455" s="53">
        <f>IF(OR(G455="",F455="",AF455=""),"",F455+AF455/24)</f>
        <v>0</v>
      </c>
      <c r="AH455" s="21">
        <f>IF(G455="","",IF(IFERROR(INDEX(Clients!$O$5:$O$204,MATCH(G455,Clients!$A$5:$A$204,0)),0)&gt;0,IFERROR(INDEX(Clients!$O$5:$O$204,MATCH(G455,Clients!$A$5:$A$204,0)),0),HourlyRate))</f>
        <v>0</v>
      </c>
      <c r="AI455" s="21">
        <f>IF(G455="","",IF(AND(M455&lt;&gt;"",IFERROR(INDEX(Services!$P$5:$P$64,MATCH(M455,Services!$B$5:$B$64,0)),0)&gt;0,IFERROR(INDEX(Services!$D$5:$D$64,MATCH(M455,Services!$B$5:$B$64,0)),"")&lt;&gt;"Per hour"),IFERROR(INDEX(Services!$P$5:$P$64,MATCH(M455,Services!$B$5:$B$64,0)),0),AD455*AH455))</f>
        <v>0</v>
      </c>
      <c r="AJ455" s="21">
        <f>IF(G455="","",IF(V455&lt;&gt;"",V455,IF(P455="Cancelled",0,MAX(MinimumCharge,ROUND(AI455*IFERROR(INDEX(FreqFactors,MATCH(O455,FreqNames,0)),1),2)))))</f>
        <v>0</v>
      </c>
      <c r="AK455" s="34">
        <f>IF(G455="","",IF(SUMIFS(Timesheets!$U$5:$U$804,Timesheets!$G$5:$G$804,A455)&gt;0,SUMIFS(Timesheets!$U$5:$U$804,Timesheets!$G$5:$G$804,A455),IF(Z455="","",Z455)))</f>
        <v>0</v>
      </c>
      <c r="AL455" s="34">
        <f>IF(OR(AK455="",AD455=""),"",AK455-AD455)</f>
        <v>0</v>
      </c>
      <c r="AM455" s="31">
        <f>IF(A455="","",COUNTIFS('Job Tasks'!$B$5:$B$904,A455))</f>
        <v>0</v>
      </c>
      <c r="AN455" s="31">
        <f>IF(A455="","",COUNTIFS('Job Tasks'!$B$5:$B$904,A455,'Job Tasks'!$H$5:$H$904,"Done"))</f>
        <v>0</v>
      </c>
      <c r="AO455" s="38">
        <f>IF(OR(A455="",AM455=0),"",AN455/AM455)</f>
        <v>0</v>
      </c>
      <c r="AP455" s="43">
        <f>IF(A455="","",IFERROR(INDEX('Invoice Lines'!$B$5:$B$804,MATCH(A455,'Invoice Lines'!$C$5:$C$804,0)),""))</f>
        <v>0</v>
      </c>
      <c r="AQ455" s="18">
        <f>IF(OR(G455="",B455="",X455&lt;&gt;"Yes"),"",IF(IFERROR(INDEX(FreqDays,MATCH(O455,FreqNames,0)),0)=0,"",B455+IFERROR(INDEX(FreqDays,MATCH(O455,FreqNames,0)),0)))</f>
        <v>0</v>
      </c>
      <c r="AR455" s="39">
        <f>IF(G455="","",IF(R455="","Unassigned",IF(COUNTIFS($R$5:$R$604,R455,$B$5:$B$604,B455,$F$5:$F$604,F455)&gt;1,"Clash",IF(SUMIFS($AF$5:$AF$604,$R$5:$R$604,R455,$B$5:$B$604,B455)&gt;ProductiveHours,"Long day","OK"))))</f>
        <v>0</v>
      </c>
      <c r="AS455" s="18">
        <f>IF(OR(G455="",B455=""),"",IF(AND(B455&gt;=TodayDate,P455&lt;&gt;"Cancelled"),B455,""))</f>
        <v>0</v>
      </c>
      <c r="AT455" s="31">
        <f>IF(AS455="","",COUNTIFS($AS$5:$AS$604,"&lt;"&amp;AS455)+COUNTIFS($AS$5:AS455,AS455))</f>
        <v>0</v>
      </c>
      <c r="AU455" s="18">
        <f>IF(OR(G455="",B455="",R455&lt;&gt;""),"",IF(AND(B455&gt;=TodayDate,P455&lt;&gt;"Cancelled"),B455,""))</f>
        <v>0</v>
      </c>
      <c r="AV455" s="31">
        <f>IF(AU455="","",COUNTIFS($AU$5:$AU$604,"&lt;"&amp;AU455)+COUNTIFS($AU$5:AU455,AU455))</f>
        <v>0</v>
      </c>
      <c r="AW455" s="31">
        <f>IF(OR(G455="",B455=""),"",B455-TodayDate)</f>
        <v>0</v>
      </c>
      <c r="AX455" s="39">
        <f>IF(G455="","",IF(P455="Cancelled","Cancelled",IF(P455="No access","Action - no access, rebook",IF(AND(B455&lt;&gt;"",AW455&lt;0,OR(P455="Booked",P455="Confirmed",P455="In progress")),"Late - mark it completed",IF(AND(P455="Completed",AP455=""),"Action - not invoiced yet",IF(AND(AW455&gt;=0,AW455&lt;=ReminderDays,Y455&lt;&gt;"Yes"),"Confirm - visit coming up",IF(R455="","Assign - no cleaner booked",IF(AND(P455="Completed",AO455&lt;&gt;"",AO455&lt;1),"Check - checklist unfinished","OK"))))))))</f>
        <v>0</v>
      </c>
    </row>
    <row r="456" spans="1:50">
      <c r="A456" s="43">
        <f>IF(G456="","",JobPrefix&amp;TEXT(ROW()-4,"0000"))</f>
        <v>0</v>
      </c>
      <c r="C456" s="23">
        <f>IF(B456="","",TEXT(B456,"ddd"))</f>
        <v>0</v>
      </c>
      <c r="D456" s="31">
        <f>IF(B456="","",WEEKNUM(B456,IF(WeekStart="Sunday",1,2)))</f>
        <v>0</v>
      </c>
      <c r="E456" s="23">
        <f>IF(B456="","",TEXT(B456,"yyyy-mm"))</f>
        <v>0</v>
      </c>
      <c r="H456" s="23">
        <f>IF(G456="","",IFERROR(INDEX(Clients!$B$5:$B$204,MATCH(G456,Clients!$A$5:$A$204,0)),"Not found"))</f>
        <v>0</v>
      </c>
      <c r="I456" s="23">
        <f>IF(G456="","",IFERROR(INDEX(Clients!$C$5:$C$204,MATCH(G456,Clients!$A$5:$A$204,0)),""))</f>
        <v>0</v>
      </c>
      <c r="K456" s="23">
        <f>IF(J456="","",IFERROR(INDEX(Properties!$B$5:$B$254,MATCH(J456,Properties!$A$5:$A$254,0)),""))</f>
        <v>0</v>
      </c>
      <c r="L456" s="23">
        <f>IF(J456="","",IFERROR(INDEX(Properties!$F$5:$F$254,MATCH(J456,Properties!$A$5:$A$254,0)),""))</f>
        <v>0</v>
      </c>
      <c r="AD456" s="34">
        <f>IF(G456="","",IF(U456&lt;&gt;"",U456,IF(AND(IFERROR(INDEX(Services!$D$5:$D$64,MATCH(M456,Services!$B$5:$B$64,0)),"")="Per hour",IFERROR(INDEX(Properties!$X$5:$X$254,MATCH(J456,Properties!$A$5:$A$254,0)),0)&gt;0),IFERROR(INDEX(Properties!$X$5:$X$254,MATCH(J456,Properties!$A$5:$A$254,0)),0),IF(IFERROR(INDEX(Services!$G$5:$G$64,MATCH(M456,Services!$B$5:$B$64,0)),0)&gt;0,IFERROR(INDEX(Services!$G$5:$G$64,MATCH(M456,Services!$B$5:$B$64,0)),0),IFERROR(INDEX(Properties!$X$5:$X$254,MATCH(J456,Properties!$A$5:$A$254,0)),0)))))</f>
        <v>0</v>
      </c>
      <c r="AE456" s="31">
        <f>IF(G456="","",IF(T456="",CleanersPerJob,MAX(1,T456)))</f>
        <v>0</v>
      </c>
      <c r="AF456" s="34">
        <f>IF(G456="","",ROUND(AD456/AE456,2))</f>
        <v>0</v>
      </c>
      <c r="AG456" s="53">
        <f>IF(OR(G456="",F456="",AF456=""),"",F456+AF456/24)</f>
        <v>0</v>
      </c>
      <c r="AH456" s="21">
        <f>IF(G456="","",IF(IFERROR(INDEX(Clients!$O$5:$O$204,MATCH(G456,Clients!$A$5:$A$204,0)),0)&gt;0,IFERROR(INDEX(Clients!$O$5:$O$204,MATCH(G456,Clients!$A$5:$A$204,0)),0),HourlyRate))</f>
        <v>0</v>
      </c>
      <c r="AI456" s="21">
        <f>IF(G456="","",IF(AND(M456&lt;&gt;"",IFERROR(INDEX(Services!$P$5:$P$64,MATCH(M456,Services!$B$5:$B$64,0)),0)&gt;0,IFERROR(INDEX(Services!$D$5:$D$64,MATCH(M456,Services!$B$5:$B$64,0)),"")&lt;&gt;"Per hour"),IFERROR(INDEX(Services!$P$5:$P$64,MATCH(M456,Services!$B$5:$B$64,0)),0),AD456*AH456))</f>
        <v>0</v>
      </c>
      <c r="AJ456" s="21">
        <f>IF(G456="","",IF(V456&lt;&gt;"",V456,IF(P456="Cancelled",0,MAX(MinimumCharge,ROUND(AI456*IFERROR(INDEX(FreqFactors,MATCH(O456,FreqNames,0)),1),2)))))</f>
        <v>0</v>
      </c>
      <c r="AK456" s="34">
        <f>IF(G456="","",IF(SUMIFS(Timesheets!$U$5:$U$804,Timesheets!$G$5:$G$804,A456)&gt;0,SUMIFS(Timesheets!$U$5:$U$804,Timesheets!$G$5:$G$804,A456),IF(Z456="","",Z456)))</f>
        <v>0</v>
      </c>
      <c r="AL456" s="34">
        <f>IF(OR(AK456="",AD456=""),"",AK456-AD456)</f>
        <v>0</v>
      </c>
      <c r="AM456" s="31">
        <f>IF(A456="","",COUNTIFS('Job Tasks'!$B$5:$B$904,A456))</f>
        <v>0</v>
      </c>
      <c r="AN456" s="31">
        <f>IF(A456="","",COUNTIFS('Job Tasks'!$B$5:$B$904,A456,'Job Tasks'!$H$5:$H$904,"Done"))</f>
        <v>0</v>
      </c>
      <c r="AO456" s="38">
        <f>IF(OR(A456="",AM456=0),"",AN456/AM456)</f>
        <v>0</v>
      </c>
      <c r="AP456" s="43">
        <f>IF(A456="","",IFERROR(INDEX('Invoice Lines'!$B$5:$B$804,MATCH(A456,'Invoice Lines'!$C$5:$C$804,0)),""))</f>
        <v>0</v>
      </c>
      <c r="AQ456" s="18">
        <f>IF(OR(G456="",B456="",X456&lt;&gt;"Yes"),"",IF(IFERROR(INDEX(FreqDays,MATCH(O456,FreqNames,0)),0)=0,"",B456+IFERROR(INDEX(FreqDays,MATCH(O456,FreqNames,0)),0)))</f>
        <v>0</v>
      </c>
      <c r="AR456" s="39">
        <f>IF(G456="","",IF(R456="","Unassigned",IF(COUNTIFS($R$5:$R$604,R456,$B$5:$B$604,B456,$F$5:$F$604,F456)&gt;1,"Clash",IF(SUMIFS($AF$5:$AF$604,$R$5:$R$604,R456,$B$5:$B$604,B456)&gt;ProductiveHours,"Long day","OK"))))</f>
        <v>0</v>
      </c>
      <c r="AS456" s="18">
        <f>IF(OR(G456="",B456=""),"",IF(AND(B456&gt;=TodayDate,P456&lt;&gt;"Cancelled"),B456,""))</f>
        <v>0</v>
      </c>
      <c r="AT456" s="31">
        <f>IF(AS456="","",COUNTIFS($AS$5:$AS$604,"&lt;"&amp;AS456)+COUNTIFS($AS$5:AS456,AS456))</f>
        <v>0</v>
      </c>
      <c r="AU456" s="18">
        <f>IF(OR(G456="",B456="",R456&lt;&gt;""),"",IF(AND(B456&gt;=TodayDate,P456&lt;&gt;"Cancelled"),B456,""))</f>
        <v>0</v>
      </c>
      <c r="AV456" s="31">
        <f>IF(AU456="","",COUNTIFS($AU$5:$AU$604,"&lt;"&amp;AU456)+COUNTIFS($AU$5:AU456,AU456))</f>
        <v>0</v>
      </c>
      <c r="AW456" s="31">
        <f>IF(OR(G456="",B456=""),"",B456-TodayDate)</f>
        <v>0</v>
      </c>
      <c r="AX456" s="39">
        <f>IF(G456="","",IF(P456="Cancelled","Cancelled",IF(P456="No access","Action - no access, rebook",IF(AND(B456&lt;&gt;"",AW456&lt;0,OR(P456="Booked",P456="Confirmed",P456="In progress")),"Late - mark it completed",IF(AND(P456="Completed",AP456=""),"Action - not invoiced yet",IF(AND(AW456&gt;=0,AW456&lt;=ReminderDays,Y456&lt;&gt;"Yes"),"Confirm - visit coming up",IF(R456="","Assign - no cleaner booked",IF(AND(P456="Completed",AO456&lt;&gt;"",AO456&lt;1),"Check - checklist unfinished","OK"))))))))</f>
        <v>0</v>
      </c>
    </row>
    <row r="457" spans="1:50">
      <c r="A457" s="43">
        <f>IF(G457="","",JobPrefix&amp;TEXT(ROW()-4,"0000"))</f>
        <v>0</v>
      </c>
      <c r="C457" s="23">
        <f>IF(B457="","",TEXT(B457,"ddd"))</f>
        <v>0</v>
      </c>
      <c r="D457" s="31">
        <f>IF(B457="","",WEEKNUM(B457,IF(WeekStart="Sunday",1,2)))</f>
        <v>0</v>
      </c>
      <c r="E457" s="23">
        <f>IF(B457="","",TEXT(B457,"yyyy-mm"))</f>
        <v>0</v>
      </c>
      <c r="H457" s="23">
        <f>IF(G457="","",IFERROR(INDEX(Clients!$B$5:$B$204,MATCH(G457,Clients!$A$5:$A$204,0)),"Not found"))</f>
        <v>0</v>
      </c>
      <c r="I457" s="23">
        <f>IF(G457="","",IFERROR(INDEX(Clients!$C$5:$C$204,MATCH(G457,Clients!$A$5:$A$204,0)),""))</f>
        <v>0</v>
      </c>
      <c r="K457" s="23">
        <f>IF(J457="","",IFERROR(INDEX(Properties!$B$5:$B$254,MATCH(J457,Properties!$A$5:$A$254,0)),""))</f>
        <v>0</v>
      </c>
      <c r="L457" s="23">
        <f>IF(J457="","",IFERROR(INDEX(Properties!$F$5:$F$254,MATCH(J457,Properties!$A$5:$A$254,0)),""))</f>
        <v>0</v>
      </c>
      <c r="AD457" s="34">
        <f>IF(G457="","",IF(U457&lt;&gt;"",U457,IF(AND(IFERROR(INDEX(Services!$D$5:$D$64,MATCH(M457,Services!$B$5:$B$64,0)),"")="Per hour",IFERROR(INDEX(Properties!$X$5:$X$254,MATCH(J457,Properties!$A$5:$A$254,0)),0)&gt;0),IFERROR(INDEX(Properties!$X$5:$X$254,MATCH(J457,Properties!$A$5:$A$254,0)),0),IF(IFERROR(INDEX(Services!$G$5:$G$64,MATCH(M457,Services!$B$5:$B$64,0)),0)&gt;0,IFERROR(INDEX(Services!$G$5:$G$64,MATCH(M457,Services!$B$5:$B$64,0)),0),IFERROR(INDEX(Properties!$X$5:$X$254,MATCH(J457,Properties!$A$5:$A$254,0)),0)))))</f>
        <v>0</v>
      </c>
      <c r="AE457" s="31">
        <f>IF(G457="","",IF(T457="",CleanersPerJob,MAX(1,T457)))</f>
        <v>0</v>
      </c>
      <c r="AF457" s="34">
        <f>IF(G457="","",ROUND(AD457/AE457,2))</f>
        <v>0</v>
      </c>
      <c r="AG457" s="53">
        <f>IF(OR(G457="",F457="",AF457=""),"",F457+AF457/24)</f>
        <v>0</v>
      </c>
      <c r="AH457" s="21">
        <f>IF(G457="","",IF(IFERROR(INDEX(Clients!$O$5:$O$204,MATCH(G457,Clients!$A$5:$A$204,0)),0)&gt;0,IFERROR(INDEX(Clients!$O$5:$O$204,MATCH(G457,Clients!$A$5:$A$204,0)),0),HourlyRate))</f>
        <v>0</v>
      </c>
      <c r="AI457" s="21">
        <f>IF(G457="","",IF(AND(M457&lt;&gt;"",IFERROR(INDEX(Services!$P$5:$P$64,MATCH(M457,Services!$B$5:$B$64,0)),0)&gt;0,IFERROR(INDEX(Services!$D$5:$D$64,MATCH(M457,Services!$B$5:$B$64,0)),"")&lt;&gt;"Per hour"),IFERROR(INDEX(Services!$P$5:$P$64,MATCH(M457,Services!$B$5:$B$64,0)),0),AD457*AH457))</f>
        <v>0</v>
      </c>
      <c r="AJ457" s="21">
        <f>IF(G457="","",IF(V457&lt;&gt;"",V457,IF(P457="Cancelled",0,MAX(MinimumCharge,ROUND(AI457*IFERROR(INDEX(FreqFactors,MATCH(O457,FreqNames,0)),1),2)))))</f>
        <v>0</v>
      </c>
      <c r="AK457" s="34">
        <f>IF(G457="","",IF(SUMIFS(Timesheets!$U$5:$U$804,Timesheets!$G$5:$G$804,A457)&gt;0,SUMIFS(Timesheets!$U$5:$U$804,Timesheets!$G$5:$G$804,A457),IF(Z457="","",Z457)))</f>
        <v>0</v>
      </c>
      <c r="AL457" s="34">
        <f>IF(OR(AK457="",AD457=""),"",AK457-AD457)</f>
        <v>0</v>
      </c>
      <c r="AM457" s="31">
        <f>IF(A457="","",COUNTIFS('Job Tasks'!$B$5:$B$904,A457))</f>
        <v>0</v>
      </c>
      <c r="AN457" s="31">
        <f>IF(A457="","",COUNTIFS('Job Tasks'!$B$5:$B$904,A457,'Job Tasks'!$H$5:$H$904,"Done"))</f>
        <v>0</v>
      </c>
      <c r="AO457" s="38">
        <f>IF(OR(A457="",AM457=0),"",AN457/AM457)</f>
        <v>0</v>
      </c>
      <c r="AP457" s="43">
        <f>IF(A457="","",IFERROR(INDEX('Invoice Lines'!$B$5:$B$804,MATCH(A457,'Invoice Lines'!$C$5:$C$804,0)),""))</f>
        <v>0</v>
      </c>
      <c r="AQ457" s="18">
        <f>IF(OR(G457="",B457="",X457&lt;&gt;"Yes"),"",IF(IFERROR(INDEX(FreqDays,MATCH(O457,FreqNames,0)),0)=0,"",B457+IFERROR(INDEX(FreqDays,MATCH(O457,FreqNames,0)),0)))</f>
        <v>0</v>
      </c>
      <c r="AR457" s="39">
        <f>IF(G457="","",IF(R457="","Unassigned",IF(COUNTIFS($R$5:$R$604,R457,$B$5:$B$604,B457,$F$5:$F$604,F457)&gt;1,"Clash",IF(SUMIFS($AF$5:$AF$604,$R$5:$R$604,R457,$B$5:$B$604,B457)&gt;ProductiveHours,"Long day","OK"))))</f>
        <v>0</v>
      </c>
      <c r="AS457" s="18">
        <f>IF(OR(G457="",B457=""),"",IF(AND(B457&gt;=TodayDate,P457&lt;&gt;"Cancelled"),B457,""))</f>
        <v>0</v>
      </c>
      <c r="AT457" s="31">
        <f>IF(AS457="","",COUNTIFS($AS$5:$AS$604,"&lt;"&amp;AS457)+COUNTIFS($AS$5:AS457,AS457))</f>
        <v>0</v>
      </c>
      <c r="AU457" s="18">
        <f>IF(OR(G457="",B457="",R457&lt;&gt;""),"",IF(AND(B457&gt;=TodayDate,P457&lt;&gt;"Cancelled"),B457,""))</f>
        <v>0</v>
      </c>
      <c r="AV457" s="31">
        <f>IF(AU457="","",COUNTIFS($AU$5:$AU$604,"&lt;"&amp;AU457)+COUNTIFS($AU$5:AU457,AU457))</f>
        <v>0</v>
      </c>
      <c r="AW457" s="31">
        <f>IF(OR(G457="",B457=""),"",B457-TodayDate)</f>
        <v>0</v>
      </c>
      <c r="AX457" s="39">
        <f>IF(G457="","",IF(P457="Cancelled","Cancelled",IF(P457="No access","Action - no access, rebook",IF(AND(B457&lt;&gt;"",AW457&lt;0,OR(P457="Booked",P457="Confirmed",P457="In progress")),"Late - mark it completed",IF(AND(P457="Completed",AP457=""),"Action - not invoiced yet",IF(AND(AW457&gt;=0,AW457&lt;=ReminderDays,Y457&lt;&gt;"Yes"),"Confirm - visit coming up",IF(R457="","Assign - no cleaner booked",IF(AND(P457="Completed",AO457&lt;&gt;"",AO457&lt;1),"Check - checklist unfinished","OK"))))))))</f>
        <v>0</v>
      </c>
    </row>
    <row r="458" spans="1:50">
      <c r="A458" s="43">
        <f>IF(G458="","",JobPrefix&amp;TEXT(ROW()-4,"0000"))</f>
        <v>0</v>
      </c>
      <c r="C458" s="23">
        <f>IF(B458="","",TEXT(B458,"ddd"))</f>
        <v>0</v>
      </c>
      <c r="D458" s="31">
        <f>IF(B458="","",WEEKNUM(B458,IF(WeekStart="Sunday",1,2)))</f>
        <v>0</v>
      </c>
      <c r="E458" s="23">
        <f>IF(B458="","",TEXT(B458,"yyyy-mm"))</f>
        <v>0</v>
      </c>
      <c r="H458" s="23">
        <f>IF(G458="","",IFERROR(INDEX(Clients!$B$5:$B$204,MATCH(G458,Clients!$A$5:$A$204,0)),"Not found"))</f>
        <v>0</v>
      </c>
      <c r="I458" s="23">
        <f>IF(G458="","",IFERROR(INDEX(Clients!$C$5:$C$204,MATCH(G458,Clients!$A$5:$A$204,0)),""))</f>
        <v>0</v>
      </c>
      <c r="K458" s="23">
        <f>IF(J458="","",IFERROR(INDEX(Properties!$B$5:$B$254,MATCH(J458,Properties!$A$5:$A$254,0)),""))</f>
        <v>0</v>
      </c>
      <c r="L458" s="23">
        <f>IF(J458="","",IFERROR(INDEX(Properties!$F$5:$F$254,MATCH(J458,Properties!$A$5:$A$254,0)),""))</f>
        <v>0</v>
      </c>
      <c r="AD458" s="34">
        <f>IF(G458="","",IF(U458&lt;&gt;"",U458,IF(AND(IFERROR(INDEX(Services!$D$5:$D$64,MATCH(M458,Services!$B$5:$B$64,0)),"")="Per hour",IFERROR(INDEX(Properties!$X$5:$X$254,MATCH(J458,Properties!$A$5:$A$254,0)),0)&gt;0),IFERROR(INDEX(Properties!$X$5:$X$254,MATCH(J458,Properties!$A$5:$A$254,0)),0),IF(IFERROR(INDEX(Services!$G$5:$G$64,MATCH(M458,Services!$B$5:$B$64,0)),0)&gt;0,IFERROR(INDEX(Services!$G$5:$G$64,MATCH(M458,Services!$B$5:$B$64,0)),0),IFERROR(INDEX(Properties!$X$5:$X$254,MATCH(J458,Properties!$A$5:$A$254,0)),0)))))</f>
        <v>0</v>
      </c>
      <c r="AE458" s="31">
        <f>IF(G458="","",IF(T458="",CleanersPerJob,MAX(1,T458)))</f>
        <v>0</v>
      </c>
      <c r="AF458" s="34">
        <f>IF(G458="","",ROUND(AD458/AE458,2))</f>
        <v>0</v>
      </c>
      <c r="AG458" s="53">
        <f>IF(OR(G458="",F458="",AF458=""),"",F458+AF458/24)</f>
        <v>0</v>
      </c>
      <c r="AH458" s="21">
        <f>IF(G458="","",IF(IFERROR(INDEX(Clients!$O$5:$O$204,MATCH(G458,Clients!$A$5:$A$204,0)),0)&gt;0,IFERROR(INDEX(Clients!$O$5:$O$204,MATCH(G458,Clients!$A$5:$A$204,0)),0),HourlyRate))</f>
        <v>0</v>
      </c>
      <c r="AI458" s="21">
        <f>IF(G458="","",IF(AND(M458&lt;&gt;"",IFERROR(INDEX(Services!$P$5:$P$64,MATCH(M458,Services!$B$5:$B$64,0)),0)&gt;0,IFERROR(INDEX(Services!$D$5:$D$64,MATCH(M458,Services!$B$5:$B$64,0)),"")&lt;&gt;"Per hour"),IFERROR(INDEX(Services!$P$5:$P$64,MATCH(M458,Services!$B$5:$B$64,0)),0),AD458*AH458))</f>
        <v>0</v>
      </c>
      <c r="AJ458" s="21">
        <f>IF(G458="","",IF(V458&lt;&gt;"",V458,IF(P458="Cancelled",0,MAX(MinimumCharge,ROUND(AI458*IFERROR(INDEX(FreqFactors,MATCH(O458,FreqNames,0)),1),2)))))</f>
        <v>0</v>
      </c>
      <c r="AK458" s="34">
        <f>IF(G458="","",IF(SUMIFS(Timesheets!$U$5:$U$804,Timesheets!$G$5:$G$804,A458)&gt;0,SUMIFS(Timesheets!$U$5:$U$804,Timesheets!$G$5:$G$804,A458),IF(Z458="","",Z458)))</f>
        <v>0</v>
      </c>
      <c r="AL458" s="34">
        <f>IF(OR(AK458="",AD458=""),"",AK458-AD458)</f>
        <v>0</v>
      </c>
      <c r="AM458" s="31">
        <f>IF(A458="","",COUNTIFS('Job Tasks'!$B$5:$B$904,A458))</f>
        <v>0</v>
      </c>
      <c r="AN458" s="31">
        <f>IF(A458="","",COUNTIFS('Job Tasks'!$B$5:$B$904,A458,'Job Tasks'!$H$5:$H$904,"Done"))</f>
        <v>0</v>
      </c>
      <c r="AO458" s="38">
        <f>IF(OR(A458="",AM458=0),"",AN458/AM458)</f>
        <v>0</v>
      </c>
      <c r="AP458" s="43">
        <f>IF(A458="","",IFERROR(INDEX('Invoice Lines'!$B$5:$B$804,MATCH(A458,'Invoice Lines'!$C$5:$C$804,0)),""))</f>
        <v>0</v>
      </c>
      <c r="AQ458" s="18">
        <f>IF(OR(G458="",B458="",X458&lt;&gt;"Yes"),"",IF(IFERROR(INDEX(FreqDays,MATCH(O458,FreqNames,0)),0)=0,"",B458+IFERROR(INDEX(FreqDays,MATCH(O458,FreqNames,0)),0)))</f>
        <v>0</v>
      </c>
      <c r="AR458" s="39">
        <f>IF(G458="","",IF(R458="","Unassigned",IF(COUNTIFS($R$5:$R$604,R458,$B$5:$B$604,B458,$F$5:$F$604,F458)&gt;1,"Clash",IF(SUMIFS($AF$5:$AF$604,$R$5:$R$604,R458,$B$5:$B$604,B458)&gt;ProductiveHours,"Long day","OK"))))</f>
        <v>0</v>
      </c>
      <c r="AS458" s="18">
        <f>IF(OR(G458="",B458=""),"",IF(AND(B458&gt;=TodayDate,P458&lt;&gt;"Cancelled"),B458,""))</f>
        <v>0</v>
      </c>
      <c r="AT458" s="31">
        <f>IF(AS458="","",COUNTIFS($AS$5:$AS$604,"&lt;"&amp;AS458)+COUNTIFS($AS$5:AS458,AS458))</f>
        <v>0</v>
      </c>
      <c r="AU458" s="18">
        <f>IF(OR(G458="",B458="",R458&lt;&gt;""),"",IF(AND(B458&gt;=TodayDate,P458&lt;&gt;"Cancelled"),B458,""))</f>
        <v>0</v>
      </c>
      <c r="AV458" s="31">
        <f>IF(AU458="","",COUNTIFS($AU$5:$AU$604,"&lt;"&amp;AU458)+COUNTIFS($AU$5:AU458,AU458))</f>
        <v>0</v>
      </c>
      <c r="AW458" s="31">
        <f>IF(OR(G458="",B458=""),"",B458-TodayDate)</f>
        <v>0</v>
      </c>
      <c r="AX458" s="39">
        <f>IF(G458="","",IF(P458="Cancelled","Cancelled",IF(P458="No access","Action - no access, rebook",IF(AND(B458&lt;&gt;"",AW458&lt;0,OR(P458="Booked",P458="Confirmed",P458="In progress")),"Late - mark it completed",IF(AND(P458="Completed",AP458=""),"Action - not invoiced yet",IF(AND(AW458&gt;=0,AW458&lt;=ReminderDays,Y458&lt;&gt;"Yes"),"Confirm - visit coming up",IF(R458="","Assign - no cleaner booked",IF(AND(P458="Completed",AO458&lt;&gt;"",AO458&lt;1),"Check - checklist unfinished","OK"))))))))</f>
        <v>0</v>
      </c>
    </row>
    <row r="459" spans="1:50">
      <c r="A459" s="43">
        <f>IF(G459="","",JobPrefix&amp;TEXT(ROW()-4,"0000"))</f>
        <v>0</v>
      </c>
      <c r="C459" s="23">
        <f>IF(B459="","",TEXT(B459,"ddd"))</f>
        <v>0</v>
      </c>
      <c r="D459" s="31">
        <f>IF(B459="","",WEEKNUM(B459,IF(WeekStart="Sunday",1,2)))</f>
        <v>0</v>
      </c>
      <c r="E459" s="23">
        <f>IF(B459="","",TEXT(B459,"yyyy-mm"))</f>
        <v>0</v>
      </c>
      <c r="H459" s="23">
        <f>IF(G459="","",IFERROR(INDEX(Clients!$B$5:$B$204,MATCH(G459,Clients!$A$5:$A$204,0)),"Not found"))</f>
        <v>0</v>
      </c>
      <c r="I459" s="23">
        <f>IF(G459="","",IFERROR(INDEX(Clients!$C$5:$C$204,MATCH(G459,Clients!$A$5:$A$204,0)),""))</f>
        <v>0</v>
      </c>
      <c r="K459" s="23">
        <f>IF(J459="","",IFERROR(INDEX(Properties!$B$5:$B$254,MATCH(J459,Properties!$A$5:$A$254,0)),""))</f>
        <v>0</v>
      </c>
      <c r="L459" s="23">
        <f>IF(J459="","",IFERROR(INDEX(Properties!$F$5:$F$254,MATCH(J459,Properties!$A$5:$A$254,0)),""))</f>
        <v>0</v>
      </c>
      <c r="AD459" s="34">
        <f>IF(G459="","",IF(U459&lt;&gt;"",U459,IF(AND(IFERROR(INDEX(Services!$D$5:$D$64,MATCH(M459,Services!$B$5:$B$64,0)),"")="Per hour",IFERROR(INDEX(Properties!$X$5:$X$254,MATCH(J459,Properties!$A$5:$A$254,0)),0)&gt;0),IFERROR(INDEX(Properties!$X$5:$X$254,MATCH(J459,Properties!$A$5:$A$254,0)),0),IF(IFERROR(INDEX(Services!$G$5:$G$64,MATCH(M459,Services!$B$5:$B$64,0)),0)&gt;0,IFERROR(INDEX(Services!$G$5:$G$64,MATCH(M459,Services!$B$5:$B$64,0)),0),IFERROR(INDEX(Properties!$X$5:$X$254,MATCH(J459,Properties!$A$5:$A$254,0)),0)))))</f>
        <v>0</v>
      </c>
      <c r="AE459" s="31">
        <f>IF(G459="","",IF(T459="",CleanersPerJob,MAX(1,T459)))</f>
        <v>0</v>
      </c>
      <c r="AF459" s="34">
        <f>IF(G459="","",ROUND(AD459/AE459,2))</f>
        <v>0</v>
      </c>
      <c r="AG459" s="53">
        <f>IF(OR(G459="",F459="",AF459=""),"",F459+AF459/24)</f>
        <v>0</v>
      </c>
      <c r="AH459" s="21">
        <f>IF(G459="","",IF(IFERROR(INDEX(Clients!$O$5:$O$204,MATCH(G459,Clients!$A$5:$A$204,0)),0)&gt;0,IFERROR(INDEX(Clients!$O$5:$O$204,MATCH(G459,Clients!$A$5:$A$204,0)),0),HourlyRate))</f>
        <v>0</v>
      </c>
      <c r="AI459" s="21">
        <f>IF(G459="","",IF(AND(M459&lt;&gt;"",IFERROR(INDEX(Services!$P$5:$P$64,MATCH(M459,Services!$B$5:$B$64,0)),0)&gt;0,IFERROR(INDEX(Services!$D$5:$D$64,MATCH(M459,Services!$B$5:$B$64,0)),"")&lt;&gt;"Per hour"),IFERROR(INDEX(Services!$P$5:$P$64,MATCH(M459,Services!$B$5:$B$64,0)),0),AD459*AH459))</f>
        <v>0</v>
      </c>
      <c r="AJ459" s="21">
        <f>IF(G459="","",IF(V459&lt;&gt;"",V459,IF(P459="Cancelled",0,MAX(MinimumCharge,ROUND(AI459*IFERROR(INDEX(FreqFactors,MATCH(O459,FreqNames,0)),1),2)))))</f>
        <v>0</v>
      </c>
      <c r="AK459" s="34">
        <f>IF(G459="","",IF(SUMIFS(Timesheets!$U$5:$U$804,Timesheets!$G$5:$G$804,A459)&gt;0,SUMIFS(Timesheets!$U$5:$U$804,Timesheets!$G$5:$G$804,A459),IF(Z459="","",Z459)))</f>
        <v>0</v>
      </c>
      <c r="AL459" s="34">
        <f>IF(OR(AK459="",AD459=""),"",AK459-AD459)</f>
        <v>0</v>
      </c>
      <c r="AM459" s="31">
        <f>IF(A459="","",COUNTIFS('Job Tasks'!$B$5:$B$904,A459))</f>
        <v>0</v>
      </c>
      <c r="AN459" s="31">
        <f>IF(A459="","",COUNTIFS('Job Tasks'!$B$5:$B$904,A459,'Job Tasks'!$H$5:$H$904,"Done"))</f>
        <v>0</v>
      </c>
      <c r="AO459" s="38">
        <f>IF(OR(A459="",AM459=0),"",AN459/AM459)</f>
        <v>0</v>
      </c>
      <c r="AP459" s="43">
        <f>IF(A459="","",IFERROR(INDEX('Invoice Lines'!$B$5:$B$804,MATCH(A459,'Invoice Lines'!$C$5:$C$804,0)),""))</f>
        <v>0</v>
      </c>
      <c r="AQ459" s="18">
        <f>IF(OR(G459="",B459="",X459&lt;&gt;"Yes"),"",IF(IFERROR(INDEX(FreqDays,MATCH(O459,FreqNames,0)),0)=0,"",B459+IFERROR(INDEX(FreqDays,MATCH(O459,FreqNames,0)),0)))</f>
        <v>0</v>
      </c>
      <c r="AR459" s="39">
        <f>IF(G459="","",IF(R459="","Unassigned",IF(COUNTIFS($R$5:$R$604,R459,$B$5:$B$604,B459,$F$5:$F$604,F459)&gt;1,"Clash",IF(SUMIFS($AF$5:$AF$604,$R$5:$R$604,R459,$B$5:$B$604,B459)&gt;ProductiveHours,"Long day","OK"))))</f>
        <v>0</v>
      </c>
      <c r="AS459" s="18">
        <f>IF(OR(G459="",B459=""),"",IF(AND(B459&gt;=TodayDate,P459&lt;&gt;"Cancelled"),B459,""))</f>
        <v>0</v>
      </c>
      <c r="AT459" s="31">
        <f>IF(AS459="","",COUNTIFS($AS$5:$AS$604,"&lt;"&amp;AS459)+COUNTIFS($AS$5:AS459,AS459))</f>
        <v>0</v>
      </c>
      <c r="AU459" s="18">
        <f>IF(OR(G459="",B459="",R459&lt;&gt;""),"",IF(AND(B459&gt;=TodayDate,P459&lt;&gt;"Cancelled"),B459,""))</f>
        <v>0</v>
      </c>
      <c r="AV459" s="31">
        <f>IF(AU459="","",COUNTIFS($AU$5:$AU$604,"&lt;"&amp;AU459)+COUNTIFS($AU$5:AU459,AU459))</f>
        <v>0</v>
      </c>
      <c r="AW459" s="31">
        <f>IF(OR(G459="",B459=""),"",B459-TodayDate)</f>
        <v>0</v>
      </c>
      <c r="AX459" s="39">
        <f>IF(G459="","",IF(P459="Cancelled","Cancelled",IF(P459="No access","Action - no access, rebook",IF(AND(B459&lt;&gt;"",AW459&lt;0,OR(P459="Booked",P459="Confirmed",P459="In progress")),"Late - mark it completed",IF(AND(P459="Completed",AP459=""),"Action - not invoiced yet",IF(AND(AW459&gt;=0,AW459&lt;=ReminderDays,Y459&lt;&gt;"Yes"),"Confirm - visit coming up",IF(R459="","Assign - no cleaner booked",IF(AND(P459="Completed",AO459&lt;&gt;"",AO459&lt;1),"Check - checklist unfinished","OK"))))))))</f>
        <v>0</v>
      </c>
    </row>
    <row r="460" spans="1:50">
      <c r="A460" s="43">
        <f>IF(G460="","",JobPrefix&amp;TEXT(ROW()-4,"0000"))</f>
        <v>0</v>
      </c>
      <c r="C460" s="23">
        <f>IF(B460="","",TEXT(B460,"ddd"))</f>
        <v>0</v>
      </c>
      <c r="D460" s="31">
        <f>IF(B460="","",WEEKNUM(B460,IF(WeekStart="Sunday",1,2)))</f>
        <v>0</v>
      </c>
      <c r="E460" s="23">
        <f>IF(B460="","",TEXT(B460,"yyyy-mm"))</f>
        <v>0</v>
      </c>
      <c r="H460" s="23">
        <f>IF(G460="","",IFERROR(INDEX(Clients!$B$5:$B$204,MATCH(G460,Clients!$A$5:$A$204,0)),"Not found"))</f>
        <v>0</v>
      </c>
      <c r="I460" s="23">
        <f>IF(G460="","",IFERROR(INDEX(Clients!$C$5:$C$204,MATCH(G460,Clients!$A$5:$A$204,0)),""))</f>
        <v>0</v>
      </c>
      <c r="K460" s="23">
        <f>IF(J460="","",IFERROR(INDEX(Properties!$B$5:$B$254,MATCH(J460,Properties!$A$5:$A$254,0)),""))</f>
        <v>0</v>
      </c>
      <c r="L460" s="23">
        <f>IF(J460="","",IFERROR(INDEX(Properties!$F$5:$F$254,MATCH(J460,Properties!$A$5:$A$254,0)),""))</f>
        <v>0</v>
      </c>
      <c r="AD460" s="34">
        <f>IF(G460="","",IF(U460&lt;&gt;"",U460,IF(AND(IFERROR(INDEX(Services!$D$5:$D$64,MATCH(M460,Services!$B$5:$B$64,0)),"")="Per hour",IFERROR(INDEX(Properties!$X$5:$X$254,MATCH(J460,Properties!$A$5:$A$254,0)),0)&gt;0),IFERROR(INDEX(Properties!$X$5:$X$254,MATCH(J460,Properties!$A$5:$A$254,0)),0),IF(IFERROR(INDEX(Services!$G$5:$G$64,MATCH(M460,Services!$B$5:$B$64,0)),0)&gt;0,IFERROR(INDEX(Services!$G$5:$G$64,MATCH(M460,Services!$B$5:$B$64,0)),0),IFERROR(INDEX(Properties!$X$5:$X$254,MATCH(J460,Properties!$A$5:$A$254,0)),0)))))</f>
        <v>0</v>
      </c>
      <c r="AE460" s="31">
        <f>IF(G460="","",IF(T460="",CleanersPerJob,MAX(1,T460)))</f>
        <v>0</v>
      </c>
      <c r="AF460" s="34">
        <f>IF(G460="","",ROUND(AD460/AE460,2))</f>
        <v>0</v>
      </c>
      <c r="AG460" s="53">
        <f>IF(OR(G460="",F460="",AF460=""),"",F460+AF460/24)</f>
        <v>0</v>
      </c>
      <c r="AH460" s="21">
        <f>IF(G460="","",IF(IFERROR(INDEX(Clients!$O$5:$O$204,MATCH(G460,Clients!$A$5:$A$204,0)),0)&gt;0,IFERROR(INDEX(Clients!$O$5:$O$204,MATCH(G460,Clients!$A$5:$A$204,0)),0),HourlyRate))</f>
        <v>0</v>
      </c>
      <c r="AI460" s="21">
        <f>IF(G460="","",IF(AND(M460&lt;&gt;"",IFERROR(INDEX(Services!$P$5:$P$64,MATCH(M460,Services!$B$5:$B$64,0)),0)&gt;0,IFERROR(INDEX(Services!$D$5:$D$64,MATCH(M460,Services!$B$5:$B$64,0)),"")&lt;&gt;"Per hour"),IFERROR(INDEX(Services!$P$5:$P$64,MATCH(M460,Services!$B$5:$B$64,0)),0),AD460*AH460))</f>
        <v>0</v>
      </c>
      <c r="AJ460" s="21">
        <f>IF(G460="","",IF(V460&lt;&gt;"",V460,IF(P460="Cancelled",0,MAX(MinimumCharge,ROUND(AI460*IFERROR(INDEX(FreqFactors,MATCH(O460,FreqNames,0)),1),2)))))</f>
        <v>0</v>
      </c>
      <c r="AK460" s="34">
        <f>IF(G460="","",IF(SUMIFS(Timesheets!$U$5:$U$804,Timesheets!$G$5:$G$804,A460)&gt;0,SUMIFS(Timesheets!$U$5:$U$804,Timesheets!$G$5:$G$804,A460),IF(Z460="","",Z460)))</f>
        <v>0</v>
      </c>
      <c r="AL460" s="34">
        <f>IF(OR(AK460="",AD460=""),"",AK460-AD460)</f>
        <v>0</v>
      </c>
      <c r="AM460" s="31">
        <f>IF(A460="","",COUNTIFS('Job Tasks'!$B$5:$B$904,A460))</f>
        <v>0</v>
      </c>
      <c r="AN460" s="31">
        <f>IF(A460="","",COUNTIFS('Job Tasks'!$B$5:$B$904,A460,'Job Tasks'!$H$5:$H$904,"Done"))</f>
        <v>0</v>
      </c>
      <c r="AO460" s="38">
        <f>IF(OR(A460="",AM460=0),"",AN460/AM460)</f>
        <v>0</v>
      </c>
      <c r="AP460" s="43">
        <f>IF(A460="","",IFERROR(INDEX('Invoice Lines'!$B$5:$B$804,MATCH(A460,'Invoice Lines'!$C$5:$C$804,0)),""))</f>
        <v>0</v>
      </c>
      <c r="AQ460" s="18">
        <f>IF(OR(G460="",B460="",X460&lt;&gt;"Yes"),"",IF(IFERROR(INDEX(FreqDays,MATCH(O460,FreqNames,0)),0)=0,"",B460+IFERROR(INDEX(FreqDays,MATCH(O460,FreqNames,0)),0)))</f>
        <v>0</v>
      </c>
      <c r="AR460" s="39">
        <f>IF(G460="","",IF(R460="","Unassigned",IF(COUNTIFS($R$5:$R$604,R460,$B$5:$B$604,B460,$F$5:$F$604,F460)&gt;1,"Clash",IF(SUMIFS($AF$5:$AF$604,$R$5:$R$604,R460,$B$5:$B$604,B460)&gt;ProductiveHours,"Long day","OK"))))</f>
        <v>0</v>
      </c>
      <c r="AS460" s="18">
        <f>IF(OR(G460="",B460=""),"",IF(AND(B460&gt;=TodayDate,P460&lt;&gt;"Cancelled"),B460,""))</f>
        <v>0</v>
      </c>
      <c r="AT460" s="31">
        <f>IF(AS460="","",COUNTIFS($AS$5:$AS$604,"&lt;"&amp;AS460)+COUNTIFS($AS$5:AS460,AS460))</f>
        <v>0</v>
      </c>
      <c r="AU460" s="18">
        <f>IF(OR(G460="",B460="",R460&lt;&gt;""),"",IF(AND(B460&gt;=TodayDate,P460&lt;&gt;"Cancelled"),B460,""))</f>
        <v>0</v>
      </c>
      <c r="AV460" s="31">
        <f>IF(AU460="","",COUNTIFS($AU$5:$AU$604,"&lt;"&amp;AU460)+COUNTIFS($AU$5:AU460,AU460))</f>
        <v>0</v>
      </c>
      <c r="AW460" s="31">
        <f>IF(OR(G460="",B460=""),"",B460-TodayDate)</f>
        <v>0</v>
      </c>
      <c r="AX460" s="39">
        <f>IF(G460="","",IF(P460="Cancelled","Cancelled",IF(P460="No access","Action - no access, rebook",IF(AND(B460&lt;&gt;"",AW460&lt;0,OR(P460="Booked",P460="Confirmed",P460="In progress")),"Late - mark it completed",IF(AND(P460="Completed",AP460=""),"Action - not invoiced yet",IF(AND(AW460&gt;=0,AW460&lt;=ReminderDays,Y460&lt;&gt;"Yes"),"Confirm - visit coming up",IF(R460="","Assign - no cleaner booked",IF(AND(P460="Completed",AO460&lt;&gt;"",AO460&lt;1),"Check - checklist unfinished","OK"))))))))</f>
        <v>0</v>
      </c>
    </row>
    <row r="461" spans="1:50">
      <c r="A461" s="43">
        <f>IF(G461="","",JobPrefix&amp;TEXT(ROW()-4,"0000"))</f>
        <v>0</v>
      </c>
      <c r="C461" s="23">
        <f>IF(B461="","",TEXT(B461,"ddd"))</f>
        <v>0</v>
      </c>
      <c r="D461" s="31">
        <f>IF(B461="","",WEEKNUM(B461,IF(WeekStart="Sunday",1,2)))</f>
        <v>0</v>
      </c>
      <c r="E461" s="23">
        <f>IF(B461="","",TEXT(B461,"yyyy-mm"))</f>
        <v>0</v>
      </c>
      <c r="H461" s="23">
        <f>IF(G461="","",IFERROR(INDEX(Clients!$B$5:$B$204,MATCH(G461,Clients!$A$5:$A$204,0)),"Not found"))</f>
        <v>0</v>
      </c>
      <c r="I461" s="23">
        <f>IF(G461="","",IFERROR(INDEX(Clients!$C$5:$C$204,MATCH(G461,Clients!$A$5:$A$204,0)),""))</f>
        <v>0</v>
      </c>
      <c r="K461" s="23">
        <f>IF(J461="","",IFERROR(INDEX(Properties!$B$5:$B$254,MATCH(J461,Properties!$A$5:$A$254,0)),""))</f>
        <v>0</v>
      </c>
      <c r="L461" s="23">
        <f>IF(J461="","",IFERROR(INDEX(Properties!$F$5:$F$254,MATCH(J461,Properties!$A$5:$A$254,0)),""))</f>
        <v>0</v>
      </c>
      <c r="AD461" s="34">
        <f>IF(G461="","",IF(U461&lt;&gt;"",U461,IF(AND(IFERROR(INDEX(Services!$D$5:$D$64,MATCH(M461,Services!$B$5:$B$64,0)),"")="Per hour",IFERROR(INDEX(Properties!$X$5:$X$254,MATCH(J461,Properties!$A$5:$A$254,0)),0)&gt;0),IFERROR(INDEX(Properties!$X$5:$X$254,MATCH(J461,Properties!$A$5:$A$254,0)),0),IF(IFERROR(INDEX(Services!$G$5:$G$64,MATCH(M461,Services!$B$5:$B$64,0)),0)&gt;0,IFERROR(INDEX(Services!$G$5:$G$64,MATCH(M461,Services!$B$5:$B$64,0)),0),IFERROR(INDEX(Properties!$X$5:$X$254,MATCH(J461,Properties!$A$5:$A$254,0)),0)))))</f>
        <v>0</v>
      </c>
      <c r="AE461" s="31">
        <f>IF(G461="","",IF(T461="",CleanersPerJob,MAX(1,T461)))</f>
        <v>0</v>
      </c>
      <c r="AF461" s="34">
        <f>IF(G461="","",ROUND(AD461/AE461,2))</f>
        <v>0</v>
      </c>
      <c r="AG461" s="53">
        <f>IF(OR(G461="",F461="",AF461=""),"",F461+AF461/24)</f>
        <v>0</v>
      </c>
      <c r="AH461" s="21">
        <f>IF(G461="","",IF(IFERROR(INDEX(Clients!$O$5:$O$204,MATCH(G461,Clients!$A$5:$A$204,0)),0)&gt;0,IFERROR(INDEX(Clients!$O$5:$O$204,MATCH(G461,Clients!$A$5:$A$204,0)),0),HourlyRate))</f>
        <v>0</v>
      </c>
      <c r="AI461" s="21">
        <f>IF(G461="","",IF(AND(M461&lt;&gt;"",IFERROR(INDEX(Services!$P$5:$P$64,MATCH(M461,Services!$B$5:$B$64,0)),0)&gt;0,IFERROR(INDEX(Services!$D$5:$D$64,MATCH(M461,Services!$B$5:$B$64,0)),"")&lt;&gt;"Per hour"),IFERROR(INDEX(Services!$P$5:$P$64,MATCH(M461,Services!$B$5:$B$64,0)),0),AD461*AH461))</f>
        <v>0</v>
      </c>
      <c r="AJ461" s="21">
        <f>IF(G461="","",IF(V461&lt;&gt;"",V461,IF(P461="Cancelled",0,MAX(MinimumCharge,ROUND(AI461*IFERROR(INDEX(FreqFactors,MATCH(O461,FreqNames,0)),1),2)))))</f>
        <v>0</v>
      </c>
      <c r="AK461" s="34">
        <f>IF(G461="","",IF(SUMIFS(Timesheets!$U$5:$U$804,Timesheets!$G$5:$G$804,A461)&gt;0,SUMIFS(Timesheets!$U$5:$U$804,Timesheets!$G$5:$G$804,A461),IF(Z461="","",Z461)))</f>
        <v>0</v>
      </c>
      <c r="AL461" s="34">
        <f>IF(OR(AK461="",AD461=""),"",AK461-AD461)</f>
        <v>0</v>
      </c>
      <c r="AM461" s="31">
        <f>IF(A461="","",COUNTIFS('Job Tasks'!$B$5:$B$904,A461))</f>
        <v>0</v>
      </c>
      <c r="AN461" s="31">
        <f>IF(A461="","",COUNTIFS('Job Tasks'!$B$5:$B$904,A461,'Job Tasks'!$H$5:$H$904,"Done"))</f>
        <v>0</v>
      </c>
      <c r="AO461" s="38">
        <f>IF(OR(A461="",AM461=0),"",AN461/AM461)</f>
        <v>0</v>
      </c>
      <c r="AP461" s="43">
        <f>IF(A461="","",IFERROR(INDEX('Invoice Lines'!$B$5:$B$804,MATCH(A461,'Invoice Lines'!$C$5:$C$804,0)),""))</f>
        <v>0</v>
      </c>
      <c r="AQ461" s="18">
        <f>IF(OR(G461="",B461="",X461&lt;&gt;"Yes"),"",IF(IFERROR(INDEX(FreqDays,MATCH(O461,FreqNames,0)),0)=0,"",B461+IFERROR(INDEX(FreqDays,MATCH(O461,FreqNames,0)),0)))</f>
        <v>0</v>
      </c>
      <c r="AR461" s="39">
        <f>IF(G461="","",IF(R461="","Unassigned",IF(COUNTIFS($R$5:$R$604,R461,$B$5:$B$604,B461,$F$5:$F$604,F461)&gt;1,"Clash",IF(SUMIFS($AF$5:$AF$604,$R$5:$R$604,R461,$B$5:$B$604,B461)&gt;ProductiveHours,"Long day","OK"))))</f>
        <v>0</v>
      </c>
      <c r="AS461" s="18">
        <f>IF(OR(G461="",B461=""),"",IF(AND(B461&gt;=TodayDate,P461&lt;&gt;"Cancelled"),B461,""))</f>
        <v>0</v>
      </c>
      <c r="AT461" s="31">
        <f>IF(AS461="","",COUNTIFS($AS$5:$AS$604,"&lt;"&amp;AS461)+COUNTIFS($AS$5:AS461,AS461))</f>
        <v>0</v>
      </c>
      <c r="AU461" s="18">
        <f>IF(OR(G461="",B461="",R461&lt;&gt;""),"",IF(AND(B461&gt;=TodayDate,P461&lt;&gt;"Cancelled"),B461,""))</f>
        <v>0</v>
      </c>
      <c r="AV461" s="31">
        <f>IF(AU461="","",COUNTIFS($AU$5:$AU$604,"&lt;"&amp;AU461)+COUNTIFS($AU$5:AU461,AU461))</f>
        <v>0</v>
      </c>
      <c r="AW461" s="31">
        <f>IF(OR(G461="",B461=""),"",B461-TodayDate)</f>
        <v>0</v>
      </c>
      <c r="AX461" s="39">
        <f>IF(G461="","",IF(P461="Cancelled","Cancelled",IF(P461="No access","Action - no access, rebook",IF(AND(B461&lt;&gt;"",AW461&lt;0,OR(P461="Booked",P461="Confirmed",P461="In progress")),"Late - mark it completed",IF(AND(P461="Completed",AP461=""),"Action - not invoiced yet",IF(AND(AW461&gt;=0,AW461&lt;=ReminderDays,Y461&lt;&gt;"Yes"),"Confirm - visit coming up",IF(R461="","Assign - no cleaner booked",IF(AND(P461="Completed",AO461&lt;&gt;"",AO461&lt;1),"Check - checklist unfinished","OK"))))))))</f>
        <v>0</v>
      </c>
    </row>
    <row r="462" spans="1:50">
      <c r="A462" s="43">
        <f>IF(G462="","",JobPrefix&amp;TEXT(ROW()-4,"0000"))</f>
        <v>0</v>
      </c>
      <c r="C462" s="23">
        <f>IF(B462="","",TEXT(B462,"ddd"))</f>
        <v>0</v>
      </c>
      <c r="D462" s="31">
        <f>IF(B462="","",WEEKNUM(B462,IF(WeekStart="Sunday",1,2)))</f>
        <v>0</v>
      </c>
      <c r="E462" s="23">
        <f>IF(B462="","",TEXT(B462,"yyyy-mm"))</f>
        <v>0</v>
      </c>
      <c r="H462" s="23">
        <f>IF(G462="","",IFERROR(INDEX(Clients!$B$5:$B$204,MATCH(G462,Clients!$A$5:$A$204,0)),"Not found"))</f>
        <v>0</v>
      </c>
      <c r="I462" s="23">
        <f>IF(G462="","",IFERROR(INDEX(Clients!$C$5:$C$204,MATCH(G462,Clients!$A$5:$A$204,0)),""))</f>
        <v>0</v>
      </c>
      <c r="K462" s="23">
        <f>IF(J462="","",IFERROR(INDEX(Properties!$B$5:$B$254,MATCH(J462,Properties!$A$5:$A$254,0)),""))</f>
        <v>0</v>
      </c>
      <c r="L462" s="23">
        <f>IF(J462="","",IFERROR(INDEX(Properties!$F$5:$F$254,MATCH(J462,Properties!$A$5:$A$254,0)),""))</f>
        <v>0</v>
      </c>
      <c r="AD462" s="34">
        <f>IF(G462="","",IF(U462&lt;&gt;"",U462,IF(AND(IFERROR(INDEX(Services!$D$5:$D$64,MATCH(M462,Services!$B$5:$B$64,0)),"")="Per hour",IFERROR(INDEX(Properties!$X$5:$X$254,MATCH(J462,Properties!$A$5:$A$254,0)),0)&gt;0),IFERROR(INDEX(Properties!$X$5:$X$254,MATCH(J462,Properties!$A$5:$A$254,0)),0),IF(IFERROR(INDEX(Services!$G$5:$G$64,MATCH(M462,Services!$B$5:$B$64,0)),0)&gt;0,IFERROR(INDEX(Services!$G$5:$G$64,MATCH(M462,Services!$B$5:$B$64,0)),0),IFERROR(INDEX(Properties!$X$5:$X$254,MATCH(J462,Properties!$A$5:$A$254,0)),0)))))</f>
        <v>0</v>
      </c>
      <c r="AE462" s="31">
        <f>IF(G462="","",IF(T462="",CleanersPerJob,MAX(1,T462)))</f>
        <v>0</v>
      </c>
      <c r="AF462" s="34">
        <f>IF(G462="","",ROUND(AD462/AE462,2))</f>
        <v>0</v>
      </c>
      <c r="AG462" s="53">
        <f>IF(OR(G462="",F462="",AF462=""),"",F462+AF462/24)</f>
        <v>0</v>
      </c>
      <c r="AH462" s="21">
        <f>IF(G462="","",IF(IFERROR(INDEX(Clients!$O$5:$O$204,MATCH(G462,Clients!$A$5:$A$204,0)),0)&gt;0,IFERROR(INDEX(Clients!$O$5:$O$204,MATCH(G462,Clients!$A$5:$A$204,0)),0),HourlyRate))</f>
        <v>0</v>
      </c>
      <c r="AI462" s="21">
        <f>IF(G462="","",IF(AND(M462&lt;&gt;"",IFERROR(INDEX(Services!$P$5:$P$64,MATCH(M462,Services!$B$5:$B$64,0)),0)&gt;0,IFERROR(INDEX(Services!$D$5:$D$64,MATCH(M462,Services!$B$5:$B$64,0)),"")&lt;&gt;"Per hour"),IFERROR(INDEX(Services!$P$5:$P$64,MATCH(M462,Services!$B$5:$B$64,0)),0),AD462*AH462))</f>
        <v>0</v>
      </c>
      <c r="AJ462" s="21">
        <f>IF(G462="","",IF(V462&lt;&gt;"",V462,IF(P462="Cancelled",0,MAX(MinimumCharge,ROUND(AI462*IFERROR(INDEX(FreqFactors,MATCH(O462,FreqNames,0)),1),2)))))</f>
        <v>0</v>
      </c>
      <c r="AK462" s="34">
        <f>IF(G462="","",IF(SUMIFS(Timesheets!$U$5:$U$804,Timesheets!$G$5:$G$804,A462)&gt;0,SUMIFS(Timesheets!$U$5:$U$804,Timesheets!$G$5:$G$804,A462),IF(Z462="","",Z462)))</f>
        <v>0</v>
      </c>
      <c r="AL462" s="34">
        <f>IF(OR(AK462="",AD462=""),"",AK462-AD462)</f>
        <v>0</v>
      </c>
      <c r="AM462" s="31">
        <f>IF(A462="","",COUNTIFS('Job Tasks'!$B$5:$B$904,A462))</f>
        <v>0</v>
      </c>
      <c r="AN462" s="31">
        <f>IF(A462="","",COUNTIFS('Job Tasks'!$B$5:$B$904,A462,'Job Tasks'!$H$5:$H$904,"Done"))</f>
        <v>0</v>
      </c>
      <c r="AO462" s="38">
        <f>IF(OR(A462="",AM462=0),"",AN462/AM462)</f>
        <v>0</v>
      </c>
      <c r="AP462" s="43">
        <f>IF(A462="","",IFERROR(INDEX('Invoice Lines'!$B$5:$B$804,MATCH(A462,'Invoice Lines'!$C$5:$C$804,0)),""))</f>
        <v>0</v>
      </c>
      <c r="AQ462" s="18">
        <f>IF(OR(G462="",B462="",X462&lt;&gt;"Yes"),"",IF(IFERROR(INDEX(FreqDays,MATCH(O462,FreqNames,0)),0)=0,"",B462+IFERROR(INDEX(FreqDays,MATCH(O462,FreqNames,0)),0)))</f>
        <v>0</v>
      </c>
      <c r="AR462" s="39">
        <f>IF(G462="","",IF(R462="","Unassigned",IF(COUNTIFS($R$5:$R$604,R462,$B$5:$B$604,B462,$F$5:$F$604,F462)&gt;1,"Clash",IF(SUMIFS($AF$5:$AF$604,$R$5:$R$604,R462,$B$5:$B$604,B462)&gt;ProductiveHours,"Long day","OK"))))</f>
        <v>0</v>
      </c>
      <c r="AS462" s="18">
        <f>IF(OR(G462="",B462=""),"",IF(AND(B462&gt;=TodayDate,P462&lt;&gt;"Cancelled"),B462,""))</f>
        <v>0</v>
      </c>
      <c r="AT462" s="31">
        <f>IF(AS462="","",COUNTIFS($AS$5:$AS$604,"&lt;"&amp;AS462)+COUNTIFS($AS$5:AS462,AS462))</f>
        <v>0</v>
      </c>
      <c r="AU462" s="18">
        <f>IF(OR(G462="",B462="",R462&lt;&gt;""),"",IF(AND(B462&gt;=TodayDate,P462&lt;&gt;"Cancelled"),B462,""))</f>
        <v>0</v>
      </c>
      <c r="AV462" s="31">
        <f>IF(AU462="","",COUNTIFS($AU$5:$AU$604,"&lt;"&amp;AU462)+COUNTIFS($AU$5:AU462,AU462))</f>
        <v>0</v>
      </c>
      <c r="AW462" s="31">
        <f>IF(OR(G462="",B462=""),"",B462-TodayDate)</f>
        <v>0</v>
      </c>
      <c r="AX462" s="39">
        <f>IF(G462="","",IF(P462="Cancelled","Cancelled",IF(P462="No access","Action - no access, rebook",IF(AND(B462&lt;&gt;"",AW462&lt;0,OR(P462="Booked",P462="Confirmed",P462="In progress")),"Late - mark it completed",IF(AND(P462="Completed",AP462=""),"Action - not invoiced yet",IF(AND(AW462&gt;=0,AW462&lt;=ReminderDays,Y462&lt;&gt;"Yes"),"Confirm - visit coming up",IF(R462="","Assign - no cleaner booked",IF(AND(P462="Completed",AO462&lt;&gt;"",AO462&lt;1),"Check - checklist unfinished","OK"))))))))</f>
        <v>0</v>
      </c>
    </row>
    <row r="463" spans="1:50">
      <c r="A463" s="43">
        <f>IF(G463="","",JobPrefix&amp;TEXT(ROW()-4,"0000"))</f>
        <v>0</v>
      </c>
      <c r="C463" s="23">
        <f>IF(B463="","",TEXT(B463,"ddd"))</f>
        <v>0</v>
      </c>
      <c r="D463" s="31">
        <f>IF(B463="","",WEEKNUM(B463,IF(WeekStart="Sunday",1,2)))</f>
        <v>0</v>
      </c>
      <c r="E463" s="23">
        <f>IF(B463="","",TEXT(B463,"yyyy-mm"))</f>
        <v>0</v>
      </c>
      <c r="H463" s="23">
        <f>IF(G463="","",IFERROR(INDEX(Clients!$B$5:$B$204,MATCH(G463,Clients!$A$5:$A$204,0)),"Not found"))</f>
        <v>0</v>
      </c>
      <c r="I463" s="23">
        <f>IF(G463="","",IFERROR(INDEX(Clients!$C$5:$C$204,MATCH(G463,Clients!$A$5:$A$204,0)),""))</f>
        <v>0</v>
      </c>
      <c r="K463" s="23">
        <f>IF(J463="","",IFERROR(INDEX(Properties!$B$5:$B$254,MATCH(J463,Properties!$A$5:$A$254,0)),""))</f>
        <v>0</v>
      </c>
      <c r="L463" s="23">
        <f>IF(J463="","",IFERROR(INDEX(Properties!$F$5:$F$254,MATCH(J463,Properties!$A$5:$A$254,0)),""))</f>
        <v>0</v>
      </c>
      <c r="AD463" s="34">
        <f>IF(G463="","",IF(U463&lt;&gt;"",U463,IF(AND(IFERROR(INDEX(Services!$D$5:$D$64,MATCH(M463,Services!$B$5:$B$64,0)),"")="Per hour",IFERROR(INDEX(Properties!$X$5:$X$254,MATCH(J463,Properties!$A$5:$A$254,0)),0)&gt;0),IFERROR(INDEX(Properties!$X$5:$X$254,MATCH(J463,Properties!$A$5:$A$254,0)),0),IF(IFERROR(INDEX(Services!$G$5:$G$64,MATCH(M463,Services!$B$5:$B$64,0)),0)&gt;0,IFERROR(INDEX(Services!$G$5:$G$64,MATCH(M463,Services!$B$5:$B$64,0)),0),IFERROR(INDEX(Properties!$X$5:$X$254,MATCH(J463,Properties!$A$5:$A$254,0)),0)))))</f>
        <v>0</v>
      </c>
      <c r="AE463" s="31">
        <f>IF(G463="","",IF(T463="",CleanersPerJob,MAX(1,T463)))</f>
        <v>0</v>
      </c>
      <c r="AF463" s="34">
        <f>IF(G463="","",ROUND(AD463/AE463,2))</f>
        <v>0</v>
      </c>
      <c r="AG463" s="53">
        <f>IF(OR(G463="",F463="",AF463=""),"",F463+AF463/24)</f>
        <v>0</v>
      </c>
      <c r="AH463" s="21">
        <f>IF(G463="","",IF(IFERROR(INDEX(Clients!$O$5:$O$204,MATCH(G463,Clients!$A$5:$A$204,0)),0)&gt;0,IFERROR(INDEX(Clients!$O$5:$O$204,MATCH(G463,Clients!$A$5:$A$204,0)),0),HourlyRate))</f>
        <v>0</v>
      </c>
      <c r="AI463" s="21">
        <f>IF(G463="","",IF(AND(M463&lt;&gt;"",IFERROR(INDEX(Services!$P$5:$P$64,MATCH(M463,Services!$B$5:$B$64,0)),0)&gt;0,IFERROR(INDEX(Services!$D$5:$D$64,MATCH(M463,Services!$B$5:$B$64,0)),"")&lt;&gt;"Per hour"),IFERROR(INDEX(Services!$P$5:$P$64,MATCH(M463,Services!$B$5:$B$64,0)),0),AD463*AH463))</f>
        <v>0</v>
      </c>
      <c r="AJ463" s="21">
        <f>IF(G463="","",IF(V463&lt;&gt;"",V463,IF(P463="Cancelled",0,MAX(MinimumCharge,ROUND(AI463*IFERROR(INDEX(FreqFactors,MATCH(O463,FreqNames,0)),1),2)))))</f>
        <v>0</v>
      </c>
      <c r="AK463" s="34">
        <f>IF(G463="","",IF(SUMIFS(Timesheets!$U$5:$U$804,Timesheets!$G$5:$G$804,A463)&gt;0,SUMIFS(Timesheets!$U$5:$U$804,Timesheets!$G$5:$G$804,A463),IF(Z463="","",Z463)))</f>
        <v>0</v>
      </c>
      <c r="AL463" s="34">
        <f>IF(OR(AK463="",AD463=""),"",AK463-AD463)</f>
        <v>0</v>
      </c>
      <c r="AM463" s="31">
        <f>IF(A463="","",COUNTIFS('Job Tasks'!$B$5:$B$904,A463))</f>
        <v>0</v>
      </c>
      <c r="AN463" s="31">
        <f>IF(A463="","",COUNTIFS('Job Tasks'!$B$5:$B$904,A463,'Job Tasks'!$H$5:$H$904,"Done"))</f>
        <v>0</v>
      </c>
      <c r="AO463" s="38">
        <f>IF(OR(A463="",AM463=0),"",AN463/AM463)</f>
        <v>0</v>
      </c>
      <c r="AP463" s="43">
        <f>IF(A463="","",IFERROR(INDEX('Invoice Lines'!$B$5:$B$804,MATCH(A463,'Invoice Lines'!$C$5:$C$804,0)),""))</f>
        <v>0</v>
      </c>
      <c r="AQ463" s="18">
        <f>IF(OR(G463="",B463="",X463&lt;&gt;"Yes"),"",IF(IFERROR(INDEX(FreqDays,MATCH(O463,FreqNames,0)),0)=0,"",B463+IFERROR(INDEX(FreqDays,MATCH(O463,FreqNames,0)),0)))</f>
        <v>0</v>
      </c>
      <c r="AR463" s="39">
        <f>IF(G463="","",IF(R463="","Unassigned",IF(COUNTIFS($R$5:$R$604,R463,$B$5:$B$604,B463,$F$5:$F$604,F463)&gt;1,"Clash",IF(SUMIFS($AF$5:$AF$604,$R$5:$R$604,R463,$B$5:$B$604,B463)&gt;ProductiveHours,"Long day","OK"))))</f>
        <v>0</v>
      </c>
      <c r="AS463" s="18">
        <f>IF(OR(G463="",B463=""),"",IF(AND(B463&gt;=TodayDate,P463&lt;&gt;"Cancelled"),B463,""))</f>
        <v>0</v>
      </c>
      <c r="AT463" s="31">
        <f>IF(AS463="","",COUNTIFS($AS$5:$AS$604,"&lt;"&amp;AS463)+COUNTIFS($AS$5:AS463,AS463))</f>
        <v>0</v>
      </c>
      <c r="AU463" s="18">
        <f>IF(OR(G463="",B463="",R463&lt;&gt;""),"",IF(AND(B463&gt;=TodayDate,P463&lt;&gt;"Cancelled"),B463,""))</f>
        <v>0</v>
      </c>
      <c r="AV463" s="31">
        <f>IF(AU463="","",COUNTIFS($AU$5:$AU$604,"&lt;"&amp;AU463)+COUNTIFS($AU$5:AU463,AU463))</f>
        <v>0</v>
      </c>
      <c r="AW463" s="31">
        <f>IF(OR(G463="",B463=""),"",B463-TodayDate)</f>
        <v>0</v>
      </c>
      <c r="AX463" s="39">
        <f>IF(G463="","",IF(P463="Cancelled","Cancelled",IF(P463="No access","Action - no access, rebook",IF(AND(B463&lt;&gt;"",AW463&lt;0,OR(P463="Booked",P463="Confirmed",P463="In progress")),"Late - mark it completed",IF(AND(P463="Completed",AP463=""),"Action - not invoiced yet",IF(AND(AW463&gt;=0,AW463&lt;=ReminderDays,Y463&lt;&gt;"Yes"),"Confirm - visit coming up",IF(R463="","Assign - no cleaner booked",IF(AND(P463="Completed",AO463&lt;&gt;"",AO463&lt;1),"Check - checklist unfinished","OK"))))))))</f>
        <v>0</v>
      </c>
    </row>
    <row r="464" spans="1:50">
      <c r="A464" s="43">
        <f>IF(G464="","",JobPrefix&amp;TEXT(ROW()-4,"0000"))</f>
        <v>0</v>
      </c>
      <c r="C464" s="23">
        <f>IF(B464="","",TEXT(B464,"ddd"))</f>
        <v>0</v>
      </c>
      <c r="D464" s="31">
        <f>IF(B464="","",WEEKNUM(B464,IF(WeekStart="Sunday",1,2)))</f>
        <v>0</v>
      </c>
      <c r="E464" s="23">
        <f>IF(B464="","",TEXT(B464,"yyyy-mm"))</f>
        <v>0</v>
      </c>
      <c r="H464" s="23">
        <f>IF(G464="","",IFERROR(INDEX(Clients!$B$5:$B$204,MATCH(G464,Clients!$A$5:$A$204,0)),"Not found"))</f>
        <v>0</v>
      </c>
      <c r="I464" s="23">
        <f>IF(G464="","",IFERROR(INDEX(Clients!$C$5:$C$204,MATCH(G464,Clients!$A$5:$A$204,0)),""))</f>
        <v>0</v>
      </c>
      <c r="K464" s="23">
        <f>IF(J464="","",IFERROR(INDEX(Properties!$B$5:$B$254,MATCH(J464,Properties!$A$5:$A$254,0)),""))</f>
        <v>0</v>
      </c>
      <c r="L464" s="23">
        <f>IF(J464="","",IFERROR(INDEX(Properties!$F$5:$F$254,MATCH(J464,Properties!$A$5:$A$254,0)),""))</f>
        <v>0</v>
      </c>
      <c r="AD464" s="34">
        <f>IF(G464="","",IF(U464&lt;&gt;"",U464,IF(AND(IFERROR(INDEX(Services!$D$5:$D$64,MATCH(M464,Services!$B$5:$B$64,0)),"")="Per hour",IFERROR(INDEX(Properties!$X$5:$X$254,MATCH(J464,Properties!$A$5:$A$254,0)),0)&gt;0),IFERROR(INDEX(Properties!$X$5:$X$254,MATCH(J464,Properties!$A$5:$A$254,0)),0),IF(IFERROR(INDEX(Services!$G$5:$G$64,MATCH(M464,Services!$B$5:$B$64,0)),0)&gt;0,IFERROR(INDEX(Services!$G$5:$G$64,MATCH(M464,Services!$B$5:$B$64,0)),0),IFERROR(INDEX(Properties!$X$5:$X$254,MATCH(J464,Properties!$A$5:$A$254,0)),0)))))</f>
        <v>0</v>
      </c>
      <c r="AE464" s="31">
        <f>IF(G464="","",IF(T464="",CleanersPerJob,MAX(1,T464)))</f>
        <v>0</v>
      </c>
      <c r="AF464" s="34">
        <f>IF(G464="","",ROUND(AD464/AE464,2))</f>
        <v>0</v>
      </c>
      <c r="AG464" s="53">
        <f>IF(OR(G464="",F464="",AF464=""),"",F464+AF464/24)</f>
        <v>0</v>
      </c>
      <c r="AH464" s="21">
        <f>IF(G464="","",IF(IFERROR(INDEX(Clients!$O$5:$O$204,MATCH(G464,Clients!$A$5:$A$204,0)),0)&gt;0,IFERROR(INDEX(Clients!$O$5:$O$204,MATCH(G464,Clients!$A$5:$A$204,0)),0),HourlyRate))</f>
        <v>0</v>
      </c>
      <c r="AI464" s="21">
        <f>IF(G464="","",IF(AND(M464&lt;&gt;"",IFERROR(INDEX(Services!$P$5:$P$64,MATCH(M464,Services!$B$5:$B$64,0)),0)&gt;0,IFERROR(INDEX(Services!$D$5:$D$64,MATCH(M464,Services!$B$5:$B$64,0)),"")&lt;&gt;"Per hour"),IFERROR(INDEX(Services!$P$5:$P$64,MATCH(M464,Services!$B$5:$B$64,0)),0),AD464*AH464))</f>
        <v>0</v>
      </c>
      <c r="AJ464" s="21">
        <f>IF(G464="","",IF(V464&lt;&gt;"",V464,IF(P464="Cancelled",0,MAX(MinimumCharge,ROUND(AI464*IFERROR(INDEX(FreqFactors,MATCH(O464,FreqNames,0)),1),2)))))</f>
        <v>0</v>
      </c>
      <c r="AK464" s="34">
        <f>IF(G464="","",IF(SUMIFS(Timesheets!$U$5:$U$804,Timesheets!$G$5:$G$804,A464)&gt;0,SUMIFS(Timesheets!$U$5:$U$804,Timesheets!$G$5:$G$804,A464),IF(Z464="","",Z464)))</f>
        <v>0</v>
      </c>
      <c r="AL464" s="34">
        <f>IF(OR(AK464="",AD464=""),"",AK464-AD464)</f>
        <v>0</v>
      </c>
      <c r="AM464" s="31">
        <f>IF(A464="","",COUNTIFS('Job Tasks'!$B$5:$B$904,A464))</f>
        <v>0</v>
      </c>
      <c r="AN464" s="31">
        <f>IF(A464="","",COUNTIFS('Job Tasks'!$B$5:$B$904,A464,'Job Tasks'!$H$5:$H$904,"Done"))</f>
        <v>0</v>
      </c>
      <c r="AO464" s="38">
        <f>IF(OR(A464="",AM464=0),"",AN464/AM464)</f>
        <v>0</v>
      </c>
      <c r="AP464" s="43">
        <f>IF(A464="","",IFERROR(INDEX('Invoice Lines'!$B$5:$B$804,MATCH(A464,'Invoice Lines'!$C$5:$C$804,0)),""))</f>
        <v>0</v>
      </c>
      <c r="AQ464" s="18">
        <f>IF(OR(G464="",B464="",X464&lt;&gt;"Yes"),"",IF(IFERROR(INDEX(FreqDays,MATCH(O464,FreqNames,0)),0)=0,"",B464+IFERROR(INDEX(FreqDays,MATCH(O464,FreqNames,0)),0)))</f>
        <v>0</v>
      </c>
      <c r="AR464" s="39">
        <f>IF(G464="","",IF(R464="","Unassigned",IF(COUNTIFS($R$5:$R$604,R464,$B$5:$B$604,B464,$F$5:$F$604,F464)&gt;1,"Clash",IF(SUMIFS($AF$5:$AF$604,$R$5:$R$604,R464,$B$5:$B$604,B464)&gt;ProductiveHours,"Long day","OK"))))</f>
        <v>0</v>
      </c>
      <c r="AS464" s="18">
        <f>IF(OR(G464="",B464=""),"",IF(AND(B464&gt;=TodayDate,P464&lt;&gt;"Cancelled"),B464,""))</f>
        <v>0</v>
      </c>
      <c r="AT464" s="31">
        <f>IF(AS464="","",COUNTIFS($AS$5:$AS$604,"&lt;"&amp;AS464)+COUNTIFS($AS$5:AS464,AS464))</f>
        <v>0</v>
      </c>
      <c r="AU464" s="18">
        <f>IF(OR(G464="",B464="",R464&lt;&gt;""),"",IF(AND(B464&gt;=TodayDate,P464&lt;&gt;"Cancelled"),B464,""))</f>
        <v>0</v>
      </c>
      <c r="AV464" s="31">
        <f>IF(AU464="","",COUNTIFS($AU$5:$AU$604,"&lt;"&amp;AU464)+COUNTIFS($AU$5:AU464,AU464))</f>
        <v>0</v>
      </c>
      <c r="AW464" s="31">
        <f>IF(OR(G464="",B464=""),"",B464-TodayDate)</f>
        <v>0</v>
      </c>
      <c r="AX464" s="39">
        <f>IF(G464="","",IF(P464="Cancelled","Cancelled",IF(P464="No access","Action - no access, rebook",IF(AND(B464&lt;&gt;"",AW464&lt;0,OR(P464="Booked",P464="Confirmed",P464="In progress")),"Late - mark it completed",IF(AND(P464="Completed",AP464=""),"Action - not invoiced yet",IF(AND(AW464&gt;=0,AW464&lt;=ReminderDays,Y464&lt;&gt;"Yes"),"Confirm - visit coming up",IF(R464="","Assign - no cleaner booked",IF(AND(P464="Completed",AO464&lt;&gt;"",AO464&lt;1),"Check - checklist unfinished","OK"))))))))</f>
        <v>0</v>
      </c>
    </row>
    <row r="465" spans="1:50">
      <c r="A465" s="43">
        <f>IF(G465="","",JobPrefix&amp;TEXT(ROW()-4,"0000"))</f>
        <v>0</v>
      </c>
      <c r="C465" s="23">
        <f>IF(B465="","",TEXT(B465,"ddd"))</f>
        <v>0</v>
      </c>
      <c r="D465" s="31">
        <f>IF(B465="","",WEEKNUM(B465,IF(WeekStart="Sunday",1,2)))</f>
        <v>0</v>
      </c>
      <c r="E465" s="23">
        <f>IF(B465="","",TEXT(B465,"yyyy-mm"))</f>
        <v>0</v>
      </c>
      <c r="H465" s="23">
        <f>IF(G465="","",IFERROR(INDEX(Clients!$B$5:$B$204,MATCH(G465,Clients!$A$5:$A$204,0)),"Not found"))</f>
        <v>0</v>
      </c>
      <c r="I465" s="23">
        <f>IF(G465="","",IFERROR(INDEX(Clients!$C$5:$C$204,MATCH(G465,Clients!$A$5:$A$204,0)),""))</f>
        <v>0</v>
      </c>
      <c r="K465" s="23">
        <f>IF(J465="","",IFERROR(INDEX(Properties!$B$5:$B$254,MATCH(J465,Properties!$A$5:$A$254,0)),""))</f>
        <v>0</v>
      </c>
      <c r="L465" s="23">
        <f>IF(J465="","",IFERROR(INDEX(Properties!$F$5:$F$254,MATCH(J465,Properties!$A$5:$A$254,0)),""))</f>
        <v>0</v>
      </c>
      <c r="AD465" s="34">
        <f>IF(G465="","",IF(U465&lt;&gt;"",U465,IF(AND(IFERROR(INDEX(Services!$D$5:$D$64,MATCH(M465,Services!$B$5:$B$64,0)),"")="Per hour",IFERROR(INDEX(Properties!$X$5:$X$254,MATCH(J465,Properties!$A$5:$A$254,0)),0)&gt;0),IFERROR(INDEX(Properties!$X$5:$X$254,MATCH(J465,Properties!$A$5:$A$254,0)),0),IF(IFERROR(INDEX(Services!$G$5:$G$64,MATCH(M465,Services!$B$5:$B$64,0)),0)&gt;0,IFERROR(INDEX(Services!$G$5:$G$64,MATCH(M465,Services!$B$5:$B$64,0)),0),IFERROR(INDEX(Properties!$X$5:$X$254,MATCH(J465,Properties!$A$5:$A$254,0)),0)))))</f>
        <v>0</v>
      </c>
      <c r="AE465" s="31">
        <f>IF(G465="","",IF(T465="",CleanersPerJob,MAX(1,T465)))</f>
        <v>0</v>
      </c>
      <c r="AF465" s="34">
        <f>IF(G465="","",ROUND(AD465/AE465,2))</f>
        <v>0</v>
      </c>
      <c r="AG465" s="53">
        <f>IF(OR(G465="",F465="",AF465=""),"",F465+AF465/24)</f>
        <v>0</v>
      </c>
      <c r="AH465" s="21">
        <f>IF(G465="","",IF(IFERROR(INDEX(Clients!$O$5:$O$204,MATCH(G465,Clients!$A$5:$A$204,0)),0)&gt;0,IFERROR(INDEX(Clients!$O$5:$O$204,MATCH(G465,Clients!$A$5:$A$204,0)),0),HourlyRate))</f>
        <v>0</v>
      </c>
      <c r="AI465" s="21">
        <f>IF(G465="","",IF(AND(M465&lt;&gt;"",IFERROR(INDEX(Services!$P$5:$P$64,MATCH(M465,Services!$B$5:$B$64,0)),0)&gt;0,IFERROR(INDEX(Services!$D$5:$D$64,MATCH(M465,Services!$B$5:$B$64,0)),"")&lt;&gt;"Per hour"),IFERROR(INDEX(Services!$P$5:$P$64,MATCH(M465,Services!$B$5:$B$64,0)),0),AD465*AH465))</f>
        <v>0</v>
      </c>
      <c r="AJ465" s="21">
        <f>IF(G465="","",IF(V465&lt;&gt;"",V465,IF(P465="Cancelled",0,MAX(MinimumCharge,ROUND(AI465*IFERROR(INDEX(FreqFactors,MATCH(O465,FreqNames,0)),1),2)))))</f>
        <v>0</v>
      </c>
      <c r="AK465" s="34">
        <f>IF(G465="","",IF(SUMIFS(Timesheets!$U$5:$U$804,Timesheets!$G$5:$G$804,A465)&gt;0,SUMIFS(Timesheets!$U$5:$U$804,Timesheets!$G$5:$G$804,A465),IF(Z465="","",Z465)))</f>
        <v>0</v>
      </c>
      <c r="AL465" s="34">
        <f>IF(OR(AK465="",AD465=""),"",AK465-AD465)</f>
        <v>0</v>
      </c>
      <c r="AM465" s="31">
        <f>IF(A465="","",COUNTIFS('Job Tasks'!$B$5:$B$904,A465))</f>
        <v>0</v>
      </c>
      <c r="AN465" s="31">
        <f>IF(A465="","",COUNTIFS('Job Tasks'!$B$5:$B$904,A465,'Job Tasks'!$H$5:$H$904,"Done"))</f>
        <v>0</v>
      </c>
      <c r="AO465" s="38">
        <f>IF(OR(A465="",AM465=0),"",AN465/AM465)</f>
        <v>0</v>
      </c>
      <c r="AP465" s="43">
        <f>IF(A465="","",IFERROR(INDEX('Invoice Lines'!$B$5:$B$804,MATCH(A465,'Invoice Lines'!$C$5:$C$804,0)),""))</f>
        <v>0</v>
      </c>
      <c r="AQ465" s="18">
        <f>IF(OR(G465="",B465="",X465&lt;&gt;"Yes"),"",IF(IFERROR(INDEX(FreqDays,MATCH(O465,FreqNames,0)),0)=0,"",B465+IFERROR(INDEX(FreqDays,MATCH(O465,FreqNames,0)),0)))</f>
        <v>0</v>
      </c>
      <c r="AR465" s="39">
        <f>IF(G465="","",IF(R465="","Unassigned",IF(COUNTIFS($R$5:$R$604,R465,$B$5:$B$604,B465,$F$5:$F$604,F465)&gt;1,"Clash",IF(SUMIFS($AF$5:$AF$604,$R$5:$R$604,R465,$B$5:$B$604,B465)&gt;ProductiveHours,"Long day","OK"))))</f>
        <v>0</v>
      </c>
      <c r="AS465" s="18">
        <f>IF(OR(G465="",B465=""),"",IF(AND(B465&gt;=TodayDate,P465&lt;&gt;"Cancelled"),B465,""))</f>
        <v>0</v>
      </c>
      <c r="AT465" s="31">
        <f>IF(AS465="","",COUNTIFS($AS$5:$AS$604,"&lt;"&amp;AS465)+COUNTIFS($AS$5:AS465,AS465))</f>
        <v>0</v>
      </c>
      <c r="AU465" s="18">
        <f>IF(OR(G465="",B465="",R465&lt;&gt;""),"",IF(AND(B465&gt;=TodayDate,P465&lt;&gt;"Cancelled"),B465,""))</f>
        <v>0</v>
      </c>
      <c r="AV465" s="31">
        <f>IF(AU465="","",COUNTIFS($AU$5:$AU$604,"&lt;"&amp;AU465)+COUNTIFS($AU$5:AU465,AU465))</f>
        <v>0</v>
      </c>
      <c r="AW465" s="31">
        <f>IF(OR(G465="",B465=""),"",B465-TodayDate)</f>
        <v>0</v>
      </c>
      <c r="AX465" s="39">
        <f>IF(G465="","",IF(P465="Cancelled","Cancelled",IF(P465="No access","Action - no access, rebook",IF(AND(B465&lt;&gt;"",AW465&lt;0,OR(P465="Booked",P465="Confirmed",P465="In progress")),"Late - mark it completed",IF(AND(P465="Completed",AP465=""),"Action - not invoiced yet",IF(AND(AW465&gt;=0,AW465&lt;=ReminderDays,Y465&lt;&gt;"Yes"),"Confirm - visit coming up",IF(R465="","Assign - no cleaner booked",IF(AND(P465="Completed",AO465&lt;&gt;"",AO465&lt;1),"Check - checklist unfinished","OK"))))))))</f>
        <v>0</v>
      </c>
    </row>
    <row r="466" spans="1:50">
      <c r="A466" s="43">
        <f>IF(G466="","",JobPrefix&amp;TEXT(ROW()-4,"0000"))</f>
        <v>0</v>
      </c>
      <c r="C466" s="23">
        <f>IF(B466="","",TEXT(B466,"ddd"))</f>
        <v>0</v>
      </c>
      <c r="D466" s="31">
        <f>IF(B466="","",WEEKNUM(B466,IF(WeekStart="Sunday",1,2)))</f>
        <v>0</v>
      </c>
      <c r="E466" s="23">
        <f>IF(B466="","",TEXT(B466,"yyyy-mm"))</f>
        <v>0</v>
      </c>
      <c r="H466" s="23">
        <f>IF(G466="","",IFERROR(INDEX(Clients!$B$5:$B$204,MATCH(G466,Clients!$A$5:$A$204,0)),"Not found"))</f>
        <v>0</v>
      </c>
      <c r="I466" s="23">
        <f>IF(G466="","",IFERROR(INDEX(Clients!$C$5:$C$204,MATCH(G466,Clients!$A$5:$A$204,0)),""))</f>
        <v>0</v>
      </c>
      <c r="K466" s="23">
        <f>IF(J466="","",IFERROR(INDEX(Properties!$B$5:$B$254,MATCH(J466,Properties!$A$5:$A$254,0)),""))</f>
        <v>0</v>
      </c>
      <c r="L466" s="23">
        <f>IF(J466="","",IFERROR(INDEX(Properties!$F$5:$F$254,MATCH(J466,Properties!$A$5:$A$254,0)),""))</f>
        <v>0</v>
      </c>
      <c r="AD466" s="34">
        <f>IF(G466="","",IF(U466&lt;&gt;"",U466,IF(AND(IFERROR(INDEX(Services!$D$5:$D$64,MATCH(M466,Services!$B$5:$B$64,0)),"")="Per hour",IFERROR(INDEX(Properties!$X$5:$X$254,MATCH(J466,Properties!$A$5:$A$254,0)),0)&gt;0),IFERROR(INDEX(Properties!$X$5:$X$254,MATCH(J466,Properties!$A$5:$A$254,0)),0),IF(IFERROR(INDEX(Services!$G$5:$G$64,MATCH(M466,Services!$B$5:$B$64,0)),0)&gt;0,IFERROR(INDEX(Services!$G$5:$G$64,MATCH(M466,Services!$B$5:$B$64,0)),0),IFERROR(INDEX(Properties!$X$5:$X$254,MATCH(J466,Properties!$A$5:$A$254,0)),0)))))</f>
        <v>0</v>
      </c>
      <c r="AE466" s="31">
        <f>IF(G466="","",IF(T466="",CleanersPerJob,MAX(1,T466)))</f>
        <v>0</v>
      </c>
      <c r="AF466" s="34">
        <f>IF(G466="","",ROUND(AD466/AE466,2))</f>
        <v>0</v>
      </c>
      <c r="AG466" s="53">
        <f>IF(OR(G466="",F466="",AF466=""),"",F466+AF466/24)</f>
        <v>0</v>
      </c>
      <c r="AH466" s="21">
        <f>IF(G466="","",IF(IFERROR(INDEX(Clients!$O$5:$O$204,MATCH(G466,Clients!$A$5:$A$204,0)),0)&gt;0,IFERROR(INDEX(Clients!$O$5:$O$204,MATCH(G466,Clients!$A$5:$A$204,0)),0),HourlyRate))</f>
        <v>0</v>
      </c>
      <c r="AI466" s="21">
        <f>IF(G466="","",IF(AND(M466&lt;&gt;"",IFERROR(INDEX(Services!$P$5:$P$64,MATCH(M466,Services!$B$5:$B$64,0)),0)&gt;0,IFERROR(INDEX(Services!$D$5:$D$64,MATCH(M466,Services!$B$5:$B$64,0)),"")&lt;&gt;"Per hour"),IFERROR(INDEX(Services!$P$5:$P$64,MATCH(M466,Services!$B$5:$B$64,0)),0),AD466*AH466))</f>
        <v>0</v>
      </c>
      <c r="AJ466" s="21">
        <f>IF(G466="","",IF(V466&lt;&gt;"",V466,IF(P466="Cancelled",0,MAX(MinimumCharge,ROUND(AI466*IFERROR(INDEX(FreqFactors,MATCH(O466,FreqNames,0)),1),2)))))</f>
        <v>0</v>
      </c>
      <c r="AK466" s="34">
        <f>IF(G466="","",IF(SUMIFS(Timesheets!$U$5:$U$804,Timesheets!$G$5:$G$804,A466)&gt;0,SUMIFS(Timesheets!$U$5:$U$804,Timesheets!$G$5:$G$804,A466),IF(Z466="","",Z466)))</f>
        <v>0</v>
      </c>
      <c r="AL466" s="34">
        <f>IF(OR(AK466="",AD466=""),"",AK466-AD466)</f>
        <v>0</v>
      </c>
      <c r="AM466" s="31">
        <f>IF(A466="","",COUNTIFS('Job Tasks'!$B$5:$B$904,A466))</f>
        <v>0</v>
      </c>
      <c r="AN466" s="31">
        <f>IF(A466="","",COUNTIFS('Job Tasks'!$B$5:$B$904,A466,'Job Tasks'!$H$5:$H$904,"Done"))</f>
        <v>0</v>
      </c>
      <c r="AO466" s="38">
        <f>IF(OR(A466="",AM466=0),"",AN466/AM466)</f>
        <v>0</v>
      </c>
      <c r="AP466" s="43">
        <f>IF(A466="","",IFERROR(INDEX('Invoice Lines'!$B$5:$B$804,MATCH(A466,'Invoice Lines'!$C$5:$C$804,0)),""))</f>
        <v>0</v>
      </c>
      <c r="AQ466" s="18">
        <f>IF(OR(G466="",B466="",X466&lt;&gt;"Yes"),"",IF(IFERROR(INDEX(FreqDays,MATCH(O466,FreqNames,0)),0)=0,"",B466+IFERROR(INDEX(FreqDays,MATCH(O466,FreqNames,0)),0)))</f>
        <v>0</v>
      </c>
      <c r="AR466" s="39">
        <f>IF(G466="","",IF(R466="","Unassigned",IF(COUNTIFS($R$5:$R$604,R466,$B$5:$B$604,B466,$F$5:$F$604,F466)&gt;1,"Clash",IF(SUMIFS($AF$5:$AF$604,$R$5:$R$604,R466,$B$5:$B$604,B466)&gt;ProductiveHours,"Long day","OK"))))</f>
        <v>0</v>
      </c>
      <c r="AS466" s="18">
        <f>IF(OR(G466="",B466=""),"",IF(AND(B466&gt;=TodayDate,P466&lt;&gt;"Cancelled"),B466,""))</f>
        <v>0</v>
      </c>
      <c r="AT466" s="31">
        <f>IF(AS466="","",COUNTIFS($AS$5:$AS$604,"&lt;"&amp;AS466)+COUNTIFS($AS$5:AS466,AS466))</f>
        <v>0</v>
      </c>
      <c r="AU466" s="18">
        <f>IF(OR(G466="",B466="",R466&lt;&gt;""),"",IF(AND(B466&gt;=TodayDate,P466&lt;&gt;"Cancelled"),B466,""))</f>
        <v>0</v>
      </c>
      <c r="AV466" s="31">
        <f>IF(AU466="","",COUNTIFS($AU$5:$AU$604,"&lt;"&amp;AU466)+COUNTIFS($AU$5:AU466,AU466))</f>
        <v>0</v>
      </c>
      <c r="AW466" s="31">
        <f>IF(OR(G466="",B466=""),"",B466-TodayDate)</f>
        <v>0</v>
      </c>
      <c r="AX466" s="39">
        <f>IF(G466="","",IF(P466="Cancelled","Cancelled",IF(P466="No access","Action - no access, rebook",IF(AND(B466&lt;&gt;"",AW466&lt;0,OR(P466="Booked",P466="Confirmed",P466="In progress")),"Late - mark it completed",IF(AND(P466="Completed",AP466=""),"Action - not invoiced yet",IF(AND(AW466&gt;=0,AW466&lt;=ReminderDays,Y466&lt;&gt;"Yes"),"Confirm - visit coming up",IF(R466="","Assign - no cleaner booked",IF(AND(P466="Completed",AO466&lt;&gt;"",AO466&lt;1),"Check - checklist unfinished","OK"))))))))</f>
        <v>0</v>
      </c>
    </row>
    <row r="467" spans="1:50">
      <c r="A467" s="43">
        <f>IF(G467="","",JobPrefix&amp;TEXT(ROW()-4,"0000"))</f>
        <v>0</v>
      </c>
      <c r="C467" s="23">
        <f>IF(B467="","",TEXT(B467,"ddd"))</f>
        <v>0</v>
      </c>
      <c r="D467" s="31">
        <f>IF(B467="","",WEEKNUM(B467,IF(WeekStart="Sunday",1,2)))</f>
        <v>0</v>
      </c>
      <c r="E467" s="23">
        <f>IF(B467="","",TEXT(B467,"yyyy-mm"))</f>
        <v>0</v>
      </c>
      <c r="H467" s="23">
        <f>IF(G467="","",IFERROR(INDEX(Clients!$B$5:$B$204,MATCH(G467,Clients!$A$5:$A$204,0)),"Not found"))</f>
        <v>0</v>
      </c>
      <c r="I467" s="23">
        <f>IF(G467="","",IFERROR(INDEX(Clients!$C$5:$C$204,MATCH(G467,Clients!$A$5:$A$204,0)),""))</f>
        <v>0</v>
      </c>
      <c r="K467" s="23">
        <f>IF(J467="","",IFERROR(INDEX(Properties!$B$5:$B$254,MATCH(J467,Properties!$A$5:$A$254,0)),""))</f>
        <v>0</v>
      </c>
      <c r="L467" s="23">
        <f>IF(J467="","",IFERROR(INDEX(Properties!$F$5:$F$254,MATCH(J467,Properties!$A$5:$A$254,0)),""))</f>
        <v>0</v>
      </c>
      <c r="AD467" s="34">
        <f>IF(G467="","",IF(U467&lt;&gt;"",U467,IF(AND(IFERROR(INDEX(Services!$D$5:$D$64,MATCH(M467,Services!$B$5:$B$64,0)),"")="Per hour",IFERROR(INDEX(Properties!$X$5:$X$254,MATCH(J467,Properties!$A$5:$A$254,0)),0)&gt;0),IFERROR(INDEX(Properties!$X$5:$X$254,MATCH(J467,Properties!$A$5:$A$254,0)),0),IF(IFERROR(INDEX(Services!$G$5:$G$64,MATCH(M467,Services!$B$5:$B$64,0)),0)&gt;0,IFERROR(INDEX(Services!$G$5:$G$64,MATCH(M467,Services!$B$5:$B$64,0)),0),IFERROR(INDEX(Properties!$X$5:$X$254,MATCH(J467,Properties!$A$5:$A$254,0)),0)))))</f>
        <v>0</v>
      </c>
      <c r="AE467" s="31">
        <f>IF(G467="","",IF(T467="",CleanersPerJob,MAX(1,T467)))</f>
        <v>0</v>
      </c>
      <c r="AF467" s="34">
        <f>IF(G467="","",ROUND(AD467/AE467,2))</f>
        <v>0</v>
      </c>
      <c r="AG467" s="53">
        <f>IF(OR(G467="",F467="",AF467=""),"",F467+AF467/24)</f>
        <v>0</v>
      </c>
      <c r="AH467" s="21">
        <f>IF(G467="","",IF(IFERROR(INDEX(Clients!$O$5:$O$204,MATCH(G467,Clients!$A$5:$A$204,0)),0)&gt;0,IFERROR(INDEX(Clients!$O$5:$O$204,MATCH(G467,Clients!$A$5:$A$204,0)),0),HourlyRate))</f>
        <v>0</v>
      </c>
      <c r="AI467" s="21">
        <f>IF(G467="","",IF(AND(M467&lt;&gt;"",IFERROR(INDEX(Services!$P$5:$P$64,MATCH(M467,Services!$B$5:$B$64,0)),0)&gt;0,IFERROR(INDEX(Services!$D$5:$D$64,MATCH(M467,Services!$B$5:$B$64,0)),"")&lt;&gt;"Per hour"),IFERROR(INDEX(Services!$P$5:$P$64,MATCH(M467,Services!$B$5:$B$64,0)),0),AD467*AH467))</f>
        <v>0</v>
      </c>
      <c r="AJ467" s="21">
        <f>IF(G467="","",IF(V467&lt;&gt;"",V467,IF(P467="Cancelled",0,MAX(MinimumCharge,ROUND(AI467*IFERROR(INDEX(FreqFactors,MATCH(O467,FreqNames,0)),1),2)))))</f>
        <v>0</v>
      </c>
      <c r="AK467" s="34">
        <f>IF(G467="","",IF(SUMIFS(Timesheets!$U$5:$U$804,Timesheets!$G$5:$G$804,A467)&gt;0,SUMIFS(Timesheets!$U$5:$U$804,Timesheets!$G$5:$G$804,A467),IF(Z467="","",Z467)))</f>
        <v>0</v>
      </c>
      <c r="AL467" s="34">
        <f>IF(OR(AK467="",AD467=""),"",AK467-AD467)</f>
        <v>0</v>
      </c>
      <c r="AM467" s="31">
        <f>IF(A467="","",COUNTIFS('Job Tasks'!$B$5:$B$904,A467))</f>
        <v>0</v>
      </c>
      <c r="AN467" s="31">
        <f>IF(A467="","",COUNTIFS('Job Tasks'!$B$5:$B$904,A467,'Job Tasks'!$H$5:$H$904,"Done"))</f>
        <v>0</v>
      </c>
      <c r="AO467" s="38">
        <f>IF(OR(A467="",AM467=0),"",AN467/AM467)</f>
        <v>0</v>
      </c>
      <c r="AP467" s="43">
        <f>IF(A467="","",IFERROR(INDEX('Invoice Lines'!$B$5:$B$804,MATCH(A467,'Invoice Lines'!$C$5:$C$804,0)),""))</f>
        <v>0</v>
      </c>
      <c r="AQ467" s="18">
        <f>IF(OR(G467="",B467="",X467&lt;&gt;"Yes"),"",IF(IFERROR(INDEX(FreqDays,MATCH(O467,FreqNames,0)),0)=0,"",B467+IFERROR(INDEX(FreqDays,MATCH(O467,FreqNames,0)),0)))</f>
        <v>0</v>
      </c>
      <c r="AR467" s="39">
        <f>IF(G467="","",IF(R467="","Unassigned",IF(COUNTIFS($R$5:$R$604,R467,$B$5:$B$604,B467,$F$5:$F$604,F467)&gt;1,"Clash",IF(SUMIFS($AF$5:$AF$604,$R$5:$R$604,R467,$B$5:$B$604,B467)&gt;ProductiveHours,"Long day","OK"))))</f>
        <v>0</v>
      </c>
      <c r="AS467" s="18">
        <f>IF(OR(G467="",B467=""),"",IF(AND(B467&gt;=TodayDate,P467&lt;&gt;"Cancelled"),B467,""))</f>
        <v>0</v>
      </c>
      <c r="AT467" s="31">
        <f>IF(AS467="","",COUNTIFS($AS$5:$AS$604,"&lt;"&amp;AS467)+COUNTIFS($AS$5:AS467,AS467))</f>
        <v>0</v>
      </c>
      <c r="AU467" s="18">
        <f>IF(OR(G467="",B467="",R467&lt;&gt;""),"",IF(AND(B467&gt;=TodayDate,P467&lt;&gt;"Cancelled"),B467,""))</f>
        <v>0</v>
      </c>
      <c r="AV467" s="31">
        <f>IF(AU467="","",COUNTIFS($AU$5:$AU$604,"&lt;"&amp;AU467)+COUNTIFS($AU$5:AU467,AU467))</f>
        <v>0</v>
      </c>
      <c r="AW467" s="31">
        <f>IF(OR(G467="",B467=""),"",B467-TodayDate)</f>
        <v>0</v>
      </c>
      <c r="AX467" s="39">
        <f>IF(G467="","",IF(P467="Cancelled","Cancelled",IF(P467="No access","Action - no access, rebook",IF(AND(B467&lt;&gt;"",AW467&lt;0,OR(P467="Booked",P467="Confirmed",P467="In progress")),"Late - mark it completed",IF(AND(P467="Completed",AP467=""),"Action - not invoiced yet",IF(AND(AW467&gt;=0,AW467&lt;=ReminderDays,Y467&lt;&gt;"Yes"),"Confirm - visit coming up",IF(R467="","Assign - no cleaner booked",IF(AND(P467="Completed",AO467&lt;&gt;"",AO467&lt;1),"Check - checklist unfinished","OK"))))))))</f>
        <v>0</v>
      </c>
    </row>
    <row r="468" spans="1:50">
      <c r="A468" s="43">
        <f>IF(G468="","",JobPrefix&amp;TEXT(ROW()-4,"0000"))</f>
        <v>0</v>
      </c>
      <c r="C468" s="23">
        <f>IF(B468="","",TEXT(B468,"ddd"))</f>
        <v>0</v>
      </c>
      <c r="D468" s="31">
        <f>IF(B468="","",WEEKNUM(B468,IF(WeekStart="Sunday",1,2)))</f>
        <v>0</v>
      </c>
      <c r="E468" s="23">
        <f>IF(B468="","",TEXT(B468,"yyyy-mm"))</f>
        <v>0</v>
      </c>
      <c r="H468" s="23">
        <f>IF(G468="","",IFERROR(INDEX(Clients!$B$5:$B$204,MATCH(G468,Clients!$A$5:$A$204,0)),"Not found"))</f>
        <v>0</v>
      </c>
      <c r="I468" s="23">
        <f>IF(G468="","",IFERROR(INDEX(Clients!$C$5:$C$204,MATCH(G468,Clients!$A$5:$A$204,0)),""))</f>
        <v>0</v>
      </c>
      <c r="K468" s="23">
        <f>IF(J468="","",IFERROR(INDEX(Properties!$B$5:$B$254,MATCH(J468,Properties!$A$5:$A$254,0)),""))</f>
        <v>0</v>
      </c>
      <c r="L468" s="23">
        <f>IF(J468="","",IFERROR(INDEX(Properties!$F$5:$F$254,MATCH(J468,Properties!$A$5:$A$254,0)),""))</f>
        <v>0</v>
      </c>
      <c r="AD468" s="34">
        <f>IF(G468="","",IF(U468&lt;&gt;"",U468,IF(AND(IFERROR(INDEX(Services!$D$5:$D$64,MATCH(M468,Services!$B$5:$B$64,0)),"")="Per hour",IFERROR(INDEX(Properties!$X$5:$X$254,MATCH(J468,Properties!$A$5:$A$254,0)),0)&gt;0),IFERROR(INDEX(Properties!$X$5:$X$254,MATCH(J468,Properties!$A$5:$A$254,0)),0),IF(IFERROR(INDEX(Services!$G$5:$G$64,MATCH(M468,Services!$B$5:$B$64,0)),0)&gt;0,IFERROR(INDEX(Services!$G$5:$G$64,MATCH(M468,Services!$B$5:$B$64,0)),0),IFERROR(INDEX(Properties!$X$5:$X$254,MATCH(J468,Properties!$A$5:$A$254,0)),0)))))</f>
        <v>0</v>
      </c>
      <c r="AE468" s="31">
        <f>IF(G468="","",IF(T468="",CleanersPerJob,MAX(1,T468)))</f>
        <v>0</v>
      </c>
      <c r="AF468" s="34">
        <f>IF(G468="","",ROUND(AD468/AE468,2))</f>
        <v>0</v>
      </c>
      <c r="AG468" s="53">
        <f>IF(OR(G468="",F468="",AF468=""),"",F468+AF468/24)</f>
        <v>0</v>
      </c>
      <c r="AH468" s="21">
        <f>IF(G468="","",IF(IFERROR(INDEX(Clients!$O$5:$O$204,MATCH(G468,Clients!$A$5:$A$204,0)),0)&gt;0,IFERROR(INDEX(Clients!$O$5:$O$204,MATCH(G468,Clients!$A$5:$A$204,0)),0),HourlyRate))</f>
        <v>0</v>
      </c>
      <c r="AI468" s="21">
        <f>IF(G468="","",IF(AND(M468&lt;&gt;"",IFERROR(INDEX(Services!$P$5:$P$64,MATCH(M468,Services!$B$5:$B$64,0)),0)&gt;0,IFERROR(INDEX(Services!$D$5:$D$64,MATCH(M468,Services!$B$5:$B$64,0)),"")&lt;&gt;"Per hour"),IFERROR(INDEX(Services!$P$5:$P$64,MATCH(M468,Services!$B$5:$B$64,0)),0),AD468*AH468))</f>
        <v>0</v>
      </c>
      <c r="AJ468" s="21">
        <f>IF(G468="","",IF(V468&lt;&gt;"",V468,IF(P468="Cancelled",0,MAX(MinimumCharge,ROUND(AI468*IFERROR(INDEX(FreqFactors,MATCH(O468,FreqNames,0)),1),2)))))</f>
        <v>0</v>
      </c>
      <c r="AK468" s="34">
        <f>IF(G468="","",IF(SUMIFS(Timesheets!$U$5:$U$804,Timesheets!$G$5:$G$804,A468)&gt;0,SUMIFS(Timesheets!$U$5:$U$804,Timesheets!$G$5:$G$804,A468),IF(Z468="","",Z468)))</f>
        <v>0</v>
      </c>
      <c r="AL468" s="34">
        <f>IF(OR(AK468="",AD468=""),"",AK468-AD468)</f>
        <v>0</v>
      </c>
      <c r="AM468" s="31">
        <f>IF(A468="","",COUNTIFS('Job Tasks'!$B$5:$B$904,A468))</f>
        <v>0</v>
      </c>
      <c r="AN468" s="31">
        <f>IF(A468="","",COUNTIFS('Job Tasks'!$B$5:$B$904,A468,'Job Tasks'!$H$5:$H$904,"Done"))</f>
        <v>0</v>
      </c>
      <c r="AO468" s="38">
        <f>IF(OR(A468="",AM468=0),"",AN468/AM468)</f>
        <v>0</v>
      </c>
      <c r="AP468" s="43">
        <f>IF(A468="","",IFERROR(INDEX('Invoice Lines'!$B$5:$B$804,MATCH(A468,'Invoice Lines'!$C$5:$C$804,0)),""))</f>
        <v>0</v>
      </c>
      <c r="AQ468" s="18">
        <f>IF(OR(G468="",B468="",X468&lt;&gt;"Yes"),"",IF(IFERROR(INDEX(FreqDays,MATCH(O468,FreqNames,0)),0)=0,"",B468+IFERROR(INDEX(FreqDays,MATCH(O468,FreqNames,0)),0)))</f>
        <v>0</v>
      </c>
      <c r="AR468" s="39">
        <f>IF(G468="","",IF(R468="","Unassigned",IF(COUNTIFS($R$5:$R$604,R468,$B$5:$B$604,B468,$F$5:$F$604,F468)&gt;1,"Clash",IF(SUMIFS($AF$5:$AF$604,$R$5:$R$604,R468,$B$5:$B$604,B468)&gt;ProductiveHours,"Long day","OK"))))</f>
        <v>0</v>
      </c>
      <c r="AS468" s="18">
        <f>IF(OR(G468="",B468=""),"",IF(AND(B468&gt;=TodayDate,P468&lt;&gt;"Cancelled"),B468,""))</f>
        <v>0</v>
      </c>
      <c r="AT468" s="31">
        <f>IF(AS468="","",COUNTIFS($AS$5:$AS$604,"&lt;"&amp;AS468)+COUNTIFS($AS$5:AS468,AS468))</f>
        <v>0</v>
      </c>
      <c r="AU468" s="18">
        <f>IF(OR(G468="",B468="",R468&lt;&gt;""),"",IF(AND(B468&gt;=TodayDate,P468&lt;&gt;"Cancelled"),B468,""))</f>
        <v>0</v>
      </c>
      <c r="AV468" s="31">
        <f>IF(AU468="","",COUNTIFS($AU$5:$AU$604,"&lt;"&amp;AU468)+COUNTIFS($AU$5:AU468,AU468))</f>
        <v>0</v>
      </c>
      <c r="AW468" s="31">
        <f>IF(OR(G468="",B468=""),"",B468-TodayDate)</f>
        <v>0</v>
      </c>
      <c r="AX468" s="39">
        <f>IF(G468="","",IF(P468="Cancelled","Cancelled",IF(P468="No access","Action - no access, rebook",IF(AND(B468&lt;&gt;"",AW468&lt;0,OR(P468="Booked",P468="Confirmed",P468="In progress")),"Late - mark it completed",IF(AND(P468="Completed",AP468=""),"Action - not invoiced yet",IF(AND(AW468&gt;=0,AW468&lt;=ReminderDays,Y468&lt;&gt;"Yes"),"Confirm - visit coming up",IF(R468="","Assign - no cleaner booked",IF(AND(P468="Completed",AO468&lt;&gt;"",AO468&lt;1),"Check - checklist unfinished","OK"))))))))</f>
        <v>0</v>
      </c>
    </row>
    <row r="469" spans="1:50">
      <c r="A469" s="43">
        <f>IF(G469="","",JobPrefix&amp;TEXT(ROW()-4,"0000"))</f>
        <v>0</v>
      </c>
      <c r="C469" s="23">
        <f>IF(B469="","",TEXT(B469,"ddd"))</f>
        <v>0</v>
      </c>
      <c r="D469" s="31">
        <f>IF(B469="","",WEEKNUM(B469,IF(WeekStart="Sunday",1,2)))</f>
        <v>0</v>
      </c>
      <c r="E469" s="23">
        <f>IF(B469="","",TEXT(B469,"yyyy-mm"))</f>
        <v>0</v>
      </c>
      <c r="H469" s="23">
        <f>IF(G469="","",IFERROR(INDEX(Clients!$B$5:$B$204,MATCH(G469,Clients!$A$5:$A$204,0)),"Not found"))</f>
        <v>0</v>
      </c>
      <c r="I469" s="23">
        <f>IF(G469="","",IFERROR(INDEX(Clients!$C$5:$C$204,MATCH(G469,Clients!$A$5:$A$204,0)),""))</f>
        <v>0</v>
      </c>
      <c r="K469" s="23">
        <f>IF(J469="","",IFERROR(INDEX(Properties!$B$5:$B$254,MATCH(J469,Properties!$A$5:$A$254,0)),""))</f>
        <v>0</v>
      </c>
      <c r="L469" s="23">
        <f>IF(J469="","",IFERROR(INDEX(Properties!$F$5:$F$254,MATCH(J469,Properties!$A$5:$A$254,0)),""))</f>
        <v>0</v>
      </c>
      <c r="AD469" s="34">
        <f>IF(G469="","",IF(U469&lt;&gt;"",U469,IF(AND(IFERROR(INDEX(Services!$D$5:$D$64,MATCH(M469,Services!$B$5:$B$64,0)),"")="Per hour",IFERROR(INDEX(Properties!$X$5:$X$254,MATCH(J469,Properties!$A$5:$A$254,0)),0)&gt;0),IFERROR(INDEX(Properties!$X$5:$X$254,MATCH(J469,Properties!$A$5:$A$254,0)),0),IF(IFERROR(INDEX(Services!$G$5:$G$64,MATCH(M469,Services!$B$5:$B$64,0)),0)&gt;0,IFERROR(INDEX(Services!$G$5:$G$64,MATCH(M469,Services!$B$5:$B$64,0)),0),IFERROR(INDEX(Properties!$X$5:$X$254,MATCH(J469,Properties!$A$5:$A$254,0)),0)))))</f>
        <v>0</v>
      </c>
      <c r="AE469" s="31">
        <f>IF(G469="","",IF(T469="",CleanersPerJob,MAX(1,T469)))</f>
        <v>0</v>
      </c>
      <c r="AF469" s="34">
        <f>IF(G469="","",ROUND(AD469/AE469,2))</f>
        <v>0</v>
      </c>
      <c r="AG469" s="53">
        <f>IF(OR(G469="",F469="",AF469=""),"",F469+AF469/24)</f>
        <v>0</v>
      </c>
      <c r="AH469" s="21">
        <f>IF(G469="","",IF(IFERROR(INDEX(Clients!$O$5:$O$204,MATCH(G469,Clients!$A$5:$A$204,0)),0)&gt;0,IFERROR(INDEX(Clients!$O$5:$O$204,MATCH(G469,Clients!$A$5:$A$204,0)),0),HourlyRate))</f>
        <v>0</v>
      </c>
      <c r="AI469" s="21">
        <f>IF(G469="","",IF(AND(M469&lt;&gt;"",IFERROR(INDEX(Services!$P$5:$P$64,MATCH(M469,Services!$B$5:$B$64,0)),0)&gt;0,IFERROR(INDEX(Services!$D$5:$D$64,MATCH(M469,Services!$B$5:$B$64,0)),"")&lt;&gt;"Per hour"),IFERROR(INDEX(Services!$P$5:$P$64,MATCH(M469,Services!$B$5:$B$64,0)),0),AD469*AH469))</f>
        <v>0</v>
      </c>
      <c r="AJ469" s="21">
        <f>IF(G469="","",IF(V469&lt;&gt;"",V469,IF(P469="Cancelled",0,MAX(MinimumCharge,ROUND(AI469*IFERROR(INDEX(FreqFactors,MATCH(O469,FreqNames,0)),1),2)))))</f>
        <v>0</v>
      </c>
      <c r="AK469" s="34">
        <f>IF(G469="","",IF(SUMIFS(Timesheets!$U$5:$U$804,Timesheets!$G$5:$G$804,A469)&gt;0,SUMIFS(Timesheets!$U$5:$U$804,Timesheets!$G$5:$G$804,A469),IF(Z469="","",Z469)))</f>
        <v>0</v>
      </c>
      <c r="AL469" s="34">
        <f>IF(OR(AK469="",AD469=""),"",AK469-AD469)</f>
        <v>0</v>
      </c>
      <c r="AM469" s="31">
        <f>IF(A469="","",COUNTIFS('Job Tasks'!$B$5:$B$904,A469))</f>
        <v>0</v>
      </c>
      <c r="AN469" s="31">
        <f>IF(A469="","",COUNTIFS('Job Tasks'!$B$5:$B$904,A469,'Job Tasks'!$H$5:$H$904,"Done"))</f>
        <v>0</v>
      </c>
      <c r="AO469" s="38">
        <f>IF(OR(A469="",AM469=0),"",AN469/AM469)</f>
        <v>0</v>
      </c>
      <c r="AP469" s="43">
        <f>IF(A469="","",IFERROR(INDEX('Invoice Lines'!$B$5:$B$804,MATCH(A469,'Invoice Lines'!$C$5:$C$804,0)),""))</f>
        <v>0</v>
      </c>
      <c r="AQ469" s="18">
        <f>IF(OR(G469="",B469="",X469&lt;&gt;"Yes"),"",IF(IFERROR(INDEX(FreqDays,MATCH(O469,FreqNames,0)),0)=0,"",B469+IFERROR(INDEX(FreqDays,MATCH(O469,FreqNames,0)),0)))</f>
        <v>0</v>
      </c>
      <c r="AR469" s="39">
        <f>IF(G469="","",IF(R469="","Unassigned",IF(COUNTIFS($R$5:$R$604,R469,$B$5:$B$604,B469,$F$5:$F$604,F469)&gt;1,"Clash",IF(SUMIFS($AF$5:$AF$604,$R$5:$R$604,R469,$B$5:$B$604,B469)&gt;ProductiveHours,"Long day","OK"))))</f>
        <v>0</v>
      </c>
      <c r="AS469" s="18">
        <f>IF(OR(G469="",B469=""),"",IF(AND(B469&gt;=TodayDate,P469&lt;&gt;"Cancelled"),B469,""))</f>
        <v>0</v>
      </c>
      <c r="AT469" s="31">
        <f>IF(AS469="","",COUNTIFS($AS$5:$AS$604,"&lt;"&amp;AS469)+COUNTIFS($AS$5:AS469,AS469))</f>
        <v>0</v>
      </c>
      <c r="AU469" s="18">
        <f>IF(OR(G469="",B469="",R469&lt;&gt;""),"",IF(AND(B469&gt;=TodayDate,P469&lt;&gt;"Cancelled"),B469,""))</f>
        <v>0</v>
      </c>
      <c r="AV469" s="31">
        <f>IF(AU469="","",COUNTIFS($AU$5:$AU$604,"&lt;"&amp;AU469)+COUNTIFS($AU$5:AU469,AU469))</f>
        <v>0</v>
      </c>
      <c r="AW469" s="31">
        <f>IF(OR(G469="",B469=""),"",B469-TodayDate)</f>
        <v>0</v>
      </c>
      <c r="AX469" s="39">
        <f>IF(G469="","",IF(P469="Cancelled","Cancelled",IF(P469="No access","Action - no access, rebook",IF(AND(B469&lt;&gt;"",AW469&lt;0,OR(P469="Booked",P469="Confirmed",P469="In progress")),"Late - mark it completed",IF(AND(P469="Completed",AP469=""),"Action - not invoiced yet",IF(AND(AW469&gt;=0,AW469&lt;=ReminderDays,Y469&lt;&gt;"Yes"),"Confirm - visit coming up",IF(R469="","Assign - no cleaner booked",IF(AND(P469="Completed",AO469&lt;&gt;"",AO469&lt;1),"Check - checklist unfinished","OK"))))))))</f>
        <v>0</v>
      </c>
    </row>
    <row r="470" spans="1:50">
      <c r="A470" s="43">
        <f>IF(G470="","",JobPrefix&amp;TEXT(ROW()-4,"0000"))</f>
        <v>0</v>
      </c>
      <c r="C470" s="23">
        <f>IF(B470="","",TEXT(B470,"ddd"))</f>
        <v>0</v>
      </c>
      <c r="D470" s="31">
        <f>IF(B470="","",WEEKNUM(B470,IF(WeekStart="Sunday",1,2)))</f>
        <v>0</v>
      </c>
      <c r="E470" s="23">
        <f>IF(B470="","",TEXT(B470,"yyyy-mm"))</f>
        <v>0</v>
      </c>
      <c r="H470" s="23">
        <f>IF(G470="","",IFERROR(INDEX(Clients!$B$5:$B$204,MATCH(G470,Clients!$A$5:$A$204,0)),"Not found"))</f>
        <v>0</v>
      </c>
      <c r="I470" s="23">
        <f>IF(G470="","",IFERROR(INDEX(Clients!$C$5:$C$204,MATCH(G470,Clients!$A$5:$A$204,0)),""))</f>
        <v>0</v>
      </c>
      <c r="K470" s="23">
        <f>IF(J470="","",IFERROR(INDEX(Properties!$B$5:$B$254,MATCH(J470,Properties!$A$5:$A$254,0)),""))</f>
        <v>0</v>
      </c>
      <c r="L470" s="23">
        <f>IF(J470="","",IFERROR(INDEX(Properties!$F$5:$F$254,MATCH(J470,Properties!$A$5:$A$254,0)),""))</f>
        <v>0</v>
      </c>
      <c r="AD470" s="34">
        <f>IF(G470="","",IF(U470&lt;&gt;"",U470,IF(AND(IFERROR(INDEX(Services!$D$5:$D$64,MATCH(M470,Services!$B$5:$B$64,0)),"")="Per hour",IFERROR(INDEX(Properties!$X$5:$X$254,MATCH(J470,Properties!$A$5:$A$254,0)),0)&gt;0),IFERROR(INDEX(Properties!$X$5:$X$254,MATCH(J470,Properties!$A$5:$A$254,0)),0),IF(IFERROR(INDEX(Services!$G$5:$G$64,MATCH(M470,Services!$B$5:$B$64,0)),0)&gt;0,IFERROR(INDEX(Services!$G$5:$G$64,MATCH(M470,Services!$B$5:$B$64,0)),0),IFERROR(INDEX(Properties!$X$5:$X$254,MATCH(J470,Properties!$A$5:$A$254,0)),0)))))</f>
        <v>0</v>
      </c>
      <c r="AE470" s="31">
        <f>IF(G470="","",IF(T470="",CleanersPerJob,MAX(1,T470)))</f>
        <v>0</v>
      </c>
      <c r="AF470" s="34">
        <f>IF(G470="","",ROUND(AD470/AE470,2))</f>
        <v>0</v>
      </c>
      <c r="AG470" s="53">
        <f>IF(OR(G470="",F470="",AF470=""),"",F470+AF470/24)</f>
        <v>0</v>
      </c>
      <c r="AH470" s="21">
        <f>IF(G470="","",IF(IFERROR(INDEX(Clients!$O$5:$O$204,MATCH(G470,Clients!$A$5:$A$204,0)),0)&gt;0,IFERROR(INDEX(Clients!$O$5:$O$204,MATCH(G470,Clients!$A$5:$A$204,0)),0),HourlyRate))</f>
        <v>0</v>
      </c>
      <c r="AI470" s="21">
        <f>IF(G470="","",IF(AND(M470&lt;&gt;"",IFERROR(INDEX(Services!$P$5:$P$64,MATCH(M470,Services!$B$5:$B$64,0)),0)&gt;0,IFERROR(INDEX(Services!$D$5:$D$64,MATCH(M470,Services!$B$5:$B$64,0)),"")&lt;&gt;"Per hour"),IFERROR(INDEX(Services!$P$5:$P$64,MATCH(M470,Services!$B$5:$B$64,0)),0),AD470*AH470))</f>
        <v>0</v>
      </c>
      <c r="AJ470" s="21">
        <f>IF(G470="","",IF(V470&lt;&gt;"",V470,IF(P470="Cancelled",0,MAX(MinimumCharge,ROUND(AI470*IFERROR(INDEX(FreqFactors,MATCH(O470,FreqNames,0)),1),2)))))</f>
        <v>0</v>
      </c>
      <c r="AK470" s="34">
        <f>IF(G470="","",IF(SUMIFS(Timesheets!$U$5:$U$804,Timesheets!$G$5:$G$804,A470)&gt;0,SUMIFS(Timesheets!$U$5:$U$804,Timesheets!$G$5:$G$804,A470),IF(Z470="","",Z470)))</f>
        <v>0</v>
      </c>
      <c r="AL470" s="34">
        <f>IF(OR(AK470="",AD470=""),"",AK470-AD470)</f>
        <v>0</v>
      </c>
      <c r="AM470" s="31">
        <f>IF(A470="","",COUNTIFS('Job Tasks'!$B$5:$B$904,A470))</f>
        <v>0</v>
      </c>
      <c r="AN470" s="31">
        <f>IF(A470="","",COUNTIFS('Job Tasks'!$B$5:$B$904,A470,'Job Tasks'!$H$5:$H$904,"Done"))</f>
        <v>0</v>
      </c>
      <c r="AO470" s="38">
        <f>IF(OR(A470="",AM470=0),"",AN470/AM470)</f>
        <v>0</v>
      </c>
      <c r="AP470" s="43">
        <f>IF(A470="","",IFERROR(INDEX('Invoice Lines'!$B$5:$B$804,MATCH(A470,'Invoice Lines'!$C$5:$C$804,0)),""))</f>
        <v>0</v>
      </c>
      <c r="AQ470" s="18">
        <f>IF(OR(G470="",B470="",X470&lt;&gt;"Yes"),"",IF(IFERROR(INDEX(FreqDays,MATCH(O470,FreqNames,0)),0)=0,"",B470+IFERROR(INDEX(FreqDays,MATCH(O470,FreqNames,0)),0)))</f>
        <v>0</v>
      </c>
      <c r="AR470" s="39">
        <f>IF(G470="","",IF(R470="","Unassigned",IF(COUNTIFS($R$5:$R$604,R470,$B$5:$B$604,B470,$F$5:$F$604,F470)&gt;1,"Clash",IF(SUMIFS($AF$5:$AF$604,$R$5:$R$604,R470,$B$5:$B$604,B470)&gt;ProductiveHours,"Long day","OK"))))</f>
        <v>0</v>
      </c>
      <c r="AS470" s="18">
        <f>IF(OR(G470="",B470=""),"",IF(AND(B470&gt;=TodayDate,P470&lt;&gt;"Cancelled"),B470,""))</f>
        <v>0</v>
      </c>
      <c r="AT470" s="31">
        <f>IF(AS470="","",COUNTIFS($AS$5:$AS$604,"&lt;"&amp;AS470)+COUNTIFS($AS$5:AS470,AS470))</f>
        <v>0</v>
      </c>
      <c r="AU470" s="18">
        <f>IF(OR(G470="",B470="",R470&lt;&gt;""),"",IF(AND(B470&gt;=TodayDate,P470&lt;&gt;"Cancelled"),B470,""))</f>
        <v>0</v>
      </c>
      <c r="AV470" s="31">
        <f>IF(AU470="","",COUNTIFS($AU$5:$AU$604,"&lt;"&amp;AU470)+COUNTIFS($AU$5:AU470,AU470))</f>
        <v>0</v>
      </c>
      <c r="AW470" s="31">
        <f>IF(OR(G470="",B470=""),"",B470-TodayDate)</f>
        <v>0</v>
      </c>
      <c r="AX470" s="39">
        <f>IF(G470="","",IF(P470="Cancelled","Cancelled",IF(P470="No access","Action - no access, rebook",IF(AND(B470&lt;&gt;"",AW470&lt;0,OR(P470="Booked",P470="Confirmed",P470="In progress")),"Late - mark it completed",IF(AND(P470="Completed",AP470=""),"Action - not invoiced yet",IF(AND(AW470&gt;=0,AW470&lt;=ReminderDays,Y470&lt;&gt;"Yes"),"Confirm - visit coming up",IF(R470="","Assign - no cleaner booked",IF(AND(P470="Completed",AO470&lt;&gt;"",AO470&lt;1),"Check - checklist unfinished","OK"))))))))</f>
        <v>0</v>
      </c>
    </row>
    <row r="471" spans="1:50">
      <c r="A471" s="43">
        <f>IF(G471="","",JobPrefix&amp;TEXT(ROW()-4,"0000"))</f>
        <v>0</v>
      </c>
      <c r="C471" s="23">
        <f>IF(B471="","",TEXT(B471,"ddd"))</f>
        <v>0</v>
      </c>
      <c r="D471" s="31">
        <f>IF(B471="","",WEEKNUM(B471,IF(WeekStart="Sunday",1,2)))</f>
        <v>0</v>
      </c>
      <c r="E471" s="23">
        <f>IF(B471="","",TEXT(B471,"yyyy-mm"))</f>
        <v>0</v>
      </c>
      <c r="H471" s="23">
        <f>IF(G471="","",IFERROR(INDEX(Clients!$B$5:$B$204,MATCH(G471,Clients!$A$5:$A$204,0)),"Not found"))</f>
        <v>0</v>
      </c>
      <c r="I471" s="23">
        <f>IF(G471="","",IFERROR(INDEX(Clients!$C$5:$C$204,MATCH(G471,Clients!$A$5:$A$204,0)),""))</f>
        <v>0</v>
      </c>
      <c r="K471" s="23">
        <f>IF(J471="","",IFERROR(INDEX(Properties!$B$5:$B$254,MATCH(J471,Properties!$A$5:$A$254,0)),""))</f>
        <v>0</v>
      </c>
      <c r="L471" s="23">
        <f>IF(J471="","",IFERROR(INDEX(Properties!$F$5:$F$254,MATCH(J471,Properties!$A$5:$A$254,0)),""))</f>
        <v>0</v>
      </c>
      <c r="AD471" s="34">
        <f>IF(G471="","",IF(U471&lt;&gt;"",U471,IF(AND(IFERROR(INDEX(Services!$D$5:$D$64,MATCH(M471,Services!$B$5:$B$64,0)),"")="Per hour",IFERROR(INDEX(Properties!$X$5:$X$254,MATCH(J471,Properties!$A$5:$A$254,0)),0)&gt;0),IFERROR(INDEX(Properties!$X$5:$X$254,MATCH(J471,Properties!$A$5:$A$254,0)),0),IF(IFERROR(INDEX(Services!$G$5:$G$64,MATCH(M471,Services!$B$5:$B$64,0)),0)&gt;0,IFERROR(INDEX(Services!$G$5:$G$64,MATCH(M471,Services!$B$5:$B$64,0)),0),IFERROR(INDEX(Properties!$X$5:$X$254,MATCH(J471,Properties!$A$5:$A$254,0)),0)))))</f>
        <v>0</v>
      </c>
      <c r="AE471" s="31">
        <f>IF(G471="","",IF(T471="",CleanersPerJob,MAX(1,T471)))</f>
        <v>0</v>
      </c>
      <c r="AF471" s="34">
        <f>IF(G471="","",ROUND(AD471/AE471,2))</f>
        <v>0</v>
      </c>
      <c r="AG471" s="53">
        <f>IF(OR(G471="",F471="",AF471=""),"",F471+AF471/24)</f>
        <v>0</v>
      </c>
      <c r="AH471" s="21">
        <f>IF(G471="","",IF(IFERROR(INDEX(Clients!$O$5:$O$204,MATCH(G471,Clients!$A$5:$A$204,0)),0)&gt;0,IFERROR(INDEX(Clients!$O$5:$O$204,MATCH(G471,Clients!$A$5:$A$204,0)),0),HourlyRate))</f>
        <v>0</v>
      </c>
      <c r="AI471" s="21">
        <f>IF(G471="","",IF(AND(M471&lt;&gt;"",IFERROR(INDEX(Services!$P$5:$P$64,MATCH(M471,Services!$B$5:$B$64,0)),0)&gt;0,IFERROR(INDEX(Services!$D$5:$D$64,MATCH(M471,Services!$B$5:$B$64,0)),"")&lt;&gt;"Per hour"),IFERROR(INDEX(Services!$P$5:$P$64,MATCH(M471,Services!$B$5:$B$64,0)),0),AD471*AH471))</f>
        <v>0</v>
      </c>
      <c r="AJ471" s="21">
        <f>IF(G471="","",IF(V471&lt;&gt;"",V471,IF(P471="Cancelled",0,MAX(MinimumCharge,ROUND(AI471*IFERROR(INDEX(FreqFactors,MATCH(O471,FreqNames,0)),1),2)))))</f>
        <v>0</v>
      </c>
      <c r="AK471" s="34">
        <f>IF(G471="","",IF(SUMIFS(Timesheets!$U$5:$U$804,Timesheets!$G$5:$G$804,A471)&gt;0,SUMIFS(Timesheets!$U$5:$U$804,Timesheets!$G$5:$G$804,A471),IF(Z471="","",Z471)))</f>
        <v>0</v>
      </c>
      <c r="AL471" s="34">
        <f>IF(OR(AK471="",AD471=""),"",AK471-AD471)</f>
        <v>0</v>
      </c>
      <c r="AM471" s="31">
        <f>IF(A471="","",COUNTIFS('Job Tasks'!$B$5:$B$904,A471))</f>
        <v>0</v>
      </c>
      <c r="AN471" s="31">
        <f>IF(A471="","",COUNTIFS('Job Tasks'!$B$5:$B$904,A471,'Job Tasks'!$H$5:$H$904,"Done"))</f>
        <v>0</v>
      </c>
      <c r="AO471" s="38">
        <f>IF(OR(A471="",AM471=0),"",AN471/AM471)</f>
        <v>0</v>
      </c>
      <c r="AP471" s="43">
        <f>IF(A471="","",IFERROR(INDEX('Invoice Lines'!$B$5:$B$804,MATCH(A471,'Invoice Lines'!$C$5:$C$804,0)),""))</f>
        <v>0</v>
      </c>
      <c r="AQ471" s="18">
        <f>IF(OR(G471="",B471="",X471&lt;&gt;"Yes"),"",IF(IFERROR(INDEX(FreqDays,MATCH(O471,FreqNames,0)),0)=0,"",B471+IFERROR(INDEX(FreqDays,MATCH(O471,FreqNames,0)),0)))</f>
        <v>0</v>
      </c>
      <c r="AR471" s="39">
        <f>IF(G471="","",IF(R471="","Unassigned",IF(COUNTIFS($R$5:$R$604,R471,$B$5:$B$604,B471,$F$5:$F$604,F471)&gt;1,"Clash",IF(SUMIFS($AF$5:$AF$604,$R$5:$R$604,R471,$B$5:$B$604,B471)&gt;ProductiveHours,"Long day","OK"))))</f>
        <v>0</v>
      </c>
      <c r="AS471" s="18">
        <f>IF(OR(G471="",B471=""),"",IF(AND(B471&gt;=TodayDate,P471&lt;&gt;"Cancelled"),B471,""))</f>
        <v>0</v>
      </c>
      <c r="AT471" s="31">
        <f>IF(AS471="","",COUNTIFS($AS$5:$AS$604,"&lt;"&amp;AS471)+COUNTIFS($AS$5:AS471,AS471))</f>
        <v>0</v>
      </c>
      <c r="AU471" s="18">
        <f>IF(OR(G471="",B471="",R471&lt;&gt;""),"",IF(AND(B471&gt;=TodayDate,P471&lt;&gt;"Cancelled"),B471,""))</f>
        <v>0</v>
      </c>
      <c r="AV471" s="31">
        <f>IF(AU471="","",COUNTIFS($AU$5:$AU$604,"&lt;"&amp;AU471)+COUNTIFS($AU$5:AU471,AU471))</f>
        <v>0</v>
      </c>
      <c r="AW471" s="31">
        <f>IF(OR(G471="",B471=""),"",B471-TodayDate)</f>
        <v>0</v>
      </c>
      <c r="AX471" s="39">
        <f>IF(G471="","",IF(P471="Cancelled","Cancelled",IF(P471="No access","Action - no access, rebook",IF(AND(B471&lt;&gt;"",AW471&lt;0,OR(P471="Booked",P471="Confirmed",P471="In progress")),"Late - mark it completed",IF(AND(P471="Completed",AP471=""),"Action - not invoiced yet",IF(AND(AW471&gt;=0,AW471&lt;=ReminderDays,Y471&lt;&gt;"Yes"),"Confirm - visit coming up",IF(R471="","Assign - no cleaner booked",IF(AND(P471="Completed",AO471&lt;&gt;"",AO471&lt;1),"Check - checklist unfinished","OK"))))))))</f>
        <v>0</v>
      </c>
    </row>
    <row r="472" spans="1:50">
      <c r="A472" s="43">
        <f>IF(G472="","",JobPrefix&amp;TEXT(ROW()-4,"0000"))</f>
        <v>0</v>
      </c>
      <c r="C472" s="23">
        <f>IF(B472="","",TEXT(B472,"ddd"))</f>
        <v>0</v>
      </c>
      <c r="D472" s="31">
        <f>IF(B472="","",WEEKNUM(B472,IF(WeekStart="Sunday",1,2)))</f>
        <v>0</v>
      </c>
      <c r="E472" s="23">
        <f>IF(B472="","",TEXT(B472,"yyyy-mm"))</f>
        <v>0</v>
      </c>
      <c r="H472" s="23">
        <f>IF(G472="","",IFERROR(INDEX(Clients!$B$5:$B$204,MATCH(G472,Clients!$A$5:$A$204,0)),"Not found"))</f>
        <v>0</v>
      </c>
      <c r="I472" s="23">
        <f>IF(G472="","",IFERROR(INDEX(Clients!$C$5:$C$204,MATCH(G472,Clients!$A$5:$A$204,0)),""))</f>
        <v>0</v>
      </c>
      <c r="K472" s="23">
        <f>IF(J472="","",IFERROR(INDEX(Properties!$B$5:$B$254,MATCH(J472,Properties!$A$5:$A$254,0)),""))</f>
        <v>0</v>
      </c>
      <c r="L472" s="23">
        <f>IF(J472="","",IFERROR(INDEX(Properties!$F$5:$F$254,MATCH(J472,Properties!$A$5:$A$254,0)),""))</f>
        <v>0</v>
      </c>
      <c r="AD472" s="34">
        <f>IF(G472="","",IF(U472&lt;&gt;"",U472,IF(AND(IFERROR(INDEX(Services!$D$5:$D$64,MATCH(M472,Services!$B$5:$B$64,0)),"")="Per hour",IFERROR(INDEX(Properties!$X$5:$X$254,MATCH(J472,Properties!$A$5:$A$254,0)),0)&gt;0),IFERROR(INDEX(Properties!$X$5:$X$254,MATCH(J472,Properties!$A$5:$A$254,0)),0),IF(IFERROR(INDEX(Services!$G$5:$G$64,MATCH(M472,Services!$B$5:$B$64,0)),0)&gt;0,IFERROR(INDEX(Services!$G$5:$G$64,MATCH(M472,Services!$B$5:$B$64,0)),0),IFERROR(INDEX(Properties!$X$5:$X$254,MATCH(J472,Properties!$A$5:$A$254,0)),0)))))</f>
        <v>0</v>
      </c>
      <c r="AE472" s="31">
        <f>IF(G472="","",IF(T472="",CleanersPerJob,MAX(1,T472)))</f>
        <v>0</v>
      </c>
      <c r="AF472" s="34">
        <f>IF(G472="","",ROUND(AD472/AE472,2))</f>
        <v>0</v>
      </c>
      <c r="AG472" s="53">
        <f>IF(OR(G472="",F472="",AF472=""),"",F472+AF472/24)</f>
        <v>0</v>
      </c>
      <c r="AH472" s="21">
        <f>IF(G472="","",IF(IFERROR(INDEX(Clients!$O$5:$O$204,MATCH(G472,Clients!$A$5:$A$204,0)),0)&gt;0,IFERROR(INDEX(Clients!$O$5:$O$204,MATCH(G472,Clients!$A$5:$A$204,0)),0),HourlyRate))</f>
        <v>0</v>
      </c>
      <c r="AI472" s="21">
        <f>IF(G472="","",IF(AND(M472&lt;&gt;"",IFERROR(INDEX(Services!$P$5:$P$64,MATCH(M472,Services!$B$5:$B$64,0)),0)&gt;0,IFERROR(INDEX(Services!$D$5:$D$64,MATCH(M472,Services!$B$5:$B$64,0)),"")&lt;&gt;"Per hour"),IFERROR(INDEX(Services!$P$5:$P$64,MATCH(M472,Services!$B$5:$B$64,0)),0),AD472*AH472))</f>
        <v>0</v>
      </c>
      <c r="AJ472" s="21">
        <f>IF(G472="","",IF(V472&lt;&gt;"",V472,IF(P472="Cancelled",0,MAX(MinimumCharge,ROUND(AI472*IFERROR(INDEX(FreqFactors,MATCH(O472,FreqNames,0)),1),2)))))</f>
        <v>0</v>
      </c>
      <c r="AK472" s="34">
        <f>IF(G472="","",IF(SUMIFS(Timesheets!$U$5:$U$804,Timesheets!$G$5:$G$804,A472)&gt;0,SUMIFS(Timesheets!$U$5:$U$804,Timesheets!$G$5:$G$804,A472),IF(Z472="","",Z472)))</f>
        <v>0</v>
      </c>
      <c r="AL472" s="34">
        <f>IF(OR(AK472="",AD472=""),"",AK472-AD472)</f>
        <v>0</v>
      </c>
      <c r="AM472" s="31">
        <f>IF(A472="","",COUNTIFS('Job Tasks'!$B$5:$B$904,A472))</f>
        <v>0</v>
      </c>
      <c r="AN472" s="31">
        <f>IF(A472="","",COUNTIFS('Job Tasks'!$B$5:$B$904,A472,'Job Tasks'!$H$5:$H$904,"Done"))</f>
        <v>0</v>
      </c>
      <c r="AO472" s="38">
        <f>IF(OR(A472="",AM472=0),"",AN472/AM472)</f>
        <v>0</v>
      </c>
      <c r="AP472" s="43">
        <f>IF(A472="","",IFERROR(INDEX('Invoice Lines'!$B$5:$B$804,MATCH(A472,'Invoice Lines'!$C$5:$C$804,0)),""))</f>
        <v>0</v>
      </c>
      <c r="AQ472" s="18">
        <f>IF(OR(G472="",B472="",X472&lt;&gt;"Yes"),"",IF(IFERROR(INDEX(FreqDays,MATCH(O472,FreqNames,0)),0)=0,"",B472+IFERROR(INDEX(FreqDays,MATCH(O472,FreqNames,0)),0)))</f>
        <v>0</v>
      </c>
      <c r="AR472" s="39">
        <f>IF(G472="","",IF(R472="","Unassigned",IF(COUNTIFS($R$5:$R$604,R472,$B$5:$B$604,B472,$F$5:$F$604,F472)&gt;1,"Clash",IF(SUMIFS($AF$5:$AF$604,$R$5:$R$604,R472,$B$5:$B$604,B472)&gt;ProductiveHours,"Long day","OK"))))</f>
        <v>0</v>
      </c>
      <c r="AS472" s="18">
        <f>IF(OR(G472="",B472=""),"",IF(AND(B472&gt;=TodayDate,P472&lt;&gt;"Cancelled"),B472,""))</f>
        <v>0</v>
      </c>
      <c r="AT472" s="31">
        <f>IF(AS472="","",COUNTIFS($AS$5:$AS$604,"&lt;"&amp;AS472)+COUNTIFS($AS$5:AS472,AS472))</f>
        <v>0</v>
      </c>
      <c r="AU472" s="18">
        <f>IF(OR(G472="",B472="",R472&lt;&gt;""),"",IF(AND(B472&gt;=TodayDate,P472&lt;&gt;"Cancelled"),B472,""))</f>
        <v>0</v>
      </c>
      <c r="AV472" s="31">
        <f>IF(AU472="","",COUNTIFS($AU$5:$AU$604,"&lt;"&amp;AU472)+COUNTIFS($AU$5:AU472,AU472))</f>
        <v>0</v>
      </c>
      <c r="AW472" s="31">
        <f>IF(OR(G472="",B472=""),"",B472-TodayDate)</f>
        <v>0</v>
      </c>
      <c r="AX472" s="39">
        <f>IF(G472="","",IF(P472="Cancelled","Cancelled",IF(P472="No access","Action - no access, rebook",IF(AND(B472&lt;&gt;"",AW472&lt;0,OR(P472="Booked",P472="Confirmed",P472="In progress")),"Late - mark it completed",IF(AND(P472="Completed",AP472=""),"Action - not invoiced yet",IF(AND(AW472&gt;=0,AW472&lt;=ReminderDays,Y472&lt;&gt;"Yes"),"Confirm - visit coming up",IF(R472="","Assign - no cleaner booked",IF(AND(P472="Completed",AO472&lt;&gt;"",AO472&lt;1),"Check - checklist unfinished","OK"))))))))</f>
        <v>0</v>
      </c>
    </row>
    <row r="473" spans="1:50">
      <c r="A473" s="43">
        <f>IF(G473="","",JobPrefix&amp;TEXT(ROW()-4,"0000"))</f>
        <v>0</v>
      </c>
      <c r="C473" s="23">
        <f>IF(B473="","",TEXT(B473,"ddd"))</f>
        <v>0</v>
      </c>
      <c r="D473" s="31">
        <f>IF(B473="","",WEEKNUM(B473,IF(WeekStart="Sunday",1,2)))</f>
        <v>0</v>
      </c>
      <c r="E473" s="23">
        <f>IF(B473="","",TEXT(B473,"yyyy-mm"))</f>
        <v>0</v>
      </c>
      <c r="H473" s="23">
        <f>IF(G473="","",IFERROR(INDEX(Clients!$B$5:$B$204,MATCH(G473,Clients!$A$5:$A$204,0)),"Not found"))</f>
        <v>0</v>
      </c>
      <c r="I473" s="23">
        <f>IF(G473="","",IFERROR(INDEX(Clients!$C$5:$C$204,MATCH(G473,Clients!$A$5:$A$204,0)),""))</f>
        <v>0</v>
      </c>
      <c r="K473" s="23">
        <f>IF(J473="","",IFERROR(INDEX(Properties!$B$5:$B$254,MATCH(J473,Properties!$A$5:$A$254,0)),""))</f>
        <v>0</v>
      </c>
      <c r="L473" s="23">
        <f>IF(J473="","",IFERROR(INDEX(Properties!$F$5:$F$254,MATCH(J473,Properties!$A$5:$A$254,0)),""))</f>
        <v>0</v>
      </c>
      <c r="AD473" s="34">
        <f>IF(G473="","",IF(U473&lt;&gt;"",U473,IF(AND(IFERROR(INDEX(Services!$D$5:$D$64,MATCH(M473,Services!$B$5:$B$64,0)),"")="Per hour",IFERROR(INDEX(Properties!$X$5:$X$254,MATCH(J473,Properties!$A$5:$A$254,0)),0)&gt;0),IFERROR(INDEX(Properties!$X$5:$X$254,MATCH(J473,Properties!$A$5:$A$254,0)),0),IF(IFERROR(INDEX(Services!$G$5:$G$64,MATCH(M473,Services!$B$5:$B$64,0)),0)&gt;0,IFERROR(INDEX(Services!$G$5:$G$64,MATCH(M473,Services!$B$5:$B$64,0)),0),IFERROR(INDEX(Properties!$X$5:$X$254,MATCH(J473,Properties!$A$5:$A$254,0)),0)))))</f>
        <v>0</v>
      </c>
      <c r="AE473" s="31">
        <f>IF(G473="","",IF(T473="",CleanersPerJob,MAX(1,T473)))</f>
        <v>0</v>
      </c>
      <c r="AF473" s="34">
        <f>IF(G473="","",ROUND(AD473/AE473,2))</f>
        <v>0</v>
      </c>
      <c r="AG473" s="53">
        <f>IF(OR(G473="",F473="",AF473=""),"",F473+AF473/24)</f>
        <v>0</v>
      </c>
      <c r="AH473" s="21">
        <f>IF(G473="","",IF(IFERROR(INDEX(Clients!$O$5:$O$204,MATCH(G473,Clients!$A$5:$A$204,0)),0)&gt;0,IFERROR(INDEX(Clients!$O$5:$O$204,MATCH(G473,Clients!$A$5:$A$204,0)),0),HourlyRate))</f>
        <v>0</v>
      </c>
      <c r="AI473" s="21">
        <f>IF(G473="","",IF(AND(M473&lt;&gt;"",IFERROR(INDEX(Services!$P$5:$P$64,MATCH(M473,Services!$B$5:$B$64,0)),0)&gt;0,IFERROR(INDEX(Services!$D$5:$D$64,MATCH(M473,Services!$B$5:$B$64,0)),"")&lt;&gt;"Per hour"),IFERROR(INDEX(Services!$P$5:$P$64,MATCH(M473,Services!$B$5:$B$64,0)),0),AD473*AH473))</f>
        <v>0</v>
      </c>
      <c r="AJ473" s="21">
        <f>IF(G473="","",IF(V473&lt;&gt;"",V473,IF(P473="Cancelled",0,MAX(MinimumCharge,ROUND(AI473*IFERROR(INDEX(FreqFactors,MATCH(O473,FreqNames,0)),1),2)))))</f>
        <v>0</v>
      </c>
      <c r="AK473" s="34">
        <f>IF(G473="","",IF(SUMIFS(Timesheets!$U$5:$U$804,Timesheets!$G$5:$G$804,A473)&gt;0,SUMIFS(Timesheets!$U$5:$U$804,Timesheets!$G$5:$G$804,A473),IF(Z473="","",Z473)))</f>
        <v>0</v>
      </c>
      <c r="AL473" s="34">
        <f>IF(OR(AK473="",AD473=""),"",AK473-AD473)</f>
        <v>0</v>
      </c>
      <c r="AM473" s="31">
        <f>IF(A473="","",COUNTIFS('Job Tasks'!$B$5:$B$904,A473))</f>
        <v>0</v>
      </c>
      <c r="AN473" s="31">
        <f>IF(A473="","",COUNTIFS('Job Tasks'!$B$5:$B$904,A473,'Job Tasks'!$H$5:$H$904,"Done"))</f>
        <v>0</v>
      </c>
      <c r="AO473" s="38">
        <f>IF(OR(A473="",AM473=0),"",AN473/AM473)</f>
        <v>0</v>
      </c>
      <c r="AP473" s="43">
        <f>IF(A473="","",IFERROR(INDEX('Invoice Lines'!$B$5:$B$804,MATCH(A473,'Invoice Lines'!$C$5:$C$804,0)),""))</f>
        <v>0</v>
      </c>
      <c r="AQ473" s="18">
        <f>IF(OR(G473="",B473="",X473&lt;&gt;"Yes"),"",IF(IFERROR(INDEX(FreqDays,MATCH(O473,FreqNames,0)),0)=0,"",B473+IFERROR(INDEX(FreqDays,MATCH(O473,FreqNames,0)),0)))</f>
        <v>0</v>
      </c>
      <c r="AR473" s="39">
        <f>IF(G473="","",IF(R473="","Unassigned",IF(COUNTIFS($R$5:$R$604,R473,$B$5:$B$604,B473,$F$5:$F$604,F473)&gt;1,"Clash",IF(SUMIFS($AF$5:$AF$604,$R$5:$R$604,R473,$B$5:$B$604,B473)&gt;ProductiveHours,"Long day","OK"))))</f>
        <v>0</v>
      </c>
      <c r="AS473" s="18">
        <f>IF(OR(G473="",B473=""),"",IF(AND(B473&gt;=TodayDate,P473&lt;&gt;"Cancelled"),B473,""))</f>
        <v>0</v>
      </c>
      <c r="AT473" s="31">
        <f>IF(AS473="","",COUNTIFS($AS$5:$AS$604,"&lt;"&amp;AS473)+COUNTIFS($AS$5:AS473,AS473))</f>
        <v>0</v>
      </c>
      <c r="AU473" s="18">
        <f>IF(OR(G473="",B473="",R473&lt;&gt;""),"",IF(AND(B473&gt;=TodayDate,P473&lt;&gt;"Cancelled"),B473,""))</f>
        <v>0</v>
      </c>
      <c r="AV473" s="31">
        <f>IF(AU473="","",COUNTIFS($AU$5:$AU$604,"&lt;"&amp;AU473)+COUNTIFS($AU$5:AU473,AU473))</f>
        <v>0</v>
      </c>
      <c r="AW473" s="31">
        <f>IF(OR(G473="",B473=""),"",B473-TodayDate)</f>
        <v>0</v>
      </c>
      <c r="AX473" s="39">
        <f>IF(G473="","",IF(P473="Cancelled","Cancelled",IF(P473="No access","Action - no access, rebook",IF(AND(B473&lt;&gt;"",AW473&lt;0,OR(P473="Booked",P473="Confirmed",P473="In progress")),"Late - mark it completed",IF(AND(P473="Completed",AP473=""),"Action - not invoiced yet",IF(AND(AW473&gt;=0,AW473&lt;=ReminderDays,Y473&lt;&gt;"Yes"),"Confirm - visit coming up",IF(R473="","Assign - no cleaner booked",IF(AND(P473="Completed",AO473&lt;&gt;"",AO473&lt;1),"Check - checklist unfinished","OK"))))))))</f>
        <v>0</v>
      </c>
    </row>
    <row r="474" spans="1:50">
      <c r="A474" s="43">
        <f>IF(G474="","",JobPrefix&amp;TEXT(ROW()-4,"0000"))</f>
        <v>0</v>
      </c>
      <c r="C474" s="23">
        <f>IF(B474="","",TEXT(B474,"ddd"))</f>
        <v>0</v>
      </c>
      <c r="D474" s="31">
        <f>IF(B474="","",WEEKNUM(B474,IF(WeekStart="Sunday",1,2)))</f>
        <v>0</v>
      </c>
      <c r="E474" s="23">
        <f>IF(B474="","",TEXT(B474,"yyyy-mm"))</f>
        <v>0</v>
      </c>
      <c r="H474" s="23">
        <f>IF(G474="","",IFERROR(INDEX(Clients!$B$5:$B$204,MATCH(G474,Clients!$A$5:$A$204,0)),"Not found"))</f>
        <v>0</v>
      </c>
      <c r="I474" s="23">
        <f>IF(G474="","",IFERROR(INDEX(Clients!$C$5:$C$204,MATCH(G474,Clients!$A$5:$A$204,0)),""))</f>
        <v>0</v>
      </c>
      <c r="K474" s="23">
        <f>IF(J474="","",IFERROR(INDEX(Properties!$B$5:$B$254,MATCH(J474,Properties!$A$5:$A$254,0)),""))</f>
        <v>0</v>
      </c>
      <c r="L474" s="23">
        <f>IF(J474="","",IFERROR(INDEX(Properties!$F$5:$F$254,MATCH(J474,Properties!$A$5:$A$254,0)),""))</f>
        <v>0</v>
      </c>
      <c r="AD474" s="34">
        <f>IF(G474="","",IF(U474&lt;&gt;"",U474,IF(AND(IFERROR(INDEX(Services!$D$5:$D$64,MATCH(M474,Services!$B$5:$B$64,0)),"")="Per hour",IFERROR(INDEX(Properties!$X$5:$X$254,MATCH(J474,Properties!$A$5:$A$254,0)),0)&gt;0),IFERROR(INDEX(Properties!$X$5:$X$254,MATCH(J474,Properties!$A$5:$A$254,0)),0),IF(IFERROR(INDEX(Services!$G$5:$G$64,MATCH(M474,Services!$B$5:$B$64,0)),0)&gt;0,IFERROR(INDEX(Services!$G$5:$G$64,MATCH(M474,Services!$B$5:$B$64,0)),0),IFERROR(INDEX(Properties!$X$5:$X$254,MATCH(J474,Properties!$A$5:$A$254,0)),0)))))</f>
        <v>0</v>
      </c>
      <c r="AE474" s="31">
        <f>IF(G474="","",IF(T474="",CleanersPerJob,MAX(1,T474)))</f>
        <v>0</v>
      </c>
      <c r="AF474" s="34">
        <f>IF(G474="","",ROUND(AD474/AE474,2))</f>
        <v>0</v>
      </c>
      <c r="AG474" s="53">
        <f>IF(OR(G474="",F474="",AF474=""),"",F474+AF474/24)</f>
        <v>0</v>
      </c>
      <c r="AH474" s="21">
        <f>IF(G474="","",IF(IFERROR(INDEX(Clients!$O$5:$O$204,MATCH(G474,Clients!$A$5:$A$204,0)),0)&gt;0,IFERROR(INDEX(Clients!$O$5:$O$204,MATCH(G474,Clients!$A$5:$A$204,0)),0),HourlyRate))</f>
        <v>0</v>
      </c>
      <c r="AI474" s="21">
        <f>IF(G474="","",IF(AND(M474&lt;&gt;"",IFERROR(INDEX(Services!$P$5:$P$64,MATCH(M474,Services!$B$5:$B$64,0)),0)&gt;0,IFERROR(INDEX(Services!$D$5:$D$64,MATCH(M474,Services!$B$5:$B$64,0)),"")&lt;&gt;"Per hour"),IFERROR(INDEX(Services!$P$5:$P$64,MATCH(M474,Services!$B$5:$B$64,0)),0),AD474*AH474))</f>
        <v>0</v>
      </c>
      <c r="AJ474" s="21">
        <f>IF(G474="","",IF(V474&lt;&gt;"",V474,IF(P474="Cancelled",0,MAX(MinimumCharge,ROUND(AI474*IFERROR(INDEX(FreqFactors,MATCH(O474,FreqNames,0)),1),2)))))</f>
        <v>0</v>
      </c>
      <c r="AK474" s="34">
        <f>IF(G474="","",IF(SUMIFS(Timesheets!$U$5:$U$804,Timesheets!$G$5:$G$804,A474)&gt;0,SUMIFS(Timesheets!$U$5:$U$804,Timesheets!$G$5:$G$804,A474),IF(Z474="","",Z474)))</f>
        <v>0</v>
      </c>
      <c r="AL474" s="34">
        <f>IF(OR(AK474="",AD474=""),"",AK474-AD474)</f>
        <v>0</v>
      </c>
      <c r="AM474" s="31">
        <f>IF(A474="","",COUNTIFS('Job Tasks'!$B$5:$B$904,A474))</f>
        <v>0</v>
      </c>
      <c r="AN474" s="31">
        <f>IF(A474="","",COUNTIFS('Job Tasks'!$B$5:$B$904,A474,'Job Tasks'!$H$5:$H$904,"Done"))</f>
        <v>0</v>
      </c>
      <c r="AO474" s="38">
        <f>IF(OR(A474="",AM474=0),"",AN474/AM474)</f>
        <v>0</v>
      </c>
      <c r="AP474" s="43">
        <f>IF(A474="","",IFERROR(INDEX('Invoice Lines'!$B$5:$B$804,MATCH(A474,'Invoice Lines'!$C$5:$C$804,0)),""))</f>
        <v>0</v>
      </c>
      <c r="AQ474" s="18">
        <f>IF(OR(G474="",B474="",X474&lt;&gt;"Yes"),"",IF(IFERROR(INDEX(FreqDays,MATCH(O474,FreqNames,0)),0)=0,"",B474+IFERROR(INDEX(FreqDays,MATCH(O474,FreqNames,0)),0)))</f>
        <v>0</v>
      </c>
      <c r="AR474" s="39">
        <f>IF(G474="","",IF(R474="","Unassigned",IF(COUNTIFS($R$5:$R$604,R474,$B$5:$B$604,B474,$F$5:$F$604,F474)&gt;1,"Clash",IF(SUMIFS($AF$5:$AF$604,$R$5:$R$604,R474,$B$5:$B$604,B474)&gt;ProductiveHours,"Long day","OK"))))</f>
        <v>0</v>
      </c>
      <c r="AS474" s="18">
        <f>IF(OR(G474="",B474=""),"",IF(AND(B474&gt;=TodayDate,P474&lt;&gt;"Cancelled"),B474,""))</f>
        <v>0</v>
      </c>
      <c r="AT474" s="31">
        <f>IF(AS474="","",COUNTIFS($AS$5:$AS$604,"&lt;"&amp;AS474)+COUNTIFS($AS$5:AS474,AS474))</f>
        <v>0</v>
      </c>
      <c r="AU474" s="18">
        <f>IF(OR(G474="",B474="",R474&lt;&gt;""),"",IF(AND(B474&gt;=TodayDate,P474&lt;&gt;"Cancelled"),B474,""))</f>
        <v>0</v>
      </c>
      <c r="AV474" s="31">
        <f>IF(AU474="","",COUNTIFS($AU$5:$AU$604,"&lt;"&amp;AU474)+COUNTIFS($AU$5:AU474,AU474))</f>
        <v>0</v>
      </c>
      <c r="AW474" s="31">
        <f>IF(OR(G474="",B474=""),"",B474-TodayDate)</f>
        <v>0</v>
      </c>
      <c r="AX474" s="39">
        <f>IF(G474="","",IF(P474="Cancelled","Cancelled",IF(P474="No access","Action - no access, rebook",IF(AND(B474&lt;&gt;"",AW474&lt;0,OR(P474="Booked",P474="Confirmed",P474="In progress")),"Late - mark it completed",IF(AND(P474="Completed",AP474=""),"Action - not invoiced yet",IF(AND(AW474&gt;=0,AW474&lt;=ReminderDays,Y474&lt;&gt;"Yes"),"Confirm - visit coming up",IF(R474="","Assign - no cleaner booked",IF(AND(P474="Completed",AO474&lt;&gt;"",AO474&lt;1),"Check - checklist unfinished","OK"))))))))</f>
        <v>0</v>
      </c>
    </row>
    <row r="475" spans="1:50">
      <c r="A475" s="43">
        <f>IF(G475="","",JobPrefix&amp;TEXT(ROW()-4,"0000"))</f>
        <v>0</v>
      </c>
      <c r="C475" s="23">
        <f>IF(B475="","",TEXT(B475,"ddd"))</f>
        <v>0</v>
      </c>
      <c r="D475" s="31">
        <f>IF(B475="","",WEEKNUM(B475,IF(WeekStart="Sunday",1,2)))</f>
        <v>0</v>
      </c>
      <c r="E475" s="23">
        <f>IF(B475="","",TEXT(B475,"yyyy-mm"))</f>
        <v>0</v>
      </c>
      <c r="H475" s="23">
        <f>IF(G475="","",IFERROR(INDEX(Clients!$B$5:$B$204,MATCH(G475,Clients!$A$5:$A$204,0)),"Not found"))</f>
        <v>0</v>
      </c>
      <c r="I475" s="23">
        <f>IF(G475="","",IFERROR(INDEX(Clients!$C$5:$C$204,MATCH(G475,Clients!$A$5:$A$204,0)),""))</f>
        <v>0</v>
      </c>
      <c r="K475" s="23">
        <f>IF(J475="","",IFERROR(INDEX(Properties!$B$5:$B$254,MATCH(J475,Properties!$A$5:$A$254,0)),""))</f>
        <v>0</v>
      </c>
      <c r="L475" s="23">
        <f>IF(J475="","",IFERROR(INDEX(Properties!$F$5:$F$254,MATCH(J475,Properties!$A$5:$A$254,0)),""))</f>
        <v>0</v>
      </c>
      <c r="AD475" s="34">
        <f>IF(G475="","",IF(U475&lt;&gt;"",U475,IF(AND(IFERROR(INDEX(Services!$D$5:$D$64,MATCH(M475,Services!$B$5:$B$64,0)),"")="Per hour",IFERROR(INDEX(Properties!$X$5:$X$254,MATCH(J475,Properties!$A$5:$A$254,0)),0)&gt;0),IFERROR(INDEX(Properties!$X$5:$X$254,MATCH(J475,Properties!$A$5:$A$254,0)),0),IF(IFERROR(INDEX(Services!$G$5:$G$64,MATCH(M475,Services!$B$5:$B$64,0)),0)&gt;0,IFERROR(INDEX(Services!$G$5:$G$64,MATCH(M475,Services!$B$5:$B$64,0)),0),IFERROR(INDEX(Properties!$X$5:$X$254,MATCH(J475,Properties!$A$5:$A$254,0)),0)))))</f>
        <v>0</v>
      </c>
      <c r="AE475" s="31">
        <f>IF(G475="","",IF(T475="",CleanersPerJob,MAX(1,T475)))</f>
        <v>0</v>
      </c>
      <c r="AF475" s="34">
        <f>IF(G475="","",ROUND(AD475/AE475,2))</f>
        <v>0</v>
      </c>
      <c r="AG475" s="53">
        <f>IF(OR(G475="",F475="",AF475=""),"",F475+AF475/24)</f>
        <v>0</v>
      </c>
      <c r="AH475" s="21">
        <f>IF(G475="","",IF(IFERROR(INDEX(Clients!$O$5:$O$204,MATCH(G475,Clients!$A$5:$A$204,0)),0)&gt;0,IFERROR(INDEX(Clients!$O$5:$O$204,MATCH(G475,Clients!$A$5:$A$204,0)),0),HourlyRate))</f>
        <v>0</v>
      </c>
      <c r="AI475" s="21">
        <f>IF(G475="","",IF(AND(M475&lt;&gt;"",IFERROR(INDEX(Services!$P$5:$P$64,MATCH(M475,Services!$B$5:$B$64,0)),0)&gt;0,IFERROR(INDEX(Services!$D$5:$D$64,MATCH(M475,Services!$B$5:$B$64,0)),"")&lt;&gt;"Per hour"),IFERROR(INDEX(Services!$P$5:$P$64,MATCH(M475,Services!$B$5:$B$64,0)),0),AD475*AH475))</f>
        <v>0</v>
      </c>
      <c r="AJ475" s="21">
        <f>IF(G475="","",IF(V475&lt;&gt;"",V475,IF(P475="Cancelled",0,MAX(MinimumCharge,ROUND(AI475*IFERROR(INDEX(FreqFactors,MATCH(O475,FreqNames,0)),1),2)))))</f>
        <v>0</v>
      </c>
      <c r="AK475" s="34">
        <f>IF(G475="","",IF(SUMIFS(Timesheets!$U$5:$U$804,Timesheets!$G$5:$G$804,A475)&gt;0,SUMIFS(Timesheets!$U$5:$U$804,Timesheets!$G$5:$G$804,A475),IF(Z475="","",Z475)))</f>
        <v>0</v>
      </c>
      <c r="AL475" s="34">
        <f>IF(OR(AK475="",AD475=""),"",AK475-AD475)</f>
        <v>0</v>
      </c>
      <c r="AM475" s="31">
        <f>IF(A475="","",COUNTIFS('Job Tasks'!$B$5:$B$904,A475))</f>
        <v>0</v>
      </c>
      <c r="AN475" s="31">
        <f>IF(A475="","",COUNTIFS('Job Tasks'!$B$5:$B$904,A475,'Job Tasks'!$H$5:$H$904,"Done"))</f>
        <v>0</v>
      </c>
      <c r="AO475" s="38">
        <f>IF(OR(A475="",AM475=0),"",AN475/AM475)</f>
        <v>0</v>
      </c>
      <c r="AP475" s="43">
        <f>IF(A475="","",IFERROR(INDEX('Invoice Lines'!$B$5:$B$804,MATCH(A475,'Invoice Lines'!$C$5:$C$804,0)),""))</f>
        <v>0</v>
      </c>
      <c r="AQ475" s="18">
        <f>IF(OR(G475="",B475="",X475&lt;&gt;"Yes"),"",IF(IFERROR(INDEX(FreqDays,MATCH(O475,FreqNames,0)),0)=0,"",B475+IFERROR(INDEX(FreqDays,MATCH(O475,FreqNames,0)),0)))</f>
        <v>0</v>
      </c>
      <c r="AR475" s="39">
        <f>IF(G475="","",IF(R475="","Unassigned",IF(COUNTIFS($R$5:$R$604,R475,$B$5:$B$604,B475,$F$5:$F$604,F475)&gt;1,"Clash",IF(SUMIFS($AF$5:$AF$604,$R$5:$R$604,R475,$B$5:$B$604,B475)&gt;ProductiveHours,"Long day","OK"))))</f>
        <v>0</v>
      </c>
      <c r="AS475" s="18">
        <f>IF(OR(G475="",B475=""),"",IF(AND(B475&gt;=TodayDate,P475&lt;&gt;"Cancelled"),B475,""))</f>
        <v>0</v>
      </c>
      <c r="AT475" s="31">
        <f>IF(AS475="","",COUNTIFS($AS$5:$AS$604,"&lt;"&amp;AS475)+COUNTIFS($AS$5:AS475,AS475))</f>
        <v>0</v>
      </c>
      <c r="AU475" s="18">
        <f>IF(OR(G475="",B475="",R475&lt;&gt;""),"",IF(AND(B475&gt;=TodayDate,P475&lt;&gt;"Cancelled"),B475,""))</f>
        <v>0</v>
      </c>
      <c r="AV475" s="31">
        <f>IF(AU475="","",COUNTIFS($AU$5:$AU$604,"&lt;"&amp;AU475)+COUNTIFS($AU$5:AU475,AU475))</f>
        <v>0</v>
      </c>
      <c r="AW475" s="31">
        <f>IF(OR(G475="",B475=""),"",B475-TodayDate)</f>
        <v>0</v>
      </c>
      <c r="AX475" s="39">
        <f>IF(G475="","",IF(P475="Cancelled","Cancelled",IF(P475="No access","Action - no access, rebook",IF(AND(B475&lt;&gt;"",AW475&lt;0,OR(P475="Booked",P475="Confirmed",P475="In progress")),"Late - mark it completed",IF(AND(P475="Completed",AP475=""),"Action - not invoiced yet",IF(AND(AW475&gt;=0,AW475&lt;=ReminderDays,Y475&lt;&gt;"Yes"),"Confirm - visit coming up",IF(R475="","Assign - no cleaner booked",IF(AND(P475="Completed",AO475&lt;&gt;"",AO475&lt;1),"Check - checklist unfinished","OK"))))))))</f>
        <v>0</v>
      </c>
    </row>
    <row r="476" spans="1:50">
      <c r="A476" s="43">
        <f>IF(G476="","",JobPrefix&amp;TEXT(ROW()-4,"0000"))</f>
        <v>0</v>
      </c>
      <c r="C476" s="23">
        <f>IF(B476="","",TEXT(B476,"ddd"))</f>
        <v>0</v>
      </c>
      <c r="D476" s="31">
        <f>IF(B476="","",WEEKNUM(B476,IF(WeekStart="Sunday",1,2)))</f>
        <v>0</v>
      </c>
      <c r="E476" s="23">
        <f>IF(B476="","",TEXT(B476,"yyyy-mm"))</f>
        <v>0</v>
      </c>
      <c r="H476" s="23">
        <f>IF(G476="","",IFERROR(INDEX(Clients!$B$5:$B$204,MATCH(G476,Clients!$A$5:$A$204,0)),"Not found"))</f>
        <v>0</v>
      </c>
      <c r="I476" s="23">
        <f>IF(G476="","",IFERROR(INDEX(Clients!$C$5:$C$204,MATCH(G476,Clients!$A$5:$A$204,0)),""))</f>
        <v>0</v>
      </c>
      <c r="K476" s="23">
        <f>IF(J476="","",IFERROR(INDEX(Properties!$B$5:$B$254,MATCH(J476,Properties!$A$5:$A$254,0)),""))</f>
        <v>0</v>
      </c>
      <c r="L476" s="23">
        <f>IF(J476="","",IFERROR(INDEX(Properties!$F$5:$F$254,MATCH(J476,Properties!$A$5:$A$254,0)),""))</f>
        <v>0</v>
      </c>
      <c r="AD476" s="34">
        <f>IF(G476="","",IF(U476&lt;&gt;"",U476,IF(AND(IFERROR(INDEX(Services!$D$5:$D$64,MATCH(M476,Services!$B$5:$B$64,0)),"")="Per hour",IFERROR(INDEX(Properties!$X$5:$X$254,MATCH(J476,Properties!$A$5:$A$254,0)),0)&gt;0),IFERROR(INDEX(Properties!$X$5:$X$254,MATCH(J476,Properties!$A$5:$A$254,0)),0),IF(IFERROR(INDEX(Services!$G$5:$G$64,MATCH(M476,Services!$B$5:$B$64,0)),0)&gt;0,IFERROR(INDEX(Services!$G$5:$G$64,MATCH(M476,Services!$B$5:$B$64,0)),0),IFERROR(INDEX(Properties!$X$5:$X$254,MATCH(J476,Properties!$A$5:$A$254,0)),0)))))</f>
        <v>0</v>
      </c>
      <c r="AE476" s="31">
        <f>IF(G476="","",IF(T476="",CleanersPerJob,MAX(1,T476)))</f>
        <v>0</v>
      </c>
      <c r="AF476" s="34">
        <f>IF(G476="","",ROUND(AD476/AE476,2))</f>
        <v>0</v>
      </c>
      <c r="AG476" s="53">
        <f>IF(OR(G476="",F476="",AF476=""),"",F476+AF476/24)</f>
        <v>0</v>
      </c>
      <c r="AH476" s="21">
        <f>IF(G476="","",IF(IFERROR(INDEX(Clients!$O$5:$O$204,MATCH(G476,Clients!$A$5:$A$204,0)),0)&gt;0,IFERROR(INDEX(Clients!$O$5:$O$204,MATCH(G476,Clients!$A$5:$A$204,0)),0),HourlyRate))</f>
        <v>0</v>
      </c>
      <c r="AI476" s="21">
        <f>IF(G476="","",IF(AND(M476&lt;&gt;"",IFERROR(INDEX(Services!$P$5:$P$64,MATCH(M476,Services!$B$5:$B$64,0)),0)&gt;0,IFERROR(INDEX(Services!$D$5:$D$64,MATCH(M476,Services!$B$5:$B$64,0)),"")&lt;&gt;"Per hour"),IFERROR(INDEX(Services!$P$5:$P$64,MATCH(M476,Services!$B$5:$B$64,0)),0),AD476*AH476))</f>
        <v>0</v>
      </c>
      <c r="AJ476" s="21">
        <f>IF(G476="","",IF(V476&lt;&gt;"",V476,IF(P476="Cancelled",0,MAX(MinimumCharge,ROUND(AI476*IFERROR(INDEX(FreqFactors,MATCH(O476,FreqNames,0)),1),2)))))</f>
        <v>0</v>
      </c>
      <c r="AK476" s="34">
        <f>IF(G476="","",IF(SUMIFS(Timesheets!$U$5:$U$804,Timesheets!$G$5:$G$804,A476)&gt;0,SUMIFS(Timesheets!$U$5:$U$804,Timesheets!$G$5:$G$804,A476),IF(Z476="","",Z476)))</f>
        <v>0</v>
      </c>
      <c r="AL476" s="34">
        <f>IF(OR(AK476="",AD476=""),"",AK476-AD476)</f>
        <v>0</v>
      </c>
      <c r="AM476" s="31">
        <f>IF(A476="","",COUNTIFS('Job Tasks'!$B$5:$B$904,A476))</f>
        <v>0</v>
      </c>
      <c r="AN476" s="31">
        <f>IF(A476="","",COUNTIFS('Job Tasks'!$B$5:$B$904,A476,'Job Tasks'!$H$5:$H$904,"Done"))</f>
        <v>0</v>
      </c>
      <c r="AO476" s="38">
        <f>IF(OR(A476="",AM476=0),"",AN476/AM476)</f>
        <v>0</v>
      </c>
      <c r="AP476" s="43">
        <f>IF(A476="","",IFERROR(INDEX('Invoice Lines'!$B$5:$B$804,MATCH(A476,'Invoice Lines'!$C$5:$C$804,0)),""))</f>
        <v>0</v>
      </c>
      <c r="AQ476" s="18">
        <f>IF(OR(G476="",B476="",X476&lt;&gt;"Yes"),"",IF(IFERROR(INDEX(FreqDays,MATCH(O476,FreqNames,0)),0)=0,"",B476+IFERROR(INDEX(FreqDays,MATCH(O476,FreqNames,0)),0)))</f>
        <v>0</v>
      </c>
      <c r="AR476" s="39">
        <f>IF(G476="","",IF(R476="","Unassigned",IF(COUNTIFS($R$5:$R$604,R476,$B$5:$B$604,B476,$F$5:$F$604,F476)&gt;1,"Clash",IF(SUMIFS($AF$5:$AF$604,$R$5:$R$604,R476,$B$5:$B$604,B476)&gt;ProductiveHours,"Long day","OK"))))</f>
        <v>0</v>
      </c>
      <c r="AS476" s="18">
        <f>IF(OR(G476="",B476=""),"",IF(AND(B476&gt;=TodayDate,P476&lt;&gt;"Cancelled"),B476,""))</f>
        <v>0</v>
      </c>
      <c r="AT476" s="31">
        <f>IF(AS476="","",COUNTIFS($AS$5:$AS$604,"&lt;"&amp;AS476)+COUNTIFS($AS$5:AS476,AS476))</f>
        <v>0</v>
      </c>
      <c r="AU476" s="18">
        <f>IF(OR(G476="",B476="",R476&lt;&gt;""),"",IF(AND(B476&gt;=TodayDate,P476&lt;&gt;"Cancelled"),B476,""))</f>
        <v>0</v>
      </c>
      <c r="AV476" s="31">
        <f>IF(AU476="","",COUNTIFS($AU$5:$AU$604,"&lt;"&amp;AU476)+COUNTIFS($AU$5:AU476,AU476))</f>
        <v>0</v>
      </c>
      <c r="AW476" s="31">
        <f>IF(OR(G476="",B476=""),"",B476-TodayDate)</f>
        <v>0</v>
      </c>
      <c r="AX476" s="39">
        <f>IF(G476="","",IF(P476="Cancelled","Cancelled",IF(P476="No access","Action - no access, rebook",IF(AND(B476&lt;&gt;"",AW476&lt;0,OR(P476="Booked",P476="Confirmed",P476="In progress")),"Late - mark it completed",IF(AND(P476="Completed",AP476=""),"Action - not invoiced yet",IF(AND(AW476&gt;=0,AW476&lt;=ReminderDays,Y476&lt;&gt;"Yes"),"Confirm - visit coming up",IF(R476="","Assign - no cleaner booked",IF(AND(P476="Completed",AO476&lt;&gt;"",AO476&lt;1),"Check - checklist unfinished","OK"))))))))</f>
        <v>0</v>
      </c>
    </row>
    <row r="477" spans="1:50">
      <c r="A477" s="43">
        <f>IF(G477="","",JobPrefix&amp;TEXT(ROW()-4,"0000"))</f>
        <v>0</v>
      </c>
      <c r="C477" s="23">
        <f>IF(B477="","",TEXT(B477,"ddd"))</f>
        <v>0</v>
      </c>
      <c r="D477" s="31">
        <f>IF(B477="","",WEEKNUM(B477,IF(WeekStart="Sunday",1,2)))</f>
        <v>0</v>
      </c>
      <c r="E477" s="23">
        <f>IF(B477="","",TEXT(B477,"yyyy-mm"))</f>
        <v>0</v>
      </c>
      <c r="H477" s="23">
        <f>IF(G477="","",IFERROR(INDEX(Clients!$B$5:$B$204,MATCH(G477,Clients!$A$5:$A$204,0)),"Not found"))</f>
        <v>0</v>
      </c>
      <c r="I477" s="23">
        <f>IF(G477="","",IFERROR(INDEX(Clients!$C$5:$C$204,MATCH(G477,Clients!$A$5:$A$204,0)),""))</f>
        <v>0</v>
      </c>
      <c r="K477" s="23">
        <f>IF(J477="","",IFERROR(INDEX(Properties!$B$5:$B$254,MATCH(J477,Properties!$A$5:$A$254,0)),""))</f>
        <v>0</v>
      </c>
      <c r="L477" s="23">
        <f>IF(J477="","",IFERROR(INDEX(Properties!$F$5:$F$254,MATCH(J477,Properties!$A$5:$A$254,0)),""))</f>
        <v>0</v>
      </c>
      <c r="AD477" s="34">
        <f>IF(G477="","",IF(U477&lt;&gt;"",U477,IF(AND(IFERROR(INDEX(Services!$D$5:$D$64,MATCH(M477,Services!$B$5:$B$64,0)),"")="Per hour",IFERROR(INDEX(Properties!$X$5:$X$254,MATCH(J477,Properties!$A$5:$A$254,0)),0)&gt;0),IFERROR(INDEX(Properties!$X$5:$X$254,MATCH(J477,Properties!$A$5:$A$254,0)),0),IF(IFERROR(INDEX(Services!$G$5:$G$64,MATCH(M477,Services!$B$5:$B$64,0)),0)&gt;0,IFERROR(INDEX(Services!$G$5:$G$64,MATCH(M477,Services!$B$5:$B$64,0)),0),IFERROR(INDEX(Properties!$X$5:$X$254,MATCH(J477,Properties!$A$5:$A$254,0)),0)))))</f>
        <v>0</v>
      </c>
      <c r="AE477" s="31">
        <f>IF(G477="","",IF(T477="",CleanersPerJob,MAX(1,T477)))</f>
        <v>0</v>
      </c>
      <c r="AF477" s="34">
        <f>IF(G477="","",ROUND(AD477/AE477,2))</f>
        <v>0</v>
      </c>
      <c r="AG477" s="53">
        <f>IF(OR(G477="",F477="",AF477=""),"",F477+AF477/24)</f>
        <v>0</v>
      </c>
      <c r="AH477" s="21">
        <f>IF(G477="","",IF(IFERROR(INDEX(Clients!$O$5:$O$204,MATCH(G477,Clients!$A$5:$A$204,0)),0)&gt;0,IFERROR(INDEX(Clients!$O$5:$O$204,MATCH(G477,Clients!$A$5:$A$204,0)),0),HourlyRate))</f>
        <v>0</v>
      </c>
      <c r="AI477" s="21">
        <f>IF(G477="","",IF(AND(M477&lt;&gt;"",IFERROR(INDEX(Services!$P$5:$P$64,MATCH(M477,Services!$B$5:$B$64,0)),0)&gt;0,IFERROR(INDEX(Services!$D$5:$D$64,MATCH(M477,Services!$B$5:$B$64,0)),"")&lt;&gt;"Per hour"),IFERROR(INDEX(Services!$P$5:$P$64,MATCH(M477,Services!$B$5:$B$64,0)),0),AD477*AH477))</f>
        <v>0</v>
      </c>
      <c r="AJ477" s="21">
        <f>IF(G477="","",IF(V477&lt;&gt;"",V477,IF(P477="Cancelled",0,MAX(MinimumCharge,ROUND(AI477*IFERROR(INDEX(FreqFactors,MATCH(O477,FreqNames,0)),1),2)))))</f>
        <v>0</v>
      </c>
      <c r="AK477" s="34">
        <f>IF(G477="","",IF(SUMIFS(Timesheets!$U$5:$U$804,Timesheets!$G$5:$G$804,A477)&gt;0,SUMIFS(Timesheets!$U$5:$U$804,Timesheets!$G$5:$G$804,A477),IF(Z477="","",Z477)))</f>
        <v>0</v>
      </c>
      <c r="AL477" s="34">
        <f>IF(OR(AK477="",AD477=""),"",AK477-AD477)</f>
        <v>0</v>
      </c>
      <c r="AM477" s="31">
        <f>IF(A477="","",COUNTIFS('Job Tasks'!$B$5:$B$904,A477))</f>
        <v>0</v>
      </c>
      <c r="AN477" s="31">
        <f>IF(A477="","",COUNTIFS('Job Tasks'!$B$5:$B$904,A477,'Job Tasks'!$H$5:$H$904,"Done"))</f>
        <v>0</v>
      </c>
      <c r="AO477" s="38">
        <f>IF(OR(A477="",AM477=0),"",AN477/AM477)</f>
        <v>0</v>
      </c>
      <c r="AP477" s="43">
        <f>IF(A477="","",IFERROR(INDEX('Invoice Lines'!$B$5:$B$804,MATCH(A477,'Invoice Lines'!$C$5:$C$804,0)),""))</f>
        <v>0</v>
      </c>
      <c r="AQ477" s="18">
        <f>IF(OR(G477="",B477="",X477&lt;&gt;"Yes"),"",IF(IFERROR(INDEX(FreqDays,MATCH(O477,FreqNames,0)),0)=0,"",B477+IFERROR(INDEX(FreqDays,MATCH(O477,FreqNames,0)),0)))</f>
        <v>0</v>
      </c>
      <c r="AR477" s="39">
        <f>IF(G477="","",IF(R477="","Unassigned",IF(COUNTIFS($R$5:$R$604,R477,$B$5:$B$604,B477,$F$5:$F$604,F477)&gt;1,"Clash",IF(SUMIFS($AF$5:$AF$604,$R$5:$R$604,R477,$B$5:$B$604,B477)&gt;ProductiveHours,"Long day","OK"))))</f>
        <v>0</v>
      </c>
      <c r="AS477" s="18">
        <f>IF(OR(G477="",B477=""),"",IF(AND(B477&gt;=TodayDate,P477&lt;&gt;"Cancelled"),B477,""))</f>
        <v>0</v>
      </c>
      <c r="AT477" s="31">
        <f>IF(AS477="","",COUNTIFS($AS$5:$AS$604,"&lt;"&amp;AS477)+COUNTIFS($AS$5:AS477,AS477))</f>
        <v>0</v>
      </c>
      <c r="AU477" s="18">
        <f>IF(OR(G477="",B477="",R477&lt;&gt;""),"",IF(AND(B477&gt;=TodayDate,P477&lt;&gt;"Cancelled"),B477,""))</f>
        <v>0</v>
      </c>
      <c r="AV477" s="31">
        <f>IF(AU477="","",COUNTIFS($AU$5:$AU$604,"&lt;"&amp;AU477)+COUNTIFS($AU$5:AU477,AU477))</f>
        <v>0</v>
      </c>
      <c r="AW477" s="31">
        <f>IF(OR(G477="",B477=""),"",B477-TodayDate)</f>
        <v>0</v>
      </c>
      <c r="AX477" s="39">
        <f>IF(G477="","",IF(P477="Cancelled","Cancelled",IF(P477="No access","Action - no access, rebook",IF(AND(B477&lt;&gt;"",AW477&lt;0,OR(P477="Booked",P477="Confirmed",P477="In progress")),"Late - mark it completed",IF(AND(P477="Completed",AP477=""),"Action - not invoiced yet",IF(AND(AW477&gt;=0,AW477&lt;=ReminderDays,Y477&lt;&gt;"Yes"),"Confirm - visit coming up",IF(R477="","Assign - no cleaner booked",IF(AND(P477="Completed",AO477&lt;&gt;"",AO477&lt;1),"Check - checklist unfinished","OK"))))))))</f>
        <v>0</v>
      </c>
    </row>
    <row r="478" spans="1:50">
      <c r="A478" s="43">
        <f>IF(G478="","",JobPrefix&amp;TEXT(ROW()-4,"0000"))</f>
        <v>0</v>
      </c>
      <c r="C478" s="23">
        <f>IF(B478="","",TEXT(B478,"ddd"))</f>
        <v>0</v>
      </c>
      <c r="D478" s="31">
        <f>IF(B478="","",WEEKNUM(B478,IF(WeekStart="Sunday",1,2)))</f>
        <v>0</v>
      </c>
      <c r="E478" s="23">
        <f>IF(B478="","",TEXT(B478,"yyyy-mm"))</f>
        <v>0</v>
      </c>
      <c r="H478" s="23">
        <f>IF(G478="","",IFERROR(INDEX(Clients!$B$5:$B$204,MATCH(G478,Clients!$A$5:$A$204,0)),"Not found"))</f>
        <v>0</v>
      </c>
      <c r="I478" s="23">
        <f>IF(G478="","",IFERROR(INDEX(Clients!$C$5:$C$204,MATCH(G478,Clients!$A$5:$A$204,0)),""))</f>
        <v>0</v>
      </c>
      <c r="K478" s="23">
        <f>IF(J478="","",IFERROR(INDEX(Properties!$B$5:$B$254,MATCH(J478,Properties!$A$5:$A$254,0)),""))</f>
        <v>0</v>
      </c>
      <c r="L478" s="23">
        <f>IF(J478="","",IFERROR(INDEX(Properties!$F$5:$F$254,MATCH(J478,Properties!$A$5:$A$254,0)),""))</f>
        <v>0</v>
      </c>
      <c r="AD478" s="34">
        <f>IF(G478="","",IF(U478&lt;&gt;"",U478,IF(AND(IFERROR(INDEX(Services!$D$5:$D$64,MATCH(M478,Services!$B$5:$B$64,0)),"")="Per hour",IFERROR(INDEX(Properties!$X$5:$X$254,MATCH(J478,Properties!$A$5:$A$254,0)),0)&gt;0),IFERROR(INDEX(Properties!$X$5:$X$254,MATCH(J478,Properties!$A$5:$A$254,0)),0),IF(IFERROR(INDEX(Services!$G$5:$G$64,MATCH(M478,Services!$B$5:$B$64,0)),0)&gt;0,IFERROR(INDEX(Services!$G$5:$G$64,MATCH(M478,Services!$B$5:$B$64,0)),0),IFERROR(INDEX(Properties!$X$5:$X$254,MATCH(J478,Properties!$A$5:$A$254,0)),0)))))</f>
        <v>0</v>
      </c>
      <c r="AE478" s="31">
        <f>IF(G478="","",IF(T478="",CleanersPerJob,MAX(1,T478)))</f>
        <v>0</v>
      </c>
      <c r="AF478" s="34">
        <f>IF(G478="","",ROUND(AD478/AE478,2))</f>
        <v>0</v>
      </c>
      <c r="AG478" s="53">
        <f>IF(OR(G478="",F478="",AF478=""),"",F478+AF478/24)</f>
        <v>0</v>
      </c>
      <c r="AH478" s="21">
        <f>IF(G478="","",IF(IFERROR(INDEX(Clients!$O$5:$O$204,MATCH(G478,Clients!$A$5:$A$204,0)),0)&gt;0,IFERROR(INDEX(Clients!$O$5:$O$204,MATCH(G478,Clients!$A$5:$A$204,0)),0),HourlyRate))</f>
        <v>0</v>
      </c>
      <c r="AI478" s="21">
        <f>IF(G478="","",IF(AND(M478&lt;&gt;"",IFERROR(INDEX(Services!$P$5:$P$64,MATCH(M478,Services!$B$5:$B$64,0)),0)&gt;0,IFERROR(INDEX(Services!$D$5:$D$64,MATCH(M478,Services!$B$5:$B$64,0)),"")&lt;&gt;"Per hour"),IFERROR(INDEX(Services!$P$5:$P$64,MATCH(M478,Services!$B$5:$B$64,0)),0),AD478*AH478))</f>
        <v>0</v>
      </c>
      <c r="AJ478" s="21">
        <f>IF(G478="","",IF(V478&lt;&gt;"",V478,IF(P478="Cancelled",0,MAX(MinimumCharge,ROUND(AI478*IFERROR(INDEX(FreqFactors,MATCH(O478,FreqNames,0)),1),2)))))</f>
        <v>0</v>
      </c>
      <c r="AK478" s="34">
        <f>IF(G478="","",IF(SUMIFS(Timesheets!$U$5:$U$804,Timesheets!$G$5:$G$804,A478)&gt;0,SUMIFS(Timesheets!$U$5:$U$804,Timesheets!$G$5:$G$804,A478),IF(Z478="","",Z478)))</f>
        <v>0</v>
      </c>
      <c r="AL478" s="34">
        <f>IF(OR(AK478="",AD478=""),"",AK478-AD478)</f>
        <v>0</v>
      </c>
      <c r="AM478" s="31">
        <f>IF(A478="","",COUNTIFS('Job Tasks'!$B$5:$B$904,A478))</f>
        <v>0</v>
      </c>
      <c r="AN478" s="31">
        <f>IF(A478="","",COUNTIFS('Job Tasks'!$B$5:$B$904,A478,'Job Tasks'!$H$5:$H$904,"Done"))</f>
        <v>0</v>
      </c>
      <c r="AO478" s="38">
        <f>IF(OR(A478="",AM478=0),"",AN478/AM478)</f>
        <v>0</v>
      </c>
      <c r="AP478" s="43">
        <f>IF(A478="","",IFERROR(INDEX('Invoice Lines'!$B$5:$B$804,MATCH(A478,'Invoice Lines'!$C$5:$C$804,0)),""))</f>
        <v>0</v>
      </c>
      <c r="AQ478" s="18">
        <f>IF(OR(G478="",B478="",X478&lt;&gt;"Yes"),"",IF(IFERROR(INDEX(FreqDays,MATCH(O478,FreqNames,0)),0)=0,"",B478+IFERROR(INDEX(FreqDays,MATCH(O478,FreqNames,0)),0)))</f>
        <v>0</v>
      </c>
      <c r="AR478" s="39">
        <f>IF(G478="","",IF(R478="","Unassigned",IF(COUNTIFS($R$5:$R$604,R478,$B$5:$B$604,B478,$F$5:$F$604,F478)&gt;1,"Clash",IF(SUMIFS($AF$5:$AF$604,$R$5:$R$604,R478,$B$5:$B$604,B478)&gt;ProductiveHours,"Long day","OK"))))</f>
        <v>0</v>
      </c>
      <c r="AS478" s="18">
        <f>IF(OR(G478="",B478=""),"",IF(AND(B478&gt;=TodayDate,P478&lt;&gt;"Cancelled"),B478,""))</f>
        <v>0</v>
      </c>
      <c r="AT478" s="31">
        <f>IF(AS478="","",COUNTIFS($AS$5:$AS$604,"&lt;"&amp;AS478)+COUNTIFS($AS$5:AS478,AS478))</f>
        <v>0</v>
      </c>
      <c r="AU478" s="18">
        <f>IF(OR(G478="",B478="",R478&lt;&gt;""),"",IF(AND(B478&gt;=TodayDate,P478&lt;&gt;"Cancelled"),B478,""))</f>
        <v>0</v>
      </c>
      <c r="AV478" s="31">
        <f>IF(AU478="","",COUNTIFS($AU$5:$AU$604,"&lt;"&amp;AU478)+COUNTIFS($AU$5:AU478,AU478))</f>
        <v>0</v>
      </c>
      <c r="AW478" s="31">
        <f>IF(OR(G478="",B478=""),"",B478-TodayDate)</f>
        <v>0</v>
      </c>
      <c r="AX478" s="39">
        <f>IF(G478="","",IF(P478="Cancelled","Cancelled",IF(P478="No access","Action - no access, rebook",IF(AND(B478&lt;&gt;"",AW478&lt;0,OR(P478="Booked",P478="Confirmed",P478="In progress")),"Late - mark it completed",IF(AND(P478="Completed",AP478=""),"Action - not invoiced yet",IF(AND(AW478&gt;=0,AW478&lt;=ReminderDays,Y478&lt;&gt;"Yes"),"Confirm - visit coming up",IF(R478="","Assign - no cleaner booked",IF(AND(P478="Completed",AO478&lt;&gt;"",AO478&lt;1),"Check - checklist unfinished","OK"))))))))</f>
        <v>0</v>
      </c>
    </row>
    <row r="479" spans="1:50">
      <c r="A479" s="43">
        <f>IF(G479="","",JobPrefix&amp;TEXT(ROW()-4,"0000"))</f>
        <v>0</v>
      </c>
      <c r="C479" s="23">
        <f>IF(B479="","",TEXT(B479,"ddd"))</f>
        <v>0</v>
      </c>
      <c r="D479" s="31">
        <f>IF(B479="","",WEEKNUM(B479,IF(WeekStart="Sunday",1,2)))</f>
        <v>0</v>
      </c>
      <c r="E479" s="23">
        <f>IF(B479="","",TEXT(B479,"yyyy-mm"))</f>
        <v>0</v>
      </c>
      <c r="H479" s="23">
        <f>IF(G479="","",IFERROR(INDEX(Clients!$B$5:$B$204,MATCH(G479,Clients!$A$5:$A$204,0)),"Not found"))</f>
        <v>0</v>
      </c>
      <c r="I479" s="23">
        <f>IF(G479="","",IFERROR(INDEX(Clients!$C$5:$C$204,MATCH(G479,Clients!$A$5:$A$204,0)),""))</f>
        <v>0</v>
      </c>
      <c r="K479" s="23">
        <f>IF(J479="","",IFERROR(INDEX(Properties!$B$5:$B$254,MATCH(J479,Properties!$A$5:$A$254,0)),""))</f>
        <v>0</v>
      </c>
      <c r="L479" s="23">
        <f>IF(J479="","",IFERROR(INDEX(Properties!$F$5:$F$254,MATCH(J479,Properties!$A$5:$A$254,0)),""))</f>
        <v>0</v>
      </c>
      <c r="AD479" s="34">
        <f>IF(G479="","",IF(U479&lt;&gt;"",U479,IF(AND(IFERROR(INDEX(Services!$D$5:$D$64,MATCH(M479,Services!$B$5:$B$64,0)),"")="Per hour",IFERROR(INDEX(Properties!$X$5:$X$254,MATCH(J479,Properties!$A$5:$A$254,0)),0)&gt;0),IFERROR(INDEX(Properties!$X$5:$X$254,MATCH(J479,Properties!$A$5:$A$254,0)),0),IF(IFERROR(INDEX(Services!$G$5:$G$64,MATCH(M479,Services!$B$5:$B$64,0)),0)&gt;0,IFERROR(INDEX(Services!$G$5:$G$64,MATCH(M479,Services!$B$5:$B$64,0)),0),IFERROR(INDEX(Properties!$X$5:$X$254,MATCH(J479,Properties!$A$5:$A$254,0)),0)))))</f>
        <v>0</v>
      </c>
      <c r="AE479" s="31">
        <f>IF(G479="","",IF(T479="",CleanersPerJob,MAX(1,T479)))</f>
        <v>0</v>
      </c>
      <c r="AF479" s="34">
        <f>IF(G479="","",ROUND(AD479/AE479,2))</f>
        <v>0</v>
      </c>
      <c r="AG479" s="53">
        <f>IF(OR(G479="",F479="",AF479=""),"",F479+AF479/24)</f>
        <v>0</v>
      </c>
      <c r="AH479" s="21">
        <f>IF(G479="","",IF(IFERROR(INDEX(Clients!$O$5:$O$204,MATCH(G479,Clients!$A$5:$A$204,0)),0)&gt;0,IFERROR(INDEX(Clients!$O$5:$O$204,MATCH(G479,Clients!$A$5:$A$204,0)),0),HourlyRate))</f>
        <v>0</v>
      </c>
      <c r="AI479" s="21">
        <f>IF(G479="","",IF(AND(M479&lt;&gt;"",IFERROR(INDEX(Services!$P$5:$P$64,MATCH(M479,Services!$B$5:$B$64,0)),0)&gt;0,IFERROR(INDEX(Services!$D$5:$D$64,MATCH(M479,Services!$B$5:$B$64,0)),"")&lt;&gt;"Per hour"),IFERROR(INDEX(Services!$P$5:$P$64,MATCH(M479,Services!$B$5:$B$64,0)),0),AD479*AH479))</f>
        <v>0</v>
      </c>
      <c r="AJ479" s="21">
        <f>IF(G479="","",IF(V479&lt;&gt;"",V479,IF(P479="Cancelled",0,MAX(MinimumCharge,ROUND(AI479*IFERROR(INDEX(FreqFactors,MATCH(O479,FreqNames,0)),1),2)))))</f>
        <v>0</v>
      </c>
      <c r="AK479" s="34">
        <f>IF(G479="","",IF(SUMIFS(Timesheets!$U$5:$U$804,Timesheets!$G$5:$G$804,A479)&gt;0,SUMIFS(Timesheets!$U$5:$U$804,Timesheets!$G$5:$G$804,A479),IF(Z479="","",Z479)))</f>
        <v>0</v>
      </c>
      <c r="AL479" s="34">
        <f>IF(OR(AK479="",AD479=""),"",AK479-AD479)</f>
        <v>0</v>
      </c>
      <c r="AM479" s="31">
        <f>IF(A479="","",COUNTIFS('Job Tasks'!$B$5:$B$904,A479))</f>
        <v>0</v>
      </c>
      <c r="AN479" s="31">
        <f>IF(A479="","",COUNTIFS('Job Tasks'!$B$5:$B$904,A479,'Job Tasks'!$H$5:$H$904,"Done"))</f>
        <v>0</v>
      </c>
      <c r="AO479" s="38">
        <f>IF(OR(A479="",AM479=0),"",AN479/AM479)</f>
        <v>0</v>
      </c>
      <c r="AP479" s="43">
        <f>IF(A479="","",IFERROR(INDEX('Invoice Lines'!$B$5:$B$804,MATCH(A479,'Invoice Lines'!$C$5:$C$804,0)),""))</f>
        <v>0</v>
      </c>
      <c r="AQ479" s="18">
        <f>IF(OR(G479="",B479="",X479&lt;&gt;"Yes"),"",IF(IFERROR(INDEX(FreqDays,MATCH(O479,FreqNames,0)),0)=0,"",B479+IFERROR(INDEX(FreqDays,MATCH(O479,FreqNames,0)),0)))</f>
        <v>0</v>
      </c>
      <c r="AR479" s="39">
        <f>IF(G479="","",IF(R479="","Unassigned",IF(COUNTIFS($R$5:$R$604,R479,$B$5:$B$604,B479,$F$5:$F$604,F479)&gt;1,"Clash",IF(SUMIFS($AF$5:$AF$604,$R$5:$R$604,R479,$B$5:$B$604,B479)&gt;ProductiveHours,"Long day","OK"))))</f>
        <v>0</v>
      </c>
      <c r="AS479" s="18">
        <f>IF(OR(G479="",B479=""),"",IF(AND(B479&gt;=TodayDate,P479&lt;&gt;"Cancelled"),B479,""))</f>
        <v>0</v>
      </c>
      <c r="AT479" s="31">
        <f>IF(AS479="","",COUNTIFS($AS$5:$AS$604,"&lt;"&amp;AS479)+COUNTIFS($AS$5:AS479,AS479))</f>
        <v>0</v>
      </c>
      <c r="AU479" s="18">
        <f>IF(OR(G479="",B479="",R479&lt;&gt;""),"",IF(AND(B479&gt;=TodayDate,P479&lt;&gt;"Cancelled"),B479,""))</f>
        <v>0</v>
      </c>
      <c r="AV479" s="31">
        <f>IF(AU479="","",COUNTIFS($AU$5:$AU$604,"&lt;"&amp;AU479)+COUNTIFS($AU$5:AU479,AU479))</f>
        <v>0</v>
      </c>
      <c r="AW479" s="31">
        <f>IF(OR(G479="",B479=""),"",B479-TodayDate)</f>
        <v>0</v>
      </c>
      <c r="AX479" s="39">
        <f>IF(G479="","",IF(P479="Cancelled","Cancelled",IF(P479="No access","Action - no access, rebook",IF(AND(B479&lt;&gt;"",AW479&lt;0,OR(P479="Booked",P479="Confirmed",P479="In progress")),"Late - mark it completed",IF(AND(P479="Completed",AP479=""),"Action - not invoiced yet",IF(AND(AW479&gt;=0,AW479&lt;=ReminderDays,Y479&lt;&gt;"Yes"),"Confirm - visit coming up",IF(R479="","Assign - no cleaner booked",IF(AND(P479="Completed",AO479&lt;&gt;"",AO479&lt;1),"Check - checklist unfinished","OK"))))))))</f>
        <v>0</v>
      </c>
    </row>
    <row r="480" spans="1:50">
      <c r="A480" s="43">
        <f>IF(G480="","",JobPrefix&amp;TEXT(ROW()-4,"0000"))</f>
        <v>0</v>
      </c>
      <c r="C480" s="23">
        <f>IF(B480="","",TEXT(B480,"ddd"))</f>
        <v>0</v>
      </c>
      <c r="D480" s="31">
        <f>IF(B480="","",WEEKNUM(B480,IF(WeekStart="Sunday",1,2)))</f>
        <v>0</v>
      </c>
      <c r="E480" s="23">
        <f>IF(B480="","",TEXT(B480,"yyyy-mm"))</f>
        <v>0</v>
      </c>
      <c r="H480" s="23">
        <f>IF(G480="","",IFERROR(INDEX(Clients!$B$5:$B$204,MATCH(G480,Clients!$A$5:$A$204,0)),"Not found"))</f>
        <v>0</v>
      </c>
      <c r="I480" s="23">
        <f>IF(G480="","",IFERROR(INDEX(Clients!$C$5:$C$204,MATCH(G480,Clients!$A$5:$A$204,0)),""))</f>
        <v>0</v>
      </c>
      <c r="K480" s="23">
        <f>IF(J480="","",IFERROR(INDEX(Properties!$B$5:$B$254,MATCH(J480,Properties!$A$5:$A$254,0)),""))</f>
        <v>0</v>
      </c>
      <c r="L480" s="23">
        <f>IF(J480="","",IFERROR(INDEX(Properties!$F$5:$F$254,MATCH(J480,Properties!$A$5:$A$254,0)),""))</f>
        <v>0</v>
      </c>
      <c r="AD480" s="34">
        <f>IF(G480="","",IF(U480&lt;&gt;"",U480,IF(AND(IFERROR(INDEX(Services!$D$5:$D$64,MATCH(M480,Services!$B$5:$B$64,0)),"")="Per hour",IFERROR(INDEX(Properties!$X$5:$X$254,MATCH(J480,Properties!$A$5:$A$254,0)),0)&gt;0),IFERROR(INDEX(Properties!$X$5:$X$254,MATCH(J480,Properties!$A$5:$A$254,0)),0),IF(IFERROR(INDEX(Services!$G$5:$G$64,MATCH(M480,Services!$B$5:$B$64,0)),0)&gt;0,IFERROR(INDEX(Services!$G$5:$G$64,MATCH(M480,Services!$B$5:$B$64,0)),0),IFERROR(INDEX(Properties!$X$5:$X$254,MATCH(J480,Properties!$A$5:$A$254,0)),0)))))</f>
        <v>0</v>
      </c>
      <c r="AE480" s="31">
        <f>IF(G480="","",IF(T480="",CleanersPerJob,MAX(1,T480)))</f>
        <v>0</v>
      </c>
      <c r="AF480" s="34">
        <f>IF(G480="","",ROUND(AD480/AE480,2))</f>
        <v>0</v>
      </c>
      <c r="AG480" s="53">
        <f>IF(OR(G480="",F480="",AF480=""),"",F480+AF480/24)</f>
        <v>0</v>
      </c>
      <c r="AH480" s="21">
        <f>IF(G480="","",IF(IFERROR(INDEX(Clients!$O$5:$O$204,MATCH(G480,Clients!$A$5:$A$204,0)),0)&gt;0,IFERROR(INDEX(Clients!$O$5:$O$204,MATCH(G480,Clients!$A$5:$A$204,0)),0),HourlyRate))</f>
        <v>0</v>
      </c>
      <c r="AI480" s="21">
        <f>IF(G480="","",IF(AND(M480&lt;&gt;"",IFERROR(INDEX(Services!$P$5:$P$64,MATCH(M480,Services!$B$5:$B$64,0)),0)&gt;0,IFERROR(INDEX(Services!$D$5:$D$64,MATCH(M480,Services!$B$5:$B$64,0)),"")&lt;&gt;"Per hour"),IFERROR(INDEX(Services!$P$5:$P$64,MATCH(M480,Services!$B$5:$B$64,0)),0),AD480*AH480))</f>
        <v>0</v>
      </c>
      <c r="AJ480" s="21">
        <f>IF(G480="","",IF(V480&lt;&gt;"",V480,IF(P480="Cancelled",0,MAX(MinimumCharge,ROUND(AI480*IFERROR(INDEX(FreqFactors,MATCH(O480,FreqNames,0)),1),2)))))</f>
        <v>0</v>
      </c>
      <c r="AK480" s="34">
        <f>IF(G480="","",IF(SUMIFS(Timesheets!$U$5:$U$804,Timesheets!$G$5:$G$804,A480)&gt;0,SUMIFS(Timesheets!$U$5:$U$804,Timesheets!$G$5:$G$804,A480),IF(Z480="","",Z480)))</f>
        <v>0</v>
      </c>
      <c r="AL480" s="34">
        <f>IF(OR(AK480="",AD480=""),"",AK480-AD480)</f>
        <v>0</v>
      </c>
      <c r="AM480" s="31">
        <f>IF(A480="","",COUNTIFS('Job Tasks'!$B$5:$B$904,A480))</f>
        <v>0</v>
      </c>
      <c r="AN480" s="31">
        <f>IF(A480="","",COUNTIFS('Job Tasks'!$B$5:$B$904,A480,'Job Tasks'!$H$5:$H$904,"Done"))</f>
        <v>0</v>
      </c>
      <c r="AO480" s="38">
        <f>IF(OR(A480="",AM480=0),"",AN480/AM480)</f>
        <v>0</v>
      </c>
      <c r="AP480" s="43">
        <f>IF(A480="","",IFERROR(INDEX('Invoice Lines'!$B$5:$B$804,MATCH(A480,'Invoice Lines'!$C$5:$C$804,0)),""))</f>
        <v>0</v>
      </c>
      <c r="AQ480" s="18">
        <f>IF(OR(G480="",B480="",X480&lt;&gt;"Yes"),"",IF(IFERROR(INDEX(FreqDays,MATCH(O480,FreqNames,0)),0)=0,"",B480+IFERROR(INDEX(FreqDays,MATCH(O480,FreqNames,0)),0)))</f>
        <v>0</v>
      </c>
      <c r="AR480" s="39">
        <f>IF(G480="","",IF(R480="","Unassigned",IF(COUNTIFS($R$5:$R$604,R480,$B$5:$B$604,B480,$F$5:$F$604,F480)&gt;1,"Clash",IF(SUMIFS($AF$5:$AF$604,$R$5:$R$604,R480,$B$5:$B$604,B480)&gt;ProductiveHours,"Long day","OK"))))</f>
        <v>0</v>
      </c>
      <c r="AS480" s="18">
        <f>IF(OR(G480="",B480=""),"",IF(AND(B480&gt;=TodayDate,P480&lt;&gt;"Cancelled"),B480,""))</f>
        <v>0</v>
      </c>
      <c r="AT480" s="31">
        <f>IF(AS480="","",COUNTIFS($AS$5:$AS$604,"&lt;"&amp;AS480)+COUNTIFS($AS$5:AS480,AS480))</f>
        <v>0</v>
      </c>
      <c r="AU480" s="18">
        <f>IF(OR(G480="",B480="",R480&lt;&gt;""),"",IF(AND(B480&gt;=TodayDate,P480&lt;&gt;"Cancelled"),B480,""))</f>
        <v>0</v>
      </c>
      <c r="AV480" s="31">
        <f>IF(AU480="","",COUNTIFS($AU$5:$AU$604,"&lt;"&amp;AU480)+COUNTIFS($AU$5:AU480,AU480))</f>
        <v>0</v>
      </c>
      <c r="AW480" s="31">
        <f>IF(OR(G480="",B480=""),"",B480-TodayDate)</f>
        <v>0</v>
      </c>
      <c r="AX480" s="39">
        <f>IF(G480="","",IF(P480="Cancelled","Cancelled",IF(P480="No access","Action - no access, rebook",IF(AND(B480&lt;&gt;"",AW480&lt;0,OR(P480="Booked",P480="Confirmed",P480="In progress")),"Late - mark it completed",IF(AND(P480="Completed",AP480=""),"Action - not invoiced yet",IF(AND(AW480&gt;=0,AW480&lt;=ReminderDays,Y480&lt;&gt;"Yes"),"Confirm - visit coming up",IF(R480="","Assign - no cleaner booked",IF(AND(P480="Completed",AO480&lt;&gt;"",AO480&lt;1),"Check - checklist unfinished","OK"))))))))</f>
        <v>0</v>
      </c>
    </row>
    <row r="481" spans="1:50">
      <c r="A481" s="43">
        <f>IF(G481="","",JobPrefix&amp;TEXT(ROW()-4,"0000"))</f>
        <v>0</v>
      </c>
      <c r="C481" s="23">
        <f>IF(B481="","",TEXT(B481,"ddd"))</f>
        <v>0</v>
      </c>
      <c r="D481" s="31">
        <f>IF(B481="","",WEEKNUM(B481,IF(WeekStart="Sunday",1,2)))</f>
        <v>0</v>
      </c>
      <c r="E481" s="23">
        <f>IF(B481="","",TEXT(B481,"yyyy-mm"))</f>
        <v>0</v>
      </c>
      <c r="H481" s="23">
        <f>IF(G481="","",IFERROR(INDEX(Clients!$B$5:$B$204,MATCH(G481,Clients!$A$5:$A$204,0)),"Not found"))</f>
        <v>0</v>
      </c>
      <c r="I481" s="23">
        <f>IF(G481="","",IFERROR(INDEX(Clients!$C$5:$C$204,MATCH(G481,Clients!$A$5:$A$204,0)),""))</f>
        <v>0</v>
      </c>
      <c r="K481" s="23">
        <f>IF(J481="","",IFERROR(INDEX(Properties!$B$5:$B$254,MATCH(J481,Properties!$A$5:$A$254,0)),""))</f>
        <v>0</v>
      </c>
      <c r="L481" s="23">
        <f>IF(J481="","",IFERROR(INDEX(Properties!$F$5:$F$254,MATCH(J481,Properties!$A$5:$A$254,0)),""))</f>
        <v>0</v>
      </c>
      <c r="AD481" s="34">
        <f>IF(G481="","",IF(U481&lt;&gt;"",U481,IF(AND(IFERROR(INDEX(Services!$D$5:$D$64,MATCH(M481,Services!$B$5:$B$64,0)),"")="Per hour",IFERROR(INDEX(Properties!$X$5:$X$254,MATCH(J481,Properties!$A$5:$A$254,0)),0)&gt;0),IFERROR(INDEX(Properties!$X$5:$X$254,MATCH(J481,Properties!$A$5:$A$254,0)),0),IF(IFERROR(INDEX(Services!$G$5:$G$64,MATCH(M481,Services!$B$5:$B$64,0)),0)&gt;0,IFERROR(INDEX(Services!$G$5:$G$64,MATCH(M481,Services!$B$5:$B$64,0)),0),IFERROR(INDEX(Properties!$X$5:$X$254,MATCH(J481,Properties!$A$5:$A$254,0)),0)))))</f>
        <v>0</v>
      </c>
      <c r="AE481" s="31">
        <f>IF(G481="","",IF(T481="",CleanersPerJob,MAX(1,T481)))</f>
        <v>0</v>
      </c>
      <c r="AF481" s="34">
        <f>IF(G481="","",ROUND(AD481/AE481,2))</f>
        <v>0</v>
      </c>
      <c r="AG481" s="53">
        <f>IF(OR(G481="",F481="",AF481=""),"",F481+AF481/24)</f>
        <v>0</v>
      </c>
      <c r="AH481" s="21">
        <f>IF(G481="","",IF(IFERROR(INDEX(Clients!$O$5:$O$204,MATCH(G481,Clients!$A$5:$A$204,0)),0)&gt;0,IFERROR(INDEX(Clients!$O$5:$O$204,MATCH(G481,Clients!$A$5:$A$204,0)),0),HourlyRate))</f>
        <v>0</v>
      </c>
      <c r="AI481" s="21">
        <f>IF(G481="","",IF(AND(M481&lt;&gt;"",IFERROR(INDEX(Services!$P$5:$P$64,MATCH(M481,Services!$B$5:$B$64,0)),0)&gt;0,IFERROR(INDEX(Services!$D$5:$D$64,MATCH(M481,Services!$B$5:$B$64,0)),"")&lt;&gt;"Per hour"),IFERROR(INDEX(Services!$P$5:$P$64,MATCH(M481,Services!$B$5:$B$64,0)),0),AD481*AH481))</f>
        <v>0</v>
      </c>
      <c r="AJ481" s="21">
        <f>IF(G481="","",IF(V481&lt;&gt;"",V481,IF(P481="Cancelled",0,MAX(MinimumCharge,ROUND(AI481*IFERROR(INDEX(FreqFactors,MATCH(O481,FreqNames,0)),1),2)))))</f>
        <v>0</v>
      </c>
      <c r="AK481" s="34">
        <f>IF(G481="","",IF(SUMIFS(Timesheets!$U$5:$U$804,Timesheets!$G$5:$G$804,A481)&gt;0,SUMIFS(Timesheets!$U$5:$U$804,Timesheets!$G$5:$G$804,A481),IF(Z481="","",Z481)))</f>
        <v>0</v>
      </c>
      <c r="AL481" s="34">
        <f>IF(OR(AK481="",AD481=""),"",AK481-AD481)</f>
        <v>0</v>
      </c>
      <c r="AM481" s="31">
        <f>IF(A481="","",COUNTIFS('Job Tasks'!$B$5:$B$904,A481))</f>
        <v>0</v>
      </c>
      <c r="AN481" s="31">
        <f>IF(A481="","",COUNTIFS('Job Tasks'!$B$5:$B$904,A481,'Job Tasks'!$H$5:$H$904,"Done"))</f>
        <v>0</v>
      </c>
      <c r="AO481" s="38">
        <f>IF(OR(A481="",AM481=0),"",AN481/AM481)</f>
        <v>0</v>
      </c>
      <c r="AP481" s="43">
        <f>IF(A481="","",IFERROR(INDEX('Invoice Lines'!$B$5:$B$804,MATCH(A481,'Invoice Lines'!$C$5:$C$804,0)),""))</f>
        <v>0</v>
      </c>
      <c r="AQ481" s="18">
        <f>IF(OR(G481="",B481="",X481&lt;&gt;"Yes"),"",IF(IFERROR(INDEX(FreqDays,MATCH(O481,FreqNames,0)),0)=0,"",B481+IFERROR(INDEX(FreqDays,MATCH(O481,FreqNames,0)),0)))</f>
        <v>0</v>
      </c>
      <c r="AR481" s="39">
        <f>IF(G481="","",IF(R481="","Unassigned",IF(COUNTIFS($R$5:$R$604,R481,$B$5:$B$604,B481,$F$5:$F$604,F481)&gt;1,"Clash",IF(SUMIFS($AF$5:$AF$604,$R$5:$R$604,R481,$B$5:$B$604,B481)&gt;ProductiveHours,"Long day","OK"))))</f>
        <v>0</v>
      </c>
      <c r="AS481" s="18">
        <f>IF(OR(G481="",B481=""),"",IF(AND(B481&gt;=TodayDate,P481&lt;&gt;"Cancelled"),B481,""))</f>
        <v>0</v>
      </c>
      <c r="AT481" s="31">
        <f>IF(AS481="","",COUNTIFS($AS$5:$AS$604,"&lt;"&amp;AS481)+COUNTIFS($AS$5:AS481,AS481))</f>
        <v>0</v>
      </c>
      <c r="AU481" s="18">
        <f>IF(OR(G481="",B481="",R481&lt;&gt;""),"",IF(AND(B481&gt;=TodayDate,P481&lt;&gt;"Cancelled"),B481,""))</f>
        <v>0</v>
      </c>
      <c r="AV481" s="31">
        <f>IF(AU481="","",COUNTIFS($AU$5:$AU$604,"&lt;"&amp;AU481)+COUNTIFS($AU$5:AU481,AU481))</f>
        <v>0</v>
      </c>
      <c r="AW481" s="31">
        <f>IF(OR(G481="",B481=""),"",B481-TodayDate)</f>
        <v>0</v>
      </c>
      <c r="AX481" s="39">
        <f>IF(G481="","",IF(P481="Cancelled","Cancelled",IF(P481="No access","Action - no access, rebook",IF(AND(B481&lt;&gt;"",AW481&lt;0,OR(P481="Booked",P481="Confirmed",P481="In progress")),"Late - mark it completed",IF(AND(P481="Completed",AP481=""),"Action - not invoiced yet",IF(AND(AW481&gt;=0,AW481&lt;=ReminderDays,Y481&lt;&gt;"Yes"),"Confirm - visit coming up",IF(R481="","Assign - no cleaner booked",IF(AND(P481="Completed",AO481&lt;&gt;"",AO481&lt;1),"Check - checklist unfinished","OK"))))))))</f>
        <v>0</v>
      </c>
    </row>
    <row r="482" spans="1:50">
      <c r="A482" s="43">
        <f>IF(G482="","",JobPrefix&amp;TEXT(ROW()-4,"0000"))</f>
        <v>0</v>
      </c>
      <c r="C482" s="23">
        <f>IF(B482="","",TEXT(B482,"ddd"))</f>
        <v>0</v>
      </c>
      <c r="D482" s="31">
        <f>IF(B482="","",WEEKNUM(B482,IF(WeekStart="Sunday",1,2)))</f>
        <v>0</v>
      </c>
      <c r="E482" s="23">
        <f>IF(B482="","",TEXT(B482,"yyyy-mm"))</f>
        <v>0</v>
      </c>
      <c r="H482" s="23">
        <f>IF(G482="","",IFERROR(INDEX(Clients!$B$5:$B$204,MATCH(G482,Clients!$A$5:$A$204,0)),"Not found"))</f>
        <v>0</v>
      </c>
      <c r="I482" s="23">
        <f>IF(G482="","",IFERROR(INDEX(Clients!$C$5:$C$204,MATCH(G482,Clients!$A$5:$A$204,0)),""))</f>
        <v>0</v>
      </c>
      <c r="K482" s="23">
        <f>IF(J482="","",IFERROR(INDEX(Properties!$B$5:$B$254,MATCH(J482,Properties!$A$5:$A$254,0)),""))</f>
        <v>0</v>
      </c>
      <c r="L482" s="23">
        <f>IF(J482="","",IFERROR(INDEX(Properties!$F$5:$F$254,MATCH(J482,Properties!$A$5:$A$254,0)),""))</f>
        <v>0</v>
      </c>
      <c r="AD482" s="34">
        <f>IF(G482="","",IF(U482&lt;&gt;"",U482,IF(AND(IFERROR(INDEX(Services!$D$5:$D$64,MATCH(M482,Services!$B$5:$B$64,0)),"")="Per hour",IFERROR(INDEX(Properties!$X$5:$X$254,MATCH(J482,Properties!$A$5:$A$254,0)),0)&gt;0),IFERROR(INDEX(Properties!$X$5:$X$254,MATCH(J482,Properties!$A$5:$A$254,0)),0),IF(IFERROR(INDEX(Services!$G$5:$G$64,MATCH(M482,Services!$B$5:$B$64,0)),0)&gt;0,IFERROR(INDEX(Services!$G$5:$G$64,MATCH(M482,Services!$B$5:$B$64,0)),0),IFERROR(INDEX(Properties!$X$5:$X$254,MATCH(J482,Properties!$A$5:$A$254,0)),0)))))</f>
        <v>0</v>
      </c>
      <c r="AE482" s="31">
        <f>IF(G482="","",IF(T482="",CleanersPerJob,MAX(1,T482)))</f>
        <v>0</v>
      </c>
      <c r="AF482" s="34">
        <f>IF(G482="","",ROUND(AD482/AE482,2))</f>
        <v>0</v>
      </c>
      <c r="AG482" s="53">
        <f>IF(OR(G482="",F482="",AF482=""),"",F482+AF482/24)</f>
        <v>0</v>
      </c>
      <c r="AH482" s="21">
        <f>IF(G482="","",IF(IFERROR(INDEX(Clients!$O$5:$O$204,MATCH(G482,Clients!$A$5:$A$204,0)),0)&gt;0,IFERROR(INDEX(Clients!$O$5:$O$204,MATCH(G482,Clients!$A$5:$A$204,0)),0),HourlyRate))</f>
        <v>0</v>
      </c>
      <c r="AI482" s="21">
        <f>IF(G482="","",IF(AND(M482&lt;&gt;"",IFERROR(INDEX(Services!$P$5:$P$64,MATCH(M482,Services!$B$5:$B$64,0)),0)&gt;0,IFERROR(INDEX(Services!$D$5:$D$64,MATCH(M482,Services!$B$5:$B$64,0)),"")&lt;&gt;"Per hour"),IFERROR(INDEX(Services!$P$5:$P$64,MATCH(M482,Services!$B$5:$B$64,0)),0),AD482*AH482))</f>
        <v>0</v>
      </c>
      <c r="AJ482" s="21">
        <f>IF(G482="","",IF(V482&lt;&gt;"",V482,IF(P482="Cancelled",0,MAX(MinimumCharge,ROUND(AI482*IFERROR(INDEX(FreqFactors,MATCH(O482,FreqNames,0)),1),2)))))</f>
        <v>0</v>
      </c>
      <c r="AK482" s="34">
        <f>IF(G482="","",IF(SUMIFS(Timesheets!$U$5:$U$804,Timesheets!$G$5:$G$804,A482)&gt;0,SUMIFS(Timesheets!$U$5:$U$804,Timesheets!$G$5:$G$804,A482),IF(Z482="","",Z482)))</f>
        <v>0</v>
      </c>
      <c r="AL482" s="34">
        <f>IF(OR(AK482="",AD482=""),"",AK482-AD482)</f>
        <v>0</v>
      </c>
      <c r="AM482" s="31">
        <f>IF(A482="","",COUNTIFS('Job Tasks'!$B$5:$B$904,A482))</f>
        <v>0</v>
      </c>
      <c r="AN482" s="31">
        <f>IF(A482="","",COUNTIFS('Job Tasks'!$B$5:$B$904,A482,'Job Tasks'!$H$5:$H$904,"Done"))</f>
        <v>0</v>
      </c>
      <c r="AO482" s="38">
        <f>IF(OR(A482="",AM482=0),"",AN482/AM482)</f>
        <v>0</v>
      </c>
      <c r="AP482" s="43">
        <f>IF(A482="","",IFERROR(INDEX('Invoice Lines'!$B$5:$B$804,MATCH(A482,'Invoice Lines'!$C$5:$C$804,0)),""))</f>
        <v>0</v>
      </c>
      <c r="AQ482" s="18">
        <f>IF(OR(G482="",B482="",X482&lt;&gt;"Yes"),"",IF(IFERROR(INDEX(FreqDays,MATCH(O482,FreqNames,0)),0)=0,"",B482+IFERROR(INDEX(FreqDays,MATCH(O482,FreqNames,0)),0)))</f>
        <v>0</v>
      </c>
      <c r="AR482" s="39">
        <f>IF(G482="","",IF(R482="","Unassigned",IF(COUNTIFS($R$5:$R$604,R482,$B$5:$B$604,B482,$F$5:$F$604,F482)&gt;1,"Clash",IF(SUMIFS($AF$5:$AF$604,$R$5:$R$604,R482,$B$5:$B$604,B482)&gt;ProductiveHours,"Long day","OK"))))</f>
        <v>0</v>
      </c>
      <c r="AS482" s="18">
        <f>IF(OR(G482="",B482=""),"",IF(AND(B482&gt;=TodayDate,P482&lt;&gt;"Cancelled"),B482,""))</f>
        <v>0</v>
      </c>
      <c r="AT482" s="31">
        <f>IF(AS482="","",COUNTIFS($AS$5:$AS$604,"&lt;"&amp;AS482)+COUNTIFS($AS$5:AS482,AS482))</f>
        <v>0</v>
      </c>
      <c r="AU482" s="18">
        <f>IF(OR(G482="",B482="",R482&lt;&gt;""),"",IF(AND(B482&gt;=TodayDate,P482&lt;&gt;"Cancelled"),B482,""))</f>
        <v>0</v>
      </c>
      <c r="AV482" s="31">
        <f>IF(AU482="","",COUNTIFS($AU$5:$AU$604,"&lt;"&amp;AU482)+COUNTIFS($AU$5:AU482,AU482))</f>
        <v>0</v>
      </c>
      <c r="AW482" s="31">
        <f>IF(OR(G482="",B482=""),"",B482-TodayDate)</f>
        <v>0</v>
      </c>
      <c r="AX482" s="39">
        <f>IF(G482="","",IF(P482="Cancelled","Cancelled",IF(P482="No access","Action - no access, rebook",IF(AND(B482&lt;&gt;"",AW482&lt;0,OR(P482="Booked",P482="Confirmed",P482="In progress")),"Late - mark it completed",IF(AND(P482="Completed",AP482=""),"Action - not invoiced yet",IF(AND(AW482&gt;=0,AW482&lt;=ReminderDays,Y482&lt;&gt;"Yes"),"Confirm - visit coming up",IF(R482="","Assign - no cleaner booked",IF(AND(P482="Completed",AO482&lt;&gt;"",AO482&lt;1),"Check - checklist unfinished","OK"))))))))</f>
        <v>0</v>
      </c>
    </row>
    <row r="483" spans="1:50">
      <c r="A483" s="43">
        <f>IF(G483="","",JobPrefix&amp;TEXT(ROW()-4,"0000"))</f>
        <v>0</v>
      </c>
      <c r="C483" s="23">
        <f>IF(B483="","",TEXT(B483,"ddd"))</f>
        <v>0</v>
      </c>
      <c r="D483" s="31">
        <f>IF(B483="","",WEEKNUM(B483,IF(WeekStart="Sunday",1,2)))</f>
        <v>0</v>
      </c>
      <c r="E483" s="23">
        <f>IF(B483="","",TEXT(B483,"yyyy-mm"))</f>
        <v>0</v>
      </c>
      <c r="H483" s="23">
        <f>IF(G483="","",IFERROR(INDEX(Clients!$B$5:$B$204,MATCH(G483,Clients!$A$5:$A$204,0)),"Not found"))</f>
        <v>0</v>
      </c>
      <c r="I483" s="23">
        <f>IF(G483="","",IFERROR(INDEX(Clients!$C$5:$C$204,MATCH(G483,Clients!$A$5:$A$204,0)),""))</f>
        <v>0</v>
      </c>
      <c r="K483" s="23">
        <f>IF(J483="","",IFERROR(INDEX(Properties!$B$5:$B$254,MATCH(J483,Properties!$A$5:$A$254,0)),""))</f>
        <v>0</v>
      </c>
      <c r="L483" s="23">
        <f>IF(J483="","",IFERROR(INDEX(Properties!$F$5:$F$254,MATCH(J483,Properties!$A$5:$A$254,0)),""))</f>
        <v>0</v>
      </c>
      <c r="AD483" s="34">
        <f>IF(G483="","",IF(U483&lt;&gt;"",U483,IF(AND(IFERROR(INDEX(Services!$D$5:$D$64,MATCH(M483,Services!$B$5:$B$64,0)),"")="Per hour",IFERROR(INDEX(Properties!$X$5:$X$254,MATCH(J483,Properties!$A$5:$A$254,0)),0)&gt;0),IFERROR(INDEX(Properties!$X$5:$X$254,MATCH(J483,Properties!$A$5:$A$254,0)),0),IF(IFERROR(INDEX(Services!$G$5:$G$64,MATCH(M483,Services!$B$5:$B$64,0)),0)&gt;0,IFERROR(INDEX(Services!$G$5:$G$64,MATCH(M483,Services!$B$5:$B$64,0)),0),IFERROR(INDEX(Properties!$X$5:$X$254,MATCH(J483,Properties!$A$5:$A$254,0)),0)))))</f>
        <v>0</v>
      </c>
      <c r="AE483" s="31">
        <f>IF(G483="","",IF(T483="",CleanersPerJob,MAX(1,T483)))</f>
        <v>0</v>
      </c>
      <c r="AF483" s="34">
        <f>IF(G483="","",ROUND(AD483/AE483,2))</f>
        <v>0</v>
      </c>
      <c r="AG483" s="53">
        <f>IF(OR(G483="",F483="",AF483=""),"",F483+AF483/24)</f>
        <v>0</v>
      </c>
      <c r="AH483" s="21">
        <f>IF(G483="","",IF(IFERROR(INDEX(Clients!$O$5:$O$204,MATCH(G483,Clients!$A$5:$A$204,0)),0)&gt;0,IFERROR(INDEX(Clients!$O$5:$O$204,MATCH(G483,Clients!$A$5:$A$204,0)),0),HourlyRate))</f>
        <v>0</v>
      </c>
      <c r="AI483" s="21">
        <f>IF(G483="","",IF(AND(M483&lt;&gt;"",IFERROR(INDEX(Services!$P$5:$P$64,MATCH(M483,Services!$B$5:$B$64,0)),0)&gt;0,IFERROR(INDEX(Services!$D$5:$D$64,MATCH(M483,Services!$B$5:$B$64,0)),"")&lt;&gt;"Per hour"),IFERROR(INDEX(Services!$P$5:$P$64,MATCH(M483,Services!$B$5:$B$64,0)),0),AD483*AH483))</f>
        <v>0</v>
      </c>
      <c r="AJ483" s="21">
        <f>IF(G483="","",IF(V483&lt;&gt;"",V483,IF(P483="Cancelled",0,MAX(MinimumCharge,ROUND(AI483*IFERROR(INDEX(FreqFactors,MATCH(O483,FreqNames,0)),1),2)))))</f>
        <v>0</v>
      </c>
      <c r="AK483" s="34">
        <f>IF(G483="","",IF(SUMIFS(Timesheets!$U$5:$U$804,Timesheets!$G$5:$G$804,A483)&gt;0,SUMIFS(Timesheets!$U$5:$U$804,Timesheets!$G$5:$G$804,A483),IF(Z483="","",Z483)))</f>
        <v>0</v>
      </c>
      <c r="AL483" s="34">
        <f>IF(OR(AK483="",AD483=""),"",AK483-AD483)</f>
        <v>0</v>
      </c>
      <c r="AM483" s="31">
        <f>IF(A483="","",COUNTIFS('Job Tasks'!$B$5:$B$904,A483))</f>
        <v>0</v>
      </c>
      <c r="AN483" s="31">
        <f>IF(A483="","",COUNTIFS('Job Tasks'!$B$5:$B$904,A483,'Job Tasks'!$H$5:$H$904,"Done"))</f>
        <v>0</v>
      </c>
      <c r="AO483" s="38">
        <f>IF(OR(A483="",AM483=0),"",AN483/AM483)</f>
        <v>0</v>
      </c>
      <c r="AP483" s="43">
        <f>IF(A483="","",IFERROR(INDEX('Invoice Lines'!$B$5:$B$804,MATCH(A483,'Invoice Lines'!$C$5:$C$804,0)),""))</f>
        <v>0</v>
      </c>
      <c r="AQ483" s="18">
        <f>IF(OR(G483="",B483="",X483&lt;&gt;"Yes"),"",IF(IFERROR(INDEX(FreqDays,MATCH(O483,FreqNames,0)),0)=0,"",B483+IFERROR(INDEX(FreqDays,MATCH(O483,FreqNames,0)),0)))</f>
        <v>0</v>
      </c>
      <c r="AR483" s="39">
        <f>IF(G483="","",IF(R483="","Unassigned",IF(COUNTIFS($R$5:$R$604,R483,$B$5:$B$604,B483,$F$5:$F$604,F483)&gt;1,"Clash",IF(SUMIFS($AF$5:$AF$604,$R$5:$R$604,R483,$B$5:$B$604,B483)&gt;ProductiveHours,"Long day","OK"))))</f>
        <v>0</v>
      </c>
      <c r="AS483" s="18">
        <f>IF(OR(G483="",B483=""),"",IF(AND(B483&gt;=TodayDate,P483&lt;&gt;"Cancelled"),B483,""))</f>
        <v>0</v>
      </c>
      <c r="AT483" s="31">
        <f>IF(AS483="","",COUNTIFS($AS$5:$AS$604,"&lt;"&amp;AS483)+COUNTIFS($AS$5:AS483,AS483))</f>
        <v>0</v>
      </c>
      <c r="AU483" s="18">
        <f>IF(OR(G483="",B483="",R483&lt;&gt;""),"",IF(AND(B483&gt;=TodayDate,P483&lt;&gt;"Cancelled"),B483,""))</f>
        <v>0</v>
      </c>
      <c r="AV483" s="31">
        <f>IF(AU483="","",COUNTIFS($AU$5:$AU$604,"&lt;"&amp;AU483)+COUNTIFS($AU$5:AU483,AU483))</f>
        <v>0</v>
      </c>
      <c r="AW483" s="31">
        <f>IF(OR(G483="",B483=""),"",B483-TodayDate)</f>
        <v>0</v>
      </c>
      <c r="AX483" s="39">
        <f>IF(G483="","",IF(P483="Cancelled","Cancelled",IF(P483="No access","Action - no access, rebook",IF(AND(B483&lt;&gt;"",AW483&lt;0,OR(P483="Booked",P483="Confirmed",P483="In progress")),"Late - mark it completed",IF(AND(P483="Completed",AP483=""),"Action - not invoiced yet",IF(AND(AW483&gt;=0,AW483&lt;=ReminderDays,Y483&lt;&gt;"Yes"),"Confirm - visit coming up",IF(R483="","Assign - no cleaner booked",IF(AND(P483="Completed",AO483&lt;&gt;"",AO483&lt;1),"Check - checklist unfinished","OK"))))))))</f>
        <v>0</v>
      </c>
    </row>
    <row r="484" spans="1:50">
      <c r="A484" s="43">
        <f>IF(G484="","",JobPrefix&amp;TEXT(ROW()-4,"0000"))</f>
        <v>0</v>
      </c>
      <c r="C484" s="23">
        <f>IF(B484="","",TEXT(B484,"ddd"))</f>
        <v>0</v>
      </c>
      <c r="D484" s="31">
        <f>IF(B484="","",WEEKNUM(B484,IF(WeekStart="Sunday",1,2)))</f>
        <v>0</v>
      </c>
      <c r="E484" s="23">
        <f>IF(B484="","",TEXT(B484,"yyyy-mm"))</f>
        <v>0</v>
      </c>
      <c r="H484" s="23">
        <f>IF(G484="","",IFERROR(INDEX(Clients!$B$5:$B$204,MATCH(G484,Clients!$A$5:$A$204,0)),"Not found"))</f>
        <v>0</v>
      </c>
      <c r="I484" s="23">
        <f>IF(G484="","",IFERROR(INDEX(Clients!$C$5:$C$204,MATCH(G484,Clients!$A$5:$A$204,0)),""))</f>
        <v>0</v>
      </c>
      <c r="K484" s="23">
        <f>IF(J484="","",IFERROR(INDEX(Properties!$B$5:$B$254,MATCH(J484,Properties!$A$5:$A$254,0)),""))</f>
        <v>0</v>
      </c>
      <c r="L484" s="23">
        <f>IF(J484="","",IFERROR(INDEX(Properties!$F$5:$F$254,MATCH(J484,Properties!$A$5:$A$254,0)),""))</f>
        <v>0</v>
      </c>
      <c r="AD484" s="34">
        <f>IF(G484="","",IF(U484&lt;&gt;"",U484,IF(AND(IFERROR(INDEX(Services!$D$5:$D$64,MATCH(M484,Services!$B$5:$B$64,0)),"")="Per hour",IFERROR(INDEX(Properties!$X$5:$X$254,MATCH(J484,Properties!$A$5:$A$254,0)),0)&gt;0),IFERROR(INDEX(Properties!$X$5:$X$254,MATCH(J484,Properties!$A$5:$A$254,0)),0),IF(IFERROR(INDEX(Services!$G$5:$G$64,MATCH(M484,Services!$B$5:$B$64,0)),0)&gt;0,IFERROR(INDEX(Services!$G$5:$G$64,MATCH(M484,Services!$B$5:$B$64,0)),0),IFERROR(INDEX(Properties!$X$5:$X$254,MATCH(J484,Properties!$A$5:$A$254,0)),0)))))</f>
        <v>0</v>
      </c>
      <c r="AE484" s="31">
        <f>IF(G484="","",IF(T484="",CleanersPerJob,MAX(1,T484)))</f>
        <v>0</v>
      </c>
      <c r="AF484" s="34">
        <f>IF(G484="","",ROUND(AD484/AE484,2))</f>
        <v>0</v>
      </c>
      <c r="AG484" s="53">
        <f>IF(OR(G484="",F484="",AF484=""),"",F484+AF484/24)</f>
        <v>0</v>
      </c>
      <c r="AH484" s="21">
        <f>IF(G484="","",IF(IFERROR(INDEX(Clients!$O$5:$O$204,MATCH(G484,Clients!$A$5:$A$204,0)),0)&gt;0,IFERROR(INDEX(Clients!$O$5:$O$204,MATCH(G484,Clients!$A$5:$A$204,0)),0),HourlyRate))</f>
        <v>0</v>
      </c>
      <c r="AI484" s="21">
        <f>IF(G484="","",IF(AND(M484&lt;&gt;"",IFERROR(INDEX(Services!$P$5:$P$64,MATCH(M484,Services!$B$5:$B$64,0)),0)&gt;0,IFERROR(INDEX(Services!$D$5:$D$64,MATCH(M484,Services!$B$5:$B$64,0)),"")&lt;&gt;"Per hour"),IFERROR(INDEX(Services!$P$5:$P$64,MATCH(M484,Services!$B$5:$B$64,0)),0),AD484*AH484))</f>
        <v>0</v>
      </c>
      <c r="AJ484" s="21">
        <f>IF(G484="","",IF(V484&lt;&gt;"",V484,IF(P484="Cancelled",0,MAX(MinimumCharge,ROUND(AI484*IFERROR(INDEX(FreqFactors,MATCH(O484,FreqNames,0)),1),2)))))</f>
        <v>0</v>
      </c>
      <c r="AK484" s="34">
        <f>IF(G484="","",IF(SUMIFS(Timesheets!$U$5:$U$804,Timesheets!$G$5:$G$804,A484)&gt;0,SUMIFS(Timesheets!$U$5:$U$804,Timesheets!$G$5:$G$804,A484),IF(Z484="","",Z484)))</f>
        <v>0</v>
      </c>
      <c r="AL484" s="34">
        <f>IF(OR(AK484="",AD484=""),"",AK484-AD484)</f>
        <v>0</v>
      </c>
      <c r="AM484" s="31">
        <f>IF(A484="","",COUNTIFS('Job Tasks'!$B$5:$B$904,A484))</f>
        <v>0</v>
      </c>
      <c r="AN484" s="31">
        <f>IF(A484="","",COUNTIFS('Job Tasks'!$B$5:$B$904,A484,'Job Tasks'!$H$5:$H$904,"Done"))</f>
        <v>0</v>
      </c>
      <c r="AO484" s="38">
        <f>IF(OR(A484="",AM484=0),"",AN484/AM484)</f>
        <v>0</v>
      </c>
      <c r="AP484" s="43">
        <f>IF(A484="","",IFERROR(INDEX('Invoice Lines'!$B$5:$B$804,MATCH(A484,'Invoice Lines'!$C$5:$C$804,0)),""))</f>
        <v>0</v>
      </c>
      <c r="AQ484" s="18">
        <f>IF(OR(G484="",B484="",X484&lt;&gt;"Yes"),"",IF(IFERROR(INDEX(FreqDays,MATCH(O484,FreqNames,0)),0)=0,"",B484+IFERROR(INDEX(FreqDays,MATCH(O484,FreqNames,0)),0)))</f>
        <v>0</v>
      </c>
      <c r="AR484" s="39">
        <f>IF(G484="","",IF(R484="","Unassigned",IF(COUNTIFS($R$5:$R$604,R484,$B$5:$B$604,B484,$F$5:$F$604,F484)&gt;1,"Clash",IF(SUMIFS($AF$5:$AF$604,$R$5:$R$604,R484,$B$5:$B$604,B484)&gt;ProductiveHours,"Long day","OK"))))</f>
        <v>0</v>
      </c>
      <c r="AS484" s="18">
        <f>IF(OR(G484="",B484=""),"",IF(AND(B484&gt;=TodayDate,P484&lt;&gt;"Cancelled"),B484,""))</f>
        <v>0</v>
      </c>
      <c r="AT484" s="31">
        <f>IF(AS484="","",COUNTIFS($AS$5:$AS$604,"&lt;"&amp;AS484)+COUNTIFS($AS$5:AS484,AS484))</f>
        <v>0</v>
      </c>
      <c r="AU484" s="18">
        <f>IF(OR(G484="",B484="",R484&lt;&gt;""),"",IF(AND(B484&gt;=TodayDate,P484&lt;&gt;"Cancelled"),B484,""))</f>
        <v>0</v>
      </c>
      <c r="AV484" s="31">
        <f>IF(AU484="","",COUNTIFS($AU$5:$AU$604,"&lt;"&amp;AU484)+COUNTIFS($AU$5:AU484,AU484))</f>
        <v>0</v>
      </c>
      <c r="AW484" s="31">
        <f>IF(OR(G484="",B484=""),"",B484-TodayDate)</f>
        <v>0</v>
      </c>
      <c r="AX484" s="39">
        <f>IF(G484="","",IF(P484="Cancelled","Cancelled",IF(P484="No access","Action - no access, rebook",IF(AND(B484&lt;&gt;"",AW484&lt;0,OR(P484="Booked",P484="Confirmed",P484="In progress")),"Late - mark it completed",IF(AND(P484="Completed",AP484=""),"Action - not invoiced yet",IF(AND(AW484&gt;=0,AW484&lt;=ReminderDays,Y484&lt;&gt;"Yes"),"Confirm - visit coming up",IF(R484="","Assign - no cleaner booked",IF(AND(P484="Completed",AO484&lt;&gt;"",AO484&lt;1),"Check - checklist unfinished","OK"))))))))</f>
        <v>0</v>
      </c>
    </row>
    <row r="485" spans="1:50">
      <c r="A485" s="43">
        <f>IF(G485="","",JobPrefix&amp;TEXT(ROW()-4,"0000"))</f>
        <v>0</v>
      </c>
      <c r="C485" s="23">
        <f>IF(B485="","",TEXT(B485,"ddd"))</f>
        <v>0</v>
      </c>
      <c r="D485" s="31">
        <f>IF(B485="","",WEEKNUM(B485,IF(WeekStart="Sunday",1,2)))</f>
        <v>0</v>
      </c>
      <c r="E485" s="23">
        <f>IF(B485="","",TEXT(B485,"yyyy-mm"))</f>
        <v>0</v>
      </c>
      <c r="H485" s="23">
        <f>IF(G485="","",IFERROR(INDEX(Clients!$B$5:$B$204,MATCH(G485,Clients!$A$5:$A$204,0)),"Not found"))</f>
        <v>0</v>
      </c>
      <c r="I485" s="23">
        <f>IF(G485="","",IFERROR(INDEX(Clients!$C$5:$C$204,MATCH(G485,Clients!$A$5:$A$204,0)),""))</f>
        <v>0</v>
      </c>
      <c r="K485" s="23">
        <f>IF(J485="","",IFERROR(INDEX(Properties!$B$5:$B$254,MATCH(J485,Properties!$A$5:$A$254,0)),""))</f>
        <v>0</v>
      </c>
      <c r="L485" s="23">
        <f>IF(J485="","",IFERROR(INDEX(Properties!$F$5:$F$254,MATCH(J485,Properties!$A$5:$A$254,0)),""))</f>
        <v>0</v>
      </c>
      <c r="AD485" s="34">
        <f>IF(G485="","",IF(U485&lt;&gt;"",U485,IF(AND(IFERROR(INDEX(Services!$D$5:$D$64,MATCH(M485,Services!$B$5:$B$64,0)),"")="Per hour",IFERROR(INDEX(Properties!$X$5:$X$254,MATCH(J485,Properties!$A$5:$A$254,0)),0)&gt;0),IFERROR(INDEX(Properties!$X$5:$X$254,MATCH(J485,Properties!$A$5:$A$254,0)),0),IF(IFERROR(INDEX(Services!$G$5:$G$64,MATCH(M485,Services!$B$5:$B$64,0)),0)&gt;0,IFERROR(INDEX(Services!$G$5:$G$64,MATCH(M485,Services!$B$5:$B$64,0)),0),IFERROR(INDEX(Properties!$X$5:$X$254,MATCH(J485,Properties!$A$5:$A$254,0)),0)))))</f>
        <v>0</v>
      </c>
      <c r="AE485" s="31">
        <f>IF(G485="","",IF(T485="",CleanersPerJob,MAX(1,T485)))</f>
        <v>0</v>
      </c>
      <c r="AF485" s="34">
        <f>IF(G485="","",ROUND(AD485/AE485,2))</f>
        <v>0</v>
      </c>
      <c r="AG485" s="53">
        <f>IF(OR(G485="",F485="",AF485=""),"",F485+AF485/24)</f>
        <v>0</v>
      </c>
      <c r="AH485" s="21">
        <f>IF(G485="","",IF(IFERROR(INDEX(Clients!$O$5:$O$204,MATCH(G485,Clients!$A$5:$A$204,0)),0)&gt;0,IFERROR(INDEX(Clients!$O$5:$O$204,MATCH(G485,Clients!$A$5:$A$204,0)),0),HourlyRate))</f>
        <v>0</v>
      </c>
      <c r="AI485" s="21">
        <f>IF(G485="","",IF(AND(M485&lt;&gt;"",IFERROR(INDEX(Services!$P$5:$P$64,MATCH(M485,Services!$B$5:$B$64,0)),0)&gt;0,IFERROR(INDEX(Services!$D$5:$D$64,MATCH(M485,Services!$B$5:$B$64,0)),"")&lt;&gt;"Per hour"),IFERROR(INDEX(Services!$P$5:$P$64,MATCH(M485,Services!$B$5:$B$64,0)),0),AD485*AH485))</f>
        <v>0</v>
      </c>
      <c r="AJ485" s="21">
        <f>IF(G485="","",IF(V485&lt;&gt;"",V485,IF(P485="Cancelled",0,MAX(MinimumCharge,ROUND(AI485*IFERROR(INDEX(FreqFactors,MATCH(O485,FreqNames,0)),1),2)))))</f>
        <v>0</v>
      </c>
      <c r="AK485" s="34">
        <f>IF(G485="","",IF(SUMIFS(Timesheets!$U$5:$U$804,Timesheets!$G$5:$G$804,A485)&gt;0,SUMIFS(Timesheets!$U$5:$U$804,Timesheets!$G$5:$G$804,A485),IF(Z485="","",Z485)))</f>
        <v>0</v>
      </c>
      <c r="AL485" s="34">
        <f>IF(OR(AK485="",AD485=""),"",AK485-AD485)</f>
        <v>0</v>
      </c>
      <c r="AM485" s="31">
        <f>IF(A485="","",COUNTIFS('Job Tasks'!$B$5:$B$904,A485))</f>
        <v>0</v>
      </c>
      <c r="AN485" s="31">
        <f>IF(A485="","",COUNTIFS('Job Tasks'!$B$5:$B$904,A485,'Job Tasks'!$H$5:$H$904,"Done"))</f>
        <v>0</v>
      </c>
      <c r="AO485" s="38">
        <f>IF(OR(A485="",AM485=0),"",AN485/AM485)</f>
        <v>0</v>
      </c>
      <c r="AP485" s="43">
        <f>IF(A485="","",IFERROR(INDEX('Invoice Lines'!$B$5:$B$804,MATCH(A485,'Invoice Lines'!$C$5:$C$804,0)),""))</f>
        <v>0</v>
      </c>
      <c r="AQ485" s="18">
        <f>IF(OR(G485="",B485="",X485&lt;&gt;"Yes"),"",IF(IFERROR(INDEX(FreqDays,MATCH(O485,FreqNames,0)),0)=0,"",B485+IFERROR(INDEX(FreqDays,MATCH(O485,FreqNames,0)),0)))</f>
        <v>0</v>
      </c>
      <c r="AR485" s="39">
        <f>IF(G485="","",IF(R485="","Unassigned",IF(COUNTIFS($R$5:$R$604,R485,$B$5:$B$604,B485,$F$5:$F$604,F485)&gt;1,"Clash",IF(SUMIFS($AF$5:$AF$604,$R$5:$R$604,R485,$B$5:$B$604,B485)&gt;ProductiveHours,"Long day","OK"))))</f>
        <v>0</v>
      </c>
      <c r="AS485" s="18">
        <f>IF(OR(G485="",B485=""),"",IF(AND(B485&gt;=TodayDate,P485&lt;&gt;"Cancelled"),B485,""))</f>
        <v>0</v>
      </c>
      <c r="AT485" s="31">
        <f>IF(AS485="","",COUNTIFS($AS$5:$AS$604,"&lt;"&amp;AS485)+COUNTIFS($AS$5:AS485,AS485))</f>
        <v>0</v>
      </c>
      <c r="AU485" s="18">
        <f>IF(OR(G485="",B485="",R485&lt;&gt;""),"",IF(AND(B485&gt;=TodayDate,P485&lt;&gt;"Cancelled"),B485,""))</f>
        <v>0</v>
      </c>
      <c r="AV485" s="31">
        <f>IF(AU485="","",COUNTIFS($AU$5:$AU$604,"&lt;"&amp;AU485)+COUNTIFS($AU$5:AU485,AU485))</f>
        <v>0</v>
      </c>
      <c r="AW485" s="31">
        <f>IF(OR(G485="",B485=""),"",B485-TodayDate)</f>
        <v>0</v>
      </c>
      <c r="AX485" s="39">
        <f>IF(G485="","",IF(P485="Cancelled","Cancelled",IF(P485="No access","Action - no access, rebook",IF(AND(B485&lt;&gt;"",AW485&lt;0,OR(P485="Booked",P485="Confirmed",P485="In progress")),"Late - mark it completed",IF(AND(P485="Completed",AP485=""),"Action - not invoiced yet",IF(AND(AW485&gt;=0,AW485&lt;=ReminderDays,Y485&lt;&gt;"Yes"),"Confirm - visit coming up",IF(R485="","Assign - no cleaner booked",IF(AND(P485="Completed",AO485&lt;&gt;"",AO485&lt;1),"Check - checklist unfinished","OK"))))))))</f>
        <v>0</v>
      </c>
    </row>
    <row r="486" spans="1:50">
      <c r="A486" s="43">
        <f>IF(G486="","",JobPrefix&amp;TEXT(ROW()-4,"0000"))</f>
        <v>0</v>
      </c>
      <c r="C486" s="23">
        <f>IF(B486="","",TEXT(B486,"ddd"))</f>
        <v>0</v>
      </c>
      <c r="D486" s="31">
        <f>IF(B486="","",WEEKNUM(B486,IF(WeekStart="Sunday",1,2)))</f>
        <v>0</v>
      </c>
      <c r="E486" s="23">
        <f>IF(B486="","",TEXT(B486,"yyyy-mm"))</f>
        <v>0</v>
      </c>
      <c r="H486" s="23">
        <f>IF(G486="","",IFERROR(INDEX(Clients!$B$5:$B$204,MATCH(G486,Clients!$A$5:$A$204,0)),"Not found"))</f>
        <v>0</v>
      </c>
      <c r="I486" s="23">
        <f>IF(G486="","",IFERROR(INDEX(Clients!$C$5:$C$204,MATCH(G486,Clients!$A$5:$A$204,0)),""))</f>
        <v>0</v>
      </c>
      <c r="K486" s="23">
        <f>IF(J486="","",IFERROR(INDEX(Properties!$B$5:$B$254,MATCH(J486,Properties!$A$5:$A$254,0)),""))</f>
        <v>0</v>
      </c>
      <c r="L486" s="23">
        <f>IF(J486="","",IFERROR(INDEX(Properties!$F$5:$F$254,MATCH(J486,Properties!$A$5:$A$254,0)),""))</f>
        <v>0</v>
      </c>
      <c r="AD486" s="34">
        <f>IF(G486="","",IF(U486&lt;&gt;"",U486,IF(AND(IFERROR(INDEX(Services!$D$5:$D$64,MATCH(M486,Services!$B$5:$B$64,0)),"")="Per hour",IFERROR(INDEX(Properties!$X$5:$X$254,MATCH(J486,Properties!$A$5:$A$254,0)),0)&gt;0),IFERROR(INDEX(Properties!$X$5:$X$254,MATCH(J486,Properties!$A$5:$A$254,0)),0),IF(IFERROR(INDEX(Services!$G$5:$G$64,MATCH(M486,Services!$B$5:$B$64,0)),0)&gt;0,IFERROR(INDEX(Services!$G$5:$G$64,MATCH(M486,Services!$B$5:$B$64,0)),0),IFERROR(INDEX(Properties!$X$5:$X$254,MATCH(J486,Properties!$A$5:$A$254,0)),0)))))</f>
        <v>0</v>
      </c>
      <c r="AE486" s="31">
        <f>IF(G486="","",IF(T486="",CleanersPerJob,MAX(1,T486)))</f>
        <v>0</v>
      </c>
      <c r="AF486" s="34">
        <f>IF(G486="","",ROUND(AD486/AE486,2))</f>
        <v>0</v>
      </c>
      <c r="AG486" s="53">
        <f>IF(OR(G486="",F486="",AF486=""),"",F486+AF486/24)</f>
        <v>0</v>
      </c>
      <c r="AH486" s="21">
        <f>IF(G486="","",IF(IFERROR(INDEX(Clients!$O$5:$O$204,MATCH(G486,Clients!$A$5:$A$204,0)),0)&gt;0,IFERROR(INDEX(Clients!$O$5:$O$204,MATCH(G486,Clients!$A$5:$A$204,0)),0),HourlyRate))</f>
        <v>0</v>
      </c>
      <c r="AI486" s="21">
        <f>IF(G486="","",IF(AND(M486&lt;&gt;"",IFERROR(INDEX(Services!$P$5:$P$64,MATCH(M486,Services!$B$5:$B$64,0)),0)&gt;0,IFERROR(INDEX(Services!$D$5:$D$64,MATCH(M486,Services!$B$5:$B$64,0)),"")&lt;&gt;"Per hour"),IFERROR(INDEX(Services!$P$5:$P$64,MATCH(M486,Services!$B$5:$B$64,0)),0),AD486*AH486))</f>
        <v>0</v>
      </c>
      <c r="AJ486" s="21">
        <f>IF(G486="","",IF(V486&lt;&gt;"",V486,IF(P486="Cancelled",0,MAX(MinimumCharge,ROUND(AI486*IFERROR(INDEX(FreqFactors,MATCH(O486,FreqNames,0)),1),2)))))</f>
        <v>0</v>
      </c>
      <c r="AK486" s="34">
        <f>IF(G486="","",IF(SUMIFS(Timesheets!$U$5:$U$804,Timesheets!$G$5:$G$804,A486)&gt;0,SUMIFS(Timesheets!$U$5:$U$804,Timesheets!$G$5:$G$804,A486),IF(Z486="","",Z486)))</f>
        <v>0</v>
      </c>
      <c r="AL486" s="34">
        <f>IF(OR(AK486="",AD486=""),"",AK486-AD486)</f>
        <v>0</v>
      </c>
      <c r="AM486" s="31">
        <f>IF(A486="","",COUNTIFS('Job Tasks'!$B$5:$B$904,A486))</f>
        <v>0</v>
      </c>
      <c r="AN486" s="31">
        <f>IF(A486="","",COUNTIFS('Job Tasks'!$B$5:$B$904,A486,'Job Tasks'!$H$5:$H$904,"Done"))</f>
        <v>0</v>
      </c>
      <c r="AO486" s="38">
        <f>IF(OR(A486="",AM486=0),"",AN486/AM486)</f>
        <v>0</v>
      </c>
      <c r="AP486" s="43">
        <f>IF(A486="","",IFERROR(INDEX('Invoice Lines'!$B$5:$B$804,MATCH(A486,'Invoice Lines'!$C$5:$C$804,0)),""))</f>
        <v>0</v>
      </c>
      <c r="AQ486" s="18">
        <f>IF(OR(G486="",B486="",X486&lt;&gt;"Yes"),"",IF(IFERROR(INDEX(FreqDays,MATCH(O486,FreqNames,0)),0)=0,"",B486+IFERROR(INDEX(FreqDays,MATCH(O486,FreqNames,0)),0)))</f>
        <v>0</v>
      </c>
      <c r="AR486" s="39">
        <f>IF(G486="","",IF(R486="","Unassigned",IF(COUNTIFS($R$5:$R$604,R486,$B$5:$B$604,B486,$F$5:$F$604,F486)&gt;1,"Clash",IF(SUMIFS($AF$5:$AF$604,$R$5:$R$604,R486,$B$5:$B$604,B486)&gt;ProductiveHours,"Long day","OK"))))</f>
        <v>0</v>
      </c>
      <c r="AS486" s="18">
        <f>IF(OR(G486="",B486=""),"",IF(AND(B486&gt;=TodayDate,P486&lt;&gt;"Cancelled"),B486,""))</f>
        <v>0</v>
      </c>
      <c r="AT486" s="31">
        <f>IF(AS486="","",COUNTIFS($AS$5:$AS$604,"&lt;"&amp;AS486)+COUNTIFS($AS$5:AS486,AS486))</f>
        <v>0</v>
      </c>
      <c r="AU486" s="18">
        <f>IF(OR(G486="",B486="",R486&lt;&gt;""),"",IF(AND(B486&gt;=TodayDate,P486&lt;&gt;"Cancelled"),B486,""))</f>
        <v>0</v>
      </c>
      <c r="AV486" s="31">
        <f>IF(AU486="","",COUNTIFS($AU$5:$AU$604,"&lt;"&amp;AU486)+COUNTIFS($AU$5:AU486,AU486))</f>
        <v>0</v>
      </c>
      <c r="AW486" s="31">
        <f>IF(OR(G486="",B486=""),"",B486-TodayDate)</f>
        <v>0</v>
      </c>
      <c r="AX486" s="39">
        <f>IF(G486="","",IF(P486="Cancelled","Cancelled",IF(P486="No access","Action - no access, rebook",IF(AND(B486&lt;&gt;"",AW486&lt;0,OR(P486="Booked",P486="Confirmed",P486="In progress")),"Late - mark it completed",IF(AND(P486="Completed",AP486=""),"Action - not invoiced yet",IF(AND(AW486&gt;=0,AW486&lt;=ReminderDays,Y486&lt;&gt;"Yes"),"Confirm - visit coming up",IF(R486="","Assign - no cleaner booked",IF(AND(P486="Completed",AO486&lt;&gt;"",AO486&lt;1),"Check - checklist unfinished","OK"))))))))</f>
        <v>0</v>
      </c>
    </row>
    <row r="487" spans="1:50">
      <c r="A487" s="43">
        <f>IF(G487="","",JobPrefix&amp;TEXT(ROW()-4,"0000"))</f>
        <v>0</v>
      </c>
      <c r="C487" s="23">
        <f>IF(B487="","",TEXT(B487,"ddd"))</f>
        <v>0</v>
      </c>
      <c r="D487" s="31">
        <f>IF(B487="","",WEEKNUM(B487,IF(WeekStart="Sunday",1,2)))</f>
        <v>0</v>
      </c>
      <c r="E487" s="23">
        <f>IF(B487="","",TEXT(B487,"yyyy-mm"))</f>
        <v>0</v>
      </c>
      <c r="H487" s="23">
        <f>IF(G487="","",IFERROR(INDEX(Clients!$B$5:$B$204,MATCH(G487,Clients!$A$5:$A$204,0)),"Not found"))</f>
        <v>0</v>
      </c>
      <c r="I487" s="23">
        <f>IF(G487="","",IFERROR(INDEX(Clients!$C$5:$C$204,MATCH(G487,Clients!$A$5:$A$204,0)),""))</f>
        <v>0</v>
      </c>
      <c r="K487" s="23">
        <f>IF(J487="","",IFERROR(INDEX(Properties!$B$5:$B$254,MATCH(J487,Properties!$A$5:$A$254,0)),""))</f>
        <v>0</v>
      </c>
      <c r="L487" s="23">
        <f>IF(J487="","",IFERROR(INDEX(Properties!$F$5:$F$254,MATCH(J487,Properties!$A$5:$A$254,0)),""))</f>
        <v>0</v>
      </c>
      <c r="AD487" s="34">
        <f>IF(G487="","",IF(U487&lt;&gt;"",U487,IF(AND(IFERROR(INDEX(Services!$D$5:$D$64,MATCH(M487,Services!$B$5:$B$64,0)),"")="Per hour",IFERROR(INDEX(Properties!$X$5:$X$254,MATCH(J487,Properties!$A$5:$A$254,0)),0)&gt;0),IFERROR(INDEX(Properties!$X$5:$X$254,MATCH(J487,Properties!$A$5:$A$254,0)),0),IF(IFERROR(INDEX(Services!$G$5:$G$64,MATCH(M487,Services!$B$5:$B$64,0)),0)&gt;0,IFERROR(INDEX(Services!$G$5:$G$64,MATCH(M487,Services!$B$5:$B$64,0)),0),IFERROR(INDEX(Properties!$X$5:$X$254,MATCH(J487,Properties!$A$5:$A$254,0)),0)))))</f>
        <v>0</v>
      </c>
      <c r="AE487" s="31">
        <f>IF(G487="","",IF(T487="",CleanersPerJob,MAX(1,T487)))</f>
        <v>0</v>
      </c>
      <c r="AF487" s="34">
        <f>IF(G487="","",ROUND(AD487/AE487,2))</f>
        <v>0</v>
      </c>
      <c r="AG487" s="53">
        <f>IF(OR(G487="",F487="",AF487=""),"",F487+AF487/24)</f>
        <v>0</v>
      </c>
      <c r="AH487" s="21">
        <f>IF(G487="","",IF(IFERROR(INDEX(Clients!$O$5:$O$204,MATCH(G487,Clients!$A$5:$A$204,0)),0)&gt;0,IFERROR(INDEX(Clients!$O$5:$O$204,MATCH(G487,Clients!$A$5:$A$204,0)),0),HourlyRate))</f>
        <v>0</v>
      </c>
      <c r="AI487" s="21">
        <f>IF(G487="","",IF(AND(M487&lt;&gt;"",IFERROR(INDEX(Services!$P$5:$P$64,MATCH(M487,Services!$B$5:$B$64,0)),0)&gt;0,IFERROR(INDEX(Services!$D$5:$D$64,MATCH(M487,Services!$B$5:$B$64,0)),"")&lt;&gt;"Per hour"),IFERROR(INDEX(Services!$P$5:$P$64,MATCH(M487,Services!$B$5:$B$64,0)),0),AD487*AH487))</f>
        <v>0</v>
      </c>
      <c r="AJ487" s="21">
        <f>IF(G487="","",IF(V487&lt;&gt;"",V487,IF(P487="Cancelled",0,MAX(MinimumCharge,ROUND(AI487*IFERROR(INDEX(FreqFactors,MATCH(O487,FreqNames,0)),1),2)))))</f>
        <v>0</v>
      </c>
      <c r="AK487" s="34">
        <f>IF(G487="","",IF(SUMIFS(Timesheets!$U$5:$U$804,Timesheets!$G$5:$G$804,A487)&gt;0,SUMIFS(Timesheets!$U$5:$U$804,Timesheets!$G$5:$G$804,A487),IF(Z487="","",Z487)))</f>
        <v>0</v>
      </c>
      <c r="AL487" s="34">
        <f>IF(OR(AK487="",AD487=""),"",AK487-AD487)</f>
        <v>0</v>
      </c>
      <c r="AM487" s="31">
        <f>IF(A487="","",COUNTIFS('Job Tasks'!$B$5:$B$904,A487))</f>
        <v>0</v>
      </c>
      <c r="AN487" s="31">
        <f>IF(A487="","",COUNTIFS('Job Tasks'!$B$5:$B$904,A487,'Job Tasks'!$H$5:$H$904,"Done"))</f>
        <v>0</v>
      </c>
      <c r="AO487" s="38">
        <f>IF(OR(A487="",AM487=0),"",AN487/AM487)</f>
        <v>0</v>
      </c>
      <c r="AP487" s="43">
        <f>IF(A487="","",IFERROR(INDEX('Invoice Lines'!$B$5:$B$804,MATCH(A487,'Invoice Lines'!$C$5:$C$804,0)),""))</f>
        <v>0</v>
      </c>
      <c r="AQ487" s="18">
        <f>IF(OR(G487="",B487="",X487&lt;&gt;"Yes"),"",IF(IFERROR(INDEX(FreqDays,MATCH(O487,FreqNames,0)),0)=0,"",B487+IFERROR(INDEX(FreqDays,MATCH(O487,FreqNames,0)),0)))</f>
        <v>0</v>
      </c>
      <c r="AR487" s="39">
        <f>IF(G487="","",IF(R487="","Unassigned",IF(COUNTIFS($R$5:$R$604,R487,$B$5:$B$604,B487,$F$5:$F$604,F487)&gt;1,"Clash",IF(SUMIFS($AF$5:$AF$604,$R$5:$R$604,R487,$B$5:$B$604,B487)&gt;ProductiveHours,"Long day","OK"))))</f>
        <v>0</v>
      </c>
      <c r="AS487" s="18">
        <f>IF(OR(G487="",B487=""),"",IF(AND(B487&gt;=TodayDate,P487&lt;&gt;"Cancelled"),B487,""))</f>
        <v>0</v>
      </c>
      <c r="AT487" s="31">
        <f>IF(AS487="","",COUNTIFS($AS$5:$AS$604,"&lt;"&amp;AS487)+COUNTIFS($AS$5:AS487,AS487))</f>
        <v>0</v>
      </c>
      <c r="AU487" s="18">
        <f>IF(OR(G487="",B487="",R487&lt;&gt;""),"",IF(AND(B487&gt;=TodayDate,P487&lt;&gt;"Cancelled"),B487,""))</f>
        <v>0</v>
      </c>
      <c r="AV487" s="31">
        <f>IF(AU487="","",COUNTIFS($AU$5:$AU$604,"&lt;"&amp;AU487)+COUNTIFS($AU$5:AU487,AU487))</f>
        <v>0</v>
      </c>
      <c r="AW487" s="31">
        <f>IF(OR(G487="",B487=""),"",B487-TodayDate)</f>
        <v>0</v>
      </c>
      <c r="AX487" s="39">
        <f>IF(G487="","",IF(P487="Cancelled","Cancelled",IF(P487="No access","Action - no access, rebook",IF(AND(B487&lt;&gt;"",AW487&lt;0,OR(P487="Booked",P487="Confirmed",P487="In progress")),"Late - mark it completed",IF(AND(P487="Completed",AP487=""),"Action - not invoiced yet",IF(AND(AW487&gt;=0,AW487&lt;=ReminderDays,Y487&lt;&gt;"Yes"),"Confirm - visit coming up",IF(R487="","Assign - no cleaner booked",IF(AND(P487="Completed",AO487&lt;&gt;"",AO487&lt;1),"Check - checklist unfinished","OK"))))))))</f>
        <v>0</v>
      </c>
    </row>
    <row r="488" spans="1:50">
      <c r="A488" s="43">
        <f>IF(G488="","",JobPrefix&amp;TEXT(ROW()-4,"0000"))</f>
        <v>0</v>
      </c>
      <c r="C488" s="23">
        <f>IF(B488="","",TEXT(B488,"ddd"))</f>
        <v>0</v>
      </c>
      <c r="D488" s="31">
        <f>IF(B488="","",WEEKNUM(B488,IF(WeekStart="Sunday",1,2)))</f>
        <v>0</v>
      </c>
      <c r="E488" s="23">
        <f>IF(B488="","",TEXT(B488,"yyyy-mm"))</f>
        <v>0</v>
      </c>
      <c r="H488" s="23">
        <f>IF(G488="","",IFERROR(INDEX(Clients!$B$5:$B$204,MATCH(G488,Clients!$A$5:$A$204,0)),"Not found"))</f>
        <v>0</v>
      </c>
      <c r="I488" s="23">
        <f>IF(G488="","",IFERROR(INDEX(Clients!$C$5:$C$204,MATCH(G488,Clients!$A$5:$A$204,0)),""))</f>
        <v>0</v>
      </c>
      <c r="K488" s="23">
        <f>IF(J488="","",IFERROR(INDEX(Properties!$B$5:$B$254,MATCH(J488,Properties!$A$5:$A$254,0)),""))</f>
        <v>0</v>
      </c>
      <c r="L488" s="23">
        <f>IF(J488="","",IFERROR(INDEX(Properties!$F$5:$F$254,MATCH(J488,Properties!$A$5:$A$254,0)),""))</f>
        <v>0</v>
      </c>
      <c r="AD488" s="34">
        <f>IF(G488="","",IF(U488&lt;&gt;"",U488,IF(AND(IFERROR(INDEX(Services!$D$5:$D$64,MATCH(M488,Services!$B$5:$B$64,0)),"")="Per hour",IFERROR(INDEX(Properties!$X$5:$X$254,MATCH(J488,Properties!$A$5:$A$254,0)),0)&gt;0),IFERROR(INDEX(Properties!$X$5:$X$254,MATCH(J488,Properties!$A$5:$A$254,0)),0),IF(IFERROR(INDEX(Services!$G$5:$G$64,MATCH(M488,Services!$B$5:$B$64,0)),0)&gt;0,IFERROR(INDEX(Services!$G$5:$G$64,MATCH(M488,Services!$B$5:$B$64,0)),0),IFERROR(INDEX(Properties!$X$5:$X$254,MATCH(J488,Properties!$A$5:$A$254,0)),0)))))</f>
        <v>0</v>
      </c>
      <c r="AE488" s="31">
        <f>IF(G488="","",IF(T488="",CleanersPerJob,MAX(1,T488)))</f>
        <v>0</v>
      </c>
      <c r="AF488" s="34">
        <f>IF(G488="","",ROUND(AD488/AE488,2))</f>
        <v>0</v>
      </c>
      <c r="AG488" s="53">
        <f>IF(OR(G488="",F488="",AF488=""),"",F488+AF488/24)</f>
        <v>0</v>
      </c>
      <c r="AH488" s="21">
        <f>IF(G488="","",IF(IFERROR(INDEX(Clients!$O$5:$O$204,MATCH(G488,Clients!$A$5:$A$204,0)),0)&gt;0,IFERROR(INDEX(Clients!$O$5:$O$204,MATCH(G488,Clients!$A$5:$A$204,0)),0),HourlyRate))</f>
        <v>0</v>
      </c>
      <c r="AI488" s="21">
        <f>IF(G488="","",IF(AND(M488&lt;&gt;"",IFERROR(INDEX(Services!$P$5:$P$64,MATCH(M488,Services!$B$5:$B$64,0)),0)&gt;0,IFERROR(INDEX(Services!$D$5:$D$64,MATCH(M488,Services!$B$5:$B$64,0)),"")&lt;&gt;"Per hour"),IFERROR(INDEX(Services!$P$5:$P$64,MATCH(M488,Services!$B$5:$B$64,0)),0),AD488*AH488))</f>
        <v>0</v>
      </c>
      <c r="AJ488" s="21">
        <f>IF(G488="","",IF(V488&lt;&gt;"",V488,IF(P488="Cancelled",0,MAX(MinimumCharge,ROUND(AI488*IFERROR(INDEX(FreqFactors,MATCH(O488,FreqNames,0)),1),2)))))</f>
        <v>0</v>
      </c>
      <c r="AK488" s="34">
        <f>IF(G488="","",IF(SUMIFS(Timesheets!$U$5:$U$804,Timesheets!$G$5:$G$804,A488)&gt;0,SUMIFS(Timesheets!$U$5:$U$804,Timesheets!$G$5:$G$804,A488),IF(Z488="","",Z488)))</f>
        <v>0</v>
      </c>
      <c r="AL488" s="34">
        <f>IF(OR(AK488="",AD488=""),"",AK488-AD488)</f>
        <v>0</v>
      </c>
      <c r="AM488" s="31">
        <f>IF(A488="","",COUNTIFS('Job Tasks'!$B$5:$B$904,A488))</f>
        <v>0</v>
      </c>
      <c r="AN488" s="31">
        <f>IF(A488="","",COUNTIFS('Job Tasks'!$B$5:$B$904,A488,'Job Tasks'!$H$5:$H$904,"Done"))</f>
        <v>0</v>
      </c>
      <c r="AO488" s="38">
        <f>IF(OR(A488="",AM488=0),"",AN488/AM488)</f>
        <v>0</v>
      </c>
      <c r="AP488" s="43">
        <f>IF(A488="","",IFERROR(INDEX('Invoice Lines'!$B$5:$B$804,MATCH(A488,'Invoice Lines'!$C$5:$C$804,0)),""))</f>
        <v>0</v>
      </c>
      <c r="AQ488" s="18">
        <f>IF(OR(G488="",B488="",X488&lt;&gt;"Yes"),"",IF(IFERROR(INDEX(FreqDays,MATCH(O488,FreqNames,0)),0)=0,"",B488+IFERROR(INDEX(FreqDays,MATCH(O488,FreqNames,0)),0)))</f>
        <v>0</v>
      </c>
      <c r="AR488" s="39">
        <f>IF(G488="","",IF(R488="","Unassigned",IF(COUNTIFS($R$5:$R$604,R488,$B$5:$B$604,B488,$F$5:$F$604,F488)&gt;1,"Clash",IF(SUMIFS($AF$5:$AF$604,$R$5:$R$604,R488,$B$5:$B$604,B488)&gt;ProductiveHours,"Long day","OK"))))</f>
        <v>0</v>
      </c>
      <c r="AS488" s="18">
        <f>IF(OR(G488="",B488=""),"",IF(AND(B488&gt;=TodayDate,P488&lt;&gt;"Cancelled"),B488,""))</f>
        <v>0</v>
      </c>
      <c r="AT488" s="31">
        <f>IF(AS488="","",COUNTIFS($AS$5:$AS$604,"&lt;"&amp;AS488)+COUNTIFS($AS$5:AS488,AS488))</f>
        <v>0</v>
      </c>
      <c r="AU488" s="18">
        <f>IF(OR(G488="",B488="",R488&lt;&gt;""),"",IF(AND(B488&gt;=TodayDate,P488&lt;&gt;"Cancelled"),B488,""))</f>
        <v>0</v>
      </c>
      <c r="AV488" s="31">
        <f>IF(AU488="","",COUNTIFS($AU$5:$AU$604,"&lt;"&amp;AU488)+COUNTIFS($AU$5:AU488,AU488))</f>
        <v>0</v>
      </c>
      <c r="AW488" s="31">
        <f>IF(OR(G488="",B488=""),"",B488-TodayDate)</f>
        <v>0</v>
      </c>
      <c r="AX488" s="39">
        <f>IF(G488="","",IF(P488="Cancelled","Cancelled",IF(P488="No access","Action - no access, rebook",IF(AND(B488&lt;&gt;"",AW488&lt;0,OR(P488="Booked",P488="Confirmed",P488="In progress")),"Late - mark it completed",IF(AND(P488="Completed",AP488=""),"Action - not invoiced yet",IF(AND(AW488&gt;=0,AW488&lt;=ReminderDays,Y488&lt;&gt;"Yes"),"Confirm - visit coming up",IF(R488="","Assign - no cleaner booked",IF(AND(P488="Completed",AO488&lt;&gt;"",AO488&lt;1),"Check - checklist unfinished","OK"))))))))</f>
        <v>0</v>
      </c>
    </row>
    <row r="489" spans="1:50">
      <c r="A489" s="43">
        <f>IF(G489="","",JobPrefix&amp;TEXT(ROW()-4,"0000"))</f>
        <v>0</v>
      </c>
      <c r="C489" s="23">
        <f>IF(B489="","",TEXT(B489,"ddd"))</f>
        <v>0</v>
      </c>
      <c r="D489" s="31">
        <f>IF(B489="","",WEEKNUM(B489,IF(WeekStart="Sunday",1,2)))</f>
        <v>0</v>
      </c>
      <c r="E489" s="23">
        <f>IF(B489="","",TEXT(B489,"yyyy-mm"))</f>
        <v>0</v>
      </c>
      <c r="H489" s="23">
        <f>IF(G489="","",IFERROR(INDEX(Clients!$B$5:$B$204,MATCH(G489,Clients!$A$5:$A$204,0)),"Not found"))</f>
        <v>0</v>
      </c>
      <c r="I489" s="23">
        <f>IF(G489="","",IFERROR(INDEX(Clients!$C$5:$C$204,MATCH(G489,Clients!$A$5:$A$204,0)),""))</f>
        <v>0</v>
      </c>
      <c r="K489" s="23">
        <f>IF(J489="","",IFERROR(INDEX(Properties!$B$5:$B$254,MATCH(J489,Properties!$A$5:$A$254,0)),""))</f>
        <v>0</v>
      </c>
      <c r="L489" s="23">
        <f>IF(J489="","",IFERROR(INDEX(Properties!$F$5:$F$254,MATCH(J489,Properties!$A$5:$A$254,0)),""))</f>
        <v>0</v>
      </c>
      <c r="AD489" s="34">
        <f>IF(G489="","",IF(U489&lt;&gt;"",U489,IF(AND(IFERROR(INDEX(Services!$D$5:$D$64,MATCH(M489,Services!$B$5:$B$64,0)),"")="Per hour",IFERROR(INDEX(Properties!$X$5:$X$254,MATCH(J489,Properties!$A$5:$A$254,0)),0)&gt;0),IFERROR(INDEX(Properties!$X$5:$X$254,MATCH(J489,Properties!$A$5:$A$254,0)),0),IF(IFERROR(INDEX(Services!$G$5:$G$64,MATCH(M489,Services!$B$5:$B$64,0)),0)&gt;0,IFERROR(INDEX(Services!$G$5:$G$64,MATCH(M489,Services!$B$5:$B$64,0)),0),IFERROR(INDEX(Properties!$X$5:$X$254,MATCH(J489,Properties!$A$5:$A$254,0)),0)))))</f>
        <v>0</v>
      </c>
      <c r="AE489" s="31">
        <f>IF(G489="","",IF(T489="",CleanersPerJob,MAX(1,T489)))</f>
        <v>0</v>
      </c>
      <c r="AF489" s="34">
        <f>IF(G489="","",ROUND(AD489/AE489,2))</f>
        <v>0</v>
      </c>
      <c r="AG489" s="53">
        <f>IF(OR(G489="",F489="",AF489=""),"",F489+AF489/24)</f>
        <v>0</v>
      </c>
      <c r="AH489" s="21">
        <f>IF(G489="","",IF(IFERROR(INDEX(Clients!$O$5:$O$204,MATCH(G489,Clients!$A$5:$A$204,0)),0)&gt;0,IFERROR(INDEX(Clients!$O$5:$O$204,MATCH(G489,Clients!$A$5:$A$204,0)),0),HourlyRate))</f>
        <v>0</v>
      </c>
      <c r="AI489" s="21">
        <f>IF(G489="","",IF(AND(M489&lt;&gt;"",IFERROR(INDEX(Services!$P$5:$P$64,MATCH(M489,Services!$B$5:$B$64,0)),0)&gt;0,IFERROR(INDEX(Services!$D$5:$D$64,MATCH(M489,Services!$B$5:$B$64,0)),"")&lt;&gt;"Per hour"),IFERROR(INDEX(Services!$P$5:$P$64,MATCH(M489,Services!$B$5:$B$64,0)),0),AD489*AH489))</f>
        <v>0</v>
      </c>
      <c r="AJ489" s="21">
        <f>IF(G489="","",IF(V489&lt;&gt;"",V489,IF(P489="Cancelled",0,MAX(MinimumCharge,ROUND(AI489*IFERROR(INDEX(FreqFactors,MATCH(O489,FreqNames,0)),1),2)))))</f>
        <v>0</v>
      </c>
      <c r="AK489" s="34">
        <f>IF(G489="","",IF(SUMIFS(Timesheets!$U$5:$U$804,Timesheets!$G$5:$G$804,A489)&gt;0,SUMIFS(Timesheets!$U$5:$U$804,Timesheets!$G$5:$G$804,A489),IF(Z489="","",Z489)))</f>
        <v>0</v>
      </c>
      <c r="AL489" s="34">
        <f>IF(OR(AK489="",AD489=""),"",AK489-AD489)</f>
        <v>0</v>
      </c>
      <c r="AM489" s="31">
        <f>IF(A489="","",COUNTIFS('Job Tasks'!$B$5:$B$904,A489))</f>
        <v>0</v>
      </c>
      <c r="AN489" s="31">
        <f>IF(A489="","",COUNTIFS('Job Tasks'!$B$5:$B$904,A489,'Job Tasks'!$H$5:$H$904,"Done"))</f>
        <v>0</v>
      </c>
      <c r="AO489" s="38">
        <f>IF(OR(A489="",AM489=0),"",AN489/AM489)</f>
        <v>0</v>
      </c>
      <c r="AP489" s="43">
        <f>IF(A489="","",IFERROR(INDEX('Invoice Lines'!$B$5:$B$804,MATCH(A489,'Invoice Lines'!$C$5:$C$804,0)),""))</f>
        <v>0</v>
      </c>
      <c r="AQ489" s="18">
        <f>IF(OR(G489="",B489="",X489&lt;&gt;"Yes"),"",IF(IFERROR(INDEX(FreqDays,MATCH(O489,FreqNames,0)),0)=0,"",B489+IFERROR(INDEX(FreqDays,MATCH(O489,FreqNames,0)),0)))</f>
        <v>0</v>
      </c>
      <c r="AR489" s="39">
        <f>IF(G489="","",IF(R489="","Unassigned",IF(COUNTIFS($R$5:$R$604,R489,$B$5:$B$604,B489,$F$5:$F$604,F489)&gt;1,"Clash",IF(SUMIFS($AF$5:$AF$604,$R$5:$R$604,R489,$B$5:$B$604,B489)&gt;ProductiveHours,"Long day","OK"))))</f>
        <v>0</v>
      </c>
      <c r="AS489" s="18">
        <f>IF(OR(G489="",B489=""),"",IF(AND(B489&gt;=TodayDate,P489&lt;&gt;"Cancelled"),B489,""))</f>
        <v>0</v>
      </c>
      <c r="AT489" s="31">
        <f>IF(AS489="","",COUNTIFS($AS$5:$AS$604,"&lt;"&amp;AS489)+COUNTIFS($AS$5:AS489,AS489))</f>
        <v>0</v>
      </c>
      <c r="AU489" s="18">
        <f>IF(OR(G489="",B489="",R489&lt;&gt;""),"",IF(AND(B489&gt;=TodayDate,P489&lt;&gt;"Cancelled"),B489,""))</f>
        <v>0</v>
      </c>
      <c r="AV489" s="31">
        <f>IF(AU489="","",COUNTIFS($AU$5:$AU$604,"&lt;"&amp;AU489)+COUNTIFS($AU$5:AU489,AU489))</f>
        <v>0</v>
      </c>
      <c r="AW489" s="31">
        <f>IF(OR(G489="",B489=""),"",B489-TodayDate)</f>
        <v>0</v>
      </c>
      <c r="AX489" s="39">
        <f>IF(G489="","",IF(P489="Cancelled","Cancelled",IF(P489="No access","Action - no access, rebook",IF(AND(B489&lt;&gt;"",AW489&lt;0,OR(P489="Booked",P489="Confirmed",P489="In progress")),"Late - mark it completed",IF(AND(P489="Completed",AP489=""),"Action - not invoiced yet",IF(AND(AW489&gt;=0,AW489&lt;=ReminderDays,Y489&lt;&gt;"Yes"),"Confirm - visit coming up",IF(R489="","Assign - no cleaner booked",IF(AND(P489="Completed",AO489&lt;&gt;"",AO489&lt;1),"Check - checklist unfinished","OK"))))))))</f>
        <v>0</v>
      </c>
    </row>
    <row r="490" spans="1:50">
      <c r="A490" s="43">
        <f>IF(G490="","",JobPrefix&amp;TEXT(ROW()-4,"0000"))</f>
        <v>0</v>
      </c>
      <c r="C490" s="23">
        <f>IF(B490="","",TEXT(B490,"ddd"))</f>
        <v>0</v>
      </c>
      <c r="D490" s="31">
        <f>IF(B490="","",WEEKNUM(B490,IF(WeekStart="Sunday",1,2)))</f>
        <v>0</v>
      </c>
      <c r="E490" s="23">
        <f>IF(B490="","",TEXT(B490,"yyyy-mm"))</f>
        <v>0</v>
      </c>
      <c r="H490" s="23">
        <f>IF(G490="","",IFERROR(INDEX(Clients!$B$5:$B$204,MATCH(G490,Clients!$A$5:$A$204,0)),"Not found"))</f>
        <v>0</v>
      </c>
      <c r="I490" s="23">
        <f>IF(G490="","",IFERROR(INDEX(Clients!$C$5:$C$204,MATCH(G490,Clients!$A$5:$A$204,0)),""))</f>
        <v>0</v>
      </c>
      <c r="K490" s="23">
        <f>IF(J490="","",IFERROR(INDEX(Properties!$B$5:$B$254,MATCH(J490,Properties!$A$5:$A$254,0)),""))</f>
        <v>0</v>
      </c>
      <c r="L490" s="23">
        <f>IF(J490="","",IFERROR(INDEX(Properties!$F$5:$F$254,MATCH(J490,Properties!$A$5:$A$254,0)),""))</f>
        <v>0</v>
      </c>
      <c r="AD490" s="34">
        <f>IF(G490="","",IF(U490&lt;&gt;"",U490,IF(AND(IFERROR(INDEX(Services!$D$5:$D$64,MATCH(M490,Services!$B$5:$B$64,0)),"")="Per hour",IFERROR(INDEX(Properties!$X$5:$X$254,MATCH(J490,Properties!$A$5:$A$254,0)),0)&gt;0),IFERROR(INDEX(Properties!$X$5:$X$254,MATCH(J490,Properties!$A$5:$A$254,0)),0),IF(IFERROR(INDEX(Services!$G$5:$G$64,MATCH(M490,Services!$B$5:$B$64,0)),0)&gt;0,IFERROR(INDEX(Services!$G$5:$G$64,MATCH(M490,Services!$B$5:$B$64,0)),0),IFERROR(INDEX(Properties!$X$5:$X$254,MATCH(J490,Properties!$A$5:$A$254,0)),0)))))</f>
        <v>0</v>
      </c>
      <c r="AE490" s="31">
        <f>IF(G490="","",IF(T490="",CleanersPerJob,MAX(1,T490)))</f>
        <v>0</v>
      </c>
      <c r="AF490" s="34">
        <f>IF(G490="","",ROUND(AD490/AE490,2))</f>
        <v>0</v>
      </c>
      <c r="AG490" s="53">
        <f>IF(OR(G490="",F490="",AF490=""),"",F490+AF490/24)</f>
        <v>0</v>
      </c>
      <c r="AH490" s="21">
        <f>IF(G490="","",IF(IFERROR(INDEX(Clients!$O$5:$O$204,MATCH(G490,Clients!$A$5:$A$204,0)),0)&gt;0,IFERROR(INDEX(Clients!$O$5:$O$204,MATCH(G490,Clients!$A$5:$A$204,0)),0),HourlyRate))</f>
        <v>0</v>
      </c>
      <c r="AI490" s="21">
        <f>IF(G490="","",IF(AND(M490&lt;&gt;"",IFERROR(INDEX(Services!$P$5:$P$64,MATCH(M490,Services!$B$5:$B$64,0)),0)&gt;0,IFERROR(INDEX(Services!$D$5:$D$64,MATCH(M490,Services!$B$5:$B$64,0)),"")&lt;&gt;"Per hour"),IFERROR(INDEX(Services!$P$5:$P$64,MATCH(M490,Services!$B$5:$B$64,0)),0),AD490*AH490))</f>
        <v>0</v>
      </c>
      <c r="AJ490" s="21">
        <f>IF(G490="","",IF(V490&lt;&gt;"",V490,IF(P490="Cancelled",0,MAX(MinimumCharge,ROUND(AI490*IFERROR(INDEX(FreqFactors,MATCH(O490,FreqNames,0)),1),2)))))</f>
        <v>0</v>
      </c>
      <c r="AK490" s="34">
        <f>IF(G490="","",IF(SUMIFS(Timesheets!$U$5:$U$804,Timesheets!$G$5:$G$804,A490)&gt;0,SUMIFS(Timesheets!$U$5:$U$804,Timesheets!$G$5:$G$804,A490),IF(Z490="","",Z490)))</f>
        <v>0</v>
      </c>
      <c r="AL490" s="34">
        <f>IF(OR(AK490="",AD490=""),"",AK490-AD490)</f>
        <v>0</v>
      </c>
      <c r="AM490" s="31">
        <f>IF(A490="","",COUNTIFS('Job Tasks'!$B$5:$B$904,A490))</f>
        <v>0</v>
      </c>
      <c r="AN490" s="31">
        <f>IF(A490="","",COUNTIFS('Job Tasks'!$B$5:$B$904,A490,'Job Tasks'!$H$5:$H$904,"Done"))</f>
        <v>0</v>
      </c>
      <c r="AO490" s="38">
        <f>IF(OR(A490="",AM490=0),"",AN490/AM490)</f>
        <v>0</v>
      </c>
      <c r="AP490" s="43">
        <f>IF(A490="","",IFERROR(INDEX('Invoice Lines'!$B$5:$B$804,MATCH(A490,'Invoice Lines'!$C$5:$C$804,0)),""))</f>
        <v>0</v>
      </c>
      <c r="AQ490" s="18">
        <f>IF(OR(G490="",B490="",X490&lt;&gt;"Yes"),"",IF(IFERROR(INDEX(FreqDays,MATCH(O490,FreqNames,0)),0)=0,"",B490+IFERROR(INDEX(FreqDays,MATCH(O490,FreqNames,0)),0)))</f>
        <v>0</v>
      </c>
      <c r="AR490" s="39">
        <f>IF(G490="","",IF(R490="","Unassigned",IF(COUNTIFS($R$5:$R$604,R490,$B$5:$B$604,B490,$F$5:$F$604,F490)&gt;1,"Clash",IF(SUMIFS($AF$5:$AF$604,$R$5:$R$604,R490,$B$5:$B$604,B490)&gt;ProductiveHours,"Long day","OK"))))</f>
        <v>0</v>
      </c>
      <c r="AS490" s="18">
        <f>IF(OR(G490="",B490=""),"",IF(AND(B490&gt;=TodayDate,P490&lt;&gt;"Cancelled"),B490,""))</f>
        <v>0</v>
      </c>
      <c r="AT490" s="31">
        <f>IF(AS490="","",COUNTIFS($AS$5:$AS$604,"&lt;"&amp;AS490)+COUNTIFS($AS$5:AS490,AS490))</f>
        <v>0</v>
      </c>
      <c r="AU490" s="18">
        <f>IF(OR(G490="",B490="",R490&lt;&gt;""),"",IF(AND(B490&gt;=TodayDate,P490&lt;&gt;"Cancelled"),B490,""))</f>
        <v>0</v>
      </c>
      <c r="AV490" s="31">
        <f>IF(AU490="","",COUNTIFS($AU$5:$AU$604,"&lt;"&amp;AU490)+COUNTIFS($AU$5:AU490,AU490))</f>
        <v>0</v>
      </c>
      <c r="AW490" s="31">
        <f>IF(OR(G490="",B490=""),"",B490-TodayDate)</f>
        <v>0</v>
      </c>
      <c r="AX490" s="39">
        <f>IF(G490="","",IF(P490="Cancelled","Cancelled",IF(P490="No access","Action - no access, rebook",IF(AND(B490&lt;&gt;"",AW490&lt;0,OR(P490="Booked",P490="Confirmed",P490="In progress")),"Late - mark it completed",IF(AND(P490="Completed",AP490=""),"Action - not invoiced yet",IF(AND(AW490&gt;=0,AW490&lt;=ReminderDays,Y490&lt;&gt;"Yes"),"Confirm - visit coming up",IF(R490="","Assign - no cleaner booked",IF(AND(P490="Completed",AO490&lt;&gt;"",AO490&lt;1),"Check - checklist unfinished","OK"))))))))</f>
        <v>0</v>
      </c>
    </row>
    <row r="491" spans="1:50">
      <c r="A491" s="43">
        <f>IF(G491="","",JobPrefix&amp;TEXT(ROW()-4,"0000"))</f>
        <v>0</v>
      </c>
      <c r="C491" s="23">
        <f>IF(B491="","",TEXT(B491,"ddd"))</f>
        <v>0</v>
      </c>
      <c r="D491" s="31">
        <f>IF(B491="","",WEEKNUM(B491,IF(WeekStart="Sunday",1,2)))</f>
        <v>0</v>
      </c>
      <c r="E491" s="23">
        <f>IF(B491="","",TEXT(B491,"yyyy-mm"))</f>
        <v>0</v>
      </c>
      <c r="H491" s="23">
        <f>IF(G491="","",IFERROR(INDEX(Clients!$B$5:$B$204,MATCH(G491,Clients!$A$5:$A$204,0)),"Not found"))</f>
        <v>0</v>
      </c>
      <c r="I491" s="23">
        <f>IF(G491="","",IFERROR(INDEX(Clients!$C$5:$C$204,MATCH(G491,Clients!$A$5:$A$204,0)),""))</f>
        <v>0</v>
      </c>
      <c r="K491" s="23">
        <f>IF(J491="","",IFERROR(INDEX(Properties!$B$5:$B$254,MATCH(J491,Properties!$A$5:$A$254,0)),""))</f>
        <v>0</v>
      </c>
      <c r="L491" s="23">
        <f>IF(J491="","",IFERROR(INDEX(Properties!$F$5:$F$254,MATCH(J491,Properties!$A$5:$A$254,0)),""))</f>
        <v>0</v>
      </c>
      <c r="AD491" s="34">
        <f>IF(G491="","",IF(U491&lt;&gt;"",U491,IF(AND(IFERROR(INDEX(Services!$D$5:$D$64,MATCH(M491,Services!$B$5:$B$64,0)),"")="Per hour",IFERROR(INDEX(Properties!$X$5:$X$254,MATCH(J491,Properties!$A$5:$A$254,0)),0)&gt;0),IFERROR(INDEX(Properties!$X$5:$X$254,MATCH(J491,Properties!$A$5:$A$254,0)),0),IF(IFERROR(INDEX(Services!$G$5:$G$64,MATCH(M491,Services!$B$5:$B$64,0)),0)&gt;0,IFERROR(INDEX(Services!$G$5:$G$64,MATCH(M491,Services!$B$5:$B$64,0)),0),IFERROR(INDEX(Properties!$X$5:$X$254,MATCH(J491,Properties!$A$5:$A$254,0)),0)))))</f>
        <v>0</v>
      </c>
      <c r="AE491" s="31">
        <f>IF(G491="","",IF(T491="",CleanersPerJob,MAX(1,T491)))</f>
        <v>0</v>
      </c>
      <c r="AF491" s="34">
        <f>IF(G491="","",ROUND(AD491/AE491,2))</f>
        <v>0</v>
      </c>
      <c r="AG491" s="53">
        <f>IF(OR(G491="",F491="",AF491=""),"",F491+AF491/24)</f>
        <v>0</v>
      </c>
      <c r="AH491" s="21">
        <f>IF(G491="","",IF(IFERROR(INDEX(Clients!$O$5:$O$204,MATCH(G491,Clients!$A$5:$A$204,0)),0)&gt;0,IFERROR(INDEX(Clients!$O$5:$O$204,MATCH(G491,Clients!$A$5:$A$204,0)),0),HourlyRate))</f>
        <v>0</v>
      </c>
      <c r="AI491" s="21">
        <f>IF(G491="","",IF(AND(M491&lt;&gt;"",IFERROR(INDEX(Services!$P$5:$P$64,MATCH(M491,Services!$B$5:$B$64,0)),0)&gt;0,IFERROR(INDEX(Services!$D$5:$D$64,MATCH(M491,Services!$B$5:$B$64,0)),"")&lt;&gt;"Per hour"),IFERROR(INDEX(Services!$P$5:$P$64,MATCH(M491,Services!$B$5:$B$64,0)),0),AD491*AH491))</f>
        <v>0</v>
      </c>
      <c r="AJ491" s="21">
        <f>IF(G491="","",IF(V491&lt;&gt;"",V491,IF(P491="Cancelled",0,MAX(MinimumCharge,ROUND(AI491*IFERROR(INDEX(FreqFactors,MATCH(O491,FreqNames,0)),1),2)))))</f>
        <v>0</v>
      </c>
      <c r="AK491" s="34">
        <f>IF(G491="","",IF(SUMIFS(Timesheets!$U$5:$U$804,Timesheets!$G$5:$G$804,A491)&gt;0,SUMIFS(Timesheets!$U$5:$U$804,Timesheets!$G$5:$G$804,A491),IF(Z491="","",Z491)))</f>
        <v>0</v>
      </c>
      <c r="AL491" s="34">
        <f>IF(OR(AK491="",AD491=""),"",AK491-AD491)</f>
        <v>0</v>
      </c>
      <c r="AM491" s="31">
        <f>IF(A491="","",COUNTIFS('Job Tasks'!$B$5:$B$904,A491))</f>
        <v>0</v>
      </c>
      <c r="AN491" s="31">
        <f>IF(A491="","",COUNTIFS('Job Tasks'!$B$5:$B$904,A491,'Job Tasks'!$H$5:$H$904,"Done"))</f>
        <v>0</v>
      </c>
      <c r="AO491" s="38">
        <f>IF(OR(A491="",AM491=0),"",AN491/AM491)</f>
        <v>0</v>
      </c>
      <c r="AP491" s="43">
        <f>IF(A491="","",IFERROR(INDEX('Invoice Lines'!$B$5:$B$804,MATCH(A491,'Invoice Lines'!$C$5:$C$804,0)),""))</f>
        <v>0</v>
      </c>
      <c r="AQ491" s="18">
        <f>IF(OR(G491="",B491="",X491&lt;&gt;"Yes"),"",IF(IFERROR(INDEX(FreqDays,MATCH(O491,FreqNames,0)),0)=0,"",B491+IFERROR(INDEX(FreqDays,MATCH(O491,FreqNames,0)),0)))</f>
        <v>0</v>
      </c>
      <c r="AR491" s="39">
        <f>IF(G491="","",IF(R491="","Unassigned",IF(COUNTIFS($R$5:$R$604,R491,$B$5:$B$604,B491,$F$5:$F$604,F491)&gt;1,"Clash",IF(SUMIFS($AF$5:$AF$604,$R$5:$R$604,R491,$B$5:$B$604,B491)&gt;ProductiveHours,"Long day","OK"))))</f>
        <v>0</v>
      </c>
      <c r="AS491" s="18">
        <f>IF(OR(G491="",B491=""),"",IF(AND(B491&gt;=TodayDate,P491&lt;&gt;"Cancelled"),B491,""))</f>
        <v>0</v>
      </c>
      <c r="AT491" s="31">
        <f>IF(AS491="","",COUNTIFS($AS$5:$AS$604,"&lt;"&amp;AS491)+COUNTIFS($AS$5:AS491,AS491))</f>
        <v>0</v>
      </c>
      <c r="AU491" s="18">
        <f>IF(OR(G491="",B491="",R491&lt;&gt;""),"",IF(AND(B491&gt;=TodayDate,P491&lt;&gt;"Cancelled"),B491,""))</f>
        <v>0</v>
      </c>
      <c r="AV491" s="31">
        <f>IF(AU491="","",COUNTIFS($AU$5:$AU$604,"&lt;"&amp;AU491)+COUNTIFS($AU$5:AU491,AU491))</f>
        <v>0</v>
      </c>
      <c r="AW491" s="31">
        <f>IF(OR(G491="",B491=""),"",B491-TodayDate)</f>
        <v>0</v>
      </c>
      <c r="AX491" s="39">
        <f>IF(G491="","",IF(P491="Cancelled","Cancelled",IF(P491="No access","Action - no access, rebook",IF(AND(B491&lt;&gt;"",AW491&lt;0,OR(P491="Booked",P491="Confirmed",P491="In progress")),"Late - mark it completed",IF(AND(P491="Completed",AP491=""),"Action - not invoiced yet",IF(AND(AW491&gt;=0,AW491&lt;=ReminderDays,Y491&lt;&gt;"Yes"),"Confirm - visit coming up",IF(R491="","Assign - no cleaner booked",IF(AND(P491="Completed",AO491&lt;&gt;"",AO491&lt;1),"Check - checklist unfinished","OK"))))))))</f>
        <v>0</v>
      </c>
    </row>
    <row r="492" spans="1:50">
      <c r="A492" s="43">
        <f>IF(G492="","",JobPrefix&amp;TEXT(ROW()-4,"0000"))</f>
        <v>0</v>
      </c>
      <c r="C492" s="23">
        <f>IF(B492="","",TEXT(B492,"ddd"))</f>
        <v>0</v>
      </c>
      <c r="D492" s="31">
        <f>IF(B492="","",WEEKNUM(B492,IF(WeekStart="Sunday",1,2)))</f>
        <v>0</v>
      </c>
      <c r="E492" s="23">
        <f>IF(B492="","",TEXT(B492,"yyyy-mm"))</f>
        <v>0</v>
      </c>
      <c r="H492" s="23">
        <f>IF(G492="","",IFERROR(INDEX(Clients!$B$5:$B$204,MATCH(G492,Clients!$A$5:$A$204,0)),"Not found"))</f>
        <v>0</v>
      </c>
      <c r="I492" s="23">
        <f>IF(G492="","",IFERROR(INDEX(Clients!$C$5:$C$204,MATCH(G492,Clients!$A$5:$A$204,0)),""))</f>
        <v>0</v>
      </c>
      <c r="K492" s="23">
        <f>IF(J492="","",IFERROR(INDEX(Properties!$B$5:$B$254,MATCH(J492,Properties!$A$5:$A$254,0)),""))</f>
        <v>0</v>
      </c>
      <c r="L492" s="23">
        <f>IF(J492="","",IFERROR(INDEX(Properties!$F$5:$F$254,MATCH(J492,Properties!$A$5:$A$254,0)),""))</f>
        <v>0</v>
      </c>
      <c r="AD492" s="34">
        <f>IF(G492="","",IF(U492&lt;&gt;"",U492,IF(AND(IFERROR(INDEX(Services!$D$5:$D$64,MATCH(M492,Services!$B$5:$B$64,0)),"")="Per hour",IFERROR(INDEX(Properties!$X$5:$X$254,MATCH(J492,Properties!$A$5:$A$254,0)),0)&gt;0),IFERROR(INDEX(Properties!$X$5:$X$254,MATCH(J492,Properties!$A$5:$A$254,0)),0),IF(IFERROR(INDEX(Services!$G$5:$G$64,MATCH(M492,Services!$B$5:$B$64,0)),0)&gt;0,IFERROR(INDEX(Services!$G$5:$G$64,MATCH(M492,Services!$B$5:$B$64,0)),0),IFERROR(INDEX(Properties!$X$5:$X$254,MATCH(J492,Properties!$A$5:$A$254,0)),0)))))</f>
        <v>0</v>
      </c>
      <c r="AE492" s="31">
        <f>IF(G492="","",IF(T492="",CleanersPerJob,MAX(1,T492)))</f>
        <v>0</v>
      </c>
      <c r="AF492" s="34">
        <f>IF(G492="","",ROUND(AD492/AE492,2))</f>
        <v>0</v>
      </c>
      <c r="AG492" s="53">
        <f>IF(OR(G492="",F492="",AF492=""),"",F492+AF492/24)</f>
        <v>0</v>
      </c>
      <c r="AH492" s="21">
        <f>IF(G492="","",IF(IFERROR(INDEX(Clients!$O$5:$O$204,MATCH(G492,Clients!$A$5:$A$204,0)),0)&gt;0,IFERROR(INDEX(Clients!$O$5:$O$204,MATCH(G492,Clients!$A$5:$A$204,0)),0),HourlyRate))</f>
        <v>0</v>
      </c>
      <c r="AI492" s="21">
        <f>IF(G492="","",IF(AND(M492&lt;&gt;"",IFERROR(INDEX(Services!$P$5:$P$64,MATCH(M492,Services!$B$5:$B$64,0)),0)&gt;0,IFERROR(INDEX(Services!$D$5:$D$64,MATCH(M492,Services!$B$5:$B$64,0)),"")&lt;&gt;"Per hour"),IFERROR(INDEX(Services!$P$5:$P$64,MATCH(M492,Services!$B$5:$B$64,0)),0),AD492*AH492))</f>
        <v>0</v>
      </c>
      <c r="AJ492" s="21">
        <f>IF(G492="","",IF(V492&lt;&gt;"",V492,IF(P492="Cancelled",0,MAX(MinimumCharge,ROUND(AI492*IFERROR(INDEX(FreqFactors,MATCH(O492,FreqNames,0)),1),2)))))</f>
        <v>0</v>
      </c>
      <c r="AK492" s="34">
        <f>IF(G492="","",IF(SUMIFS(Timesheets!$U$5:$U$804,Timesheets!$G$5:$G$804,A492)&gt;0,SUMIFS(Timesheets!$U$5:$U$804,Timesheets!$G$5:$G$804,A492),IF(Z492="","",Z492)))</f>
        <v>0</v>
      </c>
      <c r="AL492" s="34">
        <f>IF(OR(AK492="",AD492=""),"",AK492-AD492)</f>
        <v>0</v>
      </c>
      <c r="AM492" s="31">
        <f>IF(A492="","",COUNTIFS('Job Tasks'!$B$5:$B$904,A492))</f>
        <v>0</v>
      </c>
      <c r="AN492" s="31">
        <f>IF(A492="","",COUNTIFS('Job Tasks'!$B$5:$B$904,A492,'Job Tasks'!$H$5:$H$904,"Done"))</f>
        <v>0</v>
      </c>
      <c r="AO492" s="38">
        <f>IF(OR(A492="",AM492=0),"",AN492/AM492)</f>
        <v>0</v>
      </c>
      <c r="AP492" s="43">
        <f>IF(A492="","",IFERROR(INDEX('Invoice Lines'!$B$5:$B$804,MATCH(A492,'Invoice Lines'!$C$5:$C$804,0)),""))</f>
        <v>0</v>
      </c>
      <c r="AQ492" s="18">
        <f>IF(OR(G492="",B492="",X492&lt;&gt;"Yes"),"",IF(IFERROR(INDEX(FreqDays,MATCH(O492,FreqNames,0)),0)=0,"",B492+IFERROR(INDEX(FreqDays,MATCH(O492,FreqNames,0)),0)))</f>
        <v>0</v>
      </c>
      <c r="AR492" s="39">
        <f>IF(G492="","",IF(R492="","Unassigned",IF(COUNTIFS($R$5:$R$604,R492,$B$5:$B$604,B492,$F$5:$F$604,F492)&gt;1,"Clash",IF(SUMIFS($AF$5:$AF$604,$R$5:$R$604,R492,$B$5:$B$604,B492)&gt;ProductiveHours,"Long day","OK"))))</f>
        <v>0</v>
      </c>
      <c r="AS492" s="18">
        <f>IF(OR(G492="",B492=""),"",IF(AND(B492&gt;=TodayDate,P492&lt;&gt;"Cancelled"),B492,""))</f>
        <v>0</v>
      </c>
      <c r="AT492" s="31">
        <f>IF(AS492="","",COUNTIFS($AS$5:$AS$604,"&lt;"&amp;AS492)+COUNTIFS($AS$5:AS492,AS492))</f>
        <v>0</v>
      </c>
      <c r="AU492" s="18">
        <f>IF(OR(G492="",B492="",R492&lt;&gt;""),"",IF(AND(B492&gt;=TodayDate,P492&lt;&gt;"Cancelled"),B492,""))</f>
        <v>0</v>
      </c>
      <c r="AV492" s="31">
        <f>IF(AU492="","",COUNTIFS($AU$5:$AU$604,"&lt;"&amp;AU492)+COUNTIFS($AU$5:AU492,AU492))</f>
        <v>0</v>
      </c>
      <c r="AW492" s="31">
        <f>IF(OR(G492="",B492=""),"",B492-TodayDate)</f>
        <v>0</v>
      </c>
      <c r="AX492" s="39">
        <f>IF(G492="","",IF(P492="Cancelled","Cancelled",IF(P492="No access","Action - no access, rebook",IF(AND(B492&lt;&gt;"",AW492&lt;0,OR(P492="Booked",P492="Confirmed",P492="In progress")),"Late - mark it completed",IF(AND(P492="Completed",AP492=""),"Action - not invoiced yet",IF(AND(AW492&gt;=0,AW492&lt;=ReminderDays,Y492&lt;&gt;"Yes"),"Confirm - visit coming up",IF(R492="","Assign - no cleaner booked",IF(AND(P492="Completed",AO492&lt;&gt;"",AO492&lt;1),"Check - checklist unfinished","OK"))))))))</f>
        <v>0</v>
      </c>
    </row>
    <row r="493" spans="1:50">
      <c r="A493" s="43">
        <f>IF(G493="","",JobPrefix&amp;TEXT(ROW()-4,"0000"))</f>
        <v>0</v>
      </c>
      <c r="C493" s="23">
        <f>IF(B493="","",TEXT(B493,"ddd"))</f>
        <v>0</v>
      </c>
      <c r="D493" s="31">
        <f>IF(B493="","",WEEKNUM(B493,IF(WeekStart="Sunday",1,2)))</f>
        <v>0</v>
      </c>
      <c r="E493" s="23">
        <f>IF(B493="","",TEXT(B493,"yyyy-mm"))</f>
        <v>0</v>
      </c>
      <c r="H493" s="23">
        <f>IF(G493="","",IFERROR(INDEX(Clients!$B$5:$B$204,MATCH(G493,Clients!$A$5:$A$204,0)),"Not found"))</f>
        <v>0</v>
      </c>
      <c r="I493" s="23">
        <f>IF(G493="","",IFERROR(INDEX(Clients!$C$5:$C$204,MATCH(G493,Clients!$A$5:$A$204,0)),""))</f>
        <v>0</v>
      </c>
      <c r="K493" s="23">
        <f>IF(J493="","",IFERROR(INDEX(Properties!$B$5:$B$254,MATCH(J493,Properties!$A$5:$A$254,0)),""))</f>
        <v>0</v>
      </c>
      <c r="L493" s="23">
        <f>IF(J493="","",IFERROR(INDEX(Properties!$F$5:$F$254,MATCH(J493,Properties!$A$5:$A$254,0)),""))</f>
        <v>0</v>
      </c>
      <c r="AD493" s="34">
        <f>IF(G493="","",IF(U493&lt;&gt;"",U493,IF(AND(IFERROR(INDEX(Services!$D$5:$D$64,MATCH(M493,Services!$B$5:$B$64,0)),"")="Per hour",IFERROR(INDEX(Properties!$X$5:$X$254,MATCH(J493,Properties!$A$5:$A$254,0)),0)&gt;0),IFERROR(INDEX(Properties!$X$5:$X$254,MATCH(J493,Properties!$A$5:$A$254,0)),0),IF(IFERROR(INDEX(Services!$G$5:$G$64,MATCH(M493,Services!$B$5:$B$64,0)),0)&gt;0,IFERROR(INDEX(Services!$G$5:$G$64,MATCH(M493,Services!$B$5:$B$64,0)),0),IFERROR(INDEX(Properties!$X$5:$X$254,MATCH(J493,Properties!$A$5:$A$254,0)),0)))))</f>
        <v>0</v>
      </c>
      <c r="AE493" s="31">
        <f>IF(G493="","",IF(T493="",CleanersPerJob,MAX(1,T493)))</f>
        <v>0</v>
      </c>
      <c r="AF493" s="34">
        <f>IF(G493="","",ROUND(AD493/AE493,2))</f>
        <v>0</v>
      </c>
      <c r="AG493" s="53">
        <f>IF(OR(G493="",F493="",AF493=""),"",F493+AF493/24)</f>
        <v>0</v>
      </c>
      <c r="AH493" s="21">
        <f>IF(G493="","",IF(IFERROR(INDEX(Clients!$O$5:$O$204,MATCH(G493,Clients!$A$5:$A$204,0)),0)&gt;0,IFERROR(INDEX(Clients!$O$5:$O$204,MATCH(G493,Clients!$A$5:$A$204,0)),0),HourlyRate))</f>
        <v>0</v>
      </c>
      <c r="AI493" s="21">
        <f>IF(G493="","",IF(AND(M493&lt;&gt;"",IFERROR(INDEX(Services!$P$5:$P$64,MATCH(M493,Services!$B$5:$B$64,0)),0)&gt;0,IFERROR(INDEX(Services!$D$5:$D$64,MATCH(M493,Services!$B$5:$B$64,0)),"")&lt;&gt;"Per hour"),IFERROR(INDEX(Services!$P$5:$P$64,MATCH(M493,Services!$B$5:$B$64,0)),0),AD493*AH493))</f>
        <v>0</v>
      </c>
      <c r="AJ493" s="21">
        <f>IF(G493="","",IF(V493&lt;&gt;"",V493,IF(P493="Cancelled",0,MAX(MinimumCharge,ROUND(AI493*IFERROR(INDEX(FreqFactors,MATCH(O493,FreqNames,0)),1),2)))))</f>
        <v>0</v>
      </c>
      <c r="AK493" s="34">
        <f>IF(G493="","",IF(SUMIFS(Timesheets!$U$5:$U$804,Timesheets!$G$5:$G$804,A493)&gt;0,SUMIFS(Timesheets!$U$5:$U$804,Timesheets!$G$5:$G$804,A493),IF(Z493="","",Z493)))</f>
        <v>0</v>
      </c>
      <c r="AL493" s="34">
        <f>IF(OR(AK493="",AD493=""),"",AK493-AD493)</f>
        <v>0</v>
      </c>
      <c r="AM493" s="31">
        <f>IF(A493="","",COUNTIFS('Job Tasks'!$B$5:$B$904,A493))</f>
        <v>0</v>
      </c>
      <c r="AN493" s="31">
        <f>IF(A493="","",COUNTIFS('Job Tasks'!$B$5:$B$904,A493,'Job Tasks'!$H$5:$H$904,"Done"))</f>
        <v>0</v>
      </c>
      <c r="AO493" s="38">
        <f>IF(OR(A493="",AM493=0),"",AN493/AM493)</f>
        <v>0</v>
      </c>
      <c r="AP493" s="43">
        <f>IF(A493="","",IFERROR(INDEX('Invoice Lines'!$B$5:$B$804,MATCH(A493,'Invoice Lines'!$C$5:$C$804,0)),""))</f>
        <v>0</v>
      </c>
      <c r="AQ493" s="18">
        <f>IF(OR(G493="",B493="",X493&lt;&gt;"Yes"),"",IF(IFERROR(INDEX(FreqDays,MATCH(O493,FreqNames,0)),0)=0,"",B493+IFERROR(INDEX(FreqDays,MATCH(O493,FreqNames,0)),0)))</f>
        <v>0</v>
      </c>
      <c r="AR493" s="39">
        <f>IF(G493="","",IF(R493="","Unassigned",IF(COUNTIFS($R$5:$R$604,R493,$B$5:$B$604,B493,$F$5:$F$604,F493)&gt;1,"Clash",IF(SUMIFS($AF$5:$AF$604,$R$5:$R$604,R493,$B$5:$B$604,B493)&gt;ProductiveHours,"Long day","OK"))))</f>
        <v>0</v>
      </c>
      <c r="AS493" s="18">
        <f>IF(OR(G493="",B493=""),"",IF(AND(B493&gt;=TodayDate,P493&lt;&gt;"Cancelled"),B493,""))</f>
        <v>0</v>
      </c>
      <c r="AT493" s="31">
        <f>IF(AS493="","",COUNTIFS($AS$5:$AS$604,"&lt;"&amp;AS493)+COUNTIFS($AS$5:AS493,AS493))</f>
        <v>0</v>
      </c>
      <c r="AU493" s="18">
        <f>IF(OR(G493="",B493="",R493&lt;&gt;""),"",IF(AND(B493&gt;=TodayDate,P493&lt;&gt;"Cancelled"),B493,""))</f>
        <v>0</v>
      </c>
      <c r="AV493" s="31">
        <f>IF(AU493="","",COUNTIFS($AU$5:$AU$604,"&lt;"&amp;AU493)+COUNTIFS($AU$5:AU493,AU493))</f>
        <v>0</v>
      </c>
      <c r="AW493" s="31">
        <f>IF(OR(G493="",B493=""),"",B493-TodayDate)</f>
        <v>0</v>
      </c>
      <c r="AX493" s="39">
        <f>IF(G493="","",IF(P493="Cancelled","Cancelled",IF(P493="No access","Action - no access, rebook",IF(AND(B493&lt;&gt;"",AW493&lt;0,OR(P493="Booked",P493="Confirmed",P493="In progress")),"Late - mark it completed",IF(AND(P493="Completed",AP493=""),"Action - not invoiced yet",IF(AND(AW493&gt;=0,AW493&lt;=ReminderDays,Y493&lt;&gt;"Yes"),"Confirm - visit coming up",IF(R493="","Assign - no cleaner booked",IF(AND(P493="Completed",AO493&lt;&gt;"",AO493&lt;1),"Check - checklist unfinished","OK"))))))))</f>
        <v>0</v>
      </c>
    </row>
    <row r="494" spans="1:50">
      <c r="A494" s="43">
        <f>IF(G494="","",JobPrefix&amp;TEXT(ROW()-4,"0000"))</f>
        <v>0</v>
      </c>
      <c r="C494" s="23">
        <f>IF(B494="","",TEXT(B494,"ddd"))</f>
        <v>0</v>
      </c>
      <c r="D494" s="31">
        <f>IF(B494="","",WEEKNUM(B494,IF(WeekStart="Sunday",1,2)))</f>
        <v>0</v>
      </c>
      <c r="E494" s="23">
        <f>IF(B494="","",TEXT(B494,"yyyy-mm"))</f>
        <v>0</v>
      </c>
      <c r="H494" s="23">
        <f>IF(G494="","",IFERROR(INDEX(Clients!$B$5:$B$204,MATCH(G494,Clients!$A$5:$A$204,0)),"Not found"))</f>
        <v>0</v>
      </c>
      <c r="I494" s="23">
        <f>IF(G494="","",IFERROR(INDEX(Clients!$C$5:$C$204,MATCH(G494,Clients!$A$5:$A$204,0)),""))</f>
        <v>0</v>
      </c>
      <c r="K494" s="23">
        <f>IF(J494="","",IFERROR(INDEX(Properties!$B$5:$B$254,MATCH(J494,Properties!$A$5:$A$254,0)),""))</f>
        <v>0</v>
      </c>
      <c r="L494" s="23">
        <f>IF(J494="","",IFERROR(INDEX(Properties!$F$5:$F$254,MATCH(J494,Properties!$A$5:$A$254,0)),""))</f>
        <v>0</v>
      </c>
      <c r="AD494" s="34">
        <f>IF(G494="","",IF(U494&lt;&gt;"",U494,IF(AND(IFERROR(INDEX(Services!$D$5:$D$64,MATCH(M494,Services!$B$5:$B$64,0)),"")="Per hour",IFERROR(INDEX(Properties!$X$5:$X$254,MATCH(J494,Properties!$A$5:$A$254,0)),0)&gt;0),IFERROR(INDEX(Properties!$X$5:$X$254,MATCH(J494,Properties!$A$5:$A$254,0)),0),IF(IFERROR(INDEX(Services!$G$5:$G$64,MATCH(M494,Services!$B$5:$B$64,0)),0)&gt;0,IFERROR(INDEX(Services!$G$5:$G$64,MATCH(M494,Services!$B$5:$B$64,0)),0),IFERROR(INDEX(Properties!$X$5:$X$254,MATCH(J494,Properties!$A$5:$A$254,0)),0)))))</f>
        <v>0</v>
      </c>
      <c r="AE494" s="31">
        <f>IF(G494="","",IF(T494="",CleanersPerJob,MAX(1,T494)))</f>
        <v>0</v>
      </c>
      <c r="AF494" s="34">
        <f>IF(G494="","",ROUND(AD494/AE494,2))</f>
        <v>0</v>
      </c>
      <c r="AG494" s="53">
        <f>IF(OR(G494="",F494="",AF494=""),"",F494+AF494/24)</f>
        <v>0</v>
      </c>
      <c r="AH494" s="21">
        <f>IF(G494="","",IF(IFERROR(INDEX(Clients!$O$5:$O$204,MATCH(G494,Clients!$A$5:$A$204,0)),0)&gt;0,IFERROR(INDEX(Clients!$O$5:$O$204,MATCH(G494,Clients!$A$5:$A$204,0)),0),HourlyRate))</f>
        <v>0</v>
      </c>
      <c r="AI494" s="21">
        <f>IF(G494="","",IF(AND(M494&lt;&gt;"",IFERROR(INDEX(Services!$P$5:$P$64,MATCH(M494,Services!$B$5:$B$64,0)),0)&gt;0,IFERROR(INDEX(Services!$D$5:$D$64,MATCH(M494,Services!$B$5:$B$64,0)),"")&lt;&gt;"Per hour"),IFERROR(INDEX(Services!$P$5:$P$64,MATCH(M494,Services!$B$5:$B$64,0)),0),AD494*AH494))</f>
        <v>0</v>
      </c>
      <c r="AJ494" s="21">
        <f>IF(G494="","",IF(V494&lt;&gt;"",V494,IF(P494="Cancelled",0,MAX(MinimumCharge,ROUND(AI494*IFERROR(INDEX(FreqFactors,MATCH(O494,FreqNames,0)),1),2)))))</f>
        <v>0</v>
      </c>
      <c r="AK494" s="34">
        <f>IF(G494="","",IF(SUMIFS(Timesheets!$U$5:$U$804,Timesheets!$G$5:$G$804,A494)&gt;0,SUMIFS(Timesheets!$U$5:$U$804,Timesheets!$G$5:$G$804,A494),IF(Z494="","",Z494)))</f>
        <v>0</v>
      </c>
      <c r="AL494" s="34">
        <f>IF(OR(AK494="",AD494=""),"",AK494-AD494)</f>
        <v>0</v>
      </c>
      <c r="AM494" s="31">
        <f>IF(A494="","",COUNTIFS('Job Tasks'!$B$5:$B$904,A494))</f>
        <v>0</v>
      </c>
      <c r="AN494" s="31">
        <f>IF(A494="","",COUNTIFS('Job Tasks'!$B$5:$B$904,A494,'Job Tasks'!$H$5:$H$904,"Done"))</f>
        <v>0</v>
      </c>
      <c r="AO494" s="38">
        <f>IF(OR(A494="",AM494=0),"",AN494/AM494)</f>
        <v>0</v>
      </c>
      <c r="AP494" s="43">
        <f>IF(A494="","",IFERROR(INDEX('Invoice Lines'!$B$5:$B$804,MATCH(A494,'Invoice Lines'!$C$5:$C$804,0)),""))</f>
        <v>0</v>
      </c>
      <c r="AQ494" s="18">
        <f>IF(OR(G494="",B494="",X494&lt;&gt;"Yes"),"",IF(IFERROR(INDEX(FreqDays,MATCH(O494,FreqNames,0)),0)=0,"",B494+IFERROR(INDEX(FreqDays,MATCH(O494,FreqNames,0)),0)))</f>
        <v>0</v>
      </c>
      <c r="AR494" s="39">
        <f>IF(G494="","",IF(R494="","Unassigned",IF(COUNTIFS($R$5:$R$604,R494,$B$5:$B$604,B494,$F$5:$F$604,F494)&gt;1,"Clash",IF(SUMIFS($AF$5:$AF$604,$R$5:$R$604,R494,$B$5:$B$604,B494)&gt;ProductiveHours,"Long day","OK"))))</f>
        <v>0</v>
      </c>
      <c r="AS494" s="18">
        <f>IF(OR(G494="",B494=""),"",IF(AND(B494&gt;=TodayDate,P494&lt;&gt;"Cancelled"),B494,""))</f>
        <v>0</v>
      </c>
      <c r="AT494" s="31">
        <f>IF(AS494="","",COUNTIFS($AS$5:$AS$604,"&lt;"&amp;AS494)+COUNTIFS($AS$5:AS494,AS494))</f>
        <v>0</v>
      </c>
      <c r="AU494" s="18">
        <f>IF(OR(G494="",B494="",R494&lt;&gt;""),"",IF(AND(B494&gt;=TodayDate,P494&lt;&gt;"Cancelled"),B494,""))</f>
        <v>0</v>
      </c>
      <c r="AV494" s="31">
        <f>IF(AU494="","",COUNTIFS($AU$5:$AU$604,"&lt;"&amp;AU494)+COUNTIFS($AU$5:AU494,AU494))</f>
        <v>0</v>
      </c>
      <c r="AW494" s="31">
        <f>IF(OR(G494="",B494=""),"",B494-TodayDate)</f>
        <v>0</v>
      </c>
      <c r="AX494" s="39">
        <f>IF(G494="","",IF(P494="Cancelled","Cancelled",IF(P494="No access","Action - no access, rebook",IF(AND(B494&lt;&gt;"",AW494&lt;0,OR(P494="Booked",P494="Confirmed",P494="In progress")),"Late - mark it completed",IF(AND(P494="Completed",AP494=""),"Action - not invoiced yet",IF(AND(AW494&gt;=0,AW494&lt;=ReminderDays,Y494&lt;&gt;"Yes"),"Confirm - visit coming up",IF(R494="","Assign - no cleaner booked",IF(AND(P494="Completed",AO494&lt;&gt;"",AO494&lt;1),"Check - checklist unfinished","OK"))))))))</f>
        <v>0</v>
      </c>
    </row>
    <row r="495" spans="1:50">
      <c r="A495" s="43">
        <f>IF(G495="","",JobPrefix&amp;TEXT(ROW()-4,"0000"))</f>
        <v>0</v>
      </c>
      <c r="C495" s="23">
        <f>IF(B495="","",TEXT(B495,"ddd"))</f>
        <v>0</v>
      </c>
      <c r="D495" s="31">
        <f>IF(B495="","",WEEKNUM(B495,IF(WeekStart="Sunday",1,2)))</f>
        <v>0</v>
      </c>
      <c r="E495" s="23">
        <f>IF(B495="","",TEXT(B495,"yyyy-mm"))</f>
        <v>0</v>
      </c>
      <c r="H495" s="23">
        <f>IF(G495="","",IFERROR(INDEX(Clients!$B$5:$B$204,MATCH(G495,Clients!$A$5:$A$204,0)),"Not found"))</f>
        <v>0</v>
      </c>
      <c r="I495" s="23">
        <f>IF(G495="","",IFERROR(INDEX(Clients!$C$5:$C$204,MATCH(G495,Clients!$A$5:$A$204,0)),""))</f>
        <v>0</v>
      </c>
      <c r="K495" s="23">
        <f>IF(J495="","",IFERROR(INDEX(Properties!$B$5:$B$254,MATCH(J495,Properties!$A$5:$A$254,0)),""))</f>
        <v>0</v>
      </c>
      <c r="L495" s="23">
        <f>IF(J495="","",IFERROR(INDEX(Properties!$F$5:$F$254,MATCH(J495,Properties!$A$5:$A$254,0)),""))</f>
        <v>0</v>
      </c>
      <c r="AD495" s="34">
        <f>IF(G495="","",IF(U495&lt;&gt;"",U495,IF(AND(IFERROR(INDEX(Services!$D$5:$D$64,MATCH(M495,Services!$B$5:$B$64,0)),"")="Per hour",IFERROR(INDEX(Properties!$X$5:$X$254,MATCH(J495,Properties!$A$5:$A$254,0)),0)&gt;0),IFERROR(INDEX(Properties!$X$5:$X$254,MATCH(J495,Properties!$A$5:$A$254,0)),0),IF(IFERROR(INDEX(Services!$G$5:$G$64,MATCH(M495,Services!$B$5:$B$64,0)),0)&gt;0,IFERROR(INDEX(Services!$G$5:$G$64,MATCH(M495,Services!$B$5:$B$64,0)),0),IFERROR(INDEX(Properties!$X$5:$X$254,MATCH(J495,Properties!$A$5:$A$254,0)),0)))))</f>
        <v>0</v>
      </c>
      <c r="AE495" s="31">
        <f>IF(G495="","",IF(T495="",CleanersPerJob,MAX(1,T495)))</f>
        <v>0</v>
      </c>
      <c r="AF495" s="34">
        <f>IF(G495="","",ROUND(AD495/AE495,2))</f>
        <v>0</v>
      </c>
      <c r="AG495" s="53">
        <f>IF(OR(G495="",F495="",AF495=""),"",F495+AF495/24)</f>
        <v>0</v>
      </c>
      <c r="AH495" s="21">
        <f>IF(G495="","",IF(IFERROR(INDEX(Clients!$O$5:$O$204,MATCH(G495,Clients!$A$5:$A$204,0)),0)&gt;0,IFERROR(INDEX(Clients!$O$5:$O$204,MATCH(G495,Clients!$A$5:$A$204,0)),0),HourlyRate))</f>
        <v>0</v>
      </c>
      <c r="AI495" s="21">
        <f>IF(G495="","",IF(AND(M495&lt;&gt;"",IFERROR(INDEX(Services!$P$5:$P$64,MATCH(M495,Services!$B$5:$B$64,0)),0)&gt;0,IFERROR(INDEX(Services!$D$5:$D$64,MATCH(M495,Services!$B$5:$B$64,0)),"")&lt;&gt;"Per hour"),IFERROR(INDEX(Services!$P$5:$P$64,MATCH(M495,Services!$B$5:$B$64,0)),0),AD495*AH495))</f>
        <v>0</v>
      </c>
      <c r="AJ495" s="21">
        <f>IF(G495="","",IF(V495&lt;&gt;"",V495,IF(P495="Cancelled",0,MAX(MinimumCharge,ROUND(AI495*IFERROR(INDEX(FreqFactors,MATCH(O495,FreqNames,0)),1),2)))))</f>
        <v>0</v>
      </c>
      <c r="AK495" s="34">
        <f>IF(G495="","",IF(SUMIFS(Timesheets!$U$5:$U$804,Timesheets!$G$5:$G$804,A495)&gt;0,SUMIFS(Timesheets!$U$5:$U$804,Timesheets!$G$5:$G$804,A495),IF(Z495="","",Z495)))</f>
        <v>0</v>
      </c>
      <c r="AL495" s="34">
        <f>IF(OR(AK495="",AD495=""),"",AK495-AD495)</f>
        <v>0</v>
      </c>
      <c r="AM495" s="31">
        <f>IF(A495="","",COUNTIFS('Job Tasks'!$B$5:$B$904,A495))</f>
        <v>0</v>
      </c>
      <c r="AN495" s="31">
        <f>IF(A495="","",COUNTIFS('Job Tasks'!$B$5:$B$904,A495,'Job Tasks'!$H$5:$H$904,"Done"))</f>
        <v>0</v>
      </c>
      <c r="AO495" s="38">
        <f>IF(OR(A495="",AM495=0),"",AN495/AM495)</f>
        <v>0</v>
      </c>
      <c r="AP495" s="43">
        <f>IF(A495="","",IFERROR(INDEX('Invoice Lines'!$B$5:$B$804,MATCH(A495,'Invoice Lines'!$C$5:$C$804,0)),""))</f>
        <v>0</v>
      </c>
      <c r="AQ495" s="18">
        <f>IF(OR(G495="",B495="",X495&lt;&gt;"Yes"),"",IF(IFERROR(INDEX(FreqDays,MATCH(O495,FreqNames,0)),0)=0,"",B495+IFERROR(INDEX(FreqDays,MATCH(O495,FreqNames,0)),0)))</f>
        <v>0</v>
      </c>
      <c r="AR495" s="39">
        <f>IF(G495="","",IF(R495="","Unassigned",IF(COUNTIFS($R$5:$R$604,R495,$B$5:$B$604,B495,$F$5:$F$604,F495)&gt;1,"Clash",IF(SUMIFS($AF$5:$AF$604,$R$5:$R$604,R495,$B$5:$B$604,B495)&gt;ProductiveHours,"Long day","OK"))))</f>
        <v>0</v>
      </c>
      <c r="AS495" s="18">
        <f>IF(OR(G495="",B495=""),"",IF(AND(B495&gt;=TodayDate,P495&lt;&gt;"Cancelled"),B495,""))</f>
        <v>0</v>
      </c>
      <c r="AT495" s="31">
        <f>IF(AS495="","",COUNTIFS($AS$5:$AS$604,"&lt;"&amp;AS495)+COUNTIFS($AS$5:AS495,AS495))</f>
        <v>0</v>
      </c>
      <c r="AU495" s="18">
        <f>IF(OR(G495="",B495="",R495&lt;&gt;""),"",IF(AND(B495&gt;=TodayDate,P495&lt;&gt;"Cancelled"),B495,""))</f>
        <v>0</v>
      </c>
      <c r="AV495" s="31">
        <f>IF(AU495="","",COUNTIFS($AU$5:$AU$604,"&lt;"&amp;AU495)+COUNTIFS($AU$5:AU495,AU495))</f>
        <v>0</v>
      </c>
      <c r="AW495" s="31">
        <f>IF(OR(G495="",B495=""),"",B495-TodayDate)</f>
        <v>0</v>
      </c>
      <c r="AX495" s="39">
        <f>IF(G495="","",IF(P495="Cancelled","Cancelled",IF(P495="No access","Action - no access, rebook",IF(AND(B495&lt;&gt;"",AW495&lt;0,OR(P495="Booked",P495="Confirmed",P495="In progress")),"Late - mark it completed",IF(AND(P495="Completed",AP495=""),"Action - not invoiced yet",IF(AND(AW495&gt;=0,AW495&lt;=ReminderDays,Y495&lt;&gt;"Yes"),"Confirm - visit coming up",IF(R495="","Assign - no cleaner booked",IF(AND(P495="Completed",AO495&lt;&gt;"",AO495&lt;1),"Check - checklist unfinished","OK"))))))))</f>
        <v>0</v>
      </c>
    </row>
    <row r="496" spans="1:50">
      <c r="A496" s="43">
        <f>IF(G496="","",JobPrefix&amp;TEXT(ROW()-4,"0000"))</f>
        <v>0</v>
      </c>
      <c r="C496" s="23">
        <f>IF(B496="","",TEXT(B496,"ddd"))</f>
        <v>0</v>
      </c>
      <c r="D496" s="31">
        <f>IF(B496="","",WEEKNUM(B496,IF(WeekStart="Sunday",1,2)))</f>
        <v>0</v>
      </c>
      <c r="E496" s="23">
        <f>IF(B496="","",TEXT(B496,"yyyy-mm"))</f>
        <v>0</v>
      </c>
      <c r="H496" s="23">
        <f>IF(G496="","",IFERROR(INDEX(Clients!$B$5:$B$204,MATCH(G496,Clients!$A$5:$A$204,0)),"Not found"))</f>
        <v>0</v>
      </c>
      <c r="I496" s="23">
        <f>IF(G496="","",IFERROR(INDEX(Clients!$C$5:$C$204,MATCH(G496,Clients!$A$5:$A$204,0)),""))</f>
        <v>0</v>
      </c>
      <c r="K496" s="23">
        <f>IF(J496="","",IFERROR(INDEX(Properties!$B$5:$B$254,MATCH(J496,Properties!$A$5:$A$254,0)),""))</f>
        <v>0</v>
      </c>
      <c r="L496" s="23">
        <f>IF(J496="","",IFERROR(INDEX(Properties!$F$5:$F$254,MATCH(J496,Properties!$A$5:$A$254,0)),""))</f>
        <v>0</v>
      </c>
      <c r="AD496" s="34">
        <f>IF(G496="","",IF(U496&lt;&gt;"",U496,IF(AND(IFERROR(INDEX(Services!$D$5:$D$64,MATCH(M496,Services!$B$5:$B$64,0)),"")="Per hour",IFERROR(INDEX(Properties!$X$5:$X$254,MATCH(J496,Properties!$A$5:$A$254,0)),0)&gt;0),IFERROR(INDEX(Properties!$X$5:$X$254,MATCH(J496,Properties!$A$5:$A$254,0)),0),IF(IFERROR(INDEX(Services!$G$5:$G$64,MATCH(M496,Services!$B$5:$B$64,0)),0)&gt;0,IFERROR(INDEX(Services!$G$5:$G$64,MATCH(M496,Services!$B$5:$B$64,0)),0),IFERROR(INDEX(Properties!$X$5:$X$254,MATCH(J496,Properties!$A$5:$A$254,0)),0)))))</f>
        <v>0</v>
      </c>
      <c r="AE496" s="31">
        <f>IF(G496="","",IF(T496="",CleanersPerJob,MAX(1,T496)))</f>
        <v>0</v>
      </c>
      <c r="AF496" s="34">
        <f>IF(G496="","",ROUND(AD496/AE496,2))</f>
        <v>0</v>
      </c>
      <c r="AG496" s="53">
        <f>IF(OR(G496="",F496="",AF496=""),"",F496+AF496/24)</f>
        <v>0</v>
      </c>
      <c r="AH496" s="21">
        <f>IF(G496="","",IF(IFERROR(INDEX(Clients!$O$5:$O$204,MATCH(G496,Clients!$A$5:$A$204,0)),0)&gt;0,IFERROR(INDEX(Clients!$O$5:$O$204,MATCH(G496,Clients!$A$5:$A$204,0)),0),HourlyRate))</f>
        <v>0</v>
      </c>
      <c r="AI496" s="21">
        <f>IF(G496="","",IF(AND(M496&lt;&gt;"",IFERROR(INDEX(Services!$P$5:$P$64,MATCH(M496,Services!$B$5:$B$64,0)),0)&gt;0,IFERROR(INDEX(Services!$D$5:$D$64,MATCH(M496,Services!$B$5:$B$64,0)),"")&lt;&gt;"Per hour"),IFERROR(INDEX(Services!$P$5:$P$64,MATCH(M496,Services!$B$5:$B$64,0)),0),AD496*AH496))</f>
        <v>0</v>
      </c>
      <c r="AJ496" s="21">
        <f>IF(G496="","",IF(V496&lt;&gt;"",V496,IF(P496="Cancelled",0,MAX(MinimumCharge,ROUND(AI496*IFERROR(INDEX(FreqFactors,MATCH(O496,FreqNames,0)),1),2)))))</f>
        <v>0</v>
      </c>
      <c r="AK496" s="34">
        <f>IF(G496="","",IF(SUMIFS(Timesheets!$U$5:$U$804,Timesheets!$G$5:$G$804,A496)&gt;0,SUMIFS(Timesheets!$U$5:$U$804,Timesheets!$G$5:$G$804,A496),IF(Z496="","",Z496)))</f>
        <v>0</v>
      </c>
      <c r="AL496" s="34">
        <f>IF(OR(AK496="",AD496=""),"",AK496-AD496)</f>
        <v>0</v>
      </c>
      <c r="AM496" s="31">
        <f>IF(A496="","",COUNTIFS('Job Tasks'!$B$5:$B$904,A496))</f>
        <v>0</v>
      </c>
      <c r="AN496" s="31">
        <f>IF(A496="","",COUNTIFS('Job Tasks'!$B$5:$B$904,A496,'Job Tasks'!$H$5:$H$904,"Done"))</f>
        <v>0</v>
      </c>
      <c r="AO496" s="38">
        <f>IF(OR(A496="",AM496=0),"",AN496/AM496)</f>
        <v>0</v>
      </c>
      <c r="AP496" s="43">
        <f>IF(A496="","",IFERROR(INDEX('Invoice Lines'!$B$5:$B$804,MATCH(A496,'Invoice Lines'!$C$5:$C$804,0)),""))</f>
        <v>0</v>
      </c>
      <c r="AQ496" s="18">
        <f>IF(OR(G496="",B496="",X496&lt;&gt;"Yes"),"",IF(IFERROR(INDEX(FreqDays,MATCH(O496,FreqNames,0)),0)=0,"",B496+IFERROR(INDEX(FreqDays,MATCH(O496,FreqNames,0)),0)))</f>
        <v>0</v>
      </c>
      <c r="AR496" s="39">
        <f>IF(G496="","",IF(R496="","Unassigned",IF(COUNTIFS($R$5:$R$604,R496,$B$5:$B$604,B496,$F$5:$F$604,F496)&gt;1,"Clash",IF(SUMIFS($AF$5:$AF$604,$R$5:$R$604,R496,$B$5:$B$604,B496)&gt;ProductiveHours,"Long day","OK"))))</f>
        <v>0</v>
      </c>
      <c r="AS496" s="18">
        <f>IF(OR(G496="",B496=""),"",IF(AND(B496&gt;=TodayDate,P496&lt;&gt;"Cancelled"),B496,""))</f>
        <v>0</v>
      </c>
      <c r="AT496" s="31">
        <f>IF(AS496="","",COUNTIFS($AS$5:$AS$604,"&lt;"&amp;AS496)+COUNTIFS($AS$5:AS496,AS496))</f>
        <v>0</v>
      </c>
      <c r="AU496" s="18">
        <f>IF(OR(G496="",B496="",R496&lt;&gt;""),"",IF(AND(B496&gt;=TodayDate,P496&lt;&gt;"Cancelled"),B496,""))</f>
        <v>0</v>
      </c>
      <c r="AV496" s="31">
        <f>IF(AU496="","",COUNTIFS($AU$5:$AU$604,"&lt;"&amp;AU496)+COUNTIFS($AU$5:AU496,AU496))</f>
        <v>0</v>
      </c>
      <c r="AW496" s="31">
        <f>IF(OR(G496="",B496=""),"",B496-TodayDate)</f>
        <v>0</v>
      </c>
      <c r="AX496" s="39">
        <f>IF(G496="","",IF(P496="Cancelled","Cancelled",IF(P496="No access","Action - no access, rebook",IF(AND(B496&lt;&gt;"",AW496&lt;0,OR(P496="Booked",P496="Confirmed",P496="In progress")),"Late - mark it completed",IF(AND(P496="Completed",AP496=""),"Action - not invoiced yet",IF(AND(AW496&gt;=0,AW496&lt;=ReminderDays,Y496&lt;&gt;"Yes"),"Confirm - visit coming up",IF(R496="","Assign - no cleaner booked",IF(AND(P496="Completed",AO496&lt;&gt;"",AO496&lt;1),"Check - checklist unfinished","OK"))))))))</f>
        <v>0</v>
      </c>
    </row>
    <row r="497" spans="1:50">
      <c r="A497" s="43">
        <f>IF(G497="","",JobPrefix&amp;TEXT(ROW()-4,"0000"))</f>
        <v>0</v>
      </c>
      <c r="C497" s="23">
        <f>IF(B497="","",TEXT(B497,"ddd"))</f>
        <v>0</v>
      </c>
      <c r="D497" s="31">
        <f>IF(B497="","",WEEKNUM(B497,IF(WeekStart="Sunday",1,2)))</f>
        <v>0</v>
      </c>
      <c r="E497" s="23">
        <f>IF(B497="","",TEXT(B497,"yyyy-mm"))</f>
        <v>0</v>
      </c>
      <c r="H497" s="23">
        <f>IF(G497="","",IFERROR(INDEX(Clients!$B$5:$B$204,MATCH(G497,Clients!$A$5:$A$204,0)),"Not found"))</f>
        <v>0</v>
      </c>
      <c r="I497" s="23">
        <f>IF(G497="","",IFERROR(INDEX(Clients!$C$5:$C$204,MATCH(G497,Clients!$A$5:$A$204,0)),""))</f>
        <v>0</v>
      </c>
      <c r="K497" s="23">
        <f>IF(J497="","",IFERROR(INDEX(Properties!$B$5:$B$254,MATCH(J497,Properties!$A$5:$A$254,0)),""))</f>
        <v>0</v>
      </c>
      <c r="L497" s="23">
        <f>IF(J497="","",IFERROR(INDEX(Properties!$F$5:$F$254,MATCH(J497,Properties!$A$5:$A$254,0)),""))</f>
        <v>0</v>
      </c>
      <c r="AD497" s="34">
        <f>IF(G497="","",IF(U497&lt;&gt;"",U497,IF(AND(IFERROR(INDEX(Services!$D$5:$D$64,MATCH(M497,Services!$B$5:$B$64,0)),"")="Per hour",IFERROR(INDEX(Properties!$X$5:$X$254,MATCH(J497,Properties!$A$5:$A$254,0)),0)&gt;0),IFERROR(INDEX(Properties!$X$5:$X$254,MATCH(J497,Properties!$A$5:$A$254,0)),0),IF(IFERROR(INDEX(Services!$G$5:$G$64,MATCH(M497,Services!$B$5:$B$64,0)),0)&gt;0,IFERROR(INDEX(Services!$G$5:$G$64,MATCH(M497,Services!$B$5:$B$64,0)),0),IFERROR(INDEX(Properties!$X$5:$X$254,MATCH(J497,Properties!$A$5:$A$254,0)),0)))))</f>
        <v>0</v>
      </c>
      <c r="AE497" s="31">
        <f>IF(G497="","",IF(T497="",CleanersPerJob,MAX(1,T497)))</f>
        <v>0</v>
      </c>
      <c r="AF497" s="34">
        <f>IF(G497="","",ROUND(AD497/AE497,2))</f>
        <v>0</v>
      </c>
      <c r="AG497" s="53">
        <f>IF(OR(G497="",F497="",AF497=""),"",F497+AF497/24)</f>
        <v>0</v>
      </c>
      <c r="AH497" s="21">
        <f>IF(G497="","",IF(IFERROR(INDEX(Clients!$O$5:$O$204,MATCH(G497,Clients!$A$5:$A$204,0)),0)&gt;0,IFERROR(INDEX(Clients!$O$5:$O$204,MATCH(G497,Clients!$A$5:$A$204,0)),0),HourlyRate))</f>
        <v>0</v>
      </c>
      <c r="AI497" s="21">
        <f>IF(G497="","",IF(AND(M497&lt;&gt;"",IFERROR(INDEX(Services!$P$5:$P$64,MATCH(M497,Services!$B$5:$B$64,0)),0)&gt;0,IFERROR(INDEX(Services!$D$5:$D$64,MATCH(M497,Services!$B$5:$B$64,0)),"")&lt;&gt;"Per hour"),IFERROR(INDEX(Services!$P$5:$P$64,MATCH(M497,Services!$B$5:$B$64,0)),0),AD497*AH497))</f>
        <v>0</v>
      </c>
      <c r="AJ497" s="21">
        <f>IF(G497="","",IF(V497&lt;&gt;"",V497,IF(P497="Cancelled",0,MAX(MinimumCharge,ROUND(AI497*IFERROR(INDEX(FreqFactors,MATCH(O497,FreqNames,0)),1),2)))))</f>
        <v>0</v>
      </c>
      <c r="AK497" s="34">
        <f>IF(G497="","",IF(SUMIFS(Timesheets!$U$5:$U$804,Timesheets!$G$5:$G$804,A497)&gt;0,SUMIFS(Timesheets!$U$5:$U$804,Timesheets!$G$5:$G$804,A497),IF(Z497="","",Z497)))</f>
        <v>0</v>
      </c>
      <c r="AL497" s="34">
        <f>IF(OR(AK497="",AD497=""),"",AK497-AD497)</f>
        <v>0</v>
      </c>
      <c r="AM497" s="31">
        <f>IF(A497="","",COUNTIFS('Job Tasks'!$B$5:$B$904,A497))</f>
        <v>0</v>
      </c>
      <c r="AN497" s="31">
        <f>IF(A497="","",COUNTIFS('Job Tasks'!$B$5:$B$904,A497,'Job Tasks'!$H$5:$H$904,"Done"))</f>
        <v>0</v>
      </c>
      <c r="AO497" s="38">
        <f>IF(OR(A497="",AM497=0),"",AN497/AM497)</f>
        <v>0</v>
      </c>
      <c r="AP497" s="43">
        <f>IF(A497="","",IFERROR(INDEX('Invoice Lines'!$B$5:$B$804,MATCH(A497,'Invoice Lines'!$C$5:$C$804,0)),""))</f>
        <v>0</v>
      </c>
      <c r="AQ497" s="18">
        <f>IF(OR(G497="",B497="",X497&lt;&gt;"Yes"),"",IF(IFERROR(INDEX(FreqDays,MATCH(O497,FreqNames,0)),0)=0,"",B497+IFERROR(INDEX(FreqDays,MATCH(O497,FreqNames,0)),0)))</f>
        <v>0</v>
      </c>
      <c r="AR497" s="39">
        <f>IF(G497="","",IF(R497="","Unassigned",IF(COUNTIFS($R$5:$R$604,R497,$B$5:$B$604,B497,$F$5:$F$604,F497)&gt;1,"Clash",IF(SUMIFS($AF$5:$AF$604,$R$5:$R$604,R497,$B$5:$B$604,B497)&gt;ProductiveHours,"Long day","OK"))))</f>
        <v>0</v>
      </c>
      <c r="AS497" s="18">
        <f>IF(OR(G497="",B497=""),"",IF(AND(B497&gt;=TodayDate,P497&lt;&gt;"Cancelled"),B497,""))</f>
        <v>0</v>
      </c>
      <c r="AT497" s="31">
        <f>IF(AS497="","",COUNTIFS($AS$5:$AS$604,"&lt;"&amp;AS497)+COUNTIFS($AS$5:AS497,AS497))</f>
        <v>0</v>
      </c>
      <c r="AU497" s="18">
        <f>IF(OR(G497="",B497="",R497&lt;&gt;""),"",IF(AND(B497&gt;=TodayDate,P497&lt;&gt;"Cancelled"),B497,""))</f>
        <v>0</v>
      </c>
      <c r="AV497" s="31">
        <f>IF(AU497="","",COUNTIFS($AU$5:$AU$604,"&lt;"&amp;AU497)+COUNTIFS($AU$5:AU497,AU497))</f>
        <v>0</v>
      </c>
      <c r="AW497" s="31">
        <f>IF(OR(G497="",B497=""),"",B497-TodayDate)</f>
        <v>0</v>
      </c>
      <c r="AX497" s="39">
        <f>IF(G497="","",IF(P497="Cancelled","Cancelled",IF(P497="No access","Action - no access, rebook",IF(AND(B497&lt;&gt;"",AW497&lt;0,OR(P497="Booked",P497="Confirmed",P497="In progress")),"Late - mark it completed",IF(AND(P497="Completed",AP497=""),"Action - not invoiced yet",IF(AND(AW497&gt;=0,AW497&lt;=ReminderDays,Y497&lt;&gt;"Yes"),"Confirm - visit coming up",IF(R497="","Assign - no cleaner booked",IF(AND(P497="Completed",AO497&lt;&gt;"",AO497&lt;1),"Check - checklist unfinished","OK"))))))))</f>
        <v>0</v>
      </c>
    </row>
    <row r="498" spans="1:50">
      <c r="A498" s="43">
        <f>IF(G498="","",JobPrefix&amp;TEXT(ROW()-4,"0000"))</f>
        <v>0</v>
      </c>
      <c r="C498" s="23">
        <f>IF(B498="","",TEXT(B498,"ddd"))</f>
        <v>0</v>
      </c>
      <c r="D498" s="31">
        <f>IF(B498="","",WEEKNUM(B498,IF(WeekStart="Sunday",1,2)))</f>
        <v>0</v>
      </c>
      <c r="E498" s="23">
        <f>IF(B498="","",TEXT(B498,"yyyy-mm"))</f>
        <v>0</v>
      </c>
      <c r="H498" s="23">
        <f>IF(G498="","",IFERROR(INDEX(Clients!$B$5:$B$204,MATCH(G498,Clients!$A$5:$A$204,0)),"Not found"))</f>
        <v>0</v>
      </c>
      <c r="I498" s="23">
        <f>IF(G498="","",IFERROR(INDEX(Clients!$C$5:$C$204,MATCH(G498,Clients!$A$5:$A$204,0)),""))</f>
        <v>0</v>
      </c>
      <c r="K498" s="23">
        <f>IF(J498="","",IFERROR(INDEX(Properties!$B$5:$B$254,MATCH(J498,Properties!$A$5:$A$254,0)),""))</f>
        <v>0</v>
      </c>
      <c r="L498" s="23">
        <f>IF(J498="","",IFERROR(INDEX(Properties!$F$5:$F$254,MATCH(J498,Properties!$A$5:$A$254,0)),""))</f>
        <v>0</v>
      </c>
      <c r="AD498" s="34">
        <f>IF(G498="","",IF(U498&lt;&gt;"",U498,IF(AND(IFERROR(INDEX(Services!$D$5:$D$64,MATCH(M498,Services!$B$5:$B$64,0)),"")="Per hour",IFERROR(INDEX(Properties!$X$5:$X$254,MATCH(J498,Properties!$A$5:$A$254,0)),0)&gt;0),IFERROR(INDEX(Properties!$X$5:$X$254,MATCH(J498,Properties!$A$5:$A$254,0)),0),IF(IFERROR(INDEX(Services!$G$5:$G$64,MATCH(M498,Services!$B$5:$B$64,0)),0)&gt;0,IFERROR(INDEX(Services!$G$5:$G$64,MATCH(M498,Services!$B$5:$B$64,0)),0),IFERROR(INDEX(Properties!$X$5:$X$254,MATCH(J498,Properties!$A$5:$A$254,0)),0)))))</f>
        <v>0</v>
      </c>
      <c r="AE498" s="31">
        <f>IF(G498="","",IF(T498="",CleanersPerJob,MAX(1,T498)))</f>
        <v>0</v>
      </c>
      <c r="AF498" s="34">
        <f>IF(G498="","",ROUND(AD498/AE498,2))</f>
        <v>0</v>
      </c>
      <c r="AG498" s="53">
        <f>IF(OR(G498="",F498="",AF498=""),"",F498+AF498/24)</f>
        <v>0</v>
      </c>
      <c r="AH498" s="21">
        <f>IF(G498="","",IF(IFERROR(INDEX(Clients!$O$5:$O$204,MATCH(G498,Clients!$A$5:$A$204,0)),0)&gt;0,IFERROR(INDEX(Clients!$O$5:$O$204,MATCH(G498,Clients!$A$5:$A$204,0)),0),HourlyRate))</f>
        <v>0</v>
      </c>
      <c r="AI498" s="21">
        <f>IF(G498="","",IF(AND(M498&lt;&gt;"",IFERROR(INDEX(Services!$P$5:$P$64,MATCH(M498,Services!$B$5:$B$64,0)),0)&gt;0,IFERROR(INDEX(Services!$D$5:$D$64,MATCH(M498,Services!$B$5:$B$64,0)),"")&lt;&gt;"Per hour"),IFERROR(INDEX(Services!$P$5:$P$64,MATCH(M498,Services!$B$5:$B$64,0)),0),AD498*AH498))</f>
        <v>0</v>
      </c>
      <c r="AJ498" s="21">
        <f>IF(G498="","",IF(V498&lt;&gt;"",V498,IF(P498="Cancelled",0,MAX(MinimumCharge,ROUND(AI498*IFERROR(INDEX(FreqFactors,MATCH(O498,FreqNames,0)),1),2)))))</f>
        <v>0</v>
      </c>
      <c r="AK498" s="34">
        <f>IF(G498="","",IF(SUMIFS(Timesheets!$U$5:$U$804,Timesheets!$G$5:$G$804,A498)&gt;0,SUMIFS(Timesheets!$U$5:$U$804,Timesheets!$G$5:$G$804,A498),IF(Z498="","",Z498)))</f>
        <v>0</v>
      </c>
      <c r="AL498" s="34">
        <f>IF(OR(AK498="",AD498=""),"",AK498-AD498)</f>
        <v>0</v>
      </c>
      <c r="AM498" s="31">
        <f>IF(A498="","",COUNTIFS('Job Tasks'!$B$5:$B$904,A498))</f>
        <v>0</v>
      </c>
      <c r="AN498" s="31">
        <f>IF(A498="","",COUNTIFS('Job Tasks'!$B$5:$B$904,A498,'Job Tasks'!$H$5:$H$904,"Done"))</f>
        <v>0</v>
      </c>
      <c r="AO498" s="38">
        <f>IF(OR(A498="",AM498=0),"",AN498/AM498)</f>
        <v>0</v>
      </c>
      <c r="AP498" s="43">
        <f>IF(A498="","",IFERROR(INDEX('Invoice Lines'!$B$5:$B$804,MATCH(A498,'Invoice Lines'!$C$5:$C$804,0)),""))</f>
        <v>0</v>
      </c>
      <c r="AQ498" s="18">
        <f>IF(OR(G498="",B498="",X498&lt;&gt;"Yes"),"",IF(IFERROR(INDEX(FreqDays,MATCH(O498,FreqNames,0)),0)=0,"",B498+IFERROR(INDEX(FreqDays,MATCH(O498,FreqNames,0)),0)))</f>
        <v>0</v>
      </c>
      <c r="AR498" s="39">
        <f>IF(G498="","",IF(R498="","Unassigned",IF(COUNTIFS($R$5:$R$604,R498,$B$5:$B$604,B498,$F$5:$F$604,F498)&gt;1,"Clash",IF(SUMIFS($AF$5:$AF$604,$R$5:$R$604,R498,$B$5:$B$604,B498)&gt;ProductiveHours,"Long day","OK"))))</f>
        <v>0</v>
      </c>
      <c r="AS498" s="18">
        <f>IF(OR(G498="",B498=""),"",IF(AND(B498&gt;=TodayDate,P498&lt;&gt;"Cancelled"),B498,""))</f>
        <v>0</v>
      </c>
      <c r="AT498" s="31">
        <f>IF(AS498="","",COUNTIFS($AS$5:$AS$604,"&lt;"&amp;AS498)+COUNTIFS($AS$5:AS498,AS498))</f>
        <v>0</v>
      </c>
      <c r="AU498" s="18">
        <f>IF(OR(G498="",B498="",R498&lt;&gt;""),"",IF(AND(B498&gt;=TodayDate,P498&lt;&gt;"Cancelled"),B498,""))</f>
        <v>0</v>
      </c>
      <c r="AV498" s="31">
        <f>IF(AU498="","",COUNTIFS($AU$5:$AU$604,"&lt;"&amp;AU498)+COUNTIFS($AU$5:AU498,AU498))</f>
        <v>0</v>
      </c>
      <c r="AW498" s="31">
        <f>IF(OR(G498="",B498=""),"",B498-TodayDate)</f>
        <v>0</v>
      </c>
      <c r="AX498" s="39">
        <f>IF(G498="","",IF(P498="Cancelled","Cancelled",IF(P498="No access","Action - no access, rebook",IF(AND(B498&lt;&gt;"",AW498&lt;0,OR(P498="Booked",P498="Confirmed",P498="In progress")),"Late - mark it completed",IF(AND(P498="Completed",AP498=""),"Action - not invoiced yet",IF(AND(AW498&gt;=0,AW498&lt;=ReminderDays,Y498&lt;&gt;"Yes"),"Confirm - visit coming up",IF(R498="","Assign - no cleaner booked",IF(AND(P498="Completed",AO498&lt;&gt;"",AO498&lt;1),"Check - checklist unfinished","OK"))))))))</f>
        <v>0</v>
      </c>
    </row>
    <row r="499" spans="1:50">
      <c r="A499" s="43">
        <f>IF(G499="","",JobPrefix&amp;TEXT(ROW()-4,"0000"))</f>
        <v>0</v>
      </c>
      <c r="C499" s="23">
        <f>IF(B499="","",TEXT(B499,"ddd"))</f>
        <v>0</v>
      </c>
      <c r="D499" s="31">
        <f>IF(B499="","",WEEKNUM(B499,IF(WeekStart="Sunday",1,2)))</f>
        <v>0</v>
      </c>
      <c r="E499" s="23">
        <f>IF(B499="","",TEXT(B499,"yyyy-mm"))</f>
        <v>0</v>
      </c>
      <c r="H499" s="23">
        <f>IF(G499="","",IFERROR(INDEX(Clients!$B$5:$B$204,MATCH(G499,Clients!$A$5:$A$204,0)),"Not found"))</f>
        <v>0</v>
      </c>
      <c r="I499" s="23">
        <f>IF(G499="","",IFERROR(INDEX(Clients!$C$5:$C$204,MATCH(G499,Clients!$A$5:$A$204,0)),""))</f>
        <v>0</v>
      </c>
      <c r="K499" s="23">
        <f>IF(J499="","",IFERROR(INDEX(Properties!$B$5:$B$254,MATCH(J499,Properties!$A$5:$A$254,0)),""))</f>
        <v>0</v>
      </c>
      <c r="L499" s="23">
        <f>IF(J499="","",IFERROR(INDEX(Properties!$F$5:$F$254,MATCH(J499,Properties!$A$5:$A$254,0)),""))</f>
        <v>0</v>
      </c>
      <c r="AD499" s="34">
        <f>IF(G499="","",IF(U499&lt;&gt;"",U499,IF(AND(IFERROR(INDEX(Services!$D$5:$D$64,MATCH(M499,Services!$B$5:$B$64,0)),"")="Per hour",IFERROR(INDEX(Properties!$X$5:$X$254,MATCH(J499,Properties!$A$5:$A$254,0)),0)&gt;0),IFERROR(INDEX(Properties!$X$5:$X$254,MATCH(J499,Properties!$A$5:$A$254,0)),0),IF(IFERROR(INDEX(Services!$G$5:$G$64,MATCH(M499,Services!$B$5:$B$64,0)),0)&gt;0,IFERROR(INDEX(Services!$G$5:$G$64,MATCH(M499,Services!$B$5:$B$64,0)),0),IFERROR(INDEX(Properties!$X$5:$X$254,MATCH(J499,Properties!$A$5:$A$254,0)),0)))))</f>
        <v>0</v>
      </c>
      <c r="AE499" s="31">
        <f>IF(G499="","",IF(T499="",CleanersPerJob,MAX(1,T499)))</f>
        <v>0</v>
      </c>
      <c r="AF499" s="34">
        <f>IF(G499="","",ROUND(AD499/AE499,2))</f>
        <v>0</v>
      </c>
      <c r="AG499" s="53">
        <f>IF(OR(G499="",F499="",AF499=""),"",F499+AF499/24)</f>
        <v>0</v>
      </c>
      <c r="AH499" s="21">
        <f>IF(G499="","",IF(IFERROR(INDEX(Clients!$O$5:$O$204,MATCH(G499,Clients!$A$5:$A$204,0)),0)&gt;0,IFERROR(INDEX(Clients!$O$5:$O$204,MATCH(G499,Clients!$A$5:$A$204,0)),0),HourlyRate))</f>
        <v>0</v>
      </c>
      <c r="AI499" s="21">
        <f>IF(G499="","",IF(AND(M499&lt;&gt;"",IFERROR(INDEX(Services!$P$5:$P$64,MATCH(M499,Services!$B$5:$B$64,0)),0)&gt;0,IFERROR(INDEX(Services!$D$5:$D$64,MATCH(M499,Services!$B$5:$B$64,0)),"")&lt;&gt;"Per hour"),IFERROR(INDEX(Services!$P$5:$P$64,MATCH(M499,Services!$B$5:$B$64,0)),0),AD499*AH499))</f>
        <v>0</v>
      </c>
      <c r="AJ499" s="21">
        <f>IF(G499="","",IF(V499&lt;&gt;"",V499,IF(P499="Cancelled",0,MAX(MinimumCharge,ROUND(AI499*IFERROR(INDEX(FreqFactors,MATCH(O499,FreqNames,0)),1),2)))))</f>
        <v>0</v>
      </c>
      <c r="AK499" s="34">
        <f>IF(G499="","",IF(SUMIFS(Timesheets!$U$5:$U$804,Timesheets!$G$5:$G$804,A499)&gt;0,SUMIFS(Timesheets!$U$5:$U$804,Timesheets!$G$5:$G$804,A499),IF(Z499="","",Z499)))</f>
        <v>0</v>
      </c>
      <c r="AL499" s="34">
        <f>IF(OR(AK499="",AD499=""),"",AK499-AD499)</f>
        <v>0</v>
      </c>
      <c r="AM499" s="31">
        <f>IF(A499="","",COUNTIFS('Job Tasks'!$B$5:$B$904,A499))</f>
        <v>0</v>
      </c>
      <c r="AN499" s="31">
        <f>IF(A499="","",COUNTIFS('Job Tasks'!$B$5:$B$904,A499,'Job Tasks'!$H$5:$H$904,"Done"))</f>
        <v>0</v>
      </c>
      <c r="AO499" s="38">
        <f>IF(OR(A499="",AM499=0),"",AN499/AM499)</f>
        <v>0</v>
      </c>
      <c r="AP499" s="43">
        <f>IF(A499="","",IFERROR(INDEX('Invoice Lines'!$B$5:$B$804,MATCH(A499,'Invoice Lines'!$C$5:$C$804,0)),""))</f>
        <v>0</v>
      </c>
      <c r="AQ499" s="18">
        <f>IF(OR(G499="",B499="",X499&lt;&gt;"Yes"),"",IF(IFERROR(INDEX(FreqDays,MATCH(O499,FreqNames,0)),0)=0,"",B499+IFERROR(INDEX(FreqDays,MATCH(O499,FreqNames,0)),0)))</f>
        <v>0</v>
      </c>
      <c r="AR499" s="39">
        <f>IF(G499="","",IF(R499="","Unassigned",IF(COUNTIFS($R$5:$R$604,R499,$B$5:$B$604,B499,$F$5:$F$604,F499)&gt;1,"Clash",IF(SUMIFS($AF$5:$AF$604,$R$5:$R$604,R499,$B$5:$B$604,B499)&gt;ProductiveHours,"Long day","OK"))))</f>
        <v>0</v>
      </c>
      <c r="AS499" s="18">
        <f>IF(OR(G499="",B499=""),"",IF(AND(B499&gt;=TodayDate,P499&lt;&gt;"Cancelled"),B499,""))</f>
        <v>0</v>
      </c>
      <c r="AT499" s="31">
        <f>IF(AS499="","",COUNTIFS($AS$5:$AS$604,"&lt;"&amp;AS499)+COUNTIFS($AS$5:AS499,AS499))</f>
        <v>0</v>
      </c>
      <c r="AU499" s="18">
        <f>IF(OR(G499="",B499="",R499&lt;&gt;""),"",IF(AND(B499&gt;=TodayDate,P499&lt;&gt;"Cancelled"),B499,""))</f>
        <v>0</v>
      </c>
      <c r="AV499" s="31">
        <f>IF(AU499="","",COUNTIFS($AU$5:$AU$604,"&lt;"&amp;AU499)+COUNTIFS($AU$5:AU499,AU499))</f>
        <v>0</v>
      </c>
      <c r="AW499" s="31">
        <f>IF(OR(G499="",B499=""),"",B499-TodayDate)</f>
        <v>0</v>
      </c>
      <c r="AX499" s="39">
        <f>IF(G499="","",IF(P499="Cancelled","Cancelled",IF(P499="No access","Action - no access, rebook",IF(AND(B499&lt;&gt;"",AW499&lt;0,OR(P499="Booked",P499="Confirmed",P499="In progress")),"Late - mark it completed",IF(AND(P499="Completed",AP499=""),"Action - not invoiced yet",IF(AND(AW499&gt;=0,AW499&lt;=ReminderDays,Y499&lt;&gt;"Yes"),"Confirm - visit coming up",IF(R499="","Assign - no cleaner booked",IF(AND(P499="Completed",AO499&lt;&gt;"",AO499&lt;1),"Check - checklist unfinished","OK"))))))))</f>
        <v>0</v>
      </c>
    </row>
    <row r="500" spans="1:50">
      <c r="A500" s="43">
        <f>IF(G500="","",JobPrefix&amp;TEXT(ROW()-4,"0000"))</f>
        <v>0</v>
      </c>
      <c r="C500" s="23">
        <f>IF(B500="","",TEXT(B500,"ddd"))</f>
        <v>0</v>
      </c>
      <c r="D500" s="31">
        <f>IF(B500="","",WEEKNUM(B500,IF(WeekStart="Sunday",1,2)))</f>
        <v>0</v>
      </c>
      <c r="E500" s="23">
        <f>IF(B500="","",TEXT(B500,"yyyy-mm"))</f>
        <v>0</v>
      </c>
      <c r="H500" s="23">
        <f>IF(G500="","",IFERROR(INDEX(Clients!$B$5:$B$204,MATCH(G500,Clients!$A$5:$A$204,0)),"Not found"))</f>
        <v>0</v>
      </c>
      <c r="I500" s="23">
        <f>IF(G500="","",IFERROR(INDEX(Clients!$C$5:$C$204,MATCH(G500,Clients!$A$5:$A$204,0)),""))</f>
        <v>0</v>
      </c>
      <c r="K500" s="23">
        <f>IF(J500="","",IFERROR(INDEX(Properties!$B$5:$B$254,MATCH(J500,Properties!$A$5:$A$254,0)),""))</f>
        <v>0</v>
      </c>
      <c r="L500" s="23">
        <f>IF(J500="","",IFERROR(INDEX(Properties!$F$5:$F$254,MATCH(J500,Properties!$A$5:$A$254,0)),""))</f>
        <v>0</v>
      </c>
      <c r="AD500" s="34">
        <f>IF(G500="","",IF(U500&lt;&gt;"",U500,IF(AND(IFERROR(INDEX(Services!$D$5:$D$64,MATCH(M500,Services!$B$5:$B$64,0)),"")="Per hour",IFERROR(INDEX(Properties!$X$5:$X$254,MATCH(J500,Properties!$A$5:$A$254,0)),0)&gt;0),IFERROR(INDEX(Properties!$X$5:$X$254,MATCH(J500,Properties!$A$5:$A$254,0)),0),IF(IFERROR(INDEX(Services!$G$5:$G$64,MATCH(M500,Services!$B$5:$B$64,0)),0)&gt;0,IFERROR(INDEX(Services!$G$5:$G$64,MATCH(M500,Services!$B$5:$B$64,0)),0),IFERROR(INDEX(Properties!$X$5:$X$254,MATCH(J500,Properties!$A$5:$A$254,0)),0)))))</f>
        <v>0</v>
      </c>
      <c r="AE500" s="31">
        <f>IF(G500="","",IF(T500="",CleanersPerJob,MAX(1,T500)))</f>
        <v>0</v>
      </c>
      <c r="AF500" s="34">
        <f>IF(G500="","",ROUND(AD500/AE500,2))</f>
        <v>0</v>
      </c>
      <c r="AG500" s="53">
        <f>IF(OR(G500="",F500="",AF500=""),"",F500+AF500/24)</f>
        <v>0</v>
      </c>
      <c r="AH500" s="21">
        <f>IF(G500="","",IF(IFERROR(INDEX(Clients!$O$5:$O$204,MATCH(G500,Clients!$A$5:$A$204,0)),0)&gt;0,IFERROR(INDEX(Clients!$O$5:$O$204,MATCH(G500,Clients!$A$5:$A$204,0)),0),HourlyRate))</f>
        <v>0</v>
      </c>
      <c r="AI500" s="21">
        <f>IF(G500="","",IF(AND(M500&lt;&gt;"",IFERROR(INDEX(Services!$P$5:$P$64,MATCH(M500,Services!$B$5:$B$64,0)),0)&gt;0,IFERROR(INDEX(Services!$D$5:$D$64,MATCH(M500,Services!$B$5:$B$64,0)),"")&lt;&gt;"Per hour"),IFERROR(INDEX(Services!$P$5:$P$64,MATCH(M500,Services!$B$5:$B$64,0)),0),AD500*AH500))</f>
        <v>0</v>
      </c>
      <c r="AJ500" s="21">
        <f>IF(G500="","",IF(V500&lt;&gt;"",V500,IF(P500="Cancelled",0,MAX(MinimumCharge,ROUND(AI500*IFERROR(INDEX(FreqFactors,MATCH(O500,FreqNames,0)),1),2)))))</f>
        <v>0</v>
      </c>
      <c r="AK500" s="34">
        <f>IF(G500="","",IF(SUMIFS(Timesheets!$U$5:$U$804,Timesheets!$G$5:$G$804,A500)&gt;0,SUMIFS(Timesheets!$U$5:$U$804,Timesheets!$G$5:$G$804,A500),IF(Z500="","",Z500)))</f>
        <v>0</v>
      </c>
      <c r="AL500" s="34">
        <f>IF(OR(AK500="",AD500=""),"",AK500-AD500)</f>
        <v>0</v>
      </c>
      <c r="AM500" s="31">
        <f>IF(A500="","",COUNTIFS('Job Tasks'!$B$5:$B$904,A500))</f>
        <v>0</v>
      </c>
      <c r="AN500" s="31">
        <f>IF(A500="","",COUNTIFS('Job Tasks'!$B$5:$B$904,A500,'Job Tasks'!$H$5:$H$904,"Done"))</f>
        <v>0</v>
      </c>
      <c r="AO500" s="38">
        <f>IF(OR(A500="",AM500=0),"",AN500/AM500)</f>
        <v>0</v>
      </c>
      <c r="AP500" s="43">
        <f>IF(A500="","",IFERROR(INDEX('Invoice Lines'!$B$5:$B$804,MATCH(A500,'Invoice Lines'!$C$5:$C$804,0)),""))</f>
        <v>0</v>
      </c>
      <c r="AQ500" s="18">
        <f>IF(OR(G500="",B500="",X500&lt;&gt;"Yes"),"",IF(IFERROR(INDEX(FreqDays,MATCH(O500,FreqNames,0)),0)=0,"",B500+IFERROR(INDEX(FreqDays,MATCH(O500,FreqNames,0)),0)))</f>
        <v>0</v>
      </c>
      <c r="AR500" s="39">
        <f>IF(G500="","",IF(R500="","Unassigned",IF(COUNTIFS($R$5:$R$604,R500,$B$5:$B$604,B500,$F$5:$F$604,F500)&gt;1,"Clash",IF(SUMIFS($AF$5:$AF$604,$R$5:$R$604,R500,$B$5:$B$604,B500)&gt;ProductiveHours,"Long day","OK"))))</f>
        <v>0</v>
      </c>
      <c r="AS500" s="18">
        <f>IF(OR(G500="",B500=""),"",IF(AND(B500&gt;=TodayDate,P500&lt;&gt;"Cancelled"),B500,""))</f>
        <v>0</v>
      </c>
      <c r="AT500" s="31">
        <f>IF(AS500="","",COUNTIFS($AS$5:$AS$604,"&lt;"&amp;AS500)+COUNTIFS($AS$5:AS500,AS500))</f>
        <v>0</v>
      </c>
      <c r="AU500" s="18">
        <f>IF(OR(G500="",B500="",R500&lt;&gt;""),"",IF(AND(B500&gt;=TodayDate,P500&lt;&gt;"Cancelled"),B500,""))</f>
        <v>0</v>
      </c>
      <c r="AV500" s="31">
        <f>IF(AU500="","",COUNTIFS($AU$5:$AU$604,"&lt;"&amp;AU500)+COUNTIFS($AU$5:AU500,AU500))</f>
        <v>0</v>
      </c>
      <c r="AW500" s="31">
        <f>IF(OR(G500="",B500=""),"",B500-TodayDate)</f>
        <v>0</v>
      </c>
      <c r="AX500" s="39">
        <f>IF(G500="","",IF(P500="Cancelled","Cancelled",IF(P500="No access","Action - no access, rebook",IF(AND(B500&lt;&gt;"",AW500&lt;0,OR(P500="Booked",P500="Confirmed",P500="In progress")),"Late - mark it completed",IF(AND(P500="Completed",AP500=""),"Action - not invoiced yet",IF(AND(AW500&gt;=0,AW500&lt;=ReminderDays,Y500&lt;&gt;"Yes"),"Confirm - visit coming up",IF(R500="","Assign - no cleaner booked",IF(AND(P500="Completed",AO500&lt;&gt;"",AO500&lt;1),"Check - checklist unfinished","OK"))))))))</f>
        <v>0</v>
      </c>
    </row>
    <row r="501" spans="1:50">
      <c r="A501" s="43">
        <f>IF(G501="","",JobPrefix&amp;TEXT(ROW()-4,"0000"))</f>
        <v>0</v>
      </c>
      <c r="C501" s="23">
        <f>IF(B501="","",TEXT(B501,"ddd"))</f>
        <v>0</v>
      </c>
      <c r="D501" s="31">
        <f>IF(B501="","",WEEKNUM(B501,IF(WeekStart="Sunday",1,2)))</f>
        <v>0</v>
      </c>
      <c r="E501" s="23">
        <f>IF(B501="","",TEXT(B501,"yyyy-mm"))</f>
        <v>0</v>
      </c>
      <c r="H501" s="23">
        <f>IF(G501="","",IFERROR(INDEX(Clients!$B$5:$B$204,MATCH(G501,Clients!$A$5:$A$204,0)),"Not found"))</f>
        <v>0</v>
      </c>
      <c r="I501" s="23">
        <f>IF(G501="","",IFERROR(INDEX(Clients!$C$5:$C$204,MATCH(G501,Clients!$A$5:$A$204,0)),""))</f>
        <v>0</v>
      </c>
      <c r="K501" s="23">
        <f>IF(J501="","",IFERROR(INDEX(Properties!$B$5:$B$254,MATCH(J501,Properties!$A$5:$A$254,0)),""))</f>
        <v>0</v>
      </c>
      <c r="L501" s="23">
        <f>IF(J501="","",IFERROR(INDEX(Properties!$F$5:$F$254,MATCH(J501,Properties!$A$5:$A$254,0)),""))</f>
        <v>0</v>
      </c>
      <c r="AD501" s="34">
        <f>IF(G501="","",IF(U501&lt;&gt;"",U501,IF(AND(IFERROR(INDEX(Services!$D$5:$D$64,MATCH(M501,Services!$B$5:$B$64,0)),"")="Per hour",IFERROR(INDEX(Properties!$X$5:$X$254,MATCH(J501,Properties!$A$5:$A$254,0)),0)&gt;0),IFERROR(INDEX(Properties!$X$5:$X$254,MATCH(J501,Properties!$A$5:$A$254,0)),0),IF(IFERROR(INDEX(Services!$G$5:$G$64,MATCH(M501,Services!$B$5:$B$64,0)),0)&gt;0,IFERROR(INDEX(Services!$G$5:$G$64,MATCH(M501,Services!$B$5:$B$64,0)),0),IFERROR(INDEX(Properties!$X$5:$X$254,MATCH(J501,Properties!$A$5:$A$254,0)),0)))))</f>
        <v>0</v>
      </c>
      <c r="AE501" s="31">
        <f>IF(G501="","",IF(T501="",CleanersPerJob,MAX(1,T501)))</f>
        <v>0</v>
      </c>
      <c r="AF501" s="34">
        <f>IF(G501="","",ROUND(AD501/AE501,2))</f>
        <v>0</v>
      </c>
      <c r="AG501" s="53">
        <f>IF(OR(G501="",F501="",AF501=""),"",F501+AF501/24)</f>
        <v>0</v>
      </c>
      <c r="AH501" s="21">
        <f>IF(G501="","",IF(IFERROR(INDEX(Clients!$O$5:$O$204,MATCH(G501,Clients!$A$5:$A$204,0)),0)&gt;0,IFERROR(INDEX(Clients!$O$5:$O$204,MATCH(G501,Clients!$A$5:$A$204,0)),0),HourlyRate))</f>
        <v>0</v>
      </c>
      <c r="AI501" s="21">
        <f>IF(G501="","",IF(AND(M501&lt;&gt;"",IFERROR(INDEX(Services!$P$5:$P$64,MATCH(M501,Services!$B$5:$B$64,0)),0)&gt;0,IFERROR(INDEX(Services!$D$5:$D$64,MATCH(M501,Services!$B$5:$B$64,0)),"")&lt;&gt;"Per hour"),IFERROR(INDEX(Services!$P$5:$P$64,MATCH(M501,Services!$B$5:$B$64,0)),0),AD501*AH501))</f>
        <v>0</v>
      </c>
      <c r="AJ501" s="21">
        <f>IF(G501="","",IF(V501&lt;&gt;"",V501,IF(P501="Cancelled",0,MAX(MinimumCharge,ROUND(AI501*IFERROR(INDEX(FreqFactors,MATCH(O501,FreqNames,0)),1),2)))))</f>
        <v>0</v>
      </c>
      <c r="AK501" s="34">
        <f>IF(G501="","",IF(SUMIFS(Timesheets!$U$5:$U$804,Timesheets!$G$5:$G$804,A501)&gt;0,SUMIFS(Timesheets!$U$5:$U$804,Timesheets!$G$5:$G$804,A501),IF(Z501="","",Z501)))</f>
        <v>0</v>
      </c>
      <c r="AL501" s="34">
        <f>IF(OR(AK501="",AD501=""),"",AK501-AD501)</f>
        <v>0</v>
      </c>
      <c r="AM501" s="31">
        <f>IF(A501="","",COUNTIFS('Job Tasks'!$B$5:$B$904,A501))</f>
        <v>0</v>
      </c>
      <c r="AN501" s="31">
        <f>IF(A501="","",COUNTIFS('Job Tasks'!$B$5:$B$904,A501,'Job Tasks'!$H$5:$H$904,"Done"))</f>
        <v>0</v>
      </c>
      <c r="AO501" s="38">
        <f>IF(OR(A501="",AM501=0),"",AN501/AM501)</f>
        <v>0</v>
      </c>
      <c r="AP501" s="43">
        <f>IF(A501="","",IFERROR(INDEX('Invoice Lines'!$B$5:$B$804,MATCH(A501,'Invoice Lines'!$C$5:$C$804,0)),""))</f>
        <v>0</v>
      </c>
      <c r="AQ501" s="18">
        <f>IF(OR(G501="",B501="",X501&lt;&gt;"Yes"),"",IF(IFERROR(INDEX(FreqDays,MATCH(O501,FreqNames,0)),0)=0,"",B501+IFERROR(INDEX(FreqDays,MATCH(O501,FreqNames,0)),0)))</f>
        <v>0</v>
      </c>
      <c r="AR501" s="39">
        <f>IF(G501="","",IF(R501="","Unassigned",IF(COUNTIFS($R$5:$R$604,R501,$B$5:$B$604,B501,$F$5:$F$604,F501)&gt;1,"Clash",IF(SUMIFS($AF$5:$AF$604,$R$5:$R$604,R501,$B$5:$B$604,B501)&gt;ProductiveHours,"Long day","OK"))))</f>
        <v>0</v>
      </c>
      <c r="AS501" s="18">
        <f>IF(OR(G501="",B501=""),"",IF(AND(B501&gt;=TodayDate,P501&lt;&gt;"Cancelled"),B501,""))</f>
        <v>0</v>
      </c>
      <c r="AT501" s="31">
        <f>IF(AS501="","",COUNTIFS($AS$5:$AS$604,"&lt;"&amp;AS501)+COUNTIFS($AS$5:AS501,AS501))</f>
        <v>0</v>
      </c>
      <c r="AU501" s="18">
        <f>IF(OR(G501="",B501="",R501&lt;&gt;""),"",IF(AND(B501&gt;=TodayDate,P501&lt;&gt;"Cancelled"),B501,""))</f>
        <v>0</v>
      </c>
      <c r="AV501" s="31">
        <f>IF(AU501="","",COUNTIFS($AU$5:$AU$604,"&lt;"&amp;AU501)+COUNTIFS($AU$5:AU501,AU501))</f>
        <v>0</v>
      </c>
      <c r="AW501" s="31">
        <f>IF(OR(G501="",B501=""),"",B501-TodayDate)</f>
        <v>0</v>
      </c>
      <c r="AX501" s="39">
        <f>IF(G501="","",IF(P501="Cancelled","Cancelled",IF(P501="No access","Action - no access, rebook",IF(AND(B501&lt;&gt;"",AW501&lt;0,OR(P501="Booked",P501="Confirmed",P501="In progress")),"Late - mark it completed",IF(AND(P501="Completed",AP501=""),"Action - not invoiced yet",IF(AND(AW501&gt;=0,AW501&lt;=ReminderDays,Y501&lt;&gt;"Yes"),"Confirm - visit coming up",IF(R501="","Assign - no cleaner booked",IF(AND(P501="Completed",AO501&lt;&gt;"",AO501&lt;1),"Check - checklist unfinished","OK"))))))))</f>
        <v>0</v>
      </c>
    </row>
    <row r="502" spans="1:50">
      <c r="A502" s="43">
        <f>IF(G502="","",JobPrefix&amp;TEXT(ROW()-4,"0000"))</f>
        <v>0</v>
      </c>
      <c r="C502" s="23">
        <f>IF(B502="","",TEXT(B502,"ddd"))</f>
        <v>0</v>
      </c>
      <c r="D502" s="31">
        <f>IF(B502="","",WEEKNUM(B502,IF(WeekStart="Sunday",1,2)))</f>
        <v>0</v>
      </c>
      <c r="E502" s="23">
        <f>IF(B502="","",TEXT(B502,"yyyy-mm"))</f>
        <v>0</v>
      </c>
      <c r="H502" s="23">
        <f>IF(G502="","",IFERROR(INDEX(Clients!$B$5:$B$204,MATCH(G502,Clients!$A$5:$A$204,0)),"Not found"))</f>
        <v>0</v>
      </c>
      <c r="I502" s="23">
        <f>IF(G502="","",IFERROR(INDEX(Clients!$C$5:$C$204,MATCH(G502,Clients!$A$5:$A$204,0)),""))</f>
        <v>0</v>
      </c>
      <c r="K502" s="23">
        <f>IF(J502="","",IFERROR(INDEX(Properties!$B$5:$B$254,MATCH(J502,Properties!$A$5:$A$254,0)),""))</f>
        <v>0</v>
      </c>
      <c r="L502" s="23">
        <f>IF(J502="","",IFERROR(INDEX(Properties!$F$5:$F$254,MATCH(J502,Properties!$A$5:$A$254,0)),""))</f>
        <v>0</v>
      </c>
      <c r="AD502" s="34">
        <f>IF(G502="","",IF(U502&lt;&gt;"",U502,IF(AND(IFERROR(INDEX(Services!$D$5:$D$64,MATCH(M502,Services!$B$5:$B$64,0)),"")="Per hour",IFERROR(INDEX(Properties!$X$5:$X$254,MATCH(J502,Properties!$A$5:$A$254,0)),0)&gt;0),IFERROR(INDEX(Properties!$X$5:$X$254,MATCH(J502,Properties!$A$5:$A$254,0)),0),IF(IFERROR(INDEX(Services!$G$5:$G$64,MATCH(M502,Services!$B$5:$B$64,0)),0)&gt;0,IFERROR(INDEX(Services!$G$5:$G$64,MATCH(M502,Services!$B$5:$B$64,0)),0),IFERROR(INDEX(Properties!$X$5:$X$254,MATCH(J502,Properties!$A$5:$A$254,0)),0)))))</f>
        <v>0</v>
      </c>
      <c r="AE502" s="31">
        <f>IF(G502="","",IF(T502="",CleanersPerJob,MAX(1,T502)))</f>
        <v>0</v>
      </c>
      <c r="AF502" s="34">
        <f>IF(G502="","",ROUND(AD502/AE502,2))</f>
        <v>0</v>
      </c>
      <c r="AG502" s="53">
        <f>IF(OR(G502="",F502="",AF502=""),"",F502+AF502/24)</f>
        <v>0</v>
      </c>
      <c r="AH502" s="21">
        <f>IF(G502="","",IF(IFERROR(INDEX(Clients!$O$5:$O$204,MATCH(G502,Clients!$A$5:$A$204,0)),0)&gt;0,IFERROR(INDEX(Clients!$O$5:$O$204,MATCH(G502,Clients!$A$5:$A$204,0)),0),HourlyRate))</f>
        <v>0</v>
      </c>
      <c r="AI502" s="21">
        <f>IF(G502="","",IF(AND(M502&lt;&gt;"",IFERROR(INDEX(Services!$P$5:$P$64,MATCH(M502,Services!$B$5:$B$64,0)),0)&gt;0,IFERROR(INDEX(Services!$D$5:$D$64,MATCH(M502,Services!$B$5:$B$64,0)),"")&lt;&gt;"Per hour"),IFERROR(INDEX(Services!$P$5:$P$64,MATCH(M502,Services!$B$5:$B$64,0)),0),AD502*AH502))</f>
        <v>0</v>
      </c>
      <c r="AJ502" s="21">
        <f>IF(G502="","",IF(V502&lt;&gt;"",V502,IF(P502="Cancelled",0,MAX(MinimumCharge,ROUND(AI502*IFERROR(INDEX(FreqFactors,MATCH(O502,FreqNames,0)),1),2)))))</f>
        <v>0</v>
      </c>
      <c r="AK502" s="34">
        <f>IF(G502="","",IF(SUMIFS(Timesheets!$U$5:$U$804,Timesheets!$G$5:$G$804,A502)&gt;0,SUMIFS(Timesheets!$U$5:$U$804,Timesheets!$G$5:$G$804,A502),IF(Z502="","",Z502)))</f>
        <v>0</v>
      </c>
      <c r="AL502" s="34">
        <f>IF(OR(AK502="",AD502=""),"",AK502-AD502)</f>
        <v>0</v>
      </c>
      <c r="AM502" s="31">
        <f>IF(A502="","",COUNTIFS('Job Tasks'!$B$5:$B$904,A502))</f>
        <v>0</v>
      </c>
      <c r="AN502" s="31">
        <f>IF(A502="","",COUNTIFS('Job Tasks'!$B$5:$B$904,A502,'Job Tasks'!$H$5:$H$904,"Done"))</f>
        <v>0</v>
      </c>
      <c r="AO502" s="38">
        <f>IF(OR(A502="",AM502=0),"",AN502/AM502)</f>
        <v>0</v>
      </c>
      <c r="AP502" s="43">
        <f>IF(A502="","",IFERROR(INDEX('Invoice Lines'!$B$5:$B$804,MATCH(A502,'Invoice Lines'!$C$5:$C$804,0)),""))</f>
        <v>0</v>
      </c>
      <c r="AQ502" s="18">
        <f>IF(OR(G502="",B502="",X502&lt;&gt;"Yes"),"",IF(IFERROR(INDEX(FreqDays,MATCH(O502,FreqNames,0)),0)=0,"",B502+IFERROR(INDEX(FreqDays,MATCH(O502,FreqNames,0)),0)))</f>
        <v>0</v>
      </c>
      <c r="AR502" s="39">
        <f>IF(G502="","",IF(R502="","Unassigned",IF(COUNTIFS($R$5:$R$604,R502,$B$5:$B$604,B502,$F$5:$F$604,F502)&gt;1,"Clash",IF(SUMIFS($AF$5:$AF$604,$R$5:$R$604,R502,$B$5:$B$604,B502)&gt;ProductiveHours,"Long day","OK"))))</f>
        <v>0</v>
      </c>
      <c r="AS502" s="18">
        <f>IF(OR(G502="",B502=""),"",IF(AND(B502&gt;=TodayDate,P502&lt;&gt;"Cancelled"),B502,""))</f>
        <v>0</v>
      </c>
      <c r="AT502" s="31">
        <f>IF(AS502="","",COUNTIFS($AS$5:$AS$604,"&lt;"&amp;AS502)+COUNTIFS($AS$5:AS502,AS502))</f>
        <v>0</v>
      </c>
      <c r="AU502" s="18">
        <f>IF(OR(G502="",B502="",R502&lt;&gt;""),"",IF(AND(B502&gt;=TodayDate,P502&lt;&gt;"Cancelled"),B502,""))</f>
        <v>0</v>
      </c>
      <c r="AV502" s="31">
        <f>IF(AU502="","",COUNTIFS($AU$5:$AU$604,"&lt;"&amp;AU502)+COUNTIFS($AU$5:AU502,AU502))</f>
        <v>0</v>
      </c>
      <c r="AW502" s="31">
        <f>IF(OR(G502="",B502=""),"",B502-TodayDate)</f>
        <v>0</v>
      </c>
      <c r="AX502" s="39">
        <f>IF(G502="","",IF(P502="Cancelled","Cancelled",IF(P502="No access","Action - no access, rebook",IF(AND(B502&lt;&gt;"",AW502&lt;0,OR(P502="Booked",P502="Confirmed",P502="In progress")),"Late - mark it completed",IF(AND(P502="Completed",AP502=""),"Action - not invoiced yet",IF(AND(AW502&gt;=0,AW502&lt;=ReminderDays,Y502&lt;&gt;"Yes"),"Confirm - visit coming up",IF(R502="","Assign - no cleaner booked",IF(AND(P502="Completed",AO502&lt;&gt;"",AO502&lt;1),"Check - checklist unfinished","OK"))))))))</f>
        <v>0</v>
      </c>
    </row>
    <row r="503" spans="1:50">
      <c r="A503" s="43">
        <f>IF(G503="","",JobPrefix&amp;TEXT(ROW()-4,"0000"))</f>
        <v>0</v>
      </c>
      <c r="C503" s="23">
        <f>IF(B503="","",TEXT(B503,"ddd"))</f>
        <v>0</v>
      </c>
      <c r="D503" s="31">
        <f>IF(B503="","",WEEKNUM(B503,IF(WeekStart="Sunday",1,2)))</f>
        <v>0</v>
      </c>
      <c r="E503" s="23">
        <f>IF(B503="","",TEXT(B503,"yyyy-mm"))</f>
        <v>0</v>
      </c>
      <c r="H503" s="23">
        <f>IF(G503="","",IFERROR(INDEX(Clients!$B$5:$B$204,MATCH(G503,Clients!$A$5:$A$204,0)),"Not found"))</f>
        <v>0</v>
      </c>
      <c r="I503" s="23">
        <f>IF(G503="","",IFERROR(INDEX(Clients!$C$5:$C$204,MATCH(G503,Clients!$A$5:$A$204,0)),""))</f>
        <v>0</v>
      </c>
      <c r="K503" s="23">
        <f>IF(J503="","",IFERROR(INDEX(Properties!$B$5:$B$254,MATCH(J503,Properties!$A$5:$A$254,0)),""))</f>
        <v>0</v>
      </c>
      <c r="L503" s="23">
        <f>IF(J503="","",IFERROR(INDEX(Properties!$F$5:$F$254,MATCH(J503,Properties!$A$5:$A$254,0)),""))</f>
        <v>0</v>
      </c>
      <c r="AD503" s="34">
        <f>IF(G503="","",IF(U503&lt;&gt;"",U503,IF(AND(IFERROR(INDEX(Services!$D$5:$D$64,MATCH(M503,Services!$B$5:$B$64,0)),"")="Per hour",IFERROR(INDEX(Properties!$X$5:$X$254,MATCH(J503,Properties!$A$5:$A$254,0)),0)&gt;0),IFERROR(INDEX(Properties!$X$5:$X$254,MATCH(J503,Properties!$A$5:$A$254,0)),0),IF(IFERROR(INDEX(Services!$G$5:$G$64,MATCH(M503,Services!$B$5:$B$64,0)),0)&gt;0,IFERROR(INDEX(Services!$G$5:$G$64,MATCH(M503,Services!$B$5:$B$64,0)),0),IFERROR(INDEX(Properties!$X$5:$X$254,MATCH(J503,Properties!$A$5:$A$254,0)),0)))))</f>
        <v>0</v>
      </c>
      <c r="AE503" s="31">
        <f>IF(G503="","",IF(T503="",CleanersPerJob,MAX(1,T503)))</f>
        <v>0</v>
      </c>
      <c r="AF503" s="34">
        <f>IF(G503="","",ROUND(AD503/AE503,2))</f>
        <v>0</v>
      </c>
      <c r="AG503" s="53">
        <f>IF(OR(G503="",F503="",AF503=""),"",F503+AF503/24)</f>
        <v>0</v>
      </c>
      <c r="AH503" s="21">
        <f>IF(G503="","",IF(IFERROR(INDEX(Clients!$O$5:$O$204,MATCH(G503,Clients!$A$5:$A$204,0)),0)&gt;0,IFERROR(INDEX(Clients!$O$5:$O$204,MATCH(G503,Clients!$A$5:$A$204,0)),0),HourlyRate))</f>
        <v>0</v>
      </c>
      <c r="AI503" s="21">
        <f>IF(G503="","",IF(AND(M503&lt;&gt;"",IFERROR(INDEX(Services!$P$5:$P$64,MATCH(M503,Services!$B$5:$B$64,0)),0)&gt;0,IFERROR(INDEX(Services!$D$5:$D$64,MATCH(M503,Services!$B$5:$B$64,0)),"")&lt;&gt;"Per hour"),IFERROR(INDEX(Services!$P$5:$P$64,MATCH(M503,Services!$B$5:$B$64,0)),0),AD503*AH503))</f>
        <v>0</v>
      </c>
      <c r="AJ503" s="21">
        <f>IF(G503="","",IF(V503&lt;&gt;"",V503,IF(P503="Cancelled",0,MAX(MinimumCharge,ROUND(AI503*IFERROR(INDEX(FreqFactors,MATCH(O503,FreqNames,0)),1),2)))))</f>
        <v>0</v>
      </c>
      <c r="AK503" s="34">
        <f>IF(G503="","",IF(SUMIFS(Timesheets!$U$5:$U$804,Timesheets!$G$5:$G$804,A503)&gt;0,SUMIFS(Timesheets!$U$5:$U$804,Timesheets!$G$5:$G$804,A503),IF(Z503="","",Z503)))</f>
        <v>0</v>
      </c>
      <c r="AL503" s="34">
        <f>IF(OR(AK503="",AD503=""),"",AK503-AD503)</f>
        <v>0</v>
      </c>
      <c r="AM503" s="31">
        <f>IF(A503="","",COUNTIFS('Job Tasks'!$B$5:$B$904,A503))</f>
        <v>0</v>
      </c>
      <c r="AN503" s="31">
        <f>IF(A503="","",COUNTIFS('Job Tasks'!$B$5:$B$904,A503,'Job Tasks'!$H$5:$H$904,"Done"))</f>
        <v>0</v>
      </c>
      <c r="AO503" s="38">
        <f>IF(OR(A503="",AM503=0),"",AN503/AM503)</f>
        <v>0</v>
      </c>
      <c r="AP503" s="43">
        <f>IF(A503="","",IFERROR(INDEX('Invoice Lines'!$B$5:$B$804,MATCH(A503,'Invoice Lines'!$C$5:$C$804,0)),""))</f>
        <v>0</v>
      </c>
      <c r="AQ503" s="18">
        <f>IF(OR(G503="",B503="",X503&lt;&gt;"Yes"),"",IF(IFERROR(INDEX(FreqDays,MATCH(O503,FreqNames,0)),0)=0,"",B503+IFERROR(INDEX(FreqDays,MATCH(O503,FreqNames,0)),0)))</f>
        <v>0</v>
      </c>
      <c r="AR503" s="39">
        <f>IF(G503="","",IF(R503="","Unassigned",IF(COUNTIFS($R$5:$R$604,R503,$B$5:$B$604,B503,$F$5:$F$604,F503)&gt;1,"Clash",IF(SUMIFS($AF$5:$AF$604,$R$5:$R$604,R503,$B$5:$B$604,B503)&gt;ProductiveHours,"Long day","OK"))))</f>
        <v>0</v>
      </c>
      <c r="AS503" s="18">
        <f>IF(OR(G503="",B503=""),"",IF(AND(B503&gt;=TodayDate,P503&lt;&gt;"Cancelled"),B503,""))</f>
        <v>0</v>
      </c>
      <c r="AT503" s="31">
        <f>IF(AS503="","",COUNTIFS($AS$5:$AS$604,"&lt;"&amp;AS503)+COUNTIFS($AS$5:AS503,AS503))</f>
        <v>0</v>
      </c>
      <c r="AU503" s="18">
        <f>IF(OR(G503="",B503="",R503&lt;&gt;""),"",IF(AND(B503&gt;=TodayDate,P503&lt;&gt;"Cancelled"),B503,""))</f>
        <v>0</v>
      </c>
      <c r="AV503" s="31">
        <f>IF(AU503="","",COUNTIFS($AU$5:$AU$604,"&lt;"&amp;AU503)+COUNTIFS($AU$5:AU503,AU503))</f>
        <v>0</v>
      </c>
      <c r="AW503" s="31">
        <f>IF(OR(G503="",B503=""),"",B503-TodayDate)</f>
        <v>0</v>
      </c>
      <c r="AX503" s="39">
        <f>IF(G503="","",IF(P503="Cancelled","Cancelled",IF(P503="No access","Action - no access, rebook",IF(AND(B503&lt;&gt;"",AW503&lt;0,OR(P503="Booked",P503="Confirmed",P503="In progress")),"Late - mark it completed",IF(AND(P503="Completed",AP503=""),"Action - not invoiced yet",IF(AND(AW503&gt;=0,AW503&lt;=ReminderDays,Y503&lt;&gt;"Yes"),"Confirm - visit coming up",IF(R503="","Assign - no cleaner booked",IF(AND(P503="Completed",AO503&lt;&gt;"",AO503&lt;1),"Check - checklist unfinished","OK"))))))))</f>
        <v>0</v>
      </c>
    </row>
    <row r="504" spans="1:50">
      <c r="A504" s="43">
        <f>IF(G504="","",JobPrefix&amp;TEXT(ROW()-4,"0000"))</f>
        <v>0</v>
      </c>
      <c r="C504" s="23">
        <f>IF(B504="","",TEXT(B504,"ddd"))</f>
        <v>0</v>
      </c>
      <c r="D504" s="31">
        <f>IF(B504="","",WEEKNUM(B504,IF(WeekStart="Sunday",1,2)))</f>
        <v>0</v>
      </c>
      <c r="E504" s="23">
        <f>IF(B504="","",TEXT(B504,"yyyy-mm"))</f>
        <v>0</v>
      </c>
      <c r="H504" s="23">
        <f>IF(G504="","",IFERROR(INDEX(Clients!$B$5:$B$204,MATCH(G504,Clients!$A$5:$A$204,0)),"Not found"))</f>
        <v>0</v>
      </c>
      <c r="I504" s="23">
        <f>IF(G504="","",IFERROR(INDEX(Clients!$C$5:$C$204,MATCH(G504,Clients!$A$5:$A$204,0)),""))</f>
        <v>0</v>
      </c>
      <c r="K504" s="23">
        <f>IF(J504="","",IFERROR(INDEX(Properties!$B$5:$B$254,MATCH(J504,Properties!$A$5:$A$254,0)),""))</f>
        <v>0</v>
      </c>
      <c r="L504" s="23">
        <f>IF(J504="","",IFERROR(INDEX(Properties!$F$5:$F$254,MATCH(J504,Properties!$A$5:$A$254,0)),""))</f>
        <v>0</v>
      </c>
      <c r="AD504" s="34">
        <f>IF(G504="","",IF(U504&lt;&gt;"",U504,IF(AND(IFERROR(INDEX(Services!$D$5:$D$64,MATCH(M504,Services!$B$5:$B$64,0)),"")="Per hour",IFERROR(INDEX(Properties!$X$5:$X$254,MATCH(J504,Properties!$A$5:$A$254,0)),0)&gt;0),IFERROR(INDEX(Properties!$X$5:$X$254,MATCH(J504,Properties!$A$5:$A$254,0)),0),IF(IFERROR(INDEX(Services!$G$5:$G$64,MATCH(M504,Services!$B$5:$B$64,0)),0)&gt;0,IFERROR(INDEX(Services!$G$5:$G$64,MATCH(M504,Services!$B$5:$B$64,0)),0),IFERROR(INDEX(Properties!$X$5:$X$254,MATCH(J504,Properties!$A$5:$A$254,0)),0)))))</f>
        <v>0</v>
      </c>
      <c r="AE504" s="31">
        <f>IF(G504="","",IF(T504="",CleanersPerJob,MAX(1,T504)))</f>
        <v>0</v>
      </c>
      <c r="AF504" s="34">
        <f>IF(G504="","",ROUND(AD504/AE504,2))</f>
        <v>0</v>
      </c>
      <c r="AG504" s="53">
        <f>IF(OR(G504="",F504="",AF504=""),"",F504+AF504/24)</f>
        <v>0</v>
      </c>
      <c r="AH504" s="21">
        <f>IF(G504="","",IF(IFERROR(INDEX(Clients!$O$5:$O$204,MATCH(G504,Clients!$A$5:$A$204,0)),0)&gt;0,IFERROR(INDEX(Clients!$O$5:$O$204,MATCH(G504,Clients!$A$5:$A$204,0)),0),HourlyRate))</f>
        <v>0</v>
      </c>
      <c r="AI504" s="21">
        <f>IF(G504="","",IF(AND(M504&lt;&gt;"",IFERROR(INDEX(Services!$P$5:$P$64,MATCH(M504,Services!$B$5:$B$64,0)),0)&gt;0,IFERROR(INDEX(Services!$D$5:$D$64,MATCH(M504,Services!$B$5:$B$64,0)),"")&lt;&gt;"Per hour"),IFERROR(INDEX(Services!$P$5:$P$64,MATCH(M504,Services!$B$5:$B$64,0)),0),AD504*AH504))</f>
        <v>0</v>
      </c>
      <c r="AJ504" s="21">
        <f>IF(G504="","",IF(V504&lt;&gt;"",V504,IF(P504="Cancelled",0,MAX(MinimumCharge,ROUND(AI504*IFERROR(INDEX(FreqFactors,MATCH(O504,FreqNames,0)),1),2)))))</f>
        <v>0</v>
      </c>
      <c r="AK504" s="34">
        <f>IF(G504="","",IF(SUMIFS(Timesheets!$U$5:$U$804,Timesheets!$G$5:$G$804,A504)&gt;0,SUMIFS(Timesheets!$U$5:$U$804,Timesheets!$G$5:$G$804,A504),IF(Z504="","",Z504)))</f>
        <v>0</v>
      </c>
      <c r="AL504" s="34">
        <f>IF(OR(AK504="",AD504=""),"",AK504-AD504)</f>
        <v>0</v>
      </c>
      <c r="AM504" s="31">
        <f>IF(A504="","",COUNTIFS('Job Tasks'!$B$5:$B$904,A504))</f>
        <v>0</v>
      </c>
      <c r="AN504" s="31">
        <f>IF(A504="","",COUNTIFS('Job Tasks'!$B$5:$B$904,A504,'Job Tasks'!$H$5:$H$904,"Done"))</f>
        <v>0</v>
      </c>
      <c r="AO504" s="38">
        <f>IF(OR(A504="",AM504=0),"",AN504/AM504)</f>
        <v>0</v>
      </c>
      <c r="AP504" s="43">
        <f>IF(A504="","",IFERROR(INDEX('Invoice Lines'!$B$5:$B$804,MATCH(A504,'Invoice Lines'!$C$5:$C$804,0)),""))</f>
        <v>0</v>
      </c>
      <c r="AQ504" s="18">
        <f>IF(OR(G504="",B504="",X504&lt;&gt;"Yes"),"",IF(IFERROR(INDEX(FreqDays,MATCH(O504,FreqNames,0)),0)=0,"",B504+IFERROR(INDEX(FreqDays,MATCH(O504,FreqNames,0)),0)))</f>
        <v>0</v>
      </c>
      <c r="AR504" s="39">
        <f>IF(G504="","",IF(R504="","Unassigned",IF(COUNTIFS($R$5:$R$604,R504,$B$5:$B$604,B504,$F$5:$F$604,F504)&gt;1,"Clash",IF(SUMIFS($AF$5:$AF$604,$R$5:$R$604,R504,$B$5:$B$604,B504)&gt;ProductiveHours,"Long day","OK"))))</f>
        <v>0</v>
      </c>
      <c r="AS504" s="18">
        <f>IF(OR(G504="",B504=""),"",IF(AND(B504&gt;=TodayDate,P504&lt;&gt;"Cancelled"),B504,""))</f>
        <v>0</v>
      </c>
      <c r="AT504" s="31">
        <f>IF(AS504="","",COUNTIFS($AS$5:$AS$604,"&lt;"&amp;AS504)+COUNTIFS($AS$5:AS504,AS504))</f>
        <v>0</v>
      </c>
      <c r="AU504" s="18">
        <f>IF(OR(G504="",B504="",R504&lt;&gt;""),"",IF(AND(B504&gt;=TodayDate,P504&lt;&gt;"Cancelled"),B504,""))</f>
        <v>0</v>
      </c>
      <c r="AV504" s="31">
        <f>IF(AU504="","",COUNTIFS($AU$5:$AU$604,"&lt;"&amp;AU504)+COUNTIFS($AU$5:AU504,AU504))</f>
        <v>0</v>
      </c>
      <c r="AW504" s="31">
        <f>IF(OR(G504="",B504=""),"",B504-TodayDate)</f>
        <v>0</v>
      </c>
      <c r="AX504" s="39">
        <f>IF(G504="","",IF(P504="Cancelled","Cancelled",IF(P504="No access","Action - no access, rebook",IF(AND(B504&lt;&gt;"",AW504&lt;0,OR(P504="Booked",P504="Confirmed",P504="In progress")),"Late - mark it completed",IF(AND(P504="Completed",AP504=""),"Action - not invoiced yet",IF(AND(AW504&gt;=0,AW504&lt;=ReminderDays,Y504&lt;&gt;"Yes"),"Confirm - visit coming up",IF(R504="","Assign - no cleaner booked",IF(AND(P504="Completed",AO504&lt;&gt;"",AO504&lt;1),"Check - checklist unfinished","OK"))))))))</f>
        <v>0</v>
      </c>
    </row>
    <row r="505" spans="1:50">
      <c r="A505" s="43">
        <f>IF(G505="","",JobPrefix&amp;TEXT(ROW()-4,"0000"))</f>
        <v>0</v>
      </c>
      <c r="C505" s="23">
        <f>IF(B505="","",TEXT(B505,"ddd"))</f>
        <v>0</v>
      </c>
      <c r="D505" s="31">
        <f>IF(B505="","",WEEKNUM(B505,IF(WeekStart="Sunday",1,2)))</f>
        <v>0</v>
      </c>
      <c r="E505" s="23">
        <f>IF(B505="","",TEXT(B505,"yyyy-mm"))</f>
        <v>0</v>
      </c>
      <c r="H505" s="23">
        <f>IF(G505="","",IFERROR(INDEX(Clients!$B$5:$B$204,MATCH(G505,Clients!$A$5:$A$204,0)),"Not found"))</f>
        <v>0</v>
      </c>
      <c r="I505" s="23">
        <f>IF(G505="","",IFERROR(INDEX(Clients!$C$5:$C$204,MATCH(G505,Clients!$A$5:$A$204,0)),""))</f>
        <v>0</v>
      </c>
      <c r="K505" s="23">
        <f>IF(J505="","",IFERROR(INDEX(Properties!$B$5:$B$254,MATCH(J505,Properties!$A$5:$A$254,0)),""))</f>
        <v>0</v>
      </c>
      <c r="L505" s="23">
        <f>IF(J505="","",IFERROR(INDEX(Properties!$F$5:$F$254,MATCH(J505,Properties!$A$5:$A$254,0)),""))</f>
        <v>0</v>
      </c>
      <c r="AD505" s="34">
        <f>IF(G505="","",IF(U505&lt;&gt;"",U505,IF(AND(IFERROR(INDEX(Services!$D$5:$D$64,MATCH(M505,Services!$B$5:$B$64,0)),"")="Per hour",IFERROR(INDEX(Properties!$X$5:$X$254,MATCH(J505,Properties!$A$5:$A$254,0)),0)&gt;0),IFERROR(INDEX(Properties!$X$5:$X$254,MATCH(J505,Properties!$A$5:$A$254,0)),0),IF(IFERROR(INDEX(Services!$G$5:$G$64,MATCH(M505,Services!$B$5:$B$64,0)),0)&gt;0,IFERROR(INDEX(Services!$G$5:$G$64,MATCH(M505,Services!$B$5:$B$64,0)),0),IFERROR(INDEX(Properties!$X$5:$X$254,MATCH(J505,Properties!$A$5:$A$254,0)),0)))))</f>
        <v>0</v>
      </c>
      <c r="AE505" s="31">
        <f>IF(G505="","",IF(T505="",CleanersPerJob,MAX(1,T505)))</f>
        <v>0</v>
      </c>
      <c r="AF505" s="34">
        <f>IF(G505="","",ROUND(AD505/AE505,2))</f>
        <v>0</v>
      </c>
      <c r="AG505" s="53">
        <f>IF(OR(G505="",F505="",AF505=""),"",F505+AF505/24)</f>
        <v>0</v>
      </c>
      <c r="AH505" s="21">
        <f>IF(G505="","",IF(IFERROR(INDEX(Clients!$O$5:$O$204,MATCH(G505,Clients!$A$5:$A$204,0)),0)&gt;0,IFERROR(INDEX(Clients!$O$5:$O$204,MATCH(G505,Clients!$A$5:$A$204,0)),0),HourlyRate))</f>
        <v>0</v>
      </c>
      <c r="AI505" s="21">
        <f>IF(G505="","",IF(AND(M505&lt;&gt;"",IFERROR(INDEX(Services!$P$5:$P$64,MATCH(M505,Services!$B$5:$B$64,0)),0)&gt;0,IFERROR(INDEX(Services!$D$5:$D$64,MATCH(M505,Services!$B$5:$B$64,0)),"")&lt;&gt;"Per hour"),IFERROR(INDEX(Services!$P$5:$P$64,MATCH(M505,Services!$B$5:$B$64,0)),0),AD505*AH505))</f>
        <v>0</v>
      </c>
      <c r="AJ505" s="21">
        <f>IF(G505="","",IF(V505&lt;&gt;"",V505,IF(P505="Cancelled",0,MAX(MinimumCharge,ROUND(AI505*IFERROR(INDEX(FreqFactors,MATCH(O505,FreqNames,0)),1),2)))))</f>
        <v>0</v>
      </c>
      <c r="AK505" s="34">
        <f>IF(G505="","",IF(SUMIFS(Timesheets!$U$5:$U$804,Timesheets!$G$5:$G$804,A505)&gt;0,SUMIFS(Timesheets!$U$5:$U$804,Timesheets!$G$5:$G$804,A505),IF(Z505="","",Z505)))</f>
        <v>0</v>
      </c>
      <c r="AL505" s="34">
        <f>IF(OR(AK505="",AD505=""),"",AK505-AD505)</f>
        <v>0</v>
      </c>
      <c r="AM505" s="31">
        <f>IF(A505="","",COUNTIFS('Job Tasks'!$B$5:$B$904,A505))</f>
        <v>0</v>
      </c>
      <c r="AN505" s="31">
        <f>IF(A505="","",COUNTIFS('Job Tasks'!$B$5:$B$904,A505,'Job Tasks'!$H$5:$H$904,"Done"))</f>
        <v>0</v>
      </c>
      <c r="AO505" s="38">
        <f>IF(OR(A505="",AM505=0),"",AN505/AM505)</f>
        <v>0</v>
      </c>
      <c r="AP505" s="43">
        <f>IF(A505="","",IFERROR(INDEX('Invoice Lines'!$B$5:$B$804,MATCH(A505,'Invoice Lines'!$C$5:$C$804,0)),""))</f>
        <v>0</v>
      </c>
      <c r="AQ505" s="18">
        <f>IF(OR(G505="",B505="",X505&lt;&gt;"Yes"),"",IF(IFERROR(INDEX(FreqDays,MATCH(O505,FreqNames,0)),0)=0,"",B505+IFERROR(INDEX(FreqDays,MATCH(O505,FreqNames,0)),0)))</f>
        <v>0</v>
      </c>
      <c r="AR505" s="39">
        <f>IF(G505="","",IF(R505="","Unassigned",IF(COUNTIFS($R$5:$R$604,R505,$B$5:$B$604,B505,$F$5:$F$604,F505)&gt;1,"Clash",IF(SUMIFS($AF$5:$AF$604,$R$5:$R$604,R505,$B$5:$B$604,B505)&gt;ProductiveHours,"Long day","OK"))))</f>
        <v>0</v>
      </c>
      <c r="AS505" s="18">
        <f>IF(OR(G505="",B505=""),"",IF(AND(B505&gt;=TodayDate,P505&lt;&gt;"Cancelled"),B505,""))</f>
        <v>0</v>
      </c>
      <c r="AT505" s="31">
        <f>IF(AS505="","",COUNTIFS($AS$5:$AS$604,"&lt;"&amp;AS505)+COUNTIFS($AS$5:AS505,AS505))</f>
        <v>0</v>
      </c>
      <c r="AU505" s="18">
        <f>IF(OR(G505="",B505="",R505&lt;&gt;""),"",IF(AND(B505&gt;=TodayDate,P505&lt;&gt;"Cancelled"),B505,""))</f>
        <v>0</v>
      </c>
      <c r="AV505" s="31">
        <f>IF(AU505="","",COUNTIFS($AU$5:$AU$604,"&lt;"&amp;AU505)+COUNTIFS($AU$5:AU505,AU505))</f>
        <v>0</v>
      </c>
      <c r="AW505" s="31">
        <f>IF(OR(G505="",B505=""),"",B505-TodayDate)</f>
        <v>0</v>
      </c>
      <c r="AX505" s="39">
        <f>IF(G505="","",IF(P505="Cancelled","Cancelled",IF(P505="No access","Action - no access, rebook",IF(AND(B505&lt;&gt;"",AW505&lt;0,OR(P505="Booked",P505="Confirmed",P505="In progress")),"Late - mark it completed",IF(AND(P505="Completed",AP505=""),"Action - not invoiced yet",IF(AND(AW505&gt;=0,AW505&lt;=ReminderDays,Y505&lt;&gt;"Yes"),"Confirm - visit coming up",IF(R505="","Assign - no cleaner booked",IF(AND(P505="Completed",AO505&lt;&gt;"",AO505&lt;1),"Check - checklist unfinished","OK"))))))))</f>
        <v>0</v>
      </c>
    </row>
    <row r="506" spans="1:50">
      <c r="A506" s="43">
        <f>IF(G506="","",JobPrefix&amp;TEXT(ROW()-4,"0000"))</f>
        <v>0</v>
      </c>
      <c r="C506" s="23">
        <f>IF(B506="","",TEXT(B506,"ddd"))</f>
        <v>0</v>
      </c>
      <c r="D506" s="31">
        <f>IF(B506="","",WEEKNUM(B506,IF(WeekStart="Sunday",1,2)))</f>
        <v>0</v>
      </c>
      <c r="E506" s="23">
        <f>IF(B506="","",TEXT(B506,"yyyy-mm"))</f>
        <v>0</v>
      </c>
      <c r="H506" s="23">
        <f>IF(G506="","",IFERROR(INDEX(Clients!$B$5:$B$204,MATCH(G506,Clients!$A$5:$A$204,0)),"Not found"))</f>
        <v>0</v>
      </c>
      <c r="I506" s="23">
        <f>IF(G506="","",IFERROR(INDEX(Clients!$C$5:$C$204,MATCH(G506,Clients!$A$5:$A$204,0)),""))</f>
        <v>0</v>
      </c>
      <c r="K506" s="23">
        <f>IF(J506="","",IFERROR(INDEX(Properties!$B$5:$B$254,MATCH(J506,Properties!$A$5:$A$254,0)),""))</f>
        <v>0</v>
      </c>
      <c r="L506" s="23">
        <f>IF(J506="","",IFERROR(INDEX(Properties!$F$5:$F$254,MATCH(J506,Properties!$A$5:$A$254,0)),""))</f>
        <v>0</v>
      </c>
      <c r="AD506" s="34">
        <f>IF(G506="","",IF(U506&lt;&gt;"",U506,IF(AND(IFERROR(INDEX(Services!$D$5:$D$64,MATCH(M506,Services!$B$5:$B$64,0)),"")="Per hour",IFERROR(INDEX(Properties!$X$5:$X$254,MATCH(J506,Properties!$A$5:$A$254,0)),0)&gt;0),IFERROR(INDEX(Properties!$X$5:$X$254,MATCH(J506,Properties!$A$5:$A$254,0)),0),IF(IFERROR(INDEX(Services!$G$5:$G$64,MATCH(M506,Services!$B$5:$B$64,0)),0)&gt;0,IFERROR(INDEX(Services!$G$5:$G$64,MATCH(M506,Services!$B$5:$B$64,0)),0),IFERROR(INDEX(Properties!$X$5:$X$254,MATCH(J506,Properties!$A$5:$A$254,0)),0)))))</f>
        <v>0</v>
      </c>
      <c r="AE506" s="31">
        <f>IF(G506="","",IF(T506="",CleanersPerJob,MAX(1,T506)))</f>
        <v>0</v>
      </c>
      <c r="AF506" s="34">
        <f>IF(G506="","",ROUND(AD506/AE506,2))</f>
        <v>0</v>
      </c>
      <c r="AG506" s="53">
        <f>IF(OR(G506="",F506="",AF506=""),"",F506+AF506/24)</f>
        <v>0</v>
      </c>
      <c r="AH506" s="21">
        <f>IF(G506="","",IF(IFERROR(INDEX(Clients!$O$5:$O$204,MATCH(G506,Clients!$A$5:$A$204,0)),0)&gt;0,IFERROR(INDEX(Clients!$O$5:$O$204,MATCH(G506,Clients!$A$5:$A$204,0)),0),HourlyRate))</f>
        <v>0</v>
      </c>
      <c r="AI506" s="21">
        <f>IF(G506="","",IF(AND(M506&lt;&gt;"",IFERROR(INDEX(Services!$P$5:$P$64,MATCH(M506,Services!$B$5:$B$64,0)),0)&gt;0,IFERROR(INDEX(Services!$D$5:$D$64,MATCH(M506,Services!$B$5:$B$64,0)),"")&lt;&gt;"Per hour"),IFERROR(INDEX(Services!$P$5:$P$64,MATCH(M506,Services!$B$5:$B$64,0)),0),AD506*AH506))</f>
        <v>0</v>
      </c>
      <c r="AJ506" s="21">
        <f>IF(G506="","",IF(V506&lt;&gt;"",V506,IF(P506="Cancelled",0,MAX(MinimumCharge,ROUND(AI506*IFERROR(INDEX(FreqFactors,MATCH(O506,FreqNames,0)),1),2)))))</f>
        <v>0</v>
      </c>
      <c r="AK506" s="34">
        <f>IF(G506="","",IF(SUMIFS(Timesheets!$U$5:$U$804,Timesheets!$G$5:$G$804,A506)&gt;0,SUMIFS(Timesheets!$U$5:$U$804,Timesheets!$G$5:$G$804,A506),IF(Z506="","",Z506)))</f>
        <v>0</v>
      </c>
      <c r="AL506" s="34">
        <f>IF(OR(AK506="",AD506=""),"",AK506-AD506)</f>
        <v>0</v>
      </c>
      <c r="AM506" s="31">
        <f>IF(A506="","",COUNTIFS('Job Tasks'!$B$5:$B$904,A506))</f>
        <v>0</v>
      </c>
      <c r="AN506" s="31">
        <f>IF(A506="","",COUNTIFS('Job Tasks'!$B$5:$B$904,A506,'Job Tasks'!$H$5:$H$904,"Done"))</f>
        <v>0</v>
      </c>
      <c r="AO506" s="38">
        <f>IF(OR(A506="",AM506=0),"",AN506/AM506)</f>
        <v>0</v>
      </c>
      <c r="AP506" s="43">
        <f>IF(A506="","",IFERROR(INDEX('Invoice Lines'!$B$5:$B$804,MATCH(A506,'Invoice Lines'!$C$5:$C$804,0)),""))</f>
        <v>0</v>
      </c>
      <c r="AQ506" s="18">
        <f>IF(OR(G506="",B506="",X506&lt;&gt;"Yes"),"",IF(IFERROR(INDEX(FreqDays,MATCH(O506,FreqNames,0)),0)=0,"",B506+IFERROR(INDEX(FreqDays,MATCH(O506,FreqNames,0)),0)))</f>
        <v>0</v>
      </c>
      <c r="AR506" s="39">
        <f>IF(G506="","",IF(R506="","Unassigned",IF(COUNTIFS($R$5:$R$604,R506,$B$5:$B$604,B506,$F$5:$F$604,F506)&gt;1,"Clash",IF(SUMIFS($AF$5:$AF$604,$R$5:$R$604,R506,$B$5:$B$604,B506)&gt;ProductiveHours,"Long day","OK"))))</f>
        <v>0</v>
      </c>
      <c r="AS506" s="18">
        <f>IF(OR(G506="",B506=""),"",IF(AND(B506&gt;=TodayDate,P506&lt;&gt;"Cancelled"),B506,""))</f>
        <v>0</v>
      </c>
      <c r="AT506" s="31">
        <f>IF(AS506="","",COUNTIFS($AS$5:$AS$604,"&lt;"&amp;AS506)+COUNTIFS($AS$5:AS506,AS506))</f>
        <v>0</v>
      </c>
      <c r="AU506" s="18">
        <f>IF(OR(G506="",B506="",R506&lt;&gt;""),"",IF(AND(B506&gt;=TodayDate,P506&lt;&gt;"Cancelled"),B506,""))</f>
        <v>0</v>
      </c>
      <c r="AV506" s="31">
        <f>IF(AU506="","",COUNTIFS($AU$5:$AU$604,"&lt;"&amp;AU506)+COUNTIFS($AU$5:AU506,AU506))</f>
        <v>0</v>
      </c>
      <c r="AW506" s="31">
        <f>IF(OR(G506="",B506=""),"",B506-TodayDate)</f>
        <v>0</v>
      </c>
      <c r="AX506" s="39">
        <f>IF(G506="","",IF(P506="Cancelled","Cancelled",IF(P506="No access","Action - no access, rebook",IF(AND(B506&lt;&gt;"",AW506&lt;0,OR(P506="Booked",P506="Confirmed",P506="In progress")),"Late - mark it completed",IF(AND(P506="Completed",AP506=""),"Action - not invoiced yet",IF(AND(AW506&gt;=0,AW506&lt;=ReminderDays,Y506&lt;&gt;"Yes"),"Confirm - visit coming up",IF(R506="","Assign - no cleaner booked",IF(AND(P506="Completed",AO506&lt;&gt;"",AO506&lt;1),"Check - checklist unfinished","OK"))))))))</f>
        <v>0</v>
      </c>
    </row>
    <row r="507" spans="1:50">
      <c r="A507" s="43">
        <f>IF(G507="","",JobPrefix&amp;TEXT(ROW()-4,"0000"))</f>
        <v>0</v>
      </c>
      <c r="C507" s="23">
        <f>IF(B507="","",TEXT(B507,"ddd"))</f>
        <v>0</v>
      </c>
      <c r="D507" s="31">
        <f>IF(B507="","",WEEKNUM(B507,IF(WeekStart="Sunday",1,2)))</f>
        <v>0</v>
      </c>
      <c r="E507" s="23">
        <f>IF(B507="","",TEXT(B507,"yyyy-mm"))</f>
        <v>0</v>
      </c>
      <c r="H507" s="23">
        <f>IF(G507="","",IFERROR(INDEX(Clients!$B$5:$B$204,MATCH(G507,Clients!$A$5:$A$204,0)),"Not found"))</f>
        <v>0</v>
      </c>
      <c r="I507" s="23">
        <f>IF(G507="","",IFERROR(INDEX(Clients!$C$5:$C$204,MATCH(G507,Clients!$A$5:$A$204,0)),""))</f>
        <v>0</v>
      </c>
      <c r="K507" s="23">
        <f>IF(J507="","",IFERROR(INDEX(Properties!$B$5:$B$254,MATCH(J507,Properties!$A$5:$A$254,0)),""))</f>
        <v>0</v>
      </c>
      <c r="L507" s="23">
        <f>IF(J507="","",IFERROR(INDEX(Properties!$F$5:$F$254,MATCH(J507,Properties!$A$5:$A$254,0)),""))</f>
        <v>0</v>
      </c>
      <c r="AD507" s="34">
        <f>IF(G507="","",IF(U507&lt;&gt;"",U507,IF(AND(IFERROR(INDEX(Services!$D$5:$D$64,MATCH(M507,Services!$B$5:$B$64,0)),"")="Per hour",IFERROR(INDEX(Properties!$X$5:$X$254,MATCH(J507,Properties!$A$5:$A$254,0)),0)&gt;0),IFERROR(INDEX(Properties!$X$5:$X$254,MATCH(J507,Properties!$A$5:$A$254,0)),0),IF(IFERROR(INDEX(Services!$G$5:$G$64,MATCH(M507,Services!$B$5:$B$64,0)),0)&gt;0,IFERROR(INDEX(Services!$G$5:$G$64,MATCH(M507,Services!$B$5:$B$64,0)),0),IFERROR(INDEX(Properties!$X$5:$X$254,MATCH(J507,Properties!$A$5:$A$254,0)),0)))))</f>
        <v>0</v>
      </c>
      <c r="AE507" s="31">
        <f>IF(G507="","",IF(T507="",CleanersPerJob,MAX(1,T507)))</f>
        <v>0</v>
      </c>
      <c r="AF507" s="34">
        <f>IF(G507="","",ROUND(AD507/AE507,2))</f>
        <v>0</v>
      </c>
      <c r="AG507" s="53">
        <f>IF(OR(G507="",F507="",AF507=""),"",F507+AF507/24)</f>
        <v>0</v>
      </c>
      <c r="AH507" s="21">
        <f>IF(G507="","",IF(IFERROR(INDEX(Clients!$O$5:$O$204,MATCH(G507,Clients!$A$5:$A$204,0)),0)&gt;0,IFERROR(INDEX(Clients!$O$5:$O$204,MATCH(G507,Clients!$A$5:$A$204,0)),0),HourlyRate))</f>
        <v>0</v>
      </c>
      <c r="AI507" s="21">
        <f>IF(G507="","",IF(AND(M507&lt;&gt;"",IFERROR(INDEX(Services!$P$5:$P$64,MATCH(M507,Services!$B$5:$B$64,0)),0)&gt;0,IFERROR(INDEX(Services!$D$5:$D$64,MATCH(M507,Services!$B$5:$B$64,0)),"")&lt;&gt;"Per hour"),IFERROR(INDEX(Services!$P$5:$P$64,MATCH(M507,Services!$B$5:$B$64,0)),0),AD507*AH507))</f>
        <v>0</v>
      </c>
      <c r="AJ507" s="21">
        <f>IF(G507="","",IF(V507&lt;&gt;"",V507,IF(P507="Cancelled",0,MAX(MinimumCharge,ROUND(AI507*IFERROR(INDEX(FreqFactors,MATCH(O507,FreqNames,0)),1),2)))))</f>
        <v>0</v>
      </c>
      <c r="AK507" s="34">
        <f>IF(G507="","",IF(SUMIFS(Timesheets!$U$5:$U$804,Timesheets!$G$5:$G$804,A507)&gt;0,SUMIFS(Timesheets!$U$5:$U$804,Timesheets!$G$5:$G$804,A507),IF(Z507="","",Z507)))</f>
        <v>0</v>
      </c>
      <c r="AL507" s="34">
        <f>IF(OR(AK507="",AD507=""),"",AK507-AD507)</f>
        <v>0</v>
      </c>
      <c r="AM507" s="31">
        <f>IF(A507="","",COUNTIFS('Job Tasks'!$B$5:$B$904,A507))</f>
        <v>0</v>
      </c>
      <c r="AN507" s="31">
        <f>IF(A507="","",COUNTIFS('Job Tasks'!$B$5:$B$904,A507,'Job Tasks'!$H$5:$H$904,"Done"))</f>
        <v>0</v>
      </c>
      <c r="AO507" s="38">
        <f>IF(OR(A507="",AM507=0),"",AN507/AM507)</f>
        <v>0</v>
      </c>
      <c r="AP507" s="43">
        <f>IF(A507="","",IFERROR(INDEX('Invoice Lines'!$B$5:$B$804,MATCH(A507,'Invoice Lines'!$C$5:$C$804,0)),""))</f>
        <v>0</v>
      </c>
      <c r="AQ507" s="18">
        <f>IF(OR(G507="",B507="",X507&lt;&gt;"Yes"),"",IF(IFERROR(INDEX(FreqDays,MATCH(O507,FreqNames,0)),0)=0,"",B507+IFERROR(INDEX(FreqDays,MATCH(O507,FreqNames,0)),0)))</f>
        <v>0</v>
      </c>
      <c r="AR507" s="39">
        <f>IF(G507="","",IF(R507="","Unassigned",IF(COUNTIFS($R$5:$R$604,R507,$B$5:$B$604,B507,$F$5:$F$604,F507)&gt;1,"Clash",IF(SUMIFS($AF$5:$AF$604,$R$5:$R$604,R507,$B$5:$B$604,B507)&gt;ProductiveHours,"Long day","OK"))))</f>
        <v>0</v>
      </c>
      <c r="AS507" s="18">
        <f>IF(OR(G507="",B507=""),"",IF(AND(B507&gt;=TodayDate,P507&lt;&gt;"Cancelled"),B507,""))</f>
        <v>0</v>
      </c>
      <c r="AT507" s="31">
        <f>IF(AS507="","",COUNTIFS($AS$5:$AS$604,"&lt;"&amp;AS507)+COUNTIFS($AS$5:AS507,AS507))</f>
        <v>0</v>
      </c>
      <c r="AU507" s="18">
        <f>IF(OR(G507="",B507="",R507&lt;&gt;""),"",IF(AND(B507&gt;=TodayDate,P507&lt;&gt;"Cancelled"),B507,""))</f>
        <v>0</v>
      </c>
      <c r="AV507" s="31">
        <f>IF(AU507="","",COUNTIFS($AU$5:$AU$604,"&lt;"&amp;AU507)+COUNTIFS($AU$5:AU507,AU507))</f>
        <v>0</v>
      </c>
      <c r="AW507" s="31">
        <f>IF(OR(G507="",B507=""),"",B507-TodayDate)</f>
        <v>0</v>
      </c>
      <c r="AX507" s="39">
        <f>IF(G507="","",IF(P507="Cancelled","Cancelled",IF(P507="No access","Action - no access, rebook",IF(AND(B507&lt;&gt;"",AW507&lt;0,OR(P507="Booked",P507="Confirmed",P507="In progress")),"Late - mark it completed",IF(AND(P507="Completed",AP507=""),"Action - not invoiced yet",IF(AND(AW507&gt;=0,AW507&lt;=ReminderDays,Y507&lt;&gt;"Yes"),"Confirm - visit coming up",IF(R507="","Assign - no cleaner booked",IF(AND(P507="Completed",AO507&lt;&gt;"",AO507&lt;1),"Check - checklist unfinished","OK"))))))))</f>
        <v>0</v>
      </c>
    </row>
    <row r="508" spans="1:50">
      <c r="A508" s="43">
        <f>IF(G508="","",JobPrefix&amp;TEXT(ROW()-4,"0000"))</f>
        <v>0</v>
      </c>
      <c r="C508" s="23">
        <f>IF(B508="","",TEXT(B508,"ddd"))</f>
        <v>0</v>
      </c>
      <c r="D508" s="31">
        <f>IF(B508="","",WEEKNUM(B508,IF(WeekStart="Sunday",1,2)))</f>
        <v>0</v>
      </c>
      <c r="E508" s="23">
        <f>IF(B508="","",TEXT(B508,"yyyy-mm"))</f>
        <v>0</v>
      </c>
      <c r="H508" s="23">
        <f>IF(G508="","",IFERROR(INDEX(Clients!$B$5:$B$204,MATCH(G508,Clients!$A$5:$A$204,0)),"Not found"))</f>
        <v>0</v>
      </c>
      <c r="I508" s="23">
        <f>IF(G508="","",IFERROR(INDEX(Clients!$C$5:$C$204,MATCH(G508,Clients!$A$5:$A$204,0)),""))</f>
        <v>0</v>
      </c>
      <c r="K508" s="23">
        <f>IF(J508="","",IFERROR(INDEX(Properties!$B$5:$B$254,MATCH(J508,Properties!$A$5:$A$254,0)),""))</f>
        <v>0</v>
      </c>
      <c r="L508" s="23">
        <f>IF(J508="","",IFERROR(INDEX(Properties!$F$5:$F$254,MATCH(J508,Properties!$A$5:$A$254,0)),""))</f>
        <v>0</v>
      </c>
      <c r="AD508" s="34">
        <f>IF(G508="","",IF(U508&lt;&gt;"",U508,IF(AND(IFERROR(INDEX(Services!$D$5:$D$64,MATCH(M508,Services!$B$5:$B$64,0)),"")="Per hour",IFERROR(INDEX(Properties!$X$5:$X$254,MATCH(J508,Properties!$A$5:$A$254,0)),0)&gt;0),IFERROR(INDEX(Properties!$X$5:$X$254,MATCH(J508,Properties!$A$5:$A$254,0)),0),IF(IFERROR(INDEX(Services!$G$5:$G$64,MATCH(M508,Services!$B$5:$B$64,0)),0)&gt;0,IFERROR(INDEX(Services!$G$5:$G$64,MATCH(M508,Services!$B$5:$B$64,0)),0),IFERROR(INDEX(Properties!$X$5:$X$254,MATCH(J508,Properties!$A$5:$A$254,0)),0)))))</f>
        <v>0</v>
      </c>
      <c r="AE508" s="31">
        <f>IF(G508="","",IF(T508="",CleanersPerJob,MAX(1,T508)))</f>
        <v>0</v>
      </c>
      <c r="AF508" s="34">
        <f>IF(G508="","",ROUND(AD508/AE508,2))</f>
        <v>0</v>
      </c>
      <c r="AG508" s="53">
        <f>IF(OR(G508="",F508="",AF508=""),"",F508+AF508/24)</f>
        <v>0</v>
      </c>
      <c r="AH508" s="21">
        <f>IF(G508="","",IF(IFERROR(INDEX(Clients!$O$5:$O$204,MATCH(G508,Clients!$A$5:$A$204,0)),0)&gt;0,IFERROR(INDEX(Clients!$O$5:$O$204,MATCH(G508,Clients!$A$5:$A$204,0)),0),HourlyRate))</f>
        <v>0</v>
      </c>
      <c r="AI508" s="21">
        <f>IF(G508="","",IF(AND(M508&lt;&gt;"",IFERROR(INDEX(Services!$P$5:$P$64,MATCH(M508,Services!$B$5:$B$64,0)),0)&gt;0,IFERROR(INDEX(Services!$D$5:$D$64,MATCH(M508,Services!$B$5:$B$64,0)),"")&lt;&gt;"Per hour"),IFERROR(INDEX(Services!$P$5:$P$64,MATCH(M508,Services!$B$5:$B$64,0)),0),AD508*AH508))</f>
        <v>0</v>
      </c>
      <c r="AJ508" s="21">
        <f>IF(G508="","",IF(V508&lt;&gt;"",V508,IF(P508="Cancelled",0,MAX(MinimumCharge,ROUND(AI508*IFERROR(INDEX(FreqFactors,MATCH(O508,FreqNames,0)),1),2)))))</f>
        <v>0</v>
      </c>
      <c r="AK508" s="34">
        <f>IF(G508="","",IF(SUMIFS(Timesheets!$U$5:$U$804,Timesheets!$G$5:$G$804,A508)&gt;0,SUMIFS(Timesheets!$U$5:$U$804,Timesheets!$G$5:$G$804,A508),IF(Z508="","",Z508)))</f>
        <v>0</v>
      </c>
      <c r="AL508" s="34">
        <f>IF(OR(AK508="",AD508=""),"",AK508-AD508)</f>
        <v>0</v>
      </c>
      <c r="AM508" s="31">
        <f>IF(A508="","",COUNTIFS('Job Tasks'!$B$5:$B$904,A508))</f>
        <v>0</v>
      </c>
      <c r="AN508" s="31">
        <f>IF(A508="","",COUNTIFS('Job Tasks'!$B$5:$B$904,A508,'Job Tasks'!$H$5:$H$904,"Done"))</f>
        <v>0</v>
      </c>
      <c r="AO508" s="38">
        <f>IF(OR(A508="",AM508=0),"",AN508/AM508)</f>
        <v>0</v>
      </c>
      <c r="AP508" s="43">
        <f>IF(A508="","",IFERROR(INDEX('Invoice Lines'!$B$5:$B$804,MATCH(A508,'Invoice Lines'!$C$5:$C$804,0)),""))</f>
        <v>0</v>
      </c>
      <c r="AQ508" s="18">
        <f>IF(OR(G508="",B508="",X508&lt;&gt;"Yes"),"",IF(IFERROR(INDEX(FreqDays,MATCH(O508,FreqNames,0)),0)=0,"",B508+IFERROR(INDEX(FreqDays,MATCH(O508,FreqNames,0)),0)))</f>
        <v>0</v>
      </c>
      <c r="AR508" s="39">
        <f>IF(G508="","",IF(R508="","Unassigned",IF(COUNTIFS($R$5:$R$604,R508,$B$5:$B$604,B508,$F$5:$F$604,F508)&gt;1,"Clash",IF(SUMIFS($AF$5:$AF$604,$R$5:$R$604,R508,$B$5:$B$604,B508)&gt;ProductiveHours,"Long day","OK"))))</f>
        <v>0</v>
      </c>
      <c r="AS508" s="18">
        <f>IF(OR(G508="",B508=""),"",IF(AND(B508&gt;=TodayDate,P508&lt;&gt;"Cancelled"),B508,""))</f>
        <v>0</v>
      </c>
      <c r="AT508" s="31">
        <f>IF(AS508="","",COUNTIFS($AS$5:$AS$604,"&lt;"&amp;AS508)+COUNTIFS($AS$5:AS508,AS508))</f>
        <v>0</v>
      </c>
      <c r="AU508" s="18">
        <f>IF(OR(G508="",B508="",R508&lt;&gt;""),"",IF(AND(B508&gt;=TodayDate,P508&lt;&gt;"Cancelled"),B508,""))</f>
        <v>0</v>
      </c>
      <c r="AV508" s="31">
        <f>IF(AU508="","",COUNTIFS($AU$5:$AU$604,"&lt;"&amp;AU508)+COUNTIFS($AU$5:AU508,AU508))</f>
        <v>0</v>
      </c>
      <c r="AW508" s="31">
        <f>IF(OR(G508="",B508=""),"",B508-TodayDate)</f>
        <v>0</v>
      </c>
      <c r="AX508" s="39">
        <f>IF(G508="","",IF(P508="Cancelled","Cancelled",IF(P508="No access","Action - no access, rebook",IF(AND(B508&lt;&gt;"",AW508&lt;0,OR(P508="Booked",P508="Confirmed",P508="In progress")),"Late - mark it completed",IF(AND(P508="Completed",AP508=""),"Action - not invoiced yet",IF(AND(AW508&gt;=0,AW508&lt;=ReminderDays,Y508&lt;&gt;"Yes"),"Confirm - visit coming up",IF(R508="","Assign - no cleaner booked",IF(AND(P508="Completed",AO508&lt;&gt;"",AO508&lt;1),"Check - checklist unfinished","OK"))))))))</f>
        <v>0</v>
      </c>
    </row>
    <row r="509" spans="1:50">
      <c r="A509" s="43">
        <f>IF(G509="","",JobPrefix&amp;TEXT(ROW()-4,"0000"))</f>
        <v>0</v>
      </c>
      <c r="C509" s="23">
        <f>IF(B509="","",TEXT(B509,"ddd"))</f>
        <v>0</v>
      </c>
      <c r="D509" s="31">
        <f>IF(B509="","",WEEKNUM(B509,IF(WeekStart="Sunday",1,2)))</f>
        <v>0</v>
      </c>
      <c r="E509" s="23">
        <f>IF(B509="","",TEXT(B509,"yyyy-mm"))</f>
        <v>0</v>
      </c>
      <c r="H509" s="23">
        <f>IF(G509="","",IFERROR(INDEX(Clients!$B$5:$B$204,MATCH(G509,Clients!$A$5:$A$204,0)),"Not found"))</f>
        <v>0</v>
      </c>
      <c r="I509" s="23">
        <f>IF(G509="","",IFERROR(INDEX(Clients!$C$5:$C$204,MATCH(G509,Clients!$A$5:$A$204,0)),""))</f>
        <v>0</v>
      </c>
      <c r="K509" s="23">
        <f>IF(J509="","",IFERROR(INDEX(Properties!$B$5:$B$254,MATCH(J509,Properties!$A$5:$A$254,0)),""))</f>
        <v>0</v>
      </c>
      <c r="L509" s="23">
        <f>IF(J509="","",IFERROR(INDEX(Properties!$F$5:$F$254,MATCH(J509,Properties!$A$5:$A$254,0)),""))</f>
        <v>0</v>
      </c>
      <c r="AD509" s="34">
        <f>IF(G509="","",IF(U509&lt;&gt;"",U509,IF(AND(IFERROR(INDEX(Services!$D$5:$D$64,MATCH(M509,Services!$B$5:$B$64,0)),"")="Per hour",IFERROR(INDEX(Properties!$X$5:$X$254,MATCH(J509,Properties!$A$5:$A$254,0)),0)&gt;0),IFERROR(INDEX(Properties!$X$5:$X$254,MATCH(J509,Properties!$A$5:$A$254,0)),0),IF(IFERROR(INDEX(Services!$G$5:$G$64,MATCH(M509,Services!$B$5:$B$64,0)),0)&gt;0,IFERROR(INDEX(Services!$G$5:$G$64,MATCH(M509,Services!$B$5:$B$64,0)),0),IFERROR(INDEX(Properties!$X$5:$X$254,MATCH(J509,Properties!$A$5:$A$254,0)),0)))))</f>
        <v>0</v>
      </c>
      <c r="AE509" s="31">
        <f>IF(G509="","",IF(T509="",CleanersPerJob,MAX(1,T509)))</f>
        <v>0</v>
      </c>
      <c r="AF509" s="34">
        <f>IF(G509="","",ROUND(AD509/AE509,2))</f>
        <v>0</v>
      </c>
      <c r="AG509" s="53">
        <f>IF(OR(G509="",F509="",AF509=""),"",F509+AF509/24)</f>
        <v>0</v>
      </c>
      <c r="AH509" s="21">
        <f>IF(G509="","",IF(IFERROR(INDEX(Clients!$O$5:$O$204,MATCH(G509,Clients!$A$5:$A$204,0)),0)&gt;0,IFERROR(INDEX(Clients!$O$5:$O$204,MATCH(G509,Clients!$A$5:$A$204,0)),0),HourlyRate))</f>
        <v>0</v>
      </c>
      <c r="AI509" s="21">
        <f>IF(G509="","",IF(AND(M509&lt;&gt;"",IFERROR(INDEX(Services!$P$5:$P$64,MATCH(M509,Services!$B$5:$B$64,0)),0)&gt;0,IFERROR(INDEX(Services!$D$5:$D$64,MATCH(M509,Services!$B$5:$B$64,0)),"")&lt;&gt;"Per hour"),IFERROR(INDEX(Services!$P$5:$P$64,MATCH(M509,Services!$B$5:$B$64,0)),0),AD509*AH509))</f>
        <v>0</v>
      </c>
      <c r="AJ509" s="21">
        <f>IF(G509="","",IF(V509&lt;&gt;"",V509,IF(P509="Cancelled",0,MAX(MinimumCharge,ROUND(AI509*IFERROR(INDEX(FreqFactors,MATCH(O509,FreqNames,0)),1),2)))))</f>
        <v>0</v>
      </c>
      <c r="AK509" s="34">
        <f>IF(G509="","",IF(SUMIFS(Timesheets!$U$5:$U$804,Timesheets!$G$5:$G$804,A509)&gt;0,SUMIFS(Timesheets!$U$5:$U$804,Timesheets!$G$5:$G$804,A509),IF(Z509="","",Z509)))</f>
        <v>0</v>
      </c>
      <c r="AL509" s="34">
        <f>IF(OR(AK509="",AD509=""),"",AK509-AD509)</f>
        <v>0</v>
      </c>
      <c r="AM509" s="31">
        <f>IF(A509="","",COUNTIFS('Job Tasks'!$B$5:$B$904,A509))</f>
        <v>0</v>
      </c>
      <c r="AN509" s="31">
        <f>IF(A509="","",COUNTIFS('Job Tasks'!$B$5:$B$904,A509,'Job Tasks'!$H$5:$H$904,"Done"))</f>
        <v>0</v>
      </c>
      <c r="AO509" s="38">
        <f>IF(OR(A509="",AM509=0),"",AN509/AM509)</f>
        <v>0</v>
      </c>
      <c r="AP509" s="43">
        <f>IF(A509="","",IFERROR(INDEX('Invoice Lines'!$B$5:$B$804,MATCH(A509,'Invoice Lines'!$C$5:$C$804,0)),""))</f>
        <v>0</v>
      </c>
      <c r="AQ509" s="18">
        <f>IF(OR(G509="",B509="",X509&lt;&gt;"Yes"),"",IF(IFERROR(INDEX(FreqDays,MATCH(O509,FreqNames,0)),0)=0,"",B509+IFERROR(INDEX(FreqDays,MATCH(O509,FreqNames,0)),0)))</f>
        <v>0</v>
      </c>
      <c r="AR509" s="39">
        <f>IF(G509="","",IF(R509="","Unassigned",IF(COUNTIFS($R$5:$R$604,R509,$B$5:$B$604,B509,$F$5:$F$604,F509)&gt;1,"Clash",IF(SUMIFS($AF$5:$AF$604,$R$5:$R$604,R509,$B$5:$B$604,B509)&gt;ProductiveHours,"Long day","OK"))))</f>
        <v>0</v>
      </c>
      <c r="AS509" s="18">
        <f>IF(OR(G509="",B509=""),"",IF(AND(B509&gt;=TodayDate,P509&lt;&gt;"Cancelled"),B509,""))</f>
        <v>0</v>
      </c>
      <c r="AT509" s="31">
        <f>IF(AS509="","",COUNTIFS($AS$5:$AS$604,"&lt;"&amp;AS509)+COUNTIFS($AS$5:AS509,AS509))</f>
        <v>0</v>
      </c>
      <c r="AU509" s="18">
        <f>IF(OR(G509="",B509="",R509&lt;&gt;""),"",IF(AND(B509&gt;=TodayDate,P509&lt;&gt;"Cancelled"),B509,""))</f>
        <v>0</v>
      </c>
      <c r="AV509" s="31">
        <f>IF(AU509="","",COUNTIFS($AU$5:$AU$604,"&lt;"&amp;AU509)+COUNTIFS($AU$5:AU509,AU509))</f>
        <v>0</v>
      </c>
      <c r="AW509" s="31">
        <f>IF(OR(G509="",B509=""),"",B509-TodayDate)</f>
        <v>0</v>
      </c>
      <c r="AX509" s="39">
        <f>IF(G509="","",IF(P509="Cancelled","Cancelled",IF(P509="No access","Action - no access, rebook",IF(AND(B509&lt;&gt;"",AW509&lt;0,OR(P509="Booked",P509="Confirmed",P509="In progress")),"Late - mark it completed",IF(AND(P509="Completed",AP509=""),"Action - not invoiced yet",IF(AND(AW509&gt;=0,AW509&lt;=ReminderDays,Y509&lt;&gt;"Yes"),"Confirm - visit coming up",IF(R509="","Assign - no cleaner booked",IF(AND(P509="Completed",AO509&lt;&gt;"",AO509&lt;1),"Check - checklist unfinished","OK"))))))))</f>
        <v>0</v>
      </c>
    </row>
    <row r="510" spans="1:50">
      <c r="A510" s="43">
        <f>IF(G510="","",JobPrefix&amp;TEXT(ROW()-4,"0000"))</f>
        <v>0</v>
      </c>
      <c r="C510" s="23">
        <f>IF(B510="","",TEXT(B510,"ddd"))</f>
        <v>0</v>
      </c>
      <c r="D510" s="31">
        <f>IF(B510="","",WEEKNUM(B510,IF(WeekStart="Sunday",1,2)))</f>
        <v>0</v>
      </c>
      <c r="E510" s="23">
        <f>IF(B510="","",TEXT(B510,"yyyy-mm"))</f>
        <v>0</v>
      </c>
      <c r="H510" s="23">
        <f>IF(G510="","",IFERROR(INDEX(Clients!$B$5:$B$204,MATCH(G510,Clients!$A$5:$A$204,0)),"Not found"))</f>
        <v>0</v>
      </c>
      <c r="I510" s="23">
        <f>IF(G510="","",IFERROR(INDEX(Clients!$C$5:$C$204,MATCH(G510,Clients!$A$5:$A$204,0)),""))</f>
        <v>0</v>
      </c>
      <c r="K510" s="23">
        <f>IF(J510="","",IFERROR(INDEX(Properties!$B$5:$B$254,MATCH(J510,Properties!$A$5:$A$254,0)),""))</f>
        <v>0</v>
      </c>
      <c r="L510" s="23">
        <f>IF(J510="","",IFERROR(INDEX(Properties!$F$5:$F$254,MATCH(J510,Properties!$A$5:$A$254,0)),""))</f>
        <v>0</v>
      </c>
      <c r="AD510" s="34">
        <f>IF(G510="","",IF(U510&lt;&gt;"",U510,IF(AND(IFERROR(INDEX(Services!$D$5:$D$64,MATCH(M510,Services!$B$5:$B$64,0)),"")="Per hour",IFERROR(INDEX(Properties!$X$5:$X$254,MATCH(J510,Properties!$A$5:$A$254,0)),0)&gt;0),IFERROR(INDEX(Properties!$X$5:$X$254,MATCH(J510,Properties!$A$5:$A$254,0)),0),IF(IFERROR(INDEX(Services!$G$5:$G$64,MATCH(M510,Services!$B$5:$B$64,0)),0)&gt;0,IFERROR(INDEX(Services!$G$5:$G$64,MATCH(M510,Services!$B$5:$B$64,0)),0),IFERROR(INDEX(Properties!$X$5:$X$254,MATCH(J510,Properties!$A$5:$A$254,0)),0)))))</f>
        <v>0</v>
      </c>
      <c r="AE510" s="31">
        <f>IF(G510="","",IF(T510="",CleanersPerJob,MAX(1,T510)))</f>
        <v>0</v>
      </c>
      <c r="AF510" s="34">
        <f>IF(G510="","",ROUND(AD510/AE510,2))</f>
        <v>0</v>
      </c>
      <c r="AG510" s="53">
        <f>IF(OR(G510="",F510="",AF510=""),"",F510+AF510/24)</f>
        <v>0</v>
      </c>
      <c r="AH510" s="21">
        <f>IF(G510="","",IF(IFERROR(INDEX(Clients!$O$5:$O$204,MATCH(G510,Clients!$A$5:$A$204,0)),0)&gt;0,IFERROR(INDEX(Clients!$O$5:$O$204,MATCH(G510,Clients!$A$5:$A$204,0)),0),HourlyRate))</f>
        <v>0</v>
      </c>
      <c r="AI510" s="21">
        <f>IF(G510="","",IF(AND(M510&lt;&gt;"",IFERROR(INDEX(Services!$P$5:$P$64,MATCH(M510,Services!$B$5:$B$64,0)),0)&gt;0,IFERROR(INDEX(Services!$D$5:$D$64,MATCH(M510,Services!$B$5:$B$64,0)),"")&lt;&gt;"Per hour"),IFERROR(INDEX(Services!$P$5:$P$64,MATCH(M510,Services!$B$5:$B$64,0)),0),AD510*AH510))</f>
        <v>0</v>
      </c>
      <c r="AJ510" s="21">
        <f>IF(G510="","",IF(V510&lt;&gt;"",V510,IF(P510="Cancelled",0,MAX(MinimumCharge,ROUND(AI510*IFERROR(INDEX(FreqFactors,MATCH(O510,FreqNames,0)),1),2)))))</f>
        <v>0</v>
      </c>
      <c r="AK510" s="34">
        <f>IF(G510="","",IF(SUMIFS(Timesheets!$U$5:$U$804,Timesheets!$G$5:$G$804,A510)&gt;0,SUMIFS(Timesheets!$U$5:$U$804,Timesheets!$G$5:$G$804,A510),IF(Z510="","",Z510)))</f>
        <v>0</v>
      </c>
      <c r="AL510" s="34">
        <f>IF(OR(AK510="",AD510=""),"",AK510-AD510)</f>
        <v>0</v>
      </c>
      <c r="AM510" s="31">
        <f>IF(A510="","",COUNTIFS('Job Tasks'!$B$5:$B$904,A510))</f>
        <v>0</v>
      </c>
      <c r="AN510" s="31">
        <f>IF(A510="","",COUNTIFS('Job Tasks'!$B$5:$B$904,A510,'Job Tasks'!$H$5:$H$904,"Done"))</f>
        <v>0</v>
      </c>
      <c r="AO510" s="38">
        <f>IF(OR(A510="",AM510=0),"",AN510/AM510)</f>
        <v>0</v>
      </c>
      <c r="AP510" s="43">
        <f>IF(A510="","",IFERROR(INDEX('Invoice Lines'!$B$5:$B$804,MATCH(A510,'Invoice Lines'!$C$5:$C$804,0)),""))</f>
        <v>0</v>
      </c>
      <c r="AQ510" s="18">
        <f>IF(OR(G510="",B510="",X510&lt;&gt;"Yes"),"",IF(IFERROR(INDEX(FreqDays,MATCH(O510,FreqNames,0)),0)=0,"",B510+IFERROR(INDEX(FreqDays,MATCH(O510,FreqNames,0)),0)))</f>
        <v>0</v>
      </c>
      <c r="AR510" s="39">
        <f>IF(G510="","",IF(R510="","Unassigned",IF(COUNTIFS($R$5:$R$604,R510,$B$5:$B$604,B510,$F$5:$F$604,F510)&gt;1,"Clash",IF(SUMIFS($AF$5:$AF$604,$R$5:$R$604,R510,$B$5:$B$604,B510)&gt;ProductiveHours,"Long day","OK"))))</f>
        <v>0</v>
      </c>
      <c r="AS510" s="18">
        <f>IF(OR(G510="",B510=""),"",IF(AND(B510&gt;=TodayDate,P510&lt;&gt;"Cancelled"),B510,""))</f>
        <v>0</v>
      </c>
      <c r="AT510" s="31">
        <f>IF(AS510="","",COUNTIFS($AS$5:$AS$604,"&lt;"&amp;AS510)+COUNTIFS($AS$5:AS510,AS510))</f>
        <v>0</v>
      </c>
      <c r="AU510" s="18">
        <f>IF(OR(G510="",B510="",R510&lt;&gt;""),"",IF(AND(B510&gt;=TodayDate,P510&lt;&gt;"Cancelled"),B510,""))</f>
        <v>0</v>
      </c>
      <c r="AV510" s="31">
        <f>IF(AU510="","",COUNTIFS($AU$5:$AU$604,"&lt;"&amp;AU510)+COUNTIFS($AU$5:AU510,AU510))</f>
        <v>0</v>
      </c>
      <c r="AW510" s="31">
        <f>IF(OR(G510="",B510=""),"",B510-TodayDate)</f>
        <v>0</v>
      </c>
      <c r="AX510" s="39">
        <f>IF(G510="","",IF(P510="Cancelled","Cancelled",IF(P510="No access","Action - no access, rebook",IF(AND(B510&lt;&gt;"",AW510&lt;0,OR(P510="Booked",P510="Confirmed",P510="In progress")),"Late - mark it completed",IF(AND(P510="Completed",AP510=""),"Action - not invoiced yet",IF(AND(AW510&gt;=0,AW510&lt;=ReminderDays,Y510&lt;&gt;"Yes"),"Confirm - visit coming up",IF(R510="","Assign - no cleaner booked",IF(AND(P510="Completed",AO510&lt;&gt;"",AO510&lt;1),"Check - checklist unfinished","OK"))))))))</f>
        <v>0</v>
      </c>
    </row>
    <row r="511" spans="1:50">
      <c r="A511" s="43">
        <f>IF(G511="","",JobPrefix&amp;TEXT(ROW()-4,"0000"))</f>
        <v>0</v>
      </c>
      <c r="C511" s="23">
        <f>IF(B511="","",TEXT(B511,"ddd"))</f>
        <v>0</v>
      </c>
      <c r="D511" s="31">
        <f>IF(B511="","",WEEKNUM(B511,IF(WeekStart="Sunday",1,2)))</f>
        <v>0</v>
      </c>
      <c r="E511" s="23">
        <f>IF(B511="","",TEXT(B511,"yyyy-mm"))</f>
        <v>0</v>
      </c>
      <c r="H511" s="23">
        <f>IF(G511="","",IFERROR(INDEX(Clients!$B$5:$B$204,MATCH(G511,Clients!$A$5:$A$204,0)),"Not found"))</f>
        <v>0</v>
      </c>
      <c r="I511" s="23">
        <f>IF(G511="","",IFERROR(INDEX(Clients!$C$5:$C$204,MATCH(G511,Clients!$A$5:$A$204,0)),""))</f>
        <v>0</v>
      </c>
      <c r="K511" s="23">
        <f>IF(J511="","",IFERROR(INDEX(Properties!$B$5:$B$254,MATCH(J511,Properties!$A$5:$A$254,0)),""))</f>
        <v>0</v>
      </c>
      <c r="L511" s="23">
        <f>IF(J511="","",IFERROR(INDEX(Properties!$F$5:$F$254,MATCH(J511,Properties!$A$5:$A$254,0)),""))</f>
        <v>0</v>
      </c>
      <c r="AD511" s="34">
        <f>IF(G511="","",IF(U511&lt;&gt;"",U511,IF(AND(IFERROR(INDEX(Services!$D$5:$D$64,MATCH(M511,Services!$B$5:$B$64,0)),"")="Per hour",IFERROR(INDEX(Properties!$X$5:$X$254,MATCH(J511,Properties!$A$5:$A$254,0)),0)&gt;0),IFERROR(INDEX(Properties!$X$5:$X$254,MATCH(J511,Properties!$A$5:$A$254,0)),0),IF(IFERROR(INDEX(Services!$G$5:$G$64,MATCH(M511,Services!$B$5:$B$64,0)),0)&gt;0,IFERROR(INDEX(Services!$G$5:$G$64,MATCH(M511,Services!$B$5:$B$64,0)),0),IFERROR(INDEX(Properties!$X$5:$X$254,MATCH(J511,Properties!$A$5:$A$254,0)),0)))))</f>
        <v>0</v>
      </c>
      <c r="AE511" s="31">
        <f>IF(G511="","",IF(T511="",CleanersPerJob,MAX(1,T511)))</f>
        <v>0</v>
      </c>
      <c r="AF511" s="34">
        <f>IF(G511="","",ROUND(AD511/AE511,2))</f>
        <v>0</v>
      </c>
      <c r="AG511" s="53">
        <f>IF(OR(G511="",F511="",AF511=""),"",F511+AF511/24)</f>
        <v>0</v>
      </c>
      <c r="AH511" s="21">
        <f>IF(G511="","",IF(IFERROR(INDEX(Clients!$O$5:$O$204,MATCH(G511,Clients!$A$5:$A$204,0)),0)&gt;0,IFERROR(INDEX(Clients!$O$5:$O$204,MATCH(G511,Clients!$A$5:$A$204,0)),0),HourlyRate))</f>
        <v>0</v>
      </c>
      <c r="AI511" s="21">
        <f>IF(G511="","",IF(AND(M511&lt;&gt;"",IFERROR(INDEX(Services!$P$5:$P$64,MATCH(M511,Services!$B$5:$B$64,0)),0)&gt;0,IFERROR(INDEX(Services!$D$5:$D$64,MATCH(M511,Services!$B$5:$B$64,0)),"")&lt;&gt;"Per hour"),IFERROR(INDEX(Services!$P$5:$P$64,MATCH(M511,Services!$B$5:$B$64,0)),0),AD511*AH511))</f>
        <v>0</v>
      </c>
      <c r="AJ511" s="21">
        <f>IF(G511="","",IF(V511&lt;&gt;"",V511,IF(P511="Cancelled",0,MAX(MinimumCharge,ROUND(AI511*IFERROR(INDEX(FreqFactors,MATCH(O511,FreqNames,0)),1),2)))))</f>
        <v>0</v>
      </c>
      <c r="AK511" s="34">
        <f>IF(G511="","",IF(SUMIFS(Timesheets!$U$5:$U$804,Timesheets!$G$5:$G$804,A511)&gt;0,SUMIFS(Timesheets!$U$5:$U$804,Timesheets!$G$5:$G$804,A511),IF(Z511="","",Z511)))</f>
        <v>0</v>
      </c>
      <c r="AL511" s="34">
        <f>IF(OR(AK511="",AD511=""),"",AK511-AD511)</f>
        <v>0</v>
      </c>
      <c r="AM511" s="31">
        <f>IF(A511="","",COUNTIFS('Job Tasks'!$B$5:$B$904,A511))</f>
        <v>0</v>
      </c>
      <c r="AN511" s="31">
        <f>IF(A511="","",COUNTIFS('Job Tasks'!$B$5:$B$904,A511,'Job Tasks'!$H$5:$H$904,"Done"))</f>
        <v>0</v>
      </c>
      <c r="AO511" s="38">
        <f>IF(OR(A511="",AM511=0),"",AN511/AM511)</f>
        <v>0</v>
      </c>
      <c r="AP511" s="43">
        <f>IF(A511="","",IFERROR(INDEX('Invoice Lines'!$B$5:$B$804,MATCH(A511,'Invoice Lines'!$C$5:$C$804,0)),""))</f>
        <v>0</v>
      </c>
      <c r="AQ511" s="18">
        <f>IF(OR(G511="",B511="",X511&lt;&gt;"Yes"),"",IF(IFERROR(INDEX(FreqDays,MATCH(O511,FreqNames,0)),0)=0,"",B511+IFERROR(INDEX(FreqDays,MATCH(O511,FreqNames,0)),0)))</f>
        <v>0</v>
      </c>
      <c r="AR511" s="39">
        <f>IF(G511="","",IF(R511="","Unassigned",IF(COUNTIFS($R$5:$R$604,R511,$B$5:$B$604,B511,$F$5:$F$604,F511)&gt;1,"Clash",IF(SUMIFS($AF$5:$AF$604,$R$5:$R$604,R511,$B$5:$B$604,B511)&gt;ProductiveHours,"Long day","OK"))))</f>
        <v>0</v>
      </c>
      <c r="AS511" s="18">
        <f>IF(OR(G511="",B511=""),"",IF(AND(B511&gt;=TodayDate,P511&lt;&gt;"Cancelled"),B511,""))</f>
        <v>0</v>
      </c>
      <c r="AT511" s="31">
        <f>IF(AS511="","",COUNTIFS($AS$5:$AS$604,"&lt;"&amp;AS511)+COUNTIFS($AS$5:AS511,AS511))</f>
        <v>0</v>
      </c>
      <c r="AU511" s="18">
        <f>IF(OR(G511="",B511="",R511&lt;&gt;""),"",IF(AND(B511&gt;=TodayDate,P511&lt;&gt;"Cancelled"),B511,""))</f>
        <v>0</v>
      </c>
      <c r="AV511" s="31">
        <f>IF(AU511="","",COUNTIFS($AU$5:$AU$604,"&lt;"&amp;AU511)+COUNTIFS($AU$5:AU511,AU511))</f>
        <v>0</v>
      </c>
      <c r="AW511" s="31">
        <f>IF(OR(G511="",B511=""),"",B511-TodayDate)</f>
        <v>0</v>
      </c>
      <c r="AX511" s="39">
        <f>IF(G511="","",IF(P511="Cancelled","Cancelled",IF(P511="No access","Action - no access, rebook",IF(AND(B511&lt;&gt;"",AW511&lt;0,OR(P511="Booked",P511="Confirmed",P511="In progress")),"Late - mark it completed",IF(AND(P511="Completed",AP511=""),"Action - not invoiced yet",IF(AND(AW511&gt;=0,AW511&lt;=ReminderDays,Y511&lt;&gt;"Yes"),"Confirm - visit coming up",IF(R511="","Assign - no cleaner booked",IF(AND(P511="Completed",AO511&lt;&gt;"",AO511&lt;1),"Check - checklist unfinished","OK"))))))))</f>
        <v>0</v>
      </c>
    </row>
    <row r="512" spans="1:50">
      <c r="A512" s="43">
        <f>IF(G512="","",JobPrefix&amp;TEXT(ROW()-4,"0000"))</f>
        <v>0</v>
      </c>
      <c r="C512" s="23">
        <f>IF(B512="","",TEXT(B512,"ddd"))</f>
        <v>0</v>
      </c>
      <c r="D512" s="31">
        <f>IF(B512="","",WEEKNUM(B512,IF(WeekStart="Sunday",1,2)))</f>
        <v>0</v>
      </c>
      <c r="E512" s="23">
        <f>IF(B512="","",TEXT(B512,"yyyy-mm"))</f>
        <v>0</v>
      </c>
      <c r="H512" s="23">
        <f>IF(G512="","",IFERROR(INDEX(Clients!$B$5:$B$204,MATCH(G512,Clients!$A$5:$A$204,0)),"Not found"))</f>
        <v>0</v>
      </c>
      <c r="I512" s="23">
        <f>IF(G512="","",IFERROR(INDEX(Clients!$C$5:$C$204,MATCH(G512,Clients!$A$5:$A$204,0)),""))</f>
        <v>0</v>
      </c>
      <c r="K512" s="23">
        <f>IF(J512="","",IFERROR(INDEX(Properties!$B$5:$B$254,MATCH(J512,Properties!$A$5:$A$254,0)),""))</f>
        <v>0</v>
      </c>
      <c r="L512" s="23">
        <f>IF(J512="","",IFERROR(INDEX(Properties!$F$5:$F$254,MATCH(J512,Properties!$A$5:$A$254,0)),""))</f>
        <v>0</v>
      </c>
      <c r="AD512" s="34">
        <f>IF(G512="","",IF(U512&lt;&gt;"",U512,IF(AND(IFERROR(INDEX(Services!$D$5:$D$64,MATCH(M512,Services!$B$5:$B$64,0)),"")="Per hour",IFERROR(INDEX(Properties!$X$5:$X$254,MATCH(J512,Properties!$A$5:$A$254,0)),0)&gt;0),IFERROR(INDEX(Properties!$X$5:$X$254,MATCH(J512,Properties!$A$5:$A$254,0)),0),IF(IFERROR(INDEX(Services!$G$5:$G$64,MATCH(M512,Services!$B$5:$B$64,0)),0)&gt;0,IFERROR(INDEX(Services!$G$5:$G$64,MATCH(M512,Services!$B$5:$B$64,0)),0),IFERROR(INDEX(Properties!$X$5:$X$254,MATCH(J512,Properties!$A$5:$A$254,0)),0)))))</f>
        <v>0</v>
      </c>
      <c r="AE512" s="31">
        <f>IF(G512="","",IF(T512="",CleanersPerJob,MAX(1,T512)))</f>
        <v>0</v>
      </c>
      <c r="AF512" s="34">
        <f>IF(G512="","",ROUND(AD512/AE512,2))</f>
        <v>0</v>
      </c>
      <c r="AG512" s="53">
        <f>IF(OR(G512="",F512="",AF512=""),"",F512+AF512/24)</f>
        <v>0</v>
      </c>
      <c r="AH512" s="21">
        <f>IF(G512="","",IF(IFERROR(INDEX(Clients!$O$5:$O$204,MATCH(G512,Clients!$A$5:$A$204,0)),0)&gt;0,IFERROR(INDEX(Clients!$O$5:$O$204,MATCH(G512,Clients!$A$5:$A$204,0)),0),HourlyRate))</f>
        <v>0</v>
      </c>
      <c r="AI512" s="21">
        <f>IF(G512="","",IF(AND(M512&lt;&gt;"",IFERROR(INDEX(Services!$P$5:$P$64,MATCH(M512,Services!$B$5:$B$64,0)),0)&gt;0,IFERROR(INDEX(Services!$D$5:$D$64,MATCH(M512,Services!$B$5:$B$64,0)),"")&lt;&gt;"Per hour"),IFERROR(INDEX(Services!$P$5:$P$64,MATCH(M512,Services!$B$5:$B$64,0)),0),AD512*AH512))</f>
        <v>0</v>
      </c>
      <c r="AJ512" s="21">
        <f>IF(G512="","",IF(V512&lt;&gt;"",V512,IF(P512="Cancelled",0,MAX(MinimumCharge,ROUND(AI512*IFERROR(INDEX(FreqFactors,MATCH(O512,FreqNames,0)),1),2)))))</f>
        <v>0</v>
      </c>
      <c r="AK512" s="34">
        <f>IF(G512="","",IF(SUMIFS(Timesheets!$U$5:$U$804,Timesheets!$G$5:$G$804,A512)&gt;0,SUMIFS(Timesheets!$U$5:$U$804,Timesheets!$G$5:$G$804,A512),IF(Z512="","",Z512)))</f>
        <v>0</v>
      </c>
      <c r="AL512" s="34">
        <f>IF(OR(AK512="",AD512=""),"",AK512-AD512)</f>
        <v>0</v>
      </c>
      <c r="AM512" s="31">
        <f>IF(A512="","",COUNTIFS('Job Tasks'!$B$5:$B$904,A512))</f>
        <v>0</v>
      </c>
      <c r="AN512" s="31">
        <f>IF(A512="","",COUNTIFS('Job Tasks'!$B$5:$B$904,A512,'Job Tasks'!$H$5:$H$904,"Done"))</f>
        <v>0</v>
      </c>
      <c r="AO512" s="38">
        <f>IF(OR(A512="",AM512=0),"",AN512/AM512)</f>
        <v>0</v>
      </c>
      <c r="AP512" s="43">
        <f>IF(A512="","",IFERROR(INDEX('Invoice Lines'!$B$5:$B$804,MATCH(A512,'Invoice Lines'!$C$5:$C$804,0)),""))</f>
        <v>0</v>
      </c>
      <c r="AQ512" s="18">
        <f>IF(OR(G512="",B512="",X512&lt;&gt;"Yes"),"",IF(IFERROR(INDEX(FreqDays,MATCH(O512,FreqNames,0)),0)=0,"",B512+IFERROR(INDEX(FreqDays,MATCH(O512,FreqNames,0)),0)))</f>
        <v>0</v>
      </c>
      <c r="AR512" s="39">
        <f>IF(G512="","",IF(R512="","Unassigned",IF(COUNTIFS($R$5:$R$604,R512,$B$5:$B$604,B512,$F$5:$F$604,F512)&gt;1,"Clash",IF(SUMIFS($AF$5:$AF$604,$R$5:$R$604,R512,$B$5:$B$604,B512)&gt;ProductiveHours,"Long day","OK"))))</f>
        <v>0</v>
      </c>
      <c r="AS512" s="18">
        <f>IF(OR(G512="",B512=""),"",IF(AND(B512&gt;=TodayDate,P512&lt;&gt;"Cancelled"),B512,""))</f>
        <v>0</v>
      </c>
      <c r="AT512" s="31">
        <f>IF(AS512="","",COUNTIFS($AS$5:$AS$604,"&lt;"&amp;AS512)+COUNTIFS($AS$5:AS512,AS512))</f>
        <v>0</v>
      </c>
      <c r="AU512" s="18">
        <f>IF(OR(G512="",B512="",R512&lt;&gt;""),"",IF(AND(B512&gt;=TodayDate,P512&lt;&gt;"Cancelled"),B512,""))</f>
        <v>0</v>
      </c>
      <c r="AV512" s="31">
        <f>IF(AU512="","",COUNTIFS($AU$5:$AU$604,"&lt;"&amp;AU512)+COUNTIFS($AU$5:AU512,AU512))</f>
        <v>0</v>
      </c>
      <c r="AW512" s="31">
        <f>IF(OR(G512="",B512=""),"",B512-TodayDate)</f>
        <v>0</v>
      </c>
      <c r="AX512" s="39">
        <f>IF(G512="","",IF(P512="Cancelled","Cancelled",IF(P512="No access","Action - no access, rebook",IF(AND(B512&lt;&gt;"",AW512&lt;0,OR(P512="Booked",P512="Confirmed",P512="In progress")),"Late - mark it completed",IF(AND(P512="Completed",AP512=""),"Action - not invoiced yet",IF(AND(AW512&gt;=0,AW512&lt;=ReminderDays,Y512&lt;&gt;"Yes"),"Confirm - visit coming up",IF(R512="","Assign - no cleaner booked",IF(AND(P512="Completed",AO512&lt;&gt;"",AO512&lt;1),"Check - checklist unfinished","OK"))))))))</f>
        <v>0</v>
      </c>
    </row>
    <row r="513" spans="1:50">
      <c r="A513" s="43">
        <f>IF(G513="","",JobPrefix&amp;TEXT(ROW()-4,"0000"))</f>
        <v>0</v>
      </c>
      <c r="C513" s="23">
        <f>IF(B513="","",TEXT(B513,"ddd"))</f>
        <v>0</v>
      </c>
      <c r="D513" s="31">
        <f>IF(B513="","",WEEKNUM(B513,IF(WeekStart="Sunday",1,2)))</f>
        <v>0</v>
      </c>
      <c r="E513" s="23">
        <f>IF(B513="","",TEXT(B513,"yyyy-mm"))</f>
        <v>0</v>
      </c>
      <c r="H513" s="23">
        <f>IF(G513="","",IFERROR(INDEX(Clients!$B$5:$B$204,MATCH(G513,Clients!$A$5:$A$204,0)),"Not found"))</f>
        <v>0</v>
      </c>
      <c r="I513" s="23">
        <f>IF(G513="","",IFERROR(INDEX(Clients!$C$5:$C$204,MATCH(G513,Clients!$A$5:$A$204,0)),""))</f>
        <v>0</v>
      </c>
      <c r="K513" s="23">
        <f>IF(J513="","",IFERROR(INDEX(Properties!$B$5:$B$254,MATCH(J513,Properties!$A$5:$A$254,0)),""))</f>
        <v>0</v>
      </c>
      <c r="L513" s="23">
        <f>IF(J513="","",IFERROR(INDEX(Properties!$F$5:$F$254,MATCH(J513,Properties!$A$5:$A$254,0)),""))</f>
        <v>0</v>
      </c>
      <c r="AD513" s="34">
        <f>IF(G513="","",IF(U513&lt;&gt;"",U513,IF(AND(IFERROR(INDEX(Services!$D$5:$D$64,MATCH(M513,Services!$B$5:$B$64,0)),"")="Per hour",IFERROR(INDEX(Properties!$X$5:$X$254,MATCH(J513,Properties!$A$5:$A$254,0)),0)&gt;0),IFERROR(INDEX(Properties!$X$5:$X$254,MATCH(J513,Properties!$A$5:$A$254,0)),0),IF(IFERROR(INDEX(Services!$G$5:$G$64,MATCH(M513,Services!$B$5:$B$64,0)),0)&gt;0,IFERROR(INDEX(Services!$G$5:$G$64,MATCH(M513,Services!$B$5:$B$64,0)),0),IFERROR(INDEX(Properties!$X$5:$X$254,MATCH(J513,Properties!$A$5:$A$254,0)),0)))))</f>
        <v>0</v>
      </c>
      <c r="AE513" s="31">
        <f>IF(G513="","",IF(T513="",CleanersPerJob,MAX(1,T513)))</f>
        <v>0</v>
      </c>
      <c r="AF513" s="34">
        <f>IF(G513="","",ROUND(AD513/AE513,2))</f>
        <v>0</v>
      </c>
      <c r="AG513" s="53">
        <f>IF(OR(G513="",F513="",AF513=""),"",F513+AF513/24)</f>
        <v>0</v>
      </c>
      <c r="AH513" s="21">
        <f>IF(G513="","",IF(IFERROR(INDEX(Clients!$O$5:$O$204,MATCH(G513,Clients!$A$5:$A$204,0)),0)&gt;0,IFERROR(INDEX(Clients!$O$5:$O$204,MATCH(G513,Clients!$A$5:$A$204,0)),0),HourlyRate))</f>
        <v>0</v>
      </c>
      <c r="AI513" s="21">
        <f>IF(G513="","",IF(AND(M513&lt;&gt;"",IFERROR(INDEX(Services!$P$5:$P$64,MATCH(M513,Services!$B$5:$B$64,0)),0)&gt;0,IFERROR(INDEX(Services!$D$5:$D$64,MATCH(M513,Services!$B$5:$B$64,0)),"")&lt;&gt;"Per hour"),IFERROR(INDEX(Services!$P$5:$P$64,MATCH(M513,Services!$B$5:$B$64,0)),0),AD513*AH513))</f>
        <v>0</v>
      </c>
      <c r="AJ513" s="21">
        <f>IF(G513="","",IF(V513&lt;&gt;"",V513,IF(P513="Cancelled",0,MAX(MinimumCharge,ROUND(AI513*IFERROR(INDEX(FreqFactors,MATCH(O513,FreqNames,0)),1),2)))))</f>
        <v>0</v>
      </c>
      <c r="AK513" s="34">
        <f>IF(G513="","",IF(SUMIFS(Timesheets!$U$5:$U$804,Timesheets!$G$5:$G$804,A513)&gt;0,SUMIFS(Timesheets!$U$5:$U$804,Timesheets!$G$5:$G$804,A513),IF(Z513="","",Z513)))</f>
        <v>0</v>
      </c>
      <c r="AL513" s="34">
        <f>IF(OR(AK513="",AD513=""),"",AK513-AD513)</f>
        <v>0</v>
      </c>
      <c r="AM513" s="31">
        <f>IF(A513="","",COUNTIFS('Job Tasks'!$B$5:$B$904,A513))</f>
        <v>0</v>
      </c>
      <c r="AN513" s="31">
        <f>IF(A513="","",COUNTIFS('Job Tasks'!$B$5:$B$904,A513,'Job Tasks'!$H$5:$H$904,"Done"))</f>
        <v>0</v>
      </c>
      <c r="AO513" s="38">
        <f>IF(OR(A513="",AM513=0),"",AN513/AM513)</f>
        <v>0</v>
      </c>
      <c r="AP513" s="43">
        <f>IF(A513="","",IFERROR(INDEX('Invoice Lines'!$B$5:$B$804,MATCH(A513,'Invoice Lines'!$C$5:$C$804,0)),""))</f>
        <v>0</v>
      </c>
      <c r="AQ513" s="18">
        <f>IF(OR(G513="",B513="",X513&lt;&gt;"Yes"),"",IF(IFERROR(INDEX(FreqDays,MATCH(O513,FreqNames,0)),0)=0,"",B513+IFERROR(INDEX(FreqDays,MATCH(O513,FreqNames,0)),0)))</f>
        <v>0</v>
      </c>
      <c r="AR513" s="39">
        <f>IF(G513="","",IF(R513="","Unassigned",IF(COUNTIFS($R$5:$R$604,R513,$B$5:$B$604,B513,$F$5:$F$604,F513)&gt;1,"Clash",IF(SUMIFS($AF$5:$AF$604,$R$5:$R$604,R513,$B$5:$B$604,B513)&gt;ProductiveHours,"Long day","OK"))))</f>
        <v>0</v>
      </c>
      <c r="AS513" s="18">
        <f>IF(OR(G513="",B513=""),"",IF(AND(B513&gt;=TodayDate,P513&lt;&gt;"Cancelled"),B513,""))</f>
        <v>0</v>
      </c>
      <c r="AT513" s="31">
        <f>IF(AS513="","",COUNTIFS($AS$5:$AS$604,"&lt;"&amp;AS513)+COUNTIFS($AS$5:AS513,AS513))</f>
        <v>0</v>
      </c>
      <c r="AU513" s="18">
        <f>IF(OR(G513="",B513="",R513&lt;&gt;""),"",IF(AND(B513&gt;=TodayDate,P513&lt;&gt;"Cancelled"),B513,""))</f>
        <v>0</v>
      </c>
      <c r="AV513" s="31">
        <f>IF(AU513="","",COUNTIFS($AU$5:$AU$604,"&lt;"&amp;AU513)+COUNTIFS($AU$5:AU513,AU513))</f>
        <v>0</v>
      </c>
      <c r="AW513" s="31">
        <f>IF(OR(G513="",B513=""),"",B513-TodayDate)</f>
        <v>0</v>
      </c>
      <c r="AX513" s="39">
        <f>IF(G513="","",IF(P513="Cancelled","Cancelled",IF(P513="No access","Action - no access, rebook",IF(AND(B513&lt;&gt;"",AW513&lt;0,OR(P513="Booked",P513="Confirmed",P513="In progress")),"Late - mark it completed",IF(AND(P513="Completed",AP513=""),"Action - not invoiced yet",IF(AND(AW513&gt;=0,AW513&lt;=ReminderDays,Y513&lt;&gt;"Yes"),"Confirm - visit coming up",IF(R513="","Assign - no cleaner booked",IF(AND(P513="Completed",AO513&lt;&gt;"",AO513&lt;1),"Check - checklist unfinished","OK"))))))))</f>
        <v>0</v>
      </c>
    </row>
    <row r="514" spans="1:50">
      <c r="A514" s="43">
        <f>IF(G514="","",JobPrefix&amp;TEXT(ROW()-4,"0000"))</f>
        <v>0</v>
      </c>
      <c r="C514" s="23">
        <f>IF(B514="","",TEXT(B514,"ddd"))</f>
        <v>0</v>
      </c>
      <c r="D514" s="31">
        <f>IF(B514="","",WEEKNUM(B514,IF(WeekStart="Sunday",1,2)))</f>
        <v>0</v>
      </c>
      <c r="E514" s="23">
        <f>IF(B514="","",TEXT(B514,"yyyy-mm"))</f>
        <v>0</v>
      </c>
      <c r="H514" s="23">
        <f>IF(G514="","",IFERROR(INDEX(Clients!$B$5:$B$204,MATCH(G514,Clients!$A$5:$A$204,0)),"Not found"))</f>
        <v>0</v>
      </c>
      <c r="I514" s="23">
        <f>IF(G514="","",IFERROR(INDEX(Clients!$C$5:$C$204,MATCH(G514,Clients!$A$5:$A$204,0)),""))</f>
        <v>0</v>
      </c>
      <c r="K514" s="23">
        <f>IF(J514="","",IFERROR(INDEX(Properties!$B$5:$B$254,MATCH(J514,Properties!$A$5:$A$254,0)),""))</f>
        <v>0</v>
      </c>
      <c r="L514" s="23">
        <f>IF(J514="","",IFERROR(INDEX(Properties!$F$5:$F$254,MATCH(J514,Properties!$A$5:$A$254,0)),""))</f>
        <v>0</v>
      </c>
      <c r="AD514" s="34">
        <f>IF(G514="","",IF(U514&lt;&gt;"",U514,IF(AND(IFERROR(INDEX(Services!$D$5:$D$64,MATCH(M514,Services!$B$5:$B$64,0)),"")="Per hour",IFERROR(INDEX(Properties!$X$5:$X$254,MATCH(J514,Properties!$A$5:$A$254,0)),0)&gt;0),IFERROR(INDEX(Properties!$X$5:$X$254,MATCH(J514,Properties!$A$5:$A$254,0)),0),IF(IFERROR(INDEX(Services!$G$5:$G$64,MATCH(M514,Services!$B$5:$B$64,0)),0)&gt;0,IFERROR(INDEX(Services!$G$5:$G$64,MATCH(M514,Services!$B$5:$B$64,0)),0),IFERROR(INDEX(Properties!$X$5:$X$254,MATCH(J514,Properties!$A$5:$A$254,0)),0)))))</f>
        <v>0</v>
      </c>
      <c r="AE514" s="31">
        <f>IF(G514="","",IF(T514="",CleanersPerJob,MAX(1,T514)))</f>
        <v>0</v>
      </c>
      <c r="AF514" s="34">
        <f>IF(G514="","",ROUND(AD514/AE514,2))</f>
        <v>0</v>
      </c>
      <c r="AG514" s="53">
        <f>IF(OR(G514="",F514="",AF514=""),"",F514+AF514/24)</f>
        <v>0</v>
      </c>
      <c r="AH514" s="21">
        <f>IF(G514="","",IF(IFERROR(INDEX(Clients!$O$5:$O$204,MATCH(G514,Clients!$A$5:$A$204,0)),0)&gt;0,IFERROR(INDEX(Clients!$O$5:$O$204,MATCH(G514,Clients!$A$5:$A$204,0)),0),HourlyRate))</f>
        <v>0</v>
      </c>
      <c r="AI514" s="21">
        <f>IF(G514="","",IF(AND(M514&lt;&gt;"",IFERROR(INDEX(Services!$P$5:$P$64,MATCH(M514,Services!$B$5:$B$64,0)),0)&gt;0,IFERROR(INDEX(Services!$D$5:$D$64,MATCH(M514,Services!$B$5:$B$64,0)),"")&lt;&gt;"Per hour"),IFERROR(INDEX(Services!$P$5:$P$64,MATCH(M514,Services!$B$5:$B$64,0)),0),AD514*AH514))</f>
        <v>0</v>
      </c>
      <c r="AJ514" s="21">
        <f>IF(G514="","",IF(V514&lt;&gt;"",V514,IF(P514="Cancelled",0,MAX(MinimumCharge,ROUND(AI514*IFERROR(INDEX(FreqFactors,MATCH(O514,FreqNames,0)),1),2)))))</f>
        <v>0</v>
      </c>
      <c r="AK514" s="34">
        <f>IF(G514="","",IF(SUMIFS(Timesheets!$U$5:$U$804,Timesheets!$G$5:$G$804,A514)&gt;0,SUMIFS(Timesheets!$U$5:$U$804,Timesheets!$G$5:$G$804,A514),IF(Z514="","",Z514)))</f>
        <v>0</v>
      </c>
      <c r="AL514" s="34">
        <f>IF(OR(AK514="",AD514=""),"",AK514-AD514)</f>
        <v>0</v>
      </c>
      <c r="AM514" s="31">
        <f>IF(A514="","",COUNTIFS('Job Tasks'!$B$5:$B$904,A514))</f>
        <v>0</v>
      </c>
      <c r="AN514" s="31">
        <f>IF(A514="","",COUNTIFS('Job Tasks'!$B$5:$B$904,A514,'Job Tasks'!$H$5:$H$904,"Done"))</f>
        <v>0</v>
      </c>
      <c r="AO514" s="38">
        <f>IF(OR(A514="",AM514=0),"",AN514/AM514)</f>
        <v>0</v>
      </c>
      <c r="AP514" s="43">
        <f>IF(A514="","",IFERROR(INDEX('Invoice Lines'!$B$5:$B$804,MATCH(A514,'Invoice Lines'!$C$5:$C$804,0)),""))</f>
        <v>0</v>
      </c>
      <c r="AQ514" s="18">
        <f>IF(OR(G514="",B514="",X514&lt;&gt;"Yes"),"",IF(IFERROR(INDEX(FreqDays,MATCH(O514,FreqNames,0)),0)=0,"",B514+IFERROR(INDEX(FreqDays,MATCH(O514,FreqNames,0)),0)))</f>
        <v>0</v>
      </c>
      <c r="AR514" s="39">
        <f>IF(G514="","",IF(R514="","Unassigned",IF(COUNTIFS($R$5:$R$604,R514,$B$5:$B$604,B514,$F$5:$F$604,F514)&gt;1,"Clash",IF(SUMIFS($AF$5:$AF$604,$R$5:$R$604,R514,$B$5:$B$604,B514)&gt;ProductiveHours,"Long day","OK"))))</f>
        <v>0</v>
      </c>
      <c r="AS514" s="18">
        <f>IF(OR(G514="",B514=""),"",IF(AND(B514&gt;=TodayDate,P514&lt;&gt;"Cancelled"),B514,""))</f>
        <v>0</v>
      </c>
      <c r="AT514" s="31">
        <f>IF(AS514="","",COUNTIFS($AS$5:$AS$604,"&lt;"&amp;AS514)+COUNTIFS($AS$5:AS514,AS514))</f>
        <v>0</v>
      </c>
      <c r="AU514" s="18">
        <f>IF(OR(G514="",B514="",R514&lt;&gt;""),"",IF(AND(B514&gt;=TodayDate,P514&lt;&gt;"Cancelled"),B514,""))</f>
        <v>0</v>
      </c>
      <c r="AV514" s="31">
        <f>IF(AU514="","",COUNTIFS($AU$5:$AU$604,"&lt;"&amp;AU514)+COUNTIFS($AU$5:AU514,AU514))</f>
        <v>0</v>
      </c>
      <c r="AW514" s="31">
        <f>IF(OR(G514="",B514=""),"",B514-TodayDate)</f>
        <v>0</v>
      </c>
      <c r="AX514" s="39">
        <f>IF(G514="","",IF(P514="Cancelled","Cancelled",IF(P514="No access","Action - no access, rebook",IF(AND(B514&lt;&gt;"",AW514&lt;0,OR(P514="Booked",P514="Confirmed",P514="In progress")),"Late - mark it completed",IF(AND(P514="Completed",AP514=""),"Action - not invoiced yet",IF(AND(AW514&gt;=0,AW514&lt;=ReminderDays,Y514&lt;&gt;"Yes"),"Confirm - visit coming up",IF(R514="","Assign - no cleaner booked",IF(AND(P514="Completed",AO514&lt;&gt;"",AO514&lt;1),"Check - checklist unfinished","OK"))))))))</f>
        <v>0</v>
      </c>
    </row>
    <row r="515" spans="1:50">
      <c r="A515" s="43">
        <f>IF(G515="","",JobPrefix&amp;TEXT(ROW()-4,"0000"))</f>
        <v>0</v>
      </c>
      <c r="C515" s="23">
        <f>IF(B515="","",TEXT(B515,"ddd"))</f>
        <v>0</v>
      </c>
      <c r="D515" s="31">
        <f>IF(B515="","",WEEKNUM(B515,IF(WeekStart="Sunday",1,2)))</f>
        <v>0</v>
      </c>
      <c r="E515" s="23">
        <f>IF(B515="","",TEXT(B515,"yyyy-mm"))</f>
        <v>0</v>
      </c>
      <c r="H515" s="23">
        <f>IF(G515="","",IFERROR(INDEX(Clients!$B$5:$B$204,MATCH(G515,Clients!$A$5:$A$204,0)),"Not found"))</f>
        <v>0</v>
      </c>
      <c r="I515" s="23">
        <f>IF(G515="","",IFERROR(INDEX(Clients!$C$5:$C$204,MATCH(G515,Clients!$A$5:$A$204,0)),""))</f>
        <v>0</v>
      </c>
      <c r="K515" s="23">
        <f>IF(J515="","",IFERROR(INDEX(Properties!$B$5:$B$254,MATCH(J515,Properties!$A$5:$A$254,0)),""))</f>
        <v>0</v>
      </c>
      <c r="L515" s="23">
        <f>IF(J515="","",IFERROR(INDEX(Properties!$F$5:$F$254,MATCH(J515,Properties!$A$5:$A$254,0)),""))</f>
        <v>0</v>
      </c>
      <c r="AD515" s="34">
        <f>IF(G515="","",IF(U515&lt;&gt;"",U515,IF(AND(IFERROR(INDEX(Services!$D$5:$D$64,MATCH(M515,Services!$B$5:$B$64,0)),"")="Per hour",IFERROR(INDEX(Properties!$X$5:$X$254,MATCH(J515,Properties!$A$5:$A$254,0)),0)&gt;0),IFERROR(INDEX(Properties!$X$5:$X$254,MATCH(J515,Properties!$A$5:$A$254,0)),0),IF(IFERROR(INDEX(Services!$G$5:$G$64,MATCH(M515,Services!$B$5:$B$64,0)),0)&gt;0,IFERROR(INDEX(Services!$G$5:$G$64,MATCH(M515,Services!$B$5:$B$64,0)),0),IFERROR(INDEX(Properties!$X$5:$X$254,MATCH(J515,Properties!$A$5:$A$254,0)),0)))))</f>
        <v>0</v>
      </c>
      <c r="AE515" s="31">
        <f>IF(G515="","",IF(T515="",CleanersPerJob,MAX(1,T515)))</f>
        <v>0</v>
      </c>
      <c r="AF515" s="34">
        <f>IF(G515="","",ROUND(AD515/AE515,2))</f>
        <v>0</v>
      </c>
      <c r="AG515" s="53">
        <f>IF(OR(G515="",F515="",AF515=""),"",F515+AF515/24)</f>
        <v>0</v>
      </c>
      <c r="AH515" s="21">
        <f>IF(G515="","",IF(IFERROR(INDEX(Clients!$O$5:$O$204,MATCH(G515,Clients!$A$5:$A$204,0)),0)&gt;0,IFERROR(INDEX(Clients!$O$5:$O$204,MATCH(G515,Clients!$A$5:$A$204,0)),0),HourlyRate))</f>
        <v>0</v>
      </c>
      <c r="AI515" s="21">
        <f>IF(G515="","",IF(AND(M515&lt;&gt;"",IFERROR(INDEX(Services!$P$5:$P$64,MATCH(M515,Services!$B$5:$B$64,0)),0)&gt;0,IFERROR(INDEX(Services!$D$5:$D$64,MATCH(M515,Services!$B$5:$B$64,0)),"")&lt;&gt;"Per hour"),IFERROR(INDEX(Services!$P$5:$P$64,MATCH(M515,Services!$B$5:$B$64,0)),0),AD515*AH515))</f>
        <v>0</v>
      </c>
      <c r="AJ515" s="21">
        <f>IF(G515="","",IF(V515&lt;&gt;"",V515,IF(P515="Cancelled",0,MAX(MinimumCharge,ROUND(AI515*IFERROR(INDEX(FreqFactors,MATCH(O515,FreqNames,0)),1),2)))))</f>
        <v>0</v>
      </c>
      <c r="AK515" s="34">
        <f>IF(G515="","",IF(SUMIFS(Timesheets!$U$5:$U$804,Timesheets!$G$5:$G$804,A515)&gt;0,SUMIFS(Timesheets!$U$5:$U$804,Timesheets!$G$5:$G$804,A515),IF(Z515="","",Z515)))</f>
        <v>0</v>
      </c>
      <c r="AL515" s="34">
        <f>IF(OR(AK515="",AD515=""),"",AK515-AD515)</f>
        <v>0</v>
      </c>
      <c r="AM515" s="31">
        <f>IF(A515="","",COUNTIFS('Job Tasks'!$B$5:$B$904,A515))</f>
        <v>0</v>
      </c>
      <c r="AN515" s="31">
        <f>IF(A515="","",COUNTIFS('Job Tasks'!$B$5:$B$904,A515,'Job Tasks'!$H$5:$H$904,"Done"))</f>
        <v>0</v>
      </c>
      <c r="AO515" s="38">
        <f>IF(OR(A515="",AM515=0),"",AN515/AM515)</f>
        <v>0</v>
      </c>
      <c r="AP515" s="43">
        <f>IF(A515="","",IFERROR(INDEX('Invoice Lines'!$B$5:$B$804,MATCH(A515,'Invoice Lines'!$C$5:$C$804,0)),""))</f>
        <v>0</v>
      </c>
      <c r="AQ515" s="18">
        <f>IF(OR(G515="",B515="",X515&lt;&gt;"Yes"),"",IF(IFERROR(INDEX(FreqDays,MATCH(O515,FreqNames,0)),0)=0,"",B515+IFERROR(INDEX(FreqDays,MATCH(O515,FreqNames,0)),0)))</f>
        <v>0</v>
      </c>
      <c r="AR515" s="39">
        <f>IF(G515="","",IF(R515="","Unassigned",IF(COUNTIFS($R$5:$R$604,R515,$B$5:$B$604,B515,$F$5:$F$604,F515)&gt;1,"Clash",IF(SUMIFS($AF$5:$AF$604,$R$5:$R$604,R515,$B$5:$B$604,B515)&gt;ProductiveHours,"Long day","OK"))))</f>
        <v>0</v>
      </c>
      <c r="AS515" s="18">
        <f>IF(OR(G515="",B515=""),"",IF(AND(B515&gt;=TodayDate,P515&lt;&gt;"Cancelled"),B515,""))</f>
        <v>0</v>
      </c>
      <c r="AT515" s="31">
        <f>IF(AS515="","",COUNTIFS($AS$5:$AS$604,"&lt;"&amp;AS515)+COUNTIFS($AS$5:AS515,AS515))</f>
        <v>0</v>
      </c>
      <c r="AU515" s="18">
        <f>IF(OR(G515="",B515="",R515&lt;&gt;""),"",IF(AND(B515&gt;=TodayDate,P515&lt;&gt;"Cancelled"),B515,""))</f>
        <v>0</v>
      </c>
      <c r="AV515" s="31">
        <f>IF(AU515="","",COUNTIFS($AU$5:$AU$604,"&lt;"&amp;AU515)+COUNTIFS($AU$5:AU515,AU515))</f>
        <v>0</v>
      </c>
      <c r="AW515" s="31">
        <f>IF(OR(G515="",B515=""),"",B515-TodayDate)</f>
        <v>0</v>
      </c>
      <c r="AX515" s="39">
        <f>IF(G515="","",IF(P515="Cancelled","Cancelled",IF(P515="No access","Action - no access, rebook",IF(AND(B515&lt;&gt;"",AW515&lt;0,OR(P515="Booked",P515="Confirmed",P515="In progress")),"Late - mark it completed",IF(AND(P515="Completed",AP515=""),"Action - not invoiced yet",IF(AND(AW515&gt;=0,AW515&lt;=ReminderDays,Y515&lt;&gt;"Yes"),"Confirm - visit coming up",IF(R515="","Assign - no cleaner booked",IF(AND(P515="Completed",AO515&lt;&gt;"",AO515&lt;1),"Check - checklist unfinished","OK"))))))))</f>
        <v>0</v>
      </c>
    </row>
    <row r="516" spans="1:50">
      <c r="A516" s="43">
        <f>IF(G516="","",JobPrefix&amp;TEXT(ROW()-4,"0000"))</f>
        <v>0</v>
      </c>
      <c r="C516" s="23">
        <f>IF(B516="","",TEXT(B516,"ddd"))</f>
        <v>0</v>
      </c>
      <c r="D516" s="31">
        <f>IF(B516="","",WEEKNUM(B516,IF(WeekStart="Sunday",1,2)))</f>
        <v>0</v>
      </c>
      <c r="E516" s="23">
        <f>IF(B516="","",TEXT(B516,"yyyy-mm"))</f>
        <v>0</v>
      </c>
      <c r="H516" s="23">
        <f>IF(G516="","",IFERROR(INDEX(Clients!$B$5:$B$204,MATCH(G516,Clients!$A$5:$A$204,0)),"Not found"))</f>
        <v>0</v>
      </c>
      <c r="I516" s="23">
        <f>IF(G516="","",IFERROR(INDEX(Clients!$C$5:$C$204,MATCH(G516,Clients!$A$5:$A$204,0)),""))</f>
        <v>0</v>
      </c>
      <c r="K516" s="23">
        <f>IF(J516="","",IFERROR(INDEX(Properties!$B$5:$B$254,MATCH(J516,Properties!$A$5:$A$254,0)),""))</f>
        <v>0</v>
      </c>
      <c r="L516" s="23">
        <f>IF(J516="","",IFERROR(INDEX(Properties!$F$5:$F$254,MATCH(J516,Properties!$A$5:$A$254,0)),""))</f>
        <v>0</v>
      </c>
      <c r="AD516" s="34">
        <f>IF(G516="","",IF(U516&lt;&gt;"",U516,IF(AND(IFERROR(INDEX(Services!$D$5:$D$64,MATCH(M516,Services!$B$5:$B$64,0)),"")="Per hour",IFERROR(INDEX(Properties!$X$5:$X$254,MATCH(J516,Properties!$A$5:$A$254,0)),0)&gt;0),IFERROR(INDEX(Properties!$X$5:$X$254,MATCH(J516,Properties!$A$5:$A$254,0)),0),IF(IFERROR(INDEX(Services!$G$5:$G$64,MATCH(M516,Services!$B$5:$B$64,0)),0)&gt;0,IFERROR(INDEX(Services!$G$5:$G$64,MATCH(M516,Services!$B$5:$B$64,0)),0),IFERROR(INDEX(Properties!$X$5:$X$254,MATCH(J516,Properties!$A$5:$A$254,0)),0)))))</f>
        <v>0</v>
      </c>
      <c r="AE516" s="31">
        <f>IF(G516="","",IF(T516="",CleanersPerJob,MAX(1,T516)))</f>
        <v>0</v>
      </c>
      <c r="AF516" s="34">
        <f>IF(G516="","",ROUND(AD516/AE516,2))</f>
        <v>0</v>
      </c>
      <c r="AG516" s="53">
        <f>IF(OR(G516="",F516="",AF516=""),"",F516+AF516/24)</f>
        <v>0</v>
      </c>
      <c r="AH516" s="21">
        <f>IF(G516="","",IF(IFERROR(INDEX(Clients!$O$5:$O$204,MATCH(G516,Clients!$A$5:$A$204,0)),0)&gt;0,IFERROR(INDEX(Clients!$O$5:$O$204,MATCH(G516,Clients!$A$5:$A$204,0)),0),HourlyRate))</f>
        <v>0</v>
      </c>
      <c r="AI516" s="21">
        <f>IF(G516="","",IF(AND(M516&lt;&gt;"",IFERROR(INDEX(Services!$P$5:$P$64,MATCH(M516,Services!$B$5:$B$64,0)),0)&gt;0,IFERROR(INDEX(Services!$D$5:$D$64,MATCH(M516,Services!$B$5:$B$64,0)),"")&lt;&gt;"Per hour"),IFERROR(INDEX(Services!$P$5:$P$64,MATCH(M516,Services!$B$5:$B$64,0)),0),AD516*AH516))</f>
        <v>0</v>
      </c>
      <c r="AJ516" s="21">
        <f>IF(G516="","",IF(V516&lt;&gt;"",V516,IF(P516="Cancelled",0,MAX(MinimumCharge,ROUND(AI516*IFERROR(INDEX(FreqFactors,MATCH(O516,FreqNames,0)),1),2)))))</f>
        <v>0</v>
      </c>
      <c r="AK516" s="34">
        <f>IF(G516="","",IF(SUMIFS(Timesheets!$U$5:$U$804,Timesheets!$G$5:$G$804,A516)&gt;0,SUMIFS(Timesheets!$U$5:$U$804,Timesheets!$G$5:$G$804,A516),IF(Z516="","",Z516)))</f>
        <v>0</v>
      </c>
      <c r="AL516" s="34">
        <f>IF(OR(AK516="",AD516=""),"",AK516-AD516)</f>
        <v>0</v>
      </c>
      <c r="AM516" s="31">
        <f>IF(A516="","",COUNTIFS('Job Tasks'!$B$5:$B$904,A516))</f>
        <v>0</v>
      </c>
      <c r="AN516" s="31">
        <f>IF(A516="","",COUNTIFS('Job Tasks'!$B$5:$B$904,A516,'Job Tasks'!$H$5:$H$904,"Done"))</f>
        <v>0</v>
      </c>
      <c r="AO516" s="38">
        <f>IF(OR(A516="",AM516=0),"",AN516/AM516)</f>
        <v>0</v>
      </c>
      <c r="AP516" s="43">
        <f>IF(A516="","",IFERROR(INDEX('Invoice Lines'!$B$5:$B$804,MATCH(A516,'Invoice Lines'!$C$5:$C$804,0)),""))</f>
        <v>0</v>
      </c>
      <c r="AQ516" s="18">
        <f>IF(OR(G516="",B516="",X516&lt;&gt;"Yes"),"",IF(IFERROR(INDEX(FreqDays,MATCH(O516,FreqNames,0)),0)=0,"",B516+IFERROR(INDEX(FreqDays,MATCH(O516,FreqNames,0)),0)))</f>
        <v>0</v>
      </c>
      <c r="AR516" s="39">
        <f>IF(G516="","",IF(R516="","Unassigned",IF(COUNTIFS($R$5:$R$604,R516,$B$5:$B$604,B516,$F$5:$F$604,F516)&gt;1,"Clash",IF(SUMIFS($AF$5:$AF$604,$R$5:$R$604,R516,$B$5:$B$604,B516)&gt;ProductiveHours,"Long day","OK"))))</f>
        <v>0</v>
      </c>
      <c r="AS516" s="18">
        <f>IF(OR(G516="",B516=""),"",IF(AND(B516&gt;=TodayDate,P516&lt;&gt;"Cancelled"),B516,""))</f>
        <v>0</v>
      </c>
      <c r="AT516" s="31">
        <f>IF(AS516="","",COUNTIFS($AS$5:$AS$604,"&lt;"&amp;AS516)+COUNTIFS($AS$5:AS516,AS516))</f>
        <v>0</v>
      </c>
      <c r="AU516" s="18">
        <f>IF(OR(G516="",B516="",R516&lt;&gt;""),"",IF(AND(B516&gt;=TodayDate,P516&lt;&gt;"Cancelled"),B516,""))</f>
        <v>0</v>
      </c>
      <c r="AV516" s="31">
        <f>IF(AU516="","",COUNTIFS($AU$5:$AU$604,"&lt;"&amp;AU516)+COUNTIFS($AU$5:AU516,AU516))</f>
        <v>0</v>
      </c>
      <c r="AW516" s="31">
        <f>IF(OR(G516="",B516=""),"",B516-TodayDate)</f>
        <v>0</v>
      </c>
      <c r="AX516" s="39">
        <f>IF(G516="","",IF(P516="Cancelled","Cancelled",IF(P516="No access","Action - no access, rebook",IF(AND(B516&lt;&gt;"",AW516&lt;0,OR(P516="Booked",P516="Confirmed",P516="In progress")),"Late - mark it completed",IF(AND(P516="Completed",AP516=""),"Action - not invoiced yet",IF(AND(AW516&gt;=0,AW516&lt;=ReminderDays,Y516&lt;&gt;"Yes"),"Confirm - visit coming up",IF(R516="","Assign - no cleaner booked",IF(AND(P516="Completed",AO516&lt;&gt;"",AO516&lt;1),"Check - checklist unfinished","OK"))))))))</f>
        <v>0</v>
      </c>
    </row>
    <row r="517" spans="1:50">
      <c r="A517" s="43">
        <f>IF(G517="","",JobPrefix&amp;TEXT(ROW()-4,"0000"))</f>
        <v>0</v>
      </c>
      <c r="C517" s="23">
        <f>IF(B517="","",TEXT(B517,"ddd"))</f>
        <v>0</v>
      </c>
      <c r="D517" s="31">
        <f>IF(B517="","",WEEKNUM(B517,IF(WeekStart="Sunday",1,2)))</f>
        <v>0</v>
      </c>
      <c r="E517" s="23">
        <f>IF(B517="","",TEXT(B517,"yyyy-mm"))</f>
        <v>0</v>
      </c>
      <c r="H517" s="23">
        <f>IF(G517="","",IFERROR(INDEX(Clients!$B$5:$B$204,MATCH(G517,Clients!$A$5:$A$204,0)),"Not found"))</f>
        <v>0</v>
      </c>
      <c r="I517" s="23">
        <f>IF(G517="","",IFERROR(INDEX(Clients!$C$5:$C$204,MATCH(G517,Clients!$A$5:$A$204,0)),""))</f>
        <v>0</v>
      </c>
      <c r="K517" s="23">
        <f>IF(J517="","",IFERROR(INDEX(Properties!$B$5:$B$254,MATCH(J517,Properties!$A$5:$A$254,0)),""))</f>
        <v>0</v>
      </c>
      <c r="L517" s="23">
        <f>IF(J517="","",IFERROR(INDEX(Properties!$F$5:$F$254,MATCH(J517,Properties!$A$5:$A$254,0)),""))</f>
        <v>0</v>
      </c>
      <c r="AD517" s="34">
        <f>IF(G517="","",IF(U517&lt;&gt;"",U517,IF(AND(IFERROR(INDEX(Services!$D$5:$D$64,MATCH(M517,Services!$B$5:$B$64,0)),"")="Per hour",IFERROR(INDEX(Properties!$X$5:$X$254,MATCH(J517,Properties!$A$5:$A$254,0)),0)&gt;0),IFERROR(INDEX(Properties!$X$5:$X$254,MATCH(J517,Properties!$A$5:$A$254,0)),0),IF(IFERROR(INDEX(Services!$G$5:$G$64,MATCH(M517,Services!$B$5:$B$64,0)),0)&gt;0,IFERROR(INDEX(Services!$G$5:$G$64,MATCH(M517,Services!$B$5:$B$64,0)),0),IFERROR(INDEX(Properties!$X$5:$X$254,MATCH(J517,Properties!$A$5:$A$254,0)),0)))))</f>
        <v>0</v>
      </c>
      <c r="AE517" s="31">
        <f>IF(G517="","",IF(T517="",CleanersPerJob,MAX(1,T517)))</f>
        <v>0</v>
      </c>
      <c r="AF517" s="34">
        <f>IF(G517="","",ROUND(AD517/AE517,2))</f>
        <v>0</v>
      </c>
      <c r="AG517" s="53">
        <f>IF(OR(G517="",F517="",AF517=""),"",F517+AF517/24)</f>
        <v>0</v>
      </c>
      <c r="AH517" s="21">
        <f>IF(G517="","",IF(IFERROR(INDEX(Clients!$O$5:$O$204,MATCH(G517,Clients!$A$5:$A$204,0)),0)&gt;0,IFERROR(INDEX(Clients!$O$5:$O$204,MATCH(G517,Clients!$A$5:$A$204,0)),0),HourlyRate))</f>
        <v>0</v>
      </c>
      <c r="AI517" s="21">
        <f>IF(G517="","",IF(AND(M517&lt;&gt;"",IFERROR(INDEX(Services!$P$5:$P$64,MATCH(M517,Services!$B$5:$B$64,0)),0)&gt;0,IFERROR(INDEX(Services!$D$5:$D$64,MATCH(M517,Services!$B$5:$B$64,0)),"")&lt;&gt;"Per hour"),IFERROR(INDEX(Services!$P$5:$P$64,MATCH(M517,Services!$B$5:$B$64,0)),0),AD517*AH517))</f>
        <v>0</v>
      </c>
      <c r="AJ517" s="21">
        <f>IF(G517="","",IF(V517&lt;&gt;"",V517,IF(P517="Cancelled",0,MAX(MinimumCharge,ROUND(AI517*IFERROR(INDEX(FreqFactors,MATCH(O517,FreqNames,0)),1),2)))))</f>
        <v>0</v>
      </c>
      <c r="AK517" s="34">
        <f>IF(G517="","",IF(SUMIFS(Timesheets!$U$5:$U$804,Timesheets!$G$5:$G$804,A517)&gt;0,SUMIFS(Timesheets!$U$5:$U$804,Timesheets!$G$5:$G$804,A517),IF(Z517="","",Z517)))</f>
        <v>0</v>
      </c>
      <c r="AL517" s="34">
        <f>IF(OR(AK517="",AD517=""),"",AK517-AD517)</f>
        <v>0</v>
      </c>
      <c r="AM517" s="31">
        <f>IF(A517="","",COUNTIFS('Job Tasks'!$B$5:$B$904,A517))</f>
        <v>0</v>
      </c>
      <c r="AN517" s="31">
        <f>IF(A517="","",COUNTIFS('Job Tasks'!$B$5:$B$904,A517,'Job Tasks'!$H$5:$H$904,"Done"))</f>
        <v>0</v>
      </c>
      <c r="AO517" s="38">
        <f>IF(OR(A517="",AM517=0),"",AN517/AM517)</f>
        <v>0</v>
      </c>
      <c r="AP517" s="43">
        <f>IF(A517="","",IFERROR(INDEX('Invoice Lines'!$B$5:$B$804,MATCH(A517,'Invoice Lines'!$C$5:$C$804,0)),""))</f>
        <v>0</v>
      </c>
      <c r="AQ517" s="18">
        <f>IF(OR(G517="",B517="",X517&lt;&gt;"Yes"),"",IF(IFERROR(INDEX(FreqDays,MATCH(O517,FreqNames,0)),0)=0,"",B517+IFERROR(INDEX(FreqDays,MATCH(O517,FreqNames,0)),0)))</f>
        <v>0</v>
      </c>
      <c r="AR517" s="39">
        <f>IF(G517="","",IF(R517="","Unassigned",IF(COUNTIFS($R$5:$R$604,R517,$B$5:$B$604,B517,$F$5:$F$604,F517)&gt;1,"Clash",IF(SUMIFS($AF$5:$AF$604,$R$5:$R$604,R517,$B$5:$B$604,B517)&gt;ProductiveHours,"Long day","OK"))))</f>
        <v>0</v>
      </c>
      <c r="AS517" s="18">
        <f>IF(OR(G517="",B517=""),"",IF(AND(B517&gt;=TodayDate,P517&lt;&gt;"Cancelled"),B517,""))</f>
        <v>0</v>
      </c>
      <c r="AT517" s="31">
        <f>IF(AS517="","",COUNTIFS($AS$5:$AS$604,"&lt;"&amp;AS517)+COUNTIFS($AS$5:AS517,AS517))</f>
        <v>0</v>
      </c>
      <c r="AU517" s="18">
        <f>IF(OR(G517="",B517="",R517&lt;&gt;""),"",IF(AND(B517&gt;=TodayDate,P517&lt;&gt;"Cancelled"),B517,""))</f>
        <v>0</v>
      </c>
      <c r="AV517" s="31">
        <f>IF(AU517="","",COUNTIFS($AU$5:$AU$604,"&lt;"&amp;AU517)+COUNTIFS($AU$5:AU517,AU517))</f>
        <v>0</v>
      </c>
      <c r="AW517" s="31">
        <f>IF(OR(G517="",B517=""),"",B517-TodayDate)</f>
        <v>0</v>
      </c>
      <c r="AX517" s="39">
        <f>IF(G517="","",IF(P517="Cancelled","Cancelled",IF(P517="No access","Action - no access, rebook",IF(AND(B517&lt;&gt;"",AW517&lt;0,OR(P517="Booked",P517="Confirmed",P517="In progress")),"Late - mark it completed",IF(AND(P517="Completed",AP517=""),"Action - not invoiced yet",IF(AND(AW517&gt;=0,AW517&lt;=ReminderDays,Y517&lt;&gt;"Yes"),"Confirm - visit coming up",IF(R517="","Assign - no cleaner booked",IF(AND(P517="Completed",AO517&lt;&gt;"",AO517&lt;1),"Check - checklist unfinished","OK"))))))))</f>
        <v>0</v>
      </c>
    </row>
    <row r="518" spans="1:50">
      <c r="A518" s="43">
        <f>IF(G518="","",JobPrefix&amp;TEXT(ROW()-4,"0000"))</f>
        <v>0</v>
      </c>
      <c r="C518" s="23">
        <f>IF(B518="","",TEXT(B518,"ddd"))</f>
        <v>0</v>
      </c>
      <c r="D518" s="31">
        <f>IF(B518="","",WEEKNUM(B518,IF(WeekStart="Sunday",1,2)))</f>
        <v>0</v>
      </c>
      <c r="E518" s="23">
        <f>IF(B518="","",TEXT(B518,"yyyy-mm"))</f>
        <v>0</v>
      </c>
      <c r="H518" s="23">
        <f>IF(G518="","",IFERROR(INDEX(Clients!$B$5:$B$204,MATCH(G518,Clients!$A$5:$A$204,0)),"Not found"))</f>
        <v>0</v>
      </c>
      <c r="I518" s="23">
        <f>IF(G518="","",IFERROR(INDEX(Clients!$C$5:$C$204,MATCH(G518,Clients!$A$5:$A$204,0)),""))</f>
        <v>0</v>
      </c>
      <c r="K518" s="23">
        <f>IF(J518="","",IFERROR(INDEX(Properties!$B$5:$B$254,MATCH(J518,Properties!$A$5:$A$254,0)),""))</f>
        <v>0</v>
      </c>
      <c r="L518" s="23">
        <f>IF(J518="","",IFERROR(INDEX(Properties!$F$5:$F$254,MATCH(J518,Properties!$A$5:$A$254,0)),""))</f>
        <v>0</v>
      </c>
      <c r="AD518" s="34">
        <f>IF(G518="","",IF(U518&lt;&gt;"",U518,IF(AND(IFERROR(INDEX(Services!$D$5:$D$64,MATCH(M518,Services!$B$5:$B$64,0)),"")="Per hour",IFERROR(INDEX(Properties!$X$5:$X$254,MATCH(J518,Properties!$A$5:$A$254,0)),0)&gt;0),IFERROR(INDEX(Properties!$X$5:$X$254,MATCH(J518,Properties!$A$5:$A$254,0)),0),IF(IFERROR(INDEX(Services!$G$5:$G$64,MATCH(M518,Services!$B$5:$B$64,0)),0)&gt;0,IFERROR(INDEX(Services!$G$5:$G$64,MATCH(M518,Services!$B$5:$B$64,0)),0),IFERROR(INDEX(Properties!$X$5:$X$254,MATCH(J518,Properties!$A$5:$A$254,0)),0)))))</f>
        <v>0</v>
      </c>
      <c r="AE518" s="31">
        <f>IF(G518="","",IF(T518="",CleanersPerJob,MAX(1,T518)))</f>
        <v>0</v>
      </c>
      <c r="AF518" s="34">
        <f>IF(G518="","",ROUND(AD518/AE518,2))</f>
        <v>0</v>
      </c>
      <c r="AG518" s="53">
        <f>IF(OR(G518="",F518="",AF518=""),"",F518+AF518/24)</f>
        <v>0</v>
      </c>
      <c r="AH518" s="21">
        <f>IF(G518="","",IF(IFERROR(INDEX(Clients!$O$5:$O$204,MATCH(G518,Clients!$A$5:$A$204,0)),0)&gt;0,IFERROR(INDEX(Clients!$O$5:$O$204,MATCH(G518,Clients!$A$5:$A$204,0)),0),HourlyRate))</f>
        <v>0</v>
      </c>
      <c r="AI518" s="21">
        <f>IF(G518="","",IF(AND(M518&lt;&gt;"",IFERROR(INDEX(Services!$P$5:$P$64,MATCH(M518,Services!$B$5:$B$64,0)),0)&gt;0,IFERROR(INDEX(Services!$D$5:$D$64,MATCH(M518,Services!$B$5:$B$64,0)),"")&lt;&gt;"Per hour"),IFERROR(INDEX(Services!$P$5:$P$64,MATCH(M518,Services!$B$5:$B$64,0)),0),AD518*AH518))</f>
        <v>0</v>
      </c>
      <c r="AJ518" s="21">
        <f>IF(G518="","",IF(V518&lt;&gt;"",V518,IF(P518="Cancelled",0,MAX(MinimumCharge,ROUND(AI518*IFERROR(INDEX(FreqFactors,MATCH(O518,FreqNames,0)),1),2)))))</f>
        <v>0</v>
      </c>
      <c r="AK518" s="34">
        <f>IF(G518="","",IF(SUMIFS(Timesheets!$U$5:$U$804,Timesheets!$G$5:$G$804,A518)&gt;0,SUMIFS(Timesheets!$U$5:$U$804,Timesheets!$G$5:$G$804,A518),IF(Z518="","",Z518)))</f>
        <v>0</v>
      </c>
      <c r="AL518" s="34">
        <f>IF(OR(AK518="",AD518=""),"",AK518-AD518)</f>
        <v>0</v>
      </c>
      <c r="AM518" s="31">
        <f>IF(A518="","",COUNTIFS('Job Tasks'!$B$5:$B$904,A518))</f>
        <v>0</v>
      </c>
      <c r="AN518" s="31">
        <f>IF(A518="","",COUNTIFS('Job Tasks'!$B$5:$B$904,A518,'Job Tasks'!$H$5:$H$904,"Done"))</f>
        <v>0</v>
      </c>
      <c r="AO518" s="38">
        <f>IF(OR(A518="",AM518=0),"",AN518/AM518)</f>
        <v>0</v>
      </c>
      <c r="AP518" s="43">
        <f>IF(A518="","",IFERROR(INDEX('Invoice Lines'!$B$5:$B$804,MATCH(A518,'Invoice Lines'!$C$5:$C$804,0)),""))</f>
        <v>0</v>
      </c>
      <c r="AQ518" s="18">
        <f>IF(OR(G518="",B518="",X518&lt;&gt;"Yes"),"",IF(IFERROR(INDEX(FreqDays,MATCH(O518,FreqNames,0)),0)=0,"",B518+IFERROR(INDEX(FreqDays,MATCH(O518,FreqNames,0)),0)))</f>
        <v>0</v>
      </c>
      <c r="AR518" s="39">
        <f>IF(G518="","",IF(R518="","Unassigned",IF(COUNTIFS($R$5:$R$604,R518,$B$5:$B$604,B518,$F$5:$F$604,F518)&gt;1,"Clash",IF(SUMIFS($AF$5:$AF$604,$R$5:$R$604,R518,$B$5:$B$604,B518)&gt;ProductiveHours,"Long day","OK"))))</f>
        <v>0</v>
      </c>
      <c r="AS518" s="18">
        <f>IF(OR(G518="",B518=""),"",IF(AND(B518&gt;=TodayDate,P518&lt;&gt;"Cancelled"),B518,""))</f>
        <v>0</v>
      </c>
      <c r="AT518" s="31">
        <f>IF(AS518="","",COUNTIFS($AS$5:$AS$604,"&lt;"&amp;AS518)+COUNTIFS($AS$5:AS518,AS518))</f>
        <v>0</v>
      </c>
      <c r="AU518" s="18">
        <f>IF(OR(G518="",B518="",R518&lt;&gt;""),"",IF(AND(B518&gt;=TodayDate,P518&lt;&gt;"Cancelled"),B518,""))</f>
        <v>0</v>
      </c>
      <c r="AV518" s="31">
        <f>IF(AU518="","",COUNTIFS($AU$5:$AU$604,"&lt;"&amp;AU518)+COUNTIFS($AU$5:AU518,AU518))</f>
        <v>0</v>
      </c>
      <c r="AW518" s="31">
        <f>IF(OR(G518="",B518=""),"",B518-TodayDate)</f>
        <v>0</v>
      </c>
      <c r="AX518" s="39">
        <f>IF(G518="","",IF(P518="Cancelled","Cancelled",IF(P518="No access","Action - no access, rebook",IF(AND(B518&lt;&gt;"",AW518&lt;0,OR(P518="Booked",P518="Confirmed",P518="In progress")),"Late - mark it completed",IF(AND(P518="Completed",AP518=""),"Action - not invoiced yet",IF(AND(AW518&gt;=0,AW518&lt;=ReminderDays,Y518&lt;&gt;"Yes"),"Confirm - visit coming up",IF(R518="","Assign - no cleaner booked",IF(AND(P518="Completed",AO518&lt;&gt;"",AO518&lt;1),"Check - checklist unfinished","OK"))))))))</f>
        <v>0</v>
      </c>
    </row>
    <row r="519" spans="1:50">
      <c r="A519" s="43">
        <f>IF(G519="","",JobPrefix&amp;TEXT(ROW()-4,"0000"))</f>
        <v>0</v>
      </c>
      <c r="C519" s="23">
        <f>IF(B519="","",TEXT(B519,"ddd"))</f>
        <v>0</v>
      </c>
      <c r="D519" s="31">
        <f>IF(B519="","",WEEKNUM(B519,IF(WeekStart="Sunday",1,2)))</f>
        <v>0</v>
      </c>
      <c r="E519" s="23">
        <f>IF(B519="","",TEXT(B519,"yyyy-mm"))</f>
        <v>0</v>
      </c>
      <c r="H519" s="23">
        <f>IF(G519="","",IFERROR(INDEX(Clients!$B$5:$B$204,MATCH(G519,Clients!$A$5:$A$204,0)),"Not found"))</f>
        <v>0</v>
      </c>
      <c r="I519" s="23">
        <f>IF(G519="","",IFERROR(INDEX(Clients!$C$5:$C$204,MATCH(G519,Clients!$A$5:$A$204,0)),""))</f>
        <v>0</v>
      </c>
      <c r="K519" s="23">
        <f>IF(J519="","",IFERROR(INDEX(Properties!$B$5:$B$254,MATCH(J519,Properties!$A$5:$A$254,0)),""))</f>
        <v>0</v>
      </c>
      <c r="L519" s="23">
        <f>IF(J519="","",IFERROR(INDEX(Properties!$F$5:$F$254,MATCH(J519,Properties!$A$5:$A$254,0)),""))</f>
        <v>0</v>
      </c>
      <c r="AD519" s="34">
        <f>IF(G519="","",IF(U519&lt;&gt;"",U519,IF(AND(IFERROR(INDEX(Services!$D$5:$D$64,MATCH(M519,Services!$B$5:$B$64,0)),"")="Per hour",IFERROR(INDEX(Properties!$X$5:$X$254,MATCH(J519,Properties!$A$5:$A$254,0)),0)&gt;0),IFERROR(INDEX(Properties!$X$5:$X$254,MATCH(J519,Properties!$A$5:$A$254,0)),0),IF(IFERROR(INDEX(Services!$G$5:$G$64,MATCH(M519,Services!$B$5:$B$64,0)),0)&gt;0,IFERROR(INDEX(Services!$G$5:$G$64,MATCH(M519,Services!$B$5:$B$64,0)),0),IFERROR(INDEX(Properties!$X$5:$X$254,MATCH(J519,Properties!$A$5:$A$254,0)),0)))))</f>
        <v>0</v>
      </c>
      <c r="AE519" s="31">
        <f>IF(G519="","",IF(T519="",CleanersPerJob,MAX(1,T519)))</f>
        <v>0</v>
      </c>
      <c r="AF519" s="34">
        <f>IF(G519="","",ROUND(AD519/AE519,2))</f>
        <v>0</v>
      </c>
      <c r="AG519" s="53">
        <f>IF(OR(G519="",F519="",AF519=""),"",F519+AF519/24)</f>
        <v>0</v>
      </c>
      <c r="AH519" s="21">
        <f>IF(G519="","",IF(IFERROR(INDEX(Clients!$O$5:$O$204,MATCH(G519,Clients!$A$5:$A$204,0)),0)&gt;0,IFERROR(INDEX(Clients!$O$5:$O$204,MATCH(G519,Clients!$A$5:$A$204,0)),0),HourlyRate))</f>
        <v>0</v>
      </c>
      <c r="AI519" s="21">
        <f>IF(G519="","",IF(AND(M519&lt;&gt;"",IFERROR(INDEX(Services!$P$5:$P$64,MATCH(M519,Services!$B$5:$B$64,0)),0)&gt;0,IFERROR(INDEX(Services!$D$5:$D$64,MATCH(M519,Services!$B$5:$B$64,0)),"")&lt;&gt;"Per hour"),IFERROR(INDEX(Services!$P$5:$P$64,MATCH(M519,Services!$B$5:$B$64,0)),0),AD519*AH519))</f>
        <v>0</v>
      </c>
      <c r="AJ519" s="21">
        <f>IF(G519="","",IF(V519&lt;&gt;"",V519,IF(P519="Cancelled",0,MAX(MinimumCharge,ROUND(AI519*IFERROR(INDEX(FreqFactors,MATCH(O519,FreqNames,0)),1),2)))))</f>
        <v>0</v>
      </c>
      <c r="AK519" s="34">
        <f>IF(G519="","",IF(SUMIFS(Timesheets!$U$5:$U$804,Timesheets!$G$5:$G$804,A519)&gt;0,SUMIFS(Timesheets!$U$5:$U$804,Timesheets!$G$5:$G$804,A519),IF(Z519="","",Z519)))</f>
        <v>0</v>
      </c>
      <c r="AL519" s="34">
        <f>IF(OR(AK519="",AD519=""),"",AK519-AD519)</f>
        <v>0</v>
      </c>
      <c r="AM519" s="31">
        <f>IF(A519="","",COUNTIFS('Job Tasks'!$B$5:$B$904,A519))</f>
        <v>0</v>
      </c>
      <c r="AN519" s="31">
        <f>IF(A519="","",COUNTIFS('Job Tasks'!$B$5:$B$904,A519,'Job Tasks'!$H$5:$H$904,"Done"))</f>
        <v>0</v>
      </c>
      <c r="AO519" s="38">
        <f>IF(OR(A519="",AM519=0),"",AN519/AM519)</f>
        <v>0</v>
      </c>
      <c r="AP519" s="43">
        <f>IF(A519="","",IFERROR(INDEX('Invoice Lines'!$B$5:$B$804,MATCH(A519,'Invoice Lines'!$C$5:$C$804,0)),""))</f>
        <v>0</v>
      </c>
      <c r="AQ519" s="18">
        <f>IF(OR(G519="",B519="",X519&lt;&gt;"Yes"),"",IF(IFERROR(INDEX(FreqDays,MATCH(O519,FreqNames,0)),0)=0,"",B519+IFERROR(INDEX(FreqDays,MATCH(O519,FreqNames,0)),0)))</f>
        <v>0</v>
      </c>
      <c r="AR519" s="39">
        <f>IF(G519="","",IF(R519="","Unassigned",IF(COUNTIFS($R$5:$R$604,R519,$B$5:$B$604,B519,$F$5:$F$604,F519)&gt;1,"Clash",IF(SUMIFS($AF$5:$AF$604,$R$5:$R$604,R519,$B$5:$B$604,B519)&gt;ProductiveHours,"Long day","OK"))))</f>
        <v>0</v>
      </c>
      <c r="AS519" s="18">
        <f>IF(OR(G519="",B519=""),"",IF(AND(B519&gt;=TodayDate,P519&lt;&gt;"Cancelled"),B519,""))</f>
        <v>0</v>
      </c>
      <c r="AT519" s="31">
        <f>IF(AS519="","",COUNTIFS($AS$5:$AS$604,"&lt;"&amp;AS519)+COUNTIFS($AS$5:AS519,AS519))</f>
        <v>0</v>
      </c>
      <c r="AU519" s="18">
        <f>IF(OR(G519="",B519="",R519&lt;&gt;""),"",IF(AND(B519&gt;=TodayDate,P519&lt;&gt;"Cancelled"),B519,""))</f>
        <v>0</v>
      </c>
      <c r="AV519" s="31">
        <f>IF(AU519="","",COUNTIFS($AU$5:$AU$604,"&lt;"&amp;AU519)+COUNTIFS($AU$5:AU519,AU519))</f>
        <v>0</v>
      </c>
      <c r="AW519" s="31">
        <f>IF(OR(G519="",B519=""),"",B519-TodayDate)</f>
        <v>0</v>
      </c>
      <c r="AX519" s="39">
        <f>IF(G519="","",IF(P519="Cancelled","Cancelled",IF(P519="No access","Action - no access, rebook",IF(AND(B519&lt;&gt;"",AW519&lt;0,OR(P519="Booked",P519="Confirmed",P519="In progress")),"Late - mark it completed",IF(AND(P519="Completed",AP519=""),"Action - not invoiced yet",IF(AND(AW519&gt;=0,AW519&lt;=ReminderDays,Y519&lt;&gt;"Yes"),"Confirm - visit coming up",IF(R519="","Assign - no cleaner booked",IF(AND(P519="Completed",AO519&lt;&gt;"",AO519&lt;1),"Check - checklist unfinished","OK"))))))))</f>
        <v>0</v>
      </c>
    </row>
    <row r="520" spans="1:50">
      <c r="A520" s="43">
        <f>IF(G520="","",JobPrefix&amp;TEXT(ROW()-4,"0000"))</f>
        <v>0</v>
      </c>
      <c r="C520" s="23">
        <f>IF(B520="","",TEXT(B520,"ddd"))</f>
        <v>0</v>
      </c>
      <c r="D520" s="31">
        <f>IF(B520="","",WEEKNUM(B520,IF(WeekStart="Sunday",1,2)))</f>
        <v>0</v>
      </c>
      <c r="E520" s="23">
        <f>IF(B520="","",TEXT(B520,"yyyy-mm"))</f>
        <v>0</v>
      </c>
      <c r="H520" s="23">
        <f>IF(G520="","",IFERROR(INDEX(Clients!$B$5:$B$204,MATCH(G520,Clients!$A$5:$A$204,0)),"Not found"))</f>
        <v>0</v>
      </c>
      <c r="I520" s="23">
        <f>IF(G520="","",IFERROR(INDEX(Clients!$C$5:$C$204,MATCH(G520,Clients!$A$5:$A$204,0)),""))</f>
        <v>0</v>
      </c>
      <c r="K520" s="23">
        <f>IF(J520="","",IFERROR(INDEX(Properties!$B$5:$B$254,MATCH(J520,Properties!$A$5:$A$254,0)),""))</f>
        <v>0</v>
      </c>
      <c r="L520" s="23">
        <f>IF(J520="","",IFERROR(INDEX(Properties!$F$5:$F$254,MATCH(J520,Properties!$A$5:$A$254,0)),""))</f>
        <v>0</v>
      </c>
      <c r="AD520" s="34">
        <f>IF(G520="","",IF(U520&lt;&gt;"",U520,IF(AND(IFERROR(INDEX(Services!$D$5:$D$64,MATCH(M520,Services!$B$5:$B$64,0)),"")="Per hour",IFERROR(INDEX(Properties!$X$5:$X$254,MATCH(J520,Properties!$A$5:$A$254,0)),0)&gt;0),IFERROR(INDEX(Properties!$X$5:$X$254,MATCH(J520,Properties!$A$5:$A$254,0)),0),IF(IFERROR(INDEX(Services!$G$5:$G$64,MATCH(M520,Services!$B$5:$B$64,0)),0)&gt;0,IFERROR(INDEX(Services!$G$5:$G$64,MATCH(M520,Services!$B$5:$B$64,0)),0),IFERROR(INDEX(Properties!$X$5:$X$254,MATCH(J520,Properties!$A$5:$A$254,0)),0)))))</f>
        <v>0</v>
      </c>
      <c r="AE520" s="31">
        <f>IF(G520="","",IF(T520="",CleanersPerJob,MAX(1,T520)))</f>
        <v>0</v>
      </c>
      <c r="AF520" s="34">
        <f>IF(G520="","",ROUND(AD520/AE520,2))</f>
        <v>0</v>
      </c>
      <c r="AG520" s="53">
        <f>IF(OR(G520="",F520="",AF520=""),"",F520+AF520/24)</f>
        <v>0</v>
      </c>
      <c r="AH520" s="21">
        <f>IF(G520="","",IF(IFERROR(INDEX(Clients!$O$5:$O$204,MATCH(G520,Clients!$A$5:$A$204,0)),0)&gt;0,IFERROR(INDEX(Clients!$O$5:$O$204,MATCH(G520,Clients!$A$5:$A$204,0)),0),HourlyRate))</f>
        <v>0</v>
      </c>
      <c r="AI520" s="21">
        <f>IF(G520="","",IF(AND(M520&lt;&gt;"",IFERROR(INDEX(Services!$P$5:$P$64,MATCH(M520,Services!$B$5:$B$64,0)),0)&gt;0,IFERROR(INDEX(Services!$D$5:$D$64,MATCH(M520,Services!$B$5:$B$64,0)),"")&lt;&gt;"Per hour"),IFERROR(INDEX(Services!$P$5:$P$64,MATCH(M520,Services!$B$5:$B$64,0)),0),AD520*AH520))</f>
        <v>0</v>
      </c>
      <c r="AJ520" s="21">
        <f>IF(G520="","",IF(V520&lt;&gt;"",V520,IF(P520="Cancelled",0,MAX(MinimumCharge,ROUND(AI520*IFERROR(INDEX(FreqFactors,MATCH(O520,FreqNames,0)),1),2)))))</f>
        <v>0</v>
      </c>
      <c r="AK520" s="34">
        <f>IF(G520="","",IF(SUMIFS(Timesheets!$U$5:$U$804,Timesheets!$G$5:$G$804,A520)&gt;0,SUMIFS(Timesheets!$U$5:$U$804,Timesheets!$G$5:$G$804,A520),IF(Z520="","",Z520)))</f>
        <v>0</v>
      </c>
      <c r="AL520" s="34">
        <f>IF(OR(AK520="",AD520=""),"",AK520-AD520)</f>
        <v>0</v>
      </c>
      <c r="AM520" s="31">
        <f>IF(A520="","",COUNTIFS('Job Tasks'!$B$5:$B$904,A520))</f>
        <v>0</v>
      </c>
      <c r="AN520" s="31">
        <f>IF(A520="","",COUNTIFS('Job Tasks'!$B$5:$B$904,A520,'Job Tasks'!$H$5:$H$904,"Done"))</f>
        <v>0</v>
      </c>
      <c r="AO520" s="38">
        <f>IF(OR(A520="",AM520=0),"",AN520/AM520)</f>
        <v>0</v>
      </c>
      <c r="AP520" s="43">
        <f>IF(A520="","",IFERROR(INDEX('Invoice Lines'!$B$5:$B$804,MATCH(A520,'Invoice Lines'!$C$5:$C$804,0)),""))</f>
        <v>0</v>
      </c>
      <c r="AQ520" s="18">
        <f>IF(OR(G520="",B520="",X520&lt;&gt;"Yes"),"",IF(IFERROR(INDEX(FreqDays,MATCH(O520,FreqNames,0)),0)=0,"",B520+IFERROR(INDEX(FreqDays,MATCH(O520,FreqNames,0)),0)))</f>
        <v>0</v>
      </c>
      <c r="AR520" s="39">
        <f>IF(G520="","",IF(R520="","Unassigned",IF(COUNTIFS($R$5:$R$604,R520,$B$5:$B$604,B520,$F$5:$F$604,F520)&gt;1,"Clash",IF(SUMIFS($AF$5:$AF$604,$R$5:$R$604,R520,$B$5:$B$604,B520)&gt;ProductiveHours,"Long day","OK"))))</f>
        <v>0</v>
      </c>
      <c r="AS520" s="18">
        <f>IF(OR(G520="",B520=""),"",IF(AND(B520&gt;=TodayDate,P520&lt;&gt;"Cancelled"),B520,""))</f>
        <v>0</v>
      </c>
      <c r="AT520" s="31">
        <f>IF(AS520="","",COUNTIFS($AS$5:$AS$604,"&lt;"&amp;AS520)+COUNTIFS($AS$5:AS520,AS520))</f>
        <v>0</v>
      </c>
      <c r="AU520" s="18">
        <f>IF(OR(G520="",B520="",R520&lt;&gt;""),"",IF(AND(B520&gt;=TodayDate,P520&lt;&gt;"Cancelled"),B520,""))</f>
        <v>0</v>
      </c>
      <c r="AV520" s="31">
        <f>IF(AU520="","",COUNTIFS($AU$5:$AU$604,"&lt;"&amp;AU520)+COUNTIFS($AU$5:AU520,AU520))</f>
        <v>0</v>
      </c>
      <c r="AW520" s="31">
        <f>IF(OR(G520="",B520=""),"",B520-TodayDate)</f>
        <v>0</v>
      </c>
      <c r="AX520" s="39">
        <f>IF(G520="","",IF(P520="Cancelled","Cancelled",IF(P520="No access","Action - no access, rebook",IF(AND(B520&lt;&gt;"",AW520&lt;0,OR(P520="Booked",P520="Confirmed",P520="In progress")),"Late - mark it completed",IF(AND(P520="Completed",AP520=""),"Action - not invoiced yet",IF(AND(AW520&gt;=0,AW520&lt;=ReminderDays,Y520&lt;&gt;"Yes"),"Confirm - visit coming up",IF(R520="","Assign - no cleaner booked",IF(AND(P520="Completed",AO520&lt;&gt;"",AO520&lt;1),"Check - checklist unfinished","OK"))))))))</f>
        <v>0</v>
      </c>
    </row>
    <row r="521" spans="1:50">
      <c r="A521" s="43">
        <f>IF(G521="","",JobPrefix&amp;TEXT(ROW()-4,"0000"))</f>
        <v>0</v>
      </c>
      <c r="C521" s="23">
        <f>IF(B521="","",TEXT(B521,"ddd"))</f>
        <v>0</v>
      </c>
      <c r="D521" s="31">
        <f>IF(B521="","",WEEKNUM(B521,IF(WeekStart="Sunday",1,2)))</f>
        <v>0</v>
      </c>
      <c r="E521" s="23">
        <f>IF(B521="","",TEXT(B521,"yyyy-mm"))</f>
        <v>0</v>
      </c>
      <c r="H521" s="23">
        <f>IF(G521="","",IFERROR(INDEX(Clients!$B$5:$B$204,MATCH(G521,Clients!$A$5:$A$204,0)),"Not found"))</f>
        <v>0</v>
      </c>
      <c r="I521" s="23">
        <f>IF(G521="","",IFERROR(INDEX(Clients!$C$5:$C$204,MATCH(G521,Clients!$A$5:$A$204,0)),""))</f>
        <v>0</v>
      </c>
      <c r="K521" s="23">
        <f>IF(J521="","",IFERROR(INDEX(Properties!$B$5:$B$254,MATCH(J521,Properties!$A$5:$A$254,0)),""))</f>
        <v>0</v>
      </c>
      <c r="L521" s="23">
        <f>IF(J521="","",IFERROR(INDEX(Properties!$F$5:$F$254,MATCH(J521,Properties!$A$5:$A$254,0)),""))</f>
        <v>0</v>
      </c>
      <c r="AD521" s="34">
        <f>IF(G521="","",IF(U521&lt;&gt;"",U521,IF(AND(IFERROR(INDEX(Services!$D$5:$D$64,MATCH(M521,Services!$B$5:$B$64,0)),"")="Per hour",IFERROR(INDEX(Properties!$X$5:$X$254,MATCH(J521,Properties!$A$5:$A$254,0)),0)&gt;0),IFERROR(INDEX(Properties!$X$5:$X$254,MATCH(J521,Properties!$A$5:$A$254,0)),0),IF(IFERROR(INDEX(Services!$G$5:$G$64,MATCH(M521,Services!$B$5:$B$64,0)),0)&gt;0,IFERROR(INDEX(Services!$G$5:$G$64,MATCH(M521,Services!$B$5:$B$64,0)),0),IFERROR(INDEX(Properties!$X$5:$X$254,MATCH(J521,Properties!$A$5:$A$254,0)),0)))))</f>
        <v>0</v>
      </c>
      <c r="AE521" s="31">
        <f>IF(G521="","",IF(T521="",CleanersPerJob,MAX(1,T521)))</f>
        <v>0</v>
      </c>
      <c r="AF521" s="34">
        <f>IF(G521="","",ROUND(AD521/AE521,2))</f>
        <v>0</v>
      </c>
      <c r="AG521" s="53">
        <f>IF(OR(G521="",F521="",AF521=""),"",F521+AF521/24)</f>
        <v>0</v>
      </c>
      <c r="AH521" s="21">
        <f>IF(G521="","",IF(IFERROR(INDEX(Clients!$O$5:$O$204,MATCH(G521,Clients!$A$5:$A$204,0)),0)&gt;0,IFERROR(INDEX(Clients!$O$5:$O$204,MATCH(G521,Clients!$A$5:$A$204,0)),0),HourlyRate))</f>
        <v>0</v>
      </c>
      <c r="AI521" s="21">
        <f>IF(G521="","",IF(AND(M521&lt;&gt;"",IFERROR(INDEX(Services!$P$5:$P$64,MATCH(M521,Services!$B$5:$B$64,0)),0)&gt;0,IFERROR(INDEX(Services!$D$5:$D$64,MATCH(M521,Services!$B$5:$B$64,0)),"")&lt;&gt;"Per hour"),IFERROR(INDEX(Services!$P$5:$P$64,MATCH(M521,Services!$B$5:$B$64,0)),0),AD521*AH521))</f>
        <v>0</v>
      </c>
      <c r="AJ521" s="21">
        <f>IF(G521="","",IF(V521&lt;&gt;"",V521,IF(P521="Cancelled",0,MAX(MinimumCharge,ROUND(AI521*IFERROR(INDEX(FreqFactors,MATCH(O521,FreqNames,0)),1),2)))))</f>
        <v>0</v>
      </c>
      <c r="AK521" s="34">
        <f>IF(G521="","",IF(SUMIFS(Timesheets!$U$5:$U$804,Timesheets!$G$5:$G$804,A521)&gt;0,SUMIFS(Timesheets!$U$5:$U$804,Timesheets!$G$5:$G$804,A521),IF(Z521="","",Z521)))</f>
        <v>0</v>
      </c>
      <c r="AL521" s="34">
        <f>IF(OR(AK521="",AD521=""),"",AK521-AD521)</f>
        <v>0</v>
      </c>
      <c r="AM521" s="31">
        <f>IF(A521="","",COUNTIFS('Job Tasks'!$B$5:$B$904,A521))</f>
        <v>0</v>
      </c>
      <c r="AN521" s="31">
        <f>IF(A521="","",COUNTIFS('Job Tasks'!$B$5:$B$904,A521,'Job Tasks'!$H$5:$H$904,"Done"))</f>
        <v>0</v>
      </c>
      <c r="AO521" s="38">
        <f>IF(OR(A521="",AM521=0),"",AN521/AM521)</f>
        <v>0</v>
      </c>
      <c r="AP521" s="43">
        <f>IF(A521="","",IFERROR(INDEX('Invoice Lines'!$B$5:$B$804,MATCH(A521,'Invoice Lines'!$C$5:$C$804,0)),""))</f>
        <v>0</v>
      </c>
      <c r="AQ521" s="18">
        <f>IF(OR(G521="",B521="",X521&lt;&gt;"Yes"),"",IF(IFERROR(INDEX(FreqDays,MATCH(O521,FreqNames,0)),0)=0,"",B521+IFERROR(INDEX(FreqDays,MATCH(O521,FreqNames,0)),0)))</f>
        <v>0</v>
      </c>
      <c r="AR521" s="39">
        <f>IF(G521="","",IF(R521="","Unassigned",IF(COUNTIFS($R$5:$R$604,R521,$B$5:$B$604,B521,$F$5:$F$604,F521)&gt;1,"Clash",IF(SUMIFS($AF$5:$AF$604,$R$5:$R$604,R521,$B$5:$B$604,B521)&gt;ProductiveHours,"Long day","OK"))))</f>
        <v>0</v>
      </c>
      <c r="AS521" s="18">
        <f>IF(OR(G521="",B521=""),"",IF(AND(B521&gt;=TodayDate,P521&lt;&gt;"Cancelled"),B521,""))</f>
        <v>0</v>
      </c>
      <c r="AT521" s="31">
        <f>IF(AS521="","",COUNTIFS($AS$5:$AS$604,"&lt;"&amp;AS521)+COUNTIFS($AS$5:AS521,AS521))</f>
        <v>0</v>
      </c>
      <c r="AU521" s="18">
        <f>IF(OR(G521="",B521="",R521&lt;&gt;""),"",IF(AND(B521&gt;=TodayDate,P521&lt;&gt;"Cancelled"),B521,""))</f>
        <v>0</v>
      </c>
      <c r="AV521" s="31">
        <f>IF(AU521="","",COUNTIFS($AU$5:$AU$604,"&lt;"&amp;AU521)+COUNTIFS($AU$5:AU521,AU521))</f>
        <v>0</v>
      </c>
      <c r="AW521" s="31">
        <f>IF(OR(G521="",B521=""),"",B521-TodayDate)</f>
        <v>0</v>
      </c>
      <c r="AX521" s="39">
        <f>IF(G521="","",IF(P521="Cancelled","Cancelled",IF(P521="No access","Action - no access, rebook",IF(AND(B521&lt;&gt;"",AW521&lt;0,OR(P521="Booked",P521="Confirmed",P521="In progress")),"Late - mark it completed",IF(AND(P521="Completed",AP521=""),"Action - not invoiced yet",IF(AND(AW521&gt;=0,AW521&lt;=ReminderDays,Y521&lt;&gt;"Yes"),"Confirm - visit coming up",IF(R521="","Assign - no cleaner booked",IF(AND(P521="Completed",AO521&lt;&gt;"",AO521&lt;1),"Check - checklist unfinished","OK"))))))))</f>
        <v>0</v>
      </c>
    </row>
    <row r="522" spans="1:50">
      <c r="A522" s="43">
        <f>IF(G522="","",JobPrefix&amp;TEXT(ROW()-4,"0000"))</f>
        <v>0</v>
      </c>
      <c r="C522" s="23">
        <f>IF(B522="","",TEXT(B522,"ddd"))</f>
        <v>0</v>
      </c>
      <c r="D522" s="31">
        <f>IF(B522="","",WEEKNUM(B522,IF(WeekStart="Sunday",1,2)))</f>
        <v>0</v>
      </c>
      <c r="E522" s="23">
        <f>IF(B522="","",TEXT(B522,"yyyy-mm"))</f>
        <v>0</v>
      </c>
      <c r="H522" s="23">
        <f>IF(G522="","",IFERROR(INDEX(Clients!$B$5:$B$204,MATCH(G522,Clients!$A$5:$A$204,0)),"Not found"))</f>
        <v>0</v>
      </c>
      <c r="I522" s="23">
        <f>IF(G522="","",IFERROR(INDEX(Clients!$C$5:$C$204,MATCH(G522,Clients!$A$5:$A$204,0)),""))</f>
        <v>0</v>
      </c>
      <c r="K522" s="23">
        <f>IF(J522="","",IFERROR(INDEX(Properties!$B$5:$B$254,MATCH(J522,Properties!$A$5:$A$254,0)),""))</f>
        <v>0</v>
      </c>
      <c r="L522" s="23">
        <f>IF(J522="","",IFERROR(INDEX(Properties!$F$5:$F$254,MATCH(J522,Properties!$A$5:$A$254,0)),""))</f>
        <v>0</v>
      </c>
      <c r="AD522" s="34">
        <f>IF(G522="","",IF(U522&lt;&gt;"",U522,IF(AND(IFERROR(INDEX(Services!$D$5:$D$64,MATCH(M522,Services!$B$5:$B$64,0)),"")="Per hour",IFERROR(INDEX(Properties!$X$5:$X$254,MATCH(J522,Properties!$A$5:$A$254,0)),0)&gt;0),IFERROR(INDEX(Properties!$X$5:$X$254,MATCH(J522,Properties!$A$5:$A$254,0)),0),IF(IFERROR(INDEX(Services!$G$5:$G$64,MATCH(M522,Services!$B$5:$B$64,0)),0)&gt;0,IFERROR(INDEX(Services!$G$5:$G$64,MATCH(M522,Services!$B$5:$B$64,0)),0),IFERROR(INDEX(Properties!$X$5:$X$254,MATCH(J522,Properties!$A$5:$A$254,0)),0)))))</f>
        <v>0</v>
      </c>
      <c r="AE522" s="31">
        <f>IF(G522="","",IF(T522="",CleanersPerJob,MAX(1,T522)))</f>
        <v>0</v>
      </c>
      <c r="AF522" s="34">
        <f>IF(G522="","",ROUND(AD522/AE522,2))</f>
        <v>0</v>
      </c>
      <c r="AG522" s="53">
        <f>IF(OR(G522="",F522="",AF522=""),"",F522+AF522/24)</f>
        <v>0</v>
      </c>
      <c r="AH522" s="21">
        <f>IF(G522="","",IF(IFERROR(INDEX(Clients!$O$5:$O$204,MATCH(G522,Clients!$A$5:$A$204,0)),0)&gt;0,IFERROR(INDEX(Clients!$O$5:$O$204,MATCH(G522,Clients!$A$5:$A$204,0)),0),HourlyRate))</f>
        <v>0</v>
      </c>
      <c r="AI522" s="21">
        <f>IF(G522="","",IF(AND(M522&lt;&gt;"",IFERROR(INDEX(Services!$P$5:$P$64,MATCH(M522,Services!$B$5:$B$64,0)),0)&gt;0,IFERROR(INDEX(Services!$D$5:$D$64,MATCH(M522,Services!$B$5:$B$64,0)),"")&lt;&gt;"Per hour"),IFERROR(INDEX(Services!$P$5:$P$64,MATCH(M522,Services!$B$5:$B$64,0)),0),AD522*AH522))</f>
        <v>0</v>
      </c>
      <c r="AJ522" s="21">
        <f>IF(G522="","",IF(V522&lt;&gt;"",V522,IF(P522="Cancelled",0,MAX(MinimumCharge,ROUND(AI522*IFERROR(INDEX(FreqFactors,MATCH(O522,FreqNames,0)),1),2)))))</f>
        <v>0</v>
      </c>
      <c r="AK522" s="34">
        <f>IF(G522="","",IF(SUMIFS(Timesheets!$U$5:$U$804,Timesheets!$G$5:$G$804,A522)&gt;0,SUMIFS(Timesheets!$U$5:$U$804,Timesheets!$G$5:$G$804,A522),IF(Z522="","",Z522)))</f>
        <v>0</v>
      </c>
      <c r="AL522" s="34">
        <f>IF(OR(AK522="",AD522=""),"",AK522-AD522)</f>
        <v>0</v>
      </c>
      <c r="AM522" s="31">
        <f>IF(A522="","",COUNTIFS('Job Tasks'!$B$5:$B$904,A522))</f>
        <v>0</v>
      </c>
      <c r="AN522" s="31">
        <f>IF(A522="","",COUNTIFS('Job Tasks'!$B$5:$B$904,A522,'Job Tasks'!$H$5:$H$904,"Done"))</f>
        <v>0</v>
      </c>
      <c r="AO522" s="38">
        <f>IF(OR(A522="",AM522=0),"",AN522/AM522)</f>
        <v>0</v>
      </c>
      <c r="AP522" s="43">
        <f>IF(A522="","",IFERROR(INDEX('Invoice Lines'!$B$5:$B$804,MATCH(A522,'Invoice Lines'!$C$5:$C$804,0)),""))</f>
        <v>0</v>
      </c>
      <c r="AQ522" s="18">
        <f>IF(OR(G522="",B522="",X522&lt;&gt;"Yes"),"",IF(IFERROR(INDEX(FreqDays,MATCH(O522,FreqNames,0)),0)=0,"",B522+IFERROR(INDEX(FreqDays,MATCH(O522,FreqNames,0)),0)))</f>
        <v>0</v>
      </c>
      <c r="AR522" s="39">
        <f>IF(G522="","",IF(R522="","Unassigned",IF(COUNTIFS($R$5:$R$604,R522,$B$5:$B$604,B522,$F$5:$F$604,F522)&gt;1,"Clash",IF(SUMIFS($AF$5:$AF$604,$R$5:$R$604,R522,$B$5:$B$604,B522)&gt;ProductiveHours,"Long day","OK"))))</f>
        <v>0</v>
      </c>
      <c r="AS522" s="18">
        <f>IF(OR(G522="",B522=""),"",IF(AND(B522&gt;=TodayDate,P522&lt;&gt;"Cancelled"),B522,""))</f>
        <v>0</v>
      </c>
      <c r="AT522" s="31">
        <f>IF(AS522="","",COUNTIFS($AS$5:$AS$604,"&lt;"&amp;AS522)+COUNTIFS($AS$5:AS522,AS522))</f>
        <v>0</v>
      </c>
      <c r="AU522" s="18">
        <f>IF(OR(G522="",B522="",R522&lt;&gt;""),"",IF(AND(B522&gt;=TodayDate,P522&lt;&gt;"Cancelled"),B522,""))</f>
        <v>0</v>
      </c>
      <c r="AV522" s="31">
        <f>IF(AU522="","",COUNTIFS($AU$5:$AU$604,"&lt;"&amp;AU522)+COUNTIFS($AU$5:AU522,AU522))</f>
        <v>0</v>
      </c>
      <c r="AW522" s="31">
        <f>IF(OR(G522="",B522=""),"",B522-TodayDate)</f>
        <v>0</v>
      </c>
      <c r="AX522" s="39">
        <f>IF(G522="","",IF(P522="Cancelled","Cancelled",IF(P522="No access","Action - no access, rebook",IF(AND(B522&lt;&gt;"",AW522&lt;0,OR(P522="Booked",P522="Confirmed",P522="In progress")),"Late - mark it completed",IF(AND(P522="Completed",AP522=""),"Action - not invoiced yet",IF(AND(AW522&gt;=0,AW522&lt;=ReminderDays,Y522&lt;&gt;"Yes"),"Confirm - visit coming up",IF(R522="","Assign - no cleaner booked",IF(AND(P522="Completed",AO522&lt;&gt;"",AO522&lt;1),"Check - checklist unfinished","OK"))))))))</f>
        <v>0</v>
      </c>
    </row>
    <row r="523" spans="1:50">
      <c r="A523" s="43">
        <f>IF(G523="","",JobPrefix&amp;TEXT(ROW()-4,"0000"))</f>
        <v>0</v>
      </c>
      <c r="C523" s="23">
        <f>IF(B523="","",TEXT(B523,"ddd"))</f>
        <v>0</v>
      </c>
      <c r="D523" s="31">
        <f>IF(B523="","",WEEKNUM(B523,IF(WeekStart="Sunday",1,2)))</f>
        <v>0</v>
      </c>
      <c r="E523" s="23">
        <f>IF(B523="","",TEXT(B523,"yyyy-mm"))</f>
        <v>0</v>
      </c>
      <c r="H523" s="23">
        <f>IF(G523="","",IFERROR(INDEX(Clients!$B$5:$B$204,MATCH(G523,Clients!$A$5:$A$204,0)),"Not found"))</f>
        <v>0</v>
      </c>
      <c r="I523" s="23">
        <f>IF(G523="","",IFERROR(INDEX(Clients!$C$5:$C$204,MATCH(G523,Clients!$A$5:$A$204,0)),""))</f>
        <v>0</v>
      </c>
      <c r="K523" s="23">
        <f>IF(J523="","",IFERROR(INDEX(Properties!$B$5:$B$254,MATCH(J523,Properties!$A$5:$A$254,0)),""))</f>
        <v>0</v>
      </c>
      <c r="L523" s="23">
        <f>IF(J523="","",IFERROR(INDEX(Properties!$F$5:$F$254,MATCH(J523,Properties!$A$5:$A$254,0)),""))</f>
        <v>0</v>
      </c>
      <c r="AD523" s="34">
        <f>IF(G523="","",IF(U523&lt;&gt;"",U523,IF(AND(IFERROR(INDEX(Services!$D$5:$D$64,MATCH(M523,Services!$B$5:$B$64,0)),"")="Per hour",IFERROR(INDEX(Properties!$X$5:$X$254,MATCH(J523,Properties!$A$5:$A$254,0)),0)&gt;0),IFERROR(INDEX(Properties!$X$5:$X$254,MATCH(J523,Properties!$A$5:$A$254,0)),0),IF(IFERROR(INDEX(Services!$G$5:$G$64,MATCH(M523,Services!$B$5:$B$64,0)),0)&gt;0,IFERROR(INDEX(Services!$G$5:$G$64,MATCH(M523,Services!$B$5:$B$64,0)),0),IFERROR(INDEX(Properties!$X$5:$X$254,MATCH(J523,Properties!$A$5:$A$254,0)),0)))))</f>
        <v>0</v>
      </c>
      <c r="AE523" s="31">
        <f>IF(G523="","",IF(T523="",CleanersPerJob,MAX(1,T523)))</f>
        <v>0</v>
      </c>
      <c r="AF523" s="34">
        <f>IF(G523="","",ROUND(AD523/AE523,2))</f>
        <v>0</v>
      </c>
      <c r="AG523" s="53">
        <f>IF(OR(G523="",F523="",AF523=""),"",F523+AF523/24)</f>
        <v>0</v>
      </c>
      <c r="AH523" s="21">
        <f>IF(G523="","",IF(IFERROR(INDEX(Clients!$O$5:$O$204,MATCH(G523,Clients!$A$5:$A$204,0)),0)&gt;0,IFERROR(INDEX(Clients!$O$5:$O$204,MATCH(G523,Clients!$A$5:$A$204,0)),0),HourlyRate))</f>
        <v>0</v>
      </c>
      <c r="AI523" s="21">
        <f>IF(G523="","",IF(AND(M523&lt;&gt;"",IFERROR(INDEX(Services!$P$5:$P$64,MATCH(M523,Services!$B$5:$B$64,0)),0)&gt;0,IFERROR(INDEX(Services!$D$5:$D$64,MATCH(M523,Services!$B$5:$B$64,0)),"")&lt;&gt;"Per hour"),IFERROR(INDEX(Services!$P$5:$P$64,MATCH(M523,Services!$B$5:$B$64,0)),0),AD523*AH523))</f>
        <v>0</v>
      </c>
      <c r="AJ523" s="21">
        <f>IF(G523="","",IF(V523&lt;&gt;"",V523,IF(P523="Cancelled",0,MAX(MinimumCharge,ROUND(AI523*IFERROR(INDEX(FreqFactors,MATCH(O523,FreqNames,0)),1),2)))))</f>
        <v>0</v>
      </c>
      <c r="AK523" s="34">
        <f>IF(G523="","",IF(SUMIFS(Timesheets!$U$5:$U$804,Timesheets!$G$5:$G$804,A523)&gt;0,SUMIFS(Timesheets!$U$5:$U$804,Timesheets!$G$5:$G$804,A523),IF(Z523="","",Z523)))</f>
        <v>0</v>
      </c>
      <c r="AL523" s="34">
        <f>IF(OR(AK523="",AD523=""),"",AK523-AD523)</f>
        <v>0</v>
      </c>
      <c r="AM523" s="31">
        <f>IF(A523="","",COUNTIFS('Job Tasks'!$B$5:$B$904,A523))</f>
        <v>0</v>
      </c>
      <c r="AN523" s="31">
        <f>IF(A523="","",COUNTIFS('Job Tasks'!$B$5:$B$904,A523,'Job Tasks'!$H$5:$H$904,"Done"))</f>
        <v>0</v>
      </c>
      <c r="AO523" s="38">
        <f>IF(OR(A523="",AM523=0),"",AN523/AM523)</f>
        <v>0</v>
      </c>
      <c r="AP523" s="43">
        <f>IF(A523="","",IFERROR(INDEX('Invoice Lines'!$B$5:$B$804,MATCH(A523,'Invoice Lines'!$C$5:$C$804,0)),""))</f>
        <v>0</v>
      </c>
      <c r="AQ523" s="18">
        <f>IF(OR(G523="",B523="",X523&lt;&gt;"Yes"),"",IF(IFERROR(INDEX(FreqDays,MATCH(O523,FreqNames,0)),0)=0,"",B523+IFERROR(INDEX(FreqDays,MATCH(O523,FreqNames,0)),0)))</f>
        <v>0</v>
      </c>
      <c r="AR523" s="39">
        <f>IF(G523="","",IF(R523="","Unassigned",IF(COUNTIFS($R$5:$R$604,R523,$B$5:$B$604,B523,$F$5:$F$604,F523)&gt;1,"Clash",IF(SUMIFS($AF$5:$AF$604,$R$5:$R$604,R523,$B$5:$B$604,B523)&gt;ProductiveHours,"Long day","OK"))))</f>
        <v>0</v>
      </c>
      <c r="AS523" s="18">
        <f>IF(OR(G523="",B523=""),"",IF(AND(B523&gt;=TodayDate,P523&lt;&gt;"Cancelled"),B523,""))</f>
        <v>0</v>
      </c>
      <c r="AT523" s="31">
        <f>IF(AS523="","",COUNTIFS($AS$5:$AS$604,"&lt;"&amp;AS523)+COUNTIFS($AS$5:AS523,AS523))</f>
        <v>0</v>
      </c>
      <c r="AU523" s="18">
        <f>IF(OR(G523="",B523="",R523&lt;&gt;""),"",IF(AND(B523&gt;=TodayDate,P523&lt;&gt;"Cancelled"),B523,""))</f>
        <v>0</v>
      </c>
      <c r="AV523" s="31">
        <f>IF(AU523="","",COUNTIFS($AU$5:$AU$604,"&lt;"&amp;AU523)+COUNTIFS($AU$5:AU523,AU523))</f>
        <v>0</v>
      </c>
      <c r="AW523" s="31">
        <f>IF(OR(G523="",B523=""),"",B523-TodayDate)</f>
        <v>0</v>
      </c>
      <c r="AX523" s="39">
        <f>IF(G523="","",IF(P523="Cancelled","Cancelled",IF(P523="No access","Action - no access, rebook",IF(AND(B523&lt;&gt;"",AW523&lt;0,OR(P523="Booked",P523="Confirmed",P523="In progress")),"Late - mark it completed",IF(AND(P523="Completed",AP523=""),"Action - not invoiced yet",IF(AND(AW523&gt;=0,AW523&lt;=ReminderDays,Y523&lt;&gt;"Yes"),"Confirm - visit coming up",IF(R523="","Assign - no cleaner booked",IF(AND(P523="Completed",AO523&lt;&gt;"",AO523&lt;1),"Check - checklist unfinished","OK"))))))))</f>
        <v>0</v>
      </c>
    </row>
    <row r="524" spans="1:50">
      <c r="A524" s="43">
        <f>IF(G524="","",JobPrefix&amp;TEXT(ROW()-4,"0000"))</f>
        <v>0</v>
      </c>
      <c r="C524" s="23">
        <f>IF(B524="","",TEXT(B524,"ddd"))</f>
        <v>0</v>
      </c>
      <c r="D524" s="31">
        <f>IF(B524="","",WEEKNUM(B524,IF(WeekStart="Sunday",1,2)))</f>
        <v>0</v>
      </c>
      <c r="E524" s="23">
        <f>IF(B524="","",TEXT(B524,"yyyy-mm"))</f>
        <v>0</v>
      </c>
      <c r="H524" s="23">
        <f>IF(G524="","",IFERROR(INDEX(Clients!$B$5:$B$204,MATCH(G524,Clients!$A$5:$A$204,0)),"Not found"))</f>
        <v>0</v>
      </c>
      <c r="I524" s="23">
        <f>IF(G524="","",IFERROR(INDEX(Clients!$C$5:$C$204,MATCH(G524,Clients!$A$5:$A$204,0)),""))</f>
        <v>0</v>
      </c>
      <c r="K524" s="23">
        <f>IF(J524="","",IFERROR(INDEX(Properties!$B$5:$B$254,MATCH(J524,Properties!$A$5:$A$254,0)),""))</f>
        <v>0</v>
      </c>
      <c r="L524" s="23">
        <f>IF(J524="","",IFERROR(INDEX(Properties!$F$5:$F$254,MATCH(J524,Properties!$A$5:$A$254,0)),""))</f>
        <v>0</v>
      </c>
      <c r="AD524" s="34">
        <f>IF(G524="","",IF(U524&lt;&gt;"",U524,IF(AND(IFERROR(INDEX(Services!$D$5:$D$64,MATCH(M524,Services!$B$5:$B$64,0)),"")="Per hour",IFERROR(INDEX(Properties!$X$5:$X$254,MATCH(J524,Properties!$A$5:$A$254,0)),0)&gt;0),IFERROR(INDEX(Properties!$X$5:$X$254,MATCH(J524,Properties!$A$5:$A$254,0)),0),IF(IFERROR(INDEX(Services!$G$5:$G$64,MATCH(M524,Services!$B$5:$B$64,0)),0)&gt;0,IFERROR(INDEX(Services!$G$5:$G$64,MATCH(M524,Services!$B$5:$B$64,0)),0),IFERROR(INDEX(Properties!$X$5:$X$254,MATCH(J524,Properties!$A$5:$A$254,0)),0)))))</f>
        <v>0</v>
      </c>
      <c r="AE524" s="31">
        <f>IF(G524="","",IF(T524="",CleanersPerJob,MAX(1,T524)))</f>
        <v>0</v>
      </c>
      <c r="AF524" s="34">
        <f>IF(G524="","",ROUND(AD524/AE524,2))</f>
        <v>0</v>
      </c>
      <c r="AG524" s="53">
        <f>IF(OR(G524="",F524="",AF524=""),"",F524+AF524/24)</f>
        <v>0</v>
      </c>
      <c r="AH524" s="21">
        <f>IF(G524="","",IF(IFERROR(INDEX(Clients!$O$5:$O$204,MATCH(G524,Clients!$A$5:$A$204,0)),0)&gt;0,IFERROR(INDEX(Clients!$O$5:$O$204,MATCH(G524,Clients!$A$5:$A$204,0)),0),HourlyRate))</f>
        <v>0</v>
      </c>
      <c r="AI524" s="21">
        <f>IF(G524="","",IF(AND(M524&lt;&gt;"",IFERROR(INDEX(Services!$P$5:$P$64,MATCH(M524,Services!$B$5:$B$64,0)),0)&gt;0,IFERROR(INDEX(Services!$D$5:$D$64,MATCH(M524,Services!$B$5:$B$64,0)),"")&lt;&gt;"Per hour"),IFERROR(INDEX(Services!$P$5:$P$64,MATCH(M524,Services!$B$5:$B$64,0)),0),AD524*AH524))</f>
        <v>0</v>
      </c>
      <c r="AJ524" s="21">
        <f>IF(G524="","",IF(V524&lt;&gt;"",V524,IF(P524="Cancelled",0,MAX(MinimumCharge,ROUND(AI524*IFERROR(INDEX(FreqFactors,MATCH(O524,FreqNames,0)),1),2)))))</f>
        <v>0</v>
      </c>
      <c r="AK524" s="34">
        <f>IF(G524="","",IF(SUMIFS(Timesheets!$U$5:$U$804,Timesheets!$G$5:$G$804,A524)&gt;0,SUMIFS(Timesheets!$U$5:$U$804,Timesheets!$G$5:$G$804,A524),IF(Z524="","",Z524)))</f>
        <v>0</v>
      </c>
      <c r="AL524" s="34">
        <f>IF(OR(AK524="",AD524=""),"",AK524-AD524)</f>
        <v>0</v>
      </c>
      <c r="AM524" s="31">
        <f>IF(A524="","",COUNTIFS('Job Tasks'!$B$5:$B$904,A524))</f>
        <v>0</v>
      </c>
      <c r="AN524" s="31">
        <f>IF(A524="","",COUNTIFS('Job Tasks'!$B$5:$B$904,A524,'Job Tasks'!$H$5:$H$904,"Done"))</f>
        <v>0</v>
      </c>
      <c r="AO524" s="38">
        <f>IF(OR(A524="",AM524=0),"",AN524/AM524)</f>
        <v>0</v>
      </c>
      <c r="AP524" s="43">
        <f>IF(A524="","",IFERROR(INDEX('Invoice Lines'!$B$5:$B$804,MATCH(A524,'Invoice Lines'!$C$5:$C$804,0)),""))</f>
        <v>0</v>
      </c>
      <c r="AQ524" s="18">
        <f>IF(OR(G524="",B524="",X524&lt;&gt;"Yes"),"",IF(IFERROR(INDEX(FreqDays,MATCH(O524,FreqNames,0)),0)=0,"",B524+IFERROR(INDEX(FreqDays,MATCH(O524,FreqNames,0)),0)))</f>
        <v>0</v>
      </c>
      <c r="AR524" s="39">
        <f>IF(G524="","",IF(R524="","Unassigned",IF(COUNTIFS($R$5:$R$604,R524,$B$5:$B$604,B524,$F$5:$F$604,F524)&gt;1,"Clash",IF(SUMIFS($AF$5:$AF$604,$R$5:$R$604,R524,$B$5:$B$604,B524)&gt;ProductiveHours,"Long day","OK"))))</f>
        <v>0</v>
      </c>
      <c r="AS524" s="18">
        <f>IF(OR(G524="",B524=""),"",IF(AND(B524&gt;=TodayDate,P524&lt;&gt;"Cancelled"),B524,""))</f>
        <v>0</v>
      </c>
      <c r="AT524" s="31">
        <f>IF(AS524="","",COUNTIFS($AS$5:$AS$604,"&lt;"&amp;AS524)+COUNTIFS($AS$5:AS524,AS524))</f>
        <v>0</v>
      </c>
      <c r="AU524" s="18">
        <f>IF(OR(G524="",B524="",R524&lt;&gt;""),"",IF(AND(B524&gt;=TodayDate,P524&lt;&gt;"Cancelled"),B524,""))</f>
        <v>0</v>
      </c>
      <c r="AV524" s="31">
        <f>IF(AU524="","",COUNTIFS($AU$5:$AU$604,"&lt;"&amp;AU524)+COUNTIFS($AU$5:AU524,AU524))</f>
        <v>0</v>
      </c>
      <c r="AW524" s="31">
        <f>IF(OR(G524="",B524=""),"",B524-TodayDate)</f>
        <v>0</v>
      </c>
      <c r="AX524" s="39">
        <f>IF(G524="","",IF(P524="Cancelled","Cancelled",IF(P524="No access","Action - no access, rebook",IF(AND(B524&lt;&gt;"",AW524&lt;0,OR(P524="Booked",P524="Confirmed",P524="In progress")),"Late - mark it completed",IF(AND(P524="Completed",AP524=""),"Action - not invoiced yet",IF(AND(AW524&gt;=0,AW524&lt;=ReminderDays,Y524&lt;&gt;"Yes"),"Confirm - visit coming up",IF(R524="","Assign - no cleaner booked",IF(AND(P524="Completed",AO524&lt;&gt;"",AO524&lt;1),"Check - checklist unfinished","OK"))))))))</f>
        <v>0</v>
      </c>
    </row>
    <row r="525" spans="1:50">
      <c r="A525" s="43">
        <f>IF(G525="","",JobPrefix&amp;TEXT(ROW()-4,"0000"))</f>
        <v>0</v>
      </c>
      <c r="C525" s="23">
        <f>IF(B525="","",TEXT(B525,"ddd"))</f>
        <v>0</v>
      </c>
      <c r="D525" s="31">
        <f>IF(B525="","",WEEKNUM(B525,IF(WeekStart="Sunday",1,2)))</f>
        <v>0</v>
      </c>
      <c r="E525" s="23">
        <f>IF(B525="","",TEXT(B525,"yyyy-mm"))</f>
        <v>0</v>
      </c>
      <c r="H525" s="23">
        <f>IF(G525="","",IFERROR(INDEX(Clients!$B$5:$B$204,MATCH(G525,Clients!$A$5:$A$204,0)),"Not found"))</f>
        <v>0</v>
      </c>
      <c r="I525" s="23">
        <f>IF(G525="","",IFERROR(INDEX(Clients!$C$5:$C$204,MATCH(G525,Clients!$A$5:$A$204,0)),""))</f>
        <v>0</v>
      </c>
      <c r="K525" s="23">
        <f>IF(J525="","",IFERROR(INDEX(Properties!$B$5:$B$254,MATCH(J525,Properties!$A$5:$A$254,0)),""))</f>
        <v>0</v>
      </c>
      <c r="L525" s="23">
        <f>IF(J525="","",IFERROR(INDEX(Properties!$F$5:$F$254,MATCH(J525,Properties!$A$5:$A$254,0)),""))</f>
        <v>0</v>
      </c>
      <c r="AD525" s="34">
        <f>IF(G525="","",IF(U525&lt;&gt;"",U525,IF(AND(IFERROR(INDEX(Services!$D$5:$D$64,MATCH(M525,Services!$B$5:$B$64,0)),"")="Per hour",IFERROR(INDEX(Properties!$X$5:$X$254,MATCH(J525,Properties!$A$5:$A$254,0)),0)&gt;0),IFERROR(INDEX(Properties!$X$5:$X$254,MATCH(J525,Properties!$A$5:$A$254,0)),0),IF(IFERROR(INDEX(Services!$G$5:$G$64,MATCH(M525,Services!$B$5:$B$64,0)),0)&gt;0,IFERROR(INDEX(Services!$G$5:$G$64,MATCH(M525,Services!$B$5:$B$64,0)),0),IFERROR(INDEX(Properties!$X$5:$X$254,MATCH(J525,Properties!$A$5:$A$254,0)),0)))))</f>
        <v>0</v>
      </c>
      <c r="AE525" s="31">
        <f>IF(G525="","",IF(T525="",CleanersPerJob,MAX(1,T525)))</f>
        <v>0</v>
      </c>
      <c r="AF525" s="34">
        <f>IF(G525="","",ROUND(AD525/AE525,2))</f>
        <v>0</v>
      </c>
      <c r="AG525" s="53">
        <f>IF(OR(G525="",F525="",AF525=""),"",F525+AF525/24)</f>
        <v>0</v>
      </c>
      <c r="AH525" s="21">
        <f>IF(G525="","",IF(IFERROR(INDEX(Clients!$O$5:$O$204,MATCH(G525,Clients!$A$5:$A$204,0)),0)&gt;0,IFERROR(INDEX(Clients!$O$5:$O$204,MATCH(G525,Clients!$A$5:$A$204,0)),0),HourlyRate))</f>
        <v>0</v>
      </c>
      <c r="AI525" s="21">
        <f>IF(G525="","",IF(AND(M525&lt;&gt;"",IFERROR(INDEX(Services!$P$5:$P$64,MATCH(M525,Services!$B$5:$B$64,0)),0)&gt;0,IFERROR(INDEX(Services!$D$5:$D$64,MATCH(M525,Services!$B$5:$B$64,0)),"")&lt;&gt;"Per hour"),IFERROR(INDEX(Services!$P$5:$P$64,MATCH(M525,Services!$B$5:$B$64,0)),0),AD525*AH525))</f>
        <v>0</v>
      </c>
      <c r="AJ525" s="21">
        <f>IF(G525="","",IF(V525&lt;&gt;"",V525,IF(P525="Cancelled",0,MAX(MinimumCharge,ROUND(AI525*IFERROR(INDEX(FreqFactors,MATCH(O525,FreqNames,0)),1),2)))))</f>
        <v>0</v>
      </c>
      <c r="AK525" s="34">
        <f>IF(G525="","",IF(SUMIFS(Timesheets!$U$5:$U$804,Timesheets!$G$5:$G$804,A525)&gt;0,SUMIFS(Timesheets!$U$5:$U$804,Timesheets!$G$5:$G$804,A525),IF(Z525="","",Z525)))</f>
        <v>0</v>
      </c>
      <c r="AL525" s="34">
        <f>IF(OR(AK525="",AD525=""),"",AK525-AD525)</f>
        <v>0</v>
      </c>
      <c r="AM525" s="31">
        <f>IF(A525="","",COUNTIFS('Job Tasks'!$B$5:$B$904,A525))</f>
        <v>0</v>
      </c>
      <c r="AN525" s="31">
        <f>IF(A525="","",COUNTIFS('Job Tasks'!$B$5:$B$904,A525,'Job Tasks'!$H$5:$H$904,"Done"))</f>
        <v>0</v>
      </c>
      <c r="AO525" s="38">
        <f>IF(OR(A525="",AM525=0),"",AN525/AM525)</f>
        <v>0</v>
      </c>
      <c r="AP525" s="43">
        <f>IF(A525="","",IFERROR(INDEX('Invoice Lines'!$B$5:$B$804,MATCH(A525,'Invoice Lines'!$C$5:$C$804,0)),""))</f>
        <v>0</v>
      </c>
      <c r="AQ525" s="18">
        <f>IF(OR(G525="",B525="",X525&lt;&gt;"Yes"),"",IF(IFERROR(INDEX(FreqDays,MATCH(O525,FreqNames,0)),0)=0,"",B525+IFERROR(INDEX(FreqDays,MATCH(O525,FreqNames,0)),0)))</f>
        <v>0</v>
      </c>
      <c r="AR525" s="39">
        <f>IF(G525="","",IF(R525="","Unassigned",IF(COUNTIFS($R$5:$R$604,R525,$B$5:$B$604,B525,$F$5:$F$604,F525)&gt;1,"Clash",IF(SUMIFS($AF$5:$AF$604,$R$5:$R$604,R525,$B$5:$B$604,B525)&gt;ProductiveHours,"Long day","OK"))))</f>
        <v>0</v>
      </c>
      <c r="AS525" s="18">
        <f>IF(OR(G525="",B525=""),"",IF(AND(B525&gt;=TodayDate,P525&lt;&gt;"Cancelled"),B525,""))</f>
        <v>0</v>
      </c>
      <c r="AT525" s="31">
        <f>IF(AS525="","",COUNTIFS($AS$5:$AS$604,"&lt;"&amp;AS525)+COUNTIFS($AS$5:AS525,AS525))</f>
        <v>0</v>
      </c>
      <c r="AU525" s="18">
        <f>IF(OR(G525="",B525="",R525&lt;&gt;""),"",IF(AND(B525&gt;=TodayDate,P525&lt;&gt;"Cancelled"),B525,""))</f>
        <v>0</v>
      </c>
      <c r="AV525" s="31">
        <f>IF(AU525="","",COUNTIFS($AU$5:$AU$604,"&lt;"&amp;AU525)+COUNTIFS($AU$5:AU525,AU525))</f>
        <v>0</v>
      </c>
      <c r="AW525" s="31">
        <f>IF(OR(G525="",B525=""),"",B525-TodayDate)</f>
        <v>0</v>
      </c>
      <c r="AX525" s="39">
        <f>IF(G525="","",IF(P525="Cancelled","Cancelled",IF(P525="No access","Action - no access, rebook",IF(AND(B525&lt;&gt;"",AW525&lt;0,OR(P525="Booked",P525="Confirmed",P525="In progress")),"Late - mark it completed",IF(AND(P525="Completed",AP525=""),"Action - not invoiced yet",IF(AND(AW525&gt;=0,AW525&lt;=ReminderDays,Y525&lt;&gt;"Yes"),"Confirm - visit coming up",IF(R525="","Assign - no cleaner booked",IF(AND(P525="Completed",AO525&lt;&gt;"",AO525&lt;1),"Check - checklist unfinished","OK"))))))))</f>
        <v>0</v>
      </c>
    </row>
    <row r="526" spans="1:50">
      <c r="A526" s="43">
        <f>IF(G526="","",JobPrefix&amp;TEXT(ROW()-4,"0000"))</f>
        <v>0</v>
      </c>
      <c r="C526" s="23">
        <f>IF(B526="","",TEXT(B526,"ddd"))</f>
        <v>0</v>
      </c>
      <c r="D526" s="31">
        <f>IF(B526="","",WEEKNUM(B526,IF(WeekStart="Sunday",1,2)))</f>
        <v>0</v>
      </c>
      <c r="E526" s="23">
        <f>IF(B526="","",TEXT(B526,"yyyy-mm"))</f>
        <v>0</v>
      </c>
      <c r="H526" s="23">
        <f>IF(G526="","",IFERROR(INDEX(Clients!$B$5:$B$204,MATCH(G526,Clients!$A$5:$A$204,0)),"Not found"))</f>
        <v>0</v>
      </c>
      <c r="I526" s="23">
        <f>IF(G526="","",IFERROR(INDEX(Clients!$C$5:$C$204,MATCH(G526,Clients!$A$5:$A$204,0)),""))</f>
        <v>0</v>
      </c>
      <c r="K526" s="23">
        <f>IF(J526="","",IFERROR(INDEX(Properties!$B$5:$B$254,MATCH(J526,Properties!$A$5:$A$254,0)),""))</f>
        <v>0</v>
      </c>
      <c r="L526" s="23">
        <f>IF(J526="","",IFERROR(INDEX(Properties!$F$5:$F$254,MATCH(J526,Properties!$A$5:$A$254,0)),""))</f>
        <v>0</v>
      </c>
      <c r="AD526" s="34">
        <f>IF(G526="","",IF(U526&lt;&gt;"",U526,IF(AND(IFERROR(INDEX(Services!$D$5:$D$64,MATCH(M526,Services!$B$5:$B$64,0)),"")="Per hour",IFERROR(INDEX(Properties!$X$5:$X$254,MATCH(J526,Properties!$A$5:$A$254,0)),0)&gt;0),IFERROR(INDEX(Properties!$X$5:$X$254,MATCH(J526,Properties!$A$5:$A$254,0)),0),IF(IFERROR(INDEX(Services!$G$5:$G$64,MATCH(M526,Services!$B$5:$B$64,0)),0)&gt;0,IFERROR(INDEX(Services!$G$5:$G$64,MATCH(M526,Services!$B$5:$B$64,0)),0),IFERROR(INDEX(Properties!$X$5:$X$254,MATCH(J526,Properties!$A$5:$A$254,0)),0)))))</f>
        <v>0</v>
      </c>
      <c r="AE526" s="31">
        <f>IF(G526="","",IF(T526="",CleanersPerJob,MAX(1,T526)))</f>
        <v>0</v>
      </c>
      <c r="AF526" s="34">
        <f>IF(G526="","",ROUND(AD526/AE526,2))</f>
        <v>0</v>
      </c>
      <c r="AG526" s="53">
        <f>IF(OR(G526="",F526="",AF526=""),"",F526+AF526/24)</f>
        <v>0</v>
      </c>
      <c r="AH526" s="21">
        <f>IF(G526="","",IF(IFERROR(INDEX(Clients!$O$5:$O$204,MATCH(G526,Clients!$A$5:$A$204,0)),0)&gt;0,IFERROR(INDEX(Clients!$O$5:$O$204,MATCH(G526,Clients!$A$5:$A$204,0)),0),HourlyRate))</f>
        <v>0</v>
      </c>
      <c r="AI526" s="21">
        <f>IF(G526="","",IF(AND(M526&lt;&gt;"",IFERROR(INDEX(Services!$P$5:$P$64,MATCH(M526,Services!$B$5:$B$64,0)),0)&gt;0,IFERROR(INDEX(Services!$D$5:$D$64,MATCH(M526,Services!$B$5:$B$64,0)),"")&lt;&gt;"Per hour"),IFERROR(INDEX(Services!$P$5:$P$64,MATCH(M526,Services!$B$5:$B$64,0)),0),AD526*AH526))</f>
        <v>0</v>
      </c>
      <c r="AJ526" s="21">
        <f>IF(G526="","",IF(V526&lt;&gt;"",V526,IF(P526="Cancelled",0,MAX(MinimumCharge,ROUND(AI526*IFERROR(INDEX(FreqFactors,MATCH(O526,FreqNames,0)),1),2)))))</f>
        <v>0</v>
      </c>
      <c r="AK526" s="34">
        <f>IF(G526="","",IF(SUMIFS(Timesheets!$U$5:$U$804,Timesheets!$G$5:$G$804,A526)&gt;0,SUMIFS(Timesheets!$U$5:$U$804,Timesheets!$G$5:$G$804,A526),IF(Z526="","",Z526)))</f>
        <v>0</v>
      </c>
      <c r="AL526" s="34">
        <f>IF(OR(AK526="",AD526=""),"",AK526-AD526)</f>
        <v>0</v>
      </c>
      <c r="AM526" s="31">
        <f>IF(A526="","",COUNTIFS('Job Tasks'!$B$5:$B$904,A526))</f>
        <v>0</v>
      </c>
      <c r="AN526" s="31">
        <f>IF(A526="","",COUNTIFS('Job Tasks'!$B$5:$B$904,A526,'Job Tasks'!$H$5:$H$904,"Done"))</f>
        <v>0</v>
      </c>
      <c r="AO526" s="38">
        <f>IF(OR(A526="",AM526=0),"",AN526/AM526)</f>
        <v>0</v>
      </c>
      <c r="AP526" s="43">
        <f>IF(A526="","",IFERROR(INDEX('Invoice Lines'!$B$5:$B$804,MATCH(A526,'Invoice Lines'!$C$5:$C$804,0)),""))</f>
        <v>0</v>
      </c>
      <c r="AQ526" s="18">
        <f>IF(OR(G526="",B526="",X526&lt;&gt;"Yes"),"",IF(IFERROR(INDEX(FreqDays,MATCH(O526,FreqNames,0)),0)=0,"",B526+IFERROR(INDEX(FreqDays,MATCH(O526,FreqNames,0)),0)))</f>
        <v>0</v>
      </c>
      <c r="AR526" s="39">
        <f>IF(G526="","",IF(R526="","Unassigned",IF(COUNTIFS($R$5:$R$604,R526,$B$5:$B$604,B526,$F$5:$F$604,F526)&gt;1,"Clash",IF(SUMIFS($AF$5:$AF$604,$R$5:$R$604,R526,$B$5:$B$604,B526)&gt;ProductiveHours,"Long day","OK"))))</f>
        <v>0</v>
      </c>
      <c r="AS526" s="18">
        <f>IF(OR(G526="",B526=""),"",IF(AND(B526&gt;=TodayDate,P526&lt;&gt;"Cancelled"),B526,""))</f>
        <v>0</v>
      </c>
      <c r="AT526" s="31">
        <f>IF(AS526="","",COUNTIFS($AS$5:$AS$604,"&lt;"&amp;AS526)+COUNTIFS($AS$5:AS526,AS526))</f>
        <v>0</v>
      </c>
      <c r="AU526" s="18">
        <f>IF(OR(G526="",B526="",R526&lt;&gt;""),"",IF(AND(B526&gt;=TodayDate,P526&lt;&gt;"Cancelled"),B526,""))</f>
        <v>0</v>
      </c>
      <c r="AV526" s="31">
        <f>IF(AU526="","",COUNTIFS($AU$5:$AU$604,"&lt;"&amp;AU526)+COUNTIFS($AU$5:AU526,AU526))</f>
        <v>0</v>
      </c>
      <c r="AW526" s="31">
        <f>IF(OR(G526="",B526=""),"",B526-TodayDate)</f>
        <v>0</v>
      </c>
      <c r="AX526" s="39">
        <f>IF(G526="","",IF(P526="Cancelled","Cancelled",IF(P526="No access","Action - no access, rebook",IF(AND(B526&lt;&gt;"",AW526&lt;0,OR(P526="Booked",P526="Confirmed",P526="In progress")),"Late - mark it completed",IF(AND(P526="Completed",AP526=""),"Action - not invoiced yet",IF(AND(AW526&gt;=0,AW526&lt;=ReminderDays,Y526&lt;&gt;"Yes"),"Confirm - visit coming up",IF(R526="","Assign - no cleaner booked",IF(AND(P526="Completed",AO526&lt;&gt;"",AO526&lt;1),"Check - checklist unfinished","OK"))))))))</f>
        <v>0</v>
      </c>
    </row>
    <row r="527" spans="1:50">
      <c r="A527" s="43">
        <f>IF(G527="","",JobPrefix&amp;TEXT(ROW()-4,"0000"))</f>
        <v>0</v>
      </c>
      <c r="C527" s="23">
        <f>IF(B527="","",TEXT(B527,"ddd"))</f>
        <v>0</v>
      </c>
      <c r="D527" s="31">
        <f>IF(B527="","",WEEKNUM(B527,IF(WeekStart="Sunday",1,2)))</f>
        <v>0</v>
      </c>
      <c r="E527" s="23">
        <f>IF(B527="","",TEXT(B527,"yyyy-mm"))</f>
        <v>0</v>
      </c>
      <c r="H527" s="23">
        <f>IF(G527="","",IFERROR(INDEX(Clients!$B$5:$B$204,MATCH(G527,Clients!$A$5:$A$204,0)),"Not found"))</f>
        <v>0</v>
      </c>
      <c r="I527" s="23">
        <f>IF(G527="","",IFERROR(INDEX(Clients!$C$5:$C$204,MATCH(G527,Clients!$A$5:$A$204,0)),""))</f>
        <v>0</v>
      </c>
      <c r="K527" s="23">
        <f>IF(J527="","",IFERROR(INDEX(Properties!$B$5:$B$254,MATCH(J527,Properties!$A$5:$A$254,0)),""))</f>
        <v>0</v>
      </c>
      <c r="L527" s="23">
        <f>IF(J527="","",IFERROR(INDEX(Properties!$F$5:$F$254,MATCH(J527,Properties!$A$5:$A$254,0)),""))</f>
        <v>0</v>
      </c>
      <c r="AD527" s="34">
        <f>IF(G527="","",IF(U527&lt;&gt;"",U527,IF(AND(IFERROR(INDEX(Services!$D$5:$D$64,MATCH(M527,Services!$B$5:$B$64,0)),"")="Per hour",IFERROR(INDEX(Properties!$X$5:$X$254,MATCH(J527,Properties!$A$5:$A$254,0)),0)&gt;0),IFERROR(INDEX(Properties!$X$5:$X$254,MATCH(J527,Properties!$A$5:$A$254,0)),0),IF(IFERROR(INDEX(Services!$G$5:$G$64,MATCH(M527,Services!$B$5:$B$64,0)),0)&gt;0,IFERROR(INDEX(Services!$G$5:$G$64,MATCH(M527,Services!$B$5:$B$64,0)),0),IFERROR(INDEX(Properties!$X$5:$X$254,MATCH(J527,Properties!$A$5:$A$254,0)),0)))))</f>
        <v>0</v>
      </c>
      <c r="AE527" s="31">
        <f>IF(G527="","",IF(T527="",CleanersPerJob,MAX(1,T527)))</f>
        <v>0</v>
      </c>
      <c r="AF527" s="34">
        <f>IF(G527="","",ROUND(AD527/AE527,2))</f>
        <v>0</v>
      </c>
      <c r="AG527" s="53">
        <f>IF(OR(G527="",F527="",AF527=""),"",F527+AF527/24)</f>
        <v>0</v>
      </c>
      <c r="AH527" s="21">
        <f>IF(G527="","",IF(IFERROR(INDEX(Clients!$O$5:$O$204,MATCH(G527,Clients!$A$5:$A$204,0)),0)&gt;0,IFERROR(INDEX(Clients!$O$5:$O$204,MATCH(G527,Clients!$A$5:$A$204,0)),0),HourlyRate))</f>
        <v>0</v>
      </c>
      <c r="AI527" s="21">
        <f>IF(G527="","",IF(AND(M527&lt;&gt;"",IFERROR(INDEX(Services!$P$5:$P$64,MATCH(M527,Services!$B$5:$B$64,0)),0)&gt;0,IFERROR(INDEX(Services!$D$5:$D$64,MATCH(M527,Services!$B$5:$B$64,0)),"")&lt;&gt;"Per hour"),IFERROR(INDEX(Services!$P$5:$P$64,MATCH(M527,Services!$B$5:$B$64,0)),0),AD527*AH527))</f>
        <v>0</v>
      </c>
      <c r="AJ527" s="21">
        <f>IF(G527="","",IF(V527&lt;&gt;"",V527,IF(P527="Cancelled",0,MAX(MinimumCharge,ROUND(AI527*IFERROR(INDEX(FreqFactors,MATCH(O527,FreqNames,0)),1),2)))))</f>
        <v>0</v>
      </c>
      <c r="AK527" s="34">
        <f>IF(G527="","",IF(SUMIFS(Timesheets!$U$5:$U$804,Timesheets!$G$5:$G$804,A527)&gt;0,SUMIFS(Timesheets!$U$5:$U$804,Timesheets!$G$5:$G$804,A527),IF(Z527="","",Z527)))</f>
        <v>0</v>
      </c>
      <c r="AL527" s="34">
        <f>IF(OR(AK527="",AD527=""),"",AK527-AD527)</f>
        <v>0</v>
      </c>
      <c r="AM527" s="31">
        <f>IF(A527="","",COUNTIFS('Job Tasks'!$B$5:$B$904,A527))</f>
        <v>0</v>
      </c>
      <c r="AN527" s="31">
        <f>IF(A527="","",COUNTIFS('Job Tasks'!$B$5:$B$904,A527,'Job Tasks'!$H$5:$H$904,"Done"))</f>
        <v>0</v>
      </c>
      <c r="AO527" s="38">
        <f>IF(OR(A527="",AM527=0),"",AN527/AM527)</f>
        <v>0</v>
      </c>
      <c r="AP527" s="43">
        <f>IF(A527="","",IFERROR(INDEX('Invoice Lines'!$B$5:$B$804,MATCH(A527,'Invoice Lines'!$C$5:$C$804,0)),""))</f>
        <v>0</v>
      </c>
      <c r="AQ527" s="18">
        <f>IF(OR(G527="",B527="",X527&lt;&gt;"Yes"),"",IF(IFERROR(INDEX(FreqDays,MATCH(O527,FreqNames,0)),0)=0,"",B527+IFERROR(INDEX(FreqDays,MATCH(O527,FreqNames,0)),0)))</f>
        <v>0</v>
      </c>
      <c r="AR527" s="39">
        <f>IF(G527="","",IF(R527="","Unassigned",IF(COUNTIFS($R$5:$R$604,R527,$B$5:$B$604,B527,$F$5:$F$604,F527)&gt;1,"Clash",IF(SUMIFS($AF$5:$AF$604,$R$5:$R$604,R527,$B$5:$B$604,B527)&gt;ProductiveHours,"Long day","OK"))))</f>
        <v>0</v>
      </c>
      <c r="AS527" s="18">
        <f>IF(OR(G527="",B527=""),"",IF(AND(B527&gt;=TodayDate,P527&lt;&gt;"Cancelled"),B527,""))</f>
        <v>0</v>
      </c>
      <c r="AT527" s="31">
        <f>IF(AS527="","",COUNTIFS($AS$5:$AS$604,"&lt;"&amp;AS527)+COUNTIFS($AS$5:AS527,AS527))</f>
        <v>0</v>
      </c>
      <c r="AU527" s="18">
        <f>IF(OR(G527="",B527="",R527&lt;&gt;""),"",IF(AND(B527&gt;=TodayDate,P527&lt;&gt;"Cancelled"),B527,""))</f>
        <v>0</v>
      </c>
      <c r="AV527" s="31">
        <f>IF(AU527="","",COUNTIFS($AU$5:$AU$604,"&lt;"&amp;AU527)+COUNTIFS($AU$5:AU527,AU527))</f>
        <v>0</v>
      </c>
      <c r="AW527" s="31">
        <f>IF(OR(G527="",B527=""),"",B527-TodayDate)</f>
        <v>0</v>
      </c>
      <c r="AX527" s="39">
        <f>IF(G527="","",IF(P527="Cancelled","Cancelled",IF(P527="No access","Action - no access, rebook",IF(AND(B527&lt;&gt;"",AW527&lt;0,OR(P527="Booked",P527="Confirmed",P527="In progress")),"Late - mark it completed",IF(AND(P527="Completed",AP527=""),"Action - not invoiced yet",IF(AND(AW527&gt;=0,AW527&lt;=ReminderDays,Y527&lt;&gt;"Yes"),"Confirm - visit coming up",IF(R527="","Assign - no cleaner booked",IF(AND(P527="Completed",AO527&lt;&gt;"",AO527&lt;1),"Check - checklist unfinished","OK"))))))))</f>
        <v>0</v>
      </c>
    </row>
    <row r="528" spans="1:50">
      <c r="A528" s="43">
        <f>IF(G528="","",JobPrefix&amp;TEXT(ROW()-4,"0000"))</f>
        <v>0</v>
      </c>
      <c r="C528" s="23">
        <f>IF(B528="","",TEXT(B528,"ddd"))</f>
        <v>0</v>
      </c>
      <c r="D528" s="31">
        <f>IF(B528="","",WEEKNUM(B528,IF(WeekStart="Sunday",1,2)))</f>
        <v>0</v>
      </c>
      <c r="E528" s="23">
        <f>IF(B528="","",TEXT(B528,"yyyy-mm"))</f>
        <v>0</v>
      </c>
      <c r="H528" s="23">
        <f>IF(G528="","",IFERROR(INDEX(Clients!$B$5:$B$204,MATCH(G528,Clients!$A$5:$A$204,0)),"Not found"))</f>
        <v>0</v>
      </c>
      <c r="I528" s="23">
        <f>IF(G528="","",IFERROR(INDEX(Clients!$C$5:$C$204,MATCH(G528,Clients!$A$5:$A$204,0)),""))</f>
        <v>0</v>
      </c>
      <c r="K528" s="23">
        <f>IF(J528="","",IFERROR(INDEX(Properties!$B$5:$B$254,MATCH(J528,Properties!$A$5:$A$254,0)),""))</f>
        <v>0</v>
      </c>
      <c r="L528" s="23">
        <f>IF(J528="","",IFERROR(INDEX(Properties!$F$5:$F$254,MATCH(J528,Properties!$A$5:$A$254,0)),""))</f>
        <v>0</v>
      </c>
      <c r="AD528" s="34">
        <f>IF(G528="","",IF(U528&lt;&gt;"",U528,IF(AND(IFERROR(INDEX(Services!$D$5:$D$64,MATCH(M528,Services!$B$5:$B$64,0)),"")="Per hour",IFERROR(INDEX(Properties!$X$5:$X$254,MATCH(J528,Properties!$A$5:$A$254,0)),0)&gt;0),IFERROR(INDEX(Properties!$X$5:$X$254,MATCH(J528,Properties!$A$5:$A$254,0)),0),IF(IFERROR(INDEX(Services!$G$5:$G$64,MATCH(M528,Services!$B$5:$B$64,0)),0)&gt;0,IFERROR(INDEX(Services!$G$5:$G$64,MATCH(M528,Services!$B$5:$B$64,0)),0),IFERROR(INDEX(Properties!$X$5:$X$254,MATCH(J528,Properties!$A$5:$A$254,0)),0)))))</f>
        <v>0</v>
      </c>
      <c r="AE528" s="31">
        <f>IF(G528="","",IF(T528="",CleanersPerJob,MAX(1,T528)))</f>
        <v>0</v>
      </c>
      <c r="AF528" s="34">
        <f>IF(G528="","",ROUND(AD528/AE528,2))</f>
        <v>0</v>
      </c>
      <c r="AG528" s="53">
        <f>IF(OR(G528="",F528="",AF528=""),"",F528+AF528/24)</f>
        <v>0</v>
      </c>
      <c r="AH528" s="21">
        <f>IF(G528="","",IF(IFERROR(INDEX(Clients!$O$5:$O$204,MATCH(G528,Clients!$A$5:$A$204,0)),0)&gt;0,IFERROR(INDEX(Clients!$O$5:$O$204,MATCH(G528,Clients!$A$5:$A$204,0)),0),HourlyRate))</f>
        <v>0</v>
      </c>
      <c r="AI528" s="21">
        <f>IF(G528="","",IF(AND(M528&lt;&gt;"",IFERROR(INDEX(Services!$P$5:$P$64,MATCH(M528,Services!$B$5:$B$64,0)),0)&gt;0,IFERROR(INDEX(Services!$D$5:$D$64,MATCH(M528,Services!$B$5:$B$64,0)),"")&lt;&gt;"Per hour"),IFERROR(INDEX(Services!$P$5:$P$64,MATCH(M528,Services!$B$5:$B$64,0)),0),AD528*AH528))</f>
        <v>0</v>
      </c>
      <c r="AJ528" s="21">
        <f>IF(G528="","",IF(V528&lt;&gt;"",V528,IF(P528="Cancelled",0,MAX(MinimumCharge,ROUND(AI528*IFERROR(INDEX(FreqFactors,MATCH(O528,FreqNames,0)),1),2)))))</f>
        <v>0</v>
      </c>
      <c r="AK528" s="34">
        <f>IF(G528="","",IF(SUMIFS(Timesheets!$U$5:$U$804,Timesheets!$G$5:$G$804,A528)&gt;0,SUMIFS(Timesheets!$U$5:$U$804,Timesheets!$G$5:$G$804,A528),IF(Z528="","",Z528)))</f>
        <v>0</v>
      </c>
      <c r="AL528" s="34">
        <f>IF(OR(AK528="",AD528=""),"",AK528-AD528)</f>
        <v>0</v>
      </c>
      <c r="AM528" s="31">
        <f>IF(A528="","",COUNTIFS('Job Tasks'!$B$5:$B$904,A528))</f>
        <v>0</v>
      </c>
      <c r="AN528" s="31">
        <f>IF(A528="","",COUNTIFS('Job Tasks'!$B$5:$B$904,A528,'Job Tasks'!$H$5:$H$904,"Done"))</f>
        <v>0</v>
      </c>
      <c r="AO528" s="38">
        <f>IF(OR(A528="",AM528=0),"",AN528/AM528)</f>
        <v>0</v>
      </c>
      <c r="AP528" s="43">
        <f>IF(A528="","",IFERROR(INDEX('Invoice Lines'!$B$5:$B$804,MATCH(A528,'Invoice Lines'!$C$5:$C$804,0)),""))</f>
        <v>0</v>
      </c>
      <c r="AQ528" s="18">
        <f>IF(OR(G528="",B528="",X528&lt;&gt;"Yes"),"",IF(IFERROR(INDEX(FreqDays,MATCH(O528,FreqNames,0)),0)=0,"",B528+IFERROR(INDEX(FreqDays,MATCH(O528,FreqNames,0)),0)))</f>
        <v>0</v>
      </c>
      <c r="AR528" s="39">
        <f>IF(G528="","",IF(R528="","Unassigned",IF(COUNTIFS($R$5:$R$604,R528,$B$5:$B$604,B528,$F$5:$F$604,F528)&gt;1,"Clash",IF(SUMIFS($AF$5:$AF$604,$R$5:$R$604,R528,$B$5:$B$604,B528)&gt;ProductiveHours,"Long day","OK"))))</f>
        <v>0</v>
      </c>
      <c r="AS528" s="18">
        <f>IF(OR(G528="",B528=""),"",IF(AND(B528&gt;=TodayDate,P528&lt;&gt;"Cancelled"),B528,""))</f>
        <v>0</v>
      </c>
      <c r="AT528" s="31">
        <f>IF(AS528="","",COUNTIFS($AS$5:$AS$604,"&lt;"&amp;AS528)+COUNTIFS($AS$5:AS528,AS528))</f>
        <v>0</v>
      </c>
      <c r="AU528" s="18">
        <f>IF(OR(G528="",B528="",R528&lt;&gt;""),"",IF(AND(B528&gt;=TodayDate,P528&lt;&gt;"Cancelled"),B528,""))</f>
        <v>0</v>
      </c>
      <c r="AV528" s="31">
        <f>IF(AU528="","",COUNTIFS($AU$5:$AU$604,"&lt;"&amp;AU528)+COUNTIFS($AU$5:AU528,AU528))</f>
        <v>0</v>
      </c>
      <c r="AW528" s="31">
        <f>IF(OR(G528="",B528=""),"",B528-TodayDate)</f>
        <v>0</v>
      </c>
      <c r="AX528" s="39">
        <f>IF(G528="","",IF(P528="Cancelled","Cancelled",IF(P528="No access","Action - no access, rebook",IF(AND(B528&lt;&gt;"",AW528&lt;0,OR(P528="Booked",P528="Confirmed",P528="In progress")),"Late - mark it completed",IF(AND(P528="Completed",AP528=""),"Action - not invoiced yet",IF(AND(AW528&gt;=0,AW528&lt;=ReminderDays,Y528&lt;&gt;"Yes"),"Confirm - visit coming up",IF(R528="","Assign - no cleaner booked",IF(AND(P528="Completed",AO528&lt;&gt;"",AO528&lt;1),"Check - checklist unfinished","OK"))))))))</f>
        <v>0</v>
      </c>
    </row>
    <row r="529" spans="1:50">
      <c r="A529" s="43">
        <f>IF(G529="","",JobPrefix&amp;TEXT(ROW()-4,"0000"))</f>
        <v>0</v>
      </c>
      <c r="C529" s="23">
        <f>IF(B529="","",TEXT(B529,"ddd"))</f>
        <v>0</v>
      </c>
      <c r="D529" s="31">
        <f>IF(B529="","",WEEKNUM(B529,IF(WeekStart="Sunday",1,2)))</f>
        <v>0</v>
      </c>
      <c r="E529" s="23">
        <f>IF(B529="","",TEXT(B529,"yyyy-mm"))</f>
        <v>0</v>
      </c>
      <c r="H529" s="23">
        <f>IF(G529="","",IFERROR(INDEX(Clients!$B$5:$B$204,MATCH(G529,Clients!$A$5:$A$204,0)),"Not found"))</f>
        <v>0</v>
      </c>
      <c r="I529" s="23">
        <f>IF(G529="","",IFERROR(INDEX(Clients!$C$5:$C$204,MATCH(G529,Clients!$A$5:$A$204,0)),""))</f>
        <v>0</v>
      </c>
      <c r="K529" s="23">
        <f>IF(J529="","",IFERROR(INDEX(Properties!$B$5:$B$254,MATCH(J529,Properties!$A$5:$A$254,0)),""))</f>
        <v>0</v>
      </c>
      <c r="L529" s="23">
        <f>IF(J529="","",IFERROR(INDEX(Properties!$F$5:$F$254,MATCH(J529,Properties!$A$5:$A$254,0)),""))</f>
        <v>0</v>
      </c>
      <c r="AD529" s="34">
        <f>IF(G529="","",IF(U529&lt;&gt;"",U529,IF(AND(IFERROR(INDEX(Services!$D$5:$D$64,MATCH(M529,Services!$B$5:$B$64,0)),"")="Per hour",IFERROR(INDEX(Properties!$X$5:$X$254,MATCH(J529,Properties!$A$5:$A$254,0)),0)&gt;0),IFERROR(INDEX(Properties!$X$5:$X$254,MATCH(J529,Properties!$A$5:$A$254,0)),0),IF(IFERROR(INDEX(Services!$G$5:$G$64,MATCH(M529,Services!$B$5:$B$64,0)),0)&gt;0,IFERROR(INDEX(Services!$G$5:$G$64,MATCH(M529,Services!$B$5:$B$64,0)),0),IFERROR(INDEX(Properties!$X$5:$X$254,MATCH(J529,Properties!$A$5:$A$254,0)),0)))))</f>
        <v>0</v>
      </c>
      <c r="AE529" s="31">
        <f>IF(G529="","",IF(T529="",CleanersPerJob,MAX(1,T529)))</f>
        <v>0</v>
      </c>
      <c r="AF529" s="34">
        <f>IF(G529="","",ROUND(AD529/AE529,2))</f>
        <v>0</v>
      </c>
      <c r="AG529" s="53">
        <f>IF(OR(G529="",F529="",AF529=""),"",F529+AF529/24)</f>
        <v>0</v>
      </c>
      <c r="AH529" s="21">
        <f>IF(G529="","",IF(IFERROR(INDEX(Clients!$O$5:$O$204,MATCH(G529,Clients!$A$5:$A$204,0)),0)&gt;0,IFERROR(INDEX(Clients!$O$5:$O$204,MATCH(G529,Clients!$A$5:$A$204,0)),0),HourlyRate))</f>
        <v>0</v>
      </c>
      <c r="AI529" s="21">
        <f>IF(G529="","",IF(AND(M529&lt;&gt;"",IFERROR(INDEX(Services!$P$5:$P$64,MATCH(M529,Services!$B$5:$B$64,0)),0)&gt;0,IFERROR(INDEX(Services!$D$5:$D$64,MATCH(M529,Services!$B$5:$B$64,0)),"")&lt;&gt;"Per hour"),IFERROR(INDEX(Services!$P$5:$P$64,MATCH(M529,Services!$B$5:$B$64,0)),0),AD529*AH529))</f>
        <v>0</v>
      </c>
      <c r="AJ529" s="21">
        <f>IF(G529="","",IF(V529&lt;&gt;"",V529,IF(P529="Cancelled",0,MAX(MinimumCharge,ROUND(AI529*IFERROR(INDEX(FreqFactors,MATCH(O529,FreqNames,0)),1),2)))))</f>
        <v>0</v>
      </c>
      <c r="AK529" s="34">
        <f>IF(G529="","",IF(SUMIFS(Timesheets!$U$5:$U$804,Timesheets!$G$5:$G$804,A529)&gt;0,SUMIFS(Timesheets!$U$5:$U$804,Timesheets!$G$5:$G$804,A529),IF(Z529="","",Z529)))</f>
        <v>0</v>
      </c>
      <c r="AL529" s="34">
        <f>IF(OR(AK529="",AD529=""),"",AK529-AD529)</f>
        <v>0</v>
      </c>
      <c r="AM529" s="31">
        <f>IF(A529="","",COUNTIFS('Job Tasks'!$B$5:$B$904,A529))</f>
        <v>0</v>
      </c>
      <c r="AN529" s="31">
        <f>IF(A529="","",COUNTIFS('Job Tasks'!$B$5:$B$904,A529,'Job Tasks'!$H$5:$H$904,"Done"))</f>
        <v>0</v>
      </c>
      <c r="AO529" s="38">
        <f>IF(OR(A529="",AM529=0),"",AN529/AM529)</f>
        <v>0</v>
      </c>
      <c r="AP529" s="43">
        <f>IF(A529="","",IFERROR(INDEX('Invoice Lines'!$B$5:$B$804,MATCH(A529,'Invoice Lines'!$C$5:$C$804,0)),""))</f>
        <v>0</v>
      </c>
      <c r="AQ529" s="18">
        <f>IF(OR(G529="",B529="",X529&lt;&gt;"Yes"),"",IF(IFERROR(INDEX(FreqDays,MATCH(O529,FreqNames,0)),0)=0,"",B529+IFERROR(INDEX(FreqDays,MATCH(O529,FreqNames,0)),0)))</f>
        <v>0</v>
      </c>
      <c r="AR529" s="39">
        <f>IF(G529="","",IF(R529="","Unassigned",IF(COUNTIFS($R$5:$R$604,R529,$B$5:$B$604,B529,$F$5:$F$604,F529)&gt;1,"Clash",IF(SUMIFS($AF$5:$AF$604,$R$5:$R$604,R529,$B$5:$B$604,B529)&gt;ProductiveHours,"Long day","OK"))))</f>
        <v>0</v>
      </c>
      <c r="AS529" s="18">
        <f>IF(OR(G529="",B529=""),"",IF(AND(B529&gt;=TodayDate,P529&lt;&gt;"Cancelled"),B529,""))</f>
        <v>0</v>
      </c>
      <c r="AT529" s="31">
        <f>IF(AS529="","",COUNTIFS($AS$5:$AS$604,"&lt;"&amp;AS529)+COUNTIFS($AS$5:AS529,AS529))</f>
        <v>0</v>
      </c>
      <c r="AU529" s="18">
        <f>IF(OR(G529="",B529="",R529&lt;&gt;""),"",IF(AND(B529&gt;=TodayDate,P529&lt;&gt;"Cancelled"),B529,""))</f>
        <v>0</v>
      </c>
      <c r="AV529" s="31">
        <f>IF(AU529="","",COUNTIFS($AU$5:$AU$604,"&lt;"&amp;AU529)+COUNTIFS($AU$5:AU529,AU529))</f>
        <v>0</v>
      </c>
      <c r="AW529" s="31">
        <f>IF(OR(G529="",B529=""),"",B529-TodayDate)</f>
        <v>0</v>
      </c>
      <c r="AX529" s="39">
        <f>IF(G529="","",IF(P529="Cancelled","Cancelled",IF(P529="No access","Action - no access, rebook",IF(AND(B529&lt;&gt;"",AW529&lt;0,OR(P529="Booked",P529="Confirmed",P529="In progress")),"Late - mark it completed",IF(AND(P529="Completed",AP529=""),"Action - not invoiced yet",IF(AND(AW529&gt;=0,AW529&lt;=ReminderDays,Y529&lt;&gt;"Yes"),"Confirm - visit coming up",IF(R529="","Assign - no cleaner booked",IF(AND(P529="Completed",AO529&lt;&gt;"",AO529&lt;1),"Check - checklist unfinished","OK"))))))))</f>
        <v>0</v>
      </c>
    </row>
    <row r="530" spans="1:50">
      <c r="A530" s="43">
        <f>IF(G530="","",JobPrefix&amp;TEXT(ROW()-4,"0000"))</f>
        <v>0</v>
      </c>
      <c r="C530" s="23">
        <f>IF(B530="","",TEXT(B530,"ddd"))</f>
        <v>0</v>
      </c>
      <c r="D530" s="31">
        <f>IF(B530="","",WEEKNUM(B530,IF(WeekStart="Sunday",1,2)))</f>
        <v>0</v>
      </c>
      <c r="E530" s="23">
        <f>IF(B530="","",TEXT(B530,"yyyy-mm"))</f>
        <v>0</v>
      </c>
      <c r="H530" s="23">
        <f>IF(G530="","",IFERROR(INDEX(Clients!$B$5:$B$204,MATCH(G530,Clients!$A$5:$A$204,0)),"Not found"))</f>
        <v>0</v>
      </c>
      <c r="I530" s="23">
        <f>IF(G530="","",IFERROR(INDEX(Clients!$C$5:$C$204,MATCH(G530,Clients!$A$5:$A$204,0)),""))</f>
        <v>0</v>
      </c>
      <c r="K530" s="23">
        <f>IF(J530="","",IFERROR(INDEX(Properties!$B$5:$B$254,MATCH(J530,Properties!$A$5:$A$254,0)),""))</f>
        <v>0</v>
      </c>
      <c r="L530" s="23">
        <f>IF(J530="","",IFERROR(INDEX(Properties!$F$5:$F$254,MATCH(J530,Properties!$A$5:$A$254,0)),""))</f>
        <v>0</v>
      </c>
      <c r="AD530" s="34">
        <f>IF(G530="","",IF(U530&lt;&gt;"",U530,IF(AND(IFERROR(INDEX(Services!$D$5:$D$64,MATCH(M530,Services!$B$5:$B$64,0)),"")="Per hour",IFERROR(INDEX(Properties!$X$5:$X$254,MATCH(J530,Properties!$A$5:$A$254,0)),0)&gt;0),IFERROR(INDEX(Properties!$X$5:$X$254,MATCH(J530,Properties!$A$5:$A$254,0)),0),IF(IFERROR(INDEX(Services!$G$5:$G$64,MATCH(M530,Services!$B$5:$B$64,0)),0)&gt;0,IFERROR(INDEX(Services!$G$5:$G$64,MATCH(M530,Services!$B$5:$B$64,0)),0),IFERROR(INDEX(Properties!$X$5:$X$254,MATCH(J530,Properties!$A$5:$A$254,0)),0)))))</f>
        <v>0</v>
      </c>
      <c r="AE530" s="31">
        <f>IF(G530="","",IF(T530="",CleanersPerJob,MAX(1,T530)))</f>
        <v>0</v>
      </c>
      <c r="AF530" s="34">
        <f>IF(G530="","",ROUND(AD530/AE530,2))</f>
        <v>0</v>
      </c>
      <c r="AG530" s="53">
        <f>IF(OR(G530="",F530="",AF530=""),"",F530+AF530/24)</f>
        <v>0</v>
      </c>
      <c r="AH530" s="21">
        <f>IF(G530="","",IF(IFERROR(INDEX(Clients!$O$5:$O$204,MATCH(G530,Clients!$A$5:$A$204,0)),0)&gt;0,IFERROR(INDEX(Clients!$O$5:$O$204,MATCH(G530,Clients!$A$5:$A$204,0)),0),HourlyRate))</f>
        <v>0</v>
      </c>
      <c r="AI530" s="21">
        <f>IF(G530="","",IF(AND(M530&lt;&gt;"",IFERROR(INDEX(Services!$P$5:$P$64,MATCH(M530,Services!$B$5:$B$64,0)),0)&gt;0,IFERROR(INDEX(Services!$D$5:$D$64,MATCH(M530,Services!$B$5:$B$64,0)),"")&lt;&gt;"Per hour"),IFERROR(INDEX(Services!$P$5:$P$64,MATCH(M530,Services!$B$5:$B$64,0)),0),AD530*AH530))</f>
        <v>0</v>
      </c>
      <c r="AJ530" s="21">
        <f>IF(G530="","",IF(V530&lt;&gt;"",V530,IF(P530="Cancelled",0,MAX(MinimumCharge,ROUND(AI530*IFERROR(INDEX(FreqFactors,MATCH(O530,FreqNames,0)),1),2)))))</f>
        <v>0</v>
      </c>
      <c r="AK530" s="34">
        <f>IF(G530="","",IF(SUMIFS(Timesheets!$U$5:$U$804,Timesheets!$G$5:$G$804,A530)&gt;0,SUMIFS(Timesheets!$U$5:$U$804,Timesheets!$G$5:$G$804,A530),IF(Z530="","",Z530)))</f>
        <v>0</v>
      </c>
      <c r="AL530" s="34">
        <f>IF(OR(AK530="",AD530=""),"",AK530-AD530)</f>
        <v>0</v>
      </c>
      <c r="AM530" s="31">
        <f>IF(A530="","",COUNTIFS('Job Tasks'!$B$5:$B$904,A530))</f>
        <v>0</v>
      </c>
      <c r="AN530" s="31">
        <f>IF(A530="","",COUNTIFS('Job Tasks'!$B$5:$B$904,A530,'Job Tasks'!$H$5:$H$904,"Done"))</f>
        <v>0</v>
      </c>
      <c r="AO530" s="38">
        <f>IF(OR(A530="",AM530=0),"",AN530/AM530)</f>
        <v>0</v>
      </c>
      <c r="AP530" s="43">
        <f>IF(A530="","",IFERROR(INDEX('Invoice Lines'!$B$5:$B$804,MATCH(A530,'Invoice Lines'!$C$5:$C$804,0)),""))</f>
        <v>0</v>
      </c>
      <c r="AQ530" s="18">
        <f>IF(OR(G530="",B530="",X530&lt;&gt;"Yes"),"",IF(IFERROR(INDEX(FreqDays,MATCH(O530,FreqNames,0)),0)=0,"",B530+IFERROR(INDEX(FreqDays,MATCH(O530,FreqNames,0)),0)))</f>
        <v>0</v>
      </c>
      <c r="AR530" s="39">
        <f>IF(G530="","",IF(R530="","Unassigned",IF(COUNTIFS($R$5:$R$604,R530,$B$5:$B$604,B530,$F$5:$F$604,F530)&gt;1,"Clash",IF(SUMIFS($AF$5:$AF$604,$R$5:$R$604,R530,$B$5:$B$604,B530)&gt;ProductiveHours,"Long day","OK"))))</f>
        <v>0</v>
      </c>
      <c r="AS530" s="18">
        <f>IF(OR(G530="",B530=""),"",IF(AND(B530&gt;=TodayDate,P530&lt;&gt;"Cancelled"),B530,""))</f>
        <v>0</v>
      </c>
      <c r="AT530" s="31">
        <f>IF(AS530="","",COUNTIFS($AS$5:$AS$604,"&lt;"&amp;AS530)+COUNTIFS($AS$5:AS530,AS530))</f>
        <v>0</v>
      </c>
      <c r="AU530" s="18">
        <f>IF(OR(G530="",B530="",R530&lt;&gt;""),"",IF(AND(B530&gt;=TodayDate,P530&lt;&gt;"Cancelled"),B530,""))</f>
        <v>0</v>
      </c>
      <c r="AV530" s="31">
        <f>IF(AU530="","",COUNTIFS($AU$5:$AU$604,"&lt;"&amp;AU530)+COUNTIFS($AU$5:AU530,AU530))</f>
        <v>0</v>
      </c>
      <c r="AW530" s="31">
        <f>IF(OR(G530="",B530=""),"",B530-TodayDate)</f>
        <v>0</v>
      </c>
      <c r="AX530" s="39">
        <f>IF(G530="","",IF(P530="Cancelled","Cancelled",IF(P530="No access","Action - no access, rebook",IF(AND(B530&lt;&gt;"",AW530&lt;0,OR(P530="Booked",P530="Confirmed",P530="In progress")),"Late - mark it completed",IF(AND(P530="Completed",AP530=""),"Action - not invoiced yet",IF(AND(AW530&gt;=0,AW530&lt;=ReminderDays,Y530&lt;&gt;"Yes"),"Confirm - visit coming up",IF(R530="","Assign - no cleaner booked",IF(AND(P530="Completed",AO530&lt;&gt;"",AO530&lt;1),"Check - checklist unfinished","OK"))))))))</f>
        <v>0</v>
      </c>
    </row>
    <row r="531" spans="1:50">
      <c r="A531" s="43">
        <f>IF(G531="","",JobPrefix&amp;TEXT(ROW()-4,"0000"))</f>
        <v>0</v>
      </c>
      <c r="C531" s="23">
        <f>IF(B531="","",TEXT(B531,"ddd"))</f>
        <v>0</v>
      </c>
      <c r="D531" s="31">
        <f>IF(B531="","",WEEKNUM(B531,IF(WeekStart="Sunday",1,2)))</f>
        <v>0</v>
      </c>
      <c r="E531" s="23">
        <f>IF(B531="","",TEXT(B531,"yyyy-mm"))</f>
        <v>0</v>
      </c>
      <c r="H531" s="23">
        <f>IF(G531="","",IFERROR(INDEX(Clients!$B$5:$B$204,MATCH(G531,Clients!$A$5:$A$204,0)),"Not found"))</f>
        <v>0</v>
      </c>
      <c r="I531" s="23">
        <f>IF(G531="","",IFERROR(INDEX(Clients!$C$5:$C$204,MATCH(G531,Clients!$A$5:$A$204,0)),""))</f>
        <v>0</v>
      </c>
      <c r="K531" s="23">
        <f>IF(J531="","",IFERROR(INDEX(Properties!$B$5:$B$254,MATCH(J531,Properties!$A$5:$A$254,0)),""))</f>
        <v>0</v>
      </c>
      <c r="L531" s="23">
        <f>IF(J531="","",IFERROR(INDEX(Properties!$F$5:$F$254,MATCH(J531,Properties!$A$5:$A$254,0)),""))</f>
        <v>0</v>
      </c>
      <c r="AD531" s="34">
        <f>IF(G531="","",IF(U531&lt;&gt;"",U531,IF(AND(IFERROR(INDEX(Services!$D$5:$D$64,MATCH(M531,Services!$B$5:$B$64,0)),"")="Per hour",IFERROR(INDEX(Properties!$X$5:$X$254,MATCH(J531,Properties!$A$5:$A$254,0)),0)&gt;0),IFERROR(INDEX(Properties!$X$5:$X$254,MATCH(J531,Properties!$A$5:$A$254,0)),0),IF(IFERROR(INDEX(Services!$G$5:$G$64,MATCH(M531,Services!$B$5:$B$64,0)),0)&gt;0,IFERROR(INDEX(Services!$G$5:$G$64,MATCH(M531,Services!$B$5:$B$64,0)),0),IFERROR(INDEX(Properties!$X$5:$X$254,MATCH(J531,Properties!$A$5:$A$254,0)),0)))))</f>
        <v>0</v>
      </c>
      <c r="AE531" s="31">
        <f>IF(G531="","",IF(T531="",CleanersPerJob,MAX(1,T531)))</f>
        <v>0</v>
      </c>
      <c r="AF531" s="34">
        <f>IF(G531="","",ROUND(AD531/AE531,2))</f>
        <v>0</v>
      </c>
      <c r="AG531" s="53">
        <f>IF(OR(G531="",F531="",AF531=""),"",F531+AF531/24)</f>
        <v>0</v>
      </c>
      <c r="AH531" s="21">
        <f>IF(G531="","",IF(IFERROR(INDEX(Clients!$O$5:$O$204,MATCH(G531,Clients!$A$5:$A$204,0)),0)&gt;0,IFERROR(INDEX(Clients!$O$5:$O$204,MATCH(G531,Clients!$A$5:$A$204,0)),0),HourlyRate))</f>
        <v>0</v>
      </c>
      <c r="AI531" s="21">
        <f>IF(G531="","",IF(AND(M531&lt;&gt;"",IFERROR(INDEX(Services!$P$5:$P$64,MATCH(M531,Services!$B$5:$B$64,0)),0)&gt;0,IFERROR(INDEX(Services!$D$5:$D$64,MATCH(M531,Services!$B$5:$B$64,0)),"")&lt;&gt;"Per hour"),IFERROR(INDEX(Services!$P$5:$P$64,MATCH(M531,Services!$B$5:$B$64,0)),0),AD531*AH531))</f>
        <v>0</v>
      </c>
      <c r="AJ531" s="21">
        <f>IF(G531="","",IF(V531&lt;&gt;"",V531,IF(P531="Cancelled",0,MAX(MinimumCharge,ROUND(AI531*IFERROR(INDEX(FreqFactors,MATCH(O531,FreqNames,0)),1),2)))))</f>
        <v>0</v>
      </c>
      <c r="AK531" s="34">
        <f>IF(G531="","",IF(SUMIFS(Timesheets!$U$5:$U$804,Timesheets!$G$5:$G$804,A531)&gt;0,SUMIFS(Timesheets!$U$5:$U$804,Timesheets!$G$5:$G$804,A531),IF(Z531="","",Z531)))</f>
        <v>0</v>
      </c>
      <c r="AL531" s="34">
        <f>IF(OR(AK531="",AD531=""),"",AK531-AD531)</f>
        <v>0</v>
      </c>
      <c r="AM531" s="31">
        <f>IF(A531="","",COUNTIFS('Job Tasks'!$B$5:$B$904,A531))</f>
        <v>0</v>
      </c>
      <c r="AN531" s="31">
        <f>IF(A531="","",COUNTIFS('Job Tasks'!$B$5:$B$904,A531,'Job Tasks'!$H$5:$H$904,"Done"))</f>
        <v>0</v>
      </c>
      <c r="AO531" s="38">
        <f>IF(OR(A531="",AM531=0),"",AN531/AM531)</f>
        <v>0</v>
      </c>
      <c r="AP531" s="43">
        <f>IF(A531="","",IFERROR(INDEX('Invoice Lines'!$B$5:$B$804,MATCH(A531,'Invoice Lines'!$C$5:$C$804,0)),""))</f>
        <v>0</v>
      </c>
      <c r="AQ531" s="18">
        <f>IF(OR(G531="",B531="",X531&lt;&gt;"Yes"),"",IF(IFERROR(INDEX(FreqDays,MATCH(O531,FreqNames,0)),0)=0,"",B531+IFERROR(INDEX(FreqDays,MATCH(O531,FreqNames,0)),0)))</f>
        <v>0</v>
      </c>
      <c r="AR531" s="39">
        <f>IF(G531="","",IF(R531="","Unassigned",IF(COUNTIFS($R$5:$R$604,R531,$B$5:$B$604,B531,$F$5:$F$604,F531)&gt;1,"Clash",IF(SUMIFS($AF$5:$AF$604,$R$5:$R$604,R531,$B$5:$B$604,B531)&gt;ProductiveHours,"Long day","OK"))))</f>
        <v>0</v>
      </c>
      <c r="AS531" s="18">
        <f>IF(OR(G531="",B531=""),"",IF(AND(B531&gt;=TodayDate,P531&lt;&gt;"Cancelled"),B531,""))</f>
        <v>0</v>
      </c>
      <c r="AT531" s="31">
        <f>IF(AS531="","",COUNTIFS($AS$5:$AS$604,"&lt;"&amp;AS531)+COUNTIFS($AS$5:AS531,AS531))</f>
        <v>0</v>
      </c>
      <c r="AU531" s="18">
        <f>IF(OR(G531="",B531="",R531&lt;&gt;""),"",IF(AND(B531&gt;=TodayDate,P531&lt;&gt;"Cancelled"),B531,""))</f>
        <v>0</v>
      </c>
      <c r="AV531" s="31">
        <f>IF(AU531="","",COUNTIFS($AU$5:$AU$604,"&lt;"&amp;AU531)+COUNTIFS($AU$5:AU531,AU531))</f>
        <v>0</v>
      </c>
      <c r="AW531" s="31">
        <f>IF(OR(G531="",B531=""),"",B531-TodayDate)</f>
        <v>0</v>
      </c>
      <c r="AX531" s="39">
        <f>IF(G531="","",IF(P531="Cancelled","Cancelled",IF(P531="No access","Action - no access, rebook",IF(AND(B531&lt;&gt;"",AW531&lt;0,OR(P531="Booked",P531="Confirmed",P531="In progress")),"Late - mark it completed",IF(AND(P531="Completed",AP531=""),"Action - not invoiced yet",IF(AND(AW531&gt;=0,AW531&lt;=ReminderDays,Y531&lt;&gt;"Yes"),"Confirm - visit coming up",IF(R531="","Assign - no cleaner booked",IF(AND(P531="Completed",AO531&lt;&gt;"",AO531&lt;1),"Check - checklist unfinished","OK"))))))))</f>
        <v>0</v>
      </c>
    </row>
    <row r="532" spans="1:50">
      <c r="A532" s="43">
        <f>IF(G532="","",JobPrefix&amp;TEXT(ROW()-4,"0000"))</f>
        <v>0</v>
      </c>
      <c r="C532" s="23">
        <f>IF(B532="","",TEXT(B532,"ddd"))</f>
        <v>0</v>
      </c>
      <c r="D532" s="31">
        <f>IF(B532="","",WEEKNUM(B532,IF(WeekStart="Sunday",1,2)))</f>
        <v>0</v>
      </c>
      <c r="E532" s="23">
        <f>IF(B532="","",TEXT(B532,"yyyy-mm"))</f>
        <v>0</v>
      </c>
      <c r="H532" s="23">
        <f>IF(G532="","",IFERROR(INDEX(Clients!$B$5:$B$204,MATCH(G532,Clients!$A$5:$A$204,0)),"Not found"))</f>
        <v>0</v>
      </c>
      <c r="I532" s="23">
        <f>IF(G532="","",IFERROR(INDEX(Clients!$C$5:$C$204,MATCH(G532,Clients!$A$5:$A$204,0)),""))</f>
        <v>0</v>
      </c>
      <c r="K532" s="23">
        <f>IF(J532="","",IFERROR(INDEX(Properties!$B$5:$B$254,MATCH(J532,Properties!$A$5:$A$254,0)),""))</f>
        <v>0</v>
      </c>
      <c r="L532" s="23">
        <f>IF(J532="","",IFERROR(INDEX(Properties!$F$5:$F$254,MATCH(J532,Properties!$A$5:$A$254,0)),""))</f>
        <v>0</v>
      </c>
      <c r="AD532" s="34">
        <f>IF(G532="","",IF(U532&lt;&gt;"",U532,IF(AND(IFERROR(INDEX(Services!$D$5:$D$64,MATCH(M532,Services!$B$5:$B$64,0)),"")="Per hour",IFERROR(INDEX(Properties!$X$5:$X$254,MATCH(J532,Properties!$A$5:$A$254,0)),0)&gt;0),IFERROR(INDEX(Properties!$X$5:$X$254,MATCH(J532,Properties!$A$5:$A$254,0)),0),IF(IFERROR(INDEX(Services!$G$5:$G$64,MATCH(M532,Services!$B$5:$B$64,0)),0)&gt;0,IFERROR(INDEX(Services!$G$5:$G$64,MATCH(M532,Services!$B$5:$B$64,0)),0),IFERROR(INDEX(Properties!$X$5:$X$254,MATCH(J532,Properties!$A$5:$A$254,0)),0)))))</f>
        <v>0</v>
      </c>
      <c r="AE532" s="31">
        <f>IF(G532="","",IF(T532="",CleanersPerJob,MAX(1,T532)))</f>
        <v>0</v>
      </c>
      <c r="AF532" s="34">
        <f>IF(G532="","",ROUND(AD532/AE532,2))</f>
        <v>0</v>
      </c>
      <c r="AG532" s="53">
        <f>IF(OR(G532="",F532="",AF532=""),"",F532+AF532/24)</f>
        <v>0</v>
      </c>
      <c r="AH532" s="21">
        <f>IF(G532="","",IF(IFERROR(INDEX(Clients!$O$5:$O$204,MATCH(G532,Clients!$A$5:$A$204,0)),0)&gt;0,IFERROR(INDEX(Clients!$O$5:$O$204,MATCH(G532,Clients!$A$5:$A$204,0)),0),HourlyRate))</f>
        <v>0</v>
      </c>
      <c r="AI532" s="21">
        <f>IF(G532="","",IF(AND(M532&lt;&gt;"",IFERROR(INDEX(Services!$P$5:$P$64,MATCH(M532,Services!$B$5:$B$64,0)),0)&gt;0,IFERROR(INDEX(Services!$D$5:$D$64,MATCH(M532,Services!$B$5:$B$64,0)),"")&lt;&gt;"Per hour"),IFERROR(INDEX(Services!$P$5:$P$64,MATCH(M532,Services!$B$5:$B$64,0)),0),AD532*AH532))</f>
        <v>0</v>
      </c>
      <c r="AJ532" s="21">
        <f>IF(G532="","",IF(V532&lt;&gt;"",V532,IF(P532="Cancelled",0,MAX(MinimumCharge,ROUND(AI532*IFERROR(INDEX(FreqFactors,MATCH(O532,FreqNames,0)),1),2)))))</f>
        <v>0</v>
      </c>
      <c r="AK532" s="34">
        <f>IF(G532="","",IF(SUMIFS(Timesheets!$U$5:$U$804,Timesheets!$G$5:$G$804,A532)&gt;0,SUMIFS(Timesheets!$U$5:$U$804,Timesheets!$G$5:$G$804,A532),IF(Z532="","",Z532)))</f>
        <v>0</v>
      </c>
      <c r="AL532" s="34">
        <f>IF(OR(AK532="",AD532=""),"",AK532-AD532)</f>
        <v>0</v>
      </c>
      <c r="AM532" s="31">
        <f>IF(A532="","",COUNTIFS('Job Tasks'!$B$5:$B$904,A532))</f>
        <v>0</v>
      </c>
      <c r="AN532" s="31">
        <f>IF(A532="","",COUNTIFS('Job Tasks'!$B$5:$B$904,A532,'Job Tasks'!$H$5:$H$904,"Done"))</f>
        <v>0</v>
      </c>
      <c r="AO532" s="38">
        <f>IF(OR(A532="",AM532=0),"",AN532/AM532)</f>
        <v>0</v>
      </c>
      <c r="AP532" s="43">
        <f>IF(A532="","",IFERROR(INDEX('Invoice Lines'!$B$5:$B$804,MATCH(A532,'Invoice Lines'!$C$5:$C$804,0)),""))</f>
        <v>0</v>
      </c>
      <c r="AQ532" s="18">
        <f>IF(OR(G532="",B532="",X532&lt;&gt;"Yes"),"",IF(IFERROR(INDEX(FreqDays,MATCH(O532,FreqNames,0)),0)=0,"",B532+IFERROR(INDEX(FreqDays,MATCH(O532,FreqNames,0)),0)))</f>
        <v>0</v>
      </c>
      <c r="AR532" s="39">
        <f>IF(G532="","",IF(R532="","Unassigned",IF(COUNTIFS($R$5:$R$604,R532,$B$5:$B$604,B532,$F$5:$F$604,F532)&gt;1,"Clash",IF(SUMIFS($AF$5:$AF$604,$R$5:$R$604,R532,$B$5:$B$604,B532)&gt;ProductiveHours,"Long day","OK"))))</f>
        <v>0</v>
      </c>
      <c r="AS532" s="18">
        <f>IF(OR(G532="",B532=""),"",IF(AND(B532&gt;=TodayDate,P532&lt;&gt;"Cancelled"),B532,""))</f>
        <v>0</v>
      </c>
      <c r="AT532" s="31">
        <f>IF(AS532="","",COUNTIFS($AS$5:$AS$604,"&lt;"&amp;AS532)+COUNTIFS($AS$5:AS532,AS532))</f>
        <v>0</v>
      </c>
      <c r="AU532" s="18">
        <f>IF(OR(G532="",B532="",R532&lt;&gt;""),"",IF(AND(B532&gt;=TodayDate,P532&lt;&gt;"Cancelled"),B532,""))</f>
        <v>0</v>
      </c>
      <c r="AV532" s="31">
        <f>IF(AU532="","",COUNTIFS($AU$5:$AU$604,"&lt;"&amp;AU532)+COUNTIFS($AU$5:AU532,AU532))</f>
        <v>0</v>
      </c>
      <c r="AW532" s="31">
        <f>IF(OR(G532="",B532=""),"",B532-TodayDate)</f>
        <v>0</v>
      </c>
      <c r="AX532" s="39">
        <f>IF(G532="","",IF(P532="Cancelled","Cancelled",IF(P532="No access","Action - no access, rebook",IF(AND(B532&lt;&gt;"",AW532&lt;0,OR(P532="Booked",P532="Confirmed",P532="In progress")),"Late - mark it completed",IF(AND(P532="Completed",AP532=""),"Action - not invoiced yet",IF(AND(AW532&gt;=0,AW532&lt;=ReminderDays,Y532&lt;&gt;"Yes"),"Confirm - visit coming up",IF(R532="","Assign - no cleaner booked",IF(AND(P532="Completed",AO532&lt;&gt;"",AO532&lt;1),"Check - checklist unfinished","OK"))))))))</f>
        <v>0</v>
      </c>
    </row>
    <row r="533" spans="1:50">
      <c r="A533" s="43">
        <f>IF(G533="","",JobPrefix&amp;TEXT(ROW()-4,"0000"))</f>
        <v>0</v>
      </c>
      <c r="C533" s="23">
        <f>IF(B533="","",TEXT(B533,"ddd"))</f>
        <v>0</v>
      </c>
      <c r="D533" s="31">
        <f>IF(B533="","",WEEKNUM(B533,IF(WeekStart="Sunday",1,2)))</f>
        <v>0</v>
      </c>
      <c r="E533" s="23">
        <f>IF(B533="","",TEXT(B533,"yyyy-mm"))</f>
        <v>0</v>
      </c>
      <c r="H533" s="23">
        <f>IF(G533="","",IFERROR(INDEX(Clients!$B$5:$B$204,MATCH(G533,Clients!$A$5:$A$204,0)),"Not found"))</f>
        <v>0</v>
      </c>
      <c r="I533" s="23">
        <f>IF(G533="","",IFERROR(INDEX(Clients!$C$5:$C$204,MATCH(G533,Clients!$A$5:$A$204,0)),""))</f>
        <v>0</v>
      </c>
      <c r="K533" s="23">
        <f>IF(J533="","",IFERROR(INDEX(Properties!$B$5:$B$254,MATCH(J533,Properties!$A$5:$A$254,0)),""))</f>
        <v>0</v>
      </c>
      <c r="L533" s="23">
        <f>IF(J533="","",IFERROR(INDEX(Properties!$F$5:$F$254,MATCH(J533,Properties!$A$5:$A$254,0)),""))</f>
        <v>0</v>
      </c>
      <c r="AD533" s="34">
        <f>IF(G533="","",IF(U533&lt;&gt;"",U533,IF(AND(IFERROR(INDEX(Services!$D$5:$D$64,MATCH(M533,Services!$B$5:$B$64,0)),"")="Per hour",IFERROR(INDEX(Properties!$X$5:$X$254,MATCH(J533,Properties!$A$5:$A$254,0)),0)&gt;0),IFERROR(INDEX(Properties!$X$5:$X$254,MATCH(J533,Properties!$A$5:$A$254,0)),0),IF(IFERROR(INDEX(Services!$G$5:$G$64,MATCH(M533,Services!$B$5:$B$64,0)),0)&gt;0,IFERROR(INDEX(Services!$G$5:$G$64,MATCH(M533,Services!$B$5:$B$64,0)),0),IFERROR(INDEX(Properties!$X$5:$X$254,MATCH(J533,Properties!$A$5:$A$254,0)),0)))))</f>
        <v>0</v>
      </c>
      <c r="AE533" s="31">
        <f>IF(G533="","",IF(T533="",CleanersPerJob,MAX(1,T533)))</f>
        <v>0</v>
      </c>
      <c r="AF533" s="34">
        <f>IF(G533="","",ROUND(AD533/AE533,2))</f>
        <v>0</v>
      </c>
      <c r="AG533" s="53">
        <f>IF(OR(G533="",F533="",AF533=""),"",F533+AF533/24)</f>
        <v>0</v>
      </c>
      <c r="AH533" s="21">
        <f>IF(G533="","",IF(IFERROR(INDEX(Clients!$O$5:$O$204,MATCH(G533,Clients!$A$5:$A$204,0)),0)&gt;0,IFERROR(INDEX(Clients!$O$5:$O$204,MATCH(G533,Clients!$A$5:$A$204,0)),0),HourlyRate))</f>
        <v>0</v>
      </c>
      <c r="AI533" s="21">
        <f>IF(G533="","",IF(AND(M533&lt;&gt;"",IFERROR(INDEX(Services!$P$5:$P$64,MATCH(M533,Services!$B$5:$B$64,0)),0)&gt;0,IFERROR(INDEX(Services!$D$5:$D$64,MATCH(M533,Services!$B$5:$B$64,0)),"")&lt;&gt;"Per hour"),IFERROR(INDEX(Services!$P$5:$P$64,MATCH(M533,Services!$B$5:$B$64,0)),0),AD533*AH533))</f>
        <v>0</v>
      </c>
      <c r="AJ533" s="21">
        <f>IF(G533="","",IF(V533&lt;&gt;"",V533,IF(P533="Cancelled",0,MAX(MinimumCharge,ROUND(AI533*IFERROR(INDEX(FreqFactors,MATCH(O533,FreqNames,0)),1),2)))))</f>
        <v>0</v>
      </c>
      <c r="AK533" s="34">
        <f>IF(G533="","",IF(SUMIFS(Timesheets!$U$5:$U$804,Timesheets!$G$5:$G$804,A533)&gt;0,SUMIFS(Timesheets!$U$5:$U$804,Timesheets!$G$5:$G$804,A533),IF(Z533="","",Z533)))</f>
        <v>0</v>
      </c>
      <c r="AL533" s="34">
        <f>IF(OR(AK533="",AD533=""),"",AK533-AD533)</f>
        <v>0</v>
      </c>
      <c r="AM533" s="31">
        <f>IF(A533="","",COUNTIFS('Job Tasks'!$B$5:$B$904,A533))</f>
        <v>0</v>
      </c>
      <c r="AN533" s="31">
        <f>IF(A533="","",COUNTIFS('Job Tasks'!$B$5:$B$904,A533,'Job Tasks'!$H$5:$H$904,"Done"))</f>
        <v>0</v>
      </c>
      <c r="AO533" s="38">
        <f>IF(OR(A533="",AM533=0),"",AN533/AM533)</f>
        <v>0</v>
      </c>
      <c r="AP533" s="43">
        <f>IF(A533="","",IFERROR(INDEX('Invoice Lines'!$B$5:$B$804,MATCH(A533,'Invoice Lines'!$C$5:$C$804,0)),""))</f>
        <v>0</v>
      </c>
      <c r="AQ533" s="18">
        <f>IF(OR(G533="",B533="",X533&lt;&gt;"Yes"),"",IF(IFERROR(INDEX(FreqDays,MATCH(O533,FreqNames,0)),0)=0,"",B533+IFERROR(INDEX(FreqDays,MATCH(O533,FreqNames,0)),0)))</f>
        <v>0</v>
      </c>
      <c r="AR533" s="39">
        <f>IF(G533="","",IF(R533="","Unassigned",IF(COUNTIFS($R$5:$R$604,R533,$B$5:$B$604,B533,$F$5:$F$604,F533)&gt;1,"Clash",IF(SUMIFS($AF$5:$AF$604,$R$5:$R$604,R533,$B$5:$B$604,B533)&gt;ProductiveHours,"Long day","OK"))))</f>
        <v>0</v>
      </c>
      <c r="AS533" s="18">
        <f>IF(OR(G533="",B533=""),"",IF(AND(B533&gt;=TodayDate,P533&lt;&gt;"Cancelled"),B533,""))</f>
        <v>0</v>
      </c>
      <c r="AT533" s="31">
        <f>IF(AS533="","",COUNTIFS($AS$5:$AS$604,"&lt;"&amp;AS533)+COUNTIFS($AS$5:AS533,AS533))</f>
        <v>0</v>
      </c>
      <c r="AU533" s="18">
        <f>IF(OR(G533="",B533="",R533&lt;&gt;""),"",IF(AND(B533&gt;=TodayDate,P533&lt;&gt;"Cancelled"),B533,""))</f>
        <v>0</v>
      </c>
      <c r="AV533" s="31">
        <f>IF(AU533="","",COUNTIFS($AU$5:$AU$604,"&lt;"&amp;AU533)+COUNTIFS($AU$5:AU533,AU533))</f>
        <v>0</v>
      </c>
      <c r="AW533" s="31">
        <f>IF(OR(G533="",B533=""),"",B533-TodayDate)</f>
        <v>0</v>
      </c>
      <c r="AX533" s="39">
        <f>IF(G533="","",IF(P533="Cancelled","Cancelled",IF(P533="No access","Action - no access, rebook",IF(AND(B533&lt;&gt;"",AW533&lt;0,OR(P533="Booked",P533="Confirmed",P533="In progress")),"Late - mark it completed",IF(AND(P533="Completed",AP533=""),"Action - not invoiced yet",IF(AND(AW533&gt;=0,AW533&lt;=ReminderDays,Y533&lt;&gt;"Yes"),"Confirm - visit coming up",IF(R533="","Assign - no cleaner booked",IF(AND(P533="Completed",AO533&lt;&gt;"",AO533&lt;1),"Check - checklist unfinished","OK"))))))))</f>
        <v>0</v>
      </c>
    </row>
    <row r="534" spans="1:50">
      <c r="A534" s="43">
        <f>IF(G534="","",JobPrefix&amp;TEXT(ROW()-4,"0000"))</f>
        <v>0</v>
      </c>
      <c r="C534" s="23">
        <f>IF(B534="","",TEXT(B534,"ddd"))</f>
        <v>0</v>
      </c>
      <c r="D534" s="31">
        <f>IF(B534="","",WEEKNUM(B534,IF(WeekStart="Sunday",1,2)))</f>
        <v>0</v>
      </c>
      <c r="E534" s="23">
        <f>IF(B534="","",TEXT(B534,"yyyy-mm"))</f>
        <v>0</v>
      </c>
      <c r="H534" s="23">
        <f>IF(G534="","",IFERROR(INDEX(Clients!$B$5:$B$204,MATCH(G534,Clients!$A$5:$A$204,0)),"Not found"))</f>
        <v>0</v>
      </c>
      <c r="I534" s="23">
        <f>IF(G534="","",IFERROR(INDEX(Clients!$C$5:$C$204,MATCH(G534,Clients!$A$5:$A$204,0)),""))</f>
        <v>0</v>
      </c>
      <c r="K534" s="23">
        <f>IF(J534="","",IFERROR(INDEX(Properties!$B$5:$B$254,MATCH(J534,Properties!$A$5:$A$254,0)),""))</f>
        <v>0</v>
      </c>
      <c r="L534" s="23">
        <f>IF(J534="","",IFERROR(INDEX(Properties!$F$5:$F$254,MATCH(J534,Properties!$A$5:$A$254,0)),""))</f>
        <v>0</v>
      </c>
      <c r="AD534" s="34">
        <f>IF(G534="","",IF(U534&lt;&gt;"",U534,IF(AND(IFERROR(INDEX(Services!$D$5:$D$64,MATCH(M534,Services!$B$5:$B$64,0)),"")="Per hour",IFERROR(INDEX(Properties!$X$5:$X$254,MATCH(J534,Properties!$A$5:$A$254,0)),0)&gt;0),IFERROR(INDEX(Properties!$X$5:$X$254,MATCH(J534,Properties!$A$5:$A$254,0)),0),IF(IFERROR(INDEX(Services!$G$5:$G$64,MATCH(M534,Services!$B$5:$B$64,0)),0)&gt;0,IFERROR(INDEX(Services!$G$5:$G$64,MATCH(M534,Services!$B$5:$B$64,0)),0),IFERROR(INDEX(Properties!$X$5:$X$254,MATCH(J534,Properties!$A$5:$A$254,0)),0)))))</f>
        <v>0</v>
      </c>
      <c r="AE534" s="31">
        <f>IF(G534="","",IF(T534="",CleanersPerJob,MAX(1,T534)))</f>
        <v>0</v>
      </c>
      <c r="AF534" s="34">
        <f>IF(G534="","",ROUND(AD534/AE534,2))</f>
        <v>0</v>
      </c>
      <c r="AG534" s="53">
        <f>IF(OR(G534="",F534="",AF534=""),"",F534+AF534/24)</f>
        <v>0</v>
      </c>
      <c r="AH534" s="21">
        <f>IF(G534="","",IF(IFERROR(INDEX(Clients!$O$5:$O$204,MATCH(G534,Clients!$A$5:$A$204,0)),0)&gt;0,IFERROR(INDEX(Clients!$O$5:$O$204,MATCH(G534,Clients!$A$5:$A$204,0)),0),HourlyRate))</f>
        <v>0</v>
      </c>
      <c r="AI534" s="21">
        <f>IF(G534="","",IF(AND(M534&lt;&gt;"",IFERROR(INDEX(Services!$P$5:$P$64,MATCH(M534,Services!$B$5:$B$64,0)),0)&gt;0,IFERROR(INDEX(Services!$D$5:$D$64,MATCH(M534,Services!$B$5:$B$64,0)),"")&lt;&gt;"Per hour"),IFERROR(INDEX(Services!$P$5:$P$64,MATCH(M534,Services!$B$5:$B$64,0)),0),AD534*AH534))</f>
        <v>0</v>
      </c>
      <c r="AJ534" s="21">
        <f>IF(G534="","",IF(V534&lt;&gt;"",V534,IF(P534="Cancelled",0,MAX(MinimumCharge,ROUND(AI534*IFERROR(INDEX(FreqFactors,MATCH(O534,FreqNames,0)),1),2)))))</f>
        <v>0</v>
      </c>
      <c r="AK534" s="34">
        <f>IF(G534="","",IF(SUMIFS(Timesheets!$U$5:$U$804,Timesheets!$G$5:$G$804,A534)&gt;0,SUMIFS(Timesheets!$U$5:$U$804,Timesheets!$G$5:$G$804,A534),IF(Z534="","",Z534)))</f>
        <v>0</v>
      </c>
      <c r="AL534" s="34">
        <f>IF(OR(AK534="",AD534=""),"",AK534-AD534)</f>
        <v>0</v>
      </c>
      <c r="AM534" s="31">
        <f>IF(A534="","",COUNTIFS('Job Tasks'!$B$5:$B$904,A534))</f>
        <v>0</v>
      </c>
      <c r="AN534" s="31">
        <f>IF(A534="","",COUNTIFS('Job Tasks'!$B$5:$B$904,A534,'Job Tasks'!$H$5:$H$904,"Done"))</f>
        <v>0</v>
      </c>
      <c r="AO534" s="38">
        <f>IF(OR(A534="",AM534=0),"",AN534/AM534)</f>
        <v>0</v>
      </c>
      <c r="AP534" s="43">
        <f>IF(A534="","",IFERROR(INDEX('Invoice Lines'!$B$5:$B$804,MATCH(A534,'Invoice Lines'!$C$5:$C$804,0)),""))</f>
        <v>0</v>
      </c>
      <c r="AQ534" s="18">
        <f>IF(OR(G534="",B534="",X534&lt;&gt;"Yes"),"",IF(IFERROR(INDEX(FreqDays,MATCH(O534,FreqNames,0)),0)=0,"",B534+IFERROR(INDEX(FreqDays,MATCH(O534,FreqNames,0)),0)))</f>
        <v>0</v>
      </c>
      <c r="AR534" s="39">
        <f>IF(G534="","",IF(R534="","Unassigned",IF(COUNTIFS($R$5:$R$604,R534,$B$5:$B$604,B534,$F$5:$F$604,F534)&gt;1,"Clash",IF(SUMIFS($AF$5:$AF$604,$R$5:$R$604,R534,$B$5:$B$604,B534)&gt;ProductiveHours,"Long day","OK"))))</f>
        <v>0</v>
      </c>
      <c r="AS534" s="18">
        <f>IF(OR(G534="",B534=""),"",IF(AND(B534&gt;=TodayDate,P534&lt;&gt;"Cancelled"),B534,""))</f>
        <v>0</v>
      </c>
      <c r="AT534" s="31">
        <f>IF(AS534="","",COUNTIFS($AS$5:$AS$604,"&lt;"&amp;AS534)+COUNTIFS($AS$5:AS534,AS534))</f>
        <v>0</v>
      </c>
      <c r="AU534" s="18">
        <f>IF(OR(G534="",B534="",R534&lt;&gt;""),"",IF(AND(B534&gt;=TodayDate,P534&lt;&gt;"Cancelled"),B534,""))</f>
        <v>0</v>
      </c>
      <c r="AV534" s="31">
        <f>IF(AU534="","",COUNTIFS($AU$5:$AU$604,"&lt;"&amp;AU534)+COUNTIFS($AU$5:AU534,AU534))</f>
        <v>0</v>
      </c>
      <c r="AW534" s="31">
        <f>IF(OR(G534="",B534=""),"",B534-TodayDate)</f>
        <v>0</v>
      </c>
      <c r="AX534" s="39">
        <f>IF(G534="","",IF(P534="Cancelled","Cancelled",IF(P534="No access","Action - no access, rebook",IF(AND(B534&lt;&gt;"",AW534&lt;0,OR(P534="Booked",P534="Confirmed",P534="In progress")),"Late - mark it completed",IF(AND(P534="Completed",AP534=""),"Action - not invoiced yet",IF(AND(AW534&gt;=0,AW534&lt;=ReminderDays,Y534&lt;&gt;"Yes"),"Confirm - visit coming up",IF(R534="","Assign - no cleaner booked",IF(AND(P534="Completed",AO534&lt;&gt;"",AO534&lt;1),"Check - checklist unfinished","OK"))))))))</f>
        <v>0</v>
      </c>
    </row>
    <row r="535" spans="1:50">
      <c r="A535" s="43">
        <f>IF(G535="","",JobPrefix&amp;TEXT(ROW()-4,"0000"))</f>
        <v>0</v>
      </c>
      <c r="C535" s="23">
        <f>IF(B535="","",TEXT(B535,"ddd"))</f>
        <v>0</v>
      </c>
      <c r="D535" s="31">
        <f>IF(B535="","",WEEKNUM(B535,IF(WeekStart="Sunday",1,2)))</f>
        <v>0</v>
      </c>
      <c r="E535" s="23">
        <f>IF(B535="","",TEXT(B535,"yyyy-mm"))</f>
        <v>0</v>
      </c>
      <c r="H535" s="23">
        <f>IF(G535="","",IFERROR(INDEX(Clients!$B$5:$B$204,MATCH(G535,Clients!$A$5:$A$204,0)),"Not found"))</f>
        <v>0</v>
      </c>
      <c r="I535" s="23">
        <f>IF(G535="","",IFERROR(INDEX(Clients!$C$5:$C$204,MATCH(G535,Clients!$A$5:$A$204,0)),""))</f>
        <v>0</v>
      </c>
      <c r="K535" s="23">
        <f>IF(J535="","",IFERROR(INDEX(Properties!$B$5:$B$254,MATCH(J535,Properties!$A$5:$A$254,0)),""))</f>
        <v>0</v>
      </c>
      <c r="L535" s="23">
        <f>IF(J535="","",IFERROR(INDEX(Properties!$F$5:$F$254,MATCH(J535,Properties!$A$5:$A$254,0)),""))</f>
        <v>0</v>
      </c>
      <c r="AD535" s="34">
        <f>IF(G535="","",IF(U535&lt;&gt;"",U535,IF(AND(IFERROR(INDEX(Services!$D$5:$D$64,MATCH(M535,Services!$B$5:$B$64,0)),"")="Per hour",IFERROR(INDEX(Properties!$X$5:$X$254,MATCH(J535,Properties!$A$5:$A$254,0)),0)&gt;0),IFERROR(INDEX(Properties!$X$5:$X$254,MATCH(J535,Properties!$A$5:$A$254,0)),0),IF(IFERROR(INDEX(Services!$G$5:$G$64,MATCH(M535,Services!$B$5:$B$64,0)),0)&gt;0,IFERROR(INDEX(Services!$G$5:$G$64,MATCH(M535,Services!$B$5:$B$64,0)),0),IFERROR(INDEX(Properties!$X$5:$X$254,MATCH(J535,Properties!$A$5:$A$254,0)),0)))))</f>
        <v>0</v>
      </c>
      <c r="AE535" s="31">
        <f>IF(G535="","",IF(T535="",CleanersPerJob,MAX(1,T535)))</f>
        <v>0</v>
      </c>
      <c r="AF535" s="34">
        <f>IF(G535="","",ROUND(AD535/AE535,2))</f>
        <v>0</v>
      </c>
      <c r="AG535" s="53">
        <f>IF(OR(G535="",F535="",AF535=""),"",F535+AF535/24)</f>
        <v>0</v>
      </c>
      <c r="AH535" s="21">
        <f>IF(G535="","",IF(IFERROR(INDEX(Clients!$O$5:$O$204,MATCH(G535,Clients!$A$5:$A$204,0)),0)&gt;0,IFERROR(INDEX(Clients!$O$5:$O$204,MATCH(G535,Clients!$A$5:$A$204,0)),0),HourlyRate))</f>
        <v>0</v>
      </c>
      <c r="AI535" s="21">
        <f>IF(G535="","",IF(AND(M535&lt;&gt;"",IFERROR(INDEX(Services!$P$5:$P$64,MATCH(M535,Services!$B$5:$B$64,0)),0)&gt;0,IFERROR(INDEX(Services!$D$5:$D$64,MATCH(M535,Services!$B$5:$B$64,0)),"")&lt;&gt;"Per hour"),IFERROR(INDEX(Services!$P$5:$P$64,MATCH(M535,Services!$B$5:$B$64,0)),0),AD535*AH535))</f>
        <v>0</v>
      </c>
      <c r="AJ535" s="21">
        <f>IF(G535="","",IF(V535&lt;&gt;"",V535,IF(P535="Cancelled",0,MAX(MinimumCharge,ROUND(AI535*IFERROR(INDEX(FreqFactors,MATCH(O535,FreqNames,0)),1),2)))))</f>
        <v>0</v>
      </c>
      <c r="AK535" s="34">
        <f>IF(G535="","",IF(SUMIFS(Timesheets!$U$5:$U$804,Timesheets!$G$5:$G$804,A535)&gt;0,SUMIFS(Timesheets!$U$5:$U$804,Timesheets!$G$5:$G$804,A535),IF(Z535="","",Z535)))</f>
        <v>0</v>
      </c>
      <c r="AL535" s="34">
        <f>IF(OR(AK535="",AD535=""),"",AK535-AD535)</f>
        <v>0</v>
      </c>
      <c r="AM535" s="31">
        <f>IF(A535="","",COUNTIFS('Job Tasks'!$B$5:$B$904,A535))</f>
        <v>0</v>
      </c>
      <c r="AN535" s="31">
        <f>IF(A535="","",COUNTIFS('Job Tasks'!$B$5:$B$904,A535,'Job Tasks'!$H$5:$H$904,"Done"))</f>
        <v>0</v>
      </c>
      <c r="AO535" s="38">
        <f>IF(OR(A535="",AM535=0),"",AN535/AM535)</f>
        <v>0</v>
      </c>
      <c r="AP535" s="43">
        <f>IF(A535="","",IFERROR(INDEX('Invoice Lines'!$B$5:$B$804,MATCH(A535,'Invoice Lines'!$C$5:$C$804,0)),""))</f>
        <v>0</v>
      </c>
      <c r="AQ535" s="18">
        <f>IF(OR(G535="",B535="",X535&lt;&gt;"Yes"),"",IF(IFERROR(INDEX(FreqDays,MATCH(O535,FreqNames,0)),0)=0,"",B535+IFERROR(INDEX(FreqDays,MATCH(O535,FreqNames,0)),0)))</f>
        <v>0</v>
      </c>
      <c r="AR535" s="39">
        <f>IF(G535="","",IF(R535="","Unassigned",IF(COUNTIFS($R$5:$R$604,R535,$B$5:$B$604,B535,$F$5:$F$604,F535)&gt;1,"Clash",IF(SUMIFS($AF$5:$AF$604,$R$5:$R$604,R535,$B$5:$B$604,B535)&gt;ProductiveHours,"Long day","OK"))))</f>
        <v>0</v>
      </c>
      <c r="AS535" s="18">
        <f>IF(OR(G535="",B535=""),"",IF(AND(B535&gt;=TodayDate,P535&lt;&gt;"Cancelled"),B535,""))</f>
        <v>0</v>
      </c>
      <c r="AT535" s="31">
        <f>IF(AS535="","",COUNTIFS($AS$5:$AS$604,"&lt;"&amp;AS535)+COUNTIFS($AS$5:AS535,AS535))</f>
        <v>0</v>
      </c>
      <c r="AU535" s="18">
        <f>IF(OR(G535="",B535="",R535&lt;&gt;""),"",IF(AND(B535&gt;=TodayDate,P535&lt;&gt;"Cancelled"),B535,""))</f>
        <v>0</v>
      </c>
      <c r="AV535" s="31">
        <f>IF(AU535="","",COUNTIFS($AU$5:$AU$604,"&lt;"&amp;AU535)+COUNTIFS($AU$5:AU535,AU535))</f>
        <v>0</v>
      </c>
      <c r="AW535" s="31">
        <f>IF(OR(G535="",B535=""),"",B535-TodayDate)</f>
        <v>0</v>
      </c>
      <c r="AX535" s="39">
        <f>IF(G535="","",IF(P535="Cancelled","Cancelled",IF(P535="No access","Action - no access, rebook",IF(AND(B535&lt;&gt;"",AW535&lt;0,OR(P535="Booked",P535="Confirmed",P535="In progress")),"Late - mark it completed",IF(AND(P535="Completed",AP535=""),"Action - not invoiced yet",IF(AND(AW535&gt;=0,AW535&lt;=ReminderDays,Y535&lt;&gt;"Yes"),"Confirm - visit coming up",IF(R535="","Assign - no cleaner booked",IF(AND(P535="Completed",AO535&lt;&gt;"",AO535&lt;1),"Check - checklist unfinished","OK"))))))))</f>
        <v>0</v>
      </c>
    </row>
    <row r="536" spans="1:50">
      <c r="A536" s="43">
        <f>IF(G536="","",JobPrefix&amp;TEXT(ROW()-4,"0000"))</f>
        <v>0</v>
      </c>
      <c r="C536" s="23">
        <f>IF(B536="","",TEXT(B536,"ddd"))</f>
        <v>0</v>
      </c>
      <c r="D536" s="31">
        <f>IF(B536="","",WEEKNUM(B536,IF(WeekStart="Sunday",1,2)))</f>
        <v>0</v>
      </c>
      <c r="E536" s="23">
        <f>IF(B536="","",TEXT(B536,"yyyy-mm"))</f>
        <v>0</v>
      </c>
      <c r="H536" s="23">
        <f>IF(G536="","",IFERROR(INDEX(Clients!$B$5:$B$204,MATCH(G536,Clients!$A$5:$A$204,0)),"Not found"))</f>
        <v>0</v>
      </c>
      <c r="I536" s="23">
        <f>IF(G536="","",IFERROR(INDEX(Clients!$C$5:$C$204,MATCH(G536,Clients!$A$5:$A$204,0)),""))</f>
        <v>0</v>
      </c>
      <c r="K536" s="23">
        <f>IF(J536="","",IFERROR(INDEX(Properties!$B$5:$B$254,MATCH(J536,Properties!$A$5:$A$254,0)),""))</f>
        <v>0</v>
      </c>
      <c r="L536" s="23">
        <f>IF(J536="","",IFERROR(INDEX(Properties!$F$5:$F$254,MATCH(J536,Properties!$A$5:$A$254,0)),""))</f>
        <v>0</v>
      </c>
      <c r="AD536" s="34">
        <f>IF(G536="","",IF(U536&lt;&gt;"",U536,IF(AND(IFERROR(INDEX(Services!$D$5:$D$64,MATCH(M536,Services!$B$5:$B$64,0)),"")="Per hour",IFERROR(INDEX(Properties!$X$5:$X$254,MATCH(J536,Properties!$A$5:$A$254,0)),0)&gt;0),IFERROR(INDEX(Properties!$X$5:$X$254,MATCH(J536,Properties!$A$5:$A$254,0)),0),IF(IFERROR(INDEX(Services!$G$5:$G$64,MATCH(M536,Services!$B$5:$B$64,0)),0)&gt;0,IFERROR(INDEX(Services!$G$5:$G$64,MATCH(M536,Services!$B$5:$B$64,0)),0),IFERROR(INDEX(Properties!$X$5:$X$254,MATCH(J536,Properties!$A$5:$A$254,0)),0)))))</f>
        <v>0</v>
      </c>
      <c r="AE536" s="31">
        <f>IF(G536="","",IF(T536="",CleanersPerJob,MAX(1,T536)))</f>
        <v>0</v>
      </c>
      <c r="AF536" s="34">
        <f>IF(G536="","",ROUND(AD536/AE536,2))</f>
        <v>0</v>
      </c>
      <c r="AG536" s="53">
        <f>IF(OR(G536="",F536="",AF536=""),"",F536+AF536/24)</f>
        <v>0</v>
      </c>
      <c r="AH536" s="21">
        <f>IF(G536="","",IF(IFERROR(INDEX(Clients!$O$5:$O$204,MATCH(G536,Clients!$A$5:$A$204,0)),0)&gt;0,IFERROR(INDEX(Clients!$O$5:$O$204,MATCH(G536,Clients!$A$5:$A$204,0)),0),HourlyRate))</f>
        <v>0</v>
      </c>
      <c r="AI536" s="21">
        <f>IF(G536="","",IF(AND(M536&lt;&gt;"",IFERROR(INDEX(Services!$P$5:$P$64,MATCH(M536,Services!$B$5:$B$64,0)),0)&gt;0,IFERROR(INDEX(Services!$D$5:$D$64,MATCH(M536,Services!$B$5:$B$64,0)),"")&lt;&gt;"Per hour"),IFERROR(INDEX(Services!$P$5:$P$64,MATCH(M536,Services!$B$5:$B$64,0)),0),AD536*AH536))</f>
        <v>0</v>
      </c>
      <c r="AJ536" s="21">
        <f>IF(G536="","",IF(V536&lt;&gt;"",V536,IF(P536="Cancelled",0,MAX(MinimumCharge,ROUND(AI536*IFERROR(INDEX(FreqFactors,MATCH(O536,FreqNames,0)),1),2)))))</f>
        <v>0</v>
      </c>
      <c r="AK536" s="34">
        <f>IF(G536="","",IF(SUMIFS(Timesheets!$U$5:$U$804,Timesheets!$G$5:$G$804,A536)&gt;0,SUMIFS(Timesheets!$U$5:$U$804,Timesheets!$G$5:$G$804,A536),IF(Z536="","",Z536)))</f>
        <v>0</v>
      </c>
      <c r="AL536" s="34">
        <f>IF(OR(AK536="",AD536=""),"",AK536-AD536)</f>
        <v>0</v>
      </c>
      <c r="AM536" s="31">
        <f>IF(A536="","",COUNTIFS('Job Tasks'!$B$5:$B$904,A536))</f>
        <v>0</v>
      </c>
      <c r="AN536" s="31">
        <f>IF(A536="","",COUNTIFS('Job Tasks'!$B$5:$B$904,A536,'Job Tasks'!$H$5:$H$904,"Done"))</f>
        <v>0</v>
      </c>
      <c r="AO536" s="38">
        <f>IF(OR(A536="",AM536=0),"",AN536/AM536)</f>
        <v>0</v>
      </c>
      <c r="AP536" s="43">
        <f>IF(A536="","",IFERROR(INDEX('Invoice Lines'!$B$5:$B$804,MATCH(A536,'Invoice Lines'!$C$5:$C$804,0)),""))</f>
        <v>0</v>
      </c>
      <c r="AQ536" s="18">
        <f>IF(OR(G536="",B536="",X536&lt;&gt;"Yes"),"",IF(IFERROR(INDEX(FreqDays,MATCH(O536,FreqNames,0)),0)=0,"",B536+IFERROR(INDEX(FreqDays,MATCH(O536,FreqNames,0)),0)))</f>
        <v>0</v>
      </c>
      <c r="AR536" s="39">
        <f>IF(G536="","",IF(R536="","Unassigned",IF(COUNTIFS($R$5:$R$604,R536,$B$5:$B$604,B536,$F$5:$F$604,F536)&gt;1,"Clash",IF(SUMIFS($AF$5:$AF$604,$R$5:$R$604,R536,$B$5:$B$604,B536)&gt;ProductiveHours,"Long day","OK"))))</f>
        <v>0</v>
      </c>
      <c r="AS536" s="18">
        <f>IF(OR(G536="",B536=""),"",IF(AND(B536&gt;=TodayDate,P536&lt;&gt;"Cancelled"),B536,""))</f>
        <v>0</v>
      </c>
      <c r="AT536" s="31">
        <f>IF(AS536="","",COUNTIFS($AS$5:$AS$604,"&lt;"&amp;AS536)+COUNTIFS($AS$5:AS536,AS536))</f>
        <v>0</v>
      </c>
      <c r="AU536" s="18">
        <f>IF(OR(G536="",B536="",R536&lt;&gt;""),"",IF(AND(B536&gt;=TodayDate,P536&lt;&gt;"Cancelled"),B536,""))</f>
        <v>0</v>
      </c>
      <c r="AV536" s="31">
        <f>IF(AU536="","",COUNTIFS($AU$5:$AU$604,"&lt;"&amp;AU536)+COUNTIFS($AU$5:AU536,AU536))</f>
        <v>0</v>
      </c>
      <c r="AW536" s="31">
        <f>IF(OR(G536="",B536=""),"",B536-TodayDate)</f>
        <v>0</v>
      </c>
      <c r="AX536" s="39">
        <f>IF(G536="","",IF(P536="Cancelled","Cancelled",IF(P536="No access","Action - no access, rebook",IF(AND(B536&lt;&gt;"",AW536&lt;0,OR(P536="Booked",P536="Confirmed",P536="In progress")),"Late - mark it completed",IF(AND(P536="Completed",AP536=""),"Action - not invoiced yet",IF(AND(AW536&gt;=0,AW536&lt;=ReminderDays,Y536&lt;&gt;"Yes"),"Confirm - visit coming up",IF(R536="","Assign - no cleaner booked",IF(AND(P536="Completed",AO536&lt;&gt;"",AO536&lt;1),"Check - checklist unfinished","OK"))))))))</f>
        <v>0</v>
      </c>
    </row>
    <row r="537" spans="1:50">
      <c r="A537" s="43">
        <f>IF(G537="","",JobPrefix&amp;TEXT(ROW()-4,"0000"))</f>
        <v>0</v>
      </c>
      <c r="C537" s="23">
        <f>IF(B537="","",TEXT(B537,"ddd"))</f>
        <v>0</v>
      </c>
      <c r="D537" s="31">
        <f>IF(B537="","",WEEKNUM(B537,IF(WeekStart="Sunday",1,2)))</f>
        <v>0</v>
      </c>
      <c r="E537" s="23">
        <f>IF(B537="","",TEXT(B537,"yyyy-mm"))</f>
        <v>0</v>
      </c>
      <c r="H537" s="23">
        <f>IF(G537="","",IFERROR(INDEX(Clients!$B$5:$B$204,MATCH(G537,Clients!$A$5:$A$204,0)),"Not found"))</f>
        <v>0</v>
      </c>
      <c r="I537" s="23">
        <f>IF(G537="","",IFERROR(INDEX(Clients!$C$5:$C$204,MATCH(G537,Clients!$A$5:$A$204,0)),""))</f>
        <v>0</v>
      </c>
      <c r="K537" s="23">
        <f>IF(J537="","",IFERROR(INDEX(Properties!$B$5:$B$254,MATCH(J537,Properties!$A$5:$A$254,0)),""))</f>
        <v>0</v>
      </c>
      <c r="L537" s="23">
        <f>IF(J537="","",IFERROR(INDEX(Properties!$F$5:$F$254,MATCH(J537,Properties!$A$5:$A$254,0)),""))</f>
        <v>0</v>
      </c>
      <c r="AD537" s="34">
        <f>IF(G537="","",IF(U537&lt;&gt;"",U537,IF(AND(IFERROR(INDEX(Services!$D$5:$D$64,MATCH(M537,Services!$B$5:$B$64,0)),"")="Per hour",IFERROR(INDEX(Properties!$X$5:$X$254,MATCH(J537,Properties!$A$5:$A$254,0)),0)&gt;0),IFERROR(INDEX(Properties!$X$5:$X$254,MATCH(J537,Properties!$A$5:$A$254,0)),0),IF(IFERROR(INDEX(Services!$G$5:$G$64,MATCH(M537,Services!$B$5:$B$64,0)),0)&gt;0,IFERROR(INDEX(Services!$G$5:$G$64,MATCH(M537,Services!$B$5:$B$64,0)),0),IFERROR(INDEX(Properties!$X$5:$X$254,MATCH(J537,Properties!$A$5:$A$254,0)),0)))))</f>
        <v>0</v>
      </c>
      <c r="AE537" s="31">
        <f>IF(G537="","",IF(T537="",CleanersPerJob,MAX(1,T537)))</f>
        <v>0</v>
      </c>
      <c r="AF537" s="34">
        <f>IF(G537="","",ROUND(AD537/AE537,2))</f>
        <v>0</v>
      </c>
      <c r="AG537" s="53">
        <f>IF(OR(G537="",F537="",AF537=""),"",F537+AF537/24)</f>
        <v>0</v>
      </c>
      <c r="AH537" s="21">
        <f>IF(G537="","",IF(IFERROR(INDEX(Clients!$O$5:$O$204,MATCH(G537,Clients!$A$5:$A$204,0)),0)&gt;0,IFERROR(INDEX(Clients!$O$5:$O$204,MATCH(G537,Clients!$A$5:$A$204,0)),0),HourlyRate))</f>
        <v>0</v>
      </c>
      <c r="AI537" s="21">
        <f>IF(G537="","",IF(AND(M537&lt;&gt;"",IFERROR(INDEX(Services!$P$5:$P$64,MATCH(M537,Services!$B$5:$B$64,0)),0)&gt;0,IFERROR(INDEX(Services!$D$5:$D$64,MATCH(M537,Services!$B$5:$B$64,0)),"")&lt;&gt;"Per hour"),IFERROR(INDEX(Services!$P$5:$P$64,MATCH(M537,Services!$B$5:$B$64,0)),0),AD537*AH537))</f>
        <v>0</v>
      </c>
      <c r="AJ537" s="21">
        <f>IF(G537="","",IF(V537&lt;&gt;"",V537,IF(P537="Cancelled",0,MAX(MinimumCharge,ROUND(AI537*IFERROR(INDEX(FreqFactors,MATCH(O537,FreqNames,0)),1),2)))))</f>
        <v>0</v>
      </c>
      <c r="AK537" s="34">
        <f>IF(G537="","",IF(SUMIFS(Timesheets!$U$5:$U$804,Timesheets!$G$5:$G$804,A537)&gt;0,SUMIFS(Timesheets!$U$5:$U$804,Timesheets!$G$5:$G$804,A537),IF(Z537="","",Z537)))</f>
        <v>0</v>
      </c>
      <c r="AL537" s="34">
        <f>IF(OR(AK537="",AD537=""),"",AK537-AD537)</f>
        <v>0</v>
      </c>
      <c r="AM537" s="31">
        <f>IF(A537="","",COUNTIFS('Job Tasks'!$B$5:$B$904,A537))</f>
        <v>0</v>
      </c>
      <c r="AN537" s="31">
        <f>IF(A537="","",COUNTIFS('Job Tasks'!$B$5:$B$904,A537,'Job Tasks'!$H$5:$H$904,"Done"))</f>
        <v>0</v>
      </c>
      <c r="AO537" s="38">
        <f>IF(OR(A537="",AM537=0),"",AN537/AM537)</f>
        <v>0</v>
      </c>
      <c r="AP537" s="43">
        <f>IF(A537="","",IFERROR(INDEX('Invoice Lines'!$B$5:$B$804,MATCH(A537,'Invoice Lines'!$C$5:$C$804,0)),""))</f>
        <v>0</v>
      </c>
      <c r="AQ537" s="18">
        <f>IF(OR(G537="",B537="",X537&lt;&gt;"Yes"),"",IF(IFERROR(INDEX(FreqDays,MATCH(O537,FreqNames,0)),0)=0,"",B537+IFERROR(INDEX(FreqDays,MATCH(O537,FreqNames,0)),0)))</f>
        <v>0</v>
      </c>
      <c r="AR537" s="39">
        <f>IF(G537="","",IF(R537="","Unassigned",IF(COUNTIFS($R$5:$R$604,R537,$B$5:$B$604,B537,$F$5:$F$604,F537)&gt;1,"Clash",IF(SUMIFS($AF$5:$AF$604,$R$5:$R$604,R537,$B$5:$B$604,B537)&gt;ProductiveHours,"Long day","OK"))))</f>
        <v>0</v>
      </c>
      <c r="AS537" s="18">
        <f>IF(OR(G537="",B537=""),"",IF(AND(B537&gt;=TodayDate,P537&lt;&gt;"Cancelled"),B537,""))</f>
        <v>0</v>
      </c>
      <c r="AT537" s="31">
        <f>IF(AS537="","",COUNTIFS($AS$5:$AS$604,"&lt;"&amp;AS537)+COUNTIFS($AS$5:AS537,AS537))</f>
        <v>0</v>
      </c>
      <c r="AU537" s="18">
        <f>IF(OR(G537="",B537="",R537&lt;&gt;""),"",IF(AND(B537&gt;=TodayDate,P537&lt;&gt;"Cancelled"),B537,""))</f>
        <v>0</v>
      </c>
      <c r="AV537" s="31">
        <f>IF(AU537="","",COUNTIFS($AU$5:$AU$604,"&lt;"&amp;AU537)+COUNTIFS($AU$5:AU537,AU537))</f>
        <v>0</v>
      </c>
      <c r="AW537" s="31">
        <f>IF(OR(G537="",B537=""),"",B537-TodayDate)</f>
        <v>0</v>
      </c>
      <c r="AX537" s="39">
        <f>IF(G537="","",IF(P537="Cancelled","Cancelled",IF(P537="No access","Action - no access, rebook",IF(AND(B537&lt;&gt;"",AW537&lt;0,OR(P537="Booked",P537="Confirmed",P537="In progress")),"Late - mark it completed",IF(AND(P537="Completed",AP537=""),"Action - not invoiced yet",IF(AND(AW537&gt;=0,AW537&lt;=ReminderDays,Y537&lt;&gt;"Yes"),"Confirm - visit coming up",IF(R537="","Assign - no cleaner booked",IF(AND(P537="Completed",AO537&lt;&gt;"",AO537&lt;1),"Check - checklist unfinished","OK"))))))))</f>
        <v>0</v>
      </c>
    </row>
    <row r="538" spans="1:50">
      <c r="A538" s="43">
        <f>IF(G538="","",JobPrefix&amp;TEXT(ROW()-4,"0000"))</f>
        <v>0</v>
      </c>
      <c r="C538" s="23">
        <f>IF(B538="","",TEXT(B538,"ddd"))</f>
        <v>0</v>
      </c>
      <c r="D538" s="31">
        <f>IF(B538="","",WEEKNUM(B538,IF(WeekStart="Sunday",1,2)))</f>
        <v>0</v>
      </c>
      <c r="E538" s="23">
        <f>IF(B538="","",TEXT(B538,"yyyy-mm"))</f>
        <v>0</v>
      </c>
      <c r="H538" s="23">
        <f>IF(G538="","",IFERROR(INDEX(Clients!$B$5:$B$204,MATCH(G538,Clients!$A$5:$A$204,0)),"Not found"))</f>
        <v>0</v>
      </c>
      <c r="I538" s="23">
        <f>IF(G538="","",IFERROR(INDEX(Clients!$C$5:$C$204,MATCH(G538,Clients!$A$5:$A$204,0)),""))</f>
        <v>0</v>
      </c>
      <c r="K538" s="23">
        <f>IF(J538="","",IFERROR(INDEX(Properties!$B$5:$B$254,MATCH(J538,Properties!$A$5:$A$254,0)),""))</f>
        <v>0</v>
      </c>
      <c r="L538" s="23">
        <f>IF(J538="","",IFERROR(INDEX(Properties!$F$5:$F$254,MATCH(J538,Properties!$A$5:$A$254,0)),""))</f>
        <v>0</v>
      </c>
      <c r="AD538" s="34">
        <f>IF(G538="","",IF(U538&lt;&gt;"",U538,IF(AND(IFERROR(INDEX(Services!$D$5:$D$64,MATCH(M538,Services!$B$5:$B$64,0)),"")="Per hour",IFERROR(INDEX(Properties!$X$5:$X$254,MATCH(J538,Properties!$A$5:$A$254,0)),0)&gt;0),IFERROR(INDEX(Properties!$X$5:$X$254,MATCH(J538,Properties!$A$5:$A$254,0)),0),IF(IFERROR(INDEX(Services!$G$5:$G$64,MATCH(M538,Services!$B$5:$B$64,0)),0)&gt;0,IFERROR(INDEX(Services!$G$5:$G$64,MATCH(M538,Services!$B$5:$B$64,0)),0),IFERROR(INDEX(Properties!$X$5:$X$254,MATCH(J538,Properties!$A$5:$A$254,0)),0)))))</f>
        <v>0</v>
      </c>
      <c r="AE538" s="31">
        <f>IF(G538="","",IF(T538="",CleanersPerJob,MAX(1,T538)))</f>
        <v>0</v>
      </c>
      <c r="AF538" s="34">
        <f>IF(G538="","",ROUND(AD538/AE538,2))</f>
        <v>0</v>
      </c>
      <c r="AG538" s="53">
        <f>IF(OR(G538="",F538="",AF538=""),"",F538+AF538/24)</f>
        <v>0</v>
      </c>
      <c r="AH538" s="21">
        <f>IF(G538="","",IF(IFERROR(INDEX(Clients!$O$5:$O$204,MATCH(G538,Clients!$A$5:$A$204,0)),0)&gt;0,IFERROR(INDEX(Clients!$O$5:$O$204,MATCH(G538,Clients!$A$5:$A$204,0)),0),HourlyRate))</f>
        <v>0</v>
      </c>
      <c r="AI538" s="21">
        <f>IF(G538="","",IF(AND(M538&lt;&gt;"",IFERROR(INDEX(Services!$P$5:$P$64,MATCH(M538,Services!$B$5:$B$64,0)),0)&gt;0,IFERROR(INDEX(Services!$D$5:$D$64,MATCH(M538,Services!$B$5:$B$64,0)),"")&lt;&gt;"Per hour"),IFERROR(INDEX(Services!$P$5:$P$64,MATCH(M538,Services!$B$5:$B$64,0)),0),AD538*AH538))</f>
        <v>0</v>
      </c>
      <c r="AJ538" s="21">
        <f>IF(G538="","",IF(V538&lt;&gt;"",V538,IF(P538="Cancelled",0,MAX(MinimumCharge,ROUND(AI538*IFERROR(INDEX(FreqFactors,MATCH(O538,FreqNames,0)),1),2)))))</f>
        <v>0</v>
      </c>
      <c r="AK538" s="34">
        <f>IF(G538="","",IF(SUMIFS(Timesheets!$U$5:$U$804,Timesheets!$G$5:$G$804,A538)&gt;0,SUMIFS(Timesheets!$U$5:$U$804,Timesheets!$G$5:$G$804,A538),IF(Z538="","",Z538)))</f>
        <v>0</v>
      </c>
      <c r="AL538" s="34">
        <f>IF(OR(AK538="",AD538=""),"",AK538-AD538)</f>
        <v>0</v>
      </c>
      <c r="AM538" s="31">
        <f>IF(A538="","",COUNTIFS('Job Tasks'!$B$5:$B$904,A538))</f>
        <v>0</v>
      </c>
      <c r="AN538" s="31">
        <f>IF(A538="","",COUNTIFS('Job Tasks'!$B$5:$B$904,A538,'Job Tasks'!$H$5:$H$904,"Done"))</f>
        <v>0</v>
      </c>
      <c r="AO538" s="38">
        <f>IF(OR(A538="",AM538=0),"",AN538/AM538)</f>
        <v>0</v>
      </c>
      <c r="AP538" s="43">
        <f>IF(A538="","",IFERROR(INDEX('Invoice Lines'!$B$5:$B$804,MATCH(A538,'Invoice Lines'!$C$5:$C$804,0)),""))</f>
        <v>0</v>
      </c>
      <c r="AQ538" s="18">
        <f>IF(OR(G538="",B538="",X538&lt;&gt;"Yes"),"",IF(IFERROR(INDEX(FreqDays,MATCH(O538,FreqNames,0)),0)=0,"",B538+IFERROR(INDEX(FreqDays,MATCH(O538,FreqNames,0)),0)))</f>
        <v>0</v>
      </c>
      <c r="AR538" s="39">
        <f>IF(G538="","",IF(R538="","Unassigned",IF(COUNTIFS($R$5:$R$604,R538,$B$5:$B$604,B538,$F$5:$F$604,F538)&gt;1,"Clash",IF(SUMIFS($AF$5:$AF$604,$R$5:$R$604,R538,$B$5:$B$604,B538)&gt;ProductiveHours,"Long day","OK"))))</f>
        <v>0</v>
      </c>
      <c r="AS538" s="18">
        <f>IF(OR(G538="",B538=""),"",IF(AND(B538&gt;=TodayDate,P538&lt;&gt;"Cancelled"),B538,""))</f>
        <v>0</v>
      </c>
      <c r="AT538" s="31">
        <f>IF(AS538="","",COUNTIFS($AS$5:$AS$604,"&lt;"&amp;AS538)+COUNTIFS($AS$5:AS538,AS538))</f>
        <v>0</v>
      </c>
      <c r="AU538" s="18">
        <f>IF(OR(G538="",B538="",R538&lt;&gt;""),"",IF(AND(B538&gt;=TodayDate,P538&lt;&gt;"Cancelled"),B538,""))</f>
        <v>0</v>
      </c>
      <c r="AV538" s="31">
        <f>IF(AU538="","",COUNTIFS($AU$5:$AU$604,"&lt;"&amp;AU538)+COUNTIFS($AU$5:AU538,AU538))</f>
        <v>0</v>
      </c>
      <c r="AW538" s="31">
        <f>IF(OR(G538="",B538=""),"",B538-TodayDate)</f>
        <v>0</v>
      </c>
      <c r="AX538" s="39">
        <f>IF(G538="","",IF(P538="Cancelled","Cancelled",IF(P538="No access","Action - no access, rebook",IF(AND(B538&lt;&gt;"",AW538&lt;0,OR(P538="Booked",P538="Confirmed",P538="In progress")),"Late - mark it completed",IF(AND(P538="Completed",AP538=""),"Action - not invoiced yet",IF(AND(AW538&gt;=0,AW538&lt;=ReminderDays,Y538&lt;&gt;"Yes"),"Confirm - visit coming up",IF(R538="","Assign - no cleaner booked",IF(AND(P538="Completed",AO538&lt;&gt;"",AO538&lt;1),"Check - checklist unfinished","OK"))))))))</f>
        <v>0</v>
      </c>
    </row>
    <row r="539" spans="1:50">
      <c r="A539" s="43">
        <f>IF(G539="","",JobPrefix&amp;TEXT(ROW()-4,"0000"))</f>
        <v>0</v>
      </c>
      <c r="C539" s="23">
        <f>IF(B539="","",TEXT(B539,"ddd"))</f>
        <v>0</v>
      </c>
      <c r="D539" s="31">
        <f>IF(B539="","",WEEKNUM(B539,IF(WeekStart="Sunday",1,2)))</f>
        <v>0</v>
      </c>
      <c r="E539" s="23">
        <f>IF(B539="","",TEXT(B539,"yyyy-mm"))</f>
        <v>0</v>
      </c>
      <c r="H539" s="23">
        <f>IF(G539="","",IFERROR(INDEX(Clients!$B$5:$B$204,MATCH(G539,Clients!$A$5:$A$204,0)),"Not found"))</f>
        <v>0</v>
      </c>
      <c r="I539" s="23">
        <f>IF(G539="","",IFERROR(INDEX(Clients!$C$5:$C$204,MATCH(G539,Clients!$A$5:$A$204,0)),""))</f>
        <v>0</v>
      </c>
      <c r="K539" s="23">
        <f>IF(J539="","",IFERROR(INDEX(Properties!$B$5:$B$254,MATCH(J539,Properties!$A$5:$A$254,0)),""))</f>
        <v>0</v>
      </c>
      <c r="L539" s="23">
        <f>IF(J539="","",IFERROR(INDEX(Properties!$F$5:$F$254,MATCH(J539,Properties!$A$5:$A$254,0)),""))</f>
        <v>0</v>
      </c>
      <c r="AD539" s="34">
        <f>IF(G539="","",IF(U539&lt;&gt;"",U539,IF(AND(IFERROR(INDEX(Services!$D$5:$D$64,MATCH(M539,Services!$B$5:$B$64,0)),"")="Per hour",IFERROR(INDEX(Properties!$X$5:$X$254,MATCH(J539,Properties!$A$5:$A$254,0)),0)&gt;0),IFERROR(INDEX(Properties!$X$5:$X$254,MATCH(J539,Properties!$A$5:$A$254,0)),0),IF(IFERROR(INDEX(Services!$G$5:$G$64,MATCH(M539,Services!$B$5:$B$64,0)),0)&gt;0,IFERROR(INDEX(Services!$G$5:$G$64,MATCH(M539,Services!$B$5:$B$64,0)),0),IFERROR(INDEX(Properties!$X$5:$X$254,MATCH(J539,Properties!$A$5:$A$254,0)),0)))))</f>
        <v>0</v>
      </c>
      <c r="AE539" s="31">
        <f>IF(G539="","",IF(T539="",CleanersPerJob,MAX(1,T539)))</f>
        <v>0</v>
      </c>
      <c r="AF539" s="34">
        <f>IF(G539="","",ROUND(AD539/AE539,2))</f>
        <v>0</v>
      </c>
      <c r="AG539" s="53">
        <f>IF(OR(G539="",F539="",AF539=""),"",F539+AF539/24)</f>
        <v>0</v>
      </c>
      <c r="AH539" s="21">
        <f>IF(G539="","",IF(IFERROR(INDEX(Clients!$O$5:$O$204,MATCH(G539,Clients!$A$5:$A$204,0)),0)&gt;0,IFERROR(INDEX(Clients!$O$5:$O$204,MATCH(G539,Clients!$A$5:$A$204,0)),0),HourlyRate))</f>
        <v>0</v>
      </c>
      <c r="AI539" s="21">
        <f>IF(G539="","",IF(AND(M539&lt;&gt;"",IFERROR(INDEX(Services!$P$5:$P$64,MATCH(M539,Services!$B$5:$B$64,0)),0)&gt;0,IFERROR(INDEX(Services!$D$5:$D$64,MATCH(M539,Services!$B$5:$B$64,0)),"")&lt;&gt;"Per hour"),IFERROR(INDEX(Services!$P$5:$P$64,MATCH(M539,Services!$B$5:$B$64,0)),0),AD539*AH539))</f>
        <v>0</v>
      </c>
      <c r="AJ539" s="21">
        <f>IF(G539="","",IF(V539&lt;&gt;"",V539,IF(P539="Cancelled",0,MAX(MinimumCharge,ROUND(AI539*IFERROR(INDEX(FreqFactors,MATCH(O539,FreqNames,0)),1),2)))))</f>
        <v>0</v>
      </c>
      <c r="AK539" s="34">
        <f>IF(G539="","",IF(SUMIFS(Timesheets!$U$5:$U$804,Timesheets!$G$5:$G$804,A539)&gt;0,SUMIFS(Timesheets!$U$5:$U$804,Timesheets!$G$5:$G$804,A539),IF(Z539="","",Z539)))</f>
        <v>0</v>
      </c>
      <c r="AL539" s="34">
        <f>IF(OR(AK539="",AD539=""),"",AK539-AD539)</f>
        <v>0</v>
      </c>
      <c r="AM539" s="31">
        <f>IF(A539="","",COUNTIFS('Job Tasks'!$B$5:$B$904,A539))</f>
        <v>0</v>
      </c>
      <c r="AN539" s="31">
        <f>IF(A539="","",COUNTIFS('Job Tasks'!$B$5:$B$904,A539,'Job Tasks'!$H$5:$H$904,"Done"))</f>
        <v>0</v>
      </c>
      <c r="AO539" s="38">
        <f>IF(OR(A539="",AM539=0),"",AN539/AM539)</f>
        <v>0</v>
      </c>
      <c r="AP539" s="43">
        <f>IF(A539="","",IFERROR(INDEX('Invoice Lines'!$B$5:$B$804,MATCH(A539,'Invoice Lines'!$C$5:$C$804,0)),""))</f>
        <v>0</v>
      </c>
      <c r="AQ539" s="18">
        <f>IF(OR(G539="",B539="",X539&lt;&gt;"Yes"),"",IF(IFERROR(INDEX(FreqDays,MATCH(O539,FreqNames,0)),0)=0,"",B539+IFERROR(INDEX(FreqDays,MATCH(O539,FreqNames,0)),0)))</f>
        <v>0</v>
      </c>
      <c r="AR539" s="39">
        <f>IF(G539="","",IF(R539="","Unassigned",IF(COUNTIFS($R$5:$R$604,R539,$B$5:$B$604,B539,$F$5:$F$604,F539)&gt;1,"Clash",IF(SUMIFS($AF$5:$AF$604,$R$5:$R$604,R539,$B$5:$B$604,B539)&gt;ProductiveHours,"Long day","OK"))))</f>
        <v>0</v>
      </c>
      <c r="AS539" s="18">
        <f>IF(OR(G539="",B539=""),"",IF(AND(B539&gt;=TodayDate,P539&lt;&gt;"Cancelled"),B539,""))</f>
        <v>0</v>
      </c>
      <c r="AT539" s="31">
        <f>IF(AS539="","",COUNTIFS($AS$5:$AS$604,"&lt;"&amp;AS539)+COUNTIFS($AS$5:AS539,AS539))</f>
        <v>0</v>
      </c>
      <c r="AU539" s="18">
        <f>IF(OR(G539="",B539="",R539&lt;&gt;""),"",IF(AND(B539&gt;=TodayDate,P539&lt;&gt;"Cancelled"),B539,""))</f>
        <v>0</v>
      </c>
      <c r="AV539" s="31">
        <f>IF(AU539="","",COUNTIFS($AU$5:$AU$604,"&lt;"&amp;AU539)+COUNTIFS($AU$5:AU539,AU539))</f>
        <v>0</v>
      </c>
      <c r="AW539" s="31">
        <f>IF(OR(G539="",B539=""),"",B539-TodayDate)</f>
        <v>0</v>
      </c>
      <c r="AX539" s="39">
        <f>IF(G539="","",IF(P539="Cancelled","Cancelled",IF(P539="No access","Action - no access, rebook",IF(AND(B539&lt;&gt;"",AW539&lt;0,OR(P539="Booked",P539="Confirmed",P539="In progress")),"Late - mark it completed",IF(AND(P539="Completed",AP539=""),"Action - not invoiced yet",IF(AND(AW539&gt;=0,AW539&lt;=ReminderDays,Y539&lt;&gt;"Yes"),"Confirm - visit coming up",IF(R539="","Assign - no cleaner booked",IF(AND(P539="Completed",AO539&lt;&gt;"",AO539&lt;1),"Check - checklist unfinished","OK"))))))))</f>
        <v>0</v>
      </c>
    </row>
    <row r="540" spans="1:50">
      <c r="A540" s="43">
        <f>IF(G540="","",JobPrefix&amp;TEXT(ROW()-4,"0000"))</f>
        <v>0</v>
      </c>
      <c r="C540" s="23">
        <f>IF(B540="","",TEXT(B540,"ddd"))</f>
        <v>0</v>
      </c>
      <c r="D540" s="31">
        <f>IF(B540="","",WEEKNUM(B540,IF(WeekStart="Sunday",1,2)))</f>
        <v>0</v>
      </c>
      <c r="E540" s="23">
        <f>IF(B540="","",TEXT(B540,"yyyy-mm"))</f>
        <v>0</v>
      </c>
      <c r="H540" s="23">
        <f>IF(G540="","",IFERROR(INDEX(Clients!$B$5:$B$204,MATCH(G540,Clients!$A$5:$A$204,0)),"Not found"))</f>
        <v>0</v>
      </c>
      <c r="I540" s="23">
        <f>IF(G540="","",IFERROR(INDEX(Clients!$C$5:$C$204,MATCH(G540,Clients!$A$5:$A$204,0)),""))</f>
        <v>0</v>
      </c>
      <c r="K540" s="23">
        <f>IF(J540="","",IFERROR(INDEX(Properties!$B$5:$B$254,MATCH(J540,Properties!$A$5:$A$254,0)),""))</f>
        <v>0</v>
      </c>
      <c r="L540" s="23">
        <f>IF(J540="","",IFERROR(INDEX(Properties!$F$5:$F$254,MATCH(J540,Properties!$A$5:$A$254,0)),""))</f>
        <v>0</v>
      </c>
      <c r="AD540" s="34">
        <f>IF(G540="","",IF(U540&lt;&gt;"",U540,IF(AND(IFERROR(INDEX(Services!$D$5:$D$64,MATCH(M540,Services!$B$5:$B$64,0)),"")="Per hour",IFERROR(INDEX(Properties!$X$5:$X$254,MATCH(J540,Properties!$A$5:$A$254,0)),0)&gt;0),IFERROR(INDEX(Properties!$X$5:$X$254,MATCH(J540,Properties!$A$5:$A$254,0)),0),IF(IFERROR(INDEX(Services!$G$5:$G$64,MATCH(M540,Services!$B$5:$B$64,0)),0)&gt;0,IFERROR(INDEX(Services!$G$5:$G$64,MATCH(M540,Services!$B$5:$B$64,0)),0),IFERROR(INDEX(Properties!$X$5:$X$254,MATCH(J540,Properties!$A$5:$A$254,0)),0)))))</f>
        <v>0</v>
      </c>
      <c r="AE540" s="31">
        <f>IF(G540="","",IF(T540="",CleanersPerJob,MAX(1,T540)))</f>
        <v>0</v>
      </c>
      <c r="AF540" s="34">
        <f>IF(G540="","",ROUND(AD540/AE540,2))</f>
        <v>0</v>
      </c>
      <c r="AG540" s="53">
        <f>IF(OR(G540="",F540="",AF540=""),"",F540+AF540/24)</f>
        <v>0</v>
      </c>
      <c r="AH540" s="21">
        <f>IF(G540="","",IF(IFERROR(INDEX(Clients!$O$5:$O$204,MATCH(G540,Clients!$A$5:$A$204,0)),0)&gt;0,IFERROR(INDEX(Clients!$O$5:$O$204,MATCH(G540,Clients!$A$5:$A$204,0)),0),HourlyRate))</f>
        <v>0</v>
      </c>
      <c r="AI540" s="21">
        <f>IF(G540="","",IF(AND(M540&lt;&gt;"",IFERROR(INDEX(Services!$P$5:$P$64,MATCH(M540,Services!$B$5:$B$64,0)),0)&gt;0,IFERROR(INDEX(Services!$D$5:$D$64,MATCH(M540,Services!$B$5:$B$64,0)),"")&lt;&gt;"Per hour"),IFERROR(INDEX(Services!$P$5:$P$64,MATCH(M540,Services!$B$5:$B$64,0)),0),AD540*AH540))</f>
        <v>0</v>
      </c>
      <c r="AJ540" s="21">
        <f>IF(G540="","",IF(V540&lt;&gt;"",V540,IF(P540="Cancelled",0,MAX(MinimumCharge,ROUND(AI540*IFERROR(INDEX(FreqFactors,MATCH(O540,FreqNames,0)),1),2)))))</f>
        <v>0</v>
      </c>
      <c r="AK540" s="34">
        <f>IF(G540="","",IF(SUMIFS(Timesheets!$U$5:$U$804,Timesheets!$G$5:$G$804,A540)&gt;0,SUMIFS(Timesheets!$U$5:$U$804,Timesheets!$G$5:$G$804,A540),IF(Z540="","",Z540)))</f>
        <v>0</v>
      </c>
      <c r="AL540" s="34">
        <f>IF(OR(AK540="",AD540=""),"",AK540-AD540)</f>
        <v>0</v>
      </c>
      <c r="AM540" s="31">
        <f>IF(A540="","",COUNTIFS('Job Tasks'!$B$5:$B$904,A540))</f>
        <v>0</v>
      </c>
      <c r="AN540" s="31">
        <f>IF(A540="","",COUNTIFS('Job Tasks'!$B$5:$B$904,A540,'Job Tasks'!$H$5:$H$904,"Done"))</f>
        <v>0</v>
      </c>
      <c r="AO540" s="38">
        <f>IF(OR(A540="",AM540=0),"",AN540/AM540)</f>
        <v>0</v>
      </c>
      <c r="AP540" s="43">
        <f>IF(A540="","",IFERROR(INDEX('Invoice Lines'!$B$5:$B$804,MATCH(A540,'Invoice Lines'!$C$5:$C$804,0)),""))</f>
        <v>0</v>
      </c>
      <c r="AQ540" s="18">
        <f>IF(OR(G540="",B540="",X540&lt;&gt;"Yes"),"",IF(IFERROR(INDEX(FreqDays,MATCH(O540,FreqNames,0)),0)=0,"",B540+IFERROR(INDEX(FreqDays,MATCH(O540,FreqNames,0)),0)))</f>
        <v>0</v>
      </c>
      <c r="AR540" s="39">
        <f>IF(G540="","",IF(R540="","Unassigned",IF(COUNTIFS($R$5:$R$604,R540,$B$5:$B$604,B540,$F$5:$F$604,F540)&gt;1,"Clash",IF(SUMIFS($AF$5:$AF$604,$R$5:$R$604,R540,$B$5:$B$604,B540)&gt;ProductiveHours,"Long day","OK"))))</f>
        <v>0</v>
      </c>
      <c r="AS540" s="18">
        <f>IF(OR(G540="",B540=""),"",IF(AND(B540&gt;=TodayDate,P540&lt;&gt;"Cancelled"),B540,""))</f>
        <v>0</v>
      </c>
      <c r="AT540" s="31">
        <f>IF(AS540="","",COUNTIFS($AS$5:$AS$604,"&lt;"&amp;AS540)+COUNTIFS($AS$5:AS540,AS540))</f>
        <v>0</v>
      </c>
      <c r="AU540" s="18">
        <f>IF(OR(G540="",B540="",R540&lt;&gt;""),"",IF(AND(B540&gt;=TodayDate,P540&lt;&gt;"Cancelled"),B540,""))</f>
        <v>0</v>
      </c>
      <c r="AV540" s="31">
        <f>IF(AU540="","",COUNTIFS($AU$5:$AU$604,"&lt;"&amp;AU540)+COUNTIFS($AU$5:AU540,AU540))</f>
        <v>0</v>
      </c>
      <c r="AW540" s="31">
        <f>IF(OR(G540="",B540=""),"",B540-TodayDate)</f>
        <v>0</v>
      </c>
      <c r="AX540" s="39">
        <f>IF(G540="","",IF(P540="Cancelled","Cancelled",IF(P540="No access","Action - no access, rebook",IF(AND(B540&lt;&gt;"",AW540&lt;0,OR(P540="Booked",P540="Confirmed",P540="In progress")),"Late - mark it completed",IF(AND(P540="Completed",AP540=""),"Action - not invoiced yet",IF(AND(AW540&gt;=0,AW540&lt;=ReminderDays,Y540&lt;&gt;"Yes"),"Confirm - visit coming up",IF(R540="","Assign - no cleaner booked",IF(AND(P540="Completed",AO540&lt;&gt;"",AO540&lt;1),"Check - checklist unfinished","OK"))))))))</f>
        <v>0</v>
      </c>
    </row>
    <row r="541" spans="1:50">
      <c r="A541" s="43">
        <f>IF(G541="","",JobPrefix&amp;TEXT(ROW()-4,"0000"))</f>
        <v>0</v>
      </c>
      <c r="C541" s="23">
        <f>IF(B541="","",TEXT(B541,"ddd"))</f>
        <v>0</v>
      </c>
      <c r="D541" s="31">
        <f>IF(B541="","",WEEKNUM(B541,IF(WeekStart="Sunday",1,2)))</f>
        <v>0</v>
      </c>
      <c r="E541" s="23">
        <f>IF(B541="","",TEXT(B541,"yyyy-mm"))</f>
        <v>0</v>
      </c>
      <c r="H541" s="23">
        <f>IF(G541="","",IFERROR(INDEX(Clients!$B$5:$B$204,MATCH(G541,Clients!$A$5:$A$204,0)),"Not found"))</f>
        <v>0</v>
      </c>
      <c r="I541" s="23">
        <f>IF(G541="","",IFERROR(INDEX(Clients!$C$5:$C$204,MATCH(G541,Clients!$A$5:$A$204,0)),""))</f>
        <v>0</v>
      </c>
      <c r="K541" s="23">
        <f>IF(J541="","",IFERROR(INDEX(Properties!$B$5:$B$254,MATCH(J541,Properties!$A$5:$A$254,0)),""))</f>
        <v>0</v>
      </c>
      <c r="L541" s="23">
        <f>IF(J541="","",IFERROR(INDEX(Properties!$F$5:$F$254,MATCH(J541,Properties!$A$5:$A$254,0)),""))</f>
        <v>0</v>
      </c>
      <c r="AD541" s="34">
        <f>IF(G541="","",IF(U541&lt;&gt;"",U541,IF(AND(IFERROR(INDEX(Services!$D$5:$D$64,MATCH(M541,Services!$B$5:$B$64,0)),"")="Per hour",IFERROR(INDEX(Properties!$X$5:$X$254,MATCH(J541,Properties!$A$5:$A$254,0)),0)&gt;0),IFERROR(INDEX(Properties!$X$5:$X$254,MATCH(J541,Properties!$A$5:$A$254,0)),0),IF(IFERROR(INDEX(Services!$G$5:$G$64,MATCH(M541,Services!$B$5:$B$64,0)),0)&gt;0,IFERROR(INDEX(Services!$G$5:$G$64,MATCH(M541,Services!$B$5:$B$64,0)),0),IFERROR(INDEX(Properties!$X$5:$X$254,MATCH(J541,Properties!$A$5:$A$254,0)),0)))))</f>
        <v>0</v>
      </c>
      <c r="AE541" s="31">
        <f>IF(G541="","",IF(T541="",CleanersPerJob,MAX(1,T541)))</f>
        <v>0</v>
      </c>
      <c r="AF541" s="34">
        <f>IF(G541="","",ROUND(AD541/AE541,2))</f>
        <v>0</v>
      </c>
      <c r="AG541" s="53">
        <f>IF(OR(G541="",F541="",AF541=""),"",F541+AF541/24)</f>
        <v>0</v>
      </c>
      <c r="AH541" s="21">
        <f>IF(G541="","",IF(IFERROR(INDEX(Clients!$O$5:$O$204,MATCH(G541,Clients!$A$5:$A$204,0)),0)&gt;0,IFERROR(INDEX(Clients!$O$5:$O$204,MATCH(G541,Clients!$A$5:$A$204,0)),0),HourlyRate))</f>
        <v>0</v>
      </c>
      <c r="AI541" s="21">
        <f>IF(G541="","",IF(AND(M541&lt;&gt;"",IFERROR(INDEX(Services!$P$5:$P$64,MATCH(M541,Services!$B$5:$B$64,0)),0)&gt;0,IFERROR(INDEX(Services!$D$5:$D$64,MATCH(M541,Services!$B$5:$B$64,0)),"")&lt;&gt;"Per hour"),IFERROR(INDEX(Services!$P$5:$P$64,MATCH(M541,Services!$B$5:$B$64,0)),0),AD541*AH541))</f>
        <v>0</v>
      </c>
      <c r="AJ541" s="21">
        <f>IF(G541="","",IF(V541&lt;&gt;"",V541,IF(P541="Cancelled",0,MAX(MinimumCharge,ROUND(AI541*IFERROR(INDEX(FreqFactors,MATCH(O541,FreqNames,0)),1),2)))))</f>
        <v>0</v>
      </c>
      <c r="AK541" s="34">
        <f>IF(G541="","",IF(SUMIFS(Timesheets!$U$5:$U$804,Timesheets!$G$5:$G$804,A541)&gt;0,SUMIFS(Timesheets!$U$5:$U$804,Timesheets!$G$5:$G$804,A541),IF(Z541="","",Z541)))</f>
        <v>0</v>
      </c>
      <c r="AL541" s="34">
        <f>IF(OR(AK541="",AD541=""),"",AK541-AD541)</f>
        <v>0</v>
      </c>
      <c r="AM541" s="31">
        <f>IF(A541="","",COUNTIFS('Job Tasks'!$B$5:$B$904,A541))</f>
        <v>0</v>
      </c>
      <c r="AN541" s="31">
        <f>IF(A541="","",COUNTIFS('Job Tasks'!$B$5:$B$904,A541,'Job Tasks'!$H$5:$H$904,"Done"))</f>
        <v>0</v>
      </c>
      <c r="AO541" s="38">
        <f>IF(OR(A541="",AM541=0),"",AN541/AM541)</f>
        <v>0</v>
      </c>
      <c r="AP541" s="43">
        <f>IF(A541="","",IFERROR(INDEX('Invoice Lines'!$B$5:$B$804,MATCH(A541,'Invoice Lines'!$C$5:$C$804,0)),""))</f>
        <v>0</v>
      </c>
      <c r="AQ541" s="18">
        <f>IF(OR(G541="",B541="",X541&lt;&gt;"Yes"),"",IF(IFERROR(INDEX(FreqDays,MATCH(O541,FreqNames,0)),0)=0,"",B541+IFERROR(INDEX(FreqDays,MATCH(O541,FreqNames,0)),0)))</f>
        <v>0</v>
      </c>
      <c r="AR541" s="39">
        <f>IF(G541="","",IF(R541="","Unassigned",IF(COUNTIFS($R$5:$R$604,R541,$B$5:$B$604,B541,$F$5:$F$604,F541)&gt;1,"Clash",IF(SUMIFS($AF$5:$AF$604,$R$5:$R$604,R541,$B$5:$B$604,B541)&gt;ProductiveHours,"Long day","OK"))))</f>
        <v>0</v>
      </c>
      <c r="AS541" s="18">
        <f>IF(OR(G541="",B541=""),"",IF(AND(B541&gt;=TodayDate,P541&lt;&gt;"Cancelled"),B541,""))</f>
        <v>0</v>
      </c>
      <c r="AT541" s="31">
        <f>IF(AS541="","",COUNTIFS($AS$5:$AS$604,"&lt;"&amp;AS541)+COUNTIFS($AS$5:AS541,AS541))</f>
        <v>0</v>
      </c>
      <c r="AU541" s="18">
        <f>IF(OR(G541="",B541="",R541&lt;&gt;""),"",IF(AND(B541&gt;=TodayDate,P541&lt;&gt;"Cancelled"),B541,""))</f>
        <v>0</v>
      </c>
      <c r="AV541" s="31">
        <f>IF(AU541="","",COUNTIFS($AU$5:$AU$604,"&lt;"&amp;AU541)+COUNTIFS($AU$5:AU541,AU541))</f>
        <v>0</v>
      </c>
      <c r="AW541" s="31">
        <f>IF(OR(G541="",B541=""),"",B541-TodayDate)</f>
        <v>0</v>
      </c>
      <c r="AX541" s="39">
        <f>IF(G541="","",IF(P541="Cancelled","Cancelled",IF(P541="No access","Action - no access, rebook",IF(AND(B541&lt;&gt;"",AW541&lt;0,OR(P541="Booked",P541="Confirmed",P541="In progress")),"Late - mark it completed",IF(AND(P541="Completed",AP541=""),"Action - not invoiced yet",IF(AND(AW541&gt;=0,AW541&lt;=ReminderDays,Y541&lt;&gt;"Yes"),"Confirm - visit coming up",IF(R541="","Assign - no cleaner booked",IF(AND(P541="Completed",AO541&lt;&gt;"",AO541&lt;1),"Check - checklist unfinished","OK"))))))))</f>
        <v>0</v>
      </c>
    </row>
    <row r="542" spans="1:50">
      <c r="A542" s="43">
        <f>IF(G542="","",JobPrefix&amp;TEXT(ROW()-4,"0000"))</f>
        <v>0</v>
      </c>
      <c r="C542" s="23">
        <f>IF(B542="","",TEXT(B542,"ddd"))</f>
        <v>0</v>
      </c>
      <c r="D542" s="31">
        <f>IF(B542="","",WEEKNUM(B542,IF(WeekStart="Sunday",1,2)))</f>
        <v>0</v>
      </c>
      <c r="E542" s="23">
        <f>IF(B542="","",TEXT(B542,"yyyy-mm"))</f>
        <v>0</v>
      </c>
      <c r="H542" s="23">
        <f>IF(G542="","",IFERROR(INDEX(Clients!$B$5:$B$204,MATCH(G542,Clients!$A$5:$A$204,0)),"Not found"))</f>
        <v>0</v>
      </c>
      <c r="I542" s="23">
        <f>IF(G542="","",IFERROR(INDEX(Clients!$C$5:$C$204,MATCH(G542,Clients!$A$5:$A$204,0)),""))</f>
        <v>0</v>
      </c>
      <c r="K542" s="23">
        <f>IF(J542="","",IFERROR(INDEX(Properties!$B$5:$B$254,MATCH(J542,Properties!$A$5:$A$254,0)),""))</f>
        <v>0</v>
      </c>
      <c r="L542" s="23">
        <f>IF(J542="","",IFERROR(INDEX(Properties!$F$5:$F$254,MATCH(J542,Properties!$A$5:$A$254,0)),""))</f>
        <v>0</v>
      </c>
      <c r="AD542" s="34">
        <f>IF(G542="","",IF(U542&lt;&gt;"",U542,IF(AND(IFERROR(INDEX(Services!$D$5:$D$64,MATCH(M542,Services!$B$5:$B$64,0)),"")="Per hour",IFERROR(INDEX(Properties!$X$5:$X$254,MATCH(J542,Properties!$A$5:$A$254,0)),0)&gt;0),IFERROR(INDEX(Properties!$X$5:$X$254,MATCH(J542,Properties!$A$5:$A$254,0)),0),IF(IFERROR(INDEX(Services!$G$5:$G$64,MATCH(M542,Services!$B$5:$B$64,0)),0)&gt;0,IFERROR(INDEX(Services!$G$5:$G$64,MATCH(M542,Services!$B$5:$B$64,0)),0),IFERROR(INDEX(Properties!$X$5:$X$254,MATCH(J542,Properties!$A$5:$A$254,0)),0)))))</f>
        <v>0</v>
      </c>
      <c r="AE542" s="31">
        <f>IF(G542="","",IF(T542="",CleanersPerJob,MAX(1,T542)))</f>
        <v>0</v>
      </c>
      <c r="AF542" s="34">
        <f>IF(G542="","",ROUND(AD542/AE542,2))</f>
        <v>0</v>
      </c>
      <c r="AG542" s="53">
        <f>IF(OR(G542="",F542="",AF542=""),"",F542+AF542/24)</f>
        <v>0</v>
      </c>
      <c r="AH542" s="21">
        <f>IF(G542="","",IF(IFERROR(INDEX(Clients!$O$5:$O$204,MATCH(G542,Clients!$A$5:$A$204,0)),0)&gt;0,IFERROR(INDEX(Clients!$O$5:$O$204,MATCH(G542,Clients!$A$5:$A$204,0)),0),HourlyRate))</f>
        <v>0</v>
      </c>
      <c r="AI542" s="21">
        <f>IF(G542="","",IF(AND(M542&lt;&gt;"",IFERROR(INDEX(Services!$P$5:$P$64,MATCH(M542,Services!$B$5:$B$64,0)),0)&gt;0,IFERROR(INDEX(Services!$D$5:$D$64,MATCH(M542,Services!$B$5:$B$64,0)),"")&lt;&gt;"Per hour"),IFERROR(INDEX(Services!$P$5:$P$64,MATCH(M542,Services!$B$5:$B$64,0)),0),AD542*AH542))</f>
        <v>0</v>
      </c>
      <c r="AJ542" s="21">
        <f>IF(G542="","",IF(V542&lt;&gt;"",V542,IF(P542="Cancelled",0,MAX(MinimumCharge,ROUND(AI542*IFERROR(INDEX(FreqFactors,MATCH(O542,FreqNames,0)),1),2)))))</f>
        <v>0</v>
      </c>
      <c r="AK542" s="34">
        <f>IF(G542="","",IF(SUMIFS(Timesheets!$U$5:$U$804,Timesheets!$G$5:$G$804,A542)&gt;0,SUMIFS(Timesheets!$U$5:$U$804,Timesheets!$G$5:$G$804,A542),IF(Z542="","",Z542)))</f>
        <v>0</v>
      </c>
      <c r="AL542" s="34">
        <f>IF(OR(AK542="",AD542=""),"",AK542-AD542)</f>
        <v>0</v>
      </c>
      <c r="AM542" s="31">
        <f>IF(A542="","",COUNTIFS('Job Tasks'!$B$5:$B$904,A542))</f>
        <v>0</v>
      </c>
      <c r="AN542" s="31">
        <f>IF(A542="","",COUNTIFS('Job Tasks'!$B$5:$B$904,A542,'Job Tasks'!$H$5:$H$904,"Done"))</f>
        <v>0</v>
      </c>
      <c r="AO542" s="38">
        <f>IF(OR(A542="",AM542=0),"",AN542/AM542)</f>
        <v>0</v>
      </c>
      <c r="AP542" s="43">
        <f>IF(A542="","",IFERROR(INDEX('Invoice Lines'!$B$5:$B$804,MATCH(A542,'Invoice Lines'!$C$5:$C$804,0)),""))</f>
        <v>0</v>
      </c>
      <c r="AQ542" s="18">
        <f>IF(OR(G542="",B542="",X542&lt;&gt;"Yes"),"",IF(IFERROR(INDEX(FreqDays,MATCH(O542,FreqNames,0)),0)=0,"",B542+IFERROR(INDEX(FreqDays,MATCH(O542,FreqNames,0)),0)))</f>
        <v>0</v>
      </c>
      <c r="AR542" s="39">
        <f>IF(G542="","",IF(R542="","Unassigned",IF(COUNTIFS($R$5:$R$604,R542,$B$5:$B$604,B542,$F$5:$F$604,F542)&gt;1,"Clash",IF(SUMIFS($AF$5:$AF$604,$R$5:$R$604,R542,$B$5:$B$604,B542)&gt;ProductiveHours,"Long day","OK"))))</f>
        <v>0</v>
      </c>
      <c r="AS542" s="18">
        <f>IF(OR(G542="",B542=""),"",IF(AND(B542&gt;=TodayDate,P542&lt;&gt;"Cancelled"),B542,""))</f>
        <v>0</v>
      </c>
      <c r="AT542" s="31">
        <f>IF(AS542="","",COUNTIFS($AS$5:$AS$604,"&lt;"&amp;AS542)+COUNTIFS($AS$5:AS542,AS542))</f>
        <v>0</v>
      </c>
      <c r="AU542" s="18">
        <f>IF(OR(G542="",B542="",R542&lt;&gt;""),"",IF(AND(B542&gt;=TodayDate,P542&lt;&gt;"Cancelled"),B542,""))</f>
        <v>0</v>
      </c>
      <c r="AV542" s="31">
        <f>IF(AU542="","",COUNTIFS($AU$5:$AU$604,"&lt;"&amp;AU542)+COUNTIFS($AU$5:AU542,AU542))</f>
        <v>0</v>
      </c>
      <c r="AW542" s="31">
        <f>IF(OR(G542="",B542=""),"",B542-TodayDate)</f>
        <v>0</v>
      </c>
      <c r="AX542" s="39">
        <f>IF(G542="","",IF(P542="Cancelled","Cancelled",IF(P542="No access","Action - no access, rebook",IF(AND(B542&lt;&gt;"",AW542&lt;0,OR(P542="Booked",P542="Confirmed",P542="In progress")),"Late - mark it completed",IF(AND(P542="Completed",AP542=""),"Action - not invoiced yet",IF(AND(AW542&gt;=0,AW542&lt;=ReminderDays,Y542&lt;&gt;"Yes"),"Confirm - visit coming up",IF(R542="","Assign - no cleaner booked",IF(AND(P542="Completed",AO542&lt;&gt;"",AO542&lt;1),"Check - checklist unfinished","OK"))))))))</f>
        <v>0</v>
      </c>
    </row>
    <row r="543" spans="1:50">
      <c r="A543" s="43">
        <f>IF(G543="","",JobPrefix&amp;TEXT(ROW()-4,"0000"))</f>
        <v>0</v>
      </c>
      <c r="C543" s="23">
        <f>IF(B543="","",TEXT(B543,"ddd"))</f>
        <v>0</v>
      </c>
      <c r="D543" s="31">
        <f>IF(B543="","",WEEKNUM(B543,IF(WeekStart="Sunday",1,2)))</f>
        <v>0</v>
      </c>
      <c r="E543" s="23">
        <f>IF(B543="","",TEXT(B543,"yyyy-mm"))</f>
        <v>0</v>
      </c>
      <c r="H543" s="23">
        <f>IF(G543="","",IFERROR(INDEX(Clients!$B$5:$B$204,MATCH(G543,Clients!$A$5:$A$204,0)),"Not found"))</f>
        <v>0</v>
      </c>
      <c r="I543" s="23">
        <f>IF(G543="","",IFERROR(INDEX(Clients!$C$5:$C$204,MATCH(G543,Clients!$A$5:$A$204,0)),""))</f>
        <v>0</v>
      </c>
      <c r="K543" s="23">
        <f>IF(J543="","",IFERROR(INDEX(Properties!$B$5:$B$254,MATCH(J543,Properties!$A$5:$A$254,0)),""))</f>
        <v>0</v>
      </c>
      <c r="L543" s="23">
        <f>IF(J543="","",IFERROR(INDEX(Properties!$F$5:$F$254,MATCH(J543,Properties!$A$5:$A$254,0)),""))</f>
        <v>0</v>
      </c>
      <c r="AD543" s="34">
        <f>IF(G543="","",IF(U543&lt;&gt;"",U543,IF(AND(IFERROR(INDEX(Services!$D$5:$D$64,MATCH(M543,Services!$B$5:$B$64,0)),"")="Per hour",IFERROR(INDEX(Properties!$X$5:$X$254,MATCH(J543,Properties!$A$5:$A$254,0)),0)&gt;0),IFERROR(INDEX(Properties!$X$5:$X$254,MATCH(J543,Properties!$A$5:$A$254,0)),0),IF(IFERROR(INDEX(Services!$G$5:$G$64,MATCH(M543,Services!$B$5:$B$64,0)),0)&gt;0,IFERROR(INDEX(Services!$G$5:$G$64,MATCH(M543,Services!$B$5:$B$64,0)),0),IFERROR(INDEX(Properties!$X$5:$X$254,MATCH(J543,Properties!$A$5:$A$254,0)),0)))))</f>
        <v>0</v>
      </c>
      <c r="AE543" s="31">
        <f>IF(G543="","",IF(T543="",CleanersPerJob,MAX(1,T543)))</f>
        <v>0</v>
      </c>
      <c r="AF543" s="34">
        <f>IF(G543="","",ROUND(AD543/AE543,2))</f>
        <v>0</v>
      </c>
      <c r="AG543" s="53">
        <f>IF(OR(G543="",F543="",AF543=""),"",F543+AF543/24)</f>
        <v>0</v>
      </c>
      <c r="AH543" s="21">
        <f>IF(G543="","",IF(IFERROR(INDEX(Clients!$O$5:$O$204,MATCH(G543,Clients!$A$5:$A$204,0)),0)&gt;0,IFERROR(INDEX(Clients!$O$5:$O$204,MATCH(G543,Clients!$A$5:$A$204,0)),0),HourlyRate))</f>
        <v>0</v>
      </c>
      <c r="AI543" s="21">
        <f>IF(G543="","",IF(AND(M543&lt;&gt;"",IFERROR(INDEX(Services!$P$5:$P$64,MATCH(M543,Services!$B$5:$B$64,0)),0)&gt;0,IFERROR(INDEX(Services!$D$5:$D$64,MATCH(M543,Services!$B$5:$B$64,0)),"")&lt;&gt;"Per hour"),IFERROR(INDEX(Services!$P$5:$P$64,MATCH(M543,Services!$B$5:$B$64,0)),0),AD543*AH543))</f>
        <v>0</v>
      </c>
      <c r="AJ543" s="21">
        <f>IF(G543="","",IF(V543&lt;&gt;"",V543,IF(P543="Cancelled",0,MAX(MinimumCharge,ROUND(AI543*IFERROR(INDEX(FreqFactors,MATCH(O543,FreqNames,0)),1),2)))))</f>
        <v>0</v>
      </c>
      <c r="AK543" s="34">
        <f>IF(G543="","",IF(SUMIFS(Timesheets!$U$5:$U$804,Timesheets!$G$5:$G$804,A543)&gt;0,SUMIFS(Timesheets!$U$5:$U$804,Timesheets!$G$5:$G$804,A543),IF(Z543="","",Z543)))</f>
        <v>0</v>
      </c>
      <c r="AL543" s="34">
        <f>IF(OR(AK543="",AD543=""),"",AK543-AD543)</f>
        <v>0</v>
      </c>
      <c r="AM543" s="31">
        <f>IF(A543="","",COUNTIFS('Job Tasks'!$B$5:$B$904,A543))</f>
        <v>0</v>
      </c>
      <c r="AN543" s="31">
        <f>IF(A543="","",COUNTIFS('Job Tasks'!$B$5:$B$904,A543,'Job Tasks'!$H$5:$H$904,"Done"))</f>
        <v>0</v>
      </c>
      <c r="AO543" s="38">
        <f>IF(OR(A543="",AM543=0),"",AN543/AM543)</f>
        <v>0</v>
      </c>
      <c r="AP543" s="43">
        <f>IF(A543="","",IFERROR(INDEX('Invoice Lines'!$B$5:$B$804,MATCH(A543,'Invoice Lines'!$C$5:$C$804,0)),""))</f>
        <v>0</v>
      </c>
      <c r="AQ543" s="18">
        <f>IF(OR(G543="",B543="",X543&lt;&gt;"Yes"),"",IF(IFERROR(INDEX(FreqDays,MATCH(O543,FreqNames,0)),0)=0,"",B543+IFERROR(INDEX(FreqDays,MATCH(O543,FreqNames,0)),0)))</f>
        <v>0</v>
      </c>
      <c r="AR543" s="39">
        <f>IF(G543="","",IF(R543="","Unassigned",IF(COUNTIFS($R$5:$R$604,R543,$B$5:$B$604,B543,$F$5:$F$604,F543)&gt;1,"Clash",IF(SUMIFS($AF$5:$AF$604,$R$5:$R$604,R543,$B$5:$B$604,B543)&gt;ProductiveHours,"Long day","OK"))))</f>
        <v>0</v>
      </c>
      <c r="AS543" s="18">
        <f>IF(OR(G543="",B543=""),"",IF(AND(B543&gt;=TodayDate,P543&lt;&gt;"Cancelled"),B543,""))</f>
        <v>0</v>
      </c>
      <c r="AT543" s="31">
        <f>IF(AS543="","",COUNTIFS($AS$5:$AS$604,"&lt;"&amp;AS543)+COUNTIFS($AS$5:AS543,AS543))</f>
        <v>0</v>
      </c>
      <c r="AU543" s="18">
        <f>IF(OR(G543="",B543="",R543&lt;&gt;""),"",IF(AND(B543&gt;=TodayDate,P543&lt;&gt;"Cancelled"),B543,""))</f>
        <v>0</v>
      </c>
      <c r="AV543" s="31">
        <f>IF(AU543="","",COUNTIFS($AU$5:$AU$604,"&lt;"&amp;AU543)+COUNTIFS($AU$5:AU543,AU543))</f>
        <v>0</v>
      </c>
      <c r="AW543" s="31">
        <f>IF(OR(G543="",B543=""),"",B543-TodayDate)</f>
        <v>0</v>
      </c>
      <c r="AX543" s="39">
        <f>IF(G543="","",IF(P543="Cancelled","Cancelled",IF(P543="No access","Action - no access, rebook",IF(AND(B543&lt;&gt;"",AW543&lt;0,OR(P543="Booked",P543="Confirmed",P543="In progress")),"Late - mark it completed",IF(AND(P543="Completed",AP543=""),"Action - not invoiced yet",IF(AND(AW543&gt;=0,AW543&lt;=ReminderDays,Y543&lt;&gt;"Yes"),"Confirm - visit coming up",IF(R543="","Assign - no cleaner booked",IF(AND(P543="Completed",AO543&lt;&gt;"",AO543&lt;1),"Check - checklist unfinished","OK"))))))))</f>
        <v>0</v>
      </c>
    </row>
    <row r="544" spans="1:50">
      <c r="A544" s="43">
        <f>IF(G544="","",JobPrefix&amp;TEXT(ROW()-4,"0000"))</f>
        <v>0</v>
      </c>
      <c r="C544" s="23">
        <f>IF(B544="","",TEXT(B544,"ddd"))</f>
        <v>0</v>
      </c>
      <c r="D544" s="31">
        <f>IF(B544="","",WEEKNUM(B544,IF(WeekStart="Sunday",1,2)))</f>
        <v>0</v>
      </c>
      <c r="E544" s="23">
        <f>IF(B544="","",TEXT(B544,"yyyy-mm"))</f>
        <v>0</v>
      </c>
      <c r="H544" s="23">
        <f>IF(G544="","",IFERROR(INDEX(Clients!$B$5:$B$204,MATCH(G544,Clients!$A$5:$A$204,0)),"Not found"))</f>
        <v>0</v>
      </c>
      <c r="I544" s="23">
        <f>IF(G544="","",IFERROR(INDEX(Clients!$C$5:$C$204,MATCH(G544,Clients!$A$5:$A$204,0)),""))</f>
        <v>0</v>
      </c>
      <c r="K544" s="23">
        <f>IF(J544="","",IFERROR(INDEX(Properties!$B$5:$B$254,MATCH(J544,Properties!$A$5:$A$254,0)),""))</f>
        <v>0</v>
      </c>
      <c r="L544" s="23">
        <f>IF(J544="","",IFERROR(INDEX(Properties!$F$5:$F$254,MATCH(J544,Properties!$A$5:$A$254,0)),""))</f>
        <v>0</v>
      </c>
      <c r="AD544" s="34">
        <f>IF(G544="","",IF(U544&lt;&gt;"",U544,IF(AND(IFERROR(INDEX(Services!$D$5:$D$64,MATCH(M544,Services!$B$5:$B$64,0)),"")="Per hour",IFERROR(INDEX(Properties!$X$5:$X$254,MATCH(J544,Properties!$A$5:$A$254,0)),0)&gt;0),IFERROR(INDEX(Properties!$X$5:$X$254,MATCH(J544,Properties!$A$5:$A$254,0)),0),IF(IFERROR(INDEX(Services!$G$5:$G$64,MATCH(M544,Services!$B$5:$B$64,0)),0)&gt;0,IFERROR(INDEX(Services!$G$5:$G$64,MATCH(M544,Services!$B$5:$B$64,0)),0),IFERROR(INDEX(Properties!$X$5:$X$254,MATCH(J544,Properties!$A$5:$A$254,0)),0)))))</f>
        <v>0</v>
      </c>
      <c r="AE544" s="31">
        <f>IF(G544="","",IF(T544="",CleanersPerJob,MAX(1,T544)))</f>
        <v>0</v>
      </c>
      <c r="AF544" s="34">
        <f>IF(G544="","",ROUND(AD544/AE544,2))</f>
        <v>0</v>
      </c>
      <c r="AG544" s="53">
        <f>IF(OR(G544="",F544="",AF544=""),"",F544+AF544/24)</f>
        <v>0</v>
      </c>
      <c r="AH544" s="21">
        <f>IF(G544="","",IF(IFERROR(INDEX(Clients!$O$5:$O$204,MATCH(G544,Clients!$A$5:$A$204,0)),0)&gt;0,IFERROR(INDEX(Clients!$O$5:$O$204,MATCH(G544,Clients!$A$5:$A$204,0)),0),HourlyRate))</f>
        <v>0</v>
      </c>
      <c r="AI544" s="21">
        <f>IF(G544="","",IF(AND(M544&lt;&gt;"",IFERROR(INDEX(Services!$P$5:$P$64,MATCH(M544,Services!$B$5:$B$64,0)),0)&gt;0,IFERROR(INDEX(Services!$D$5:$D$64,MATCH(M544,Services!$B$5:$B$64,0)),"")&lt;&gt;"Per hour"),IFERROR(INDEX(Services!$P$5:$P$64,MATCH(M544,Services!$B$5:$B$64,0)),0),AD544*AH544))</f>
        <v>0</v>
      </c>
      <c r="AJ544" s="21">
        <f>IF(G544="","",IF(V544&lt;&gt;"",V544,IF(P544="Cancelled",0,MAX(MinimumCharge,ROUND(AI544*IFERROR(INDEX(FreqFactors,MATCH(O544,FreqNames,0)),1),2)))))</f>
        <v>0</v>
      </c>
      <c r="AK544" s="34">
        <f>IF(G544="","",IF(SUMIFS(Timesheets!$U$5:$U$804,Timesheets!$G$5:$G$804,A544)&gt;0,SUMIFS(Timesheets!$U$5:$U$804,Timesheets!$G$5:$G$804,A544),IF(Z544="","",Z544)))</f>
        <v>0</v>
      </c>
      <c r="AL544" s="34">
        <f>IF(OR(AK544="",AD544=""),"",AK544-AD544)</f>
        <v>0</v>
      </c>
      <c r="AM544" s="31">
        <f>IF(A544="","",COUNTIFS('Job Tasks'!$B$5:$B$904,A544))</f>
        <v>0</v>
      </c>
      <c r="AN544" s="31">
        <f>IF(A544="","",COUNTIFS('Job Tasks'!$B$5:$B$904,A544,'Job Tasks'!$H$5:$H$904,"Done"))</f>
        <v>0</v>
      </c>
      <c r="AO544" s="38">
        <f>IF(OR(A544="",AM544=0),"",AN544/AM544)</f>
        <v>0</v>
      </c>
      <c r="AP544" s="43">
        <f>IF(A544="","",IFERROR(INDEX('Invoice Lines'!$B$5:$B$804,MATCH(A544,'Invoice Lines'!$C$5:$C$804,0)),""))</f>
        <v>0</v>
      </c>
      <c r="AQ544" s="18">
        <f>IF(OR(G544="",B544="",X544&lt;&gt;"Yes"),"",IF(IFERROR(INDEX(FreqDays,MATCH(O544,FreqNames,0)),0)=0,"",B544+IFERROR(INDEX(FreqDays,MATCH(O544,FreqNames,0)),0)))</f>
        <v>0</v>
      </c>
      <c r="AR544" s="39">
        <f>IF(G544="","",IF(R544="","Unassigned",IF(COUNTIFS($R$5:$R$604,R544,$B$5:$B$604,B544,$F$5:$F$604,F544)&gt;1,"Clash",IF(SUMIFS($AF$5:$AF$604,$R$5:$R$604,R544,$B$5:$B$604,B544)&gt;ProductiveHours,"Long day","OK"))))</f>
        <v>0</v>
      </c>
      <c r="AS544" s="18">
        <f>IF(OR(G544="",B544=""),"",IF(AND(B544&gt;=TodayDate,P544&lt;&gt;"Cancelled"),B544,""))</f>
        <v>0</v>
      </c>
      <c r="AT544" s="31">
        <f>IF(AS544="","",COUNTIFS($AS$5:$AS$604,"&lt;"&amp;AS544)+COUNTIFS($AS$5:AS544,AS544))</f>
        <v>0</v>
      </c>
      <c r="AU544" s="18">
        <f>IF(OR(G544="",B544="",R544&lt;&gt;""),"",IF(AND(B544&gt;=TodayDate,P544&lt;&gt;"Cancelled"),B544,""))</f>
        <v>0</v>
      </c>
      <c r="AV544" s="31">
        <f>IF(AU544="","",COUNTIFS($AU$5:$AU$604,"&lt;"&amp;AU544)+COUNTIFS($AU$5:AU544,AU544))</f>
        <v>0</v>
      </c>
      <c r="AW544" s="31">
        <f>IF(OR(G544="",B544=""),"",B544-TodayDate)</f>
        <v>0</v>
      </c>
      <c r="AX544" s="39">
        <f>IF(G544="","",IF(P544="Cancelled","Cancelled",IF(P544="No access","Action - no access, rebook",IF(AND(B544&lt;&gt;"",AW544&lt;0,OR(P544="Booked",P544="Confirmed",P544="In progress")),"Late - mark it completed",IF(AND(P544="Completed",AP544=""),"Action - not invoiced yet",IF(AND(AW544&gt;=0,AW544&lt;=ReminderDays,Y544&lt;&gt;"Yes"),"Confirm - visit coming up",IF(R544="","Assign - no cleaner booked",IF(AND(P544="Completed",AO544&lt;&gt;"",AO544&lt;1),"Check - checklist unfinished","OK"))))))))</f>
        <v>0</v>
      </c>
    </row>
    <row r="545" spans="1:50">
      <c r="A545" s="43">
        <f>IF(G545="","",JobPrefix&amp;TEXT(ROW()-4,"0000"))</f>
        <v>0</v>
      </c>
      <c r="C545" s="23">
        <f>IF(B545="","",TEXT(B545,"ddd"))</f>
        <v>0</v>
      </c>
      <c r="D545" s="31">
        <f>IF(B545="","",WEEKNUM(B545,IF(WeekStart="Sunday",1,2)))</f>
        <v>0</v>
      </c>
      <c r="E545" s="23">
        <f>IF(B545="","",TEXT(B545,"yyyy-mm"))</f>
        <v>0</v>
      </c>
      <c r="H545" s="23">
        <f>IF(G545="","",IFERROR(INDEX(Clients!$B$5:$B$204,MATCH(G545,Clients!$A$5:$A$204,0)),"Not found"))</f>
        <v>0</v>
      </c>
      <c r="I545" s="23">
        <f>IF(G545="","",IFERROR(INDEX(Clients!$C$5:$C$204,MATCH(G545,Clients!$A$5:$A$204,0)),""))</f>
        <v>0</v>
      </c>
      <c r="K545" s="23">
        <f>IF(J545="","",IFERROR(INDEX(Properties!$B$5:$B$254,MATCH(J545,Properties!$A$5:$A$254,0)),""))</f>
        <v>0</v>
      </c>
      <c r="L545" s="23">
        <f>IF(J545="","",IFERROR(INDEX(Properties!$F$5:$F$254,MATCH(J545,Properties!$A$5:$A$254,0)),""))</f>
        <v>0</v>
      </c>
      <c r="AD545" s="34">
        <f>IF(G545="","",IF(U545&lt;&gt;"",U545,IF(AND(IFERROR(INDEX(Services!$D$5:$D$64,MATCH(M545,Services!$B$5:$B$64,0)),"")="Per hour",IFERROR(INDEX(Properties!$X$5:$X$254,MATCH(J545,Properties!$A$5:$A$254,0)),0)&gt;0),IFERROR(INDEX(Properties!$X$5:$X$254,MATCH(J545,Properties!$A$5:$A$254,0)),0),IF(IFERROR(INDEX(Services!$G$5:$G$64,MATCH(M545,Services!$B$5:$B$64,0)),0)&gt;0,IFERROR(INDEX(Services!$G$5:$G$64,MATCH(M545,Services!$B$5:$B$64,0)),0),IFERROR(INDEX(Properties!$X$5:$X$254,MATCH(J545,Properties!$A$5:$A$254,0)),0)))))</f>
        <v>0</v>
      </c>
      <c r="AE545" s="31">
        <f>IF(G545="","",IF(T545="",CleanersPerJob,MAX(1,T545)))</f>
        <v>0</v>
      </c>
      <c r="AF545" s="34">
        <f>IF(G545="","",ROUND(AD545/AE545,2))</f>
        <v>0</v>
      </c>
      <c r="AG545" s="53">
        <f>IF(OR(G545="",F545="",AF545=""),"",F545+AF545/24)</f>
        <v>0</v>
      </c>
      <c r="AH545" s="21">
        <f>IF(G545="","",IF(IFERROR(INDEX(Clients!$O$5:$O$204,MATCH(G545,Clients!$A$5:$A$204,0)),0)&gt;0,IFERROR(INDEX(Clients!$O$5:$O$204,MATCH(G545,Clients!$A$5:$A$204,0)),0),HourlyRate))</f>
        <v>0</v>
      </c>
      <c r="AI545" s="21">
        <f>IF(G545="","",IF(AND(M545&lt;&gt;"",IFERROR(INDEX(Services!$P$5:$P$64,MATCH(M545,Services!$B$5:$B$64,0)),0)&gt;0,IFERROR(INDEX(Services!$D$5:$D$64,MATCH(M545,Services!$B$5:$B$64,0)),"")&lt;&gt;"Per hour"),IFERROR(INDEX(Services!$P$5:$P$64,MATCH(M545,Services!$B$5:$B$64,0)),0),AD545*AH545))</f>
        <v>0</v>
      </c>
      <c r="AJ545" s="21">
        <f>IF(G545="","",IF(V545&lt;&gt;"",V545,IF(P545="Cancelled",0,MAX(MinimumCharge,ROUND(AI545*IFERROR(INDEX(FreqFactors,MATCH(O545,FreqNames,0)),1),2)))))</f>
        <v>0</v>
      </c>
      <c r="AK545" s="34">
        <f>IF(G545="","",IF(SUMIFS(Timesheets!$U$5:$U$804,Timesheets!$G$5:$G$804,A545)&gt;0,SUMIFS(Timesheets!$U$5:$U$804,Timesheets!$G$5:$G$804,A545),IF(Z545="","",Z545)))</f>
        <v>0</v>
      </c>
      <c r="AL545" s="34">
        <f>IF(OR(AK545="",AD545=""),"",AK545-AD545)</f>
        <v>0</v>
      </c>
      <c r="AM545" s="31">
        <f>IF(A545="","",COUNTIFS('Job Tasks'!$B$5:$B$904,A545))</f>
        <v>0</v>
      </c>
      <c r="AN545" s="31">
        <f>IF(A545="","",COUNTIFS('Job Tasks'!$B$5:$B$904,A545,'Job Tasks'!$H$5:$H$904,"Done"))</f>
        <v>0</v>
      </c>
      <c r="AO545" s="38">
        <f>IF(OR(A545="",AM545=0),"",AN545/AM545)</f>
        <v>0</v>
      </c>
      <c r="AP545" s="43">
        <f>IF(A545="","",IFERROR(INDEX('Invoice Lines'!$B$5:$B$804,MATCH(A545,'Invoice Lines'!$C$5:$C$804,0)),""))</f>
        <v>0</v>
      </c>
      <c r="AQ545" s="18">
        <f>IF(OR(G545="",B545="",X545&lt;&gt;"Yes"),"",IF(IFERROR(INDEX(FreqDays,MATCH(O545,FreqNames,0)),0)=0,"",B545+IFERROR(INDEX(FreqDays,MATCH(O545,FreqNames,0)),0)))</f>
        <v>0</v>
      </c>
      <c r="AR545" s="39">
        <f>IF(G545="","",IF(R545="","Unassigned",IF(COUNTIFS($R$5:$R$604,R545,$B$5:$B$604,B545,$F$5:$F$604,F545)&gt;1,"Clash",IF(SUMIFS($AF$5:$AF$604,$R$5:$R$604,R545,$B$5:$B$604,B545)&gt;ProductiveHours,"Long day","OK"))))</f>
        <v>0</v>
      </c>
      <c r="AS545" s="18">
        <f>IF(OR(G545="",B545=""),"",IF(AND(B545&gt;=TodayDate,P545&lt;&gt;"Cancelled"),B545,""))</f>
        <v>0</v>
      </c>
      <c r="AT545" s="31">
        <f>IF(AS545="","",COUNTIFS($AS$5:$AS$604,"&lt;"&amp;AS545)+COUNTIFS($AS$5:AS545,AS545))</f>
        <v>0</v>
      </c>
      <c r="AU545" s="18">
        <f>IF(OR(G545="",B545="",R545&lt;&gt;""),"",IF(AND(B545&gt;=TodayDate,P545&lt;&gt;"Cancelled"),B545,""))</f>
        <v>0</v>
      </c>
      <c r="AV545" s="31">
        <f>IF(AU545="","",COUNTIFS($AU$5:$AU$604,"&lt;"&amp;AU545)+COUNTIFS($AU$5:AU545,AU545))</f>
        <v>0</v>
      </c>
      <c r="AW545" s="31">
        <f>IF(OR(G545="",B545=""),"",B545-TodayDate)</f>
        <v>0</v>
      </c>
      <c r="AX545" s="39">
        <f>IF(G545="","",IF(P545="Cancelled","Cancelled",IF(P545="No access","Action - no access, rebook",IF(AND(B545&lt;&gt;"",AW545&lt;0,OR(P545="Booked",P545="Confirmed",P545="In progress")),"Late - mark it completed",IF(AND(P545="Completed",AP545=""),"Action - not invoiced yet",IF(AND(AW545&gt;=0,AW545&lt;=ReminderDays,Y545&lt;&gt;"Yes"),"Confirm - visit coming up",IF(R545="","Assign - no cleaner booked",IF(AND(P545="Completed",AO545&lt;&gt;"",AO545&lt;1),"Check - checklist unfinished","OK"))))))))</f>
        <v>0</v>
      </c>
    </row>
    <row r="546" spans="1:50">
      <c r="A546" s="43">
        <f>IF(G546="","",JobPrefix&amp;TEXT(ROW()-4,"0000"))</f>
        <v>0</v>
      </c>
      <c r="C546" s="23">
        <f>IF(B546="","",TEXT(B546,"ddd"))</f>
        <v>0</v>
      </c>
      <c r="D546" s="31">
        <f>IF(B546="","",WEEKNUM(B546,IF(WeekStart="Sunday",1,2)))</f>
        <v>0</v>
      </c>
      <c r="E546" s="23">
        <f>IF(B546="","",TEXT(B546,"yyyy-mm"))</f>
        <v>0</v>
      </c>
      <c r="H546" s="23">
        <f>IF(G546="","",IFERROR(INDEX(Clients!$B$5:$B$204,MATCH(G546,Clients!$A$5:$A$204,0)),"Not found"))</f>
        <v>0</v>
      </c>
      <c r="I546" s="23">
        <f>IF(G546="","",IFERROR(INDEX(Clients!$C$5:$C$204,MATCH(G546,Clients!$A$5:$A$204,0)),""))</f>
        <v>0</v>
      </c>
      <c r="K546" s="23">
        <f>IF(J546="","",IFERROR(INDEX(Properties!$B$5:$B$254,MATCH(J546,Properties!$A$5:$A$254,0)),""))</f>
        <v>0</v>
      </c>
      <c r="L546" s="23">
        <f>IF(J546="","",IFERROR(INDEX(Properties!$F$5:$F$254,MATCH(J546,Properties!$A$5:$A$254,0)),""))</f>
        <v>0</v>
      </c>
      <c r="AD546" s="34">
        <f>IF(G546="","",IF(U546&lt;&gt;"",U546,IF(AND(IFERROR(INDEX(Services!$D$5:$D$64,MATCH(M546,Services!$B$5:$B$64,0)),"")="Per hour",IFERROR(INDEX(Properties!$X$5:$X$254,MATCH(J546,Properties!$A$5:$A$254,0)),0)&gt;0),IFERROR(INDEX(Properties!$X$5:$X$254,MATCH(J546,Properties!$A$5:$A$254,0)),0),IF(IFERROR(INDEX(Services!$G$5:$G$64,MATCH(M546,Services!$B$5:$B$64,0)),0)&gt;0,IFERROR(INDEX(Services!$G$5:$G$64,MATCH(M546,Services!$B$5:$B$64,0)),0),IFERROR(INDEX(Properties!$X$5:$X$254,MATCH(J546,Properties!$A$5:$A$254,0)),0)))))</f>
        <v>0</v>
      </c>
      <c r="AE546" s="31">
        <f>IF(G546="","",IF(T546="",CleanersPerJob,MAX(1,T546)))</f>
        <v>0</v>
      </c>
      <c r="AF546" s="34">
        <f>IF(G546="","",ROUND(AD546/AE546,2))</f>
        <v>0</v>
      </c>
      <c r="AG546" s="53">
        <f>IF(OR(G546="",F546="",AF546=""),"",F546+AF546/24)</f>
        <v>0</v>
      </c>
      <c r="AH546" s="21">
        <f>IF(G546="","",IF(IFERROR(INDEX(Clients!$O$5:$O$204,MATCH(G546,Clients!$A$5:$A$204,0)),0)&gt;0,IFERROR(INDEX(Clients!$O$5:$O$204,MATCH(G546,Clients!$A$5:$A$204,0)),0),HourlyRate))</f>
        <v>0</v>
      </c>
      <c r="AI546" s="21">
        <f>IF(G546="","",IF(AND(M546&lt;&gt;"",IFERROR(INDEX(Services!$P$5:$P$64,MATCH(M546,Services!$B$5:$B$64,0)),0)&gt;0,IFERROR(INDEX(Services!$D$5:$D$64,MATCH(M546,Services!$B$5:$B$64,0)),"")&lt;&gt;"Per hour"),IFERROR(INDEX(Services!$P$5:$P$64,MATCH(M546,Services!$B$5:$B$64,0)),0),AD546*AH546))</f>
        <v>0</v>
      </c>
      <c r="AJ546" s="21">
        <f>IF(G546="","",IF(V546&lt;&gt;"",V546,IF(P546="Cancelled",0,MAX(MinimumCharge,ROUND(AI546*IFERROR(INDEX(FreqFactors,MATCH(O546,FreqNames,0)),1),2)))))</f>
        <v>0</v>
      </c>
      <c r="AK546" s="34">
        <f>IF(G546="","",IF(SUMIFS(Timesheets!$U$5:$U$804,Timesheets!$G$5:$G$804,A546)&gt;0,SUMIFS(Timesheets!$U$5:$U$804,Timesheets!$G$5:$G$804,A546),IF(Z546="","",Z546)))</f>
        <v>0</v>
      </c>
      <c r="AL546" s="34">
        <f>IF(OR(AK546="",AD546=""),"",AK546-AD546)</f>
        <v>0</v>
      </c>
      <c r="AM546" s="31">
        <f>IF(A546="","",COUNTIFS('Job Tasks'!$B$5:$B$904,A546))</f>
        <v>0</v>
      </c>
      <c r="AN546" s="31">
        <f>IF(A546="","",COUNTIFS('Job Tasks'!$B$5:$B$904,A546,'Job Tasks'!$H$5:$H$904,"Done"))</f>
        <v>0</v>
      </c>
      <c r="AO546" s="38">
        <f>IF(OR(A546="",AM546=0),"",AN546/AM546)</f>
        <v>0</v>
      </c>
      <c r="AP546" s="43">
        <f>IF(A546="","",IFERROR(INDEX('Invoice Lines'!$B$5:$B$804,MATCH(A546,'Invoice Lines'!$C$5:$C$804,0)),""))</f>
        <v>0</v>
      </c>
      <c r="AQ546" s="18">
        <f>IF(OR(G546="",B546="",X546&lt;&gt;"Yes"),"",IF(IFERROR(INDEX(FreqDays,MATCH(O546,FreqNames,0)),0)=0,"",B546+IFERROR(INDEX(FreqDays,MATCH(O546,FreqNames,0)),0)))</f>
        <v>0</v>
      </c>
      <c r="AR546" s="39">
        <f>IF(G546="","",IF(R546="","Unassigned",IF(COUNTIFS($R$5:$R$604,R546,$B$5:$B$604,B546,$F$5:$F$604,F546)&gt;1,"Clash",IF(SUMIFS($AF$5:$AF$604,$R$5:$R$604,R546,$B$5:$B$604,B546)&gt;ProductiveHours,"Long day","OK"))))</f>
        <v>0</v>
      </c>
      <c r="AS546" s="18">
        <f>IF(OR(G546="",B546=""),"",IF(AND(B546&gt;=TodayDate,P546&lt;&gt;"Cancelled"),B546,""))</f>
        <v>0</v>
      </c>
      <c r="AT546" s="31">
        <f>IF(AS546="","",COUNTIFS($AS$5:$AS$604,"&lt;"&amp;AS546)+COUNTIFS($AS$5:AS546,AS546))</f>
        <v>0</v>
      </c>
      <c r="AU546" s="18">
        <f>IF(OR(G546="",B546="",R546&lt;&gt;""),"",IF(AND(B546&gt;=TodayDate,P546&lt;&gt;"Cancelled"),B546,""))</f>
        <v>0</v>
      </c>
      <c r="AV546" s="31">
        <f>IF(AU546="","",COUNTIFS($AU$5:$AU$604,"&lt;"&amp;AU546)+COUNTIFS($AU$5:AU546,AU546))</f>
        <v>0</v>
      </c>
      <c r="AW546" s="31">
        <f>IF(OR(G546="",B546=""),"",B546-TodayDate)</f>
        <v>0</v>
      </c>
      <c r="AX546" s="39">
        <f>IF(G546="","",IF(P546="Cancelled","Cancelled",IF(P546="No access","Action - no access, rebook",IF(AND(B546&lt;&gt;"",AW546&lt;0,OR(P546="Booked",P546="Confirmed",P546="In progress")),"Late - mark it completed",IF(AND(P546="Completed",AP546=""),"Action - not invoiced yet",IF(AND(AW546&gt;=0,AW546&lt;=ReminderDays,Y546&lt;&gt;"Yes"),"Confirm - visit coming up",IF(R546="","Assign - no cleaner booked",IF(AND(P546="Completed",AO546&lt;&gt;"",AO546&lt;1),"Check - checklist unfinished","OK"))))))))</f>
        <v>0</v>
      </c>
    </row>
    <row r="547" spans="1:50">
      <c r="A547" s="43">
        <f>IF(G547="","",JobPrefix&amp;TEXT(ROW()-4,"0000"))</f>
        <v>0</v>
      </c>
      <c r="C547" s="23">
        <f>IF(B547="","",TEXT(B547,"ddd"))</f>
        <v>0</v>
      </c>
      <c r="D547" s="31">
        <f>IF(B547="","",WEEKNUM(B547,IF(WeekStart="Sunday",1,2)))</f>
        <v>0</v>
      </c>
      <c r="E547" s="23">
        <f>IF(B547="","",TEXT(B547,"yyyy-mm"))</f>
        <v>0</v>
      </c>
      <c r="H547" s="23">
        <f>IF(G547="","",IFERROR(INDEX(Clients!$B$5:$B$204,MATCH(G547,Clients!$A$5:$A$204,0)),"Not found"))</f>
        <v>0</v>
      </c>
      <c r="I547" s="23">
        <f>IF(G547="","",IFERROR(INDEX(Clients!$C$5:$C$204,MATCH(G547,Clients!$A$5:$A$204,0)),""))</f>
        <v>0</v>
      </c>
      <c r="K547" s="23">
        <f>IF(J547="","",IFERROR(INDEX(Properties!$B$5:$B$254,MATCH(J547,Properties!$A$5:$A$254,0)),""))</f>
        <v>0</v>
      </c>
      <c r="L547" s="23">
        <f>IF(J547="","",IFERROR(INDEX(Properties!$F$5:$F$254,MATCH(J547,Properties!$A$5:$A$254,0)),""))</f>
        <v>0</v>
      </c>
      <c r="AD547" s="34">
        <f>IF(G547="","",IF(U547&lt;&gt;"",U547,IF(AND(IFERROR(INDEX(Services!$D$5:$D$64,MATCH(M547,Services!$B$5:$B$64,0)),"")="Per hour",IFERROR(INDEX(Properties!$X$5:$X$254,MATCH(J547,Properties!$A$5:$A$254,0)),0)&gt;0),IFERROR(INDEX(Properties!$X$5:$X$254,MATCH(J547,Properties!$A$5:$A$254,0)),0),IF(IFERROR(INDEX(Services!$G$5:$G$64,MATCH(M547,Services!$B$5:$B$64,0)),0)&gt;0,IFERROR(INDEX(Services!$G$5:$G$64,MATCH(M547,Services!$B$5:$B$64,0)),0),IFERROR(INDEX(Properties!$X$5:$X$254,MATCH(J547,Properties!$A$5:$A$254,0)),0)))))</f>
        <v>0</v>
      </c>
      <c r="AE547" s="31">
        <f>IF(G547="","",IF(T547="",CleanersPerJob,MAX(1,T547)))</f>
        <v>0</v>
      </c>
      <c r="AF547" s="34">
        <f>IF(G547="","",ROUND(AD547/AE547,2))</f>
        <v>0</v>
      </c>
      <c r="AG547" s="53">
        <f>IF(OR(G547="",F547="",AF547=""),"",F547+AF547/24)</f>
        <v>0</v>
      </c>
      <c r="AH547" s="21">
        <f>IF(G547="","",IF(IFERROR(INDEX(Clients!$O$5:$O$204,MATCH(G547,Clients!$A$5:$A$204,0)),0)&gt;0,IFERROR(INDEX(Clients!$O$5:$O$204,MATCH(G547,Clients!$A$5:$A$204,0)),0),HourlyRate))</f>
        <v>0</v>
      </c>
      <c r="AI547" s="21">
        <f>IF(G547="","",IF(AND(M547&lt;&gt;"",IFERROR(INDEX(Services!$P$5:$P$64,MATCH(M547,Services!$B$5:$B$64,0)),0)&gt;0,IFERROR(INDEX(Services!$D$5:$D$64,MATCH(M547,Services!$B$5:$B$64,0)),"")&lt;&gt;"Per hour"),IFERROR(INDEX(Services!$P$5:$P$64,MATCH(M547,Services!$B$5:$B$64,0)),0),AD547*AH547))</f>
        <v>0</v>
      </c>
      <c r="AJ547" s="21">
        <f>IF(G547="","",IF(V547&lt;&gt;"",V547,IF(P547="Cancelled",0,MAX(MinimumCharge,ROUND(AI547*IFERROR(INDEX(FreqFactors,MATCH(O547,FreqNames,0)),1),2)))))</f>
        <v>0</v>
      </c>
      <c r="AK547" s="34">
        <f>IF(G547="","",IF(SUMIFS(Timesheets!$U$5:$U$804,Timesheets!$G$5:$G$804,A547)&gt;0,SUMIFS(Timesheets!$U$5:$U$804,Timesheets!$G$5:$G$804,A547),IF(Z547="","",Z547)))</f>
        <v>0</v>
      </c>
      <c r="AL547" s="34">
        <f>IF(OR(AK547="",AD547=""),"",AK547-AD547)</f>
        <v>0</v>
      </c>
      <c r="AM547" s="31">
        <f>IF(A547="","",COUNTIFS('Job Tasks'!$B$5:$B$904,A547))</f>
        <v>0</v>
      </c>
      <c r="AN547" s="31">
        <f>IF(A547="","",COUNTIFS('Job Tasks'!$B$5:$B$904,A547,'Job Tasks'!$H$5:$H$904,"Done"))</f>
        <v>0</v>
      </c>
      <c r="AO547" s="38">
        <f>IF(OR(A547="",AM547=0),"",AN547/AM547)</f>
        <v>0</v>
      </c>
      <c r="AP547" s="43">
        <f>IF(A547="","",IFERROR(INDEX('Invoice Lines'!$B$5:$B$804,MATCH(A547,'Invoice Lines'!$C$5:$C$804,0)),""))</f>
        <v>0</v>
      </c>
      <c r="AQ547" s="18">
        <f>IF(OR(G547="",B547="",X547&lt;&gt;"Yes"),"",IF(IFERROR(INDEX(FreqDays,MATCH(O547,FreqNames,0)),0)=0,"",B547+IFERROR(INDEX(FreqDays,MATCH(O547,FreqNames,0)),0)))</f>
        <v>0</v>
      </c>
      <c r="AR547" s="39">
        <f>IF(G547="","",IF(R547="","Unassigned",IF(COUNTIFS($R$5:$R$604,R547,$B$5:$B$604,B547,$F$5:$F$604,F547)&gt;1,"Clash",IF(SUMIFS($AF$5:$AF$604,$R$5:$R$604,R547,$B$5:$B$604,B547)&gt;ProductiveHours,"Long day","OK"))))</f>
        <v>0</v>
      </c>
      <c r="AS547" s="18">
        <f>IF(OR(G547="",B547=""),"",IF(AND(B547&gt;=TodayDate,P547&lt;&gt;"Cancelled"),B547,""))</f>
        <v>0</v>
      </c>
      <c r="AT547" s="31">
        <f>IF(AS547="","",COUNTIFS($AS$5:$AS$604,"&lt;"&amp;AS547)+COUNTIFS($AS$5:AS547,AS547))</f>
        <v>0</v>
      </c>
      <c r="AU547" s="18">
        <f>IF(OR(G547="",B547="",R547&lt;&gt;""),"",IF(AND(B547&gt;=TodayDate,P547&lt;&gt;"Cancelled"),B547,""))</f>
        <v>0</v>
      </c>
      <c r="AV547" s="31">
        <f>IF(AU547="","",COUNTIFS($AU$5:$AU$604,"&lt;"&amp;AU547)+COUNTIFS($AU$5:AU547,AU547))</f>
        <v>0</v>
      </c>
      <c r="AW547" s="31">
        <f>IF(OR(G547="",B547=""),"",B547-TodayDate)</f>
        <v>0</v>
      </c>
      <c r="AX547" s="39">
        <f>IF(G547="","",IF(P547="Cancelled","Cancelled",IF(P547="No access","Action - no access, rebook",IF(AND(B547&lt;&gt;"",AW547&lt;0,OR(P547="Booked",P547="Confirmed",P547="In progress")),"Late - mark it completed",IF(AND(P547="Completed",AP547=""),"Action - not invoiced yet",IF(AND(AW547&gt;=0,AW547&lt;=ReminderDays,Y547&lt;&gt;"Yes"),"Confirm - visit coming up",IF(R547="","Assign - no cleaner booked",IF(AND(P547="Completed",AO547&lt;&gt;"",AO547&lt;1),"Check - checklist unfinished","OK"))))))))</f>
        <v>0</v>
      </c>
    </row>
    <row r="548" spans="1:50">
      <c r="A548" s="43">
        <f>IF(G548="","",JobPrefix&amp;TEXT(ROW()-4,"0000"))</f>
        <v>0</v>
      </c>
      <c r="C548" s="23">
        <f>IF(B548="","",TEXT(B548,"ddd"))</f>
        <v>0</v>
      </c>
      <c r="D548" s="31">
        <f>IF(B548="","",WEEKNUM(B548,IF(WeekStart="Sunday",1,2)))</f>
        <v>0</v>
      </c>
      <c r="E548" s="23">
        <f>IF(B548="","",TEXT(B548,"yyyy-mm"))</f>
        <v>0</v>
      </c>
      <c r="H548" s="23">
        <f>IF(G548="","",IFERROR(INDEX(Clients!$B$5:$B$204,MATCH(G548,Clients!$A$5:$A$204,0)),"Not found"))</f>
        <v>0</v>
      </c>
      <c r="I548" s="23">
        <f>IF(G548="","",IFERROR(INDEX(Clients!$C$5:$C$204,MATCH(G548,Clients!$A$5:$A$204,0)),""))</f>
        <v>0</v>
      </c>
      <c r="K548" s="23">
        <f>IF(J548="","",IFERROR(INDEX(Properties!$B$5:$B$254,MATCH(J548,Properties!$A$5:$A$254,0)),""))</f>
        <v>0</v>
      </c>
      <c r="L548" s="23">
        <f>IF(J548="","",IFERROR(INDEX(Properties!$F$5:$F$254,MATCH(J548,Properties!$A$5:$A$254,0)),""))</f>
        <v>0</v>
      </c>
      <c r="AD548" s="34">
        <f>IF(G548="","",IF(U548&lt;&gt;"",U548,IF(AND(IFERROR(INDEX(Services!$D$5:$D$64,MATCH(M548,Services!$B$5:$B$64,0)),"")="Per hour",IFERROR(INDEX(Properties!$X$5:$X$254,MATCH(J548,Properties!$A$5:$A$254,0)),0)&gt;0),IFERROR(INDEX(Properties!$X$5:$X$254,MATCH(J548,Properties!$A$5:$A$254,0)),0),IF(IFERROR(INDEX(Services!$G$5:$G$64,MATCH(M548,Services!$B$5:$B$64,0)),0)&gt;0,IFERROR(INDEX(Services!$G$5:$G$64,MATCH(M548,Services!$B$5:$B$64,0)),0),IFERROR(INDEX(Properties!$X$5:$X$254,MATCH(J548,Properties!$A$5:$A$254,0)),0)))))</f>
        <v>0</v>
      </c>
      <c r="AE548" s="31">
        <f>IF(G548="","",IF(T548="",CleanersPerJob,MAX(1,T548)))</f>
        <v>0</v>
      </c>
      <c r="AF548" s="34">
        <f>IF(G548="","",ROUND(AD548/AE548,2))</f>
        <v>0</v>
      </c>
      <c r="AG548" s="53">
        <f>IF(OR(G548="",F548="",AF548=""),"",F548+AF548/24)</f>
        <v>0</v>
      </c>
      <c r="AH548" s="21">
        <f>IF(G548="","",IF(IFERROR(INDEX(Clients!$O$5:$O$204,MATCH(G548,Clients!$A$5:$A$204,0)),0)&gt;0,IFERROR(INDEX(Clients!$O$5:$O$204,MATCH(G548,Clients!$A$5:$A$204,0)),0),HourlyRate))</f>
        <v>0</v>
      </c>
      <c r="AI548" s="21">
        <f>IF(G548="","",IF(AND(M548&lt;&gt;"",IFERROR(INDEX(Services!$P$5:$P$64,MATCH(M548,Services!$B$5:$B$64,0)),0)&gt;0,IFERROR(INDEX(Services!$D$5:$D$64,MATCH(M548,Services!$B$5:$B$64,0)),"")&lt;&gt;"Per hour"),IFERROR(INDEX(Services!$P$5:$P$64,MATCH(M548,Services!$B$5:$B$64,0)),0),AD548*AH548))</f>
        <v>0</v>
      </c>
      <c r="AJ548" s="21">
        <f>IF(G548="","",IF(V548&lt;&gt;"",V548,IF(P548="Cancelled",0,MAX(MinimumCharge,ROUND(AI548*IFERROR(INDEX(FreqFactors,MATCH(O548,FreqNames,0)),1),2)))))</f>
        <v>0</v>
      </c>
      <c r="AK548" s="34">
        <f>IF(G548="","",IF(SUMIFS(Timesheets!$U$5:$U$804,Timesheets!$G$5:$G$804,A548)&gt;0,SUMIFS(Timesheets!$U$5:$U$804,Timesheets!$G$5:$G$804,A548),IF(Z548="","",Z548)))</f>
        <v>0</v>
      </c>
      <c r="AL548" s="34">
        <f>IF(OR(AK548="",AD548=""),"",AK548-AD548)</f>
        <v>0</v>
      </c>
      <c r="AM548" s="31">
        <f>IF(A548="","",COUNTIFS('Job Tasks'!$B$5:$B$904,A548))</f>
        <v>0</v>
      </c>
      <c r="AN548" s="31">
        <f>IF(A548="","",COUNTIFS('Job Tasks'!$B$5:$B$904,A548,'Job Tasks'!$H$5:$H$904,"Done"))</f>
        <v>0</v>
      </c>
      <c r="AO548" s="38">
        <f>IF(OR(A548="",AM548=0),"",AN548/AM548)</f>
        <v>0</v>
      </c>
      <c r="AP548" s="43">
        <f>IF(A548="","",IFERROR(INDEX('Invoice Lines'!$B$5:$B$804,MATCH(A548,'Invoice Lines'!$C$5:$C$804,0)),""))</f>
        <v>0</v>
      </c>
      <c r="AQ548" s="18">
        <f>IF(OR(G548="",B548="",X548&lt;&gt;"Yes"),"",IF(IFERROR(INDEX(FreqDays,MATCH(O548,FreqNames,0)),0)=0,"",B548+IFERROR(INDEX(FreqDays,MATCH(O548,FreqNames,0)),0)))</f>
        <v>0</v>
      </c>
      <c r="AR548" s="39">
        <f>IF(G548="","",IF(R548="","Unassigned",IF(COUNTIFS($R$5:$R$604,R548,$B$5:$B$604,B548,$F$5:$F$604,F548)&gt;1,"Clash",IF(SUMIFS($AF$5:$AF$604,$R$5:$R$604,R548,$B$5:$B$604,B548)&gt;ProductiveHours,"Long day","OK"))))</f>
        <v>0</v>
      </c>
      <c r="AS548" s="18">
        <f>IF(OR(G548="",B548=""),"",IF(AND(B548&gt;=TodayDate,P548&lt;&gt;"Cancelled"),B548,""))</f>
        <v>0</v>
      </c>
      <c r="AT548" s="31">
        <f>IF(AS548="","",COUNTIFS($AS$5:$AS$604,"&lt;"&amp;AS548)+COUNTIFS($AS$5:AS548,AS548))</f>
        <v>0</v>
      </c>
      <c r="AU548" s="18">
        <f>IF(OR(G548="",B548="",R548&lt;&gt;""),"",IF(AND(B548&gt;=TodayDate,P548&lt;&gt;"Cancelled"),B548,""))</f>
        <v>0</v>
      </c>
      <c r="AV548" s="31">
        <f>IF(AU548="","",COUNTIFS($AU$5:$AU$604,"&lt;"&amp;AU548)+COUNTIFS($AU$5:AU548,AU548))</f>
        <v>0</v>
      </c>
      <c r="AW548" s="31">
        <f>IF(OR(G548="",B548=""),"",B548-TodayDate)</f>
        <v>0</v>
      </c>
      <c r="AX548" s="39">
        <f>IF(G548="","",IF(P548="Cancelled","Cancelled",IF(P548="No access","Action - no access, rebook",IF(AND(B548&lt;&gt;"",AW548&lt;0,OR(P548="Booked",P548="Confirmed",P548="In progress")),"Late - mark it completed",IF(AND(P548="Completed",AP548=""),"Action - not invoiced yet",IF(AND(AW548&gt;=0,AW548&lt;=ReminderDays,Y548&lt;&gt;"Yes"),"Confirm - visit coming up",IF(R548="","Assign - no cleaner booked",IF(AND(P548="Completed",AO548&lt;&gt;"",AO548&lt;1),"Check - checklist unfinished","OK"))))))))</f>
        <v>0</v>
      </c>
    </row>
    <row r="549" spans="1:50">
      <c r="A549" s="43">
        <f>IF(G549="","",JobPrefix&amp;TEXT(ROW()-4,"0000"))</f>
        <v>0</v>
      </c>
      <c r="C549" s="23">
        <f>IF(B549="","",TEXT(B549,"ddd"))</f>
        <v>0</v>
      </c>
      <c r="D549" s="31">
        <f>IF(B549="","",WEEKNUM(B549,IF(WeekStart="Sunday",1,2)))</f>
        <v>0</v>
      </c>
      <c r="E549" s="23">
        <f>IF(B549="","",TEXT(B549,"yyyy-mm"))</f>
        <v>0</v>
      </c>
      <c r="H549" s="23">
        <f>IF(G549="","",IFERROR(INDEX(Clients!$B$5:$B$204,MATCH(G549,Clients!$A$5:$A$204,0)),"Not found"))</f>
        <v>0</v>
      </c>
      <c r="I549" s="23">
        <f>IF(G549="","",IFERROR(INDEX(Clients!$C$5:$C$204,MATCH(G549,Clients!$A$5:$A$204,0)),""))</f>
        <v>0</v>
      </c>
      <c r="K549" s="23">
        <f>IF(J549="","",IFERROR(INDEX(Properties!$B$5:$B$254,MATCH(J549,Properties!$A$5:$A$254,0)),""))</f>
        <v>0</v>
      </c>
      <c r="L549" s="23">
        <f>IF(J549="","",IFERROR(INDEX(Properties!$F$5:$F$254,MATCH(J549,Properties!$A$5:$A$254,0)),""))</f>
        <v>0</v>
      </c>
      <c r="AD549" s="34">
        <f>IF(G549="","",IF(U549&lt;&gt;"",U549,IF(AND(IFERROR(INDEX(Services!$D$5:$D$64,MATCH(M549,Services!$B$5:$B$64,0)),"")="Per hour",IFERROR(INDEX(Properties!$X$5:$X$254,MATCH(J549,Properties!$A$5:$A$254,0)),0)&gt;0),IFERROR(INDEX(Properties!$X$5:$X$254,MATCH(J549,Properties!$A$5:$A$254,0)),0),IF(IFERROR(INDEX(Services!$G$5:$G$64,MATCH(M549,Services!$B$5:$B$64,0)),0)&gt;0,IFERROR(INDEX(Services!$G$5:$G$64,MATCH(M549,Services!$B$5:$B$64,0)),0),IFERROR(INDEX(Properties!$X$5:$X$254,MATCH(J549,Properties!$A$5:$A$254,0)),0)))))</f>
        <v>0</v>
      </c>
      <c r="AE549" s="31">
        <f>IF(G549="","",IF(T549="",CleanersPerJob,MAX(1,T549)))</f>
        <v>0</v>
      </c>
      <c r="AF549" s="34">
        <f>IF(G549="","",ROUND(AD549/AE549,2))</f>
        <v>0</v>
      </c>
      <c r="AG549" s="53">
        <f>IF(OR(G549="",F549="",AF549=""),"",F549+AF549/24)</f>
        <v>0</v>
      </c>
      <c r="AH549" s="21">
        <f>IF(G549="","",IF(IFERROR(INDEX(Clients!$O$5:$O$204,MATCH(G549,Clients!$A$5:$A$204,0)),0)&gt;0,IFERROR(INDEX(Clients!$O$5:$O$204,MATCH(G549,Clients!$A$5:$A$204,0)),0),HourlyRate))</f>
        <v>0</v>
      </c>
      <c r="AI549" s="21">
        <f>IF(G549="","",IF(AND(M549&lt;&gt;"",IFERROR(INDEX(Services!$P$5:$P$64,MATCH(M549,Services!$B$5:$B$64,0)),0)&gt;0,IFERROR(INDEX(Services!$D$5:$D$64,MATCH(M549,Services!$B$5:$B$64,0)),"")&lt;&gt;"Per hour"),IFERROR(INDEX(Services!$P$5:$P$64,MATCH(M549,Services!$B$5:$B$64,0)),0),AD549*AH549))</f>
        <v>0</v>
      </c>
      <c r="AJ549" s="21">
        <f>IF(G549="","",IF(V549&lt;&gt;"",V549,IF(P549="Cancelled",0,MAX(MinimumCharge,ROUND(AI549*IFERROR(INDEX(FreqFactors,MATCH(O549,FreqNames,0)),1),2)))))</f>
        <v>0</v>
      </c>
      <c r="AK549" s="34">
        <f>IF(G549="","",IF(SUMIFS(Timesheets!$U$5:$U$804,Timesheets!$G$5:$G$804,A549)&gt;0,SUMIFS(Timesheets!$U$5:$U$804,Timesheets!$G$5:$G$804,A549),IF(Z549="","",Z549)))</f>
        <v>0</v>
      </c>
      <c r="AL549" s="34">
        <f>IF(OR(AK549="",AD549=""),"",AK549-AD549)</f>
        <v>0</v>
      </c>
      <c r="AM549" s="31">
        <f>IF(A549="","",COUNTIFS('Job Tasks'!$B$5:$B$904,A549))</f>
        <v>0</v>
      </c>
      <c r="AN549" s="31">
        <f>IF(A549="","",COUNTIFS('Job Tasks'!$B$5:$B$904,A549,'Job Tasks'!$H$5:$H$904,"Done"))</f>
        <v>0</v>
      </c>
      <c r="AO549" s="38">
        <f>IF(OR(A549="",AM549=0),"",AN549/AM549)</f>
        <v>0</v>
      </c>
      <c r="AP549" s="43">
        <f>IF(A549="","",IFERROR(INDEX('Invoice Lines'!$B$5:$B$804,MATCH(A549,'Invoice Lines'!$C$5:$C$804,0)),""))</f>
        <v>0</v>
      </c>
      <c r="AQ549" s="18">
        <f>IF(OR(G549="",B549="",X549&lt;&gt;"Yes"),"",IF(IFERROR(INDEX(FreqDays,MATCH(O549,FreqNames,0)),0)=0,"",B549+IFERROR(INDEX(FreqDays,MATCH(O549,FreqNames,0)),0)))</f>
        <v>0</v>
      </c>
      <c r="AR549" s="39">
        <f>IF(G549="","",IF(R549="","Unassigned",IF(COUNTIFS($R$5:$R$604,R549,$B$5:$B$604,B549,$F$5:$F$604,F549)&gt;1,"Clash",IF(SUMIFS($AF$5:$AF$604,$R$5:$R$604,R549,$B$5:$B$604,B549)&gt;ProductiveHours,"Long day","OK"))))</f>
        <v>0</v>
      </c>
      <c r="AS549" s="18">
        <f>IF(OR(G549="",B549=""),"",IF(AND(B549&gt;=TodayDate,P549&lt;&gt;"Cancelled"),B549,""))</f>
        <v>0</v>
      </c>
      <c r="AT549" s="31">
        <f>IF(AS549="","",COUNTIFS($AS$5:$AS$604,"&lt;"&amp;AS549)+COUNTIFS($AS$5:AS549,AS549))</f>
        <v>0</v>
      </c>
      <c r="AU549" s="18">
        <f>IF(OR(G549="",B549="",R549&lt;&gt;""),"",IF(AND(B549&gt;=TodayDate,P549&lt;&gt;"Cancelled"),B549,""))</f>
        <v>0</v>
      </c>
      <c r="AV549" s="31">
        <f>IF(AU549="","",COUNTIFS($AU$5:$AU$604,"&lt;"&amp;AU549)+COUNTIFS($AU$5:AU549,AU549))</f>
        <v>0</v>
      </c>
      <c r="AW549" s="31">
        <f>IF(OR(G549="",B549=""),"",B549-TodayDate)</f>
        <v>0</v>
      </c>
      <c r="AX549" s="39">
        <f>IF(G549="","",IF(P549="Cancelled","Cancelled",IF(P549="No access","Action - no access, rebook",IF(AND(B549&lt;&gt;"",AW549&lt;0,OR(P549="Booked",P549="Confirmed",P549="In progress")),"Late - mark it completed",IF(AND(P549="Completed",AP549=""),"Action - not invoiced yet",IF(AND(AW549&gt;=0,AW549&lt;=ReminderDays,Y549&lt;&gt;"Yes"),"Confirm - visit coming up",IF(R549="","Assign - no cleaner booked",IF(AND(P549="Completed",AO549&lt;&gt;"",AO549&lt;1),"Check - checklist unfinished","OK"))))))))</f>
        <v>0</v>
      </c>
    </row>
    <row r="550" spans="1:50">
      <c r="A550" s="43">
        <f>IF(G550="","",JobPrefix&amp;TEXT(ROW()-4,"0000"))</f>
        <v>0</v>
      </c>
      <c r="C550" s="23">
        <f>IF(B550="","",TEXT(B550,"ddd"))</f>
        <v>0</v>
      </c>
      <c r="D550" s="31">
        <f>IF(B550="","",WEEKNUM(B550,IF(WeekStart="Sunday",1,2)))</f>
        <v>0</v>
      </c>
      <c r="E550" s="23">
        <f>IF(B550="","",TEXT(B550,"yyyy-mm"))</f>
        <v>0</v>
      </c>
      <c r="H550" s="23">
        <f>IF(G550="","",IFERROR(INDEX(Clients!$B$5:$B$204,MATCH(G550,Clients!$A$5:$A$204,0)),"Not found"))</f>
        <v>0</v>
      </c>
      <c r="I550" s="23">
        <f>IF(G550="","",IFERROR(INDEX(Clients!$C$5:$C$204,MATCH(G550,Clients!$A$5:$A$204,0)),""))</f>
        <v>0</v>
      </c>
      <c r="K550" s="23">
        <f>IF(J550="","",IFERROR(INDEX(Properties!$B$5:$B$254,MATCH(J550,Properties!$A$5:$A$254,0)),""))</f>
        <v>0</v>
      </c>
      <c r="L550" s="23">
        <f>IF(J550="","",IFERROR(INDEX(Properties!$F$5:$F$254,MATCH(J550,Properties!$A$5:$A$254,0)),""))</f>
        <v>0</v>
      </c>
      <c r="AD550" s="34">
        <f>IF(G550="","",IF(U550&lt;&gt;"",U550,IF(AND(IFERROR(INDEX(Services!$D$5:$D$64,MATCH(M550,Services!$B$5:$B$64,0)),"")="Per hour",IFERROR(INDEX(Properties!$X$5:$X$254,MATCH(J550,Properties!$A$5:$A$254,0)),0)&gt;0),IFERROR(INDEX(Properties!$X$5:$X$254,MATCH(J550,Properties!$A$5:$A$254,0)),0),IF(IFERROR(INDEX(Services!$G$5:$G$64,MATCH(M550,Services!$B$5:$B$64,0)),0)&gt;0,IFERROR(INDEX(Services!$G$5:$G$64,MATCH(M550,Services!$B$5:$B$64,0)),0),IFERROR(INDEX(Properties!$X$5:$X$254,MATCH(J550,Properties!$A$5:$A$254,0)),0)))))</f>
        <v>0</v>
      </c>
      <c r="AE550" s="31">
        <f>IF(G550="","",IF(T550="",CleanersPerJob,MAX(1,T550)))</f>
        <v>0</v>
      </c>
      <c r="AF550" s="34">
        <f>IF(G550="","",ROUND(AD550/AE550,2))</f>
        <v>0</v>
      </c>
      <c r="AG550" s="53">
        <f>IF(OR(G550="",F550="",AF550=""),"",F550+AF550/24)</f>
        <v>0</v>
      </c>
      <c r="AH550" s="21">
        <f>IF(G550="","",IF(IFERROR(INDEX(Clients!$O$5:$O$204,MATCH(G550,Clients!$A$5:$A$204,0)),0)&gt;0,IFERROR(INDEX(Clients!$O$5:$O$204,MATCH(G550,Clients!$A$5:$A$204,0)),0),HourlyRate))</f>
        <v>0</v>
      </c>
      <c r="AI550" s="21">
        <f>IF(G550="","",IF(AND(M550&lt;&gt;"",IFERROR(INDEX(Services!$P$5:$P$64,MATCH(M550,Services!$B$5:$B$64,0)),0)&gt;0,IFERROR(INDEX(Services!$D$5:$D$64,MATCH(M550,Services!$B$5:$B$64,0)),"")&lt;&gt;"Per hour"),IFERROR(INDEX(Services!$P$5:$P$64,MATCH(M550,Services!$B$5:$B$64,0)),0),AD550*AH550))</f>
        <v>0</v>
      </c>
      <c r="AJ550" s="21">
        <f>IF(G550="","",IF(V550&lt;&gt;"",V550,IF(P550="Cancelled",0,MAX(MinimumCharge,ROUND(AI550*IFERROR(INDEX(FreqFactors,MATCH(O550,FreqNames,0)),1),2)))))</f>
        <v>0</v>
      </c>
      <c r="AK550" s="34">
        <f>IF(G550="","",IF(SUMIFS(Timesheets!$U$5:$U$804,Timesheets!$G$5:$G$804,A550)&gt;0,SUMIFS(Timesheets!$U$5:$U$804,Timesheets!$G$5:$G$804,A550),IF(Z550="","",Z550)))</f>
        <v>0</v>
      </c>
      <c r="AL550" s="34">
        <f>IF(OR(AK550="",AD550=""),"",AK550-AD550)</f>
        <v>0</v>
      </c>
      <c r="AM550" s="31">
        <f>IF(A550="","",COUNTIFS('Job Tasks'!$B$5:$B$904,A550))</f>
        <v>0</v>
      </c>
      <c r="AN550" s="31">
        <f>IF(A550="","",COUNTIFS('Job Tasks'!$B$5:$B$904,A550,'Job Tasks'!$H$5:$H$904,"Done"))</f>
        <v>0</v>
      </c>
      <c r="AO550" s="38">
        <f>IF(OR(A550="",AM550=0),"",AN550/AM550)</f>
        <v>0</v>
      </c>
      <c r="AP550" s="43">
        <f>IF(A550="","",IFERROR(INDEX('Invoice Lines'!$B$5:$B$804,MATCH(A550,'Invoice Lines'!$C$5:$C$804,0)),""))</f>
        <v>0</v>
      </c>
      <c r="AQ550" s="18">
        <f>IF(OR(G550="",B550="",X550&lt;&gt;"Yes"),"",IF(IFERROR(INDEX(FreqDays,MATCH(O550,FreqNames,0)),0)=0,"",B550+IFERROR(INDEX(FreqDays,MATCH(O550,FreqNames,0)),0)))</f>
        <v>0</v>
      </c>
      <c r="AR550" s="39">
        <f>IF(G550="","",IF(R550="","Unassigned",IF(COUNTIFS($R$5:$R$604,R550,$B$5:$B$604,B550,$F$5:$F$604,F550)&gt;1,"Clash",IF(SUMIFS($AF$5:$AF$604,$R$5:$R$604,R550,$B$5:$B$604,B550)&gt;ProductiveHours,"Long day","OK"))))</f>
        <v>0</v>
      </c>
      <c r="AS550" s="18">
        <f>IF(OR(G550="",B550=""),"",IF(AND(B550&gt;=TodayDate,P550&lt;&gt;"Cancelled"),B550,""))</f>
        <v>0</v>
      </c>
      <c r="AT550" s="31">
        <f>IF(AS550="","",COUNTIFS($AS$5:$AS$604,"&lt;"&amp;AS550)+COUNTIFS($AS$5:AS550,AS550))</f>
        <v>0</v>
      </c>
      <c r="AU550" s="18">
        <f>IF(OR(G550="",B550="",R550&lt;&gt;""),"",IF(AND(B550&gt;=TodayDate,P550&lt;&gt;"Cancelled"),B550,""))</f>
        <v>0</v>
      </c>
      <c r="AV550" s="31">
        <f>IF(AU550="","",COUNTIFS($AU$5:$AU$604,"&lt;"&amp;AU550)+COUNTIFS($AU$5:AU550,AU550))</f>
        <v>0</v>
      </c>
      <c r="AW550" s="31">
        <f>IF(OR(G550="",B550=""),"",B550-TodayDate)</f>
        <v>0</v>
      </c>
      <c r="AX550" s="39">
        <f>IF(G550="","",IF(P550="Cancelled","Cancelled",IF(P550="No access","Action - no access, rebook",IF(AND(B550&lt;&gt;"",AW550&lt;0,OR(P550="Booked",P550="Confirmed",P550="In progress")),"Late - mark it completed",IF(AND(P550="Completed",AP550=""),"Action - not invoiced yet",IF(AND(AW550&gt;=0,AW550&lt;=ReminderDays,Y550&lt;&gt;"Yes"),"Confirm - visit coming up",IF(R550="","Assign - no cleaner booked",IF(AND(P550="Completed",AO550&lt;&gt;"",AO550&lt;1),"Check - checklist unfinished","OK"))))))))</f>
        <v>0</v>
      </c>
    </row>
    <row r="551" spans="1:50">
      <c r="A551" s="43">
        <f>IF(G551="","",JobPrefix&amp;TEXT(ROW()-4,"0000"))</f>
        <v>0</v>
      </c>
      <c r="C551" s="23">
        <f>IF(B551="","",TEXT(B551,"ddd"))</f>
        <v>0</v>
      </c>
      <c r="D551" s="31">
        <f>IF(B551="","",WEEKNUM(B551,IF(WeekStart="Sunday",1,2)))</f>
        <v>0</v>
      </c>
      <c r="E551" s="23">
        <f>IF(B551="","",TEXT(B551,"yyyy-mm"))</f>
        <v>0</v>
      </c>
      <c r="H551" s="23">
        <f>IF(G551="","",IFERROR(INDEX(Clients!$B$5:$B$204,MATCH(G551,Clients!$A$5:$A$204,0)),"Not found"))</f>
        <v>0</v>
      </c>
      <c r="I551" s="23">
        <f>IF(G551="","",IFERROR(INDEX(Clients!$C$5:$C$204,MATCH(G551,Clients!$A$5:$A$204,0)),""))</f>
        <v>0</v>
      </c>
      <c r="K551" s="23">
        <f>IF(J551="","",IFERROR(INDEX(Properties!$B$5:$B$254,MATCH(J551,Properties!$A$5:$A$254,0)),""))</f>
        <v>0</v>
      </c>
      <c r="L551" s="23">
        <f>IF(J551="","",IFERROR(INDEX(Properties!$F$5:$F$254,MATCH(J551,Properties!$A$5:$A$254,0)),""))</f>
        <v>0</v>
      </c>
      <c r="AD551" s="34">
        <f>IF(G551="","",IF(U551&lt;&gt;"",U551,IF(AND(IFERROR(INDEX(Services!$D$5:$D$64,MATCH(M551,Services!$B$5:$B$64,0)),"")="Per hour",IFERROR(INDEX(Properties!$X$5:$X$254,MATCH(J551,Properties!$A$5:$A$254,0)),0)&gt;0),IFERROR(INDEX(Properties!$X$5:$X$254,MATCH(J551,Properties!$A$5:$A$254,0)),0),IF(IFERROR(INDEX(Services!$G$5:$G$64,MATCH(M551,Services!$B$5:$B$64,0)),0)&gt;0,IFERROR(INDEX(Services!$G$5:$G$64,MATCH(M551,Services!$B$5:$B$64,0)),0),IFERROR(INDEX(Properties!$X$5:$X$254,MATCH(J551,Properties!$A$5:$A$254,0)),0)))))</f>
        <v>0</v>
      </c>
      <c r="AE551" s="31">
        <f>IF(G551="","",IF(T551="",CleanersPerJob,MAX(1,T551)))</f>
        <v>0</v>
      </c>
      <c r="AF551" s="34">
        <f>IF(G551="","",ROUND(AD551/AE551,2))</f>
        <v>0</v>
      </c>
      <c r="AG551" s="53">
        <f>IF(OR(G551="",F551="",AF551=""),"",F551+AF551/24)</f>
        <v>0</v>
      </c>
      <c r="AH551" s="21">
        <f>IF(G551="","",IF(IFERROR(INDEX(Clients!$O$5:$O$204,MATCH(G551,Clients!$A$5:$A$204,0)),0)&gt;0,IFERROR(INDEX(Clients!$O$5:$O$204,MATCH(G551,Clients!$A$5:$A$204,0)),0),HourlyRate))</f>
        <v>0</v>
      </c>
      <c r="AI551" s="21">
        <f>IF(G551="","",IF(AND(M551&lt;&gt;"",IFERROR(INDEX(Services!$P$5:$P$64,MATCH(M551,Services!$B$5:$B$64,0)),0)&gt;0,IFERROR(INDEX(Services!$D$5:$D$64,MATCH(M551,Services!$B$5:$B$64,0)),"")&lt;&gt;"Per hour"),IFERROR(INDEX(Services!$P$5:$P$64,MATCH(M551,Services!$B$5:$B$64,0)),0),AD551*AH551))</f>
        <v>0</v>
      </c>
      <c r="AJ551" s="21">
        <f>IF(G551="","",IF(V551&lt;&gt;"",V551,IF(P551="Cancelled",0,MAX(MinimumCharge,ROUND(AI551*IFERROR(INDEX(FreqFactors,MATCH(O551,FreqNames,0)),1),2)))))</f>
        <v>0</v>
      </c>
      <c r="AK551" s="34">
        <f>IF(G551="","",IF(SUMIFS(Timesheets!$U$5:$U$804,Timesheets!$G$5:$G$804,A551)&gt;0,SUMIFS(Timesheets!$U$5:$U$804,Timesheets!$G$5:$G$804,A551),IF(Z551="","",Z551)))</f>
        <v>0</v>
      </c>
      <c r="AL551" s="34">
        <f>IF(OR(AK551="",AD551=""),"",AK551-AD551)</f>
        <v>0</v>
      </c>
      <c r="AM551" s="31">
        <f>IF(A551="","",COUNTIFS('Job Tasks'!$B$5:$B$904,A551))</f>
        <v>0</v>
      </c>
      <c r="AN551" s="31">
        <f>IF(A551="","",COUNTIFS('Job Tasks'!$B$5:$B$904,A551,'Job Tasks'!$H$5:$H$904,"Done"))</f>
        <v>0</v>
      </c>
      <c r="AO551" s="38">
        <f>IF(OR(A551="",AM551=0),"",AN551/AM551)</f>
        <v>0</v>
      </c>
      <c r="AP551" s="43">
        <f>IF(A551="","",IFERROR(INDEX('Invoice Lines'!$B$5:$B$804,MATCH(A551,'Invoice Lines'!$C$5:$C$804,0)),""))</f>
        <v>0</v>
      </c>
      <c r="AQ551" s="18">
        <f>IF(OR(G551="",B551="",X551&lt;&gt;"Yes"),"",IF(IFERROR(INDEX(FreqDays,MATCH(O551,FreqNames,0)),0)=0,"",B551+IFERROR(INDEX(FreqDays,MATCH(O551,FreqNames,0)),0)))</f>
        <v>0</v>
      </c>
      <c r="AR551" s="39">
        <f>IF(G551="","",IF(R551="","Unassigned",IF(COUNTIFS($R$5:$R$604,R551,$B$5:$B$604,B551,$F$5:$F$604,F551)&gt;1,"Clash",IF(SUMIFS($AF$5:$AF$604,$R$5:$R$604,R551,$B$5:$B$604,B551)&gt;ProductiveHours,"Long day","OK"))))</f>
        <v>0</v>
      </c>
      <c r="AS551" s="18">
        <f>IF(OR(G551="",B551=""),"",IF(AND(B551&gt;=TodayDate,P551&lt;&gt;"Cancelled"),B551,""))</f>
        <v>0</v>
      </c>
      <c r="AT551" s="31">
        <f>IF(AS551="","",COUNTIFS($AS$5:$AS$604,"&lt;"&amp;AS551)+COUNTIFS($AS$5:AS551,AS551))</f>
        <v>0</v>
      </c>
      <c r="AU551" s="18">
        <f>IF(OR(G551="",B551="",R551&lt;&gt;""),"",IF(AND(B551&gt;=TodayDate,P551&lt;&gt;"Cancelled"),B551,""))</f>
        <v>0</v>
      </c>
      <c r="AV551" s="31">
        <f>IF(AU551="","",COUNTIFS($AU$5:$AU$604,"&lt;"&amp;AU551)+COUNTIFS($AU$5:AU551,AU551))</f>
        <v>0</v>
      </c>
      <c r="AW551" s="31">
        <f>IF(OR(G551="",B551=""),"",B551-TodayDate)</f>
        <v>0</v>
      </c>
      <c r="AX551" s="39">
        <f>IF(G551="","",IF(P551="Cancelled","Cancelled",IF(P551="No access","Action - no access, rebook",IF(AND(B551&lt;&gt;"",AW551&lt;0,OR(P551="Booked",P551="Confirmed",P551="In progress")),"Late - mark it completed",IF(AND(P551="Completed",AP551=""),"Action - not invoiced yet",IF(AND(AW551&gt;=0,AW551&lt;=ReminderDays,Y551&lt;&gt;"Yes"),"Confirm - visit coming up",IF(R551="","Assign - no cleaner booked",IF(AND(P551="Completed",AO551&lt;&gt;"",AO551&lt;1),"Check - checklist unfinished","OK"))))))))</f>
        <v>0</v>
      </c>
    </row>
    <row r="552" spans="1:50">
      <c r="A552" s="43">
        <f>IF(G552="","",JobPrefix&amp;TEXT(ROW()-4,"0000"))</f>
        <v>0</v>
      </c>
      <c r="C552" s="23">
        <f>IF(B552="","",TEXT(B552,"ddd"))</f>
        <v>0</v>
      </c>
      <c r="D552" s="31">
        <f>IF(B552="","",WEEKNUM(B552,IF(WeekStart="Sunday",1,2)))</f>
        <v>0</v>
      </c>
      <c r="E552" s="23">
        <f>IF(B552="","",TEXT(B552,"yyyy-mm"))</f>
        <v>0</v>
      </c>
      <c r="H552" s="23">
        <f>IF(G552="","",IFERROR(INDEX(Clients!$B$5:$B$204,MATCH(G552,Clients!$A$5:$A$204,0)),"Not found"))</f>
        <v>0</v>
      </c>
      <c r="I552" s="23">
        <f>IF(G552="","",IFERROR(INDEX(Clients!$C$5:$C$204,MATCH(G552,Clients!$A$5:$A$204,0)),""))</f>
        <v>0</v>
      </c>
      <c r="K552" s="23">
        <f>IF(J552="","",IFERROR(INDEX(Properties!$B$5:$B$254,MATCH(J552,Properties!$A$5:$A$254,0)),""))</f>
        <v>0</v>
      </c>
      <c r="L552" s="23">
        <f>IF(J552="","",IFERROR(INDEX(Properties!$F$5:$F$254,MATCH(J552,Properties!$A$5:$A$254,0)),""))</f>
        <v>0</v>
      </c>
      <c r="AD552" s="34">
        <f>IF(G552="","",IF(U552&lt;&gt;"",U552,IF(AND(IFERROR(INDEX(Services!$D$5:$D$64,MATCH(M552,Services!$B$5:$B$64,0)),"")="Per hour",IFERROR(INDEX(Properties!$X$5:$X$254,MATCH(J552,Properties!$A$5:$A$254,0)),0)&gt;0),IFERROR(INDEX(Properties!$X$5:$X$254,MATCH(J552,Properties!$A$5:$A$254,0)),0),IF(IFERROR(INDEX(Services!$G$5:$G$64,MATCH(M552,Services!$B$5:$B$64,0)),0)&gt;0,IFERROR(INDEX(Services!$G$5:$G$64,MATCH(M552,Services!$B$5:$B$64,0)),0),IFERROR(INDEX(Properties!$X$5:$X$254,MATCH(J552,Properties!$A$5:$A$254,0)),0)))))</f>
        <v>0</v>
      </c>
      <c r="AE552" s="31">
        <f>IF(G552="","",IF(T552="",CleanersPerJob,MAX(1,T552)))</f>
        <v>0</v>
      </c>
      <c r="AF552" s="34">
        <f>IF(G552="","",ROUND(AD552/AE552,2))</f>
        <v>0</v>
      </c>
      <c r="AG552" s="53">
        <f>IF(OR(G552="",F552="",AF552=""),"",F552+AF552/24)</f>
        <v>0</v>
      </c>
      <c r="AH552" s="21">
        <f>IF(G552="","",IF(IFERROR(INDEX(Clients!$O$5:$O$204,MATCH(G552,Clients!$A$5:$A$204,0)),0)&gt;0,IFERROR(INDEX(Clients!$O$5:$O$204,MATCH(G552,Clients!$A$5:$A$204,0)),0),HourlyRate))</f>
        <v>0</v>
      </c>
      <c r="AI552" s="21">
        <f>IF(G552="","",IF(AND(M552&lt;&gt;"",IFERROR(INDEX(Services!$P$5:$P$64,MATCH(M552,Services!$B$5:$B$64,0)),0)&gt;0,IFERROR(INDEX(Services!$D$5:$D$64,MATCH(M552,Services!$B$5:$B$64,0)),"")&lt;&gt;"Per hour"),IFERROR(INDEX(Services!$P$5:$P$64,MATCH(M552,Services!$B$5:$B$64,0)),0),AD552*AH552))</f>
        <v>0</v>
      </c>
      <c r="AJ552" s="21">
        <f>IF(G552="","",IF(V552&lt;&gt;"",V552,IF(P552="Cancelled",0,MAX(MinimumCharge,ROUND(AI552*IFERROR(INDEX(FreqFactors,MATCH(O552,FreqNames,0)),1),2)))))</f>
        <v>0</v>
      </c>
      <c r="AK552" s="34">
        <f>IF(G552="","",IF(SUMIFS(Timesheets!$U$5:$U$804,Timesheets!$G$5:$G$804,A552)&gt;0,SUMIFS(Timesheets!$U$5:$U$804,Timesheets!$G$5:$G$804,A552),IF(Z552="","",Z552)))</f>
        <v>0</v>
      </c>
      <c r="AL552" s="34">
        <f>IF(OR(AK552="",AD552=""),"",AK552-AD552)</f>
        <v>0</v>
      </c>
      <c r="AM552" s="31">
        <f>IF(A552="","",COUNTIFS('Job Tasks'!$B$5:$B$904,A552))</f>
        <v>0</v>
      </c>
      <c r="AN552" s="31">
        <f>IF(A552="","",COUNTIFS('Job Tasks'!$B$5:$B$904,A552,'Job Tasks'!$H$5:$H$904,"Done"))</f>
        <v>0</v>
      </c>
      <c r="AO552" s="38">
        <f>IF(OR(A552="",AM552=0),"",AN552/AM552)</f>
        <v>0</v>
      </c>
      <c r="AP552" s="43">
        <f>IF(A552="","",IFERROR(INDEX('Invoice Lines'!$B$5:$B$804,MATCH(A552,'Invoice Lines'!$C$5:$C$804,0)),""))</f>
        <v>0</v>
      </c>
      <c r="AQ552" s="18">
        <f>IF(OR(G552="",B552="",X552&lt;&gt;"Yes"),"",IF(IFERROR(INDEX(FreqDays,MATCH(O552,FreqNames,0)),0)=0,"",B552+IFERROR(INDEX(FreqDays,MATCH(O552,FreqNames,0)),0)))</f>
        <v>0</v>
      </c>
      <c r="AR552" s="39">
        <f>IF(G552="","",IF(R552="","Unassigned",IF(COUNTIFS($R$5:$R$604,R552,$B$5:$B$604,B552,$F$5:$F$604,F552)&gt;1,"Clash",IF(SUMIFS($AF$5:$AF$604,$R$5:$R$604,R552,$B$5:$B$604,B552)&gt;ProductiveHours,"Long day","OK"))))</f>
        <v>0</v>
      </c>
      <c r="AS552" s="18">
        <f>IF(OR(G552="",B552=""),"",IF(AND(B552&gt;=TodayDate,P552&lt;&gt;"Cancelled"),B552,""))</f>
        <v>0</v>
      </c>
      <c r="AT552" s="31">
        <f>IF(AS552="","",COUNTIFS($AS$5:$AS$604,"&lt;"&amp;AS552)+COUNTIFS($AS$5:AS552,AS552))</f>
        <v>0</v>
      </c>
      <c r="AU552" s="18">
        <f>IF(OR(G552="",B552="",R552&lt;&gt;""),"",IF(AND(B552&gt;=TodayDate,P552&lt;&gt;"Cancelled"),B552,""))</f>
        <v>0</v>
      </c>
      <c r="AV552" s="31">
        <f>IF(AU552="","",COUNTIFS($AU$5:$AU$604,"&lt;"&amp;AU552)+COUNTIFS($AU$5:AU552,AU552))</f>
        <v>0</v>
      </c>
      <c r="AW552" s="31">
        <f>IF(OR(G552="",B552=""),"",B552-TodayDate)</f>
        <v>0</v>
      </c>
      <c r="AX552" s="39">
        <f>IF(G552="","",IF(P552="Cancelled","Cancelled",IF(P552="No access","Action - no access, rebook",IF(AND(B552&lt;&gt;"",AW552&lt;0,OR(P552="Booked",P552="Confirmed",P552="In progress")),"Late - mark it completed",IF(AND(P552="Completed",AP552=""),"Action - not invoiced yet",IF(AND(AW552&gt;=0,AW552&lt;=ReminderDays,Y552&lt;&gt;"Yes"),"Confirm - visit coming up",IF(R552="","Assign - no cleaner booked",IF(AND(P552="Completed",AO552&lt;&gt;"",AO552&lt;1),"Check - checklist unfinished","OK"))))))))</f>
        <v>0</v>
      </c>
    </row>
    <row r="553" spans="1:50">
      <c r="A553" s="43">
        <f>IF(G553="","",JobPrefix&amp;TEXT(ROW()-4,"0000"))</f>
        <v>0</v>
      </c>
      <c r="C553" s="23">
        <f>IF(B553="","",TEXT(B553,"ddd"))</f>
        <v>0</v>
      </c>
      <c r="D553" s="31">
        <f>IF(B553="","",WEEKNUM(B553,IF(WeekStart="Sunday",1,2)))</f>
        <v>0</v>
      </c>
      <c r="E553" s="23">
        <f>IF(B553="","",TEXT(B553,"yyyy-mm"))</f>
        <v>0</v>
      </c>
      <c r="H553" s="23">
        <f>IF(G553="","",IFERROR(INDEX(Clients!$B$5:$B$204,MATCH(G553,Clients!$A$5:$A$204,0)),"Not found"))</f>
        <v>0</v>
      </c>
      <c r="I553" s="23">
        <f>IF(G553="","",IFERROR(INDEX(Clients!$C$5:$C$204,MATCH(G553,Clients!$A$5:$A$204,0)),""))</f>
        <v>0</v>
      </c>
      <c r="K553" s="23">
        <f>IF(J553="","",IFERROR(INDEX(Properties!$B$5:$B$254,MATCH(J553,Properties!$A$5:$A$254,0)),""))</f>
        <v>0</v>
      </c>
      <c r="L553" s="23">
        <f>IF(J553="","",IFERROR(INDEX(Properties!$F$5:$F$254,MATCH(J553,Properties!$A$5:$A$254,0)),""))</f>
        <v>0</v>
      </c>
      <c r="AD553" s="34">
        <f>IF(G553="","",IF(U553&lt;&gt;"",U553,IF(AND(IFERROR(INDEX(Services!$D$5:$D$64,MATCH(M553,Services!$B$5:$B$64,0)),"")="Per hour",IFERROR(INDEX(Properties!$X$5:$X$254,MATCH(J553,Properties!$A$5:$A$254,0)),0)&gt;0),IFERROR(INDEX(Properties!$X$5:$X$254,MATCH(J553,Properties!$A$5:$A$254,0)),0),IF(IFERROR(INDEX(Services!$G$5:$G$64,MATCH(M553,Services!$B$5:$B$64,0)),0)&gt;0,IFERROR(INDEX(Services!$G$5:$G$64,MATCH(M553,Services!$B$5:$B$64,0)),0),IFERROR(INDEX(Properties!$X$5:$X$254,MATCH(J553,Properties!$A$5:$A$254,0)),0)))))</f>
        <v>0</v>
      </c>
      <c r="AE553" s="31">
        <f>IF(G553="","",IF(T553="",CleanersPerJob,MAX(1,T553)))</f>
        <v>0</v>
      </c>
      <c r="AF553" s="34">
        <f>IF(G553="","",ROUND(AD553/AE553,2))</f>
        <v>0</v>
      </c>
      <c r="AG553" s="53">
        <f>IF(OR(G553="",F553="",AF553=""),"",F553+AF553/24)</f>
        <v>0</v>
      </c>
      <c r="AH553" s="21">
        <f>IF(G553="","",IF(IFERROR(INDEX(Clients!$O$5:$O$204,MATCH(G553,Clients!$A$5:$A$204,0)),0)&gt;0,IFERROR(INDEX(Clients!$O$5:$O$204,MATCH(G553,Clients!$A$5:$A$204,0)),0),HourlyRate))</f>
        <v>0</v>
      </c>
      <c r="AI553" s="21">
        <f>IF(G553="","",IF(AND(M553&lt;&gt;"",IFERROR(INDEX(Services!$P$5:$P$64,MATCH(M553,Services!$B$5:$B$64,0)),0)&gt;0,IFERROR(INDEX(Services!$D$5:$D$64,MATCH(M553,Services!$B$5:$B$64,0)),"")&lt;&gt;"Per hour"),IFERROR(INDEX(Services!$P$5:$P$64,MATCH(M553,Services!$B$5:$B$64,0)),0),AD553*AH553))</f>
        <v>0</v>
      </c>
      <c r="AJ553" s="21">
        <f>IF(G553="","",IF(V553&lt;&gt;"",V553,IF(P553="Cancelled",0,MAX(MinimumCharge,ROUND(AI553*IFERROR(INDEX(FreqFactors,MATCH(O553,FreqNames,0)),1),2)))))</f>
        <v>0</v>
      </c>
      <c r="AK553" s="34">
        <f>IF(G553="","",IF(SUMIFS(Timesheets!$U$5:$U$804,Timesheets!$G$5:$G$804,A553)&gt;0,SUMIFS(Timesheets!$U$5:$U$804,Timesheets!$G$5:$G$804,A553),IF(Z553="","",Z553)))</f>
        <v>0</v>
      </c>
      <c r="AL553" s="34">
        <f>IF(OR(AK553="",AD553=""),"",AK553-AD553)</f>
        <v>0</v>
      </c>
      <c r="AM553" s="31">
        <f>IF(A553="","",COUNTIFS('Job Tasks'!$B$5:$B$904,A553))</f>
        <v>0</v>
      </c>
      <c r="AN553" s="31">
        <f>IF(A553="","",COUNTIFS('Job Tasks'!$B$5:$B$904,A553,'Job Tasks'!$H$5:$H$904,"Done"))</f>
        <v>0</v>
      </c>
      <c r="AO553" s="38">
        <f>IF(OR(A553="",AM553=0),"",AN553/AM553)</f>
        <v>0</v>
      </c>
      <c r="AP553" s="43">
        <f>IF(A553="","",IFERROR(INDEX('Invoice Lines'!$B$5:$B$804,MATCH(A553,'Invoice Lines'!$C$5:$C$804,0)),""))</f>
        <v>0</v>
      </c>
      <c r="AQ553" s="18">
        <f>IF(OR(G553="",B553="",X553&lt;&gt;"Yes"),"",IF(IFERROR(INDEX(FreqDays,MATCH(O553,FreqNames,0)),0)=0,"",B553+IFERROR(INDEX(FreqDays,MATCH(O553,FreqNames,0)),0)))</f>
        <v>0</v>
      </c>
      <c r="AR553" s="39">
        <f>IF(G553="","",IF(R553="","Unassigned",IF(COUNTIFS($R$5:$R$604,R553,$B$5:$B$604,B553,$F$5:$F$604,F553)&gt;1,"Clash",IF(SUMIFS($AF$5:$AF$604,$R$5:$R$604,R553,$B$5:$B$604,B553)&gt;ProductiveHours,"Long day","OK"))))</f>
        <v>0</v>
      </c>
      <c r="AS553" s="18">
        <f>IF(OR(G553="",B553=""),"",IF(AND(B553&gt;=TodayDate,P553&lt;&gt;"Cancelled"),B553,""))</f>
        <v>0</v>
      </c>
      <c r="AT553" s="31">
        <f>IF(AS553="","",COUNTIFS($AS$5:$AS$604,"&lt;"&amp;AS553)+COUNTIFS($AS$5:AS553,AS553))</f>
        <v>0</v>
      </c>
      <c r="AU553" s="18">
        <f>IF(OR(G553="",B553="",R553&lt;&gt;""),"",IF(AND(B553&gt;=TodayDate,P553&lt;&gt;"Cancelled"),B553,""))</f>
        <v>0</v>
      </c>
      <c r="AV553" s="31">
        <f>IF(AU553="","",COUNTIFS($AU$5:$AU$604,"&lt;"&amp;AU553)+COUNTIFS($AU$5:AU553,AU553))</f>
        <v>0</v>
      </c>
      <c r="AW553" s="31">
        <f>IF(OR(G553="",B553=""),"",B553-TodayDate)</f>
        <v>0</v>
      </c>
      <c r="AX553" s="39">
        <f>IF(G553="","",IF(P553="Cancelled","Cancelled",IF(P553="No access","Action - no access, rebook",IF(AND(B553&lt;&gt;"",AW553&lt;0,OR(P553="Booked",P553="Confirmed",P553="In progress")),"Late - mark it completed",IF(AND(P553="Completed",AP553=""),"Action - not invoiced yet",IF(AND(AW553&gt;=0,AW553&lt;=ReminderDays,Y553&lt;&gt;"Yes"),"Confirm - visit coming up",IF(R553="","Assign - no cleaner booked",IF(AND(P553="Completed",AO553&lt;&gt;"",AO553&lt;1),"Check - checklist unfinished","OK"))))))))</f>
        <v>0</v>
      </c>
    </row>
    <row r="554" spans="1:50">
      <c r="A554" s="43">
        <f>IF(G554="","",JobPrefix&amp;TEXT(ROW()-4,"0000"))</f>
        <v>0</v>
      </c>
      <c r="C554" s="23">
        <f>IF(B554="","",TEXT(B554,"ddd"))</f>
        <v>0</v>
      </c>
      <c r="D554" s="31">
        <f>IF(B554="","",WEEKNUM(B554,IF(WeekStart="Sunday",1,2)))</f>
        <v>0</v>
      </c>
      <c r="E554" s="23">
        <f>IF(B554="","",TEXT(B554,"yyyy-mm"))</f>
        <v>0</v>
      </c>
      <c r="H554" s="23">
        <f>IF(G554="","",IFERROR(INDEX(Clients!$B$5:$B$204,MATCH(G554,Clients!$A$5:$A$204,0)),"Not found"))</f>
        <v>0</v>
      </c>
      <c r="I554" s="23">
        <f>IF(G554="","",IFERROR(INDEX(Clients!$C$5:$C$204,MATCH(G554,Clients!$A$5:$A$204,0)),""))</f>
        <v>0</v>
      </c>
      <c r="K554" s="23">
        <f>IF(J554="","",IFERROR(INDEX(Properties!$B$5:$B$254,MATCH(J554,Properties!$A$5:$A$254,0)),""))</f>
        <v>0</v>
      </c>
      <c r="L554" s="23">
        <f>IF(J554="","",IFERROR(INDEX(Properties!$F$5:$F$254,MATCH(J554,Properties!$A$5:$A$254,0)),""))</f>
        <v>0</v>
      </c>
      <c r="AD554" s="34">
        <f>IF(G554="","",IF(U554&lt;&gt;"",U554,IF(AND(IFERROR(INDEX(Services!$D$5:$D$64,MATCH(M554,Services!$B$5:$B$64,0)),"")="Per hour",IFERROR(INDEX(Properties!$X$5:$X$254,MATCH(J554,Properties!$A$5:$A$254,0)),0)&gt;0),IFERROR(INDEX(Properties!$X$5:$X$254,MATCH(J554,Properties!$A$5:$A$254,0)),0),IF(IFERROR(INDEX(Services!$G$5:$G$64,MATCH(M554,Services!$B$5:$B$64,0)),0)&gt;0,IFERROR(INDEX(Services!$G$5:$G$64,MATCH(M554,Services!$B$5:$B$64,0)),0),IFERROR(INDEX(Properties!$X$5:$X$254,MATCH(J554,Properties!$A$5:$A$254,0)),0)))))</f>
        <v>0</v>
      </c>
      <c r="AE554" s="31">
        <f>IF(G554="","",IF(T554="",CleanersPerJob,MAX(1,T554)))</f>
        <v>0</v>
      </c>
      <c r="AF554" s="34">
        <f>IF(G554="","",ROUND(AD554/AE554,2))</f>
        <v>0</v>
      </c>
      <c r="AG554" s="53">
        <f>IF(OR(G554="",F554="",AF554=""),"",F554+AF554/24)</f>
        <v>0</v>
      </c>
      <c r="AH554" s="21">
        <f>IF(G554="","",IF(IFERROR(INDEX(Clients!$O$5:$O$204,MATCH(G554,Clients!$A$5:$A$204,0)),0)&gt;0,IFERROR(INDEX(Clients!$O$5:$O$204,MATCH(G554,Clients!$A$5:$A$204,0)),0),HourlyRate))</f>
        <v>0</v>
      </c>
      <c r="AI554" s="21">
        <f>IF(G554="","",IF(AND(M554&lt;&gt;"",IFERROR(INDEX(Services!$P$5:$P$64,MATCH(M554,Services!$B$5:$B$64,0)),0)&gt;0,IFERROR(INDEX(Services!$D$5:$D$64,MATCH(M554,Services!$B$5:$B$64,0)),"")&lt;&gt;"Per hour"),IFERROR(INDEX(Services!$P$5:$P$64,MATCH(M554,Services!$B$5:$B$64,0)),0),AD554*AH554))</f>
        <v>0</v>
      </c>
      <c r="AJ554" s="21">
        <f>IF(G554="","",IF(V554&lt;&gt;"",V554,IF(P554="Cancelled",0,MAX(MinimumCharge,ROUND(AI554*IFERROR(INDEX(FreqFactors,MATCH(O554,FreqNames,0)),1),2)))))</f>
        <v>0</v>
      </c>
      <c r="AK554" s="34">
        <f>IF(G554="","",IF(SUMIFS(Timesheets!$U$5:$U$804,Timesheets!$G$5:$G$804,A554)&gt;0,SUMIFS(Timesheets!$U$5:$U$804,Timesheets!$G$5:$G$804,A554),IF(Z554="","",Z554)))</f>
        <v>0</v>
      </c>
      <c r="AL554" s="34">
        <f>IF(OR(AK554="",AD554=""),"",AK554-AD554)</f>
        <v>0</v>
      </c>
      <c r="AM554" s="31">
        <f>IF(A554="","",COUNTIFS('Job Tasks'!$B$5:$B$904,A554))</f>
        <v>0</v>
      </c>
      <c r="AN554" s="31">
        <f>IF(A554="","",COUNTIFS('Job Tasks'!$B$5:$B$904,A554,'Job Tasks'!$H$5:$H$904,"Done"))</f>
        <v>0</v>
      </c>
      <c r="AO554" s="38">
        <f>IF(OR(A554="",AM554=0),"",AN554/AM554)</f>
        <v>0</v>
      </c>
      <c r="AP554" s="43">
        <f>IF(A554="","",IFERROR(INDEX('Invoice Lines'!$B$5:$B$804,MATCH(A554,'Invoice Lines'!$C$5:$C$804,0)),""))</f>
        <v>0</v>
      </c>
      <c r="AQ554" s="18">
        <f>IF(OR(G554="",B554="",X554&lt;&gt;"Yes"),"",IF(IFERROR(INDEX(FreqDays,MATCH(O554,FreqNames,0)),0)=0,"",B554+IFERROR(INDEX(FreqDays,MATCH(O554,FreqNames,0)),0)))</f>
        <v>0</v>
      </c>
      <c r="AR554" s="39">
        <f>IF(G554="","",IF(R554="","Unassigned",IF(COUNTIFS($R$5:$R$604,R554,$B$5:$B$604,B554,$F$5:$F$604,F554)&gt;1,"Clash",IF(SUMIFS($AF$5:$AF$604,$R$5:$R$604,R554,$B$5:$B$604,B554)&gt;ProductiveHours,"Long day","OK"))))</f>
        <v>0</v>
      </c>
      <c r="AS554" s="18">
        <f>IF(OR(G554="",B554=""),"",IF(AND(B554&gt;=TodayDate,P554&lt;&gt;"Cancelled"),B554,""))</f>
        <v>0</v>
      </c>
      <c r="AT554" s="31">
        <f>IF(AS554="","",COUNTIFS($AS$5:$AS$604,"&lt;"&amp;AS554)+COUNTIFS($AS$5:AS554,AS554))</f>
        <v>0</v>
      </c>
      <c r="AU554" s="18">
        <f>IF(OR(G554="",B554="",R554&lt;&gt;""),"",IF(AND(B554&gt;=TodayDate,P554&lt;&gt;"Cancelled"),B554,""))</f>
        <v>0</v>
      </c>
      <c r="AV554" s="31">
        <f>IF(AU554="","",COUNTIFS($AU$5:$AU$604,"&lt;"&amp;AU554)+COUNTIFS($AU$5:AU554,AU554))</f>
        <v>0</v>
      </c>
      <c r="AW554" s="31">
        <f>IF(OR(G554="",B554=""),"",B554-TodayDate)</f>
        <v>0</v>
      </c>
      <c r="AX554" s="39">
        <f>IF(G554="","",IF(P554="Cancelled","Cancelled",IF(P554="No access","Action - no access, rebook",IF(AND(B554&lt;&gt;"",AW554&lt;0,OR(P554="Booked",P554="Confirmed",P554="In progress")),"Late - mark it completed",IF(AND(P554="Completed",AP554=""),"Action - not invoiced yet",IF(AND(AW554&gt;=0,AW554&lt;=ReminderDays,Y554&lt;&gt;"Yes"),"Confirm - visit coming up",IF(R554="","Assign - no cleaner booked",IF(AND(P554="Completed",AO554&lt;&gt;"",AO554&lt;1),"Check - checklist unfinished","OK"))))))))</f>
        <v>0</v>
      </c>
    </row>
    <row r="555" spans="1:50">
      <c r="A555" s="43">
        <f>IF(G555="","",JobPrefix&amp;TEXT(ROW()-4,"0000"))</f>
        <v>0</v>
      </c>
      <c r="C555" s="23">
        <f>IF(B555="","",TEXT(B555,"ddd"))</f>
        <v>0</v>
      </c>
      <c r="D555" s="31">
        <f>IF(B555="","",WEEKNUM(B555,IF(WeekStart="Sunday",1,2)))</f>
        <v>0</v>
      </c>
      <c r="E555" s="23">
        <f>IF(B555="","",TEXT(B555,"yyyy-mm"))</f>
        <v>0</v>
      </c>
      <c r="H555" s="23">
        <f>IF(G555="","",IFERROR(INDEX(Clients!$B$5:$B$204,MATCH(G555,Clients!$A$5:$A$204,0)),"Not found"))</f>
        <v>0</v>
      </c>
      <c r="I555" s="23">
        <f>IF(G555="","",IFERROR(INDEX(Clients!$C$5:$C$204,MATCH(G555,Clients!$A$5:$A$204,0)),""))</f>
        <v>0</v>
      </c>
      <c r="K555" s="23">
        <f>IF(J555="","",IFERROR(INDEX(Properties!$B$5:$B$254,MATCH(J555,Properties!$A$5:$A$254,0)),""))</f>
        <v>0</v>
      </c>
      <c r="L555" s="23">
        <f>IF(J555="","",IFERROR(INDEX(Properties!$F$5:$F$254,MATCH(J555,Properties!$A$5:$A$254,0)),""))</f>
        <v>0</v>
      </c>
      <c r="AD555" s="34">
        <f>IF(G555="","",IF(U555&lt;&gt;"",U555,IF(AND(IFERROR(INDEX(Services!$D$5:$D$64,MATCH(M555,Services!$B$5:$B$64,0)),"")="Per hour",IFERROR(INDEX(Properties!$X$5:$X$254,MATCH(J555,Properties!$A$5:$A$254,0)),0)&gt;0),IFERROR(INDEX(Properties!$X$5:$X$254,MATCH(J555,Properties!$A$5:$A$254,0)),0),IF(IFERROR(INDEX(Services!$G$5:$G$64,MATCH(M555,Services!$B$5:$B$64,0)),0)&gt;0,IFERROR(INDEX(Services!$G$5:$G$64,MATCH(M555,Services!$B$5:$B$64,0)),0),IFERROR(INDEX(Properties!$X$5:$X$254,MATCH(J555,Properties!$A$5:$A$254,0)),0)))))</f>
        <v>0</v>
      </c>
      <c r="AE555" s="31">
        <f>IF(G555="","",IF(T555="",CleanersPerJob,MAX(1,T555)))</f>
        <v>0</v>
      </c>
      <c r="AF555" s="34">
        <f>IF(G555="","",ROUND(AD555/AE555,2))</f>
        <v>0</v>
      </c>
      <c r="AG555" s="53">
        <f>IF(OR(G555="",F555="",AF555=""),"",F555+AF555/24)</f>
        <v>0</v>
      </c>
      <c r="AH555" s="21">
        <f>IF(G555="","",IF(IFERROR(INDEX(Clients!$O$5:$O$204,MATCH(G555,Clients!$A$5:$A$204,0)),0)&gt;0,IFERROR(INDEX(Clients!$O$5:$O$204,MATCH(G555,Clients!$A$5:$A$204,0)),0),HourlyRate))</f>
        <v>0</v>
      </c>
      <c r="AI555" s="21">
        <f>IF(G555="","",IF(AND(M555&lt;&gt;"",IFERROR(INDEX(Services!$P$5:$P$64,MATCH(M555,Services!$B$5:$B$64,0)),0)&gt;0,IFERROR(INDEX(Services!$D$5:$D$64,MATCH(M555,Services!$B$5:$B$64,0)),"")&lt;&gt;"Per hour"),IFERROR(INDEX(Services!$P$5:$P$64,MATCH(M555,Services!$B$5:$B$64,0)),0),AD555*AH555))</f>
        <v>0</v>
      </c>
      <c r="AJ555" s="21">
        <f>IF(G555="","",IF(V555&lt;&gt;"",V555,IF(P555="Cancelled",0,MAX(MinimumCharge,ROUND(AI555*IFERROR(INDEX(FreqFactors,MATCH(O555,FreqNames,0)),1),2)))))</f>
        <v>0</v>
      </c>
      <c r="AK555" s="34">
        <f>IF(G555="","",IF(SUMIFS(Timesheets!$U$5:$U$804,Timesheets!$G$5:$G$804,A555)&gt;0,SUMIFS(Timesheets!$U$5:$U$804,Timesheets!$G$5:$G$804,A555),IF(Z555="","",Z555)))</f>
        <v>0</v>
      </c>
      <c r="AL555" s="34">
        <f>IF(OR(AK555="",AD555=""),"",AK555-AD555)</f>
        <v>0</v>
      </c>
      <c r="AM555" s="31">
        <f>IF(A555="","",COUNTIFS('Job Tasks'!$B$5:$B$904,A555))</f>
        <v>0</v>
      </c>
      <c r="AN555" s="31">
        <f>IF(A555="","",COUNTIFS('Job Tasks'!$B$5:$B$904,A555,'Job Tasks'!$H$5:$H$904,"Done"))</f>
        <v>0</v>
      </c>
      <c r="AO555" s="38">
        <f>IF(OR(A555="",AM555=0),"",AN555/AM555)</f>
        <v>0</v>
      </c>
      <c r="AP555" s="43">
        <f>IF(A555="","",IFERROR(INDEX('Invoice Lines'!$B$5:$B$804,MATCH(A555,'Invoice Lines'!$C$5:$C$804,0)),""))</f>
        <v>0</v>
      </c>
      <c r="AQ555" s="18">
        <f>IF(OR(G555="",B555="",X555&lt;&gt;"Yes"),"",IF(IFERROR(INDEX(FreqDays,MATCH(O555,FreqNames,0)),0)=0,"",B555+IFERROR(INDEX(FreqDays,MATCH(O555,FreqNames,0)),0)))</f>
        <v>0</v>
      </c>
      <c r="AR555" s="39">
        <f>IF(G555="","",IF(R555="","Unassigned",IF(COUNTIFS($R$5:$R$604,R555,$B$5:$B$604,B555,$F$5:$F$604,F555)&gt;1,"Clash",IF(SUMIFS($AF$5:$AF$604,$R$5:$R$604,R555,$B$5:$B$604,B555)&gt;ProductiveHours,"Long day","OK"))))</f>
        <v>0</v>
      </c>
      <c r="AS555" s="18">
        <f>IF(OR(G555="",B555=""),"",IF(AND(B555&gt;=TodayDate,P555&lt;&gt;"Cancelled"),B555,""))</f>
        <v>0</v>
      </c>
      <c r="AT555" s="31">
        <f>IF(AS555="","",COUNTIFS($AS$5:$AS$604,"&lt;"&amp;AS555)+COUNTIFS($AS$5:AS555,AS555))</f>
        <v>0</v>
      </c>
      <c r="AU555" s="18">
        <f>IF(OR(G555="",B555="",R555&lt;&gt;""),"",IF(AND(B555&gt;=TodayDate,P555&lt;&gt;"Cancelled"),B555,""))</f>
        <v>0</v>
      </c>
      <c r="AV555" s="31">
        <f>IF(AU555="","",COUNTIFS($AU$5:$AU$604,"&lt;"&amp;AU555)+COUNTIFS($AU$5:AU555,AU555))</f>
        <v>0</v>
      </c>
      <c r="AW555" s="31">
        <f>IF(OR(G555="",B555=""),"",B555-TodayDate)</f>
        <v>0</v>
      </c>
      <c r="AX555" s="39">
        <f>IF(G555="","",IF(P555="Cancelled","Cancelled",IF(P555="No access","Action - no access, rebook",IF(AND(B555&lt;&gt;"",AW555&lt;0,OR(P555="Booked",P555="Confirmed",P555="In progress")),"Late - mark it completed",IF(AND(P555="Completed",AP555=""),"Action - not invoiced yet",IF(AND(AW555&gt;=0,AW555&lt;=ReminderDays,Y555&lt;&gt;"Yes"),"Confirm - visit coming up",IF(R555="","Assign - no cleaner booked",IF(AND(P555="Completed",AO555&lt;&gt;"",AO555&lt;1),"Check - checklist unfinished","OK"))))))))</f>
        <v>0</v>
      </c>
    </row>
    <row r="556" spans="1:50">
      <c r="A556" s="43">
        <f>IF(G556="","",JobPrefix&amp;TEXT(ROW()-4,"0000"))</f>
        <v>0</v>
      </c>
      <c r="C556" s="23">
        <f>IF(B556="","",TEXT(B556,"ddd"))</f>
        <v>0</v>
      </c>
      <c r="D556" s="31">
        <f>IF(B556="","",WEEKNUM(B556,IF(WeekStart="Sunday",1,2)))</f>
        <v>0</v>
      </c>
      <c r="E556" s="23">
        <f>IF(B556="","",TEXT(B556,"yyyy-mm"))</f>
        <v>0</v>
      </c>
      <c r="H556" s="23">
        <f>IF(G556="","",IFERROR(INDEX(Clients!$B$5:$B$204,MATCH(G556,Clients!$A$5:$A$204,0)),"Not found"))</f>
        <v>0</v>
      </c>
      <c r="I556" s="23">
        <f>IF(G556="","",IFERROR(INDEX(Clients!$C$5:$C$204,MATCH(G556,Clients!$A$5:$A$204,0)),""))</f>
        <v>0</v>
      </c>
      <c r="K556" s="23">
        <f>IF(J556="","",IFERROR(INDEX(Properties!$B$5:$B$254,MATCH(J556,Properties!$A$5:$A$254,0)),""))</f>
        <v>0</v>
      </c>
      <c r="L556" s="23">
        <f>IF(J556="","",IFERROR(INDEX(Properties!$F$5:$F$254,MATCH(J556,Properties!$A$5:$A$254,0)),""))</f>
        <v>0</v>
      </c>
      <c r="AD556" s="34">
        <f>IF(G556="","",IF(U556&lt;&gt;"",U556,IF(AND(IFERROR(INDEX(Services!$D$5:$D$64,MATCH(M556,Services!$B$5:$B$64,0)),"")="Per hour",IFERROR(INDEX(Properties!$X$5:$X$254,MATCH(J556,Properties!$A$5:$A$254,0)),0)&gt;0),IFERROR(INDEX(Properties!$X$5:$X$254,MATCH(J556,Properties!$A$5:$A$254,0)),0),IF(IFERROR(INDEX(Services!$G$5:$G$64,MATCH(M556,Services!$B$5:$B$64,0)),0)&gt;0,IFERROR(INDEX(Services!$G$5:$G$64,MATCH(M556,Services!$B$5:$B$64,0)),0),IFERROR(INDEX(Properties!$X$5:$X$254,MATCH(J556,Properties!$A$5:$A$254,0)),0)))))</f>
        <v>0</v>
      </c>
      <c r="AE556" s="31">
        <f>IF(G556="","",IF(T556="",CleanersPerJob,MAX(1,T556)))</f>
        <v>0</v>
      </c>
      <c r="AF556" s="34">
        <f>IF(G556="","",ROUND(AD556/AE556,2))</f>
        <v>0</v>
      </c>
      <c r="AG556" s="53">
        <f>IF(OR(G556="",F556="",AF556=""),"",F556+AF556/24)</f>
        <v>0</v>
      </c>
      <c r="AH556" s="21">
        <f>IF(G556="","",IF(IFERROR(INDEX(Clients!$O$5:$O$204,MATCH(G556,Clients!$A$5:$A$204,0)),0)&gt;0,IFERROR(INDEX(Clients!$O$5:$O$204,MATCH(G556,Clients!$A$5:$A$204,0)),0),HourlyRate))</f>
        <v>0</v>
      </c>
      <c r="AI556" s="21">
        <f>IF(G556="","",IF(AND(M556&lt;&gt;"",IFERROR(INDEX(Services!$P$5:$P$64,MATCH(M556,Services!$B$5:$B$64,0)),0)&gt;0,IFERROR(INDEX(Services!$D$5:$D$64,MATCH(M556,Services!$B$5:$B$64,0)),"")&lt;&gt;"Per hour"),IFERROR(INDEX(Services!$P$5:$P$64,MATCH(M556,Services!$B$5:$B$64,0)),0),AD556*AH556))</f>
        <v>0</v>
      </c>
      <c r="AJ556" s="21">
        <f>IF(G556="","",IF(V556&lt;&gt;"",V556,IF(P556="Cancelled",0,MAX(MinimumCharge,ROUND(AI556*IFERROR(INDEX(FreqFactors,MATCH(O556,FreqNames,0)),1),2)))))</f>
        <v>0</v>
      </c>
      <c r="AK556" s="34">
        <f>IF(G556="","",IF(SUMIFS(Timesheets!$U$5:$U$804,Timesheets!$G$5:$G$804,A556)&gt;0,SUMIFS(Timesheets!$U$5:$U$804,Timesheets!$G$5:$G$804,A556),IF(Z556="","",Z556)))</f>
        <v>0</v>
      </c>
      <c r="AL556" s="34">
        <f>IF(OR(AK556="",AD556=""),"",AK556-AD556)</f>
        <v>0</v>
      </c>
      <c r="AM556" s="31">
        <f>IF(A556="","",COUNTIFS('Job Tasks'!$B$5:$B$904,A556))</f>
        <v>0</v>
      </c>
      <c r="AN556" s="31">
        <f>IF(A556="","",COUNTIFS('Job Tasks'!$B$5:$B$904,A556,'Job Tasks'!$H$5:$H$904,"Done"))</f>
        <v>0</v>
      </c>
      <c r="AO556" s="38">
        <f>IF(OR(A556="",AM556=0),"",AN556/AM556)</f>
        <v>0</v>
      </c>
      <c r="AP556" s="43">
        <f>IF(A556="","",IFERROR(INDEX('Invoice Lines'!$B$5:$B$804,MATCH(A556,'Invoice Lines'!$C$5:$C$804,0)),""))</f>
        <v>0</v>
      </c>
      <c r="AQ556" s="18">
        <f>IF(OR(G556="",B556="",X556&lt;&gt;"Yes"),"",IF(IFERROR(INDEX(FreqDays,MATCH(O556,FreqNames,0)),0)=0,"",B556+IFERROR(INDEX(FreqDays,MATCH(O556,FreqNames,0)),0)))</f>
        <v>0</v>
      </c>
      <c r="AR556" s="39">
        <f>IF(G556="","",IF(R556="","Unassigned",IF(COUNTIFS($R$5:$R$604,R556,$B$5:$B$604,B556,$F$5:$F$604,F556)&gt;1,"Clash",IF(SUMIFS($AF$5:$AF$604,$R$5:$R$604,R556,$B$5:$B$604,B556)&gt;ProductiveHours,"Long day","OK"))))</f>
        <v>0</v>
      </c>
      <c r="AS556" s="18">
        <f>IF(OR(G556="",B556=""),"",IF(AND(B556&gt;=TodayDate,P556&lt;&gt;"Cancelled"),B556,""))</f>
        <v>0</v>
      </c>
      <c r="AT556" s="31">
        <f>IF(AS556="","",COUNTIFS($AS$5:$AS$604,"&lt;"&amp;AS556)+COUNTIFS($AS$5:AS556,AS556))</f>
        <v>0</v>
      </c>
      <c r="AU556" s="18">
        <f>IF(OR(G556="",B556="",R556&lt;&gt;""),"",IF(AND(B556&gt;=TodayDate,P556&lt;&gt;"Cancelled"),B556,""))</f>
        <v>0</v>
      </c>
      <c r="AV556" s="31">
        <f>IF(AU556="","",COUNTIFS($AU$5:$AU$604,"&lt;"&amp;AU556)+COUNTIFS($AU$5:AU556,AU556))</f>
        <v>0</v>
      </c>
      <c r="AW556" s="31">
        <f>IF(OR(G556="",B556=""),"",B556-TodayDate)</f>
        <v>0</v>
      </c>
      <c r="AX556" s="39">
        <f>IF(G556="","",IF(P556="Cancelled","Cancelled",IF(P556="No access","Action - no access, rebook",IF(AND(B556&lt;&gt;"",AW556&lt;0,OR(P556="Booked",P556="Confirmed",P556="In progress")),"Late - mark it completed",IF(AND(P556="Completed",AP556=""),"Action - not invoiced yet",IF(AND(AW556&gt;=0,AW556&lt;=ReminderDays,Y556&lt;&gt;"Yes"),"Confirm - visit coming up",IF(R556="","Assign - no cleaner booked",IF(AND(P556="Completed",AO556&lt;&gt;"",AO556&lt;1),"Check - checklist unfinished","OK"))))))))</f>
        <v>0</v>
      </c>
    </row>
    <row r="557" spans="1:50">
      <c r="A557" s="43">
        <f>IF(G557="","",JobPrefix&amp;TEXT(ROW()-4,"0000"))</f>
        <v>0</v>
      </c>
      <c r="C557" s="23">
        <f>IF(B557="","",TEXT(B557,"ddd"))</f>
        <v>0</v>
      </c>
      <c r="D557" s="31">
        <f>IF(B557="","",WEEKNUM(B557,IF(WeekStart="Sunday",1,2)))</f>
        <v>0</v>
      </c>
      <c r="E557" s="23">
        <f>IF(B557="","",TEXT(B557,"yyyy-mm"))</f>
        <v>0</v>
      </c>
      <c r="H557" s="23">
        <f>IF(G557="","",IFERROR(INDEX(Clients!$B$5:$B$204,MATCH(G557,Clients!$A$5:$A$204,0)),"Not found"))</f>
        <v>0</v>
      </c>
      <c r="I557" s="23">
        <f>IF(G557="","",IFERROR(INDEX(Clients!$C$5:$C$204,MATCH(G557,Clients!$A$5:$A$204,0)),""))</f>
        <v>0</v>
      </c>
      <c r="K557" s="23">
        <f>IF(J557="","",IFERROR(INDEX(Properties!$B$5:$B$254,MATCH(J557,Properties!$A$5:$A$254,0)),""))</f>
        <v>0</v>
      </c>
      <c r="L557" s="23">
        <f>IF(J557="","",IFERROR(INDEX(Properties!$F$5:$F$254,MATCH(J557,Properties!$A$5:$A$254,0)),""))</f>
        <v>0</v>
      </c>
      <c r="AD557" s="34">
        <f>IF(G557="","",IF(U557&lt;&gt;"",U557,IF(AND(IFERROR(INDEX(Services!$D$5:$D$64,MATCH(M557,Services!$B$5:$B$64,0)),"")="Per hour",IFERROR(INDEX(Properties!$X$5:$X$254,MATCH(J557,Properties!$A$5:$A$254,0)),0)&gt;0),IFERROR(INDEX(Properties!$X$5:$X$254,MATCH(J557,Properties!$A$5:$A$254,0)),0),IF(IFERROR(INDEX(Services!$G$5:$G$64,MATCH(M557,Services!$B$5:$B$64,0)),0)&gt;0,IFERROR(INDEX(Services!$G$5:$G$64,MATCH(M557,Services!$B$5:$B$64,0)),0),IFERROR(INDEX(Properties!$X$5:$X$254,MATCH(J557,Properties!$A$5:$A$254,0)),0)))))</f>
        <v>0</v>
      </c>
      <c r="AE557" s="31">
        <f>IF(G557="","",IF(T557="",CleanersPerJob,MAX(1,T557)))</f>
        <v>0</v>
      </c>
      <c r="AF557" s="34">
        <f>IF(G557="","",ROUND(AD557/AE557,2))</f>
        <v>0</v>
      </c>
      <c r="AG557" s="53">
        <f>IF(OR(G557="",F557="",AF557=""),"",F557+AF557/24)</f>
        <v>0</v>
      </c>
      <c r="AH557" s="21">
        <f>IF(G557="","",IF(IFERROR(INDEX(Clients!$O$5:$O$204,MATCH(G557,Clients!$A$5:$A$204,0)),0)&gt;0,IFERROR(INDEX(Clients!$O$5:$O$204,MATCH(G557,Clients!$A$5:$A$204,0)),0),HourlyRate))</f>
        <v>0</v>
      </c>
      <c r="AI557" s="21">
        <f>IF(G557="","",IF(AND(M557&lt;&gt;"",IFERROR(INDEX(Services!$P$5:$P$64,MATCH(M557,Services!$B$5:$B$64,0)),0)&gt;0,IFERROR(INDEX(Services!$D$5:$D$64,MATCH(M557,Services!$B$5:$B$64,0)),"")&lt;&gt;"Per hour"),IFERROR(INDEX(Services!$P$5:$P$64,MATCH(M557,Services!$B$5:$B$64,0)),0),AD557*AH557))</f>
        <v>0</v>
      </c>
      <c r="AJ557" s="21">
        <f>IF(G557="","",IF(V557&lt;&gt;"",V557,IF(P557="Cancelled",0,MAX(MinimumCharge,ROUND(AI557*IFERROR(INDEX(FreqFactors,MATCH(O557,FreqNames,0)),1),2)))))</f>
        <v>0</v>
      </c>
      <c r="AK557" s="34">
        <f>IF(G557="","",IF(SUMIFS(Timesheets!$U$5:$U$804,Timesheets!$G$5:$G$804,A557)&gt;0,SUMIFS(Timesheets!$U$5:$U$804,Timesheets!$G$5:$G$804,A557),IF(Z557="","",Z557)))</f>
        <v>0</v>
      </c>
      <c r="AL557" s="34">
        <f>IF(OR(AK557="",AD557=""),"",AK557-AD557)</f>
        <v>0</v>
      </c>
      <c r="AM557" s="31">
        <f>IF(A557="","",COUNTIFS('Job Tasks'!$B$5:$B$904,A557))</f>
        <v>0</v>
      </c>
      <c r="AN557" s="31">
        <f>IF(A557="","",COUNTIFS('Job Tasks'!$B$5:$B$904,A557,'Job Tasks'!$H$5:$H$904,"Done"))</f>
        <v>0</v>
      </c>
      <c r="AO557" s="38">
        <f>IF(OR(A557="",AM557=0),"",AN557/AM557)</f>
        <v>0</v>
      </c>
      <c r="AP557" s="43">
        <f>IF(A557="","",IFERROR(INDEX('Invoice Lines'!$B$5:$B$804,MATCH(A557,'Invoice Lines'!$C$5:$C$804,0)),""))</f>
        <v>0</v>
      </c>
      <c r="AQ557" s="18">
        <f>IF(OR(G557="",B557="",X557&lt;&gt;"Yes"),"",IF(IFERROR(INDEX(FreqDays,MATCH(O557,FreqNames,0)),0)=0,"",B557+IFERROR(INDEX(FreqDays,MATCH(O557,FreqNames,0)),0)))</f>
        <v>0</v>
      </c>
      <c r="AR557" s="39">
        <f>IF(G557="","",IF(R557="","Unassigned",IF(COUNTIFS($R$5:$R$604,R557,$B$5:$B$604,B557,$F$5:$F$604,F557)&gt;1,"Clash",IF(SUMIFS($AF$5:$AF$604,$R$5:$R$604,R557,$B$5:$B$604,B557)&gt;ProductiveHours,"Long day","OK"))))</f>
        <v>0</v>
      </c>
      <c r="AS557" s="18">
        <f>IF(OR(G557="",B557=""),"",IF(AND(B557&gt;=TodayDate,P557&lt;&gt;"Cancelled"),B557,""))</f>
        <v>0</v>
      </c>
      <c r="AT557" s="31">
        <f>IF(AS557="","",COUNTIFS($AS$5:$AS$604,"&lt;"&amp;AS557)+COUNTIFS($AS$5:AS557,AS557))</f>
        <v>0</v>
      </c>
      <c r="AU557" s="18">
        <f>IF(OR(G557="",B557="",R557&lt;&gt;""),"",IF(AND(B557&gt;=TodayDate,P557&lt;&gt;"Cancelled"),B557,""))</f>
        <v>0</v>
      </c>
      <c r="AV557" s="31">
        <f>IF(AU557="","",COUNTIFS($AU$5:$AU$604,"&lt;"&amp;AU557)+COUNTIFS($AU$5:AU557,AU557))</f>
        <v>0</v>
      </c>
      <c r="AW557" s="31">
        <f>IF(OR(G557="",B557=""),"",B557-TodayDate)</f>
        <v>0</v>
      </c>
      <c r="AX557" s="39">
        <f>IF(G557="","",IF(P557="Cancelled","Cancelled",IF(P557="No access","Action - no access, rebook",IF(AND(B557&lt;&gt;"",AW557&lt;0,OR(P557="Booked",P557="Confirmed",P557="In progress")),"Late - mark it completed",IF(AND(P557="Completed",AP557=""),"Action - not invoiced yet",IF(AND(AW557&gt;=0,AW557&lt;=ReminderDays,Y557&lt;&gt;"Yes"),"Confirm - visit coming up",IF(R557="","Assign - no cleaner booked",IF(AND(P557="Completed",AO557&lt;&gt;"",AO557&lt;1),"Check - checklist unfinished","OK"))))))))</f>
        <v>0</v>
      </c>
    </row>
    <row r="558" spans="1:50">
      <c r="A558" s="43">
        <f>IF(G558="","",JobPrefix&amp;TEXT(ROW()-4,"0000"))</f>
        <v>0</v>
      </c>
      <c r="C558" s="23">
        <f>IF(B558="","",TEXT(B558,"ddd"))</f>
        <v>0</v>
      </c>
      <c r="D558" s="31">
        <f>IF(B558="","",WEEKNUM(B558,IF(WeekStart="Sunday",1,2)))</f>
        <v>0</v>
      </c>
      <c r="E558" s="23">
        <f>IF(B558="","",TEXT(B558,"yyyy-mm"))</f>
        <v>0</v>
      </c>
      <c r="H558" s="23">
        <f>IF(G558="","",IFERROR(INDEX(Clients!$B$5:$B$204,MATCH(G558,Clients!$A$5:$A$204,0)),"Not found"))</f>
        <v>0</v>
      </c>
      <c r="I558" s="23">
        <f>IF(G558="","",IFERROR(INDEX(Clients!$C$5:$C$204,MATCH(G558,Clients!$A$5:$A$204,0)),""))</f>
        <v>0</v>
      </c>
      <c r="K558" s="23">
        <f>IF(J558="","",IFERROR(INDEX(Properties!$B$5:$B$254,MATCH(J558,Properties!$A$5:$A$254,0)),""))</f>
        <v>0</v>
      </c>
      <c r="L558" s="23">
        <f>IF(J558="","",IFERROR(INDEX(Properties!$F$5:$F$254,MATCH(J558,Properties!$A$5:$A$254,0)),""))</f>
        <v>0</v>
      </c>
      <c r="AD558" s="34">
        <f>IF(G558="","",IF(U558&lt;&gt;"",U558,IF(AND(IFERROR(INDEX(Services!$D$5:$D$64,MATCH(M558,Services!$B$5:$B$64,0)),"")="Per hour",IFERROR(INDEX(Properties!$X$5:$X$254,MATCH(J558,Properties!$A$5:$A$254,0)),0)&gt;0),IFERROR(INDEX(Properties!$X$5:$X$254,MATCH(J558,Properties!$A$5:$A$254,0)),0),IF(IFERROR(INDEX(Services!$G$5:$G$64,MATCH(M558,Services!$B$5:$B$64,0)),0)&gt;0,IFERROR(INDEX(Services!$G$5:$G$64,MATCH(M558,Services!$B$5:$B$64,0)),0),IFERROR(INDEX(Properties!$X$5:$X$254,MATCH(J558,Properties!$A$5:$A$254,0)),0)))))</f>
        <v>0</v>
      </c>
      <c r="AE558" s="31">
        <f>IF(G558="","",IF(T558="",CleanersPerJob,MAX(1,T558)))</f>
        <v>0</v>
      </c>
      <c r="AF558" s="34">
        <f>IF(G558="","",ROUND(AD558/AE558,2))</f>
        <v>0</v>
      </c>
      <c r="AG558" s="53">
        <f>IF(OR(G558="",F558="",AF558=""),"",F558+AF558/24)</f>
        <v>0</v>
      </c>
      <c r="AH558" s="21">
        <f>IF(G558="","",IF(IFERROR(INDEX(Clients!$O$5:$O$204,MATCH(G558,Clients!$A$5:$A$204,0)),0)&gt;0,IFERROR(INDEX(Clients!$O$5:$O$204,MATCH(G558,Clients!$A$5:$A$204,0)),0),HourlyRate))</f>
        <v>0</v>
      </c>
      <c r="AI558" s="21">
        <f>IF(G558="","",IF(AND(M558&lt;&gt;"",IFERROR(INDEX(Services!$P$5:$P$64,MATCH(M558,Services!$B$5:$B$64,0)),0)&gt;0,IFERROR(INDEX(Services!$D$5:$D$64,MATCH(M558,Services!$B$5:$B$64,0)),"")&lt;&gt;"Per hour"),IFERROR(INDEX(Services!$P$5:$P$64,MATCH(M558,Services!$B$5:$B$64,0)),0),AD558*AH558))</f>
        <v>0</v>
      </c>
      <c r="AJ558" s="21">
        <f>IF(G558="","",IF(V558&lt;&gt;"",V558,IF(P558="Cancelled",0,MAX(MinimumCharge,ROUND(AI558*IFERROR(INDEX(FreqFactors,MATCH(O558,FreqNames,0)),1),2)))))</f>
        <v>0</v>
      </c>
      <c r="AK558" s="34">
        <f>IF(G558="","",IF(SUMIFS(Timesheets!$U$5:$U$804,Timesheets!$G$5:$G$804,A558)&gt;0,SUMIFS(Timesheets!$U$5:$U$804,Timesheets!$G$5:$G$804,A558),IF(Z558="","",Z558)))</f>
        <v>0</v>
      </c>
      <c r="AL558" s="34">
        <f>IF(OR(AK558="",AD558=""),"",AK558-AD558)</f>
        <v>0</v>
      </c>
      <c r="AM558" s="31">
        <f>IF(A558="","",COUNTIFS('Job Tasks'!$B$5:$B$904,A558))</f>
        <v>0</v>
      </c>
      <c r="AN558" s="31">
        <f>IF(A558="","",COUNTIFS('Job Tasks'!$B$5:$B$904,A558,'Job Tasks'!$H$5:$H$904,"Done"))</f>
        <v>0</v>
      </c>
      <c r="AO558" s="38">
        <f>IF(OR(A558="",AM558=0),"",AN558/AM558)</f>
        <v>0</v>
      </c>
      <c r="AP558" s="43">
        <f>IF(A558="","",IFERROR(INDEX('Invoice Lines'!$B$5:$B$804,MATCH(A558,'Invoice Lines'!$C$5:$C$804,0)),""))</f>
        <v>0</v>
      </c>
      <c r="AQ558" s="18">
        <f>IF(OR(G558="",B558="",X558&lt;&gt;"Yes"),"",IF(IFERROR(INDEX(FreqDays,MATCH(O558,FreqNames,0)),0)=0,"",B558+IFERROR(INDEX(FreqDays,MATCH(O558,FreqNames,0)),0)))</f>
        <v>0</v>
      </c>
      <c r="AR558" s="39">
        <f>IF(G558="","",IF(R558="","Unassigned",IF(COUNTIFS($R$5:$R$604,R558,$B$5:$B$604,B558,$F$5:$F$604,F558)&gt;1,"Clash",IF(SUMIFS($AF$5:$AF$604,$R$5:$R$604,R558,$B$5:$B$604,B558)&gt;ProductiveHours,"Long day","OK"))))</f>
        <v>0</v>
      </c>
      <c r="AS558" s="18">
        <f>IF(OR(G558="",B558=""),"",IF(AND(B558&gt;=TodayDate,P558&lt;&gt;"Cancelled"),B558,""))</f>
        <v>0</v>
      </c>
      <c r="AT558" s="31">
        <f>IF(AS558="","",COUNTIFS($AS$5:$AS$604,"&lt;"&amp;AS558)+COUNTIFS($AS$5:AS558,AS558))</f>
        <v>0</v>
      </c>
      <c r="AU558" s="18">
        <f>IF(OR(G558="",B558="",R558&lt;&gt;""),"",IF(AND(B558&gt;=TodayDate,P558&lt;&gt;"Cancelled"),B558,""))</f>
        <v>0</v>
      </c>
      <c r="AV558" s="31">
        <f>IF(AU558="","",COUNTIFS($AU$5:$AU$604,"&lt;"&amp;AU558)+COUNTIFS($AU$5:AU558,AU558))</f>
        <v>0</v>
      </c>
      <c r="AW558" s="31">
        <f>IF(OR(G558="",B558=""),"",B558-TodayDate)</f>
        <v>0</v>
      </c>
      <c r="AX558" s="39">
        <f>IF(G558="","",IF(P558="Cancelled","Cancelled",IF(P558="No access","Action - no access, rebook",IF(AND(B558&lt;&gt;"",AW558&lt;0,OR(P558="Booked",P558="Confirmed",P558="In progress")),"Late - mark it completed",IF(AND(P558="Completed",AP558=""),"Action - not invoiced yet",IF(AND(AW558&gt;=0,AW558&lt;=ReminderDays,Y558&lt;&gt;"Yes"),"Confirm - visit coming up",IF(R558="","Assign - no cleaner booked",IF(AND(P558="Completed",AO558&lt;&gt;"",AO558&lt;1),"Check - checklist unfinished","OK"))))))))</f>
        <v>0</v>
      </c>
    </row>
    <row r="559" spans="1:50">
      <c r="A559" s="43">
        <f>IF(G559="","",JobPrefix&amp;TEXT(ROW()-4,"0000"))</f>
        <v>0</v>
      </c>
      <c r="C559" s="23">
        <f>IF(B559="","",TEXT(B559,"ddd"))</f>
        <v>0</v>
      </c>
      <c r="D559" s="31">
        <f>IF(B559="","",WEEKNUM(B559,IF(WeekStart="Sunday",1,2)))</f>
        <v>0</v>
      </c>
      <c r="E559" s="23">
        <f>IF(B559="","",TEXT(B559,"yyyy-mm"))</f>
        <v>0</v>
      </c>
      <c r="H559" s="23">
        <f>IF(G559="","",IFERROR(INDEX(Clients!$B$5:$B$204,MATCH(G559,Clients!$A$5:$A$204,0)),"Not found"))</f>
        <v>0</v>
      </c>
      <c r="I559" s="23">
        <f>IF(G559="","",IFERROR(INDEX(Clients!$C$5:$C$204,MATCH(G559,Clients!$A$5:$A$204,0)),""))</f>
        <v>0</v>
      </c>
      <c r="K559" s="23">
        <f>IF(J559="","",IFERROR(INDEX(Properties!$B$5:$B$254,MATCH(J559,Properties!$A$5:$A$254,0)),""))</f>
        <v>0</v>
      </c>
      <c r="L559" s="23">
        <f>IF(J559="","",IFERROR(INDEX(Properties!$F$5:$F$254,MATCH(J559,Properties!$A$5:$A$254,0)),""))</f>
        <v>0</v>
      </c>
      <c r="AD559" s="34">
        <f>IF(G559="","",IF(U559&lt;&gt;"",U559,IF(AND(IFERROR(INDEX(Services!$D$5:$D$64,MATCH(M559,Services!$B$5:$B$64,0)),"")="Per hour",IFERROR(INDEX(Properties!$X$5:$X$254,MATCH(J559,Properties!$A$5:$A$254,0)),0)&gt;0),IFERROR(INDEX(Properties!$X$5:$X$254,MATCH(J559,Properties!$A$5:$A$254,0)),0),IF(IFERROR(INDEX(Services!$G$5:$G$64,MATCH(M559,Services!$B$5:$B$64,0)),0)&gt;0,IFERROR(INDEX(Services!$G$5:$G$64,MATCH(M559,Services!$B$5:$B$64,0)),0),IFERROR(INDEX(Properties!$X$5:$X$254,MATCH(J559,Properties!$A$5:$A$254,0)),0)))))</f>
        <v>0</v>
      </c>
      <c r="AE559" s="31">
        <f>IF(G559="","",IF(T559="",CleanersPerJob,MAX(1,T559)))</f>
        <v>0</v>
      </c>
      <c r="AF559" s="34">
        <f>IF(G559="","",ROUND(AD559/AE559,2))</f>
        <v>0</v>
      </c>
      <c r="AG559" s="53">
        <f>IF(OR(G559="",F559="",AF559=""),"",F559+AF559/24)</f>
        <v>0</v>
      </c>
      <c r="AH559" s="21">
        <f>IF(G559="","",IF(IFERROR(INDEX(Clients!$O$5:$O$204,MATCH(G559,Clients!$A$5:$A$204,0)),0)&gt;0,IFERROR(INDEX(Clients!$O$5:$O$204,MATCH(G559,Clients!$A$5:$A$204,0)),0),HourlyRate))</f>
        <v>0</v>
      </c>
      <c r="AI559" s="21">
        <f>IF(G559="","",IF(AND(M559&lt;&gt;"",IFERROR(INDEX(Services!$P$5:$P$64,MATCH(M559,Services!$B$5:$B$64,0)),0)&gt;0,IFERROR(INDEX(Services!$D$5:$D$64,MATCH(M559,Services!$B$5:$B$64,0)),"")&lt;&gt;"Per hour"),IFERROR(INDEX(Services!$P$5:$P$64,MATCH(M559,Services!$B$5:$B$64,0)),0),AD559*AH559))</f>
        <v>0</v>
      </c>
      <c r="AJ559" s="21">
        <f>IF(G559="","",IF(V559&lt;&gt;"",V559,IF(P559="Cancelled",0,MAX(MinimumCharge,ROUND(AI559*IFERROR(INDEX(FreqFactors,MATCH(O559,FreqNames,0)),1),2)))))</f>
        <v>0</v>
      </c>
      <c r="AK559" s="34">
        <f>IF(G559="","",IF(SUMIFS(Timesheets!$U$5:$U$804,Timesheets!$G$5:$G$804,A559)&gt;0,SUMIFS(Timesheets!$U$5:$U$804,Timesheets!$G$5:$G$804,A559),IF(Z559="","",Z559)))</f>
        <v>0</v>
      </c>
      <c r="AL559" s="34">
        <f>IF(OR(AK559="",AD559=""),"",AK559-AD559)</f>
        <v>0</v>
      </c>
      <c r="AM559" s="31">
        <f>IF(A559="","",COUNTIFS('Job Tasks'!$B$5:$B$904,A559))</f>
        <v>0</v>
      </c>
      <c r="AN559" s="31">
        <f>IF(A559="","",COUNTIFS('Job Tasks'!$B$5:$B$904,A559,'Job Tasks'!$H$5:$H$904,"Done"))</f>
        <v>0</v>
      </c>
      <c r="AO559" s="38">
        <f>IF(OR(A559="",AM559=0),"",AN559/AM559)</f>
        <v>0</v>
      </c>
      <c r="AP559" s="43">
        <f>IF(A559="","",IFERROR(INDEX('Invoice Lines'!$B$5:$B$804,MATCH(A559,'Invoice Lines'!$C$5:$C$804,0)),""))</f>
        <v>0</v>
      </c>
      <c r="AQ559" s="18">
        <f>IF(OR(G559="",B559="",X559&lt;&gt;"Yes"),"",IF(IFERROR(INDEX(FreqDays,MATCH(O559,FreqNames,0)),0)=0,"",B559+IFERROR(INDEX(FreqDays,MATCH(O559,FreqNames,0)),0)))</f>
        <v>0</v>
      </c>
      <c r="AR559" s="39">
        <f>IF(G559="","",IF(R559="","Unassigned",IF(COUNTIFS($R$5:$R$604,R559,$B$5:$B$604,B559,$F$5:$F$604,F559)&gt;1,"Clash",IF(SUMIFS($AF$5:$AF$604,$R$5:$R$604,R559,$B$5:$B$604,B559)&gt;ProductiveHours,"Long day","OK"))))</f>
        <v>0</v>
      </c>
      <c r="AS559" s="18">
        <f>IF(OR(G559="",B559=""),"",IF(AND(B559&gt;=TodayDate,P559&lt;&gt;"Cancelled"),B559,""))</f>
        <v>0</v>
      </c>
      <c r="AT559" s="31">
        <f>IF(AS559="","",COUNTIFS($AS$5:$AS$604,"&lt;"&amp;AS559)+COUNTIFS($AS$5:AS559,AS559))</f>
        <v>0</v>
      </c>
      <c r="AU559" s="18">
        <f>IF(OR(G559="",B559="",R559&lt;&gt;""),"",IF(AND(B559&gt;=TodayDate,P559&lt;&gt;"Cancelled"),B559,""))</f>
        <v>0</v>
      </c>
      <c r="AV559" s="31">
        <f>IF(AU559="","",COUNTIFS($AU$5:$AU$604,"&lt;"&amp;AU559)+COUNTIFS($AU$5:AU559,AU559))</f>
        <v>0</v>
      </c>
      <c r="AW559" s="31">
        <f>IF(OR(G559="",B559=""),"",B559-TodayDate)</f>
        <v>0</v>
      </c>
      <c r="AX559" s="39">
        <f>IF(G559="","",IF(P559="Cancelled","Cancelled",IF(P559="No access","Action - no access, rebook",IF(AND(B559&lt;&gt;"",AW559&lt;0,OR(P559="Booked",P559="Confirmed",P559="In progress")),"Late - mark it completed",IF(AND(P559="Completed",AP559=""),"Action - not invoiced yet",IF(AND(AW559&gt;=0,AW559&lt;=ReminderDays,Y559&lt;&gt;"Yes"),"Confirm - visit coming up",IF(R559="","Assign - no cleaner booked",IF(AND(P559="Completed",AO559&lt;&gt;"",AO559&lt;1),"Check - checklist unfinished","OK"))))))))</f>
        <v>0</v>
      </c>
    </row>
    <row r="560" spans="1:50">
      <c r="A560" s="43">
        <f>IF(G560="","",JobPrefix&amp;TEXT(ROW()-4,"0000"))</f>
        <v>0</v>
      </c>
      <c r="C560" s="23">
        <f>IF(B560="","",TEXT(B560,"ddd"))</f>
        <v>0</v>
      </c>
      <c r="D560" s="31">
        <f>IF(B560="","",WEEKNUM(B560,IF(WeekStart="Sunday",1,2)))</f>
        <v>0</v>
      </c>
      <c r="E560" s="23">
        <f>IF(B560="","",TEXT(B560,"yyyy-mm"))</f>
        <v>0</v>
      </c>
      <c r="H560" s="23">
        <f>IF(G560="","",IFERROR(INDEX(Clients!$B$5:$B$204,MATCH(G560,Clients!$A$5:$A$204,0)),"Not found"))</f>
        <v>0</v>
      </c>
      <c r="I560" s="23">
        <f>IF(G560="","",IFERROR(INDEX(Clients!$C$5:$C$204,MATCH(G560,Clients!$A$5:$A$204,0)),""))</f>
        <v>0</v>
      </c>
      <c r="K560" s="23">
        <f>IF(J560="","",IFERROR(INDEX(Properties!$B$5:$B$254,MATCH(J560,Properties!$A$5:$A$254,0)),""))</f>
        <v>0</v>
      </c>
      <c r="L560" s="23">
        <f>IF(J560="","",IFERROR(INDEX(Properties!$F$5:$F$254,MATCH(J560,Properties!$A$5:$A$254,0)),""))</f>
        <v>0</v>
      </c>
      <c r="AD560" s="34">
        <f>IF(G560="","",IF(U560&lt;&gt;"",U560,IF(AND(IFERROR(INDEX(Services!$D$5:$D$64,MATCH(M560,Services!$B$5:$B$64,0)),"")="Per hour",IFERROR(INDEX(Properties!$X$5:$X$254,MATCH(J560,Properties!$A$5:$A$254,0)),0)&gt;0),IFERROR(INDEX(Properties!$X$5:$X$254,MATCH(J560,Properties!$A$5:$A$254,0)),0),IF(IFERROR(INDEX(Services!$G$5:$G$64,MATCH(M560,Services!$B$5:$B$64,0)),0)&gt;0,IFERROR(INDEX(Services!$G$5:$G$64,MATCH(M560,Services!$B$5:$B$64,0)),0),IFERROR(INDEX(Properties!$X$5:$X$254,MATCH(J560,Properties!$A$5:$A$254,0)),0)))))</f>
        <v>0</v>
      </c>
      <c r="AE560" s="31">
        <f>IF(G560="","",IF(T560="",CleanersPerJob,MAX(1,T560)))</f>
        <v>0</v>
      </c>
      <c r="AF560" s="34">
        <f>IF(G560="","",ROUND(AD560/AE560,2))</f>
        <v>0</v>
      </c>
      <c r="AG560" s="53">
        <f>IF(OR(G560="",F560="",AF560=""),"",F560+AF560/24)</f>
        <v>0</v>
      </c>
      <c r="AH560" s="21">
        <f>IF(G560="","",IF(IFERROR(INDEX(Clients!$O$5:$O$204,MATCH(G560,Clients!$A$5:$A$204,0)),0)&gt;0,IFERROR(INDEX(Clients!$O$5:$O$204,MATCH(G560,Clients!$A$5:$A$204,0)),0),HourlyRate))</f>
        <v>0</v>
      </c>
      <c r="AI560" s="21">
        <f>IF(G560="","",IF(AND(M560&lt;&gt;"",IFERROR(INDEX(Services!$P$5:$P$64,MATCH(M560,Services!$B$5:$B$64,0)),0)&gt;0,IFERROR(INDEX(Services!$D$5:$D$64,MATCH(M560,Services!$B$5:$B$64,0)),"")&lt;&gt;"Per hour"),IFERROR(INDEX(Services!$P$5:$P$64,MATCH(M560,Services!$B$5:$B$64,0)),0),AD560*AH560))</f>
        <v>0</v>
      </c>
      <c r="AJ560" s="21">
        <f>IF(G560="","",IF(V560&lt;&gt;"",V560,IF(P560="Cancelled",0,MAX(MinimumCharge,ROUND(AI560*IFERROR(INDEX(FreqFactors,MATCH(O560,FreqNames,0)),1),2)))))</f>
        <v>0</v>
      </c>
      <c r="AK560" s="34">
        <f>IF(G560="","",IF(SUMIFS(Timesheets!$U$5:$U$804,Timesheets!$G$5:$G$804,A560)&gt;0,SUMIFS(Timesheets!$U$5:$U$804,Timesheets!$G$5:$G$804,A560),IF(Z560="","",Z560)))</f>
        <v>0</v>
      </c>
      <c r="AL560" s="34">
        <f>IF(OR(AK560="",AD560=""),"",AK560-AD560)</f>
        <v>0</v>
      </c>
      <c r="AM560" s="31">
        <f>IF(A560="","",COUNTIFS('Job Tasks'!$B$5:$B$904,A560))</f>
        <v>0</v>
      </c>
      <c r="AN560" s="31">
        <f>IF(A560="","",COUNTIFS('Job Tasks'!$B$5:$B$904,A560,'Job Tasks'!$H$5:$H$904,"Done"))</f>
        <v>0</v>
      </c>
      <c r="AO560" s="38">
        <f>IF(OR(A560="",AM560=0),"",AN560/AM560)</f>
        <v>0</v>
      </c>
      <c r="AP560" s="43">
        <f>IF(A560="","",IFERROR(INDEX('Invoice Lines'!$B$5:$B$804,MATCH(A560,'Invoice Lines'!$C$5:$C$804,0)),""))</f>
        <v>0</v>
      </c>
      <c r="AQ560" s="18">
        <f>IF(OR(G560="",B560="",X560&lt;&gt;"Yes"),"",IF(IFERROR(INDEX(FreqDays,MATCH(O560,FreqNames,0)),0)=0,"",B560+IFERROR(INDEX(FreqDays,MATCH(O560,FreqNames,0)),0)))</f>
        <v>0</v>
      </c>
      <c r="AR560" s="39">
        <f>IF(G560="","",IF(R560="","Unassigned",IF(COUNTIFS($R$5:$R$604,R560,$B$5:$B$604,B560,$F$5:$F$604,F560)&gt;1,"Clash",IF(SUMIFS($AF$5:$AF$604,$R$5:$R$604,R560,$B$5:$B$604,B560)&gt;ProductiveHours,"Long day","OK"))))</f>
        <v>0</v>
      </c>
      <c r="AS560" s="18">
        <f>IF(OR(G560="",B560=""),"",IF(AND(B560&gt;=TodayDate,P560&lt;&gt;"Cancelled"),B560,""))</f>
        <v>0</v>
      </c>
      <c r="AT560" s="31">
        <f>IF(AS560="","",COUNTIFS($AS$5:$AS$604,"&lt;"&amp;AS560)+COUNTIFS($AS$5:AS560,AS560))</f>
        <v>0</v>
      </c>
      <c r="AU560" s="18">
        <f>IF(OR(G560="",B560="",R560&lt;&gt;""),"",IF(AND(B560&gt;=TodayDate,P560&lt;&gt;"Cancelled"),B560,""))</f>
        <v>0</v>
      </c>
      <c r="AV560" s="31">
        <f>IF(AU560="","",COUNTIFS($AU$5:$AU$604,"&lt;"&amp;AU560)+COUNTIFS($AU$5:AU560,AU560))</f>
        <v>0</v>
      </c>
      <c r="AW560" s="31">
        <f>IF(OR(G560="",B560=""),"",B560-TodayDate)</f>
        <v>0</v>
      </c>
      <c r="AX560" s="39">
        <f>IF(G560="","",IF(P560="Cancelled","Cancelled",IF(P560="No access","Action - no access, rebook",IF(AND(B560&lt;&gt;"",AW560&lt;0,OR(P560="Booked",P560="Confirmed",P560="In progress")),"Late - mark it completed",IF(AND(P560="Completed",AP560=""),"Action - not invoiced yet",IF(AND(AW560&gt;=0,AW560&lt;=ReminderDays,Y560&lt;&gt;"Yes"),"Confirm - visit coming up",IF(R560="","Assign - no cleaner booked",IF(AND(P560="Completed",AO560&lt;&gt;"",AO560&lt;1),"Check - checklist unfinished","OK"))))))))</f>
        <v>0</v>
      </c>
    </row>
    <row r="561" spans="1:50">
      <c r="A561" s="43">
        <f>IF(G561="","",JobPrefix&amp;TEXT(ROW()-4,"0000"))</f>
        <v>0</v>
      </c>
      <c r="C561" s="23">
        <f>IF(B561="","",TEXT(B561,"ddd"))</f>
        <v>0</v>
      </c>
      <c r="D561" s="31">
        <f>IF(B561="","",WEEKNUM(B561,IF(WeekStart="Sunday",1,2)))</f>
        <v>0</v>
      </c>
      <c r="E561" s="23">
        <f>IF(B561="","",TEXT(B561,"yyyy-mm"))</f>
        <v>0</v>
      </c>
      <c r="H561" s="23">
        <f>IF(G561="","",IFERROR(INDEX(Clients!$B$5:$B$204,MATCH(G561,Clients!$A$5:$A$204,0)),"Not found"))</f>
        <v>0</v>
      </c>
      <c r="I561" s="23">
        <f>IF(G561="","",IFERROR(INDEX(Clients!$C$5:$C$204,MATCH(G561,Clients!$A$5:$A$204,0)),""))</f>
        <v>0</v>
      </c>
      <c r="K561" s="23">
        <f>IF(J561="","",IFERROR(INDEX(Properties!$B$5:$B$254,MATCH(J561,Properties!$A$5:$A$254,0)),""))</f>
        <v>0</v>
      </c>
      <c r="L561" s="23">
        <f>IF(J561="","",IFERROR(INDEX(Properties!$F$5:$F$254,MATCH(J561,Properties!$A$5:$A$254,0)),""))</f>
        <v>0</v>
      </c>
      <c r="AD561" s="34">
        <f>IF(G561="","",IF(U561&lt;&gt;"",U561,IF(AND(IFERROR(INDEX(Services!$D$5:$D$64,MATCH(M561,Services!$B$5:$B$64,0)),"")="Per hour",IFERROR(INDEX(Properties!$X$5:$X$254,MATCH(J561,Properties!$A$5:$A$254,0)),0)&gt;0),IFERROR(INDEX(Properties!$X$5:$X$254,MATCH(J561,Properties!$A$5:$A$254,0)),0),IF(IFERROR(INDEX(Services!$G$5:$G$64,MATCH(M561,Services!$B$5:$B$64,0)),0)&gt;0,IFERROR(INDEX(Services!$G$5:$G$64,MATCH(M561,Services!$B$5:$B$64,0)),0),IFERROR(INDEX(Properties!$X$5:$X$254,MATCH(J561,Properties!$A$5:$A$254,0)),0)))))</f>
        <v>0</v>
      </c>
      <c r="AE561" s="31">
        <f>IF(G561="","",IF(T561="",CleanersPerJob,MAX(1,T561)))</f>
        <v>0</v>
      </c>
      <c r="AF561" s="34">
        <f>IF(G561="","",ROUND(AD561/AE561,2))</f>
        <v>0</v>
      </c>
      <c r="AG561" s="53">
        <f>IF(OR(G561="",F561="",AF561=""),"",F561+AF561/24)</f>
        <v>0</v>
      </c>
      <c r="AH561" s="21">
        <f>IF(G561="","",IF(IFERROR(INDEX(Clients!$O$5:$O$204,MATCH(G561,Clients!$A$5:$A$204,0)),0)&gt;0,IFERROR(INDEX(Clients!$O$5:$O$204,MATCH(G561,Clients!$A$5:$A$204,0)),0),HourlyRate))</f>
        <v>0</v>
      </c>
      <c r="AI561" s="21">
        <f>IF(G561="","",IF(AND(M561&lt;&gt;"",IFERROR(INDEX(Services!$P$5:$P$64,MATCH(M561,Services!$B$5:$B$64,0)),0)&gt;0,IFERROR(INDEX(Services!$D$5:$D$64,MATCH(M561,Services!$B$5:$B$64,0)),"")&lt;&gt;"Per hour"),IFERROR(INDEX(Services!$P$5:$P$64,MATCH(M561,Services!$B$5:$B$64,0)),0),AD561*AH561))</f>
        <v>0</v>
      </c>
      <c r="AJ561" s="21">
        <f>IF(G561="","",IF(V561&lt;&gt;"",V561,IF(P561="Cancelled",0,MAX(MinimumCharge,ROUND(AI561*IFERROR(INDEX(FreqFactors,MATCH(O561,FreqNames,0)),1),2)))))</f>
        <v>0</v>
      </c>
      <c r="AK561" s="34">
        <f>IF(G561="","",IF(SUMIFS(Timesheets!$U$5:$U$804,Timesheets!$G$5:$G$804,A561)&gt;0,SUMIFS(Timesheets!$U$5:$U$804,Timesheets!$G$5:$G$804,A561),IF(Z561="","",Z561)))</f>
        <v>0</v>
      </c>
      <c r="AL561" s="34">
        <f>IF(OR(AK561="",AD561=""),"",AK561-AD561)</f>
        <v>0</v>
      </c>
      <c r="AM561" s="31">
        <f>IF(A561="","",COUNTIFS('Job Tasks'!$B$5:$B$904,A561))</f>
        <v>0</v>
      </c>
      <c r="AN561" s="31">
        <f>IF(A561="","",COUNTIFS('Job Tasks'!$B$5:$B$904,A561,'Job Tasks'!$H$5:$H$904,"Done"))</f>
        <v>0</v>
      </c>
      <c r="AO561" s="38">
        <f>IF(OR(A561="",AM561=0),"",AN561/AM561)</f>
        <v>0</v>
      </c>
      <c r="AP561" s="43">
        <f>IF(A561="","",IFERROR(INDEX('Invoice Lines'!$B$5:$B$804,MATCH(A561,'Invoice Lines'!$C$5:$C$804,0)),""))</f>
        <v>0</v>
      </c>
      <c r="AQ561" s="18">
        <f>IF(OR(G561="",B561="",X561&lt;&gt;"Yes"),"",IF(IFERROR(INDEX(FreqDays,MATCH(O561,FreqNames,0)),0)=0,"",B561+IFERROR(INDEX(FreqDays,MATCH(O561,FreqNames,0)),0)))</f>
        <v>0</v>
      </c>
      <c r="AR561" s="39">
        <f>IF(G561="","",IF(R561="","Unassigned",IF(COUNTIFS($R$5:$R$604,R561,$B$5:$B$604,B561,$F$5:$F$604,F561)&gt;1,"Clash",IF(SUMIFS($AF$5:$AF$604,$R$5:$R$604,R561,$B$5:$B$604,B561)&gt;ProductiveHours,"Long day","OK"))))</f>
        <v>0</v>
      </c>
      <c r="AS561" s="18">
        <f>IF(OR(G561="",B561=""),"",IF(AND(B561&gt;=TodayDate,P561&lt;&gt;"Cancelled"),B561,""))</f>
        <v>0</v>
      </c>
      <c r="AT561" s="31">
        <f>IF(AS561="","",COUNTIFS($AS$5:$AS$604,"&lt;"&amp;AS561)+COUNTIFS($AS$5:AS561,AS561))</f>
        <v>0</v>
      </c>
      <c r="AU561" s="18">
        <f>IF(OR(G561="",B561="",R561&lt;&gt;""),"",IF(AND(B561&gt;=TodayDate,P561&lt;&gt;"Cancelled"),B561,""))</f>
        <v>0</v>
      </c>
      <c r="AV561" s="31">
        <f>IF(AU561="","",COUNTIFS($AU$5:$AU$604,"&lt;"&amp;AU561)+COUNTIFS($AU$5:AU561,AU561))</f>
        <v>0</v>
      </c>
      <c r="AW561" s="31">
        <f>IF(OR(G561="",B561=""),"",B561-TodayDate)</f>
        <v>0</v>
      </c>
      <c r="AX561" s="39">
        <f>IF(G561="","",IF(P561="Cancelled","Cancelled",IF(P561="No access","Action - no access, rebook",IF(AND(B561&lt;&gt;"",AW561&lt;0,OR(P561="Booked",P561="Confirmed",P561="In progress")),"Late - mark it completed",IF(AND(P561="Completed",AP561=""),"Action - not invoiced yet",IF(AND(AW561&gt;=0,AW561&lt;=ReminderDays,Y561&lt;&gt;"Yes"),"Confirm - visit coming up",IF(R561="","Assign - no cleaner booked",IF(AND(P561="Completed",AO561&lt;&gt;"",AO561&lt;1),"Check - checklist unfinished","OK"))))))))</f>
        <v>0</v>
      </c>
    </row>
    <row r="562" spans="1:50">
      <c r="A562" s="43">
        <f>IF(G562="","",JobPrefix&amp;TEXT(ROW()-4,"0000"))</f>
        <v>0</v>
      </c>
      <c r="C562" s="23">
        <f>IF(B562="","",TEXT(B562,"ddd"))</f>
        <v>0</v>
      </c>
      <c r="D562" s="31">
        <f>IF(B562="","",WEEKNUM(B562,IF(WeekStart="Sunday",1,2)))</f>
        <v>0</v>
      </c>
      <c r="E562" s="23">
        <f>IF(B562="","",TEXT(B562,"yyyy-mm"))</f>
        <v>0</v>
      </c>
      <c r="H562" s="23">
        <f>IF(G562="","",IFERROR(INDEX(Clients!$B$5:$B$204,MATCH(G562,Clients!$A$5:$A$204,0)),"Not found"))</f>
        <v>0</v>
      </c>
      <c r="I562" s="23">
        <f>IF(G562="","",IFERROR(INDEX(Clients!$C$5:$C$204,MATCH(G562,Clients!$A$5:$A$204,0)),""))</f>
        <v>0</v>
      </c>
      <c r="K562" s="23">
        <f>IF(J562="","",IFERROR(INDEX(Properties!$B$5:$B$254,MATCH(J562,Properties!$A$5:$A$254,0)),""))</f>
        <v>0</v>
      </c>
      <c r="L562" s="23">
        <f>IF(J562="","",IFERROR(INDEX(Properties!$F$5:$F$254,MATCH(J562,Properties!$A$5:$A$254,0)),""))</f>
        <v>0</v>
      </c>
      <c r="AD562" s="34">
        <f>IF(G562="","",IF(U562&lt;&gt;"",U562,IF(AND(IFERROR(INDEX(Services!$D$5:$D$64,MATCH(M562,Services!$B$5:$B$64,0)),"")="Per hour",IFERROR(INDEX(Properties!$X$5:$X$254,MATCH(J562,Properties!$A$5:$A$254,0)),0)&gt;0),IFERROR(INDEX(Properties!$X$5:$X$254,MATCH(J562,Properties!$A$5:$A$254,0)),0),IF(IFERROR(INDEX(Services!$G$5:$G$64,MATCH(M562,Services!$B$5:$B$64,0)),0)&gt;0,IFERROR(INDEX(Services!$G$5:$G$64,MATCH(M562,Services!$B$5:$B$64,0)),0),IFERROR(INDEX(Properties!$X$5:$X$254,MATCH(J562,Properties!$A$5:$A$254,0)),0)))))</f>
        <v>0</v>
      </c>
      <c r="AE562" s="31">
        <f>IF(G562="","",IF(T562="",CleanersPerJob,MAX(1,T562)))</f>
        <v>0</v>
      </c>
      <c r="AF562" s="34">
        <f>IF(G562="","",ROUND(AD562/AE562,2))</f>
        <v>0</v>
      </c>
      <c r="AG562" s="53">
        <f>IF(OR(G562="",F562="",AF562=""),"",F562+AF562/24)</f>
        <v>0</v>
      </c>
      <c r="AH562" s="21">
        <f>IF(G562="","",IF(IFERROR(INDEX(Clients!$O$5:$O$204,MATCH(G562,Clients!$A$5:$A$204,0)),0)&gt;0,IFERROR(INDEX(Clients!$O$5:$O$204,MATCH(G562,Clients!$A$5:$A$204,0)),0),HourlyRate))</f>
        <v>0</v>
      </c>
      <c r="AI562" s="21">
        <f>IF(G562="","",IF(AND(M562&lt;&gt;"",IFERROR(INDEX(Services!$P$5:$P$64,MATCH(M562,Services!$B$5:$B$64,0)),0)&gt;0,IFERROR(INDEX(Services!$D$5:$D$64,MATCH(M562,Services!$B$5:$B$64,0)),"")&lt;&gt;"Per hour"),IFERROR(INDEX(Services!$P$5:$P$64,MATCH(M562,Services!$B$5:$B$64,0)),0),AD562*AH562))</f>
        <v>0</v>
      </c>
      <c r="AJ562" s="21">
        <f>IF(G562="","",IF(V562&lt;&gt;"",V562,IF(P562="Cancelled",0,MAX(MinimumCharge,ROUND(AI562*IFERROR(INDEX(FreqFactors,MATCH(O562,FreqNames,0)),1),2)))))</f>
        <v>0</v>
      </c>
      <c r="AK562" s="34">
        <f>IF(G562="","",IF(SUMIFS(Timesheets!$U$5:$U$804,Timesheets!$G$5:$G$804,A562)&gt;0,SUMIFS(Timesheets!$U$5:$U$804,Timesheets!$G$5:$G$804,A562),IF(Z562="","",Z562)))</f>
        <v>0</v>
      </c>
      <c r="AL562" s="34">
        <f>IF(OR(AK562="",AD562=""),"",AK562-AD562)</f>
        <v>0</v>
      </c>
      <c r="AM562" s="31">
        <f>IF(A562="","",COUNTIFS('Job Tasks'!$B$5:$B$904,A562))</f>
        <v>0</v>
      </c>
      <c r="AN562" s="31">
        <f>IF(A562="","",COUNTIFS('Job Tasks'!$B$5:$B$904,A562,'Job Tasks'!$H$5:$H$904,"Done"))</f>
        <v>0</v>
      </c>
      <c r="AO562" s="38">
        <f>IF(OR(A562="",AM562=0),"",AN562/AM562)</f>
        <v>0</v>
      </c>
      <c r="AP562" s="43">
        <f>IF(A562="","",IFERROR(INDEX('Invoice Lines'!$B$5:$B$804,MATCH(A562,'Invoice Lines'!$C$5:$C$804,0)),""))</f>
        <v>0</v>
      </c>
      <c r="AQ562" s="18">
        <f>IF(OR(G562="",B562="",X562&lt;&gt;"Yes"),"",IF(IFERROR(INDEX(FreqDays,MATCH(O562,FreqNames,0)),0)=0,"",B562+IFERROR(INDEX(FreqDays,MATCH(O562,FreqNames,0)),0)))</f>
        <v>0</v>
      </c>
      <c r="AR562" s="39">
        <f>IF(G562="","",IF(R562="","Unassigned",IF(COUNTIFS($R$5:$R$604,R562,$B$5:$B$604,B562,$F$5:$F$604,F562)&gt;1,"Clash",IF(SUMIFS($AF$5:$AF$604,$R$5:$R$604,R562,$B$5:$B$604,B562)&gt;ProductiveHours,"Long day","OK"))))</f>
        <v>0</v>
      </c>
      <c r="AS562" s="18">
        <f>IF(OR(G562="",B562=""),"",IF(AND(B562&gt;=TodayDate,P562&lt;&gt;"Cancelled"),B562,""))</f>
        <v>0</v>
      </c>
      <c r="AT562" s="31">
        <f>IF(AS562="","",COUNTIFS($AS$5:$AS$604,"&lt;"&amp;AS562)+COUNTIFS($AS$5:AS562,AS562))</f>
        <v>0</v>
      </c>
      <c r="AU562" s="18">
        <f>IF(OR(G562="",B562="",R562&lt;&gt;""),"",IF(AND(B562&gt;=TodayDate,P562&lt;&gt;"Cancelled"),B562,""))</f>
        <v>0</v>
      </c>
      <c r="AV562" s="31">
        <f>IF(AU562="","",COUNTIFS($AU$5:$AU$604,"&lt;"&amp;AU562)+COUNTIFS($AU$5:AU562,AU562))</f>
        <v>0</v>
      </c>
      <c r="AW562" s="31">
        <f>IF(OR(G562="",B562=""),"",B562-TodayDate)</f>
        <v>0</v>
      </c>
      <c r="AX562" s="39">
        <f>IF(G562="","",IF(P562="Cancelled","Cancelled",IF(P562="No access","Action - no access, rebook",IF(AND(B562&lt;&gt;"",AW562&lt;0,OR(P562="Booked",P562="Confirmed",P562="In progress")),"Late - mark it completed",IF(AND(P562="Completed",AP562=""),"Action - not invoiced yet",IF(AND(AW562&gt;=0,AW562&lt;=ReminderDays,Y562&lt;&gt;"Yes"),"Confirm - visit coming up",IF(R562="","Assign - no cleaner booked",IF(AND(P562="Completed",AO562&lt;&gt;"",AO562&lt;1),"Check - checklist unfinished","OK"))))))))</f>
        <v>0</v>
      </c>
    </row>
    <row r="563" spans="1:50">
      <c r="A563" s="43">
        <f>IF(G563="","",JobPrefix&amp;TEXT(ROW()-4,"0000"))</f>
        <v>0</v>
      </c>
      <c r="C563" s="23">
        <f>IF(B563="","",TEXT(B563,"ddd"))</f>
        <v>0</v>
      </c>
      <c r="D563" s="31">
        <f>IF(B563="","",WEEKNUM(B563,IF(WeekStart="Sunday",1,2)))</f>
        <v>0</v>
      </c>
      <c r="E563" s="23">
        <f>IF(B563="","",TEXT(B563,"yyyy-mm"))</f>
        <v>0</v>
      </c>
      <c r="H563" s="23">
        <f>IF(G563="","",IFERROR(INDEX(Clients!$B$5:$B$204,MATCH(G563,Clients!$A$5:$A$204,0)),"Not found"))</f>
        <v>0</v>
      </c>
      <c r="I563" s="23">
        <f>IF(G563="","",IFERROR(INDEX(Clients!$C$5:$C$204,MATCH(G563,Clients!$A$5:$A$204,0)),""))</f>
        <v>0</v>
      </c>
      <c r="K563" s="23">
        <f>IF(J563="","",IFERROR(INDEX(Properties!$B$5:$B$254,MATCH(J563,Properties!$A$5:$A$254,0)),""))</f>
        <v>0</v>
      </c>
      <c r="L563" s="23">
        <f>IF(J563="","",IFERROR(INDEX(Properties!$F$5:$F$254,MATCH(J563,Properties!$A$5:$A$254,0)),""))</f>
        <v>0</v>
      </c>
      <c r="AD563" s="34">
        <f>IF(G563="","",IF(U563&lt;&gt;"",U563,IF(AND(IFERROR(INDEX(Services!$D$5:$D$64,MATCH(M563,Services!$B$5:$B$64,0)),"")="Per hour",IFERROR(INDEX(Properties!$X$5:$X$254,MATCH(J563,Properties!$A$5:$A$254,0)),0)&gt;0),IFERROR(INDEX(Properties!$X$5:$X$254,MATCH(J563,Properties!$A$5:$A$254,0)),0),IF(IFERROR(INDEX(Services!$G$5:$G$64,MATCH(M563,Services!$B$5:$B$64,0)),0)&gt;0,IFERROR(INDEX(Services!$G$5:$G$64,MATCH(M563,Services!$B$5:$B$64,0)),0),IFERROR(INDEX(Properties!$X$5:$X$254,MATCH(J563,Properties!$A$5:$A$254,0)),0)))))</f>
        <v>0</v>
      </c>
      <c r="AE563" s="31">
        <f>IF(G563="","",IF(T563="",CleanersPerJob,MAX(1,T563)))</f>
        <v>0</v>
      </c>
      <c r="AF563" s="34">
        <f>IF(G563="","",ROUND(AD563/AE563,2))</f>
        <v>0</v>
      </c>
      <c r="AG563" s="53">
        <f>IF(OR(G563="",F563="",AF563=""),"",F563+AF563/24)</f>
        <v>0</v>
      </c>
      <c r="AH563" s="21">
        <f>IF(G563="","",IF(IFERROR(INDEX(Clients!$O$5:$O$204,MATCH(G563,Clients!$A$5:$A$204,0)),0)&gt;0,IFERROR(INDEX(Clients!$O$5:$O$204,MATCH(G563,Clients!$A$5:$A$204,0)),0),HourlyRate))</f>
        <v>0</v>
      </c>
      <c r="AI563" s="21">
        <f>IF(G563="","",IF(AND(M563&lt;&gt;"",IFERROR(INDEX(Services!$P$5:$P$64,MATCH(M563,Services!$B$5:$B$64,0)),0)&gt;0,IFERROR(INDEX(Services!$D$5:$D$64,MATCH(M563,Services!$B$5:$B$64,0)),"")&lt;&gt;"Per hour"),IFERROR(INDEX(Services!$P$5:$P$64,MATCH(M563,Services!$B$5:$B$64,0)),0),AD563*AH563))</f>
        <v>0</v>
      </c>
      <c r="AJ563" s="21">
        <f>IF(G563="","",IF(V563&lt;&gt;"",V563,IF(P563="Cancelled",0,MAX(MinimumCharge,ROUND(AI563*IFERROR(INDEX(FreqFactors,MATCH(O563,FreqNames,0)),1),2)))))</f>
        <v>0</v>
      </c>
      <c r="AK563" s="34">
        <f>IF(G563="","",IF(SUMIFS(Timesheets!$U$5:$U$804,Timesheets!$G$5:$G$804,A563)&gt;0,SUMIFS(Timesheets!$U$5:$U$804,Timesheets!$G$5:$G$804,A563),IF(Z563="","",Z563)))</f>
        <v>0</v>
      </c>
      <c r="AL563" s="34">
        <f>IF(OR(AK563="",AD563=""),"",AK563-AD563)</f>
        <v>0</v>
      </c>
      <c r="AM563" s="31">
        <f>IF(A563="","",COUNTIFS('Job Tasks'!$B$5:$B$904,A563))</f>
        <v>0</v>
      </c>
      <c r="AN563" s="31">
        <f>IF(A563="","",COUNTIFS('Job Tasks'!$B$5:$B$904,A563,'Job Tasks'!$H$5:$H$904,"Done"))</f>
        <v>0</v>
      </c>
      <c r="AO563" s="38">
        <f>IF(OR(A563="",AM563=0),"",AN563/AM563)</f>
        <v>0</v>
      </c>
      <c r="AP563" s="43">
        <f>IF(A563="","",IFERROR(INDEX('Invoice Lines'!$B$5:$B$804,MATCH(A563,'Invoice Lines'!$C$5:$C$804,0)),""))</f>
        <v>0</v>
      </c>
      <c r="AQ563" s="18">
        <f>IF(OR(G563="",B563="",X563&lt;&gt;"Yes"),"",IF(IFERROR(INDEX(FreqDays,MATCH(O563,FreqNames,0)),0)=0,"",B563+IFERROR(INDEX(FreqDays,MATCH(O563,FreqNames,0)),0)))</f>
        <v>0</v>
      </c>
      <c r="AR563" s="39">
        <f>IF(G563="","",IF(R563="","Unassigned",IF(COUNTIFS($R$5:$R$604,R563,$B$5:$B$604,B563,$F$5:$F$604,F563)&gt;1,"Clash",IF(SUMIFS($AF$5:$AF$604,$R$5:$R$604,R563,$B$5:$B$604,B563)&gt;ProductiveHours,"Long day","OK"))))</f>
        <v>0</v>
      </c>
      <c r="AS563" s="18">
        <f>IF(OR(G563="",B563=""),"",IF(AND(B563&gt;=TodayDate,P563&lt;&gt;"Cancelled"),B563,""))</f>
        <v>0</v>
      </c>
      <c r="AT563" s="31">
        <f>IF(AS563="","",COUNTIFS($AS$5:$AS$604,"&lt;"&amp;AS563)+COUNTIFS($AS$5:AS563,AS563))</f>
        <v>0</v>
      </c>
      <c r="AU563" s="18">
        <f>IF(OR(G563="",B563="",R563&lt;&gt;""),"",IF(AND(B563&gt;=TodayDate,P563&lt;&gt;"Cancelled"),B563,""))</f>
        <v>0</v>
      </c>
      <c r="AV563" s="31">
        <f>IF(AU563="","",COUNTIFS($AU$5:$AU$604,"&lt;"&amp;AU563)+COUNTIFS($AU$5:AU563,AU563))</f>
        <v>0</v>
      </c>
      <c r="AW563" s="31">
        <f>IF(OR(G563="",B563=""),"",B563-TodayDate)</f>
        <v>0</v>
      </c>
      <c r="AX563" s="39">
        <f>IF(G563="","",IF(P563="Cancelled","Cancelled",IF(P563="No access","Action - no access, rebook",IF(AND(B563&lt;&gt;"",AW563&lt;0,OR(P563="Booked",P563="Confirmed",P563="In progress")),"Late - mark it completed",IF(AND(P563="Completed",AP563=""),"Action - not invoiced yet",IF(AND(AW563&gt;=0,AW563&lt;=ReminderDays,Y563&lt;&gt;"Yes"),"Confirm - visit coming up",IF(R563="","Assign - no cleaner booked",IF(AND(P563="Completed",AO563&lt;&gt;"",AO563&lt;1),"Check - checklist unfinished","OK"))))))))</f>
        <v>0</v>
      </c>
    </row>
    <row r="564" spans="1:50">
      <c r="A564" s="43">
        <f>IF(G564="","",JobPrefix&amp;TEXT(ROW()-4,"0000"))</f>
        <v>0</v>
      </c>
      <c r="C564" s="23">
        <f>IF(B564="","",TEXT(B564,"ddd"))</f>
        <v>0</v>
      </c>
      <c r="D564" s="31">
        <f>IF(B564="","",WEEKNUM(B564,IF(WeekStart="Sunday",1,2)))</f>
        <v>0</v>
      </c>
      <c r="E564" s="23">
        <f>IF(B564="","",TEXT(B564,"yyyy-mm"))</f>
        <v>0</v>
      </c>
      <c r="H564" s="23">
        <f>IF(G564="","",IFERROR(INDEX(Clients!$B$5:$B$204,MATCH(G564,Clients!$A$5:$A$204,0)),"Not found"))</f>
        <v>0</v>
      </c>
      <c r="I564" s="23">
        <f>IF(G564="","",IFERROR(INDEX(Clients!$C$5:$C$204,MATCH(G564,Clients!$A$5:$A$204,0)),""))</f>
        <v>0</v>
      </c>
      <c r="K564" s="23">
        <f>IF(J564="","",IFERROR(INDEX(Properties!$B$5:$B$254,MATCH(J564,Properties!$A$5:$A$254,0)),""))</f>
        <v>0</v>
      </c>
      <c r="L564" s="23">
        <f>IF(J564="","",IFERROR(INDEX(Properties!$F$5:$F$254,MATCH(J564,Properties!$A$5:$A$254,0)),""))</f>
        <v>0</v>
      </c>
      <c r="AD564" s="34">
        <f>IF(G564="","",IF(U564&lt;&gt;"",U564,IF(AND(IFERROR(INDEX(Services!$D$5:$D$64,MATCH(M564,Services!$B$5:$B$64,0)),"")="Per hour",IFERROR(INDEX(Properties!$X$5:$X$254,MATCH(J564,Properties!$A$5:$A$254,0)),0)&gt;0),IFERROR(INDEX(Properties!$X$5:$X$254,MATCH(J564,Properties!$A$5:$A$254,0)),0),IF(IFERROR(INDEX(Services!$G$5:$G$64,MATCH(M564,Services!$B$5:$B$64,0)),0)&gt;0,IFERROR(INDEX(Services!$G$5:$G$64,MATCH(M564,Services!$B$5:$B$64,0)),0),IFERROR(INDEX(Properties!$X$5:$X$254,MATCH(J564,Properties!$A$5:$A$254,0)),0)))))</f>
        <v>0</v>
      </c>
      <c r="AE564" s="31">
        <f>IF(G564="","",IF(T564="",CleanersPerJob,MAX(1,T564)))</f>
        <v>0</v>
      </c>
      <c r="AF564" s="34">
        <f>IF(G564="","",ROUND(AD564/AE564,2))</f>
        <v>0</v>
      </c>
      <c r="AG564" s="53">
        <f>IF(OR(G564="",F564="",AF564=""),"",F564+AF564/24)</f>
        <v>0</v>
      </c>
      <c r="AH564" s="21">
        <f>IF(G564="","",IF(IFERROR(INDEX(Clients!$O$5:$O$204,MATCH(G564,Clients!$A$5:$A$204,0)),0)&gt;0,IFERROR(INDEX(Clients!$O$5:$O$204,MATCH(G564,Clients!$A$5:$A$204,0)),0),HourlyRate))</f>
        <v>0</v>
      </c>
      <c r="AI564" s="21">
        <f>IF(G564="","",IF(AND(M564&lt;&gt;"",IFERROR(INDEX(Services!$P$5:$P$64,MATCH(M564,Services!$B$5:$B$64,0)),0)&gt;0,IFERROR(INDEX(Services!$D$5:$D$64,MATCH(M564,Services!$B$5:$B$64,0)),"")&lt;&gt;"Per hour"),IFERROR(INDEX(Services!$P$5:$P$64,MATCH(M564,Services!$B$5:$B$64,0)),0),AD564*AH564))</f>
        <v>0</v>
      </c>
      <c r="AJ564" s="21">
        <f>IF(G564="","",IF(V564&lt;&gt;"",V564,IF(P564="Cancelled",0,MAX(MinimumCharge,ROUND(AI564*IFERROR(INDEX(FreqFactors,MATCH(O564,FreqNames,0)),1),2)))))</f>
        <v>0</v>
      </c>
      <c r="AK564" s="34">
        <f>IF(G564="","",IF(SUMIFS(Timesheets!$U$5:$U$804,Timesheets!$G$5:$G$804,A564)&gt;0,SUMIFS(Timesheets!$U$5:$U$804,Timesheets!$G$5:$G$804,A564),IF(Z564="","",Z564)))</f>
        <v>0</v>
      </c>
      <c r="AL564" s="34">
        <f>IF(OR(AK564="",AD564=""),"",AK564-AD564)</f>
        <v>0</v>
      </c>
      <c r="AM564" s="31">
        <f>IF(A564="","",COUNTIFS('Job Tasks'!$B$5:$B$904,A564))</f>
        <v>0</v>
      </c>
      <c r="AN564" s="31">
        <f>IF(A564="","",COUNTIFS('Job Tasks'!$B$5:$B$904,A564,'Job Tasks'!$H$5:$H$904,"Done"))</f>
        <v>0</v>
      </c>
      <c r="AO564" s="38">
        <f>IF(OR(A564="",AM564=0),"",AN564/AM564)</f>
        <v>0</v>
      </c>
      <c r="AP564" s="43">
        <f>IF(A564="","",IFERROR(INDEX('Invoice Lines'!$B$5:$B$804,MATCH(A564,'Invoice Lines'!$C$5:$C$804,0)),""))</f>
        <v>0</v>
      </c>
      <c r="AQ564" s="18">
        <f>IF(OR(G564="",B564="",X564&lt;&gt;"Yes"),"",IF(IFERROR(INDEX(FreqDays,MATCH(O564,FreqNames,0)),0)=0,"",B564+IFERROR(INDEX(FreqDays,MATCH(O564,FreqNames,0)),0)))</f>
        <v>0</v>
      </c>
      <c r="AR564" s="39">
        <f>IF(G564="","",IF(R564="","Unassigned",IF(COUNTIFS($R$5:$R$604,R564,$B$5:$B$604,B564,$F$5:$F$604,F564)&gt;1,"Clash",IF(SUMIFS($AF$5:$AF$604,$R$5:$R$604,R564,$B$5:$B$604,B564)&gt;ProductiveHours,"Long day","OK"))))</f>
        <v>0</v>
      </c>
      <c r="AS564" s="18">
        <f>IF(OR(G564="",B564=""),"",IF(AND(B564&gt;=TodayDate,P564&lt;&gt;"Cancelled"),B564,""))</f>
        <v>0</v>
      </c>
      <c r="AT564" s="31">
        <f>IF(AS564="","",COUNTIFS($AS$5:$AS$604,"&lt;"&amp;AS564)+COUNTIFS($AS$5:AS564,AS564))</f>
        <v>0</v>
      </c>
      <c r="AU564" s="18">
        <f>IF(OR(G564="",B564="",R564&lt;&gt;""),"",IF(AND(B564&gt;=TodayDate,P564&lt;&gt;"Cancelled"),B564,""))</f>
        <v>0</v>
      </c>
      <c r="AV564" s="31">
        <f>IF(AU564="","",COUNTIFS($AU$5:$AU$604,"&lt;"&amp;AU564)+COUNTIFS($AU$5:AU564,AU564))</f>
        <v>0</v>
      </c>
      <c r="AW564" s="31">
        <f>IF(OR(G564="",B564=""),"",B564-TodayDate)</f>
        <v>0</v>
      </c>
      <c r="AX564" s="39">
        <f>IF(G564="","",IF(P564="Cancelled","Cancelled",IF(P564="No access","Action - no access, rebook",IF(AND(B564&lt;&gt;"",AW564&lt;0,OR(P564="Booked",P564="Confirmed",P564="In progress")),"Late - mark it completed",IF(AND(P564="Completed",AP564=""),"Action - not invoiced yet",IF(AND(AW564&gt;=0,AW564&lt;=ReminderDays,Y564&lt;&gt;"Yes"),"Confirm - visit coming up",IF(R564="","Assign - no cleaner booked",IF(AND(P564="Completed",AO564&lt;&gt;"",AO564&lt;1),"Check - checklist unfinished","OK"))))))))</f>
        <v>0</v>
      </c>
    </row>
    <row r="565" spans="1:50">
      <c r="A565" s="43">
        <f>IF(G565="","",JobPrefix&amp;TEXT(ROW()-4,"0000"))</f>
        <v>0</v>
      </c>
      <c r="C565" s="23">
        <f>IF(B565="","",TEXT(B565,"ddd"))</f>
        <v>0</v>
      </c>
      <c r="D565" s="31">
        <f>IF(B565="","",WEEKNUM(B565,IF(WeekStart="Sunday",1,2)))</f>
        <v>0</v>
      </c>
      <c r="E565" s="23">
        <f>IF(B565="","",TEXT(B565,"yyyy-mm"))</f>
        <v>0</v>
      </c>
      <c r="H565" s="23">
        <f>IF(G565="","",IFERROR(INDEX(Clients!$B$5:$B$204,MATCH(G565,Clients!$A$5:$A$204,0)),"Not found"))</f>
        <v>0</v>
      </c>
      <c r="I565" s="23">
        <f>IF(G565="","",IFERROR(INDEX(Clients!$C$5:$C$204,MATCH(G565,Clients!$A$5:$A$204,0)),""))</f>
        <v>0</v>
      </c>
      <c r="K565" s="23">
        <f>IF(J565="","",IFERROR(INDEX(Properties!$B$5:$B$254,MATCH(J565,Properties!$A$5:$A$254,0)),""))</f>
        <v>0</v>
      </c>
      <c r="L565" s="23">
        <f>IF(J565="","",IFERROR(INDEX(Properties!$F$5:$F$254,MATCH(J565,Properties!$A$5:$A$254,0)),""))</f>
        <v>0</v>
      </c>
      <c r="AD565" s="34">
        <f>IF(G565="","",IF(U565&lt;&gt;"",U565,IF(AND(IFERROR(INDEX(Services!$D$5:$D$64,MATCH(M565,Services!$B$5:$B$64,0)),"")="Per hour",IFERROR(INDEX(Properties!$X$5:$X$254,MATCH(J565,Properties!$A$5:$A$254,0)),0)&gt;0),IFERROR(INDEX(Properties!$X$5:$X$254,MATCH(J565,Properties!$A$5:$A$254,0)),0),IF(IFERROR(INDEX(Services!$G$5:$G$64,MATCH(M565,Services!$B$5:$B$64,0)),0)&gt;0,IFERROR(INDEX(Services!$G$5:$G$64,MATCH(M565,Services!$B$5:$B$64,0)),0),IFERROR(INDEX(Properties!$X$5:$X$254,MATCH(J565,Properties!$A$5:$A$254,0)),0)))))</f>
        <v>0</v>
      </c>
      <c r="AE565" s="31">
        <f>IF(G565="","",IF(T565="",CleanersPerJob,MAX(1,T565)))</f>
        <v>0</v>
      </c>
      <c r="AF565" s="34">
        <f>IF(G565="","",ROUND(AD565/AE565,2))</f>
        <v>0</v>
      </c>
      <c r="AG565" s="53">
        <f>IF(OR(G565="",F565="",AF565=""),"",F565+AF565/24)</f>
        <v>0</v>
      </c>
      <c r="AH565" s="21">
        <f>IF(G565="","",IF(IFERROR(INDEX(Clients!$O$5:$O$204,MATCH(G565,Clients!$A$5:$A$204,0)),0)&gt;0,IFERROR(INDEX(Clients!$O$5:$O$204,MATCH(G565,Clients!$A$5:$A$204,0)),0),HourlyRate))</f>
        <v>0</v>
      </c>
      <c r="AI565" s="21">
        <f>IF(G565="","",IF(AND(M565&lt;&gt;"",IFERROR(INDEX(Services!$P$5:$P$64,MATCH(M565,Services!$B$5:$B$64,0)),0)&gt;0,IFERROR(INDEX(Services!$D$5:$D$64,MATCH(M565,Services!$B$5:$B$64,0)),"")&lt;&gt;"Per hour"),IFERROR(INDEX(Services!$P$5:$P$64,MATCH(M565,Services!$B$5:$B$64,0)),0),AD565*AH565))</f>
        <v>0</v>
      </c>
      <c r="AJ565" s="21">
        <f>IF(G565="","",IF(V565&lt;&gt;"",V565,IF(P565="Cancelled",0,MAX(MinimumCharge,ROUND(AI565*IFERROR(INDEX(FreqFactors,MATCH(O565,FreqNames,0)),1),2)))))</f>
        <v>0</v>
      </c>
      <c r="AK565" s="34">
        <f>IF(G565="","",IF(SUMIFS(Timesheets!$U$5:$U$804,Timesheets!$G$5:$G$804,A565)&gt;0,SUMIFS(Timesheets!$U$5:$U$804,Timesheets!$G$5:$G$804,A565),IF(Z565="","",Z565)))</f>
        <v>0</v>
      </c>
      <c r="AL565" s="34">
        <f>IF(OR(AK565="",AD565=""),"",AK565-AD565)</f>
        <v>0</v>
      </c>
      <c r="AM565" s="31">
        <f>IF(A565="","",COUNTIFS('Job Tasks'!$B$5:$B$904,A565))</f>
        <v>0</v>
      </c>
      <c r="AN565" s="31">
        <f>IF(A565="","",COUNTIFS('Job Tasks'!$B$5:$B$904,A565,'Job Tasks'!$H$5:$H$904,"Done"))</f>
        <v>0</v>
      </c>
      <c r="AO565" s="38">
        <f>IF(OR(A565="",AM565=0),"",AN565/AM565)</f>
        <v>0</v>
      </c>
      <c r="AP565" s="43">
        <f>IF(A565="","",IFERROR(INDEX('Invoice Lines'!$B$5:$B$804,MATCH(A565,'Invoice Lines'!$C$5:$C$804,0)),""))</f>
        <v>0</v>
      </c>
      <c r="AQ565" s="18">
        <f>IF(OR(G565="",B565="",X565&lt;&gt;"Yes"),"",IF(IFERROR(INDEX(FreqDays,MATCH(O565,FreqNames,0)),0)=0,"",B565+IFERROR(INDEX(FreqDays,MATCH(O565,FreqNames,0)),0)))</f>
        <v>0</v>
      </c>
      <c r="AR565" s="39">
        <f>IF(G565="","",IF(R565="","Unassigned",IF(COUNTIFS($R$5:$R$604,R565,$B$5:$B$604,B565,$F$5:$F$604,F565)&gt;1,"Clash",IF(SUMIFS($AF$5:$AF$604,$R$5:$R$604,R565,$B$5:$B$604,B565)&gt;ProductiveHours,"Long day","OK"))))</f>
        <v>0</v>
      </c>
      <c r="AS565" s="18">
        <f>IF(OR(G565="",B565=""),"",IF(AND(B565&gt;=TodayDate,P565&lt;&gt;"Cancelled"),B565,""))</f>
        <v>0</v>
      </c>
      <c r="AT565" s="31">
        <f>IF(AS565="","",COUNTIFS($AS$5:$AS$604,"&lt;"&amp;AS565)+COUNTIFS($AS$5:AS565,AS565))</f>
        <v>0</v>
      </c>
      <c r="AU565" s="18">
        <f>IF(OR(G565="",B565="",R565&lt;&gt;""),"",IF(AND(B565&gt;=TodayDate,P565&lt;&gt;"Cancelled"),B565,""))</f>
        <v>0</v>
      </c>
      <c r="AV565" s="31">
        <f>IF(AU565="","",COUNTIFS($AU$5:$AU$604,"&lt;"&amp;AU565)+COUNTIFS($AU$5:AU565,AU565))</f>
        <v>0</v>
      </c>
      <c r="AW565" s="31">
        <f>IF(OR(G565="",B565=""),"",B565-TodayDate)</f>
        <v>0</v>
      </c>
      <c r="AX565" s="39">
        <f>IF(G565="","",IF(P565="Cancelled","Cancelled",IF(P565="No access","Action - no access, rebook",IF(AND(B565&lt;&gt;"",AW565&lt;0,OR(P565="Booked",P565="Confirmed",P565="In progress")),"Late - mark it completed",IF(AND(P565="Completed",AP565=""),"Action - not invoiced yet",IF(AND(AW565&gt;=0,AW565&lt;=ReminderDays,Y565&lt;&gt;"Yes"),"Confirm - visit coming up",IF(R565="","Assign - no cleaner booked",IF(AND(P565="Completed",AO565&lt;&gt;"",AO565&lt;1),"Check - checklist unfinished","OK"))))))))</f>
        <v>0</v>
      </c>
    </row>
    <row r="566" spans="1:50">
      <c r="A566" s="43">
        <f>IF(G566="","",JobPrefix&amp;TEXT(ROW()-4,"0000"))</f>
        <v>0</v>
      </c>
      <c r="C566" s="23">
        <f>IF(B566="","",TEXT(B566,"ddd"))</f>
        <v>0</v>
      </c>
      <c r="D566" s="31">
        <f>IF(B566="","",WEEKNUM(B566,IF(WeekStart="Sunday",1,2)))</f>
        <v>0</v>
      </c>
      <c r="E566" s="23">
        <f>IF(B566="","",TEXT(B566,"yyyy-mm"))</f>
        <v>0</v>
      </c>
      <c r="H566" s="23">
        <f>IF(G566="","",IFERROR(INDEX(Clients!$B$5:$B$204,MATCH(G566,Clients!$A$5:$A$204,0)),"Not found"))</f>
        <v>0</v>
      </c>
      <c r="I566" s="23">
        <f>IF(G566="","",IFERROR(INDEX(Clients!$C$5:$C$204,MATCH(G566,Clients!$A$5:$A$204,0)),""))</f>
        <v>0</v>
      </c>
      <c r="K566" s="23">
        <f>IF(J566="","",IFERROR(INDEX(Properties!$B$5:$B$254,MATCH(J566,Properties!$A$5:$A$254,0)),""))</f>
        <v>0</v>
      </c>
      <c r="L566" s="23">
        <f>IF(J566="","",IFERROR(INDEX(Properties!$F$5:$F$254,MATCH(J566,Properties!$A$5:$A$254,0)),""))</f>
        <v>0</v>
      </c>
      <c r="AD566" s="34">
        <f>IF(G566="","",IF(U566&lt;&gt;"",U566,IF(AND(IFERROR(INDEX(Services!$D$5:$D$64,MATCH(M566,Services!$B$5:$B$64,0)),"")="Per hour",IFERROR(INDEX(Properties!$X$5:$X$254,MATCH(J566,Properties!$A$5:$A$254,0)),0)&gt;0),IFERROR(INDEX(Properties!$X$5:$X$254,MATCH(J566,Properties!$A$5:$A$254,0)),0),IF(IFERROR(INDEX(Services!$G$5:$G$64,MATCH(M566,Services!$B$5:$B$64,0)),0)&gt;0,IFERROR(INDEX(Services!$G$5:$G$64,MATCH(M566,Services!$B$5:$B$64,0)),0),IFERROR(INDEX(Properties!$X$5:$X$254,MATCH(J566,Properties!$A$5:$A$254,0)),0)))))</f>
        <v>0</v>
      </c>
      <c r="AE566" s="31">
        <f>IF(G566="","",IF(T566="",CleanersPerJob,MAX(1,T566)))</f>
        <v>0</v>
      </c>
      <c r="AF566" s="34">
        <f>IF(G566="","",ROUND(AD566/AE566,2))</f>
        <v>0</v>
      </c>
      <c r="AG566" s="53">
        <f>IF(OR(G566="",F566="",AF566=""),"",F566+AF566/24)</f>
        <v>0</v>
      </c>
      <c r="AH566" s="21">
        <f>IF(G566="","",IF(IFERROR(INDEX(Clients!$O$5:$O$204,MATCH(G566,Clients!$A$5:$A$204,0)),0)&gt;0,IFERROR(INDEX(Clients!$O$5:$O$204,MATCH(G566,Clients!$A$5:$A$204,0)),0),HourlyRate))</f>
        <v>0</v>
      </c>
      <c r="AI566" s="21">
        <f>IF(G566="","",IF(AND(M566&lt;&gt;"",IFERROR(INDEX(Services!$P$5:$P$64,MATCH(M566,Services!$B$5:$B$64,0)),0)&gt;0,IFERROR(INDEX(Services!$D$5:$D$64,MATCH(M566,Services!$B$5:$B$64,0)),"")&lt;&gt;"Per hour"),IFERROR(INDEX(Services!$P$5:$P$64,MATCH(M566,Services!$B$5:$B$64,0)),0),AD566*AH566))</f>
        <v>0</v>
      </c>
      <c r="AJ566" s="21">
        <f>IF(G566="","",IF(V566&lt;&gt;"",V566,IF(P566="Cancelled",0,MAX(MinimumCharge,ROUND(AI566*IFERROR(INDEX(FreqFactors,MATCH(O566,FreqNames,0)),1),2)))))</f>
        <v>0</v>
      </c>
      <c r="AK566" s="34">
        <f>IF(G566="","",IF(SUMIFS(Timesheets!$U$5:$U$804,Timesheets!$G$5:$G$804,A566)&gt;0,SUMIFS(Timesheets!$U$5:$U$804,Timesheets!$G$5:$G$804,A566),IF(Z566="","",Z566)))</f>
        <v>0</v>
      </c>
      <c r="AL566" s="34">
        <f>IF(OR(AK566="",AD566=""),"",AK566-AD566)</f>
        <v>0</v>
      </c>
      <c r="AM566" s="31">
        <f>IF(A566="","",COUNTIFS('Job Tasks'!$B$5:$B$904,A566))</f>
        <v>0</v>
      </c>
      <c r="AN566" s="31">
        <f>IF(A566="","",COUNTIFS('Job Tasks'!$B$5:$B$904,A566,'Job Tasks'!$H$5:$H$904,"Done"))</f>
        <v>0</v>
      </c>
      <c r="AO566" s="38">
        <f>IF(OR(A566="",AM566=0),"",AN566/AM566)</f>
        <v>0</v>
      </c>
      <c r="AP566" s="43">
        <f>IF(A566="","",IFERROR(INDEX('Invoice Lines'!$B$5:$B$804,MATCH(A566,'Invoice Lines'!$C$5:$C$804,0)),""))</f>
        <v>0</v>
      </c>
      <c r="AQ566" s="18">
        <f>IF(OR(G566="",B566="",X566&lt;&gt;"Yes"),"",IF(IFERROR(INDEX(FreqDays,MATCH(O566,FreqNames,0)),0)=0,"",B566+IFERROR(INDEX(FreqDays,MATCH(O566,FreqNames,0)),0)))</f>
        <v>0</v>
      </c>
      <c r="AR566" s="39">
        <f>IF(G566="","",IF(R566="","Unassigned",IF(COUNTIFS($R$5:$R$604,R566,$B$5:$B$604,B566,$F$5:$F$604,F566)&gt;1,"Clash",IF(SUMIFS($AF$5:$AF$604,$R$5:$R$604,R566,$B$5:$B$604,B566)&gt;ProductiveHours,"Long day","OK"))))</f>
        <v>0</v>
      </c>
      <c r="AS566" s="18">
        <f>IF(OR(G566="",B566=""),"",IF(AND(B566&gt;=TodayDate,P566&lt;&gt;"Cancelled"),B566,""))</f>
        <v>0</v>
      </c>
      <c r="AT566" s="31">
        <f>IF(AS566="","",COUNTIFS($AS$5:$AS$604,"&lt;"&amp;AS566)+COUNTIFS($AS$5:AS566,AS566))</f>
        <v>0</v>
      </c>
      <c r="AU566" s="18">
        <f>IF(OR(G566="",B566="",R566&lt;&gt;""),"",IF(AND(B566&gt;=TodayDate,P566&lt;&gt;"Cancelled"),B566,""))</f>
        <v>0</v>
      </c>
      <c r="AV566" s="31">
        <f>IF(AU566="","",COUNTIFS($AU$5:$AU$604,"&lt;"&amp;AU566)+COUNTIFS($AU$5:AU566,AU566))</f>
        <v>0</v>
      </c>
      <c r="AW566" s="31">
        <f>IF(OR(G566="",B566=""),"",B566-TodayDate)</f>
        <v>0</v>
      </c>
      <c r="AX566" s="39">
        <f>IF(G566="","",IF(P566="Cancelled","Cancelled",IF(P566="No access","Action - no access, rebook",IF(AND(B566&lt;&gt;"",AW566&lt;0,OR(P566="Booked",P566="Confirmed",P566="In progress")),"Late - mark it completed",IF(AND(P566="Completed",AP566=""),"Action - not invoiced yet",IF(AND(AW566&gt;=0,AW566&lt;=ReminderDays,Y566&lt;&gt;"Yes"),"Confirm - visit coming up",IF(R566="","Assign - no cleaner booked",IF(AND(P566="Completed",AO566&lt;&gt;"",AO566&lt;1),"Check - checklist unfinished","OK"))))))))</f>
        <v>0</v>
      </c>
    </row>
    <row r="567" spans="1:50">
      <c r="A567" s="43">
        <f>IF(G567="","",JobPrefix&amp;TEXT(ROW()-4,"0000"))</f>
        <v>0</v>
      </c>
      <c r="C567" s="23">
        <f>IF(B567="","",TEXT(B567,"ddd"))</f>
        <v>0</v>
      </c>
      <c r="D567" s="31">
        <f>IF(B567="","",WEEKNUM(B567,IF(WeekStart="Sunday",1,2)))</f>
        <v>0</v>
      </c>
      <c r="E567" s="23">
        <f>IF(B567="","",TEXT(B567,"yyyy-mm"))</f>
        <v>0</v>
      </c>
      <c r="H567" s="23">
        <f>IF(G567="","",IFERROR(INDEX(Clients!$B$5:$B$204,MATCH(G567,Clients!$A$5:$A$204,0)),"Not found"))</f>
        <v>0</v>
      </c>
      <c r="I567" s="23">
        <f>IF(G567="","",IFERROR(INDEX(Clients!$C$5:$C$204,MATCH(G567,Clients!$A$5:$A$204,0)),""))</f>
        <v>0</v>
      </c>
      <c r="K567" s="23">
        <f>IF(J567="","",IFERROR(INDEX(Properties!$B$5:$B$254,MATCH(J567,Properties!$A$5:$A$254,0)),""))</f>
        <v>0</v>
      </c>
      <c r="L567" s="23">
        <f>IF(J567="","",IFERROR(INDEX(Properties!$F$5:$F$254,MATCH(J567,Properties!$A$5:$A$254,0)),""))</f>
        <v>0</v>
      </c>
      <c r="AD567" s="34">
        <f>IF(G567="","",IF(U567&lt;&gt;"",U567,IF(AND(IFERROR(INDEX(Services!$D$5:$D$64,MATCH(M567,Services!$B$5:$B$64,0)),"")="Per hour",IFERROR(INDEX(Properties!$X$5:$X$254,MATCH(J567,Properties!$A$5:$A$254,0)),0)&gt;0),IFERROR(INDEX(Properties!$X$5:$X$254,MATCH(J567,Properties!$A$5:$A$254,0)),0),IF(IFERROR(INDEX(Services!$G$5:$G$64,MATCH(M567,Services!$B$5:$B$64,0)),0)&gt;0,IFERROR(INDEX(Services!$G$5:$G$64,MATCH(M567,Services!$B$5:$B$64,0)),0),IFERROR(INDEX(Properties!$X$5:$X$254,MATCH(J567,Properties!$A$5:$A$254,0)),0)))))</f>
        <v>0</v>
      </c>
      <c r="AE567" s="31">
        <f>IF(G567="","",IF(T567="",CleanersPerJob,MAX(1,T567)))</f>
        <v>0</v>
      </c>
      <c r="AF567" s="34">
        <f>IF(G567="","",ROUND(AD567/AE567,2))</f>
        <v>0</v>
      </c>
      <c r="AG567" s="53">
        <f>IF(OR(G567="",F567="",AF567=""),"",F567+AF567/24)</f>
        <v>0</v>
      </c>
      <c r="AH567" s="21">
        <f>IF(G567="","",IF(IFERROR(INDEX(Clients!$O$5:$O$204,MATCH(G567,Clients!$A$5:$A$204,0)),0)&gt;0,IFERROR(INDEX(Clients!$O$5:$O$204,MATCH(G567,Clients!$A$5:$A$204,0)),0),HourlyRate))</f>
        <v>0</v>
      </c>
      <c r="AI567" s="21">
        <f>IF(G567="","",IF(AND(M567&lt;&gt;"",IFERROR(INDEX(Services!$P$5:$P$64,MATCH(M567,Services!$B$5:$B$64,0)),0)&gt;0,IFERROR(INDEX(Services!$D$5:$D$64,MATCH(M567,Services!$B$5:$B$64,0)),"")&lt;&gt;"Per hour"),IFERROR(INDEX(Services!$P$5:$P$64,MATCH(M567,Services!$B$5:$B$64,0)),0),AD567*AH567))</f>
        <v>0</v>
      </c>
      <c r="AJ567" s="21">
        <f>IF(G567="","",IF(V567&lt;&gt;"",V567,IF(P567="Cancelled",0,MAX(MinimumCharge,ROUND(AI567*IFERROR(INDEX(FreqFactors,MATCH(O567,FreqNames,0)),1),2)))))</f>
        <v>0</v>
      </c>
      <c r="AK567" s="34">
        <f>IF(G567="","",IF(SUMIFS(Timesheets!$U$5:$U$804,Timesheets!$G$5:$G$804,A567)&gt;0,SUMIFS(Timesheets!$U$5:$U$804,Timesheets!$G$5:$G$804,A567),IF(Z567="","",Z567)))</f>
        <v>0</v>
      </c>
      <c r="AL567" s="34">
        <f>IF(OR(AK567="",AD567=""),"",AK567-AD567)</f>
        <v>0</v>
      </c>
      <c r="AM567" s="31">
        <f>IF(A567="","",COUNTIFS('Job Tasks'!$B$5:$B$904,A567))</f>
        <v>0</v>
      </c>
      <c r="AN567" s="31">
        <f>IF(A567="","",COUNTIFS('Job Tasks'!$B$5:$B$904,A567,'Job Tasks'!$H$5:$H$904,"Done"))</f>
        <v>0</v>
      </c>
      <c r="AO567" s="38">
        <f>IF(OR(A567="",AM567=0),"",AN567/AM567)</f>
        <v>0</v>
      </c>
      <c r="AP567" s="43">
        <f>IF(A567="","",IFERROR(INDEX('Invoice Lines'!$B$5:$B$804,MATCH(A567,'Invoice Lines'!$C$5:$C$804,0)),""))</f>
        <v>0</v>
      </c>
      <c r="AQ567" s="18">
        <f>IF(OR(G567="",B567="",X567&lt;&gt;"Yes"),"",IF(IFERROR(INDEX(FreqDays,MATCH(O567,FreqNames,0)),0)=0,"",B567+IFERROR(INDEX(FreqDays,MATCH(O567,FreqNames,0)),0)))</f>
        <v>0</v>
      </c>
      <c r="AR567" s="39">
        <f>IF(G567="","",IF(R567="","Unassigned",IF(COUNTIFS($R$5:$R$604,R567,$B$5:$B$604,B567,$F$5:$F$604,F567)&gt;1,"Clash",IF(SUMIFS($AF$5:$AF$604,$R$5:$R$604,R567,$B$5:$B$604,B567)&gt;ProductiveHours,"Long day","OK"))))</f>
        <v>0</v>
      </c>
      <c r="AS567" s="18">
        <f>IF(OR(G567="",B567=""),"",IF(AND(B567&gt;=TodayDate,P567&lt;&gt;"Cancelled"),B567,""))</f>
        <v>0</v>
      </c>
      <c r="AT567" s="31">
        <f>IF(AS567="","",COUNTIFS($AS$5:$AS$604,"&lt;"&amp;AS567)+COUNTIFS($AS$5:AS567,AS567))</f>
        <v>0</v>
      </c>
      <c r="AU567" s="18">
        <f>IF(OR(G567="",B567="",R567&lt;&gt;""),"",IF(AND(B567&gt;=TodayDate,P567&lt;&gt;"Cancelled"),B567,""))</f>
        <v>0</v>
      </c>
      <c r="AV567" s="31">
        <f>IF(AU567="","",COUNTIFS($AU$5:$AU$604,"&lt;"&amp;AU567)+COUNTIFS($AU$5:AU567,AU567))</f>
        <v>0</v>
      </c>
      <c r="AW567" s="31">
        <f>IF(OR(G567="",B567=""),"",B567-TodayDate)</f>
        <v>0</v>
      </c>
      <c r="AX567" s="39">
        <f>IF(G567="","",IF(P567="Cancelled","Cancelled",IF(P567="No access","Action - no access, rebook",IF(AND(B567&lt;&gt;"",AW567&lt;0,OR(P567="Booked",P567="Confirmed",P567="In progress")),"Late - mark it completed",IF(AND(P567="Completed",AP567=""),"Action - not invoiced yet",IF(AND(AW567&gt;=0,AW567&lt;=ReminderDays,Y567&lt;&gt;"Yes"),"Confirm - visit coming up",IF(R567="","Assign - no cleaner booked",IF(AND(P567="Completed",AO567&lt;&gt;"",AO567&lt;1),"Check - checklist unfinished","OK"))))))))</f>
        <v>0</v>
      </c>
    </row>
    <row r="568" spans="1:50">
      <c r="A568" s="43">
        <f>IF(G568="","",JobPrefix&amp;TEXT(ROW()-4,"0000"))</f>
        <v>0</v>
      </c>
      <c r="C568" s="23">
        <f>IF(B568="","",TEXT(B568,"ddd"))</f>
        <v>0</v>
      </c>
      <c r="D568" s="31">
        <f>IF(B568="","",WEEKNUM(B568,IF(WeekStart="Sunday",1,2)))</f>
        <v>0</v>
      </c>
      <c r="E568" s="23">
        <f>IF(B568="","",TEXT(B568,"yyyy-mm"))</f>
        <v>0</v>
      </c>
      <c r="H568" s="23">
        <f>IF(G568="","",IFERROR(INDEX(Clients!$B$5:$B$204,MATCH(G568,Clients!$A$5:$A$204,0)),"Not found"))</f>
        <v>0</v>
      </c>
      <c r="I568" s="23">
        <f>IF(G568="","",IFERROR(INDEX(Clients!$C$5:$C$204,MATCH(G568,Clients!$A$5:$A$204,0)),""))</f>
        <v>0</v>
      </c>
      <c r="K568" s="23">
        <f>IF(J568="","",IFERROR(INDEX(Properties!$B$5:$B$254,MATCH(J568,Properties!$A$5:$A$254,0)),""))</f>
        <v>0</v>
      </c>
      <c r="L568" s="23">
        <f>IF(J568="","",IFERROR(INDEX(Properties!$F$5:$F$254,MATCH(J568,Properties!$A$5:$A$254,0)),""))</f>
        <v>0</v>
      </c>
      <c r="AD568" s="34">
        <f>IF(G568="","",IF(U568&lt;&gt;"",U568,IF(AND(IFERROR(INDEX(Services!$D$5:$D$64,MATCH(M568,Services!$B$5:$B$64,0)),"")="Per hour",IFERROR(INDEX(Properties!$X$5:$X$254,MATCH(J568,Properties!$A$5:$A$254,0)),0)&gt;0),IFERROR(INDEX(Properties!$X$5:$X$254,MATCH(J568,Properties!$A$5:$A$254,0)),0),IF(IFERROR(INDEX(Services!$G$5:$G$64,MATCH(M568,Services!$B$5:$B$64,0)),0)&gt;0,IFERROR(INDEX(Services!$G$5:$G$64,MATCH(M568,Services!$B$5:$B$64,0)),0),IFERROR(INDEX(Properties!$X$5:$X$254,MATCH(J568,Properties!$A$5:$A$254,0)),0)))))</f>
        <v>0</v>
      </c>
      <c r="AE568" s="31">
        <f>IF(G568="","",IF(T568="",CleanersPerJob,MAX(1,T568)))</f>
        <v>0</v>
      </c>
      <c r="AF568" s="34">
        <f>IF(G568="","",ROUND(AD568/AE568,2))</f>
        <v>0</v>
      </c>
      <c r="AG568" s="53">
        <f>IF(OR(G568="",F568="",AF568=""),"",F568+AF568/24)</f>
        <v>0</v>
      </c>
      <c r="AH568" s="21">
        <f>IF(G568="","",IF(IFERROR(INDEX(Clients!$O$5:$O$204,MATCH(G568,Clients!$A$5:$A$204,0)),0)&gt;0,IFERROR(INDEX(Clients!$O$5:$O$204,MATCH(G568,Clients!$A$5:$A$204,0)),0),HourlyRate))</f>
        <v>0</v>
      </c>
      <c r="AI568" s="21">
        <f>IF(G568="","",IF(AND(M568&lt;&gt;"",IFERROR(INDEX(Services!$P$5:$P$64,MATCH(M568,Services!$B$5:$B$64,0)),0)&gt;0,IFERROR(INDEX(Services!$D$5:$D$64,MATCH(M568,Services!$B$5:$B$64,0)),"")&lt;&gt;"Per hour"),IFERROR(INDEX(Services!$P$5:$P$64,MATCH(M568,Services!$B$5:$B$64,0)),0),AD568*AH568))</f>
        <v>0</v>
      </c>
      <c r="AJ568" s="21">
        <f>IF(G568="","",IF(V568&lt;&gt;"",V568,IF(P568="Cancelled",0,MAX(MinimumCharge,ROUND(AI568*IFERROR(INDEX(FreqFactors,MATCH(O568,FreqNames,0)),1),2)))))</f>
        <v>0</v>
      </c>
      <c r="AK568" s="34">
        <f>IF(G568="","",IF(SUMIFS(Timesheets!$U$5:$U$804,Timesheets!$G$5:$G$804,A568)&gt;0,SUMIFS(Timesheets!$U$5:$U$804,Timesheets!$G$5:$G$804,A568),IF(Z568="","",Z568)))</f>
        <v>0</v>
      </c>
      <c r="AL568" s="34">
        <f>IF(OR(AK568="",AD568=""),"",AK568-AD568)</f>
        <v>0</v>
      </c>
      <c r="AM568" s="31">
        <f>IF(A568="","",COUNTIFS('Job Tasks'!$B$5:$B$904,A568))</f>
        <v>0</v>
      </c>
      <c r="AN568" s="31">
        <f>IF(A568="","",COUNTIFS('Job Tasks'!$B$5:$B$904,A568,'Job Tasks'!$H$5:$H$904,"Done"))</f>
        <v>0</v>
      </c>
      <c r="AO568" s="38">
        <f>IF(OR(A568="",AM568=0),"",AN568/AM568)</f>
        <v>0</v>
      </c>
      <c r="AP568" s="43">
        <f>IF(A568="","",IFERROR(INDEX('Invoice Lines'!$B$5:$B$804,MATCH(A568,'Invoice Lines'!$C$5:$C$804,0)),""))</f>
        <v>0</v>
      </c>
      <c r="AQ568" s="18">
        <f>IF(OR(G568="",B568="",X568&lt;&gt;"Yes"),"",IF(IFERROR(INDEX(FreqDays,MATCH(O568,FreqNames,0)),0)=0,"",B568+IFERROR(INDEX(FreqDays,MATCH(O568,FreqNames,0)),0)))</f>
        <v>0</v>
      </c>
      <c r="AR568" s="39">
        <f>IF(G568="","",IF(R568="","Unassigned",IF(COUNTIFS($R$5:$R$604,R568,$B$5:$B$604,B568,$F$5:$F$604,F568)&gt;1,"Clash",IF(SUMIFS($AF$5:$AF$604,$R$5:$R$604,R568,$B$5:$B$604,B568)&gt;ProductiveHours,"Long day","OK"))))</f>
        <v>0</v>
      </c>
      <c r="AS568" s="18">
        <f>IF(OR(G568="",B568=""),"",IF(AND(B568&gt;=TodayDate,P568&lt;&gt;"Cancelled"),B568,""))</f>
        <v>0</v>
      </c>
      <c r="AT568" s="31">
        <f>IF(AS568="","",COUNTIFS($AS$5:$AS$604,"&lt;"&amp;AS568)+COUNTIFS($AS$5:AS568,AS568))</f>
        <v>0</v>
      </c>
      <c r="AU568" s="18">
        <f>IF(OR(G568="",B568="",R568&lt;&gt;""),"",IF(AND(B568&gt;=TodayDate,P568&lt;&gt;"Cancelled"),B568,""))</f>
        <v>0</v>
      </c>
      <c r="AV568" s="31">
        <f>IF(AU568="","",COUNTIFS($AU$5:$AU$604,"&lt;"&amp;AU568)+COUNTIFS($AU$5:AU568,AU568))</f>
        <v>0</v>
      </c>
      <c r="AW568" s="31">
        <f>IF(OR(G568="",B568=""),"",B568-TodayDate)</f>
        <v>0</v>
      </c>
      <c r="AX568" s="39">
        <f>IF(G568="","",IF(P568="Cancelled","Cancelled",IF(P568="No access","Action - no access, rebook",IF(AND(B568&lt;&gt;"",AW568&lt;0,OR(P568="Booked",P568="Confirmed",P568="In progress")),"Late - mark it completed",IF(AND(P568="Completed",AP568=""),"Action - not invoiced yet",IF(AND(AW568&gt;=0,AW568&lt;=ReminderDays,Y568&lt;&gt;"Yes"),"Confirm - visit coming up",IF(R568="","Assign - no cleaner booked",IF(AND(P568="Completed",AO568&lt;&gt;"",AO568&lt;1),"Check - checklist unfinished","OK"))))))))</f>
        <v>0</v>
      </c>
    </row>
    <row r="569" spans="1:50">
      <c r="A569" s="43">
        <f>IF(G569="","",JobPrefix&amp;TEXT(ROW()-4,"0000"))</f>
        <v>0</v>
      </c>
      <c r="C569" s="23">
        <f>IF(B569="","",TEXT(B569,"ddd"))</f>
        <v>0</v>
      </c>
      <c r="D569" s="31">
        <f>IF(B569="","",WEEKNUM(B569,IF(WeekStart="Sunday",1,2)))</f>
        <v>0</v>
      </c>
      <c r="E569" s="23">
        <f>IF(B569="","",TEXT(B569,"yyyy-mm"))</f>
        <v>0</v>
      </c>
      <c r="H569" s="23">
        <f>IF(G569="","",IFERROR(INDEX(Clients!$B$5:$B$204,MATCH(G569,Clients!$A$5:$A$204,0)),"Not found"))</f>
        <v>0</v>
      </c>
      <c r="I569" s="23">
        <f>IF(G569="","",IFERROR(INDEX(Clients!$C$5:$C$204,MATCH(G569,Clients!$A$5:$A$204,0)),""))</f>
        <v>0</v>
      </c>
      <c r="K569" s="23">
        <f>IF(J569="","",IFERROR(INDEX(Properties!$B$5:$B$254,MATCH(J569,Properties!$A$5:$A$254,0)),""))</f>
        <v>0</v>
      </c>
      <c r="L569" s="23">
        <f>IF(J569="","",IFERROR(INDEX(Properties!$F$5:$F$254,MATCH(J569,Properties!$A$5:$A$254,0)),""))</f>
        <v>0</v>
      </c>
      <c r="AD569" s="34">
        <f>IF(G569="","",IF(U569&lt;&gt;"",U569,IF(AND(IFERROR(INDEX(Services!$D$5:$D$64,MATCH(M569,Services!$B$5:$B$64,0)),"")="Per hour",IFERROR(INDEX(Properties!$X$5:$X$254,MATCH(J569,Properties!$A$5:$A$254,0)),0)&gt;0),IFERROR(INDEX(Properties!$X$5:$X$254,MATCH(J569,Properties!$A$5:$A$254,0)),0),IF(IFERROR(INDEX(Services!$G$5:$G$64,MATCH(M569,Services!$B$5:$B$64,0)),0)&gt;0,IFERROR(INDEX(Services!$G$5:$G$64,MATCH(M569,Services!$B$5:$B$64,0)),0),IFERROR(INDEX(Properties!$X$5:$X$254,MATCH(J569,Properties!$A$5:$A$254,0)),0)))))</f>
        <v>0</v>
      </c>
      <c r="AE569" s="31">
        <f>IF(G569="","",IF(T569="",CleanersPerJob,MAX(1,T569)))</f>
        <v>0</v>
      </c>
      <c r="AF569" s="34">
        <f>IF(G569="","",ROUND(AD569/AE569,2))</f>
        <v>0</v>
      </c>
      <c r="AG569" s="53">
        <f>IF(OR(G569="",F569="",AF569=""),"",F569+AF569/24)</f>
        <v>0</v>
      </c>
      <c r="AH569" s="21">
        <f>IF(G569="","",IF(IFERROR(INDEX(Clients!$O$5:$O$204,MATCH(G569,Clients!$A$5:$A$204,0)),0)&gt;0,IFERROR(INDEX(Clients!$O$5:$O$204,MATCH(G569,Clients!$A$5:$A$204,0)),0),HourlyRate))</f>
        <v>0</v>
      </c>
      <c r="AI569" s="21">
        <f>IF(G569="","",IF(AND(M569&lt;&gt;"",IFERROR(INDEX(Services!$P$5:$P$64,MATCH(M569,Services!$B$5:$B$64,0)),0)&gt;0,IFERROR(INDEX(Services!$D$5:$D$64,MATCH(M569,Services!$B$5:$B$64,0)),"")&lt;&gt;"Per hour"),IFERROR(INDEX(Services!$P$5:$P$64,MATCH(M569,Services!$B$5:$B$64,0)),0),AD569*AH569))</f>
        <v>0</v>
      </c>
      <c r="AJ569" s="21">
        <f>IF(G569="","",IF(V569&lt;&gt;"",V569,IF(P569="Cancelled",0,MAX(MinimumCharge,ROUND(AI569*IFERROR(INDEX(FreqFactors,MATCH(O569,FreqNames,0)),1),2)))))</f>
        <v>0</v>
      </c>
      <c r="AK569" s="34">
        <f>IF(G569="","",IF(SUMIFS(Timesheets!$U$5:$U$804,Timesheets!$G$5:$G$804,A569)&gt;0,SUMIFS(Timesheets!$U$5:$U$804,Timesheets!$G$5:$G$804,A569),IF(Z569="","",Z569)))</f>
        <v>0</v>
      </c>
      <c r="AL569" s="34">
        <f>IF(OR(AK569="",AD569=""),"",AK569-AD569)</f>
        <v>0</v>
      </c>
      <c r="AM569" s="31">
        <f>IF(A569="","",COUNTIFS('Job Tasks'!$B$5:$B$904,A569))</f>
        <v>0</v>
      </c>
      <c r="AN569" s="31">
        <f>IF(A569="","",COUNTIFS('Job Tasks'!$B$5:$B$904,A569,'Job Tasks'!$H$5:$H$904,"Done"))</f>
        <v>0</v>
      </c>
      <c r="AO569" s="38">
        <f>IF(OR(A569="",AM569=0),"",AN569/AM569)</f>
        <v>0</v>
      </c>
      <c r="AP569" s="43">
        <f>IF(A569="","",IFERROR(INDEX('Invoice Lines'!$B$5:$B$804,MATCH(A569,'Invoice Lines'!$C$5:$C$804,0)),""))</f>
        <v>0</v>
      </c>
      <c r="AQ569" s="18">
        <f>IF(OR(G569="",B569="",X569&lt;&gt;"Yes"),"",IF(IFERROR(INDEX(FreqDays,MATCH(O569,FreqNames,0)),0)=0,"",B569+IFERROR(INDEX(FreqDays,MATCH(O569,FreqNames,0)),0)))</f>
        <v>0</v>
      </c>
      <c r="AR569" s="39">
        <f>IF(G569="","",IF(R569="","Unassigned",IF(COUNTIFS($R$5:$R$604,R569,$B$5:$B$604,B569,$F$5:$F$604,F569)&gt;1,"Clash",IF(SUMIFS($AF$5:$AF$604,$R$5:$R$604,R569,$B$5:$B$604,B569)&gt;ProductiveHours,"Long day","OK"))))</f>
        <v>0</v>
      </c>
      <c r="AS569" s="18">
        <f>IF(OR(G569="",B569=""),"",IF(AND(B569&gt;=TodayDate,P569&lt;&gt;"Cancelled"),B569,""))</f>
        <v>0</v>
      </c>
      <c r="AT569" s="31">
        <f>IF(AS569="","",COUNTIFS($AS$5:$AS$604,"&lt;"&amp;AS569)+COUNTIFS($AS$5:AS569,AS569))</f>
        <v>0</v>
      </c>
      <c r="AU569" s="18">
        <f>IF(OR(G569="",B569="",R569&lt;&gt;""),"",IF(AND(B569&gt;=TodayDate,P569&lt;&gt;"Cancelled"),B569,""))</f>
        <v>0</v>
      </c>
      <c r="AV569" s="31">
        <f>IF(AU569="","",COUNTIFS($AU$5:$AU$604,"&lt;"&amp;AU569)+COUNTIFS($AU$5:AU569,AU569))</f>
        <v>0</v>
      </c>
      <c r="AW569" s="31">
        <f>IF(OR(G569="",B569=""),"",B569-TodayDate)</f>
        <v>0</v>
      </c>
      <c r="AX569" s="39">
        <f>IF(G569="","",IF(P569="Cancelled","Cancelled",IF(P569="No access","Action - no access, rebook",IF(AND(B569&lt;&gt;"",AW569&lt;0,OR(P569="Booked",P569="Confirmed",P569="In progress")),"Late - mark it completed",IF(AND(P569="Completed",AP569=""),"Action - not invoiced yet",IF(AND(AW569&gt;=0,AW569&lt;=ReminderDays,Y569&lt;&gt;"Yes"),"Confirm - visit coming up",IF(R569="","Assign - no cleaner booked",IF(AND(P569="Completed",AO569&lt;&gt;"",AO569&lt;1),"Check - checklist unfinished","OK"))))))))</f>
        <v>0</v>
      </c>
    </row>
    <row r="570" spans="1:50">
      <c r="A570" s="43">
        <f>IF(G570="","",JobPrefix&amp;TEXT(ROW()-4,"0000"))</f>
        <v>0</v>
      </c>
      <c r="C570" s="23">
        <f>IF(B570="","",TEXT(B570,"ddd"))</f>
        <v>0</v>
      </c>
      <c r="D570" s="31">
        <f>IF(B570="","",WEEKNUM(B570,IF(WeekStart="Sunday",1,2)))</f>
        <v>0</v>
      </c>
      <c r="E570" s="23">
        <f>IF(B570="","",TEXT(B570,"yyyy-mm"))</f>
        <v>0</v>
      </c>
      <c r="H570" s="23">
        <f>IF(G570="","",IFERROR(INDEX(Clients!$B$5:$B$204,MATCH(G570,Clients!$A$5:$A$204,0)),"Not found"))</f>
        <v>0</v>
      </c>
      <c r="I570" s="23">
        <f>IF(G570="","",IFERROR(INDEX(Clients!$C$5:$C$204,MATCH(G570,Clients!$A$5:$A$204,0)),""))</f>
        <v>0</v>
      </c>
      <c r="K570" s="23">
        <f>IF(J570="","",IFERROR(INDEX(Properties!$B$5:$B$254,MATCH(J570,Properties!$A$5:$A$254,0)),""))</f>
        <v>0</v>
      </c>
      <c r="L570" s="23">
        <f>IF(J570="","",IFERROR(INDEX(Properties!$F$5:$F$254,MATCH(J570,Properties!$A$5:$A$254,0)),""))</f>
        <v>0</v>
      </c>
      <c r="AD570" s="34">
        <f>IF(G570="","",IF(U570&lt;&gt;"",U570,IF(AND(IFERROR(INDEX(Services!$D$5:$D$64,MATCH(M570,Services!$B$5:$B$64,0)),"")="Per hour",IFERROR(INDEX(Properties!$X$5:$X$254,MATCH(J570,Properties!$A$5:$A$254,0)),0)&gt;0),IFERROR(INDEX(Properties!$X$5:$X$254,MATCH(J570,Properties!$A$5:$A$254,0)),0),IF(IFERROR(INDEX(Services!$G$5:$G$64,MATCH(M570,Services!$B$5:$B$64,0)),0)&gt;0,IFERROR(INDEX(Services!$G$5:$G$64,MATCH(M570,Services!$B$5:$B$64,0)),0),IFERROR(INDEX(Properties!$X$5:$X$254,MATCH(J570,Properties!$A$5:$A$254,0)),0)))))</f>
        <v>0</v>
      </c>
      <c r="AE570" s="31">
        <f>IF(G570="","",IF(T570="",CleanersPerJob,MAX(1,T570)))</f>
        <v>0</v>
      </c>
      <c r="AF570" s="34">
        <f>IF(G570="","",ROUND(AD570/AE570,2))</f>
        <v>0</v>
      </c>
      <c r="AG570" s="53">
        <f>IF(OR(G570="",F570="",AF570=""),"",F570+AF570/24)</f>
        <v>0</v>
      </c>
      <c r="AH570" s="21">
        <f>IF(G570="","",IF(IFERROR(INDEX(Clients!$O$5:$O$204,MATCH(G570,Clients!$A$5:$A$204,0)),0)&gt;0,IFERROR(INDEX(Clients!$O$5:$O$204,MATCH(G570,Clients!$A$5:$A$204,0)),0),HourlyRate))</f>
        <v>0</v>
      </c>
      <c r="AI570" s="21">
        <f>IF(G570="","",IF(AND(M570&lt;&gt;"",IFERROR(INDEX(Services!$P$5:$P$64,MATCH(M570,Services!$B$5:$B$64,0)),0)&gt;0,IFERROR(INDEX(Services!$D$5:$D$64,MATCH(M570,Services!$B$5:$B$64,0)),"")&lt;&gt;"Per hour"),IFERROR(INDEX(Services!$P$5:$P$64,MATCH(M570,Services!$B$5:$B$64,0)),0),AD570*AH570))</f>
        <v>0</v>
      </c>
      <c r="AJ570" s="21">
        <f>IF(G570="","",IF(V570&lt;&gt;"",V570,IF(P570="Cancelled",0,MAX(MinimumCharge,ROUND(AI570*IFERROR(INDEX(FreqFactors,MATCH(O570,FreqNames,0)),1),2)))))</f>
        <v>0</v>
      </c>
      <c r="AK570" s="34">
        <f>IF(G570="","",IF(SUMIFS(Timesheets!$U$5:$U$804,Timesheets!$G$5:$G$804,A570)&gt;0,SUMIFS(Timesheets!$U$5:$U$804,Timesheets!$G$5:$G$804,A570),IF(Z570="","",Z570)))</f>
        <v>0</v>
      </c>
      <c r="AL570" s="34">
        <f>IF(OR(AK570="",AD570=""),"",AK570-AD570)</f>
        <v>0</v>
      </c>
      <c r="AM570" s="31">
        <f>IF(A570="","",COUNTIFS('Job Tasks'!$B$5:$B$904,A570))</f>
        <v>0</v>
      </c>
      <c r="AN570" s="31">
        <f>IF(A570="","",COUNTIFS('Job Tasks'!$B$5:$B$904,A570,'Job Tasks'!$H$5:$H$904,"Done"))</f>
        <v>0</v>
      </c>
      <c r="AO570" s="38">
        <f>IF(OR(A570="",AM570=0),"",AN570/AM570)</f>
        <v>0</v>
      </c>
      <c r="AP570" s="43">
        <f>IF(A570="","",IFERROR(INDEX('Invoice Lines'!$B$5:$B$804,MATCH(A570,'Invoice Lines'!$C$5:$C$804,0)),""))</f>
        <v>0</v>
      </c>
      <c r="AQ570" s="18">
        <f>IF(OR(G570="",B570="",X570&lt;&gt;"Yes"),"",IF(IFERROR(INDEX(FreqDays,MATCH(O570,FreqNames,0)),0)=0,"",B570+IFERROR(INDEX(FreqDays,MATCH(O570,FreqNames,0)),0)))</f>
        <v>0</v>
      </c>
      <c r="AR570" s="39">
        <f>IF(G570="","",IF(R570="","Unassigned",IF(COUNTIFS($R$5:$R$604,R570,$B$5:$B$604,B570,$F$5:$F$604,F570)&gt;1,"Clash",IF(SUMIFS($AF$5:$AF$604,$R$5:$R$604,R570,$B$5:$B$604,B570)&gt;ProductiveHours,"Long day","OK"))))</f>
        <v>0</v>
      </c>
      <c r="AS570" s="18">
        <f>IF(OR(G570="",B570=""),"",IF(AND(B570&gt;=TodayDate,P570&lt;&gt;"Cancelled"),B570,""))</f>
        <v>0</v>
      </c>
      <c r="AT570" s="31">
        <f>IF(AS570="","",COUNTIFS($AS$5:$AS$604,"&lt;"&amp;AS570)+COUNTIFS($AS$5:AS570,AS570))</f>
        <v>0</v>
      </c>
      <c r="AU570" s="18">
        <f>IF(OR(G570="",B570="",R570&lt;&gt;""),"",IF(AND(B570&gt;=TodayDate,P570&lt;&gt;"Cancelled"),B570,""))</f>
        <v>0</v>
      </c>
      <c r="AV570" s="31">
        <f>IF(AU570="","",COUNTIFS($AU$5:$AU$604,"&lt;"&amp;AU570)+COUNTIFS($AU$5:AU570,AU570))</f>
        <v>0</v>
      </c>
      <c r="AW570" s="31">
        <f>IF(OR(G570="",B570=""),"",B570-TodayDate)</f>
        <v>0</v>
      </c>
      <c r="AX570" s="39">
        <f>IF(G570="","",IF(P570="Cancelled","Cancelled",IF(P570="No access","Action - no access, rebook",IF(AND(B570&lt;&gt;"",AW570&lt;0,OR(P570="Booked",P570="Confirmed",P570="In progress")),"Late - mark it completed",IF(AND(P570="Completed",AP570=""),"Action - not invoiced yet",IF(AND(AW570&gt;=0,AW570&lt;=ReminderDays,Y570&lt;&gt;"Yes"),"Confirm - visit coming up",IF(R570="","Assign - no cleaner booked",IF(AND(P570="Completed",AO570&lt;&gt;"",AO570&lt;1),"Check - checklist unfinished","OK"))))))))</f>
        <v>0</v>
      </c>
    </row>
    <row r="571" spans="1:50">
      <c r="A571" s="43">
        <f>IF(G571="","",JobPrefix&amp;TEXT(ROW()-4,"0000"))</f>
        <v>0</v>
      </c>
      <c r="C571" s="23">
        <f>IF(B571="","",TEXT(B571,"ddd"))</f>
        <v>0</v>
      </c>
      <c r="D571" s="31">
        <f>IF(B571="","",WEEKNUM(B571,IF(WeekStart="Sunday",1,2)))</f>
        <v>0</v>
      </c>
      <c r="E571" s="23">
        <f>IF(B571="","",TEXT(B571,"yyyy-mm"))</f>
        <v>0</v>
      </c>
      <c r="H571" s="23">
        <f>IF(G571="","",IFERROR(INDEX(Clients!$B$5:$B$204,MATCH(G571,Clients!$A$5:$A$204,0)),"Not found"))</f>
        <v>0</v>
      </c>
      <c r="I571" s="23">
        <f>IF(G571="","",IFERROR(INDEX(Clients!$C$5:$C$204,MATCH(G571,Clients!$A$5:$A$204,0)),""))</f>
        <v>0</v>
      </c>
      <c r="K571" s="23">
        <f>IF(J571="","",IFERROR(INDEX(Properties!$B$5:$B$254,MATCH(J571,Properties!$A$5:$A$254,0)),""))</f>
        <v>0</v>
      </c>
      <c r="L571" s="23">
        <f>IF(J571="","",IFERROR(INDEX(Properties!$F$5:$F$254,MATCH(J571,Properties!$A$5:$A$254,0)),""))</f>
        <v>0</v>
      </c>
      <c r="AD571" s="34">
        <f>IF(G571="","",IF(U571&lt;&gt;"",U571,IF(AND(IFERROR(INDEX(Services!$D$5:$D$64,MATCH(M571,Services!$B$5:$B$64,0)),"")="Per hour",IFERROR(INDEX(Properties!$X$5:$X$254,MATCH(J571,Properties!$A$5:$A$254,0)),0)&gt;0),IFERROR(INDEX(Properties!$X$5:$X$254,MATCH(J571,Properties!$A$5:$A$254,0)),0),IF(IFERROR(INDEX(Services!$G$5:$G$64,MATCH(M571,Services!$B$5:$B$64,0)),0)&gt;0,IFERROR(INDEX(Services!$G$5:$G$64,MATCH(M571,Services!$B$5:$B$64,0)),0),IFERROR(INDEX(Properties!$X$5:$X$254,MATCH(J571,Properties!$A$5:$A$254,0)),0)))))</f>
        <v>0</v>
      </c>
      <c r="AE571" s="31">
        <f>IF(G571="","",IF(T571="",CleanersPerJob,MAX(1,T571)))</f>
        <v>0</v>
      </c>
      <c r="AF571" s="34">
        <f>IF(G571="","",ROUND(AD571/AE571,2))</f>
        <v>0</v>
      </c>
      <c r="AG571" s="53">
        <f>IF(OR(G571="",F571="",AF571=""),"",F571+AF571/24)</f>
        <v>0</v>
      </c>
      <c r="AH571" s="21">
        <f>IF(G571="","",IF(IFERROR(INDEX(Clients!$O$5:$O$204,MATCH(G571,Clients!$A$5:$A$204,0)),0)&gt;0,IFERROR(INDEX(Clients!$O$5:$O$204,MATCH(G571,Clients!$A$5:$A$204,0)),0),HourlyRate))</f>
        <v>0</v>
      </c>
      <c r="AI571" s="21">
        <f>IF(G571="","",IF(AND(M571&lt;&gt;"",IFERROR(INDEX(Services!$P$5:$P$64,MATCH(M571,Services!$B$5:$B$64,0)),0)&gt;0,IFERROR(INDEX(Services!$D$5:$D$64,MATCH(M571,Services!$B$5:$B$64,0)),"")&lt;&gt;"Per hour"),IFERROR(INDEX(Services!$P$5:$P$64,MATCH(M571,Services!$B$5:$B$64,0)),0),AD571*AH571))</f>
        <v>0</v>
      </c>
      <c r="AJ571" s="21">
        <f>IF(G571="","",IF(V571&lt;&gt;"",V571,IF(P571="Cancelled",0,MAX(MinimumCharge,ROUND(AI571*IFERROR(INDEX(FreqFactors,MATCH(O571,FreqNames,0)),1),2)))))</f>
        <v>0</v>
      </c>
      <c r="AK571" s="34">
        <f>IF(G571="","",IF(SUMIFS(Timesheets!$U$5:$U$804,Timesheets!$G$5:$G$804,A571)&gt;0,SUMIFS(Timesheets!$U$5:$U$804,Timesheets!$G$5:$G$804,A571),IF(Z571="","",Z571)))</f>
        <v>0</v>
      </c>
      <c r="AL571" s="34">
        <f>IF(OR(AK571="",AD571=""),"",AK571-AD571)</f>
        <v>0</v>
      </c>
      <c r="AM571" s="31">
        <f>IF(A571="","",COUNTIFS('Job Tasks'!$B$5:$B$904,A571))</f>
        <v>0</v>
      </c>
      <c r="AN571" s="31">
        <f>IF(A571="","",COUNTIFS('Job Tasks'!$B$5:$B$904,A571,'Job Tasks'!$H$5:$H$904,"Done"))</f>
        <v>0</v>
      </c>
      <c r="AO571" s="38">
        <f>IF(OR(A571="",AM571=0),"",AN571/AM571)</f>
        <v>0</v>
      </c>
      <c r="AP571" s="43">
        <f>IF(A571="","",IFERROR(INDEX('Invoice Lines'!$B$5:$B$804,MATCH(A571,'Invoice Lines'!$C$5:$C$804,0)),""))</f>
        <v>0</v>
      </c>
      <c r="AQ571" s="18">
        <f>IF(OR(G571="",B571="",X571&lt;&gt;"Yes"),"",IF(IFERROR(INDEX(FreqDays,MATCH(O571,FreqNames,0)),0)=0,"",B571+IFERROR(INDEX(FreqDays,MATCH(O571,FreqNames,0)),0)))</f>
        <v>0</v>
      </c>
      <c r="AR571" s="39">
        <f>IF(G571="","",IF(R571="","Unassigned",IF(COUNTIFS($R$5:$R$604,R571,$B$5:$B$604,B571,$F$5:$F$604,F571)&gt;1,"Clash",IF(SUMIFS($AF$5:$AF$604,$R$5:$R$604,R571,$B$5:$B$604,B571)&gt;ProductiveHours,"Long day","OK"))))</f>
        <v>0</v>
      </c>
      <c r="AS571" s="18">
        <f>IF(OR(G571="",B571=""),"",IF(AND(B571&gt;=TodayDate,P571&lt;&gt;"Cancelled"),B571,""))</f>
        <v>0</v>
      </c>
      <c r="AT571" s="31">
        <f>IF(AS571="","",COUNTIFS($AS$5:$AS$604,"&lt;"&amp;AS571)+COUNTIFS($AS$5:AS571,AS571))</f>
        <v>0</v>
      </c>
      <c r="AU571" s="18">
        <f>IF(OR(G571="",B571="",R571&lt;&gt;""),"",IF(AND(B571&gt;=TodayDate,P571&lt;&gt;"Cancelled"),B571,""))</f>
        <v>0</v>
      </c>
      <c r="AV571" s="31">
        <f>IF(AU571="","",COUNTIFS($AU$5:$AU$604,"&lt;"&amp;AU571)+COUNTIFS($AU$5:AU571,AU571))</f>
        <v>0</v>
      </c>
      <c r="AW571" s="31">
        <f>IF(OR(G571="",B571=""),"",B571-TodayDate)</f>
        <v>0</v>
      </c>
      <c r="AX571" s="39">
        <f>IF(G571="","",IF(P571="Cancelled","Cancelled",IF(P571="No access","Action - no access, rebook",IF(AND(B571&lt;&gt;"",AW571&lt;0,OR(P571="Booked",P571="Confirmed",P571="In progress")),"Late - mark it completed",IF(AND(P571="Completed",AP571=""),"Action - not invoiced yet",IF(AND(AW571&gt;=0,AW571&lt;=ReminderDays,Y571&lt;&gt;"Yes"),"Confirm - visit coming up",IF(R571="","Assign - no cleaner booked",IF(AND(P571="Completed",AO571&lt;&gt;"",AO571&lt;1),"Check - checklist unfinished","OK"))))))))</f>
        <v>0</v>
      </c>
    </row>
    <row r="572" spans="1:50">
      <c r="A572" s="43">
        <f>IF(G572="","",JobPrefix&amp;TEXT(ROW()-4,"0000"))</f>
        <v>0</v>
      </c>
      <c r="C572" s="23">
        <f>IF(B572="","",TEXT(B572,"ddd"))</f>
        <v>0</v>
      </c>
      <c r="D572" s="31">
        <f>IF(B572="","",WEEKNUM(B572,IF(WeekStart="Sunday",1,2)))</f>
        <v>0</v>
      </c>
      <c r="E572" s="23">
        <f>IF(B572="","",TEXT(B572,"yyyy-mm"))</f>
        <v>0</v>
      </c>
      <c r="H572" s="23">
        <f>IF(G572="","",IFERROR(INDEX(Clients!$B$5:$B$204,MATCH(G572,Clients!$A$5:$A$204,0)),"Not found"))</f>
        <v>0</v>
      </c>
      <c r="I572" s="23">
        <f>IF(G572="","",IFERROR(INDEX(Clients!$C$5:$C$204,MATCH(G572,Clients!$A$5:$A$204,0)),""))</f>
        <v>0</v>
      </c>
      <c r="K572" s="23">
        <f>IF(J572="","",IFERROR(INDEX(Properties!$B$5:$B$254,MATCH(J572,Properties!$A$5:$A$254,0)),""))</f>
        <v>0</v>
      </c>
      <c r="L572" s="23">
        <f>IF(J572="","",IFERROR(INDEX(Properties!$F$5:$F$254,MATCH(J572,Properties!$A$5:$A$254,0)),""))</f>
        <v>0</v>
      </c>
      <c r="AD572" s="34">
        <f>IF(G572="","",IF(U572&lt;&gt;"",U572,IF(AND(IFERROR(INDEX(Services!$D$5:$D$64,MATCH(M572,Services!$B$5:$B$64,0)),"")="Per hour",IFERROR(INDEX(Properties!$X$5:$X$254,MATCH(J572,Properties!$A$5:$A$254,0)),0)&gt;0),IFERROR(INDEX(Properties!$X$5:$X$254,MATCH(J572,Properties!$A$5:$A$254,0)),0),IF(IFERROR(INDEX(Services!$G$5:$G$64,MATCH(M572,Services!$B$5:$B$64,0)),0)&gt;0,IFERROR(INDEX(Services!$G$5:$G$64,MATCH(M572,Services!$B$5:$B$64,0)),0),IFERROR(INDEX(Properties!$X$5:$X$254,MATCH(J572,Properties!$A$5:$A$254,0)),0)))))</f>
        <v>0</v>
      </c>
      <c r="AE572" s="31">
        <f>IF(G572="","",IF(T572="",CleanersPerJob,MAX(1,T572)))</f>
        <v>0</v>
      </c>
      <c r="AF572" s="34">
        <f>IF(G572="","",ROUND(AD572/AE572,2))</f>
        <v>0</v>
      </c>
      <c r="AG572" s="53">
        <f>IF(OR(G572="",F572="",AF572=""),"",F572+AF572/24)</f>
        <v>0</v>
      </c>
      <c r="AH572" s="21">
        <f>IF(G572="","",IF(IFERROR(INDEX(Clients!$O$5:$O$204,MATCH(G572,Clients!$A$5:$A$204,0)),0)&gt;0,IFERROR(INDEX(Clients!$O$5:$O$204,MATCH(G572,Clients!$A$5:$A$204,0)),0),HourlyRate))</f>
        <v>0</v>
      </c>
      <c r="AI572" s="21">
        <f>IF(G572="","",IF(AND(M572&lt;&gt;"",IFERROR(INDEX(Services!$P$5:$P$64,MATCH(M572,Services!$B$5:$B$64,0)),0)&gt;0,IFERROR(INDEX(Services!$D$5:$D$64,MATCH(M572,Services!$B$5:$B$64,0)),"")&lt;&gt;"Per hour"),IFERROR(INDEX(Services!$P$5:$P$64,MATCH(M572,Services!$B$5:$B$64,0)),0),AD572*AH572))</f>
        <v>0</v>
      </c>
      <c r="AJ572" s="21">
        <f>IF(G572="","",IF(V572&lt;&gt;"",V572,IF(P572="Cancelled",0,MAX(MinimumCharge,ROUND(AI572*IFERROR(INDEX(FreqFactors,MATCH(O572,FreqNames,0)),1),2)))))</f>
        <v>0</v>
      </c>
      <c r="AK572" s="34">
        <f>IF(G572="","",IF(SUMIFS(Timesheets!$U$5:$U$804,Timesheets!$G$5:$G$804,A572)&gt;0,SUMIFS(Timesheets!$U$5:$U$804,Timesheets!$G$5:$G$804,A572),IF(Z572="","",Z572)))</f>
        <v>0</v>
      </c>
      <c r="AL572" s="34">
        <f>IF(OR(AK572="",AD572=""),"",AK572-AD572)</f>
        <v>0</v>
      </c>
      <c r="AM572" s="31">
        <f>IF(A572="","",COUNTIFS('Job Tasks'!$B$5:$B$904,A572))</f>
        <v>0</v>
      </c>
      <c r="AN572" s="31">
        <f>IF(A572="","",COUNTIFS('Job Tasks'!$B$5:$B$904,A572,'Job Tasks'!$H$5:$H$904,"Done"))</f>
        <v>0</v>
      </c>
      <c r="AO572" s="38">
        <f>IF(OR(A572="",AM572=0),"",AN572/AM572)</f>
        <v>0</v>
      </c>
      <c r="AP572" s="43">
        <f>IF(A572="","",IFERROR(INDEX('Invoice Lines'!$B$5:$B$804,MATCH(A572,'Invoice Lines'!$C$5:$C$804,0)),""))</f>
        <v>0</v>
      </c>
      <c r="AQ572" s="18">
        <f>IF(OR(G572="",B572="",X572&lt;&gt;"Yes"),"",IF(IFERROR(INDEX(FreqDays,MATCH(O572,FreqNames,0)),0)=0,"",B572+IFERROR(INDEX(FreqDays,MATCH(O572,FreqNames,0)),0)))</f>
        <v>0</v>
      </c>
      <c r="AR572" s="39">
        <f>IF(G572="","",IF(R572="","Unassigned",IF(COUNTIFS($R$5:$R$604,R572,$B$5:$B$604,B572,$F$5:$F$604,F572)&gt;1,"Clash",IF(SUMIFS($AF$5:$AF$604,$R$5:$R$604,R572,$B$5:$B$604,B572)&gt;ProductiveHours,"Long day","OK"))))</f>
        <v>0</v>
      </c>
      <c r="AS572" s="18">
        <f>IF(OR(G572="",B572=""),"",IF(AND(B572&gt;=TodayDate,P572&lt;&gt;"Cancelled"),B572,""))</f>
        <v>0</v>
      </c>
      <c r="AT572" s="31">
        <f>IF(AS572="","",COUNTIFS($AS$5:$AS$604,"&lt;"&amp;AS572)+COUNTIFS($AS$5:AS572,AS572))</f>
        <v>0</v>
      </c>
      <c r="AU572" s="18">
        <f>IF(OR(G572="",B572="",R572&lt;&gt;""),"",IF(AND(B572&gt;=TodayDate,P572&lt;&gt;"Cancelled"),B572,""))</f>
        <v>0</v>
      </c>
      <c r="AV572" s="31">
        <f>IF(AU572="","",COUNTIFS($AU$5:$AU$604,"&lt;"&amp;AU572)+COUNTIFS($AU$5:AU572,AU572))</f>
        <v>0</v>
      </c>
      <c r="AW572" s="31">
        <f>IF(OR(G572="",B572=""),"",B572-TodayDate)</f>
        <v>0</v>
      </c>
      <c r="AX572" s="39">
        <f>IF(G572="","",IF(P572="Cancelled","Cancelled",IF(P572="No access","Action - no access, rebook",IF(AND(B572&lt;&gt;"",AW572&lt;0,OR(P572="Booked",P572="Confirmed",P572="In progress")),"Late - mark it completed",IF(AND(P572="Completed",AP572=""),"Action - not invoiced yet",IF(AND(AW572&gt;=0,AW572&lt;=ReminderDays,Y572&lt;&gt;"Yes"),"Confirm - visit coming up",IF(R572="","Assign - no cleaner booked",IF(AND(P572="Completed",AO572&lt;&gt;"",AO572&lt;1),"Check - checklist unfinished","OK"))))))))</f>
        <v>0</v>
      </c>
    </row>
    <row r="573" spans="1:50">
      <c r="A573" s="43">
        <f>IF(G573="","",JobPrefix&amp;TEXT(ROW()-4,"0000"))</f>
        <v>0</v>
      </c>
      <c r="C573" s="23">
        <f>IF(B573="","",TEXT(B573,"ddd"))</f>
        <v>0</v>
      </c>
      <c r="D573" s="31">
        <f>IF(B573="","",WEEKNUM(B573,IF(WeekStart="Sunday",1,2)))</f>
        <v>0</v>
      </c>
      <c r="E573" s="23">
        <f>IF(B573="","",TEXT(B573,"yyyy-mm"))</f>
        <v>0</v>
      </c>
      <c r="H573" s="23">
        <f>IF(G573="","",IFERROR(INDEX(Clients!$B$5:$B$204,MATCH(G573,Clients!$A$5:$A$204,0)),"Not found"))</f>
        <v>0</v>
      </c>
      <c r="I573" s="23">
        <f>IF(G573="","",IFERROR(INDEX(Clients!$C$5:$C$204,MATCH(G573,Clients!$A$5:$A$204,0)),""))</f>
        <v>0</v>
      </c>
      <c r="K573" s="23">
        <f>IF(J573="","",IFERROR(INDEX(Properties!$B$5:$B$254,MATCH(J573,Properties!$A$5:$A$254,0)),""))</f>
        <v>0</v>
      </c>
      <c r="L573" s="23">
        <f>IF(J573="","",IFERROR(INDEX(Properties!$F$5:$F$254,MATCH(J573,Properties!$A$5:$A$254,0)),""))</f>
        <v>0</v>
      </c>
      <c r="AD573" s="34">
        <f>IF(G573="","",IF(U573&lt;&gt;"",U573,IF(AND(IFERROR(INDEX(Services!$D$5:$D$64,MATCH(M573,Services!$B$5:$B$64,0)),"")="Per hour",IFERROR(INDEX(Properties!$X$5:$X$254,MATCH(J573,Properties!$A$5:$A$254,0)),0)&gt;0),IFERROR(INDEX(Properties!$X$5:$X$254,MATCH(J573,Properties!$A$5:$A$254,0)),0),IF(IFERROR(INDEX(Services!$G$5:$G$64,MATCH(M573,Services!$B$5:$B$64,0)),0)&gt;0,IFERROR(INDEX(Services!$G$5:$G$64,MATCH(M573,Services!$B$5:$B$64,0)),0),IFERROR(INDEX(Properties!$X$5:$X$254,MATCH(J573,Properties!$A$5:$A$254,0)),0)))))</f>
        <v>0</v>
      </c>
      <c r="AE573" s="31">
        <f>IF(G573="","",IF(T573="",CleanersPerJob,MAX(1,T573)))</f>
        <v>0</v>
      </c>
      <c r="AF573" s="34">
        <f>IF(G573="","",ROUND(AD573/AE573,2))</f>
        <v>0</v>
      </c>
      <c r="AG573" s="53">
        <f>IF(OR(G573="",F573="",AF573=""),"",F573+AF573/24)</f>
        <v>0</v>
      </c>
      <c r="AH573" s="21">
        <f>IF(G573="","",IF(IFERROR(INDEX(Clients!$O$5:$O$204,MATCH(G573,Clients!$A$5:$A$204,0)),0)&gt;0,IFERROR(INDEX(Clients!$O$5:$O$204,MATCH(G573,Clients!$A$5:$A$204,0)),0),HourlyRate))</f>
        <v>0</v>
      </c>
      <c r="AI573" s="21">
        <f>IF(G573="","",IF(AND(M573&lt;&gt;"",IFERROR(INDEX(Services!$P$5:$P$64,MATCH(M573,Services!$B$5:$B$64,0)),0)&gt;0,IFERROR(INDEX(Services!$D$5:$D$64,MATCH(M573,Services!$B$5:$B$64,0)),"")&lt;&gt;"Per hour"),IFERROR(INDEX(Services!$P$5:$P$64,MATCH(M573,Services!$B$5:$B$64,0)),0),AD573*AH573))</f>
        <v>0</v>
      </c>
      <c r="AJ573" s="21">
        <f>IF(G573="","",IF(V573&lt;&gt;"",V573,IF(P573="Cancelled",0,MAX(MinimumCharge,ROUND(AI573*IFERROR(INDEX(FreqFactors,MATCH(O573,FreqNames,0)),1),2)))))</f>
        <v>0</v>
      </c>
      <c r="AK573" s="34">
        <f>IF(G573="","",IF(SUMIFS(Timesheets!$U$5:$U$804,Timesheets!$G$5:$G$804,A573)&gt;0,SUMIFS(Timesheets!$U$5:$U$804,Timesheets!$G$5:$G$804,A573),IF(Z573="","",Z573)))</f>
        <v>0</v>
      </c>
      <c r="AL573" s="34">
        <f>IF(OR(AK573="",AD573=""),"",AK573-AD573)</f>
        <v>0</v>
      </c>
      <c r="AM573" s="31">
        <f>IF(A573="","",COUNTIFS('Job Tasks'!$B$5:$B$904,A573))</f>
        <v>0</v>
      </c>
      <c r="AN573" s="31">
        <f>IF(A573="","",COUNTIFS('Job Tasks'!$B$5:$B$904,A573,'Job Tasks'!$H$5:$H$904,"Done"))</f>
        <v>0</v>
      </c>
      <c r="AO573" s="38">
        <f>IF(OR(A573="",AM573=0),"",AN573/AM573)</f>
        <v>0</v>
      </c>
      <c r="AP573" s="43">
        <f>IF(A573="","",IFERROR(INDEX('Invoice Lines'!$B$5:$B$804,MATCH(A573,'Invoice Lines'!$C$5:$C$804,0)),""))</f>
        <v>0</v>
      </c>
      <c r="AQ573" s="18">
        <f>IF(OR(G573="",B573="",X573&lt;&gt;"Yes"),"",IF(IFERROR(INDEX(FreqDays,MATCH(O573,FreqNames,0)),0)=0,"",B573+IFERROR(INDEX(FreqDays,MATCH(O573,FreqNames,0)),0)))</f>
        <v>0</v>
      </c>
      <c r="AR573" s="39">
        <f>IF(G573="","",IF(R573="","Unassigned",IF(COUNTIFS($R$5:$R$604,R573,$B$5:$B$604,B573,$F$5:$F$604,F573)&gt;1,"Clash",IF(SUMIFS($AF$5:$AF$604,$R$5:$R$604,R573,$B$5:$B$604,B573)&gt;ProductiveHours,"Long day","OK"))))</f>
        <v>0</v>
      </c>
      <c r="AS573" s="18">
        <f>IF(OR(G573="",B573=""),"",IF(AND(B573&gt;=TodayDate,P573&lt;&gt;"Cancelled"),B573,""))</f>
        <v>0</v>
      </c>
      <c r="AT573" s="31">
        <f>IF(AS573="","",COUNTIFS($AS$5:$AS$604,"&lt;"&amp;AS573)+COUNTIFS($AS$5:AS573,AS573))</f>
        <v>0</v>
      </c>
      <c r="AU573" s="18">
        <f>IF(OR(G573="",B573="",R573&lt;&gt;""),"",IF(AND(B573&gt;=TodayDate,P573&lt;&gt;"Cancelled"),B573,""))</f>
        <v>0</v>
      </c>
      <c r="AV573" s="31">
        <f>IF(AU573="","",COUNTIFS($AU$5:$AU$604,"&lt;"&amp;AU573)+COUNTIFS($AU$5:AU573,AU573))</f>
        <v>0</v>
      </c>
      <c r="AW573" s="31">
        <f>IF(OR(G573="",B573=""),"",B573-TodayDate)</f>
        <v>0</v>
      </c>
      <c r="AX573" s="39">
        <f>IF(G573="","",IF(P573="Cancelled","Cancelled",IF(P573="No access","Action - no access, rebook",IF(AND(B573&lt;&gt;"",AW573&lt;0,OR(P573="Booked",P573="Confirmed",P573="In progress")),"Late - mark it completed",IF(AND(P573="Completed",AP573=""),"Action - not invoiced yet",IF(AND(AW573&gt;=0,AW573&lt;=ReminderDays,Y573&lt;&gt;"Yes"),"Confirm - visit coming up",IF(R573="","Assign - no cleaner booked",IF(AND(P573="Completed",AO573&lt;&gt;"",AO573&lt;1),"Check - checklist unfinished","OK"))))))))</f>
        <v>0</v>
      </c>
    </row>
    <row r="574" spans="1:50">
      <c r="A574" s="43">
        <f>IF(G574="","",JobPrefix&amp;TEXT(ROW()-4,"0000"))</f>
        <v>0</v>
      </c>
      <c r="C574" s="23">
        <f>IF(B574="","",TEXT(B574,"ddd"))</f>
        <v>0</v>
      </c>
      <c r="D574" s="31">
        <f>IF(B574="","",WEEKNUM(B574,IF(WeekStart="Sunday",1,2)))</f>
        <v>0</v>
      </c>
      <c r="E574" s="23">
        <f>IF(B574="","",TEXT(B574,"yyyy-mm"))</f>
        <v>0</v>
      </c>
      <c r="H574" s="23">
        <f>IF(G574="","",IFERROR(INDEX(Clients!$B$5:$B$204,MATCH(G574,Clients!$A$5:$A$204,0)),"Not found"))</f>
        <v>0</v>
      </c>
      <c r="I574" s="23">
        <f>IF(G574="","",IFERROR(INDEX(Clients!$C$5:$C$204,MATCH(G574,Clients!$A$5:$A$204,0)),""))</f>
        <v>0</v>
      </c>
      <c r="K574" s="23">
        <f>IF(J574="","",IFERROR(INDEX(Properties!$B$5:$B$254,MATCH(J574,Properties!$A$5:$A$254,0)),""))</f>
        <v>0</v>
      </c>
      <c r="L574" s="23">
        <f>IF(J574="","",IFERROR(INDEX(Properties!$F$5:$F$254,MATCH(J574,Properties!$A$5:$A$254,0)),""))</f>
        <v>0</v>
      </c>
      <c r="AD574" s="34">
        <f>IF(G574="","",IF(U574&lt;&gt;"",U574,IF(AND(IFERROR(INDEX(Services!$D$5:$D$64,MATCH(M574,Services!$B$5:$B$64,0)),"")="Per hour",IFERROR(INDEX(Properties!$X$5:$X$254,MATCH(J574,Properties!$A$5:$A$254,0)),0)&gt;0),IFERROR(INDEX(Properties!$X$5:$X$254,MATCH(J574,Properties!$A$5:$A$254,0)),0),IF(IFERROR(INDEX(Services!$G$5:$G$64,MATCH(M574,Services!$B$5:$B$64,0)),0)&gt;0,IFERROR(INDEX(Services!$G$5:$G$64,MATCH(M574,Services!$B$5:$B$64,0)),0),IFERROR(INDEX(Properties!$X$5:$X$254,MATCH(J574,Properties!$A$5:$A$254,0)),0)))))</f>
        <v>0</v>
      </c>
      <c r="AE574" s="31">
        <f>IF(G574="","",IF(T574="",CleanersPerJob,MAX(1,T574)))</f>
        <v>0</v>
      </c>
      <c r="AF574" s="34">
        <f>IF(G574="","",ROUND(AD574/AE574,2))</f>
        <v>0</v>
      </c>
      <c r="AG574" s="53">
        <f>IF(OR(G574="",F574="",AF574=""),"",F574+AF574/24)</f>
        <v>0</v>
      </c>
      <c r="AH574" s="21">
        <f>IF(G574="","",IF(IFERROR(INDEX(Clients!$O$5:$O$204,MATCH(G574,Clients!$A$5:$A$204,0)),0)&gt;0,IFERROR(INDEX(Clients!$O$5:$O$204,MATCH(G574,Clients!$A$5:$A$204,0)),0),HourlyRate))</f>
        <v>0</v>
      </c>
      <c r="AI574" s="21">
        <f>IF(G574="","",IF(AND(M574&lt;&gt;"",IFERROR(INDEX(Services!$P$5:$P$64,MATCH(M574,Services!$B$5:$B$64,0)),0)&gt;0,IFERROR(INDEX(Services!$D$5:$D$64,MATCH(M574,Services!$B$5:$B$64,0)),"")&lt;&gt;"Per hour"),IFERROR(INDEX(Services!$P$5:$P$64,MATCH(M574,Services!$B$5:$B$64,0)),0),AD574*AH574))</f>
        <v>0</v>
      </c>
      <c r="AJ574" s="21">
        <f>IF(G574="","",IF(V574&lt;&gt;"",V574,IF(P574="Cancelled",0,MAX(MinimumCharge,ROUND(AI574*IFERROR(INDEX(FreqFactors,MATCH(O574,FreqNames,0)),1),2)))))</f>
        <v>0</v>
      </c>
      <c r="AK574" s="34">
        <f>IF(G574="","",IF(SUMIFS(Timesheets!$U$5:$U$804,Timesheets!$G$5:$G$804,A574)&gt;0,SUMIFS(Timesheets!$U$5:$U$804,Timesheets!$G$5:$G$804,A574),IF(Z574="","",Z574)))</f>
        <v>0</v>
      </c>
      <c r="AL574" s="34">
        <f>IF(OR(AK574="",AD574=""),"",AK574-AD574)</f>
        <v>0</v>
      </c>
      <c r="AM574" s="31">
        <f>IF(A574="","",COUNTIFS('Job Tasks'!$B$5:$B$904,A574))</f>
        <v>0</v>
      </c>
      <c r="AN574" s="31">
        <f>IF(A574="","",COUNTIFS('Job Tasks'!$B$5:$B$904,A574,'Job Tasks'!$H$5:$H$904,"Done"))</f>
        <v>0</v>
      </c>
      <c r="AO574" s="38">
        <f>IF(OR(A574="",AM574=0),"",AN574/AM574)</f>
        <v>0</v>
      </c>
      <c r="AP574" s="43">
        <f>IF(A574="","",IFERROR(INDEX('Invoice Lines'!$B$5:$B$804,MATCH(A574,'Invoice Lines'!$C$5:$C$804,0)),""))</f>
        <v>0</v>
      </c>
      <c r="AQ574" s="18">
        <f>IF(OR(G574="",B574="",X574&lt;&gt;"Yes"),"",IF(IFERROR(INDEX(FreqDays,MATCH(O574,FreqNames,0)),0)=0,"",B574+IFERROR(INDEX(FreqDays,MATCH(O574,FreqNames,0)),0)))</f>
        <v>0</v>
      </c>
      <c r="AR574" s="39">
        <f>IF(G574="","",IF(R574="","Unassigned",IF(COUNTIFS($R$5:$R$604,R574,$B$5:$B$604,B574,$F$5:$F$604,F574)&gt;1,"Clash",IF(SUMIFS($AF$5:$AF$604,$R$5:$R$604,R574,$B$5:$B$604,B574)&gt;ProductiveHours,"Long day","OK"))))</f>
        <v>0</v>
      </c>
      <c r="AS574" s="18">
        <f>IF(OR(G574="",B574=""),"",IF(AND(B574&gt;=TodayDate,P574&lt;&gt;"Cancelled"),B574,""))</f>
        <v>0</v>
      </c>
      <c r="AT574" s="31">
        <f>IF(AS574="","",COUNTIFS($AS$5:$AS$604,"&lt;"&amp;AS574)+COUNTIFS($AS$5:AS574,AS574))</f>
        <v>0</v>
      </c>
      <c r="AU574" s="18">
        <f>IF(OR(G574="",B574="",R574&lt;&gt;""),"",IF(AND(B574&gt;=TodayDate,P574&lt;&gt;"Cancelled"),B574,""))</f>
        <v>0</v>
      </c>
      <c r="AV574" s="31">
        <f>IF(AU574="","",COUNTIFS($AU$5:$AU$604,"&lt;"&amp;AU574)+COUNTIFS($AU$5:AU574,AU574))</f>
        <v>0</v>
      </c>
      <c r="AW574" s="31">
        <f>IF(OR(G574="",B574=""),"",B574-TodayDate)</f>
        <v>0</v>
      </c>
      <c r="AX574" s="39">
        <f>IF(G574="","",IF(P574="Cancelled","Cancelled",IF(P574="No access","Action - no access, rebook",IF(AND(B574&lt;&gt;"",AW574&lt;0,OR(P574="Booked",P574="Confirmed",P574="In progress")),"Late - mark it completed",IF(AND(P574="Completed",AP574=""),"Action - not invoiced yet",IF(AND(AW574&gt;=0,AW574&lt;=ReminderDays,Y574&lt;&gt;"Yes"),"Confirm - visit coming up",IF(R574="","Assign - no cleaner booked",IF(AND(P574="Completed",AO574&lt;&gt;"",AO574&lt;1),"Check - checklist unfinished","OK"))))))))</f>
        <v>0</v>
      </c>
    </row>
    <row r="575" spans="1:50">
      <c r="A575" s="43">
        <f>IF(G575="","",JobPrefix&amp;TEXT(ROW()-4,"0000"))</f>
        <v>0</v>
      </c>
      <c r="C575" s="23">
        <f>IF(B575="","",TEXT(B575,"ddd"))</f>
        <v>0</v>
      </c>
      <c r="D575" s="31">
        <f>IF(B575="","",WEEKNUM(B575,IF(WeekStart="Sunday",1,2)))</f>
        <v>0</v>
      </c>
      <c r="E575" s="23">
        <f>IF(B575="","",TEXT(B575,"yyyy-mm"))</f>
        <v>0</v>
      </c>
      <c r="H575" s="23">
        <f>IF(G575="","",IFERROR(INDEX(Clients!$B$5:$B$204,MATCH(G575,Clients!$A$5:$A$204,0)),"Not found"))</f>
        <v>0</v>
      </c>
      <c r="I575" s="23">
        <f>IF(G575="","",IFERROR(INDEX(Clients!$C$5:$C$204,MATCH(G575,Clients!$A$5:$A$204,0)),""))</f>
        <v>0</v>
      </c>
      <c r="K575" s="23">
        <f>IF(J575="","",IFERROR(INDEX(Properties!$B$5:$B$254,MATCH(J575,Properties!$A$5:$A$254,0)),""))</f>
        <v>0</v>
      </c>
      <c r="L575" s="23">
        <f>IF(J575="","",IFERROR(INDEX(Properties!$F$5:$F$254,MATCH(J575,Properties!$A$5:$A$254,0)),""))</f>
        <v>0</v>
      </c>
      <c r="AD575" s="34">
        <f>IF(G575="","",IF(U575&lt;&gt;"",U575,IF(AND(IFERROR(INDEX(Services!$D$5:$D$64,MATCH(M575,Services!$B$5:$B$64,0)),"")="Per hour",IFERROR(INDEX(Properties!$X$5:$X$254,MATCH(J575,Properties!$A$5:$A$254,0)),0)&gt;0),IFERROR(INDEX(Properties!$X$5:$X$254,MATCH(J575,Properties!$A$5:$A$254,0)),0),IF(IFERROR(INDEX(Services!$G$5:$G$64,MATCH(M575,Services!$B$5:$B$64,0)),0)&gt;0,IFERROR(INDEX(Services!$G$5:$G$64,MATCH(M575,Services!$B$5:$B$64,0)),0),IFERROR(INDEX(Properties!$X$5:$X$254,MATCH(J575,Properties!$A$5:$A$254,0)),0)))))</f>
        <v>0</v>
      </c>
      <c r="AE575" s="31">
        <f>IF(G575="","",IF(T575="",CleanersPerJob,MAX(1,T575)))</f>
        <v>0</v>
      </c>
      <c r="AF575" s="34">
        <f>IF(G575="","",ROUND(AD575/AE575,2))</f>
        <v>0</v>
      </c>
      <c r="AG575" s="53">
        <f>IF(OR(G575="",F575="",AF575=""),"",F575+AF575/24)</f>
        <v>0</v>
      </c>
      <c r="AH575" s="21">
        <f>IF(G575="","",IF(IFERROR(INDEX(Clients!$O$5:$O$204,MATCH(G575,Clients!$A$5:$A$204,0)),0)&gt;0,IFERROR(INDEX(Clients!$O$5:$O$204,MATCH(G575,Clients!$A$5:$A$204,0)),0),HourlyRate))</f>
        <v>0</v>
      </c>
      <c r="AI575" s="21">
        <f>IF(G575="","",IF(AND(M575&lt;&gt;"",IFERROR(INDEX(Services!$P$5:$P$64,MATCH(M575,Services!$B$5:$B$64,0)),0)&gt;0,IFERROR(INDEX(Services!$D$5:$D$64,MATCH(M575,Services!$B$5:$B$64,0)),"")&lt;&gt;"Per hour"),IFERROR(INDEX(Services!$P$5:$P$64,MATCH(M575,Services!$B$5:$B$64,0)),0),AD575*AH575))</f>
        <v>0</v>
      </c>
      <c r="AJ575" s="21">
        <f>IF(G575="","",IF(V575&lt;&gt;"",V575,IF(P575="Cancelled",0,MAX(MinimumCharge,ROUND(AI575*IFERROR(INDEX(FreqFactors,MATCH(O575,FreqNames,0)),1),2)))))</f>
        <v>0</v>
      </c>
      <c r="AK575" s="34">
        <f>IF(G575="","",IF(SUMIFS(Timesheets!$U$5:$U$804,Timesheets!$G$5:$G$804,A575)&gt;0,SUMIFS(Timesheets!$U$5:$U$804,Timesheets!$G$5:$G$804,A575),IF(Z575="","",Z575)))</f>
        <v>0</v>
      </c>
      <c r="AL575" s="34">
        <f>IF(OR(AK575="",AD575=""),"",AK575-AD575)</f>
        <v>0</v>
      </c>
      <c r="AM575" s="31">
        <f>IF(A575="","",COUNTIFS('Job Tasks'!$B$5:$B$904,A575))</f>
        <v>0</v>
      </c>
      <c r="AN575" s="31">
        <f>IF(A575="","",COUNTIFS('Job Tasks'!$B$5:$B$904,A575,'Job Tasks'!$H$5:$H$904,"Done"))</f>
        <v>0</v>
      </c>
      <c r="AO575" s="38">
        <f>IF(OR(A575="",AM575=0),"",AN575/AM575)</f>
        <v>0</v>
      </c>
      <c r="AP575" s="43">
        <f>IF(A575="","",IFERROR(INDEX('Invoice Lines'!$B$5:$B$804,MATCH(A575,'Invoice Lines'!$C$5:$C$804,0)),""))</f>
        <v>0</v>
      </c>
      <c r="AQ575" s="18">
        <f>IF(OR(G575="",B575="",X575&lt;&gt;"Yes"),"",IF(IFERROR(INDEX(FreqDays,MATCH(O575,FreqNames,0)),0)=0,"",B575+IFERROR(INDEX(FreqDays,MATCH(O575,FreqNames,0)),0)))</f>
        <v>0</v>
      </c>
      <c r="AR575" s="39">
        <f>IF(G575="","",IF(R575="","Unassigned",IF(COUNTIFS($R$5:$R$604,R575,$B$5:$B$604,B575,$F$5:$F$604,F575)&gt;1,"Clash",IF(SUMIFS($AF$5:$AF$604,$R$5:$R$604,R575,$B$5:$B$604,B575)&gt;ProductiveHours,"Long day","OK"))))</f>
        <v>0</v>
      </c>
      <c r="AS575" s="18">
        <f>IF(OR(G575="",B575=""),"",IF(AND(B575&gt;=TodayDate,P575&lt;&gt;"Cancelled"),B575,""))</f>
        <v>0</v>
      </c>
      <c r="AT575" s="31">
        <f>IF(AS575="","",COUNTIFS($AS$5:$AS$604,"&lt;"&amp;AS575)+COUNTIFS($AS$5:AS575,AS575))</f>
        <v>0</v>
      </c>
      <c r="AU575" s="18">
        <f>IF(OR(G575="",B575="",R575&lt;&gt;""),"",IF(AND(B575&gt;=TodayDate,P575&lt;&gt;"Cancelled"),B575,""))</f>
        <v>0</v>
      </c>
      <c r="AV575" s="31">
        <f>IF(AU575="","",COUNTIFS($AU$5:$AU$604,"&lt;"&amp;AU575)+COUNTIFS($AU$5:AU575,AU575))</f>
        <v>0</v>
      </c>
      <c r="AW575" s="31">
        <f>IF(OR(G575="",B575=""),"",B575-TodayDate)</f>
        <v>0</v>
      </c>
      <c r="AX575" s="39">
        <f>IF(G575="","",IF(P575="Cancelled","Cancelled",IF(P575="No access","Action - no access, rebook",IF(AND(B575&lt;&gt;"",AW575&lt;0,OR(P575="Booked",P575="Confirmed",P575="In progress")),"Late - mark it completed",IF(AND(P575="Completed",AP575=""),"Action - not invoiced yet",IF(AND(AW575&gt;=0,AW575&lt;=ReminderDays,Y575&lt;&gt;"Yes"),"Confirm - visit coming up",IF(R575="","Assign - no cleaner booked",IF(AND(P575="Completed",AO575&lt;&gt;"",AO575&lt;1),"Check - checklist unfinished","OK"))))))))</f>
        <v>0</v>
      </c>
    </row>
    <row r="576" spans="1:50">
      <c r="A576" s="43">
        <f>IF(G576="","",JobPrefix&amp;TEXT(ROW()-4,"0000"))</f>
        <v>0</v>
      </c>
      <c r="C576" s="23">
        <f>IF(B576="","",TEXT(B576,"ddd"))</f>
        <v>0</v>
      </c>
      <c r="D576" s="31">
        <f>IF(B576="","",WEEKNUM(B576,IF(WeekStart="Sunday",1,2)))</f>
        <v>0</v>
      </c>
      <c r="E576" s="23">
        <f>IF(B576="","",TEXT(B576,"yyyy-mm"))</f>
        <v>0</v>
      </c>
      <c r="H576" s="23">
        <f>IF(G576="","",IFERROR(INDEX(Clients!$B$5:$B$204,MATCH(G576,Clients!$A$5:$A$204,0)),"Not found"))</f>
        <v>0</v>
      </c>
      <c r="I576" s="23">
        <f>IF(G576="","",IFERROR(INDEX(Clients!$C$5:$C$204,MATCH(G576,Clients!$A$5:$A$204,0)),""))</f>
        <v>0</v>
      </c>
      <c r="K576" s="23">
        <f>IF(J576="","",IFERROR(INDEX(Properties!$B$5:$B$254,MATCH(J576,Properties!$A$5:$A$254,0)),""))</f>
        <v>0</v>
      </c>
      <c r="L576" s="23">
        <f>IF(J576="","",IFERROR(INDEX(Properties!$F$5:$F$254,MATCH(J576,Properties!$A$5:$A$254,0)),""))</f>
        <v>0</v>
      </c>
      <c r="AD576" s="34">
        <f>IF(G576="","",IF(U576&lt;&gt;"",U576,IF(AND(IFERROR(INDEX(Services!$D$5:$D$64,MATCH(M576,Services!$B$5:$B$64,0)),"")="Per hour",IFERROR(INDEX(Properties!$X$5:$X$254,MATCH(J576,Properties!$A$5:$A$254,0)),0)&gt;0),IFERROR(INDEX(Properties!$X$5:$X$254,MATCH(J576,Properties!$A$5:$A$254,0)),0),IF(IFERROR(INDEX(Services!$G$5:$G$64,MATCH(M576,Services!$B$5:$B$64,0)),0)&gt;0,IFERROR(INDEX(Services!$G$5:$G$64,MATCH(M576,Services!$B$5:$B$64,0)),0),IFERROR(INDEX(Properties!$X$5:$X$254,MATCH(J576,Properties!$A$5:$A$254,0)),0)))))</f>
        <v>0</v>
      </c>
      <c r="AE576" s="31">
        <f>IF(G576="","",IF(T576="",CleanersPerJob,MAX(1,T576)))</f>
        <v>0</v>
      </c>
      <c r="AF576" s="34">
        <f>IF(G576="","",ROUND(AD576/AE576,2))</f>
        <v>0</v>
      </c>
      <c r="AG576" s="53">
        <f>IF(OR(G576="",F576="",AF576=""),"",F576+AF576/24)</f>
        <v>0</v>
      </c>
      <c r="AH576" s="21">
        <f>IF(G576="","",IF(IFERROR(INDEX(Clients!$O$5:$O$204,MATCH(G576,Clients!$A$5:$A$204,0)),0)&gt;0,IFERROR(INDEX(Clients!$O$5:$O$204,MATCH(G576,Clients!$A$5:$A$204,0)),0),HourlyRate))</f>
        <v>0</v>
      </c>
      <c r="AI576" s="21">
        <f>IF(G576="","",IF(AND(M576&lt;&gt;"",IFERROR(INDEX(Services!$P$5:$P$64,MATCH(M576,Services!$B$5:$B$64,0)),0)&gt;0,IFERROR(INDEX(Services!$D$5:$D$64,MATCH(M576,Services!$B$5:$B$64,0)),"")&lt;&gt;"Per hour"),IFERROR(INDEX(Services!$P$5:$P$64,MATCH(M576,Services!$B$5:$B$64,0)),0),AD576*AH576))</f>
        <v>0</v>
      </c>
      <c r="AJ576" s="21">
        <f>IF(G576="","",IF(V576&lt;&gt;"",V576,IF(P576="Cancelled",0,MAX(MinimumCharge,ROUND(AI576*IFERROR(INDEX(FreqFactors,MATCH(O576,FreqNames,0)),1),2)))))</f>
        <v>0</v>
      </c>
      <c r="AK576" s="34">
        <f>IF(G576="","",IF(SUMIFS(Timesheets!$U$5:$U$804,Timesheets!$G$5:$G$804,A576)&gt;0,SUMIFS(Timesheets!$U$5:$U$804,Timesheets!$G$5:$G$804,A576),IF(Z576="","",Z576)))</f>
        <v>0</v>
      </c>
      <c r="AL576" s="34">
        <f>IF(OR(AK576="",AD576=""),"",AK576-AD576)</f>
        <v>0</v>
      </c>
      <c r="AM576" s="31">
        <f>IF(A576="","",COUNTIFS('Job Tasks'!$B$5:$B$904,A576))</f>
        <v>0</v>
      </c>
      <c r="AN576" s="31">
        <f>IF(A576="","",COUNTIFS('Job Tasks'!$B$5:$B$904,A576,'Job Tasks'!$H$5:$H$904,"Done"))</f>
        <v>0</v>
      </c>
      <c r="AO576" s="38">
        <f>IF(OR(A576="",AM576=0),"",AN576/AM576)</f>
        <v>0</v>
      </c>
      <c r="AP576" s="43">
        <f>IF(A576="","",IFERROR(INDEX('Invoice Lines'!$B$5:$B$804,MATCH(A576,'Invoice Lines'!$C$5:$C$804,0)),""))</f>
        <v>0</v>
      </c>
      <c r="AQ576" s="18">
        <f>IF(OR(G576="",B576="",X576&lt;&gt;"Yes"),"",IF(IFERROR(INDEX(FreqDays,MATCH(O576,FreqNames,0)),0)=0,"",B576+IFERROR(INDEX(FreqDays,MATCH(O576,FreqNames,0)),0)))</f>
        <v>0</v>
      </c>
      <c r="AR576" s="39">
        <f>IF(G576="","",IF(R576="","Unassigned",IF(COUNTIFS($R$5:$R$604,R576,$B$5:$B$604,B576,$F$5:$F$604,F576)&gt;1,"Clash",IF(SUMIFS($AF$5:$AF$604,$R$5:$R$604,R576,$B$5:$B$604,B576)&gt;ProductiveHours,"Long day","OK"))))</f>
        <v>0</v>
      </c>
      <c r="AS576" s="18">
        <f>IF(OR(G576="",B576=""),"",IF(AND(B576&gt;=TodayDate,P576&lt;&gt;"Cancelled"),B576,""))</f>
        <v>0</v>
      </c>
      <c r="AT576" s="31">
        <f>IF(AS576="","",COUNTIFS($AS$5:$AS$604,"&lt;"&amp;AS576)+COUNTIFS($AS$5:AS576,AS576))</f>
        <v>0</v>
      </c>
      <c r="AU576" s="18">
        <f>IF(OR(G576="",B576="",R576&lt;&gt;""),"",IF(AND(B576&gt;=TodayDate,P576&lt;&gt;"Cancelled"),B576,""))</f>
        <v>0</v>
      </c>
      <c r="AV576" s="31">
        <f>IF(AU576="","",COUNTIFS($AU$5:$AU$604,"&lt;"&amp;AU576)+COUNTIFS($AU$5:AU576,AU576))</f>
        <v>0</v>
      </c>
      <c r="AW576" s="31">
        <f>IF(OR(G576="",B576=""),"",B576-TodayDate)</f>
        <v>0</v>
      </c>
      <c r="AX576" s="39">
        <f>IF(G576="","",IF(P576="Cancelled","Cancelled",IF(P576="No access","Action - no access, rebook",IF(AND(B576&lt;&gt;"",AW576&lt;0,OR(P576="Booked",P576="Confirmed",P576="In progress")),"Late - mark it completed",IF(AND(P576="Completed",AP576=""),"Action - not invoiced yet",IF(AND(AW576&gt;=0,AW576&lt;=ReminderDays,Y576&lt;&gt;"Yes"),"Confirm - visit coming up",IF(R576="","Assign - no cleaner booked",IF(AND(P576="Completed",AO576&lt;&gt;"",AO576&lt;1),"Check - checklist unfinished","OK"))))))))</f>
        <v>0</v>
      </c>
    </row>
    <row r="577" spans="1:50">
      <c r="A577" s="43">
        <f>IF(G577="","",JobPrefix&amp;TEXT(ROW()-4,"0000"))</f>
        <v>0</v>
      </c>
      <c r="C577" s="23">
        <f>IF(B577="","",TEXT(B577,"ddd"))</f>
        <v>0</v>
      </c>
      <c r="D577" s="31">
        <f>IF(B577="","",WEEKNUM(B577,IF(WeekStart="Sunday",1,2)))</f>
        <v>0</v>
      </c>
      <c r="E577" s="23">
        <f>IF(B577="","",TEXT(B577,"yyyy-mm"))</f>
        <v>0</v>
      </c>
      <c r="H577" s="23">
        <f>IF(G577="","",IFERROR(INDEX(Clients!$B$5:$B$204,MATCH(G577,Clients!$A$5:$A$204,0)),"Not found"))</f>
        <v>0</v>
      </c>
      <c r="I577" s="23">
        <f>IF(G577="","",IFERROR(INDEX(Clients!$C$5:$C$204,MATCH(G577,Clients!$A$5:$A$204,0)),""))</f>
        <v>0</v>
      </c>
      <c r="K577" s="23">
        <f>IF(J577="","",IFERROR(INDEX(Properties!$B$5:$B$254,MATCH(J577,Properties!$A$5:$A$254,0)),""))</f>
        <v>0</v>
      </c>
      <c r="L577" s="23">
        <f>IF(J577="","",IFERROR(INDEX(Properties!$F$5:$F$254,MATCH(J577,Properties!$A$5:$A$254,0)),""))</f>
        <v>0</v>
      </c>
      <c r="AD577" s="34">
        <f>IF(G577="","",IF(U577&lt;&gt;"",U577,IF(AND(IFERROR(INDEX(Services!$D$5:$D$64,MATCH(M577,Services!$B$5:$B$64,0)),"")="Per hour",IFERROR(INDEX(Properties!$X$5:$X$254,MATCH(J577,Properties!$A$5:$A$254,0)),0)&gt;0),IFERROR(INDEX(Properties!$X$5:$X$254,MATCH(J577,Properties!$A$5:$A$254,0)),0),IF(IFERROR(INDEX(Services!$G$5:$G$64,MATCH(M577,Services!$B$5:$B$64,0)),0)&gt;0,IFERROR(INDEX(Services!$G$5:$G$64,MATCH(M577,Services!$B$5:$B$64,0)),0),IFERROR(INDEX(Properties!$X$5:$X$254,MATCH(J577,Properties!$A$5:$A$254,0)),0)))))</f>
        <v>0</v>
      </c>
      <c r="AE577" s="31">
        <f>IF(G577="","",IF(T577="",CleanersPerJob,MAX(1,T577)))</f>
        <v>0</v>
      </c>
      <c r="AF577" s="34">
        <f>IF(G577="","",ROUND(AD577/AE577,2))</f>
        <v>0</v>
      </c>
      <c r="AG577" s="53">
        <f>IF(OR(G577="",F577="",AF577=""),"",F577+AF577/24)</f>
        <v>0</v>
      </c>
      <c r="AH577" s="21">
        <f>IF(G577="","",IF(IFERROR(INDEX(Clients!$O$5:$O$204,MATCH(G577,Clients!$A$5:$A$204,0)),0)&gt;0,IFERROR(INDEX(Clients!$O$5:$O$204,MATCH(G577,Clients!$A$5:$A$204,0)),0),HourlyRate))</f>
        <v>0</v>
      </c>
      <c r="AI577" s="21">
        <f>IF(G577="","",IF(AND(M577&lt;&gt;"",IFERROR(INDEX(Services!$P$5:$P$64,MATCH(M577,Services!$B$5:$B$64,0)),0)&gt;0,IFERROR(INDEX(Services!$D$5:$D$64,MATCH(M577,Services!$B$5:$B$64,0)),"")&lt;&gt;"Per hour"),IFERROR(INDEX(Services!$P$5:$P$64,MATCH(M577,Services!$B$5:$B$64,0)),0),AD577*AH577))</f>
        <v>0</v>
      </c>
      <c r="AJ577" s="21">
        <f>IF(G577="","",IF(V577&lt;&gt;"",V577,IF(P577="Cancelled",0,MAX(MinimumCharge,ROUND(AI577*IFERROR(INDEX(FreqFactors,MATCH(O577,FreqNames,0)),1),2)))))</f>
        <v>0</v>
      </c>
      <c r="AK577" s="34">
        <f>IF(G577="","",IF(SUMIFS(Timesheets!$U$5:$U$804,Timesheets!$G$5:$G$804,A577)&gt;0,SUMIFS(Timesheets!$U$5:$U$804,Timesheets!$G$5:$G$804,A577),IF(Z577="","",Z577)))</f>
        <v>0</v>
      </c>
      <c r="AL577" s="34">
        <f>IF(OR(AK577="",AD577=""),"",AK577-AD577)</f>
        <v>0</v>
      </c>
      <c r="AM577" s="31">
        <f>IF(A577="","",COUNTIFS('Job Tasks'!$B$5:$B$904,A577))</f>
        <v>0</v>
      </c>
      <c r="AN577" s="31">
        <f>IF(A577="","",COUNTIFS('Job Tasks'!$B$5:$B$904,A577,'Job Tasks'!$H$5:$H$904,"Done"))</f>
        <v>0</v>
      </c>
      <c r="AO577" s="38">
        <f>IF(OR(A577="",AM577=0),"",AN577/AM577)</f>
        <v>0</v>
      </c>
      <c r="AP577" s="43">
        <f>IF(A577="","",IFERROR(INDEX('Invoice Lines'!$B$5:$B$804,MATCH(A577,'Invoice Lines'!$C$5:$C$804,0)),""))</f>
        <v>0</v>
      </c>
      <c r="AQ577" s="18">
        <f>IF(OR(G577="",B577="",X577&lt;&gt;"Yes"),"",IF(IFERROR(INDEX(FreqDays,MATCH(O577,FreqNames,0)),0)=0,"",B577+IFERROR(INDEX(FreqDays,MATCH(O577,FreqNames,0)),0)))</f>
        <v>0</v>
      </c>
      <c r="AR577" s="39">
        <f>IF(G577="","",IF(R577="","Unassigned",IF(COUNTIFS($R$5:$R$604,R577,$B$5:$B$604,B577,$F$5:$F$604,F577)&gt;1,"Clash",IF(SUMIFS($AF$5:$AF$604,$R$5:$R$604,R577,$B$5:$B$604,B577)&gt;ProductiveHours,"Long day","OK"))))</f>
        <v>0</v>
      </c>
      <c r="AS577" s="18">
        <f>IF(OR(G577="",B577=""),"",IF(AND(B577&gt;=TodayDate,P577&lt;&gt;"Cancelled"),B577,""))</f>
        <v>0</v>
      </c>
      <c r="AT577" s="31">
        <f>IF(AS577="","",COUNTIFS($AS$5:$AS$604,"&lt;"&amp;AS577)+COUNTIFS($AS$5:AS577,AS577))</f>
        <v>0</v>
      </c>
      <c r="AU577" s="18">
        <f>IF(OR(G577="",B577="",R577&lt;&gt;""),"",IF(AND(B577&gt;=TodayDate,P577&lt;&gt;"Cancelled"),B577,""))</f>
        <v>0</v>
      </c>
      <c r="AV577" s="31">
        <f>IF(AU577="","",COUNTIFS($AU$5:$AU$604,"&lt;"&amp;AU577)+COUNTIFS($AU$5:AU577,AU577))</f>
        <v>0</v>
      </c>
      <c r="AW577" s="31">
        <f>IF(OR(G577="",B577=""),"",B577-TodayDate)</f>
        <v>0</v>
      </c>
      <c r="AX577" s="39">
        <f>IF(G577="","",IF(P577="Cancelled","Cancelled",IF(P577="No access","Action - no access, rebook",IF(AND(B577&lt;&gt;"",AW577&lt;0,OR(P577="Booked",P577="Confirmed",P577="In progress")),"Late - mark it completed",IF(AND(P577="Completed",AP577=""),"Action - not invoiced yet",IF(AND(AW577&gt;=0,AW577&lt;=ReminderDays,Y577&lt;&gt;"Yes"),"Confirm - visit coming up",IF(R577="","Assign - no cleaner booked",IF(AND(P577="Completed",AO577&lt;&gt;"",AO577&lt;1),"Check - checklist unfinished","OK"))))))))</f>
        <v>0</v>
      </c>
    </row>
    <row r="578" spans="1:50">
      <c r="A578" s="43">
        <f>IF(G578="","",JobPrefix&amp;TEXT(ROW()-4,"0000"))</f>
        <v>0</v>
      </c>
      <c r="C578" s="23">
        <f>IF(B578="","",TEXT(B578,"ddd"))</f>
        <v>0</v>
      </c>
      <c r="D578" s="31">
        <f>IF(B578="","",WEEKNUM(B578,IF(WeekStart="Sunday",1,2)))</f>
        <v>0</v>
      </c>
      <c r="E578" s="23">
        <f>IF(B578="","",TEXT(B578,"yyyy-mm"))</f>
        <v>0</v>
      </c>
      <c r="H578" s="23">
        <f>IF(G578="","",IFERROR(INDEX(Clients!$B$5:$B$204,MATCH(G578,Clients!$A$5:$A$204,0)),"Not found"))</f>
        <v>0</v>
      </c>
      <c r="I578" s="23">
        <f>IF(G578="","",IFERROR(INDEX(Clients!$C$5:$C$204,MATCH(G578,Clients!$A$5:$A$204,0)),""))</f>
        <v>0</v>
      </c>
      <c r="K578" s="23">
        <f>IF(J578="","",IFERROR(INDEX(Properties!$B$5:$B$254,MATCH(J578,Properties!$A$5:$A$254,0)),""))</f>
        <v>0</v>
      </c>
      <c r="L578" s="23">
        <f>IF(J578="","",IFERROR(INDEX(Properties!$F$5:$F$254,MATCH(J578,Properties!$A$5:$A$254,0)),""))</f>
        <v>0</v>
      </c>
      <c r="AD578" s="34">
        <f>IF(G578="","",IF(U578&lt;&gt;"",U578,IF(AND(IFERROR(INDEX(Services!$D$5:$D$64,MATCH(M578,Services!$B$5:$B$64,0)),"")="Per hour",IFERROR(INDEX(Properties!$X$5:$X$254,MATCH(J578,Properties!$A$5:$A$254,0)),0)&gt;0),IFERROR(INDEX(Properties!$X$5:$X$254,MATCH(J578,Properties!$A$5:$A$254,0)),0),IF(IFERROR(INDEX(Services!$G$5:$G$64,MATCH(M578,Services!$B$5:$B$64,0)),0)&gt;0,IFERROR(INDEX(Services!$G$5:$G$64,MATCH(M578,Services!$B$5:$B$64,0)),0),IFERROR(INDEX(Properties!$X$5:$X$254,MATCH(J578,Properties!$A$5:$A$254,0)),0)))))</f>
        <v>0</v>
      </c>
      <c r="AE578" s="31">
        <f>IF(G578="","",IF(T578="",CleanersPerJob,MAX(1,T578)))</f>
        <v>0</v>
      </c>
      <c r="AF578" s="34">
        <f>IF(G578="","",ROUND(AD578/AE578,2))</f>
        <v>0</v>
      </c>
      <c r="AG578" s="53">
        <f>IF(OR(G578="",F578="",AF578=""),"",F578+AF578/24)</f>
        <v>0</v>
      </c>
      <c r="AH578" s="21">
        <f>IF(G578="","",IF(IFERROR(INDEX(Clients!$O$5:$O$204,MATCH(G578,Clients!$A$5:$A$204,0)),0)&gt;0,IFERROR(INDEX(Clients!$O$5:$O$204,MATCH(G578,Clients!$A$5:$A$204,0)),0),HourlyRate))</f>
        <v>0</v>
      </c>
      <c r="AI578" s="21">
        <f>IF(G578="","",IF(AND(M578&lt;&gt;"",IFERROR(INDEX(Services!$P$5:$P$64,MATCH(M578,Services!$B$5:$B$64,0)),0)&gt;0,IFERROR(INDEX(Services!$D$5:$D$64,MATCH(M578,Services!$B$5:$B$64,0)),"")&lt;&gt;"Per hour"),IFERROR(INDEX(Services!$P$5:$P$64,MATCH(M578,Services!$B$5:$B$64,0)),0),AD578*AH578))</f>
        <v>0</v>
      </c>
      <c r="AJ578" s="21">
        <f>IF(G578="","",IF(V578&lt;&gt;"",V578,IF(P578="Cancelled",0,MAX(MinimumCharge,ROUND(AI578*IFERROR(INDEX(FreqFactors,MATCH(O578,FreqNames,0)),1),2)))))</f>
        <v>0</v>
      </c>
      <c r="AK578" s="34">
        <f>IF(G578="","",IF(SUMIFS(Timesheets!$U$5:$U$804,Timesheets!$G$5:$G$804,A578)&gt;0,SUMIFS(Timesheets!$U$5:$U$804,Timesheets!$G$5:$G$804,A578),IF(Z578="","",Z578)))</f>
        <v>0</v>
      </c>
      <c r="AL578" s="34">
        <f>IF(OR(AK578="",AD578=""),"",AK578-AD578)</f>
        <v>0</v>
      </c>
      <c r="AM578" s="31">
        <f>IF(A578="","",COUNTIFS('Job Tasks'!$B$5:$B$904,A578))</f>
        <v>0</v>
      </c>
      <c r="AN578" s="31">
        <f>IF(A578="","",COUNTIFS('Job Tasks'!$B$5:$B$904,A578,'Job Tasks'!$H$5:$H$904,"Done"))</f>
        <v>0</v>
      </c>
      <c r="AO578" s="38">
        <f>IF(OR(A578="",AM578=0),"",AN578/AM578)</f>
        <v>0</v>
      </c>
      <c r="AP578" s="43">
        <f>IF(A578="","",IFERROR(INDEX('Invoice Lines'!$B$5:$B$804,MATCH(A578,'Invoice Lines'!$C$5:$C$804,0)),""))</f>
        <v>0</v>
      </c>
      <c r="AQ578" s="18">
        <f>IF(OR(G578="",B578="",X578&lt;&gt;"Yes"),"",IF(IFERROR(INDEX(FreqDays,MATCH(O578,FreqNames,0)),0)=0,"",B578+IFERROR(INDEX(FreqDays,MATCH(O578,FreqNames,0)),0)))</f>
        <v>0</v>
      </c>
      <c r="AR578" s="39">
        <f>IF(G578="","",IF(R578="","Unassigned",IF(COUNTIFS($R$5:$R$604,R578,$B$5:$B$604,B578,$F$5:$F$604,F578)&gt;1,"Clash",IF(SUMIFS($AF$5:$AF$604,$R$5:$R$604,R578,$B$5:$B$604,B578)&gt;ProductiveHours,"Long day","OK"))))</f>
        <v>0</v>
      </c>
      <c r="AS578" s="18">
        <f>IF(OR(G578="",B578=""),"",IF(AND(B578&gt;=TodayDate,P578&lt;&gt;"Cancelled"),B578,""))</f>
        <v>0</v>
      </c>
      <c r="AT578" s="31">
        <f>IF(AS578="","",COUNTIFS($AS$5:$AS$604,"&lt;"&amp;AS578)+COUNTIFS($AS$5:AS578,AS578))</f>
        <v>0</v>
      </c>
      <c r="AU578" s="18">
        <f>IF(OR(G578="",B578="",R578&lt;&gt;""),"",IF(AND(B578&gt;=TodayDate,P578&lt;&gt;"Cancelled"),B578,""))</f>
        <v>0</v>
      </c>
      <c r="AV578" s="31">
        <f>IF(AU578="","",COUNTIFS($AU$5:$AU$604,"&lt;"&amp;AU578)+COUNTIFS($AU$5:AU578,AU578))</f>
        <v>0</v>
      </c>
      <c r="AW578" s="31">
        <f>IF(OR(G578="",B578=""),"",B578-TodayDate)</f>
        <v>0</v>
      </c>
      <c r="AX578" s="39">
        <f>IF(G578="","",IF(P578="Cancelled","Cancelled",IF(P578="No access","Action - no access, rebook",IF(AND(B578&lt;&gt;"",AW578&lt;0,OR(P578="Booked",P578="Confirmed",P578="In progress")),"Late - mark it completed",IF(AND(P578="Completed",AP578=""),"Action - not invoiced yet",IF(AND(AW578&gt;=0,AW578&lt;=ReminderDays,Y578&lt;&gt;"Yes"),"Confirm - visit coming up",IF(R578="","Assign - no cleaner booked",IF(AND(P578="Completed",AO578&lt;&gt;"",AO578&lt;1),"Check - checklist unfinished","OK"))))))))</f>
        <v>0</v>
      </c>
    </row>
    <row r="579" spans="1:50">
      <c r="A579" s="43">
        <f>IF(G579="","",JobPrefix&amp;TEXT(ROW()-4,"0000"))</f>
        <v>0</v>
      </c>
      <c r="C579" s="23">
        <f>IF(B579="","",TEXT(B579,"ddd"))</f>
        <v>0</v>
      </c>
      <c r="D579" s="31">
        <f>IF(B579="","",WEEKNUM(B579,IF(WeekStart="Sunday",1,2)))</f>
        <v>0</v>
      </c>
      <c r="E579" s="23">
        <f>IF(B579="","",TEXT(B579,"yyyy-mm"))</f>
        <v>0</v>
      </c>
      <c r="H579" s="23">
        <f>IF(G579="","",IFERROR(INDEX(Clients!$B$5:$B$204,MATCH(G579,Clients!$A$5:$A$204,0)),"Not found"))</f>
        <v>0</v>
      </c>
      <c r="I579" s="23">
        <f>IF(G579="","",IFERROR(INDEX(Clients!$C$5:$C$204,MATCH(G579,Clients!$A$5:$A$204,0)),""))</f>
        <v>0</v>
      </c>
      <c r="K579" s="23">
        <f>IF(J579="","",IFERROR(INDEX(Properties!$B$5:$B$254,MATCH(J579,Properties!$A$5:$A$254,0)),""))</f>
        <v>0</v>
      </c>
      <c r="L579" s="23">
        <f>IF(J579="","",IFERROR(INDEX(Properties!$F$5:$F$254,MATCH(J579,Properties!$A$5:$A$254,0)),""))</f>
        <v>0</v>
      </c>
      <c r="AD579" s="34">
        <f>IF(G579="","",IF(U579&lt;&gt;"",U579,IF(AND(IFERROR(INDEX(Services!$D$5:$D$64,MATCH(M579,Services!$B$5:$B$64,0)),"")="Per hour",IFERROR(INDEX(Properties!$X$5:$X$254,MATCH(J579,Properties!$A$5:$A$254,0)),0)&gt;0),IFERROR(INDEX(Properties!$X$5:$X$254,MATCH(J579,Properties!$A$5:$A$254,0)),0),IF(IFERROR(INDEX(Services!$G$5:$G$64,MATCH(M579,Services!$B$5:$B$64,0)),0)&gt;0,IFERROR(INDEX(Services!$G$5:$G$64,MATCH(M579,Services!$B$5:$B$64,0)),0),IFERROR(INDEX(Properties!$X$5:$X$254,MATCH(J579,Properties!$A$5:$A$254,0)),0)))))</f>
        <v>0</v>
      </c>
      <c r="AE579" s="31">
        <f>IF(G579="","",IF(T579="",CleanersPerJob,MAX(1,T579)))</f>
        <v>0</v>
      </c>
      <c r="AF579" s="34">
        <f>IF(G579="","",ROUND(AD579/AE579,2))</f>
        <v>0</v>
      </c>
      <c r="AG579" s="53">
        <f>IF(OR(G579="",F579="",AF579=""),"",F579+AF579/24)</f>
        <v>0</v>
      </c>
      <c r="AH579" s="21">
        <f>IF(G579="","",IF(IFERROR(INDEX(Clients!$O$5:$O$204,MATCH(G579,Clients!$A$5:$A$204,0)),0)&gt;0,IFERROR(INDEX(Clients!$O$5:$O$204,MATCH(G579,Clients!$A$5:$A$204,0)),0),HourlyRate))</f>
        <v>0</v>
      </c>
      <c r="AI579" s="21">
        <f>IF(G579="","",IF(AND(M579&lt;&gt;"",IFERROR(INDEX(Services!$P$5:$P$64,MATCH(M579,Services!$B$5:$B$64,0)),0)&gt;0,IFERROR(INDEX(Services!$D$5:$D$64,MATCH(M579,Services!$B$5:$B$64,0)),"")&lt;&gt;"Per hour"),IFERROR(INDEX(Services!$P$5:$P$64,MATCH(M579,Services!$B$5:$B$64,0)),0),AD579*AH579))</f>
        <v>0</v>
      </c>
      <c r="AJ579" s="21">
        <f>IF(G579="","",IF(V579&lt;&gt;"",V579,IF(P579="Cancelled",0,MAX(MinimumCharge,ROUND(AI579*IFERROR(INDEX(FreqFactors,MATCH(O579,FreqNames,0)),1),2)))))</f>
        <v>0</v>
      </c>
      <c r="AK579" s="34">
        <f>IF(G579="","",IF(SUMIFS(Timesheets!$U$5:$U$804,Timesheets!$G$5:$G$804,A579)&gt;0,SUMIFS(Timesheets!$U$5:$U$804,Timesheets!$G$5:$G$804,A579),IF(Z579="","",Z579)))</f>
        <v>0</v>
      </c>
      <c r="AL579" s="34">
        <f>IF(OR(AK579="",AD579=""),"",AK579-AD579)</f>
        <v>0</v>
      </c>
      <c r="AM579" s="31">
        <f>IF(A579="","",COUNTIFS('Job Tasks'!$B$5:$B$904,A579))</f>
        <v>0</v>
      </c>
      <c r="AN579" s="31">
        <f>IF(A579="","",COUNTIFS('Job Tasks'!$B$5:$B$904,A579,'Job Tasks'!$H$5:$H$904,"Done"))</f>
        <v>0</v>
      </c>
      <c r="AO579" s="38">
        <f>IF(OR(A579="",AM579=0),"",AN579/AM579)</f>
        <v>0</v>
      </c>
      <c r="AP579" s="43">
        <f>IF(A579="","",IFERROR(INDEX('Invoice Lines'!$B$5:$B$804,MATCH(A579,'Invoice Lines'!$C$5:$C$804,0)),""))</f>
        <v>0</v>
      </c>
      <c r="AQ579" s="18">
        <f>IF(OR(G579="",B579="",X579&lt;&gt;"Yes"),"",IF(IFERROR(INDEX(FreqDays,MATCH(O579,FreqNames,0)),0)=0,"",B579+IFERROR(INDEX(FreqDays,MATCH(O579,FreqNames,0)),0)))</f>
        <v>0</v>
      </c>
      <c r="AR579" s="39">
        <f>IF(G579="","",IF(R579="","Unassigned",IF(COUNTIFS($R$5:$R$604,R579,$B$5:$B$604,B579,$F$5:$F$604,F579)&gt;1,"Clash",IF(SUMIFS($AF$5:$AF$604,$R$5:$R$604,R579,$B$5:$B$604,B579)&gt;ProductiveHours,"Long day","OK"))))</f>
        <v>0</v>
      </c>
      <c r="AS579" s="18">
        <f>IF(OR(G579="",B579=""),"",IF(AND(B579&gt;=TodayDate,P579&lt;&gt;"Cancelled"),B579,""))</f>
        <v>0</v>
      </c>
      <c r="AT579" s="31">
        <f>IF(AS579="","",COUNTIFS($AS$5:$AS$604,"&lt;"&amp;AS579)+COUNTIFS($AS$5:AS579,AS579))</f>
        <v>0</v>
      </c>
      <c r="AU579" s="18">
        <f>IF(OR(G579="",B579="",R579&lt;&gt;""),"",IF(AND(B579&gt;=TodayDate,P579&lt;&gt;"Cancelled"),B579,""))</f>
        <v>0</v>
      </c>
      <c r="AV579" s="31">
        <f>IF(AU579="","",COUNTIFS($AU$5:$AU$604,"&lt;"&amp;AU579)+COUNTIFS($AU$5:AU579,AU579))</f>
        <v>0</v>
      </c>
      <c r="AW579" s="31">
        <f>IF(OR(G579="",B579=""),"",B579-TodayDate)</f>
        <v>0</v>
      </c>
      <c r="AX579" s="39">
        <f>IF(G579="","",IF(P579="Cancelled","Cancelled",IF(P579="No access","Action - no access, rebook",IF(AND(B579&lt;&gt;"",AW579&lt;0,OR(P579="Booked",P579="Confirmed",P579="In progress")),"Late - mark it completed",IF(AND(P579="Completed",AP579=""),"Action - not invoiced yet",IF(AND(AW579&gt;=0,AW579&lt;=ReminderDays,Y579&lt;&gt;"Yes"),"Confirm - visit coming up",IF(R579="","Assign - no cleaner booked",IF(AND(P579="Completed",AO579&lt;&gt;"",AO579&lt;1),"Check - checklist unfinished","OK"))))))))</f>
        <v>0</v>
      </c>
    </row>
    <row r="580" spans="1:50">
      <c r="A580" s="43">
        <f>IF(G580="","",JobPrefix&amp;TEXT(ROW()-4,"0000"))</f>
        <v>0</v>
      </c>
      <c r="C580" s="23">
        <f>IF(B580="","",TEXT(B580,"ddd"))</f>
        <v>0</v>
      </c>
      <c r="D580" s="31">
        <f>IF(B580="","",WEEKNUM(B580,IF(WeekStart="Sunday",1,2)))</f>
        <v>0</v>
      </c>
      <c r="E580" s="23">
        <f>IF(B580="","",TEXT(B580,"yyyy-mm"))</f>
        <v>0</v>
      </c>
      <c r="H580" s="23">
        <f>IF(G580="","",IFERROR(INDEX(Clients!$B$5:$B$204,MATCH(G580,Clients!$A$5:$A$204,0)),"Not found"))</f>
        <v>0</v>
      </c>
      <c r="I580" s="23">
        <f>IF(G580="","",IFERROR(INDEX(Clients!$C$5:$C$204,MATCH(G580,Clients!$A$5:$A$204,0)),""))</f>
        <v>0</v>
      </c>
      <c r="K580" s="23">
        <f>IF(J580="","",IFERROR(INDEX(Properties!$B$5:$B$254,MATCH(J580,Properties!$A$5:$A$254,0)),""))</f>
        <v>0</v>
      </c>
      <c r="L580" s="23">
        <f>IF(J580="","",IFERROR(INDEX(Properties!$F$5:$F$254,MATCH(J580,Properties!$A$5:$A$254,0)),""))</f>
        <v>0</v>
      </c>
      <c r="AD580" s="34">
        <f>IF(G580="","",IF(U580&lt;&gt;"",U580,IF(AND(IFERROR(INDEX(Services!$D$5:$D$64,MATCH(M580,Services!$B$5:$B$64,0)),"")="Per hour",IFERROR(INDEX(Properties!$X$5:$X$254,MATCH(J580,Properties!$A$5:$A$254,0)),0)&gt;0),IFERROR(INDEX(Properties!$X$5:$X$254,MATCH(J580,Properties!$A$5:$A$254,0)),0),IF(IFERROR(INDEX(Services!$G$5:$G$64,MATCH(M580,Services!$B$5:$B$64,0)),0)&gt;0,IFERROR(INDEX(Services!$G$5:$G$64,MATCH(M580,Services!$B$5:$B$64,0)),0),IFERROR(INDEX(Properties!$X$5:$X$254,MATCH(J580,Properties!$A$5:$A$254,0)),0)))))</f>
        <v>0</v>
      </c>
      <c r="AE580" s="31">
        <f>IF(G580="","",IF(T580="",CleanersPerJob,MAX(1,T580)))</f>
        <v>0</v>
      </c>
      <c r="AF580" s="34">
        <f>IF(G580="","",ROUND(AD580/AE580,2))</f>
        <v>0</v>
      </c>
      <c r="AG580" s="53">
        <f>IF(OR(G580="",F580="",AF580=""),"",F580+AF580/24)</f>
        <v>0</v>
      </c>
      <c r="AH580" s="21">
        <f>IF(G580="","",IF(IFERROR(INDEX(Clients!$O$5:$O$204,MATCH(G580,Clients!$A$5:$A$204,0)),0)&gt;0,IFERROR(INDEX(Clients!$O$5:$O$204,MATCH(G580,Clients!$A$5:$A$204,0)),0),HourlyRate))</f>
        <v>0</v>
      </c>
      <c r="AI580" s="21">
        <f>IF(G580="","",IF(AND(M580&lt;&gt;"",IFERROR(INDEX(Services!$P$5:$P$64,MATCH(M580,Services!$B$5:$B$64,0)),0)&gt;0,IFERROR(INDEX(Services!$D$5:$D$64,MATCH(M580,Services!$B$5:$B$64,0)),"")&lt;&gt;"Per hour"),IFERROR(INDEX(Services!$P$5:$P$64,MATCH(M580,Services!$B$5:$B$64,0)),0),AD580*AH580))</f>
        <v>0</v>
      </c>
      <c r="AJ580" s="21">
        <f>IF(G580="","",IF(V580&lt;&gt;"",V580,IF(P580="Cancelled",0,MAX(MinimumCharge,ROUND(AI580*IFERROR(INDEX(FreqFactors,MATCH(O580,FreqNames,0)),1),2)))))</f>
        <v>0</v>
      </c>
      <c r="AK580" s="34">
        <f>IF(G580="","",IF(SUMIFS(Timesheets!$U$5:$U$804,Timesheets!$G$5:$G$804,A580)&gt;0,SUMIFS(Timesheets!$U$5:$U$804,Timesheets!$G$5:$G$804,A580),IF(Z580="","",Z580)))</f>
        <v>0</v>
      </c>
      <c r="AL580" s="34">
        <f>IF(OR(AK580="",AD580=""),"",AK580-AD580)</f>
        <v>0</v>
      </c>
      <c r="AM580" s="31">
        <f>IF(A580="","",COUNTIFS('Job Tasks'!$B$5:$B$904,A580))</f>
        <v>0</v>
      </c>
      <c r="AN580" s="31">
        <f>IF(A580="","",COUNTIFS('Job Tasks'!$B$5:$B$904,A580,'Job Tasks'!$H$5:$H$904,"Done"))</f>
        <v>0</v>
      </c>
      <c r="AO580" s="38">
        <f>IF(OR(A580="",AM580=0),"",AN580/AM580)</f>
        <v>0</v>
      </c>
      <c r="AP580" s="43">
        <f>IF(A580="","",IFERROR(INDEX('Invoice Lines'!$B$5:$B$804,MATCH(A580,'Invoice Lines'!$C$5:$C$804,0)),""))</f>
        <v>0</v>
      </c>
      <c r="AQ580" s="18">
        <f>IF(OR(G580="",B580="",X580&lt;&gt;"Yes"),"",IF(IFERROR(INDEX(FreqDays,MATCH(O580,FreqNames,0)),0)=0,"",B580+IFERROR(INDEX(FreqDays,MATCH(O580,FreqNames,0)),0)))</f>
        <v>0</v>
      </c>
      <c r="AR580" s="39">
        <f>IF(G580="","",IF(R580="","Unassigned",IF(COUNTIFS($R$5:$R$604,R580,$B$5:$B$604,B580,$F$5:$F$604,F580)&gt;1,"Clash",IF(SUMIFS($AF$5:$AF$604,$R$5:$R$604,R580,$B$5:$B$604,B580)&gt;ProductiveHours,"Long day","OK"))))</f>
        <v>0</v>
      </c>
      <c r="AS580" s="18">
        <f>IF(OR(G580="",B580=""),"",IF(AND(B580&gt;=TodayDate,P580&lt;&gt;"Cancelled"),B580,""))</f>
        <v>0</v>
      </c>
      <c r="AT580" s="31">
        <f>IF(AS580="","",COUNTIFS($AS$5:$AS$604,"&lt;"&amp;AS580)+COUNTIFS($AS$5:AS580,AS580))</f>
        <v>0</v>
      </c>
      <c r="AU580" s="18">
        <f>IF(OR(G580="",B580="",R580&lt;&gt;""),"",IF(AND(B580&gt;=TodayDate,P580&lt;&gt;"Cancelled"),B580,""))</f>
        <v>0</v>
      </c>
      <c r="AV580" s="31">
        <f>IF(AU580="","",COUNTIFS($AU$5:$AU$604,"&lt;"&amp;AU580)+COUNTIFS($AU$5:AU580,AU580))</f>
        <v>0</v>
      </c>
      <c r="AW580" s="31">
        <f>IF(OR(G580="",B580=""),"",B580-TodayDate)</f>
        <v>0</v>
      </c>
      <c r="AX580" s="39">
        <f>IF(G580="","",IF(P580="Cancelled","Cancelled",IF(P580="No access","Action - no access, rebook",IF(AND(B580&lt;&gt;"",AW580&lt;0,OR(P580="Booked",P580="Confirmed",P580="In progress")),"Late - mark it completed",IF(AND(P580="Completed",AP580=""),"Action - not invoiced yet",IF(AND(AW580&gt;=0,AW580&lt;=ReminderDays,Y580&lt;&gt;"Yes"),"Confirm - visit coming up",IF(R580="","Assign - no cleaner booked",IF(AND(P580="Completed",AO580&lt;&gt;"",AO580&lt;1),"Check - checklist unfinished","OK"))))))))</f>
        <v>0</v>
      </c>
    </row>
    <row r="581" spans="1:50">
      <c r="A581" s="43">
        <f>IF(G581="","",JobPrefix&amp;TEXT(ROW()-4,"0000"))</f>
        <v>0</v>
      </c>
      <c r="C581" s="23">
        <f>IF(B581="","",TEXT(B581,"ddd"))</f>
        <v>0</v>
      </c>
      <c r="D581" s="31">
        <f>IF(B581="","",WEEKNUM(B581,IF(WeekStart="Sunday",1,2)))</f>
        <v>0</v>
      </c>
      <c r="E581" s="23">
        <f>IF(B581="","",TEXT(B581,"yyyy-mm"))</f>
        <v>0</v>
      </c>
      <c r="H581" s="23">
        <f>IF(G581="","",IFERROR(INDEX(Clients!$B$5:$B$204,MATCH(G581,Clients!$A$5:$A$204,0)),"Not found"))</f>
        <v>0</v>
      </c>
      <c r="I581" s="23">
        <f>IF(G581="","",IFERROR(INDEX(Clients!$C$5:$C$204,MATCH(G581,Clients!$A$5:$A$204,0)),""))</f>
        <v>0</v>
      </c>
      <c r="K581" s="23">
        <f>IF(J581="","",IFERROR(INDEX(Properties!$B$5:$B$254,MATCH(J581,Properties!$A$5:$A$254,0)),""))</f>
        <v>0</v>
      </c>
      <c r="L581" s="23">
        <f>IF(J581="","",IFERROR(INDEX(Properties!$F$5:$F$254,MATCH(J581,Properties!$A$5:$A$254,0)),""))</f>
        <v>0</v>
      </c>
      <c r="AD581" s="34">
        <f>IF(G581="","",IF(U581&lt;&gt;"",U581,IF(AND(IFERROR(INDEX(Services!$D$5:$D$64,MATCH(M581,Services!$B$5:$B$64,0)),"")="Per hour",IFERROR(INDEX(Properties!$X$5:$X$254,MATCH(J581,Properties!$A$5:$A$254,0)),0)&gt;0),IFERROR(INDEX(Properties!$X$5:$X$254,MATCH(J581,Properties!$A$5:$A$254,0)),0),IF(IFERROR(INDEX(Services!$G$5:$G$64,MATCH(M581,Services!$B$5:$B$64,0)),0)&gt;0,IFERROR(INDEX(Services!$G$5:$G$64,MATCH(M581,Services!$B$5:$B$64,0)),0),IFERROR(INDEX(Properties!$X$5:$X$254,MATCH(J581,Properties!$A$5:$A$254,0)),0)))))</f>
        <v>0</v>
      </c>
      <c r="AE581" s="31">
        <f>IF(G581="","",IF(T581="",CleanersPerJob,MAX(1,T581)))</f>
        <v>0</v>
      </c>
      <c r="AF581" s="34">
        <f>IF(G581="","",ROUND(AD581/AE581,2))</f>
        <v>0</v>
      </c>
      <c r="AG581" s="53">
        <f>IF(OR(G581="",F581="",AF581=""),"",F581+AF581/24)</f>
        <v>0</v>
      </c>
      <c r="AH581" s="21">
        <f>IF(G581="","",IF(IFERROR(INDEX(Clients!$O$5:$O$204,MATCH(G581,Clients!$A$5:$A$204,0)),0)&gt;0,IFERROR(INDEX(Clients!$O$5:$O$204,MATCH(G581,Clients!$A$5:$A$204,0)),0),HourlyRate))</f>
        <v>0</v>
      </c>
      <c r="AI581" s="21">
        <f>IF(G581="","",IF(AND(M581&lt;&gt;"",IFERROR(INDEX(Services!$P$5:$P$64,MATCH(M581,Services!$B$5:$B$64,0)),0)&gt;0,IFERROR(INDEX(Services!$D$5:$D$64,MATCH(M581,Services!$B$5:$B$64,0)),"")&lt;&gt;"Per hour"),IFERROR(INDEX(Services!$P$5:$P$64,MATCH(M581,Services!$B$5:$B$64,0)),0),AD581*AH581))</f>
        <v>0</v>
      </c>
      <c r="AJ581" s="21">
        <f>IF(G581="","",IF(V581&lt;&gt;"",V581,IF(P581="Cancelled",0,MAX(MinimumCharge,ROUND(AI581*IFERROR(INDEX(FreqFactors,MATCH(O581,FreqNames,0)),1),2)))))</f>
        <v>0</v>
      </c>
      <c r="AK581" s="34">
        <f>IF(G581="","",IF(SUMIFS(Timesheets!$U$5:$U$804,Timesheets!$G$5:$G$804,A581)&gt;0,SUMIFS(Timesheets!$U$5:$U$804,Timesheets!$G$5:$G$804,A581),IF(Z581="","",Z581)))</f>
        <v>0</v>
      </c>
      <c r="AL581" s="34">
        <f>IF(OR(AK581="",AD581=""),"",AK581-AD581)</f>
        <v>0</v>
      </c>
      <c r="AM581" s="31">
        <f>IF(A581="","",COUNTIFS('Job Tasks'!$B$5:$B$904,A581))</f>
        <v>0</v>
      </c>
      <c r="AN581" s="31">
        <f>IF(A581="","",COUNTIFS('Job Tasks'!$B$5:$B$904,A581,'Job Tasks'!$H$5:$H$904,"Done"))</f>
        <v>0</v>
      </c>
      <c r="AO581" s="38">
        <f>IF(OR(A581="",AM581=0),"",AN581/AM581)</f>
        <v>0</v>
      </c>
      <c r="AP581" s="43">
        <f>IF(A581="","",IFERROR(INDEX('Invoice Lines'!$B$5:$B$804,MATCH(A581,'Invoice Lines'!$C$5:$C$804,0)),""))</f>
        <v>0</v>
      </c>
      <c r="AQ581" s="18">
        <f>IF(OR(G581="",B581="",X581&lt;&gt;"Yes"),"",IF(IFERROR(INDEX(FreqDays,MATCH(O581,FreqNames,0)),0)=0,"",B581+IFERROR(INDEX(FreqDays,MATCH(O581,FreqNames,0)),0)))</f>
        <v>0</v>
      </c>
      <c r="AR581" s="39">
        <f>IF(G581="","",IF(R581="","Unassigned",IF(COUNTIFS($R$5:$R$604,R581,$B$5:$B$604,B581,$F$5:$F$604,F581)&gt;1,"Clash",IF(SUMIFS($AF$5:$AF$604,$R$5:$R$604,R581,$B$5:$B$604,B581)&gt;ProductiveHours,"Long day","OK"))))</f>
        <v>0</v>
      </c>
      <c r="AS581" s="18">
        <f>IF(OR(G581="",B581=""),"",IF(AND(B581&gt;=TodayDate,P581&lt;&gt;"Cancelled"),B581,""))</f>
        <v>0</v>
      </c>
      <c r="AT581" s="31">
        <f>IF(AS581="","",COUNTIFS($AS$5:$AS$604,"&lt;"&amp;AS581)+COUNTIFS($AS$5:AS581,AS581))</f>
        <v>0</v>
      </c>
      <c r="AU581" s="18">
        <f>IF(OR(G581="",B581="",R581&lt;&gt;""),"",IF(AND(B581&gt;=TodayDate,P581&lt;&gt;"Cancelled"),B581,""))</f>
        <v>0</v>
      </c>
      <c r="AV581" s="31">
        <f>IF(AU581="","",COUNTIFS($AU$5:$AU$604,"&lt;"&amp;AU581)+COUNTIFS($AU$5:AU581,AU581))</f>
        <v>0</v>
      </c>
      <c r="AW581" s="31">
        <f>IF(OR(G581="",B581=""),"",B581-TodayDate)</f>
        <v>0</v>
      </c>
      <c r="AX581" s="39">
        <f>IF(G581="","",IF(P581="Cancelled","Cancelled",IF(P581="No access","Action - no access, rebook",IF(AND(B581&lt;&gt;"",AW581&lt;0,OR(P581="Booked",P581="Confirmed",P581="In progress")),"Late - mark it completed",IF(AND(P581="Completed",AP581=""),"Action - not invoiced yet",IF(AND(AW581&gt;=0,AW581&lt;=ReminderDays,Y581&lt;&gt;"Yes"),"Confirm - visit coming up",IF(R581="","Assign - no cleaner booked",IF(AND(P581="Completed",AO581&lt;&gt;"",AO581&lt;1),"Check - checklist unfinished","OK"))))))))</f>
        <v>0</v>
      </c>
    </row>
    <row r="582" spans="1:50">
      <c r="A582" s="43">
        <f>IF(G582="","",JobPrefix&amp;TEXT(ROW()-4,"0000"))</f>
        <v>0</v>
      </c>
      <c r="C582" s="23">
        <f>IF(B582="","",TEXT(B582,"ddd"))</f>
        <v>0</v>
      </c>
      <c r="D582" s="31">
        <f>IF(B582="","",WEEKNUM(B582,IF(WeekStart="Sunday",1,2)))</f>
        <v>0</v>
      </c>
      <c r="E582" s="23">
        <f>IF(B582="","",TEXT(B582,"yyyy-mm"))</f>
        <v>0</v>
      </c>
      <c r="H582" s="23">
        <f>IF(G582="","",IFERROR(INDEX(Clients!$B$5:$B$204,MATCH(G582,Clients!$A$5:$A$204,0)),"Not found"))</f>
        <v>0</v>
      </c>
      <c r="I582" s="23">
        <f>IF(G582="","",IFERROR(INDEX(Clients!$C$5:$C$204,MATCH(G582,Clients!$A$5:$A$204,0)),""))</f>
        <v>0</v>
      </c>
      <c r="K582" s="23">
        <f>IF(J582="","",IFERROR(INDEX(Properties!$B$5:$B$254,MATCH(J582,Properties!$A$5:$A$254,0)),""))</f>
        <v>0</v>
      </c>
      <c r="L582" s="23">
        <f>IF(J582="","",IFERROR(INDEX(Properties!$F$5:$F$254,MATCH(J582,Properties!$A$5:$A$254,0)),""))</f>
        <v>0</v>
      </c>
      <c r="AD582" s="34">
        <f>IF(G582="","",IF(U582&lt;&gt;"",U582,IF(AND(IFERROR(INDEX(Services!$D$5:$D$64,MATCH(M582,Services!$B$5:$B$64,0)),"")="Per hour",IFERROR(INDEX(Properties!$X$5:$X$254,MATCH(J582,Properties!$A$5:$A$254,0)),0)&gt;0),IFERROR(INDEX(Properties!$X$5:$X$254,MATCH(J582,Properties!$A$5:$A$254,0)),0),IF(IFERROR(INDEX(Services!$G$5:$G$64,MATCH(M582,Services!$B$5:$B$64,0)),0)&gt;0,IFERROR(INDEX(Services!$G$5:$G$64,MATCH(M582,Services!$B$5:$B$64,0)),0),IFERROR(INDEX(Properties!$X$5:$X$254,MATCH(J582,Properties!$A$5:$A$254,0)),0)))))</f>
        <v>0</v>
      </c>
      <c r="AE582" s="31">
        <f>IF(G582="","",IF(T582="",CleanersPerJob,MAX(1,T582)))</f>
        <v>0</v>
      </c>
      <c r="AF582" s="34">
        <f>IF(G582="","",ROUND(AD582/AE582,2))</f>
        <v>0</v>
      </c>
      <c r="AG582" s="53">
        <f>IF(OR(G582="",F582="",AF582=""),"",F582+AF582/24)</f>
        <v>0</v>
      </c>
      <c r="AH582" s="21">
        <f>IF(G582="","",IF(IFERROR(INDEX(Clients!$O$5:$O$204,MATCH(G582,Clients!$A$5:$A$204,0)),0)&gt;0,IFERROR(INDEX(Clients!$O$5:$O$204,MATCH(G582,Clients!$A$5:$A$204,0)),0),HourlyRate))</f>
        <v>0</v>
      </c>
      <c r="AI582" s="21">
        <f>IF(G582="","",IF(AND(M582&lt;&gt;"",IFERROR(INDEX(Services!$P$5:$P$64,MATCH(M582,Services!$B$5:$B$64,0)),0)&gt;0,IFERROR(INDEX(Services!$D$5:$D$64,MATCH(M582,Services!$B$5:$B$64,0)),"")&lt;&gt;"Per hour"),IFERROR(INDEX(Services!$P$5:$P$64,MATCH(M582,Services!$B$5:$B$64,0)),0),AD582*AH582))</f>
        <v>0</v>
      </c>
      <c r="AJ582" s="21">
        <f>IF(G582="","",IF(V582&lt;&gt;"",V582,IF(P582="Cancelled",0,MAX(MinimumCharge,ROUND(AI582*IFERROR(INDEX(FreqFactors,MATCH(O582,FreqNames,0)),1),2)))))</f>
        <v>0</v>
      </c>
      <c r="AK582" s="34">
        <f>IF(G582="","",IF(SUMIFS(Timesheets!$U$5:$U$804,Timesheets!$G$5:$G$804,A582)&gt;0,SUMIFS(Timesheets!$U$5:$U$804,Timesheets!$G$5:$G$804,A582),IF(Z582="","",Z582)))</f>
        <v>0</v>
      </c>
      <c r="AL582" s="34">
        <f>IF(OR(AK582="",AD582=""),"",AK582-AD582)</f>
        <v>0</v>
      </c>
      <c r="AM582" s="31">
        <f>IF(A582="","",COUNTIFS('Job Tasks'!$B$5:$B$904,A582))</f>
        <v>0</v>
      </c>
      <c r="AN582" s="31">
        <f>IF(A582="","",COUNTIFS('Job Tasks'!$B$5:$B$904,A582,'Job Tasks'!$H$5:$H$904,"Done"))</f>
        <v>0</v>
      </c>
      <c r="AO582" s="38">
        <f>IF(OR(A582="",AM582=0),"",AN582/AM582)</f>
        <v>0</v>
      </c>
      <c r="AP582" s="43">
        <f>IF(A582="","",IFERROR(INDEX('Invoice Lines'!$B$5:$B$804,MATCH(A582,'Invoice Lines'!$C$5:$C$804,0)),""))</f>
        <v>0</v>
      </c>
      <c r="AQ582" s="18">
        <f>IF(OR(G582="",B582="",X582&lt;&gt;"Yes"),"",IF(IFERROR(INDEX(FreqDays,MATCH(O582,FreqNames,0)),0)=0,"",B582+IFERROR(INDEX(FreqDays,MATCH(O582,FreqNames,0)),0)))</f>
        <v>0</v>
      </c>
      <c r="AR582" s="39">
        <f>IF(G582="","",IF(R582="","Unassigned",IF(COUNTIFS($R$5:$R$604,R582,$B$5:$B$604,B582,$F$5:$F$604,F582)&gt;1,"Clash",IF(SUMIFS($AF$5:$AF$604,$R$5:$R$604,R582,$B$5:$B$604,B582)&gt;ProductiveHours,"Long day","OK"))))</f>
        <v>0</v>
      </c>
      <c r="AS582" s="18">
        <f>IF(OR(G582="",B582=""),"",IF(AND(B582&gt;=TodayDate,P582&lt;&gt;"Cancelled"),B582,""))</f>
        <v>0</v>
      </c>
      <c r="AT582" s="31">
        <f>IF(AS582="","",COUNTIFS($AS$5:$AS$604,"&lt;"&amp;AS582)+COUNTIFS($AS$5:AS582,AS582))</f>
        <v>0</v>
      </c>
      <c r="AU582" s="18">
        <f>IF(OR(G582="",B582="",R582&lt;&gt;""),"",IF(AND(B582&gt;=TodayDate,P582&lt;&gt;"Cancelled"),B582,""))</f>
        <v>0</v>
      </c>
      <c r="AV582" s="31">
        <f>IF(AU582="","",COUNTIFS($AU$5:$AU$604,"&lt;"&amp;AU582)+COUNTIFS($AU$5:AU582,AU582))</f>
        <v>0</v>
      </c>
      <c r="AW582" s="31">
        <f>IF(OR(G582="",B582=""),"",B582-TodayDate)</f>
        <v>0</v>
      </c>
      <c r="AX582" s="39">
        <f>IF(G582="","",IF(P582="Cancelled","Cancelled",IF(P582="No access","Action - no access, rebook",IF(AND(B582&lt;&gt;"",AW582&lt;0,OR(P582="Booked",P582="Confirmed",P582="In progress")),"Late - mark it completed",IF(AND(P582="Completed",AP582=""),"Action - not invoiced yet",IF(AND(AW582&gt;=0,AW582&lt;=ReminderDays,Y582&lt;&gt;"Yes"),"Confirm - visit coming up",IF(R582="","Assign - no cleaner booked",IF(AND(P582="Completed",AO582&lt;&gt;"",AO582&lt;1),"Check - checklist unfinished","OK"))))))))</f>
        <v>0</v>
      </c>
    </row>
    <row r="583" spans="1:50">
      <c r="A583" s="43">
        <f>IF(G583="","",JobPrefix&amp;TEXT(ROW()-4,"0000"))</f>
        <v>0</v>
      </c>
      <c r="C583" s="23">
        <f>IF(B583="","",TEXT(B583,"ddd"))</f>
        <v>0</v>
      </c>
      <c r="D583" s="31">
        <f>IF(B583="","",WEEKNUM(B583,IF(WeekStart="Sunday",1,2)))</f>
        <v>0</v>
      </c>
      <c r="E583" s="23">
        <f>IF(B583="","",TEXT(B583,"yyyy-mm"))</f>
        <v>0</v>
      </c>
      <c r="H583" s="23">
        <f>IF(G583="","",IFERROR(INDEX(Clients!$B$5:$B$204,MATCH(G583,Clients!$A$5:$A$204,0)),"Not found"))</f>
        <v>0</v>
      </c>
      <c r="I583" s="23">
        <f>IF(G583="","",IFERROR(INDEX(Clients!$C$5:$C$204,MATCH(G583,Clients!$A$5:$A$204,0)),""))</f>
        <v>0</v>
      </c>
      <c r="K583" s="23">
        <f>IF(J583="","",IFERROR(INDEX(Properties!$B$5:$B$254,MATCH(J583,Properties!$A$5:$A$254,0)),""))</f>
        <v>0</v>
      </c>
      <c r="L583" s="23">
        <f>IF(J583="","",IFERROR(INDEX(Properties!$F$5:$F$254,MATCH(J583,Properties!$A$5:$A$254,0)),""))</f>
        <v>0</v>
      </c>
      <c r="AD583" s="34">
        <f>IF(G583="","",IF(U583&lt;&gt;"",U583,IF(AND(IFERROR(INDEX(Services!$D$5:$D$64,MATCH(M583,Services!$B$5:$B$64,0)),"")="Per hour",IFERROR(INDEX(Properties!$X$5:$X$254,MATCH(J583,Properties!$A$5:$A$254,0)),0)&gt;0),IFERROR(INDEX(Properties!$X$5:$X$254,MATCH(J583,Properties!$A$5:$A$254,0)),0),IF(IFERROR(INDEX(Services!$G$5:$G$64,MATCH(M583,Services!$B$5:$B$64,0)),0)&gt;0,IFERROR(INDEX(Services!$G$5:$G$64,MATCH(M583,Services!$B$5:$B$64,0)),0),IFERROR(INDEX(Properties!$X$5:$X$254,MATCH(J583,Properties!$A$5:$A$254,0)),0)))))</f>
        <v>0</v>
      </c>
      <c r="AE583" s="31">
        <f>IF(G583="","",IF(T583="",CleanersPerJob,MAX(1,T583)))</f>
        <v>0</v>
      </c>
      <c r="AF583" s="34">
        <f>IF(G583="","",ROUND(AD583/AE583,2))</f>
        <v>0</v>
      </c>
      <c r="AG583" s="53">
        <f>IF(OR(G583="",F583="",AF583=""),"",F583+AF583/24)</f>
        <v>0</v>
      </c>
      <c r="AH583" s="21">
        <f>IF(G583="","",IF(IFERROR(INDEX(Clients!$O$5:$O$204,MATCH(G583,Clients!$A$5:$A$204,0)),0)&gt;0,IFERROR(INDEX(Clients!$O$5:$O$204,MATCH(G583,Clients!$A$5:$A$204,0)),0),HourlyRate))</f>
        <v>0</v>
      </c>
      <c r="AI583" s="21">
        <f>IF(G583="","",IF(AND(M583&lt;&gt;"",IFERROR(INDEX(Services!$P$5:$P$64,MATCH(M583,Services!$B$5:$B$64,0)),0)&gt;0,IFERROR(INDEX(Services!$D$5:$D$64,MATCH(M583,Services!$B$5:$B$64,0)),"")&lt;&gt;"Per hour"),IFERROR(INDEX(Services!$P$5:$P$64,MATCH(M583,Services!$B$5:$B$64,0)),0),AD583*AH583))</f>
        <v>0</v>
      </c>
      <c r="AJ583" s="21">
        <f>IF(G583="","",IF(V583&lt;&gt;"",V583,IF(P583="Cancelled",0,MAX(MinimumCharge,ROUND(AI583*IFERROR(INDEX(FreqFactors,MATCH(O583,FreqNames,0)),1),2)))))</f>
        <v>0</v>
      </c>
      <c r="AK583" s="34">
        <f>IF(G583="","",IF(SUMIFS(Timesheets!$U$5:$U$804,Timesheets!$G$5:$G$804,A583)&gt;0,SUMIFS(Timesheets!$U$5:$U$804,Timesheets!$G$5:$G$804,A583),IF(Z583="","",Z583)))</f>
        <v>0</v>
      </c>
      <c r="AL583" s="34">
        <f>IF(OR(AK583="",AD583=""),"",AK583-AD583)</f>
        <v>0</v>
      </c>
      <c r="AM583" s="31">
        <f>IF(A583="","",COUNTIFS('Job Tasks'!$B$5:$B$904,A583))</f>
        <v>0</v>
      </c>
      <c r="AN583" s="31">
        <f>IF(A583="","",COUNTIFS('Job Tasks'!$B$5:$B$904,A583,'Job Tasks'!$H$5:$H$904,"Done"))</f>
        <v>0</v>
      </c>
      <c r="AO583" s="38">
        <f>IF(OR(A583="",AM583=0),"",AN583/AM583)</f>
        <v>0</v>
      </c>
      <c r="AP583" s="43">
        <f>IF(A583="","",IFERROR(INDEX('Invoice Lines'!$B$5:$B$804,MATCH(A583,'Invoice Lines'!$C$5:$C$804,0)),""))</f>
        <v>0</v>
      </c>
      <c r="AQ583" s="18">
        <f>IF(OR(G583="",B583="",X583&lt;&gt;"Yes"),"",IF(IFERROR(INDEX(FreqDays,MATCH(O583,FreqNames,0)),0)=0,"",B583+IFERROR(INDEX(FreqDays,MATCH(O583,FreqNames,0)),0)))</f>
        <v>0</v>
      </c>
      <c r="AR583" s="39">
        <f>IF(G583="","",IF(R583="","Unassigned",IF(COUNTIFS($R$5:$R$604,R583,$B$5:$B$604,B583,$F$5:$F$604,F583)&gt;1,"Clash",IF(SUMIFS($AF$5:$AF$604,$R$5:$R$604,R583,$B$5:$B$604,B583)&gt;ProductiveHours,"Long day","OK"))))</f>
        <v>0</v>
      </c>
      <c r="AS583" s="18">
        <f>IF(OR(G583="",B583=""),"",IF(AND(B583&gt;=TodayDate,P583&lt;&gt;"Cancelled"),B583,""))</f>
        <v>0</v>
      </c>
      <c r="AT583" s="31">
        <f>IF(AS583="","",COUNTIFS($AS$5:$AS$604,"&lt;"&amp;AS583)+COUNTIFS($AS$5:AS583,AS583))</f>
        <v>0</v>
      </c>
      <c r="AU583" s="18">
        <f>IF(OR(G583="",B583="",R583&lt;&gt;""),"",IF(AND(B583&gt;=TodayDate,P583&lt;&gt;"Cancelled"),B583,""))</f>
        <v>0</v>
      </c>
      <c r="AV583" s="31">
        <f>IF(AU583="","",COUNTIFS($AU$5:$AU$604,"&lt;"&amp;AU583)+COUNTIFS($AU$5:AU583,AU583))</f>
        <v>0</v>
      </c>
      <c r="AW583" s="31">
        <f>IF(OR(G583="",B583=""),"",B583-TodayDate)</f>
        <v>0</v>
      </c>
      <c r="AX583" s="39">
        <f>IF(G583="","",IF(P583="Cancelled","Cancelled",IF(P583="No access","Action - no access, rebook",IF(AND(B583&lt;&gt;"",AW583&lt;0,OR(P583="Booked",P583="Confirmed",P583="In progress")),"Late - mark it completed",IF(AND(P583="Completed",AP583=""),"Action - not invoiced yet",IF(AND(AW583&gt;=0,AW583&lt;=ReminderDays,Y583&lt;&gt;"Yes"),"Confirm - visit coming up",IF(R583="","Assign - no cleaner booked",IF(AND(P583="Completed",AO583&lt;&gt;"",AO583&lt;1),"Check - checklist unfinished","OK"))))))))</f>
        <v>0</v>
      </c>
    </row>
    <row r="584" spans="1:50">
      <c r="A584" s="43">
        <f>IF(G584="","",JobPrefix&amp;TEXT(ROW()-4,"0000"))</f>
        <v>0</v>
      </c>
      <c r="C584" s="23">
        <f>IF(B584="","",TEXT(B584,"ddd"))</f>
        <v>0</v>
      </c>
      <c r="D584" s="31">
        <f>IF(B584="","",WEEKNUM(B584,IF(WeekStart="Sunday",1,2)))</f>
        <v>0</v>
      </c>
      <c r="E584" s="23">
        <f>IF(B584="","",TEXT(B584,"yyyy-mm"))</f>
        <v>0</v>
      </c>
      <c r="H584" s="23">
        <f>IF(G584="","",IFERROR(INDEX(Clients!$B$5:$B$204,MATCH(G584,Clients!$A$5:$A$204,0)),"Not found"))</f>
        <v>0</v>
      </c>
      <c r="I584" s="23">
        <f>IF(G584="","",IFERROR(INDEX(Clients!$C$5:$C$204,MATCH(G584,Clients!$A$5:$A$204,0)),""))</f>
        <v>0</v>
      </c>
      <c r="K584" s="23">
        <f>IF(J584="","",IFERROR(INDEX(Properties!$B$5:$B$254,MATCH(J584,Properties!$A$5:$A$254,0)),""))</f>
        <v>0</v>
      </c>
      <c r="L584" s="23">
        <f>IF(J584="","",IFERROR(INDEX(Properties!$F$5:$F$254,MATCH(J584,Properties!$A$5:$A$254,0)),""))</f>
        <v>0</v>
      </c>
      <c r="AD584" s="34">
        <f>IF(G584="","",IF(U584&lt;&gt;"",U584,IF(AND(IFERROR(INDEX(Services!$D$5:$D$64,MATCH(M584,Services!$B$5:$B$64,0)),"")="Per hour",IFERROR(INDEX(Properties!$X$5:$X$254,MATCH(J584,Properties!$A$5:$A$254,0)),0)&gt;0),IFERROR(INDEX(Properties!$X$5:$X$254,MATCH(J584,Properties!$A$5:$A$254,0)),0),IF(IFERROR(INDEX(Services!$G$5:$G$64,MATCH(M584,Services!$B$5:$B$64,0)),0)&gt;0,IFERROR(INDEX(Services!$G$5:$G$64,MATCH(M584,Services!$B$5:$B$64,0)),0),IFERROR(INDEX(Properties!$X$5:$X$254,MATCH(J584,Properties!$A$5:$A$254,0)),0)))))</f>
        <v>0</v>
      </c>
      <c r="AE584" s="31">
        <f>IF(G584="","",IF(T584="",CleanersPerJob,MAX(1,T584)))</f>
        <v>0</v>
      </c>
      <c r="AF584" s="34">
        <f>IF(G584="","",ROUND(AD584/AE584,2))</f>
        <v>0</v>
      </c>
      <c r="AG584" s="53">
        <f>IF(OR(G584="",F584="",AF584=""),"",F584+AF584/24)</f>
        <v>0</v>
      </c>
      <c r="AH584" s="21">
        <f>IF(G584="","",IF(IFERROR(INDEX(Clients!$O$5:$O$204,MATCH(G584,Clients!$A$5:$A$204,0)),0)&gt;0,IFERROR(INDEX(Clients!$O$5:$O$204,MATCH(G584,Clients!$A$5:$A$204,0)),0),HourlyRate))</f>
        <v>0</v>
      </c>
      <c r="AI584" s="21">
        <f>IF(G584="","",IF(AND(M584&lt;&gt;"",IFERROR(INDEX(Services!$P$5:$P$64,MATCH(M584,Services!$B$5:$B$64,0)),0)&gt;0,IFERROR(INDEX(Services!$D$5:$D$64,MATCH(M584,Services!$B$5:$B$64,0)),"")&lt;&gt;"Per hour"),IFERROR(INDEX(Services!$P$5:$P$64,MATCH(M584,Services!$B$5:$B$64,0)),0),AD584*AH584))</f>
        <v>0</v>
      </c>
      <c r="AJ584" s="21">
        <f>IF(G584="","",IF(V584&lt;&gt;"",V584,IF(P584="Cancelled",0,MAX(MinimumCharge,ROUND(AI584*IFERROR(INDEX(FreqFactors,MATCH(O584,FreqNames,0)),1),2)))))</f>
        <v>0</v>
      </c>
      <c r="AK584" s="34">
        <f>IF(G584="","",IF(SUMIFS(Timesheets!$U$5:$U$804,Timesheets!$G$5:$G$804,A584)&gt;0,SUMIFS(Timesheets!$U$5:$U$804,Timesheets!$G$5:$G$804,A584),IF(Z584="","",Z584)))</f>
        <v>0</v>
      </c>
      <c r="AL584" s="34">
        <f>IF(OR(AK584="",AD584=""),"",AK584-AD584)</f>
        <v>0</v>
      </c>
      <c r="AM584" s="31">
        <f>IF(A584="","",COUNTIFS('Job Tasks'!$B$5:$B$904,A584))</f>
        <v>0</v>
      </c>
      <c r="AN584" s="31">
        <f>IF(A584="","",COUNTIFS('Job Tasks'!$B$5:$B$904,A584,'Job Tasks'!$H$5:$H$904,"Done"))</f>
        <v>0</v>
      </c>
      <c r="AO584" s="38">
        <f>IF(OR(A584="",AM584=0),"",AN584/AM584)</f>
        <v>0</v>
      </c>
      <c r="AP584" s="43">
        <f>IF(A584="","",IFERROR(INDEX('Invoice Lines'!$B$5:$B$804,MATCH(A584,'Invoice Lines'!$C$5:$C$804,0)),""))</f>
        <v>0</v>
      </c>
      <c r="AQ584" s="18">
        <f>IF(OR(G584="",B584="",X584&lt;&gt;"Yes"),"",IF(IFERROR(INDEX(FreqDays,MATCH(O584,FreqNames,0)),0)=0,"",B584+IFERROR(INDEX(FreqDays,MATCH(O584,FreqNames,0)),0)))</f>
        <v>0</v>
      </c>
      <c r="AR584" s="39">
        <f>IF(G584="","",IF(R584="","Unassigned",IF(COUNTIFS($R$5:$R$604,R584,$B$5:$B$604,B584,$F$5:$F$604,F584)&gt;1,"Clash",IF(SUMIFS($AF$5:$AF$604,$R$5:$R$604,R584,$B$5:$B$604,B584)&gt;ProductiveHours,"Long day","OK"))))</f>
        <v>0</v>
      </c>
      <c r="AS584" s="18">
        <f>IF(OR(G584="",B584=""),"",IF(AND(B584&gt;=TodayDate,P584&lt;&gt;"Cancelled"),B584,""))</f>
        <v>0</v>
      </c>
      <c r="AT584" s="31">
        <f>IF(AS584="","",COUNTIFS($AS$5:$AS$604,"&lt;"&amp;AS584)+COUNTIFS($AS$5:AS584,AS584))</f>
        <v>0</v>
      </c>
      <c r="AU584" s="18">
        <f>IF(OR(G584="",B584="",R584&lt;&gt;""),"",IF(AND(B584&gt;=TodayDate,P584&lt;&gt;"Cancelled"),B584,""))</f>
        <v>0</v>
      </c>
      <c r="AV584" s="31">
        <f>IF(AU584="","",COUNTIFS($AU$5:$AU$604,"&lt;"&amp;AU584)+COUNTIFS($AU$5:AU584,AU584))</f>
        <v>0</v>
      </c>
      <c r="AW584" s="31">
        <f>IF(OR(G584="",B584=""),"",B584-TodayDate)</f>
        <v>0</v>
      </c>
      <c r="AX584" s="39">
        <f>IF(G584="","",IF(P584="Cancelled","Cancelled",IF(P584="No access","Action - no access, rebook",IF(AND(B584&lt;&gt;"",AW584&lt;0,OR(P584="Booked",P584="Confirmed",P584="In progress")),"Late - mark it completed",IF(AND(P584="Completed",AP584=""),"Action - not invoiced yet",IF(AND(AW584&gt;=0,AW584&lt;=ReminderDays,Y584&lt;&gt;"Yes"),"Confirm - visit coming up",IF(R584="","Assign - no cleaner booked",IF(AND(P584="Completed",AO584&lt;&gt;"",AO584&lt;1),"Check - checklist unfinished","OK"))))))))</f>
        <v>0</v>
      </c>
    </row>
    <row r="585" spans="1:50">
      <c r="A585" s="43">
        <f>IF(G585="","",JobPrefix&amp;TEXT(ROW()-4,"0000"))</f>
        <v>0</v>
      </c>
      <c r="C585" s="23">
        <f>IF(B585="","",TEXT(B585,"ddd"))</f>
        <v>0</v>
      </c>
      <c r="D585" s="31">
        <f>IF(B585="","",WEEKNUM(B585,IF(WeekStart="Sunday",1,2)))</f>
        <v>0</v>
      </c>
      <c r="E585" s="23">
        <f>IF(B585="","",TEXT(B585,"yyyy-mm"))</f>
        <v>0</v>
      </c>
      <c r="H585" s="23">
        <f>IF(G585="","",IFERROR(INDEX(Clients!$B$5:$B$204,MATCH(G585,Clients!$A$5:$A$204,0)),"Not found"))</f>
        <v>0</v>
      </c>
      <c r="I585" s="23">
        <f>IF(G585="","",IFERROR(INDEX(Clients!$C$5:$C$204,MATCH(G585,Clients!$A$5:$A$204,0)),""))</f>
        <v>0</v>
      </c>
      <c r="K585" s="23">
        <f>IF(J585="","",IFERROR(INDEX(Properties!$B$5:$B$254,MATCH(J585,Properties!$A$5:$A$254,0)),""))</f>
        <v>0</v>
      </c>
      <c r="L585" s="23">
        <f>IF(J585="","",IFERROR(INDEX(Properties!$F$5:$F$254,MATCH(J585,Properties!$A$5:$A$254,0)),""))</f>
        <v>0</v>
      </c>
      <c r="AD585" s="34">
        <f>IF(G585="","",IF(U585&lt;&gt;"",U585,IF(AND(IFERROR(INDEX(Services!$D$5:$D$64,MATCH(M585,Services!$B$5:$B$64,0)),"")="Per hour",IFERROR(INDEX(Properties!$X$5:$X$254,MATCH(J585,Properties!$A$5:$A$254,0)),0)&gt;0),IFERROR(INDEX(Properties!$X$5:$X$254,MATCH(J585,Properties!$A$5:$A$254,0)),0),IF(IFERROR(INDEX(Services!$G$5:$G$64,MATCH(M585,Services!$B$5:$B$64,0)),0)&gt;0,IFERROR(INDEX(Services!$G$5:$G$64,MATCH(M585,Services!$B$5:$B$64,0)),0),IFERROR(INDEX(Properties!$X$5:$X$254,MATCH(J585,Properties!$A$5:$A$254,0)),0)))))</f>
        <v>0</v>
      </c>
      <c r="AE585" s="31">
        <f>IF(G585="","",IF(T585="",CleanersPerJob,MAX(1,T585)))</f>
        <v>0</v>
      </c>
      <c r="AF585" s="34">
        <f>IF(G585="","",ROUND(AD585/AE585,2))</f>
        <v>0</v>
      </c>
      <c r="AG585" s="53">
        <f>IF(OR(G585="",F585="",AF585=""),"",F585+AF585/24)</f>
        <v>0</v>
      </c>
      <c r="AH585" s="21">
        <f>IF(G585="","",IF(IFERROR(INDEX(Clients!$O$5:$O$204,MATCH(G585,Clients!$A$5:$A$204,0)),0)&gt;0,IFERROR(INDEX(Clients!$O$5:$O$204,MATCH(G585,Clients!$A$5:$A$204,0)),0),HourlyRate))</f>
        <v>0</v>
      </c>
      <c r="AI585" s="21">
        <f>IF(G585="","",IF(AND(M585&lt;&gt;"",IFERROR(INDEX(Services!$P$5:$P$64,MATCH(M585,Services!$B$5:$B$64,0)),0)&gt;0,IFERROR(INDEX(Services!$D$5:$D$64,MATCH(M585,Services!$B$5:$B$64,0)),"")&lt;&gt;"Per hour"),IFERROR(INDEX(Services!$P$5:$P$64,MATCH(M585,Services!$B$5:$B$64,0)),0),AD585*AH585))</f>
        <v>0</v>
      </c>
      <c r="AJ585" s="21">
        <f>IF(G585="","",IF(V585&lt;&gt;"",V585,IF(P585="Cancelled",0,MAX(MinimumCharge,ROUND(AI585*IFERROR(INDEX(FreqFactors,MATCH(O585,FreqNames,0)),1),2)))))</f>
        <v>0</v>
      </c>
      <c r="AK585" s="34">
        <f>IF(G585="","",IF(SUMIFS(Timesheets!$U$5:$U$804,Timesheets!$G$5:$G$804,A585)&gt;0,SUMIFS(Timesheets!$U$5:$U$804,Timesheets!$G$5:$G$804,A585),IF(Z585="","",Z585)))</f>
        <v>0</v>
      </c>
      <c r="AL585" s="34">
        <f>IF(OR(AK585="",AD585=""),"",AK585-AD585)</f>
        <v>0</v>
      </c>
      <c r="AM585" s="31">
        <f>IF(A585="","",COUNTIFS('Job Tasks'!$B$5:$B$904,A585))</f>
        <v>0</v>
      </c>
      <c r="AN585" s="31">
        <f>IF(A585="","",COUNTIFS('Job Tasks'!$B$5:$B$904,A585,'Job Tasks'!$H$5:$H$904,"Done"))</f>
        <v>0</v>
      </c>
      <c r="AO585" s="38">
        <f>IF(OR(A585="",AM585=0),"",AN585/AM585)</f>
        <v>0</v>
      </c>
      <c r="AP585" s="43">
        <f>IF(A585="","",IFERROR(INDEX('Invoice Lines'!$B$5:$B$804,MATCH(A585,'Invoice Lines'!$C$5:$C$804,0)),""))</f>
        <v>0</v>
      </c>
      <c r="AQ585" s="18">
        <f>IF(OR(G585="",B585="",X585&lt;&gt;"Yes"),"",IF(IFERROR(INDEX(FreqDays,MATCH(O585,FreqNames,0)),0)=0,"",B585+IFERROR(INDEX(FreqDays,MATCH(O585,FreqNames,0)),0)))</f>
        <v>0</v>
      </c>
      <c r="AR585" s="39">
        <f>IF(G585="","",IF(R585="","Unassigned",IF(COUNTIFS($R$5:$R$604,R585,$B$5:$B$604,B585,$F$5:$F$604,F585)&gt;1,"Clash",IF(SUMIFS($AF$5:$AF$604,$R$5:$R$604,R585,$B$5:$B$604,B585)&gt;ProductiveHours,"Long day","OK"))))</f>
        <v>0</v>
      </c>
      <c r="AS585" s="18">
        <f>IF(OR(G585="",B585=""),"",IF(AND(B585&gt;=TodayDate,P585&lt;&gt;"Cancelled"),B585,""))</f>
        <v>0</v>
      </c>
      <c r="AT585" s="31">
        <f>IF(AS585="","",COUNTIFS($AS$5:$AS$604,"&lt;"&amp;AS585)+COUNTIFS($AS$5:AS585,AS585))</f>
        <v>0</v>
      </c>
      <c r="AU585" s="18">
        <f>IF(OR(G585="",B585="",R585&lt;&gt;""),"",IF(AND(B585&gt;=TodayDate,P585&lt;&gt;"Cancelled"),B585,""))</f>
        <v>0</v>
      </c>
      <c r="AV585" s="31">
        <f>IF(AU585="","",COUNTIFS($AU$5:$AU$604,"&lt;"&amp;AU585)+COUNTIFS($AU$5:AU585,AU585))</f>
        <v>0</v>
      </c>
      <c r="AW585" s="31">
        <f>IF(OR(G585="",B585=""),"",B585-TodayDate)</f>
        <v>0</v>
      </c>
      <c r="AX585" s="39">
        <f>IF(G585="","",IF(P585="Cancelled","Cancelled",IF(P585="No access","Action - no access, rebook",IF(AND(B585&lt;&gt;"",AW585&lt;0,OR(P585="Booked",P585="Confirmed",P585="In progress")),"Late - mark it completed",IF(AND(P585="Completed",AP585=""),"Action - not invoiced yet",IF(AND(AW585&gt;=0,AW585&lt;=ReminderDays,Y585&lt;&gt;"Yes"),"Confirm - visit coming up",IF(R585="","Assign - no cleaner booked",IF(AND(P585="Completed",AO585&lt;&gt;"",AO585&lt;1),"Check - checklist unfinished","OK"))))))))</f>
        <v>0</v>
      </c>
    </row>
    <row r="586" spans="1:50">
      <c r="A586" s="43">
        <f>IF(G586="","",JobPrefix&amp;TEXT(ROW()-4,"0000"))</f>
        <v>0</v>
      </c>
      <c r="C586" s="23">
        <f>IF(B586="","",TEXT(B586,"ddd"))</f>
        <v>0</v>
      </c>
      <c r="D586" s="31">
        <f>IF(B586="","",WEEKNUM(B586,IF(WeekStart="Sunday",1,2)))</f>
        <v>0</v>
      </c>
      <c r="E586" s="23">
        <f>IF(B586="","",TEXT(B586,"yyyy-mm"))</f>
        <v>0</v>
      </c>
      <c r="H586" s="23">
        <f>IF(G586="","",IFERROR(INDEX(Clients!$B$5:$B$204,MATCH(G586,Clients!$A$5:$A$204,0)),"Not found"))</f>
        <v>0</v>
      </c>
      <c r="I586" s="23">
        <f>IF(G586="","",IFERROR(INDEX(Clients!$C$5:$C$204,MATCH(G586,Clients!$A$5:$A$204,0)),""))</f>
        <v>0</v>
      </c>
      <c r="K586" s="23">
        <f>IF(J586="","",IFERROR(INDEX(Properties!$B$5:$B$254,MATCH(J586,Properties!$A$5:$A$254,0)),""))</f>
        <v>0</v>
      </c>
      <c r="L586" s="23">
        <f>IF(J586="","",IFERROR(INDEX(Properties!$F$5:$F$254,MATCH(J586,Properties!$A$5:$A$254,0)),""))</f>
        <v>0</v>
      </c>
      <c r="AD586" s="34">
        <f>IF(G586="","",IF(U586&lt;&gt;"",U586,IF(AND(IFERROR(INDEX(Services!$D$5:$D$64,MATCH(M586,Services!$B$5:$B$64,0)),"")="Per hour",IFERROR(INDEX(Properties!$X$5:$X$254,MATCH(J586,Properties!$A$5:$A$254,0)),0)&gt;0),IFERROR(INDEX(Properties!$X$5:$X$254,MATCH(J586,Properties!$A$5:$A$254,0)),0),IF(IFERROR(INDEX(Services!$G$5:$G$64,MATCH(M586,Services!$B$5:$B$64,0)),0)&gt;0,IFERROR(INDEX(Services!$G$5:$G$64,MATCH(M586,Services!$B$5:$B$64,0)),0),IFERROR(INDEX(Properties!$X$5:$X$254,MATCH(J586,Properties!$A$5:$A$254,0)),0)))))</f>
        <v>0</v>
      </c>
      <c r="AE586" s="31">
        <f>IF(G586="","",IF(T586="",CleanersPerJob,MAX(1,T586)))</f>
        <v>0</v>
      </c>
      <c r="AF586" s="34">
        <f>IF(G586="","",ROUND(AD586/AE586,2))</f>
        <v>0</v>
      </c>
      <c r="AG586" s="53">
        <f>IF(OR(G586="",F586="",AF586=""),"",F586+AF586/24)</f>
        <v>0</v>
      </c>
      <c r="AH586" s="21">
        <f>IF(G586="","",IF(IFERROR(INDEX(Clients!$O$5:$O$204,MATCH(G586,Clients!$A$5:$A$204,0)),0)&gt;0,IFERROR(INDEX(Clients!$O$5:$O$204,MATCH(G586,Clients!$A$5:$A$204,0)),0),HourlyRate))</f>
        <v>0</v>
      </c>
      <c r="AI586" s="21">
        <f>IF(G586="","",IF(AND(M586&lt;&gt;"",IFERROR(INDEX(Services!$P$5:$P$64,MATCH(M586,Services!$B$5:$B$64,0)),0)&gt;0,IFERROR(INDEX(Services!$D$5:$D$64,MATCH(M586,Services!$B$5:$B$64,0)),"")&lt;&gt;"Per hour"),IFERROR(INDEX(Services!$P$5:$P$64,MATCH(M586,Services!$B$5:$B$64,0)),0),AD586*AH586))</f>
        <v>0</v>
      </c>
      <c r="AJ586" s="21">
        <f>IF(G586="","",IF(V586&lt;&gt;"",V586,IF(P586="Cancelled",0,MAX(MinimumCharge,ROUND(AI586*IFERROR(INDEX(FreqFactors,MATCH(O586,FreqNames,0)),1),2)))))</f>
        <v>0</v>
      </c>
      <c r="AK586" s="34">
        <f>IF(G586="","",IF(SUMIFS(Timesheets!$U$5:$U$804,Timesheets!$G$5:$G$804,A586)&gt;0,SUMIFS(Timesheets!$U$5:$U$804,Timesheets!$G$5:$G$804,A586),IF(Z586="","",Z586)))</f>
        <v>0</v>
      </c>
      <c r="AL586" s="34">
        <f>IF(OR(AK586="",AD586=""),"",AK586-AD586)</f>
        <v>0</v>
      </c>
      <c r="AM586" s="31">
        <f>IF(A586="","",COUNTIFS('Job Tasks'!$B$5:$B$904,A586))</f>
        <v>0</v>
      </c>
      <c r="AN586" s="31">
        <f>IF(A586="","",COUNTIFS('Job Tasks'!$B$5:$B$904,A586,'Job Tasks'!$H$5:$H$904,"Done"))</f>
        <v>0</v>
      </c>
      <c r="AO586" s="38">
        <f>IF(OR(A586="",AM586=0),"",AN586/AM586)</f>
        <v>0</v>
      </c>
      <c r="AP586" s="43">
        <f>IF(A586="","",IFERROR(INDEX('Invoice Lines'!$B$5:$B$804,MATCH(A586,'Invoice Lines'!$C$5:$C$804,0)),""))</f>
        <v>0</v>
      </c>
      <c r="AQ586" s="18">
        <f>IF(OR(G586="",B586="",X586&lt;&gt;"Yes"),"",IF(IFERROR(INDEX(FreqDays,MATCH(O586,FreqNames,0)),0)=0,"",B586+IFERROR(INDEX(FreqDays,MATCH(O586,FreqNames,0)),0)))</f>
        <v>0</v>
      </c>
      <c r="AR586" s="39">
        <f>IF(G586="","",IF(R586="","Unassigned",IF(COUNTIFS($R$5:$R$604,R586,$B$5:$B$604,B586,$F$5:$F$604,F586)&gt;1,"Clash",IF(SUMIFS($AF$5:$AF$604,$R$5:$R$604,R586,$B$5:$B$604,B586)&gt;ProductiveHours,"Long day","OK"))))</f>
        <v>0</v>
      </c>
      <c r="AS586" s="18">
        <f>IF(OR(G586="",B586=""),"",IF(AND(B586&gt;=TodayDate,P586&lt;&gt;"Cancelled"),B586,""))</f>
        <v>0</v>
      </c>
      <c r="AT586" s="31">
        <f>IF(AS586="","",COUNTIFS($AS$5:$AS$604,"&lt;"&amp;AS586)+COUNTIFS($AS$5:AS586,AS586))</f>
        <v>0</v>
      </c>
      <c r="AU586" s="18">
        <f>IF(OR(G586="",B586="",R586&lt;&gt;""),"",IF(AND(B586&gt;=TodayDate,P586&lt;&gt;"Cancelled"),B586,""))</f>
        <v>0</v>
      </c>
      <c r="AV586" s="31">
        <f>IF(AU586="","",COUNTIFS($AU$5:$AU$604,"&lt;"&amp;AU586)+COUNTIFS($AU$5:AU586,AU586))</f>
        <v>0</v>
      </c>
      <c r="AW586" s="31">
        <f>IF(OR(G586="",B586=""),"",B586-TodayDate)</f>
        <v>0</v>
      </c>
      <c r="AX586" s="39">
        <f>IF(G586="","",IF(P586="Cancelled","Cancelled",IF(P586="No access","Action - no access, rebook",IF(AND(B586&lt;&gt;"",AW586&lt;0,OR(P586="Booked",P586="Confirmed",P586="In progress")),"Late - mark it completed",IF(AND(P586="Completed",AP586=""),"Action - not invoiced yet",IF(AND(AW586&gt;=0,AW586&lt;=ReminderDays,Y586&lt;&gt;"Yes"),"Confirm - visit coming up",IF(R586="","Assign - no cleaner booked",IF(AND(P586="Completed",AO586&lt;&gt;"",AO586&lt;1),"Check - checklist unfinished","OK"))))))))</f>
        <v>0</v>
      </c>
    </row>
    <row r="587" spans="1:50">
      <c r="A587" s="43">
        <f>IF(G587="","",JobPrefix&amp;TEXT(ROW()-4,"0000"))</f>
        <v>0</v>
      </c>
      <c r="C587" s="23">
        <f>IF(B587="","",TEXT(B587,"ddd"))</f>
        <v>0</v>
      </c>
      <c r="D587" s="31">
        <f>IF(B587="","",WEEKNUM(B587,IF(WeekStart="Sunday",1,2)))</f>
        <v>0</v>
      </c>
      <c r="E587" s="23">
        <f>IF(B587="","",TEXT(B587,"yyyy-mm"))</f>
        <v>0</v>
      </c>
      <c r="H587" s="23">
        <f>IF(G587="","",IFERROR(INDEX(Clients!$B$5:$B$204,MATCH(G587,Clients!$A$5:$A$204,0)),"Not found"))</f>
        <v>0</v>
      </c>
      <c r="I587" s="23">
        <f>IF(G587="","",IFERROR(INDEX(Clients!$C$5:$C$204,MATCH(G587,Clients!$A$5:$A$204,0)),""))</f>
        <v>0</v>
      </c>
      <c r="K587" s="23">
        <f>IF(J587="","",IFERROR(INDEX(Properties!$B$5:$B$254,MATCH(J587,Properties!$A$5:$A$254,0)),""))</f>
        <v>0</v>
      </c>
      <c r="L587" s="23">
        <f>IF(J587="","",IFERROR(INDEX(Properties!$F$5:$F$254,MATCH(J587,Properties!$A$5:$A$254,0)),""))</f>
        <v>0</v>
      </c>
      <c r="AD587" s="34">
        <f>IF(G587="","",IF(U587&lt;&gt;"",U587,IF(AND(IFERROR(INDEX(Services!$D$5:$D$64,MATCH(M587,Services!$B$5:$B$64,0)),"")="Per hour",IFERROR(INDEX(Properties!$X$5:$X$254,MATCH(J587,Properties!$A$5:$A$254,0)),0)&gt;0),IFERROR(INDEX(Properties!$X$5:$X$254,MATCH(J587,Properties!$A$5:$A$254,0)),0),IF(IFERROR(INDEX(Services!$G$5:$G$64,MATCH(M587,Services!$B$5:$B$64,0)),0)&gt;0,IFERROR(INDEX(Services!$G$5:$G$64,MATCH(M587,Services!$B$5:$B$64,0)),0),IFERROR(INDEX(Properties!$X$5:$X$254,MATCH(J587,Properties!$A$5:$A$254,0)),0)))))</f>
        <v>0</v>
      </c>
      <c r="AE587" s="31">
        <f>IF(G587="","",IF(T587="",CleanersPerJob,MAX(1,T587)))</f>
        <v>0</v>
      </c>
      <c r="AF587" s="34">
        <f>IF(G587="","",ROUND(AD587/AE587,2))</f>
        <v>0</v>
      </c>
      <c r="AG587" s="53">
        <f>IF(OR(G587="",F587="",AF587=""),"",F587+AF587/24)</f>
        <v>0</v>
      </c>
      <c r="AH587" s="21">
        <f>IF(G587="","",IF(IFERROR(INDEX(Clients!$O$5:$O$204,MATCH(G587,Clients!$A$5:$A$204,0)),0)&gt;0,IFERROR(INDEX(Clients!$O$5:$O$204,MATCH(G587,Clients!$A$5:$A$204,0)),0),HourlyRate))</f>
        <v>0</v>
      </c>
      <c r="AI587" s="21">
        <f>IF(G587="","",IF(AND(M587&lt;&gt;"",IFERROR(INDEX(Services!$P$5:$P$64,MATCH(M587,Services!$B$5:$B$64,0)),0)&gt;0,IFERROR(INDEX(Services!$D$5:$D$64,MATCH(M587,Services!$B$5:$B$64,0)),"")&lt;&gt;"Per hour"),IFERROR(INDEX(Services!$P$5:$P$64,MATCH(M587,Services!$B$5:$B$64,0)),0),AD587*AH587))</f>
        <v>0</v>
      </c>
      <c r="AJ587" s="21">
        <f>IF(G587="","",IF(V587&lt;&gt;"",V587,IF(P587="Cancelled",0,MAX(MinimumCharge,ROUND(AI587*IFERROR(INDEX(FreqFactors,MATCH(O587,FreqNames,0)),1),2)))))</f>
        <v>0</v>
      </c>
      <c r="AK587" s="34">
        <f>IF(G587="","",IF(SUMIFS(Timesheets!$U$5:$U$804,Timesheets!$G$5:$G$804,A587)&gt;0,SUMIFS(Timesheets!$U$5:$U$804,Timesheets!$G$5:$G$804,A587),IF(Z587="","",Z587)))</f>
        <v>0</v>
      </c>
      <c r="AL587" s="34">
        <f>IF(OR(AK587="",AD587=""),"",AK587-AD587)</f>
        <v>0</v>
      </c>
      <c r="AM587" s="31">
        <f>IF(A587="","",COUNTIFS('Job Tasks'!$B$5:$B$904,A587))</f>
        <v>0</v>
      </c>
      <c r="AN587" s="31">
        <f>IF(A587="","",COUNTIFS('Job Tasks'!$B$5:$B$904,A587,'Job Tasks'!$H$5:$H$904,"Done"))</f>
        <v>0</v>
      </c>
      <c r="AO587" s="38">
        <f>IF(OR(A587="",AM587=0),"",AN587/AM587)</f>
        <v>0</v>
      </c>
      <c r="AP587" s="43">
        <f>IF(A587="","",IFERROR(INDEX('Invoice Lines'!$B$5:$B$804,MATCH(A587,'Invoice Lines'!$C$5:$C$804,0)),""))</f>
        <v>0</v>
      </c>
      <c r="AQ587" s="18">
        <f>IF(OR(G587="",B587="",X587&lt;&gt;"Yes"),"",IF(IFERROR(INDEX(FreqDays,MATCH(O587,FreqNames,0)),0)=0,"",B587+IFERROR(INDEX(FreqDays,MATCH(O587,FreqNames,0)),0)))</f>
        <v>0</v>
      </c>
      <c r="AR587" s="39">
        <f>IF(G587="","",IF(R587="","Unassigned",IF(COUNTIFS($R$5:$R$604,R587,$B$5:$B$604,B587,$F$5:$F$604,F587)&gt;1,"Clash",IF(SUMIFS($AF$5:$AF$604,$R$5:$R$604,R587,$B$5:$B$604,B587)&gt;ProductiveHours,"Long day","OK"))))</f>
        <v>0</v>
      </c>
      <c r="AS587" s="18">
        <f>IF(OR(G587="",B587=""),"",IF(AND(B587&gt;=TodayDate,P587&lt;&gt;"Cancelled"),B587,""))</f>
        <v>0</v>
      </c>
      <c r="AT587" s="31">
        <f>IF(AS587="","",COUNTIFS($AS$5:$AS$604,"&lt;"&amp;AS587)+COUNTIFS($AS$5:AS587,AS587))</f>
        <v>0</v>
      </c>
      <c r="AU587" s="18">
        <f>IF(OR(G587="",B587="",R587&lt;&gt;""),"",IF(AND(B587&gt;=TodayDate,P587&lt;&gt;"Cancelled"),B587,""))</f>
        <v>0</v>
      </c>
      <c r="AV587" s="31">
        <f>IF(AU587="","",COUNTIFS($AU$5:$AU$604,"&lt;"&amp;AU587)+COUNTIFS($AU$5:AU587,AU587))</f>
        <v>0</v>
      </c>
      <c r="AW587" s="31">
        <f>IF(OR(G587="",B587=""),"",B587-TodayDate)</f>
        <v>0</v>
      </c>
      <c r="AX587" s="39">
        <f>IF(G587="","",IF(P587="Cancelled","Cancelled",IF(P587="No access","Action - no access, rebook",IF(AND(B587&lt;&gt;"",AW587&lt;0,OR(P587="Booked",P587="Confirmed",P587="In progress")),"Late - mark it completed",IF(AND(P587="Completed",AP587=""),"Action - not invoiced yet",IF(AND(AW587&gt;=0,AW587&lt;=ReminderDays,Y587&lt;&gt;"Yes"),"Confirm - visit coming up",IF(R587="","Assign - no cleaner booked",IF(AND(P587="Completed",AO587&lt;&gt;"",AO587&lt;1),"Check - checklist unfinished","OK"))))))))</f>
        <v>0</v>
      </c>
    </row>
    <row r="588" spans="1:50">
      <c r="A588" s="43">
        <f>IF(G588="","",JobPrefix&amp;TEXT(ROW()-4,"0000"))</f>
        <v>0</v>
      </c>
      <c r="C588" s="23">
        <f>IF(B588="","",TEXT(B588,"ddd"))</f>
        <v>0</v>
      </c>
      <c r="D588" s="31">
        <f>IF(B588="","",WEEKNUM(B588,IF(WeekStart="Sunday",1,2)))</f>
        <v>0</v>
      </c>
      <c r="E588" s="23">
        <f>IF(B588="","",TEXT(B588,"yyyy-mm"))</f>
        <v>0</v>
      </c>
      <c r="H588" s="23">
        <f>IF(G588="","",IFERROR(INDEX(Clients!$B$5:$B$204,MATCH(G588,Clients!$A$5:$A$204,0)),"Not found"))</f>
        <v>0</v>
      </c>
      <c r="I588" s="23">
        <f>IF(G588="","",IFERROR(INDEX(Clients!$C$5:$C$204,MATCH(G588,Clients!$A$5:$A$204,0)),""))</f>
        <v>0</v>
      </c>
      <c r="K588" s="23">
        <f>IF(J588="","",IFERROR(INDEX(Properties!$B$5:$B$254,MATCH(J588,Properties!$A$5:$A$254,0)),""))</f>
        <v>0</v>
      </c>
      <c r="L588" s="23">
        <f>IF(J588="","",IFERROR(INDEX(Properties!$F$5:$F$254,MATCH(J588,Properties!$A$5:$A$254,0)),""))</f>
        <v>0</v>
      </c>
      <c r="AD588" s="34">
        <f>IF(G588="","",IF(U588&lt;&gt;"",U588,IF(AND(IFERROR(INDEX(Services!$D$5:$D$64,MATCH(M588,Services!$B$5:$B$64,0)),"")="Per hour",IFERROR(INDEX(Properties!$X$5:$X$254,MATCH(J588,Properties!$A$5:$A$254,0)),0)&gt;0),IFERROR(INDEX(Properties!$X$5:$X$254,MATCH(J588,Properties!$A$5:$A$254,0)),0),IF(IFERROR(INDEX(Services!$G$5:$G$64,MATCH(M588,Services!$B$5:$B$64,0)),0)&gt;0,IFERROR(INDEX(Services!$G$5:$G$64,MATCH(M588,Services!$B$5:$B$64,0)),0),IFERROR(INDEX(Properties!$X$5:$X$254,MATCH(J588,Properties!$A$5:$A$254,0)),0)))))</f>
        <v>0</v>
      </c>
      <c r="AE588" s="31">
        <f>IF(G588="","",IF(T588="",CleanersPerJob,MAX(1,T588)))</f>
        <v>0</v>
      </c>
      <c r="AF588" s="34">
        <f>IF(G588="","",ROUND(AD588/AE588,2))</f>
        <v>0</v>
      </c>
      <c r="AG588" s="53">
        <f>IF(OR(G588="",F588="",AF588=""),"",F588+AF588/24)</f>
        <v>0</v>
      </c>
      <c r="AH588" s="21">
        <f>IF(G588="","",IF(IFERROR(INDEX(Clients!$O$5:$O$204,MATCH(G588,Clients!$A$5:$A$204,0)),0)&gt;0,IFERROR(INDEX(Clients!$O$5:$O$204,MATCH(G588,Clients!$A$5:$A$204,0)),0),HourlyRate))</f>
        <v>0</v>
      </c>
      <c r="AI588" s="21">
        <f>IF(G588="","",IF(AND(M588&lt;&gt;"",IFERROR(INDEX(Services!$P$5:$P$64,MATCH(M588,Services!$B$5:$B$64,0)),0)&gt;0,IFERROR(INDEX(Services!$D$5:$D$64,MATCH(M588,Services!$B$5:$B$64,0)),"")&lt;&gt;"Per hour"),IFERROR(INDEX(Services!$P$5:$P$64,MATCH(M588,Services!$B$5:$B$64,0)),0),AD588*AH588))</f>
        <v>0</v>
      </c>
      <c r="AJ588" s="21">
        <f>IF(G588="","",IF(V588&lt;&gt;"",V588,IF(P588="Cancelled",0,MAX(MinimumCharge,ROUND(AI588*IFERROR(INDEX(FreqFactors,MATCH(O588,FreqNames,0)),1),2)))))</f>
        <v>0</v>
      </c>
      <c r="AK588" s="34">
        <f>IF(G588="","",IF(SUMIFS(Timesheets!$U$5:$U$804,Timesheets!$G$5:$G$804,A588)&gt;0,SUMIFS(Timesheets!$U$5:$U$804,Timesheets!$G$5:$G$804,A588),IF(Z588="","",Z588)))</f>
        <v>0</v>
      </c>
      <c r="AL588" s="34">
        <f>IF(OR(AK588="",AD588=""),"",AK588-AD588)</f>
        <v>0</v>
      </c>
      <c r="AM588" s="31">
        <f>IF(A588="","",COUNTIFS('Job Tasks'!$B$5:$B$904,A588))</f>
        <v>0</v>
      </c>
      <c r="AN588" s="31">
        <f>IF(A588="","",COUNTIFS('Job Tasks'!$B$5:$B$904,A588,'Job Tasks'!$H$5:$H$904,"Done"))</f>
        <v>0</v>
      </c>
      <c r="AO588" s="38">
        <f>IF(OR(A588="",AM588=0),"",AN588/AM588)</f>
        <v>0</v>
      </c>
      <c r="AP588" s="43">
        <f>IF(A588="","",IFERROR(INDEX('Invoice Lines'!$B$5:$B$804,MATCH(A588,'Invoice Lines'!$C$5:$C$804,0)),""))</f>
        <v>0</v>
      </c>
      <c r="AQ588" s="18">
        <f>IF(OR(G588="",B588="",X588&lt;&gt;"Yes"),"",IF(IFERROR(INDEX(FreqDays,MATCH(O588,FreqNames,0)),0)=0,"",B588+IFERROR(INDEX(FreqDays,MATCH(O588,FreqNames,0)),0)))</f>
        <v>0</v>
      </c>
      <c r="AR588" s="39">
        <f>IF(G588="","",IF(R588="","Unassigned",IF(COUNTIFS($R$5:$R$604,R588,$B$5:$B$604,B588,$F$5:$F$604,F588)&gt;1,"Clash",IF(SUMIFS($AF$5:$AF$604,$R$5:$R$604,R588,$B$5:$B$604,B588)&gt;ProductiveHours,"Long day","OK"))))</f>
        <v>0</v>
      </c>
      <c r="AS588" s="18">
        <f>IF(OR(G588="",B588=""),"",IF(AND(B588&gt;=TodayDate,P588&lt;&gt;"Cancelled"),B588,""))</f>
        <v>0</v>
      </c>
      <c r="AT588" s="31">
        <f>IF(AS588="","",COUNTIFS($AS$5:$AS$604,"&lt;"&amp;AS588)+COUNTIFS($AS$5:AS588,AS588))</f>
        <v>0</v>
      </c>
      <c r="AU588" s="18">
        <f>IF(OR(G588="",B588="",R588&lt;&gt;""),"",IF(AND(B588&gt;=TodayDate,P588&lt;&gt;"Cancelled"),B588,""))</f>
        <v>0</v>
      </c>
      <c r="AV588" s="31">
        <f>IF(AU588="","",COUNTIFS($AU$5:$AU$604,"&lt;"&amp;AU588)+COUNTIFS($AU$5:AU588,AU588))</f>
        <v>0</v>
      </c>
      <c r="AW588" s="31">
        <f>IF(OR(G588="",B588=""),"",B588-TodayDate)</f>
        <v>0</v>
      </c>
      <c r="AX588" s="39">
        <f>IF(G588="","",IF(P588="Cancelled","Cancelled",IF(P588="No access","Action - no access, rebook",IF(AND(B588&lt;&gt;"",AW588&lt;0,OR(P588="Booked",P588="Confirmed",P588="In progress")),"Late - mark it completed",IF(AND(P588="Completed",AP588=""),"Action - not invoiced yet",IF(AND(AW588&gt;=0,AW588&lt;=ReminderDays,Y588&lt;&gt;"Yes"),"Confirm - visit coming up",IF(R588="","Assign - no cleaner booked",IF(AND(P588="Completed",AO588&lt;&gt;"",AO588&lt;1),"Check - checklist unfinished","OK"))))))))</f>
        <v>0</v>
      </c>
    </row>
    <row r="589" spans="1:50">
      <c r="A589" s="43">
        <f>IF(G589="","",JobPrefix&amp;TEXT(ROW()-4,"0000"))</f>
        <v>0</v>
      </c>
      <c r="C589" s="23">
        <f>IF(B589="","",TEXT(B589,"ddd"))</f>
        <v>0</v>
      </c>
      <c r="D589" s="31">
        <f>IF(B589="","",WEEKNUM(B589,IF(WeekStart="Sunday",1,2)))</f>
        <v>0</v>
      </c>
      <c r="E589" s="23">
        <f>IF(B589="","",TEXT(B589,"yyyy-mm"))</f>
        <v>0</v>
      </c>
      <c r="H589" s="23">
        <f>IF(G589="","",IFERROR(INDEX(Clients!$B$5:$B$204,MATCH(G589,Clients!$A$5:$A$204,0)),"Not found"))</f>
        <v>0</v>
      </c>
      <c r="I589" s="23">
        <f>IF(G589="","",IFERROR(INDEX(Clients!$C$5:$C$204,MATCH(G589,Clients!$A$5:$A$204,0)),""))</f>
        <v>0</v>
      </c>
      <c r="K589" s="23">
        <f>IF(J589="","",IFERROR(INDEX(Properties!$B$5:$B$254,MATCH(J589,Properties!$A$5:$A$254,0)),""))</f>
        <v>0</v>
      </c>
      <c r="L589" s="23">
        <f>IF(J589="","",IFERROR(INDEX(Properties!$F$5:$F$254,MATCH(J589,Properties!$A$5:$A$254,0)),""))</f>
        <v>0</v>
      </c>
      <c r="AD589" s="34">
        <f>IF(G589="","",IF(U589&lt;&gt;"",U589,IF(AND(IFERROR(INDEX(Services!$D$5:$D$64,MATCH(M589,Services!$B$5:$B$64,0)),"")="Per hour",IFERROR(INDEX(Properties!$X$5:$X$254,MATCH(J589,Properties!$A$5:$A$254,0)),0)&gt;0),IFERROR(INDEX(Properties!$X$5:$X$254,MATCH(J589,Properties!$A$5:$A$254,0)),0),IF(IFERROR(INDEX(Services!$G$5:$G$64,MATCH(M589,Services!$B$5:$B$64,0)),0)&gt;0,IFERROR(INDEX(Services!$G$5:$G$64,MATCH(M589,Services!$B$5:$B$64,0)),0),IFERROR(INDEX(Properties!$X$5:$X$254,MATCH(J589,Properties!$A$5:$A$254,0)),0)))))</f>
        <v>0</v>
      </c>
      <c r="AE589" s="31">
        <f>IF(G589="","",IF(T589="",CleanersPerJob,MAX(1,T589)))</f>
        <v>0</v>
      </c>
      <c r="AF589" s="34">
        <f>IF(G589="","",ROUND(AD589/AE589,2))</f>
        <v>0</v>
      </c>
      <c r="AG589" s="53">
        <f>IF(OR(G589="",F589="",AF589=""),"",F589+AF589/24)</f>
        <v>0</v>
      </c>
      <c r="AH589" s="21">
        <f>IF(G589="","",IF(IFERROR(INDEX(Clients!$O$5:$O$204,MATCH(G589,Clients!$A$5:$A$204,0)),0)&gt;0,IFERROR(INDEX(Clients!$O$5:$O$204,MATCH(G589,Clients!$A$5:$A$204,0)),0),HourlyRate))</f>
        <v>0</v>
      </c>
      <c r="AI589" s="21">
        <f>IF(G589="","",IF(AND(M589&lt;&gt;"",IFERROR(INDEX(Services!$P$5:$P$64,MATCH(M589,Services!$B$5:$B$64,0)),0)&gt;0,IFERROR(INDEX(Services!$D$5:$D$64,MATCH(M589,Services!$B$5:$B$64,0)),"")&lt;&gt;"Per hour"),IFERROR(INDEX(Services!$P$5:$P$64,MATCH(M589,Services!$B$5:$B$64,0)),0),AD589*AH589))</f>
        <v>0</v>
      </c>
      <c r="AJ589" s="21">
        <f>IF(G589="","",IF(V589&lt;&gt;"",V589,IF(P589="Cancelled",0,MAX(MinimumCharge,ROUND(AI589*IFERROR(INDEX(FreqFactors,MATCH(O589,FreqNames,0)),1),2)))))</f>
        <v>0</v>
      </c>
      <c r="AK589" s="34">
        <f>IF(G589="","",IF(SUMIFS(Timesheets!$U$5:$U$804,Timesheets!$G$5:$G$804,A589)&gt;0,SUMIFS(Timesheets!$U$5:$U$804,Timesheets!$G$5:$G$804,A589),IF(Z589="","",Z589)))</f>
        <v>0</v>
      </c>
      <c r="AL589" s="34">
        <f>IF(OR(AK589="",AD589=""),"",AK589-AD589)</f>
        <v>0</v>
      </c>
      <c r="AM589" s="31">
        <f>IF(A589="","",COUNTIFS('Job Tasks'!$B$5:$B$904,A589))</f>
        <v>0</v>
      </c>
      <c r="AN589" s="31">
        <f>IF(A589="","",COUNTIFS('Job Tasks'!$B$5:$B$904,A589,'Job Tasks'!$H$5:$H$904,"Done"))</f>
        <v>0</v>
      </c>
      <c r="AO589" s="38">
        <f>IF(OR(A589="",AM589=0),"",AN589/AM589)</f>
        <v>0</v>
      </c>
      <c r="AP589" s="43">
        <f>IF(A589="","",IFERROR(INDEX('Invoice Lines'!$B$5:$B$804,MATCH(A589,'Invoice Lines'!$C$5:$C$804,0)),""))</f>
        <v>0</v>
      </c>
      <c r="AQ589" s="18">
        <f>IF(OR(G589="",B589="",X589&lt;&gt;"Yes"),"",IF(IFERROR(INDEX(FreqDays,MATCH(O589,FreqNames,0)),0)=0,"",B589+IFERROR(INDEX(FreqDays,MATCH(O589,FreqNames,0)),0)))</f>
        <v>0</v>
      </c>
      <c r="AR589" s="39">
        <f>IF(G589="","",IF(R589="","Unassigned",IF(COUNTIFS($R$5:$R$604,R589,$B$5:$B$604,B589,$F$5:$F$604,F589)&gt;1,"Clash",IF(SUMIFS($AF$5:$AF$604,$R$5:$R$604,R589,$B$5:$B$604,B589)&gt;ProductiveHours,"Long day","OK"))))</f>
        <v>0</v>
      </c>
      <c r="AS589" s="18">
        <f>IF(OR(G589="",B589=""),"",IF(AND(B589&gt;=TodayDate,P589&lt;&gt;"Cancelled"),B589,""))</f>
        <v>0</v>
      </c>
      <c r="AT589" s="31">
        <f>IF(AS589="","",COUNTIFS($AS$5:$AS$604,"&lt;"&amp;AS589)+COUNTIFS($AS$5:AS589,AS589))</f>
        <v>0</v>
      </c>
      <c r="AU589" s="18">
        <f>IF(OR(G589="",B589="",R589&lt;&gt;""),"",IF(AND(B589&gt;=TodayDate,P589&lt;&gt;"Cancelled"),B589,""))</f>
        <v>0</v>
      </c>
      <c r="AV589" s="31">
        <f>IF(AU589="","",COUNTIFS($AU$5:$AU$604,"&lt;"&amp;AU589)+COUNTIFS($AU$5:AU589,AU589))</f>
        <v>0</v>
      </c>
      <c r="AW589" s="31">
        <f>IF(OR(G589="",B589=""),"",B589-TodayDate)</f>
        <v>0</v>
      </c>
      <c r="AX589" s="39">
        <f>IF(G589="","",IF(P589="Cancelled","Cancelled",IF(P589="No access","Action - no access, rebook",IF(AND(B589&lt;&gt;"",AW589&lt;0,OR(P589="Booked",P589="Confirmed",P589="In progress")),"Late - mark it completed",IF(AND(P589="Completed",AP589=""),"Action - not invoiced yet",IF(AND(AW589&gt;=0,AW589&lt;=ReminderDays,Y589&lt;&gt;"Yes"),"Confirm - visit coming up",IF(R589="","Assign - no cleaner booked",IF(AND(P589="Completed",AO589&lt;&gt;"",AO589&lt;1),"Check - checklist unfinished","OK"))))))))</f>
        <v>0</v>
      </c>
    </row>
    <row r="590" spans="1:50">
      <c r="A590" s="43">
        <f>IF(G590="","",JobPrefix&amp;TEXT(ROW()-4,"0000"))</f>
        <v>0</v>
      </c>
      <c r="C590" s="23">
        <f>IF(B590="","",TEXT(B590,"ddd"))</f>
        <v>0</v>
      </c>
      <c r="D590" s="31">
        <f>IF(B590="","",WEEKNUM(B590,IF(WeekStart="Sunday",1,2)))</f>
        <v>0</v>
      </c>
      <c r="E590" s="23">
        <f>IF(B590="","",TEXT(B590,"yyyy-mm"))</f>
        <v>0</v>
      </c>
      <c r="H590" s="23">
        <f>IF(G590="","",IFERROR(INDEX(Clients!$B$5:$B$204,MATCH(G590,Clients!$A$5:$A$204,0)),"Not found"))</f>
        <v>0</v>
      </c>
      <c r="I590" s="23">
        <f>IF(G590="","",IFERROR(INDEX(Clients!$C$5:$C$204,MATCH(G590,Clients!$A$5:$A$204,0)),""))</f>
        <v>0</v>
      </c>
      <c r="K590" s="23">
        <f>IF(J590="","",IFERROR(INDEX(Properties!$B$5:$B$254,MATCH(J590,Properties!$A$5:$A$254,0)),""))</f>
        <v>0</v>
      </c>
      <c r="L590" s="23">
        <f>IF(J590="","",IFERROR(INDEX(Properties!$F$5:$F$254,MATCH(J590,Properties!$A$5:$A$254,0)),""))</f>
        <v>0</v>
      </c>
      <c r="AD590" s="34">
        <f>IF(G590="","",IF(U590&lt;&gt;"",U590,IF(AND(IFERROR(INDEX(Services!$D$5:$D$64,MATCH(M590,Services!$B$5:$B$64,0)),"")="Per hour",IFERROR(INDEX(Properties!$X$5:$X$254,MATCH(J590,Properties!$A$5:$A$254,0)),0)&gt;0),IFERROR(INDEX(Properties!$X$5:$X$254,MATCH(J590,Properties!$A$5:$A$254,0)),0),IF(IFERROR(INDEX(Services!$G$5:$G$64,MATCH(M590,Services!$B$5:$B$64,0)),0)&gt;0,IFERROR(INDEX(Services!$G$5:$G$64,MATCH(M590,Services!$B$5:$B$64,0)),0),IFERROR(INDEX(Properties!$X$5:$X$254,MATCH(J590,Properties!$A$5:$A$254,0)),0)))))</f>
        <v>0</v>
      </c>
      <c r="AE590" s="31">
        <f>IF(G590="","",IF(T590="",CleanersPerJob,MAX(1,T590)))</f>
        <v>0</v>
      </c>
      <c r="AF590" s="34">
        <f>IF(G590="","",ROUND(AD590/AE590,2))</f>
        <v>0</v>
      </c>
      <c r="AG590" s="53">
        <f>IF(OR(G590="",F590="",AF590=""),"",F590+AF590/24)</f>
        <v>0</v>
      </c>
      <c r="AH590" s="21">
        <f>IF(G590="","",IF(IFERROR(INDEX(Clients!$O$5:$O$204,MATCH(G590,Clients!$A$5:$A$204,0)),0)&gt;0,IFERROR(INDEX(Clients!$O$5:$O$204,MATCH(G590,Clients!$A$5:$A$204,0)),0),HourlyRate))</f>
        <v>0</v>
      </c>
      <c r="AI590" s="21">
        <f>IF(G590="","",IF(AND(M590&lt;&gt;"",IFERROR(INDEX(Services!$P$5:$P$64,MATCH(M590,Services!$B$5:$B$64,0)),0)&gt;0,IFERROR(INDEX(Services!$D$5:$D$64,MATCH(M590,Services!$B$5:$B$64,0)),"")&lt;&gt;"Per hour"),IFERROR(INDEX(Services!$P$5:$P$64,MATCH(M590,Services!$B$5:$B$64,0)),0),AD590*AH590))</f>
        <v>0</v>
      </c>
      <c r="AJ590" s="21">
        <f>IF(G590="","",IF(V590&lt;&gt;"",V590,IF(P590="Cancelled",0,MAX(MinimumCharge,ROUND(AI590*IFERROR(INDEX(FreqFactors,MATCH(O590,FreqNames,0)),1),2)))))</f>
        <v>0</v>
      </c>
      <c r="AK590" s="34">
        <f>IF(G590="","",IF(SUMIFS(Timesheets!$U$5:$U$804,Timesheets!$G$5:$G$804,A590)&gt;0,SUMIFS(Timesheets!$U$5:$U$804,Timesheets!$G$5:$G$804,A590),IF(Z590="","",Z590)))</f>
        <v>0</v>
      </c>
      <c r="AL590" s="34">
        <f>IF(OR(AK590="",AD590=""),"",AK590-AD590)</f>
        <v>0</v>
      </c>
      <c r="AM590" s="31">
        <f>IF(A590="","",COUNTIFS('Job Tasks'!$B$5:$B$904,A590))</f>
        <v>0</v>
      </c>
      <c r="AN590" s="31">
        <f>IF(A590="","",COUNTIFS('Job Tasks'!$B$5:$B$904,A590,'Job Tasks'!$H$5:$H$904,"Done"))</f>
        <v>0</v>
      </c>
      <c r="AO590" s="38">
        <f>IF(OR(A590="",AM590=0),"",AN590/AM590)</f>
        <v>0</v>
      </c>
      <c r="AP590" s="43">
        <f>IF(A590="","",IFERROR(INDEX('Invoice Lines'!$B$5:$B$804,MATCH(A590,'Invoice Lines'!$C$5:$C$804,0)),""))</f>
        <v>0</v>
      </c>
      <c r="AQ590" s="18">
        <f>IF(OR(G590="",B590="",X590&lt;&gt;"Yes"),"",IF(IFERROR(INDEX(FreqDays,MATCH(O590,FreqNames,0)),0)=0,"",B590+IFERROR(INDEX(FreqDays,MATCH(O590,FreqNames,0)),0)))</f>
        <v>0</v>
      </c>
      <c r="AR590" s="39">
        <f>IF(G590="","",IF(R590="","Unassigned",IF(COUNTIFS($R$5:$R$604,R590,$B$5:$B$604,B590,$F$5:$F$604,F590)&gt;1,"Clash",IF(SUMIFS($AF$5:$AF$604,$R$5:$R$604,R590,$B$5:$B$604,B590)&gt;ProductiveHours,"Long day","OK"))))</f>
        <v>0</v>
      </c>
      <c r="AS590" s="18">
        <f>IF(OR(G590="",B590=""),"",IF(AND(B590&gt;=TodayDate,P590&lt;&gt;"Cancelled"),B590,""))</f>
        <v>0</v>
      </c>
      <c r="AT590" s="31">
        <f>IF(AS590="","",COUNTIFS($AS$5:$AS$604,"&lt;"&amp;AS590)+COUNTIFS($AS$5:AS590,AS590))</f>
        <v>0</v>
      </c>
      <c r="AU590" s="18">
        <f>IF(OR(G590="",B590="",R590&lt;&gt;""),"",IF(AND(B590&gt;=TodayDate,P590&lt;&gt;"Cancelled"),B590,""))</f>
        <v>0</v>
      </c>
      <c r="AV590" s="31">
        <f>IF(AU590="","",COUNTIFS($AU$5:$AU$604,"&lt;"&amp;AU590)+COUNTIFS($AU$5:AU590,AU590))</f>
        <v>0</v>
      </c>
      <c r="AW590" s="31">
        <f>IF(OR(G590="",B590=""),"",B590-TodayDate)</f>
        <v>0</v>
      </c>
      <c r="AX590" s="39">
        <f>IF(G590="","",IF(P590="Cancelled","Cancelled",IF(P590="No access","Action - no access, rebook",IF(AND(B590&lt;&gt;"",AW590&lt;0,OR(P590="Booked",P590="Confirmed",P590="In progress")),"Late - mark it completed",IF(AND(P590="Completed",AP590=""),"Action - not invoiced yet",IF(AND(AW590&gt;=0,AW590&lt;=ReminderDays,Y590&lt;&gt;"Yes"),"Confirm - visit coming up",IF(R590="","Assign - no cleaner booked",IF(AND(P590="Completed",AO590&lt;&gt;"",AO590&lt;1),"Check - checklist unfinished","OK"))))))))</f>
        <v>0</v>
      </c>
    </row>
    <row r="591" spans="1:50">
      <c r="A591" s="43">
        <f>IF(G591="","",JobPrefix&amp;TEXT(ROW()-4,"0000"))</f>
        <v>0</v>
      </c>
      <c r="C591" s="23">
        <f>IF(B591="","",TEXT(B591,"ddd"))</f>
        <v>0</v>
      </c>
      <c r="D591" s="31">
        <f>IF(B591="","",WEEKNUM(B591,IF(WeekStart="Sunday",1,2)))</f>
        <v>0</v>
      </c>
      <c r="E591" s="23">
        <f>IF(B591="","",TEXT(B591,"yyyy-mm"))</f>
        <v>0</v>
      </c>
      <c r="H591" s="23">
        <f>IF(G591="","",IFERROR(INDEX(Clients!$B$5:$B$204,MATCH(G591,Clients!$A$5:$A$204,0)),"Not found"))</f>
        <v>0</v>
      </c>
      <c r="I591" s="23">
        <f>IF(G591="","",IFERROR(INDEX(Clients!$C$5:$C$204,MATCH(G591,Clients!$A$5:$A$204,0)),""))</f>
        <v>0</v>
      </c>
      <c r="K591" s="23">
        <f>IF(J591="","",IFERROR(INDEX(Properties!$B$5:$B$254,MATCH(J591,Properties!$A$5:$A$254,0)),""))</f>
        <v>0</v>
      </c>
      <c r="L591" s="23">
        <f>IF(J591="","",IFERROR(INDEX(Properties!$F$5:$F$254,MATCH(J591,Properties!$A$5:$A$254,0)),""))</f>
        <v>0</v>
      </c>
      <c r="AD591" s="34">
        <f>IF(G591="","",IF(U591&lt;&gt;"",U591,IF(AND(IFERROR(INDEX(Services!$D$5:$D$64,MATCH(M591,Services!$B$5:$B$64,0)),"")="Per hour",IFERROR(INDEX(Properties!$X$5:$X$254,MATCH(J591,Properties!$A$5:$A$254,0)),0)&gt;0),IFERROR(INDEX(Properties!$X$5:$X$254,MATCH(J591,Properties!$A$5:$A$254,0)),0),IF(IFERROR(INDEX(Services!$G$5:$G$64,MATCH(M591,Services!$B$5:$B$64,0)),0)&gt;0,IFERROR(INDEX(Services!$G$5:$G$64,MATCH(M591,Services!$B$5:$B$64,0)),0),IFERROR(INDEX(Properties!$X$5:$X$254,MATCH(J591,Properties!$A$5:$A$254,0)),0)))))</f>
        <v>0</v>
      </c>
      <c r="AE591" s="31">
        <f>IF(G591="","",IF(T591="",CleanersPerJob,MAX(1,T591)))</f>
        <v>0</v>
      </c>
      <c r="AF591" s="34">
        <f>IF(G591="","",ROUND(AD591/AE591,2))</f>
        <v>0</v>
      </c>
      <c r="AG591" s="53">
        <f>IF(OR(G591="",F591="",AF591=""),"",F591+AF591/24)</f>
        <v>0</v>
      </c>
      <c r="AH591" s="21">
        <f>IF(G591="","",IF(IFERROR(INDEX(Clients!$O$5:$O$204,MATCH(G591,Clients!$A$5:$A$204,0)),0)&gt;0,IFERROR(INDEX(Clients!$O$5:$O$204,MATCH(G591,Clients!$A$5:$A$204,0)),0),HourlyRate))</f>
        <v>0</v>
      </c>
      <c r="AI591" s="21">
        <f>IF(G591="","",IF(AND(M591&lt;&gt;"",IFERROR(INDEX(Services!$P$5:$P$64,MATCH(M591,Services!$B$5:$B$64,0)),0)&gt;0,IFERROR(INDEX(Services!$D$5:$D$64,MATCH(M591,Services!$B$5:$B$64,0)),"")&lt;&gt;"Per hour"),IFERROR(INDEX(Services!$P$5:$P$64,MATCH(M591,Services!$B$5:$B$64,0)),0),AD591*AH591))</f>
        <v>0</v>
      </c>
      <c r="AJ591" s="21">
        <f>IF(G591="","",IF(V591&lt;&gt;"",V591,IF(P591="Cancelled",0,MAX(MinimumCharge,ROUND(AI591*IFERROR(INDEX(FreqFactors,MATCH(O591,FreqNames,0)),1),2)))))</f>
        <v>0</v>
      </c>
      <c r="AK591" s="34">
        <f>IF(G591="","",IF(SUMIFS(Timesheets!$U$5:$U$804,Timesheets!$G$5:$G$804,A591)&gt;0,SUMIFS(Timesheets!$U$5:$U$804,Timesheets!$G$5:$G$804,A591),IF(Z591="","",Z591)))</f>
        <v>0</v>
      </c>
      <c r="AL591" s="34">
        <f>IF(OR(AK591="",AD591=""),"",AK591-AD591)</f>
        <v>0</v>
      </c>
      <c r="AM591" s="31">
        <f>IF(A591="","",COUNTIFS('Job Tasks'!$B$5:$B$904,A591))</f>
        <v>0</v>
      </c>
      <c r="AN591" s="31">
        <f>IF(A591="","",COUNTIFS('Job Tasks'!$B$5:$B$904,A591,'Job Tasks'!$H$5:$H$904,"Done"))</f>
        <v>0</v>
      </c>
      <c r="AO591" s="38">
        <f>IF(OR(A591="",AM591=0),"",AN591/AM591)</f>
        <v>0</v>
      </c>
      <c r="AP591" s="43">
        <f>IF(A591="","",IFERROR(INDEX('Invoice Lines'!$B$5:$B$804,MATCH(A591,'Invoice Lines'!$C$5:$C$804,0)),""))</f>
        <v>0</v>
      </c>
      <c r="AQ591" s="18">
        <f>IF(OR(G591="",B591="",X591&lt;&gt;"Yes"),"",IF(IFERROR(INDEX(FreqDays,MATCH(O591,FreqNames,0)),0)=0,"",B591+IFERROR(INDEX(FreqDays,MATCH(O591,FreqNames,0)),0)))</f>
        <v>0</v>
      </c>
      <c r="AR591" s="39">
        <f>IF(G591="","",IF(R591="","Unassigned",IF(COUNTIFS($R$5:$R$604,R591,$B$5:$B$604,B591,$F$5:$F$604,F591)&gt;1,"Clash",IF(SUMIFS($AF$5:$AF$604,$R$5:$R$604,R591,$B$5:$B$604,B591)&gt;ProductiveHours,"Long day","OK"))))</f>
        <v>0</v>
      </c>
      <c r="AS591" s="18">
        <f>IF(OR(G591="",B591=""),"",IF(AND(B591&gt;=TodayDate,P591&lt;&gt;"Cancelled"),B591,""))</f>
        <v>0</v>
      </c>
      <c r="AT591" s="31">
        <f>IF(AS591="","",COUNTIFS($AS$5:$AS$604,"&lt;"&amp;AS591)+COUNTIFS($AS$5:AS591,AS591))</f>
        <v>0</v>
      </c>
      <c r="AU591" s="18">
        <f>IF(OR(G591="",B591="",R591&lt;&gt;""),"",IF(AND(B591&gt;=TodayDate,P591&lt;&gt;"Cancelled"),B591,""))</f>
        <v>0</v>
      </c>
      <c r="AV591" s="31">
        <f>IF(AU591="","",COUNTIFS($AU$5:$AU$604,"&lt;"&amp;AU591)+COUNTIFS($AU$5:AU591,AU591))</f>
        <v>0</v>
      </c>
      <c r="AW591" s="31">
        <f>IF(OR(G591="",B591=""),"",B591-TodayDate)</f>
        <v>0</v>
      </c>
      <c r="AX591" s="39">
        <f>IF(G591="","",IF(P591="Cancelled","Cancelled",IF(P591="No access","Action - no access, rebook",IF(AND(B591&lt;&gt;"",AW591&lt;0,OR(P591="Booked",P591="Confirmed",P591="In progress")),"Late - mark it completed",IF(AND(P591="Completed",AP591=""),"Action - not invoiced yet",IF(AND(AW591&gt;=0,AW591&lt;=ReminderDays,Y591&lt;&gt;"Yes"),"Confirm - visit coming up",IF(R591="","Assign - no cleaner booked",IF(AND(P591="Completed",AO591&lt;&gt;"",AO591&lt;1),"Check - checklist unfinished","OK"))))))))</f>
        <v>0</v>
      </c>
    </row>
    <row r="592" spans="1:50">
      <c r="A592" s="43">
        <f>IF(G592="","",JobPrefix&amp;TEXT(ROW()-4,"0000"))</f>
        <v>0</v>
      </c>
      <c r="C592" s="23">
        <f>IF(B592="","",TEXT(B592,"ddd"))</f>
        <v>0</v>
      </c>
      <c r="D592" s="31">
        <f>IF(B592="","",WEEKNUM(B592,IF(WeekStart="Sunday",1,2)))</f>
        <v>0</v>
      </c>
      <c r="E592" s="23">
        <f>IF(B592="","",TEXT(B592,"yyyy-mm"))</f>
        <v>0</v>
      </c>
      <c r="H592" s="23">
        <f>IF(G592="","",IFERROR(INDEX(Clients!$B$5:$B$204,MATCH(G592,Clients!$A$5:$A$204,0)),"Not found"))</f>
        <v>0</v>
      </c>
      <c r="I592" s="23">
        <f>IF(G592="","",IFERROR(INDEX(Clients!$C$5:$C$204,MATCH(G592,Clients!$A$5:$A$204,0)),""))</f>
        <v>0</v>
      </c>
      <c r="K592" s="23">
        <f>IF(J592="","",IFERROR(INDEX(Properties!$B$5:$B$254,MATCH(J592,Properties!$A$5:$A$254,0)),""))</f>
        <v>0</v>
      </c>
      <c r="L592" s="23">
        <f>IF(J592="","",IFERROR(INDEX(Properties!$F$5:$F$254,MATCH(J592,Properties!$A$5:$A$254,0)),""))</f>
        <v>0</v>
      </c>
      <c r="AD592" s="34">
        <f>IF(G592="","",IF(U592&lt;&gt;"",U592,IF(AND(IFERROR(INDEX(Services!$D$5:$D$64,MATCH(M592,Services!$B$5:$B$64,0)),"")="Per hour",IFERROR(INDEX(Properties!$X$5:$X$254,MATCH(J592,Properties!$A$5:$A$254,0)),0)&gt;0),IFERROR(INDEX(Properties!$X$5:$X$254,MATCH(J592,Properties!$A$5:$A$254,0)),0),IF(IFERROR(INDEX(Services!$G$5:$G$64,MATCH(M592,Services!$B$5:$B$64,0)),0)&gt;0,IFERROR(INDEX(Services!$G$5:$G$64,MATCH(M592,Services!$B$5:$B$64,0)),0),IFERROR(INDEX(Properties!$X$5:$X$254,MATCH(J592,Properties!$A$5:$A$254,0)),0)))))</f>
        <v>0</v>
      </c>
      <c r="AE592" s="31">
        <f>IF(G592="","",IF(T592="",CleanersPerJob,MAX(1,T592)))</f>
        <v>0</v>
      </c>
      <c r="AF592" s="34">
        <f>IF(G592="","",ROUND(AD592/AE592,2))</f>
        <v>0</v>
      </c>
      <c r="AG592" s="53">
        <f>IF(OR(G592="",F592="",AF592=""),"",F592+AF592/24)</f>
        <v>0</v>
      </c>
      <c r="AH592" s="21">
        <f>IF(G592="","",IF(IFERROR(INDEX(Clients!$O$5:$O$204,MATCH(G592,Clients!$A$5:$A$204,0)),0)&gt;0,IFERROR(INDEX(Clients!$O$5:$O$204,MATCH(G592,Clients!$A$5:$A$204,0)),0),HourlyRate))</f>
        <v>0</v>
      </c>
      <c r="AI592" s="21">
        <f>IF(G592="","",IF(AND(M592&lt;&gt;"",IFERROR(INDEX(Services!$P$5:$P$64,MATCH(M592,Services!$B$5:$B$64,0)),0)&gt;0,IFERROR(INDEX(Services!$D$5:$D$64,MATCH(M592,Services!$B$5:$B$64,0)),"")&lt;&gt;"Per hour"),IFERROR(INDEX(Services!$P$5:$P$64,MATCH(M592,Services!$B$5:$B$64,0)),0),AD592*AH592))</f>
        <v>0</v>
      </c>
      <c r="AJ592" s="21">
        <f>IF(G592="","",IF(V592&lt;&gt;"",V592,IF(P592="Cancelled",0,MAX(MinimumCharge,ROUND(AI592*IFERROR(INDEX(FreqFactors,MATCH(O592,FreqNames,0)),1),2)))))</f>
        <v>0</v>
      </c>
      <c r="AK592" s="34">
        <f>IF(G592="","",IF(SUMIFS(Timesheets!$U$5:$U$804,Timesheets!$G$5:$G$804,A592)&gt;0,SUMIFS(Timesheets!$U$5:$U$804,Timesheets!$G$5:$G$804,A592),IF(Z592="","",Z592)))</f>
        <v>0</v>
      </c>
      <c r="AL592" s="34">
        <f>IF(OR(AK592="",AD592=""),"",AK592-AD592)</f>
        <v>0</v>
      </c>
      <c r="AM592" s="31">
        <f>IF(A592="","",COUNTIFS('Job Tasks'!$B$5:$B$904,A592))</f>
        <v>0</v>
      </c>
      <c r="AN592" s="31">
        <f>IF(A592="","",COUNTIFS('Job Tasks'!$B$5:$B$904,A592,'Job Tasks'!$H$5:$H$904,"Done"))</f>
        <v>0</v>
      </c>
      <c r="AO592" s="38">
        <f>IF(OR(A592="",AM592=0),"",AN592/AM592)</f>
        <v>0</v>
      </c>
      <c r="AP592" s="43">
        <f>IF(A592="","",IFERROR(INDEX('Invoice Lines'!$B$5:$B$804,MATCH(A592,'Invoice Lines'!$C$5:$C$804,0)),""))</f>
        <v>0</v>
      </c>
      <c r="AQ592" s="18">
        <f>IF(OR(G592="",B592="",X592&lt;&gt;"Yes"),"",IF(IFERROR(INDEX(FreqDays,MATCH(O592,FreqNames,0)),0)=0,"",B592+IFERROR(INDEX(FreqDays,MATCH(O592,FreqNames,0)),0)))</f>
        <v>0</v>
      </c>
      <c r="AR592" s="39">
        <f>IF(G592="","",IF(R592="","Unassigned",IF(COUNTIFS($R$5:$R$604,R592,$B$5:$B$604,B592,$F$5:$F$604,F592)&gt;1,"Clash",IF(SUMIFS($AF$5:$AF$604,$R$5:$R$604,R592,$B$5:$B$604,B592)&gt;ProductiveHours,"Long day","OK"))))</f>
        <v>0</v>
      </c>
      <c r="AS592" s="18">
        <f>IF(OR(G592="",B592=""),"",IF(AND(B592&gt;=TodayDate,P592&lt;&gt;"Cancelled"),B592,""))</f>
        <v>0</v>
      </c>
      <c r="AT592" s="31">
        <f>IF(AS592="","",COUNTIFS($AS$5:$AS$604,"&lt;"&amp;AS592)+COUNTIFS($AS$5:AS592,AS592))</f>
        <v>0</v>
      </c>
      <c r="AU592" s="18">
        <f>IF(OR(G592="",B592="",R592&lt;&gt;""),"",IF(AND(B592&gt;=TodayDate,P592&lt;&gt;"Cancelled"),B592,""))</f>
        <v>0</v>
      </c>
      <c r="AV592" s="31">
        <f>IF(AU592="","",COUNTIFS($AU$5:$AU$604,"&lt;"&amp;AU592)+COUNTIFS($AU$5:AU592,AU592))</f>
        <v>0</v>
      </c>
      <c r="AW592" s="31">
        <f>IF(OR(G592="",B592=""),"",B592-TodayDate)</f>
        <v>0</v>
      </c>
      <c r="AX592" s="39">
        <f>IF(G592="","",IF(P592="Cancelled","Cancelled",IF(P592="No access","Action - no access, rebook",IF(AND(B592&lt;&gt;"",AW592&lt;0,OR(P592="Booked",P592="Confirmed",P592="In progress")),"Late - mark it completed",IF(AND(P592="Completed",AP592=""),"Action - not invoiced yet",IF(AND(AW592&gt;=0,AW592&lt;=ReminderDays,Y592&lt;&gt;"Yes"),"Confirm - visit coming up",IF(R592="","Assign - no cleaner booked",IF(AND(P592="Completed",AO592&lt;&gt;"",AO592&lt;1),"Check - checklist unfinished","OK"))))))))</f>
        <v>0</v>
      </c>
    </row>
    <row r="593" spans="1:50">
      <c r="A593" s="43">
        <f>IF(G593="","",JobPrefix&amp;TEXT(ROW()-4,"0000"))</f>
        <v>0</v>
      </c>
      <c r="C593" s="23">
        <f>IF(B593="","",TEXT(B593,"ddd"))</f>
        <v>0</v>
      </c>
      <c r="D593" s="31">
        <f>IF(B593="","",WEEKNUM(B593,IF(WeekStart="Sunday",1,2)))</f>
        <v>0</v>
      </c>
      <c r="E593" s="23">
        <f>IF(B593="","",TEXT(B593,"yyyy-mm"))</f>
        <v>0</v>
      </c>
      <c r="H593" s="23">
        <f>IF(G593="","",IFERROR(INDEX(Clients!$B$5:$B$204,MATCH(G593,Clients!$A$5:$A$204,0)),"Not found"))</f>
        <v>0</v>
      </c>
      <c r="I593" s="23">
        <f>IF(G593="","",IFERROR(INDEX(Clients!$C$5:$C$204,MATCH(G593,Clients!$A$5:$A$204,0)),""))</f>
        <v>0</v>
      </c>
      <c r="K593" s="23">
        <f>IF(J593="","",IFERROR(INDEX(Properties!$B$5:$B$254,MATCH(J593,Properties!$A$5:$A$254,0)),""))</f>
        <v>0</v>
      </c>
      <c r="L593" s="23">
        <f>IF(J593="","",IFERROR(INDEX(Properties!$F$5:$F$254,MATCH(J593,Properties!$A$5:$A$254,0)),""))</f>
        <v>0</v>
      </c>
      <c r="AD593" s="34">
        <f>IF(G593="","",IF(U593&lt;&gt;"",U593,IF(AND(IFERROR(INDEX(Services!$D$5:$D$64,MATCH(M593,Services!$B$5:$B$64,0)),"")="Per hour",IFERROR(INDEX(Properties!$X$5:$X$254,MATCH(J593,Properties!$A$5:$A$254,0)),0)&gt;0),IFERROR(INDEX(Properties!$X$5:$X$254,MATCH(J593,Properties!$A$5:$A$254,0)),0),IF(IFERROR(INDEX(Services!$G$5:$G$64,MATCH(M593,Services!$B$5:$B$64,0)),0)&gt;0,IFERROR(INDEX(Services!$G$5:$G$64,MATCH(M593,Services!$B$5:$B$64,0)),0),IFERROR(INDEX(Properties!$X$5:$X$254,MATCH(J593,Properties!$A$5:$A$254,0)),0)))))</f>
        <v>0</v>
      </c>
      <c r="AE593" s="31">
        <f>IF(G593="","",IF(T593="",CleanersPerJob,MAX(1,T593)))</f>
        <v>0</v>
      </c>
      <c r="AF593" s="34">
        <f>IF(G593="","",ROUND(AD593/AE593,2))</f>
        <v>0</v>
      </c>
      <c r="AG593" s="53">
        <f>IF(OR(G593="",F593="",AF593=""),"",F593+AF593/24)</f>
        <v>0</v>
      </c>
      <c r="AH593" s="21">
        <f>IF(G593="","",IF(IFERROR(INDEX(Clients!$O$5:$O$204,MATCH(G593,Clients!$A$5:$A$204,0)),0)&gt;0,IFERROR(INDEX(Clients!$O$5:$O$204,MATCH(G593,Clients!$A$5:$A$204,0)),0),HourlyRate))</f>
        <v>0</v>
      </c>
      <c r="AI593" s="21">
        <f>IF(G593="","",IF(AND(M593&lt;&gt;"",IFERROR(INDEX(Services!$P$5:$P$64,MATCH(M593,Services!$B$5:$B$64,0)),0)&gt;0,IFERROR(INDEX(Services!$D$5:$D$64,MATCH(M593,Services!$B$5:$B$64,0)),"")&lt;&gt;"Per hour"),IFERROR(INDEX(Services!$P$5:$P$64,MATCH(M593,Services!$B$5:$B$64,0)),0),AD593*AH593))</f>
        <v>0</v>
      </c>
      <c r="AJ593" s="21">
        <f>IF(G593="","",IF(V593&lt;&gt;"",V593,IF(P593="Cancelled",0,MAX(MinimumCharge,ROUND(AI593*IFERROR(INDEX(FreqFactors,MATCH(O593,FreqNames,0)),1),2)))))</f>
        <v>0</v>
      </c>
      <c r="AK593" s="34">
        <f>IF(G593="","",IF(SUMIFS(Timesheets!$U$5:$U$804,Timesheets!$G$5:$G$804,A593)&gt;0,SUMIFS(Timesheets!$U$5:$U$804,Timesheets!$G$5:$G$804,A593),IF(Z593="","",Z593)))</f>
        <v>0</v>
      </c>
      <c r="AL593" s="34">
        <f>IF(OR(AK593="",AD593=""),"",AK593-AD593)</f>
        <v>0</v>
      </c>
      <c r="AM593" s="31">
        <f>IF(A593="","",COUNTIFS('Job Tasks'!$B$5:$B$904,A593))</f>
        <v>0</v>
      </c>
      <c r="AN593" s="31">
        <f>IF(A593="","",COUNTIFS('Job Tasks'!$B$5:$B$904,A593,'Job Tasks'!$H$5:$H$904,"Done"))</f>
        <v>0</v>
      </c>
      <c r="AO593" s="38">
        <f>IF(OR(A593="",AM593=0),"",AN593/AM593)</f>
        <v>0</v>
      </c>
      <c r="AP593" s="43">
        <f>IF(A593="","",IFERROR(INDEX('Invoice Lines'!$B$5:$B$804,MATCH(A593,'Invoice Lines'!$C$5:$C$804,0)),""))</f>
        <v>0</v>
      </c>
      <c r="AQ593" s="18">
        <f>IF(OR(G593="",B593="",X593&lt;&gt;"Yes"),"",IF(IFERROR(INDEX(FreqDays,MATCH(O593,FreqNames,0)),0)=0,"",B593+IFERROR(INDEX(FreqDays,MATCH(O593,FreqNames,0)),0)))</f>
        <v>0</v>
      </c>
      <c r="AR593" s="39">
        <f>IF(G593="","",IF(R593="","Unassigned",IF(COUNTIFS($R$5:$R$604,R593,$B$5:$B$604,B593,$F$5:$F$604,F593)&gt;1,"Clash",IF(SUMIFS($AF$5:$AF$604,$R$5:$R$604,R593,$B$5:$B$604,B593)&gt;ProductiveHours,"Long day","OK"))))</f>
        <v>0</v>
      </c>
      <c r="AS593" s="18">
        <f>IF(OR(G593="",B593=""),"",IF(AND(B593&gt;=TodayDate,P593&lt;&gt;"Cancelled"),B593,""))</f>
        <v>0</v>
      </c>
      <c r="AT593" s="31">
        <f>IF(AS593="","",COUNTIFS($AS$5:$AS$604,"&lt;"&amp;AS593)+COUNTIFS($AS$5:AS593,AS593))</f>
        <v>0</v>
      </c>
      <c r="AU593" s="18">
        <f>IF(OR(G593="",B593="",R593&lt;&gt;""),"",IF(AND(B593&gt;=TodayDate,P593&lt;&gt;"Cancelled"),B593,""))</f>
        <v>0</v>
      </c>
      <c r="AV593" s="31">
        <f>IF(AU593="","",COUNTIFS($AU$5:$AU$604,"&lt;"&amp;AU593)+COUNTIFS($AU$5:AU593,AU593))</f>
        <v>0</v>
      </c>
      <c r="AW593" s="31">
        <f>IF(OR(G593="",B593=""),"",B593-TodayDate)</f>
        <v>0</v>
      </c>
      <c r="AX593" s="39">
        <f>IF(G593="","",IF(P593="Cancelled","Cancelled",IF(P593="No access","Action - no access, rebook",IF(AND(B593&lt;&gt;"",AW593&lt;0,OR(P593="Booked",P593="Confirmed",P593="In progress")),"Late - mark it completed",IF(AND(P593="Completed",AP593=""),"Action - not invoiced yet",IF(AND(AW593&gt;=0,AW593&lt;=ReminderDays,Y593&lt;&gt;"Yes"),"Confirm - visit coming up",IF(R593="","Assign - no cleaner booked",IF(AND(P593="Completed",AO593&lt;&gt;"",AO593&lt;1),"Check - checklist unfinished","OK"))))))))</f>
        <v>0</v>
      </c>
    </row>
    <row r="594" spans="1:50">
      <c r="A594" s="43">
        <f>IF(G594="","",JobPrefix&amp;TEXT(ROW()-4,"0000"))</f>
        <v>0</v>
      </c>
      <c r="C594" s="23">
        <f>IF(B594="","",TEXT(B594,"ddd"))</f>
        <v>0</v>
      </c>
      <c r="D594" s="31">
        <f>IF(B594="","",WEEKNUM(B594,IF(WeekStart="Sunday",1,2)))</f>
        <v>0</v>
      </c>
      <c r="E594" s="23">
        <f>IF(B594="","",TEXT(B594,"yyyy-mm"))</f>
        <v>0</v>
      </c>
      <c r="H594" s="23">
        <f>IF(G594="","",IFERROR(INDEX(Clients!$B$5:$B$204,MATCH(G594,Clients!$A$5:$A$204,0)),"Not found"))</f>
        <v>0</v>
      </c>
      <c r="I594" s="23">
        <f>IF(G594="","",IFERROR(INDEX(Clients!$C$5:$C$204,MATCH(G594,Clients!$A$5:$A$204,0)),""))</f>
        <v>0</v>
      </c>
      <c r="K594" s="23">
        <f>IF(J594="","",IFERROR(INDEX(Properties!$B$5:$B$254,MATCH(J594,Properties!$A$5:$A$254,0)),""))</f>
        <v>0</v>
      </c>
      <c r="L594" s="23">
        <f>IF(J594="","",IFERROR(INDEX(Properties!$F$5:$F$254,MATCH(J594,Properties!$A$5:$A$254,0)),""))</f>
        <v>0</v>
      </c>
      <c r="AD594" s="34">
        <f>IF(G594="","",IF(U594&lt;&gt;"",U594,IF(AND(IFERROR(INDEX(Services!$D$5:$D$64,MATCH(M594,Services!$B$5:$B$64,0)),"")="Per hour",IFERROR(INDEX(Properties!$X$5:$X$254,MATCH(J594,Properties!$A$5:$A$254,0)),0)&gt;0),IFERROR(INDEX(Properties!$X$5:$X$254,MATCH(J594,Properties!$A$5:$A$254,0)),0),IF(IFERROR(INDEX(Services!$G$5:$G$64,MATCH(M594,Services!$B$5:$B$64,0)),0)&gt;0,IFERROR(INDEX(Services!$G$5:$G$64,MATCH(M594,Services!$B$5:$B$64,0)),0),IFERROR(INDEX(Properties!$X$5:$X$254,MATCH(J594,Properties!$A$5:$A$254,0)),0)))))</f>
        <v>0</v>
      </c>
      <c r="AE594" s="31">
        <f>IF(G594="","",IF(T594="",CleanersPerJob,MAX(1,T594)))</f>
        <v>0</v>
      </c>
      <c r="AF594" s="34">
        <f>IF(G594="","",ROUND(AD594/AE594,2))</f>
        <v>0</v>
      </c>
      <c r="AG594" s="53">
        <f>IF(OR(G594="",F594="",AF594=""),"",F594+AF594/24)</f>
        <v>0</v>
      </c>
      <c r="AH594" s="21">
        <f>IF(G594="","",IF(IFERROR(INDEX(Clients!$O$5:$O$204,MATCH(G594,Clients!$A$5:$A$204,0)),0)&gt;0,IFERROR(INDEX(Clients!$O$5:$O$204,MATCH(G594,Clients!$A$5:$A$204,0)),0),HourlyRate))</f>
        <v>0</v>
      </c>
      <c r="AI594" s="21">
        <f>IF(G594="","",IF(AND(M594&lt;&gt;"",IFERROR(INDEX(Services!$P$5:$P$64,MATCH(M594,Services!$B$5:$B$64,0)),0)&gt;0,IFERROR(INDEX(Services!$D$5:$D$64,MATCH(M594,Services!$B$5:$B$64,0)),"")&lt;&gt;"Per hour"),IFERROR(INDEX(Services!$P$5:$P$64,MATCH(M594,Services!$B$5:$B$64,0)),0),AD594*AH594))</f>
        <v>0</v>
      </c>
      <c r="AJ594" s="21">
        <f>IF(G594="","",IF(V594&lt;&gt;"",V594,IF(P594="Cancelled",0,MAX(MinimumCharge,ROUND(AI594*IFERROR(INDEX(FreqFactors,MATCH(O594,FreqNames,0)),1),2)))))</f>
        <v>0</v>
      </c>
      <c r="AK594" s="34">
        <f>IF(G594="","",IF(SUMIFS(Timesheets!$U$5:$U$804,Timesheets!$G$5:$G$804,A594)&gt;0,SUMIFS(Timesheets!$U$5:$U$804,Timesheets!$G$5:$G$804,A594),IF(Z594="","",Z594)))</f>
        <v>0</v>
      </c>
      <c r="AL594" s="34">
        <f>IF(OR(AK594="",AD594=""),"",AK594-AD594)</f>
        <v>0</v>
      </c>
      <c r="AM594" s="31">
        <f>IF(A594="","",COUNTIFS('Job Tasks'!$B$5:$B$904,A594))</f>
        <v>0</v>
      </c>
      <c r="AN594" s="31">
        <f>IF(A594="","",COUNTIFS('Job Tasks'!$B$5:$B$904,A594,'Job Tasks'!$H$5:$H$904,"Done"))</f>
        <v>0</v>
      </c>
      <c r="AO594" s="38">
        <f>IF(OR(A594="",AM594=0),"",AN594/AM594)</f>
        <v>0</v>
      </c>
      <c r="AP594" s="43">
        <f>IF(A594="","",IFERROR(INDEX('Invoice Lines'!$B$5:$B$804,MATCH(A594,'Invoice Lines'!$C$5:$C$804,0)),""))</f>
        <v>0</v>
      </c>
      <c r="AQ594" s="18">
        <f>IF(OR(G594="",B594="",X594&lt;&gt;"Yes"),"",IF(IFERROR(INDEX(FreqDays,MATCH(O594,FreqNames,0)),0)=0,"",B594+IFERROR(INDEX(FreqDays,MATCH(O594,FreqNames,0)),0)))</f>
        <v>0</v>
      </c>
      <c r="AR594" s="39">
        <f>IF(G594="","",IF(R594="","Unassigned",IF(COUNTIFS($R$5:$R$604,R594,$B$5:$B$604,B594,$F$5:$F$604,F594)&gt;1,"Clash",IF(SUMIFS($AF$5:$AF$604,$R$5:$R$604,R594,$B$5:$B$604,B594)&gt;ProductiveHours,"Long day","OK"))))</f>
        <v>0</v>
      </c>
      <c r="AS594" s="18">
        <f>IF(OR(G594="",B594=""),"",IF(AND(B594&gt;=TodayDate,P594&lt;&gt;"Cancelled"),B594,""))</f>
        <v>0</v>
      </c>
      <c r="AT594" s="31">
        <f>IF(AS594="","",COUNTIFS($AS$5:$AS$604,"&lt;"&amp;AS594)+COUNTIFS($AS$5:AS594,AS594))</f>
        <v>0</v>
      </c>
      <c r="AU594" s="18">
        <f>IF(OR(G594="",B594="",R594&lt;&gt;""),"",IF(AND(B594&gt;=TodayDate,P594&lt;&gt;"Cancelled"),B594,""))</f>
        <v>0</v>
      </c>
      <c r="AV594" s="31">
        <f>IF(AU594="","",COUNTIFS($AU$5:$AU$604,"&lt;"&amp;AU594)+COUNTIFS($AU$5:AU594,AU594))</f>
        <v>0</v>
      </c>
      <c r="AW594" s="31">
        <f>IF(OR(G594="",B594=""),"",B594-TodayDate)</f>
        <v>0</v>
      </c>
      <c r="AX594" s="39">
        <f>IF(G594="","",IF(P594="Cancelled","Cancelled",IF(P594="No access","Action - no access, rebook",IF(AND(B594&lt;&gt;"",AW594&lt;0,OR(P594="Booked",P594="Confirmed",P594="In progress")),"Late - mark it completed",IF(AND(P594="Completed",AP594=""),"Action - not invoiced yet",IF(AND(AW594&gt;=0,AW594&lt;=ReminderDays,Y594&lt;&gt;"Yes"),"Confirm - visit coming up",IF(R594="","Assign - no cleaner booked",IF(AND(P594="Completed",AO594&lt;&gt;"",AO594&lt;1),"Check - checklist unfinished","OK"))))))))</f>
        <v>0</v>
      </c>
    </row>
    <row r="595" spans="1:50">
      <c r="A595" s="43">
        <f>IF(G595="","",JobPrefix&amp;TEXT(ROW()-4,"0000"))</f>
        <v>0</v>
      </c>
      <c r="C595" s="23">
        <f>IF(B595="","",TEXT(B595,"ddd"))</f>
        <v>0</v>
      </c>
      <c r="D595" s="31">
        <f>IF(B595="","",WEEKNUM(B595,IF(WeekStart="Sunday",1,2)))</f>
        <v>0</v>
      </c>
      <c r="E595" s="23">
        <f>IF(B595="","",TEXT(B595,"yyyy-mm"))</f>
        <v>0</v>
      </c>
      <c r="H595" s="23">
        <f>IF(G595="","",IFERROR(INDEX(Clients!$B$5:$B$204,MATCH(G595,Clients!$A$5:$A$204,0)),"Not found"))</f>
        <v>0</v>
      </c>
      <c r="I595" s="23">
        <f>IF(G595="","",IFERROR(INDEX(Clients!$C$5:$C$204,MATCH(G595,Clients!$A$5:$A$204,0)),""))</f>
        <v>0</v>
      </c>
      <c r="K595" s="23">
        <f>IF(J595="","",IFERROR(INDEX(Properties!$B$5:$B$254,MATCH(J595,Properties!$A$5:$A$254,0)),""))</f>
        <v>0</v>
      </c>
      <c r="L595" s="23">
        <f>IF(J595="","",IFERROR(INDEX(Properties!$F$5:$F$254,MATCH(J595,Properties!$A$5:$A$254,0)),""))</f>
        <v>0</v>
      </c>
      <c r="AD595" s="34">
        <f>IF(G595="","",IF(U595&lt;&gt;"",U595,IF(AND(IFERROR(INDEX(Services!$D$5:$D$64,MATCH(M595,Services!$B$5:$B$64,0)),"")="Per hour",IFERROR(INDEX(Properties!$X$5:$X$254,MATCH(J595,Properties!$A$5:$A$254,0)),0)&gt;0),IFERROR(INDEX(Properties!$X$5:$X$254,MATCH(J595,Properties!$A$5:$A$254,0)),0),IF(IFERROR(INDEX(Services!$G$5:$G$64,MATCH(M595,Services!$B$5:$B$64,0)),0)&gt;0,IFERROR(INDEX(Services!$G$5:$G$64,MATCH(M595,Services!$B$5:$B$64,0)),0),IFERROR(INDEX(Properties!$X$5:$X$254,MATCH(J595,Properties!$A$5:$A$254,0)),0)))))</f>
        <v>0</v>
      </c>
      <c r="AE595" s="31">
        <f>IF(G595="","",IF(T595="",CleanersPerJob,MAX(1,T595)))</f>
        <v>0</v>
      </c>
      <c r="AF595" s="34">
        <f>IF(G595="","",ROUND(AD595/AE595,2))</f>
        <v>0</v>
      </c>
      <c r="AG595" s="53">
        <f>IF(OR(G595="",F595="",AF595=""),"",F595+AF595/24)</f>
        <v>0</v>
      </c>
      <c r="AH595" s="21">
        <f>IF(G595="","",IF(IFERROR(INDEX(Clients!$O$5:$O$204,MATCH(G595,Clients!$A$5:$A$204,0)),0)&gt;0,IFERROR(INDEX(Clients!$O$5:$O$204,MATCH(G595,Clients!$A$5:$A$204,0)),0),HourlyRate))</f>
        <v>0</v>
      </c>
      <c r="AI595" s="21">
        <f>IF(G595="","",IF(AND(M595&lt;&gt;"",IFERROR(INDEX(Services!$P$5:$P$64,MATCH(M595,Services!$B$5:$B$64,0)),0)&gt;0,IFERROR(INDEX(Services!$D$5:$D$64,MATCH(M595,Services!$B$5:$B$64,0)),"")&lt;&gt;"Per hour"),IFERROR(INDEX(Services!$P$5:$P$64,MATCH(M595,Services!$B$5:$B$64,0)),0),AD595*AH595))</f>
        <v>0</v>
      </c>
      <c r="AJ595" s="21">
        <f>IF(G595="","",IF(V595&lt;&gt;"",V595,IF(P595="Cancelled",0,MAX(MinimumCharge,ROUND(AI595*IFERROR(INDEX(FreqFactors,MATCH(O595,FreqNames,0)),1),2)))))</f>
        <v>0</v>
      </c>
      <c r="AK595" s="34">
        <f>IF(G595="","",IF(SUMIFS(Timesheets!$U$5:$U$804,Timesheets!$G$5:$G$804,A595)&gt;0,SUMIFS(Timesheets!$U$5:$U$804,Timesheets!$G$5:$G$804,A595),IF(Z595="","",Z595)))</f>
        <v>0</v>
      </c>
      <c r="AL595" s="34">
        <f>IF(OR(AK595="",AD595=""),"",AK595-AD595)</f>
        <v>0</v>
      </c>
      <c r="AM595" s="31">
        <f>IF(A595="","",COUNTIFS('Job Tasks'!$B$5:$B$904,A595))</f>
        <v>0</v>
      </c>
      <c r="AN595" s="31">
        <f>IF(A595="","",COUNTIFS('Job Tasks'!$B$5:$B$904,A595,'Job Tasks'!$H$5:$H$904,"Done"))</f>
        <v>0</v>
      </c>
      <c r="AO595" s="38">
        <f>IF(OR(A595="",AM595=0),"",AN595/AM595)</f>
        <v>0</v>
      </c>
      <c r="AP595" s="43">
        <f>IF(A595="","",IFERROR(INDEX('Invoice Lines'!$B$5:$B$804,MATCH(A595,'Invoice Lines'!$C$5:$C$804,0)),""))</f>
        <v>0</v>
      </c>
      <c r="AQ595" s="18">
        <f>IF(OR(G595="",B595="",X595&lt;&gt;"Yes"),"",IF(IFERROR(INDEX(FreqDays,MATCH(O595,FreqNames,0)),0)=0,"",B595+IFERROR(INDEX(FreqDays,MATCH(O595,FreqNames,0)),0)))</f>
        <v>0</v>
      </c>
      <c r="AR595" s="39">
        <f>IF(G595="","",IF(R595="","Unassigned",IF(COUNTIFS($R$5:$R$604,R595,$B$5:$B$604,B595,$F$5:$F$604,F595)&gt;1,"Clash",IF(SUMIFS($AF$5:$AF$604,$R$5:$R$604,R595,$B$5:$B$604,B595)&gt;ProductiveHours,"Long day","OK"))))</f>
        <v>0</v>
      </c>
      <c r="AS595" s="18">
        <f>IF(OR(G595="",B595=""),"",IF(AND(B595&gt;=TodayDate,P595&lt;&gt;"Cancelled"),B595,""))</f>
        <v>0</v>
      </c>
      <c r="AT595" s="31">
        <f>IF(AS595="","",COUNTIFS($AS$5:$AS$604,"&lt;"&amp;AS595)+COUNTIFS($AS$5:AS595,AS595))</f>
        <v>0</v>
      </c>
      <c r="AU595" s="18">
        <f>IF(OR(G595="",B595="",R595&lt;&gt;""),"",IF(AND(B595&gt;=TodayDate,P595&lt;&gt;"Cancelled"),B595,""))</f>
        <v>0</v>
      </c>
      <c r="AV595" s="31">
        <f>IF(AU595="","",COUNTIFS($AU$5:$AU$604,"&lt;"&amp;AU595)+COUNTIFS($AU$5:AU595,AU595))</f>
        <v>0</v>
      </c>
      <c r="AW595" s="31">
        <f>IF(OR(G595="",B595=""),"",B595-TodayDate)</f>
        <v>0</v>
      </c>
      <c r="AX595" s="39">
        <f>IF(G595="","",IF(P595="Cancelled","Cancelled",IF(P595="No access","Action - no access, rebook",IF(AND(B595&lt;&gt;"",AW595&lt;0,OR(P595="Booked",P595="Confirmed",P595="In progress")),"Late - mark it completed",IF(AND(P595="Completed",AP595=""),"Action - not invoiced yet",IF(AND(AW595&gt;=0,AW595&lt;=ReminderDays,Y595&lt;&gt;"Yes"),"Confirm - visit coming up",IF(R595="","Assign - no cleaner booked",IF(AND(P595="Completed",AO595&lt;&gt;"",AO595&lt;1),"Check - checklist unfinished","OK"))))))))</f>
        <v>0</v>
      </c>
    </row>
    <row r="596" spans="1:50">
      <c r="A596" s="43">
        <f>IF(G596="","",JobPrefix&amp;TEXT(ROW()-4,"0000"))</f>
        <v>0</v>
      </c>
      <c r="C596" s="23">
        <f>IF(B596="","",TEXT(B596,"ddd"))</f>
        <v>0</v>
      </c>
      <c r="D596" s="31">
        <f>IF(B596="","",WEEKNUM(B596,IF(WeekStart="Sunday",1,2)))</f>
        <v>0</v>
      </c>
      <c r="E596" s="23">
        <f>IF(B596="","",TEXT(B596,"yyyy-mm"))</f>
        <v>0</v>
      </c>
      <c r="H596" s="23">
        <f>IF(G596="","",IFERROR(INDEX(Clients!$B$5:$B$204,MATCH(G596,Clients!$A$5:$A$204,0)),"Not found"))</f>
        <v>0</v>
      </c>
      <c r="I596" s="23">
        <f>IF(G596="","",IFERROR(INDEX(Clients!$C$5:$C$204,MATCH(G596,Clients!$A$5:$A$204,0)),""))</f>
        <v>0</v>
      </c>
      <c r="K596" s="23">
        <f>IF(J596="","",IFERROR(INDEX(Properties!$B$5:$B$254,MATCH(J596,Properties!$A$5:$A$254,0)),""))</f>
        <v>0</v>
      </c>
      <c r="L596" s="23">
        <f>IF(J596="","",IFERROR(INDEX(Properties!$F$5:$F$254,MATCH(J596,Properties!$A$5:$A$254,0)),""))</f>
        <v>0</v>
      </c>
      <c r="AD596" s="34">
        <f>IF(G596="","",IF(U596&lt;&gt;"",U596,IF(AND(IFERROR(INDEX(Services!$D$5:$D$64,MATCH(M596,Services!$B$5:$B$64,0)),"")="Per hour",IFERROR(INDEX(Properties!$X$5:$X$254,MATCH(J596,Properties!$A$5:$A$254,0)),0)&gt;0),IFERROR(INDEX(Properties!$X$5:$X$254,MATCH(J596,Properties!$A$5:$A$254,0)),0),IF(IFERROR(INDEX(Services!$G$5:$G$64,MATCH(M596,Services!$B$5:$B$64,0)),0)&gt;0,IFERROR(INDEX(Services!$G$5:$G$64,MATCH(M596,Services!$B$5:$B$64,0)),0),IFERROR(INDEX(Properties!$X$5:$X$254,MATCH(J596,Properties!$A$5:$A$254,0)),0)))))</f>
        <v>0</v>
      </c>
      <c r="AE596" s="31">
        <f>IF(G596="","",IF(T596="",CleanersPerJob,MAX(1,T596)))</f>
        <v>0</v>
      </c>
      <c r="AF596" s="34">
        <f>IF(G596="","",ROUND(AD596/AE596,2))</f>
        <v>0</v>
      </c>
      <c r="AG596" s="53">
        <f>IF(OR(G596="",F596="",AF596=""),"",F596+AF596/24)</f>
        <v>0</v>
      </c>
      <c r="AH596" s="21">
        <f>IF(G596="","",IF(IFERROR(INDEX(Clients!$O$5:$O$204,MATCH(G596,Clients!$A$5:$A$204,0)),0)&gt;0,IFERROR(INDEX(Clients!$O$5:$O$204,MATCH(G596,Clients!$A$5:$A$204,0)),0),HourlyRate))</f>
        <v>0</v>
      </c>
      <c r="AI596" s="21">
        <f>IF(G596="","",IF(AND(M596&lt;&gt;"",IFERROR(INDEX(Services!$P$5:$P$64,MATCH(M596,Services!$B$5:$B$64,0)),0)&gt;0,IFERROR(INDEX(Services!$D$5:$D$64,MATCH(M596,Services!$B$5:$B$64,0)),"")&lt;&gt;"Per hour"),IFERROR(INDEX(Services!$P$5:$P$64,MATCH(M596,Services!$B$5:$B$64,0)),0),AD596*AH596))</f>
        <v>0</v>
      </c>
      <c r="AJ596" s="21">
        <f>IF(G596="","",IF(V596&lt;&gt;"",V596,IF(P596="Cancelled",0,MAX(MinimumCharge,ROUND(AI596*IFERROR(INDEX(FreqFactors,MATCH(O596,FreqNames,0)),1),2)))))</f>
        <v>0</v>
      </c>
      <c r="AK596" s="34">
        <f>IF(G596="","",IF(SUMIFS(Timesheets!$U$5:$U$804,Timesheets!$G$5:$G$804,A596)&gt;0,SUMIFS(Timesheets!$U$5:$U$804,Timesheets!$G$5:$G$804,A596),IF(Z596="","",Z596)))</f>
        <v>0</v>
      </c>
      <c r="AL596" s="34">
        <f>IF(OR(AK596="",AD596=""),"",AK596-AD596)</f>
        <v>0</v>
      </c>
      <c r="AM596" s="31">
        <f>IF(A596="","",COUNTIFS('Job Tasks'!$B$5:$B$904,A596))</f>
        <v>0</v>
      </c>
      <c r="AN596" s="31">
        <f>IF(A596="","",COUNTIFS('Job Tasks'!$B$5:$B$904,A596,'Job Tasks'!$H$5:$H$904,"Done"))</f>
        <v>0</v>
      </c>
      <c r="AO596" s="38">
        <f>IF(OR(A596="",AM596=0),"",AN596/AM596)</f>
        <v>0</v>
      </c>
      <c r="AP596" s="43">
        <f>IF(A596="","",IFERROR(INDEX('Invoice Lines'!$B$5:$B$804,MATCH(A596,'Invoice Lines'!$C$5:$C$804,0)),""))</f>
        <v>0</v>
      </c>
      <c r="AQ596" s="18">
        <f>IF(OR(G596="",B596="",X596&lt;&gt;"Yes"),"",IF(IFERROR(INDEX(FreqDays,MATCH(O596,FreqNames,0)),0)=0,"",B596+IFERROR(INDEX(FreqDays,MATCH(O596,FreqNames,0)),0)))</f>
        <v>0</v>
      </c>
      <c r="AR596" s="39">
        <f>IF(G596="","",IF(R596="","Unassigned",IF(COUNTIFS($R$5:$R$604,R596,$B$5:$B$604,B596,$F$5:$F$604,F596)&gt;1,"Clash",IF(SUMIFS($AF$5:$AF$604,$R$5:$R$604,R596,$B$5:$B$604,B596)&gt;ProductiveHours,"Long day","OK"))))</f>
        <v>0</v>
      </c>
      <c r="AS596" s="18">
        <f>IF(OR(G596="",B596=""),"",IF(AND(B596&gt;=TodayDate,P596&lt;&gt;"Cancelled"),B596,""))</f>
        <v>0</v>
      </c>
      <c r="AT596" s="31">
        <f>IF(AS596="","",COUNTIFS($AS$5:$AS$604,"&lt;"&amp;AS596)+COUNTIFS($AS$5:AS596,AS596))</f>
        <v>0</v>
      </c>
      <c r="AU596" s="18">
        <f>IF(OR(G596="",B596="",R596&lt;&gt;""),"",IF(AND(B596&gt;=TodayDate,P596&lt;&gt;"Cancelled"),B596,""))</f>
        <v>0</v>
      </c>
      <c r="AV596" s="31">
        <f>IF(AU596="","",COUNTIFS($AU$5:$AU$604,"&lt;"&amp;AU596)+COUNTIFS($AU$5:AU596,AU596))</f>
        <v>0</v>
      </c>
      <c r="AW596" s="31">
        <f>IF(OR(G596="",B596=""),"",B596-TodayDate)</f>
        <v>0</v>
      </c>
      <c r="AX596" s="39">
        <f>IF(G596="","",IF(P596="Cancelled","Cancelled",IF(P596="No access","Action - no access, rebook",IF(AND(B596&lt;&gt;"",AW596&lt;0,OR(P596="Booked",P596="Confirmed",P596="In progress")),"Late - mark it completed",IF(AND(P596="Completed",AP596=""),"Action - not invoiced yet",IF(AND(AW596&gt;=0,AW596&lt;=ReminderDays,Y596&lt;&gt;"Yes"),"Confirm - visit coming up",IF(R596="","Assign - no cleaner booked",IF(AND(P596="Completed",AO596&lt;&gt;"",AO596&lt;1),"Check - checklist unfinished","OK"))))))))</f>
        <v>0</v>
      </c>
    </row>
    <row r="597" spans="1:50">
      <c r="A597" s="43">
        <f>IF(G597="","",JobPrefix&amp;TEXT(ROW()-4,"0000"))</f>
        <v>0</v>
      </c>
      <c r="C597" s="23">
        <f>IF(B597="","",TEXT(B597,"ddd"))</f>
        <v>0</v>
      </c>
      <c r="D597" s="31">
        <f>IF(B597="","",WEEKNUM(B597,IF(WeekStart="Sunday",1,2)))</f>
        <v>0</v>
      </c>
      <c r="E597" s="23">
        <f>IF(B597="","",TEXT(B597,"yyyy-mm"))</f>
        <v>0</v>
      </c>
      <c r="H597" s="23">
        <f>IF(G597="","",IFERROR(INDEX(Clients!$B$5:$B$204,MATCH(G597,Clients!$A$5:$A$204,0)),"Not found"))</f>
        <v>0</v>
      </c>
      <c r="I597" s="23">
        <f>IF(G597="","",IFERROR(INDEX(Clients!$C$5:$C$204,MATCH(G597,Clients!$A$5:$A$204,0)),""))</f>
        <v>0</v>
      </c>
      <c r="K597" s="23">
        <f>IF(J597="","",IFERROR(INDEX(Properties!$B$5:$B$254,MATCH(J597,Properties!$A$5:$A$254,0)),""))</f>
        <v>0</v>
      </c>
      <c r="L597" s="23">
        <f>IF(J597="","",IFERROR(INDEX(Properties!$F$5:$F$254,MATCH(J597,Properties!$A$5:$A$254,0)),""))</f>
        <v>0</v>
      </c>
      <c r="AD597" s="34">
        <f>IF(G597="","",IF(U597&lt;&gt;"",U597,IF(AND(IFERROR(INDEX(Services!$D$5:$D$64,MATCH(M597,Services!$B$5:$B$64,0)),"")="Per hour",IFERROR(INDEX(Properties!$X$5:$X$254,MATCH(J597,Properties!$A$5:$A$254,0)),0)&gt;0),IFERROR(INDEX(Properties!$X$5:$X$254,MATCH(J597,Properties!$A$5:$A$254,0)),0),IF(IFERROR(INDEX(Services!$G$5:$G$64,MATCH(M597,Services!$B$5:$B$64,0)),0)&gt;0,IFERROR(INDEX(Services!$G$5:$G$64,MATCH(M597,Services!$B$5:$B$64,0)),0),IFERROR(INDEX(Properties!$X$5:$X$254,MATCH(J597,Properties!$A$5:$A$254,0)),0)))))</f>
        <v>0</v>
      </c>
      <c r="AE597" s="31">
        <f>IF(G597="","",IF(T597="",CleanersPerJob,MAX(1,T597)))</f>
        <v>0</v>
      </c>
      <c r="AF597" s="34">
        <f>IF(G597="","",ROUND(AD597/AE597,2))</f>
        <v>0</v>
      </c>
      <c r="AG597" s="53">
        <f>IF(OR(G597="",F597="",AF597=""),"",F597+AF597/24)</f>
        <v>0</v>
      </c>
      <c r="AH597" s="21">
        <f>IF(G597="","",IF(IFERROR(INDEX(Clients!$O$5:$O$204,MATCH(G597,Clients!$A$5:$A$204,0)),0)&gt;0,IFERROR(INDEX(Clients!$O$5:$O$204,MATCH(G597,Clients!$A$5:$A$204,0)),0),HourlyRate))</f>
        <v>0</v>
      </c>
      <c r="AI597" s="21">
        <f>IF(G597="","",IF(AND(M597&lt;&gt;"",IFERROR(INDEX(Services!$P$5:$P$64,MATCH(M597,Services!$B$5:$B$64,0)),0)&gt;0,IFERROR(INDEX(Services!$D$5:$D$64,MATCH(M597,Services!$B$5:$B$64,0)),"")&lt;&gt;"Per hour"),IFERROR(INDEX(Services!$P$5:$P$64,MATCH(M597,Services!$B$5:$B$64,0)),0),AD597*AH597))</f>
        <v>0</v>
      </c>
      <c r="AJ597" s="21">
        <f>IF(G597="","",IF(V597&lt;&gt;"",V597,IF(P597="Cancelled",0,MAX(MinimumCharge,ROUND(AI597*IFERROR(INDEX(FreqFactors,MATCH(O597,FreqNames,0)),1),2)))))</f>
        <v>0</v>
      </c>
      <c r="AK597" s="34">
        <f>IF(G597="","",IF(SUMIFS(Timesheets!$U$5:$U$804,Timesheets!$G$5:$G$804,A597)&gt;0,SUMIFS(Timesheets!$U$5:$U$804,Timesheets!$G$5:$G$804,A597),IF(Z597="","",Z597)))</f>
        <v>0</v>
      </c>
      <c r="AL597" s="34">
        <f>IF(OR(AK597="",AD597=""),"",AK597-AD597)</f>
        <v>0</v>
      </c>
      <c r="AM597" s="31">
        <f>IF(A597="","",COUNTIFS('Job Tasks'!$B$5:$B$904,A597))</f>
        <v>0</v>
      </c>
      <c r="AN597" s="31">
        <f>IF(A597="","",COUNTIFS('Job Tasks'!$B$5:$B$904,A597,'Job Tasks'!$H$5:$H$904,"Done"))</f>
        <v>0</v>
      </c>
      <c r="AO597" s="38">
        <f>IF(OR(A597="",AM597=0),"",AN597/AM597)</f>
        <v>0</v>
      </c>
      <c r="AP597" s="43">
        <f>IF(A597="","",IFERROR(INDEX('Invoice Lines'!$B$5:$B$804,MATCH(A597,'Invoice Lines'!$C$5:$C$804,0)),""))</f>
        <v>0</v>
      </c>
      <c r="AQ597" s="18">
        <f>IF(OR(G597="",B597="",X597&lt;&gt;"Yes"),"",IF(IFERROR(INDEX(FreqDays,MATCH(O597,FreqNames,0)),0)=0,"",B597+IFERROR(INDEX(FreqDays,MATCH(O597,FreqNames,0)),0)))</f>
        <v>0</v>
      </c>
      <c r="AR597" s="39">
        <f>IF(G597="","",IF(R597="","Unassigned",IF(COUNTIFS($R$5:$R$604,R597,$B$5:$B$604,B597,$F$5:$F$604,F597)&gt;1,"Clash",IF(SUMIFS($AF$5:$AF$604,$R$5:$R$604,R597,$B$5:$B$604,B597)&gt;ProductiveHours,"Long day","OK"))))</f>
        <v>0</v>
      </c>
      <c r="AS597" s="18">
        <f>IF(OR(G597="",B597=""),"",IF(AND(B597&gt;=TodayDate,P597&lt;&gt;"Cancelled"),B597,""))</f>
        <v>0</v>
      </c>
      <c r="AT597" s="31">
        <f>IF(AS597="","",COUNTIFS($AS$5:$AS$604,"&lt;"&amp;AS597)+COUNTIFS($AS$5:AS597,AS597))</f>
        <v>0</v>
      </c>
      <c r="AU597" s="18">
        <f>IF(OR(G597="",B597="",R597&lt;&gt;""),"",IF(AND(B597&gt;=TodayDate,P597&lt;&gt;"Cancelled"),B597,""))</f>
        <v>0</v>
      </c>
      <c r="AV597" s="31">
        <f>IF(AU597="","",COUNTIFS($AU$5:$AU$604,"&lt;"&amp;AU597)+COUNTIFS($AU$5:AU597,AU597))</f>
        <v>0</v>
      </c>
      <c r="AW597" s="31">
        <f>IF(OR(G597="",B597=""),"",B597-TodayDate)</f>
        <v>0</v>
      </c>
      <c r="AX597" s="39">
        <f>IF(G597="","",IF(P597="Cancelled","Cancelled",IF(P597="No access","Action - no access, rebook",IF(AND(B597&lt;&gt;"",AW597&lt;0,OR(P597="Booked",P597="Confirmed",P597="In progress")),"Late - mark it completed",IF(AND(P597="Completed",AP597=""),"Action - not invoiced yet",IF(AND(AW597&gt;=0,AW597&lt;=ReminderDays,Y597&lt;&gt;"Yes"),"Confirm - visit coming up",IF(R597="","Assign - no cleaner booked",IF(AND(P597="Completed",AO597&lt;&gt;"",AO597&lt;1),"Check - checklist unfinished","OK"))))))))</f>
        <v>0</v>
      </c>
    </row>
    <row r="598" spans="1:50">
      <c r="A598" s="43">
        <f>IF(G598="","",JobPrefix&amp;TEXT(ROW()-4,"0000"))</f>
        <v>0</v>
      </c>
      <c r="C598" s="23">
        <f>IF(B598="","",TEXT(B598,"ddd"))</f>
        <v>0</v>
      </c>
      <c r="D598" s="31">
        <f>IF(B598="","",WEEKNUM(B598,IF(WeekStart="Sunday",1,2)))</f>
        <v>0</v>
      </c>
      <c r="E598" s="23">
        <f>IF(B598="","",TEXT(B598,"yyyy-mm"))</f>
        <v>0</v>
      </c>
      <c r="H598" s="23">
        <f>IF(G598="","",IFERROR(INDEX(Clients!$B$5:$B$204,MATCH(G598,Clients!$A$5:$A$204,0)),"Not found"))</f>
        <v>0</v>
      </c>
      <c r="I598" s="23">
        <f>IF(G598="","",IFERROR(INDEX(Clients!$C$5:$C$204,MATCH(G598,Clients!$A$5:$A$204,0)),""))</f>
        <v>0</v>
      </c>
      <c r="K598" s="23">
        <f>IF(J598="","",IFERROR(INDEX(Properties!$B$5:$B$254,MATCH(J598,Properties!$A$5:$A$254,0)),""))</f>
        <v>0</v>
      </c>
      <c r="L598" s="23">
        <f>IF(J598="","",IFERROR(INDEX(Properties!$F$5:$F$254,MATCH(J598,Properties!$A$5:$A$254,0)),""))</f>
        <v>0</v>
      </c>
      <c r="AD598" s="34">
        <f>IF(G598="","",IF(U598&lt;&gt;"",U598,IF(AND(IFERROR(INDEX(Services!$D$5:$D$64,MATCH(M598,Services!$B$5:$B$64,0)),"")="Per hour",IFERROR(INDEX(Properties!$X$5:$X$254,MATCH(J598,Properties!$A$5:$A$254,0)),0)&gt;0),IFERROR(INDEX(Properties!$X$5:$X$254,MATCH(J598,Properties!$A$5:$A$254,0)),0),IF(IFERROR(INDEX(Services!$G$5:$G$64,MATCH(M598,Services!$B$5:$B$64,0)),0)&gt;0,IFERROR(INDEX(Services!$G$5:$G$64,MATCH(M598,Services!$B$5:$B$64,0)),0),IFERROR(INDEX(Properties!$X$5:$X$254,MATCH(J598,Properties!$A$5:$A$254,0)),0)))))</f>
        <v>0</v>
      </c>
      <c r="AE598" s="31">
        <f>IF(G598="","",IF(T598="",CleanersPerJob,MAX(1,T598)))</f>
        <v>0</v>
      </c>
      <c r="AF598" s="34">
        <f>IF(G598="","",ROUND(AD598/AE598,2))</f>
        <v>0</v>
      </c>
      <c r="AG598" s="53">
        <f>IF(OR(G598="",F598="",AF598=""),"",F598+AF598/24)</f>
        <v>0</v>
      </c>
      <c r="AH598" s="21">
        <f>IF(G598="","",IF(IFERROR(INDEX(Clients!$O$5:$O$204,MATCH(G598,Clients!$A$5:$A$204,0)),0)&gt;0,IFERROR(INDEX(Clients!$O$5:$O$204,MATCH(G598,Clients!$A$5:$A$204,0)),0),HourlyRate))</f>
        <v>0</v>
      </c>
      <c r="AI598" s="21">
        <f>IF(G598="","",IF(AND(M598&lt;&gt;"",IFERROR(INDEX(Services!$P$5:$P$64,MATCH(M598,Services!$B$5:$B$64,0)),0)&gt;0,IFERROR(INDEX(Services!$D$5:$D$64,MATCH(M598,Services!$B$5:$B$64,0)),"")&lt;&gt;"Per hour"),IFERROR(INDEX(Services!$P$5:$P$64,MATCH(M598,Services!$B$5:$B$64,0)),0),AD598*AH598))</f>
        <v>0</v>
      </c>
      <c r="AJ598" s="21">
        <f>IF(G598="","",IF(V598&lt;&gt;"",V598,IF(P598="Cancelled",0,MAX(MinimumCharge,ROUND(AI598*IFERROR(INDEX(FreqFactors,MATCH(O598,FreqNames,0)),1),2)))))</f>
        <v>0</v>
      </c>
      <c r="AK598" s="34">
        <f>IF(G598="","",IF(SUMIFS(Timesheets!$U$5:$U$804,Timesheets!$G$5:$G$804,A598)&gt;0,SUMIFS(Timesheets!$U$5:$U$804,Timesheets!$G$5:$G$804,A598),IF(Z598="","",Z598)))</f>
        <v>0</v>
      </c>
      <c r="AL598" s="34">
        <f>IF(OR(AK598="",AD598=""),"",AK598-AD598)</f>
        <v>0</v>
      </c>
      <c r="AM598" s="31">
        <f>IF(A598="","",COUNTIFS('Job Tasks'!$B$5:$B$904,A598))</f>
        <v>0</v>
      </c>
      <c r="AN598" s="31">
        <f>IF(A598="","",COUNTIFS('Job Tasks'!$B$5:$B$904,A598,'Job Tasks'!$H$5:$H$904,"Done"))</f>
        <v>0</v>
      </c>
      <c r="AO598" s="38">
        <f>IF(OR(A598="",AM598=0),"",AN598/AM598)</f>
        <v>0</v>
      </c>
      <c r="AP598" s="43">
        <f>IF(A598="","",IFERROR(INDEX('Invoice Lines'!$B$5:$B$804,MATCH(A598,'Invoice Lines'!$C$5:$C$804,0)),""))</f>
        <v>0</v>
      </c>
      <c r="AQ598" s="18">
        <f>IF(OR(G598="",B598="",X598&lt;&gt;"Yes"),"",IF(IFERROR(INDEX(FreqDays,MATCH(O598,FreqNames,0)),0)=0,"",B598+IFERROR(INDEX(FreqDays,MATCH(O598,FreqNames,0)),0)))</f>
        <v>0</v>
      </c>
      <c r="AR598" s="39">
        <f>IF(G598="","",IF(R598="","Unassigned",IF(COUNTIFS($R$5:$R$604,R598,$B$5:$B$604,B598,$F$5:$F$604,F598)&gt;1,"Clash",IF(SUMIFS($AF$5:$AF$604,$R$5:$R$604,R598,$B$5:$B$604,B598)&gt;ProductiveHours,"Long day","OK"))))</f>
        <v>0</v>
      </c>
      <c r="AS598" s="18">
        <f>IF(OR(G598="",B598=""),"",IF(AND(B598&gt;=TodayDate,P598&lt;&gt;"Cancelled"),B598,""))</f>
        <v>0</v>
      </c>
      <c r="AT598" s="31">
        <f>IF(AS598="","",COUNTIFS($AS$5:$AS$604,"&lt;"&amp;AS598)+COUNTIFS($AS$5:AS598,AS598))</f>
        <v>0</v>
      </c>
      <c r="AU598" s="18">
        <f>IF(OR(G598="",B598="",R598&lt;&gt;""),"",IF(AND(B598&gt;=TodayDate,P598&lt;&gt;"Cancelled"),B598,""))</f>
        <v>0</v>
      </c>
      <c r="AV598" s="31">
        <f>IF(AU598="","",COUNTIFS($AU$5:$AU$604,"&lt;"&amp;AU598)+COUNTIFS($AU$5:AU598,AU598))</f>
        <v>0</v>
      </c>
      <c r="AW598" s="31">
        <f>IF(OR(G598="",B598=""),"",B598-TodayDate)</f>
        <v>0</v>
      </c>
      <c r="AX598" s="39">
        <f>IF(G598="","",IF(P598="Cancelled","Cancelled",IF(P598="No access","Action - no access, rebook",IF(AND(B598&lt;&gt;"",AW598&lt;0,OR(P598="Booked",P598="Confirmed",P598="In progress")),"Late - mark it completed",IF(AND(P598="Completed",AP598=""),"Action - not invoiced yet",IF(AND(AW598&gt;=0,AW598&lt;=ReminderDays,Y598&lt;&gt;"Yes"),"Confirm - visit coming up",IF(R598="","Assign - no cleaner booked",IF(AND(P598="Completed",AO598&lt;&gt;"",AO598&lt;1),"Check - checklist unfinished","OK"))))))))</f>
        <v>0</v>
      </c>
    </row>
    <row r="599" spans="1:50">
      <c r="A599" s="43">
        <f>IF(G599="","",JobPrefix&amp;TEXT(ROW()-4,"0000"))</f>
        <v>0</v>
      </c>
      <c r="C599" s="23">
        <f>IF(B599="","",TEXT(B599,"ddd"))</f>
        <v>0</v>
      </c>
      <c r="D599" s="31">
        <f>IF(B599="","",WEEKNUM(B599,IF(WeekStart="Sunday",1,2)))</f>
        <v>0</v>
      </c>
      <c r="E599" s="23">
        <f>IF(B599="","",TEXT(B599,"yyyy-mm"))</f>
        <v>0</v>
      </c>
      <c r="H599" s="23">
        <f>IF(G599="","",IFERROR(INDEX(Clients!$B$5:$B$204,MATCH(G599,Clients!$A$5:$A$204,0)),"Not found"))</f>
        <v>0</v>
      </c>
      <c r="I599" s="23">
        <f>IF(G599="","",IFERROR(INDEX(Clients!$C$5:$C$204,MATCH(G599,Clients!$A$5:$A$204,0)),""))</f>
        <v>0</v>
      </c>
      <c r="K599" s="23">
        <f>IF(J599="","",IFERROR(INDEX(Properties!$B$5:$B$254,MATCH(J599,Properties!$A$5:$A$254,0)),""))</f>
        <v>0</v>
      </c>
      <c r="L599" s="23">
        <f>IF(J599="","",IFERROR(INDEX(Properties!$F$5:$F$254,MATCH(J599,Properties!$A$5:$A$254,0)),""))</f>
        <v>0</v>
      </c>
      <c r="AD599" s="34">
        <f>IF(G599="","",IF(U599&lt;&gt;"",U599,IF(AND(IFERROR(INDEX(Services!$D$5:$D$64,MATCH(M599,Services!$B$5:$B$64,0)),"")="Per hour",IFERROR(INDEX(Properties!$X$5:$X$254,MATCH(J599,Properties!$A$5:$A$254,0)),0)&gt;0),IFERROR(INDEX(Properties!$X$5:$X$254,MATCH(J599,Properties!$A$5:$A$254,0)),0),IF(IFERROR(INDEX(Services!$G$5:$G$64,MATCH(M599,Services!$B$5:$B$64,0)),0)&gt;0,IFERROR(INDEX(Services!$G$5:$G$64,MATCH(M599,Services!$B$5:$B$64,0)),0),IFERROR(INDEX(Properties!$X$5:$X$254,MATCH(J599,Properties!$A$5:$A$254,0)),0)))))</f>
        <v>0</v>
      </c>
      <c r="AE599" s="31">
        <f>IF(G599="","",IF(T599="",CleanersPerJob,MAX(1,T599)))</f>
        <v>0</v>
      </c>
      <c r="AF599" s="34">
        <f>IF(G599="","",ROUND(AD599/AE599,2))</f>
        <v>0</v>
      </c>
      <c r="AG599" s="53">
        <f>IF(OR(G599="",F599="",AF599=""),"",F599+AF599/24)</f>
        <v>0</v>
      </c>
      <c r="AH599" s="21">
        <f>IF(G599="","",IF(IFERROR(INDEX(Clients!$O$5:$O$204,MATCH(G599,Clients!$A$5:$A$204,0)),0)&gt;0,IFERROR(INDEX(Clients!$O$5:$O$204,MATCH(G599,Clients!$A$5:$A$204,0)),0),HourlyRate))</f>
        <v>0</v>
      </c>
      <c r="AI599" s="21">
        <f>IF(G599="","",IF(AND(M599&lt;&gt;"",IFERROR(INDEX(Services!$P$5:$P$64,MATCH(M599,Services!$B$5:$B$64,0)),0)&gt;0,IFERROR(INDEX(Services!$D$5:$D$64,MATCH(M599,Services!$B$5:$B$64,0)),"")&lt;&gt;"Per hour"),IFERROR(INDEX(Services!$P$5:$P$64,MATCH(M599,Services!$B$5:$B$64,0)),0),AD599*AH599))</f>
        <v>0</v>
      </c>
      <c r="AJ599" s="21">
        <f>IF(G599="","",IF(V599&lt;&gt;"",V599,IF(P599="Cancelled",0,MAX(MinimumCharge,ROUND(AI599*IFERROR(INDEX(FreqFactors,MATCH(O599,FreqNames,0)),1),2)))))</f>
        <v>0</v>
      </c>
      <c r="AK599" s="34">
        <f>IF(G599="","",IF(SUMIFS(Timesheets!$U$5:$U$804,Timesheets!$G$5:$G$804,A599)&gt;0,SUMIFS(Timesheets!$U$5:$U$804,Timesheets!$G$5:$G$804,A599),IF(Z599="","",Z599)))</f>
        <v>0</v>
      </c>
      <c r="AL599" s="34">
        <f>IF(OR(AK599="",AD599=""),"",AK599-AD599)</f>
        <v>0</v>
      </c>
      <c r="AM599" s="31">
        <f>IF(A599="","",COUNTIFS('Job Tasks'!$B$5:$B$904,A599))</f>
        <v>0</v>
      </c>
      <c r="AN599" s="31">
        <f>IF(A599="","",COUNTIFS('Job Tasks'!$B$5:$B$904,A599,'Job Tasks'!$H$5:$H$904,"Done"))</f>
        <v>0</v>
      </c>
      <c r="AO599" s="38">
        <f>IF(OR(A599="",AM599=0),"",AN599/AM599)</f>
        <v>0</v>
      </c>
      <c r="AP599" s="43">
        <f>IF(A599="","",IFERROR(INDEX('Invoice Lines'!$B$5:$B$804,MATCH(A599,'Invoice Lines'!$C$5:$C$804,0)),""))</f>
        <v>0</v>
      </c>
      <c r="AQ599" s="18">
        <f>IF(OR(G599="",B599="",X599&lt;&gt;"Yes"),"",IF(IFERROR(INDEX(FreqDays,MATCH(O599,FreqNames,0)),0)=0,"",B599+IFERROR(INDEX(FreqDays,MATCH(O599,FreqNames,0)),0)))</f>
        <v>0</v>
      </c>
      <c r="AR599" s="39">
        <f>IF(G599="","",IF(R599="","Unassigned",IF(COUNTIFS($R$5:$R$604,R599,$B$5:$B$604,B599,$F$5:$F$604,F599)&gt;1,"Clash",IF(SUMIFS($AF$5:$AF$604,$R$5:$R$604,R599,$B$5:$B$604,B599)&gt;ProductiveHours,"Long day","OK"))))</f>
        <v>0</v>
      </c>
      <c r="AS599" s="18">
        <f>IF(OR(G599="",B599=""),"",IF(AND(B599&gt;=TodayDate,P599&lt;&gt;"Cancelled"),B599,""))</f>
        <v>0</v>
      </c>
      <c r="AT599" s="31">
        <f>IF(AS599="","",COUNTIFS($AS$5:$AS$604,"&lt;"&amp;AS599)+COUNTIFS($AS$5:AS599,AS599))</f>
        <v>0</v>
      </c>
      <c r="AU599" s="18">
        <f>IF(OR(G599="",B599="",R599&lt;&gt;""),"",IF(AND(B599&gt;=TodayDate,P599&lt;&gt;"Cancelled"),B599,""))</f>
        <v>0</v>
      </c>
      <c r="AV599" s="31">
        <f>IF(AU599="","",COUNTIFS($AU$5:$AU$604,"&lt;"&amp;AU599)+COUNTIFS($AU$5:AU599,AU599))</f>
        <v>0</v>
      </c>
      <c r="AW599" s="31">
        <f>IF(OR(G599="",B599=""),"",B599-TodayDate)</f>
        <v>0</v>
      </c>
      <c r="AX599" s="39">
        <f>IF(G599="","",IF(P599="Cancelled","Cancelled",IF(P599="No access","Action - no access, rebook",IF(AND(B599&lt;&gt;"",AW599&lt;0,OR(P599="Booked",P599="Confirmed",P599="In progress")),"Late - mark it completed",IF(AND(P599="Completed",AP599=""),"Action - not invoiced yet",IF(AND(AW599&gt;=0,AW599&lt;=ReminderDays,Y599&lt;&gt;"Yes"),"Confirm - visit coming up",IF(R599="","Assign - no cleaner booked",IF(AND(P599="Completed",AO599&lt;&gt;"",AO599&lt;1),"Check - checklist unfinished","OK"))))))))</f>
        <v>0</v>
      </c>
    </row>
    <row r="600" spans="1:50">
      <c r="A600" s="43">
        <f>IF(G600="","",JobPrefix&amp;TEXT(ROW()-4,"0000"))</f>
        <v>0</v>
      </c>
      <c r="C600" s="23">
        <f>IF(B600="","",TEXT(B600,"ddd"))</f>
        <v>0</v>
      </c>
      <c r="D600" s="31">
        <f>IF(B600="","",WEEKNUM(B600,IF(WeekStart="Sunday",1,2)))</f>
        <v>0</v>
      </c>
      <c r="E600" s="23">
        <f>IF(B600="","",TEXT(B600,"yyyy-mm"))</f>
        <v>0</v>
      </c>
      <c r="H600" s="23">
        <f>IF(G600="","",IFERROR(INDEX(Clients!$B$5:$B$204,MATCH(G600,Clients!$A$5:$A$204,0)),"Not found"))</f>
        <v>0</v>
      </c>
      <c r="I600" s="23">
        <f>IF(G600="","",IFERROR(INDEX(Clients!$C$5:$C$204,MATCH(G600,Clients!$A$5:$A$204,0)),""))</f>
        <v>0</v>
      </c>
      <c r="K600" s="23">
        <f>IF(J600="","",IFERROR(INDEX(Properties!$B$5:$B$254,MATCH(J600,Properties!$A$5:$A$254,0)),""))</f>
        <v>0</v>
      </c>
      <c r="L600" s="23">
        <f>IF(J600="","",IFERROR(INDEX(Properties!$F$5:$F$254,MATCH(J600,Properties!$A$5:$A$254,0)),""))</f>
        <v>0</v>
      </c>
      <c r="AD600" s="34">
        <f>IF(G600="","",IF(U600&lt;&gt;"",U600,IF(AND(IFERROR(INDEX(Services!$D$5:$D$64,MATCH(M600,Services!$B$5:$B$64,0)),"")="Per hour",IFERROR(INDEX(Properties!$X$5:$X$254,MATCH(J600,Properties!$A$5:$A$254,0)),0)&gt;0),IFERROR(INDEX(Properties!$X$5:$X$254,MATCH(J600,Properties!$A$5:$A$254,0)),0),IF(IFERROR(INDEX(Services!$G$5:$G$64,MATCH(M600,Services!$B$5:$B$64,0)),0)&gt;0,IFERROR(INDEX(Services!$G$5:$G$64,MATCH(M600,Services!$B$5:$B$64,0)),0),IFERROR(INDEX(Properties!$X$5:$X$254,MATCH(J600,Properties!$A$5:$A$254,0)),0)))))</f>
        <v>0</v>
      </c>
      <c r="AE600" s="31">
        <f>IF(G600="","",IF(T600="",CleanersPerJob,MAX(1,T600)))</f>
        <v>0</v>
      </c>
      <c r="AF600" s="34">
        <f>IF(G600="","",ROUND(AD600/AE600,2))</f>
        <v>0</v>
      </c>
      <c r="AG600" s="53">
        <f>IF(OR(G600="",F600="",AF600=""),"",F600+AF600/24)</f>
        <v>0</v>
      </c>
      <c r="AH600" s="21">
        <f>IF(G600="","",IF(IFERROR(INDEX(Clients!$O$5:$O$204,MATCH(G600,Clients!$A$5:$A$204,0)),0)&gt;0,IFERROR(INDEX(Clients!$O$5:$O$204,MATCH(G600,Clients!$A$5:$A$204,0)),0),HourlyRate))</f>
        <v>0</v>
      </c>
      <c r="AI600" s="21">
        <f>IF(G600="","",IF(AND(M600&lt;&gt;"",IFERROR(INDEX(Services!$P$5:$P$64,MATCH(M600,Services!$B$5:$B$64,0)),0)&gt;0,IFERROR(INDEX(Services!$D$5:$D$64,MATCH(M600,Services!$B$5:$B$64,0)),"")&lt;&gt;"Per hour"),IFERROR(INDEX(Services!$P$5:$P$64,MATCH(M600,Services!$B$5:$B$64,0)),0),AD600*AH600))</f>
        <v>0</v>
      </c>
      <c r="AJ600" s="21">
        <f>IF(G600="","",IF(V600&lt;&gt;"",V600,IF(P600="Cancelled",0,MAX(MinimumCharge,ROUND(AI600*IFERROR(INDEX(FreqFactors,MATCH(O600,FreqNames,0)),1),2)))))</f>
        <v>0</v>
      </c>
      <c r="AK600" s="34">
        <f>IF(G600="","",IF(SUMIFS(Timesheets!$U$5:$U$804,Timesheets!$G$5:$G$804,A600)&gt;0,SUMIFS(Timesheets!$U$5:$U$804,Timesheets!$G$5:$G$804,A600),IF(Z600="","",Z600)))</f>
        <v>0</v>
      </c>
      <c r="AL600" s="34">
        <f>IF(OR(AK600="",AD600=""),"",AK600-AD600)</f>
        <v>0</v>
      </c>
      <c r="AM600" s="31">
        <f>IF(A600="","",COUNTIFS('Job Tasks'!$B$5:$B$904,A600))</f>
        <v>0</v>
      </c>
      <c r="AN600" s="31">
        <f>IF(A600="","",COUNTIFS('Job Tasks'!$B$5:$B$904,A600,'Job Tasks'!$H$5:$H$904,"Done"))</f>
        <v>0</v>
      </c>
      <c r="AO600" s="38">
        <f>IF(OR(A600="",AM600=0),"",AN600/AM600)</f>
        <v>0</v>
      </c>
      <c r="AP600" s="43">
        <f>IF(A600="","",IFERROR(INDEX('Invoice Lines'!$B$5:$B$804,MATCH(A600,'Invoice Lines'!$C$5:$C$804,0)),""))</f>
        <v>0</v>
      </c>
      <c r="AQ600" s="18">
        <f>IF(OR(G600="",B600="",X600&lt;&gt;"Yes"),"",IF(IFERROR(INDEX(FreqDays,MATCH(O600,FreqNames,0)),0)=0,"",B600+IFERROR(INDEX(FreqDays,MATCH(O600,FreqNames,0)),0)))</f>
        <v>0</v>
      </c>
      <c r="AR600" s="39">
        <f>IF(G600="","",IF(R600="","Unassigned",IF(COUNTIFS($R$5:$R$604,R600,$B$5:$B$604,B600,$F$5:$F$604,F600)&gt;1,"Clash",IF(SUMIFS($AF$5:$AF$604,$R$5:$R$604,R600,$B$5:$B$604,B600)&gt;ProductiveHours,"Long day","OK"))))</f>
        <v>0</v>
      </c>
      <c r="AS600" s="18">
        <f>IF(OR(G600="",B600=""),"",IF(AND(B600&gt;=TodayDate,P600&lt;&gt;"Cancelled"),B600,""))</f>
        <v>0</v>
      </c>
      <c r="AT600" s="31">
        <f>IF(AS600="","",COUNTIFS($AS$5:$AS$604,"&lt;"&amp;AS600)+COUNTIFS($AS$5:AS600,AS600))</f>
        <v>0</v>
      </c>
      <c r="AU600" s="18">
        <f>IF(OR(G600="",B600="",R600&lt;&gt;""),"",IF(AND(B600&gt;=TodayDate,P600&lt;&gt;"Cancelled"),B600,""))</f>
        <v>0</v>
      </c>
      <c r="AV600" s="31">
        <f>IF(AU600="","",COUNTIFS($AU$5:$AU$604,"&lt;"&amp;AU600)+COUNTIFS($AU$5:AU600,AU600))</f>
        <v>0</v>
      </c>
      <c r="AW600" s="31">
        <f>IF(OR(G600="",B600=""),"",B600-TodayDate)</f>
        <v>0</v>
      </c>
      <c r="AX600" s="39">
        <f>IF(G600="","",IF(P600="Cancelled","Cancelled",IF(P600="No access","Action - no access, rebook",IF(AND(B600&lt;&gt;"",AW600&lt;0,OR(P600="Booked",P600="Confirmed",P600="In progress")),"Late - mark it completed",IF(AND(P600="Completed",AP600=""),"Action - not invoiced yet",IF(AND(AW600&gt;=0,AW600&lt;=ReminderDays,Y600&lt;&gt;"Yes"),"Confirm - visit coming up",IF(R600="","Assign - no cleaner booked",IF(AND(P600="Completed",AO600&lt;&gt;"",AO600&lt;1),"Check - checklist unfinished","OK"))))))))</f>
        <v>0</v>
      </c>
    </row>
    <row r="601" spans="1:50">
      <c r="A601" s="43">
        <f>IF(G601="","",JobPrefix&amp;TEXT(ROW()-4,"0000"))</f>
        <v>0</v>
      </c>
      <c r="C601" s="23">
        <f>IF(B601="","",TEXT(B601,"ddd"))</f>
        <v>0</v>
      </c>
      <c r="D601" s="31">
        <f>IF(B601="","",WEEKNUM(B601,IF(WeekStart="Sunday",1,2)))</f>
        <v>0</v>
      </c>
      <c r="E601" s="23">
        <f>IF(B601="","",TEXT(B601,"yyyy-mm"))</f>
        <v>0</v>
      </c>
      <c r="H601" s="23">
        <f>IF(G601="","",IFERROR(INDEX(Clients!$B$5:$B$204,MATCH(G601,Clients!$A$5:$A$204,0)),"Not found"))</f>
        <v>0</v>
      </c>
      <c r="I601" s="23">
        <f>IF(G601="","",IFERROR(INDEX(Clients!$C$5:$C$204,MATCH(G601,Clients!$A$5:$A$204,0)),""))</f>
        <v>0</v>
      </c>
      <c r="K601" s="23">
        <f>IF(J601="","",IFERROR(INDEX(Properties!$B$5:$B$254,MATCH(J601,Properties!$A$5:$A$254,0)),""))</f>
        <v>0</v>
      </c>
      <c r="L601" s="23">
        <f>IF(J601="","",IFERROR(INDEX(Properties!$F$5:$F$254,MATCH(J601,Properties!$A$5:$A$254,0)),""))</f>
        <v>0</v>
      </c>
      <c r="AD601" s="34">
        <f>IF(G601="","",IF(U601&lt;&gt;"",U601,IF(AND(IFERROR(INDEX(Services!$D$5:$D$64,MATCH(M601,Services!$B$5:$B$64,0)),"")="Per hour",IFERROR(INDEX(Properties!$X$5:$X$254,MATCH(J601,Properties!$A$5:$A$254,0)),0)&gt;0),IFERROR(INDEX(Properties!$X$5:$X$254,MATCH(J601,Properties!$A$5:$A$254,0)),0),IF(IFERROR(INDEX(Services!$G$5:$G$64,MATCH(M601,Services!$B$5:$B$64,0)),0)&gt;0,IFERROR(INDEX(Services!$G$5:$G$64,MATCH(M601,Services!$B$5:$B$64,0)),0),IFERROR(INDEX(Properties!$X$5:$X$254,MATCH(J601,Properties!$A$5:$A$254,0)),0)))))</f>
        <v>0</v>
      </c>
      <c r="AE601" s="31">
        <f>IF(G601="","",IF(T601="",CleanersPerJob,MAX(1,T601)))</f>
        <v>0</v>
      </c>
      <c r="AF601" s="34">
        <f>IF(G601="","",ROUND(AD601/AE601,2))</f>
        <v>0</v>
      </c>
      <c r="AG601" s="53">
        <f>IF(OR(G601="",F601="",AF601=""),"",F601+AF601/24)</f>
        <v>0</v>
      </c>
      <c r="AH601" s="21">
        <f>IF(G601="","",IF(IFERROR(INDEX(Clients!$O$5:$O$204,MATCH(G601,Clients!$A$5:$A$204,0)),0)&gt;0,IFERROR(INDEX(Clients!$O$5:$O$204,MATCH(G601,Clients!$A$5:$A$204,0)),0),HourlyRate))</f>
        <v>0</v>
      </c>
      <c r="AI601" s="21">
        <f>IF(G601="","",IF(AND(M601&lt;&gt;"",IFERROR(INDEX(Services!$P$5:$P$64,MATCH(M601,Services!$B$5:$B$64,0)),0)&gt;0,IFERROR(INDEX(Services!$D$5:$D$64,MATCH(M601,Services!$B$5:$B$64,0)),"")&lt;&gt;"Per hour"),IFERROR(INDEX(Services!$P$5:$P$64,MATCH(M601,Services!$B$5:$B$64,0)),0),AD601*AH601))</f>
        <v>0</v>
      </c>
      <c r="AJ601" s="21">
        <f>IF(G601="","",IF(V601&lt;&gt;"",V601,IF(P601="Cancelled",0,MAX(MinimumCharge,ROUND(AI601*IFERROR(INDEX(FreqFactors,MATCH(O601,FreqNames,0)),1),2)))))</f>
        <v>0</v>
      </c>
      <c r="AK601" s="34">
        <f>IF(G601="","",IF(SUMIFS(Timesheets!$U$5:$U$804,Timesheets!$G$5:$G$804,A601)&gt;0,SUMIFS(Timesheets!$U$5:$U$804,Timesheets!$G$5:$G$804,A601),IF(Z601="","",Z601)))</f>
        <v>0</v>
      </c>
      <c r="AL601" s="34">
        <f>IF(OR(AK601="",AD601=""),"",AK601-AD601)</f>
        <v>0</v>
      </c>
      <c r="AM601" s="31">
        <f>IF(A601="","",COUNTIFS('Job Tasks'!$B$5:$B$904,A601))</f>
        <v>0</v>
      </c>
      <c r="AN601" s="31">
        <f>IF(A601="","",COUNTIFS('Job Tasks'!$B$5:$B$904,A601,'Job Tasks'!$H$5:$H$904,"Done"))</f>
        <v>0</v>
      </c>
      <c r="AO601" s="38">
        <f>IF(OR(A601="",AM601=0),"",AN601/AM601)</f>
        <v>0</v>
      </c>
      <c r="AP601" s="43">
        <f>IF(A601="","",IFERROR(INDEX('Invoice Lines'!$B$5:$B$804,MATCH(A601,'Invoice Lines'!$C$5:$C$804,0)),""))</f>
        <v>0</v>
      </c>
      <c r="AQ601" s="18">
        <f>IF(OR(G601="",B601="",X601&lt;&gt;"Yes"),"",IF(IFERROR(INDEX(FreqDays,MATCH(O601,FreqNames,0)),0)=0,"",B601+IFERROR(INDEX(FreqDays,MATCH(O601,FreqNames,0)),0)))</f>
        <v>0</v>
      </c>
      <c r="AR601" s="39">
        <f>IF(G601="","",IF(R601="","Unassigned",IF(COUNTIFS($R$5:$R$604,R601,$B$5:$B$604,B601,$F$5:$F$604,F601)&gt;1,"Clash",IF(SUMIFS($AF$5:$AF$604,$R$5:$R$604,R601,$B$5:$B$604,B601)&gt;ProductiveHours,"Long day","OK"))))</f>
        <v>0</v>
      </c>
      <c r="AS601" s="18">
        <f>IF(OR(G601="",B601=""),"",IF(AND(B601&gt;=TodayDate,P601&lt;&gt;"Cancelled"),B601,""))</f>
        <v>0</v>
      </c>
      <c r="AT601" s="31">
        <f>IF(AS601="","",COUNTIFS($AS$5:$AS$604,"&lt;"&amp;AS601)+COUNTIFS($AS$5:AS601,AS601))</f>
        <v>0</v>
      </c>
      <c r="AU601" s="18">
        <f>IF(OR(G601="",B601="",R601&lt;&gt;""),"",IF(AND(B601&gt;=TodayDate,P601&lt;&gt;"Cancelled"),B601,""))</f>
        <v>0</v>
      </c>
      <c r="AV601" s="31">
        <f>IF(AU601="","",COUNTIFS($AU$5:$AU$604,"&lt;"&amp;AU601)+COUNTIFS($AU$5:AU601,AU601))</f>
        <v>0</v>
      </c>
      <c r="AW601" s="31">
        <f>IF(OR(G601="",B601=""),"",B601-TodayDate)</f>
        <v>0</v>
      </c>
      <c r="AX601" s="39">
        <f>IF(G601="","",IF(P601="Cancelled","Cancelled",IF(P601="No access","Action - no access, rebook",IF(AND(B601&lt;&gt;"",AW601&lt;0,OR(P601="Booked",P601="Confirmed",P601="In progress")),"Late - mark it completed",IF(AND(P601="Completed",AP601=""),"Action - not invoiced yet",IF(AND(AW601&gt;=0,AW601&lt;=ReminderDays,Y601&lt;&gt;"Yes"),"Confirm - visit coming up",IF(R601="","Assign - no cleaner booked",IF(AND(P601="Completed",AO601&lt;&gt;"",AO601&lt;1),"Check - checklist unfinished","OK"))))))))</f>
        <v>0</v>
      </c>
    </row>
    <row r="602" spans="1:50">
      <c r="A602" s="43">
        <f>IF(G602="","",JobPrefix&amp;TEXT(ROW()-4,"0000"))</f>
        <v>0</v>
      </c>
      <c r="C602" s="23">
        <f>IF(B602="","",TEXT(B602,"ddd"))</f>
        <v>0</v>
      </c>
      <c r="D602" s="31">
        <f>IF(B602="","",WEEKNUM(B602,IF(WeekStart="Sunday",1,2)))</f>
        <v>0</v>
      </c>
      <c r="E602" s="23">
        <f>IF(B602="","",TEXT(B602,"yyyy-mm"))</f>
        <v>0</v>
      </c>
      <c r="H602" s="23">
        <f>IF(G602="","",IFERROR(INDEX(Clients!$B$5:$B$204,MATCH(G602,Clients!$A$5:$A$204,0)),"Not found"))</f>
        <v>0</v>
      </c>
      <c r="I602" s="23">
        <f>IF(G602="","",IFERROR(INDEX(Clients!$C$5:$C$204,MATCH(G602,Clients!$A$5:$A$204,0)),""))</f>
        <v>0</v>
      </c>
      <c r="K602" s="23">
        <f>IF(J602="","",IFERROR(INDEX(Properties!$B$5:$B$254,MATCH(J602,Properties!$A$5:$A$254,0)),""))</f>
        <v>0</v>
      </c>
      <c r="L602" s="23">
        <f>IF(J602="","",IFERROR(INDEX(Properties!$F$5:$F$254,MATCH(J602,Properties!$A$5:$A$254,0)),""))</f>
        <v>0</v>
      </c>
      <c r="AD602" s="34">
        <f>IF(G602="","",IF(U602&lt;&gt;"",U602,IF(AND(IFERROR(INDEX(Services!$D$5:$D$64,MATCH(M602,Services!$B$5:$B$64,0)),"")="Per hour",IFERROR(INDEX(Properties!$X$5:$X$254,MATCH(J602,Properties!$A$5:$A$254,0)),0)&gt;0),IFERROR(INDEX(Properties!$X$5:$X$254,MATCH(J602,Properties!$A$5:$A$254,0)),0),IF(IFERROR(INDEX(Services!$G$5:$G$64,MATCH(M602,Services!$B$5:$B$64,0)),0)&gt;0,IFERROR(INDEX(Services!$G$5:$G$64,MATCH(M602,Services!$B$5:$B$64,0)),0),IFERROR(INDEX(Properties!$X$5:$X$254,MATCH(J602,Properties!$A$5:$A$254,0)),0)))))</f>
        <v>0</v>
      </c>
      <c r="AE602" s="31">
        <f>IF(G602="","",IF(T602="",CleanersPerJob,MAX(1,T602)))</f>
        <v>0</v>
      </c>
      <c r="AF602" s="34">
        <f>IF(G602="","",ROUND(AD602/AE602,2))</f>
        <v>0</v>
      </c>
      <c r="AG602" s="53">
        <f>IF(OR(G602="",F602="",AF602=""),"",F602+AF602/24)</f>
        <v>0</v>
      </c>
      <c r="AH602" s="21">
        <f>IF(G602="","",IF(IFERROR(INDEX(Clients!$O$5:$O$204,MATCH(G602,Clients!$A$5:$A$204,0)),0)&gt;0,IFERROR(INDEX(Clients!$O$5:$O$204,MATCH(G602,Clients!$A$5:$A$204,0)),0),HourlyRate))</f>
        <v>0</v>
      </c>
      <c r="AI602" s="21">
        <f>IF(G602="","",IF(AND(M602&lt;&gt;"",IFERROR(INDEX(Services!$P$5:$P$64,MATCH(M602,Services!$B$5:$B$64,0)),0)&gt;0,IFERROR(INDEX(Services!$D$5:$D$64,MATCH(M602,Services!$B$5:$B$64,0)),"")&lt;&gt;"Per hour"),IFERROR(INDEX(Services!$P$5:$P$64,MATCH(M602,Services!$B$5:$B$64,0)),0),AD602*AH602))</f>
        <v>0</v>
      </c>
      <c r="AJ602" s="21">
        <f>IF(G602="","",IF(V602&lt;&gt;"",V602,IF(P602="Cancelled",0,MAX(MinimumCharge,ROUND(AI602*IFERROR(INDEX(FreqFactors,MATCH(O602,FreqNames,0)),1),2)))))</f>
        <v>0</v>
      </c>
      <c r="AK602" s="34">
        <f>IF(G602="","",IF(SUMIFS(Timesheets!$U$5:$U$804,Timesheets!$G$5:$G$804,A602)&gt;0,SUMIFS(Timesheets!$U$5:$U$804,Timesheets!$G$5:$G$804,A602),IF(Z602="","",Z602)))</f>
        <v>0</v>
      </c>
      <c r="AL602" s="34">
        <f>IF(OR(AK602="",AD602=""),"",AK602-AD602)</f>
        <v>0</v>
      </c>
      <c r="AM602" s="31">
        <f>IF(A602="","",COUNTIFS('Job Tasks'!$B$5:$B$904,A602))</f>
        <v>0</v>
      </c>
      <c r="AN602" s="31">
        <f>IF(A602="","",COUNTIFS('Job Tasks'!$B$5:$B$904,A602,'Job Tasks'!$H$5:$H$904,"Done"))</f>
        <v>0</v>
      </c>
      <c r="AO602" s="38">
        <f>IF(OR(A602="",AM602=0),"",AN602/AM602)</f>
        <v>0</v>
      </c>
      <c r="AP602" s="43">
        <f>IF(A602="","",IFERROR(INDEX('Invoice Lines'!$B$5:$B$804,MATCH(A602,'Invoice Lines'!$C$5:$C$804,0)),""))</f>
        <v>0</v>
      </c>
      <c r="AQ602" s="18">
        <f>IF(OR(G602="",B602="",X602&lt;&gt;"Yes"),"",IF(IFERROR(INDEX(FreqDays,MATCH(O602,FreqNames,0)),0)=0,"",B602+IFERROR(INDEX(FreqDays,MATCH(O602,FreqNames,0)),0)))</f>
        <v>0</v>
      </c>
      <c r="AR602" s="39">
        <f>IF(G602="","",IF(R602="","Unassigned",IF(COUNTIFS($R$5:$R$604,R602,$B$5:$B$604,B602,$F$5:$F$604,F602)&gt;1,"Clash",IF(SUMIFS($AF$5:$AF$604,$R$5:$R$604,R602,$B$5:$B$604,B602)&gt;ProductiveHours,"Long day","OK"))))</f>
        <v>0</v>
      </c>
      <c r="AS602" s="18">
        <f>IF(OR(G602="",B602=""),"",IF(AND(B602&gt;=TodayDate,P602&lt;&gt;"Cancelled"),B602,""))</f>
        <v>0</v>
      </c>
      <c r="AT602" s="31">
        <f>IF(AS602="","",COUNTIFS($AS$5:$AS$604,"&lt;"&amp;AS602)+COUNTIFS($AS$5:AS602,AS602))</f>
        <v>0</v>
      </c>
      <c r="AU602" s="18">
        <f>IF(OR(G602="",B602="",R602&lt;&gt;""),"",IF(AND(B602&gt;=TodayDate,P602&lt;&gt;"Cancelled"),B602,""))</f>
        <v>0</v>
      </c>
      <c r="AV602" s="31">
        <f>IF(AU602="","",COUNTIFS($AU$5:$AU$604,"&lt;"&amp;AU602)+COUNTIFS($AU$5:AU602,AU602))</f>
        <v>0</v>
      </c>
      <c r="AW602" s="31">
        <f>IF(OR(G602="",B602=""),"",B602-TodayDate)</f>
        <v>0</v>
      </c>
      <c r="AX602" s="39">
        <f>IF(G602="","",IF(P602="Cancelled","Cancelled",IF(P602="No access","Action - no access, rebook",IF(AND(B602&lt;&gt;"",AW602&lt;0,OR(P602="Booked",P602="Confirmed",P602="In progress")),"Late - mark it completed",IF(AND(P602="Completed",AP602=""),"Action - not invoiced yet",IF(AND(AW602&gt;=0,AW602&lt;=ReminderDays,Y602&lt;&gt;"Yes"),"Confirm - visit coming up",IF(R602="","Assign - no cleaner booked",IF(AND(P602="Completed",AO602&lt;&gt;"",AO602&lt;1),"Check - checklist unfinished","OK"))))))))</f>
        <v>0</v>
      </c>
    </row>
    <row r="603" spans="1:50">
      <c r="A603" s="43">
        <f>IF(G603="","",JobPrefix&amp;TEXT(ROW()-4,"0000"))</f>
        <v>0</v>
      </c>
      <c r="C603" s="23">
        <f>IF(B603="","",TEXT(B603,"ddd"))</f>
        <v>0</v>
      </c>
      <c r="D603" s="31">
        <f>IF(B603="","",WEEKNUM(B603,IF(WeekStart="Sunday",1,2)))</f>
        <v>0</v>
      </c>
      <c r="E603" s="23">
        <f>IF(B603="","",TEXT(B603,"yyyy-mm"))</f>
        <v>0</v>
      </c>
      <c r="H603" s="23">
        <f>IF(G603="","",IFERROR(INDEX(Clients!$B$5:$B$204,MATCH(G603,Clients!$A$5:$A$204,0)),"Not found"))</f>
        <v>0</v>
      </c>
      <c r="I603" s="23">
        <f>IF(G603="","",IFERROR(INDEX(Clients!$C$5:$C$204,MATCH(G603,Clients!$A$5:$A$204,0)),""))</f>
        <v>0</v>
      </c>
      <c r="K603" s="23">
        <f>IF(J603="","",IFERROR(INDEX(Properties!$B$5:$B$254,MATCH(J603,Properties!$A$5:$A$254,0)),""))</f>
        <v>0</v>
      </c>
      <c r="L603" s="23">
        <f>IF(J603="","",IFERROR(INDEX(Properties!$F$5:$F$254,MATCH(J603,Properties!$A$5:$A$254,0)),""))</f>
        <v>0</v>
      </c>
      <c r="AD603" s="34">
        <f>IF(G603="","",IF(U603&lt;&gt;"",U603,IF(AND(IFERROR(INDEX(Services!$D$5:$D$64,MATCH(M603,Services!$B$5:$B$64,0)),"")="Per hour",IFERROR(INDEX(Properties!$X$5:$X$254,MATCH(J603,Properties!$A$5:$A$254,0)),0)&gt;0),IFERROR(INDEX(Properties!$X$5:$X$254,MATCH(J603,Properties!$A$5:$A$254,0)),0),IF(IFERROR(INDEX(Services!$G$5:$G$64,MATCH(M603,Services!$B$5:$B$64,0)),0)&gt;0,IFERROR(INDEX(Services!$G$5:$G$64,MATCH(M603,Services!$B$5:$B$64,0)),0),IFERROR(INDEX(Properties!$X$5:$X$254,MATCH(J603,Properties!$A$5:$A$254,0)),0)))))</f>
        <v>0</v>
      </c>
      <c r="AE603" s="31">
        <f>IF(G603="","",IF(T603="",CleanersPerJob,MAX(1,T603)))</f>
        <v>0</v>
      </c>
      <c r="AF603" s="34">
        <f>IF(G603="","",ROUND(AD603/AE603,2))</f>
        <v>0</v>
      </c>
      <c r="AG603" s="53">
        <f>IF(OR(G603="",F603="",AF603=""),"",F603+AF603/24)</f>
        <v>0</v>
      </c>
      <c r="AH603" s="21">
        <f>IF(G603="","",IF(IFERROR(INDEX(Clients!$O$5:$O$204,MATCH(G603,Clients!$A$5:$A$204,0)),0)&gt;0,IFERROR(INDEX(Clients!$O$5:$O$204,MATCH(G603,Clients!$A$5:$A$204,0)),0),HourlyRate))</f>
        <v>0</v>
      </c>
      <c r="AI603" s="21">
        <f>IF(G603="","",IF(AND(M603&lt;&gt;"",IFERROR(INDEX(Services!$P$5:$P$64,MATCH(M603,Services!$B$5:$B$64,0)),0)&gt;0,IFERROR(INDEX(Services!$D$5:$D$64,MATCH(M603,Services!$B$5:$B$64,0)),"")&lt;&gt;"Per hour"),IFERROR(INDEX(Services!$P$5:$P$64,MATCH(M603,Services!$B$5:$B$64,0)),0),AD603*AH603))</f>
        <v>0</v>
      </c>
      <c r="AJ603" s="21">
        <f>IF(G603="","",IF(V603&lt;&gt;"",V603,IF(P603="Cancelled",0,MAX(MinimumCharge,ROUND(AI603*IFERROR(INDEX(FreqFactors,MATCH(O603,FreqNames,0)),1),2)))))</f>
        <v>0</v>
      </c>
      <c r="AK603" s="34">
        <f>IF(G603="","",IF(SUMIFS(Timesheets!$U$5:$U$804,Timesheets!$G$5:$G$804,A603)&gt;0,SUMIFS(Timesheets!$U$5:$U$804,Timesheets!$G$5:$G$804,A603),IF(Z603="","",Z603)))</f>
        <v>0</v>
      </c>
      <c r="AL603" s="34">
        <f>IF(OR(AK603="",AD603=""),"",AK603-AD603)</f>
        <v>0</v>
      </c>
      <c r="AM603" s="31">
        <f>IF(A603="","",COUNTIFS('Job Tasks'!$B$5:$B$904,A603))</f>
        <v>0</v>
      </c>
      <c r="AN603" s="31">
        <f>IF(A603="","",COUNTIFS('Job Tasks'!$B$5:$B$904,A603,'Job Tasks'!$H$5:$H$904,"Done"))</f>
        <v>0</v>
      </c>
      <c r="AO603" s="38">
        <f>IF(OR(A603="",AM603=0),"",AN603/AM603)</f>
        <v>0</v>
      </c>
      <c r="AP603" s="43">
        <f>IF(A603="","",IFERROR(INDEX('Invoice Lines'!$B$5:$B$804,MATCH(A603,'Invoice Lines'!$C$5:$C$804,0)),""))</f>
        <v>0</v>
      </c>
      <c r="AQ603" s="18">
        <f>IF(OR(G603="",B603="",X603&lt;&gt;"Yes"),"",IF(IFERROR(INDEX(FreqDays,MATCH(O603,FreqNames,0)),0)=0,"",B603+IFERROR(INDEX(FreqDays,MATCH(O603,FreqNames,0)),0)))</f>
        <v>0</v>
      </c>
      <c r="AR603" s="39">
        <f>IF(G603="","",IF(R603="","Unassigned",IF(COUNTIFS($R$5:$R$604,R603,$B$5:$B$604,B603,$F$5:$F$604,F603)&gt;1,"Clash",IF(SUMIFS($AF$5:$AF$604,$R$5:$R$604,R603,$B$5:$B$604,B603)&gt;ProductiveHours,"Long day","OK"))))</f>
        <v>0</v>
      </c>
      <c r="AS603" s="18">
        <f>IF(OR(G603="",B603=""),"",IF(AND(B603&gt;=TodayDate,P603&lt;&gt;"Cancelled"),B603,""))</f>
        <v>0</v>
      </c>
      <c r="AT603" s="31">
        <f>IF(AS603="","",COUNTIFS($AS$5:$AS$604,"&lt;"&amp;AS603)+COUNTIFS($AS$5:AS603,AS603))</f>
        <v>0</v>
      </c>
      <c r="AU603" s="18">
        <f>IF(OR(G603="",B603="",R603&lt;&gt;""),"",IF(AND(B603&gt;=TodayDate,P603&lt;&gt;"Cancelled"),B603,""))</f>
        <v>0</v>
      </c>
      <c r="AV603" s="31">
        <f>IF(AU603="","",COUNTIFS($AU$5:$AU$604,"&lt;"&amp;AU603)+COUNTIFS($AU$5:AU603,AU603))</f>
        <v>0</v>
      </c>
      <c r="AW603" s="31">
        <f>IF(OR(G603="",B603=""),"",B603-TodayDate)</f>
        <v>0</v>
      </c>
      <c r="AX603" s="39">
        <f>IF(G603="","",IF(P603="Cancelled","Cancelled",IF(P603="No access","Action - no access, rebook",IF(AND(B603&lt;&gt;"",AW603&lt;0,OR(P603="Booked",P603="Confirmed",P603="In progress")),"Late - mark it completed",IF(AND(P603="Completed",AP603=""),"Action - not invoiced yet",IF(AND(AW603&gt;=0,AW603&lt;=ReminderDays,Y603&lt;&gt;"Yes"),"Confirm - visit coming up",IF(R603="","Assign - no cleaner booked",IF(AND(P603="Completed",AO603&lt;&gt;"",AO603&lt;1),"Check - checklist unfinished","OK"))))))))</f>
        <v>0</v>
      </c>
    </row>
    <row r="604" spans="1:50">
      <c r="A604" s="43">
        <f>IF(G604="","",JobPrefix&amp;TEXT(ROW()-4,"0000"))</f>
        <v>0</v>
      </c>
      <c r="C604" s="23">
        <f>IF(B604="","",TEXT(B604,"ddd"))</f>
        <v>0</v>
      </c>
      <c r="D604" s="31">
        <f>IF(B604="","",WEEKNUM(B604,IF(WeekStart="Sunday",1,2)))</f>
        <v>0</v>
      </c>
      <c r="E604" s="23">
        <f>IF(B604="","",TEXT(B604,"yyyy-mm"))</f>
        <v>0</v>
      </c>
      <c r="H604" s="23">
        <f>IF(G604="","",IFERROR(INDEX(Clients!$B$5:$B$204,MATCH(G604,Clients!$A$5:$A$204,0)),"Not found"))</f>
        <v>0</v>
      </c>
      <c r="I604" s="23">
        <f>IF(G604="","",IFERROR(INDEX(Clients!$C$5:$C$204,MATCH(G604,Clients!$A$5:$A$204,0)),""))</f>
        <v>0</v>
      </c>
      <c r="K604" s="23">
        <f>IF(J604="","",IFERROR(INDEX(Properties!$B$5:$B$254,MATCH(J604,Properties!$A$5:$A$254,0)),""))</f>
        <v>0</v>
      </c>
      <c r="L604" s="23">
        <f>IF(J604="","",IFERROR(INDEX(Properties!$F$5:$F$254,MATCH(J604,Properties!$A$5:$A$254,0)),""))</f>
        <v>0</v>
      </c>
      <c r="AD604" s="34">
        <f>IF(G604="","",IF(U604&lt;&gt;"",U604,IF(AND(IFERROR(INDEX(Services!$D$5:$D$64,MATCH(M604,Services!$B$5:$B$64,0)),"")="Per hour",IFERROR(INDEX(Properties!$X$5:$X$254,MATCH(J604,Properties!$A$5:$A$254,0)),0)&gt;0),IFERROR(INDEX(Properties!$X$5:$X$254,MATCH(J604,Properties!$A$5:$A$254,0)),0),IF(IFERROR(INDEX(Services!$G$5:$G$64,MATCH(M604,Services!$B$5:$B$64,0)),0)&gt;0,IFERROR(INDEX(Services!$G$5:$G$64,MATCH(M604,Services!$B$5:$B$64,0)),0),IFERROR(INDEX(Properties!$X$5:$X$254,MATCH(J604,Properties!$A$5:$A$254,0)),0)))))</f>
        <v>0</v>
      </c>
      <c r="AE604" s="31">
        <f>IF(G604="","",IF(T604="",CleanersPerJob,MAX(1,T604)))</f>
        <v>0</v>
      </c>
      <c r="AF604" s="34">
        <f>IF(G604="","",ROUND(AD604/AE604,2))</f>
        <v>0</v>
      </c>
      <c r="AG604" s="53">
        <f>IF(OR(G604="",F604="",AF604=""),"",F604+AF604/24)</f>
        <v>0</v>
      </c>
      <c r="AH604" s="21">
        <f>IF(G604="","",IF(IFERROR(INDEX(Clients!$O$5:$O$204,MATCH(G604,Clients!$A$5:$A$204,0)),0)&gt;0,IFERROR(INDEX(Clients!$O$5:$O$204,MATCH(G604,Clients!$A$5:$A$204,0)),0),HourlyRate))</f>
        <v>0</v>
      </c>
      <c r="AI604" s="21">
        <f>IF(G604="","",IF(AND(M604&lt;&gt;"",IFERROR(INDEX(Services!$P$5:$P$64,MATCH(M604,Services!$B$5:$B$64,0)),0)&gt;0,IFERROR(INDEX(Services!$D$5:$D$64,MATCH(M604,Services!$B$5:$B$64,0)),"")&lt;&gt;"Per hour"),IFERROR(INDEX(Services!$P$5:$P$64,MATCH(M604,Services!$B$5:$B$64,0)),0),AD604*AH604))</f>
        <v>0</v>
      </c>
      <c r="AJ604" s="21">
        <f>IF(G604="","",IF(V604&lt;&gt;"",V604,IF(P604="Cancelled",0,MAX(MinimumCharge,ROUND(AI604*IFERROR(INDEX(FreqFactors,MATCH(O604,FreqNames,0)),1),2)))))</f>
        <v>0</v>
      </c>
      <c r="AK604" s="34">
        <f>IF(G604="","",IF(SUMIFS(Timesheets!$U$5:$U$804,Timesheets!$G$5:$G$804,A604)&gt;0,SUMIFS(Timesheets!$U$5:$U$804,Timesheets!$G$5:$G$804,A604),IF(Z604="","",Z604)))</f>
        <v>0</v>
      </c>
      <c r="AL604" s="34">
        <f>IF(OR(AK604="",AD604=""),"",AK604-AD604)</f>
        <v>0</v>
      </c>
      <c r="AM604" s="31">
        <f>IF(A604="","",COUNTIFS('Job Tasks'!$B$5:$B$904,A604))</f>
        <v>0</v>
      </c>
      <c r="AN604" s="31">
        <f>IF(A604="","",COUNTIFS('Job Tasks'!$B$5:$B$904,A604,'Job Tasks'!$H$5:$H$904,"Done"))</f>
        <v>0</v>
      </c>
      <c r="AO604" s="38">
        <f>IF(OR(A604="",AM604=0),"",AN604/AM604)</f>
        <v>0</v>
      </c>
      <c r="AP604" s="43">
        <f>IF(A604="","",IFERROR(INDEX('Invoice Lines'!$B$5:$B$804,MATCH(A604,'Invoice Lines'!$C$5:$C$804,0)),""))</f>
        <v>0</v>
      </c>
      <c r="AQ604" s="18">
        <f>IF(OR(G604="",B604="",X604&lt;&gt;"Yes"),"",IF(IFERROR(INDEX(FreqDays,MATCH(O604,FreqNames,0)),0)=0,"",B604+IFERROR(INDEX(FreqDays,MATCH(O604,FreqNames,0)),0)))</f>
        <v>0</v>
      </c>
      <c r="AR604" s="39">
        <f>IF(G604="","",IF(R604="","Unassigned",IF(COUNTIFS($R$5:$R$604,R604,$B$5:$B$604,B604,$F$5:$F$604,F604)&gt;1,"Clash",IF(SUMIFS($AF$5:$AF$604,$R$5:$R$604,R604,$B$5:$B$604,B604)&gt;ProductiveHours,"Long day","OK"))))</f>
        <v>0</v>
      </c>
      <c r="AS604" s="18">
        <f>IF(OR(G604="",B604=""),"",IF(AND(B604&gt;=TodayDate,P604&lt;&gt;"Cancelled"),B604,""))</f>
        <v>0</v>
      </c>
      <c r="AT604" s="31">
        <f>IF(AS604="","",COUNTIFS($AS$5:$AS$604,"&lt;"&amp;AS604)+COUNTIFS($AS$5:AS604,AS604))</f>
        <v>0</v>
      </c>
      <c r="AU604" s="18">
        <f>IF(OR(G604="",B604="",R604&lt;&gt;""),"",IF(AND(B604&gt;=TodayDate,P604&lt;&gt;"Cancelled"),B604,""))</f>
        <v>0</v>
      </c>
      <c r="AV604" s="31">
        <f>IF(AU604="","",COUNTIFS($AU$5:$AU$604,"&lt;"&amp;AU604)+COUNTIFS($AU$5:AU604,AU604))</f>
        <v>0</v>
      </c>
      <c r="AW604" s="31">
        <f>IF(OR(G604="",B604=""),"",B604-TodayDate)</f>
        <v>0</v>
      </c>
      <c r="AX604" s="39">
        <f>IF(G604="","",IF(P604="Cancelled","Cancelled",IF(P604="No access","Action - no access, rebook",IF(AND(B604&lt;&gt;"",AW604&lt;0,OR(P604="Booked",P604="Confirmed",P604="In progress")),"Late - mark it completed",IF(AND(P604="Completed",AP604=""),"Action - not invoiced yet",IF(AND(AW604&gt;=0,AW604&lt;=ReminderDays,Y604&lt;&gt;"Yes"),"Confirm - visit coming up",IF(R604="","Assign - no cleaner booked",IF(AND(P604="Completed",AO604&lt;&gt;"",AO604&lt;1),"Check - checklist unfinished","OK"))))))))</f>
        <v>0</v>
      </c>
    </row>
  </sheetData>
  <sheetProtection password="EC7C" sheet="1" objects="1" scenarios="1" formatCells="0" formatColumns="0" formatRows="0" insertRows="0" insertHyperlinks="0" deleteRows="0" autoFilter="0"/>
  <autoFilter ref="A4:AX604"/>
  <mergeCells count="13">
    <mergeCell ref="A1:AU1"/>
    <mergeCell ref="AV1:AX1"/>
    <mergeCell ref="A2:AX2"/>
    <mergeCell ref="A3:B3"/>
    <mergeCell ref="C3:D3"/>
    <mergeCell ref="E3:F3"/>
    <mergeCell ref="G3:H3"/>
    <mergeCell ref="I3:J3"/>
    <mergeCell ref="K3:L3"/>
    <mergeCell ref="M3:N3"/>
    <mergeCell ref="O3:P3"/>
    <mergeCell ref="Q3:R3"/>
    <mergeCell ref="S3:AX3"/>
  </mergeCells>
  <conditionalFormatting sqref="AF5:AF604">
    <cfRule type="dataBar" priority="44">
      <dataBar>
        <cfvo type="min" val="0"/>
        <cfvo type="max" val="0"/>
        <color rgb="FF2F8F9D"/>
      </dataBar>
    </cfRule>
  </conditionalFormatting>
  <conditionalFormatting sqref="AJ5:AJ604">
    <cfRule type="dataBar" priority="45">
      <dataBar>
        <cfvo type="min" val="0"/>
        <cfvo type="max" val="0"/>
        <color rgb="FFE8A33D"/>
      </dataBar>
    </cfRule>
  </conditionalFormatting>
  <conditionalFormatting sqref="AL5:AL604">
    <cfRule type="cellIs" dxfId="2" priority="46" operator="greaterThan">
      <formula>0.25</formula>
    </cfRule>
    <cfRule type="cellIs" dxfId="1" priority="47" operator="lessThanOrEqual">
      <formula>0</formula>
    </cfRule>
  </conditionalFormatting>
  <conditionalFormatting sqref="AO5:AO604">
    <cfRule type="dataBar" priority="48">
      <dataBar>
        <cfvo type="min" val="0"/>
        <cfvo type="max" val="0"/>
        <color rgb="FF4E8A63"/>
      </dataBar>
    </cfRule>
  </conditionalFormatting>
  <conditionalFormatting sqref="AQ5:AQ604">
    <cfRule type="cellIs" dxfId="0" priority="49" operator="lessThan">
      <formula>TodayDate</formula>
    </cfRule>
  </conditionalFormatting>
  <conditionalFormatting sqref="AR5:AR604">
    <cfRule type="beginsWith" dxfId="1" priority="50" operator="beginsWith" text="OK">
      <formula>LEFT(AR5,2)="OK"</formula>
    </cfRule>
    <cfRule type="containsText" dxfId="2" priority="51" operator="containsText" text="Overdue">
      <formula>NOT(ISERROR(SEARCH("Overdue",AR5)))</formula>
    </cfRule>
    <cfRule type="containsText" dxfId="2" priority="52" operator="containsText" text="Late">
      <formula>NOT(ISERROR(SEARCH("Late",AR5)))</formula>
    </cfRule>
    <cfRule type="containsText" dxfId="2" priority="53" operator="containsText" text="Missing">
      <formula>NOT(ISERROR(SEARCH("Missing",AR5)))</formula>
    </cfRule>
    <cfRule type="containsText" dxfId="2" priority="54" operator="containsText" text="Conflict">
      <formula>NOT(ISERROR(SEARCH("Conflict",AR5)))</formula>
    </cfRule>
    <cfRule type="containsText" dxfId="2" priority="55" operator="containsText" text="Clash">
      <formula>NOT(ISERROR(SEARCH("Clash",AR5)))</formula>
    </cfRule>
    <cfRule type="containsText" dxfId="2" priority="56" operator="containsText" text="Expired">
      <formula>NOT(ISERROR(SEARCH("Expired",AR5)))</formula>
    </cfRule>
    <cfRule type="containsText" dxfId="2" priority="57" operator="containsText" text="Duplicate">
      <formula>NOT(ISERROR(SEARCH("Duplicate",AR5)))</formula>
    </cfRule>
    <cfRule type="containsText" dxfId="2" priority="58" operator="containsText" text="Unpaid">
      <formula>NOT(ISERROR(SEARCH("Unpaid",AR5)))</formula>
    </cfRule>
    <cfRule type="containsText" dxfId="2" priority="59" operator="containsText" text="Loss">
      <formula>NOT(ISERROR(SEARCH("Loss",AR5)))</formula>
    </cfRule>
    <cfRule type="containsText" dxfId="2" priority="60" operator="containsText" text="Below">
      <formula>NOT(ISERROR(SEARCH("Below",AR5)))</formula>
    </cfRule>
    <cfRule type="containsText" dxfId="0" priority="61" operator="containsText" text="Action">
      <formula>NOT(ISERROR(SEARCH("Action",AR5)))</formula>
    </cfRule>
    <cfRule type="containsText" dxfId="0" priority="62" operator="containsText" text="Due">
      <formula>NOT(ISERROR(SEARCH("Due",AR5)))</formula>
    </cfRule>
    <cfRule type="containsText" dxfId="0" priority="63" operator="containsText" text="Check">
      <formula>NOT(ISERROR(SEARCH("Check",AR5)))</formula>
    </cfRule>
    <cfRule type="containsText" dxfId="0" priority="64" operator="containsText" text="Chase">
      <formula>NOT(ISERROR(SEARCH("Chase",AR5)))</formula>
    </cfRule>
    <cfRule type="containsText" dxfId="0" priority="65" operator="containsText" text="Assign">
      <formula>NOT(ISERROR(SEARCH("Assign",AR5)))</formula>
    </cfRule>
    <cfRule type="containsText" dxfId="0" priority="66" operator="containsText" text="Confirm">
      <formula>NOT(ISERROR(SEARCH("Confirm",AR5)))</formula>
    </cfRule>
    <cfRule type="containsText" dxfId="0" priority="67" operator="containsText" text="Order">
      <formula>NOT(ISERROR(SEARCH("Order",AR5)))</formula>
    </cfRule>
    <cfRule type="containsText" dxfId="3" priority="68" operator="containsText" text="Today">
      <formula>NOT(ISERROR(SEARCH("Today",AR5)))</formula>
    </cfRule>
    <cfRule type="containsText" dxfId="3" priority="69" operator="containsText" text="Upcoming">
      <formula>NOT(ISERROR(SEARCH("Upcoming",AR5)))</formula>
    </cfRule>
    <cfRule type="containsText" dxfId="3" priority="70" operator="containsText" text="Tomorrow">
      <formula>NOT(ISERROR(SEARCH("Tomorrow",AR5)))</formula>
    </cfRule>
  </conditionalFormatting>
  <conditionalFormatting sqref="AX5:AX604">
    <cfRule type="beginsWith" dxfId="1" priority="71" operator="beginsWith" text="OK">
      <formula>LEFT(AX5,2)="OK"</formula>
    </cfRule>
    <cfRule type="containsText" dxfId="2" priority="72" operator="containsText" text="Overdue">
      <formula>NOT(ISERROR(SEARCH("Overdue",AX5)))</formula>
    </cfRule>
    <cfRule type="containsText" dxfId="2" priority="73" operator="containsText" text="Late">
      <formula>NOT(ISERROR(SEARCH("Late",AX5)))</formula>
    </cfRule>
    <cfRule type="containsText" dxfId="2" priority="74" operator="containsText" text="Missing">
      <formula>NOT(ISERROR(SEARCH("Missing",AX5)))</formula>
    </cfRule>
    <cfRule type="containsText" dxfId="2" priority="75" operator="containsText" text="Conflict">
      <formula>NOT(ISERROR(SEARCH("Conflict",AX5)))</formula>
    </cfRule>
    <cfRule type="containsText" dxfId="2" priority="76" operator="containsText" text="Clash">
      <formula>NOT(ISERROR(SEARCH("Clash",AX5)))</formula>
    </cfRule>
    <cfRule type="containsText" dxfId="2" priority="77" operator="containsText" text="Expired">
      <formula>NOT(ISERROR(SEARCH("Expired",AX5)))</formula>
    </cfRule>
    <cfRule type="containsText" dxfId="2" priority="78" operator="containsText" text="Duplicate">
      <formula>NOT(ISERROR(SEARCH("Duplicate",AX5)))</formula>
    </cfRule>
    <cfRule type="containsText" dxfId="2" priority="79" operator="containsText" text="Unpaid">
      <formula>NOT(ISERROR(SEARCH("Unpaid",AX5)))</formula>
    </cfRule>
    <cfRule type="containsText" dxfId="2" priority="80" operator="containsText" text="Loss">
      <formula>NOT(ISERROR(SEARCH("Loss",AX5)))</formula>
    </cfRule>
    <cfRule type="containsText" dxfId="2" priority="81" operator="containsText" text="Below">
      <formula>NOT(ISERROR(SEARCH("Below",AX5)))</formula>
    </cfRule>
    <cfRule type="containsText" dxfId="0" priority="82" operator="containsText" text="Action">
      <formula>NOT(ISERROR(SEARCH("Action",AX5)))</formula>
    </cfRule>
    <cfRule type="containsText" dxfId="0" priority="83" operator="containsText" text="Due">
      <formula>NOT(ISERROR(SEARCH("Due",AX5)))</formula>
    </cfRule>
    <cfRule type="containsText" dxfId="0" priority="84" operator="containsText" text="Check">
      <formula>NOT(ISERROR(SEARCH("Check",AX5)))</formula>
    </cfRule>
    <cfRule type="containsText" dxfId="0" priority="85" operator="containsText" text="Chase">
      <formula>NOT(ISERROR(SEARCH("Chase",AX5)))</formula>
    </cfRule>
    <cfRule type="containsText" dxfId="0" priority="86" operator="containsText" text="Assign">
      <formula>NOT(ISERROR(SEARCH("Assign",AX5)))</formula>
    </cfRule>
    <cfRule type="containsText" dxfId="0" priority="87" operator="containsText" text="Confirm">
      <formula>NOT(ISERROR(SEARCH("Confirm",AX5)))</formula>
    </cfRule>
    <cfRule type="containsText" dxfId="0" priority="88" operator="containsText" text="Order">
      <formula>NOT(ISERROR(SEARCH("Order",AX5)))</formula>
    </cfRule>
    <cfRule type="containsText" dxfId="3" priority="89" operator="containsText" text="Today">
      <formula>NOT(ISERROR(SEARCH("Today",AX5)))</formula>
    </cfRule>
    <cfRule type="containsText" dxfId="3" priority="90" operator="containsText" text="Upcoming">
      <formula>NOT(ISERROR(SEARCH("Upcoming",AX5)))</formula>
    </cfRule>
    <cfRule type="containsText" dxfId="3" priority="91" operator="containsText" text="Tomorrow">
      <formula>NOT(ISERROR(SEARCH("Tomorrow",AX5)))</formula>
    </cfRule>
  </conditionalFormatting>
  <conditionalFormatting sqref="P5:P604">
    <cfRule type="containsText" dxfId="1" priority="1" operator="containsText" text="Completed">
      <formula>NOT(ISERROR(SEARCH("Completed",P5)))</formula>
    </cfRule>
    <cfRule type="containsText" dxfId="1" priority="2" operator="containsText" text="Complete">
      <formula>NOT(ISERROR(SEARCH("Complete",P5)))</formula>
    </cfRule>
    <cfRule type="containsText" dxfId="1" priority="3" operator="containsText" text="Done">
      <formula>NOT(ISERROR(SEARCH("Done",P5)))</formula>
    </cfRule>
    <cfRule type="containsText" dxfId="1" priority="4" operator="containsText" text="Paid">
      <formula>NOT(ISERROR(SEARCH("Paid",P5)))</formula>
    </cfRule>
    <cfRule type="containsText" dxfId="1" priority="5" operator="containsText" text="Accepted">
      <formula>NOT(ISERROR(SEARCH("Accepted",P5)))</formula>
    </cfRule>
    <cfRule type="containsText" dxfId="1" priority="6" operator="containsText" text="Won">
      <formula>NOT(ISERROR(SEARCH("Won",P5)))</formula>
    </cfRule>
    <cfRule type="containsText" dxfId="1" priority="7" operator="containsText" text="Active">
      <formula>NOT(ISERROR(SEARCH("Active",P5)))</formula>
    </cfRule>
    <cfRule type="containsText" dxfId="1" priority="8" operator="containsText" text="In stock">
      <formula>NOT(ISERROR(SEARCH("In stock",P5)))</formula>
    </cfRule>
    <cfRule type="containsText" dxfId="1" priority="9" operator="containsText" text="Resolved">
      <formula>NOT(ISERROR(SEARCH("Resolved",P5)))</formula>
    </cfRule>
    <cfRule type="containsText" dxfId="1" priority="10" operator="containsText" text="Signed">
      <formula>NOT(ISERROR(SEARCH("Signed",P5)))</formula>
    </cfRule>
    <cfRule type="containsText" dxfId="1" priority="11" operator="containsText" text="Yes">
      <formula>NOT(ISERROR(SEARCH("Yes",P5)))</formula>
    </cfRule>
    <cfRule type="containsText" dxfId="3" priority="12" operator="containsText" text="Booked">
      <formula>NOT(ISERROR(SEARCH("Booked",P5)))</formula>
    </cfRule>
    <cfRule type="containsText" dxfId="3" priority="13" operator="containsText" text="Confirmed">
      <formula>NOT(ISERROR(SEARCH("Confirmed",P5)))</formula>
    </cfRule>
    <cfRule type="containsText" dxfId="3" priority="14" operator="containsText" text="Scheduled">
      <formula>NOT(ISERROR(SEARCH("Scheduled",P5)))</formula>
    </cfRule>
    <cfRule type="containsText" dxfId="3" priority="15" operator="containsText" text="In progress">
      <formula>NOT(ISERROR(SEARCH("In progress",P5)))</formula>
    </cfRule>
    <cfRule type="containsText" dxfId="3" priority="16" operator="containsText" text="Sent">
      <formula>NOT(ISERROR(SEARCH("Sent",P5)))</formula>
    </cfRule>
    <cfRule type="containsText" dxfId="3" priority="17" operator="containsText" text="Invoiced">
      <formula>NOT(ISERROR(SEARCH("Invoiced",P5)))</formula>
    </cfRule>
    <cfRule type="containsText" dxfId="3" priority="18" operator="containsText" text="Quoted">
      <formula>NOT(ISERROR(SEARCH("Quoted",P5)))</formula>
    </cfRule>
    <cfRule type="containsText" dxfId="3" priority="19" operator="containsText" text="Prospect">
      <formula>NOT(ISERROR(SEARCH("Prospect",P5)))</formula>
    </cfRule>
    <cfRule type="containsText" dxfId="0" priority="20" operator="containsText" text="Draft">
      <formula>NOT(ISERROR(SEARCH("Draft",P5)))</formula>
    </cfRule>
    <cfRule type="containsText" dxfId="0" priority="21" operator="containsText" text="Enquiry">
      <formula>NOT(ISERROR(SEARCH("Enquiry",P5)))</formula>
    </cfRule>
    <cfRule type="containsText" dxfId="0" priority="22" operator="containsText" text="Pending">
      <formula>NOT(ISERROR(SEARCH("Pending",P5)))</formula>
    </cfRule>
    <cfRule type="containsText" dxfId="0" priority="23" operator="containsText" text="Part paid">
      <formula>NOT(ISERROR(SEARCH("Part paid",P5)))</formula>
    </cfRule>
    <cfRule type="containsText" dxfId="0" priority="24" operator="containsText" text="Followed up">
      <formula>NOT(ISERROR(SEARCH("Followed up",P5)))</formula>
    </cfRule>
    <cfRule type="containsText" dxfId="0" priority="25" operator="containsText" text="Low stock">
      <formula>NOT(ISERROR(SEARCH("Low stock",P5)))</formula>
    </cfRule>
    <cfRule type="containsText" dxfId="0" priority="26" operator="containsText" text="Due soon">
      <formula>NOT(ISERROR(SEARCH("Due soon",P5)))</formula>
    </cfRule>
    <cfRule type="containsText" dxfId="0" priority="27" operator="containsText" text="On hold">
      <formula>NOT(ISERROR(SEARCH("On hold",P5)))</formula>
    </cfRule>
    <cfRule type="containsText" dxfId="0" priority="28" operator="containsText" text="Unassigned">
      <formula>NOT(ISERROR(SEARCH("Unassigned",P5)))</formula>
    </cfRule>
    <cfRule type="containsText" dxfId="2" priority="29" operator="containsText" text="Overdue">
      <formula>NOT(ISERROR(SEARCH("Overdue",P5)))</formula>
    </cfRule>
    <cfRule type="containsText" dxfId="2" priority="30" operator="containsText" text="Cancelled">
      <formula>NOT(ISERROR(SEARCH("Cancelled",P5)))</formula>
    </cfRule>
    <cfRule type="containsText" dxfId="2" priority="31" operator="containsText" text="Declined">
      <formula>NOT(ISERROR(SEARCH("Declined",P5)))</formula>
    </cfRule>
    <cfRule type="containsText" dxfId="2" priority="32" operator="containsText" text="Lost">
      <formula>NOT(ISERROR(SEARCH("Lost",P5)))</formula>
    </cfRule>
    <cfRule type="containsText" dxfId="2" priority="33" operator="containsText" text="No access">
      <formula>NOT(ISERROR(SEARCH("No access",P5)))</formula>
    </cfRule>
    <cfRule type="containsText" dxfId="2" priority="34" operator="containsText" text="Out of stock">
      <formula>NOT(ISERROR(SEARCH("Out of stock",P5)))</formula>
    </cfRule>
    <cfRule type="containsText" dxfId="2" priority="35" operator="containsText" text="Written off">
      <formula>NOT(ISERROR(SEARCH("Written off",P5)))</formula>
    </cfRule>
    <cfRule type="containsText" dxfId="2" priority="36" operator="containsText" text="Expired">
      <formula>NOT(ISERROR(SEARCH("Expired",P5)))</formula>
    </cfRule>
    <cfRule type="containsText" dxfId="4" priority="37" operator="containsText" text="Inactive">
      <formula>NOT(ISERROR(SEARCH("Inactive",P5)))</formula>
    </cfRule>
    <cfRule type="containsText" dxfId="4" priority="38" operator="containsText" text="Archived">
      <formula>NOT(ISERROR(SEARCH("Archived",P5)))</formula>
    </cfRule>
    <cfRule type="containsText" dxfId="4" priority="39" operator="containsText" text="Not needed">
      <formula>NOT(ISERROR(SEARCH("Not needed",P5)))</formula>
    </cfRule>
  </conditionalFormatting>
  <conditionalFormatting sqref="X5:X604">
    <cfRule type="containsText" dxfId="0" priority="40" operator="containsText" text="No">
      <formula>NOT(ISERROR(SEARCH("No",X5)))</formula>
    </cfRule>
    <cfRule type="containsText" dxfId="1" priority="41" operator="containsText" text="Yes">
      <formula>NOT(ISERROR(SEARCH("Yes",X5)))</formula>
    </cfRule>
  </conditionalFormatting>
  <conditionalFormatting sqref="Y5:Y604">
    <cfRule type="containsText" dxfId="0" priority="42" operator="containsText" text="No">
      <formula>NOT(ISERROR(SEARCH("No",Y5)))</formula>
    </cfRule>
    <cfRule type="containsText" dxfId="1" priority="43" operator="containsText" text="Yes">
      <formula>NOT(ISERROR(SEARCH("Yes",Y5)))</formula>
    </cfRule>
  </conditionalFormatting>
  <dataValidations count="19">
    <dataValidation type="date" allowBlank="1" showInputMessage="1" showErrorMessage="1" errorTitle="Check the date" error="Enter a real date between 2000 and 2100." promptTitle="Date" prompt="The day of the visit. Everything in the calendar, the rota and the reminders reads this column." sqref="B5:B604">
      <formula1>36526</formula1>
      <formula2>73415</formula2>
    </dataValidation>
    <dataValidation type="time" allowBlank="1" showInputMessage="1" showErrorMessage="1" errorTitle="Check the time" error="Enter a time of day, for example 9:00 AM or 14:30." promptTitle="Start" prompt="Type 9:00 AM or 14:30 - either works." sqref="F5:F604">
      <formula1>0</formula1>
      <formula2>0.999305555555556</formula2>
    </dataValidation>
    <dataValidation type="list" allowBlank="1" showInputMessage="1" showErrorMessage="1" promptTitle="Client ID" prompt="Pick from the drop down. The client's name, their rate and their terms all follow." sqref="G5:G604">
      <formula1>ClientIDs</formula1>
    </dataValidation>
    <dataValidation type="list" allowBlank="1" showInputMessage="1" showErrorMessage="1" promptTitle="Property ID" prompt="Which address. Leave blank for a client with only one property and the price still works." sqref="J5:J604">
      <formula1>PropertyIDs</formula1>
    </dataValidation>
    <dataValidation type="list" allowBlank="1" showInputMessage="1" showErrorMessage="1" promptTitle="Service" prompt="From the Services tab. The price and the time come from there unless you override them." sqref="M5:M604">
      <formula1>ServiceNames</formula1>
    </dataValidation>
    <dataValidation type="list" allowBlank="1" showInputMessage="1" showErrorMessage="1" sqref="N5:N604">
      <formula1>JobTypeList</formula1>
    </dataValidation>
    <dataValidation type="list" allowBlank="1" showInputMessage="1" showErrorMessage="1" promptTitle="Frequency" prompt="One-off, weekly, fortnightly. Drives the discount and the next visit date." sqref="O5:O604">
      <formula1>FrequencyList</formula1>
    </dataValidation>
    <dataValidation type="list" allowBlank="1" showInputMessage="1" showErrorMessage="1" promptTitle="Status" prompt="Move it along as the day goes: Booked, Confirmed, In progress, Completed. Invoiced happens when you raise the invoice." sqref="P5:P604">
      <formula1>JobStatusList</formula1>
    </dataValidation>
    <dataValidation type="list" allowBlank="1" showInputMessage="1" showErrorMessage="1" sqref="Q5:Q604">
      <formula1>PriorityList</formula1>
    </dataValidation>
    <dataValidation type="list" allowBlank="1" showInputMessage="1" showErrorMessage="1" promptTitle="Cleaner" prompt="The lead cleaner. A second name goes in the next column; anyone else goes on the timesheet." sqref="R5:R604">
      <formula1>EmployeeNames</formula1>
    </dataValidation>
    <dataValidation type="list" allowBlank="1" showInputMessage="1" showErrorMessage="1" sqref="S5:S604">
      <formula1>EmployeeNames</formula1>
    </dataValidation>
    <dataValidation type="whole" allowBlank="1" showInputMessage="1" showErrorMessage="1" errorTitle="Check the value" error="Enter a number between 1 and 20." promptTitle="Cleaners" prompt="Blank uses the standard crew size from the Settings tab." sqref="T5:T604">
      <formula1>1</formula1>
      <formula2>20</formula2>
    </dataValidation>
    <dataValidation type="decimal" allowBlank="1" showInputMessage="1" showErrorMessage="1" errorTitle="Check the value" error="Enter a number between 0 and 100." promptTitle="Planned hours (override)" prompt="Total cleaner-hours. Leave blank and the workbook uses the service or the property estimate." sqref="U5:U604">
      <formula1>0</formula1>
      <formula2>100</formula2>
    </dataValidation>
    <dataValidation type="decimal" allowBlank="1" showInputMessage="1" showErrorMessage="1" errorTitle="Check the value" error="Enter a number between 0 and 1000000." promptTitle="Price (override)" prompt="Leave blank to let the calculator price it. Type a number to fix the price for this visit only." sqref="V5:V604">
      <formula1>0</formula1>
      <formula2>1000000</formula2>
    </dataValidation>
    <dataValidation type="decimal" allowBlank="1" showInputMessage="1" showErrorMessage="1" errorTitle="Check the value" error="Enter a number between 0 and 10000." sqref="W5:W604">
      <formula1>0</formula1>
      <formula2>10000</formula2>
    </dataValidation>
    <dataValidation type="list" allowBlank="1" showInputMessage="1" showErrorMessage="1" promptTitle="Recurring?" prompt="Yes means the workbook should suggest the next visit date when this one is done." sqref="X5:X604">
      <formula1>YesNoList</formula1>
    </dataValidation>
    <dataValidation type="list" allowBlank="1" showInputMessage="1" showErrorMessage="1" sqref="Y5:Y604">
      <formula1>YesNoList</formula1>
    </dataValidation>
    <dataValidation type="decimal" allowBlank="1" showInputMessage="1" showErrorMessage="1" errorTitle="Check the value" error="Enter a number between 0 and 100." promptTitle="Actual hours (if no timesheet)" prompt="Only needed if you are not filling in timesheets. Timesheet hours always win." sqref="Z5:Z604">
      <formula1>0</formula1>
      <formula2>100</formula2>
    </dataValidation>
    <dataValidation type="whole" allowBlank="1" showInputMessage="1" showErrorMessage="1" errorTitle="Score 1-5" error="Enter a whole number from 1 (poor) to 5 (excellent)." promptTitle="Client rating" prompt="1 to 5, filled in after the visit. Feeds the client and employee averages." sqref="AA5:AA604">
      <formula1>1</formula1>
      <formula2>5</formula2>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&amp;L&amp;"Calibri,Bold"&amp;12&amp;C&amp;"Calibri,Bold"&amp;11Jobs&amp;R&amp;"Calibri,Italic"&amp;9Cleaning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12.xml><?xml version="1.0" encoding="utf-8"?>
<worksheet xmlns="http://schemas.openxmlformats.org/spreadsheetml/2006/main" xmlns:r="http://schemas.openxmlformats.org/officeDocument/2006/relationships">
  <sheetPr>
    <tabColor rgb="FF2F8F9D"/>
    <pageSetUpPr fitToPage="1"/>
  </sheetPr>
  <dimension ref="A1:T9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11.7109375" style="49" customWidth="1"/>
    <col min="3" max="3" width="11.7109375" style="18" customWidth="1"/>
    <col min="4" max="4" width="20.7109375" style="23" customWidth="1"/>
    <col min="5" max="5" width="22.7109375" style="23" customWidth="1"/>
    <col min="6" max="6" width="16.7109375" style="15" customWidth="1"/>
    <col min="7" max="7" width="38.7109375" style="15" customWidth="1"/>
    <col min="8" max="8" width="13.7109375" style="45" customWidth="1"/>
    <col min="9" max="9" width="16.7109375" style="15" customWidth="1"/>
    <col min="10" max="10" width="10.7109375" style="16" customWidth="1"/>
    <col min="11" max="11" width="13.7109375" style="45" customWidth="1"/>
    <col min="12" max="12" width="32.7109375" style="44" customWidth="1"/>
    <col min="13" max="13" width="10.7109375" style="47" customWidth="1"/>
    <col min="14" max="14" width="20.7109375" style="54" customWidth="1"/>
    <col min="15" max="15" width="28.7109375" style="44" customWidth="1"/>
    <col min="16" max="16" width="9.7109375" style="50" hidden="1" customWidth="1"/>
    <col min="17" max="17" width="10.7109375" style="31" hidden="1" customWidth="1"/>
    <col min="18" max="18" width="10.7109375" style="31" hidden="1" customWidth="1"/>
    <col min="19" max="19" width="9.7109375" style="50" hidden="1" customWidth="1"/>
    <col min="20" max="20" width="26.7109375" style="39" customWidth="1"/>
  </cols>
  <sheetData>
    <row r="1" spans="1:20" ht="34" customHeight="1">
      <c r="A1" s="2" t="s">
        <v>1167</v>
      </c>
      <c r="B1" s="2"/>
      <c r="C1" s="2"/>
      <c r="D1" s="2"/>
      <c r="E1" s="2"/>
      <c r="F1" s="2"/>
      <c r="G1" s="2"/>
      <c r="H1" s="2"/>
      <c r="I1" s="2"/>
      <c r="J1" s="2"/>
      <c r="K1" s="2"/>
      <c r="L1" s="2"/>
      <c r="M1" s="2"/>
      <c r="N1" s="2"/>
      <c r="O1" s="2"/>
      <c r="P1" s="2"/>
      <c r="Q1" s="2"/>
      <c r="R1" s="3" t="s">
        <v>1</v>
      </c>
      <c r="S1" s="3"/>
      <c r="T1" s="3"/>
    </row>
    <row r="2" spans="1:20" ht="18" customHeight="1">
      <c r="A2" s="4" t="s">
        <v>1168</v>
      </c>
      <c r="B2" s="4"/>
      <c r="C2" s="4"/>
      <c r="D2" s="4"/>
      <c r="E2" s="4"/>
      <c r="F2" s="4"/>
      <c r="G2" s="4"/>
      <c r="H2" s="4"/>
      <c r="I2" s="4"/>
      <c r="J2" s="4"/>
      <c r="K2" s="4"/>
      <c r="L2" s="4"/>
      <c r="M2" s="4"/>
      <c r="N2" s="4"/>
      <c r="O2" s="4"/>
      <c r="P2" s="4"/>
      <c r="Q2" s="4"/>
      <c r="R2" s="4"/>
      <c r="S2" s="4"/>
      <c r="T2" s="4"/>
    </row>
    <row r="3" spans="1:20" ht="16" customHeight="1">
      <c r="A3" s="5" t="s">
        <v>3</v>
      </c>
      <c r="B3" s="5"/>
      <c r="C3" s="5" t="s">
        <v>4</v>
      </c>
      <c r="D3" s="5"/>
      <c r="E3" s="5" t="s">
        <v>5</v>
      </c>
      <c r="F3" s="5"/>
      <c r="G3" s="5" t="s">
        <v>6</v>
      </c>
      <c r="H3" s="5"/>
      <c r="I3" s="5" t="s">
        <v>7</v>
      </c>
      <c r="J3" s="5"/>
      <c r="K3" s="5" t="s">
        <v>338</v>
      </c>
      <c r="L3" s="5"/>
      <c r="M3" s="5" t="s">
        <v>541</v>
      </c>
      <c r="N3" s="5"/>
      <c r="O3" s="5" t="s">
        <v>542</v>
      </c>
      <c r="P3" s="5"/>
      <c r="Q3" s="5" t="s">
        <v>543</v>
      </c>
      <c r="R3" s="5"/>
      <c r="S3" s="14"/>
      <c r="T3" s="14"/>
    </row>
    <row r="4" spans="1:20" ht="30" customHeight="1">
      <c r="A4" s="8" t="s">
        <v>545</v>
      </c>
      <c r="B4" s="8" t="s">
        <v>1169</v>
      </c>
      <c r="C4" s="9" t="s">
        <v>1100</v>
      </c>
      <c r="D4" s="9" t="s">
        <v>403</v>
      </c>
      <c r="E4" s="9" t="s">
        <v>718</v>
      </c>
      <c r="F4" s="9" t="s">
        <v>1170</v>
      </c>
      <c r="G4" s="9" t="s">
        <v>1171</v>
      </c>
      <c r="H4" s="9" t="s">
        <v>548</v>
      </c>
      <c r="I4" s="9" t="s">
        <v>1172</v>
      </c>
      <c r="J4" s="9" t="s">
        <v>1173</v>
      </c>
      <c r="K4" s="9" t="s">
        <v>1174</v>
      </c>
      <c r="L4" s="9" t="s">
        <v>1175</v>
      </c>
      <c r="M4" s="9" t="s">
        <v>1176</v>
      </c>
      <c r="N4" s="9" t="s">
        <v>1177</v>
      </c>
      <c r="O4" s="9" t="s">
        <v>421</v>
      </c>
      <c r="P4" s="9" t="s">
        <v>1178</v>
      </c>
      <c r="Q4" s="9" t="s">
        <v>1179</v>
      </c>
      <c r="R4" s="9" t="s">
        <v>1180</v>
      </c>
      <c r="S4" s="9" t="s">
        <v>1181</v>
      </c>
      <c r="T4" s="9" t="s">
        <v>970</v>
      </c>
    </row>
    <row r="5" spans="1:20">
      <c r="A5" s="43">
        <f>IF(B5="","","JT-"&amp;TEXT(ROW()-4,"0000"))</f>
        <v>0</v>
      </c>
      <c r="B5" s="49" t="s">
        <v>1182</v>
      </c>
      <c r="C5" s="18">
        <f>IF(B5="","",IFERROR(INDEX(Jobs!$B$5:$B$604,MATCH(B5,Jobs!$A$5:$A$604,0)),""))</f>
        <v>0</v>
      </c>
      <c r="D5" s="23">
        <f>IF(B5="","",IFERROR(INDEX(Jobs!$H$5:$H$604,MATCH(B5,Jobs!$A$5:$A$604,0)),""))</f>
        <v>0</v>
      </c>
      <c r="E5" s="23">
        <f>IF(B5="","",IFERROR(INDEX(Jobs!$K$5:$K$604,MATCH(B5,Jobs!$A$5:$A$604,0)),""))</f>
        <v>0</v>
      </c>
      <c r="F5" s="15" t="s">
        <v>1183</v>
      </c>
      <c r="G5" s="15" t="s">
        <v>1184</v>
      </c>
      <c r="H5" s="45" t="s">
        <v>1185</v>
      </c>
      <c r="I5" s="15" t="s">
        <v>584</v>
      </c>
      <c r="J5" s="16">
        <v>10</v>
      </c>
      <c r="K5" s="45" t="s">
        <v>1186</v>
      </c>
      <c r="L5" s="44" t="s">
        <v>172</v>
      </c>
      <c r="M5" s="47" t="s">
        <v>457</v>
      </c>
      <c r="N5" s="54" t="s">
        <v>172</v>
      </c>
      <c r="O5" s="44" t="s">
        <v>172</v>
      </c>
      <c r="P5" s="50">
        <f>IF(G5="","",IFERROR(INDEX(Checklists!$J$5:$J$404,MATCH(G5,Checklists!$F$5:$F$404,0)),"Yes"))</f>
        <v>0</v>
      </c>
      <c r="Q5" s="31">
        <f>IF(G5="","",IFERROR(INDEX(Checklists!$H$5:$H$404,MATCH(G5,Checklists!$F$5:$F$404,0)),""))</f>
        <v>0</v>
      </c>
      <c r="R5" s="31">
        <f>IF(OR(J5="",Q5=""),"",J5-Q5)</f>
        <v>0</v>
      </c>
      <c r="S5" s="50">
        <f>IF(B5="","",IF(H5="Done","Yes","No"))</f>
        <v>0</v>
      </c>
      <c r="T5" s="39">
        <f>IF(B5="","",IF(G5="","Add - what was the task?",IF(H5="Issue found",IF(M5="Yes","OK - issue reported","Action - tell the client"),IF(H5="Needs rework","Action - rework needed",IF(AND(H5="Skipped",P5="Yes"),"Check - required task skipped",IF(H5="Done","OK","Due"))))))</f>
        <v>0</v>
      </c>
    </row>
    <row r="6" spans="1:20">
      <c r="A6" s="43">
        <f>IF(B6="","","JT-"&amp;TEXT(ROW()-4,"0000"))</f>
        <v>0</v>
      </c>
      <c r="B6" s="49" t="s">
        <v>1182</v>
      </c>
      <c r="C6" s="18">
        <f>IF(B6="","",IFERROR(INDEX(Jobs!$B$5:$B$604,MATCH(B6,Jobs!$A$5:$A$604,0)),""))</f>
        <v>0</v>
      </c>
      <c r="D6" s="23">
        <f>IF(B6="","",IFERROR(INDEX(Jobs!$H$5:$H$604,MATCH(B6,Jobs!$A$5:$A$604,0)),""))</f>
        <v>0</v>
      </c>
      <c r="E6" s="23">
        <f>IF(B6="","",IFERROR(INDEX(Jobs!$K$5:$K$604,MATCH(B6,Jobs!$A$5:$A$604,0)),""))</f>
        <v>0</v>
      </c>
      <c r="F6" s="15" t="s">
        <v>1183</v>
      </c>
      <c r="G6" s="15" t="s">
        <v>1187</v>
      </c>
      <c r="H6" s="45" t="s">
        <v>1185</v>
      </c>
      <c r="I6" s="15" t="s">
        <v>584</v>
      </c>
      <c r="J6" s="16">
        <v>6</v>
      </c>
      <c r="K6" s="45" t="s">
        <v>1186</v>
      </c>
      <c r="L6" s="44" t="s">
        <v>172</v>
      </c>
      <c r="M6" s="47" t="s">
        <v>457</v>
      </c>
      <c r="N6" s="54" t="s">
        <v>172</v>
      </c>
      <c r="O6" s="44" t="s">
        <v>172</v>
      </c>
      <c r="P6" s="50">
        <f>IF(G6="","",IFERROR(INDEX(Checklists!$J$5:$J$404,MATCH(G6,Checklists!$F$5:$F$404,0)),"Yes"))</f>
        <v>0</v>
      </c>
      <c r="Q6" s="31">
        <f>IF(G6="","",IFERROR(INDEX(Checklists!$H$5:$H$404,MATCH(G6,Checklists!$F$5:$F$404,0)),""))</f>
        <v>0</v>
      </c>
      <c r="R6" s="31">
        <f>IF(OR(J6="",Q6=""),"",J6-Q6)</f>
        <v>0</v>
      </c>
      <c r="S6" s="50">
        <f>IF(B6="","",IF(H6="Done","Yes","No"))</f>
        <v>0</v>
      </c>
      <c r="T6" s="39">
        <f>IF(B6="","",IF(G6="","Add - what was the task?",IF(H6="Issue found",IF(M6="Yes","OK - issue reported","Action - tell the client"),IF(H6="Needs rework","Action - rework needed",IF(AND(H6="Skipped",P6="Yes"),"Check - required task skipped",IF(H6="Done","OK","Due"))))))</f>
        <v>0</v>
      </c>
    </row>
    <row r="7" spans="1:20">
      <c r="A7" s="43">
        <f>IF(B7="","","JT-"&amp;TEXT(ROW()-4,"0000"))</f>
        <v>0</v>
      </c>
      <c r="B7" s="49" t="s">
        <v>1182</v>
      </c>
      <c r="C7" s="18">
        <f>IF(B7="","",IFERROR(INDEX(Jobs!$B$5:$B$604,MATCH(B7,Jobs!$A$5:$A$604,0)),""))</f>
        <v>0</v>
      </c>
      <c r="D7" s="23">
        <f>IF(B7="","",IFERROR(INDEX(Jobs!$H$5:$H$604,MATCH(B7,Jobs!$A$5:$A$604,0)),""))</f>
        <v>0</v>
      </c>
      <c r="E7" s="23">
        <f>IF(B7="","",IFERROR(INDEX(Jobs!$K$5:$K$604,MATCH(B7,Jobs!$A$5:$A$604,0)),""))</f>
        <v>0</v>
      </c>
      <c r="F7" s="15" t="s">
        <v>1183</v>
      </c>
      <c r="G7" s="15" t="s">
        <v>1188</v>
      </c>
      <c r="H7" s="45" t="s">
        <v>1185</v>
      </c>
      <c r="I7" s="15" t="s">
        <v>584</v>
      </c>
      <c r="J7" s="16">
        <v>10</v>
      </c>
      <c r="K7" s="45" t="s">
        <v>1186</v>
      </c>
      <c r="L7" s="44" t="s">
        <v>172</v>
      </c>
      <c r="M7" s="47" t="s">
        <v>457</v>
      </c>
      <c r="N7" s="54" t="s">
        <v>172</v>
      </c>
      <c r="O7" s="44" t="s">
        <v>172</v>
      </c>
      <c r="P7" s="50">
        <f>IF(G7="","",IFERROR(INDEX(Checklists!$J$5:$J$404,MATCH(G7,Checklists!$F$5:$F$404,0)),"Yes"))</f>
        <v>0</v>
      </c>
      <c r="Q7" s="31">
        <f>IF(G7="","",IFERROR(INDEX(Checklists!$H$5:$H$404,MATCH(G7,Checklists!$F$5:$F$404,0)),""))</f>
        <v>0</v>
      </c>
      <c r="R7" s="31">
        <f>IF(OR(J7="",Q7=""),"",J7-Q7)</f>
        <v>0</v>
      </c>
      <c r="S7" s="50">
        <f>IF(B7="","",IF(H7="Done","Yes","No"))</f>
        <v>0</v>
      </c>
      <c r="T7" s="39">
        <f>IF(B7="","",IF(G7="","Add - what was the task?",IF(H7="Issue found",IF(M7="Yes","OK - issue reported","Action - tell the client"),IF(H7="Needs rework","Action - rework needed",IF(AND(H7="Skipped",P7="Yes"),"Check - required task skipped",IF(H7="Done","OK","Due"))))))</f>
        <v>0</v>
      </c>
    </row>
    <row r="8" spans="1:20">
      <c r="A8" s="43">
        <f>IF(B8="","","JT-"&amp;TEXT(ROW()-4,"0000"))</f>
        <v>0</v>
      </c>
      <c r="B8" s="49" t="s">
        <v>1182</v>
      </c>
      <c r="C8" s="18">
        <f>IF(B8="","",IFERROR(INDEX(Jobs!$B$5:$B$604,MATCH(B8,Jobs!$A$5:$A$604,0)),""))</f>
        <v>0</v>
      </c>
      <c r="D8" s="23">
        <f>IF(B8="","",IFERROR(INDEX(Jobs!$H$5:$H$604,MATCH(B8,Jobs!$A$5:$A$604,0)),""))</f>
        <v>0</v>
      </c>
      <c r="E8" s="23">
        <f>IF(B8="","",IFERROR(INDEX(Jobs!$K$5:$K$604,MATCH(B8,Jobs!$A$5:$A$604,0)),""))</f>
        <v>0</v>
      </c>
      <c r="F8" s="15" t="s">
        <v>1183</v>
      </c>
      <c r="G8" s="15" t="s">
        <v>1189</v>
      </c>
      <c r="H8" s="45" t="s">
        <v>1185</v>
      </c>
      <c r="I8" s="15" t="s">
        <v>584</v>
      </c>
      <c r="J8" s="16">
        <v>13</v>
      </c>
      <c r="K8" s="45" t="s">
        <v>1186</v>
      </c>
      <c r="L8" s="44" t="s">
        <v>172</v>
      </c>
      <c r="M8" s="47" t="s">
        <v>457</v>
      </c>
      <c r="N8" s="54" t="s">
        <v>172</v>
      </c>
      <c r="O8" s="44" t="s">
        <v>172</v>
      </c>
      <c r="P8" s="50">
        <f>IF(G8="","",IFERROR(INDEX(Checklists!$J$5:$J$404,MATCH(G8,Checklists!$F$5:$F$404,0)),"Yes"))</f>
        <v>0</v>
      </c>
      <c r="Q8" s="31">
        <f>IF(G8="","",IFERROR(INDEX(Checklists!$H$5:$H$404,MATCH(G8,Checklists!$F$5:$F$404,0)),""))</f>
        <v>0</v>
      </c>
      <c r="R8" s="31">
        <f>IF(OR(J8="",Q8=""),"",J8-Q8)</f>
        <v>0</v>
      </c>
      <c r="S8" s="50">
        <f>IF(B8="","",IF(H8="Done","Yes","No"))</f>
        <v>0</v>
      </c>
      <c r="T8" s="39">
        <f>IF(B8="","",IF(G8="","Add - what was the task?",IF(H8="Issue found",IF(M8="Yes","OK - issue reported","Action - tell the client"),IF(H8="Needs rework","Action - rework needed",IF(AND(H8="Skipped",P8="Yes"),"Check - required task skipped",IF(H8="Done","OK","Due"))))))</f>
        <v>0</v>
      </c>
    </row>
    <row r="9" spans="1:20">
      <c r="A9" s="43">
        <f>IF(B9="","","JT-"&amp;TEXT(ROW()-4,"0000"))</f>
        <v>0</v>
      </c>
      <c r="B9" s="49" t="s">
        <v>1182</v>
      </c>
      <c r="C9" s="18">
        <f>IF(B9="","",IFERROR(INDEX(Jobs!$B$5:$B$604,MATCH(B9,Jobs!$A$5:$A$604,0)),""))</f>
        <v>0</v>
      </c>
      <c r="D9" s="23">
        <f>IF(B9="","",IFERROR(INDEX(Jobs!$H$5:$H$604,MATCH(B9,Jobs!$A$5:$A$604,0)),""))</f>
        <v>0</v>
      </c>
      <c r="E9" s="23">
        <f>IF(B9="","",IFERROR(INDEX(Jobs!$K$5:$K$604,MATCH(B9,Jobs!$A$5:$A$604,0)),""))</f>
        <v>0</v>
      </c>
      <c r="F9" s="15" t="s">
        <v>1183</v>
      </c>
      <c r="G9" s="15" t="s">
        <v>1190</v>
      </c>
      <c r="H9" s="45" t="s">
        <v>1185</v>
      </c>
      <c r="I9" s="15" t="s">
        <v>584</v>
      </c>
      <c r="J9" s="16">
        <v>5</v>
      </c>
      <c r="K9" s="45" t="s">
        <v>1186</v>
      </c>
      <c r="L9" s="44" t="s">
        <v>172</v>
      </c>
      <c r="M9" s="47" t="s">
        <v>457</v>
      </c>
      <c r="N9" s="54" t="s">
        <v>172</v>
      </c>
      <c r="O9" s="44" t="s">
        <v>172</v>
      </c>
      <c r="P9" s="50">
        <f>IF(G9="","",IFERROR(INDEX(Checklists!$J$5:$J$404,MATCH(G9,Checklists!$F$5:$F$404,0)),"Yes"))</f>
        <v>0</v>
      </c>
      <c r="Q9" s="31">
        <f>IF(G9="","",IFERROR(INDEX(Checklists!$H$5:$H$404,MATCH(G9,Checklists!$F$5:$F$404,0)),""))</f>
        <v>0</v>
      </c>
      <c r="R9" s="31">
        <f>IF(OR(J9="",Q9=""),"",J9-Q9)</f>
        <v>0</v>
      </c>
      <c r="S9" s="50">
        <f>IF(B9="","",IF(H9="Done","Yes","No"))</f>
        <v>0</v>
      </c>
      <c r="T9" s="39">
        <f>IF(B9="","",IF(G9="","Add - what was the task?",IF(H9="Issue found",IF(M9="Yes","OK - issue reported","Action - tell the client"),IF(H9="Needs rework","Action - rework needed",IF(AND(H9="Skipped",P9="Yes"),"Check - required task skipped",IF(H9="Done","OK","Due"))))))</f>
        <v>0</v>
      </c>
    </row>
    <row r="10" spans="1:20">
      <c r="A10" s="43">
        <f>IF(B10="","","JT-"&amp;TEXT(ROW()-4,"0000"))</f>
        <v>0</v>
      </c>
      <c r="B10" s="49" t="s">
        <v>1182</v>
      </c>
      <c r="C10" s="18">
        <f>IF(B10="","",IFERROR(INDEX(Jobs!$B$5:$B$604,MATCH(B10,Jobs!$A$5:$A$604,0)),""))</f>
        <v>0</v>
      </c>
      <c r="D10" s="23">
        <f>IF(B10="","",IFERROR(INDEX(Jobs!$H$5:$H$604,MATCH(B10,Jobs!$A$5:$A$604,0)),""))</f>
        <v>0</v>
      </c>
      <c r="E10" s="23">
        <f>IF(B10="","",IFERROR(INDEX(Jobs!$K$5:$K$604,MATCH(B10,Jobs!$A$5:$A$604,0)),""))</f>
        <v>0</v>
      </c>
      <c r="F10" s="15" t="s">
        <v>1191</v>
      </c>
      <c r="G10" s="15" t="s">
        <v>1192</v>
      </c>
      <c r="H10" s="45" t="s">
        <v>1185</v>
      </c>
      <c r="I10" s="15" t="s">
        <v>584</v>
      </c>
      <c r="J10" s="16">
        <v>10</v>
      </c>
      <c r="K10" s="45" t="s">
        <v>1186</v>
      </c>
      <c r="L10" s="44" t="s">
        <v>172</v>
      </c>
      <c r="M10" s="47" t="s">
        <v>457</v>
      </c>
      <c r="N10" s="54" t="s">
        <v>172</v>
      </c>
      <c r="O10" s="44" t="s">
        <v>172</v>
      </c>
      <c r="P10" s="50">
        <f>IF(G10="","",IFERROR(INDEX(Checklists!$J$5:$J$404,MATCH(G10,Checklists!$F$5:$F$404,0)),"Yes"))</f>
        <v>0</v>
      </c>
      <c r="Q10" s="31">
        <f>IF(G10="","",IFERROR(INDEX(Checklists!$H$5:$H$404,MATCH(G10,Checklists!$F$5:$F$404,0)),""))</f>
        <v>0</v>
      </c>
      <c r="R10" s="31">
        <f>IF(OR(J10="",Q10=""),"",J10-Q10)</f>
        <v>0</v>
      </c>
      <c r="S10" s="50">
        <f>IF(B10="","",IF(H10="Done","Yes","No"))</f>
        <v>0</v>
      </c>
      <c r="T10" s="39">
        <f>IF(B10="","",IF(G10="","Add - what was the task?",IF(H10="Issue found",IF(M10="Yes","OK - issue reported","Action - tell the client"),IF(H10="Needs rework","Action - rework needed",IF(AND(H10="Skipped",P10="Yes"),"Check - required task skipped",IF(H10="Done","OK","Due"))))))</f>
        <v>0</v>
      </c>
    </row>
    <row r="11" spans="1:20">
      <c r="A11" s="43">
        <f>IF(B11="","","JT-"&amp;TEXT(ROW()-4,"0000"))</f>
        <v>0</v>
      </c>
      <c r="B11" s="49" t="s">
        <v>1182</v>
      </c>
      <c r="C11" s="18">
        <f>IF(B11="","",IFERROR(INDEX(Jobs!$B$5:$B$604,MATCH(B11,Jobs!$A$5:$A$604,0)),""))</f>
        <v>0</v>
      </c>
      <c r="D11" s="23">
        <f>IF(B11="","",IFERROR(INDEX(Jobs!$H$5:$H$604,MATCH(B11,Jobs!$A$5:$A$604,0)),""))</f>
        <v>0</v>
      </c>
      <c r="E11" s="23">
        <f>IF(B11="","",IFERROR(INDEX(Jobs!$K$5:$K$604,MATCH(B11,Jobs!$A$5:$A$604,0)),""))</f>
        <v>0</v>
      </c>
      <c r="F11" s="15" t="s">
        <v>1191</v>
      </c>
      <c r="G11" s="15" t="s">
        <v>1193</v>
      </c>
      <c r="H11" s="45" t="s">
        <v>1185</v>
      </c>
      <c r="I11" s="15" t="s">
        <v>584</v>
      </c>
      <c r="J11" s="16">
        <v>11</v>
      </c>
      <c r="K11" s="45" t="s">
        <v>1186</v>
      </c>
      <c r="L11" s="44" t="s">
        <v>172</v>
      </c>
      <c r="M11" s="47" t="s">
        <v>457</v>
      </c>
      <c r="N11" s="54" t="s">
        <v>172</v>
      </c>
      <c r="O11" s="44" t="s">
        <v>172</v>
      </c>
      <c r="P11" s="50">
        <f>IF(G11="","",IFERROR(INDEX(Checklists!$J$5:$J$404,MATCH(G11,Checklists!$F$5:$F$404,0)),"Yes"))</f>
        <v>0</v>
      </c>
      <c r="Q11" s="31">
        <f>IF(G11="","",IFERROR(INDEX(Checklists!$H$5:$H$404,MATCH(G11,Checklists!$F$5:$F$404,0)),""))</f>
        <v>0</v>
      </c>
      <c r="R11" s="31">
        <f>IF(OR(J11="",Q11=""),"",J11-Q11)</f>
        <v>0</v>
      </c>
      <c r="S11" s="50">
        <f>IF(B11="","",IF(H11="Done","Yes","No"))</f>
        <v>0</v>
      </c>
      <c r="T11" s="39">
        <f>IF(B11="","",IF(G11="","Add - what was the task?",IF(H11="Issue found",IF(M11="Yes","OK - issue reported","Action - tell the client"),IF(H11="Needs rework","Action - rework needed",IF(AND(H11="Skipped",P11="Yes"),"Check - required task skipped",IF(H11="Done","OK","Due"))))))</f>
        <v>0</v>
      </c>
    </row>
    <row r="12" spans="1:20">
      <c r="A12" s="43">
        <f>IF(B12="","","JT-"&amp;TEXT(ROW()-4,"0000"))</f>
        <v>0</v>
      </c>
      <c r="B12" s="49" t="s">
        <v>1182</v>
      </c>
      <c r="C12" s="18">
        <f>IF(B12="","",IFERROR(INDEX(Jobs!$B$5:$B$604,MATCH(B12,Jobs!$A$5:$A$604,0)),""))</f>
        <v>0</v>
      </c>
      <c r="D12" s="23">
        <f>IF(B12="","",IFERROR(INDEX(Jobs!$H$5:$H$604,MATCH(B12,Jobs!$A$5:$A$604,0)),""))</f>
        <v>0</v>
      </c>
      <c r="E12" s="23">
        <f>IF(B12="","",IFERROR(INDEX(Jobs!$K$5:$K$604,MATCH(B12,Jobs!$A$5:$A$604,0)),""))</f>
        <v>0</v>
      </c>
      <c r="F12" s="15" t="s">
        <v>1191</v>
      </c>
      <c r="G12" s="15" t="s">
        <v>1194</v>
      </c>
      <c r="H12" s="45" t="s">
        <v>1185</v>
      </c>
      <c r="I12" s="15" t="s">
        <v>584</v>
      </c>
      <c r="J12" s="16">
        <v>11</v>
      </c>
      <c r="K12" s="45" t="s">
        <v>1186</v>
      </c>
      <c r="L12" s="44" t="s">
        <v>172</v>
      </c>
      <c r="M12" s="47" t="s">
        <v>457</v>
      </c>
      <c r="N12" s="54" t="s">
        <v>172</v>
      </c>
      <c r="O12" s="44" t="s">
        <v>172</v>
      </c>
      <c r="P12" s="50">
        <f>IF(G12="","",IFERROR(INDEX(Checklists!$J$5:$J$404,MATCH(G12,Checklists!$F$5:$F$404,0)),"Yes"))</f>
        <v>0</v>
      </c>
      <c r="Q12" s="31">
        <f>IF(G12="","",IFERROR(INDEX(Checklists!$H$5:$H$404,MATCH(G12,Checklists!$F$5:$F$404,0)),""))</f>
        <v>0</v>
      </c>
      <c r="R12" s="31">
        <f>IF(OR(J12="",Q12=""),"",J12-Q12)</f>
        <v>0</v>
      </c>
      <c r="S12" s="50">
        <f>IF(B12="","",IF(H12="Done","Yes","No"))</f>
        <v>0</v>
      </c>
      <c r="T12" s="39">
        <f>IF(B12="","",IF(G12="","Add - what was the task?",IF(H12="Issue found",IF(M12="Yes","OK - issue reported","Action - tell the client"),IF(H12="Needs rework","Action - rework needed",IF(AND(H12="Skipped",P12="Yes"),"Check - required task skipped",IF(H12="Done","OK","Due"))))))</f>
        <v>0</v>
      </c>
    </row>
    <row r="13" spans="1:20">
      <c r="A13" s="43">
        <f>IF(B13="","","JT-"&amp;TEXT(ROW()-4,"0000"))</f>
        <v>0</v>
      </c>
      <c r="B13" s="49" t="s">
        <v>1182</v>
      </c>
      <c r="C13" s="18">
        <f>IF(B13="","",IFERROR(INDEX(Jobs!$B$5:$B$604,MATCH(B13,Jobs!$A$5:$A$604,0)),""))</f>
        <v>0</v>
      </c>
      <c r="D13" s="23">
        <f>IF(B13="","",IFERROR(INDEX(Jobs!$H$5:$H$604,MATCH(B13,Jobs!$A$5:$A$604,0)),""))</f>
        <v>0</v>
      </c>
      <c r="E13" s="23">
        <f>IF(B13="","",IFERROR(INDEX(Jobs!$K$5:$K$604,MATCH(B13,Jobs!$A$5:$A$604,0)),""))</f>
        <v>0</v>
      </c>
      <c r="F13" s="15" t="s">
        <v>1191</v>
      </c>
      <c r="G13" s="15" t="s">
        <v>1195</v>
      </c>
      <c r="H13" s="45" t="s">
        <v>1185</v>
      </c>
      <c r="I13" s="15" t="s">
        <v>584</v>
      </c>
      <c r="J13" s="16">
        <v>6</v>
      </c>
      <c r="K13" s="45" t="s">
        <v>1186</v>
      </c>
      <c r="L13" s="44" t="s">
        <v>172</v>
      </c>
      <c r="M13" s="47" t="s">
        <v>457</v>
      </c>
      <c r="N13" s="54" t="s">
        <v>172</v>
      </c>
      <c r="O13" s="44" t="s">
        <v>172</v>
      </c>
      <c r="P13" s="50">
        <f>IF(G13="","",IFERROR(INDEX(Checklists!$J$5:$J$404,MATCH(G13,Checklists!$F$5:$F$404,0)),"Yes"))</f>
        <v>0</v>
      </c>
      <c r="Q13" s="31">
        <f>IF(G13="","",IFERROR(INDEX(Checklists!$H$5:$H$404,MATCH(G13,Checklists!$F$5:$F$404,0)),""))</f>
        <v>0</v>
      </c>
      <c r="R13" s="31">
        <f>IF(OR(J13="",Q13=""),"",J13-Q13)</f>
        <v>0</v>
      </c>
      <c r="S13" s="50">
        <f>IF(B13="","",IF(H13="Done","Yes","No"))</f>
        <v>0</v>
      </c>
      <c r="T13" s="39">
        <f>IF(B13="","",IF(G13="","Add - what was the task?",IF(H13="Issue found",IF(M13="Yes","OK - issue reported","Action - tell the client"),IF(H13="Needs rework","Action - rework needed",IF(AND(H13="Skipped",P13="Yes"),"Check - required task skipped",IF(H13="Done","OK","Due"))))))</f>
        <v>0</v>
      </c>
    </row>
    <row r="14" spans="1:20">
      <c r="A14" s="43">
        <f>IF(B14="","","JT-"&amp;TEXT(ROW()-4,"0000"))</f>
        <v>0</v>
      </c>
      <c r="B14" s="49" t="s">
        <v>1182</v>
      </c>
      <c r="C14" s="18">
        <f>IF(B14="","",IFERROR(INDEX(Jobs!$B$5:$B$604,MATCH(B14,Jobs!$A$5:$A$604,0)),""))</f>
        <v>0</v>
      </c>
      <c r="D14" s="23">
        <f>IF(B14="","",IFERROR(INDEX(Jobs!$H$5:$H$604,MATCH(B14,Jobs!$A$5:$A$604,0)),""))</f>
        <v>0</v>
      </c>
      <c r="E14" s="23">
        <f>IF(B14="","",IFERROR(INDEX(Jobs!$K$5:$K$604,MATCH(B14,Jobs!$A$5:$A$604,0)),""))</f>
        <v>0</v>
      </c>
      <c r="F14" s="15" t="s">
        <v>1196</v>
      </c>
      <c r="G14" s="15" t="s">
        <v>1197</v>
      </c>
      <c r="H14" s="45" t="s">
        <v>1185</v>
      </c>
      <c r="I14" s="15" t="s">
        <v>584</v>
      </c>
      <c r="J14" s="16">
        <v>8</v>
      </c>
      <c r="K14" s="45" t="s">
        <v>1186</v>
      </c>
      <c r="L14" s="44" t="s">
        <v>172</v>
      </c>
      <c r="M14" s="47" t="s">
        <v>457</v>
      </c>
      <c r="N14" s="54" t="s">
        <v>172</v>
      </c>
      <c r="O14" s="44" t="s">
        <v>172</v>
      </c>
      <c r="P14" s="50">
        <f>IF(G14="","",IFERROR(INDEX(Checklists!$J$5:$J$404,MATCH(G14,Checklists!$F$5:$F$404,0)),"Yes"))</f>
        <v>0</v>
      </c>
      <c r="Q14" s="31">
        <f>IF(G14="","",IFERROR(INDEX(Checklists!$H$5:$H$404,MATCH(G14,Checklists!$F$5:$F$404,0)),""))</f>
        <v>0</v>
      </c>
      <c r="R14" s="31">
        <f>IF(OR(J14="",Q14=""),"",J14-Q14)</f>
        <v>0</v>
      </c>
      <c r="S14" s="50">
        <f>IF(B14="","",IF(H14="Done","Yes","No"))</f>
        <v>0</v>
      </c>
      <c r="T14" s="39">
        <f>IF(B14="","",IF(G14="","Add - what was the task?",IF(H14="Issue found",IF(M14="Yes","OK - issue reported","Action - tell the client"),IF(H14="Needs rework","Action - rework needed",IF(AND(H14="Skipped",P14="Yes"),"Check - required task skipped",IF(H14="Done","OK","Due"))))))</f>
        <v>0</v>
      </c>
    </row>
    <row r="15" spans="1:20">
      <c r="A15" s="43">
        <f>IF(B15="","","JT-"&amp;TEXT(ROW()-4,"0000"))</f>
        <v>0</v>
      </c>
      <c r="B15" s="49" t="s">
        <v>1182</v>
      </c>
      <c r="C15" s="18">
        <f>IF(B15="","",IFERROR(INDEX(Jobs!$B$5:$B$604,MATCH(B15,Jobs!$A$5:$A$604,0)),""))</f>
        <v>0</v>
      </c>
      <c r="D15" s="23">
        <f>IF(B15="","",IFERROR(INDEX(Jobs!$H$5:$H$604,MATCH(B15,Jobs!$A$5:$A$604,0)),""))</f>
        <v>0</v>
      </c>
      <c r="E15" s="23">
        <f>IF(B15="","",IFERROR(INDEX(Jobs!$K$5:$K$604,MATCH(B15,Jobs!$A$5:$A$604,0)),""))</f>
        <v>0</v>
      </c>
      <c r="F15" s="15" t="s">
        <v>1196</v>
      </c>
      <c r="G15" s="15" t="s">
        <v>1198</v>
      </c>
      <c r="H15" s="45" t="s">
        <v>1185</v>
      </c>
      <c r="I15" s="15" t="s">
        <v>584</v>
      </c>
      <c r="J15" s="16">
        <v>8</v>
      </c>
      <c r="K15" s="45" t="s">
        <v>1186</v>
      </c>
      <c r="L15" s="44" t="s">
        <v>172</v>
      </c>
      <c r="M15" s="47" t="s">
        <v>457</v>
      </c>
      <c r="N15" s="54" t="s">
        <v>172</v>
      </c>
      <c r="O15" s="44" t="s">
        <v>172</v>
      </c>
      <c r="P15" s="50">
        <f>IF(G15="","",IFERROR(INDEX(Checklists!$J$5:$J$404,MATCH(G15,Checklists!$F$5:$F$404,0)),"Yes"))</f>
        <v>0</v>
      </c>
      <c r="Q15" s="31">
        <f>IF(G15="","",IFERROR(INDEX(Checklists!$H$5:$H$404,MATCH(G15,Checklists!$F$5:$F$404,0)),""))</f>
        <v>0</v>
      </c>
      <c r="R15" s="31">
        <f>IF(OR(J15="",Q15=""),"",J15-Q15)</f>
        <v>0</v>
      </c>
      <c r="S15" s="50">
        <f>IF(B15="","",IF(H15="Done","Yes","No"))</f>
        <v>0</v>
      </c>
      <c r="T15" s="39">
        <f>IF(B15="","",IF(G15="","Add - what was the task?",IF(H15="Issue found",IF(M15="Yes","OK - issue reported","Action - tell the client"),IF(H15="Needs rework","Action - rework needed",IF(AND(H15="Skipped",P15="Yes"),"Check - required task skipped",IF(H15="Done","OK","Due"))))))</f>
        <v>0</v>
      </c>
    </row>
    <row r="16" spans="1:20">
      <c r="A16" s="43">
        <f>IF(B16="","","JT-"&amp;TEXT(ROW()-4,"0000"))</f>
        <v>0</v>
      </c>
      <c r="B16" s="49" t="s">
        <v>1182</v>
      </c>
      <c r="C16" s="18">
        <f>IF(B16="","",IFERROR(INDEX(Jobs!$B$5:$B$604,MATCH(B16,Jobs!$A$5:$A$604,0)),""))</f>
        <v>0</v>
      </c>
      <c r="D16" s="23">
        <f>IF(B16="","",IFERROR(INDEX(Jobs!$H$5:$H$604,MATCH(B16,Jobs!$A$5:$A$604,0)),""))</f>
        <v>0</v>
      </c>
      <c r="E16" s="23">
        <f>IF(B16="","",IFERROR(INDEX(Jobs!$K$5:$K$604,MATCH(B16,Jobs!$A$5:$A$604,0)),""))</f>
        <v>0</v>
      </c>
      <c r="F16" s="15" t="s">
        <v>1199</v>
      </c>
      <c r="G16" s="15" t="s">
        <v>1200</v>
      </c>
      <c r="H16" s="45" t="s">
        <v>1185</v>
      </c>
      <c r="I16" s="15" t="s">
        <v>584</v>
      </c>
      <c r="J16" s="16">
        <v>12</v>
      </c>
      <c r="K16" s="45" t="s">
        <v>1186</v>
      </c>
      <c r="L16" s="44" t="s">
        <v>172</v>
      </c>
      <c r="M16" s="47" t="s">
        <v>457</v>
      </c>
      <c r="N16" s="54" t="s">
        <v>172</v>
      </c>
      <c r="O16" s="44" t="s">
        <v>172</v>
      </c>
      <c r="P16" s="50">
        <f>IF(G16="","",IFERROR(INDEX(Checklists!$J$5:$J$404,MATCH(G16,Checklists!$F$5:$F$404,0)),"Yes"))</f>
        <v>0</v>
      </c>
      <c r="Q16" s="31">
        <f>IF(G16="","",IFERROR(INDEX(Checklists!$H$5:$H$404,MATCH(G16,Checklists!$F$5:$F$404,0)),""))</f>
        <v>0</v>
      </c>
      <c r="R16" s="31">
        <f>IF(OR(J16="",Q16=""),"",J16-Q16)</f>
        <v>0</v>
      </c>
      <c r="S16" s="50">
        <f>IF(B16="","",IF(H16="Done","Yes","No"))</f>
        <v>0</v>
      </c>
      <c r="T16" s="39">
        <f>IF(B16="","",IF(G16="","Add - what was the task?",IF(H16="Issue found",IF(M16="Yes","OK - issue reported","Action - tell the client"),IF(H16="Needs rework","Action - rework needed",IF(AND(H16="Skipped",P16="Yes"),"Check - required task skipped",IF(H16="Done","OK","Due"))))))</f>
        <v>0</v>
      </c>
    </row>
    <row r="17" spans="1:20">
      <c r="A17" s="43">
        <f>IF(B17="","","JT-"&amp;TEXT(ROW()-4,"0000"))</f>
        <v>0</v>
      </c>
      <c r="B17" s="49" t="s">
        <v>1182</v>
      </c>
      <c r="C17" s="18">
        <f>IF(B17="","",IFERROR(INDEX(Jobs!$B$5:$B$604,MATCH(B17,Jobs!$A$5:$A$604,0)),""))</f>
        <v>0</v>
      </c>
      <c r="D17" s="23">
        <f>IF(B17="","",IFERROR(INDEX(Jobs!$H$5:$H$604,MATCH(B17,Jobs!$A$5:$A$604,0)),""))</f>
        <v>0</v>
      </c>
      <c r="E17" s="23">
        <f>IF(B17="","",IFERROR(INDEX(Jobs!$K$5:$K$604,MATCH(B17,Jobs!$A$5:$A$604,0)),""))</f>
        <v>0</v>
      </c>
      <c r="F17" s="15" t="s">
        <v>1199</v>
      </c>
      <c r="G17" s="15" t="s">
        <v>1201</v>
      </c>
      <c r="H17" s="45" t="s">
        <v>1185</v>
      </c>
      <c r="I17" s="15" t="s">
        <v>584</v>
      </c>
      <c r="J17" s="16">
        <v>12</v>
      </c>
      <c r="K17" s="45" t="s">
        <v>1186</v>
      </c>
      <c r="L17" s="44" t="s">
        <v>172</v>
      </c>
      <c r="M17" s="47" t="s">
        <v>457</v>
      </c>
      <c r="N17" s="54" t="s">
        <v>172</v>
      </c>
      <c r="O17" s="44" t="s">
        <v>172</v>
      </c>
      <c r="P17" s="50">
        <f>IF(G17="","",IFERROR(INDEX(Checklists!$J$5:$J$404,MATCH(G17,Checklists!$F$5:$F$404,0)),"Yes"))</f>
        <v>0</v>
      </c>
      <c r="Q17" s="31">
        <f>IF(G17="","",IFERROR(INDEX(Checklists!$H$5:$H$404,MATCH(G17,Checklists!$F$5:$F$404,0)),""))</f>
        <v>0</v>
      </c>
      <c r="R17" s="31">
        <f>IF(OR(J17="",Q17=""),"",J17-Q17)</f>
        <v>0</v>
      </c>
      <c r="S17" s="50">
        <f>IF(B17="","",IF(H17="Done","Yes","No"))</f>
        <v>0</v>
      </c>
      <c r="T17" s="39">
        <f>IF(B17="","",IF(G17="","Add - what was the task?",IF(H17="Issue found",IF(M17="Yes","OK - issue reported","Action - tell the client"),IF(H17="Needs rework","Action - rework needed",IF(AND(H17="Skipped",P17="Yes"),"Check - required task skipped",IF(H17="Done","OK","Due"))))))</f>
        <v>0</v>
      </c>
    </row>
    <row r="18" spans="1:20">
      <c r="A18" s="43">
        <f>IF(B18="","","JT-"&amp;TEXT(ROW()-4,"0000"))</f>
        <v>0</v>
      </c>
      <c r="B18" s="49" t="s">
        <v>1182</v>
      </c>
      <c r="C18" s="18">
        <f>IF(B18="","",IFERROR(INDEX(Jobs!$B$5:$B$604,MATCH(B18,Jobs!$A$5:$A$604,0)),""))</f>
        <v>0</v>
      </c>
      <c r="D18" s="23">
        <f>IF(B18="","",IFERROR(INDEX(Jobs!$H$5:$H$604,MATCH(B18,Jobs!$A$5:$A$604,0)),""))</f>
        <v>0</v>
      </c>
      <c r="E18" s="23">
        <f>IF(B18="","",IFERROR(INDEX(Jobs!$K$5:$K$604,MATCH(B18,Jobs!$A$5:$A$604,0)),""))</f>
        <v>0</v>
      </c>
      <c r="F18" s="15" t="s">
        <v>1202</v>
      </c>
      <c r="G18" s="15" t="s">
        <v>1203</v>
      </c>
      <c r="H18" s="45" t="s">
        <v>1185</v>
      </c>
      <c r="I18" s="15" t="s">
        <v>584</v>
      </c>
      <c r="J18" s="16">
        <v>13</v>
      </c>
      <c r="K18" s="45" t="s">
        <v>1186</v>
      </c>
      <c r="L18" s="44" t="s">
        <v>172</v>
      </c>
      <c r="M18" s="47" t="s">
        <v>457</v>
      </c>
      <c r="N18" s="54" t="s">
        <v>172</v>
      </c>
      <c r="O18" s="44" t="s">
        <v>172</v>
      </c>
      <c r="P18" s="50">
        <f>IF(G18="","",IFERROR(INDEX(Checklists!$J$5:$J$404,MATCH(G18,Checklists!$F$5:$F$404,0)),"Yes"))</f>
        <v>0</v>
      </c>
      <c r="Q18" s="31">
        <f>IF(G18="","",IFERROR(INDEX(Checklists!$H$5:$H$404,MATCH(G18,Checklists!$F$5:$F$404,0)),""))</f>
        <v>0</v>
      </c>
      <c r="R18" s="31">
        <f>IF(OR(J18="",Q18=""),"",J18-Q18)</f>
        <v>0</v>
      </c>
      <c r="S18" s="50">
        <f>IF(B18="","",IF(H18="Done","Yes","No"))</f>
        <v>0</v>
      </c>
      <c r="T18" s="39">
        <f>IF(B18="","",IF(G18="","Add - what was the task?",IF(H18="Issue found",IF(M18="Yes","OK - issue reported","Action - tell the client"),IF(H18="Needs rework","Action - rework needed",IF(AND(H18="Skipped",P18="Yes"),"Check - required task skipped",IF(H18="Done","OK","Due"))))))</f>
        <v>0</v>
      </c>
    </row>
    <row r="19" spans="1:20">
      <c r="A19" s="43">
        <f>IF(B19="","","JT-"&amp;TEXT(ROW()-4,"0000"))</f>
        <v>0</v>
      </c>
      <c r="B19" s="49" t="s">
        <v>1182</v>
      </c>
      <c r="C19" s="18">
        <f>IF(B19="","",IFERROR(INDEX(Jobs!$B$5:$B$604,MATCH(B19,Jobs!$A$5:$A$604,0)),""))</f>
        <v>0</v>
      </c>
      <c r="D19" s="23">
        <f>IF(B19="","",IFERROR(INDEX(Jobs!$H$5:$H$604,MATCH(B19,Jobs!$A$5:$A$604,0)),""))</f>
        <v>0</v>
      </c>
      <c r="E19" s="23">
        <f>IF(B19="","",IFERROR(INDEX(Jobs!$K$5:$K$604,MATCH(B19,Jobs!$A$5:$A$604,0)),""))</f>
        <v>0</v>
      </c>
      <c r="F19" s="15" t="s">
        <v>1204</v>
      </c>
      <c r="G19" s="15" t="s">
        <v>1205</v>
      </c>
      <c r="H19" s="45" t="s">
        <v>1185</v>
      </c>
      <c r="I19" s="15" t="s">
        <v>584</v>
      </c>
      <c r="J19" s="16">
        <v>9</v>
      </c>
      <c r="K19" s="45" t="s">
        <v>1186</v>
      </c>
      <c r="L19" s="44" t="s">
        <v>172</v>
      </c>
      <c r="M19" s="47" t="s">
        <v>457</v>
      </c>
      <c r="N19" s="54" t="s">
        <v>172</v>
      </c>
      <c r="O19" s="44" t="s">
        <v>172</v>
      </c>
      <c r="P19" s="50">
        <f>IF(G19="","",IFERROR(INDEX(Checklists!$J$5:$J$404,MATCH(G19,Checklists!$F$5:$F$404,0)),"Yes"))</f>
        <v>0</v>
      </c>
      <c r="Q19" s="31">
        <f>IF(G19="","",IFERROR(INDEX(Checklists!$H$5:$H$404,MATCH(G19,Checklists!$F$5:$F$404,0)),""))</f>
        <v>0</v>
      </c>
      <c r="R19" s="31">
        <f>IF(OR(J19="",Q19=""),"",J19-Q19)</f>
        <v>0</v>
      </c>
      <c r="S19" s="50">
        <f>IF(B19="","",IF(H19="Done","Yes","No"))</f>
        <v>0</v>
      </c>
      <c r="T19" s="39">
        <f>IF(B19="","",IF(G19="","Add - what was the task?",IF(H19="Issue found",IF(M19="Yes","OK - issue reported","Action - tell the client"),IF(H19="Needs rework","Action - rework needed",IF(AND(H19="Skipped",P19="Yes"),"Check - required task skipped",IF(H19="Done","OK","Due"))))))</f>
        <v>0</v>
      </c>
    </row>
    <row r="20" spans="1:20">
      <c r="A20" s="43">
        <f>IF(B20="","","JT-"&amp;TEXT(ROW()-4,"0000"))</f>
        <v>0</v>
      </c>
      <c r="B20" s="49" t="s">
        <v>1182</v>
      </c>
      <c r="C20" s="18">
        <f>IF(B20="","",IFERROR(INDEX(Jobs!$B$5:$B$604,MATCH(B20,Jobs!$A$5:$A$604,0)),""))</f>
        <v>0</v>
      </c>
      <c r="D20" s="23">
        <f>IF(B20="","",IFERROR(INDEX(Jobs!$H$5:$H$604,MATCH(B20,Jobs!$A$5:$A$604,0)),""))</f>
        <v>0</v>
      </c>
      <c r="E20" s="23">
        <f>IF(B20="","",IFERROR(INDEX(Jobs!$K$5:$K$604,MATCH(B20,Jobs!$A$5:$A$604,0)),""))</f>
        <v>0</v>
      </c>
      <c r="F20" s="15" t="s">
        <v>1204</v>
      </c>
      <c r="G20" s="15" t="s">
        <v>1206</v>
      </c>
      <c r="H20" s="45" t="s">
        <v>1185</v>
      </c>
      <c r="I20" s="15" t="s">
        <v>584</v>
      </c>
      <c r="J20" s="16">
        <v>5</v>
      </c>
      <c r="K20" s="45" t="s">
        <v>1186</v>
      </c>
      <c r="L20" s="44" t="s">
        <v>172</v>
      </c>
      <c r="M20" s="47" t="s">
        <v>457</v>
      </c>
      <c r="N20" s="54" t="s">
        <v>172</v>
      </c>
      <c r="O20" s="44" t="s">
        <v>172</v>
      </c>
      <c r="P20" s="50">
        <f>IF(G20="","",IFERROR(INDEX(Checklists!$J$5:$J$404,MATCH(G20,Checklists!$F$5:$F$404,0)),"Yes"))</f>
        <v>0</v>
      </c>
      <c r="Q20" s="31">
        <f>IF(G20="","",IFERROR(INDEX(Checklists!$H$5:$H$404,MATCH(G20,Checklists!$F$5:$F$404,0)),""))</f>
        <v>0</v>
      </c>
      <c r="R20" s="31">
        <f>IF(OR(J20="",Q20=""),"",J20-Q20)</f>
        <v>0</v>
      </c>
      <c r="S20" s="50">
        <f>IF(B20="","",IF(H20="Done","Yes","No"))</f>
        <v>0</v>
      </c>
      <c r="T20" s="39">
        <f>IF(B20="","",IF(G20="","Add - what was the task?",IF(H20="Issue found",IF(M20="Yes","OK - issue reported","Action - tell the client"),IF(H20="Needs rework","Action - rework needed",IF(AND(H20="Skipped",P20="Yes"),"Check - required task skipped",IF(H20="Done","OK","Due"))))))</f>
        <v>0</v>
      </c>
    </row>
    <row r="21" spans="1:20">
      <c r="A21" s="43">
        <f>IF(B21="","","JT-"&amp;TEXT(ROW()-4,"0000"))</f>
        <v>0</v>
      </c>
      <c r="B21" s="49" t="s">
        <v>1207</v>
      </c>
      <c r="C21" s="18">
        <f>IF(B21="","",IFERROR(INDEX(Jobs!$B$5:$B$604,MATCH(B21,Jobs!$A$5:$A$604,0)),""))</f>
        <v>0</v>
      </c>
      <c r="D21" s="23">
        <f>IF(B21="","",IFERROR(INDEX(Jobs!$H$5:$H$604,MATCH(B21,Jobs!$A$5:$A$604,0)),""))</f>
        <v>0</v>
      </c>
      <c r="E21" s="23">
        <f>IF(B21="","",IFERROR(INDEX(Jobs!$K$5:$K$604,MATCH(B21,Jobs!$A$5:$A$604,0)),""))</f>
        <v>0</v>
      </c>
      <c r="F21" s="15" t="s">
        <v>1208</v>
      </c>
      <c r="G21" s="15" t="s">
        <v>1209</v>
      </c>
      <c r="H21" s="45" t="s">
        <v>1185</v>
      </c>
      <c r="I21" s="15" t="s">
        <v>664</v>
      </c>
      <c r="J21" s="16">
        <v>8</v>
      </c>
      <c r="K21" s="45" t="s">
        <v>1210</v>
      </c>
      <c r="L21" s="44" t="s">
        <v>172</v>
      </c>
      <c r="M21" s="47" t="s">
        <v>457</v>
      </c>
      <c r="N21" s="54" t="s">
        <v>172</v>
      </c>
      <c r="O21" s="44" t="s">
        <v>172</v>
      </c>
      <c r="P21" s="50">
        <f>IF(G21="","",IFERROR(INDEX(Checklists!$J$5:$J$404,MATCH(G21,Checklists!$F$5:$F$404,0)),"Yes"))</f>
        <v>0</v>
      </c>
      <c r="Q21" s="31">
        <f>IF(G21="","",IFERROR(INDEX(Checklists!$H$5:$H$404,MATCH(G21,Checklists!$F$5:$F$404,0)),""))</f>
        <v>0</v>
      </c>
      <c r="R21" s="31">
        <f>IF(OR(J21="",Q21=""),"",J21-Q21)</f>
        <v>0</v>
      </c>
      <c r="S21" s="50">
        <f>IF(B21="","",IF(H21="Done","Yes","No"))</f>
        <v>0</v>
      </c>
      <c r="T21" s="39">
        <f>IF(B21="","",IF(G21="","Add - what was the task?",IF(H21="Issue found",IF(M21="Yes","OK - issue reported","Action - tell the client"),IF(H21="Needs rework","Action - rework needed",IF(AND(H21="Skipped",P21="Yes"),"Check - required task skipped",IF(H21="Done","OK","Due"))))))</f>
        <v>0</v>
      </c>
    </row>
    <row r="22" spans="1:20">
      <c r="A22" s="43">
        <f>IF(B22="","","JT-"&amp;TEXT(ROW()-4,"0000"))</f>
        <v>0</v>
      </c>
      <c r="B22" s="49" t="s">
        <v>1207</v>
      </c>
      <c r="C22" s="18">
        <f>IF(B22="","",IFERROR(INDEX(Jobs!$B$5:$B$604,MATCH(B22,Jobs!$A$5:$A$604,0)),""))</f>
        <v>0</v>
      </c>
      <c r="D22" s="23">
        <f>IF(B22="","",IFERROR(INDEX(Jobs!$H$5:$H$604,MATCH(B22,Jobs!$A$5:$A$604,0)),""))</f>
        <v>0</v>
      </c>
      <c r="E22" s="23">
        <f>IF(B22="","",IFERROR(INDEX(Jobs!$K$5:$K$604,MATCH(B22,Jobs!$A$5:$A$604,0)),""))</f>
        <v>0</v>
      </c>
      <c r="F22" s="15" t="s">
        <v>1211</v>
      </c>
      <c r="G22" s="15" t="s">
        <v>1212</v>
      </c>
      <c r="H22" s="45" t="s">
        <v>1185</v>
      </c>
      <c r="I22" s="15" t="s">
        <v>664</v>
      </c>
      <c r="J22" s="16">
        <v>10</v>
      </c>
      <c r="K22" s="45" t="s">
        <v>1210</v>
      </c>
      <c r="L22" s="44" t="s">
        <v>172</v>
      </c>
      <c r="M22" s="47" t="s">
        <v>457</v>
      </c>
      <c r="N22" s="54" t="s">
        <v>172</v>
      </c>
      <c r="O22" s="44" t="s">
        <v>172</v>
      </c>
      <c r="P22" s="50">
        <f>IF(G22="","",IFERROR(INDEX(Checklists!$J$5:$J$404,MATCH(G22,Checklists!$F$5:$F$404,0)),"Yes"))</f>
        <v>0</v>
      </c>
      <c r="Q22" s="31">
        <f>IF(G22="","",IFERROR(INDEX(Checklists!$H$5:$H$404,MATCH(G22,Checklists!$F$5:$F$404,0)),""))</f>
        <v>0</v>
      </c>
      <c r="R22" s="31">
        <f>IF(OR(J22="",Q22=""),"",J22-Q22)</f>
        <v>0</v>
      </c>
      <c r="S22" s="50">
        <f>IF(B22="","",IF(H22="Done","Yes","No"))</f>
        <v>0</v>
      </c>
      <c r="T22" s="39">
        <f>IF(B22="","",IF(G22="","Add - what was the task?",IF(H22="Issue found",IF(M22="Yes","OK - issue reported","Action - tell the client"),IF(H22="Needs rework","Action - rework needed",IF(AND(H22="Skipped",P22="Yes"),"Check - required task skipped",IF(H22="Done","OK","Due"))))))</f>
        <v>0</v>
      </c>
    </row>
    <row r="23" spans="1:20">
      <c r="A23" s="43">
        <f>IF(B23="","","JT-"&amp;TEXT(ROW()-4,"0000"))</f>
        <v>0</v>
      </c>
      <c r="B23" s="49" t="s">
        <v>1207</v>
      </c>
      <c r="C23" s="18">
        <f>IF(B23="","",IFERROR(INDEX(Jobs!$B$5:$B$604,MATCH(B23,Jobs!$A$5:$A$604,0)),""))</f>
        <v>0</v>
      </c>
      <c r="D23" s="23">
        <f>IF(B23="","",IFERROR(INDEX(Jobs!$H$5:$H$604,MATCH(B23,Jobs!$A$5:$A$604,0)),""))</f>
        <v>0</v>
      </c>
      <c r="E23" s="23">
        <f>IF(B23="","",IFERROR(INDEX(Jobs!$K$5:$K$604,MATCH(B23,Jobs!$A$5:$A$604,0)),""))</f>
        <v>0</v>
      </c>
      <c r="F23" s="15" t="s">
        <v>1211</v>
      </c>
      <c r="G23" s="15" t="s">
        <v>1213</v>
      </c>
      <c r="H23" s="45" t="s">
        <v>1185</v>
      </c>
      <c r="I23" s="15" t="s">
        <v>664</v>
      </c>
      <c r="J23" s="16">
        <v>12</v>
      </c>
      <c r="K23" s="45" t="s">
        <v>1210</v>
      </c>
      <c r="L23" s="44" t="s">
        <v>172</v>
      </c>
      <c r="M23" s="47" t="s">
        <v>457</v>
      </c>
      <c r="N23" s="54" t="s">
        <v>172</v>
      </c>
      <c r="O23" s="44" t="s">
        <v>172</v>
      </c>
      <c r="P23" s="50">
        <f>IF(G23="","",IFERROR(INDEX(Checklists!$J$5:$J$404,MATCH(G23,Checklists!$F$5:$F$404,0)),"Yes"))</f>
        <v>0</v>
      </c>
      <c r="Q23" s="31">
        <f>IF(G23="","",IFERROR(INDEX(Checklists!$H$5:$H$404,MATCH(G23,Checklists!$F$5:$F$404,0)),""))</f>
        <v>0</v>
      </c>
      <c r="R23" s="31">
        <f>IF(OR(J23="",Q23=""),"",J23-Q23)</f>
        <v>0</v>
      </c>
      <c r="S23" s="50">
        <f>IF(B23="","",IF(H23="Done","Yes","No"))</f>
        <v>0</v>
      </c>
      <c r="T23" s="39">
        <f>IF(B23="","",IF(G23="","Add - what was the task?",IF(H23="Issue found",IF(M23="Yes","OK - issue reported","Action - tell the client"),IF(H23="Needs rework","Action - rework needed",IF(AND(H23="Skipped",P23="Yes"),"Check - required task skipped",IF(H23="Done","OK","Due"))))))</f>
        <v>0</v>
      </c>
    </row>
    <row r="24" spans="1:20">
      <c r="A24" s="43">
        <f>IF(B24="","","JT-"&amp;TEXT(ROW()-4,"0000"))</f>
        <v>0</v>
      </c>
      <c r="B24" s="49" t="s">
        <v>1207</v>
      </c>
      <c r="C24" s="18">
        <f>IF(B24="","",IFERROR(INDEX(Jobs!$B$5:$B$604,MATCH(B24,Jobs!$A$5:$A$604,0)),""))</f>
        <v>0</v>
      </c>
      <c r="D24" s="23">
        <f>IF(B24="","",IFERROR(INDEX(Jobs!$H$5:$H$604,MATCH(B24,Jobs!$A$5:$A$604,0)),""))</f>
        <v>0</v>
      </c>
      <c r="E24" s="23">
        <f>IF(B24="","",IFERROR(INDEX(Jobs!$K$5:$K$604,MATCH(B24,Jobs!$A$5:$A$604,0)),""))</f>
        <v>0</v>
      </c>
      <c r="F24" s="15" t="s">
        <v>1211</v>
      </c>
      <c r="G24" s="15" t="s">
        <v>1214</v>
      </c>
      <c r="H24" s="45" t="s">
        <v>1185</v>
      </c>
      <c r="I24" s="15" t="s">
        <v>664</v>
      </c>
      <c r="J24" s="16">
        <v>15</v>
      </c>
      <c r="K24" s="45" t="s">
        <v>1210</v>
      </c>
      <c r="L24" s="44" t="s">
        <v>172</v>
      </c>
      <c r="M24" s="47" t="s">
        <v>457</v>
      </c>
      <c r="N24" s="54" t="s">
        <v>172</v>
      </c>
      <c r="O24" s="44" t="s">
        <v>172</v>
      </c>
      <c r="P24" s="50">
        <f>IF(G24="","",IFERROR(INDEX(Checklists!$J$5:$J$404,MATCH(G24,Checklists!$F$5:$F$404,0)),"Yes"))</f>
        <v>0</v>
      </c>
      <c r="Q24" s="31">
        <f>IF(G24="","",IFERROR(INDEX(Checklists!$H$5:$H$404,MATCH(G24,Checklists!$F$5:$F$404,0)),""))</f>
        <v>0</v>
      </c>
      <c r="R24" s="31">
        <f>IF(OR(J24="",Q24=""),"",J24-Q24)</f>
        <v>0</v>
      </c>
      <c r="S24" s="50">
        <f>IF(B24="","",IF(H24="Done","Yes","No"))</f>
        <v>0</v>
      </c>
      <c r="T24" s="39">
        <f>IF(B24="","",IF(G24="","Add - what was the task?",IF(H24="Issue found",IF(M24="Yes","OK - issue reported","Action - tell the client"),IF(H24="Needs rework","Action - rework needed",IF(AND(H24="Skipped",P24="Yes"),"Check - required task skipped",IF(H24="Done","OK","Due"))))))</f>
        <v>0</v>
      </c>
    </row>
    <row r="25" spans="1:20">
      <c r="A25" s="43">
        <f>IF(B25="","","JT-"&amp;TEXT(ROW()-4,"0000"))</f>
        <v>0</v>
      </c>
      <c r="B25" s="49" t="s">
        <v>1207</v>
      </c>
      <c r="C25" s="18">
        <f>IF(B25="","",IFERROR(INDEX(Jobs!$B$5:$B$604,MATCH(B25,Jobs!$A$5:$A$604,0)),""))</f>
        <v>0</v>
      </c>
      <c r="D25" s="23">
        <f>IF(B25="","",IFERROR(INDEX(Jobs!$H$5:$H$604,MATCH(B25,Jobs!$A$5:$A$604,0)),""))</f>
        <v>0</v>
      </c>
      <c r="E25" s="23">
        <f>IF(B25="","",IFERROR(INDEX(Jobs!$K$5:$K$604,MATCH(B25,Jobs!$A$5:$A$604,0)),""))</f>
        <v>0</v>
      </c>
      <c r="F25" s="15" t="s">
        <v>1215</v>
      </c>
      <c r="G25" s="15" t="s">
        <v>1216</v>
      </c>
      <c r="H25" s="45" t="s">
        <v>1185</v>
      </c>
      <c r="I25" s="15" t="s">
        <v>664</v>
      </c>
      <c r="J25" s="16">
        <v>10</v>
      </c>
      <c r="K25" s="45" t="s">
        <v>1210</v>
      </c>
      <c r="L25" s="44" t="s">
        <v>172</v>
      </c>
      <c r="M25" s="47" t="s">
        <v>457</v>
      </c>
      <c r="N25" s="54" t="s">
        <v>172</v>
      </c>
      <c r="O25" s="44" t="s">
        <v>172</v>
      </c>
      <c r="P25" s="50">
        <f>IF(G25="","",IFERROR(INDEX(Checklists!$J$5:$J$404,MATCH(G25,Checklists!$F$5:$F$404,0)),"Yes"))</f>
        <v>0</v>
      </c>
      <c r="Q25" s="31">
        <f>IF(G25="","",IFERROR(INDEX(Checklists!$H$5:$H$404,MATCH(G25,Checklists!$F$5:$F$404,0)),""))</f>
        <v>0</v>
      </c>
      <c r="R25" s="31">
        <f>IF(OR(J25="",Q25=""),"",J25-Q25)</f>
        <v>0</v>
      </c>
      <c r="S25" s="50">
        <f>IF(B25="","",IF(H25="Done","Yes","No"))</f>
        <v>0</v>
      </c>
      <c r="T25" s="39">
        <f>IF(B25="","",IF(G25="","Add - what was the task?",IF(H25="Issue found",IF(M25="Yes","OK - issue reported","Action - tell the client"),IF(H25="Needs rework","Action - rework needed",IF(AND(H25="Skipped",P25="Yes"),"Check - required task skipped",IF(H25="Done","OK","Due"))))))</f>
        <v>0</v>
      </c>
    </row>
    <row r="26" spans="1:20">
      <c r="A26" s="43">
        <f>IF(B26="","","JT-"&amp;TEXT(ROW()-4,"0000"))</f>
        <v>0</v>
      </c>
      <c r="B26" s="49" t="s">
        <v>1207</v>
      </c>
      <c r="C26" s="18">
        <f>IF(B26="","",IFERROR(INDEX(Jobs!$B$5:$B$604,MATCH(B26,Jobs!$A$5:$A$604,0)),""))</f>
        <v>0</v>
      </c>
      <c r="D26" s="23">
        <f>IF(B26="","",IFERROR(INDEX(Jobs!$H$5:$H$604,MATCH(B26,Jobs!$A$5:$A$604,0)),""))</f>
        <v>0</v>
      </c>
      <c r="E26" s="23">
        <f>IF(B26="","",IFERROR(INDEX(Jobs!$K$5:$K$604,MATCH(B26,Jobs!$A$5:$A$604,0)),""))</f>
        <v>0</v>
      </c>
      <c r="F26" s="15" t="s">
        <v>1217</v>
      </c>
      <c r="G26" s="15" t="s">
        <v>1218</v>
      </c>
      <c r="H26" s="45" t="s">
        <v>1185</v>
      </c>
      <c r="I26" s="15" t="s">
        <v>664</v>
      </c>
      <c r="J26" s="16">
        <v>15</v>
      </c>
      <c r="K26" s="45" t="s">
        <v>1210</v>
      </c>
      <c r="L26" s="44" t="s">
        <v>172</v>
      </c>
      <c r="M26" s="47" t="s">
        <v>457</v>
      </c>
      <c r="N26" s="54" t="s">
        <v>172</v>
      </c>
      <c r="O26" s="44" t="s">
        <v>172</v>
      </c>
      <c r="P26" s="50">
        <f>IF(G26="","",IFERROR(INDEX(Checklists!$J$5:$J$404,MATCH(G26,Checklists!$F$5:$F$404,0)),"Yes"))</f>
        <v>0</v>
      </c>
      <c r="Q26" s="31">
        <f>IF(G26="","",IFERROR(INDEX(Checklists!$H$5:$H$404,MATCH(G26,Checklists!$F$5:$F$404,0)),""))</f>
        <v>0</v>
      </c>
      <c r="R26" s="31">
        <f>IF(OR(J26="",Q26=""),"",J26-Q26)</f>
        <v>0</v>
      </c>
      <c r="S26" s="50">
        <f>IF(B26="","",IF(H26="Done","Yes","No"))</f>
        <v>0</v>
      </c>
      <c r="T26" s="39">
        <f>IF(B26="","",IF(G26="","Add - what was the task?",IF(H26="Issue found",IF(M26="Yes","OK - issue reported","Action - tell the client"),IF(H26="Needs rework","Action - rework needed",IF(AND(H26="Skipped",P26="Yes"),"Check - required task skipped",IF(H26="Done","OK","Due"))))))</f>
        <v>0</v>
      </c>
    </row>
    <row r="27" spans="1:20">
      <c r="A27" s="43">
        <f>IF(B27="","","JT-"&amp;TEXT(ROW()-4,"0000"))</f>
        <v>0</v>
      </c>
      <c r="B27" s="49" t="s">
        <v>1207</v>
      </c>
      <c r="C27" s="18">
        <f>IF(B27="","",IFERROR(INDEX(Jobs!$B$5:$B$604,MATCH(B27,Jobs!$A$5:$A$604,0)),""))</f>
        <v>0</v>
      </c>
      <c r="D27" s="23">
        <f>IF(B27="","",IFERROR(INDEX(Jobs!$H$5:$H$604,MATCH(B27,Jobs!$A$5:$A$604,0)),""))</f>
        <v>0</v>
      </c>
      <c r="E27" s="23">
        <f>IF(B27="","",IFERROR(INDEX(Jobs!$K$5:$K$604,MATCH(B27,Jobs!$A$5:$A$604,0)),""))</f>
        <v>0</v>
      </c>
      <c r="F27" s="15" t="s">
        <v>1219</v>
      </c>
      <c r="G27" s="15" t="s">
        <v>1220</v>
      </c>
      <c r="H27" s="45" t="s">
        <v>1185</v>
      </c>
      <c r="I27" s="15" t="s">
        <v>664</v>
      </c>
      <c r="J27" s="16">
        <v>8</v>
      </c>
      <c r="K27" s="45" t="s">
        <v>1210</v>
      </c>
      <c r="L27" s="44" t="s">
        <v>172</v>
      </c>
      <c r="M27" s="47" t="s">
        <v>457</v>
      </c>
      <c r="N27" s="54" t="s">
        <v>172</v>
      </c>
      <c r="O27" s="44" t="s">
        <v>172</v>
      </c>
      <c r="P27" s="50">
        <f>IF(G27="","",IFERROR(INDEX(Checklists!$J$5:$J$404,MATCH(G27,Checklists!$F$5:$F$404,0)),"Yes"))</f>
        <v>0</v>
      </c>
      <c r="Q27" s="31">
        <f>IF(G27="","",IFERROR(INDEX(Checklists!$H$5:$H$404,MATCH(G27,Checklists!$F$5:$F$404,0)),""))</f>
        <v>0</v>
      </c>
      <c r="R27" s="31">
        <f>IF(OR(J27="",Q27=""),"",J27-Q27)</f>
        <v>0</v>
      </c>
      <c r="S27" s="50">
        <f>IF(B27="","",IF(H27="Done","Yes","No"))</f>
        <v>0</v>
      </c>
      <c r="T27" s="39">
        <f>IF(B27="","",IF(G27="","Add - what was the task?",IF(H27="Issue found",IF(M27="Yes","OK - issue reported","Action - tell the client"),IF(H27="Needs rework","Action - rework needed",IF(AND(H27="Skipped",P27="Yes"),"Check - required task skipped",IF(H27="Done","OK","Due"))))))</f>
        <v>0</v>
      </c>
    </row>
    <row r="28" spans="1:20">
      <c r="A28" s="43">
        <f>IF(B28="","","JT-"&amp;TEXT(ROW()-4,"0000"))</f>
        <v>0</v>
      </c>
      <c r="B28" s="49" t="s">
        <v>1207</v>
      </c>
      <c r="C28" s="18">
        <f>IF(B28="","",IFERROR(INDEX(Jobs!$B$5:$B$604,MATCH(B28,Jobs!$A$5:$A$604,0)),""))</f>
        <v>0</v>
      </c>
      <c r="D28" s="23">
        <f>IF(B28="","",IFERROR(INDEX(Jobs!$H$5:$H$604,MATCH(B28,Jobs!$A$5:$A$604,0)),""))</f>
        <v>0</v>
      </c>
      <c r="E28" s="23">
        <f>IF(B28="","",IFERROR(INDEX(Jobs!$K$5:$K$604,MATCH(B28,Jobs!$A$5:$A$604,0)),""))</f>
        <v>0</v>
      </c>
      <c r="F28" s="15" t="s">
        <v>1204</v>
      </c>
      <c r="G28" s="15" t="s">
        <v>1221</v>
      </c>
      <c r="H28" s="45" t="s">
        <v>1185</v>
      </c>
      <c r="I28" s="15" t="s">
        <v>664</v>
      </c>
      <c r="J28" s="16">
        <v>8</v>
      </c>
      <c r="K28" s="45" t="s">
        <v>1210</v>
      </c>
      <c r="L28" s="44" t="s">
        <v>172</v>
      </c>
      <c r="M28" s="47" t="s">
        <v>457</v>
      </c>
      <c r="N28" s="54" t="s">
        <v>172</v>
      </c>
      <c r="O28" s="44" t="s">
        <v>172</v>
      </c>
      <c r="P28" s="50">
        <f>IF(G28="","",IFERROR(INDEX(Checklists!$J$5:$J$404,MATCH(G28,Checklists!$F$5:$F$404,0)),"Yes"))</f>
        <v>0</v>
      </c>
      <c r="Q28" s="31">
        <f>IF(G28="","",IFERROR(INDEX(Checklists!$H$5:$H$404,MATCH(G28,Checklists!$F$5:$F$404,0)),""))</f>
        <v>0</v>
      </c>
      <c r="R28" s="31">
        <f>IF(OR(J28="",Q28=""),"",J28-Q28)</f>
        <v>0</v>
      </c>
      <c r="S28" s="50">
        <f>IF(B28="","",IF(H28="Done","Yes","No"))</f>
        <v>0</v>
      </c>
      <c r="T28" s="39">
        <f>IF(B28="","",IF(G28="","Add - what was the task?",IF(H28="Issue found",IF(M28="Yes","OK - issue reported","Action - tell the client"),IF(H28="Needs rework","Action - rework needed",IF(AND(H28="Skipped",P28="Yes"),"Check - required task skipped",IF(H28="Done","OK","Due"))))))</f>
        <v>0</v>
      </c>
    </row>
    <row r="29" spans="1:20">
      <c r="A29" s="43">
        <f>IF(B29="","","JT-"&amp;TEXT(ROW()-4,"0000"))</f>
        <v>0</v>
      </c>
      <c r="B29" s="49" t="s">
        <v>1207</v>
      </c>
      <c r="C29" s="18">
        <f>IF(B29="","",IFERROR(INDEX(Jobs!$B$5:$B$604,MATCH(B29,Jobs!$A$5:$A$604,0)),""))</f>
        <v>0</v>
      </c>
      <c r="D29" s="23">
        <f>IF(B29="","",IFERROR(INDEX(Jobs!$H$5:$H$604,MATCH(B29,Jobs!$A$5:$A$604,0)),""))</f>
        <v>0</v>
      </c>
      <c r="E29" s="23">
        <f>IF(B29="","",IFERROR(INDEX(Jobs!$K$5:$K$604,MATCH(B29,Jobs!$A$5:$A$604,0)),""))</f>
        <v>0</v>
      </c>
      <c r="F29" s="15" t="s">
        <v>1204</v>
      </c>
      <c r="G29" s="15" t="s">
        <v>1222</v>
      </c>
      <c r="H29" s="45" t="s">
        <v>1185</v>
      </c>
      <c r="I29" s="15" t="s">
        <v>664</v>
      </c>
      <c r="J29" s="16">
        <v>4</v>
      </c>
      <c r="K29" s="45" t="s">
        <v>1210</v>
      </c>
      <c r="L29" s="44" t="s">
        <v>172</v>
      </c>
      <c r="M29" s="47" t="s">
        <v>457</v>
      </c>
      <c r="N29" s="54" t="s">
        <v>172</v>
      </c>
      <c r="O29" s="44" t="s">
        <v>172</v>
      </c>
      <c r="P29" s="50">
        <f>IF(G29="","",IFERROR(INDEX(Checklists!$J$5:$J$404,MATCH(G29,Checklists!$F$5:$F$404,0)),"Yes"))</f>
        <v>0</v>
      </c>
      <c r="Q29" s="31">
        <f>IF(G29="","",IFERROR(INDEX(Checklists!$H$5:$H$404,MATCH(G29,Checklists!$F$5:$F$404,0)),""))</f>
        <v>0</v>
      </c>
      <c r="R29" s="31">
        <f>IF(OR(J29="",Q29=""),"",J29-Q29)</f>
        <v>0</v>
      </c>
      <c r="S29" s="50">
        <f>IF(B29="","",IF(H29="Done","Yes","No"))</f>
        <v>0</v>
      </c>
      <c r="T29" s="39">
        <f>IF(B29="","",IF(G29="","Add - what was the task?",IF(H29="Issue found",IF(M29="Yes","OK - issue reported","Action - tell the client"),IF(H29="Needs rework","Action - rework needed",IF(AND(H29="Skipped",P29="Yes"),"Check - required task skipped",IF(H29="Done","OK","Due"))))))</f>
        <v>0</v>
      </c>
    </row>
    <row r="30" spans="1:20">
      <c r="A30" s="43">
        <f>IF(B30="","","JT-"&amp;TEXT(ROW()-4,"0000"))</f>
        <v>0</v>
      </c>
      <c r="C30" s="18">
        <f>IF(B30="","",IFERROR(INDEX(Jobs!$B$5:$B$604,MATCH(B30,Jobs!$A$5:$A$604,0)),""))</f>
        <v>0</v>
      </c>
      <c r="D30" s="23">
        <f>IF(B30="","",IFERROR(INDEX(Jobs!$H$5:$H$604,MATCH(B30,Jobs!$A$5:$A$604,0)),""))</f>
        <v>0</v>
      </c>
      <c r="E30" s="23">
        <f>IF(B30="","",IFERROR(INDEX(Jobs!$K$5:$K$604,MATCH(B30,Jobs!$A$5:$A$604,0)),""))</f>
        <v>0</v>
      </c>
      <c r="P30" s="50">
        <f>IF(G30="","",IFERROR(INDEX(Checklists!$J$5:$J$404,MATCH(G30,Checklists!$F$5:$F$404,0)),"Yes"))</f>
        <v>0</v>
      </c>
      <c r="Q30" s="31">
        <f>IF(G30="","",IFERROR(INDEX(Checklists!$H$5:$H$404,MATCH(G30,Checklists!$F$5:$F$404,0)),""))</f>
        <v>0</v>
      </c>
      <c r="R30" s="31">
        <f>IF(OR(J30="",Q30=""),"",J30-Q30)</f>
        <v>0</v>
      </c>
      <c r="S30" s="50">
        <f>IF(B30="","",IF(H30="Done","Yes","No"))</f>
        <v>0</v>
      </c>
      <c r="T30" s="39">
        <f>IF(B30="","",IF(G30="","Add - what was the task?",IF(H30="Issue found",IF(M30="Yes","OK - issue reported","Action - tell the client"),IF(H30="Needs rework","Action - rework needed",IF(AND(H30="Skipped",P30="Yes"),"Check - required task skipped",IF(H30="Done","OK","Due"))))))</f>
        <v>0</v>
      </c>
    </row>
    <row r="31" spans="1:20">
      <c r="A31" s="43">
        <f>IF(B31="","","JT-"&amp;TEXT(ROW()-4,"0000"))</f>
        <v>0</v>
      </c>
      <c r="C31" s="18">
        <f>IF(B31="","",IFERROR(INDEX(Jobs!$B$5:$B$604,MATCH(B31,Jobs!$A$5:$A$604,0)),""))</f>
        <v>0</v>
      </c>
      <c r="D31" s="23">
        <f>IF(B31="","",IFERROR(INDEX(Jobs!$H$5:$H$604,MATCH(B31,Jobs!$A$5:$A$604,0)),""))</f>
        <v>0</v>
      </c>
      <c r="E31" s="23">
        <f>IF(B31="","",IFERROR(INDEX(Jobs!$K$5:$K$604,MATCH(B31,Jobs!$A$5:$A$604,0)),""))</f>
        <v>0</v>
      </c>
      <c r="P31" s="50">
        <f>IF(G31="","",IFERROR(INDEX(Checklists!$J$5:$J$404,MATCH(G31,Checklists!$F$5:$F$404,0)),"Yes"))</f>
        <v>0</v>
      </c>
      <c r="Q31" s="31">
        <f>IF(G31="","",IFERROR(INDEX(Checklists!$H$5:$H$404,MATCH(G31,Checklists!$F$5:$F$404,0)),""))</f>
        <v>0</v>
      </c>
      <c r="R31" s="31">
        <f>IF(OR(J31="",Q31=""),"",J31-Q31)</f>
        <v>0</v>
      </c>
      <c r="S31" s="50">
        <f>IF(B31="","",IF(H31="Done","Yes","No"))</f>
        <v>0</v>
      </c>
      <c r="T31" s="39">
        <f>IF(B31="","",IF(G31="","Add - what was the task?",IF(H31="Issue found",IF(M31="Yes","OK - issue reported","Action - tell the client"),IF(H31="Needs rework","Action - rework needed",IF(AND(H31="Skipped",P31="Yes"),"Check - required task skipped",IF(H31="Done","OK","Due"))))))</f>
        <v>0</v>
      </c>
    </row>
    <row r="32" spans="1:20">
      <c r="A32" s="43">
        <f>IF(B32="","","JT-"&amp;TEXT(ROW()-4,"0000"))</f>
        <v>0</v>
      </c>
      <c r="C32" s="18">
        <f>IF(B32="","",IFERROR(INDEX(Jobs!$B$5:$B$604,MATCH(B32,Jobs!$A$5:$A$604,0)),""))</f>
        <v>0</v>
      </c>
      <c r="D32" s="23">
        <f>IF(B32="","",IFERROR(INDEX(Jobs!$H$5:$H$604,MATCH(B32,Jobs!$A$5:$A$604,0)),""))</f>
        <v>0</v>
      </c>
      <c r="E32" s="23">
        <f>IF(B32="","",IFERROR(INDEX(Jobs!$K$5:$K$604,MATCH(B32,Jobs!$A$5:$A$604,0)),""))</f>
        <v>0</v>
      </c>
      <c r="P32" s="50">
        <f>IF(G32="","",IFERROR(INDEX(Checklists!$J$5:$J$404,MATCH(G32,Checklists!$F$5:$F$404,0)),"Yes"))</f>
        <v>0</v>
      </c>
      <c r="Q32" s="31">
        <f>IF(G32="","",IFERROR(INDEX(Checklists!$H$5:$H$404,MATCH(G32,Checklists!$F$5:$F$404,0)),""))</f>
        <v>0</v>
      </c>
      <c r="R32" s="31">
        <f>IF(OR(J32="",Q32=""),"",J32-Q32)</f>
        <v>0</v>
      </c>
      <c r="S32" s="50">
        <f>IF(B32="","",IF(H32="Done","Yes","No"))</f>
        <v>0</v>
      </c>
      <c r="T32" s="39">
        <f>IF(B32="","",IF(G32="","Add - what was the task?",IF(H32="Issue found",IF(M32="Yes","OK - issue reported","Action - tell the client"),IF(H32="Needs rework","Action - rework needed",IF(AND(H32="Skipped",P32="Yes"),"Check - required task skipped",IF(H32="Done","OK","Due"))))))</f>
        <v>0</v>
      </c>
    </row>
    <row r="33" spans="1:20">
      <c r="A33" s="43">
        <f>IF(B33="","","JT-"&amp;TEXT(ROW()-4,"0000"))</f>
        <v>0</v>
      </c>
      <c r="C33" s="18">
        <f>IF(B33="","",IFERROR(INDEX(Jobs!$B$5:$B$604,MATCH(B33,Jobs!$A$5:$A$604,0)),""))</f>
        <v>0</v>
      </c>
      <c r="D33" s="23">
        <f>IF(B33="","",IFERROR(INDEX(Jobs!$H$5:$H$604,MATCH(B33,Jobs!$A$5:$A$604,0)),""))</f>
        <v>0</v>
      </c>
      <c r="E33" s="23">
        <f>IF(B33="","",IFERROR(INDEX(Jobs!$K$5:$K$604,MATCH(B33,Jobs!$A$5:$A$604,0)),""))</f>
        <v>0</v>
      </c>
      <c r="P33" s="50">
        <f>IF(G33="","",IFERROR(INDEX(Checklists!$J$5:$J$404,MATCH(G33,Checklists!$F$5:$F$404,0)),"Yes"))</f>
        <v>0</v>
      </c>
      <c r="Q33" s="31">
        <f>IF(G33="","",IFERROR(INDEX(Checklists!$H$5:$H$404,MATCH(G33,Checklists!$F$5:$F$404,0)),""))</f>
        <v>0</v>
      </c>
      <c r="R33" s="31">
        <f>IF(OR(J33="",Q33=""),"",J33-Q33)</f>
        <v>0</v>
      </c>
      <c r="S33" s="50">
        <f>IF(B33="","",IF(H33="Done","Yes","No"))</f>
        <v>0</v>
      </c>
      <c r="T33" s="39">
        <f>IF(B33="","",IF(G33="","Add - what was the task?",IF(H33="Issue found",IF(M33="Yes","OK - issue reported","Action - tell the client"),IF(H33="Needs rework","Action - rework needed",IF(AND(H33="Skipped",P33="Yes"),"Check - required task skipped",IF(H33="Done","OK","Due"))))))</f>
        <v>0</v>
      </c>
    </row>
    <row r="34" spans="1:20">
      <c r="A34" s="43">
        <f>IF(B34="","","JT-"&amp;TEXT(ROW()-4,"0000"))</f>
        <v>0</v>
      </c>
      <c r="C34" s="18">
        <f>IF(B34="","",IFERROR(INDEX(Jobs!$B$5:$B$604,MATCH(B34,Jobs!$A$5:$A$604,0)),""))</f>
        <v>0</v>
      </c>
      <c r="D34" s="23">
        <f>IF(B34="","",IFERROR(INDEX(Jobs!$H$5:$H$604,MATCH(B34,Jobs!$A$5:$A$604,0)),""))</f>
        <v>0</v>
      </c>
      <c r="E34" s="23">
        <f>IF(B34="","",IFERROR(INDEX(Jobs!$K$5:$K$604,MATCH(B34,Jobs!$A$5:$A$604,0)),""))</f>
        <v>0</v>
      </c>
      <c r="P34" s="50">
        <f>IF(G34="","",IFERROR(INDEX(Checklists!$J$5:$J$404,MATCH(G34,Checklists!$F$5:$F$404,0)),"Yes"))</f>
        <v>0</v>
      </c>
      <c r="Q34" s="31">
        <f>IF(G34="","",IFERROR(INDEX(Checklists!$H$5:$H$404,MATCH(G34,Checklists!$F$5:$F$404,0)),""))</f>
        <v>0</v>
      </c>
      <c r="R34" s="31">
        <f>IF(OR(J34="",Q34=""),"",J34-Q34)</f>
        <v>0</v>
      </c>
      <c r="S34" s="50">
        <f>IF(B34="","",IF(H34="Done","Yes","No"))</f>
        <v>0</v>
      </c>
      <c r="T34" s="39">
        <f>IF(B34="","",IF(G34="","Add - what was the task?",IF(H34="Issue found",IF(M34="Yes","OK - issue reported","Action - tell the client"),IF(H34="Needs rework","Action - rework needed",IF(AND(H34="Skipped",P34="Yes"),"Check - required task skipped",IF(H34="Done","OK","Due"))))))</f>
        <v>0</v>
      </c>
    </row>
    <row r="35" spans="1:20">
      <c r="A35" s="43">
        <f>IF(B35="","","JT-"&amp;TEXT(ROW()-4,"0000"))</f>
        <v>0</v>
      </c>
      <c r="C35" s="18">
        <f>IF(B35="","",IFERROR(INDEX(Jobs!$B$5:$B$604,MATCH(B35,Jobs!$A$5:$A$604,0)),""))</f>
        <v>0</v>
      </c>
      <c r="D35" s="23">
        <f>IF(B35="","",IFERROR(INDEX(Jobs!$H$5:$H$604,MATCH(B35,Jobs!$A$5:$A$604,0)),""))</f>
        <v>0</v>
      </c>
      <c r="E35" s="23">
        <f>IF(B35="","",IFERROR(INDEX(Jobs!$K$5:$K$604,MATCH(B35,Jobs!$A$5:$A$604,0)),""))</f>
        <v>0</v>
      </c>
      <c r="P35" s="50">
        <f>IF(G35="","",IFERROR(INDEX(Checklists!$J$5:$J$404,MATCH(G35,Checklists!$F$5:$F$404,0)),"Yes"))</f>
        <v>0</v>
      </c>
      <c r="Q35" s="31">
        <f>IF(G35="","",IFERROR(INDEX(Checklists!$H$5:$H$404,MATCH(G35,Checklists!$F$5:$F$404,0)),""))</f>
        <v>0</v>
      </c>
      <c r="R35" s="31">
        <f>IF(OR(J35="",Q35=""),"",J35-Q35)</f>
        <v>0</v>
      </c>
      <c r="S35" s="50">
        <f>IF(B35="","",IF(H35="Done","Yes","No"))</f>
        <v>0</v>
      </c>
      <c r="T35" s="39">
        <f>IF(B35="","",IF(G35="","Add - what was the task?",IF(H35="Issue found",IF(M35="Yes","OK - issue reported","Action - tell the client"),IF(H35="Needs rework","Action - rework needed",IF(AND(H35="Skipped",P35="Yes"),"Check - required task skipped",IF(H35="Done","OK","Due"))))))</f>
        <v>0</v>
      </c>
    </row>
    <row r="36" spans="1:20">
      <c r="A36" s="43">
        <f>IF(B36="","","JT-"&amp;TEXT(ROW()-4,"0000"))</f>
        <v>0</v>
      </c>
      <c r="C36" s="18">
        <f>IF(B36="","",IFERROR(INDEX(Jobs!$B$5:$B$604,MATCH(B36,Jobs!$A$5:$A$604,0)),""))</f>
        <v>0</v>
      </c>
      <c r="D36" s="23">
        <f>IF(B36="","",IFERROR(INDEX(Jobs!$H$5:$H$604,MATCH(B36,Jobs!$A$5:$A$604,0)),""))</f>
        <v>0</v>
      </c>
      <c r="E36" s="23">
        <f>IF(B36="","",IFERROR(INDEX(Jobs!$K$5:$K$604,MATCH(B36,Jobs!$A$5:$A$604,0)),""))</f>
        <v>0</v>
      </c>
      <c r="P36" s="50">
        <f>IF(G36="","",IFERROR(INDEX(Checklists!$J$5:$J$404,MATCH(G36,Checklists!$F$5:$F$404,0)),"Yes"))</f>
        <v>0</v>
      </c>
      <c r="Q36" s="31">
        <f>IF(G36="","",IFERROR(INDEX(Checklists!$H$5:$H$404,MATCH(G36,Checklists!$F$5:$F$404,0)),""))</f>
        <v>0</v>
      </c>
      <c r="R36" s="31">
        <f>IF(OR(J36="",Q36=""),"",J36-Q36)</f>
        <v>0</v>
      </c>
      <c r="S36" s="50">
        <f>IF(B36="","",IF(H36="Done","Yes","No"))</f>
        <v>0</v>
      </c>
      <c r="T36" s="39">
        <f>IF(B36="","",IF(G36="","Add - what was the task?",IF(H36="Issue found",IF(M36="Yes","OK - issue reported","Action - tell the client"),IF(H36="Needs rework","Action - rework needed",IF(AND(H36="Skipped",P36="Yes"),"Check - required task skipped",IF(H36="Done","OK","Due"))))))</f>
        <v>0</v>
      </c>
    </row>
    <row r="37" spans="1:20">
      <c r="A37" s="43">
        <f>IF(B37="","","JT-"&amp;TEXT(ROW()-4,"0000"))</f>
        <v>0</v>
      </c>
      <c r="C37" s="18">
        <f>IF(B37="","",IFERROR(INDEX(Jobs!$B$5:$B$604,MATCH(B37,Jobs!$A$5:$A$604,0)),""))</f>
        <v>0</v>
      </c>
      <c r="D37" s="23">
        <f>IF(B37="","",IFERROR(INDEX(Jobs!$H$5:$H$604,MATCH(B37,Jobs!$A$5:$A$604,0)),""))</f>
        <v>0</v>
      </c>
      <c r="E37" s="23">
        <f>IF(B37="","",IFERROR(INDEX(Jobs!$K$5:$K$604,MATCH(B37,Jobs!$A$5:$A$604,0)),""))</f>
        <v>0</v>
      </c>
      <c r="P37" s="50">
        <f>IF(G37="","",IFERROR(INDEX(Checklists!$J$5:$J$404,MATCH(G37,Checklists!$F$5:$F$404,0)),"Yes"))</f>
        <v>0</v>
      </c>
      <c r="Q37" s="31">
        <f>IF(G37="","",IFERROR(INDEX(Checklists!$H$5:$H$404,MATCH(G37,Checklists!$F$5:$F$404,0)),""))</f>
        <v>0</v>
      </c>
      <c r="R37" s="31">
        <f>IF(OR(J37="",Q37=""),"",J37-Q37)</f>
        <v>0</v>
      </c>
      <c r="S37" s="50">
        <f>IF(B37="","",IF(H37="Done","Yes","No"))</f>
        <v>0</v>
      </c>
      <c r="T37" s="39">
        <f>IF(B37="","",IF(G37="","Add - what was the task?",IF(H37="Issue found",IF(M37="Yes","OK - issue reported","Action - tell the client"),IF(H37="Needs rework","Action - rework needed",IF(AND(H37="Skipped",P37="Yes"),"Check - required task skipped",IF(H37="Done","OK","Due"))))))</f>
        <v>0</v>
      </c>
    </row>
    <row r="38" spans="1:20">
      <c r="A38" s="43">
        <f>IF(B38="","","JT-"&amp;TEXT(ROW()-4,"0000"))</f>
        <v>0</v>
      </c>
      <c r="C38" s="18">
        <f>IF(B38="","",IFERROR(INDEX(Jobs!$B$5:$B$604,MATCH(B38,Jobs!$A$5:$A$604,0)),""))</f>
        <v>0</v>
      </c>
      <c r="D38" s="23">
        <f>IF(B38="","",IFERROR(INDEX(Jobs!$H$5:$H$604,MATCH(B38,Jobs!$A$5:$A$604,0)),""))</f>
        <v>0</v>
      </c>
      <c r="E38" s="23">
        <f>IF(B38="","",IFERROR(INDEX(Jobs!$K$5:$K$604,MATCH(B38,Jobs!$A$5:$A$604,0)),""))</f>
        <v>0</v>
      </c>
      <c r="P38" s="50">
        <f>IF(G38="","",IFERROR(INDEX(Checklists!$J$5:$J$404,MATCH(G38,Checklists!$F$5:$F$404,0)),"Yes"))</f>
        <v>0</v>
      </c>
      <c r="Q38" s="31">
        <f>IF(G38="","",IFERROR(INDEX(Checklists!$H$5:$H$404,MATCH(G38,Checklists!$F$5:$F$404,0)),""))</f>
        <v>0</v>
      </c>
      <c r="R38" s="31">
        <f>IF(OR(J38="",Q38=""),"",J38-Q38)</f>
        <v>0</v>
      </c>
      <c r="S38" s="50">
        <f>IF(B38="","",IF(H38="Done","Yes","No"))</f>
        <v>0</v>
      </c>
      <c r="T38" s="39">
        <f>IF(B38="","",IF(G38="","Add - what was the task?",IF(H38="Issue found",IF(M38="Yes","OK - issue reported","Action - tell the client"),IF(H38="Needs rework","Action - rework needed",IF(AND(H38="Skipped",P38="Yes"),"Check - required task skipped",IF(H38="Done","OK","Due"))))))</f>
        <v>0</v>
      </c>
    </row>
    <row r="39" spans="1:20">
      <c r="A39" s="43">
        <f>IF(B39="","","JT-"&amp;TEXT(ROW()-4,"0000"))</f>
        <v>0</v>
      </c>
      <c r="C39" s="18">
        <f>IF(B39="","",IFERROR(INDEX(Jobs!$B$5:$B$604,MATCH(B39,Jobs!$A$5:$A$604,0)),""))</f>
        <v>0</v>
      </c>
      <c r="D39" s="23">
        <f>IF(B39="","",IFERROR(INDEX(Jobs!$H$5:$H$604,MATCH(B39,Jobs!$A$5:$A$604,0)),""))</f>
        <v>0</v>
      </c>
      <c r="E39" s="23">
        <f>IF(B39="","",IFERROR(INDEX(Jobs!$K$5:$K$604,MATCH(B39,Jobs!$A$5:$A$604,0)),""))</f>
        <v>0</v>
      </c>
      <c r="P39" s="50">
        <f>IF(G39="","",IFERROR(INDEX(Checklists!$J$5:$J$404,MATCH(G39,Checklists!$F$5:$F$404,0)),"Yes"))</f>
        <v>0</v>
      </c>
      <c r="Q39" s="31">
        <f>IF(G39="","",IFERROR(INDEX(Checklists!$H$5:$H$404,MATCH(G39,Checklists!$F$5:$F$404,0)),""))</f>
        <v>0</v>
      </c>
      <c r="R39" s="31">
        <f>IF(OR(J39="",Q39=""),"",J39-Q39)</f>
        <v>0</v>
      </c>
      <c r="S39" s="50">
        <f>IF(B39="","",IF(H39="Done","Yes","No"))</f>
        <v>0</v>
      </c>
      <c r="T39" s="39">
        <f>IF(B39="","",IF(G39="","Add - what was the task?",IF(H39="Issue found",IF(M39="Yes","OK - issue reported","Action - tell the client"),IF(H39="Needs rework","Action - rework needed",IF(AND(H39="Skipped",P39="Yes"),"Check - required task skipped",IF(H39="Done","OK","Due"))))))</f>
        <v>0</v>
      </c>
    </row>
    <row r="40" spans="1:20">
      <c r="A40" s="43">
        <f>IF(B40="","","JT-"&amp;TEXT(ROW()-4,"0000"))</f>
        <v>0</v>
      </c>
      <c r="C40" s="18">
        <f>IF(B40="","",IFERROR(INDEX(Jobs!$B$5:$B$604,MATCH(B40,Jobs!$A$5:$A$604,0)),""))</f>
        <v>0</v>
      </c>
      <c r="D40" s="23">
        <f>IF(B40="","",IFERROR(INDEX(Jobs!$H$5:$H$604,MATCH(B40,Jobs!$A$5:$A$604,0)),""))</f>
        <v>0</v>
      </c>
      <c r="E40" s="23">
        <f>IF(B40="","",IFERROR(INDEX(Jobs!$K$5:$K$604,MATCH(B40,Jobs!$A$5:$A$604,0)),""))</f>
        <v>0</v>
      </c>
      <c r="P40" s="50">
        <f>IF(G40="","",IFERROR(INDEX(Checklists!$J$5:$J$404,MATCH(G40,Checklists!$F$5:$F$404,0)),"Yes"))</f>
        <v>0</v>
      </c>
      <c r="Q40" s="31">
        <f>IF(G40="","",IFERROR(INDEX(Checklists!$H$5:$H$404,MATCH(G40,Checklists!$F$5:$F$404,0)),""))</f>
        <v>0</v>
      </c>
      <c r="R40" s="31">
        <f>IF(OR(J40="",Q40=""),"",J40-Q40)</f>
        <v>0</v>
      </c>
      <c r="S40" s="50">
        <f>IF(B40="","",IF(H40="Done","Yes","No"))</f>
        <v>0</v>
      </c>
      <c r="T40" s="39">
        <f>IF(B40="","",IF(G40="","Add - what was the task?",IF(H40="Issue found",IF(M40="Yes","OK - issue reported","Action - tell the client"),IF(H40="Needs rework","Action - rework needed",IF(AND(H40="Skipped",P40="Yes"),"Check - required task skipped",IF(H40="Done","OK","Due"))))))</f>
        <v>0</v>
      </c>
    </row>
    <row r="41" spans="1:20">
      <c r="A41" s="43">
        <f>IF(B41="","","JT-"&amp;TEXT(ROW()-4,"0000"))</f>
        <v>0</v>
      </c>
      <c r="C41" s="18">
        <f>IF(B41="","",IFERROR(INDEX(Jobs!$B$5:$B$604,MATCH(B41,Jobs!$A$5:$A$604,0)),""))</f>
        <v>0</v>
      </c>
      <c r="D41" s="23">
        <f>IF(B41="","",IFERROR(INDEX(Jobs!$H$5:$H$604,MATCH(B41,Jobs!$A$5:$A$604,0)),""))</f>
        <v>0</v>
      </c>
      <c r="E41" s="23">
        <f>IF(B41="","",IFERROR(INDEX(Jobs!$K$5:$K$604,MATCH(B41,Jobs!$A$5:$A$604,0)),""))</f>
        <v>0</v>
      </c>
      <c r="P41" s="50">
        <f>IF(G41="","",IFERROR(INDEX(Checklists!$J$5:$J$404,MATCH(G41,Checklists!$F$5:$F$404,0)),"Yes"))</f>
        <v>0</v>
      </c>
      <c r="Q41" s="31">
        <f>IF(G41="","",IFERROR(INDEX(Checklists!$H$5:$H$404,MATCH(G41,Checklists!$F$5:$F$404,0)),""))</f>
        <v>0</v>
      </c>
      <c r="R41" s="31">
        <f>IF(OR(J41="",Q41=""),"",J41-Q41)</f>
        <v>0</v>
      </c>
      <c r="S41" s="50">
        <f>IF(B41="","",IF(H41="Done","Yes","No"))</f>
        <v>0</v>
      </c>
      <c r="T41" s="39">
        <f>IF(B41="","",IF(G41="","Add - what was the task?",IF(H41="Issue found",IF(M41="Yes","OK - issue reported","Action - tell the client"),IF(H41="Needs rework","Action - rework needed",IF(AND(H41="Skipped",P41="Yes"),"Check - required task skipped",IF(H41="Done","OK","Due"))))))</f>
        <v>0</v>
      </c>
    </row>
    <row r="42" spans="1:20">
      <c r="A42" s="43">
        <f>IF(B42="","","JT-"&amp;TEXT(ROW()-4,"0000"))</f>
        <v>0</v>
      </c>
      <c r="C42" s="18">
        <f>IF(B42="","",IFERROR(INDEX(Jobs!$B$5:$B$604,MATCH(B42,Jobs!$A$5:$A$604,0)),""))</f>
        <v>0</v>
      </c>
      <c r="D42" s="23">
        <f>IF(B42="","",IFERROR(INDEX(Jobs!$H$5:$H$604,MATCH(B42,Jobs!$A$5:$A$604,0)),""))</f>
        <v>0</v>
      </c>
      <c r="E42" s="23">
        <f>IF(B42="","",IFERROR(INDEX(Jobs!$K$5:$K$604,MATCH(B42,Jobs!$A$5:$A$604,0)),""))</f>
        <v>0</v>
      </c>
      <c r="P42" s="50">
        <f>IF(G42="","",IFERROR(INDEX(Checklists!$J$5:$J$404,MATCH(G42,Checklists!$F$5:$F$404,0)),"Yes"))</f>
        <v>0</v>
      </c>
      <c r="Q42" s="31">
        <f>IF(G42="","",IFERROR(INDEX(Checklists!$H$5:$H$404,MATCH(G42,Checklists!$F$5:$F$404,0)),""))</f>
        <v>0</v>
      </c>
      <c r="R42" s="31">
        <f>IF(OR(J42="",Q42=""),"",J42-Q42)</f>
        <v>0</v>
      </c>
      <c r="S42" s="50">
        <f>IF(B42="","",IF(H42="Done","Yes","No"))</f>
        <v>0</v>
      </c>
      <c r="T42" s="39">
        <f>IF(B42="","",IF(G42="","Add - what was the task?",IF(H42="Issue found",IF(M42="Yes","OK - issue reported","Action - tell the client"),IF(H42="Needs rework","Action - rework needed",IF(AND(H42="Skipped",P42="Yes"),"Check - required task skipped",IF(H42="Done","OK","Due"))))))</f>
        <v>0</v>
      </c>
    </row>
    <row r="43" spans="1:20">
      <c r="A43" s="43">
        <f>IF(B43="","","JT-"&amp;TEXT(ROW()-4,"0000"))</f>
        <v>0</v>
      </c>
      <c r="C43" s="18">
        <f>IF(B43="","",IFERROR(INDEX(Jobs!$B$5:$B$604,MATCH(B43,Jobs!$A$5:$A$604,0)),""))</f>
        <v>0</v>
      </c>
      <c r="D43" s="23">
        <f>IF(B43="","",IFERROR(INDEX(Jobs!$H$5:$H$604,MATCH(B43,Jobs!$A$5:$A$604,0)),""))</f>
        <v>0</v>
      </c>
      <c r="E43" s="23">
        <f>IF(B43="","",IFERROR(INDEX(Jobs!$K$5:$K$604,MATCH(B43,Jobs!$A$5:$A$604,0)),""))</f>
        <v>0</v>
      </c>
      <c r="P43" s="50">
        <f>IF(G43="","",IFERROR(INDEX(Checklists!$J$5:$J$404,MATCH(G43,Checklists!$F$5:$F$404,0)),"Yes"))</f>
        <v>0</v>
      </c>
      <c r="Q43" s="31">
        <f>IF(G43="","",IFERROR(INDEX(Checklists!$H$5:$H$404,MATCH(G43,Checklists!$F$5:$F$404,0)),""))</f>
        <v>0</v>
      </c>
      <c r="R43" s="31">
        <f>IF(OR(J43="",Q43=""),"",J43-Q43)</f>
        <v>0</v>
      </c>
      <c r="S43" s="50">
        <f>IF(B43="","",IF(H43="Done","Yes","No"))</f>
        <v>0</v>
      </c>
      <c r="T43" s="39">
        <f>IF(B43="","",IF(G43="","Add - what was the task?",IF(H43="Issue found",IF(M43="Yes","OK - issue reported","Action - tell the client"),IF(H43="Needs rework","Action - rework needed",IF(AND(H43="Skipped",P43="Yes"),"Check - required task skipped",IF(H43="Done","OK","Due"))))))</f>
        <v>0</v>
      </c>
    </row>
    <row r="44" spans="1:20">
      <c r="A44" s="43">
        <f>IF(B44="","","JT-"&amp;TEXT(ROW()-4,"0000"))</f>
        <v>0</v>
      </c>
      <c r="C44" s="18">
        <f>IF(B44="","",IFERROR(INDEX(Jobs!$B$5:$B$604,MATCH(B44,Jobs!$A$5:$A$604,0)),""))</f>
        <v>0</v>
      </c>
      <c r="D44" s="23">
        <f>IF(B44="","",IFERROR(INDEX(Jobs!$H$5:$H$604,MATCH(B44,Jobs!$A$5:$A$604,0)),""))</f>
        <v>0</v>
      </c>
      <c r="E44" s="23">
        <f>IF(B44="","",IFERROR(INDEX(Jobs!$K$5:$K$604,MATCH(B44,Jobs!$A$5:$A$604,0)),""))</f>
        <v>0</v>
      </c>
      <c r="P44" s="50">
        <f>IF(G44="","",IFERROR(INDEX(Checklists!$J$5:$J$404,MATCH(G44,Checklists!$F$5:$F$404,0)),"Yes"))</f>
        <v>0</v>
      </c>
      <c r="Q44" s="31">
        <f>IF(G44="","",IFERROR(INDEX(Checklists!$H$5:$H$404,MATCH(G44,Checklists!$F$5:$F$404,0)),""))</f>
        <v>0</v>
      </c>
      <c r="R44" s="31">
        <f>IF(OR(J44="",Q44=""),"",J44-Q44)</f>
        <v>0</v>
      </c>
      <c r="S44" s="50">
        <f>IF(B44="","",IF(H44="Done","Yes","No"))</f>
        <v>0</v>
      </c>
      <c r="T44" s="39">
        <f>IF(B44="","",IF(G44="","Add - what was the task?",IF(H44="Issue found",IF(M44="Yes","OK - issue reported","Action - tell the client"),IF(H44="Needs rework","Action - rework needed",IF(AND(H44="Skipped",P44="Yes"),"Check - required task skipped",IF(H44="Done","OK","Due"))))))</f>
        <v>0</v>
      </c>
    </row>
    <row r="45" spans="1:20">
      <c r="A45" s="43">
        <f>IF(B45="","","JT-"&amp;TEXT(ROW()-4,"0000"))</f>
        <v>0</v>
      </c>
      <c r="C45" s="18">
        <f>IF(B45="","",IFERROR(INDEX(Jobs!$B$5:$B$604,MATCH(B45,Jobs!$A$5:$A$604,0)),""))</f>
        <v>0</v>
      </c>
      <c r="D45" s="23">
        <f>IF(B45="","",IFERROR(INDEX(Jobs!$H$5:$H$604,MATCH(B45,Jobs!$A$5:$A$604,0)),""))</f>
        <v>0</v>
      </c>
      <c r="E45" s="23">
        <f>IF(B45="","",IFERROR(INDEX(Jobs!$K$5:$K$604,MATCH(B45,Jobs!$A$5:$A$604,0)),""))</f>
        <v>0</v>
      </c>
      <c r="P45" s="50">
        <f>IF(G45="","",IFERROR(INDEX(Checklists!$J$5:$J$404,MATCH(G45,Checklists!$F$5:$F$404,0)),"Yes"))</f>
        <v>0</v>
      </c>
      <c r="Q45" s="31">
        <f>IF(G45="","",IFERROR(INDEX(Checklists!$H$5:$H$404,MATCH(G45,Checklists!$F$5:$F$404,0)),""))</f>
        <v>0</v>
      </c>
      <c r="R45" s="31">
        <f>IF(OR(J45="",Q45=""),"",J45-Q45)</f>
        <v>0</v>
      </c>
      <c r="S45" s="50">
        <f>IF(B45="","",IF(H45="Done","Yes","No"))</f>
        <v>0</v>
      </c>
      <c r="T45" s="39">
        <f>IF(B45="","",IF(G45="","Add - what was the task?",IF(H45="Issue found",IF(M45="Yes","OK - issue reported","Action - tell the client"),IF(H45="Needs rework","Action - rework needed",IF(AND(H45="Skipped",P45="Yes"),"Check - required task skipped",IF(H45="Done","OK","Due"))))))</f>
        <v>0</v>
      </c>
    </row>
    <row r="46" spans="1:20">
      <c r="A46" s="43">
        <f>IF(B46="","","JT-"&amp;TEXT(ROW()-4,"0000"))</f>
        <v>0</v>
      </c>
      <c r="C46" s="18">
        <f>IF(B46="","",IFERROR(INDEX(Jobs!$B$5:$B$604,MATCH(B46,Jobs!$A$5:$A$604,0)),""))</f>
        <v>0</v>
      </c>
      <c r="D46" s="23">
        <f>IF(B46="","",IFERROR(INDEX(Jobs!$H$5:$H$604,MATCH(B46,Jobs!$A$5:$A$604,0)),""))</f>
        <v>0</v>
      </c>
      <c r="E46" s="23">
        <f>IF(B46="","",IFERROR(INDEX(Jobs!$K$5:$K$604,MATCH(B46,Jobs!$A$5:$A$604,0)),""))</f>
        <v>0</v>
      </c>
      <c r="P46" s="50">
        <f>IF(G46="","",IFERROR(INDEX(Checklists!$J$5:$J$404,MATCH(G46,Checklists!$F$5:$F$404,0)),"Yes"))</f>
        <v>0</v>
      </c>
      <c r="Q46" s="31">
        <f>IF(G46="","",IFERROR(INDEX(Checklists!$H$5:$H$404,MATCH(G46,Checklists!$F$5:$F$404,0)),""))</f>
        <v>0</v>
      </c>
      <c r="R46" s="31">
        <f>IF(OR(J46="",Q46=""),"",J46-Q46)</f>
        <v>0</v>
      </c>
      <c r="S46" s="50">
        <f>IF(B46="","",IF(H46="Done","Yes","No"))</f>
        <v>0</v>
      </c>
      <c r="T46" s="39">
        <f>IF(B46="","",IF(G46="","Add - what was the task?",IF(H46="Issue found",IF(M46="Yes","OK - issue reported","Action - tell the client"),IF(H46="Needs rework","Action - rework needed",IF(AND(H46="Skipped",P46="Yes"),"Check - required task skipped",IF(H46="Done","OK","Due"))))))</f>
        <v>0</v>
      </c>
    </row>
    <row r="47" spans="1:20">
      <c r="A47" s="43">
        <f>IF(B47="","","JT-"&amp;TEXT(ROW()-4,"0000"))</f>
        <v>0</v>
      </c>
      <c r="C47" s="18">
        <f>IF(B47="","",IFERROR(INDEX(Jobs!$B$5:$B$604,MATCH(B47,Jobs!$A$5:$A$604,0)),""))</f>
        <v>0</v>
      </c>
      <c r="D47" s="23">
        <f>IF(B47="","",IFERROR(INDEX(Jobs!$H$5:$H$604,MATCH(B47,Jobs!$A$5:$A$604,0)),""))</f>
        <v>0</v>
      </c>
      <c r="E47" s="23">
        <f>IF(B47="","",IFERROR(INDEX(Jobs!$K$5:$K$604,MATCH(B47,Jobs!$A$5:$A$604,0)),""))</f>
        <v>0</v>
      </c>
      <c r="P47" s="50">
        <f>IF(G47="","",IFERROR(INDEX(Checklists!$J$5:$J$404,MATCH(G47,Checklists!$F$5:$F$404,0)),"Yes"))</f>
        <v>0</v>
      </c>
      <c r="Q47" s="31">
        <f>IF(G47="","",IFERROR(INDEX(Checklists!$H$5:$H$404,MATCH(G47,Checklists!$F$5:$F$404,0)),""))</f>
        <v>0</v>
      </c>
      <c r="R47" s="31">
        <f>IF(OR(J47="",Q47=""),"",J47-Q47)</f>
        <v>0</v>
      </c>
      <c r="S47" s="50">
        <f>IF(B47="","",IF(H47="Done","Yes","No"))</f>
        <v>0</v>
      </c>
      <c r="T47" s="39">
        <f>IF(B47="","",IF(G47="","Add - what was the task?",IF(H47="Issue found",IF(M47="Yes","OK - issue reported","Action - tell the client"),IF(H47="Needs rework","Action - rework needed",IF(AND(H47="Skipped",P47="Yes"),"Check - required task skipped",IF(H47="Done","OK","Due"))))))</f>
        <v>0</v>
      </c>
    </row>
    <row r="48" spans="1:20">
      <c r="A48" s="43">
        <f>IF(B48="","","JT-"&amp;TEXT(ROW()-4,"0000"))</f>
        <v>0</v>
      </c>
      <c r="C48" s="18">
        <f>IF(B48="","",IFERROR(INDEX(Jobs!$B$5:$B$604,MATCH(B48,Jobs!$A$5:$A$604,0)),""))</f>
        <v>0</v>
      </c>
      <c r="D48" s="23">
        <f>IF(B48="","",IFERROR(INDEX(Jobs!$H$5:$H$604,MATCH(B48,Jobs!$A$5:$A$604,0)),""))</f>
        <v>0</v>
      </c>
      <c r="E48" s="23">
        <f>IF(B48="","",IFERROR(INDEX(Jobs!$K$5:$K$604,MATCH(B48,Jobs!$A$5:$A$604,0)),""))</f>
        <v>0</v>
      </c>
      <c r="P48" s="50">
        <f>IF(G48="","",IFERROR(INDEX(Checklists!$J$5:$J$404,MATCH(G48,Checklists!$F$5:$F$404,0)),"Yes"))</f>
        <v>0</v>
      </c>
      <c r="Q48" s="31">
        <f>IF(G48="","",IFERROR(INDEX(Checklists!$H$5:$H$404,MATCH(G48,Checklists!$F$5:$F$404,0)),""))</f>
        <v>0</v>
      </c>
      <c r="R48" s="31">
        <f>IF(OR(J48="",Q48=""),"",J48-Q48)</f>
        <v>0</v>
      </c>
      <c r="S48" s="50">
        <f>IF(B48="","",IF(H48="Done","Yes","No"))</f>
        <v>0</v>
      </c>
      <c r="T48" s="39">
        <f>IF(B48="","",IF(G48="","Add - what was the task?",IF(H48="Issue found",IF(M48="Yes","OK - issue reported","Action - tell the client"),IF(H48="Needs rework","Action - rework needed",IF(AND(H48="Skipped",P48="Yes"),"Check - required task skipped",IF(H48="Done","OK","Due"))))))</f>
        <v>0</v>
      </c>
    </row>
    <row r="49" spans="1:20">
      <c r="A49" s="43">
        <f>IF(B49="","","JT-"&amp;TEXT(ROW()-4,"0000"))</f>
        <v>0</v>
      </c>
      <c r="C49" s="18">
        <f>IF(B49="","",IFERROR(INDEX(Jobs!$B$5:$B$604,MATCH(B49,Jobs!$A$5:$A$604,0)),""))</f>
        <v>0</v>
      </c>
      <c r="D49" s="23">
        <f>IF(B49="","",IFERROR(INDEX(Jobs!$H$5:$H$604,MATCH(B49,Jobs!$A$5:$A$604,0)),""))</f>
        <v>0</v>
      </c>
      <c r="E49" s="23">
        <f>IF(B49="","",IFERROR(INDEX(Jobs!$K$5:$K$604,MATCH(B49,Jobs!$A$5:$A$604,0)),""))</f>
        <v>0</v>
      </c>
      <c r="P49" s="50">
        <f>IF(G49="","",IFERROR(INDEX(Checklists!$J$5:$J$404,MATCH(G49,Checklists!$F$5:$F$404,0)),"Yes"))</f>
        <v>0</v>
      </c>
      <c r="Q49" s="31">
        <f>IF(G49="","",IFERROR(INDEX(Checklists!$H$5:$H$404,MATCH(G49,Checklists!$F$5:$F$404,0)),""))</f>
        <v>0</v>
      </c>
      <c r="R49" s="31">
        <f>IF(OR(J49="",Q49=""),"",J49-Q49)</f>
        <v>0</v>
      </c>
      <c r="S49" s="50">
        <f>IF(B49="","",IF(H49="Done","Yes","No"))</f>
        <v>0</v>
      </c>
      <c r="T49" s="39">
        <f>IF(B49="","",IF(G49="","Add - what was the task?",IF(H49="Issue found",IF(M49="Yes","OK - issue reported","Action - tell the client"),IF(H49="Needs rework","Action - rework needed",IF(AND(H49="Skipped",P49="Yes"),"Check - required task skipped",IF(H49="Done","OK","Due"))))))</f>
        <v>0</v>
      </c>
    </row>
    <row r="50" spans="1:20">
      <c r="A50" s="43">
        <f>IF(B50="","","JT-"&amp;TEXT(ROW()-4,"0000"))</f>
        <v>0</v>
      </c>
      <c r="C50" s="18">
        <f>IF(B50="","",IFERROR(INDEX(Jobs!$B$5:$B$604,MATCH(B50,Jobs!$A$5:$A$604,0)),""))</f>
        <v>0</v>
      </c>
      <c r="D50" s="23">
        <f>IF(B50="","",IFERROR(INDEX(Jobs!$H$5:$H$604,MATCH(B50,Jobs!$A$5:$A$604,0)),""))</f>
        <v>0</v>
      </c>
      <c r="E50" s="23">
        <f>IF(B50="","",IFERROR(INDEX(Jobs!$K$5:$K$604,MATCH(B50,Jobs!$A$5:$A$604,0)),""))</f>
        <v>0</v>
      </c>
      <c r="P50" s="50">
        <f>IF(G50="","",IFERROR(INDEX(Checklists!$J$5:$J$404,MATCH(G50,Checklists!$F$5:$F$404,0)),"Yes"))</f>
        <v>0</v>
      </c>
      <c r="Q50" s="31">
        <f>IF(G50="","",IFERROR(INDEX(Checklists!$H$5:$H$404,MATCH(G50,Checklists!$F$5:$F$404,0)),""))</f>
        <v>0</v>
      </c>
      <c r="R50" s="31">
        <f>IF(OR(J50="",Q50=""),"",J50-Q50)</f>
        <v>0</v>
      </c>
      <c r="S50" s="50">
        <f>IF(B50="","",IF(H50="Done","Yes","No"))</f>
        <v>0</v>
      </c>
      <c r="T50" s="39">
        <f>IF(B50="","",IF(G50="","Add - what was the task?",IF(H50="Issue found",IF(M50="Yes","OK - issue reported","Action - tell the client"),IF(H50="Needs rework","Action - rework needed",IF(AND(H50="Skipped",P50="Yes"),"Check - required task skipped",IF(H50="Done","OK","Due"))))))</f>
        <v>0</v>
      </c>
    </row>
    <row r="51" spans="1:20">
      <c r="A51" s="43">
        <f>IF(B51="","","JT-"&amp;TEXT(ROW()-4,"0000"))</f>
        <v>0</v>
      </c>
      <c r="C51" s="18">
        <f>IF(B51="","",IFERROR(INDEX(Jobs!$B$5:$B$604,MATCH(B51,Jobs!$A$5:$A$604,0)),""))</f>
        <v>0</v>
      </c>
      <c r="D51" s="23">
        <f>IF(B51="","",IFERROR(INDEX(Jobs!$H$5:$H$604,MATCH(B51,Jobs!$A$5:$A$604,0)),""))</f>
        <v>0</v>
      </c>
      <c r="E51" s="23">
        <f>IF(B51="","",IFERROR(INDEX(Jobs!$K$5:$K$604,MATCH(B51,Jobs!$A$5:$A$604,0)),""))</f>
        <v>0</v>
      </c>
      <c r="P51" s="50">
        <f>IF(G51="","",IFERROR(INDEX(Checklists!$J$5:$J$404,MATCH(G51,Checklists!$F$5:$F$404,0)),"Yes"))</f>
        <v>0</v>
      </c>
      <c r="Q51" s="31">
        <f>IF(G51="","",IFERROR(INDEX(Checklists!$H$5:$H$404,MATCH(G51,Checklists!$F$5:$F$404,0)),""))</f>
        <v>0</v>
      </c>
      <c r="R51" s="31">
        <f>IF(OR(J51="",Q51=""),"",J51-Q51)</f>
        <v>0</v>
      </c>
      <c r="S51" s="50">
        <f>IF(B51="","",IF(H51="Done","Yes","No"))</f>
        <v>0</v>
      </c>
      <c r="T51" s="39">
        <f>IF(B51="","",IF(G51="","Add - what was the task?",IF(H51="Issue found",IF(M51="Yes","OK - issue reported","Action - tell the client"),IF(H51="Needs rework","Action - rework needed",IF(AND(H51="Skipped",P51="Yes"),"Check - required task skipped",IF(H51="Done","OK","Due"))))))</f>
        <v>0</v>
      </c>
    </row>
    <row r="52" spans="1:20">
      <c r="A52" s="43">
        <f>IF(B52="","","JT-"&amp;TEXT(ROW()-4,"0000"))</f>
        <v>0</v>
      </c>
      <c r="C52" s="18">
        <f>IF(B52="","",IFERROR(INDEX(Jobs!$B$5:$B$604,MATCH(B52,Jobs!$A$5:$A$604,0)),""))</f>
        <v>0</v>
      </c>
      <c r="D52" s="23">
        <f>IF(B52="","",IFERROR(INDEX(Jobs!$H$5:$H$604,MATCH(B52,Jobs!$A$5:$A$604,0)),""))</f>
        <v>0</v>
      </c>
      <c r="E52" s="23">
        <f>IF(B52="","",IFERROR(INDEX(Jobs!$K$5:$K$604,MATCH(B52,Jobs!$A$5:$A$604,0)),""))</f>
        <v>0</v>
      </c>
      <c r="P52" s="50">
        <f>IF(G52="","",IFERROR(INDEX(Checklists!$J$5:$J$404,MATCH(G52,Checklists!$F$5:$F$404,0)),"Yes"))</f>
        <v>0</v>
      </c>
      <c r="Q52" s="31">
        <f>IF(G52="","",IFERROR(INDEX(Checklists!$H$5:$H$404,MATCH(G52,Checklists!$F$5:$F$404,0)),""))</f>
        <v>0</v>
      </c>
      <c r="R52" s="31">
        <f>IF(OR(J52="",Q52=""),"",J52-Q52)</f>
        <v>0</v>
      </c>
      <c r="S52" s="50">
        <f>IF(B52="","",IF(H52="Done","Yes","No"))</f>
        <v>0</v>
      </c>
      <c r="T52" s="39">
        <f>IF(B52="","",IF(G52="","Add - what was the task?",IF(H52="Issue found",IF(M52="Yes","OK - issue reported","Action - tell the client"),IF(H52="Needs rework","Action - rework needed",IF(AND(H52="Skipped",P52="Yes"),"Check - required task skipped",IF(H52="Done","OK","Due"))))))</f>
        <v>0</v>
      </c>
    </row>
    <row r="53" spans="1:20">
      <c r="A53" s="43">
        <f>IF(B53="","","JT-"&amp;TEXT(ROW()-4,"0000"))</f>
        <v>0</v>
      </c>
      <c r="C53" s="18">
        <f>IF(B53="","",IFERROR(INDEX(Jobs!$B$5:$B$604,MATCH(B53,Jobs!$A$5:$A$604,0)),""))</f>
        <v>0</v>
      </c>
      <c r="D53" s="23">
        <f>IF(B53="","",IFERROR(INDEX(Jobs!$H$5:$H$604,MATCH(B53,Jobs!$A$5:$A$604,0)),""))</f>
        <v>0</v>
      </c>
      <c r="E53" s="23">
        <f>IF(B53="","",IFERROR(INDEX(Jobs!$K$5:$K$604,MATCH(B53,Jobs!$A$5:$A$604,0)),""))</f>
        <v>0</v>
      </c>
      <c r="P53" s="50">
        <f>IF(G53="","",IFERROR(INDEX(Checklists!$J$5:$J$404,MATCH(G53,Checklists!$F$5:$F$404,0)),"Yes"))</f>
        <v>0</v>
      </c>
      <c r="Q53" s="31">
        <f>IF(G53="","",IFERROR(INDEX(Checklists!$H$5:$H$404,MATCH(G53,Checklists!$F$5:$F$404,0)),""))</f>
        <v>0</v>
      </c>
      <c r="R53" s="31">
        <f>IF(OR(J53="",Q53=""),"",J53-Q53)</f>
        <v>0</v>
      </c>
      <c r="S53" s="50">
        <f>IF(B53="","",IF(H53="Done","Yes","No"))</f>
        <v>0</v>
      </c>
      <c r="T53" s="39">
        <f>IF(B53="","",IF(G53="","Add - what was the task?",IF(H53="Issue found",IF(M53="Yes","OK - issue reported","Action - tell the client"),IF(H53="Needs rework","Action - rework needed",IF(AND(H53="Skipped",P53="Yes"),"Check - required task skipped",IF(H53="Done","OK","Due"))))))</f>
        <v>0</v>
      </c>
    </row>
    <row r="54" spans="1:20">
      <c r="A54" s="43">
        <f>IF(B54="","","JT-"&amp;TEXT(ROW()-4,"0000"))</f>
        <v>0</v>
      </c>
      <c r="C54" s="18">
        <f>IF(B54="","",IFERROR(INDEX(Jobs!$B$5:$B$604,MATCH(B54,Jobs!$A$5:$A$604,0)),""))</f>
        <v>0</v>
      </c>
      <c r="D54" s="23">
        <f>IF(B54="","",IFERROR(INDEX(Jobs!$H$5:$H$604,MATCH(B54,Jobs!$A$5:$A$604,0)),""))</f>
        <v>0</v>
      </c>
      <c r="E54" s="23">
        <f>IF(B54="","",IFERROR(INDEX(Jobs!$K$5:$K$604,MATCH(B54,Jobs!$A$5:$A$604,0)),""))</f>
        <v>0</v>
      </c>
      <c r="P54" s="50">
        <f>IF(G54="","",IFERROR(INDEX(Checklists!$J$5:$J$404,MATCH(G54,Checklists!$F$5:$F$404,0)),"Yes"))</f>
        <v>0</v>
      </c>
      <c r="Q54" s="31">
        <f>IF(G54="","",IFERROR(INDEX(Checklists!$H$5:$H$404,MATCH(G54,Checklists!$F$5:$F$404,0)),""))</f>
        <v>0</v>
      </c>
      <c r="R54" s="31">
        <f>IF(OR(J54="",Q54=""),"",J54-Q54)</f>
        <v>0</v>
      </c>
      <c r="S54" s="50">
        <f>IF(B54="","",IF(H54="Done","Yes","No"))</f>
        <v>0</v>
      </c>
      <c r="T54" s="39">
        <f>IF(B54="","",IF(G54="","Add - what was the task?",IF(H54="Issue found",IF(M54="Yes","OK - issue reported","Action - tell the client"),IF(H54="Needs rework","Action - rework needed",IF(AND(H54="Skipped",P54="Yes"),"Check - required task skipped",IF(H54="Done","OK","Due"))))))</f>
        <v>0</v>
      </c>
    </row>
    <row r="55" spans="1:20">
      <c r="A55" s="43">
        <f>IF(B55="","","JT-"&amp;TEXT(ROW()-4,"0000"))</f>
        <v>0</v>
      </c>
      <c r="C55" s="18">
        <f>IF(B55="","",IFERROR(INDEX(Jobs!$B$5:$B$604,MATCH(B55,Jobs!$A$5:$A$604,0)),""))</f>
        <v>0</v>
      </c>
      <c r="D55" s="23">
        <f>IF(B55="","",IFERROR(INDEX(Jobs!$H$5:$H$604,MATCH(B55,Jobs!$A$5:$A$604,0)),""))</f>
        <v>0</v>
      </c>
      <c r="E55" s="23">
        <f>IF(B55="","",IFERROR(INDEX(Jobs!$K$5:$K$604,MATCH(B55,Jobs!$A$5:$A$604,0)),""))</f>
        <v>0</v>
      </c>
      <c r="P55" s="50">
        <f>IF(G55="","",IFERROR(INDEX(Checklists!$J$5:$J$404,MATCH(G55,Checklists!$F$5:$F$404,0)),"Yes"))</f>
        <v>0</v>
      </c>
      <c r="Q55" s="31">
        <f>IF(G55="","",IFERROR(INDEX(Checklists!$H$5:$H$404,MATCH(G55,Checklists!$F$5:$F$404,0)),""))</f>
        <v>0</v>
      </c>
      <c r="R55" s="31">
        <f>IF(OR(J55="",Q55=""),"",J55-Q55)</f>
        <v>0</v>
      </c>
      <c r="S55" s="50">
        <f>IF(B55="","",IF(H55="Done","Yes","No"))</f>
        <v>0</v>
      </c>
      <c r="T55" s="39">
        <f>IF(B55="","",IF(G55="","Add - what was the task?",IF(H55="Issue found",IF(M55="Yes","OK - issue reported","Action - tell the client"),IF(H55="Needs rework","Action - rework needed",IF(AND(H55="Skipped",P55="Yes"),"Check - required task skipped",IF(H55="Done","OK","Due"))))))</f>
        <v>0</v>
      </c>
    </row>
    <row r="56" spans="1:20">
      <c r="A56" s="43">
        <f>IF(B56="","","JT-"&amp;TEXT(ROW()-4,"0000"))</f>
        <v>0</v>
      </c>
      <c r="C56" s="18">
        <f>IF(B56="","",IFERROR(INDEX(Jobs!$B$5:$B$604,MATCH(B56,Jobs!$A$5:$A$604,0)),""))</f>
        <v>0</v>
      </c>
      <c r="D56" s="23">
        <f>IF(B56="","",IFERROR(INDEX(Jobs!$H$5:$H$604,MATCH(B56,Jobs!$A$5:$A$604,0)),""))</f>
        <v>0</v>
      </c>
      <c r="E56" s="23">
        <f>IF(B56="","",IFERROR(INDEX(Jobs!$K$5:$K$604,MATCH(B56,Jobs!$A$5:$A$604,0)),""))</f>
        <v>0</v>
      </c>
      <c r="P56" s="50">
        <f>IF(G56="","",IFERROR(INDEX(Checklists!$J$5:$J$404,MATCH(G56,Checklists!$F$5:$F$404,0)),"Yes"))</f>
        <v>0</v>
      </c>
      <c r="Q56" s="31">
        <f>IF(G56="","",IFERROR(INDEX(Checklists!$H$5:$H$404,MATCH(G56,Checklists!$F$5:$F$404,0)),""))</f>
        <v>0</v>
      </c>
      <c r="R56" s="31">
        <f>IF(OR(J56="",Q56=""),"",J56-Q56)</f>
        <v>0</v>
      </c>
      <c r="S56" s="50">
        <f>IF(B56="","",IF(H56="Done","Yes","No"))</f>
        <v>0</v>
      </c>
      <c r="T56" s="39">
        <f>IF(B56="","",IF(G56="","Add - what was the task?",IF(H56="Issue found",IF(M56="Yes","OK - issue reported","Action - tell the client"),IF(H56="Needs rework","Action - rework needed",IF(AND(H56="Skipped",P56="Yes"),"Check - required task skipped",IF(H56="Done","OK","Due"))))))</f>
        <v>0</v>
      </c>
    </row>
    <row r="57" spans="1:20">
      <c r="A57" s="43">
        <f>IF(B57="","","JT-"&amp;TEXT(ROW()-4,"0000"))</f>
        <v>0</v>
      </c>
      <c r="C57" s="18">
        <f>IF(B57="","",IFERROR(INDEX(Jobs!$B$5:$B$604,MATCH(B57,Jobs!$A$5:$A$604,0)),""))</f>
        <v>0</v>
      </c>
      <c r="D57" s="23">
        <f>IF(B57="","",IFERROR(INDEX(Jobs!$H$5:$H$604,MATCH(B57,Jobs!$A$5:$A$604,0)),""))</f>
        <v>0</v>
      </c>
      <c r="E57" s="23">
        <f>IF(B57="","",IFERROR(INDEX(Jobs!$K$5:$K$604,MATCH(B57,Jobs!$A$5:$A$604,0)),""))</f>
        <v>0</v>
      </c>
      <c r="P57" s="50">
        <f>IF(G57="","",IFERROR(INDEX(Checklists!$J$5:$J$404,MATCH(G57,Checklists!$F$5:$F$404,0)),"Yes"))</f>
        <v>0</v>
      </c>
      <c r="Q57" s="31">
        <f>IF(G57="","",IFERROR(INDEX(Checklists!$H$5:$H$404,MATCH(G57,Checklists!$F$5:$F$404,0)),""))</f>
        <v>0</v>
      </c>
      <c r="R57" s="31">
        <f>IF(OR(J57="",Q57=""),"",J57-Q57)</f>
        <v>0</v>
      </c>
      <c r="S57" s="50">
        <f>IF(B57="","",IF(H57="Done","Yes","No"))</f>
        <v>0</v>
      </c>
      <c r="T57" s="39">
        <f>IF(B57="","",IF(G57="","Add - what was the task?",IF(H57="Issue found",IF(M57="Yes","OK - issue reported","Action - tell the client"),IF(H57="Needs rework","Action - rework needed",IF(AND(H57="Skipped",P57="Yes"),"Check - required task skipped",IF(H57="Done","OK","Due"))))))</f>
        <v>0</v>
      </c>
    </row>
    <row r="58" spans="1:20">
      <c r="A58" s="43">
        <f>IF(B58="","","JT-"&amp;TEXT(ROW()-4,"0000"))</f>
        <v>0</v>
      </c>
      <c r="C58" s="18">
        <f>IF(B58="","",IFERROR(INDEX(Jobs!$B$5:$B$604,MATCH(B58,Jobs!$A$5:$A$604,0)),""))</f>
        <v>0</v>
      </c>
      <c r="D58" s="23">
        <f>IF(B58="","",IFERROR(INDEX(Jobs!$H$5:$H$604,MATCH(B58,Jobs!$A$5:$A$604,0)),""))</f>
        <v>0</v>
      </c>
      <c r="E58" s="23">
        <f>IF(B58="","",IFERROR(INDEX(Jobs!$K$5:$K$604,MATCH(B58,Jobs!$A$5:$A$604,0)),""))</f>
        <v>0</v>
      </c>
      <c r="P58" s="50">
        <f>IF(G58="","",IFERROR(INDEX(Checklists!$J$5:$J$404,MATCH(G58,Checklists!$F$5:$F$404,0)),"Yes"))</f>
        <v>0</v>
      </c>
      <c r="Q58" s="31">
        <f>IF(G58="","",IFERROR(INDEX(Checklists!$H$5:$H$404,MATCH(G58,Checklists!$F$5:$F$404,0)),""))</f>
        <v>0</v>
      </c>
      <c r="R58" s="31">
        <f>IF(OR(J58="",Q58=""),"",J58-Q58)</f>
        <v>0</v>
      </c>
      <c r="S58" s="50">
        <f>IF(B58="","",IF(H58="Done","Yes","No"))</f>
        <v>0</v>
      </c>
      <c r="T58" s="39">
        <f>IF(B58="","",IF(G58="","Add - what was the task?",IF(H58="Issue found",IF(M58="Yes","OK - issue reported","Action - tell the client"),IF(H58="Needs rework","Action - rework needed",IF(AND(H58="Skipped",P58="Yes"),"Check - required task skipped",IF(H58="Done","OK","Due"))))))</f>
        <v>0</v>
      </c>
    </row>
    <row r="59" spans="1:20">
      <c r="A59" s="43">
        <f>IF(B59="","","JT-"&amp;TEXT(ROW()-4,"0000"))</f>
        <v>0</v>
      </c>
      <c r="C59" s="18">
        <f>IF(B59="","",IFERROR(INDEX(Jobs!$B$5:$B$604,MATCH(B59,Jobs!$A$5:$A$604,0)),""))</f>
        <v>0</v>
      </c>
      <c r="D59" s="23">
        <f>IF(B59="","",IFERROR(INDEX(Jobs!$H$5:$H$604,MATCH(B59,Jobs!$A$5:$A$604,0)),""))</f>
        <v>0</v>
      </c>
      <c r="E59" s="23">
        <f>IF(B59="","",IFERROR(INDEX(Jobs!$K$5:$K$604,MATCH(B59,Jobs!$A$5:$A$604,0)),""))</f>
        <v>0</v>
      </c>
      <c r="P59" s="50">
        <f>IF(G59="","",IFERROR(INDEX(Checklists!$J$5:$J$404,MATCH(G59,Checklists!$F$5:$F$404,0)),"Yes"))</f>
        <v>0</v>
      </c>
      <c r="Q59" s="31">
        <f>IF(G59="","",IFERROR(INDEX(Checklists!$H$5:$H$404,MATCH(G59,Checklists!$F$5:$F$404,0)),""))</f>
        <v>0</v>
      </c>
      <c r="R59" s="31">
        <f>IF(OR(J59="",Q59=""),"",J59-Q59)</f>
        <v>0</v>
      </c>
      <c r="S59" s="50">
        <f>IF(B59="","",IF(H59="Done","Yes","No"))</f>
        <v>0</v>
      </c>
      <c r="T59" s="39">
        <f>IF(B59="","",IF(G59="","Add - what was the task?",IF(H59="Issue found",IF(M59="Yes","OK - issue reported","Action - tell the client"),IF(H59="Needs rework","Action - rework needed",IF(AND(H59="Skipped",P59="Yes"),"Check - required task skipped",IF(H59="Done","OK","Due"))))))</f>
        <v>0</v>
      </c>
    </row>
    <row r="60" spans="1:20">
      <c r="A60" s="43">
        <f>IF(B60="","","JT-"&amp;TEXT(ROW()-4,"0000"))</f>
        <v>0</v>
      </c>
      <c r="C60" s="18">
        <f>IF(B60="","",IFERROR(INDEX(Jobs!$B$5:$B$604,MATCH(B60,Jobs!$A$5:$A$604,0)),""))</f>
        <v>0</v>
      </c>
      <c r="D60" s="23">
        <f>IF(B60="","",IFERROR(INDEX(Jobs!$H$5:$H$604,MATCH(B60,Jobs!$A$5:$A$604,0)),""))</f>
        <v>0</v>
      </c>
      <c r="E60" s="23">
        <f>IF(B60="","",IFERROR(INDEX(Jobs!$K$5:$K$604,MATCH(B60,Jobs!$A$5:$A$604,0)),""))</f>
        <v>0</v>
      </c>
      <c r="P60" s="50">
        <f>IF(G60="","",IFERROR(INDEX(Checklists!$J$5:$J$404,MATCH(G60,Checklists!$F$5:$F$404,0)),"Yes"))</f>
        <v>0</v>
      </c>
      <c r="Q60" s="31">
        <f>IF(G60="","",IFERROR(INDEX(Checklists!$H$5:$H$404,MATCH(G60,Checklists!$F$5:$F$404,0)),""))</f>
        <v>0</v>
      </c>
      <c r="R60" s="31">
        <f>IF(OR(J60="",Q60=""),"",J60-Q60)</f>
        <v>0</v>
      </c>
      <c r="S60" s="50">
        <f>IF(B60="","",IF(H60="Done","Yes","No"))</f>
        <v>0</v>
      </c>
      <c r="T60" s="39">
        <f>IF(B60="","",IF(G60="","Add - what was the task?",IF(H60="Issue found",IF(M60="Yes","OK - issue reported","Action - tell the client"),IF(H60="Needs rework","Action - rework needed",IF(AND(H60="Skipped",P60="Yes"),"Check - required task skipped",IF(H60="Done","OK","Due"))))))</f>
        <v>0</v>
      </c>
    </row>
    <row r="61" spans="1:20">
      <c r="A61" s="43">
        <f>IF(B61="","","JT-"&amp;TEXT(ROW()-4,"0000"))</f>
        <v>0</v>
      </c>
      <c r="C61" s="18">
        <f>IF(B61="","",IFERROR(INDEX(Jobs!$B$5:$B$604,MATCH(B61,Jobs!$A$5:$A$604,0)),""))</f>
        <v>0</v>
      </c>
      <c r="D61" s="23">
        <f>IF(B61="","",IFERROR(INDEX(Jobs!$H$5:$H$604,MATCH(B61,Jobs!$A$5:$A$604,0)),""))</f>
        <v>0</v>
      </c>
      <c r="E61" s="23">
        <f>IF(B61="","",IFERROR(INDEX(Jobs!$K$5:$K$604,MATCH(B61,Jobs!$A$5:$A$604,0)),""))</f>
        <v>0</v>
      </c>
      <c r="P61" s="50">
        <f>IF(G61="","",IFERROR(INDEX(Checklists!$J$5:$J$404,MATCH(G61,Checklists!$F$5:$F$404,0)),"Yes"))</f>
        <v>0</v>
      </c>
      <c r="Q61" s="31">
        <f>IF(G61="","",IFERROR(INDEX(Checklists!$H$5:$H$404,MATCH(G61,Checklists!$F$5:$F$404,0)),""))</f>
        <v>0</v>
      </c>
      <c r="R61" s="31">
        <f>IF(OR(J61="",Q61=""),"",J61-Q61)</f>
        <v>0</v>
      </c>
      <c r="S61" s="50">
        <f>IF(B61="","",IF(H61="Done","Yes","No"))</f>
        <v>0</v>
      </c>
      <c r="T61" s="39">
        <f>IF(B61="","",IF(G61="","Add - what was the task?",IF(H61="Issue found",IF(M61="Yes","OK - issue reported","Action - tell the client"),IF(H61="Needs rework","Action - rework needed",IF(AND(H61="Skipped",P61="Yes"),"Check - required task skipped",IF(H61="Done","OK","Due"))))))</f>
        <v>0</v>
      </c>
    </row>
    <row r="62" spans="1:20">
      <c r="A62" s="43">
        <f>IF(B62="","","JT-"&amp;TEXT(ROW()-4,"0000"))</f>
        <v>0</v>
      </c>
      <c r="C62" s="18">
        <f>IF(B62="","",IFERROR(INDEX(Jobs!$B$5:$B$604,MATCH(B62,Jobs!$A$5:$A$604,0)),""))</f>
        <v>0</v>
      </c>
      <c r="D62" s="23">
        <f>IF(B62="","",IFERROR(INDEX(Jobs!$H$5:$H$604,MATCH(B62,Jobs!$A$5:$A$604,0)),""))</f>
        <v>0</v>
      </c>
      <c r="E62" s="23">
        <f>IF(B62="","",IFERROR(INDEX(Jobs!$K$5:$K$604,MATCH(B62,Jobs!$A$5:$A$604,0)),""))</f>
        <v>0</v>
      </c>
      <c r="P62" s="50">
        <f>IF(G62="","",IFERROR(INDEX(Checklists!$J$5:$J$404,MATCH(G62,Checklists!$F$5:$F$404,0)),"Yes"))</f>
        <v>0</v>
      </c>
      <c r="Q62" s="31">
        <f>IF(G62="","",IFERROR(INDEX(Checklists!$H$5:$H$404,MATCH(G62,Checklists!$F$5:$F$404,0)),""))</f>
        <v>0</v>
      </c>
      <c r="R62" s="31">
        <f>IF(OR(J62="",Q62=""),"",J62-Q62)</f>
        <v>0</v>
      </c>
      <c r="S62" s="50">
        <f>IF(B62="","",IF(H62="Done","Yes","No"))</f>
        <v>0</v>
      </c>
      <c r="T62" s="39">
        <f>IF(B62="","",IF(G62="","Add - what was the task?",IF(H62="Issue found",IF(M62="Yes","OK - issue reported","Action - tell the client"),IF(H62="Needs rework","Action - rework needed",IF(AND(H62="Skipped",P62="Yes"),"Check - required task skipped",IF(H62="Done","OK","Due"))))))</f>
        <v>0</v>
      </c>
    </row>
    <row r="63" spans="1:20">
      <c r="A63" s="43">
        <f>IF(B63="","","JT-"&amp;TEXT(ROW()-4,"0000"))</f>
        <v>0</v>
      </c>
      <c r="C63" s="18">
        <f>IF(B63="","",IFERROR(INDEX(Jobs!$B$5:$B$604,MATCH(B63,Jobs!$A$5:$A$604,0)),""))</f>
        <v>0</v>
      </c>
      <c r="D63" s="23">
        <f>IF(B63="","",IFERROR(INDEX(Jobs!$H$5:$H$604,MATCH(B63,Jobs!$A$5:$A$604,0)),""))</f>
        <v>0</v>
      </c>
      <c r="E63" s="23">
        <f>IF(B63="","",IFERROR(INDEX(Jobs!$K$5:$K$604,MATCH(B63,Jobs!$A$5:$A$604,0)),""))</f>
        <v>0</v>
      </c>
      <c r="P63" s="50">
        <f>IF(G63="","",IFERROR(INDEX(Checklists!$J$5:$J$404,MATCH(G63,Checklists!$F$5:$F$404,0)),"Yes"))</f>
        <v>0</v>
      </c>
      <c r="Q63" s="31">
        <f>IF(G63="","",IFERROR(INDEX(Checklists!$H$5:$H$404,MATCH(G63,Checklists!$F$5:$F$404,0)),""))</f>
        <v>0</v>
      </c>
      <c r="R63" s="31">
        <f>IF(OR(J63="",Q63=""),"",J63-Q63)</f>
        <v>0</v>
      </c>
      <c r="S63" s="50">
        <f>IF(B63="","",IF(H63="Done","Yes","No"))</f>
        <v>0</v>
      </c>
      <c r="T63" s="39">
        <f>IF(B63="","",IF(G63="","Add - what was the task?",IF(H63="Issue found",IF(M63="Yes","OK - issue reported","Action - tell the client"),IF(H63="Needs rework","Action - rework needed",IF(AND(H63="Skipped",P63="Yes"),"Check - required task skipped",IF(H63="Done","OK","Due"))))))</f>
        <v>0</v>
      </c>
    </row>
    <row r="64" spans="1:20">
      <c r="A64" s="43">
        <f>IF(B64="","","JT-"&amp;TEXT(ROW()-4,"0000"))</f>
        <v>0</v>
      </c>
      <c r="C64" s="18">
        <f>IF(B64="","",IFERROR(INDEX(Jobs!$B$5:$B$604,MATCH(B64,Jobs!$A$5:$A$604,0)),""))</f>
        <v>0</v>
      </c>
      <c r="D64" s="23">
        <f>IF(B64="","",IFERROR(INDEX(Jobs!$H$5:$H$604,MATCH(B64,Jobs!$A$5:$A$604,0)),""))</f>
        <v>0</v>
      </c>
      <c r="E64" s="23">
        <f>IF(B64="","",IFERROR(INDEX(Jobs!$K$5:$K$604,MATCH(B64,Jobs!$A$5:$A$604,0)),""))</f>
        <v>0</v>
      </c>
      <c r="P64" s="50">
        <f>IF(G64="","",IFERROR(INDEX(Checklists!$J$5:$J$404,MATCH(G64,Checklists!$F$5:$F$404,0)),"Yes"))</f>
        <v>0</v>
      </c>
      <c r="Q64" s="31">
        <f>IF(G64="","",IFERROR(INDEX(Checklists!$H$5:$H$404,MATCH(G64,Checklists!$F$5:$F$404,0)),""))</f>
        <v>0</v>
      </c>
      <c r="R64" s="31">
        <f>IF(OR(J64="",Q64=""),"",J64-Q64)</f>
        <v>0</v>
      </c>
      <c r="S64" s="50">
        <f>IF(B64="","",IF(H64="Done","Yes","No"))</f>
        <v>0</v>
      </c>
      <c r="T64" s="39">
        <f>IF(B64="","",IF(G64="","Add - what was the task?",IF(H64="Issue found",IF(M64="Yes","OK - issue reported","Action - tell the client"),IF(H64="Needs rework","Action - rework needed",IF(AND(H64="Skipped",P64="Yes"),"Check - required task skipped",IF(H64="Done","OK","Due"))))))</f>
        <v>0</v>
      </c>
    </row>
    <row r="65" spans="1:20">
      <c r="A65" s="43">
        <f>IF(B65="","","JT-"&amp;TEXT(ROW()-4,"0000"))</f>
        <v>0</v>
      </c>
      <c r="C65" s="18">
        <f>IF(B65="","",IFERROR(INDEX(Jobs!$B$5:$B$604,MATCH(B65,Jobs!$A$5:$A$604,0)),""))</f>
        <v>0</v>
      </c>
      <c r="D65" s="23">
        <f>IF(B65="","",IFERROR(INDEX(Jobs!$H$5:$H$604,MATCH(B65,Jobs!$A$5:$A$604,0)),""))</f>
        <v>0</v>
      </c>
      <c r="E65" s="23">
        <f>IF(B65="","",IFERROR(INDEX(Jobs!$K$5:$K$604,MATCH(B65,Jobs!$A$5:$A$604,0)),""))</f>
        <v>0</v>
      </c>
      <c r="P65" s="50">
        <f>IF(G65="","",IFERROR(INDEX(Checklists!$J$5:$J$404,MATCH(G65,Checklists!$F$5:$F$404,0)),"Yes"))</f>
        <v>0</v>
      </c>
      <c r="Q65" s="31">
        <f>IF(G65="","",IFERROR(INDEX(Checklists!$H$5:$H$404,MATCH(G65,Checklists!$F$5:$F$404,0)),""))</f>
        <v>0</v>
      </c>
      <c r="R65" s="31">
        <f>IF(OR(J65="",Q65=""),"",J65-Q65)</f>
        <v>0</v>
      </c>
      <c r="S65" s="50">
        <f>IF(B65="","",IF(H65="Done","Yes","No"))</f>
        <v>0</v>
      </c>
      <c r="T65" s="39">
        <f>IF(B65="","",IF(G65="","Add - what was the task?",IF(H65="Issue found",IF(M65="Yes","OK - issue reported","Action - tell the client"),IF(H65="Needs rework","Action - rework needed",IF(AND(H65="Skipped",P65="Yes"),"Check - required task skipped",IF(H65="Done","OK","Due"))))))</f>
        <v>0</v>
      </c>
    </row>
    <row r="66" spans="1:20">
      <c r="A66" s="43">
        <f>IF(B66="","","JT-"&amp;TEXT(ROW()-4,"0000"))</f>
        <v>0</v>
      </c>
      <c r="C66" s="18">
        <f>IF(B66="","",IFERROR(INDEX(Jobs!$B$5:$B$604,MATCH(B66,Jobs!$A$5:$A$604,0)),""))</f>
        <v>0</v>
      </c>
      <c r="D66" s="23">
        <f>IF(B66="","",IFERROR(INDEX(Jobs!$H$5:$H$604,MATCH(B66,Jobs!$A$5:$A$604,0)),""))</f>
        <v>0</v>
      </c>
      <c r="E66" s="23">
        <f>IF(B66="","",IFERROR(INDEX(Jobs!$K$5:$K$604,MATCH(B66,Jobs!$A$5:$A$604,0)),""))</f>
        <v>0</v>
      </c>
      <c r="P66" s="50">
        <f>IF(G66="","",IFERROR(INDEX(Checklists!$J$5:$J$404,MATCH(G66,Checklists!$F$5:$F$404,0)),"Yes"))</f>
        <v>0</v>
      </c>
      <c r="Q66" s="31">
        <f>IF(G66="","",IFERROR(INDEX(Checklists!$H$5:$H$404,MATCH(G66,Checklists!$F$5:$F$404,0)),""))</f>
        <v>0</v>
      </c>
      <c r="R66" s="31">
        <f>IF(OR(J66="",Q66=""),"",J66-Q66)</f>
        <v>0</v>
      </c>
      <c r="S66" s="50">
        <f>IF(B66="","",IF(H66="Done","Yes","No"))</f>
        <v>0</v>
      </c>
      <c r="T66" s="39">
        <f>IF(B66="","",IF(G66="","Add - what was the task?",IF(H66="Issue found",IF(M66="Yes","OK - issue reported","Action - tell the client"),IF(H66="Needs rework","Action - rework needed",IF(AND(H66="Skipped",P66="Yes"),"Check - required task skipped",IF(H66="Done","OK","Due"))))))</f>
        <v>0</v>
      </c>
    </row>
    <row r="67" spans="1:20">
      <c r="A67" s="43">
        <f>IF(B67="","","JT-"&amp;TEXT(ROW()-4,"0000"))</f>
        <v>0</v>
      </c>
      <c r="C67" s="18">
        <f>IF(B67="","",IFERROR(INDEX(Jobs!$B$5:$B$604,MATCH(B67,Jobs!$A$5:$A$604,0)),""))</f>
        <v>0</v>
      </c>
      <c r="D67" s="23">
        <f>IF(B67="","",IFERROR(INDEX(Jobs!$H$5:$H$604,MATCH(B67,Jobs!$A$5:$A$604,0)),""))</f>
        <v>0</v>
      </c>
      <c r="E67" s="23">
        <f>IF(B67="","",IFERROR(INDEX(Jobs!$K$5:$K$604,MATCH(B67,Jobs!$A$5:$A$604,0)),""))</f>
        <v>0</v>
      </c>
      <c r="P67" s="50">
        <f>IF(G67="","",IFERROR(INDEX(Checklists!$J$5:$J$404,MATCH(G67,Checklists!$F$5:$F$404,0)),"Yes"))</f>
        <v>0</v>
      </c>
      <c r="Q67" s="31">
        <f>IF(G67="","",IFERROR(INDEX(Checklists!$H$5:$H$404,MATCH(G67,Checklists!$F$5:$F$404,0)),""))</f>
        <v>0</v>
      </c>
      <c r="R67" s="31">
        <f>IF(OR(J67="",Q67=""),"",J67-Q67)</f>
        <v>0</v>
      </c>
      <c r="S67" s="50">
        <f>IF(B67="","",IF(H67="Done","Yes","No"))</f>
        <v>0</v>
      </c>
      <c r="T67" s="39">
        <f>IF(B67="","",IF(G67="","Add - what was the task?",IF(H67="Issue found",IF(M67="Yes","OK - issue reported","Action - tell the client"),IF(H67="Needs rework","Action - rework needed",IF(AND(H67="Skipped",P67="Yes"),"Check - required task skipped",IF(H67="Done","OK","Due"))))))</f>
        <v>0</v>
      </c>
    </row>
    <row r="68" spans="1:20">
      <c r="A68" s="43">
        <f>IF(B68="","","JT-"&amp;TEXT(ROW()-4,"0000"))</f>
        <v>0</v>
      </c>
      <c r="C68" s="18">
        <f>IF(B68="","",IFERROR(INDEX(Jobs!$B$5:$B$604,MATCH(B68,Jobs!$A$5:$A$604,0)),""))</f>
        <v>0</v>
      </c>
      <c r="D68" s="23">
        <f>IF(B68="","",IFERROR(INDEX(Jobs!$H$5:$H$604,MATCH(B68,Jobs!$A$5:$A$604,0)),""))</f>
        <v>0</v>
      </c>
      <c r="E68" s="23">
        <f>IF(B68="","",IFERROR(INDEX(Jobs!$K$5:$K$604,MATCH(B68,Jobs!$A$5:$A$604,0)),""))</f>
        <v>0</v>
      </c>
      <c r="P68" s="50">
        <f>IF(G68="","",IFERROR(INDEX(Checklists!$J$5:$J$404,MATCH(G68,Checklists!$F$5:$F$404,0)),"Yes"))</f>
        <v>0</v>
      </c>
      <c r="Q68" s="31">
        <f>IF(G68="","",IFERROR(INDEX(Checklists!$H$5:$H$404,MATCH(G68,Checklists!$F$5:$F$404,0)),""))</f>
        <v>0</v>
      </c>
      <c r="R68" s="31">
        <f>IF(OR(J68="",Q68=""),"",J68-Q68)</f>
        <v>0</v>
      </c>
      <c r="S68" s="50">
        <f>IF(B68="","",IF(H68="Done","Yes","No"))</f>
        <v>0</v>
      </c>
      <c r="T68" s="39">
        <f>IF(B68="","",IF(G68="","Add - what was the task?",IF(H68="Issue found",IF(M68="Yes","OK - issue reported","Action - tell the client"),IF(H68="Needs rework","Action - rework needed",IF(AND(H68="Skipped",P68="Yes"),"Check - required task skipped",IF(H68="Done","OK","Due"))))))</f>
        <v>0</v>
      </c>
    </row>
    <row r="69" spans="1:20">
      <c r="A69" s="43">
        <f>IF(B69="","","JT-"&amp;TEXT(ROW()-4,"0000"))</f>
        <v>0</v>
      </c>
      <c r="C69" s="18">
        <f>IF(B69="","",IFERROR(INDEX(Jobs!$B$5:$B$604,MATCH(B69,Jobs!$A$5:$A$604,0)),""))</f>
        <v>0</v>
      </c>
      <c r="D69" s="23">
        <f>IF(B69="","",IFERROR(INDEX(Jobs!$H$5:$H$604,MATCH(B69,Jobs!$A$5:$A$604,0)),""))</f>
        <v>0</v>
      </c>
      <c r="E69" s="23">
        <f>IF(B69="","",IFERROR(INDEX(Jobs!$K$5:$K$604,MATCH(B69,Jobs!$A$5:$A$604,0)),""))</f>
        <v>0</v>
      </c>
      <c r="P69" s="50">
        <f>IF(G69="","",IFERROR(INDEX(Checklists!$J$5:$J$404,MATCH(G69,Checklists!$F$5:$F$404,0)),"Yes"))</f>
        <v>0</v>
      </c>
      <c r="Q69" s="31">
        <f>IF(G69="","",IFERROR(INDEX(Checklists!$H$5:$H$404,MATCH(G69,Checklists!$F$5:$F$404,0)),""))</f>
        <v>0</v>
      </c>
      <c r="R69" s="31">
        <f>IF(OR(J69="",Q69=""),"",J69-Q69)</f>
        <v>0</v>
      </c>
      <c r="S69" s="50">
        <f>IF(B69="","",IF(H69="Done","Yes","No"))</f>
        <v>0</v>
      </c>
      <c r="T69" s="39">
        <f>IF(B69="","",IF(G69="","Add - what was the task?",IF(H69="Issue found",IF(M69="Yes","OK - issue reported","Action - tell the client"),IF(H69="Needs rework","Action - rework needed",IF(AND(H69="Skipped",P69="Yes"),"Check - required task skipped",IF(H69="Done","OK","Due"))))))</f>
        <v>0</v>
      </c>
    </row>
    <row r="70" spans="1:20">
      <c r="A70" s="43">
        <f>IF(B70="","","JT-"&amp;TEXT(ROW()-4,"0000"))</f>
        <v>0</v>
      </c>
      <c r="C70" s="18">
        <f>IF(B70="","",IFERROR(INDEX(Jobs!$B$5:$B$604,MATCH(B70,Jobs!$A$5:$A$604,0)),""))</f>
        <v>0</v>
      </c>
      <c r="D70" s="23">
        <f>IF(B70="","",IFERROR(INDEX(Jobs!$H$5:$H$604,MATCH(B70,Jobs!$A$5:$A$604,0)),""))</f>
        <v>0</v>
      </c>
      <c r="E70" s="23">
        <f>IF(B70="","",IFERROR(INDEX(Jobs!$K$5:$K$604,MATCH(B70,Jobs!$A$5:$A$604,0)),""))</f>
        <v>0</v>
      </c>
      <c r="P70" s="50">
        <f>IF(G70="","",IFERROR(INDEX(Checklists!$J$5:$J$404,MATCH(G70,Checklists!$F$5:$F$404,0)),"Yes"))</f>
        <v>0</v>
      </c>
      <c r="Q70" s="31">
        <f>IF(G70="","",IFERROR(INDEX(Checklists!$H$5:$H$404,MATCH(G70,Checklists!$F$5:$F$404,0)),""))</f>
        <v>0</v>
      </c>
      <c r="R70" s="31">
        <f>IF(OR(J70="",Q70=""),"",J70-Q70)</f>
        <v>0</v>
      </c>
      <c r="S70" s="50">
        <f>IF(B70="","",IF(H70="Done","Yes","No"))</f>
        <v>0</v>
      </c>
      <c r="T70" s="39">
        <f>IF(B70="","",IF(G70="","Add - what was the task?",IF(H70="Issue found",IF(M70="Yes","OK - issue reported","Action - tell the client"),IF(H70="Needs rework","Action - rework needed",IF(AND(H70="Skipped",P70="Yes"),"Check - required task skipped",IF(H70="Done","OK","Due"))))))</f>
        <v>0</v>
      </c>
    </row>
    <row r="71" spans="1:20">
      <c r="A71" s="43">
        <f>IF(B71="","","JT-"&amp;TEXT(ROW()-4,"0000"))</f>
        <v>0</v>
      </c>
      <c r="C71" s="18">
        <f>IF(B71="","",IFERROR(INDEX(Jobs!$B$5:$B$604,MATCH(B71,Jobs!$A$5:$A$604,0)),""))</f>
        <v>0</v>
      </c>
      <c r="D71" s="23">
        <f>IF(B71="","",IFERROR(INDEX(Jobs!$H$5:$H$604,MATCH(B71,Jobs!$A$5:$A$604,0)),""))</f>
        <v>0</v>
      </c>
      <c r="E71" s="23">
        <f>IF(B71="","",IFERROR(INDEX(Jobs!$K$5:$K$604,MATCH(B71,Jobs!$A$5:$A$604,0)),""))</f>
        <v>0</v>
      </c>
      <c r="P71" s="50">
        <f>IF(G71="","",IFERROR(INDEX(Checklists!$J$5:$J$404,MATCH(G71,Checklists!$F$5:$F$404,0)),"Yes"))</f>
        <v>0</v>
      </c>
      <c r="Q71" s="31">
        <f>IF(G71="","",IFERROR(INDEX(Checklists!$H$5:$H$404,MATCH(G71,Checklists!$F$5:$F$404,0)),""))</f>
        <v>0</v>
      </c>
      <c r="R71" s="31">
        <f>IF(OR(J71="",Q71=""),"",J71-Q71)</f>
        <v>0</v>
      </c>
      <c r="S71" s="50">
        <f>IF(B71="","",IF(H71="Done","Yes","No"))</f>
        <v>0</v>
      </c>
      <c r="T71" s="39">
        <f>IF(B71="","",IF(G71="","Add - what was the task?",IF(H71="Issue found",IF(M71="Yes","OK - issue reported","Action - tell the client"),IF(H71="Needs rework","Action - rework needed",IF(AND(H71="Skipped",P71="Yes"),"Check - required task skipped",IF(H71="Done","OK","Due"))))))</f>
        <v>0</v>
      </c>
    </row>
    <row r="72" spans="1:20">
      <c r="A72" s="43">
        <f>IF(B72="","","JT-"&amp;TEXT(ROW()-4,"0000"))</f>
        <v>0</v>
      </c>
      <c r="C72" s="18">
        <f>IF(B72="","",IFERROR(INDEX(Jobs!$B$5:$B$604,MATCH(B72,Jobs!$A$5:$A$604,0)),""))</f>
        <v>0</v>
      </c>
      <c r="D72" s="23">
        <f>IF(B72="","",IFERROR(INDEX(Jobs!$H$5:$H$604,MATCH(B72,Jobs!$A$5:$A$604,0)),""))</f>
        <v>0</v>
      </c>
      <c r="E72" s="23">
        <f>IF(B72="","",IFERROR(INDEX(Jobs!$K$5:$K$604,MATCH(B72,Jobs!$A$5:$A$604,0)),""))</f>
        <v>0</v>
      </c>
      <c r="P72" s="50">
        <f>IF(G72="","",IFERROR(INDEX(Checklists!$J$5:$J$404,MATCH(G72,Checklists!$F$5:$F$404,0)),"Yes"))</f>
        <v>0</v>
      </c>
      <c r="Q72" s="31">
        <f>IF(G72="","",IFERROR(INDEX(Checklists!$H$5:$H$404,MATCH(G72,Checklists!$F$5:$F$404,0)),""))</f>
        <v>0</v>
      </c>
      <c r="R72" s="31">
        <f>IF(OR(J72="",Q72=""),"",J72-Q72)</f>
        <v>0</v>
      </c>
      <c r="S72" s="50">
        <f>IF(B72="","",IF(H72="Done","Yes","No"))</f>
        <v>0</v>
      </c>
      <c r="T72" s="39">
        <f>IF(B72="","",IF(G72="","Add - what was the task?",IF(H72="Issue found",IF(M72="Yes","OK - issue reported","Action - tell the client"),IF(H72="Needs rework","Action - rework needed",IF(AND(H72="Skipped",P72="Yes"),"Check - required task skipped",IF(H72="Done","OK","Due"))))))</f>
        <v>0</v>
      </c>
    </row>
    <row r="73" spans="1:20">
      <c r="A73" s="43">
        <f>IF(B73="","","JT-"&amp;TEXT(ROW()-4,"0000"))</f>
        <v>0</v>
      </c>
      <c r="C73" s="18">
        <f>IF(B73="","",IFERROR(INDEX(Jobs!$B$5:$B$604,MATCH(B73,Jobs!$A$5:$A$604,0)),""))</f>
        <v>0</v>
      </c>
      <c r="D73" s="23">
        <f>IF(B73="","",IFERROR(INDEX(Jobs!$H$5:$H$604,MATCH(B73,Jobs!$A$5:$A$604,0)),""))</f>
        <v>0</v>
      </c>
      <c r="E73" s="23">
        <f>IF(B73="","",IFERROR(INDEX(Jobs!$K$5:$K$604,MATCH(B73,Jobs!$A$5:$A$604,0)),""))</f>
        <v>0</v>
      </c>
      <c r="P73" s="50">
        <f>IF(G73="","",IFERROR(INDEX(Checklists!$J$5:$J$404,MATCH(G73,Checklists!$F$5:$F$404,0)),"Yes"))</f>
        <v>0</v>
      </c>
      <c r="Q73" s="31">
        <f>IF(G73="","",IFERROR(INDEX(Checklists!$H$5:$H$404,MATCH(G73,Checklists!$F$5:$F$404,0)),""))</f>
        <v>0</v>
      </c>
      <c r="R73" s="31">
        <f>IF(OR(J73="",Q73=""),"",J73-Q73)</f>
        <v>0</v>
      </c>
      <c r="S73" s="50">
        <f>IF(B73="","",IF(H73="Done","Yes","No"))</f>
        <v>0</v>
      </c>
      <c r="T73" s="39">
        <f>IF(B73="","",IF(G73="","Add - what was the task?",IF(H73="Issue found",IF(M73="Yes","OK - issue reported","Action - tell the client"),IF(H73="Needs rework","Action - rework needed",IF(AND(H73="Skipped",P73="Yes"),"Check - required task skipped",IF(H73="Done","OK","Due"))))))</f>
        <v>0</v>
      </c>
    </row>
    <row r="74" spans="1:20">
      <c r="A74" s="43">
        <f>IF(B74="","","JT-"&amp;TEXT(ROW()-4,"0000"))</f>
        <v>0</v>
      </c>
      <c r="C74" s="18">
        <f>IF(B74="","",IFERROR(INDEX(Jobs!$B$5:$B$604,MATCH(B74,Jobs!$A$5:$A$604,0)),""))</f>
        <v>0</v>
      </c>
      <c r="D74" s="23">
        <f>IF(B74="","",IFERROR(INDEX(Jobs!$H$5:$H$604,MATCH(B74,Jobs!$A$5:$A$604,0)),""))</f>
        <v>0</v>
      </c>
      <c r="E74" s="23">
        <f>IF(B74="","",IFERROR(INDEX(Jobs!$K$5:$K$604,MATCH(B74,Jobs!$A$5:$A$604,0)),""))</f>
        <v>0</v>
      </c>
      <c r="P74" s="50">
        <f>IF(G74="","",IFERROR(INDEX(Checklists!$J$5:$J$404,MATCH(G74,Checklists!$F$5:$F$404,0)),"Yes"))</f>
        <v>0</v>
      </c>
      <c r="Q74" s="31">
        <f>IF(G74="","",IFERROR(INDEX(Checklists!$H$5:$H$404,MATCH(G74,Checklists!$F$5:$F$404,0)),""))</f>
        <v>0</v>
      </c>
      <c r="R74" s="31">
        <f>IF(OR(J74="",Q74=""),"",J74-Q74)</f>
        <v>0</v>
      </c>
      <c r="S74" s="50">
        <f>IF(B74="","",IF(H74="Done","Yes","No"))</f>
        <v>0</v>
      </c>
      <c r="T74" s="39">
        <f>IF(B74="","",IF(G74="","Add - what was the task?",IF(H74="Issue found",IF(M74="Yes","OK - issue reported","Action - tell the client"),IF(H74="Needs rework","Action - rework needed",IF(AND(H74="Skipped",P74="Yes"),"Check - required task skipped",IF(H74="Done","OK","Due"))))))</f>
        <v>0</v>
      </c>
    </row>
    <row r="75" spans="1:20">
      <c r="A75" s="43">
        <f>IF(B75="","","JT-"&amp;TEXT(ROW()-4,"0000"))</f>
        <v>0</v>
      </c>
      <c r="C75" s="18">
        <f>IF(B75="","",IFERROR(INDEX(Jobs!$B$5:$B$604,MATCH(B75,Jobs!$A$5:$A$604,0)),""))</f>
        <v>0</v>
      </c>
      <c r="D75" s="23">
        <f>IF(B75="","",IFERROR(INDEX(Jobs!$H$5:$H$604,MATCH(B75,Jobs!$A$5:$A$604,0)),""))</f>
        <v>0</v>
      </c>
      <c r="E75" s="23">
        <f>IF(B75="","",IFERROR(INDEX(Jobs!$K$5:$K$604,MATCH(B75,Jobs!$A$5:$A$604,0)),""))</f>
        <v>0</v>
      </c>
      <c r="P75" s="50">
        <f>IF(G75="","",IFERROR(INDEX(Checklists!$J$5:$J$404,MATCH(G75,Checklists!$F$5:$F$404,0)),"Yes"))</f>
        <v>0</v>
      </c>
      <c r="Q75" s="31">
        <f>IF(G75="","",IFERROR(INDEX(Checklists!$H$5:$H$404,MATCH(G75,Checklists!$F$5:$F$404,0)),""))</f>
        <v>0</v>
      </c>
      <c r="R75" s="31">
        <f>IF(OR(J75="",Q75=""),"",J75-Q75)</f>
        <v>0</v>
      </c>
      <c r="S75" s="50">
        <f>IF(B75="","",IF(H75="Done","Yes","No"))</f>
        <v>0</v>
      </c>
      <c r="T75" s="39">
        <f>IF(B75="","",IF(G75="","Add - what was the task?",IF(H75="Issue found",IF(M75="Yes","OK - issue reported","Action - tell the client"),IF(H75="Needs rework","Action - rework needed",IF(AND(H75="Skipped",P75="Yes"),"Check - required task skipped",IF(H75="Done","OK","Due"))))))</f>
        <v>0</v>
      </c>
    </row>
    <row r="76" spans="1:20">
      <c r="A76" s="43">
        <f>IF(B76="","","JT-"&amp;TEXT(ROW()-4,"0000"))</f>
        <v>0</v>
      </c>
      <c r="C76" s="18">
        <f>IF(B76="","",IFERROR(INDEX(Jobs!$B$5:$B$604,MATCH(B76,Jobs!$A$5:$A$604,0)),""))</f>
        <v>0</v>
      </c>
      <c r="D76" s="23">
        <f>IF(B76="","",IFERROR(INDEX(Jobs!$H$5:$H$604,MATCH(B76,Jobs!$A$5:$A$604,0)),""))</f>
        <v>0</v>
      </c>
      <c r="E76" s="23">
        <f>IF(B76="","",IFERROR(INDEX(Jobs!$K$5:$K$604,MATCH(B76,Jobs!$A$5:$A$604,0)),""))</f>
        <v>0</v>
      </c>
      <c r="P76" s="50">
        <f>IF(G76="","",IFERROR(INDEX(Checklists!$J$5:$J$404,MATCH(G76,Checklists!$F$5:$F$404,0)),"Yes"))</f>
        <v>0</v>
      </c>
      <c r="Q76" s="31">
        <f>IF(G76="","",IFERROR(INDEX(Checklists!$H$5:$H$404,MATCH(G76,Checklists!$F$5:$F$404,0)),""))</f>
        <v>0</v>
      </c>
      <c r="R76" s="31">
        <f>IF(OR(J76="",Q76=""),"",J76-Q76)</f>
        <v>0</v>
      </c>
      <c r="S76" s="50">
        <f>IF(B76="","",IF(H76="Done","Yes","No"))</f>
        <v>0</v>
      </c>
      <c r="T76" s="39">
        <f>IF(B76="","",IF(G76="","Add - what was the task?",IF(H76="Issue found",IF(M76="Yes","OK - issue reported","Action - tell the client"),IF(H76="Needs rework","Action - rework needed",IF(AND(H76="Skipped",P76="Yes"),"Check - required task skipped",IF(H76="Done","OK","Due"))))))</f>
        <v>0</v>
      </c>
    </row>
    <row r="77" spans="1:20">
      <c r="A77" s="43">
        <f>IF(B77="","","JT-"&amp;TEXT(ROW()-4,"0000"))</f>
        <v>0</v>
      </c>
      <c r="C77" s="18">
        <f>IF(B77="","",IFERROR(INDEX(Jobs!$B$5:$B$604,MATCH(B77,Jobs!$A$5:$A$604,0)),""))</f>
        <v>0</v>
      </c>
      <c r="D77" s="23">
        <f>IF(B77="","",IFERROR(INDEX(Jobs!$H$5:$H$604,MATCH(B77,Jobs!$A$5:$A$604,0)),""))</f>
        <v>0</v>
      </c>
      <c r="E77" s="23">
        <f>IF(B77="","",IFERROR(INDEX(Jobs!$K$5:$K$604,MATCH(B77,Jobs!$A$5:$A$604,0)),""))</f>
        <v>0</v>
      </c>
      <c r="P77" s="50">
        <f>IF(G77="","",IFERROR(INDEX(Checklists!$J$5:$J$404,MATCH(G77,Checklists!$F$5:$F$404,0)),"Yes"))</f>
        <v>0</v>
      </c>
      <c r="Q77" s="31">
        <f>IF(G77="","",IFERROR(INDEX(Checklists!$H$5:$H$404,MATCH(G77,Checklists!$F$5:$F$404,0)),""))</f>
        <v>0</v>
      </c>
      <c r="R77" s="31">
        <f>IF(OR(J77="",Q77=""),"",J77-Q77)</f>
        <v>0</v>
      </c>
      <c r="S77" s="50">
        <f>IF(B77="","",IF(H77="Done","Yes","No"))</f>
        <v>0</v>
      </c>
      <c r="T77" s="39">
        <f>IF(B77="","",IF(G77="","Add - what was the task?",IF(H77="Issue found",IF(M77="Yes","OK - issue reported","Action - tell the client"),IF(H77="Needs rework","Action - rework needed",IF(AND(H77="Skipped",P77="Yes"),"Check - required task skipped",IF(H77="Done","OK","Due"))))))</f>
        <v>0</v>
      </c>
    </row>
    <row r="78" spans="1:20">
      <c r="A78" s="43">
        <f>IF(B78="","","JT-"&amp;TEXT(ROW()-4,"0000"))</f>
        <v>0</v>
      </c>
      <c r="C78" s="18">
        <f>IF(B78="","",IFERROR(INDEX(Jobs!$B$5:$B$604,MATCH(B78,Jobs!$A$5:$A$604,0)),""))</f>
        <v>0</v>
      </c>
      <c r="D78" s="23">
        <f>IF(B78="","",IFERROR(INDEX(Jobs!$H$5:$H$604,MATCH(B78,Jobs!$A$5:$A$604,0)),""))</f>
        <v>0</v>
      </c>
      <c r="E78" s="23">
        <f>IF(B78="","",IFERROR(INDEX(Jobs!$K$5:$K$604,MATCH(B78,Jobs!$A$5:$A$604,0)),""))</f>
        <v>0</v>
      </c>
      <c r="P78" s="50">
        <f>IF(G78="","",IFERROR(INDEX(Checklists!$J$5:$J$404,MATCH(G78,Checklists!$F$5:$F$404,0)),"Yes"))</f>
        <v>0</v>
      </c>
      <c r="Q78" s="31">
        <f>IF(G78="","",IFERROR(INDEX(Checklists!$H$5:$H$404,MATCH(G78,Checklists!$F$5:$F$404,0)),""))</f>
        <v>0</v>
      </c>
      <c r="R78" s="31">
        <f>IF(OR(J78="",Q78=""),"",J78-Q78)</f>
        <v>0</v>
      </c>
      <c r="S78" s="50">
        <f>IF(B78="","",IF(H78="Done","Yes","No"))</f>
        <v>0</v>
      </c>
      <c r="T78" s="39">
        <f>IF(B78="","",IF(G78="","Add - what was the task?",IF(H78="Issue found",IF(M78="Yes","OK - issue reported","Action - tell the client"),IF(H78="Needs rework","Action - rework needed",IF(AND(H78="Skipped",P78="Yes"),"Check - required task skipped",IF(H78="Done","OK","Due"))))))</f>
        <v>0</v>
      </c>
    </row>
    <row r="79" spans="1:20">
      <c r="A79" s="43">
        <f>IF(B79="","","JT-"&amp;TEXT(ROW()-4,"0000"))</f>
        <v>0</v>
      </c>
      <c r="C79" s="18">
        <f>IF(B79="","",IFERROR(INDEX(Jobs!$B$5:$B$604,MATCH(B79,Jobs!$A$5:$A$604,0)),""))</f>
        <v>0</v>
      </c>
      <c r="D79" s="23">
        <f>IF(B79="","",IFERROR(INDEX(Jobs!$H$5:$H$604,MATCH(B79,Jobs!$A$5:$A$604,0)),""))</f>
        <v>0</v>
      </c>
      <c r="E79" s="23">
        <f>IF(B79="","",IFERROR(INDEX(Jobs!$K$5:$K$604,MATCH(B79,Jobs!$A$5:$A$604,0)),""))</f>
        <v>0</v>
      </c>
      <c r="P79" s="50">
        <f>IF(G79="","",IFERROR(INDEX(Checklists!$J$5:$J$404,MATCH(G79,Checklists!$F$5:$F$404,0)),"Yes"))</f>
        <v>0</v>
      </c>
      <c r="Q79" s="31">
        <f>IF(G79="","",IFERROR(INDEX(Checklists!$H$5:$H$404,MATCH(G79,Checklists!$F$5:$F$404,0)),""))</f>
        <v>0</v>
      </c>
      <c r="R79" s="31">
        <f>IF(OR(J79="",Q79=""),"",J79-Q79)</f>
        <v>0</v>
      </c>
      <c r="S79" s="50">
        <f>IF(B79="","",IF(H79="Done","Yes","No"))</f>
        <v>0</v>
      </c>
      <c r="T79" s="39">
        <f>IF(B79="","",IF(G79="","Add - what was the task?",IF(H79="Issue found",IF(M79="Yes","OK - issue reported","Action - tell the client"),IF(H79="Needs rework","Action - rework needed",IF(AND(H79="Skipped",P79="Yes"),"Check - required task skipped",IF(H79="Done","OK","Due"))))))</f>
        <v>0</v>
      </c>
    </row>
    <row r="80" spans="1:20">
      <c r="A80" s="43">
        <f>IF(B80="","","JT-"&amp;TEXT(ROW()-4,"0000"))</f>
        <v>0</v>
      </c>
      <c r="C80" s="18">
        <f>IF(B80="","",IFERROR(INDEX(Jobs!$B$5:$B$604,MATCH(B80,Jobs!$A$5:$A$604,0)),""))</f>
        <v>0</v>
      </c>
      <c r="D80" s="23">
        <f>IF(B80="","",IFERROR(INDEX(Jobs!$H$5:$H$604,MATCH(B80,Jobs!$A$5:$A$604,0)),""))</f>
        <v>0</v>
      </c>
      <c r="E80" s="23">
        <f>IF(B80="","",IFERROR(INDEX(Jobs!$K$5:$K$604,MATCH(B80,Jobs!$A$5:$A$604,0)),""))</f>
        <v>0</v>
      </c>
      <c r="P80" s="50">
        <f>IF(G80="","",IFERROR(INDEX(Checklists!$J$5:$J$404,MATCH(G80,Checklists!$F$5:$F$404,0)),"Yes"))</f>
        <v>0</v>
      </c>
      <c r="Q80" s="31">
        <f>IF(G80="","",IFERROR(INDEX(Checklists!$H$5:$H$404,MATCH(G80,Checklists!$F$5:$F$404,0)),""))</f>
        <v>0</v>
      </c>
      <c r="R80" s="31">
        <f>IF(OR(J80="",Q80=""),"",J80-Q80)</f>
        <v>0</v>
      </c>
      <c r="S80" s="50">
        <f>IF(B80="","",IF(H80="Done","Yes","No"))</f>
        <v>0</v>
      </c>
      <c r="T80" s="39">
        <f>IF(B80="","",IF(G80="","Add - what was the task?",IF(H80="Issue found",IF(M80="Yes","OK - issue reported","Action - tell the client"),IF(H80="Needs rework","Action - rework needed",IF(AND(H80="Skipped",P80="Yes"),"Check - required task skipped",IF(H80="Done","OK","Due"))))))</f>
        <v>0</v>
      </c>
    </row>
    <row r="81" spans="1:20">
      <c r="A81" s="43">
        <f>IF(B81="","","JT-"&amp;TEXT(ROW()-4,"0000"))</f>
        <v>0</v>
      </c>
      <c r="C81" s="18">
        <f>IF(B81="","",IFERROR(INDEX(Jobs!$B$5:$B$604,MATCH(B81,Jobs!$A$5:$A$604,0)),""))</f>
        <v>0</v>
      </c>
      <c r="D81" s="23">
        <f>IF(B81="","",IFERROR(INDEX(Jobs!$H$5:$H$604,MATCH(B81,Jobs!$A$5:$A$604,0)),""))</f>
        <v>0</v>
      </c>
      <c r="E81" s="23">
        <f>IF(B81="","",IFERROR(INDEX(Jobs!$K$5:$K$604,MATCH(B81,Jobs!$A$5:$A$604,0)),""))</f>
        <v>0</v>
      </c>
      <c r="P81" s="50">
        <f>IF(G81="","",IFERROR(INDEX(Checklists!$J$5:$J$404,MATCH(G81,Checklists!$F$5:$F$404,0)),"Yes"))</f>
        <v>0</v>
      </c>
      <c r="Q81" s="31">
        <f>IF(G81="","",IFERROR(INDEX(Checklists!$H$5:$H$404,MATCH(G81,Checklists!$F$5:$F$404,0)),""))</f>
        <v>0</v>
      </c>
      <c r="R81" s="31">
        <f>IF(OR(J81="",Q81=""),"",J81-Q81)</f>
        <v>0</v>
      </c>
      <c r="S81" s="50">
        <f>IF(B81="","",IF(H81="Done","Yes","No"))</f>
        <v>0</v>
      </c>
      <c r="T81" s="39">
        <f>IF(B81="","",IF(G81="","Add - what was the task?",IF(H81="Issue found",IF(M81="Yes","OK - issue reported","Action - tell the client"),IF(H81="Needs rework","Action - rework needed",IF(AND(H81="Skipped",P81="Yes"),"Check - required task skipped",IF(H81="Done","OK","Due"))))))</f>
        <v>0</v>
      </c>
    </row>
    <row r="82" spans="1:20">
      <c r="A82" s="43">
        <f>IF(B82="","","JT-"&amp;TEXT(ROW()-4,"0000"))</f>
        <v>0</v>
      </c>
      <c r="C82" s="18">
        <f>IF(B82="","",IFERROR(INDEX(Jobs!$B$5:$B$604,MATCH(B82,Jobs!$A$5:$A$604,0)),""))</f>
        <v>0</v>
      </c>
      <c r="D82" s="23">
        <f>IF(B82="","",IFERROR(INDEX(Jobs!$H$5:$H$604,MATCH(B82,Jobs!$A$5:$A$604,0)),""))</f>
        <v>0</v>
      </c>
      <c r="E82" s="23">
        <f>IF(B82="","",IFERROR(INDEX(Jobs!$K$5:$K$604,MATCH(B82,Jobs!$A$5:$A$604,0)),""))</f>
        <v>0</v>
      </c>
      <c r="P82" s="50">
        <f>IF(G82="","",IFERROR(INDEX(Checklists!$J$5:$J$404,MATCH(G82,Checklists!$F$5:$F$404,0)),"Yes"))</f>
        <v>0</v>
      </c>
      <c r="Q82" s="31">
        <f>IF(G82="","",IFERROR(INDEX(Checklists!$H$5:$H$404,MATCH(G82,Checklists!$F$5:$F$404,0)),""))</f>
        <v>0</v>
      </c>
      <c r="R82" s="31">
        <f>IF(OR(J82="",Q82=""),"",J82-Q82)</f>
        <v>0</v>
      </c>
      <c r="S82" s="50">
        <f>IF(B82="","",IF(H82="Done","Yes","No"))</f>
        <v>0</v>
      </c>
      <c r="T82" s="39">
        <f>IF(B82="","",IF(G82="","Add - what was the task?",IF(H82="Issue found",IF(M82="Yes","OK - issue reported","Action - tell the client"),IF(H82="Needs rework","Action - rework needed",IF(AND(H82="Skipped",P82="Yes"),"Check - required task skipped",IF(H82="Done","OK","Due"))))))</f>
        <v>0</v>
      </c>
    </row>
    <row r="83" spans="1:20">
      <c r="A83" s="43">
        <f>IF(B83="","","JT-"&amp;TEXT(ROW()-4,"0000"))</f>
        <v>0</v>
      </c>
      <c r="C83" s="18">
        <f>IF(B83="","",IFERROR(INDEX(Jobs!$B$5:$B$604,MATCH(B83,Jobs!$A$5:$A$604,0)),""))</f>
        <v>0</v>
      </c>
      <c r="D83" s="23">
        <f>IF(B83="","",IFERROR(INDEX(Jobs!$H$5:$H$604,MATCH(B83,Jobs!$A$5:$A$604,0)),""))</f>
        <v>0</v>
      </c>
      <c r="E83" s="23">
        <f>IF(B83="","",IFERROR(INDEX(Jobs!$K$5:$K$604,MATCH(B83,Jobs!$A$5:$A$604,0)),""))</f>
        <v>0</v>
      </c>
      <c r="P83" s="50">
        <f>IF(G83="","",IFERROR(INDEX(Checklists!$J$5:$J$404,MATCH(G83,Checklists!$F$5:$F$404,0)),"Yes"))</f>
        <v>0</v>
      </c>
      <c r="Q83" s="31">
        <f>IF(G83="","",IFERROR(INDEX(Checklists!$H$5:$H$404,MATCH(G83,Checklists!$F$5:$F$404,0)),""))</f>
        <v>0</v>
      </c>
      <c r="R83" s="31">
        <f>IF(OR(J83="",Q83=""),"",J83-Q83)</f>
        <v>0</v>
      </c>
      <c r="S83" s="50">
        <f>IF(B83="","",IF(H83="Done","Yes","No"))</f>
        <v>0</v>
      </c>
      <c r="T83" s="39">
        <f>IF(B83="","",IF(G83="","Add - what was the task?",IF(H83="Issue found",IF(M83="Yes","OK - issue reported","Action - tell the client"),IF(H83="Needs rework","Action - rework needed",IF(AND(H83="Skipped",P83="Yes"),"Check - required task skipped",IF(H83="Done","OK","Due"))))))</f>
        <v>0</v>
      </c>
    </row>
    <row r="84" spans="1:20">
      <c r="A84" s="43">
        <f>IF(B84="","","JT-"&amp;TEXT(ROW()-4,"0000"))</f>
        <v>0</v>
      </c>
      <c r="C84" s="18">
        <f>IF(B84="","",IFERROR(INDEX(Jobs!$B$5:$B$604,MATCH(B84,Jobs!$A$5:$A$604,0)),""))</f>
        <v>0</v>
      </c>
      <c r="D84" s="23">
        <f>IF(B84="","",IFERROR(INDEX(Jobs!$H$5:$H$604,MATCH(B84,Jobs!$A$5:$A$604,0)),""))</f>
        <v>0</v>
      </c>
      <c r="E84" s="23">
        <f>IF(B84="","",IFERROR(INDEX(Jobs!$K$5:$K$604,MATCH(B84,Jobs!$A$5:$A$604,0)),""))</f>
        <v>0</v>
      </c>
      <c r="P84" s="50">
        <f>IF(G84="","",IFERROR(INDEX(Checklists!$J$5:$J$404,MATCH(G84,Checklists!$F$5:$F$404,0)),"Yes"))</f>
        <v>0</v>
      </c>
      <c r="Q84" s="31">
        <f>IF(G84="","",IFERROR(INDEX(Checklists!$H$5:$H$404,MATCH(G84,Checklists!$F$5:$F$404,0)),""))</f>
        <v>0</v>
      </c>
      <c r="R84" s="31">
        <f>IF(OR(J84="",Q84=""),"",J84-Q84)</f>
        <v>0</v>
      </c>
      <c r="S84" s="50">
        <f>IF(B84="","",IF(H84="Done","Yes","No"))</f>
        <v>0</v>
      </c>
      <c r="T84" s="39">
        <f>IF(B84="","",IF(G84="","Add - what was the task?",IF(H84="Issue found",IF(M84="Yes","OK - issue reported","Action - tell the client"),IF(H84="Needs rework","Action - rework needed",IF(AND(H84="Skipped",P84="Yes"),"Check - required task skipped",IF(H84="Done","OK","Due"))))))</f>
        <v>0</v>
      </c>
    </row>
    <row r="85" spans="1:20">
      <c r="A85" s="43">
        <f>IF(B85="","","JT-"&amp;TEXT(ROW()-4,"0000"))</f>
        <v>0</v>
      </c>
      <c r="C85" s="18">
        <f>IF(B85="","",IFERROR(INDEX(Jobs!$B$5:$B$604,MATCH(B85,Jobs!$A$5:$A$604,0)),""))</f>
        <v>0</v>
      </c>
      <c r="D85" s="23">
        <f>IF(B85="","",IFERROR(INDEX(Jobs!$H$5:$H$604,MATCH(B85,Jobs!$A$5:$A$604,0)),""))</f>
        <v>0</v>
      </c>
      <c r="E85" s="23">
        <f>IF(B85="","",IFERROR(INDEX(Jobs!$K$5:$K$604,MATCH(B85,Jobs!$A$5:$A$604,0)),""))</f>
        <v>0</v>
      </c>
      <c r="P85" s="50">
        <f>IF(G85="","",IFERROR(INDEX(Checklists!$J$5:$J$404,MATCH(G85,Checklists!$F$5:$F$404,0)),"Yes"))</f>
        <v>0</v>
      </c>
      <c r="Q85" s="31">
        <f>IF(G85="","",IFERROR(INDEX(Checklists!$H$5:$H$404,MATCH(G85,Checklists!$F$5:$F$404,0)),""))</f>
        <v>0</v>
      </c>
      <c r="R85" s="31">
        <f>IF(OR(J85="",Q85=""),"",J85-Q85)</f>
        <v>0</v>
      </c>
      <c r="S85" s="50">
        <f>IF(B85="","",IF(H85="Done","Yes","No"))</f>
        <v>0</v>
      </c>
      <c r="T85" s="39">
        <f>IF(B85="","",IF(G85="","Add - what was the task?",IF(H85="Issue found",IF(M85="Yes","OK - issue reported","Action - tell the client"),IF(H85="Needs rework","Action - rework needed",IF(AND(H85="Skipped",P85="Yes"),"Check - required task skipped",IF(H85="Done","OK","Due"))))))</f>
        <v>0</v>
      </c>
    </row>
    <row r="86" spans="1:20">
      <c r="A86" s="43">
        <f>IF(B86="","","JT-"&amp;TEXT(ROW()-4,"0000"))</f>
        <v>0</v>
      </c>
      <c r="C86" s="18">
        <f>IF(B86="","",IFERROR(INDEX(Jobs!$B$5:$B$604,MATCH(B86,Jobs!$A$5:$A$604,0)),""))</f>
        <v>0</v>
      </c>
      <c r="D86" s="23">
        <f>IF(B86="","",IFERROR(INDEX(Jobs!$H$5:$H$604,MATCH(B86,Jobs!$A$5:$A$604,0)),""))</f>
        <v>0</v>
      </c>
      <c r="E86" s="23">
        <f>IF(B86="","",IFERROR(INDEX(Jobs!$K$5:$K$604,MATCH(B86,Jobs!$A$5:$A$604,0)),""))</f>
        <v>0</v>
      </c>
      <c r="P86" s="50">
        <f>IF(G86="","",IFERROR(INDEX(Checklists!$J$5:$J$404,MATCH(G86,Checklists!$F$5:$F$404,0)),"Yes"))</f>
        <v>0</v>
      </c>
      <c r="Q86" s="31">
        <f>IF(G86="","",IFERROR(INDEX(Checklists!$H$5:$H$404,MATCH(G86,Checklists!$F$5:$F$404,0)),""))</f>
        <v>0</v>
      </c>
      <c r="R86" s="31">
        <f>IF(OR(J86="",Q86=""),"",J86-Q86)</f>
        <v>0</v>
      </c>
      <c r="S86" s="50">
        <f>IF(B86="","",IF(H86="Done","Yes","No"))</f>
        <v>0</v>
      </c>
      <c r="T86" s="39">
        <f>IF(B86="","",IF(G86="","Add - what was the task?",IF(H86="Issue found",IF(M86="Yes","OK - issue reported","Action - tell the client"),IF(H86="Needs rework","Action - rework needed",IF(AND(H86="Skipped",P86="Yes"),"Check - required task skipped",IF(H86="Done","OK","Due"))))))</f>
        <v>0</v>
      </c>
    </row>
    <row r="87" spans="1:20">
      <c r="A87" s="43">
        <f>IF(B87="","","JT-"&amp;TEXT(ROW()-4,"0000"))</f>
        <v>0</v>
      </c>
      <c r="C87" s="18">
        <f>IF(B87="","",IFERROR(INDEX(Jobs!$B$5:$B$604,MATCH(B87,Jobs!$A$5:$A$604,0)),""))</f>
        <v>0</v>
      </c>
      <c r="D87" s="23">
        <f>IF(B87="","",IFERROR(INDEX(Jobs!$H$5:$H$604,MATCH(B87,Jobs!$A$5:$A$604,0)),""))</f>
        <v>0</v>
      </c>
      <c r="E87" s="23">
        <f>IF(B87="","",IFERROR(INDEX(Jobs!$K$5:$K$604,MATCH(B87,Jobs!$A$5:$A$604,0)),""))</f>
        <v>0</v>
      </c>
      <c r="P87" s="50">
        <f>IF(G87="","",IFERROR(INDEX(Checklists!$J$5:$J$404,MATCH(G87,Checklists!$F$5:$F$404,0)),"Yes"))</f>
        <v>0</v>
      </c>
      <c r="Q87" s="31">
        <f>IF(G87="","",IFERROR(INDEX(Checklists!$H$5:$H$404,MATCH(G87,Checklists!$F$5:$F$404,0)),""))</f>
        <v>0</v>
      </c>
      <c r="R87" s="31">
        <f>IF(OR(J87="",Q87=""),"",J87-Q87)</f>
        <v>0</v>
      </c>
      <c r="S87" s="50">
        <f>IF(B87="","",IF(H87="Done","Yes","No"))</f>
        <v>0</v>
      </c>
      <c r="T87" s="39">
        <f>IF(B87="","",IF(G87="","Add - what was the task?",IF(H87="Issue found",IF(M87="Yes","OK - issue reported","Action - tell the client"),IF(H87="Needs rework","Action - rework needed",IF(AND(H87="Skipped",P87="Yes"),"Check - required task skipped",IF(H87="Done","OK","Due"))))))</f>
        <v>0</v>
      </c>
    </row>
    <row r="88" spans="1:20">
      <c r="A88" s="43">
        <f>IF(B88="","","JT-"&amp;TEXT(ROW()-4,"0000"))</f>
        <v>0</v>
      </c>
      <c r="C88" s="18">
        <f>IF(B88="","",IFERROR(INDEX(Jobs!$B$5:$B$604,MATCH(B88,Jobs!$A$5:$A$604,0)),""))</f>
        <v>0</v>
      </c>
      <c r="D88" s="23">
        <f>IF(B88="","",IFERROR(INDEX(Jobs!$H$5:$H$604,MATCH(B88,Jobs!$A$5:$A$604,0)),""))</f>
        <v>0</v>
      </c>
      <c r="E88" s="23">
        <f>IF(B88="","",IFERROR(INDEX(Jobs!$K$5:$K$604,MATCH(B88,Jobs!$A$5:$A$604,0)),""))</f>
        <v>0</v>
      </c>
      <c r="P88" s="50">
        <f>IF(G88="","",IFERROR(INDEX(Checklists!$J$5:$J$404,MATCH(G88,Checklists!$F$5:$F$404,0)),"Yes"))</f>
        <v>0</v>
      </c>
      <c r="Q88" s="31">
        <f>IF(G88="","",IFERROR(INDEX(Checklists!$H$5:$H$404,MATCH(G88,Checklists!$F$5:$F$404,0)),""))</f>
        <v>0</v>
      </c>
      <c r="R88" s="31">
        <f>IF(OR(J88="",Q88=""),"",J88-Q88)</f>
        <v>0</v>
      </c>
      <c r="S88" s="50">
        <f>IF(B88="","",IF(H88="Done","Yes","No"))</f>
        <v>0</v>
      </c>
      <c r="T88" s="39">
        <f>IF(B88="","",IF(G88="","Add - what was the task?",IF(H88="Issue found",IF(M88="Yes","OK - issue reported","Action - tell the client"),IF(H88="Needs rework","Action - rework needed",IF(AND(H88="Skipped",P88="Yes"),"Check - required task skipped",IF(H88="Done","OK","Due"))))))</f>
        <v>0</v>
      </c>
    </row>
    <row r="89" spans="1:20">
      <c r="A89" s="43">
        <f>IF(B89="","","JT-"&amp;TEXT(ROW()-4,"0000"))</f>
        <v>0</v>
      </c>
      <c r="C89" s="18">
        <f>IF(B89="","",IFERROR(INDEX(Jobs!$B$5:$B$604,MATCH(B89,Jobs!$A$5:$A$604,0)),""))</f>
        <v>0</v>
      </c>
      <c r="D89" s="23">
        <f>IF(B89="","",IFERROR(INDEX(Jobs!$H$5:$H$604,MATCH(B89,Jobs!$A$5:$A$604,0)),""))</f>
        <v>0</v>
      </c>
      <c r="E89" s="23">
        <f>IF(B89="","",IFERROR(INDEX(Jobs!$K$5:$K$604,MATCH(B89,Jobs!$A$5:$A$604,0)),""))</f>
        <v>0</v>
      </c>
      <c r="P89" s="50">
        <f>IF(G89="","",IFERROR(INDEX(Checklists!$J$5:$J$404,MATCH(G89,Checklists!$F$5:$F$404,0)),"Yes"))</f>
        <v>0</v>
      </c>
      <c r="Q89" s="31">
        <f>IF(G89="","",IFERROR(INDEX(Checklists!$H$5:$H$404,MATCH(G89,Checklists!$F$5:$F$404,0)),""))</f>
        <v>0</v>
      </c>
      <c r="R89" s="31">
        <f>IF(OR(J89="",Q89=""),"",J89-Q89)</f>
        <v>0</v>
      </c>
      <c r="S89" s="50">
        <f>IF(B89="","",IF(H89="Done","Yes","No"))</f>
        <v>0</v>
      </c>
      <c r="T89" s="39">
        <f>IF(B89="","",IF(G89="","Add - what was the task?",IF(H89="Issue found",IF(M89="Yes","OK - issue reported","Action - tell the client"),IF(H89="Needs rework","Action - rework needed",IF(AND(H89="Skipped",P89="Yes"),"Check - required task skipped",IF(H89="Done","OK","Due"))))))</f>
        <v>0</v>
      </c>
    </row>
    <row r="90" spans="1:20">
      <c r="A90" s="43">
        <f>IF(B90="","","JT-"&amp;TEXT(ROW()-4,"0000"))</f>
        <v>0</v>
      </c>
      <c r="C90" s="18">
        <f>IF(B90="","",IFERROR(INDEX(Jobs!$B$5:$B$604,MATCH(B90,Jobs!$A$5:$A$604,0)),""))</f>
        <v>0</v>
      </c>
      <c r="D90" s="23">
        <f>IF(B90="","",IFERROR(INDEX(Jobs!$H$5:$H$604,MATCH(B90,Jobs!$A$5:$A$604,0)),""))</f>
        <v>0</v>
      </c>
      <c r="E90" s="23">
        <f>IF(B90="","",IFERROR(INDEX(Jobs!$K$5:$K$604,MATCH(B90,Jobs!$A$5:$A$604,0)),""))</f>
        <v>0</v>
      </c>
      <c r="P90" s="50">
        <f>IF(G90="","",IFERROR(INDEX(Checklists!$J$5:$J$404,MATCH(G90,Checklists!$F$5:$F$404,0)),"Yes"))</f>
        <v>0</v>
      </c>
      <c r="Q90" s="31">
        <f>IF(G90="","",IFERROR(INDEX(Checklists!$H$5:$H$404,MATCH(G90,Checklists!$F$5:$F$404,0)),""))</f>
        <v>0</v>
      </c>
      <c r="R90" s="31">
        <f>IF(OR(J90="",Q90=""),"",J90-Q90)</f>
        <v>0</v>
      </c>
      <c r="S90" s="50">
        <f>IF(B90="","",IF(H90="Done","Yes","No"))</f>
        <v>0</v>
      </c>
      <c r="T90" s="39">
        <f>IF(B90="","",IF(G90="","Add - what was the task?",IF(H90="Issue found",IF(M90="Yes","OK - issue reported","Action - tell the client"),IF(H90="Needs rework","Action - rework needed",IF(AND(H90="Skipped",P90="Yes"),"Check - required task skipped",IF(H90="Done","OK","Due"))))))</f>
        <v>0</v>
      </c>
    </row>
    <row r="91" spans="1:20">
      <c r="A91" s="43">
        <f>IF(B91="","","JT-"&amp;TEXT(ROW()-4,"0000"))</f>
        <v>0</v>
      </c>
      <c r="C91" s="18">
        <f>IF(B91="","",IFERROR(INDEX(Jobs!$B$5:$B$604,MATCH(B91,Jobs!$A$5:$A$604,0)),""))</f>
        <v>0</v>
      </c>
      <c r="D91" s="23">
        <f>IF(B91="","",IFERROR(INDEX(Jobs!$H$5:$H$604,MATCH(B91,Jobs!$A$5:$A$604,0)),""))</f>
        <v>0</v>
      </c>
      <c r="E91" s="23">
        <f>IF(B91="","",IFERROR(INDEX(Jobs!$K$5:$K$604,MATCH(B91,Jobs!$A$5:$A$604,0)),""))</f>
        <v>0</v>
      </c>
      <c r="P91" s="50">
        <f>IF(G91="","",IFERROR(INDEX(Checklists!$J$5:$J$404,MATCH(G91,Checklists!$F$5:$F$404,0)),"Yes"))</f>
        <v>0</v>
      </c>
      <c r="Q91" s="31">
        <f>IF(G91="","",IFERROR(INDEX(Checklists!$H$5:$H$404,MATCH(G91,Checklists!$F$5:$F$404,0)),""))</f>
        <v>0</v>
      </c>
      <c r="R91" s="31">
        <f>IF(OR(J91="",Q91=""),"",J91-Q91)</f>
        <v>0</v>
      </c>
      <c r="S91" s="50">
        <f>IF(B91="","",IF(H91="Done","Yes","No"))</f>
        <v>0</v>
      </c>
      <c r="T91" s="39">
        <f>IF(B91="","",IF(G91="","Add - what was the task?",IF(H91="Issue found",IF(M91="Yes","OK - issue reported","Action - tell the client"),IF(H91="Needs rework","Action - rework needed",IF(AND(H91="Skipped",P91="Yes"),"Check - required task skipped",IF(H91="Done","OK","Due"))))))</f>
        <v>0</v>
      </c>
    </row>
    <row r="92" spans="1:20">
      <c r="A92" s="43">
        <f>IF(B92="","","JT-"&amp;TEXT(ROW()-4,"0000"))</f>
        <v>0</v>
      </c>
      <c r="C92" s="18">
        <f>IF(B92="","",IFERROR(INDEX(Jobs!$B$5:$B$604,MATCH(B92,Jobs!$A$5:$A$604,0)),""))</f>
        <v>0</v>
      </c>
      <c r="D92" s="23">
        <f>IF(B92="","",IFERROR(INDEX(Jobs!$H$5:$H$604,MATCH(B92,Jobs!$A$5:$A$604,0)),""))</f>
        <v>0</v>
      </c>
      <c r="E92" s="23">
        <f>IF(B92="","",IFERROR(INDEX(Jobs!$K$5:$K$604,MATCH(B92,Jobs!$A$5:$A$604,0)),""))</f>
        <v>0</v>
      </c>
      <c r="P92" s="50">
        <f>IF(G92="","",IFERROR(INDEX(Checklists!$J$5:$J$404,MATCH(G92,Checklists!$F$5:$F$404,0)),"Yes"))</f>
        <v>0</v>
      </c>
      <c r="Q92" s="31">
        <f>IF(G92="","",IFERROR(INDEX(Checklists!$H$5:$H$404,MATCH(G92,Checklists!$F$5:$F$404,0)),""))</f>
        <v>0</v>
      </c>
      <c r="R92" s="31">
        <f>IF(OR(J92="",Q92=""),"",J92-Q92)</f>
        <v>0</v>
      </c>
      <c r="S92" s="50">
        <f>IF(B92="","",IF(H92="Done","Yes","No"))</f>
        <v>0</v>
      </c>
      <c r="T92" s="39">
        <f>IF(B92="","",IF(G92="","Add - what was the task?",IF(H92="Issue found",IF(M92="Yes","OK - issue reported","Action - tell the client"),IF(H92="Needs rework","Action - rework needed",IF(AND(H92="Skipped",P92="Yes"),"Check - required task skipped",IF(H92="Done","OK","Due"))))))</f>
        <v>0</v>
      </c>
    </row>
    <row r="93" spans="1:20">
      <c r="A93" s="43">
        <f>IF(B93="","","JT-"&amp;TEXT(ROW()-4,"0000"))</f>
        <v>0</v>
      </c>
      <c r="C93" s="18">
        <f>IF(B93="","",IFERROR(INDEX(Jobs!$B$5:$B$604,MATCH(B93,Jobs!$A$5:$A$604,0)),""))</f>
        <v>0</v>
      </c>
      <c r="D93" s="23">
        <f>IF(B93="","",IFERROR(INDEX(Jobs!$H$5:$H$604,MATCH(B93,Jobs!$A$5:$A$604,0)),""))</f>
        <v>0</v>
      </c>
      <c r="E93" s="23">
        <f>IF(B93="","",IFERROR(INDEX(Jobs!$K$5:$K$604,MATCH(B93,Jobs!$A$5:$A$604,0)),""))</f>
        <v>0</v>
      </c>
      <c r="P93" s="50">
        <f>IF(G93="","",IFERROR(INDEX(Checklists!$J$5:$J$404,MATCH(G93,Checklists!$F$5:$F$404,0)),"Yes"))</f>
        <v>0</v>
      </c>
      <c r="Q93" s="31">
        <f>IF(G93="","",IFERROR(INDEX(Checklists!$H$5:$H$404,MATCH(G93,Checklists!$F$5:$F$404,0)),""))</f>
        <v>0</v>
      </c>
      <c r="R93" s="31">
        <f>IF(OR(J93="",Q93=""),"",J93-Q93)</f>
        <v>0</v>
      </c>
      <c r="S93" s="50">
        <f>IF(B93="","",IF(H93="Done","Yes","No"))</f>
        <v>0</v>
      </c>
      <c r="T93" s="39">
        <f>IF(B93="","",IF(G93="","Add - what was the task?",IF(H93="Issue found",IF(M93="Yes","OK - issue reported","Action - tell the client"),IF(H93="Needs rework","Action - rework needed",IF(AND(H93="Skipped",P93="Yes"),"Check - required task skipped",IF(H93="Done","OK","Due"))))))</f>
        <v>0</v>
      </c>
    </row>
    <row r="94" spans="1:20">
      <c r="A94" s="43">
        <f>IF(B94="","","JT-"&amp;TEXT(ROW()-4,"0000"))</f>
        <v>0</v>
      </c>
      <c r="C94" s="18">
        <f>IF(B94="","",IFERROR(INDEX(Jobs!$B$5:$B$604,MATCH(B94,Jobs!$A$5:$A$604,0)),""))</f>
        <v>0</v>
      </c>
      <c r="D94" s="23">
        <f>IF(B94="","",IFERROR(INDEX(Jobs!$H$5:$H$604,MATCH(B94,Jobs!$A$5:$A$604,0)),""))</f>
        <v>0</v>
      </c>
      <c r="E94" s="23">
        <f>IF(B94="","",IFERROR(INDEX(Jobs!$K$5:$K$604,MATCH(B94,Jobs!$A$5:$A$604,0)),""))</f>
        <v>0</v>
      </c>
      <c r="P94" s="50">
        <f>IF(G94="","",IFERROR(INDEX(Checklists!$J$5:$J$404,MATCH(G94,Checklists!$F$5:$F$404,0)),"Yes"))</f>
        <v>0</v>
      </c>
      <c r="Q94" s="31">
        <f>IF(G94="","",IFERROR(INDEX(Checklists!$H$5:$H$404,MATCH(G94,Checklists!$F$5:$F$404,0)),""))</f>
        <v>0</v>
      </c>
      <c r="R94" s="31">
        <f>IF(OR(J94="",Q94=""),"",J94-Q94)</f>
        <v>0</v>
      </c>
      <c r="S94" s="50">
        <f>IF(B94="","",IF(H94="Done","Yes","No"))</f>
        <v>0</v>
      </c>
      <c r="T94" s="39">
        <f>IF(B94="","",IF(G94="","Add - what was the task?",IF(H94="Issue found",IF(M94="Yes","OK - issue reported","Action - tell the client"),IF(H94="Needs rework","Action - rework needed",IF(AND(H94="Skipped",P94="Yes"),"Check - required task skipped",IF(H94="Done","OK","Due"))))))</f>
        <v>0</v>
      </c>
    </row>
    <row r="95" spans="1:20">
      <c r="A95" s="43">
        <f>IF(B95="","","JT-"&amp;TEXT(ROW()-4,"0000"))</f>
        <v>0</v>
      </c>
      <c r="C95" s="18">
        <f>IF(B95="","",IFERROR(INDEX(Jobs!$B$5:$B$604,MATCH(B95,Jobs!$A$5:$A$604,0)),""))</f>
        <v>0</v>
      </c>
      <c r="D95" s="23">
        <f>IF(B95="","",IFERROR(INDEX(Jobs!$H$5:$H$604,MATCH(B95,Jobs!$A$5:$A$604,0)),""))</f>
        <v>0</v>
      </c>
      <c r="E95" s="23">
        <f>IF(B95="","",IFERROR(INDEX(Jobs!$K$5:$K$604,MATCH(B95,Jobs!$A$5:$A$604,0)),""))</f>
        <v>0</v>
      </c>
      <c r="P95" s="50">
        <f>IF(G95="","",IFERROR(INDEX(Checklists!$J$5:$J$404,MATCH(G95,Checklists!$F$5:$F$404,0)),"Yes"))</f>
        <v>0</v>
      </c>
      <c r="Q95" s="31">
        <f>IF(G95="","",IFERROR(INDEX(Checklists!$H$5:$H$404,MATCH(G95,Checklists!$F$5:$F$404,0)),""))</f>
        <v>0</v>
      </c>
      <c r="R95" s="31">
        <f>IF(OR(J95="",Q95=""),"",J95-Q95)</f>
        <v>0</v>
      </c>
      <c r="S95" s="50">
        <f>IF(B95="","",IF(H95="Done","Yes","No"))</f>
        <v>0</v>
      </c>
      <c r="T95" s="39">
        <f>IF(B95="","",IF(G95="","Add - what was the task?",IF(H95="Issue found",IF(M95="Yes","OK - issue reported","Action - tell the client"),IF(H95="Needs rework","Action - rework needed",IF(AND(H95="Skipped",P95="Yes"),"Check - required task skipped",IF(H95="Done","OK","Due"))))))</f>
        <v>0</v>
      </c>
    </row>
    <row r="96" spans="1:20">
      <c r="A96" s="43">
        <f>IF(B96="","","JT-"&amp;TEXT(ROW()-4,"0000"))</f>
        <v>0</v>
      </c>
      <c r="C96" s="18">
        <f>IF(B96="","",IFERROR(INDEX(Jobs!$B$5:$B$604,MATCH(B96,Jobs!$A$5:$A$604,0)),""))</f>
        <v>0</v>
      </c>
      <c r="D96" s="23">
        <f>IF(B96="","",IFERROR(INDEX(Jobs!$H$5:$H$604,MATCH(B96,Jobs!$A$5:$A$604,0)),""))</f>
        <v>0</v>
      </c>
      <c r="E96" s="23">
        <f>IF(B96="","",IFERROR(INDEX(Jobs!$K$5:$K$604,MATCH(B96,Jobs!$A$5:$A$604,0)),""))</f>
        <v>0</v>
      </c>
      <c r="P96" s="50">
        <f>IF(G96="","",IFERROR(INDEX(Checklists!$J$5:$J$404,MATCH(G96,Checklists!$F$5:$F$404,0)),"Yes"))</f>
        <v>0</v>
      </c>
      <c r="Q96" s="31">
        <f>IF(G96="","",IFERROR(INDEX(Checklists!$H$5:$H$404,MATCH(G96,Checklists!$F$5:$F$404,0)),""))</f>
        <v>0</v>
      </c>
      <c r="R96" s="31">
        <f>IF(OR(J96="",Q96=""),"",J96-Q96)</f>
        <v>0</v>
      </c>
      <c r="S96" s="50">
        <f>IF(B96="","",IF(H96="Done","Yes","No"))</f>
        <v>0</v>
      </c>
      <c r="T96" s="39">
        <f>IF(B96="","",IF(G96="","Add - what was the task?",IF(H96="Issue found",IF(M96="Yes","OK - issue reported","Action - tell the client"),IF(H96="Needs rework","Action - rework needed",IF(AND(H96="Skipped",P96="Yes"),"Check - required task skipped",IF(H96="Done","OK","Due"))))))</f>
        <v>0</v>
      </c>
    </row>
    <row r="97" spans="1:20">
      <c r="A97" s="43">
        <f>IF(B97="","","JT-"&amp;TEXT(ROW()-4,"0000"))</f>
        <v>0</v>
      </c>
      <c r="C97" s="18">
        <f>IF(B97="","",IFERROR(INDEX(Jobs!$B$5:$B$604,MATCH(B97,Jobs!$A$5:$A$604,0)),""))</f>
        <v>0</v>
      </c>
      <c r="D97" s="23">
        <f>IF(B97="","",IFERROR(INDEX(Jobs!$H$5:$H$604,MATCH(B97,Jobs!$A$5:$A$604,0)),""))</f>
        <v>0</v>
      </c>
      <c r="E97" s="23">
        <f>IF(B97="","",IFERROR(INDEX(Jobs!$K$5:$K$604,MATCH(B97,Jobs!$A$5:$A$604,0)),""))</f>
        <v>0</v>
      </c>
      <c r="P97" s="50">
        <f>IF(G97="","",IFERROR(INDEX(Checklists!$J$5:$J$404,MATCH(G97,Checklists!$F$5:$F$404,0)),"Yes"))</f>
        <v>0</v>
      </c>
      <c r="Q97" s="31">
        <f>IF(G97="","",IFERROR(INDEX(Checklists!$H$5:$H$404,MATCH(G97,Checklists!$F$5:$F$404,0)),""))</f>
        <v>0</v>
      </c>
      <c r="R97" s="31">
        <f>IF(OR(J97="",Q97=""),"",J97-Q97)</f>
        <v>0</v>
      </c>
      <c r="S97" s="50">
        <f>IF(B97="","",IF(H97="Done","Yes","No"))</f>
        <v>0</v>
      </c>
      <c r="T97" s="39">
        <f>IF(B97="","",IF(G97="","Add - what was the task?",IF(H97="Issue found",IF(M97="Yes","OK - issue reported","Action - tell the client"),IF(H97="Needs rework","Action - rework needed",IF(AND(H97="Skipped",P97="Yes"),"Check - required task skipped",IF(H97="Done","OK","Due"))))))</f>
        <v>0</v>
      </c>
    </row>
    <row r="98" spans="1:20">
      <c r="A98" s="43">
        <f>IF(B98="","","JT-"&amp;TEXT(ROW()-4,"0000"))</f>
        <v>0</v>
      </c>
      <c r="C98" s="18">
        <f>IF(B98="","",IFERROR(INDEX(Jobs!$B$5:$B$604,MATCH(B98,Jobs!$A$5:$A$604,0)),""))</f>
        <v>0</v>
      </c>
      <c r="D98" s="23">
        <f>IF(B98="","",IFERROR(INDEX(Jobs!$H$5:$H$604,MATCH(B98,Jobs!$A$5:$A$604,0)),""))</f>
        <v>0</v>
      </c>
      <c r="E98" s="23">
        <f>IF(B98="","",IFERROR(INDEX(Jobs!$K$5:$K$604,MATCH(B98,Jobs!$A$5:$A$604,0)),""))</f>
        <v>0</v>
      </c>
      <c r="P98" s="50">
        <f>IF(G98="","",IFERROR(INDEX(Checklists!$J$5:$J$404,MATCH(G98,Checklists!$F$5:$F$404,0)),"Yes"))</f>
        <v>0</v>
      </c>
      <c r="Q98" s="31">
        <f>IF(G98="","",IFERROR(INDEX(Checklists!$H$5:$H$404,MATCH(G98,Checklists!$F$5:$F$404,0)),""))</f>
        <v>0</v>
      </c>
      <c r="R98" s="31">
        <f>IF(OR(J98="",Q98=""),"",J98-Q98)</f>
        <v>0</v>
      </c>
      <c r="S98" s="50">
        <f>IF(B98="","",IF(H98="Done","Yes","No"))</f>
        <v>0</v>
      </c>
      <c r="T98" s="39">
        <f>IF(B98="","",IF(G98="","Add - what was the task?",IF(H98="Issue found",IF(M98="Yes","OK - issue reported","Action - tell the client"),IF(H98="Needs rework","Action - rework needed",IF(AND(H98="Skipped",P98="Yes"),"Check - required task skipped",IF(H98="Done","OK","Due"))))))</f>
        <v>0</v>
      </c>
    </row>
    <row r="99" spans="1:20">
      <c r="A99" s="43">
        <f>IF(B99="","","JT-"&amp;TEXT(ROW()-4,"0000"))</f>
        <v>0</v>
      </c>
      <c r="C99" s="18">
        <f>IF(B99="","",IFERROR(INDEX(Jobs!$B$5:$B$604,MATCH(B99,Jobs!$A$5:$A$604,0)),""))</f>
        <v>0</v>
      </c>
      <c r="D99" s="23">
        <f>IF(B99="","",IFERROR(INDEX(Jobs!$H$5:$H$604,MATCH(B99,Jobs!$A$5:$A$604,0)),""))</f>
        <v>0</v>
      </c>
      <c r="E99" s="23">
        <f>IF(B99="","",IFERROR(INDEX(Jobs!$K$5:$K$604,MATCH(B99,Jobs!$A$5:$A$604,0)),""))</f>
        <v>0</v>
      </c>
      <c r="P99" s="50">
        <f>IF(G99="","",IFERROR(INDEX(Checklists!$J$5:$J$404,MATCH(G99,Checklists!$F$5:$F$404,0)),"Yes"))</f>
        <v>0</v>
      </c>
      <c r="Q99" s="31">
        <f>IF(G99="","",IFERROR(INDEX(Checklists!$H$5:$H$404,MATCH(G99,Checklists!$F$5:$F$404,0)),""))</f>
        <v>0</v>
      </c>
      <c r="R99" s="31">
        <f>IF(OR(J99="",Q99=""),"",J99-Q99)</f>
        <v>0</v>
      </c>
      <c r="S99" s="50">
        <f>IF(B99="","",IF(H99="Done","Yes","No"))</f>
        <v>0</v>
      </c>
      <c r="T99" s="39">
        <f>IF(B99="","",IF(G99="","Add - what was the task?",IF(H99="Issue found",IF(M99="Yes","OK - issue reported","Action - tell the client"),IF(H99="Needs rework","Action - rework needed",IF(AND(H99="Skipped",P99="Yes"),"Check - required task skipped",IF(H99="Done","OK","Due"))))))</f>
        <v>0</v>
      </c>
    </row>
    <row r="100" spans="1:20">
      <c r="A100" s="43">
        <f>IF(B100="","","JT-"&amp;TEXT(ROW()-4,"0000"))</f>
        <v>0</v>
      </c>
      <c r="C100" s="18">
        <f>IF(B100="","",IFERROR(INDEX(Jobs!$B$5:$B$604,MATCH(B100,Jobs!$A$5:$A$604,0)),""))</f>
        <v>0</v>
      </c>
      <c r="D100" s="23">
        <f>IF(B100="","",IFERROR(INDEX(Jobs!$H$5:$H$604,MATCH(B100,Jobs!$A$5:$A$604,0)),""))</f>
        <v>0</v>
      </c>
      <c r="E100" s="23">
        <f>IF(B100="","",IFERROR(INDEX(Jobs!$K$5:$K$604,MATCH(B100,Jobs!$A$5:$A$604,0)),""))</f>
        <v>0</v>
      </c>
      <c r="P100" s="50">
        <f>IF(G100="","",IFERROR(INDEX(Checklists!$J$5:$J$404,MATCH(G100,Checklists!$F$5:$F$404,0)),"Yes"))</f>
        <v>0</v>
      </c>
      <c r="Q100" s="31">
        <f>IF(G100="","",IFERROR(INDEX(Checklists!$H$5:$H$404,MATCH(G100,Checklists!$F$5:$F$404,0)),""))</f>
        <v>0</v>
      </c>
      <c r="R100" s="31">
        <f>IF(OR(J100="",Q100=""),"",J100-Q100)</f>
        <v>0</v>
      </c>
      <c r="S100" s="50">
        <f>IF(B100="","",IF(H100="Done","Yes","No"))</f>
        <v>0</v>
      </c>
      <c r="T100" s="39">
        <f>IF(B100="","",IF(G100="","Add - what was the task?",IF(H100="Issue found",IF(M100="Yes","OK - issue reported","Action - tell the client"),IF(H100="Needs rework","Action - rework needed",IF(AND(H100="Skipped",P100="Yes"),"Check - required task skipped",IF(H100="Done","OK","Due"))))))</f>
        <v>0</v>
      </c>
    </row>
    <row r="101" spans="1:20">
      <c r="A101" s="43">
        <f>IF(B101="","","JT-"&amp;TEXT(ROW()-4,"0000"))</f>
        <v>0</v>
      </c>
      <c r="C101" s="18">
        <f>IF(B101="","",IFERROR(INDEX(Jobs!$B$5:$B$604,MATCH(B101,Jobs!$A$5:$A$604,0)),""))</f>
        <v>0</v>
      </c>
      <c r="D101" s="23">
        <f>IF(B101="","",IFERROR(INDEX(Jobs!$H$5:$H$604,MATCH(B101,Jobs!$A$5:$A$604,0)),""))</f>
        <v>0</v>
      </c>
      <c r="E101" s="23">
        <f>IF(B101="","",IFERROR(INDEX(Jobs!$K$5:$K$604,MATCH(B101,Jobs!$A$5:$A$604,0)),""))</f>
        <v>0</v>
      </c>
      <c r="P101" s="50">
        <f>IF(G101="","",IFERROR(INDEX(Checklists!$J$5:$J$404,MATCH(G101,Checklists!$F$5:$F$404,0)),"Yes"))</f>
        <v>0</v>
      </c>
      <c r="Q101" s="31">
        <f>IF(G101="","",IFERROR(INDEX(Checklists!$H$5:$H$404,MATCH(G101,Checklists!$F$5:$F$404,0)),""))</f>
        <v>0</v>
      </c>
      <c r="R101" s="31">
        <f>IF(OR(J101="",Q101=""),"",J101-Q101)</f>
        <v>0</v>
      </c>
      <c r="S101" s="50">
        <f>IF(B101="","",IF(H101="Done","Yes","No"))</f>
        <v>0</v>
      </c>
      <c r="T101" s="39">
        <f>IF(B101="","",IF(G101="","Add - what was the task?",IF(H101="Issue found",IF(M101="Yes","OK - issue reported","Action - tell the client"),IF(H101="Needs rework","Action - rework needed",IF(AND(H101="Skipped",P101="Yes"),"Check - required task skipped",IF(H101="Done","OK","Due"))))))</f>
        <v>0</v>
      </c>
    </row>
    <row r="102" spans="1:20">
      <c r="A102" s="43">
        <f>IF(B102="","","JT-"&amp;TEXT(ROW()-4,"0000"))</f>
        <v>0</v>
      </c>
      <c r="C102" s="18">
        <f>IF(B102="","",IFERROR(INDEX(Jobs!$B$5:$B$604,MATCH(B102,Jobs!$A$5:$A$604,0)),""))</f>
        <v>0</v>
      </c>
      <c r="D102" s="23">
        <f>IF(B102="","",IFERROR(INDEX(Jobs!$H$5:$H$604,MATCH(B102,Jobs!$A$5:$A$604,0)),""))</f>
        <v>0</v>
      </c>
      <c r="E102" s="23">
        <f>IF(B102="","",IFERROR(INDEX(Jobs!$K$5:$K$604,MATCH(B102,Jobs!$A$5:$A$604,0)),""))</f>
        <v>0</v>
      </c>
      <c r="P102" s="50">
        <f>IF(G102="","",IFERROR(INDEX(Checklists!$J$5:$J$404,MATCH(G102,Checklists!$F$5:$F$404,0)),"Yes"))</f>
        <v>0</v>
      </c>
      <c r="Q102" s="31">
        <f>IF(G102="","",IFERROR(INDEX(Checklists!$H$5:$H$404,MATCH(G102,Checklists!$F$5:$F$404,0)),""))</f>
        <v>0</v>
      </c>
      <c r="R102" s="31">
        <f>IF(OR(J102="",Q102=""),"",J102-Q102)</f>
        <v>0</v>
      </c>
      <c r="S102" s="50">
        <f>IF(B102="","",IF(H102="Done","Yes","No"))</f>
        <v>0</v>
      </c>
      <c r="T102" s="39">
        <f>IF(B102="","",IF(G102="","Add - what was the task?",IF(H102="Issue found",IF(M102="Yes","OK - issue reported","Action - tell the client"),IF(H102="Needs rework","Action - rework needed",IF(AND(H102="Skipped",P102="Yes"),"Check - required task skipped",IF(H102="Done","OK","Due"))))))</f>
        <v>0</v>
      </c>
    </row>
    <row r="103" spans="1:20">
      <c r="A103" s="43">
        <f>IF(B103="","","JT-"&amp;TEXT(ROW()-4,"0000"))</f>
        <v>0</v>
      </c>
      <c r="C103" s="18">
        <f>IF(B103="","",IFERROR(INDEX(Jobs!$B$5:$B$604,MATCH(B103,Jobs!$A$5:$A$604,0)),""))</f>
        <v>0</v>
      </c>
      <c r="D103" s="23">
        <f>IF(B103="","",IFERROR(INDEX(Jobs!$H$5:$H$604,MATCH(B103,Jobs!$A$5:$A$604,0)),""))</f>
        <v>0</v>
      </c>
      <c r="E103" s="23">
        <f>IF(B103="","",IFERROR(INDEX(Jobs!$K$5:$K$604,MATCH(B103,Jobs!$A$5:$A$604,0)),""))</f>
        <v>0</v>
      </c>
      <c r="P103" s="50">
        <f>IF(G103="","",IFERROR(INDEX(Checklists!$J$5:$J$404,MATCH(G103,Checklists!$F$5:$F$404,0)),"Yes"))</f>
        <v>0</v>
      </c>
      <c r="Q103" s="31">
        <f>IF(G103="","",IFERROR(INDEX(Checklists!$H$5:$H$404,MATCH(G103,Checklists!$F$5:$F$404,0)),""))</f>
        <v>0</v>
      </c>
      <c r="R103" s="31">
        <f>IF(OR(J103="",Q103=""),"",J103-Q103)</f>
        <v>0</v>
      </c>
      <c r="S103" s="50">
        <f>IF(B103="","",IF(H103="Done","Yes","No"))</f>
        <v>0</v>
      </c>
      <c r="T103" s="39">
        <f>IF(B103="","",IF(G103="","Add - what was the task?",IF(H103="Issue found",IF(M103="Yes","OK - issue reported","Action - tell the client"),IF(H103="Needs rework","Action - rework needed",IF(AND(H103="Skipped",P103="Yes"),"Check - required task skipped",IF(H103="Done","OK","Due"))))))</f>
        <v>0</v>
      </c>
    </row>
    <row r="104" spans="1:20">
      <c r="A104" s="43">
        <f>IF(B104="","","JT-"&amp;TEXT(ROW()-4,"0000"))</f>
        <v>0</v>
      </c>
      <c r="C104" s="18">
        <f>IF(B104="","",IFERROR(INDEX(Jobs!$B$5:$B$604,MATCH(B104,Jobs!$A$5:$A$604,0)),""))</f>
        <v>0</v>
      </c>
      <c r="D104" s="23">
        <f>IF(B104="","",IFERROR(INDEX(Jobs!$H$5:$H$604,MATCH(B104,Jobs!$A$5:$A$604,0)),""))</f>
        <v>0</v>
      </c>
      <c r="E104" s="23">
        <f>IF(B104="","",IFERROR(INDEX(Jobs!$K$5:$K$604,MATCH(B104,Jobs!$A$5:$A$604,0)),""))</f>
        <v>0</v>
      </c>
      <c r="P104" s="50">
        <f>IF(G104="","",IFERROR(INDEX(Checklists!$J$5:$J$404,MATCH(G104,Checklists!$F$5:$F$404,0)),"Yes"))</f>
        <v>0</v>
      </c>
      <c r="Q104" s="31">
        <f>IF(G104="","",IFERROR(INDEX(Checklists!$H$5:$H$404,MATCH(G104,Checklists!$F$5:$F$404,0)),""))</f>
        <v>0</v>
      </c>
      <c r="R104" s="31">
        <f>IF(OR(J104="",Q104=""),"",J104-Q104)</f>
        <v>0</v>
      </c>
      <c r="S104" s="50">
        <f>IF(B104="","",IF(H104="Done","Yes","No"))</f>
        <v>0</v>
      </c>
      <c r="T104" s="39">
        <f>IF(B104="","",IF(G104="","Add - what was the task?",IF(H104="Issue found",IF(M104="Yes","OK - issue reported","Action - tell the client"),IF(H104="Needs rework","Action - rework needed",IF(AND(H104="Skipped",P104="Yes"),"Check - required task skipped",IF(H104="Done","OK","Due"))))))</f>
        <v>0</v>
      </c>
    </row>
    <row r="105" spans="1:20">
      <c r="A105" s="43">
        <f>IF(B105="","","JT-"&amp;TEXT(ROW()-4,"0000"))</f>
        <v>0</v>
      </c>
      <c r="C105" s="18">
        <f>IF(B105="","",IFERROR(INDEX(Jobs!$B$5:$B$604,MATCH(B105,Jobs!$A$5:$A$604,0)),""))</f>
        <v>0</v>
      </c>
      <c r="D105" s="23">
        <f>IF(B105="","",IFERROR(INDEX(Jobs!$H$5:$H$604,MATCH(B105,Jobs!$A$5:$A$604,0)),""))</f>
        <v>0</v>
      </c>
      <c r="E105" s="23">
        <f>IF(B105="","",IFERROR(INDEX(Jobs!$K$5:$K$604,MATCH(B105,Jobs!$A$5:$A$604,0)),""))</f>
        <v>0</v>
      </c>
      <c r="P105" s="50">
        <f>IF(G105="","",IFERROR(INDEX(Checklists!$J$5:$J$404,MATCH(G105,Checklists!$F$5:$F$404,0)),"Yes"))</f>
        <v>0</v>
      </c>
      <c r="Q105" s="31">
        <f>IF(G105="","",IFERROR(INDEX(Checklists!$H$5:$H$404,MATCH(G105,Checklists!$F$5:$F$404,0)),""))</f>
        <v>0</v>
      </c>
      <c r="R105" s="31">
        <f>IF(OR(J105="",Q105=""),"",J105-Q105)</f>
        <v>0</v>
      </c>
      <c r="S105" s="50">
        <f>IF(B105="","",IF(H105="Done","Yes","No"))</f>
        <v>0</v>
      </c>
      <c r="T105" s="39">
        <f>IF(B105="","",IF(G105="","Add - what was the task?",IF(H105="Issue found",IF(M105="Yes","OK - issue reported","Action - tell the client"),IF(H105="Needs rework","Action - rework needed",IF(AND(H105="Skipped",P105="Yes"),"Check - required task skipped",IF(H105="Done","OK","Due"))))))</f>
        <v>0</v>
      </c>
    </row>
    <row r="106" spans="1:20">
      <c r="A106" s="43">
        <f>IF(B106="","","JT-"&amp;TEXT(ROW()-4,"0000"))</f>
        <v>0</v>
      </c>
      <c r="C106" s="18">
        <f>IF(B106="","",IFERROR(INDEX(Jobs!$B$5:$B$604,MATCH(B106,Jobs!$A$5:$A$604,0)),""))</f>
        <v>0</v>
      </c>
      <c r="D106" s="23">
        <f>IF(B106="","",IFERROR(INDEX(Jobs!$H$5:$H$604,MATCH(B106,Jobs!$A$5:$A$604,0)),""))</f>
        <v>0</v>
      </c>
      <c r="E106" s="23">
        <f>IF(B106="","",IFERROR(INDEX(Jobs!$K$5:$K$604,MATCH(B106,Jobs!$A$5:$A$604,0)),""))</f>
        <v>0</v>
      </c>
      <c r="P106" s="50">
        <f>IF(G106="","",IFERROR(INDEX(Checklists!$J$5:$J$404,MATCH(G106,Checklists!$F$5:$F$404,0)),"Yes"))</f>
        <v>0</v>
      </c>
      <c r="Q106" s="31">
        <f>IF(G106="","",IFERROR(INDEX(Checklists!$H$5:$H$404,MATCH(G106,Checklists!$F$5:$F$404,0)),""))</f>
        <v>0</v>
      </c>
      <c r="R106" s="31">
        <f>IF(OR(J106="",Q106=""),"",J106-Q106)</f>
        <v>0</v>
      </c>
      <c r="S106" s="50">
        <f>IF(B106="","",IF(H106="Done","Yes","No"))</f>
        <v>0</v>
      </c>
      <c r="T106" s="39">
        <f>IF(B106="","",IF(G106="","Add - what was the task?",IF(H106="Issue found",IF(M106="Yes","OK - issue reported","Action - tell the client"),IF(H106="Needs rework","Action - rework needed",IF(AND(H106="Skipped",P106="Yes"),"Check - required task skipped",IF(H106="Done","OK","Due"))))))</f>
        <v>0</v>
      </c>
    </row>
    <row r="107" spans="1:20">
      <c r="A107" s="43">
        <f>IF(B107="","","JT-"&amp;TEXT(ROW()-4,"0000"))</f>
        <v>0</v>
      </c>
      <c r="C107" s="18">
        <f>IF(B107="","",IFERROR(INDEX(Jobs!$B$5:$B$604,MATCH(B107,Jobs!$A$5:$A$604,0)),""))</f>
        <v>0</v>
      </c>
      <c r="D107" s="23">
        <f>IF(B107="","",IFERROR(INDEX(Jobs!$H$5:$H$604,MATCH(B107,Jobs!$A$5:$A$604,0)),""))</f>
        <v>0</v>
      </c>
      <c r="E107" s="23">
        <f>IF(B107="","",IFERROR(INDEX(Jobs!$K$5:$K$604,MATCH(B107,Jobs!$A$5:$A$604,0)),""))</f>
        <v>0</v>
      </c>
      <c r="P107" s="50">
        <f>IF(G107="","",IFERROR(INDEX(Checklists!$J$5:$J$404,MATCH(G107,Checklists!$F$5:$F$404,0)),"Yes"))</f>
        <v>0</v>
      </c>
      <c r="Q107" s="31">
        <f>IF(G107="","",IFERROR(INDEX(Checklists!$H$5:$H$404,MATCH(G107,Checklists!$F$5:$F$404,0)),""))</f>
        <v>0</v>
      </c>
      <c r="R107" s="31">
        <f>IF(OR(J107="",Q107=""),"",J107-Q107)</f>
        <v>0</v>
      </c>
      <c r="S107" s="50">
        <f>IF(B107="","",IF(H107="Done","Yes","No"))</f>
        <v>0</v>
      </c>
      <c r="T107" s="39">
        <f>IF(B107="","",IF(G107="","Add - what was the task?",IF(H107="Issue found",IF(M107="Yes","OK - issue reported","Action - tell the client"),IF(H107="Needs rework","Action - rework needed",IF(AND(H107="Skipped",P107="Yes"),"Check - required task skipped",IF(H107="Done","OK","Due"))))))</f>
        <v>0</v>
      </c>
    </row>
    <row r="108" spans="1:20">
      <c r="A108" s="43">
        <f>IF(B108="","","JT-"&amp;TEXT(ROW()-4,"0000"))</f>
        <v>0</v>
      </c>
      <c r="C108" s="18">
        <f>IF(B108="","",IFERROR(INDEX(Jobs!$B$5:$B$604,MATCH(B108,Jobs!$A$5:$A$604,0)),""))</f>
        <v>0</v>
      </c>
      <c r="D108" s="23">
        <f>IF(B108="","",IFERROR(INDEX(Jobs!$H$5:$H$604,MATCH(B108,Jobs!$A$5:$A$604,0)),""))</f>
        <v>0</v>
      </c>
      <c r="E108" s="23">
        <f>IF(B108="","",IFERROR(INDEX(Jobs!$K$5:$K$604,MATCH(B108,Jobs!$A$5:$A$604,0)),""))</f>
        <v>0</v>
      </c>
      <c r="P108" s="50">
        <f>IF(G108="","",IFERROR(INDEX(Checklists!$J$5:$J$404,MATCH(G108,Checklists!$F$5:$F$404,0)),"Yes"))</f>
        <v>0</v>
      </c>
      <c r="Q108" s="31">
        <f>IF(G108="","",IFERROR(INDEX(Checklists!$H$5:$H$404,MATCH(G108,Checklists!$F$5:$F$404,0)),""))</f>
        <v>0</v>
      </c>
      <c r="R108" s="31">
        <f>IF(OR(J108="",Q108=""),"",J108-Q108)</f>
        <v>0</v>
      </c>
      <c r="S108" s="50">
        <f>IF(B108="","",IF(H108="Done","Yes","No"))</f>
        <v>0</v>
      </c>
      <c r="T108" s="39">
        <f>IF(B108="","",IF(G108="","Add - what was the task?",IF(H108="Issue found",IF(M108="Yes","OK - issue reported","Action - tell the client"),IF(H108="Needs rework","Action - rework needed",IF(AND(H108="Skipped",P108="Yes"),"Check - required task skipped",IF(H108="Done","OK","Due"))))))</f>
        <v>0</v>
      </c>
    </row>
    <row r="109" spans="1:20">
      <c r="A109" s="43">
        <f>IF(B109="","","JT-"&amp;TEXT(ROW()-4,"0000"))</f>
        <v>0</v>
      </c>
      <c r="C109" s="18">
        <f>IF(B109="","",IFERROR(INDEX(Jobs!$B$5:$B$604,MATCH(B109,Jobs!$A$5:$A$604,0)),""))</f>
        <v>0</v>
      </c>
      <c r="D109" s="23">
        <f>IF(B109="","",IFERROR(INDEX(Jobs!$H$5:$H$604,MATCH(B109,Jobs!$A$5:$A$604,0)),""))</f>
        <v>0</v>
      </c>
      <c r="E109" s="23">
        <f>IF(B109="","",IFERROR(INDEX(Jobs!$K$5:$K$604,MATCH(B109,Jobs!$A$5:$A$604,0)),""))</f>
        <v>0</v>
      </c>
      <c r="P109" s="50">
        <f>IF(G109="","",IFERROR(INDEX(Checklists!$J$5:$J$404,MATCH(G109,Checklists!$F$5:$F$404,0)),"Yes"))</f>
        <v>0</v>
      </c>
      <c r="Q109" s="31">
        <f>IF(G109="","",IFERROR(INDEX(Checklists!$H$5:$H$404,MATCH(G109,Checklists!$F$5:$F$404,0)),""))</f>
        <v>0</v>
      </c>
      <c r="R109" s="31">
        <f>IF(OR(J109="",Q109=""),"",J109-Q109)</f>
        <v>0</v>
      </c>
      <c r="S109" s="50">
        <f>IF(B109="","",IF(H109="Done","Yes","No"))</f>
        <v>0</v>
      </c>
      <c r="T109" s="39">
        <f>IF(B109="","",IF(G109="","Add - what was the task?",IF(H109="Issue found",IF(M109="Yes","OK - issue reported","Action - tell the client"),IF(H109="Needs rework","Action - rework needed",IF(AND(H109="Skipped",P109="Yes"),"Check - required task skipped",IF(H109="Done","OK","Due"))))))</f>
        <v>0</v>
      </c>
    </row>
    <row r="110" spans="1:20">
      <c r="A110" s="43">
        <f>IF(B110="","","JT-"&amp;TEXT(ROW()-4,"0000"))</f>
        <v>0</v>
      </c>
      <c r="C110" s="18">
        <f>IF(B110="","",IFERROR(INDEX(Jobs!$B$5:$B$604,MATCH(B110,Jobs!$A$5:$A$604,0)),""))</f>
        <v>0</v>
      </c>
      <c r="D110" s="23">
        <f>IF(B110="","",IFERROR(INDEX(Jobs!$H$5:$H$604,MATCH(B110,Jobs!$A$5:$A$604,0)),""))</f>
        <v>0</v>
      </c>
      <c r="E110" s="23">
        <f>IF(B110="","",IFERROR(INDEX(Jobs!$K$5:$K$604,MATCH(B110,Jobs!$A$5:$A$604,0)),""))</f>
        <v>0</v>
      </c>
      <c r="P110" s="50">
        <f>IF(G110="","",IFERROR(INDEX(Checklists!$J$5:$J$404,MATCH(G110,Checklists!$F$5:$F$404,0)),"Yes"))</f>
        <v>0</v>
      </c>
      <c r="Q110" s="31">
        <f>IF(G110="","",IFERROR(INDEX(Checklists!$H$5:$H$404,MATCH(G110,Checklists!$F$5:$F$404,0)),""))</f>
        <v>0</v>
      </c>
      <c r="R110" s="31">
        <f>IF(OR(J110="",Q110=""),"",J110-Q110)</f>
        <v>0</v>
      </c>
      <c r="S110" s="50">
        <f>IF(B110="","",IF(H110="Done","Yes","No"))</f>
        <v>0</v>
      </c>
      <c r="T110" s="39">
        <f>IF(B110="","",IF(G110="","Add - what was the task?",IF(H110="Issue found",IF(M110="Yes","OK - issue reported","Action - tell the client"),IF(H110="Needs rework","Action - rework needed",IF(AND(H110="Skipped",P110="Yes"),"Check - required task skipped",IF(H110="Done","OK","Due"))))))</f>
        <v>0</v>
      </c>
    </row>
    <row r="111" spans="1:20">
      <c r="A111" s="43">
        <f>IF(B111="","","JT-"&amp;TEXT(ROW()-4,"0000"))</f>
        <v>0</v>
      </c>
      <c r="C111" s="18">
        <f>IF(B111="","",IFERROR(INDEX(Jobs!$B$5:$B$604,MATCH(B111,Jobs!$A$5:$A$604,0)),""))</f>
        <v>0</v>
      </c>
      <c r="D111" s="23">
        <f>IF(B111="","",IFERROR(INDEX(Jobs!$H$5:$H$604,MATCH(B111,Jobs!$A$5:$A$604,0)),""))</f>
        <v>0</v>
      </c>
      <c r="E111" s="23">
        <f>IF(B111="","",IFERROR(INDEX(Jobs!$K$5:$K$604,MATCH(B111,Jobs!$A$5:$A$604,0)),""))</f>
        <v>0</v>
      </c>
      <c r="P111" s="50">
        <f>IF(G111="","",IFERROR(INDEX(Checklists!$J$5:$J$404,MATCH(G111,Checklists!$F$5:$F$404,0)),"Yes"))</f>
        <v>0</v>
      </c>
      <c r="Q111" s="31">
        <f>IF(G111="","",IFERROR(INDEX(Checklists!$H$5:$H$404,MATCH(G111,Checklists!$F$5:$F$404,0)),""))</f>
        <v>0</v>
      </c>
      <c r="R111" s="31">
        <f>IF(OR(J111="",Q111=""),"",J111-Q111)</f>
        <v>0</v>
      </c>
      <c r="S111" s="50">
        <f>IF(B111="","",IF(H111="Done","Yes","No"))</f>
        <v>0</v>
      </c>
      <c r="T111" s="39">
        <f>IF(B111="","",IF(G111="","Add - what was the task?",IF(H111="Issue found",IF(M111="Yes","OK - issue reported","Action - tell the client"),IF(H111="Needs rework","Action - rework needed",IF(AND(H111="Skipped",P111="Yes"),"Check - required task skipped",IF(H111="Done","OK","Due"))))))</f>
        <v>0</v>
      </c>
    </row>
    <row r="112" spans="1:20">
      <c r="A112" s="43">
        <f>IF(B112="","","JT-"&amp;TEXT(ROW()-4,"0000"))</f>
        <v>0</v>
      </c>
      <c r="C112" s="18">
        <f>IF(B112="","",IFERROR(INDEX(Jobs!$B$5:$B$604,MATCH(B112,Jobs!$A$5:$A$604,0)),""))</f>
        <v>0</v>
      </c>
      <c r="D112" s="23">
        <f>IF(B112="","",IFERROR(INDEX(Jobs!$H$5:$H$604,MATCH(B112,Jobs!$A$5:$A$604,0)),""))</f>
        <v>0</v>
      </c>
      <c r="E112" s="23">
        <f>IF(B112="","",IFERROR(INDEX(Jobs!$K$5:$K$604,MATCH(B112,Jobs!$A$5:$A$604,0)),""))</f>
        <v>0</v>
      </c>
      <c r="P112" s="50">
        <f>IF(G112="","",IFERROR(INDEX(Checklists!$J$5:$J$404,MATCH(G112,Checklists!$F$5:$F$404,0)),"Yes"))</f>
        <v>0</v>
      </c>
      <c r="Q112" s="31">
        <f>IF(G112="","",IFERROR(INDEX(Checklists!$H$5:$H$404,MATCH(G112,Checklists!$F$5:$F$404,0)),""))</f>
        <v>0</v>
      </c>
      <c r="R112" s="31">
        <f>IF(OR(J112="",Q112=""),"",J112-Q112)</f>
        <v>0</v>
      </c>
      <c r="S112" s="50">
        <f>IF(B112="","",IF(H112="Done","Yes","No"))</f>
        <v>0</v>
      </c>
      <c r="T112" s="39">
        <f>IF(B112="","",IF(G112="","Add - what was the task?",IF(H112="Issue found",IF(M112="Yes","OK - issue reported","Action - tell the client"),IF(H112="Needs rework","Action - rework needed",IF(AND(H112="Skipped",P112="Yes"),"Check - required task skipped",IF(H112="Done","OK","Due"))))))</f>
        <v>0</v>
      </c>
    </row>
    <row r="113" spans="1:20">
      <c r="A113" s="43">
        <f>IF(B113="","","JT-"&amp;TEXT(ROW()-4,"0000"))</f>
        <v>0</v>
      </c>
      <c r="C113" s="18">
        <f>IF(B113="","",IFERROR(INDEX(Jobs!$B$5:$B$604,MATCH(B113,Jobs!$A$5:$A$604,0)),""))</f>
        <v>0</v>
      </c>
      <c r="D113" s="23">
        <f>IF(B113="","",IFERROR(INDEX(Jobs!$H$5:$H$604,MATCH(B113,Jobs!$A$5:$A$604,0)),""))</f>
        <v>0</v>
      </c>
      <c r="E113" s="23">
        <f>IF(B113="","",IFERROR(INDEX(Jobs!$K$5:$K$604,MATCH(B113,Jobs!$A$5:$A$604,0)),""))</f>
        <v>0</v>
      </c>
      <c r="P113" s="50">
        <f>IF(G113="","",IFERROR(INDEX(Checklists!$J$5:$J$404,MATCH(G113,Checklists!$F$5:$F$404,0)),"Yes"))</f>
        <v>0</v>
      </c>
      <c r="Q113" s="31">
        <f>IF(G113="","",IFERROR(INDEX(Checklists!$H$5:$H$404,MATCH(G113,Checklists!$F$5:$F$404,0)),""))</f>
        <v>0</v>
      </c>
      <c r="R113" s="31">
        <f>IF(OR(J113="",Q113=""),"",J113-Q113)</f>
        <v>0</v>
      </c>
      <c r="S113" s="50">
        <f>IF(B113="","",IF(H113="Done","Yes","No"))</f>
        <v>0</v>
      </c>
      <c r="T113" s="39">
        <f>IF(B113="","",IF(G113="","Add - what was the task?",IF(H113="Issue found",IF(M113="Yes","OK - issue reported","Action - tell the client"),IF(H113="Needs rework","Action - rework needed",IF(AND(H113="Skipped",P113="Yes"),"Check - required task skipped",IF(H113="Done","OK","Due"))))))</f>
        <v>0</v>
      </c>
    </row>
    <row r="114" spans="1:20">
      <c r="A114" s="43">
        <f>IF(B114="","","JT-"&amp;TEXT(ROW()-4,"0000"))</f>
        <v>0</v>
      </c>
      <c r="C114" s="18">
        <f>IF(B114="","",IFERROR(INDEX(Jobs!$B$5:$B$604,MATCH(B114,Jobs!$A$5:$A$604,0)),""))</f>
        <v>0</v>
      </c>
      <c r="D114" s="23">
        <f>IF(B114="","",IFERROR(INDEX(Jobs!$H$5:$H$604,MATCH(B114,Jobs!$A$5:$A$604,0)),""))</f>
        <v>0</v>
      </c>
      <c r="E114" s="23">
        <f>IF(B114="","",IFERROR(INDEX(Jobs!$K$5:$K$604,MATCH(B114,Jobs!$A$5:$A$604,0)),""))</f>
        <v>0</v>
      </c>
      <c r="P114" s="50">
        <f>IF(G114="","",IFERROR(INDEX(Checklists!$J$5:$J$404,MATCH(G114,Checklists!$F$5:$F$404,0)),"Yes"))</f>
        <v>0</v>
      </c>
      <c r="Q114" s="31">
        <f>IF(G114="","",IFERROR(INDEX(Checklists!$H$5:$H$404,MATCH(G114,Checklists!$F$5:$F$404,0)),""))</f>
        <v>0</v>
      </c>
      <c r="R114" s="31">
        <f>IF(OR(J114="",Q114=""),"",J114-Q114)</f>
        <v>0</v>
      </c>
      <c r="S114" s="50">
        <f>IF(B114="","",IF(H114="Done","Yes","No"))</f>
        <v>0</v>
      </c>
      <c r="T114" s="39">
        <f>IF(B114="","",IF(G114="","Add - what was the task?",IF(H114="Issue found",IF(M114="Yes","OK - issue reported","Action - tell the client"),IF(H114="Needs rework","Action - rework needed",IF(AND(H114="Skipped",P114="Yes"),"Check - required task skipped",IF(H114="Done","OK","Due"))))))</f>
        <v>0</v>
      </c>
    </row>
    <row r="115" spans="1:20">
      <c r="A115" s="43">
        <f>IF(B115="","","JT-"&amp;TEXT(ROW()-4,"0000"))</f>
        <v>0</v>
      </c>
      <c r="C115" s="18">
        <f>IF(B115="","",IFERROR(INDEX(Jobs!$B$5:$B$604,MATCH(B115,Jobs!$A$5:$A$604,0)),""))</f>
        <v>0</v>
      </c>
      <c r="D115" s="23">
        <f>IF(B115="","",IFERROR(INDEX(Jobs!$H$5:$H$604,MATCH(B115,Jobs!$A$5:$A$604,0)),""))</f>
        <v>0</v>
      </c>
      <c r="E115" s="23">
        <f>IF(B115="","",IFERROR(INDEX(Jobs!$K$5:$K$604,MATCH(B115,Jobs!$A$5:$A$604,0)),""))</f>
        <v>0</v>
      </c>
      <c r="P115" s="50">
        <f>IF(G115="","",IFERROR(INDEX(Checklists!$J$5:$J$404,MATCH(G115,Checklists!$F$5:$F$404,0)),"Yes"))</f>
        <v>0</v>
      </c>
      <c r="Q115" s="31">
        <f>IF(G115="","",IFERROR(INDEX(Checklists!$H$5:$H$404,MATCH(G115,Checklists!$F$5:$F$404,0)),""))</f>
        <v>0</v>
      </c>
      <c r="R115" s="31">
        <f>IF(OR(J115="",Q115=""),"",J115-Q115)</f>
        <v>0</v>
      </c>
      <c r="S115" s="50">
        <f>IF(B115="","",IF(H115="Done","Yes","No"))</f>
        <v>0</v>
      </c>
      <c r="T115" s="39">
        <f>IF(B115="","",IF(G115="","Add - what was the task?",IF(H115="Issue found",IF(M115="Yes","OK - issue reported","Action - tell the client"),IF(H115="Needs rework","Action - rework needed",IF(AND(H115="Skipped",P115="Yes"),"Check - required task skipped",IF(H115="Done","OK","Due"))))))</f>
        <v>0</v>
      </c>
    </row>
    <row r="116" spans="1:20">
      <c r="A116" s="43">
        <f>IF(B116="","","JT-"&amp;TEXT(ROW()-4,"0000"))</f>
        <v>0</v>
      </c>
      <c r="C116" s="18">
        <f>IF(B116="","",IFERROR(INDEX(Jobs!$B$5:$B$604,MATCH(B116,Jobs!$A$5:$A$604,0)),""))</f>
        <v>0</v>
      </c>
      <c r="D116" s="23">
        <f>IF(B116="","",IFERROR(INDEX(Jobs!$H$5:$H$604,MATCH(B116,Jobs!$A$5:$A$604,0)),""))</f>
        <v>0</v>
      </c>
      <c r="E116" s="23">
        <f>IF(B116="","",IFERROR(INDEX(Jobs!$K$5:$K$604,MATCH(B116,Jobs!$A$5:$A$604,0)),""))</f>
        <v>0</v>
      </c>
      <c r="P116" s="50">
        <f>IF(G116="","",IFERROR(INDEX(Checklists!$J$5:$J$404,MATCH(G116,Checklists!$F$5:$F$404,0)),"Yes"))</f>
        <v>0</v>
      </c>
      <c r="Q116" s="31">
        <f>IF(G116="","",IFERROR(INDEX(Checklists!$H$5:$H$404,MATCH(G116,Checklists!$F$5:$F$404,0)),""))</f>
        <v>0</v>
      </c>
      <c r="R116" s="31">
        <f>IF(OR(J116="",Q116=""),"",J116-Q116)</f>
        <v>0</v>
      </c>
      <c r="S116" s="50">
        <f>IF(B116="","",IF(H116="Done","Yes","No"))</f>
        <v>0</v>
      </c>
      <c r="T116" s="39">
        <f>IF(B116="","",IF(G116="","Add - what was the task?",IF(H116="Issue found",IF(M116="Yes","OK - issue reported","Action - tell the client"),IF(H116="Needs rework","Action - rework needed",IF(AND(H116="Skipped",P116="Yes"),"Check - required task skipped",IF(H116="Done","OK","Due"))))))</f>
        <v>0</v>
      </c>
    </row>
    <row r="117" spans="1:20">
      <c r="A117" s="43">
        <f>IF(B117="","","JT-"&amp;TEXT(ROW()-4,"0000"))</f>
        <v>0</v>
      </c>
      <c r="C117" s="18">
        <f>IF(B117="","",IFERROR(INDEX(Jobs!$B$5:$B$604,MATCH(B117,Jobs!$A$5:$A$604,0)),""))</f>
        <v>0</v>
      </c>
      <c r="D117" s="23">
        <f>IF(B117="","",IFERROR(INDEX(Jobs!$H$5:$H$604,MATCH(B117,Jobs!$A$5:$A$604,0)),""))</f>
        <v>0</v>
      </c>
      <c r="E117" s="23">
        <f>IF(B117="","",IFERROR(INDEX(Jobs!$K$5:$K$604,MATCH(B117,Jobs!$A$5:$A$604,0)),""))</f>
        <v>0</v>
      </c>
      <c r="P117" s="50">
        <f>IF(G117="","",IFERROR(INDEX(Checklists!$J$5:$J$404,MATCH(G117,Checklists!$F$5:$F$404,0)),"Yes"))</f>
        <v>0</v>
      </c>
      <c r="Q117" s="31">
        <f>IF(G117="","",IFERROR(INDEX(Checklists!$H$5:$H$404,MATCH(G117,Checklists!$F$5:$F$404,0)),""))</f>
        <v>0</v>
      </c>
      <c r="R117" s="31">
        <f>IF(OR(J117="",Q117=""),"",J117-Q117)</f>
        <v>0</v>
      </c>
      <c r="S117" s="50">
        <f>IF(B117="","",IF(H117="Done","Yes","No"))</f>
        <v>0</v>
      </c>
      <c r="T117" s="39">
        <f>IF(B117="","",IF(G117="","Add - what was the task?",IF(H117="Issue found",IF(M117="Yes","OK - issue reported","Action - tell the client"),IF(H117="Needs rework","Action - rework needed",IF(AND(H117="Skipped",P117="Yes"),"Check - required task skipped",IF(H117="Done","OK","Due"))))))</f>
        <v>0</v>
      </c>
    </row>
    <row r="118" spans="1:20">
      <c r="A118" s="43">
        <f>IF(B118="","","JT-"&amp;TEXT(ROW()-4,"0000"))</f>
        <v>0</v>
      </c>
      <c r="C118" s="18">
        <f>IF(B118="","",IFERROR(INDEX(Jobs!$B$5:$B$604,MATCH(B118,Jobs!$A$5:$A$604,0)),""))</f>
        <v>0</v>
      </c>
      <c r="D118" s="23">
        <f>IF(B118="","",IFERROR(INDEX(Jobs!$H$5:$H$604,MATCH(B118,Jobs!$A$5:$A$604,0)),""))</f>
        <v>0</v>
      </c>
      <c r="E118" s="23">
        <f>IF(B118="","",IFERROR(INDEX(Jobs!$K$5:$K$604,MATCH(B118,Jobs!$A$5:$A$604,0)),""))</f>
        <v>0</v>
      </c>
      <c r="P118" s="50">
        <f>IF(G118="","",IFERROR(INDEX(Checklists!$J$5:$J$404,MATCH(G118,Checklists!$F$5:$F$404,0)),"Yes"))</f>
        <v>0</v>
      </c>
      <c r="Q118" s="31">
        <f>IF(G118="","",IFERROR(INDEX(Checklists!$H$5:$H$404,MATCH(G118,Checklists!$F$5:$F$404,0)),""))</f>
        <v>0</v>
      </c>
      <c r="R118" s="31">
        <f>IF(OR(J118="",Q118=""),"",J118-Q118)</f>
        <v>0</v>
      </c>
      <c r="S118" s="50">
        <f>IF(B118="","",IF(H118="Done","Yes","No"))</f>
        <v>0</v>
      </c>
      <c r="T118" s="39">
        <f>IF(B118="","",IF(G118="","Add - what was the task?",IF(H118="Issue found",IF(M118="Yes","OK - issue reported","Action - tell the client"),IF(H118="Needs rework","Action - rework needed",IF(AND(H118="Skipped",P118="Yes"),"Check - required task skipped",IF(H118="Done","OK","Due"))))))</f>
        <v>0</v>
      </c>
    </row>
    <row r="119" spans="1:20">
      <c r="A119" s="43">
        <f>IF(B119="","","JT-"&amp;TEXT(ROW()-4,"0000"))</f>
        <v>0</v>
      </c>
      <c r="C119" s="18">
        <f>IF(B119="","",IFERROR(INDEX(Jobs!$B$5:$B$604,MATCH(B119,Jobs!$A$5:$A$604,0)),""))</f>
        <v>0</v>
      </c>
      <c r="D119" s="23">
        <f>IF(B119="","",IFERROR(INDEX(Jobs!$H$5:$H$604,MATCH(B119,Jobs!$A$5:$A$604,0)),""))</f>
        <v>0</v>
      </c>
      <c r="E119" s="23">
        <f>IF(B119="","",IFERROR(INDEX(Jobs!$K$5:$K$604,MATCH(B119,Jobs!$A$5:$A$604,0)),""))</f>
        <v>0</v>
      </c>
      <c r="P119" s="50">
        <f>IF(G119="","",IFERROR(INDEX(Checklists!$J$5:$J$404,MATCH(G119,Checklists!$F$5:$F$404,0)),"Yes"))</f>
        <v>0</v>
      </c>
      <c r="Q119" s="31">
        <f>IF(G119="","",IFERROR(INDEX(Checklists!$H$5:$H$404,MATCH(G119,Checklists!$F$5:$F$404,0)),""))</f>
        <v>0</v>
      </c>
      <c r="R119" s="31">
        <f>IF(OR(J119="",Q119=""),"",J119-Q119)</f>
        <v>0</v>
      </c>
      <c r="S119" s="50">
        <f>IF(B119="","",IF(H119="Done","Yes","No"))</f>
        <v>0</v>
      </c>
      <c r="T119" s="39">
        <f>IF(B119="","",IF(G119="","Add - what was the task?",IF(H119="Issue found",IF(M119="Yes","OK - issue reported","Action - tell the client"),IF(H119="Needs rework","Action - rework needed",IF(AND(H119="Skipped",P119="Yes"),"Check - required task skipped",IF(H119="Done","OK","Due"))))))</f>
        <v>0</v>
      </c>
    </row>
    <row r="120" spans="1:20">
      <c r="A120" s="43">
        <f>IF(B120="","","JT-"&amp;TEXT(ROW()-4,"0000"))</f>
        <v>0</v>
      </c>
      <c r="C120" s="18">
        <f>IF(B120="","",IFERROR(INDEX(Jobs!$B$5:$B$604,MATCH(B120,Jobs!$A$5:$A$604,0)),""))</f>
        <v>0</v>
      </c>
      <c r="D120" s="23">
        <f>IF(B120="","",IFERROR(INDEX(Jobs!$H$5:$H$604,MATCH(B120,Jobs!$A$5:$A$604,0)),""))</f>
        <v>0</v>
      </c>
      <c r="E120" s="23">
        <f>IF(B120="","",IFERROR(INDEX(Jobs!$K$5:$K$604,MATCH(B120,Jobs!$A$5:$A$604,0)),""))</f>
        <v>0</v>
      </c>
      <c r="P120" s="50">
        <f>IF(G120="","",IFERROR(INDEX(Checklists!$J$5:$J$404,MATCH(G120,Checklists!$F$5:$F$404,0)),"Yes"))</f>
        <v>0</v>
      </c>
      <c r="Q120" s="31">
        <f>IF(G120="","",IFERROR(INDEX(Checklists!$H$5:$H$404,MATCH(G120,Checklists!$F$5:$F$404,0)),""))</f>
        <v>0</v>
      </c>
      <c r="R120" s="31">
        <f>IF(OR(J120="",Q120=""),"",J120-Q120)</f>
        <v>0</v>
      </c>
      <c r="S120" s="50">
        <f>IF(B120="","",IF(H120="Done","Yes","No"))</f>
        <v>0</v>
      </c>
      <c r="T120" s="39">
        <f>IF(B120="","",IF(G120="","Add - what was the task?",IF(H120="Issue found",IF(M120="Yes","OK - issue reported","Action - tell the client"),IF(H120="Needs rework","Action - rework needed",IF(AND(H120="Skipped",P120="Yes"),"Check - required task skipped",IF(H120="Done","OK","Due"))))))</f>
        <v>0</v>
      </c>
    </row>
    <row r="121" spans="1:20">
      <c r="A121" s="43">
        <f>IF(B121="","","JT-"&amp;TEXT(ROW()-4,"0000"))</f>
        <v>0</v>
      </c>
      <c r="C121" s="18">
        <f>IF(B121="","",IFERROR(INDEX(Jobs!$B$5:$B$604,MATCH(B121,Jobs!$A$5:$A$604,0)),""))</f>
        <v>0</v>
      </c>
      <c r="D121" s="23">
        <f>IF(B121="","",IFERROR(INDEX(Jobs!$H$5:$H$604,MATCH(B121,Jobs!$A$5:$A$604,0)),""))</f>
        <v>0</v>
      </c>
      <c r="E121" s="23">
        <f>IF(B121="","",IFERROR(INDEX(Jobs!$K$5:$K$604,MATCH(B121,Jobs!$A$5:$A$604,0)),""))</f>
        <v>0</v>
      </c>
      <c r="P121" s="50">
        <f>IF(G121="","",IFERROR(INDEX(Checklists!$J$5:$J$404,MATCH(G121,Checklists!$F$5:$F$404,0)),"Yes"))</f>
        <v>0</v>
      </c>
      <c r="Q121" s="31">
        <f>IF(G121="","",IFERROR(INDEX(Checklists!$H$5:$H$404,MATCH(G121,Checklists!$F$5:$F$404,0)),""))</f>
        <v>0</v>
      </c>
      <c r="R121" s="31">
        <f>IF(OR(J121="",Q121=""),"",J121-Q121)</f>
        <v>0</v>
      </c>
      <c r="S121" s="50">
        <f>IF(B121="","",IF(H121="Done","Yes","No"))</f>
        <v>0</v>
      </c>
      <c r="T121" s="39">
        <f>IF(B121="","",IF(G121="","Add - what was the task?",IF(H121="Issue found",IF(M121="Yes","OK - issue reported","Action - tell the client"),IF(H121="Needs rework","Action - rework needed",IF(AND(H121="Skipped",P121="Yes"),"Check - required task skipped",IF(H121="Done","OK","Due"))))))</f>
        <v>0</v>
      </c>
    </row>
    <row r="122" spans="1:20">
      <c r="A122" s="43">
        <f>IF(B122="","","JT-"&amp;TEXT(ROW()-4,"0000"))</f>
        <v>0</v>
      </c>
      <c r="C122" s="18">
        <f>IF(B122="","",IFERROR(INDEX(Jobs!$B$5:$B$604,MATCH(B122,Jobs!$A$5:$A$604,0)),""))</f>
        <v>0</v>
      </c>
      <c r="D122" s="23">
        <f>IF(B122="","",IFERROR(INDEX(Jobs!$H$5:$H$604,MATCH(B122,Jobs!$A$5:$A$604,0)),""))</f>
        <v>0</v>
      </c>
      <c r="E122" s="23">
        <f>IF(B122="","",IFERROR(INDEX(Jobs!$K$5:$K$604,MATCH(B122,Jobs!$A$5:$A$604,0)),""))</f>
        <v>0</v>
      </c>
      <c r="P122" s="50">
        <f>IF(G122="","",IFERROR(INDEX(Checklists!$J$5:$J$404,MATCH(G122,Checklists!$F$5:$F$404,0)),"Yes"))</f>
        <v>0</v>
      </c>
      <c r="Q122" s="31">
        <f>IF(G122="","",IFERROR(INDEX(Checklists!$H$5:$H$404,MATCH(G122,Checklists!$F$5:$F$404,0)),""))</f>
        <v>0</v>
      </c>
      <c r="R122" s="31">
        <f>IF(OR(J122="",Q122=""),"",J122-Q122)</f>
        <v>0</v>
      </c>
      <c r="S122" s="50">
        <f>IF(B122="","",IF(H122="Done","Yes","No"))</f>
        <v>0</v>
      </c>
      <c r="T122" s="39">
        <f>IF(B122="","",IF(G122="","Add - what was the task?",IF(H122="Issue found",IF(M122="Yes","OK - issue reported","Action - tell the client"),IF(H122="Needs rework","Action - rework needed",IF(AND(H122="Skipped",P122="Yes"),"Check - required task skipped",IF(H122="Done","OK","Due"))))))</f>
        <v>0</v>
      </c>
    </row>
    <row r="123" spans="1:20">
      <c r="A123" s="43">
        <f>IF(B123="","","JT-"&amp;TEXT(ROW()-4,"0000"))</f>
        <v>0</v>
      </c>
      <c r="C123" s="18">
        <f>IF(B123="","",IFERROR(INDEX(Jobs!$B$5:$B$604,MATCH(B123,Jobs!$A$5:$A$604,0)),""))</f>
        <v>0</v>
      </c>
      <c r="D123" s="23">
        <f>IF(B123="","",IFERROR(INDEX(Jobs!$H$5:$H$604,MATCH(B123,Jobs!$A$5:$A$604,0)),""))</f>
        <v>0</v>
      </c>
      <c r="E123" s="23">
        <f>IF(B123="","",IFERROR(INDEX(Jobs!$K$5:$K$604,MATCH(B123,Jobs!$A$5:$A$604,0)),""))</f>
        <v>0</v>
      </c>
      <c r="P123" s="50">
        <f>IF(G123="","",IFERROR(INDEX(Checklists!$J$5:$J$404,MATCH(G123,Checklists!$F$5:$F$404,0)),"Yes"))</f>
        <v>0</v>
      </c>
      <c r="Q123" s="31">
        <f>IF(G123="","",IFERROR(INDEX(Checklists!$H$5:$H$404,MATCH(G123,Checklists!$F$5:$F$404,0)),""))</f>
        <v>0</v>
      </c>
      <c r="R123" s="31">
        <f>IF(OR(J123="",Q123=""),"",J123-Q123)</f>
        <v>0</v>
      </c>
      <c r="S123" s="50">
        <f>IF(B123="","",IF(H123="Done","Yes","No"))</f>
        <v>0</v>
      </c>
      <c r="T123" s="39">
        <f>IF(B123="","",IF(G123="","Add - what was the task?",IF(H123="Issue found",IF(M123="Yes","OK - issue reported","Action - tell the client"),IF(H123="Needs rework","Action - rework needed",IF(AND(H123="Skipped",P123="Yes"),"Check - required task skipped",IF(H123="Done","OK","Due"))))))</f>
        <v>0</v>
      </c>
    </row>
    <row r="124" spans="1:20">
      <c r="A124" s="43">
        <f>IF(B124="","","JT-"&amp;TEXT(ROW()-4,"0000"))</f>
        <v>0</v>
      </c>
      <c r="C124" s="18">
        <f>IF(B124="","",IFERROR(INDEX(Jobs!$B$5:$B$604,MATCH(B124,Jobs!$A$5:$A$604,0)),""))</f>
        <v>0</v>
      </c>
      <c r="D124" s="23">
        <f>IF(B124="","",IFERROR(INDEX(Jobs!$H$5:$H$604,MATCH(B124,Jobs!$A$5:$A$604,0)),""))</f>
        <v>0</v>
      </c>
      <c r="E124" s="23">
        <f>IF(B124="","",IFERROR(INDEX(Jobs!$K$5:$K$604,MATCH(B124,Jobs!$A$5:$A$604,0)),""))</f>
        <v>0</v>
      </c>
      <c r="P124" s="50">
        <f>IF(G124="","",IFERROR(INDEX(Checklists!$J$5:$J$404,MATCH(G124,Checklists!$F$5:$F$404,0)),"Yes"))</f>
        <v>0</v>
      </c>
      <c r="Q124" s="31">
        <f>IF(G124="","",IFERROR(INDEX(Checklists!$H$5:$H$404,MATCH(G124,Checklists!$F$5:$F$404,0)),""))</f>
        <v>0</v>
      </c>
      <c r="R124" s="31">
        <f>IF(OR(J124="",Q124=""),"",J124-Q124)</f>
        <v>0</v>
      </c>
      <c r="S124" s="50">
        <f>IF(B124="","",IF(H124="Done","Yes","No"))</f>
        <v>0</v>
      </c>
      <c r="T124" s="39">
        <f>IF(B124="","",IF(G124="","Add - what was the task?",IF(H124="Issue found",IF(M124="Yes","OK - issue reported","Action - tell the client"),IF(H124="Needs rework","Action - rework needed",IF(AND(H124="Skipped",P124="Yes"),"Check - required task skipped",IF(H124="Done","OK","Due"))))))</f>
        <v>0</v>
      </c>
    </row>
    <row r="125" spans="1:20">
      <c r="A125" s="43">
        <f>IF(B125="","","JT-"&amp;TEXT(ROW()-4,"0000"))</f>
        <v>0</v>
      </c>
      <c r="C125" s="18">
        <f>IF(B125="","",IFERROR(INDEX(Jobs!$B$5:$B$604,MATCH(B125,Jobs!$A$5:$A$604,0)),""))</f>
        <v>0</v>
      </c>
      <c r="D125" s="23">
        <f>IF(B125="","",IFERROR(INDEX(Jobs!$H$5:$H$604,MATCH(B125,Jobs!$A$5:$A$604,0)),""))</f>
        <v>0</v>
      </c>
      <c r="E125" s="23">
        <f>IF(B125="","",IFERROR(INDEX(Jobs!$K$5:$K$604,MATCH(B125,Jobs!$A$5:$A$604,0)),""))</f>
        <v>0</v>
      </c>
      <c r="P125" s="50">
        <f>IF(G125="","",IFERROR(INDEX(Checklists!$J$5:$J$404,MATCH(G125,Checklists!$F$5:$F$404,0)),"Yes"))</f>
        <v>0</v>
      </c>
      <c r="Q125" s="31">
        <f>IF(G125="","",IFERROR(INDEX(Checklists!$H$5:$H$404,MATCH(G125,Checklists!$F$5:$F$404,0)),""))</f>
        <v>0</v>
      </c>
      <c r="R125" s="31">
        <f>IF(OR(J125="",Q125=""),"",J125-Q125)</f>
        <v>0</v>
      </c>
      <c r="S125" s="50">
        <f>IF(B125="","",IF(H125="Done","Yes","No"))</f>
        <v>0</v>
      </c>
      <c r="T125" s="39">
        <f>IF(B125="","",IF(G125="","Add - what was the task?",IF(H125="Issue found",IF(M125="Yes","OK - issue reported","Action - tell the client"),IF(H125="Needs rework","Action - rework needed",IF(AND(H125="Skipped",P125="Yes"),"Check - required task skipped",IF(H125="Done","OK","Due"))))))</f>
        <v>0</v>
      </c>
    </row>
    <row r="126" spans="1:20">
      <c r="A126" s="43">
        <f>IF(B126="","","JT-"&amp;TEXT(ROW()-4,"0000"))</f>
        <v>0</v>
      </c>
      <c r="C126" s="18">
        <f>IF(B126="","",IFERROR(INDEX(Jobs!$B$5:$B$604,MATCH(B126,Jobs!$A$5:$A$604,0)),""))</f>
        <v>0</v>
      </c>
      <c r="D126" s="23">
        <f>IF(B126="","",IFERROR(INDEX(Jobs!$H$5:$H$604,MATCH(B126,Jobs!$A$5:$A$604,0)),""))</f>
        <v>0</v>
      </c>
      <c r="E126" s="23">
        <f>IF(B126="","",IFERROR(INDEX(Jobs!$K$5:$K$604,MATCH(B126,Jobs!$A$5:$A$604,0)),""))</f>
        <v>0</v>
      </c>
      <c r="P126" s="50">
        <f>IF(G126="","",IFERROR(INDEX(Checklists!$J$5:$J$404,MATCH(G126,Checklists!$F$5:$F$404,0)),"Yes"))</f>
        <v>0</v>
      </c>
      <c r="Q126" s="31">
        <f>IF(G126="","",IFERROR(INDEX(Checklists!$H$5:$H$404,MATCH(G126,Checklists!$F$5:$F$404,0)),""))</f>
        <v>0</v>
      </c>
      <c r="R126" s="31">
        <f>IF(OR(J126="",Q126=""),"",J126-Q126)</f>
        <v>0</v>
      </c>
      <c r="S126" s="50">
        <f>IF(B126="","",IF(H126="Done","Yes","No"))</f>
        <v>0</v>
      </c>
      <c r="T126" s="39">
        <f>IF(B126="","",IF(G126="","Add - what was the task?",IF(H126="Issue found",IF(M126="Yes","OK - issue reported","Action - tell the client"),IF(H126="Needs rework","Action - rework needed",IF(AND(H126="Skipped",P126="Yes"),"Check - required task skipped",IF(H126="Done","OK","Due"))))))</f>
        <v>0</v>
      </c>
    </row>
    <row r="127" spans="1:20">
      <c r="A127" s="43">
        <f>IF(B127="","","JT-"&amp;TEXT(ROW()-4,"0000"))</f>
        <v>0</v>
      </c>
      <c r="C127" s="18">
        <f>IF(B127="","",IFERROR(INDEX(Jobs!$B$5:$B$604,MATCH(B127,Jobs!$A$5:$A$604,0)),""))</f>
        <v>0</v>
      </c>
      <c r="D127" s="23">
        <f>IF(B127="","",IFERROR(INDEX(Jobs!$H$5:$H$604,MATCH(B127,Jobs!$A$5:$A$604,0)),""))</f>
        <v>0</v>
      </c>
      <c r="E127" s="23">
        <f>IF(B127="","",IFERROR(INDEX(Jobs!$K$5:$K$604,MATCH(B127,Jobs!$A$5:$A$604,0)),""))</f>
        <v>0</v>
      </c>
      <c r="P127" s="50">
        <f>IF(G127="","",IFERROR(INDEX(Checklists!$J$5:$J$404,MATCH(G127,Checklists!$F$5:$F$404,0)),"Yes"))</f>
        <v>0</v>
      </c>
      <c r="Q127" s="31">
        <f>IF(G127="","",IFERROR(INDEX(Checklists!$H$5:$H$404,MATCH(G127,Checklists!$F$5:$F$404,0)),""))</f>
        <v>0</v>
      </c>
      <c r="R127" s="31">
        <f>IF(OR(J127="",Q127=""),"",J127-Q127)</f>
        <v>0</v>
      </c>
      <c r="S127" s="50">
        <f>IF(B127="","",IF(H127="Done","Yes","No"))</f>
        <v>0</v>
      </c>
      <c r="T127" s="39">
        <f>IF(B127="","",IF(G127="","Add - what was the task?",IF(H127="Issue found",IF(M127="Yes","OK - issue reported","Action - tell the client"),IF(H127="Needs rework","Action - rework needed",IF(AND(H127="Skipped",P127="Yes"),"Check - required task skipped",IF(H127="Done","OK","Due"))))))</f>
        <v>0</v>
      </c>
    </row>
    <row r="128" spans="1:20">
      <c r="A128" s="43">
        <f>IF(B128="","","JT-"&amp;TEXT(ROW()-4,"0000"))</f>
        <v>0</v>
      </c>
      <c r="C128" s="18">
        <f>IF(B128="","",IFERROR(INDEX(Jobs!$B$5:$B$604,MATCH(B128,Jobs!$A$5:$A$604,0)),""))</f>
        <v>0</v>
      </c>
      <c r="D128" s="23">
        <f>IF(B128="","",IFERROR(INDEX(Jobs!$H$5:$H$604,MATCH(B128,Jobs!$A$5:$A$604,0)),""))</f>
        <v>0</v>
      </c>
      <c r="E128" s="23">
        <f>IF(B128="","",IFERROR(INDEX(Jobs!$K$5:$K$604,MATCH(B128,Jobs!$A$5:$A$604,0)),""))</f>
        <v>0</v>
      </c>
      <c r="P128" s="50">
        <f>IF(G128="","",IFERROR(INDEX(Checklists!$J$5:$J$404,MATCH(G128,Checklists!$F$5:$F$404,0)),"Yes"))</f>
        <v>0</v>
      </c>
      <c r="Q128" s="31">
        <f>IF(G128="","",IFERROR(INDEX(Checklists!$H$5:$H$404,MATCH(G128,Checklists!$F$5:$F$404,0)),""))</f>
        <v>0</v>
      </c>
      <c r="R128" s="31">
        <f>IF(OR(J128="",Q128=""),"",J128-Q128)</f>
        <v>0</v>
      </c>
      <c r="S128" s="50">
        <f>IF(B128="","",IF(H128="Done","Yes","No"))</f>
        <v>0</v>
      </c>
      <c r="T128" s="39">
        <f>IF(B128="","",IF(G128="","Add - what was the task?",IF(H128="Issue found",IF(M128="Yes","OK - issue reported","Action - tell the client"),IF(H128="Needs rework","Action - rework needed",IF(AND(H128="Skipped",P128="Yes"),"Check - required task skipped",IF(H128="Done","OK","Due"))))))</f>
        <v>0</v>
      </c>
    </row>
    <row r="129" spans="1:20">
      <c r="A129" s="43">
        <f>IF(B129="","","JT-"&amp;TEXT(ROW()-4,"0000"))</f>
        <v>0</v>
      </c>
      <c r="C129" s="18">
        <f>IF(B129="","",IFERROR(INDEX(Jobs!$B$5:$B$604,MATCH(B129,Jobs!$A$5:$A$604,0)),""))</f>
        <v>0</v>
      </c>
      <c r="D129" s="23">
        <f>IF(B129="","",IFERROR(INDEX(Jobs!$H$5:$H$604,MATCH(B129,Jobs!$A$5:$A$604,0)),""))</f>
        <v>0</v>
      </c>
      <c r="E129" s="23">
        <f>IF(B129="","",IFERROR(INDEX(Jobs!$K$5:$K$604,MATCH(B129,Jobs!$A$5:$A$604,0)),""))</f>
        <v>0</v>
      </c>
      <c r="P129" s="50">
        <f>IF(G129="","",IFERROR(INDEX(Checklists!$J$5:$J$404,MATCH(G129,Checklists!$F$5:$F$404,0)),"Yes"))</f>
        <v>0</v>
      </c>
      <c r="Q129" s="31">
        <f>IF(G129="","",IFERROR(INDEX(Checklists!$H$5:$H$404,MATCH(G129,Checklists!$F$5:$F$404,0)),""))</f>
        <v>0</v>
      </c>
      <c r="R129" s="31">
        <f>IF(OR(J129="",Q129=""),"",J129-Q129)</f>
        <v>0</v>
      </c>
      <c r="S129" s="50">
        <f>IF(B129="","",IF(H129="Done","Yes","No"))</f>
        <v>0</v>
      </c>
      <c r="T129" s="39">
        <f>IF(B129="","",IF(G129="","Add - what was the task?",IF(H129="Issue found",IF(M129="Yes","OK - issue reported","Action - tell the client"),IF(H129="Needs rework","Action - rework needed",IF(AND(H129="Skipped",P129="Yes"),"Check - required task skipped",IF(H129="Done","OK","Due"))))))</f>
        <v>0</v>
      </c>
    </row>
    <row r="130" spans="1:20">
      <c r="A130" s="43">
        <f>IF(B130="","","JT-"&amp;TEXT(ROW()-4,"0000"))</f>
        <v>0</v>
      </c>
      <c r="C130" s="18">
        <f>IF(B130="","",IFERROR(INDEX(Jobs!$B$5:$B$604,MATCH(B130,Jobs!$A$5:$A$604,0)),""))</f>
        <v>0</v>
      </c>
      <c r="D130" s="23">
        <f>IF(B130="","",IFERROR(INDEX(Jobs!$H$5:$H$604,MATCH(B130,Jobs!$A$5:$A$604,0)),""))</f>
        <v>0</v>
      </c>
      <c r="E130" s="23">
        <f>IF(B130="","",IFERROR(INDEX(Jobs!$K$5:$K$604,MATCH(B130,Jobs!$A$5:$A$604,0)),""))</f>
        <v>0</v>
      </c>
      <c r="P130" s="50">
        <f>IF(G130="","",IFERROR(INDEX(Checklists!$J$5:$J$404,MATCH(G130,Checklists!$F$5:$F$404,0)),"Yes"))</f>
        <v>0</v>
      </c>
      <c r="Q130" s="31">
        <f>IF(G130="","",IFERROR(INDEX(Checklists!$H$5:$H$404,MATCH(G130,Checklists!$F$5:$F$404,0)),""))</f>
        <v>0</v>
      </c>
      <c r="R130" s="31">
        <f>IF(OR(J130="",Q130=""),"",J130-Q130)</f>
        <v>0</v>
      </c>
      <c r="S130" s="50">
        <f>IF(B130="","",IF(H130="Done","Yes","No"))</f>
        <v>0</v>
      </c>
      <c r="T130" s="39">
        <f>IF(B130="","",IF(G130="","Add - what was the task?",IF(H130="Issue found",IF(M130="Yes","OK - issue reported","Action - tell the client"),IF(H130="Needs rework","Action - rework needed",IF(AND(H130="Skipped",P130="Yes"),"Check - required task skipped",IF(H130="Done","OK","Due"))))))</f>
        <v>0</v>
      </c>
    </row>
    <row r="131" spans="1:20">
      <c r="A131" s="43">
        <f>IF(B131="","","JT-"&amp;TEXT(ROW()-4,"0000"))</f>
        <v>0</v>
      </c>
      <c r="C131" s="18">
        <f>IF(B131="","",IFERROR(INDEX(Jobs!$B$5:$B$604,MATCH(B131,Jobs!$A$5:$A$604,0)),""))</f>
        <v>0</v>
      </c>
      <c r="D131" s="23">
        <f>IF(B131="","",IFERROR(INDEX(Jobs!$H$5:$H$604,MATCH(B131,Jobs!$A$5:$A$604,0)),""))</f>
        <v>0</v>
      </c>
      <c r="E131" s="23">
        <f>IF(B131="","",IFERROR(INDEX(Jobs!$K$5:$K$604,MATCH(B131,Jobs!$A$5:$A$604,0)),""))</f>
        <v>0</v>
      </c>
      <c r="P131" s="50">
        <f>IF(G131="","",IFERROR(INDEX(Checklists!$J$5:$J$404,MATCH(G131,Checklists!$F$5:$F$404,0)),"Yes"))</f>
        <v>0</v>
      </c>
      <c r="Q131" s="31">
        <f>IF(G131="","",IFERROR(INDEX(Checklists!$H$5:$H$404,MATCH(G131,Checklists!$F$5:$F$404,0)),""))</f>
        <v>0</v>
      </c>
      <c r="R131" s="31">
        <f>IF(OR(J131="",Q131=""),"",J131-Q131)</f>
        <v>0</v>
      </c>
      <c r="S131" s="50">
        <f>IF(B131="","",IF(H131="Done","Yes","No"))</f>
        <v>0</v>
      </c>
      <c r="T131" s="39">
        <f>IF(B131="","",IF(G131="","Add - what was the task?",IF(H131="Issue found",IF(M131="Yes","OK - issue reported","Action - tell the client"),IF(H131="Needs rework","Action - rework needed",IF(AND(H131="Skipped",P131="Yes"),"Check - required task skipped",IF(H131="Done","OK","Due"))))))</f>
        <v>0</v>
      </c>
    </row>
    <row r="132" spans="1:20">
      <c r="A132" s="43">
        <f>IF(B132="","","JT-"&amp;TEXT(ROW()-4,"0000"))</f>
        <v>0</v>
      </c>
      <c r="C132" s="18">
        <f>IF(B132="","",IFERROR(INDEX(Jobs!$B$5:$B$604,MATCH(B132,Jobs!$A$5:$A$604,0)),""))</f>
        <v>0</v>
      </c>
      <c r="D132" s="23">
        <f>IF(B132="","",IFERROR(INDEX(Jobs!$H$5:$H$604,MATCH(B132,Jobs!$A$5:$A$604,0)),""))</f>
        <v>0</v>
      </c>
      <c r="E132" s="23">
        <f>IF(B132="","",IFERROR(INDEX(Jobs!$K$5:$K$604,MATCH(B132,Jobs!$A$5:$A$604,0)),""))</f>
        <v>0</v>
      </c>
      <c r="P132" s="50">
        <f>IF(G132="","",IFERROR(INDEX(Checklists!$J$5:$J$404,MATCH(G132,Checklists!$F$5:$F$404,0)),"Yes"))</f>
        <v>0</v>
      </c>
      <c r="Q132" s="31">
        <f>IF(G132="","",IFERROR(INDEX(Checklists!$H$5:$H$404,MATCH(G132,Checklists!$F$5:$F$404,0)),""))</f>
        <v>0</v>
      </c>
      <c r="R132" s="31">
        <f>IF(OR(J132="",Q132=""),"",J132-Q132)</f>
        <v>0</v>
      </c>
      <c r="S132" s="50">
        <f>IF(B132="","",IF(H132="Done","Yes","No"))</f>
        <v>0</v>
      </c>
      <c r="T132" s="39">
        <f>IF(B132="","",IF(G132="","Add - what was the task?",IF(H132="Issue found",IF(M132="Yes","OK - issue reported","Action - tell the client"),IF(H132="Needs rework","Action - rework needed",IF(AND(H132="Skipped",P132="Yes"),"Check - required task skipped",IF(H132="Done","OK","Due"))))))</f>
        <v>0</v>
      </c>
    </row>
    <row r="133" spans="1:20">
      <c r="A133" s="43">
        <f>IF(B133="","","JT-"&amp;TEXT(ROW()-4,"0000"))</f>
        <v>0</v>
      </c>
      <c r="C133" s="18">
        <f>IF(B133="","",IFERROR(INDEX(Jobs!$B$5:$B$604,MATCH(B133,Jobs!$A$5:$A$604,0)),""))</f>
        <v>0</v>
      </c>
      <c r="D133" s="23">
        <f>IF(B133="","",IFERROR(INDEX(Jobs!$H$5:$H$604,MATCH(B133,Jobs!$A$5:$A$604,0)),""))</f>
        <v>0</v>
      </c>
      <c r="E133" s="23">
        <f>IF(B133="","",IFERROR(INDEX(Jobs!$K$5:$K$604,MATCH(B133,Jobs!$A$5:$A$604,0)),""))</f>
        <v>0</v>
      </c>
      <c r="P133" s="50">
        <f>IF(G133="","",IFERROR(INDEX(Checklists!$J$5:$J$404,MATCH(G133,Checklists!$F$5:$F$404,0)),"Yes"))</f>
        <v>0</v>
      </c>
      <c r="Q133" s="31">
        <f>IF(G133="","",IFERROR(INDEX(Checklists!$H$5:$H$404,MATCH(G133,Checklists!$F$5:$F$404,0)),""))</f>
        <v>0</v>
      </c>
      <c r="R133" s="31">
        <f>IF(OR(J133="",Q133=""),"",J133-Q133)</f>
        <v>0</v>
      </c>
      <c r="S133" s="50">
        <f>IF(B133="","",IF(H133="Done","Yes","No"))</f>
        <v>0</v>
      </c>
      <c r="T133" s="39">
        <f>IF(B133="","",IF(G133="","Add - what was the task?",IF(H133="Issue found",IF(M133="Yes","OK - issue reported","Action - tell the client"),IF(H133="Needs rework","Action - rework needed",IF(AND(H133="Skipped",P133="Yes"),"Check - required task skipped",IF(H133="Done","OK","Due"))))))</f>
        <v>0</v>
      </c>
    </row>
    <row r="134" spans="1:20">
      <c r="A134" s="43">
        <f>IF(B134="","","JT-"&amp;TEXT(ROW()-4,"0000"))</f>
        <v>0</v>
      </c>
      <c r="C134" s="18">
        <f>IF(B134="","",IFERROR(INDEX(Jobs!$B$5:$B$604,MATCH(B134,Jobs!$A$5:$A$604,0)),""))</f>
        <v>0</v>
      </c>
      <c r="D134" s="23">
        <f>IF(B134="","",IFERROR(INDEX(Jobs!$H$5:$H$604,MATCH(B134,Jobs!$A$5:$A$604,0)),""))</f>
        <v>0</v>
      </c>
      <c r="E134" s="23">
        <f>IF(B134="","",IFERROR(INDEX(Jobs!$K$5:$K$604,MATCH(B134,Jobs!$A$5:$A$604,0)),""))</f>
        <v>0</v>
      </c>
      <c r="P134" s="50">
        <f>IF(G134="","",IFERROR(INDEX(Checklists!$J$5:$J$404,MATCH(G134,Checklists!$F$5:$F$404,0)),"Yes"))</f>
        <v>0</v>
      </c>
      <c r="Q134" s="31">
        <f>IF(G134="","",IFERROR(INDEX(Checklists!$H$5:$H$404,MATCH(G134,Checklists!$F$5:$F$404,0)),""))</f>
        <v>0</v>
      </c>
      <c r="R134" s="31">
        <f>IF(OR(J134="",Q134=""),"",J134-Q134)</f>
        <v>0</v>
      </c>
      <c r="S134" s="50">
        <f>IF(B134="","",IF(H134="Done","Yes","No"))</f>
        <v>0</v>
      </c>
      <c r="T134" s="39">
        <f>IF(B134="","",IF(G134="","Add - what was the task?",IF(H134="Issue found",IF(M134="Yes","OK - issue reported","Action - tell the client"),IF(H134="Needs rework","Action - rework needed",IF(AND(H134="Skipped",P134="Yes"),"Check - required task skipped",IF(H134="Done","OK","Due"))))))</f>
        <v>0</v>
      </c>
    </row>
    <row r="135" spans="1:20">
      <c r="A135" s="43">
        <f>IF(B135="","","JT-"&amp;TEXT(ROW()-4,"0000"))</f>
        <v>0</v>
      </c>
      <c r="C135" s="18">
        <f>IF(B135="","",IFERROR(INDEX(Jobs!$B$5:$B$604,MATCH(B135,Jobs!$A$5:$A$604,0)),""))</f>
        <v>0</v>
      </c>
      <c r="D135" s="23">
        <f>IF(B135="","",IFERROR(INDEX(Jobs!$H$5:$H$604,MATCH(B135,Jobs!$A$5:$A$604,0)),""))</f>
        <v>0</v>
      </c>
      <c r="E135" s="23">
        <f>IF(B135="","",IFERROR(INDEX(Jobs!$K$5:$K$604,MATCH(B135,Jobs!$A$5:$A$604,0)),""))</f>
        <v>0</v>
      </c>
      <c r="P135" s="50">
        <f>IF(G135="","",IFERROR(INDEX(Checklists!$J$5:$J$404,MATCH(G135,Checklists!$F$5:$F$404,0)),"Yes"))</f>
        <v>0</v>
      </c>
      <c r="Q135" s="31">
        <f>IF(G135="","",IFERROR(INDEX(Checklists!$H$5:$H$404,MATCH(G135,Checklists!$F$5:$F$404,0)),""))</f>
        <v>0</v>
      </c>
      <c r="R135" s="31">
        <f>IF(OR(J135="",Q135=""),"",J135-Q135)</f>
        <v>0</v>
      </c>
      <c r="S135" s="50">
        <f>IF(B135="","",IF(H135="Done","Yes","No"))</f>
        <v>0</v>
      </c>
      <c r="T135" s="39">
        <f>IF(B135="","",IF(G135="","Add - what was the task?",IF(H135="Issue found",IF(M135="Yes","OK - issue reported","Action - tell the client"),IF(H135="Needs rework","Action - rework needed",IF(AND(H135="Skipped",P135="Yes"),"Check - required task skipped",IF(H135="Done","OK","Due"))))))</f>
        <v>0</v>
      </c>
    </row>
    <row r="136" spans="1:20">
      <c r="A136" s="43">
        <f>IF(B136="","","JT-"&amp;TEXT(ROW()-4,"0000"))</f>
        <v>0</v>
      </c>
      <c r="C136" s="18">
        <f>IF(B136="","",IFERROR(INDEX(Jobs!$B$5:$B$604,MATCH(B136,Jobs!$A$5:$A$604,0)),""))</f>
        <v>0</v>
      </c>
      <c r="D136" s="23">
        <f>IF(B136="","",IFERROR(INDEX(Jobs!$H$5:$H$604,MATCH(B136,Jobs!$A$5:$A$604,0)),""))</f>
        <v>0</v>
      </c>
      <c r="E136" s="23">
        <f>IF(B136="","",IFERROR(INDEX(Jobs!$K$5:$K$604,MATCH(B136,Jobs!$A$5:$A$604,0)),""))</f>
        <v>0</v>
      </c>
      <c r="P136" s="50">
        <f>IF(G136="","",IFERROR(INDEX(Checklists!$J$5:$J$404,MATCH(G136,Checklists!$F$5:$F$404,0)),"Yes"))</f>
        <v>0</v>
      </c>
      <c r="Q136" s="31">
        <f>IF(G136="","",IFERROR(INDEX(Checklists!$H$5:$H$404,MATCH(G136,Checklists!$F$5:$F$404,0)),""))</f>
        <v>0</v>
      </c>
      <c r="R136" s="31">
        <f>IF(OR(J136="",Q136=""),"",J136-Q136)</f>
        <v>0</v>
      </c>
      <c r="S136" s="50">
        <f>IF(B136="","",IF(H136="Done","Yes","No"))</f>
        <v>0</v>
      </c>
      <c r="T136" s="39">
        <f>IF(B136="","",IF(G136="","Add - what was the task?",IF(H136="Issue found",IF(M136="Yes","OK - issue reported","Action - tell the client"),IF(H136="Needs rework","Action - rework needed",IF(AND(H136="Skipped",P136="Yes"),"Check - required task skipped",IF(H136="Done","OK","Due"))))))</f>
        <v>0</v>
      </c>
    </row>
    <row r="137" spans="1:20">
      <c r="A137" s="43">
        <f>IF(B137="","","JT-"&amp;TEXT(ROW()-4,"0000"))</f>
        <v>0</v>
      </c>
      <c r="C137" s="18">
        <f>IF(B137="","",IFERROR(INDEX(Jobs!$B$5:$B$604,MATCH(B137,Jobs!$A$5:$A$604,0)),""))</f>
        <v>0</v>
      </c>
      <c r="D137" s="23">
        <f>IF(B137="","",IFERROR(INDEX(Jobs!$H$5:$H$604,MATCH(B137,Jobs!$A$5:$A$604,0)),""))</f>
        <v>0</v>
      </c>
      <c r="E137" s="23">
        <f>IF(B137="","",IFERROR(INDEX(Jobs!$K$5:$K$604,MATCH(B137,Jobs!$A$5:$A$604,0)),""))</f>
        <v>0</v>
      </c>
      <c r="P137" s="50">
        <f>IF(G137="","",IFERROR(INDEX(Checklists!$J$5:$J$404,MATCH(G137,Checklists!$F$5:$F$404,0)),"Yes"))</f>
        <v>0</v>
      </c>
      <c r="Q137" s="31">
        <f>IF(G137="","",IFERROR(INDEX(Checklists!$H$5:$H$404,MATCH(G137,Checklists!$F$5:$F$404,0)),""))</f>
        <v>0</v>
      </c>
      <c r="R137" s="31">
        <f>IF(OR(J137="",Q137=""),"",J137-Q137)</f>
        <v>0</v>
      </c>
      <c r="S137" s="50">
        <f>IF(B137="","",IF(H137="Done","Yes","No"))</f>
        <v>0</v>
      </c>
      <c r="T137" s="39">
        <f>IF(B137="","",IF(G137="","Add - what was the task?",IF(H137="Issue found",IF(M137="Yes","OK - issue reported","Action - tell the client"),IF(H137="Needs rework","Action - rework needed",IF(AND(H137="Skipped",P137="Yes"),"Check - required task skipped",IF(H137="Done","OK","Due"))))))</f>
        <v>0</v>
      </c>
    </row>
    <row r="138" spans="1:20">
      <c r="A138" s="43">
        <f>IF(B138="","","JT-"&amp;TEXT(ROW()-4,"0000"))</f>
        <v>0</v>
      </c>
      <c r="C138" s="18">
        <f>IF(B138="","",IFERROR(INDEX(Jobs!$B$5:$B$604,MATCH(B138,Jobs!$A$5:$A$604,0)),""))</f>
        <v>0</v>
      </c>
      <c r="D138" s="23">
        <f>IF(B138="","",IFERROR(INDEX(Jobs!$H$5:$H$604,MATCH(B138,Jobs!$A$5:$A$604,0)),""))</f>
        <v>0</v>
      </c>
      <c r="E138" s="23">
        <f>IF(B138="","",IFERROR(INDEX(Jobs!$K$5:$K$604,MATCH(B138,Jobs!$A$5:$A$604,0)),""))</f>
        <v>0</v>
      </c>
      <c r="P138" s="50">
        <f>IF(G138="","",IFERROR(INDEX(Checklists!$J$5:$J$404,MATCH(G138,Checklists!$F$5:$F$404,0)),"Yes"))</f>
        <v>0</v>
      </c>
      <c r="Q138" s="31">
        <f>IF(G138="","",IFERROR(INDEX(Checklists!$H$5:$H$404,MATCH(G138,Checklists!$F$5:$F$404,0)),""))</f>
        <v>0</v>
      </c>
      <c r="R138" s="31">
        <f>IF(OR(J138="",Q138=""),"",J138-Q138)</f>
        <v>0</v>
      </c>
      <c r="S138" s="50">
        <f>IF(B138="","",IF(H138="Done","Yes","No"))</f>
        <v>0</v>
      </c>
      <c r="T138" s="39">
        <f>IF(B138="","",IF(G138="","Add - what was the task?",IF(H138="Issue found",IF(M138="Yes","OK - issue reported","Action - tell the client"),IF(H138="Needs rework","Action - rework needed",IF(AND(H138="Skipped",P138="Yes"),"Check - required task skipped",IF(H138="Done","OK","Due"))))))</f>
        <v>0</v>
      </c>
    </row>
    <row r="139" spans="1:20">
      <c r="A139" s="43">
        <f>IF(B139="","","JT-"&amp;TEXT(ROW()-4,"0000"))</f>
        <v>0</v>
      </c>
      <c r="C139" s="18">
        <f>IF(B139="","",IFERROR(INDEX(Jobs!$B$5:$B$604,MATCH(B139,Jobs!$A$5:$A$604,0)),""))</f>
        <v>0</v>
      </c>
      <c r="D139" s="23">
        <f>IF(B139="","",IFERROR(INDEX(Jobs!$H$5:$H$604,MATCH(B139,Jobs!$A$5:$A$604,0)),""))</f>
        <v>0</v>
      </c>
      <c r="E139" s="23">
        <f>IF(B139="","",IFERROR(INDEX(Jobs!$K$5:$K$604,MATCH(B139,Jobs!$A$5:$A$604,0)),""))</f>
        <v>0</v>
      </c>
      <c r="P139" s="50">
        <f>IF(G139="","",IFERROR(INDEX(Checklists!$J$5:$J$404,MATCH(G139,Checklists!$F$5:$F$404,0)),"Yes"))</f>
        <v>0</v>
      </c>
      <c r="Q139" s="31">
        <f>IF(G139="","",IFERROR(INDEX(Checklists!$H$5:$H$404,MATCH(G139,Checklists!$F$5:$F$404,0)),""))</f>
        <v>0</v>
      </c>
      <c r="R139" s="31">
        <f>IF(OR(J139="",Q139=""),"",J139-Q139)</f>
        <v>0</v>
      </c>
      <c r="S139" s="50">
        <f>IF(B139="","",IF(H139="Done","Yes","No"))</f>
        <v>0</v>
      </c>
      <c r="T139" s="39">
        <f>IF(B139="","",IF(G139="","Add - what was the task?",IF(H139="Issue found",IF(M139="Yes","OK - issue reported","Action - tell the client"),IF(H139="Needs rework","Action - rework needed",IF(AND(H139="Skipped",P139="Yes"),"Check - required task skipped",IF(H139="Done","OK","Due"))))))</f>
        <v>0</v>
      </c>
    </row>
    <row r="140" spans="1:20">
      <c r="A140" s="43">
        <f>IF(B140="","","JT-"&amp;TEXT(ROW()-4,"0000"))</f>
        <v>0</v>
      </c>
      <c r="C140" s="18">
        <f>IF(B140="","",IFERROR(INDEX(Jobs!$B$5:$B$604,MATCH(B140,Jobs!$A$5:$A$604,0)),""))</f>
        <v>0</v>
      </c>
      <c r="D140" s="23">
        <f>IF(B140="","",IFERROR(INDEX(Jobs!$H$5:$H$604,MATCH(B140,Jobs!$A$5:$A$604,0)),""))</f>
        <v>0</v>
      </c>
      <c r="E140" s="23">
        <f>IF(B140="","",IFERROR(INDEX(Jobs!$K$5:$K$604,MATCH(B140,Jobs!$A$5:$A$604,0)),""))</f>
        <v>0</v>
      </c>
      <c r="P140" s="50">
        <f>IF(G140="","",IFERROR(INDEX(Checklists!$J$5:$J$404,MATCH(G140,Checklists!$F$5:$F$404,0)),"Yes"))</f>
        <v>0</v>
      </c>
      <c r="Q140" s="31">
        <f>IF(G140="","",IFERROR(INDEX(Checklists!$H$5:$H$404,MATCH(G140,Checklists!$F$5:$F$404,0)),""))</f>
        <v>0</v>
      </c>
      <c r="R140" s="31">
        <f>IF(OR(J140="",Q140=""),"",J140-Q140)</f>
        <v>0</v>
      </c>
      <c r="S140" s="50">
        <f>IF(B140="","",IF(H140="Done","Yes","No"))</f>
        <v>0</v>
      </c>
      <c r="T140" s="39">
        <f>IF(B140="","",IF(G140="","Add - what was the task?",IF(H140="Issue found",IF(M140="Yes","OK - issue reported","Action - tell the client"),IF(H140="Needs rework","Action - rework needed",IF(AND(H140="Skipped",P140="Yes"),"Check - required task skipped",IF(H140="Done","OK","Due"))))))</f>
        <v>0</v>
      </c>
    </row>
    <row r="141" spans="1:20">
      <c r="A141" s="43">
        <f>IF(B141="","","JT-"&amp;TEXT(ROW()-4,"0000"))</f>
        <v>0</v>
      </c>
      <c r="C141" s="18">
        <f>IF(B141="","",IFERROR(INDEX(Jobs!$B$5:$B$604,MATCH(B141,Jobs!$A$5:$A$604,0)),""))</f>
        <v>0</v>
      </c>
      <c r="D141" s="23">
        <f>IF(B141="","",IFERROR(INDEX(Jobs!$H$5:$H$604,MATCH(B141,Jobs!$A$5:$A$604,0)),""))</f>
        <v>0</v>
      </c>
      <c r="E141" s="23">
        <f>IF(B141="","",IFERROR(INDEX(Jobs!$K$5:$K$604,MATCH(B141,Jobs!$A$5:$A$604,0)),""))</f>
        <v>0</v>
      </c>
      <c r="P141" s="50">
        <f>IF(G141="","",IFERROR(INDEX(Checklists!$J$5:$J$404,MATCH(G141,Checklists!$F$5:$F$404,0)),"Yes"))</f>
        <v>0</v>
      </c>
      <c r="Q141" s="31">
        <f>IF(G141="","",IFERROR(INDEX(Checklists!$H$5:$H$404,MATCH(G141,Checklists!$F$5:$F$404,0)),""))</f>
        <v>0</v>
      </c>
      <c r="R141" s="31">
        <f>IF(OR(J141="",Q141=""),"",J141-Q141)</f>
        <v>0</v>
      </c>
      <c r="S141" s="50">
        <f>IF(B141="","",IF(H141="Done","Yes","No"))</f>
        <v>0</v>
      </c>
      <c r="T141" s="39">
        <f>IF(B141="","",IF(G141="","Add - what was the task?",IF(H141="Issue found",IF(M141="Yes","OK - issue reported","Action - tell the client"),IF(H141="Needs rework","Action - rework needed",IF(AND(H141="Skipped",P141="Yes"),"Check - required task skipped",IF(H141="Done","OK","Due"))))))</f>
        <v>0</v>
      </c>
    </row>
    <row r="142" spans="1:20">
      <c r="A142" s="43">
        <f>IF(B142="","","JT-"&amp;TEXT(ROW()-4,"0000"))</f>
        <v>0</v>
      </c>
      <c r="C142" s="18">
        <f>IF(B142="","",IFERROR(INDEX(Jobs!$B$5:$B$604,MATCH(B142,Jobs!$A$5:$A$604,0)),""))</f>
        <v>0</v>
      </c>
      <c r="D142" s="23">
        <f>IF(B142="","",IFERROR(INDEX(Jobs!$H$5:$H$604,MATCH(B142,Jobs!$A$5:$A$604,0)),""))</f>
        <v>0</v>
      </c>
      <c r="E142" s="23">
        <f>IF(B142="","",IFERROR(INDEX(Jobs!$K$5:$K$604,MATCH(B142,Jobs!$A$5:$A$604,0)),""))</f>
        <v>0</v>
      </c>
      <c r="P142" s="50">
        <f>IF(G142="","",IFERROR(INDEX(Checklists!$J$5:$J$404,MATCH(G142,Checklists!$F$5:$F$404,0)),"Yes"))</f>
        <v>0</v>
      </c>
      <c r="Q142" s="31">
        <f>IF(G142="","",IFERROR(INDEX(Checklists!$H$5:$H$404,MATCH(G142,Checklists!$F$5:$F$404,0)),""))</f>
        <v>0</v>
      </c>
      <c r="R142" s="31">
        <f>IF(OR(J142="",Q142=""),"",J142-Q142)</f>
        <v>0</v>
      </c>
      <c r="S142" s="50">
        <f>IF(B142="","",IF(H142="Done","Yes","No"))</f>
        <v>0</v>
      </c>
      <c r="T142" s="39">
        <f>IF(B142="","",IF(G142="","Add - what was the task?",IF(H142="Issue found",IF(M142="Yes","OK - issue reported","Action - tell the client"),IF(H142="Needs rework","Action - rework needed",IF(AND(H142="Skipped",P142="Yes"),"Check - required task skipped",IF(H142="Done","OK","Due"))))))</f>
        <v>0</v>
      </c>
    </row>
    <row r="143" spans="1:20">
      <c r="A143" s="43">
        <f>IF(B143="","","JT-"&amp;TEXT(ROW()-4,"0000"))</f>
        <v>0</v>
      </c>
      <c r="C143" s="18">
        <f>IF(B143="","",IFERROR(INDEX(Jobs!$B$5:$B$604,MATCH(B143,Jobs!$A$5:$A$604,0)),""))</f>
        <v>0</v>
      </c>
      <c r="D143" s="23">
        <f>IF(B143="","",IFERROR(INDEX(Jobs!$H$5:$H$604,MATCH(B143,Jobs!$A$5:$A$604,0)),""))</f>
        <v>0</v>
      </c>
      <c r="E143" s="23">
        <f>IF(B143="","",IFERROR(INDEX(Jobs!$K$5:$K$604,MATCH(B143,Jobs!$A$5:$A$604,0)),""))</f>
        <v>0</v>
      </c>
      <c r="P143" s="50">
        <f>IF(G143="","",IFERROR(INDEX(Checklists!$J$5:$J$404,MATCH(G143,Checklists!$F$5:$F$404,0)),"Yes"))</f>
        <v>0</v>
      </c>
      <c r="Q143" s="31">
        <f>IF(G143="","",IFERROR(INDEX(Checklists!$H$5:$H$404,MATCH(G143,Checklists!$F$5:$F$404,0)),""))</f>
        <v>0</v>
      </c>
      <c r="R143" s="31">
        <f>IF(OR(J143="",Q143=""),"",J143-Q143)</f>
        <v>0</v>
      </c>
      <c r="S143" s="50">
        <f>IF(B143="","",IF(H143="Done","Yes","No"))</f>
        <v>0</v>
      </c>
      <c r="T143" s="39">
        <f>IF(B143="","",IF(G143="","Add - what was the task?",IF(H143="Issue found",IF(M143="Yes","OK - issue reported","Action - tell the client"),IF(H143="Needs rework","Action - rework needed",IF(AND(H143="Skipped",P143="Yes"),"Check - required task skipped",IF(H143="Done","OK","Due"))))))</f>
        <v>0</v>
      </c>
    </row>
    <row r="144" spans="1:20">
      <c r="A144" s="43">
        <f>IF(B144="","","JT-"&amp;TEXT(ROW()-4,"0000"))</f>
        <v>0</v>
      </c>
      <c r="C144" s="18">
        <f>IF(B144="","",IFERROR(INDEX(Jobs!$B$5:$B$604,MATCH(B144,Jobs!$A$5:$A$604,0)),""))</f>
        <v>0</v>
      </c>
      <c r="D144" s="23">
        <f>IF(B144="","",IFERROR(INDEX(Jobs!$H$5:$H$604,MATCH(B144,Jobs!$A$5:$A$604,0)),""))</f>
        <v>0</v>
      </c>
      <c r="E144" s="23">
        <f>IF(B144="","",IFERROR(INDEX(Jobs!$K$5:$K$604,MATCH(B144,Jobs!$A$5:$A$604,0)),""))</f>
        <v>0</v>
      </c>
      <c r="P144" s="50">
        <f>IF(G144="","",IFERROR(INDEX(Checklists!$J$5:$J$404,MATCH(G144,Checklists!$F$5:$F$404,0)),"Yes"))</f>
        <v>0</v>
      </c>
      <c r="Q144" s="31">
        <f>IF(G144="","",IFERROR(INDEX(Checklists!$H$5:$H$404,MATCH(G144,Checklists!$F$5:$F$404,0)),""))</f>
        <v>0</v>
      </c>
      <c r="R144" s="31">
        <f>IF(OR(J144="",Q144=""),"",J144-Q144)</f>
        <v>0</v>
      </c>
      <c r="S144" s="50">
        <f>IF(B144="","",IF(H144="Done","Yes","No"))</f>
        <v>0</v>
      </c>
      <c r="T144" s="39">
        <f>IF(B144="","",IF(G144="","Add - what was the task?",IF(H144="Issue found",IF(M144="Yes","OK - issue reported","Action - tell the client"),IF(H144="Needs rework","Action - rework needed",IF(AND(H144="Skipped",P144="Yes"),"Check - required task skipped",IF(H144="Done","OK","Due"))))))</f>
        <v>0</v>
      </c>
    </row>
    <row r="145" spans="1:20">
      <c r="A145" s="43">
        <f>IF(B145="","","JT-"&amp;TEXT(ROW()-4,"0000"))</f>
        <v>0</v>
      </c>
      <c r="C145" s="18">
        <f>IF(B145="","",IFERROR(INDEX(Jobs!$B$5:$B$604,MATCH(B145,Jobs!$A$5:$A$604,0)),""))</f>
        <v>0</v>
      </c>
      <c r="D145" s="23">
        <f>IF(B145="","",IFERROR(INDEX(Jobs!$H$5:$H$604,MATCH(B145,Jobs!$A$5:$A$604,0)),""))</f>
        <v>0</v>
      </c>
      <c r="E145" s="23">
        <f>IF(B145="","",IFERROR(INDEX(Jobs!$K$5:$K$604,MATCH(B145,Jobs!$A$5:$A$604,0)),""))</f>
        <v>0</v>
      </c>
      <c r="P145" s="50">
        <f>IF(G145="","",IFERROR(INDEX(Checklists!$J$5:$J$404,MATCH(G145,Checklists!$F$5:$F$404,0)),"Yes"))</f>
        <v>0</v>
      </c>
      <c r="Q145" s="31">
        <f>IF(G145="","",IFERROR(INDEX(Checklists!$H$5:$H$404,MATCH(G145,Checklists!$F$5:$F$404,0)),""))</f>
        <v>0</v>
      </c>
      <c r="R145" s="31">
        <f>IF(OR(J145="",Q145=""),"",J145-Q145)</f>
        <v>0</v>
      </c>
      <c r="S145" s="50">
        <f>IF(B145="","",IF(H145="Done","Yes","No"))</f>
        <v>0</v>
      </c>
      <c r="T145" s="39">
        <f>IF(B145="","",IF(G145="","Add - what was the task?",IF(H145="Issue found",IF(M145="Yes","OK - issue reported","Action - tell the client"),IF(H145="Needs rework","Action - rework needed",IF(AND(H145="Skipped",P145="Yes"),"Check - required task skipped",IF(H145="Done","OK","Due"))))))</f>
        <v>0</v>
      </c>
    </row>
    <row r="146" spans="1:20">
      <c r="A146" s="43">
        <f>IF(B146="","","JT-"&amp;TEXT(ROW()-4,"0000"))</f>
        <v>0</v>
      </c>
      <c r="C146" s="18">
        <f>IF(B146="","",IFERROR(INDEX(Jobs!$B$5:$B$604,MATCH(B146,Jobs!$A$5:$A$604,0)),""))</f>
        <v>0</v>
      </c>
      <c r="D146" s="23">
        <f>IF(B146="","",IFERROR(INDEX(Jobs!$H$5:$H$604,MATCH(B146,Jobs!$A$5:$A$604,0)),""))</f>
        <v>0</v>
      </c>
      <c r="E146" s="23">
        <f>IF(B146="","",IFERROR(INDEX(Jobs!$K$5:$K$604,MATCH(B146,Jobs!$A$5:$A$604,0)),""))</f>
        <v>0</v>
      </c>
      <c r="P146" s="50">
        <f>IF(G146="","",IFERROR(INDEX(Checklists!$J$5:$J$404,MATCH(G146,Checklists!$F$5:$F$404,0)),"Yes"))</f>
        <v>0</v>
      </c>
      <c r="Q146" s="31">
        <f>IF(G146="","",IFERROR(INDEX(Checklists!$H$5:$H$404,MATCH(G146,Checklists!$F$5:$F$404,0)),""))</f>
        <v>0</v>
      </c>
      <c r="R146" s="31">
        <f>IF(OR(J146="",Q146=""),"",J146-Q146)</f>
        <v>0</v>
      </c>
      <c r="S146" s="50">
        <f>IF(B146="","",IF(H146="Done","Yes","No"))</f>
        <v>0</v>
      </c>
      <c r="T146" s="39">
        <f>IF(B146="","",IF(G146="","Add - what was the task?",IF(H146="Issue found",IF(M146="Yes","OK - issue reported","Action - tell the client"),IF(H146="Needs rework","Action - rework needed",IF(AND(H146="Skipped",P146="Yes"),"Check - required task skipped",IF(H146="Done","OK","Due"))))))</f>
        <v>0</v>
      </c>
    </row>
    <row r="147" spans="1:20">
      <c r="A147" s="43">
        <f>IF(B147="","","JT-"&amp;TEXT(ROW()-4,"0000"))</f>
        <v>0</v>
      </c>
      <c r="C147" s="18">
        <f>IF(B147="","",IFERROR(INDEX(Jobs!$B$5:$B$604,MATCH(B147,Jobs!$A$5:$A$604,0)),""))</f>
        <v>0</v>
      </c>
      <c r="D147" s="23">
        <f>IF(B147="","",IFERROR(INDEX(Jobs!$H$5:$H$604,MATCH(B147,Jobs!$A$5:$A$604,0)),""))</f>
        <v>0</v>
      </c>
      <c r="E147" s="23">
        <f>IF(B147="","",IFERROR(INDEX(Jobs!$K$5:$K$604,MATCH(B147,Jobs!$A$5:$A$604,0)),""))</f>
        <v>0</v>
      </c>
      <c r="P147" s="50">
        <f>IF(G147="","",IFERROR(INDEX(Checklists!$J$5:$J$404,MATCH(G147,Checklists!$F$5:$F$404,0)),"Yes"))</f>
        <v>0</v>
      </c>
      <c r="Q147" s="31">
        <f>IF(G147="","",IFERROR(INDEX(Checklists!$H$5:$H$404,MATCH(G147,Checklists!$F$5:$F$404,0)),""))</f>
        <v>0</v>
      </c>
      <c r="R147" s="31">
        <f>IF(OR(J147="",Q147=""),"",J147-Q147)</f>
        <v>0</v>
      </c>
      <c r="S147" s="50">
        <f>IF(B147="","",IF(H147="Done","Yes","No"))</f>
        <v>0</v>
      </c>
      <c r="T147" s="39">
        <f>IF(B147="","",IF(G147="","Add - what was the task?",IF(H147="Issue found",IF(M147="Yes","OK - issue reported","Action - tell the client"),IF(H147="Needs rework","Action - rework needed",IF(AND(H147="Skipped",P147="Yes"),"Check - required task skipped",IF(H147="Done","OK","Due"))))))</f>
        <v>0</v>
      </c>
    </row>
    <row r="148" spans="1:20">
      <c r="A148" s="43">
        <f>IF(B148="","","JT-"&amp;TEXT(ROW()-4,"0000"))</f>
        <v>0</v>
      </c>
      <c r="C148" s="18">
        <f>IF(B148="","",IFERROR(INDEX(Jobs!$B$5:$B$604,MATCH(B148,Jobs!$A$5:$A$604,0)),""))</f>
        <v>0</v>
      </c>
      <c r="D148" s="23">
        <f>IF(B148="","",IFERROR(INDEX(Jobs!$H$5:$H$604,MATCH(B148,Jobs!$A$5:$A$604,0)),""))</f>
        <v>0</v>
      </c>
      <c r="E148" s="23">
        <f>IF(B148="","",IFERROR(INDEX(Jobs!$K$5:$K$604,MATCH(B148,Jobs!$A$5:$A$604,0)),""))</f>
        <v>0</v>
      </c>
      <c r="P148" s="50">
        <f>IF(G148="","",IFERROR(INDEX(Checklists!$J$5:$J$404,MATCH(G148,Checklists!$F$5:$F$404,0)),"Yes"))</f>
        <v>0</v>
      </c>
      <c r="Q148" s="31">
        <f>IF(G148="","",IFERROR(INDEX(Checklists!$H$5:$H$404,MATCH(G148,Checklists!$F$5:$F$404,0)),""))</f>
        <v>0</v>
      </c>
      <c r="R148" s="31">
        <f>IF(OR(J148="",Q148=""),"",J148-Q148)</f>
        <v>0</v>
      </c>
      <c r="S148" s="50">
        <f>IF(B148="","",IF(H148="Done","Yes","No"))</f>
        <v>0</v>
      </c>
      <c r="T148" s="39">
        <f>IF(B148="","",IF(G148="","Add - what was the task?",IF(H148="Issue found",IF(M148="Yes","OK - issue reported","Action - tell the client"),IF(H148="Needs rework","Action - rework needed",IF(AND(H148="Skipped",P148="Yes"),"Check - required task skipped",IF(H148="Done","OK","Due"))))))</f>
        <v>0</v>
      </c>
    </row>
    <row r="149" spans="1:20">
      <c r="A149" s="43">
        <f>IF(B149="","","JT-"&amp;TEXT(ROW()-4,"0000"))</f>
        <v>0</v>
      </c>
      <c r="C149" s="18">
        <f>IF(B149="","",IFERROR(INDEX(Jobs!$B$5:$B$604,MATCH(B149,Jobs!$A$5:$A$604,0)),""))</f>
        <v>0</v>
      </c>
      <c r="D149" s="23">
        <f>IF(B149="","",IFERROR(INDEX(Jobs!$H$5:$H$604,MATCH(B149,Jobs!$A$5:$A$604,0)),""))</f>
        <v>0</v>
      </c>
      <c r="E149" s="23">
        <f>IF(B149="","",IFERROR(INDEX(Jobs!$K$5:$K$604,MATCH(B149,Jobs!$A$5:$A$604,0)),""))</f>
        <v>0</v>
      </c>
      <c r="P149" s="50">
        <f>IF(G149="","",IFERROR(INDEX(Checklists!$J$5:$J$404,MATCH(G149,Checklists!$F$5:$F$404,0)),"Yes"))</f>
        <v>0</v>
      </c>
      <c r="Q149" s="31">
        <f>IF(G149="","",IFERROR(INDEX(Checklists!$H$5:$H$404,MATCH(G149,Checklists!$F$5:$F$404,0)),""))</f>
        <v>0</v>
      </c>
      <c r="R149" s="31">
        <f>IF(OR(J149="",Q149=""),"",J149-Q149)</f>
        <v>0</v>
      </c>
      <c r="S149" s="50">
        <f>IF(B149="","",IF(H149="Done","Yes","No"))</f>
        <v>0</v>
      </c>
      <c r="T149" s="39">
        <f>IF(B149="","",IF(G149="","Add - what was the task?",IF(H149="Issue found",IF(M149="Yes","OK - issue reported","Action - tell the client"),IF(H149="Needs rework","Action - rework needed",IF(AND(H149="Skipped",P149="Yes"),"Check - required task skipped",IF(H149="Done","OK","Due"))))))</f>
        <v>0</v>
      </c>
    </row>
    <row r="150" spans="1:20">
      <c r="A150" s="43">
        <f>IF(B150="","","JT-"&amp;TEXT(ROW()-4,"0000"))</f>
        <v>0</v>
      </c>
      <c r="C150" s="18">
        <f>IF(B150="","",IFERROR(INDEX(Jobs!$B$5:$B$604,MATCH(B150,Jobs!$A$5:$A$604,0)),""))</f>
        <v>0</v>
      </c>
      <c r="D150" s="23">
        <f>IF(B150="","",IFERROR(INDEX(Jobs!$H$5:$H$604,MATCH(B150,Jobs!$A$5:$A$604,0)),""))</f>
        <v>0</v>
      </c>
      <c r="E150" s="23">
        <f>IF(B150="","",IFERROR(INDEX(Jobs!$K$5:$K$604,MATCH(B150,Jobs!$A$5:$A$604,0)),""))</f>
        <v>0</v>
      </c>
      <c r="P150" s="50">
        <f>IF(G150="","",IFERROR(INDEX(Checklists!$J$5:$J$404,MATCH(G150,Checklists!$F$5:$F$404,0)),"Yes"))</f>
        <v>0</v>
      </c>
      <c r="Q150" s="31">
        <f>IF(G150="","",IFERROR(INDEX(Checklists!$H$5:$H$404,MATCH(G150,Checklists!$F$5:$F$404,0)),""))</f>
        <v>0</v>
      </c>
      <c r="R150" s="31">
        <f>IF(OR(J150="",Q150=""),"",J150-Q150)</f>
        <v>0</v>
      </c>
      <c r="S150" s="50">
        <f>IF(B150="","",IF(H150="Done","Yes","No"))</f>
        <v>0</v>
      </c>
      <c r="T150" s="39">
        <f>IF(B150="","",IF(G150="","Add - what was the task?",IF(H150="Issue found",IF(M150="Yes","OK - issue reported","Action - tell the client"),IF(H150="Needs rework","Action - rework needed",IF(AND(H150="Skipped",P150="Yes"),"Check - required task skipped",IF(H150="Done","OK","Due"))))))</f>
        <v>0</v>
      </c>
    </row>
    <row r="151" spans="1:20">
      <c r="A151" s="43">
        <f>IF(B151="","","JT-"&amp;TEXT(ROW()-4,"0000"))</f>
        <v>0</v>
      </c>
      <c r="C151" s="18">
        <f>IF(B151="","",IFERROR(INDEX(Jobs!$B$5:$B$604,MATCH(B151,Jobs!$A$5:$A$604,0)),""))</f>
        <v>0</v>
      </c>
      <c r="D151" s="23">
        <f>IF(B151="","",IFERROR(INDEX(Jobs!$H$5:$H$604,MATCH(B151,Jobs!$A$5:$A$604,0)),""))</f>
        <v>0</v>
      </c>
      <c r="E151" s="23">
        <f>IF(B151="","",IFERROR(INDEX(Jobs!$K$5:$K$604,MATCH(B151,Jobs!$A$5:$A$604,0)),""))</f>
        <v>0</v>
      </c>
      <c r="P151" s="50">
        <f>IF(G151="","",IFERROR(INDEX(Checklists!$J$5:$J$404,MATCH(G151,Checklists!$F$5:$F$404,0)),"Yes"))</f>
        <v>0</v>
      </c>
      <c r="Q151" s="31">
        <f>IF(G151="","",IFERROR(INDEX(Checklists!$H$5:$H$404,MATCH(G151,Checklists!$F$5:$F$404,0)),""))</f>
        <v>0</v>
      </c>
      <c r="R151" s="31">
        <f>IF(OR(J151="",Q151=""),"",J151-Q151)</f>
        <v>0</v>
      </c>
      <c r="S151" s="50">
        <f>IF(B151="","",IF(H151="Done","Yes","No"))</f>
        <v>0</v>
      </c>
      <c r="T151" s="39">
        <f>IF(B151="","",IF(G151="","Add - what was the task?",IF(H151="Issue found",IF(M151="Yes","OK - issue reported","Action - tell the client"),IF(H151="Needs rework","Action - rework needed",IF(AND(H151="Skipped",P151="Yes"),"Check - required task skipped",IF(H151="Done","OK","Due"))))))</f>
        <v>0</v>
      </c>
    </row>
    <row r="152" spans="1:20">
      <c r="A152" s="43">
        <f>IF(B152="","","JT-"&amp;TEXT(ROW()-4,"0000"))</f>
        <v>0</v>
      </c>
      <c r="C152" s="18">
        <f>IF(B152="","",IFERROR(INDEX(Jobs!$B$5:$B$604,MATCH(B152,Jobs!$A$5:$A$604,0)),""))</f>
        <v>0</v>
      </c>
      <c r="D152" s="23">
        <f>IF(B152="","",IFERROR(INDEX(Jobs!$H$5:$H$604,MATCH(B152,Jobs!$A$5:$A$604,0)),""))</f>
        <v>0</v>
      </c>
      <c r="E152" s="23">
        <f>IF(B152="","",IFERROR(INDEX(Jobs!$K$5:$K$604,MATCH(B152,Jobs!$A$5:$A$604,0)),""))</f>
        <v>0</v>
      </c>
      <c r="P152" s="50">
        <f>IF(G152="","",IFERROR(INDEX(Checklists!$J$5:$J$404,MATCH(G152,Checklists!$F$5:$F$404,0)),"Yes"))</f>
        <v>0</v>
      </c>
      <c r="Q152" s="31">
        <f>IF(G152="","",IFERROR(INDEX(Checklists!$H$5:$H$404,MATCH(G152,Checklists!$F$5:$F$404,0)),""))</f>
        <v>0</v>
      </c>
      <c r="R152" s="31">
        <f>IF(OR(J152="",Q152=""),"",J152-Q152)</f>
        <v>0</v>
      </c>
      <c r="S152" s="50">
        <f>IF(B152="","",IF(H152="Done","Yes","No"))</f>
        <v>0</v>
      </c>
      <c r="T152" s="39">
        <f>IF(B152="","",IF(G152="","Add - what was the task?",IF(H152="Issue found",IF(M152="Yes","OK - issue reported","Action - tell the client"),IF(H152="Needs rework","Action - rework needed",IF(AND(H152="Skipped",P152="Yes"),"Check - required task skipped",IF(H152="Done","OK","Due"))))))</f>
        <v>0</v>
      </c>
    </row>
    <row r="153" spans="1:20">
      <c r="A153" s="43">
        <f>IF(B153="","","JT-"&amp;TEXT(ROW()-4,"0000"))</f>
        <v>0</v>
      </c>
      <c r="C153" s="18">
        <f>IF(B153="","",IFERROR(INDEX(Jobs!$B$5:$B$604,MATCH(B153,Jobs!$A$5:$A$604,0)),""))</f>
        <v>0</v>
      </c>
      <c r="D153" s="23">
        <f>IF(B153="","",IFERROR(INDEX(Jobs!$H$5:$H$604,MATCH(B153,Jobs!$A$5:$A$604,0)),""))</f>
        <v>0</v>
      </c>
      <c r="E153" s="23">
        <f>IF(B153="","",IFERROR(INDEX(Jobs!$K$5:$K$604,MATCH(B153,Jobs!$A$5:$A$604,0)),""))</f>
        <v>0</v>
      </c>
      <c r="P153" s="50">
        <f>IF(G153="","",IFERROR(INDEX(Checklists!$J$5:$J$404,MATCH(G153,Checklists!$F$5:$F$404,0)),"Yes"))</f>
        <v>0</v>
      </c>
      <c r="Q153" s="31">
        <f>IF(G153="","",IFERROR(INDEX(Checklists!$H$5:$H$404,MATCH(G153,Checklists!$F$5:$F$404,0)),""))</f>
        <v>0</v>
      </c>
      <c r="R153" s="31">
        <f>IF(OR(J153="",Q153=""),"",J153-Q153)</f>
        <v>0</v>
      </c>
      <c r="S153" s="50">
        <f>IF(B153="","",IF(H153="Done","Yes","No"))</f>
        <v>0</v>
      </c>
      <c r="T153" s="39">
        <f>IF(B153="","",IF(G153="","Add - what was the task?",IF(H153="Issue found",IF(M153="Yes","OK - issue reported","Action - tell the client"),IF(H153="Needs rework","Action - rework needed",IF(AND(H153="Skipped",P153="Yes"),"Check - required task skipped",IF(H153="Done","OK","Due"))))))</f>
        <v>0</v>
      </c>
    </row>
    <row r="154" spans="1:20">
      <c r="A154" s="43">
        <f>IF(B154="","","JT-"&amp;TEXT(ROW()-4,"0000"))</f>
        <v>0</v>
      </c>
      <c r="C154" s="18">
        <f>IF(B154="","",IFERROR(INDEX(Jobs!$B$5:$B$604,MATCH(B154,Jobs!$A$5:$A$604,0)),""))</f>
        <v>0</v>
      </c>
      <c r="D154" s="23">
        <f>IF(B154="","",IFERROR(INDEX(Jobs!$H$5:$H$604,MATCH(B154,Jobs!$A$5:$A$604,0)),""))</f>
        <v>0</v>
      </c>
      <c r="E154" s="23">
        <f>IF(B154="","",IFERROR(INDEX(Jobs!$K$5:$K$604,MATCH(B154,Jobs!$A$5:$A$604,0)),""))</f>
        <v>0</v>
      </c>
      <c r="P154" s="50">
        <f>IF(G154="","",IFERROR(INDEX(Checklists!$J$5:$J$404,MATCH(G154,Checklists!$F$5:$F$404,0)),"Yes"))</f>
        <v>0</v>
      </c>
      <c r="Q154" s="31">
        <f>IF(G154="","",IFERROR(INDEX(Checklists!$H$5:$H$404,MATCH(G154,Checklists!$F$5:$F$404,0)),""))</f>
        <v>0</v>
      </c>
      <c r="R154" s="31">
        <f>IF(OR(J154="",Q154=""),"",J154-Q154)</f>
        <v>0</v>
      </c>
      <c r="S154" s="50">
        <f>IF(B154="","",IF(H154="Done","Yes","No"))</f>
        <v>0</v>
      </c>
      <c r="T154" s="39">
        <f>IF(B154="","",IF(G154="","Add - what was the task?",IF(H154="Issue found",IF(M154="Yes","OK - issue reported","Action - tell the client"),IF(H154="Needs rework","Action - rework needed",IF(AND(H154="Skipped",P154="Yes"),"Check - required task skipped",IF(H154="Done","OK","Due"))))))</f>
        <v>0</v>
      </c>
    </row>
    <row r="155" spans="1:20">
      <c r="A155" s="43">
        <f>IF(B155="","","JT-"&amp;TEXT(ROW()-4,"0000"))</f>
        <v>0</v>
      </c>
      <c r="C155" s="18">
        <f>IF(B155="","",IFERROR(INDEX(Jobs!$B$5:$B$604,MATCH(B155,Jobs!$A$5:$A$604,0)),""))</f>
        <v>0</v>
      </c>
      <c r="D155" s="23">
        <f>IF(B155="","",IFERROR(INDEX(Jobs!$H$5:$H$604,MATCH(B155,Jobs!$A$5:$A$604,0)),""))</f>
        <v>0</v>
      </c>
      <c r="E155" s="23">
        <f>IF(B155="","",IFERROR(INDEX(Jobs!$K$5:$K$604,MATCH(B155,Jobs!$A$5:$A$604,0)),""))</f>
        <v>0</v>
      </c>
      <c r="P155" s="50">
        <f>IF(G155="","",IFERROR(INDEX(Checklists!$J$5:$J$404,MATCH(G155,Checklists!$F$5:$F$404,0)),"Yes"))</f>
        <v>0</v>
      </c>
      <c r="Q155" s="31">
        <f>IF(G155="","",IFERROR(INDEX(Checklists!$H$5:$H$404,MATCH(G155,Checklists!$F$5:$F$404,0)),""))</f>
        <v>0</v>
      </c>
      <c r="R155" s="31">
        <f>IF(OR(J155="",Q155=""),"",J155-Q155)</f>
        <v>0</v>
      </c>
      <c r="S155" s="50">
        <f>IF(B155="","",IF(H155="Done","Yes","No"))</f>
        <v>0</v>
      </c>
      <c r="T155" s="39">
        <f>IF(B155="","",IF(G155="","Add - what was the task?",IF(H155="Issue found",IF(M155="Yes","OK - issue reported","Action - tell the client"),IF(H155="Needs rework","Action - rework needed",IF(AND(H155="Skipped",P155="Yes"),"Check - required task skipped",IF(H155="Done","OK","Due"))))))</f>
        <v>0</v>
      </c>
    </row>
    <row r="156" spans="1:20">
      <c r="A156" s="43">
        <f>IF(B156="","","JT-"&amp;TEXT(ROW()-4,"0000"))</f>
        <v>0</v>
      </c>
      <c r="C156" s="18">
        <f>IF(B156="","",IFERROR(INDEX(Jobs!$B$5:$B$604,MATCH(B156,Jobs!$A$5:$A$604,0)),""))</f>
        <v>0</v>
      </c>
      <c r="D156" s="23">
        <f>IF(B156="","",IFERROR(INDEX(Jobs!$H$5:$H$604,MATCH(B156,Jobs!$A$5:$A$604,0)),""))</f>
        <v>0</v>
      </c>
      <c r="E156" s="23">
        <f>IF(B156="","",IFERROR(INDEX(Jobs!$K$5:$K$604,MATCH(B156,Jobs!$A$5:$A$604,0)),""))</f>
        <v>0</v>
      </c>
      <c r="P156" s="50">
        <f>IF(G156="","",IFERROR(INDEX(Checklists!$J$5:$J$404,MATCH(G156,Checklists!$F$5:$F$404,0)),"Yes"))</f>
        <v>0</v>
      </c>
      <c r="Q156" s="31">
        <f>IF(G156="","",IFERROR(INDEX(Checklists!$H$5:$H$404,MATCH(G156,Checklists!$F$5:$F$404,0)),""))</f>
        <v>0</v>
      </c>
      <c r="R156" s="31">
        <f>IF(OR(J156="",Q156=""),"",J156-Q156)</f>
        <v>0</v>
      </c>
      <c r="S156" s="50">
        <f>IF(B156="","",IF(H156="Done","Yes","No"))</f>
        <v>0</v>
      </c>
      <c r="T156" s="39">
        <f>IF(B156="","",IF(G156="","Add - what was the task?",IF(H156="Issue found",IF(M156="Yes","OK - issue reported","Action - tell the client"),IF(H156="Needs rework","Action - rework needed",IF(AND(H156="Skipped",P156="Yes"),"Check - required task skipped",IF(H156="Done","OK","Due"))))))</f>
        <v>0</v>
      </c>
    </row>
    <row r="157" spans="1:20">
      <c r="A157" s="43">
        <f>IF(B157="","","JT-"&amp;TEXT(ROW()-4,"0000"))</f>
        <v>0</v>
      </c>
      <c r="C157" s="18">
        <f>IF(B157="","",IFERROR(INDEX(Jobs!$B$5:$B$604,MATCH(B157,Jobs!$A$5:$A$604,0)),""))</f>
        <v>0</v>
      </c>
      <c r="D157" s="23">
        <f>IF(B157="","",IFERROR(INDEX(Jobs!$H$5:$H$604,MATCH(B157,Jobs!$A$5:$A$604,0)),""))</f>
        <v>0</v>
      </c>
      <c r="E157" s="23">
        <f>IF(B157="","",IFERROR(INDEX(Jobs!$K$5:$K$604,MATCH(B157,Jobs!$A$5:$A$604,0)),""))</f>
        <v>0</v>
      </c>
      <c r="P157" s="50">
        <f>IF(G157="","",IFERROR(INDEX(Checklists!$J$5:$J$404,MATCH(G157,Checklists!$F$5:$F$404,0)),"Yes"))</f>
        <v>0</v>
      </c>
      <c r="Q157" s="31">
        <f>IF(G157="","",IFERROR(INDEX(Checklists!$H$5:$H$404,MATCH(G157,Checklists!$F$5:$F$404,0)),""))</f>
        <v>0</v>
      </c>
      <c r="R157" s="31">
        <f>IF(OR(J157="",Q157=""),"",J157-Q157)</f>
        <v>0</v>
      </c>
      <c r="S157" s="50">
        <f>IF(B157="","",IF(H157="Done","Yes","No"))</f>
        <v>0</v>
      </c>
      <c r="T157" s="39">
        <f>IF(B157="","",IF(G157="","Add - what was the task?",IF(H157="Issue found",IF(M157="Yes","OK - issue reported","Action - tell the client"),IF(H157="Needs rework","Action - rework needed",IF(AND(H157="Skipped",P157="Yes"),"Check - required task skipped",IF(H157="Done","OK","Due"))))))</f>
        <v>0</v>
      </c>
    </row>
    <row r="158" spans="1:20">
      <c r="A158" s="43">
        <f>IF(B158="","","JT-"&amp;TEXT(ROW()-4,"0000"))</f>
        <v>0</v>
      </c>
      <c r="C158" s="18">
        <f>IF(B158="","",IFERROR(INDEX(Jobs!$B$5:$B$604,MATCH(B158,Jobs!$A$5:$A$604,0)),""))</f>
        <v>0</v>
      </c>
      <c r="D158" s="23">
        <f>IF(B158="","",IFERROR(INDEX(Jobs!$H$5:$H$604,MATCH(B158,Jobs!$A$5:$A$604,0)),""))</f>
        <v>0</v>
      </c>
      <c r="E158" s="23">
        <f>IF(B158="","",IFERROR(INDEX(Jobs!$K$5:$K$604,MATCH(B158,Jobs!$A$5:$A$604,0)),""))</f>
        <v>0</v>
      </c>
      <c r="P158" s="50">
        <f>IF(G158="","",IFERROR(INDEX(Checklists!$J$5:$J$404,MATCH(G158,Checklists!$F$5:$F$404,0)),"Yes"))</f>
        <v>0</v>
      </c>
      <c r="Q158" s="31">
        <f>IF(G158="","",IFERROR(INDEX(Checklists!$H$5:$H$404,MATCH(G158,Checklists!$F$5:$F$404,0)),""))</f>
        <v>0</v>
      </c>
      <c r="R158" s="31">
        <f>IF(OR(J158="",Q158=""),"",J158-Q158)</f>
        <v>0</v>
      </c>
      <c r="S158" s="50">
        <f>IF(B158="","",IF(H158="Done","Yes","No"))</f>
        <v>0</v>
      </c>
      <c r="T158" s="39">
        <f>IF(B158="","",IF(G158="","Add - what was the task?",IF(H158="Issue found",IF(M158="Yes","OK - issue reported","Action - tell the client"),IF(H158="Needs rework","Action - rework needed",IF(AND(H158="Skipped",P158="Yes"),"Check - required task skipped",IF(H158="Done","OK","Due"))))))</f>
        <v>0</v>
      </c>
    </row>
    <row r="159" spans="1:20">
      <c r="A159" s="43">
        <f>IF(B159="","","JT-"&amp;TEXT(ROW()-4,"0000"))</f>
        <v>0</v>
      </c>
      <c r="C159" s="18">
        <f>IF(B159="","",IFERROR(INDEX(Jobs!$B$5:$B$604,MATCH(B159,Jobs!$A$5:$A$604,0)),""))</f>
        <v>0</v>
      </c>
      <c r="D159" s="23">
        <f>IF(B159="","",IFERROR(INDEX(Jobs!$H$5:$H$604,MATCH(B159,Jobs!$A$5:$A$604,0)),""))</f>
        <v>0</v>
      </c>
      <c r="E159" s="23">
        <f>IF(B159="","",IFERROR(INDEX(Jobs!$K$5:$K$604,MATCH(B159,Jobs!$A$5:$A$604,0)),""))</f>
        <v>0</v>
      </c>
      <c r="P159" s="50">
        <f>IF(G159="","",IFERROR(INDEX(Checklists!$J$5:$J$404,MATCH(G159,Checklists!$F$5:$F$404,0)),"Yes"))</f>
        <v>0</v>
      </c>
      <c r="Q159" s="31">
        <f>IF(G159="","",IFERROR(INDEX(Checklists!$H$5:$H$404,MATCH(G159,Checklists!$F$5:$F$404,0)),""))</f>
        <v>0</v>
      </c>
      <c r="R159" s="31">
        <f>IF(OR(J159="",Q159=""),"",J159-Q159)</f>
        <v>0</v>
      </c>
      <c r="S159" s="50">
        <f>IF(B159="","",IF(H159="Done","Yes","No"))</f>
        <v>0</v>
      </c>
      <c r="T159" s="39">
        <f>IF(B159="","",IF(G159="","Add - what was the task?",IF(H159="Issue found",IF(M159="Yes","OK - issue reported","Action - tell the client"),IF(H159="Needs rework","Action - rework needed",IF(AND(H159="Skipped",P159="Yes"),"Check - required task skipped",IF(H159="Done","OK","Due"))))))</f>
        <v>0</v>
      </c>
    </row>
    <row r="160" spans="1:20">
      <c r="A160" s="43">
        <f>IF(B160="","","JT-"&amp;TEXT(ROW()-4,"0000"))</f>
        <v>0</v>
      </c>
      <c r="C160" s="18">
        <f>IF(B160="","",IFERROR(INDEX(Jobs!$B$5:$B$604,MATCH(B160,Jobs!$A$5:$A$604,0)),""))</f>
        <v>0</v>
      </c>
      <c r="D160" s="23">
        <f>IF(B160="","",IFERROR(INDEX(Jobs!$H$5:$H$604,MATCH(B160,Jobs!$A$5:$A$604,0)),""))</f>
        <v>0</v>
      </c>
      <c r="E160" s="23">
        <f>IF(B160="","",IFERROR(INDEX(Jobs!$K$5:$K$604,MATCH(B160,Jobs!$A$5:$A$604,0)),""))</f>
        <v>0</v>
      </c>
      <c r="P160" s="50">
        <f>IF(G160="","",IFERROR(INDEX(Checklists!$J$5:$J$404,MATCH(G160,Checklists!$F$5:$F$404,0)),"Yes"))</f>
        <v>0</v>
      </c>
      <c r="Q160" s="31">
        <f>IF(G160="","",IFERROR(INDEX(Checklists!$H$5:$H$404,MATCH(G160,Checklists!$F$5:$F$404,0)),""))</f>
        <v>0</v>
      </c>
      <c r="R160" s="31">
        <f>IF(OR(J160="",Q160=""),"",J160-Q160)</f>
        <v>0</v>
      </c>
      <c r="S160" s="50">
        <f>IF(B160="","",IF(H160="Done","Yes","No"))</f>
        <v>0</v>
      </c>
      <c r="T160" s="39">
        <f>IF(B160="","",IF(G160="","Add - what was the task?",IF(H160="Issue found",IF(M160="Yes","OK - issue reported","Action - tell the client"),IF(H160="Needs rework","Action - rework needed",IF(AND(H160="Skipped",P160="Yes"),"Check - required task skipped",IF(H160="Done","OK","Due"))))))</f>
        <v>0</v>
      </c>
    </row>
    <row r="161" spans="1:20">
      <c r="A161" s="43">
        <f>IF(B161="","","JT-"&amp;TEXT(ROW()-4,"0000"))</f>
        <v>0</v>
      </c>
      <c r="C161" s="18">
        <f>IF(B161="","",IFERROR(INDEX(Jobs!$B$5:$B$604,MATCH(B161,Jobs!$A$5:$A$604,0)),""))</f>
        <v>0</v>
      </c>
      <c r="D161" s="23">
        <f>IF(B161="","",IFERROR(INDEX(Jobs!$H$5:$H$604,MATCH(B161,Jobs!$A$5:$A$604,0)),""))</f>
        <v>0</v>
      </c>
      <c r="E161" s="23">
        <f>IF(B161="","",IFERROR(INDEX(Jobs!$K$5:$K$604,MATCH(B161,Jobs!$A$5:$A$604,0)),""))</f>
        <v>0</v>
      </c>
      <c r="P161" s="50">
        <f>IF(G161="","",IFERROR(INDEX(Checklists!$J$5:$J$404,MATCH(G161,Checklists!$F$5:$F$404,0)),"Yes"))</f>
        <v>0</v>
      </c>
      <c r="Q161" s="31">
        <f>IF(G161="","",IFERROR(INDEX(Checklists!$H$5:$H$404,MATCH(G161,Checklists!$F$5:$F$404,0)),""))</f>
        <v>0</v>
      </c>
      <c r="R161" s="31">
        <f>IF(OR(J161="",Q161=""),"",J161-Q161)</f>
        <v>0</v>
      </c>
      <c r="S161" s="50">
        <f>IF(B161="","",IF(H161="Done","Yes","No"))</f>
        <v>0</v>
      </c>
      <c r="T161" s="39">
        <f>IF(B161="","",IF(G161="","Add - what was the task?",IF(H161="Issue found",IF(M161="Yes","OK - issue reported","Action - tell the client"),IF(H161="Needs rework","Action - rework needed",IF(AND(H161="Skipped",P161="Yes"),"Check - required task skipped",IF(H161="Done","OK","Due"))))))</f>
        <v>0</v>
      </c>
    </row>
    <row r="162" spans="1:20">
      <c r="A162" s="43">
        <f>IF(B162="","","JT-"&amp;TEXT(ROW()-4,"0000"))</f>
        <v>0</v>
      </c>
      <c r="C162" s="18">
        <f>IF(B162="","",IFERROR(INDEX(Jobs!$B$5:$B$604,MATCH(B162,Jobs!$A$5:$A$604,0)),""))</f>
        <v>0</v>
      </c>
      <c r="D162" s="23">
        <f>IF(B162="","",IFERROR(INDEX(Jobs!$H$5:$H$604,MATCH(B162,Jobs!$A$5:$A$604,0)),""))</f>
        <v>0</v>
      </c>
      <c r="E162" s="23">
        <f>IF(B162="","",IFERROR(INDEX(Jobs!$K$5:$K$604,MATCH(B162,Jobs!$A$5:$A$604,0)),""))</f>
        <v>0</v>
      </c>
      <c r="P162" s="50">
        <f>IF(G162="","",IFERROR(INDEX(Checklists!$J$5:$J$404,MATCH(G162,Checklists!$F$5:$F$404,0)),"Yes"))</f>
        <v>0</v>
      </c>
      <c r="Q162" s="31">
        <f>IF(G162="","",IFERROR(INDEX(Checklists!$H$5:$H$404,MATCH(G162,Checklists!$F$5:$F$404,0)),""))</f>
        <v>0</v>
      </c>
      <c r="R162" s="31">
        <f>IF(OR(J162="",Q162=""),"",J162-Q162)</f>
        <v>0</v>
      </c>
      <c r="S162" s="50">
        <f>IF(B162="","",IF(H162="Done","Yes","No"))</f>
        <v>0</v>
      </c>
      <c r="T162" s="39">
        <f>IF(B162="","",IF(G162="","Add - what was the task?",IF(H162="Issue found",IF(M162="Yes","OK - issue reported","Action - tell the client"),IF(H162="Needs rework","Action - rework needed",IF(AND(H162="Skipped",P162="Yes"),"Check - required task skipped",IF(H162="Done","OK","Due"))))))</f>
        <v>0</v>
      </c>
    </row>
    <row r="163" spans="1:20">
      <c r="A163" s="43">
        <f>IF(B163="","","JT-"&amp;TEXT(ROW()-4,"0000"))</f>
        <v>0</v>
      </c>
      <c r="C163" s="18">
        <f>IF(B163="","",IFERROR(INDEX(Jobs!$B$5:$B$604,MATCH(B163,Jobs!$A$5:$A$604,0)),""))</f>
        <v>0</v>
      </c>
      <c r="D163" s="23">
        <f>IF(B163="","",IFERROR(INDEX(Jobs!$H$5:$H$604,MATCH(B163,Jobs!$A$5:$A$604,0)),""))</f>
        <v>0</v>
      </c>
      <c r="E163" s="23">
        <f>IF(B163="","",IFERROR(INDEX(Jobs!$K$5:$K$604,MATCH(B163,Jobs!$A$5:$A$604,0)),""))</f>
        <v>0</v>
      </c>
      <c r="P163" s="50">
        <f>IF(G163="","",IFERROR(INDEX(Checklists!$J$5:$J$404,MATCH(G163,Checklists!$F$5:$F$404,0)),"Yes"))</f>
        <v>0</v>
      </c>
      <c r="Q163" s="31">
        <f>IF(G163="","",IFERROR(INDEX(Checklists!$H$5:$H$404,MATCH(G163,Checklists!$F$5:$F$404,0)),""))</f>
        <v>0</v>
      </c>
      <c r="R163" s="31">
        <f>IF(OR(J163="",Q163=""),"",J163-Q163)</f>
        <v>0</v>
      </c>
      <c r="S163" s="50">
        <f>IF(B163="","",IF(H163="Done","Yes","No"))</f>
        <v>0</v>
      </c>
      <c r="T163" s="39">
        <f>IF(B163="","",IF(G163="","Add - what was the task?",IF(H163="Issue found",IF(M163="Yes","OK - issue reported","Action - tell the client"),IF(H163="Needs rework","Action - rework needed",IF(AND(H163="Skipped",P163="Yes"),"Check - required task skipped",IF(H163="Done","OK","Due"))))))</f>
        <v>0</v>
      </c>
    </row>
    <row r="164" spans="1:20">
      <c r="A164" s="43">
        <f>IF(B164="","","JT-"&amp;TEXT(ROW()-4,"0000"))</f>
        <v>0</v>
      </c>
      <c r="C164" s="18">
        <f>IF(B164="","",IFERROR(INDEX(Jobs!$B$5:$B$604,MATCH(B164,Jobs!$A$5:$A$604,0)),""))</f>
        <v>0</v>
      </c>
      <c r="D164" s="23">
        <f>IF(B164="","",IFERROR(INDEX(Jobs!$H$5:$H$604,MATCH(B164,Jobs!$A$5:$A$604,0)),""))</f>
        <v>0</v>
      </c>
      <c r="E164" s="23">
        <f>IF(B164="","",IFERROR(INDEX(Jobs!$K$5:$K$604,MATCH(B164,Jobs!$A$5:$A$604,0)),""))</f>
        <v>0</v>
      </c>
      <c r="P164" s="50">
        <f>IF(G164="","",IFERROR(INDEX(Checklists!$J$5:$J$404,MATCH(G164,Checklists!$F$5:$F$404,0)),"Yes"))</f>
        <v>0</v>
      </c>
      <c r="Q164" s="31">
        <f>IF(G164="","",IFERROR(INDEX(Checklists!$H$5:$H$404,MATCH(G164,Checklists!$F$5:$F$404,0)),""))</f>
        <v>0</v>
      </c>
      <c r="R164" s="31">
        <f>IF(OR(J164="",Q164=""),"",J164-Q164)</f>
        <v>0</v>
      </c>
      <c r="S164" s="50">
        <f>IF(B164="","",IF(H164="Done","Yes","No"))</f>
        <v>0</v>
      </c>
      <c r="T164" s="39">
        <f>IF(B164="","",IF(G164="","Add - what was the task?",IF(H164="Issue found",IF(M164="Yes","OK - issue reported","Action - tell the client"),IF(H164="Needs rework","Action - rework needed",IF(AND(H164="Skipped",P164="Yes"),"Check - required task skipped",IF(H164="Done","OK","Due"))))))</f>
        <v>0</v>
      </c>
    </row>
    <row r="165" spans="1:20">
      <c r="A165" s="43">
        <f>IF(B165="","","JT-"&amp;TEXT(ROW()-4,"0000"))</f>
        <v>0</v>
      </c>
      <c r="C165" s="18">
        <f>IF(B165="","",IFERROR(INDEX(Jobs!$B$5:$B$604,MATCH(B165,Jobs!$A$5:$A$604,0)),""))</f>
        <v>0</v>
      </c>
      <c r="D165" s="23">
        <f>IF(B165="","",IFERROR(INDEX(Jobs!$H$5:$H$604,MATCH(B165,Jobs!$A$5:$A$604,0)),""))</f>
        <v>0</v>
      </c>
      <c r="E165" s="23">
        <f>IF(B165="","",IFERROR(INDEX(Jobs!$K$5:$K$604,MATCH(B165,Jobs!$A$5:$A$604,0)),""))</f>
        <v>0</v>
      </c>
      <c r="P165" s="50">
        <f>IF(G165="","",IFERROR(INDEX(Checklists!$J$5:$J$404,MATCH(G165,Checklists!$F$5:$F$404,0)),"Yes"))</f>
        <v>0</v>
      </c>
      <c r="Q165" s="31">
        <f>IF(G165="","",IFERROR(INDEX(Checklists!$H$5:$H$404,MATCH(G165,Checklists!$F$5:$F$404,0)),""))</f>
        <v>0</v>
      </c>
      <c r="R165" s="31">
        <f>IF(OR(J165="",Q165=""),"",J165-Q165)</f>
        <v>0</v>
      </c>
      <c r="S165" s="50">
        <f>IF(B165="","",IF(H165="Done","Yes","No"))</f>
        <v>0</v>
      </c>
      <c r="T165" s="39">
        <f>IF(B165="","",IF(G165="","Add - what was the task?",IF(H165="Issue found",IF(M165="Yes","OK - issue reported","Action - tell the client"),IF(H165="Needs rework","Action - rework needed",IF(AND(H165="Skipped",P165="Yes"),"Check - required task skipped",IF(H165="Done","OK","Due"))))))</f>
        <v>0</v>
      </c>
    </row>
    <row r="166" spans="1:20">
      <c r="A166" s="43">
        <f>IF(B166="","","JT-"&amp;TEXT(ROW()-4,"0000"))</f>
        <v>0</v>
      </c>
      <c r="C166" s="18">
        <f>IF(B166="","",IFERROR(INDEX(Jobs!$B$5:$B$604,MATCH(B166,Jobs!$A$5:$A$604,0)),""))</f>
        <v>0</v>
      </c>
      <c r="D166" s="23">
        <f>IF(B166="","",IFERROR(INDEX(Jobs!$H$5:$H$604,MATCH(B166,Jobs!$A$5:$A$604,0)),""))</f>
        <v>0</v>
      </c>
      <c r="E166" s="23">
        <f>IF(B166="","",IFERROR(INDEX(Jobs!$K$5:$K$604,MATCH(B166,Jobs!$A$5:$A$604,0)),""))</f>
        <v>0</v>
      </c>
      <c r="P166" s="50">
        <f>IF(G166="","",IFERROR(INDEX(Checklists!$J$5:$J$404,MATCH(G166,Checklists!$F$5:$F$404,0)),"Yes"))</f>
        <v>0</v>
      </c>
      <c r="Q166" s="31">
        <f>IF(G166="","",IFERROR(INDEX(Checklists!$H$5:$H$404,MATCH(G166,Checklists!$F$5:$F$404,0)),""))</f>
        <v>0</v>
      </c>
      <c r="R166" s="31">
        <f>IF(OR(J166="",Q166=""),"",J166-Q166)</f>
        <v>0</v>
      </c>
      <c r="S166" s="50">
        <f>IF(B166="","",IF(H166="Done","Yes","No"))</f>
        <v>0</v>
      </c>
      <c r="T166" s="39">
        <f>IF(B166="","",IF(G166="","Add - what was the task?",IF(H166="Issue found",IF(M166="Yes","OK - issue reported","Action - tell the client"),IF(H166="Needs rework","Action - rework needed",IF(AND(H166="Skipped",P166="Yes"),"Check - required task skipped",IF(H166="Done","OK","Due"))))))</f>
        <v>0</v>
      </c>
    </row>
    <row r="167" spans="1:20">
      <c r="A167" s="43">
        <f>IF(B167="","","JT-"&amp;TEXT(ROW()-4,"0000"))</f>
        <v>0</v>
      </c>
      <c r="C167" s="18">
        <f>IF(B167="","",IFERROR(INDEX(Jobs!$B$5:$B$604,MATCH(B167,Jobs!$A$5:$A$604,0)),""))</f>
        <v>0</v>
      </c>
      <c r="D167" s="23">
        <f>IF(B167="","",IFERROR(INDEX(Jobs!$H$5:$H$604,MATCH(B167,Jobs!$A$5:$A$604,0)),""))</f>
        <v>0</v>
      </c>
      <c r="E167" s="23">
        <f>IF(B167="","",IFERROR(INDEX(Jobs!$K$5:$K$604,MATCH(B167,Jobs!$A$5:$A$604,0)),""))</f>
        <v>0</v>
      </c>
      <c r="P167" s="50">
        <f>IF(G167="","",IFERROR(INDEX(Checklists!$J$5:$J$404,MATCH(G167,Checklists!$F$5:$F$404,0)),"Yes"))</f>
        <v>0</v>
      </c>
      <c r="Q167" s="31">
        <f>IF(G167="","",IFERROR(INDEX(Checklists!$H$5:$H$404,MATCH(G167,Checklists!$F$5:$F$404,0)),""))</f>
        <v>0</v>
      </c>
      <c r="R167" s="31">
        <f>IF(OR(J167="",Q167=""),"",J167-Q167)</f>
        <v>0</v>
      </c>
      <c r="S167" s="50">
        <f>IF(B167="","",IF(H167="Done","Yes","No"))</f>
        <v>0</v>
      </c>
      <c r="T167" s="39">
        <f>IF(B167="","",IF(G167="","Add - what was the task?",IF(H167="Issue found",IF(M167="Yes","OK - issue reported","Action - tell the client"),IF(H167="Needs rework","Action - rework needed",IF(AND(H167="Skipped",P167="Yes"),"Check - required task skipped",IF(H167="Done","OK","Due"))))))</f>
        <v>0</v>
      </c>
    </row>
    <row r="168" spans="1:20">
      <c r="A168" s="43">
        <f>IF(B168="","","JT-"&amp;TEXT(ROW()-4,"0000"))</f>
        <v>0</v>
      </c>
      <c r="C168" s="18">
        <f>IF(B168="","",IFERROR(INDEX(Jobs!$B$5:$B$604,MATCH(B168,Jobs!$A$5:$A$604,0)),""))</f>
        <v>0</v>
      </c>
      <c r="D168" s="23">
        <f>IF(B168="","",IFERROR(INDEX(Jobs!$H$5:$H$604,MATCH(B168,Jobs!$A$5:$A$604,0)),""))</f>
        <v>0</v>
      </c>
      <c r="E168" s="23">
        <f>IF(B168="","",IFERROR(INDEX(Jobs!$K$5:$K$604,MATCH(B168,Jobs!$A$5:$A$604,0)),""))</f>
        <v>0</v>
      </c>
      <c r="P168" s="50">
        <f>IF(G168="","",IFERROR(INDEX(Checklists!$J$5:$J$404,MATCH(G168,Checklists!$F$5:$F$404,0)),"Yes"))</f>
        <v>0</v>
      </c>
      <c r="Q168" s="31">
        <f>IF(G168="","",IFERROR(INDEX(Checklists!$H$5:$H$404,MATCH(G168,Checklists!$F$5:$F$404,0)),""))</f>
        <v>0</v>
      </c>
      <c r="R168" s="31">
        <f>IF(OR(J168="",Q168=""),"",J168-Q168)</f>
        <v>0</v>
      </c>
      <c r="S168" s="50">
        <f>IF(B168="","",IF(H168="Done","Yes","No"))</f>
        <v>0</v>
      </c>
      <c r="T168" s="39">
        <f>IF(B168="","",IF(G168="","Add - what was the task?",IF(H168="Issue found",IF(M168="Yes","OK - issue reported","Action - tell the client"),IF(H168="Needs rework","Action - rework needed",IF(AND(H168="Skipped",P168="Yes"),"Check - required task skipped",IF(H168="Done","OK","Due"))))))</f>
        <v>0</v>
      </c>
    </row>
    <row r="169" spans="1:20">
      <c r="A169" s="43">
        <f>IF(B169="","","JT-"&amp;TEXT(ROW()-4,"0000"))</f>
        <v>0</v>
      </c>
      <c r="C169" s="18">
        <f>IF(B169="","",IFERROR(INDEX(Jobs!$B$5:$B$604,MATCH(B169,Jobs!$A$5:$A$604,0)),""))</f>
        <v>0</v>
      </c>
      <c r="D169" s="23">
        <f>IF(B169="","",IFERROR(INDEX(Jobs!$H$5:$H$604,MATCH(B169,Jobs!$A$5:$A$604,0)),""))</f>
        <v>0</v>
      </c>
      <c r="E169" s="23">
        <f>IF(B169="","",IFERROR(INDEX(Jobs!$K$5:$K$604,MATCH(B169,Jobs!$A$5:$A$604,0)),""))</f>
        <v>0</v>
      </c>
      <c r="P169" s="50">
        <f>IF(G169="","",IFERROR(INDEX(Checklists!$J$5:$J$404,MATCH(G169,Checklists!$F$5:$F$404,0)),"Yes"))</f>
        <v>0</v>
      </c>
      <c r="Q169" s="31">
        <f>IF(G169="","",IFERROR(INDEX(Checklists!$H$5:$H$404,MATCH(G169,Checklists!$F$5:$F$404,0)),""))</f>
        <v>0</v>
      </c>
      <c r="R169" s="31">
        <f>IF(OR(J169="",Q169=""),"",J169-Q169)</f>
        <v>0</v>
      </c>
      <c r="S169" s="50">
        <f>IF(B169="","",IF(H169="Done","Yes","No"))</f>
        <v>0</v>
      </c>
      <c r="T169" s="39">
        <f>IF(B169="","",IF(G169="","Add - what was the task?",IF(H169="Issue found",IF(M169="Yes","OK - issue reported","Action - tell the client"),IF(H169="Needs rework","Action - rework needed",IF(AND(H169="Skipped",P169="Yes"),"Check - required task skipped",IF(H169="Done","OK","Due"))))))</f>
        <v>0</v>
      </c>
    </row>
    <row r="170" spans="1:20">
      <c r="A170" s="43">
        <f>IF(B170="","","JT-"&amp;TEXT(ROW()-4,"0000"))</f>
        <v>0</v>
      </c>
      <c r="C170" s="18">
        <f>IF(B170="","",IFERROR(INDEX(Jobs!$B$5:$B$604,MATCH(B170,Jobs!$A$5:$A$604,0)),""))</f>
        <v>0</v>
      </c>
      <c r="D170" s="23">
        <f>IF(B170="","",IFERROR(INDEX(Jobs!$H$5:$H$604,MATCH(B170,Jobs!$A$5:$A$604,0)),""))</f>
        <v>0</v>
      </c>
      <c r="E170" s="23">
        <f>IF(B170="","",IFERROR(INDEX(Jobs!$K$5:$K$604,MATCH(B170,Jobs!$A$5:$A$604,0)),""))</f>
        <v>0</v>
      </c>
      <c r="P170" s="50">
        <f>IF(G170="","",IFERROR(INDEX(Checklists!$J$5:$J$404,MATCH(G170,Checklists!$F$5:$F$404,0)),"Yes"))</f>
        <v>0</v>
      </c>
      <c r="Q170" s="31">
        <f>IF(G170="","",IFERROR(INDEX(Checklists!$H$5:$H$404,MATCH(G170,Checklists!$F$5:$F$404,0)),""))</f>
        <v>0</v>
      </c>
      <c r="R170" s="31">
        <f>IF(OR(J170="",Q170=""),"",J170-Q170)</f>
        <v>0</v>
      </c>
      <c r="S170" s="50">
        <f>IF(B170="","",IF(H170="Done","Yes","No"))</f>
        <v>0</v>
      </c>
      <c r="T170" s="39">
        <f>IF(B170="","",IF(G170="","Add - what was the task?",IF(H170="Issue found",IF(M170="Yes","OK - issue reported","Action - tell the client"),IF(H170="Needs rework","Action - rework needed",IF(AND(H170="Skipped",P170="Yes"),"Check - required task skipped",IF(H170="Done","OK","Due"))))))</f>
        <v>0</v>
      </c>
    </row>
    <row r="171" spans="1:20">
      <c r="A171" s="43">
        <f>IF(B171="","","JT-"&amp;TEXT(ROW()-4,"0000"))</f>
        <v>0</v>
      </c>
      <c r="C171" s="18">
        <f>IF(B171="","",IFERROR(INDEX(Jobs!$B$5:$B$604,MATCH(B171,Jobs!$A$5:$A$604,0)),""))</f>
        <v>0</v>
      </c>
      <c r="D171" s="23">
        <f>IF(B171="","",IFERROR(INDEX(Jobs!$H$5:$H$604,MATCH(B171,Jobs!$A$5:$A$604,0)),""))</f>
        <v>0</v>
      </c>
      <c r="E171" s="23">
        <f>IF(B171="","",IFERROR(INDEX(Jobs!$K$5:$K$604,MATCH(B171,Jobs!$A$5:$A$604,0)),""))</f>
        <v>0</v>
      </c>
      <c r="P171" s="50">
        <f>IF(G171="","",IFERROR(INDEX(Checklists!$J$5:$J$404,MATCH(G171,Checklists!$F$5:$F$404,0)),"Yes"))</f>
        <v>0</v>
      </c>
      <c r="Q171" s="31">
        <f>IF(G171="","",IFERROR(INDEX(Checklists!$H$5:$H$404,MATCH(G171,Checklists!$F$5:$F$404,0)),""))</f>
        <v>0</v>
      </c>
      <c r="R171" s="31">
        <f>IF(OR(J171="",Q171=""),"",J171-Q171)</f>
        <v>0</v>
      </c>
      <c r="S171" s="50">
        <f>IF(B171="","",IF(H171="Done","Yes","No"))</f>
        <v>0</v>
      </c>
      <c r="T171" s="39">
        <f>IF(B171="","",IF(G171="","Add - what was the task?",IF(H171="Issue found",IF(M171="Yes","OK - issue reported","Action - tell the client"),IF(H171="Needs rework","Action - rework needed",IF(AND(H171="Skipped",P171="Yes"),"Check - required task skipped",IF(H171="Done","OK","Due"))))))</f>
        <v>0</v>
      </c>
    </row>
    <row r="172" spans="1:20">
      <c r="A172" s="43">
        <f>IF(B172="","","JT-"&amp;TEXT(ROW()-4,"0000"))</f>
        <v>0</v>
      </c>
      <c r="C172" s="18">
        <f>IF(B172="","",IFERROR(INDEX(Jobs!$B$5:$B$604,MATCH(B172,Jobs!$A$5:$A$604,0)),""))</f>
        <v>0</v>
      </c>
      <c r="D172" s="23">
        <f>IF(B172="","",IFERROR(INDEX(Jobs!$H$5:$H$604,MATCH(B172,Jobs!$A$5:$A$604,0)),""))</f>
        <v>0</v>
      </c>
      <c r="E172" s="23">
        <f>IF(B172="","",IFERROR(INDEX(Jobs!$K$5:$K$604,MATCH(B172,Jobs!$A$5:$A$604,0)),""))</f>
        <v>0</v>
      </c>
      <c r="P172" s="50">
        <f>IF(G172="","",IFERROR(INDEX(Checklists!$J$5:$J$404,MATCH(G172,Checklists!$F$5:$F$404,0)),"Yes"))</f>
        <v>0</v>
      </c>
      <c r="Q172" s="31">
        <f>IF(G172="","",IFERROR(INDEX(Checklists!$H$5:$H$404,MATCH(G172,Checklists!$F$5:$F$404,0)),""))</f>
        <v>0</v>
      </c>
      <c r="R172" s="31">
        <f>IF(OR(J172="",Q172=""),"",J172-Q172)</f>
        <v>0</v>
      </c>
      <c r="S172" s="50">
        <f>IF(B172="","",IF(H172="Done","Yes","No"))</f>
        <v>0</v>
      </c>
      <c r="T172" s="39">
        <f>IF(B172="","",IF(G172="","Add - what was the task?",IF(H172="Issue found",IF(M172="Yes","OK - issue reported","Action - tell the client"),IF(H172="Needs rework","Action - rework needed",IF(AND(H172="Skipped",P172="Yes"),"Check - required task skipped",IF(H172="Done","OK","Due"))))))</f>
        <v>0</v>
      </c>
    </row>
    <row r="173" spans="1:20">
      <c r="A173" s="43">
        <f>IF(B173="","","JT-"&amp;TEXT(ROW()-4,"0000"))</f>
        <v>0</v>
      </c>
      <c r="C173" s="18">
        <f>IF(B173="","",IFERROR(INDEX(Jobs!$B$5:$B$604,MATCH(B173,Jobs!$A$5:$A$604,0)),""))</f>
        <v>0</v>
      </c>
      <c r="D173" s="23">
        <f>IF(B173="","",IFERROR(INDEX(Jobs!$H$5:$H$604,MATCH(B173,Jobs!$A$5:$A$604,0)),""))</f>
        <v>0</v>
      </c>
      <c r="E173" s="23">
        <f>IF(B173="","",IFERROR(INDEX(Jobs!$K$5:$K$604,MATCH(B173,Jobs!$A$5:$A$604,0)),""))</f>
        <v>0</v>
      </c>
      <c r="P173" s="50">
        <f>IF(G173="","",IFERROR(INDEX(Checklists!$J$5:$J$404,MATCH(G173,Checklists!$F$5:$F$404,0)),"Yes"))</f>
        <v>0</v>
      </c>
      <c r="Q173" s="31">
        <f>IF(G173="","",IFERROR(INDEX(Checklists!$H$5:$H$404,MATCH(G173,Checklists!$F$5:$F$404,0)),""))</f>
        <v>0</v>
      </c>
      <c r="R173" s="31">
        <f>IF(OR(J173="",Q173=""),"",J173-Q173)</f>
        <v>0</v>
      </c>
      <c r="S173" s="50">
        <f>IF(B173="","",IF(H173="Done","Yes","No"))</f>
        <v>0</v>
      </c>
      <c r="T173" s="39">
        <f>IF(B173="","",IF(G173="","Add - what was the task?",IF(H173="Issue found",IF(M173="Yes","OK - issue reported","Action - tell the client"),IF(H173="Needs rework","Action - rework needed",IF(AND(H173="Skipped",P173="Yes"),"Check - required task skipped",IF(H173="Done","OK","Due"))))))</f>
        <v>0</v>
      </c>
    </row>
    <row r="174" spans="1:20">
      <c r="A174" s="43">
        <f>IF(B174="","","JT-"&amp;TEXT(ROW()-4,"0000"))</f>
        <v>0</v>
      </c>
      <c r="C174" s="18">
        <f>IF(B174="","",IFERROR(INDEX(Jobs!$B$5:$B$604,MATCH(B174,Jobs!$A$5:$A$604,0)),""))</f>
        <v>0</v>
      </c>
      <c r="D174" s="23">
        <f>IF(B174="","",IFERROR(INDEX(Jobs!$H$5:$H$604,MATCH(B174,Jobs!$A$5:$A$604,0)),""))</f>
        <v>0</v>
      </c>
      <c r="E174" s="23">
        <f>IF(B174="","",IFERROR(INDEX(Jobs!$K$5:$K$604,MATCH(B174,Jobs!$A$5:$A$604,0)),""))</f>
        <v>0</v>
      </c>
      <c r="P174" s="50">
        <f>IF(G174="","",IFERROR(INDEX(Checklists!$J$5:$J$404,MATCH(G174,Checklists!$F$5:$F$404,0)),"Yes"))</f>
        <v>0</v>
      </c>
      <c r="Q174" s="31">
        <f>IF(G174="","",IFERROR(INDEX(Checklists!$H$5:$H$404,MATCH(G174,Checklists!$F$5:$F$404,0)),""))</f>
        <v>0</v>
      </c>
      <c r="R174" s="31">
        <f>IF(OR(J174="",Q174=""),"",J174-Q174)</f>
        <v>0</v>
      </c>
      <c r="S174" s="50">
        <f>IF(B174="","",IF(H174="Done","Yes","No"))</f>
        <v>0</v>
      </c>
      <c r="T174" s="39">
        <f>IF(B174="","",IF(G174="","Add - what was the task?",IF(H174="Issue found",IF(M174="Yes","OK - issue reported","Action - tell the client"),IF(H174="Needs rework","Action - rework needed",IF(AND(H174="Skipped",P174="Yes"),"Check - required task skipped",IF(H174="Done","OK","Due"))))))</f>
        <v>0</v>
      </c>
    </row>
    <row r="175" spans="1:20">
      <c r="A175" s="43">
        <f>IF(B175="","","JT-"&amp;TEXT(ROW()-4,"0000"))</f>
        <v>0</v>
      </c>
      <c r="C175" s="18">
        <f>IF(B175="","",IFERROR(INDEX(Jobs!$B$5:$B$604,MATCH(B175,Jobs!$A$5:$A$604,0)),""))</f>
        <v>0</v>
      </c>
      <c r="D175" s="23">
        <f>IF(B175="","",IFERROR(INDEX(Jobs!$H$5:$H$604,MATCH(B175,Jobs!$A$5:$A$604,0)),""))</f>
        <v>0</v>
      </c>
      <c r="E175" s="23">
        <f>IF(B175="","",IFERROR(INDEX(Jobs!$K$5:$K$604,MATCH(B175,Jobs!$A$5:$A$604,0)),""))</f>
        <v>0</v>
      </c>
      <c r="P175" s="50">
        <f>IF(G175="","",IFERROR(INDEX(Checklists!$J$5:$J$404,MATCH(G175,Checklists!$F$5:$F$404,0)),"Yes"))</f>
        <v>0</v>
      </c>
      <c r="Q175" s="31">
        <f>IF(G175="","",IFERROR(INDEX(Checklists!$H$5:$H$404,MATCH(G175,Checklists!$F$5:$F$404,0)),""))</f>
        <v>0</v>
      </c>
      <c r="R175" s="31">
        <f>IF(OR(J175="",Q175=""),"",J175-Q175)</f>
        <v>0</v>
      </c>
      <c r="S175" s="50">
        <f>IF(B175="","",IF(H175="Done","Yes","No"))</f>
        <v>0</v>
      </c>
      <c r="T175" s="39">
        <f>IF(B175="","",IF(G175="","Add - what was the task?",IF(H175="Issue found",IF(M175="Yes","OK - issue reported","Action - tell the client"),IF(H175="Needs rework","Action - rework needed",IF(AND(H175="Skipped",P175="Yes"),"Check - required task skipped",IF(H175="Done","OK","Due"))))))</f>
        <v>0</v>
      </c>
    </row>
    <row r="176" spans="1:20">
      <c r="A176" s="43">
        <f>IF(B176="","","JT-"&amp;TEXT(ROW()-4,"0000"))</f>
        <v>0</v>
      </c>
      <c r="C176" s="18">
        <f>IF(B176="","",IFERROR(INDEX(Jobs!$B$5:$B$604,MATCH(B176,Jobs!$A$5:$A$604,0)),""))</f>
        <v>0</v>
      </c>
      <c r="D176" s="23">
        <f>IF(B176="","",IFERROR(INDEX(Jobs!$H$5:$H$604,MATCH(B176,Jobs!$A$5:$A$604,0)),""))</f>
        <v>0</v>
      </c>
      <c r="E176" s="23">
        <f>IF(B176="","",IFERROR(INDEX(Jobs!$K$5:$K$604,MATCH(B176,Jobs!$A$5:$A$604,0)),""))</f>
        <v>0</v>
      </c>
      <c r="P176" s="50">
        <f>IF(G176="","",IFERROR(INDEX(Checklists!$J$5:$J$404,MATCH(G176,Checklists!$F$5:$F$404,0)),"Yes"))</f>
        <v>0</v>
      </c>
      <c r="Q176" s="31">
        <f>IF(G176="","",IFERROR(INDEX(Checklists!$H$5:$H$404,MATCH(G176,Checklists!$F$5:$F$404,0)),""))</f>
        <v>0</v>
      </c>
      <c r="R176" s="31">
        <f>IF(OR(J176="",Q176=""),"",J176-Q176)</f>
        <v>0</v>
      </c>
      <c r="S176" s="50">
        <f>IF(B176="","",IF(H176="Done","Yes","No"))</f>
        <v>0</v>
      </c>
      <c r="T176" s="39">
        <f>IF(B176="","",IF(G176="","Add - what was the task?",IF(H176="Issue found",IF(M176="Yes","OK - issue reported","Action - tell the client"),IF(H176="Needs rework","Action - rework needed",IF(AND(H176="Skipped",P176="Yes"),"Check - required task skipped",IF(H176="Done","OK","Due"))))))</f>
        <v>0</v>
      </c>
    </row>
    <row r="177" spans="1:20">
      <c r="A177" s="43">
        <f>IF(B177="","","JT-"&amp;TEXT(ROW()-4,"0000"))</f>
        <v>0</v>
      </c>
      <c r="C177" s="18">
        <f>IF(B177="","",IFERROR(INDEX(Jobs!$B$5:$B$604,MATCH(B177,Jobs!$A$5:$A$604,0)),""))</f>
        <v>0</v>
      </c>
      <c r="D177" s="23">
        <f>IF(B177="","",IFERROR(INDEX(Jobs!$H$5:$H$604,MATCH(B177,Jobs!$A$5:$A$604,0)),""))</f>
        <v>0</v>
      </c>
      <c r="E177" s="23">
        <f>IF(B177="","",IFERROR(INDEX(Jobs!$K$5:$K$604,MATCH(B177,Jobs!$A$5:$A$604,0)),""))</f>
        <v>0</v>
      </c>
      <c r="P177" s="50">
        <f>IF(G177="","",IFERROR(INDEX(Checklists!$J$5:$J$404,MATCH(G177,Checklists!$F$5:$F$404,0)),"Yes"))</f>
        <v>0</v>
      </c>
      <c r="Q177" s="31">
        <f>IF(G177="","",IFERROR(INDEX(Checklists!$H$5:$H$404,MATCH(G177,Checklists!$F$5:$F$404,0)),""))</f>
        <v>0</v>
      </c>
      <c r="R177" s="31">
        <f>IF(OR(J177="",Q177=""),"",J177-Q177)</f>
        <v>0</v>
      </c>
      <c r="S177" s="50">
        <f>IF(B177="","",IF(H177="Done","Yes","No"))</f>
        <v>0</v>
      </c>
      <c r="T177" s="39">
        <f>IF(B177="","",IF(G177="","Add - what was the task?",IF(H177="Issue found",IF(M177="Yes","OK - issue reported","Action - tell the client"),IF(H177="Needs rework","Action - rework needed",IF(AND(H177="Skipped",P177="Yes"),"Check - required task skipped",IF(H177="Done","OK","Due"))))))</f>
        <v>0</v>
      </c>
    </row>
    <row r="178" spans="1:20">
      <c r="A178" s="43">
        <f>IF(B178="","","JT-"&amp;TEXT(ROW()-4,"0000"))</f>
        <v>0</v>
      </c>
      <c r="C178" s="18">
        <f>IF(B178="","",IFERROR(INDEX(Jobs!$B$5:$B$604,MATCH(B178,Jobs!$A$5:$A$604,0)),""))</f>
        <v>0</v>
      </c>
      <c r="D178" s="23">
        <f>IF(B178="","",IFERROR(INDEX(Jobs!$H$5:$H$604,MATCH(B178,Jobs!$A$5:$A$604,0)),""))</f>
        <v>0</v>
      </c>
      <c r="E178" s="23">
        <f>IF(B178="","",IFERROR(INDEX(Jobs!$K$5:$K$604,MATCH(B178,Jobs!$A$5:$A$604,0)),""))</f>
        <v>0</v>
      </c>
      <c r="P178" s="50">
        <f>IF(G178="","",IFERROR(INDEX(Checklists!$J$5:$J$404,MATCH(G178,Checklists!$F$5:$F$404,0)),"Yes"))</f>
        <v>0</v>
      </c>
      <c r="Q178" s="31">
        <f>IF(G178="","",IFERROR(INDEX(Checklists!$H$5:$H$404,MATCH(G178,Checklists!$F$5:$F$404,0)),""))</f>
        <v>0</v>
      </c>
      <c r="R178" s="31">
        <f>IF(OR(J178="",Q178=""),"",J178-Q178)</f>
        <v>0</v>
      </c>
      <c r="S178" s="50">
        <f>IF(B178="","",IF(H178="Done","Yes","No"))</f>
        <v>0</v>
      </c>
      <c r="T178" s="39">
        <f>IF(B178="","",IF(G178="","Add - what was the task?",IF(H178="Issue found",IF(M178="Yes","OK - issue reported","Action - tell the client"),IF(H178="Needs rework","Action - rework needed",IF(AND(H178="Skipped",P178="Yes"),"Check - required task skipped",IF(H178="Done","OK","Due"))))))</f>
        <v>0</v>
      </c>
    </row>
    <row r="179" spans="1:20">
      <c r="A179" s="43">
        <f>IF(B179="","","JT-"&amp;TEXT(ROW()-4,"0000"))</f>
        <v>0</v>
      </c>
      <c r="C179" s="18">
        <f>IF(B179="","",IFERROR(INDEX(Jobs!$B$5:$B$604,MATCH(B179,Jobs!$A$5:$A$604,0)),""))</f>
        <v>0</v>
      </c>
      <c r="D179" s="23">
        <f>IF(B179="","",IFERROR(INDEX(Jobs!$H$5:$H$604,MATCH(B179,Jobs!$A$5:$A$604,0)),""))</f>
        <v>0</v>
      </c>
      <c r="E179" s="23">
        <f>IF(B179="","",IFERROR(INDEX(Jobs!$K$5:$K$604,MATCH(B179,Jobs!$A$5:$A$604,0)),""))</f>
        <v>0</v>
      </c>
      <c r="P179" s="50">
        <f>IF(G179="","",IFERROR(INDEX(Checklists!$J$5:$J$404,MATCH(G179,Checklists!$F$5:$F$404,0)),"Yes"))</f>
        <v>0</v>
      </c>
      <c r="Q179" s="31">
        <f>IF(G179="","",IFERROR(INDEX(Checklists!$H$5:$H$404,MATCH(G179,Checklists!$F$5:$F$404,0)),""))</f>
        <v>0</v>
      </c>
      <c r="R179" s="31">
        <f>IF(OR(J179="",Q179=""),"",J179-Q179)</f>
        <v>0</v>
      </c>
      <c r="S179" s="50">
        <f>IF(B179="","",IF(H179="Done","Yes","No"))</f>
        <v>0</v>
      </c>
      <c r="T179" s="39">
        <f>IF(B179="","",IF(G179="","Add - what was the task?",IF(H179="Issue found",IF(M179="Yes","OK - issue reported","Action - tell the client"),IF(H179="Needs rework","Action - rework needed",IF(AND(H179="Skipped",P179="Yes"),"Check - required task skipped",IF(H179="Done","OK","Due"))))))</f>
        <v>0</v>
      </c>
    </row>
    <row r="180" spans="1:20">
      <c r="A180" s="43">
        <f>IF(B180="","","JT-"&amp;TEXT(ROW()-4,"0000"))</f>
        <v>0</v>
      </c>
      <c r="C180" s="18">
        <f>IF(B180="","",IFERROR(INDEX(Jobs!$B$5:$B$604,MATCH(B180,Jobs!$A$5:$A$604,0)),""))</f>
        <v>0</v>
      </c>
      <c r="D180" s="23">
        <f>IF(B180="","",IFERROR(INDEX(Jobs!$H$5:$H$604,MATCH(B180,Jobs!$A$5:$A$604,0)),""))</f>
        <v>0</v>
      </c>
      <c r="E180" s="23">
        <f>IF(B180="","",IFERROR(INDEX(Jobs!$K$5:$K$604,MATCH(B180,Jobs!$A$5:$A$604,0)),""))</f>
        <v>0</v>
      </c>
      <c r="P180" s="50">
        <f>IF(G180="","",IFERROR(INDEX(Checklists!$J$5:$J$404,MATCH(G180,Checklists!$F$5:$F$404,0)),"Yes"))</f>
        <v>0</v>
      </c>
      <c r="Q180" s="31">
        <f>IF(G180="","",IFERROR(INDEX(Checklists!$H$5:$H$404,MATCH(G180,Checklists!$F$5:$F$404,0)),""))</f>
        <v>0</v>
      </c>
      <c r="R180" s="31">
        <f>IF(OR(J180="",Q180=""),"",J180-Q180)</f>
        <v>0</v>
      </c>
      <c r="S180" s="50">
        <f>IF(B180="","",IF(H180="Done","Yes","No"))</f>
        <v>0</v>
      </c>
      <c r="T180" s="39">
        <f>IF(B180="","",IF(G180="","Add - what was the task?",IF(H180="Issue found",IF(M180="Yes","OK - issue reported","Action - tell the client"),IF(H180="Needs rework","Action - rework needed",IF(AND(H180="Skipped",P180="Yes"),"Check - required task skipped",IF(H180="Done","OK","Due"))))))</f>
        <v>0</v>
      </c>
    </row>
    <row r="181" spans="1:20">
      <c r="A181" s="43">
        <f>IF(B181="","","JT-"&amp;TEXT(ROW()-4,"0000"))</f>
        <v>0</v>
      </c>
      <c r="C181" s="18">
        <f>IF(B181="","",IFERROR(INDEX(Jobs!$B$5:$B$604,MATCH(B181,Jobs!$A$5:$A$604,0)),""))</f>
        <v>0</v>
      </c>
      <c r="D181" s="23">
        <f>IF(B181="","",IFERROR(INDEX(Jobs!$H$5:$H$604,MATCH(B181,Jobs!$A$5:$A$604,0)),""))</f>
        <v>0</v>
      </c>
      <c r="E181" s="23">
        <f>IF(B181="","",IFERROR(INDEX(Jobs!$K$5:$K$604,MATCH(B181,Jobs!$A$5:$A$604,0)),""))</f>
        <v>0</v>
      </c>
      <c r="P181" s="50">
        <f>IF(G181="","",IFERROR(INDEX(Checklists!$J$5:$J$404,MATCH(G181,Checklists!$F$5:$F$404,0)),"Yes"))</f>
        <v>0</v>
      </c>
      <c r="Q181" s="31">
        <f>IF(G181="","",IFERROR(INDEX(Checklists!$H$5:$H$404,MATCH(G181,Checklists!$F$5:$F$404,0)),""))</f>
        <v>0</v>
      </c>
      <c r="R181" s="31">
        <f>IF(OR(J181="",Q181=""),"",J181-Q181)</f>
        <v>0</v>
      </c>
      <c r="S181" s="50">
        <f>IF(B181="","",IF(H181="Done","Yes","No"))</f>
        <v>0</v>
      </c>
      <c r="T181" s="39">
        <f>IF(B181="","",IF(G181="","Add - what was the task?",IF(H181="Issue found",IF(M181="Yes","OK - issue reported","Action - tell the client"),IF(H181="Needs rework","Action - rework needed",IF(AND(H181="Skipped",P181="Yes"),"Check - required task skipped",IF(H181="Done","OK","Due"))))))</f>
        <v>0</v>
      </c>
    </row>
    <row r="182" spans="1:20">
      <c r="A182" s="43">
        <f>IF(B182="","","JT-"&amp;TEXT(ROW()-4,"0000"))</f>
        <v>0</v>
      </c>
      <c r="C182" s="18">
        <f>IF(B182="","",IFERROR(INDEX(Jobs!$B$5:$B$604,MATCH(B182,Jobs!$A$5:$A$604,0)),""))</f>
        <v>0</v>
      </c>
      <c r="D182" s="23">
        <f>IF(B182="","",IFERROR(INDEX(Jobs!$H$5:$H$604,MATCH(B182,Jobs!$A$5:$A$604,0)),""))</f>
        <v>0</v>
      </c>
      <c r="E182" s="23">
        <f>IF(B182="","",IFERROR(INDEX(Jobs!$K$5:$K$604,MATCH(B182,Jobs!$A$5:$A$604,0)),""))</f>
        <v>0</v>
      </c>
      <c r="P182" s="50">
        <f>IF(G182="","",IFERROR(INDEX(Checklists!$J$5:$J$404,MATCH(G182,Checklists!$F$5:$F$404,0)),"Yes"))</f>
        <v>0</v>
      </c>
      <c r="Q182" s="31">
        <f>IF(G182="","",IFERROR(INDEX(Checklists!$H$5:$H$404,MATCH(G182,Checklists!$F$5:$F$404,0)),""))</f>
        <v>0</v>
      </c>
      <c r="R182" s="31">
        <f>IF(OR(J182="",Q182=""),"",J182-Q182)</f>
        <v>0</v>
      </c>
      <c r="S182" s="50">
        <f>IF(B182="","",IF(H182="Done","Yes","No"))</f>
        <v>0</v>
      </c>
      <c r="T182" s="39">
        <f>IF(B182="","",IF(G182="","Add - what was the task?",IF(H182="Issue found",IF(M182="Yes","OK - issue reported","Action - tell the client"),IF(H182="Needs rework","Action - rework needed",IF(AND(H182="Skipped",P182="Yes"),"Check - required task skipped",IF(H182="Done","OK","Due"))))))</f>
        <v>0</v>
      </c>
    </row>
    <row r="183" spans="1:20">
      <c r="A183" s="43">
        <f>IF(B183="","","JT-"&amp;TEXT(ROW()-4,"0000"))</f>
        <v>0</v>
      </c>
      <c r="C183" s="18">
        <f>IF(B183="","",IFERROR(INDEX(Jobs!$B$5:$B$604,MATCH(B183,Jobs!$A$5:$A$604,0)),""))</f>
        <v>0</v>
      </c>
      <c r="D183" s="23">
        <f>IF(B183="","",IFERROR(INDEX(Jobs!$H$5:$H$604,MATCH(B183,Jobs!$A$5:$A$604,0)),""))</f>
        <v>0</v>
      </c>
      <c r="E183" s="23">
        <f>IF(B183="","",IFERROR(INDEX(Jobs!$K$5:$K$604,MATCH(B183,Jobs!$A$5:$A$604,0)),""))</f>
        <v>0</v>
      </c>
      <c r="P183" s="50">
        <f>IF(G183="","",IFERROR(INDEX(Checklists!$J$5:$J$404,MATCH(G183,Checklists!$F$5:$F$404,0)),"Yes"))</f>
        <v>0</v>
      </c>
      <c r="Q183" s="31">
        <f>IF(G183="","",IFERROR(INDEX(Checklists!$H$5:$H$404,MATCH(G183,Checklists!$F$5:$F$404,0)),""))</f>
        <v>0</v>
      </c>
      <c r="R183" s="31">
        <f>IF(OR(J183="",Q183=""),"",J183-Q183)</f>
        <v>0</v>
      </c>
      <c r="S183" s="50">
        <f>IF(B183="","",IF(H183="Done","Yes","No"))</f>
        <v>0</v>
      </c>
      <c r="T183" s="39">
        <f>IF(B183="","",IF(G183="","Add - what was the task?",IF(H183="Issue found",IF(M183="Yes","OK - issue reported","Action - tell the client"),IF(H183="Needs rework","Action - rework needed",IF(AND(H183="Skipped",P183="Yes"),"Check - required task skipped",IF(H183="Done","OK","Due"))))))</f>
        <v>0</v>
      </c>
    </row>
    <row r="184" spans="1:20">
      <c r="A184" s="43">
        <f>IF(B184="","","JT-"&amp;TEXT(ROW()-4,"0000"))</f>
        <v>0</v>
      </c>
      <c r="C184" s="18">
        <f>IF(B184="","",IFERROR(INDEX(Jobs!$B$5:$B$604,MATCH(B184,Jobs!$A$5:$A$604,0)),""))</f>
        <v>0</v>
      </c>
      <c r="D184" s="23">
        <f>IF(B184="","",IFERROR(INDEX(Jobs!$H$5:$H$604,MATCH(B184,Jobs!$A$5:$A$604,0)),""))</f>
        <v>0</v>
      </c>
      <c r="E184" s="23">
        <f>IF(B184="","",IFERROR(INDEX(Jobs!$K$5:$K$604,MATCH(B184,Jobs!$A$5:$A$604,0)),""))</f>
        <v>0</v>
      </c>
      <c r="P184" s="50">
        <f>IF(G184="","",IFERROR(INDEX(Checklists!$J$5:$J$404,MATCH(G184,Checklists!$F$5:$F$404,0)),"Yes"))</f>
        <v>0</v>
      </c>
      <c r="Q184" s="31">
        <f>IF(G184="","",IFERROR(INDEX(Checklists!$H$5:$H$404,MATCH(G184,Checklists!$F$5:$F$404,0)),""))</f>
        <v>0</v>
      </c>
      <c r="R184" s="31">
        <f>IF(OR(J184="",Q184=""),"",J184-Q184)</f>
        <v>0</v>
      </c>
      <c r="S184" s="50">
        <f>IF(B184="","",IF(H184="Done","Yes","No"))</f>
        <v>0</v>
      </c>
      <c r="T184" s="39">
        <f>IF(B184="","",IF(G184="","Add - what was the task?",IF(H184="Issue found",IF(M184="Yes","OK - issue reported","Action - tell the client"),IF(H184="Needs rework","Action - rework needed",IF(AND(H184="Skipped",P184="Yes"),"Check - required task skipped",IF(H184="Done","OK","Due"))))))</f>
        <v>0</v>
      </c>
    </row>
    <row r="185" spans="1:20">
      <c r="A185" s="43">
        <f>IF(B185="","","JT-"&amp;TEXT(ROW()-4,"0000"))</f>
        <v>0</v>
      </c>
      <c r="C185" s="18">
        <f>IF(B185="","",IFERROR(INDEX(Jobs!$B$5:$B$604,MATCH(B185,Jobs!$A$5:$A$604,0)),""))</f>
        <v>0</v>
      </c>
      <c r="D185" s="23">
        <f>IF(B185="","",IFERROR(INDEX(Jobs!$H$5:$H$604,MATCH(B185,Jobs!$A$5:$A$604,0)),""))</f>
        <v>0</v>
      </c>
      <c r="E185" s="23">
        <f>IF(B185="","",IFERROR(INDEX(Jobs!$K$5:$K$604,MATCH(B185,Jobs!$A$5:$A$604,0)),""))</f>
        <v>0</v>
      </c>
      <c r="P185" s="50">
        <f>IF(G185="","",IFERROR(INDEX(Checklists!$J$5:$J$404,MATCH(G185,Checklists!$F$5:$F$404,0)),"Yes"))</f>
        <v>0</v>
      </c>
      <c r="Q185" s="31">
        <f>IF(G185="","",IFERROR(INDEX(Checklists!$H$5:$H$404,MATCH(G185,Checklists!$F$5:$F$404,0)),""))</f>
        <v>0</v>
      </c>
      <c r="R185" s="31">
        <f>IF(OR(J185="",Q185=""),"",J185-Q185)</f>
        <v>0</v>
      </c>
      <c r="S185" s="50">
        <f>IF(B185="","",IF(H185="Done","Yes","No"))</f>
        <v>0</v>
      </c>
      <c r="T185" s="39">
        <f>IF(B185="","",IF(G185="","Add - what was the task?",IF(H185="Issue found",IF(M185="Yes","OK - issue reported","Action - tell the client"),IF(H185="Needs rework","Action - rework needed",IF(AND(H185="Skipped",P185="Yes"),"Check - required task skipped",IF(H185="Done","OK","Due"))))))</f>
        <v>0</v>
      </c>
    </row>
    <row r="186" spans="1:20">
      <c r="A186" s="43">
        <f>IF(B186="","","JT-"&amp;TEXT(ROW()-4,"0000"))</f>
        <v>0</v>
      </c>
      <c r="C186" s="18">
        <f>IF(B186="","",IFERROR(INDEX(Jobs!$B$5:$B$604,MATCH(B186,Jobs!$A$5:$A$604,0)),""))</f>
        <v>0</v>
      </c>
      <c r="D186" s="23">
        <f>IF(B186="","",IFERROR(INDEX(Jobs!$H$5:$H$604,MATCH(B186,Jobs!$A$5:$A$604,0)),""))</f>
        <v>0</v>
      </c>
      <c r="E186" s="23">
        <f>IF(B186="","",IFERROR(INDEX(Jobs!$K$5:$K$604,MATCH(B186,Jobs!$A$5:$A$604,0)),""))</f>
        <v>0</v>
      </c>
      <c r="P186" s="50">
        <f>IF(G186="","",IFERROR(INDEX(Checklists!$J$5:$J$404,MATCH(G186,Checklists!$F$5:$F$404,0)),"Yes"))</f>
        <v>0</v>
      </c>
      <c r="Q186" s="31">
        <f>IF(G186="","",IFERROR(INDEX(Checklists!$H$5:$H$404,MATCH(G186,Checklists!$F$5:$F$404,0)),""))</f>
        <v>0</v>
      </c>
      <c r="R186" s="31">
        <f>IF(OR(J186="",Q186=""),"",J186-Q186)</f>
        <v>0</v>
      </c>
      <c r="S186" s="50">
        <f>IF(B186="","",IF(H186="Done","Yes","No"))</f>
        <v>0</v>
      </c>
      <c r="T186" s="39">
        <f>IF(B186="","",IF(G186="","Add - what was the task?",IF(H186="Issue found",IF(M186="Yes","OK - issue reported","Action - tell the client"),IF(H186="Needs rework","Action - rework needed",IF(AND(H186="Skipped",P186="Yes"),"Check - required task skipped",IF(H186="Done","OK","Due"))))))</f>
        <v>0</v>
      </c>
    </row>
    <row r="187" spans="1:20">
      <c r="A187" s="43">
        <f>IF(B187="","","JT-"&amp;TEXT(ROW()-4,"0000"))</f>
        <v>0</v>
      </c>
      <c r="C187" s="18">
        <f>IF(B187="","",IFERROR(INDEX(Jobs!$B$5:$B$604,MATCH(B187,Jobs!$A$5:$A$604,0)),""))</f>
        <v>0</v>
      </c>
      <c r="D187" s="23">
        <f>IF(B187="","",IFERROR(INDEX(Jobs!$H$5:$H$604,MATCH(B187,Jobs!$A$5:$A$604,0)),""))</f>
        <v>0</v>
      </c>
      <c r="E187" s="23">
        <f>IF(B187="","",IFERROR(INDEX(Jobs!$K$5:$K$604,MATCH(B187,Jobs!$A$5:$A$604,0)),""))</f>
        <v>0</v>
      </c>
      <c r="P187" s="50">
        <f>IF(G187="","",IFERROR(INDEX(Checklists!$J$5:$J$404,MATCH(G187,Checklists!$F$5:$F$404,0)),"Yes"))</f>
        <v>0</v>
      </c>
      <c r="Q187" s="31">
        <f>IF(G187="","",IFERROR(INDEX(Checklists!$H$5:$H$404,MATCH(G187,Checklists!$F$5:$F$404,0)),""))</f>
        <v>0</v>
      </c>
      <c r="R187" s="31">
        <f>IF(OR(J187="",Q187=""),"",J187-Q187)</f>
        <v>0</v>
      </c>
      <c r="S187" s="50">
        <f>IF(B187="","",IF(H187="Done","Yes","No"))</f>
        <v>0</v>
      </c>
      <c r="T187" s="39">
        <f>IF(B187="","",IF(G187="","Add - what was the task?",IF(H187="Issue found",IF(M187="Yes","OK - issue reported","Action - tell the client"),IF(H187="Needs rework","Action - rework needed",IF(AND(H187="Skipped",P187="Yes"),"Check - required task skipped",IF(H187="Done","OK","Due"))))))</f>
        <v>0</v>
      </c>
    </row>
    <row r="188" spans="1:20">
      <c r="A188" s="43">
        <f>IF(B188="","","JT-"&amp;TEXT(ROW()-4,"0000"))</f>
        <v>0</v>
      </c>
      <c r="C188" s="18">
        <f>IF(B188="","",IFERROR(INDEX(Jobs!$B$5:$B$604,MATCH(B188,Jobs!$A$5:$A$604,0)),""))</f>
        <v>0</v>
      </c>
      <c r="D188" s="23">
        <f>IF(B188="","",IFERROR(INDEX(Jobs!$H$5:$H$604,MATCH(B188,Jobs!$A$5:$A$604,0)),""))</f>
        <v>0</v>
      </c>
      <c r="E188" s="23">
        <f>IF(B188="","",IFERROR(INDEX(Jobs!$K$5:$K$604,MATCH(B188,Jobs!$A$5:$A$604,0)),""))</f>
        <v>0</v>
      </c>
      <c r="P188" s="50">
        <f>IF(G188="","",IFERROR(INDEX(Checklists!$J$5:$J$404,MATCH(G188,Checklists!$F$5:$F$404,0)),"Yes"))</f>
        <v>0</v>
      </c>
      <c r="Q188" s="31">
        <f>IF(G188="","",IFERROR(INDEX(Checklists!$H$5:$H$404,MATCH(G188,Checklists!$F$5:$F$404,0)),""))</f>
        <v>0</v>
      </c>
      <c r="R188" s="31">
        <f>IF(OR(J188="",Q188=""),"",J188-Q188)</f>
        <v>0</v>
      </c>
      <c r="S188" s="50">
        <f>IF(B188="","",IF(H188="Done","Yes","No"))</f>
        <v>0</v>
      </c>
      <c r="T188" s="39">
        <f>IF(B188="","",IF(G188="","Add - what was the task?",IF(H188="Issue found",IF(M188="Yes","OK - issue reported","Action - tell the client"),IF(H188="Needs rework","Action - rework needed",IF(AND(H188="Skipped",P188="Yes"),"Check - required task skipped",IF(H188="Done","OK","Due"))))))</f>
        <v>0</v>
      </c>
    </row>
    <row r="189" spans="1:20">
      <c r="A189" s="43">
        <f>IF(B189="","","JT-"&amp;TEXT(ROW()-4,"0000"))</f>
        <v>0</v>
      </c>
      <c r="C189" s="18">
        <f>IF(B189="","",IFERROR(INDEX(Jobs!$B$5:$B$604,MATCH(B189,Jobs!$A$5:$A$604,0)),""))</f>
        <v>0</v>
      </c>
      <c r="D189" s="23">
        <f>IF(B189="","",IFERROR(INDEX(Jobs!$H$5:$H$604,MATCH(B189,Jobs!$A$5:$A$604,0)),""))</f>
        <v>0</v>
      </c>
      <c r="E189" s="23">
        <f>IF(B189="","",IFERROR(INDEX(Jobs!$K$5:$K$604,MATCH(B189,Jobs!$A$5:$A$604,0)),""))</f>
        <v>0</v>
      </c>
      <c r="P189" s="50">
        <f>IF(G189="","",IFERROR(INDEX(Checklists!$J$5:$J$404,MATCH(G189,Checklists!$F$5:$F$404,0)),"Yes"))</f>
        <v>0</v>
      </c>
      <c r="Q189" s="31">
        <f>IF(G189="","",IFERROR(INDEX(Checklists!$H$5:$H$404,MATCH(G189,Checklists!$F$5:$F$404,0)),""))</f>
        <v>0</v>
      </c>
      <c r="R189" s="31">
        <f>IF(OR(J189="",Q189=""),"",J189-Q189)</f>
        <v>0</v>
      </c>
      <c r="S189" s="50">
        <f>IF(B189="","",IF(H189="Done","Yes","No"))</f>
        <v>0</v>
      </c>
      <c r="T189" s="39">
        <f>IF(B189="","",IF(G189="","Add - what was the task?",IF(H189="Issue found",IF(M189="Yes","OK - issue reported","Action - tell the client"),IF(H189="Needs rework","Action - rework needed",IF(AND(H189="Skipped",P189="Yes"),"Check - required task skipped",IF(H189="Done","OK","Due"))))))</f>
        <v>0</v>
      </c>
    </row>
    <row r="190" spans="1:20">
      <c r="A190" s="43">
        <f>IF(B190="","","JT-"&amp;TEXT(ROW()-4,"0000"))</f>
        <v>0</v>
      </c>
      <c r="C190" s="18">
        <f>IF(B190="","",IFERROR(INDEX(Jobs!$B$5:$B$604,MATCH(B190,Jobs!$A$5:$A$604,0)),""))</f>
        <v>0</v>
      </c>
      <c r="D190" s="23">
        <f>IF(B190="","",IFERROR(INDEX(Jobs!$H$5:$H$604,MATCH(B190,Jobs!$A$5:$A$604,0)),""))</f>
        <v>0</v>
      </c>
      <c r="E190" s="23">
        <f>IF(B190="","",IFERROR(INDEX(Jobs!$K$5:$K$604,MATCH(B190,Jobs!$A$5:$A$604,0)),""))</f>
        <v>0</v>
      </c>
      <c r="P190" s="50">
        <f>IF(G190="","",IFERROR(INDEX(Checklists!$J$5:$J$404,MATCH(G190,Checklists!$F$5:$F$404,0)),"Yes"))</f>
        <v>0</v>
      </c>
      <c r="Q190" s="31">
        <f>IF(G190="","",IFERROR(INDEX(Checklists!$H$5:$H$404,MATCH(G190,Checklists!$F$5:$F$404,0)),""))</f>
        <v>0</v>
      </c>
      <c r="R190" s="31">
        <f>IF(OR(J190="",Q190=""),"",J190-Q190)</f>
        <v>0</v>
      </c>
      <c r="S190" s="50">
        <f>IF(B190="","",IF(H190="Done","Yes","No"))</f>
        <v>0</v>
      </c>
      <c r="T190" s="39">
        <f>IF(B190="","",IF(G190="","Add - what was the task?",IF(H190="Issue found",IF(M190="Yes","OK - issue reported","Action - tell the client"),IF(H190="Needs rework","Action - rework needed",IF(AND(H190="Skipped",P190="Yes"),"Check - required task skipped",IF(H190="Done","OK","Due"))))))</f>
        <v>0</v>
      </c>
    </row>
    <row r="191" spans="1:20">
      <c r="A191" s="43">
        <f>IF(B191="","","JT-"&amp;TEXT(ROW()-4,"0000"))</f>
        <v>0</v>
      </c>
      <c r="C191" s="18">
        <f>IF(B191="","",IFERROR(INDEX(Jobs!$B$5:$B$604,MATCH(B191,Jobs!$A$5:$A$604,0)),""))</f>
        <v>0</v>
      </c>
      <c r="D191" s="23">
        <f>IF(B191="","",IFERROR(INDEX(Jobs!$H$5:$H$604,MATCH(B191,Jobs!$A$5:$A$604,0)),""))</f>
        <v>0</v>
      </c>
      <c r="E191" s="23">
        <f>IF(B191="","",IFERROR(INDEX(Jobs!$K$5:$K$604,MATCH(B191,Jobs!$A$5:$A$604,0)),""))</f>
        <v>0</v>
      </c>
      <c r="P191" s="50">
        <f>IF(G191="","",IFERROR(INDEX(Checklists!$J$5:$J$404,MATCH(G191,Checklists!$F$5:$F$404,0)),"Yes"))</f>
        <v>0</v>
      </c>
      <c r="Q191" s="31">
        <f>IF(G191="","",IFERROR(INDEX(Checklists!$H$5:$H$404,MATCH(G191,Checklists!$F$5:$F$404,0)),""))</f>
        <v>0</v>
      </c>
      <c r="R191" s="31">
        <f>IF(OR(J191="",Q191=""),"",J191-Q191)</f>
        <v>0</v>
      </c>
      <c r="S191" s="50">
        <f>IF(B191="","",IF(H191="Done","Yes","No"))</f>
        <v>0</v>
      </c>
      <c r="T191" s="39">
        <f>IF(B191="","",IF(G191="","Add - what was the task?",IF(H191="Issue found",IF(M191="Yes","OK - issue reported","Action - tell the client"),IF(H191="Needs rework","Action - rework needed",IF(AND(H191="Skipped",P191="Yes"),"Check - required task skipped",IF(H191="Done","OK","Due"))))))</f>
        <v>0</v>
      </c>
    </row>
    <row r="192" spans="1:20">
      <c r="A192" s="43">
        <f>IF(B192="","","JT-"&amp;TEXT(ROW()-4,"0000"))</f>
        <v>0</v>
      </c>
      <c r="C192" s="18">
        <f>IF(B192="","",IFERROR(INDEX(Jobs!$B$5:$B$604,MATCH(B192,Jobs!$A$5:$A$604,0)),""))</f>
        <v>0</v>
      </c>
      <c r="D192" s="23">
        <f>IF(B192="","",IFERROR(INDEX(Jobs!$H$5:$H$604,MATCH(B192,Jobs!$A$5:$A$604,0)),""))</f>
        <v>0</v>
      </c>
      <c r="E192" s="23">
        <f>IF(B192="","",IFERROR(INDEX(Jobs!$K$5:$K$604,MATCH(B192,Jobs!$A$5:$A$604,0)),""))</f>
        <v>0</v>
      </c>
      <c r="P192" s="50">
        <f>IF(G192="","",IFERROR(INDEX(Checklists!$J$5:$J$404,MATCH(G192,Checklists!$F$5:$F$404,0)),"Yes"))</f>
        <v>0</v>
      </c>
      <c r="Q192" s="31">
        <f>IF(G192="","",IFERROR(INDEX(Checklists!$H$5:$H$404,MATCH(G192,Checklists!$F$5:$F$404,0)),""))</f>
        <v>0</v>
      </c>
      <c r="R192" s="31">
        <f>IF(OR(J192="",Q192=""),"",J192-Q192)</f>
        <v>0</v>
      </c>
      <c r="S192" s="50">
        <f>IF(B192="","",IF(H192="Done","Yes","No"))</f>
        <v>0</v>
      </c>
      <c r="T192" s="39">
        <f>IF(B192="","",IF(G192="","Add - what was the task?",IF(H192="Issue found",IF(M192="Yes","OK - issue reported","Action - tell the client"),IF(H192="Needs rework","Action - rework needed",IF(AND(H192="Skipped",P192="Yes"),"Check - required task skipped",IF(H192="Done","OK","Due"))))))</f>
        <v>0</v>
      </c>
    </row>
    <row r="193" spans="1:20">
      <c r="A193" s="43">
        <f>IF(B193="","","JT-"&amp;TEXT(ROW()-4,"0000"))</f>
        <v>0</v>
      </c>
      <c r="C193" s="18">
        <f>IF(B193="","",IFERROR(INDEX(Jobs!$B$5:$B$604,MATCH(B193,Jobs!$A$5:$A$604,0)),""))</f>
        <v>0</v>
      </c>
      <c r="D193" s="23">
        <f>IF(B193="","",IFERROR(INDEX(Jobs!$H$5:$H$604,MATCH(B193,Jobs!$A$5:$A$604,0)),""))</f>
        <v>0</v>
      </c>
      <c r="E193" s="23">
        <f>IF(B193="","",IFERROR(INDEX(Jobs!$K$5:$K$604,MATCH(B193,Jobs!$A$5:$A$604,0)),""))</f>
        <v>0</v>
      </c>
      <c r="P193" s="50">
        <f>IF(G193="","",IFERROR(INDEX(Checklists!$J$5:$J$404,MATCH(G193,Checklists!$F$5:$F$404,0)),"Yes"))</f>
        <v>0</v>
      </c>
      <c r="Q193" s="31">
        <f>IF(G193="","",IFERROR(INDEX(Checklists!$H$5:$H$404,MATCH(G193,Checklists!$F$5:$F$404,0)),""))</f>
        <v>0</v>
      </c>
      <c r="R193" s="31">
        <f>IF(OR(J193="",Q193=""),"",J193-Q193)</f>
        <v>0</v>
      </c>
      <c r="S193" s="50">
        <f>IF(B193="","",IF(H193="Done","Yes","No"))</f>
        <v>0</v>
      </c>
      <c r="T193" s="39">
        <f>IF(B193="","",IF(G193="","Add - what was the task?",IF(H193="Issue found",IF(M193="Yes","OK - issue reported","Action - tell the client"),IF(H193="Needs rework","Action - rework needed",IF(AND(H193="Skipped",P193="Yes"),"Check - required task skipped",IF(H193="Done","OK","Due"))))))</f>
        <v>0</v>
      </c>
    </row>
    <row r="194" spans="1:20">
      <c r="A194" s="43">
        <f>IF(B194="","","JT-"&amp;TEXT(ROW()-4,"0000"))</f>
        <v>0</v>
      </c>
      <c r="C194" s="18">
        <f>IF(B194="","",IFERROR(INDEX(Jobs!$B$5:$B$604,MATCH(B194,Jobs!$A$5:$A$604,0)),""))</f>
        <v>0</v>
      </c>
      <c r="D194" s="23">
        <f>IF(B194="","",IFERROR(INDEX(Jobs!$H$5:$H$604,MATCH(B194,Jobs!$A$5:$A$604,0)),""))</f>
        <v>0</v>
      </c>
      <c r="E194" s="23">
        <f>IF(B194="","",IFERROR(INDEX(Jobs!$K$5:$K$604,MATCH(B194,Jobs!$A$5:$A$604,0)),""))</f>
        <v>0</v>
      </c>
      <c r="P194" s="50">
        <f>IF(G194="","",IFERROR(INDEX(Checklists!$J$5:$J$404,MATCH(G194,Checklists!$F$5:$F$404,0)),"Yes"))</f>
        <v>0</v>
      </c>
      <c r="Q194" s="31">
        <f>IF(G194="","",IFERROR(INDEX(Checklists!$H$5:$H$404,MATCH(G194,Checklists!$F$5:$F$404,0)),""))</f>
        <v>0</v>
      </c>
      <c r="R194" s="31">
        <f>IF(OR(J194="",Q194=""),"",J194-Q194)</f>
        <v>0</v>
      </c>
      <c r="S194" s="50">
        <f>IF(B194="","",IF(H194="Done","Yes","No"))</f>
        <v>0</v>
      </c>
      <c r="T194" s="39">
        <f>IF(B194="","",IF(G194="","Add - what was the task?",IF(H194="Issue found",IF(M194="Yes","OK - issue reported","Action - tell the client"),IF(H194="Needs rework","Action - rework needed",IF(AND(H194="Skipped",P194="Yes"),"Check - required task skipped",IF(H194="Done","OK","Due"))))))</f>
        <v>0</v>
      </c>
    </row>
    <row r="195" spans="1:20">
      <c r="A195" s="43">
        <f>IF(B195="","","JT-"&amp;TEXT(ROW()-4,"0000"))</f>
        <v>0</v>
      </c>
      <c r="C195" s="18">
        <f>IF(B195="","",IFERROR(INDEX(Jobs!$B$5:$B$604,MATCH(B195,Jobs!$A$5:$A$604,0)),""))</f>
        <v>0</v>
      </c>
      <c r="D195" s="23">
        <f>IF(B195="","",IFERROR(INDEX(Jobs!$H$5:$H$604,MATCH(B195,Jobs!$A$5:$A$604,0)),""))</f>
        <v>0</v>
      </c>
      <c r="E195" s="23">
        <f>IF(B195="","",IFERROR(INDEX(Jobs!$K$5:$K$604,MATCH(B195,Jobs!$A$5:$A$604,0)),""))</f>
        <v>0</v>
      </c>
      <c r="P195" s="50">
        <f>IF(G195="","",IFERROR(INDEX(Checklists!$J$5:$J$404,MATCH(G195,Checklists!$F$5:$F$404,0)),"Yes"))</f>
        <v>0</v>
      </c>
      <c r="Q195" s="31">
        <f>IF(G195="","",IFERROR(INDEX(Checklists!$H$5:$H$404,MATCH(G195,Checklists!$F$5:$F$404,0)),""))</f>
        <v>0</v>
      </c>
      <c r="R195" s="31">
        <f>IF(OR(J195="",Q195=""),"",J195-Q195)</f>
        <v>0</v>
      </c>
      <c r="S195" s="50">
        <f>IF(B195="","",IF(H195="Done","Yes","No"))</f>
        <v>0</v>
      </c>
      <c r="T195" s="39">
        <f>IF(B195="","",IF(G195="","Add - what was the task?",IF(H195="Issue found",IF(M195="Yes","OK - issue reported","Action - tell the client"),IF(H195="Needs rework","Action - rework needed",IF(AND(H195="Skipped",P195="Yes"),"Check - required task skipped",IF(H195="Done","OK","Due"))))))</f>
        <v>0</v>
      </c>
    </row>
    <row r="196" spans="1:20">
      <c r="A196" s="43">
        <f>IF(B196="","","JT-"&amp;TEXT(ROW()-4,"0000"))</f>
        <v>0</v>
      </c>
      <c r="C196" s="18">
        <f>IF(B196="","",IFERROR(INDEX(Jobs!$B$5:$B$604,MATCH(B196,Jobs!$A$5:$A$604,0)),""))</f>
        <v>0</v>
      </c>
      <c r="D196" s="23">
        <f>IF(B196="","",IFERROR(INDEX(Jobs!$H$5:$H$604,MATCH(B196,Jobs!$A$5:$A$604,0)),""))</f>
        <v>0</v>
      </c>
      <c r="E196" s="23">
        <f>IF(B196="","",IFERROR(INDEX(Jobs!$K$5:$K$604,MATCH(B196,Jobs!$A$5:$A$604,0)),""))</f>
        <v>0</v>
      </c>
      <c r="P196" s="50">
        <f>IF(G196="","",IFERROR(INDEX(Checklists!$J$5:$J$404,MATCH(G196,Checklists!$F$5:$F$404,0)),"Yes"))</f>
        <v>0</v>
      </c>
      <c r="Q196" s="31">
        <f>IF(G196="","",IFERROR(INDEX(Checklists!$H$5:$H$404,MATCH(G196,Checklists!$F$5:$F$404,0)),""))</f>
        <v>0</v>
      </c>
      <c r="R196" s="31">
        <f>IF(OR(J196="",Q196=""),"",J196-Q196)</f>
        <v>0</v>
      </c>
      <c r="S196" s="50">
        <f>IF(B196="","",IF(H196="Done","Yes","No"))</f>
        <v>0</v>
      </c>
      <c r="T196" s="39">
        <f>IF(B196="","",IF(G196="","Add - what was the task?",IF(H196="Issue found",IF(M196="Yes","OK - issue reported","Action - tell the client"),IF(H196="Needs rework","Action - rework needed",IF(AND(H196="Skipped",P196="Yes"),"Check - required task skipped",IF(H196="Done","OK","Due"))))))</f>
        <v>0</v>
      </c>
    </row>
    <row r="197" spans="1:20">
      <c r="A197" s="43">
        <f>IF(B197="","","JT-"&amp;TEXT(ROW()-4,"0000"))</f>
        <v>0</v>
      </c>
      <c r="C197" s="18">
        <f>IF(B197="","",IFERROR(INDEX(Jobs!$B$5:$B$604,MATCH(B197,Jobs!$A$5:$A$604,0)),""))</f>
        <v>0</v>
      </c>
      <c r="D197" s="23">
        <f>IF(B197="","",IFERROR(INDEX(Jobs!$H$5:$H$604,MATCH(B197,Jobs!$A$5:$A$604,0)),""))</f>
        <v>0</v>
      </c>
      <c r="E197" s="23">
        <f>IF(B197="","",IFERROR(INDEX(Jobs!$K$5:$K$604,MATCH(B197,Jobs!$A$5:$A$604,0)),""))</f>
        <v>0</v>
      </c>
      <c r="P197" s="50">
        <f>IF(G197="","",IFERROR(INDEX(Checklists!$J$5:$J$404,MATCH(G197,Checklists!$F$5:$F$404,0)),"Yes"))</f>
        <v>0</v>
      </c>
      <c r="Q197" s="31">
        <f>IF(G197="","",IFERROR(INDEX(Checklists!$H$5:$H$404,MATCH(G197,Checklists!$F$5:$F$404,0)),""))</f>
        <v>0</v>
      </c>
      <c r="R197" s="31">
        <f>IF(OR(J197="",Q197=""),"",J197-Q197)</f>
        <v>0</v>
      </c>
      <c r="S197" s="50">
        <f>IF(B197="","",IF(H197="Done","Yes","No"))</f>
        <v>0</v>
      </c>
      <c r="T197" s="39">
        <f>IF(B197="","",IF(G197="","Add - what was the task?",IF(H197="Issue found",IF(M197="Yes","OK - issue reported","Action - tell the client"),IF(H197="Needs rework","Action - rework needed",IF(AND(H197="Skipped",P197="Yes"),"Check - required task skipped",IF(H197="Done","OK","Due"))))))</f>
        <v>0</v>
      </c>
    </row>
    <row r="198" spans="1:20">
      <c r="A198" s="43">
        <f>IF(B198="","","JT-"&amp;TEXT(ROW()-4,"0000"))</f>
        <v>0</v>
      </c>
      <c r="C198" s="18">
        <f>IF(B198="","",IFERROR(INDEX(Jobs!$B$5:$B$604,MATCH(B198,Jobs!$A$5:$A$604,0)),""))</f>
        <v>0</v>
      </c>
      <c r="D198" s="23">
        <f>IF(B198="","",IFERROR(INDEX(Jobs!$H$5:$H$604,MATCH(B198,Jobs!$A$5:$A$604,0)),""))</f>
        <v>0</v>
      </c>
      <c r="E198" s="23">
        <f>IF(B198="","",IFERROR(INDEX(Jobs!$K$5:$K$604,MATCH(B198,Jobs!$A$5:$A$604,0)),""))</f>
        <v>0</v>
      </c>
      <c r="P198" s="50">
        <f>IF(G198="","",IFERROR(INDEX(Checklists!$J$5:$J$404,MATCH(G198,Checklists!$F$5:$F$404,0)),"Yes"))</f>
        <v>0</v>
      </c>
      <c r="Q198" s="31">
        <f>IF(G198="","",IFERROR(INDEX(Checklists!$H$5:$H$404,MATCH(G198,Checklists!$F$5:$F$404,0)),""))</f>
        <v>0</v>
      </c>
      <c r="R198" s="31">
        <f>IF(OR(J198="",Q198=""),"",J198-Q198)</f>
        <v>0</v>
      </c>
      <c r="S198" s="50">
        <f>IF(B198="","",IF(H198="Done","Yes","No"))</f>
        <v>0</v>
      </c>
      <c r="T198" s="39">
        <f>IF(B198="","",IF(G198="","Add - what was the task?",IF(H198="Issue found",IF(M198="Yes","OK - issue reported","Action - tell the client"),IF(H198="Needs rework","Action - rework needed",IF(AND(H198="Skipped",P198="Yes"),"Check - required task skipped",IF(H198="Done","OK","Due"))))))</f>
        <v>0</v>
      </c>
    </row>
    <row r="199" spans="1:20">
      <c r="A199" s="43">
        <f>IF(B199="","","JT-"&amp;TEXT(ROW()-4,"0000"))</f>
        <v>0</v>
      </c>
      <c r="C199" s="18">
        <f>IF(B199="","",IFERROR(INDEX(Jobs!$B$5:$B$604,MATCH(B199,Jobs!$A$5:$A$604,0)),""))</f>
        <v>0</v>
      </c>
      <c r="D199" s="23">
        <f>IF(B199="","",IFERROR(INDEX(Jobs!$H$5:$H$604,MATCH(B199,Jobs!$A$5:$A$604,0)),""))</f>
        <v>0</v>
      </c>
      <c r="E199" s="23">
        <f>IF(B199="","",IFERROR(INDEX(Jobs!$K$5:$K$604,MATCH(B199,Jobs!$A$5:$A$604,0)),""))</f>
        <v>0</v>
      </c>
      <c r="P199" s="50">
        <f>IF(G199="","",IFERROR(INDEX(Checklists!$J$5:$J$404,MATCH(G199,Checklists!$F$5:$F$404,0)),"Yes"))</f>
        <v>0</v>
      </c>
      <c r="Q199" s="31">
        <f>IF(G199="","",IFERROR(INDEX(Checklists!$H$5:$H$404,MATCH(G199,Checklists!$F$5:$F$404,0)),""))</f>
        <v>0</v>
      </c>
      <c r="R199" s="31">
        <f>IF(OR(J199="",Q199=""),"",J199-Q199)</f>
        <v>0</v>
      </c>
      <c r="S199" s="50">
        <f>IF(B199="","",IF(H199="Done","Yes","No"))</f>
        <v>0</v>
      </c>
      <c r="T199" s="39">
        <f>IF(B199="","",IF(G199="","Add - what was the task?",IF(H199="Issue found",IF(M199="Yes","OK - issue reported","Action - tell the client"),IF(H199="Needs rework","Action - rework needed",IF(AND(H199="Skipped",P199="Yes"),"Check - required task skipped",IF(H199="Done","OK","Due"))))))</f>
        <v>0</v>
      </c>
    </row>
    <row r="200" spans="1:20">
      <c r="A200" s="43">
        <f>IF(B200="","","JT-"&amp;TEXT(ROW()-4,"0000"))</f>
        <v>0</v>
      </c>
      <c r="C200" s="18">
        <f>IF(B200="","",IFERROR(INDEX(Jobs!$B$5:$B$604,MATCH(B200,Jobs!$A$5:$A$604,0)),""))</f>
        <v>0</v>
      </c>
      <c r="D200" s="23">
        <f>IF(B200="","",IFERROR(INDEX(Jobs!$H$5:$H$604,MATCH(B200,Jobs!$A$5:$A$604,0)),""))</f>
        <v>0</v>
      </c>
      <c r="E200" s="23">
        <f>IF(B200="","",IFERROR(INDEX(Jobs!$K$5:$K$604,MATCH(B200,Jobs!$A$5:$A$604,0)),""))</f>
        <v>0</v>
      </c>
      <c r="P200" s="50">
        <f>IF(G200="","",IFERROR(INDEX(Checklists!$J$5:$J$404,MATCH(G200,Checklists!$F$5:$F$404,0)),"Yes"))</f>
        <v>0</v>
      </c>
      <c r="Q200" s="31">
        <f>IF(G200="","",IFERROR(INDEX(Checklists!$H$5:$H$404,MATCH(G200,Checklists!$F$5:$F$404,0)),""))</f>
        <v>0</v>
      </c>
      <c r="R200" s="31">
        <f>IF(OR(J200="",Q200=""),"",J200-Q200)</f>
        <v>0</v>
      </c>
      <c r="S200" s="50">
        <f>IF(B200="","",IF(H200="Done","Yes","No"))</f>
        <v>0</v>
      </c>
      <c r="T200" s="39">
        <f>IF(B200="","",IF(G200="","Add - what was the task?",IF(H200="Issue found",IF(M200="Yes","OK - issue reported","Action - tell the client"),IF(H200="Needs rework","Action - rework needed",IF(AND(H200="Skipped",P200="Yes"),"Check - required task skipped",IF(H200="Done","OK","Due"))))))</f>
        <v>0</v>
      </c>
    </row>
    <row r="201" spans="1:20">
      <c r="A201" s="43">
        <f>IF(B201="","","JT-"&amp;TEXT(ROW()-4,"0000"))</f>
        <v>0</v>
      </c>
      <c r="C201" s="18">
        <f>IF(B201="","",IFERROR(INDEX(Jobs!$B$5:$B$604,MATCH(B201,Jobs!$A$5:$A$604,0)),""))</f>
        <v>0</v>
      </c>
      <c r="D201" s="23">
        <f>IF(B201="","",IFERROR(INDEX(Jobs!$H$5:$H$604,MATCH(B201,Jobs!$A$5:$A$604,0)),""))</f>
        <v>0</v>
      </c>
      <c r="E201" s="23">
        <f>IF(B201="","",IFERROR(INDEX(Jobs!$K$5:$K$604,MATCH(B201,Jobs!$A$5:$A$604,0)),""))</f>
        <v>0</v>
      </c>
      <c r="P201" s="50">
        <f>IF(G201="","",IFERROR(INDEX(Checklists!$J$5:$J$404,MATCH(G201,Checklists!$F$5:$F$404,0)),"Yes"))</f>
        <v>0</v>
      </c>
      <c r="Q201" s="31">
        <f>IF(G201="","",IFERROR(INDEX(Checklists!$H$5:$H$404,MATCH(G201,Checklists!$F$5:$F$404,0)),""))</f>
        <v>0</v>
      </c>
      <c r="R201" s="31">
        <f>IF(OR(J201="",Q201=""),"",J201-Q201)</f>
        <v>0</v>
      </c>
      <c r="S201" s="50">
        <f>IF(B201="","",IF(H201="Done","Yes","No"))</f>
        <v>0</v>
      </c>
      <c r="T201" s="39">
        <f>IF(B201="","",IF(G201="","Add - what was the task?",IF(H201="Issue found",IF(M201="Yes","OK - issue reported","Action - tell the client"),IF(H201="Needs rework","Action - rework needed",IF(AND(H201="Skipped",P201="Yes"),"Check - required task skipped",IF(H201="Done","OK","Due"))))))</f>
        <v>0</v>
      </c>
    </row>
    <row r="202" spans="1:20">
      <c r="A202" s="43">
        <f>IF(B202="","","JT-"&amp;TEXT(ROW()-4,"0000"))</f>
        <v>0</v>
      </c>
      <c r="C202" s="18">
        <f>IF(B202="","",IFERROR(INDEX(Jobs!$B$5:$B$604,MATCH(B202,Jobs!$A$5:$A$604,0)),""))</f>
        <v>0</v>
      </c>
      <c r="D202" s="23">
        <f>IF(B202="","",IFERROR(INDEX(Jobs!$H$5:$H$604,MATCH(B202,Jobs!$A$5:$A$604,0)),""))</f>
        <v>0</v>
      </c>
      <c r="E202" s="23">
        <f>IF(B202="","",IFERROR(INDEX(Jobs!$K$5:$K$604,MATCH(B202,Jobs!$A$5:$A$604,0)),""))</f>
        <v>0</v>
      </c>
      <c r="P202" s="50">
        <f>IF(G202="","",IFERROR(INDEX(Checklists!$J$5:$J$404,MATCH(G202,Checklists!$F$5:$F$404,0)),"Yes"))</f>
        <v>0</v>
      </c>
      <c r="Q202" s="31">
        <f>IF(G202="","",IFERROR(INDEX(Checklists!$H$5:$H$404,MATCH(G202,Checklists!$F$5:$F$404,0)),""))</f>
        <v>0</v>
      </c>
      <c r="R202" s="31">
        <f>IF(OR(J202="",Q202=""),"",J202-Q202)</f>
        <v>0</v>
      </c>
      <c r="S202" s="50">
        <f>IF(B202="","",IF(H202="Done","Yes","No"))</f>
        <v>0</v>
      </c>
      <c r="T202" s="39">
        <f>IF(B202="","",IF(G202="","Add - what was the task?",IF(H202="Issue found",IF(M202="Yes","OK - issue reported","Action - tell the client"),IF(H202="Needs rework","Action - rework needed",IF(AND(H202="Skipped",P202="Yes"),"Check - required task skipped",IF(H202="Done","OK","Due"))))))</f>
        <v>0</v>
      </c>
    </row>
    <row r="203" spans="1:20">
      <c r="A203" s="43">
        <f>IF(B203="","","JT-"&amp;TEXT(ROW()-4,"0000"))</f>
        <v>0</v>
      </c>
      <c r="C203" s="18">
        <f>IF(B203="","",IFERROR(INDEX(Jobs!$B$5:$B$604,MATCH(B203,Jobs!$A$5:$A$604,0)),""))</f>
        <v>0</v>
      </c>
      <c r="D203" s="23">
        <f>IF(B203="","",IFERROR(INDEX(Jobs!$H$5:$H$604,MATCH(B203,Jobs!$A$5:$A$604,0)),""))</f>
        <v>0</v>
      </c>
      <c r="E203" s="23">
        <f>IF(B203="","",IFERROR(INDEX(Jobs!$K$5:$K$604,MATCH(B203,Jobs!$A$5:$A$604,0)),""))</f>
        <v>0</v>
      </c>
      <c r="P203" s="50">
        <f>IF(G203="","",IFERROR(INDEX(Checklists!$J$5:$J$404,MATCH(G203,Checklists!$F$5:$F$404,0)),"Yes"))</f>
        <v>0</v>
      </c>
      <c r="Q203" s="31">
        <f>IF(G203="","",IFERROR(INDEX(Checklists!$H$5:$H$404,MATCH(G203,Checklists!$F$5:$F$404,0)),""))</f>
        <v>0</v>
      </c>
      <c r="R203" s="31">
        <f>IF(OR(J203="",Q203=""),"",J203-Q203)</f>
        <v>0</v>
      </c>
      <c r="S203" s="50">
        <f>IF(B203="","",IF(H203="Done","Yes","No"))</f>
        <v>0</v>
      </c>
      <c r="T203" s="39">
        <f>IF(B203="","",IF(G203="","Add - what was the task?",IF(H203="Issue found",IF(M203="Yes","OK - issue reported","Action - tell the client"),IF(H203="Needs rework","Action - rework needed",IF(AND(H203="Skipped",P203="Yes"),"Check - required task skipped",IF(H203="Done","OK","Due"))))))</f>
        <v>0</v>
      </c>
    </row>
    <row r="204" spans="1:20">
      <c r="A204" s="43">
        <f>IF(B204="","","JT-"&amp;TEXT(ROW()-4,"0000"))</f>
        <v>0</v>
      </c>
      <c r="C204" s="18">
        <f>IF(B204="","",IFERROR(INDEX(Jobs!$B$5:$B$604,MATCH(B204,Jobs!$A$5:$A$604,0)),""))</f>
        <v>0</v>
      </c>
      <c r="D204" s="23">
        <f>IF(B204="","",IFERROR(INDEX(Jobs!$H$5:$H$604,MATCH(B204,Jobs!$A$5:$A$604,0)),""))</f>
        <v>0</v>
      </c>
      <c r="E204" s="23">
        <f>IF(B204="","",IFERROR(INDEX(Jobs!$K$5:$K$604,MATCH(B204,Jobs!$A$5:$A$604,0)),""))</f>
        <v>0</v>
      </c>
      <c r="P204" s="50">
        <f>IF(G204="","",IFERROR(INDEX(Checklists!$J$5:$J$404,MATCH(G204,Checklists!$F$5:$F$404,0)),"Yes"))</f>
        <v>0</v>
      </c>
      <c r="Q204" s="31">
        <f>IF(G204="","",IFERROR(INDEX(Checklists!$H$5:$H$404,MATCH(G204,Checklists!$F$5:$F$404,0)),""))</f>
        <v>0</v>
      </c>
      <c r="R204" s="31">
        <f>IF(OR(J204="",Q204=""),"",J204-Q204)</f>
        <v>0</v>
      </c>
      <c r="S204" s="50">
        <f>IF(B204="","",IF(H204="Done","Yes","No"))</f>
        <v>0</v>
      </c>
      <c r="T204" s="39">
        <f>IF(B204="","",IF(G204="","Add - what was the task?",IF(H204="Issue found",IF(M204="Yes","OK - issue reported","Action - tell the client"),IF(H204="Needs rework","Action - rework needed",IF(AND(H204="Skipped",P204="Yes"),"Check - required task skipped",IF(H204="Done","OK","Due"))))))</f>
        <v>0</v>
      </c>
    </row>
    <row r="205" spans="1:20">
      <c r="A205" s="43">
        <f>IF(B205="","","JT-"&amp;TEXT(ROW()-4,"0000"))</f>
        <v>0</v>
      </c>
      <c r="C205" s="18">
        <f>IF(B205="","",IFERROR(INDEX(Jobs!$B$5:$B$604,MATCH(B205,Jobs!$A$5:$A$604,0)),""))</f>
        <v>0</v>
      </c>
      <c r="D205" s="23">
        <f>IF(B205="","",IFERROR(INDEX(Jobs!$H$5:$H$604,MATCH(B205,Jobs!$A$5:$A$604,0)),""))</f>
        <v>0</v>
      </c>
      <c r="E205" s="23">
        <f>IF(B205="","",IFERROR(INDEX(Jobs!$K$5:$K$604,MATCH(B205,Jobs!$A$5:$A$604,0)),""))</f>
        <v>0</v>
      </c>
      <c r="P205" s="50">
        <f>IF(G205="","",IFERROR(INDEX(Checklists!$J$5:$J$404,MATCH(G205,Checklists!$F$5:$F$404,0)),"Yes"))</f>
        <v>0</v>
      </c>
      <c r="Q205" s="31">
        <f>IF(G205="","",IFERROR(INDEX(Checklists!$H$5:$H$404,MATCH(G205,Checklists!$F$5:$F$404,0)),""))</f>
        <v>0</v>
      </c>
      <c r="R205" s="31">
        <f>IF(OR(J205="",Q205=""),"",J205-Q205)</f>
        <v>0</v>
      </c>
      <c r="S205" s="50">
        <f>IF(B205="","",IF(H205="Done","Yes","No"))</f>
        <v>0</v>
      </c>
      <c r="T205" s="39">
        <f>IF(B205="","",IF(G205="","Add - what was the task?",IF(H205="Issue found",IF(M205="Yes","OK - issue reported","Action - tell the client"),IF(H205="Needs rework","Action - rework needed",IF(AND(H205="Skipped",P205="Yes"),"Check - required task skipped",IF(H205="Done","OK","Due"))))))</f>
        <v>0</v>
      </c>
    </row>
    <row r="206" spans="1:20">
      <c r="A206" s="43">
        <f>IF(B206="","","JT-"&amp;TEXT(ROW()-4,"0000"))</f>
        <v>0</v>
      </c>
      <c r="C206" s="18">
        <f>IF(B206="","",IFERROR(INDEX(Jobs!$B$5:$B$604,MATCH(B206,Jobs!$A$5:$A$604,0)),""))</f>
        <v>0</v>
      </c>
      <c r="D206" s="23">
        <f>IF(B206="","",IFERROR(INDEX(Jobs!$H$5:$H$604,MATCH(B206,Jobs!$A$5:$A$604,0)),""))</f>
        <v>0</v>
      </c>
      <c r="E206" s="23">
        <f>IF(B206="","",IFERROR(INDEX(Jobs!$K$5:$K$604,MATCH(B206,Jobs!$A$5:$A$604,0)),""))</f>
        <v>0</v>
      </c>
      <c r="P206" s="50">
        <f>IF(G206="","",IFERROR(INDEX(Checklists!$J$5:$J$404,MATCH(G206,Checklists!$F$5:$F$404,0)),"Yes"))</f>
        <v>0</v>
      </c>
      <c r="Q206" s="31">
        <f>IF(G206="","",IFERROR(INDEX(Checklists!$H$5:$H$404,MATCH(G206,Checklists!$F$5:$F$404,0)),""))</f>
        <v>0</v>
      </c>
      <c r="R206" s="31">
        <f>IF(OR(J206="",Q206=""),"",J206-Q206)</f>
        <v>0</v>
      </c>
      <c r="S206" s="50">
        <f>IF(B206="","",IF(H206="Done","Yes","No"))</f>
        <v>0</v>
      </c>
      <c r="T206" s="39">
        <f>IF(B206="","",IF(G206="","Add - what was the task?",IF(H206="Issue found",IF(M206="Yes","OK - issue reported","Action - tell the client"),IF(H206="Needs rework","Action - rework needed",IF(AND(H206="Skipped",P206="Yes"),"Check - required task skipped",IF(H206="Done","OK","Due"))))))</f>
        <v>0</v>
      </c>
    </row>
    <row r="207" spans="1:20">
      <c r="A207" s="43">
        <f>IF(B207="","","JT-"&amp;TEXT(ROW()-4,"0000"))</f>
        <v>0</v>
      </c>
      <c r="C207" s="18">
        <f>IF(B207="","",IFERROR(INDEX(Jobs!$B$5:$B$604,MATCH(B207,Jobs!$A$5:$A$604,0)),""))</f>
        <v>0</v>
      </c>
      <c r="D207" s="23">
        <f>IF(B207="","",IFERROR(INDEX(Jobs!$H$5:$H$604,MATCH(B207,Jobs!$A$5:$A$604,0)),""))</f>
        <v>0</v>
      </c>
      <c r="E207" s="23">
        <f>IF(B207="","",IFERROR(INDEX(Jobs!$K$5:$K$604,MATCH(B207,Jobs!$A$5:$A$604,0)),""))</f>
        <v>0</v>
      </c>
      <c r="P207" s="50">
        <f>IF(G207="","",IFERROR(INDEX(Checklists!$J$5:$J$404,MATCH(G207,Checklists!$F$5:$F$404,0)),"Yes"))</f>
        <v>0</v>
      </c>
      <c r="Q207" s="31">
        <f>IF(G207="","",IFERROR(INDEX(Checklists!$H$5:$H$404,MATCH(G207,Checklists!$F$5:$F$404,0)),""))</f>
        <v>0</v>
      </c>
      <c r="R207" s="31">
        <f>IF(OR(J207="",Q207=""),"",J207-Q207)</f>
        <v>0</v>
      </c>
      <c r="S207" s="50">
        <f>IF(B207="","",IF(H207="Done","Yes","No"))</f>
        <v>0</v>
      </c>
      <c r="T207" s="39">
        <f>IF(B207="","",IF(G207="","Add - what was the task?",IF(H207="Issue found",IF(M207="Yes","OK - issue reported","Action - tell the client"),IF(H207="Needs rework","Action - rework needed",IF(AND(H207="Skipped",P207="Yes"),"Check - required task skipped",IF(H207="Done","OK","Due"))))))</f>
        <v>0</v>
      </c>
    </row>
    <row r="208" spans="1:20">
      <c r="A208" s="43">
        <f>IF(B208="","","JT-"&amp;TEXT(ROW()-4,"0000"))</f>
        <v>0</v>
      </c>
      <c r="C208" s="18">
        <f>IF(B208="","",IFERROR(INDEX(Jobs!$B$5:$B$604,MATCH(B208,Jobs!$A$5:$A$604,0)),""))</f>
        <v>0</v>
      </c>
      <c r="D208" s="23">
        <f>IF(B208="","",IFERROR(INDEX(Jobs!$H$5:$H$604,MATCH(B208,Jobs!$A$5:$A$604,0)),""))</f>
        <v>0</v>
      </c>
      <c r="E208" s="23">
        <f>IF(B208="","",IFERROR(INDEX(Jobs!$K$5:$K$604,MATCH(B208,Jobs!$A$5:$A$604,0)),""))</f>
        <v>0</v>
      </c>
      <c r="P208" s="50">
        <f>IF(G208="","",IFERROR(INDEX(Checklists!$J$5:$J$404,MATCH(G208,Checklists!$F$5:$F$404,0)),"Yes"))</f>
        <v>0</v>
      </c>
      <c r="Q208" s="31">
        <f>IF(G208="","",IFERROR(INDEX(Checklists!$H$5:$H$404,MATCH(G208,Checklists!$F$5:$F$404,0)),""))</f>
        <v>0</v>
      </c>
      <c r="R208" s="31">
        <f>IF(OR(J208="",Q208=""),"",J208-Q208)</f>
        <v>0</v>
      </c>
      <c r="S208" s="50">
        <f>IF(B208="","",IF(H208="Done","Yes","No"))</f>
        <v>0</v>
      </c>
      <c r="T208" s="39">
        <f>IF(B208="","",IF(G208="","Add - what was the task?",IF(H208="Issue found",IF(M208="Yes","OK - issue reported","Action - tell the client"),IF(H208="Needs rework","Action - rework needed",IF(AND(H208="Skipped",P208="Yes"),"Check - required task skipped",IF(H208="Done","OK","Due"))))))</f>
        <v>0</v>
      </c>
    </row>
    <row r="209" spans="1:20">
      <c r="A209" s="43">
        <f>IF(B209="","","JT-"&amp;TEXT(ROW()-4,"0000"))</f>
        <v>0</v>
      </c>
      <c r="C209" s="18">
        <f>IF(B209="","",IFERROR(INDEX(Jobs!$B$5:$B$604,MATCH(B209,Jobs!$A$5:$A$604,0)),""))</f>
        <v>0</v>
      </c>
      <c r="D209" s="23">
        <f>IF(B209="","",IFERROR(INDEX(Jobs!$H$5:$H$604,MATCH(B209,Jobs!$A$5:$A$604,0)),""))</f>
        <v>0</v>
      </c>
      <c r="E209" s="23">
        <f>IF(B209="","",IFERROR(INDEX(Jobs!$K$5:$K$604,MATCH(B209,Jobs!$A$5:$A$604,0)),""))</f>
        <v>0</v>
      </c>
      <c r="P209" s="50">
        <f>IF(G209="","",IFERROR(INDEX(Checklists!$J$5:$J$404,MATCH(G209,Checklists!$F$5:$F$404,0)),"Yes"))</f>
        <v>0</v>
      </c>
      <c r="Q209" s="31">
        <f>IF(G209="","",IFERROR(INDEX(Checklists!$H$5:$H$404,MATCH(G209,Checklists!$F$5:$F$404,0)),""))</f>
        <v>0</v>
      </c>
      <c r="R209" s="31">
        <f>IF(OR(J209="",Q209=""),"",J209-Q209)</f>
        <v>0</v>
      </c>
      <c r="S209" s="50">
        <f>IF(B209="","",IF(H209="Done","Yes","No"))</f>
        <v>0</v>
      </c>
      <c r="T209" s="39">
        <f>IF(B209="","",IF(G209="","Add - what was the task?",IF(H209="Issue found",IF(M209="Yes","OK - issue reported","Action - tell the client"),IF(H209="Needs rework","Action - rework needed",IF(AND(H209="Skipped",P209="Yes"),"Check - required task skipped",IF(H209="Done","OK","Due"))))))</f>
        <v>0</v>
      </c>
    </row>
    <row r="210" spans="1:20">
      <c r="A210" s="43">
        <f>IF(B210="","","JT-"&amp;TEXT(ROW()-4,"0000"))</f>
        <v>0</v>
      </c>
      <c r="C210" s="18">
        <f>IF(B210="","",IFERROR(INDEX(Jobs!$B$5:$B$604,MATCH(B210,Jobs!$A$5:$A$604,0)),""))</f>
        <v>0</v>
      </c>
      <c r="D210" s="23">
        <f>IF(B210="","",IFERROR(INDEX(Jobs!$H$5:$H$604,MATCH(B210,Jobs!$A$5:$A$604,0)),""))</f>
        <v>0</v>
      </c>
      <c r="E210" s="23">
        <f>IF(B210="","",IFERROR(INDEX(Jobs!$K$5:$K$604,MATCH(B210,Jobs!$A$5:$A$604,0)),""))</f>
        <v>0</v>
      </c>
      <c r="P210" s="50">
        <f>IF(G210="","",IFERROR(INDEX(Checklists!$J$5:$J$404,MATCH(G210,Checklists!$F$5:$F$404,0)),"Yes"))</f>
        <v>0</v>
      </c>
      <c r="Q210" s="31">
        <f>IF(G210="","",IFERROR(INDEX(Checklists!$H$5:$H$404,MATCH(G210,Checklists!$F$5:$F$404,0)),""))</f>
        <v>0</v>
      </c>
      <c r="R210" s="31">
        <f>IF(OR(J210="",Q210=""),"",J210-Q210)</f>
        <v>0</v>
      </c>
      <c r="S210" s="50">
        <f>IF(B210="","",IF(H210="Done","Yes","No"))</f>
        <v>0</v>
      </c>
      <c r="T210" s="39">
        <f>IF(B210="","",IF(G210="","Add - what was the task?",IF(H210="Issue found",IF(M210="Yes","OK - issue reported","Action - tell the client"),IF(H210="Needs rework","Action - rework needed",IF(AND(H210="Skipped",P210="Yes"),"Check - required task skipped",IF(H210="Done","OK","Due"))))))</f>
        <v>0</v>
      </c>
    </row>
    <row r="211" spans="1:20">
      <c r="A211" s="43">
        <f>IF(B211="","","JT-"&amp;TEXT(ROW()-4,"0000"))</f>
        <v>0</v>
      </c>
      <c r="C211" s="18">
        <f>IF(B211="","",IFERROR(INDEX(Jobs!$B$5:$B$604,MATCH(B211,Jobs!$A$5:$A$604,0)),""))</f>
        <v>0</v>
      </c>
      <c r="D211" s="23">
        <f>IF(B211="","",IFERROR(INDEX(Jobs!$H$5:$H$604,MATCH(B211,Jobs!$A$5:$A$604,0)),""))</f>
        <v>0</v>
      </c>
      <c r="E211" s="23">
        <f>IF(B211="","",IFERROR(INDEX(Jobs!$K$5:$K$604,MATCH(B211,Jobs!$A$5:$A$604,0)),""))</f>
        <v>0</v>
      </c>
      <c r="P211" s="50">
        <f>IF(G211="","",IFERROR(INDEX(Checklists!$J$5:$J$404,MATCH(G211,Checklists!$F$5:$F$404,0)),"Yes"))</f>
        <v>0</v>
      </c>
      <c r="Q211" s="31">
        <f>IF(G211="","",IFERROR(INDEX(Checklists!$H$5:$H$404,MATCH(G211,Checklists!$F$5:$F$404,0)),""))</f>
        <v>0</v>
      </c>
      <c r="R211" s="31">
        <f>IF(OR(J211="",Q211=""),"",J211-Q211)</f>
        <v>0</v>
      </c>
      <c r="S211" s="50">
        <f>IF(B211="","",IF(H211="Done","Yes","No"))</f>
        <v>0</v>
      </c>
      <c r="T211" s="39">
        <f>IF(B211="","",IF(G211="","Add - what was the task?",IF(H211="Issue found",IF(M211="Yes","OK - issue reported","Action - tell the client"),IF(H211="Needs rework","Action - rework needed",IF(AND(H211="Skipped",P211="Yes"),"Check - required task skipped",IF(H211="Done","OK","Due"))))))</f>
        <v>0</v>
      </c>
    </row>
    <row r="212" spans="1:20">
      <c r="A212" s="43">
        <f>IF(B212="","","JT-"&amp;TEXT(ROW()-4,"0000"))</f>
        <v>0</v>
      </c>
      <c r="C212" s="18">
        <f>IF(B212="","",IFERROR(INDEX(Jobs!$B$5:$B$604,MATCH(B212,Jobs!$A$5:$A$604,0)),""))</f>
        <v>0</v>
      </c>
      <c r="D212" s="23">
        <f>IF(B212="","",IFERROR(INDEX(Jobs!$H$5:$H$604,MATCH(B212,Jobs!$A$5:$A$604,0)),""))</f>
        <v>0</v>
      </c>
      <c r="E212" s="23">
        <f>IF(B212="","",IFERROR(INDEX(Jobs!$K$5:$K$604,MATCH(B212,Jobs!$A$5:$A$604,0)),""))</f>
        <v>0</v>
      </c>
      <c r="P212" s="50">
        <f>IF(G212="","",IFERROR(INDEX(Checklists!$J$5:$J$404,MATCH(G212,Checklists!$F$5:$F$404,0)),"Yes"))</f>
        <v>0</v>
      </c>
      <c r="Q212" s="31">
        <f>IF(G212="","",IFERROR(INDEX(Checklists!$H$5:$H$404,MATCH(G212,Checklists!$F$5:$F$404,0)),""))</f>
        <v>0</v>
      </c>
      <c r="R212" s="31">
        <f>IF(OR(J212="",Q212=""),"",J212-Q212)</f>
        <v>0</v>
      </c>
      <c r="S212" s="50">
        <f>IF(B212="","",IF(H212="Done","Yes","No"))</f>
        <v>0</v>
      </c>
      <c r="T212" s="39">
        <f>IF(B212="","",IF(G212="","Add - what was the task?",IF(H212="Issue found",IF(M212="Yes","OK - issue reported","Action - tell the client"),IF(H212="Needs rework","Action - rework needed",IF(AND(H212="Skipped",P212="Yes"),"Check - required task skipped",IF(H212="Done","OK","Due"))))))</f>
        <v>0</v>
      </c>
    </row>
    <row r="213" spans="1:20">
      <c r="A213" s="43">
        <f>IF(B213="","","JT-"&amp;TEXT(ROW()-4,"0000"))</f>
        <v>0</v>
      </c>
      <c r="C213" s="18">
        <f>IF(B213="","",IFERROR(INDEX(Jobs!$B$5:$B$604,MATCH(B213,Jobs!$A$5:$A$604,0)),""))</f>
        <v>0</v>
      </c>
      <c r="D213" s="23">
        <f>IF(B213="","",IFERROR(INDEX(Jobs!$H$5:$H$604,MATCH(B213,Jobs!$A$5:$A$604,0)),""))</f>
        <v>0</v>
      </c>
      <c r="E213" s="23">
        <f>IF(B213="","",IFERROR(INDEX(Jobs!$K$5:$K$604,MATCH(B213,Jobs!$A$5:$A$604,0)),""))</f>
        <v>0</v>
      </c>
      <c r="P213" s="50">
        <f>IF(G213="","",IFERROR(INDEX(Checklists!$J$5:$J$404,MATCH(G213,Checklists!$F$5:$F$404,0)),"Yes"))</f>
        <v>0</v>
      </c>
      <c r="Q213" s="31">
        <f>IF(G213="","",IFERROR(INDEX(Checklists!$H$5:$H$404,MATCH(G213,Checklists!$F$5:$F$404,0)),""))</f>
        <v>0</v>
      </c>
      <c r="R213" s="31">
        <f>IF(OR(J213="",Q213=""),"",J213-Q213)</f>
        <v>0</v>
      </c>
      <c r="S213" s="50">
        <f>IF(B213="","",IF(H213="Done","Yes","No"))</f>
        <v>0</v>
      </c>
      <c r="T213" s="39">
        <f>IF(B213="","",IF(G213="","Add - what was the task?",IF(H213="Issue found",IF(M213="Yes","OK - issue reported","Action - tell the client"),IF(H213="Needs rework","Action - rework needed",IF(AND(H213="Skipped",P213="Yes"),"Check - required task skipped",IF(H213="Done","OK","Due"))))))</f>
        <v>0</v>
      </c>
    </row>
    <row r="214" spans="1:20">
      <c r="A214" s="43">
        <f>IF(B214="","","JT-"&amp;TEXT(ROW()-4,"0000"))</f>
        <v>0</v>
      </c>
      <c r="C214" s="18">
        <f>IF(B214="","",IFERROR(INDEX(Jobs!$B$5:$B$604,MATCH(B214,Jobs!$A$5:$A$604,0)),""))</f>
        <v>0</v>
      </c>
      <c r="D214" s="23">
        <f>IF(B214="","",IFERROR(INDEX(Jobs!$H$5:$H$604,MATCH(B214,Jobs!$A$5:$A$604,0)),""))</f>
        <v>0</v>
      </c>
      <c r="E214" s="23">
        <f>IF(B214="","",IFERROR(INDEX(Jobs!$K$5:$K$604,MATCH(B214,Jobs!$A$5:$A$604,0)),""))</f>
        <v>0</v>
      </c>
      <c r="P214" s="50">
        <f>IF(G214="","",IFERROR(INDEX(Checklists!$J$5:$J$404,MATCH(G214,Checklists!$F$5:$F$404,0)),"Yes"))</f>
        <v>0</v>
      </c>
      <c r="Q214" s="31">
        <f>IF(G214="","",IFERROR(INDEX(Checklists!$H$5:$H$404,MATCH(G214,Checklists!$F$5:$F$404,0)),""))</f>
        <v>0</v>
      </c>
      <c r="R214" s="31">
        <f>IF(OR(J214="",Q214=""),"",J214-Q214)</f>
        <v>0</v>
      </c>
      <c r="S214" s="50">
        <f>IF(B214="","",IF(H214="Done","Yes","No"))</f>
        <v>0</v>
      </c>
      <c r="T214" s="39">
        <f>IF(B214="","",IF(G214="","Add - what was the task?",IF(H214="Issue found",IF(M214="Yes","OK - issue reported","Action - tell the client"),IF(H214="Needs rework","Action - rework needed",IF(AND(H214="Skipped",P214="Yes"),"Check - required task skipped",IF(H214="Done","OK","Due"))))))</f>
        <v>0</v>
      </c>
    </row>
    <row r="215" spans="1:20">
      <c r="A215" s="43">
        <f>IF(B215="","","JT-"&amp;TEXT(ROW()-4,"0000"))</f>
        <v>0</v>
      </c>
      <c r="C215" s="18">
        <f>IF(B215="","",IFERROR(INDEX(Jobs!$B$5:$B$604,MATCH(B215,Jobs!$A$5:$A$604,0)),""))</f>
        <v>0</v>
      </c>
      <c r="D215" s="23">
        <f>IF(B215="","",IFERROR(INDEX(Jobs!$H$5:$H$604,MATCH(B215,Jobs!$A$5:$A$604,0)),""))</f>
        <v>0</v>
      </c>
      <c r="E215" s="23">
        <f>IF(B215="","",IFERROR(INDEX(Jobs!$K$5:$K$604,MATCH(B215,Jobs!$A$5:$A$604,0)),""))</f>
        <v>0</v>
      </c>
      <c r="P215" s="50">
        <f>IF(G215="","",IFERROR(INDEX(Checklists!$J$5:$J$404,MATCH(G215,Checklists!$F$5:$F$404,0)),"Yes"))</f>
        <v>0</v>
      </c>
      <c r="Q215" s="31">
        <f>IF(G215="","",IFERROR(INDEX(Checklists!$H$5:$H$404,MATCH(G215,Checklists!$F$5:$F$404,0)),""))</f>
        <v>0</v>
      </c>
      <c r="R215" s="31">
        <f>IF(OR(J215="",Q215=""),"",J215-Q215)</f>
        <v>0</v>
      </c>
      <c r="S215" s="50">
        <f>IF(B215="","",IF(H215="Done","Yes","No"))</f>
        <v>0</v>
      </c>
      <c r="T215" s="39">
        <f>IF(B215="","",IF(G215="","Add - what was the task?",IF(H215="Issue found",IF(M215="Yes","OK - issue reported","Action - tell the client"),IF(H215="Needs rework","Action - rework needed",IF(AND(H215="Skipped",P215="Yes"),"Check - required task skipped",IF(H215="Done","OK","Due"))))))</f>
        <v>0</v>
      </c>
    </row>
    <row r="216" spans="1:20">
      <c r="A216" s="43">
        <f>IF(B216="","","JT-"&amp;TEXT(ROW()-4,"0000"))</f>
        <v>0</v>
      </c>
      <c r="C216" s="18">
        <f>IF(B216="","",IFERROR(INDEX(Jobs!$B$5:$B$604,MATCH(B216,Jobs!$A$5:$A$604,0)),""))</f>
        <v>0</v>
      </c>
      <c r="D216" s="23">
        <f>IF(B216="","",IFERROR(INDEX(Jobs!$H$5:$H$604,MATCH(B216,Jobs!$A$5:$A$604,0)),""))</f>
        <v>0</v>
      </c>
      <c r="E216" s="23">
        <f>IF(B216="","",IFERROR(INDEX(Jobs!$K$5:$K$604,MATCH(B216,Jobs!$A$5:$A$604,0)),""))</f>
        <v>0</v>
      </c>
      <c r="P216" s="50">
        <f>IF(G216="","",IFERROR(INDEX(Checklists!$J$5:$J$404,MATCH(G216,Checklists!$F$5:$F$404,0)),"Yes"))</f>
        <v>0</v>
      </c>
      <c r="Q216" s="31">
        <f>IF(G216="","",IFERROR(INDEX(Checklists!$H$5:$H$404,MATCH(G216,Checklists!$F$5:$F$404,0)),""))</f>
        <v>0</v>
      </c>
      <c r="R216" s="31">
        <f>IF(OR(J216="",Q216=""),"",J216-Q216)</f>
        <v>0</v>
      </c>
      <c r="S216" s="50">
        <f>IF(B216="","",IF(H216="Done","Yes","No"))</f>
        <v>0</v>
      </c>
      <c r="T216" s="39">
        <f>IF(B216="","",IF(G216="","Add - what was the task?",IF(H216="Issue found",IF(M216="Yes","OK - issue reported","Action - tell the client"),IF(H216="Needs rework","Action - rework needed",IF(AND(H216="Skipped",P216="Yes"),"Check - required task skipped",IF(H216="Done","OK","Due"))))))</f>
        <v>0</v>
      </c>
    </row>
    <row r="217" spans="1:20">
      <c r="A217" s="43">
        <f>IF(B217="","","JT-"&amp;TEXT(ROW()-4,"0000"))</f>
        <v>0</v>
      </c>
      <c r="C217" s="18">
        <f>IF(B217="","",IFERROR(INDEX(Jobs!$B$5:$B$604,MATCH(B217,Jobs!$A$5:$A$604,0)),""))</f>
        <v>0</v>
      </c>
      <c r="D217" s="23">
        <f>IF(B217="","",IFERROR(INDEX(Jobs!$H$5:$H$604,MATCH(B217,Jobs!$A$5:$A$604,0)),""))</f>
        <v>0</v>
      </c>
      <c r="E217" s="23">
        <f>IF(B217="","",IFERROR(INDEX(Jobs!$K$5:$K$604,MATCH(B217,Jobs!$A$5:$A$604,0)),""))</f>
        <v>0</v>
      </c>
      <c r="P217" s="50">
        <f>IF(G217="","",IFERROR(INDEX(Checklists!$J$5:$J$404,MATCH(G217,Checklists!$F$5:$F$404,0)),"Yes"))</f>
        <v>0</v>
      </c>
      <c r="Q217" s="31">
        <f>IF(G217="","",IFERROR(INDEX(Checklists!$H$5:$H$404,MATCH(G217,Checklists!$F$5:$F$404,0)),""))</f>
        <v>0</v>
      </c>
      <c r="R217" s="31">
        <f>IF(OR(J217="",Q217=""),"",J217-Q217)</f>
        <v>0</v>
      </c>
      <c r="S217" s="50">
        <f>IF(B217="","",IF(H217="Done","Yes","No"))</f>
        <v>0</v>
      </c>
      <c r="T217" s="39">
        <f>IF(B217="","",IF(G217="","Add - what was the task?",IF(H217="Issue found",IF(M217="Yes","OK - issue reported","Action - tell the client"),IF(H217="Needs rework","Action - rework needed",IF(AND(H217="Skipped",P217="Yes"),"Check - required task skipped",IF(H217="Done","OK","Due"))))))</f>
        <v>0</v>
      </c>
    </row>
    <row r="218" spans="1:20">
      <c r="A218" s="43">
        <f>IF(B218="","","JT-"&amp;TEXT(ROW()-4,"0000"))</f>
        <v>0</v>
      </c>
      <c r="C218" s="18">
        <f>IF(B218="","",IFERROR(INDEX(Jobs!$B$5:$B$604,MATCH(B218,Jobs!$A$5:$A$604,0)),""))</f>
        <v>0</v>
      </c>
      <c r="D218" s="23">
        <f>IF(B218="","",IFERROR(INDEX(Jobs!$H$5:$H$604,MATCH(B218,Jobs!$A$5:$A$604,0)),""))</f>
        <v>0</v>
      </c>
      <c r="E218" s="23">
        <f>IF(B218="","",IFERROR(INDEX(Jobs!$K$5:$K$604,MATCH(B218,Jobs!$A$5:$A$604,0)),""))</f>
        <v>0</v>
      </c>
      <c r="P218" s="50">
        <f>IF(G218="","",IFERROR(INDEX(Checklists!$J$5:$J$404,MATCH(G218,Checklists!$F$5:$F$404,0)),"Yes"))</f>
        <v>0</v>
      </c>
      <c r="Q218" s="31">
        <f>IF(G218="","",IFERROR(INDEX(Checklists!$H$5:$H$404,MATCH(G218,Checklists!$F$5:$F$404,0)),""))</f>
        <v>0</v>
      </c>
      <c r="R218" s="31">
        <f>IF(OR(J218="",Q218=""),"",J218-Q218)</f>
        <v>0</v>
      </c>
      <c r="S218" s="50">
        <f>IF(B218="","",IF(H218="Done","Yes","No"))</f>
        <v>0</v>
      </c>
      <c r="T218" s="39">
        <f>IF(B218="","",IF(G218="","Add - what was the task?",IF(H218="Issue found",IF(M218="Yes","OK - issue reported","Action - tell the client"),IF(H218="Needs rework","Action - rework needed",IF(AND(H218="Skipped",P218="Yes"),"Check - required task skipped",IF(H218="Done","OK","Due"))))))</f>
        <v>0</v>
      </c>
    </row>
    <row r="219" spans="1:20">
      <c r="A219" s="43">
        <f>IF(B219="","","JT-"&amp;TEXT(ROW()-4,"0000"))</f>
        <v>0</v>
      </c>
      <c r="C219" s="18">
        <f>IF(B219="","",IFERROR(INDEX(Jobs!$B$5:$B$604,MATCH(B219,Jobs!$A$5:$A$604,0)),""))</f>
        <v>0</v>
      </c>
      <c r="D219" s="23">
        <f>IF(B219="","",IFERROR(INDEX(Jobs!$H$5:$H$604,MATCH(B219,Jobs!$A$5:$A$604,0)),""))</f>
        <v>0</v>
      </c>
      <c r="E219" s="23">
        <f>IF(B219="","",IFERROR(INDEX(Jobs!$K$5:$K$604,MATCH(B219,Jobs!$A$5:$A$604,0)),""))</f>
        <v>0</v>
      </c>
      <c r="P219" s="50">
        <f>IF(G219="","",IFERROR(INDEX(Checklists!$J$5:$J$404,MATCH(G219,Checklists!$F$5:$F$404,0)),"Yes"))</f>
        <v>0</v>
      </c>
      <c r="Q219" s="31">
        <f>IF(G219="","",IFERROR(INDEX(Checklists!$H$5:$H$404,MATCH(G219,Checklists!$F$5:$F$404,0)),""))</f>
        <v>0</v>
      </c>
      <c r="R219" s="31">
        <f>IF(OR(J219="",Q219=""),"",J219-Q219)</f>
        <v>0</v>
      </c>
      <c r="S219" s="50">
        <f>IF(B219="","",IF(H219="Done","Yes","No"))</f>
        <v>0</v>
      </c>
      <c r="T219" s="39">
        <f>IF(B219="","",IF(G219="","Add - what was the task?",IF(H219="Issue found",IF(M219="Yes","OK - issue reported","Action - tell the client"),IF(H219="Needs rework","Action - rework needed",IF(AND(H219="Skipped",P219="Yes"),"Check - required task skipped",IF(H219="Done","OK","Due"))))))</f>
        <v>0</v>
      </c>
    </row>
    <row r="220" spans="1:20">
      <c r="A220" s="43">
        <f>IF(B220="","","JT-"&amp;TEXT(ROW()-4,"0000"))</f>
        <v>0</v>
      </c>
      <c r="C220" s="18">
        <f>IF(B220="","",IFERROR(INDEX(Jobs!$B$5:$B$604,MATCH(B220,Jobs!$A$5:$A$604,0)),""))</f>
        <v>0</v>
      </c>
      <c r="D220" s="23">
        <f>IF(B220="","",IFERROR(INDEX(Jobs!$H$5:$H$604,MATCH(B220,Jobs!$A$5:$A$604,0)),""))</f>
        <v>0</v>
      </c>
      <c r="E220" s="23">
        <f>IF(B220="","",IFERROR(INDEX(Jobs!$K$5:$K$604,MATCH(B220,Jobs!$A$5:$A$604,0)),""))</f>
        <v>0</v>
      </c>
      <c r="P220" s="50">
        <f>IF(G220="","",IFERROR(INDEX(Checklists!$J$5:$J$404,MATCH(G220,Checklists!$F$5:$F$404,0)),"Yes"))</f>
        <v>0</v>
      </c>
      <c r="Q220" s="31">
        <f>IF(G220="","",IFERROR(INDEX(Checklists!$H$5:$H$404,MATCH(G220,Checklists!$F$5:$F$404,0)),""))</f>
        <v>0</v>
      </c>
      <c r="R220" s="31">
        <f>IF(OR(J220="",Q220=""),"",J220-Q220)</f>
        <v>0</v>
      </c>
      <c r="S220" s="50">
        <f>IF(B220="","",IF(H220="Done","Yes","No"))</f>
        <v>0</v>
      </c>
      <c r="T220" s="39">
        <f>IF(B220="","",IF(G220="","Add - what was the task?",IF(H220="Issue found",IF(M220="Yes","OK - issue reported","Action - tell the client"),IF(H220="Needs rework","Action - rework needed",IF(AND(H220="Skipped",P220="Yes"),"Check - required task skipped",IF(H220="Done","OK","Due"))))))</f>
        <v>0</v>
      </c>
    </row>
    <row r="221" spans="1:20">
      <c r="A221" s="43">
        <f>IF(B221="","","JT-"&amp;TEXT(ROW()-4,"0000"))</f>
        <v>0</v>
      </c>
      <c r="C221" s="18">
        <f>IF(B221="","",IFERROR(INDEX(Jobs!$B$5:$B$604,MATCH(B221,Jobs!$A$5:$A$604,0)),""))</f>
        <v>0</v>
      </c>
      <c r="D221" s="23">
        <f>IF(B221="","",IFERROR(INDEX(Jobs!$H$5:$H$604,MATCH(B221,Jobs!$A$5:$A$604,0)),""))</f>
        <v>0</v>
      </c>
      <c r="E221" s="23">
        <f>IF(B221="","",IFERROR(INDEX(Jobs!$K$5:$K$604,MATCH(B221,Jobs!$A$5:$A$604,0)),""))</f>
        <v>0</v>
      </c>
      <c r="P221" s="50">
        <f>IF(G221="","",IFERROR(INDEX(Checklists!$J$5:$J$404,MATCH(G221,Checklists!$F$5:$F$404,0)),"Yes"))</f>
        <v>0</v>
      </c>
      <c r="Q221" s="31">
        <f>IF(G221="","",IFERROR(INDEX(Checklists!$H$5:$H$404,MATCH(G221,Checklists!$F$5:$F$404,0)),""))</f>
        <v>0</v>
      </c>
      <c r="R221" s="31">
        <f>IF(OR(J221="",Q221=""),"",J221-Q221)</f>
        <v>0</v>
      </c>
      <c r="S221" s="50">
        <f>IF(B221="","",IF(H221="Done","Yes","No"))</f>
        <v>0</v>
      </c>
      <c r="T221" s="39">
        <f>IF(B221="","",IF(G221="","Add - what was the task?",IF(H221="Issue found",IF(M221="Yes","OK - issue reported","Action - tell the client"),IF(H221="Needs rework","Action - rework needed",IF(AND(H221="Skipped",P221="Yes"),"Check - required task skipped",IF(H221="Done","OK","Due"))))))</f>
        <v>0</v>
      </c>
    </row>
    <row r="222" spans="1:20">
      <c r="A222" s="43">
        <f>IF(B222="","","JT-"&amp;TEXT(ROW()-4,"0000"))</f>
        <v>0</v>
      </c>
      <c r="C222" s="18">
        <f>IF(B222="","",IFERROR(INDEX(Jobs!$B$5:$B$604,MATCH(B222,Jobs!$A$5:$A$604,0)),""))</f>
        <v>0</v>
      </c>
      <c r="D222" s="23">
        <f>IF(B222="","",IFERROR(INDEX(Jobs!$H$5:$H$604,MATCH(B222,Jobs!$A$5:$A$604,0)),""))</f>
        <v>0</v>
      </c>
      <c r="E222" s="23">
        <f>IF(B222="","",IFERROR(INDEX(Jobs!$K$5:$K$604,MATCH(B222,Jobs!$A$5:$A$604,0)),""))</f>
        <v>0</v>
      </c>
      <c r="P222" s="50">
        <f>IF(G222="","",IFERROR(INDEX(Checklists!$J$5:$J$404,MATCH(G222,Checklists!$F$5:$F$404,0)),"Yes"))</f>
        <v>0</v>
      </c>
      <c r="Q222" s="31">
        <f>IF(G222="","",IFERROR(INDEX(Checklists!$H$5:$H$404,MATCH(G222,Checklists!$F$5:$F$404,0)),""))</f>
        <v>0</v>
      </c>
      <c r="R222" s="31">
        <f>IF(OR(J222="",Q222=""),"",J222-Q222)</f>
        <v>0</v>
      </c>
      <c r="S222" s="50">
        <f>IF(B222="","",IF(H222="Done","Yes","No"))</f>
        <v>0</v>
      </c>
      <c r="T222" s="39">
        <f>IF(B222="","",IF(G222="","Add - what was the task?",IF(H222="Issue found",IF(M222="Yes","OK - issue reported","Action - tell the client"),IF(H222="Needs rework","Action - rework needed",IF(AND(H222="Skipped",P222="Yes"),"Check - required task skipped",IF(H222="Done","OK","Due"))))))</f>
        <v>0</v>
      </c>
    </row>
    <row r="223" spans="1:20">
      <c r="A223" s="43">
        <f>IF(B223="","","JT-"&amp;TEXT(ROW()-4,"0000"))</f>
        <v>0</v>
      </c>
      <c r="C223" s="18">
        <f>IF(B223="","",IFERROR(INDEX(Jobs!$B$5:$B$604,MATCH(B223,Jobs!$A$5:$A$604,0)),""))</f>
        <v>0</v>
      </c>
      <c r="D223" s="23">
        <f>IF(B223="","",IFERROR(INDEX(Jobs!$H$5:$H$604,MATCH(B223,Jobs!$A$5:$A$604,0)),""))</f>
        <v>0</v>
      </c>
      <c r="E223" s="23">
        <f>IF(B223="","",IFERROR(INDEX(Jobs!$K$5:$K$604,MATCH(B223,Jobs!$A$5:$A$604,0)),""))</f>
        <v>0</v>
      </c>
      <c r="P223" s="50">
        <f>IF(G223="","",IFERROR(INDEX(Checklists!$J$5:$J$404,MATCH(G223,Checklists!$F$5:$F$404,0)),"Yes"))</f>
        <v>0</v>
      </c>
      <c r="Q223" s="31">
        <f>IF(G223="","",IFERROR(INDEX(Checklists!$H$5:$H$404,MATCH(G223,Checklists!$F$5:$F$404,0)),""))</f>
        <v>0</v>
      </c>
      <c r="R223" s="31">
        <f>IF(OR(J223="",Q223=""),"",J223-Q223)</f>
        <v>0</v>
      </c>
      <c r="S223" s="50">
        <f>IF(B223="","",IF(H223="Done","Yes","No"))</f>
        <v>0</v>
      </c>
      <c r="T223" s="39">
        <f>IF(B223="","",IF(G223="","Add - what was the task?",IF(H223="Issue found",IF(M223="Yes","OK - issue reported","Action - tell the client"),IF(H223="Needs rework","Action - rework needed",IF(AND(H223="Skipped",P223="Yes"),"Check - required task skipped",IF(H223="Done","OK","Due"))))))</f>
        <v>0</v>
      </c>
    </row>
    <row r="224" spans="1:20">
      <c r="A224" s="43">
        <f>IF(B224="","","JT-"&amp;TEXT(ROW()-4,"0000"))</f>
        <v>0</v>
      </c>
      <c r="C224" s="18">
        <f>IF(B224="","",IFERROR(INDEX(Jobs!$B$5:$B$604,MATCH(B224,Jobs!$A$5:$A$604,0)),""))</f>
        <v>0</v>
      </c>
      <c r="D224" s="23">
        <f>IF(B224="","",IFERROR(INDEX(Jobs!$H$5:$H$604,MATCH(B224,Jobs!$A$5:$A$604,0)),""))</f>
        <v>0</v>
      </c>
      <c r="E224" s="23">
        <f>IF(B224="","",IFERROR(INDEX(Jobs!$K$5:$K$604,MATCH(B224,Jobs!$A$5:$A$604,0)),""))</f>
        <v>0</v>
      </c>
      <c r="P224" s="50">
        <f>IF(G224="","",IFERROR(INDEX(Checklists!$J$5:$J$404,MATCH(G224,Checklists!$F$5:$F$404,0)),"Yes"))</f>
        <v>0</v>
      </c>
      <c r="Q224" s="31">
        <f>IF(G224="","",IFERROR(INDEX(Checklists!$H$5:$H$404,MATCH(G224,Checklists!$F$5:$F$404,0)),""))</f>
        <v>0</v>
      </c>
      <c r="R224" s="31">
        <f>IF(OR(J224="",Q224=""),"",J224-Q224)</f>
        <v>0</v>
      </c>
      <c r="S224" s="50">
        <f>IF(B224="","",IF(H224="Done","Yes","No"))</f>
        <v>0</v>
      </c>
      <c r="T224" s="39">
        <f>IF(B224="","",IF(G224="","Add - what was the task?",IF(H224="Issue found",IF(M224="Yes","OK - issue reported","Action - tell the client"),IF(H224="Needs rework","Action - rework needed",IF(AND(H224="Skipped",P224="Yes"),"Check - required task skipped",IF(H224="Done","OK","Due"))))))</f>
        <v>0</v>
      </c>
    </row>
    <row r="225" spans="1:20">
      <c r="A225" s="43">
        <f>IF(B225="","","JT-"&amp;TEXT(ROW()-4,"0000"))</f>
        <v>0</v>
      </c>
      <c r="C225" s="18">
        <f>IF(B225="","",IFERROR(INDEX(Jobs!$B$5:$B$604,MATCH(B225,Jobs!$A$5:$A$604,0)),""))</f>
        <v>0</v>
      </c>
      <c r="D225" s="23">
        <f>IF(B225="","",IFERROR(INDEX(Jobs!$H$5:$H$604,MATCH(B225,Jobs!$A$5:$A$604,0)),""))</f>
        <v>0</v>
      </c>
      <c r="E225" s="23">
        <f>IF(B225="","",IFERROR(INDEX(Jobs!$K$5:$K$604,MATCH(B225,Jobs!$A$5:$A$604,0)),""))</f>
        <v>0</v>
      </c>
      <c r="P225" s="50">
        <f>IF(G225="","",IFERROR(INDEX(Checklists!$J$5:$J$404,MATCH(G225,Checklists!$F$5:$F$404,0)),"Yes"))</f>
        <v>0</v>
      </c>
      <c r="Q225" s="31">
        <f>IF(G225="","",IFERROR(INDEX(Checklists!$H$5:$H$404,MATCH(G225,Checklists!$F$5:$F$404,0)),""))</f>
        <v>0</v>
      </c>
      <c r="R225" s="31">
        <f>IF(OR(J225="",Q225=""),"",J225-Q225)</f>
        <v>0</v>
      </c>
      <c r="S225" s="50">
        <f>IF(B225="","",IF(H225="Done","Yes","No"))</f>
        <v>0</v>
      </c>
      <c r="T225" s="39">
        <f>IF(B225="","",IF(G225="","Add - what was the task?",IF(H225="Issue found",IF(M225="Yes","OK - issue reported","Action - tell the client"),IF(H225="Needs rework","Action - rework needed",IF(AND(H225="Skipped",P225="Yes"),"Check - required task skipped",IF(H225="Done","OK","Due"))))))</f>
        <v>0</v>
      </c>
    </row>
    <row r="226" spans="1:20">
      <c r="A226" s="43">
        <f>IF(B226="","","JT-"&amp;TEXT(ROW()-4,"0000"))</f>
        <v>0</v>
      </c>
      <c r="C226" s="18">
        <f>IF(B226="","",IFERROR(INDEX(Jobs!$B$5:$B$604,MATCH(B226,Jobs!$A$5:$A$604,0)),""))</f>
        <v>0</v>
      </c>
      <c r="D226" s="23">
        <f>IF(B226="","",IFERROR(INDEX(Jobs!$H$5:$H$604,MATCH(B226,Jobs!$A$5:$A$604,0)),""))</f>
        <v>0</v>
      </c>
      <c r="E226" s="23">
        <f>IF(B226="","",IFERROR(INDEX(Jobs!$K$5:$K$604,MATCH(B226,Jobs!$A$5:$A$604,0)),""))</f>
        <v>0</v>
      </c>
      <c r="P226" s="50">
        <f>IF(G226="","",IFERROR(INDEX(Checklists!$J$5:$J$404,MATCH(G226,Checklists!$F$5:$F$404,0)),"Yes"))</f>
        <v>0</v>
      </c>
      <c r="Q226" s="31">
        <f>IF(G226="","",IFERROR(INDEX(Checklists!$H$5:$H$404,MATCH(G226,Checklists!$F$5:$F$404,0)),""))</f>
        <v>0</v>
      </c>
      <c r="R226" s="31">
        <f>IF(OR(J226="",Q226=""),"",J226-Q226)</f>
        <v>0</v>
      </c>
      <c r="S226" s="50">
        <f>IF(B226="","",IF(H226="Done","Yes","No"))</f>
        <v>0</v>
      </c>
      <c r="T226" s="39">
        <f>IF(B226="","",IF(G226="","Add - what was the task?",IF(H226="Issue found",IF(M226="Yes","OK - issue reported","Action - tell the client"),IF(H226="Needs rework","Action - rework needed",IF(AND(H226="Skipped",P226="Yes"),"Check - required task skipped",IF(H226="Done","OK","Due"))))))</f>
        <v>0</v>
      </c>
    </row>
    <row r="227" spans="1:20">
      <c r="A227" s="43">
        <f>IF(B227="","","JT-"&amp;TEXT(ROW()-4,"0000"))</f>
        <v>0</v>
      </c>
      <c r="C227" s="18">
        <f>IF(B227="","",IFERROR(INDEX(Jobs!$B$5:$B$604,MATCH(B227,Jobs!$A$5:$A$604,0)),""))</f>
        <v>0</v>
      </c>
      <c r="D227" s="23">
        <f>IF(B227="","",IFERROR(INDEX(Jobs!$H$5:$H$604,MATCH(B227,Jobs!$A$5:$A$604,0)),""))</f>
        <v>0</v>
      </c>
      <c r="E227" s="23">
        <f>IF(B227="","",IFERROR(INDEX(Jobs!$K$5:$K$604,MATCH(B227,Jobs!$A$5:$A$604,0)),""))</f>
        <v>0</v>
      </c>
      <c r="P227" s="50">
        <f>IF(G227="","",IFERROR(INDEX(Checklists!$J$5:$J$404,MATCH(G227,Checklists!$F$5:$F$404,0)),"Yes"))</f>
        <v>0</v>
      </c>
      <c r="Q227" s="31">
        <f>IF(G227="","",IFERROR(INDEX(Checklists!$H$5:$H$404,MATCH(G227,Checklists!$F$5:$F$404,0)),""))</f>
        <v>0</v>
      </c>
      <c r="R227" s="31">
        <f>IF(OR(J227="",Q227=""),"",J227-Q227)</f>
        <v>0</v>
      </c>
      <c r="S227" s="50">
        <f>IF(B227="","",IF(H227="Done","Yes","No"))</f>
        <v>0</v>
      </c>
      <c r="T227" s="39">
        <f>IF(B227="","",IF(G227="","Add - what was the task?",IF(H227="Issue found",IF(M227="Yes","OK - issue reported","Action - tell the client"),IF(H227="Needs rework","Action - rework needed",IF(AND(H227="Skipped",P227="Yes"),"Check - required task skipped",IF(H227="Done","OK","Due"))))))</f>
        <v>0</v>
      </c>
    </row>
    <row r="228" spans="1:20">
      <c r="A228" s="43">
        <f>IF(B228="","","JT-"&amp;TEXT(ROW()-4,"0000"))</f>
        <v>0</v>
      </c>
      <c r="C228" s="18">
        <f>IF(B228="","",IFERROR(INDEX(Jobs!$B$5:$B$604,MATCH(B228,Jobs!$A$5:$A$604,0)),""))</f>
        <v>0</v>
      </c>
      <c r="D228" s="23">
        <f>IF(B228="","",IFERROR(INDEX(Jobs!$H$5:$H$604,MATCH(B228,Jobs!$A$5:$A$604,0)),""))</f>
        <v>0</v>
      </c>
      <c r="E228" s="23">
        <f>IF(B228="","",IFERROR(INDEX(Jobs!$K$5:$K$604,MATCH(B228,Jobs!$A$5:$A$604,0)),""))</f>
        <v>0</v>
      </c>
      <c r="P228" s="50">
        <f>IF(G228="","",IFERROR(INDEX(Checklists!$J$5:$J$404,MATCH(G228,Checklists!$F$5:$F$404,0)),"Yes"))</f>
        <v>0</v>
      </c>
      <c r="Q228" s="31">
        <f>IF(G228="","",IFERROR(INDEX(Checklists!$H$5:$H$404,MATCH(G228,Checklists!$F$5:$F$404,0)),""))</f>
        <v>0</v>
      </c>
      <c r="R228" s="31">
        <f>IF(OR(J228="",Q228=""),"",J228-Q228)</f>
        <v>0</v>
      </c>
      <c r="S228" s="50">
        <f>IF(B228="","",IF(H228="Done","Yes","No"))</f>
        <v>0</v>
      </c>
      <c r="T228" s="39">
        <f>IF(B228="","",IF(G228="","Add - what was the task?",IF(H228="Issue found",IF(M228="Yes","OK - issue reported","Action - tell the client"),IF(H228="Needs rework","Action - rework needed",IF(AND(H228="Skipped",P228="Yes"),"Check - required task skipped",IF(H228="Done","OK","Due"))))))</f>
        <v>0</v>
      </c>
    </row>
    <row r="229" spans="1:20">
      <c r="A229" s="43">
        <f>IF(B229="","","JT-"&amp;TEXT(ROW()-4,"0000"))</f>
        <v>0</v>
      </c>
      <c r="C229" s="18">
        <f>IF(B229="","",IFERROR(INDEX(Jobs!$B$5:$B$604,MATCH(B229,Jobs!$A$5:$A$604,0)),""))</f>
        <v>0</v>
      </c>
      <c r="D229" s="23">
        <f>IF(B229="","",IFERROR(INDEX(Jobs!$H$5:$H$604,MATCH(B229,Jobs!$A$5:$A$604,0)),""))</f>
        <v>0</v>
      </c>
      <c r="E229" s="23">
        <f>IF(B229="","",IFERROR(INDEX(Jobs!$K$5:$K$604,MATCH(B229,Jobs!$A$5:$A$604,0)),""))</f>
        <v>0</v>
      </c>
      <c r="P229" s="50">
        <f>IF(G229="","",IFERROR(INDEX(Checklists!$J$5:$J$404,MATCH(G229,Checklists!$F$5:$F$404,0)),"Yes"))</f>
        <v>0</v>
      </c>
      <c r="Q229" s="31">
        <f>IF(G229="","",IFERROR(INDEX(Checklists!$H$5:$H$404,MATCH(G229,Checklists!$F$5:$F$404,0)),""))</f>
        <v>0</v>
      </c>
      <c r="R229" s="31">
        <f>IF(OR(J229="",Q229=""),"",J229-Q229)</f>
        <v>0</v>
      </c>
      <c r="S229" s="50">
        <f>IF(B229="","",IF(H229="Done","Yes","No"))</f>
        <v>0</v>
      </c>
      <c r="T229" s="39">
        <f>IF(B229="","",IF(G229="","Add - what was the task?",IF(H229="Issue found",IF(M229="Yes","OK - issue reported","Action - tell the client"),IF(H229="Needs rework","Action - rework needed",IF(AND(H229="Skipped",P229="Yes"),"Check - required task skipped",IF(H229="Done","OK","Due"))))))</f>
        <v>0</v>
      </c>
    </row>
    <row r="230" spans="1:20">
      <c r="A230" s="43">
        <f>IF(B230="","","JT-"&amp;TEXT(ROW()-4,"0000"))</f>
        <v>0</v>
      </c>
      <c r="C230" s="18">
        <f>IF(B230="","",IFERROR(INDEX(Jobs!$B$5:$B$604,MATCH(B230,Jobs!$A$5:$A$604,0)),""))</f>
        <v>0</v>
      </c>
      <c r="D230" s="23">
        <f>IF(B230="","",IFERROR(INDEX(Jobs!$H$5:$H$604,MATCH(B230,Jobs!$A$5:$A$604,0)),""))</f>
        <v>0</v>
      </c>
      <c r="E230" s="23">
        <f>IF(B230="","",IFERROR(INDEX(Jobs!$K$5:$K$604,MATCH(B230,Jobs!$A$5:$A$604,0)),""))</f>
        <v>0</v>
      </c>
      <c r="P230" s="50">
        <f>IF(G230="","",IFERROR(INDEX(Checklists!$J$5:$J$404,MATCH(G230,Checklists!$F$5:$F$404,0)),"Yes"))</f>
        <v>0</v>
      </c>
      <c r="Q230" s="31">
        <f>IF(G230="","",IFERROR(INDEX(Checklists!$H$5:$H$404,MATCH(G230,Checklists!$F$5:$F$404,0)),""))</f>
        <v>0</v>
      </c>
      <c r="R230" s="31">
        <f>IF(OR(J230="",Q230=""),"",J230-Q230)</f>
        <v>0</v>
      </c>
      <c r="S230" s="50">
        <f>IF(B230="","",IF(H230="Done","Yes","No"))</f>
        <v>0</v>
      </c>
      <c r="T230" s="39">
        <f>IF(B230="","",IF(G230="","Add - what was the task?",IF(H230="Issue found",IF(M230="Yes","OK - issue reported","Action - tell the client"),IF(H230="Needs rework","Action - rework needed",IF(AND(H230="Skipped",P230="Yes"),"Check - required task skipped",IF(H230="Done","OK","Due"))))))</f>
        <v>0</v>
      </c>
    </row>
    <row r="231" spans="1:20">
      <c r="A231" s="43">
        <f>IF(B231="","","JT-"&amp;TEXT(ROW()-4,"0000"))</f>
        <v>0</v>
      </c>
      <c r="C231" s="18">
        <f>IF(B231="","",IFERROR(INDEX(Jobs!$B$5:$B$604,MATCH(B231,Jobs!$A$5:$A$604,0)),""))</f>
        <v>0</v>
      </c>
      <c r="D231" s="23">
        <f>IF(B231="","",IFERROR(INDEX(Jobs!$H$5:$H$604,MATCH(B231,Jobs!$A$5:$A$604,0)),""))</f>
        <v>0</v>
      </c>
      <c r="E231" s="23">
        <f>IF(B231="","",IFERROR(INDEX(Jobs!$K$5:$K$604,MATCH(B231,Jobs!$A$5:$A$604,0)),""))</f>
        <v>0</v>
      </c>
      <c r="P231" s="50">
        <f>IF(G231="","",IFERROR(INDEX(Checklists!$J$5:$J$404,MATCH(G231,Checklists!$F$5:$F$404,0)),"Yes"))</f>
        <v>0</v>
      </c>
      <c r="Q231" s="31">
        <f>IF(G231="","",IFERROR(INDEX(Checklists!$H$5:$H$404,MATCH(G231,Checklists!$F$5:$F$404,0)),""))</f>
        <v>0</v>
      </c>
      <c r="R231" s="31">
        <f>IF(OR(J231="",Q231=""),"",J231-Q231)</f>
        <v>0</v>
      </c>
      <c r="S231" s="50">
        <f>IF(B231="","",IF(H231="Done","Yes","No"))</f>
        <v>0</v>
      </c>
      <c r="T231" s="39">
        <f>IF(B231="","",IF(G231="","Add - what was the task?",IF(H231="Issue found",IF(M231="Yes","OK - issue reported","Action - tell the client"),IF(H231="Needs rework","Action - rework needed",IF(AND(H231="Skipped",P231="Yes"),"Check - required task skipped",IF(H231="Done","OK","Due"))))))</f>
        <v>0</v>
      </c>
    </row>
    <row r="232" spans="1:20">
      <c r="A232" s="43">
        <f>IF(B232="","","JT-"&amp;TEXT(ROW()-4,"0000"))</f>
        <v>0</v>
      </c>
      <c r="C232" s="18">
        <f>IF(B232="","",IFERROR(INDEX(Jobs!$B$5:$B$604,MATCH(B232,Jobs!$A$5:$A$604,0)),""))</f>
        <v>0</v>
      </c>
      <c r="D232" s="23">
        <f>IF(B232="","",IFERROR(INDEX(Jobs!$H$5:$H$604,MATCH(B232,Jobs!$A$5:$A$604,0)),""))</f>
        <v>0</v>
      </c>
      <c r="E232" s="23">
        <f>IF(B232="","",IFERROR(INDEX(Jobs!$K$5:$K$604,MATCH(B232,Jobs!$A$5:$A$604,0)),""))</f>
        <v>0</v>
      </c>
      <c r="P232" s="50">
        <f>IF(G232="","",IFERROR(INDEX(Checklists!$J$5:$J$404,MATCH(G232,Checklists!$F$5:$F$404,0)),"Yes"))</f>
        <v>0</v>
      </c>
      <c r="Q232" s="31">
        <f>IF(G232="","",IFERROR(INDEX(Checklists!$H$5:$H$404,MATCH(G232,Checklists!$F$5:$F$404,0)),""))</f>
        <v>0</v>
      </c>
      <c r="R232" s="31">
        <f>IF(OR(J232="",Q232=""),"",J232-Q232)</f>
        <v>0</v>
      </c>
      <c r="S232" s="50">
        <f>IF(B232="","",IF(H232="Done","Yes","No"))</f>
        <v>0</v>
      </c>
      <c r="T232" s="39">
        <f>IF(B232="","",IF(G232="","Add - what was the task?",IF(H232="Issue found",IF(M232="Yes","OK - issue reported","Action - tell the client"),IF(H232="Needs rework","Action - rework needed",IF(AND(H232="Skipped",P232="Yes"),"Check - required task skipped",IF(H232="Done","OK","Due"))))))</f>
        <v>0</v>
      </c>
    </row>
    <row r="233" spans="1:20">
      <c r="A233" s="43">
        <f>IF(B233="","","JT-"&amp;TEXT(ROW()-4,"0000"))</f>
        <v>0</v>
      </c>
      <c r="C233" s="18">
        <f>IF(B233="","",IFERROR(INDEX(Jobs!$B$5:$B$604,MATCH(B233,Jobs!$A$5:$A$604,0)),""))</f>
        <v>0</v>
      </c>
      <c r="D233" s="23">
        <f>IF(B233="","",IFERROR(INDEX(Jobs!$H$5:$H$604,MATCH(B233,Jobs!$A$5:$A$604,0)),""))</f>
        <v>0</v>
      </c>
      <c r="E233" s="23">
        <f>IF(B233="","",IFERROR(INDEX(Jobs!$K$5:$K$604,MATCH(B233,Jobs!$A$5:$A$604,0)),""))</f>
        <v>0</v>
      </c>
      <c r="P233" s="50">
        <f>IF(G233="","",IFERROR(INDEX(Checklists!$J$5:$J$404,MATCH(G233,Checklists!$F$5:$F$404,0)),"Yes"))</f>
        <v>0</v>
      </c>
      <c r="Q233" s="31">
        <f>IF(G233="","",IFERROR(INDEX(Checklists!$H$5:$H$404,MATCH(G233,Checklists!$F$5:$F$404,0)),""))</f>
        <v>0</v>
      </c>
      <c r="R233" s="31">
        <f>IF(OR(J233="",Q233=""),"",J233-Q233)</f>
        <v>0</v>
      </c>
      <c r="S233" s="50">
        <f>IF(B233="","",IF(H233="Done","Yes","No"))</f>
        <v>0</v>
      </c>
      <c r="T233" s="39">
        <f>IF(B233="","",IF(G233="","Add - what was the task?",IF(H233="Issue found",IF(M233="Yes","OK - issue reported","Action - tell the client"),IF(H233="Needs rework","Action - rework needed",IF(AND(H233="Skipped",P233="Yes"),"Check - required task skipped",IF(H233="Done","OK","Due"))))))</f>
        <v>0</v>
      </c>
    </row>
    <row r="234" spans="1:20">
      <c r="A234" s="43">
        <f>IF(B234="","","JT-"&amp;TEXT(ROW()-4,"0000"))</f>
        <v>0</v>
      </c>
      <c r="C234" s="18">
        <f>IF(B234="","",IFERROR(INDEX(Jobs!$B$5:$B$604,MATCH(B234,Jobs!$A$5:$A$604,0)),""))</f>
        <v>0</v>
      </c>
      <c r="D234" s="23">
        <f>IF(B234="","",IFERROR(INDEX(Jobs!$H$5:$H$604,MATCH(B234,Jobs!$A$5:$A$604,0)),""))</f>
        <v>0</v>
      </c>
      <c r="E234" s="23">
        <f>IF(B234="","",IFERROR(INDEX(Jobs!$K$5:$K$604,MATCH(B234,Jobs!$A$5:$A$604,0)),""))</f>
        <v>0</v>
      </c>
      <c r="P234" s="50">
        <f>IF(G234="","",IFERROR(INDEX(Checklists!$J$5:$J$404,MATCH(G234,Checklists!$F$5:$F$404,0)),"Yes"))</f>
        <v>0</v>
      </c>
      <c r="Q234" s="31">
        <f>IF(G234="","",IFERROR(INDEX(Checklists!$H$5:$H$404,MATCH(G234,Checklists!$F$5:$F$404,0)),""))</f>
        <v>0</v>
      </c>
      <c r="R234" s="31">
        <f>IF(OR(J234="",Q234=""),"",J234-Q234)</f>
        <v>0</v>
      </c>
      <c r="S234" s="50">
        <f>IF(B234="","",IF(H234="Done","Yes","No"))</f>
        <v>0</v>
      </c>
      <c r="T234" s="39">
        <f>IF(B234="","",IF(G234="","Add - what was the task?",IF(H234="Issue found",IF(M234="Yes","OK - issue reported","Action - tell the client"),IF(H234="Needs rework","Action - rework needed",IF(AND(H234="Skipped",P234="Yes"),"Check - required task skipped",IF(H234="Done","OK","Due"))))))</f>
        <v>0</v>
      </c>
    </row>
    <row r="235" spans="1:20">
      <c r="A235" s="43">
        <f>IF(B235="","","JT-"&amp;TEXT(ROW()-4,"0000"))</f>
        <v>0</v>
      </c>
      <c r="C235" s="18">
        <f>IF(B235="","",IFERROR(INDEX(Jobs!$B$5:$B$604,MATCH(B235,Jobs!$A$5:$A$604,0)),""))</f>
        <v>0</v>
      </c>
      <c r="D235" s="23">
        <f>IF(B235="","",IFERROR(INDEX(Jobs!$H$5:$H$604,MATCH(B235,Jobs!$A$5:$A$604,0)),""))</f>
        <v>0</v>
      </c>
      <c r="E235" s="23">
        <f>IF(B235="","",IFERROR(INDEX(Jobs!$K$5:$K$604,MATCH(B235,Jobs!$A$5:$A$604,0)),""))</f>
        <v>0</v>
      </c>
      <c r="P235" s="50">
        <f>IF(G235="","",IFERROR(INDEX(Checklists!$J$5:$J$404,MATCH(G235,Checklists!$F$5:$F$404,0)),"Yes"))</f>
        <v>0</v>
      </c>
      <c r="Q235" s="31">
        <f>IF(G235="","",IFERROR(INDEX(Checklists!$H$5:$H$404,MATCH(G235,Checklists!$F$5:$F$404,0)),""))</f>
        <v>0</v>
      </c>
      <c r="R235" s="31">
        <f>IF(OR(J235="",Q235=""),"",J235-Q235)</f>
        <v>0</v>
      </c>
      <c r="S235" s="50">
        <f>IF(B235="","",IF(H235="Done","Yes","No"))</f>
        <v>0</v>
      </c>
      <c r="T235" s="39">
        <f>IF(B235="","",IF(G235="","Add - what was the task?",IF(H235="Issue found",IF(M235="Yes","OK - issue reported","Action - tell the client"),IF(H235="Needs rework","Action - rework needed",IF(AND(H235="Skipped",P235="Yes"),"Check - required task skipped",IF(H235="Done","OK","Due"))))))</f>
        <v>0</v>
      </c>
    </row>
    <row r="236" spans="1:20">
      <c r="A236" s="43">
        <f>IF(B236="","","JT-"&amp;TEXT(ROW()-4,"0000"))</f>
        <v>0</v>
      </c>
      <c r="C236" s="18">
        <f>IF(B236="","",IFERROR(INDEX(Jobs!$B$5:$B$604,MATCH(B236,Jobs!$A$5:$A$604,0)),""))</f>
        <v>0</v>
      </c>
      <c r="D236" s="23">
        <f>IF(B236="","",IFERROR(INDEX(Jobs!$H$5:$H$604,MATCH(B236,Jobs!$A$5:$A$604,0)),""))</f>
        <v>0</v>
      </c>
      <c r="E236" s="23">
        <f>IF(B236="","",IFERROR(INDEX(Jobs!$K$5:$K$604,MATCH(B236,Jobs!$A$5:$A$604,0)),""))</f>
        <v>0</v>
      </c>
      <c r="P236" s="50">
        <f>IF(G236="","",IFERROR(INDEX(Checklists!$J$5:$J$404,MATCH(G236,Checklists!$F$5:$F$404,0)),"Yes"))</f>
        <v>0</v>
      </c>
      <c r="Q236" s="31">
        <f>IF(G236="","",IFERROR(INDEX(Checklists!$H$5:$H$404,MATCH(G236,Checklists!$F$5:$F$404,0)),""))</f>
        <v>0</v>
      </c>
      <c r="R236" s="31">
        <f>IF(OR(J236="",Q236=""),"",J236-Q236)</f>
        <v>0</v>
      </c>
      <c r="S236" s="50">
        <f>IF(B236="","",IF(H236="Done","Yes","No"))</f>
        <v>0</v>
      </c>
      <c r="T236" s="39">
        <f>IF(B236="","",IF(G236="","Add - what was the task?",IF(H236="Issue found",IF(M236="Yes","OK - issue reported","Action - tell the client"),IF(H236="Needs rework","Action - rework needed",IF(AND(H236="Skipped",P236="Yes"),"Check - required task skipped",IF(H236="Done","OK","Due"))))))</f>
        <v>0</v>
      </c>
    </row>
    <row r="237" spans="1:20">
      <c r="A237" s="43">
        <f>IF(B237="","","JT-"&amp;TEXT(ROW()-4,"0000"))</f>
        <v>0</v>
      </c>
      <c r="C237" s="18">
        <f>IF(B237="","",IFERROR(INDEX(Jobs!$B$5:$B$604,MATCH(B237,Jobs!$A$5:$A$604,0)),""))</f>
        <v>0</v>
      </c>
      <c r="D237" s="23">
        <f>IF(B237="","",IFERROR(INDEX(Jobs!$H$5:$H$604,MATCH(B237,Jobs!$A$5:$A$604,0)),""))</f>
        <v>0</v>
      </c>
      <c r="E237" s="23">
        <f>IF(B237="","",IFERROR(INDEX(Jobs!$K$5:$K$604,MATCH(B237,Jobs!$A$5:$A$604,0)),""))</f>
        <v>0</v>
      </c>
      <c r="P237" s="50">
        <f>IF(G237="","",IFERROR(INDEX(Checklists!$J$5:$J$404,MATCH(G237,Checklists!$F$5:$F$404,0)),"Yes"))</f>
        <v>0</v>
      </c>
      <c r="Q237" s="31">
        <f>IF(G237="","",IFERROR(INDEX(Checklists!$H$5:$H$404,MATCH(G237,Checklists!$F$5:$F$404,0)),""))</f>
        <v>0</v>
      </c>
      <c r="R237" s="31">
        <f>IF(OR(J237="",Q237=""),"",J237-Q237)</f>
        <v>0</v>
      </c>
      <c r="S237" s="50">
        <f>IF(B237="","",IF(H237="Done","Yes","No"))</f>
        <v>0</v>
      </c>
      <c r="T237" s="39">
        <f>IF(B237="","",IF(G237="","Add - what was the task?",IF(H237="Issue found",IF(M237="Yes","OK - issue reported","Action - tell the client"),IF(H237="Needs rework","Action - rework needed",IF(AND(H237="Skipped",P237="Yes"),"Check - required task skipped",IF(H237="Done","OK","Due"))))))</f>
        <v>0</v>
      </c>
    </row>
    <row r="238" spans="1:20">
      <c r="A238" s="43">
        <f>IF(B238="","","JT-"&amp;TEXT(ROW()-4,"0000"))</f>
        <v>0</v>
      </c>
      <c r="C238" s="18">
        <f>IF(B238="","",IFERROR(INDEX(Jobs!$B$5:$B$604,MATCH(B238,Jobs!$A$5:$A$604,0)),""))</f>
        <v>0</v>
      </c>
      <c r="D238" s="23">
        <f>IF(B238="","",IFERROR(INDEX(Jobs!$H$5:$H$604,MATCH(B238,Jobs!$A$5:$A$604,0)),""))</f>
        <v>0</v>
      </c>
      <c r="E238" s="23">
        <f>IF(B238="","",IFERROR(INDEX(Jobs!$K$5:$K$604,MATCH(B238,Jobs!$A$5:$A$604,0)),""))</f>
        <v>0</v>
      </c>
      <c r="P238" s="50">
        <f>IF(G238="","",IFERROR(INDEX(Checklists!$J$5:$J$404,MATCH(G238,Checklists!$F$5:$F$404,0)),"Yes"))</f>
        <v>0</v>
      </c>
      <c r="Q238" s="31">
        <f>IF(G238="","",IFERROR(INDEX(Checklists!$H$5:$H$404,MATCH(G238,Checklists!$F$5:$F$404,0)),""))</f>
        <v>0</v>
      </c>
      <c r="R238" s="31">
        <f>IF(OR(J238="",Q238=""),"",J238-Q238)</f>
        <v>0</v>
      </c>
      <c r="S238" s="50">
        <f>IF(B238="","",IF(H238="Done","Yes","No"))</f>
        <v>0</v>
      </c>
      <c r="T238" s="39">
        <f>IF(B238="","",IF(G238="","Add - what was the task?",IF(H238="Issue found",IF(M238="Yes","OK - issue reported","Action - tell the client"),IF(H238="Needs rework","Action - rework needed",IF(AND(H238="Skipped",P238="Yes"),"Check - required task skipped",IF(H238="Done","OK","Due"))))))</f>
        <v>0</v>
      </c>
    </row>
    <row r="239" spans="1:20">
      <c r="A239" s="43">
        <f>IF(B239="","","JT-"&amp;TEXT(ROW()-4,"0000"))</f>
        <v>0</v>
      </c>
      <c r="C239" s="18">
        <f>IF(B239="","",IFERROR(INDEX(Jobs!$B$5:$B$604,MATCH(B239,Jobs!$A$5:$A$604,0)),""))</f>
        <v>0</v>
      </c>
      <c r="D239" s="23">
        <f>IF(B239="","",IFERROR(INDEX(Jobs!$H$5:$H$604,MATCH(B239,Jobs!$A$5:$A$604,0)),""))</f>
        <v>0</v>
      </c>
      <c r="E239" s="23">
        <f>IF(B239="","",IFERROR(INDEX(Jobs!$K$5:$K$604,MATCH(B239,Jobs!$A$5:$A$604,0)),""))</f>
        <v>0</v>
      </c>
      <c r="P239" s="50">
        <f>IF(G239="","",IFERROR(INDEX(Checklists!$J$5:$J$404,MATCH(G239,Checklists!$F$5:$F$404,0)),"Yes"))</f>
        <v>0</v>
      </c>
      <c r="Q239" s="31">
        <f>IF(G239="","",IFERROR(INDEX(Checklists!$H$5:$H$404,MATCH(G239,Checklists!$F$5:$F$404,0)),""))</f>
        <v>0</v>
      </c>
      <c r="R239" s="31">
        <f>IF(OR(J239="",Q239=""),"",J239-Q239)</f>
        <v>0</v>
      </c>
      <c r="S239" s="50">
        <f>IF(B239="","",IF(H239="Done","Yes","No"))</f>
        <v>0</v>
      </c>
      <c r="T239" s="39">
        <f>IF(B239="","",IF(G239="","Add - what was the task?",IF(H239="Issue found",IF(M239="Yes","OK - issue reported","Action - tell the client"),IF(H239="Needs rework","Action - rework needed",IF(AND(H239="Skipped",P239="Yes"),"Check - required task skipped",IF(H239="Done","OK","Due"))))))</f>
        <v>0</v>
      </c>
    </row>
    <row r="240" spans="1:20">
      <c r="A240" s="43">
        <f>IF(B240="","","JT-"&amp;TEXT(ROW()-4,"0000"))</f>
        <v>0</v>
      </c>
      <c r="C240" s="18">
        <f>IF(B240="","",IFERROR(INDEX(Jobs!$B$5:$B$604,MATCH(B240,Jobs!$A$5:$A$604,0)),""))</f>
        <v>0</v>
      </c>
      <c r="D240" s="23">
        <f>IF(B240="","",IFERROR(INDEX(Jobs!$H$5:$H$604,MATCH(B240,Jobs!$A$5:$A$604,0)),""))</f>
        <v>0</v>
      </c>
      <c r="E240" s="23">
        <f>IF(B240="","",IFERROR(INDEX(Jobs!$K$5:$K$604,MATCH(B240,Jobs!$A$5:$A$604,0)),""))</f>
        <v>0</v>
      </c>
      <c r="P240" s="50">
        <f>IF(G240="","",IFERROR(INDEX(Checklists!$J$5:$J$404,MATCH(G240,Checklists!$F$5:$F$404,0)),"Yes"))</f>
        <v>0</v>
      </c>
      <c r="Q240" s="31">
        <f>IF(G240="","",IFERROR(INDEX(Checklists!$H$5:$H$404,MATCH(G240,Checklists!$F$5:$F$404,0)),""))</f>
        <v>0</v>
      </c>
      <c r="R240" s="31">
        <f>IF(OR(J240="",Q240=""),"",J240-Q240)</f>
        <v>0</v>
      </c>
      <c r="S240" s="50">
        <f>IF(B240="","",IF(H240="Done","Yes","No"))</f>
        <v>0</v>
      </c>
      <c r="T240" s="39">
        <f>IF(B240="","",IF(G240="","Add - what was the task?",IF(H240="Issue found",IF(M240="Yes","OK - issue reported","Action - tell the client"),IF(H240="Needs rework","Action - rework needed",IF(AND(H240="Skipped",P240="Yes"),"Check - required task skipped",IF(H240="Done","OK","Due"))))))</f>
        <v>0</v>
      </c>
    </row>
    <row r="241" spans="1:20">
      <c r="A241" s="43">
        <f>IF(B241="","","JT-"&amp;TEXT(ROW()-4,"0000"))</f>
        <v>0</v>
      </c>
      <c r="C241" s="18">
        <f>IF(B241="","",IFERROR(INDEX(Jobs!$B$5:$B$604,MATCH(B241,Jobs!$A$5:$A$604,0)),""))</f>
        <v>0</v>
      </c>
      <c r="D241" s="23">
        <f>IF(B241="","",IFERROR(INDEX(Jobs!$H$5:$H$604,MATCH(B241,Jobs!$A$5:$A$604,0)),""))</f>
        <v>0</v>
      </c>
      <c r="E241" s="23">
        <f>IF(B241="","",IFERROR(INDEX(Jobs!$K$5:$K$604,MATCH(B241,Jobs!$A$5:$A$604,0)),""))</f>
        <v>0</v>
      </c>
      <c r="P241" s="50">
        <f>IF(G241="","",IFERROR(INDEX(Checklists!$J$5:$J$404,MATCH(G241,Checklists!$F$5:$F$404,0)),"Yes"))</f>
        <v>0</v>
      </c>
      <c r="Q241" s="31">
        <f>IF(G241="","",IFERROR(INDEX(Checklists!$H$5:$H$404,MATCH(G241,Checklists!$F$5:$F$404,0)),""))</f>
        <v>0</v>
      </c>
      <c r="R241" s="31">
        <f>IF(OR(J241="",Q241=""),"",J241-Q241)</f>
        <v>0</v>
      </c>
      <c r="S241" s="50">
        <f>IF(B241="","",IF(H241="Done","Yes","No"))</f>
        <v>0</v>
      </c>
      <c r="T241" s="39">
        <f>IF(B241="","",IF(G241="","Add - what was the task?",IF(H241="Issue found",IF(M241="Yes","OK - issue reported","Action - tell the client"),IF(H241="Needs rework","Action - rework needed",IF(AND(H241="Skipped",P241="Yes"),"Check - required task skipped",IF(H241="Done","OK","Due"))))))</f>
        <v>0</v>
      </c>
    </row>
    <row r="242" spans="1:20">
      <c r="A242" s="43">
        <f>IF(B242="","","JT-"&amp;TEXT(ROW()-4,"0000"))</f>
        <v>0</v>
      </c>
      <c r="C242" s="18">
        <f>IF(B242="","",IFERROR(INDEX(Jobs!$B$5:$B$604,MATCH(B242,Jobs!$A$5:$A$604,0)),""))</f>
        <v>0</v>
      </c>
      <c r="D242" s="23">
        <f>IF(B242="","",IFERROR(INDEX(Jobs!$H$5:$H$604,MATCH(B242,Jobs!$A$5:$A$604,0)),""))</f>
        <v>0</v>
      </c>
      <c r="E242" s="23">
        <f>IF(B242="","",IFERROR(INDEX(Jobs!$K$5:$K$604,MATCH(B242,Jobs!$A$5:$A$604,0)),""))</f>
        <v>0</v>
      </c>
      <c r="P242" s="50">
        <f>IF(G242="","",IFERROR(INDEX(Checklists!$J$5:$J$404,MATCH(G242,Checklists!$F$5:$F$404,0)),"Yes"))</f>
        <v>0</v>
      </c>
      <c r="Q242" s="31">
        <f>IF(G242="","",IFERROR(INDEX(Checklists!$H$5:$H$404,MATCH(G242,Checklists!$F$5:$F$404,0)),""))</f>
        <v>0</v>
      </c>
      <c r="R242" s="31">
        <f>IF(OR(J242="",Q242=""),"",J242-Q242)</f>
        <v>0</v>
      </c>
      <c r="S242" s="50">
        <f>IF(B242="","",IF(H242="Done","Yes","No"))</f>
        <v>0</v>
      </c>
      <c r="T242" s="39">
        <f>IF(B242="","",IF(G242="","Add - what was the task?",IF(H242="Issue found",IF(M242="Yes","OK - issue reported","Action - tell the client"),IF(H242="Needs rework","Action - rework needed",IF(AND(H242="Skipped",P242="Yes"),"Check - required task skipped",IF(H242="Done","OK","Due"))))))</f>
        <v>0</v>
      </c>
    </row>
    <row r="243" spans="1:20">
      <c r="A243" s="43">
        <f>IF(B243="","","JT-"&amp;TEXT(ROW()-4,"0000"))</f>
        <v>0</v>
      </c>
      <c r="C243" s="18">
        <f>IF(B243="","",IFERROR(INDEX(Jobs!$B$5:$B$604,MATCH(B243,Jobs!$A$5:$A$604,0)),""))</f>
        <v>0</v>
      </c>
      <c r="D243" s="23">
        <f>IF(B243="","",IFERROR(INDEX(Jobs!$H$5:$H$604,MATCH(B243,Jobs!$A$5:$A$604,0)),""))</f>
        <v>0</v>
      </c>
      <c r="E243" s="23">
        <f>IF(B243="","",IFERROR(INDEX(Jobs!$K$5:$K$604,MATCH(B243,Jobs!$A$5:$A$604,0)),""))</f>
        <v>0</v>
      </c>
      <c r="P243" s="50">
        <f>IF(G243="","",IFERROR(INDEX(Checklists!$J$5:$J$404,MATCH(G243,Checklists!$F$5:$F$404,0)),"Yes"))</f>
        <v>0</v>
      </c>
      <c r="Q243" s="31">
        <f>IF(G243="","",IFERROR(INDEX(Checklists!$H$5:$H$404,MATCH(G243,Checklists!$F$5:$F$404,0)),""))</f>
        <v>0</v>
      </c>
      <c r="R243" s="31">
        <f>IF(OR(J243="",Q243=""),"",J243-Q243)</f>
        <v>0</v>
      </c>
      <c r="S243" s="50">
        <f>IF(B243="","",IF(H243="Done","Yes","No"))</f>
        <v>0</v>
      </c>
      <c r="T243" s="39">
        <f>IF(B243="","",IF(G243="","Add - what was the task?",IF(H243="Issue found",IF(M243="Yes","OK - issue reported","Action - tell the client"),IF(H243="Needs rework","Action - rework needed",IF(AND(H243="Skipped",P243="Yes"),"Check - required task skipped",IF(H243="Done","OK","Due"))))))</f>
        <v>0</v>
      </c>
    </row>
    <row r="244" spans="1:20">
      <c r="A244" s="43">
        <f>IF(B244="","","JT-"&amp;TEXT(ROW()-4,"0000"))</f>
        <v>0</v>
      </c>
      <c r="C244" s="18">
        <f>IF(B244="","",IFERROR(INDEX(Jobs!$B$5:$B$604,MATCH(B244,Jobs!$A$5:$A$604,0)),""))</f>
        <v>0</v>
      </c>
      <c r="D244" s="23">
        <f>IF(B244="","",IFERROR(INDEX(Jobs!$H$5:$H$604,MATCH(B244,Jobs!$A$5:$A$604,0)),""))</f>
        <v>0</v>
      </c>
      <c r="E244" s="23">
        <f>IF(B244="","",IFERROR(INDEX(Jobs!$K$5:$K$604,MATCH(B244,Jobs!$A$5:$A$604,0)),""))</f>
        <v>0</v>
      </c>
      <c r="P244" s="50">
        <f>IF(G244="","",IFERROR(INDEX(Checklists!$J$5:$J$404,MATCH(G244,Checklists!$F$5:$F$404,0)),"Yes"))</f>
        <v>0</v>
      </c>
      <c r="Q244" s="31">
        <f>IF(G244="","",IFERROR(INDEX(Checklists!$H$5:$H$404,MATCH(G244,Checklists!$F$5:$F$404,0)),""))</f>
        <v>0</v>
      </c>
      <c r="R244" s="31">
        <f>IF(OR(J244="",Q244=""),"",J244-Q244)</f>
        <v>0</v>
      </c>
      <c r="S244" s="50">
        <f>IF(B244="","",IF(H244="Done","Yes","No"))</f>
        <v>0</v>
      </c>
      <c r="T244" s="39">
        <f>IF(B244="","",IF(G244="","Add - what was the task?",IF(H244="Issue found",IF(M244="Yes","OK - issue reported","Action - tell the client"),IF(H244="Needs rework","Action - rework needed",IF(AND(H244="Skipped",P244="Yes"),"Check - required task skipped",IF(H244="Done","OK","Due"))))))</f>
        <v>0</v>
      </c>
    </row>
    <row r="245" spans="1:20">
      <c r="A245" s="43">
        <f>IF(B245="","","JT-"&amp;TEXT(ROW()-4,"0000"))</f>
        <v>0</v>
      </c>
      <c r="C245" s="18">
        <f>IF(B245="","",IFERROR(INDEX(Jobs!$B$5:$B$604,MATCH(B245,Jobs!$A$5:$A$604,0)),""))</f>
        <v>0</v>
      </c>
      <c r="D245" s="23">
        <f>IF(B245="","",IFERROR(INDEX(Jobs!$H$5:$H$604,MATCH(B245,Jobs!$A$5:$A$604,0)),""))</f>
        <v>0</v>
      </c>
      <c r="E245" s="23">
        <f>IF(B245="","",IFERROR(INDEX(Jobs!$K$5:$K$604,MATCH(B245,Jobs!$A$5:$A$604,0)),""))</f>
        <v>0</v>
      </c>
      <c r="P245" s="50">
        <f>IF(G245="","",IFERROR(INDEX(Checklists!$J$5:$J$404,MATCH(G245,Checklists!$F$5:$F$404,0)),"Yes"))</f>
        <v>0</v>
      </c>
      <c r="Q245" s="31">
        <f>IF(G245="","",IFERROR(INDEX(Checklists!$H$5:$H$404,MATCH(G245,Checklists!$F$5:$F$404,0)),""))</f>
        <v>0</v>
      </c>
      <c r="R245" s="31">
        <f>IF(OR(J245="",Q245=""),"",J245-Q245)</f>
        <v>0</v>
      </c>
      <c r="S245" s="50">
        <f>IF(B245="","",IF(H245="Done","Yes","No"))</f>
        <v>0</v>
      </c>
      <c r="T245" s="39">
        <f>IF(B245="","",IF(G245="","Add - what was the task?",IF(H245="Issue found",IF(M245="Yes","OK - issue reported","Action - tell the client"),IF(H245="Needs rework","Action - rework needed",IF(AND(H245="Skipped",P245="Yes"),"Check - required task skipped",IF(H245="Done","OK","Due"))))))</f>
        <v>0</v>
      </c>
    </row>
    <row r="246" spans="1:20">
      <c r="A246" s="43">
        <f>IF(B246="","","JT-"&amp;TEXT(ROW()-4,"0000"))</f>
        <v>0</v>
      </c>
      <c r="C246" s="18">
        <f>IF(B246="","",IFERROR(INDEX(Jobs!$B$5:$B$604,MATCH(B246,Jobs!$A$5:$A$604,0)),""))</f>
        <v>0</v>
      </c>
      <c r="D246" s="23">
        <f>IF(B246="","",IFERROR(INDEX(Jobs!$H$5:$H$604,MATCH(B246,Jobs!$A$5:$A$604,0)),""))</f>
        <v>0</v>
      </c>
      <c r="E246" s="23">
        <f>IF(B246="","",IFERROR(INDEX(Jobs!$K$5:$K$604,MATCH(B246,Jobs!$A$5:$A$604,0)),""))</f>
        <v>0</v>
      </c>
      <c r="P246" s="50">
        <f>IF(G246="","",IFERROR(INDEX(Checklists!$J$5:$J$404,MATCH(G246,Checklists!$F$5:$F$404,0)),"Yes"))</f>
        <v>0</v>
      </c>
      <c r="Q246" s="31">
        <f>IF(G246="","",IFERROR(INDEX(Checklists!$H$5:$H$404,MATCH(G246,Checklists!$F$5:$F$404,0)),""))</f>
        <v>0</v>
      </c>
      <c r="R246" s="31">
        <f>IF(OR(J246="",Q246=""),"",J246-Q246)</f>
        <v>0</v>
      </c>
      <c r="S246" s="50">
        <f>IF(B246="","",IF(H246="Done","Yes","No"))</f>
        <v>0</v>
      </c>
      <c r="T246" s="39">
        <f>IF(B246="","",IF(G246="","Add - what was the task?",IF(H246="Issue found",IF(M246="Yes","OK - issue reported","Action - tell the client"),IF(H246="Needs rework","Action - rework needed",IF(AND(H246="Skipped",P246="Yes"),"Check - required task skipped",IF(H246="Done","OK","Due"))))))</f>
        <v>0</v>
      </c>
    </row>
    <row r="247" spans="1:20">
      <c r="A247" s="43">
        <f>IF(B247="","","JT-"&amp;TEXT(ROW()-4,"0000"))</f>
        <v>0</v>
      </c>
      <c r="C247" s="18">
        <f>IF(B247="","",IFERROR(INDEX(Jobs!$B$5:$B$604,MATCH(B247,Jobs!$A$5:$A$604,0)),""))</f>
        <v>0</v>
      </c>
      <c r="D247" s="23">
        <f>IF(B247="","",IFERROR(INDEX(Jobs!$H$5:$H$604,MATCH(B247,Jobs!$A$5:$A$604,0)),""))</f>
        <v>0</v>
      </c>
      <c r="E247" s="23">
        <f>IF(B247="","",IFERROR(INDEX(Jobs!$K$5:$K$604,MATCH(B247,Jobs!$A$5:$A$604,0)),""))</f>
        <v>0</v>
      </c>
      <c r="P247" s="50">
        <f>IF(G247="","",IFERROR(INDEX(Checklists!$J$5:$J$404,MATCH(G247,Checklists!$F$5:$F$404,0)),"Yes"))</f>
        <v>0</v>
      </c>
      <c r="Q247" s="31">
        <f>IF(G247="","",IFERROR(INDEX(Checklists!$H$5:$H$404,MATCH(G247,Checklists!$F$5:$F$404,0)),""))</f>
        <v>0</v>
      </c>
      <c r="R247" s="31">
        <f>IF(OR(J247="",Q247=""),"",J247-Q247)</f>
        <v>0</v>
      </c>
      <c r="S247" s="50">
        <f>IF(B247="","",IF(H247="Done","Yes","No"))</f>
        <v>0</v>
      </c>
      <c r="T247" s="39">
        <f>IF(B247="","",IF(G247="","Add - what was the task?",IF(H247="Issue found",IF(M247="Yes","OK - issue reported","Action - tell the client"),IF(H247="Needs rework","Action - rework needed",IF(AND(H247="Skipped",P247="Yes"),"Check - required task skipped",IF(H247="Done","OK","Due"))))))</f>
        <v>0</v>
      </c>
    </row>
    <row r="248" spans="1:20">
      <c r="A248" s="43">
        <f>IF(B248="","","JT-"&amp;TEXT(ROW()-4,"0000"))</f>
        <v>0</v>
      </c>
      <c r="C248" s="18">
        <f>IF(B248="","",IFERROR(INDEX(Jobs!$B$5:$B$604,MATCH(B248,Jobs!$A$5:$A$604,0)),""))</f>
        <v>0</v>
      </c>
      <c r="D248" s="23">
        <f>IF(B248="","",IFERROR(INDEX(Jobs!$H$5:$H$604,MATCH(B248,Jobs!$A$5:$A$604,0)),""))</f>
        <v>0</v>
      </c>
      <c r="E248" s="23">
        <f>IF(B248="","",IFERROR(INDEX(Jobs!$K$5:$K$604,MATCH(B248,Jobs!$A$5:$A$604,0)),""))</f>
        <v>0</v>
      </c>
      <c r="P248" s="50">
        <f>IF(G248="","",IFERROR(INDEX(Checklists!$J$5:$J$404,MATCH(G248,Checklists!$F$5:$F$404,0)),"Yes"))</f>
        <v>0</v>
      </c>
      <c r="Q248" s="31">
        <f>IF(G248="","",IFERROR(INDEX(Checklists!$H$5:$H$404,MATCH(G248,Checklists!$F$5:$F$404,0)),""))</f>
        <v>0</v>
      </c>
      <c r="R248" s="31">
        <f>IF(OR(J248="",Q248=""),"",J248-Q248)</f>
        <v>0</v>
      </c>
      <c r="S248" s="50">
        <f>IF(B248="","",IF(H248="Done","Yes","No"))</f>
        <v>0</v>
      </c>
      <c r="T248" s="39">
        <f>IF(B248="","",IF(G248="","Add - what was the task?",IF(H248="Issue found",IF(M248="Yes","OK - issue reported","Action - tell the client"),IF(H248="Needs rework","Action - rework needed",IF(AND(H248="Skipped",P248="Yes"),"Check - required task skipped",IF(H248="Done","OK","Due"))))))</f>
        <v>0</v>
      </c>
    </row>
    <row r="249" spans="1:20">
      <c r="A249" s="43">
        <f>IF(B249="","","JT-"&amp;TEXT(ROW()-4,"0000"))</f>
        <v>0</v>
      </c>
      <c r="C249" s="18">
        <f>IF(B249="","",IFERROR(INDEX(Jobs!$B$5:$B$604,MATCH(B249,Jobs!$A$5:$A$604,0)),""))</f>
        <v>0</v>
      </c>
      <c r="D249" s="23">
        <f>IF(B249="","",IFERROR(INDEX(Jobs!$H$5:$H$604,MATCH(B249,Jobs!$A$5:$A$604,0)),""))</f>
        <v>0</v>
      </c>
      <c r="E249" s="23">
        <f>IF(B249="","",IFERROR(INDEX(Jobs!$K$5:$K$604,MATCH(B249,Jobs!$A$5:$A$604,0)),""))</f>
        <v>0</v>
      </c>
      <c r="P249" s="50">
        <f>IF(G249="","",IFERROR(INDEX(Checklists!$J$5:$J$404,MATCH(G249,Checklists!$F$5:$F$404,0)),"Yes"))</f>
        <v>0</v>
      </c>
      <c r="Q249" s="31">
        <f>IF(G249="","",IFERROR(INDEX(Checklists!$H$5:$H$404,MATCH(G249,Checklists!$F$5:$F$404,0)),""))</f>
        <v>0</v>
      </c>
      <c r="R249" s="31">
        <f>IF(OR(J249="",Q249=""),"",J249-Q249)</f>
        <v>0</v>
      </c>
      <c r="S249" s="50">
        <f>IF(B249="","",IF(H249="Done","Yes","No"))</f>
        <v>0</v>
      </c>
      <c r="T249" s="39">
        <f>IF(B249="","",IF(G249="","Add - what was the task?",IF(H249="Issue found",IF(M249="Yes","OK - issue reported","Action - tell the client"),IF(H249="Needs rework","Action - rework needed",IF(AND(H249="Skipped",P249="Yes"),"Check - required task skipped",IF(H249="Done","OK","Due"))))))</f>
        <v>0</v>
      </c>
    </row>
    <row r="250" spans="1:20">
      <c r="A250" s="43">
        <f>IF(B250="","","JT-"&amp;TEXT(ROW()-4,"0000"))</f>
        <v>0</v>
      </c>
      <c r="C250" s="18">
        <f>IF(B250="","",IFERROR(INDEX(Jobs!$B$5:$B$604,MATCH(B250,Jobs!$A$5:$A$604,0)),""))</f>
        <v>0</v>
      </c>
      <c r="D250" s="23">
        <f>IF(B250="","",IFERROR(INDEX(Jobs!$H$5:$H$604,MATCH(B250,Jobs!$A$5:$A$604,0)),""))</f>
        <v>0</v>
      </c>
      <c r="E250" s="23">
        <f>IF(B250="","",IFERROR(INDEX(Jobs!$K$5:$K$604,MATCH(B250,Jobs!$A$5:$A$604,0)),""))</f>
        <v>0</v>
      </c>
      <c r="P250" s="50">
        <f>IF(G250="","",IFERROR(INDEX(Checklists!$J$5:$J$404,MATCH(G250,Checklists!$F$5:$F$404,0)),"Yes"))</f>
        <v>0</v>
      </c>
      <c r="Q250" s="31">
        <f>IF(G250="","",IFERROR(INDEX(Checklists!$H$5:$H$404,MATCH(G250,Checklists!$F$5:$F$404,0)),""))</f>
        <v>0</v>
      </c>
      <c r="R250" s="31">
        <f>IF(OR(J250="",Q250=""),"",J250-Q250)</f>
        <v>0</v>
      </c>
      <c r="S250" s="50">
        <f>IF(B250="","",IF(H250="Done","Yes","No"))</f>
        <v>0</v>
      </c>
      <c r="T250" s="39">
        <f>IF(B250="","",IF(G250="","Add - what was the task?",IF(H250="Issue found",IF(M250="Yes","OK - issue reported","Action - tell the client"),IF(H250="Needs rework","Action - rework needed",IF(AND(H250="Skipped",P250="Yes"),"Check - required task skipped",IF(H250="Done","OK","Due"))))))</f>
        <v>0</v>
      </c>
    </row>
    <row r="251" spans="1:20">
      <c r="A251" s="43">
        <f>IF(B251="","","JT-"&amp;TEXT(ROW()-4,"0000"))</f>
        <v>0</v>
      </c>
      <c r="C251" s="18">
        <f>IF(B251="","",IFERROR(INDEX(Jobs!$B$5:$B$604,MATCH(B251,Jobs!$A$5:$A$604,0)),""))</f>
        <v>0</v>
      </c>
      <c r="D251" s="23">
        <f>IF(B251="","",IFERROR(INDEX(Jobs!$H$5:$H$604,MATCH(B251,Jobs!$A$5:$A$604,0)),""))</f>
        <v>0</v>
      </c>
      <c r="E251" s="23">
        <f>IF(B251="","",IFERROR(INDEX(Jobs!$K$5:$K$604,MATCH(B251,Jobs!$A$5:$A$604,0)),""))</f>
        <v>0</v>
      </c>
      <c r="P251" s="50">
        <f>IF(G251="","",IFERROR(INDEX(Checklists!$J$5:$J$404,MATCH(G251,Checklists!$F$5:$F$404,0)),"Yes"))</f>
        <v>0</v>
      </c>
      <c r="Q251" s="31">
        <f>IF(G251="","",IFERROR(INDEX(Checklists!$H$5:$H$404,MATCH(G251,Checklists!$F$5:$F$404,0)),""))</f>
        <v>0</v>
      </c>
      <c r="R251" s="31">
        <f>IF(OR(J251="",Q251=""),"",J251-Q251)</f>
        <v>0</v>
      </c>
      <c r="S251" s="50">
        <f>IF(B251="","",IF(H251="Done","Yes","No"))</f>
        <v>0</v>
      </c>
      <c r="T251" s="39">
        <f>IF(B251="","",IF(G251="","Add - what was the task?",IF(H251="Issue found",IF(M251="Yes","OK - issue reported","Action - tell the client"),IF(H251="Needs rework","Action - rework needed",IF(AND(H251="Skipped",P251="Yes"),"Check - required task skipped",IF(H251="Done","OK","Due"))))))</f>
        <v>0</v>
      </c>
    </row>
    <row r="252" spans="1:20">
      <c r="A252" s="43">
        <f>IF(B252="","","JT-"&amp;TEXT(ROW()-4,"0000"))</f>
        <v>0</v>
      </c>
      <c r="C252" s="18">
        <f>IF(B252="","",IFERROR(INDEX(Jobs!$B$5:$B$604,MATCH(B252,Jobs!$A$5:$A$604,0)),""))</f>
        <v>0</v>
      </c>
      <c r="D252" s="23">
        <f>IF(B252="","",IFERROR(INDEX(Jobs!$H$5:$H$604,MATCH(B252,Jobs!$A$5:$A$604,0)),""))</f>
        <v>0</v>
      </c>
      <c r="E252" s="23">
        <f>IF(B252="","",IFERROR(INDEX(Jobs!$K$5:$K$604,MATCH(B252,Jobs!$A$5:$A$604,0)),""))</f>
        <v>0</v>
      </c>
      <c r="P252" s="50">
        <f>IF(G252="","",IFERROR(INDEX(Checklists!$J$5:$J$404,MATCH(G252,Checklists!$F$5:$F$404,0)),"Yes"))</f>
        <v>0</v>
      </c>
      <c r="Q252" s="31">
        <f>IF(G252="","",IFERROR(INDEX(Checklists!$H$5:$H$404,MATCH(G252,Checklists!$F$5:$F$404,0)),""))</f>
        <v>0</v>
      </c>
      <c r="R252" s="31">
        <f>IF(OR(J252="",Q252=""),"",J252-Q252)</f>
        <v>0</v>
      </c>
      <c r="S252" s="50">
        <f>IF(B252="","",IF(H252="Done","Yes","No"))</f>
        <v>0</v>
      </c>
      <c r="T252" s="39">
        <f>IF(B252="","",IF(G252="","Add - what was the task?",IF(H252="Issue found",IF(M252="Yes","OK - issue reported","Action - tell the client"),IF(H252="Needs rework","Action - rework needed",IF(AND(H252="Skipped",P252="Yes"),"Check - required task skipped",IF(H252="Done","OK","Due"))))))</f>
        <v>0</v>
      </c>
    </row>
    <row r="253" spans="1:20">
      <c r="A253" s="43">
        <f>IF(B253="","","JT-"&amp;TEXT(ROW()-4,"0000"))</f>
        <v>0</v>
      </c>
      <c r="C253" s="18">
        <f>IF(B253="","",IFERROR(INDEX(Jobs!$B$5:$B$604,MATCH(B253,Jobs!$A$5:$A$604,0)),""))</f>
        <v>0</v>
      </c>
      <c r="D253" s="23">
        <f>IF(B253="","",IFERROR(INDEX(Jobs!$H$5:$H$604,MATCH(B253,Jobs!$A$5:$A$604,0)),""))</f>
        <v>0</v>
      </c>
      <c r="E253" s="23">
        <f>IF(B253="","",IFERROR(INDEX(Jobs!$K$5:$K$604,MATCH(B253,Jobs!$A$5:$A$604,0)),""))</f>
        <v>0</v>
      </c>
      <c r="P253" s="50">
        <f>IF(G253="","",IFERROR(INDEX(Checklists!$J$5:$J$404,MATCH(G253,Checklists!$F$5:$F$404,0)),"Yes"))</f>
        <v>0</v>
      </c>
      <c r="Q253" s="31">
        <f>IF(G253="","",IFERROR(INDEX(Checklists!$H$5:$H$404,MATCH(G253,Checklists!$F$5:$F$404,0)),""))</f>
        <v>0</v>
      </c>
      <c r="R253" s="31">
        <f>IF(OR(J253="",Q253=""),"",J253-Q253)</f>
        <v>0</v>
      </c>
      <c r="S253" s="50">
        <f>IF(B253="","",IF(H253="Done","Yes","No"))</f>
        <v>0</v>
      </c>
      <c r="T253" s="39">
        <f>IF(B253="","",IF(G253="","Add - what was the task?",IF(H253="Issue found",IF(M253="Yes","OK - issue reported","Action - tell the client"),IF(H253="Needs rework","Action - rework needed",IF(AND(H253="Skipped",P253="Yes"),"Check - required task skipped",IF(H253="Done","OK","Due"))))))</f>
        <v>0</v>
      </c>
    </row>
    <row r="254" spans="1:20">
      <c r="A254" s="43">
        <f>IF(B254="","","JT-"&amp;TEXT(ROW()-4,"0000"))</f>
        <v>0</v>
      </c>
      <c r="C254" s="18">
        <f>IF(B254="","",IFERROR(INDEX(Jobs!$B$5:$B$604,MATCH(B254,Jobs!$A$5:$A$604,0)),""))</f>
        <v>0</v>
      </c>
      <c r="D254" s="23">
        <f>IF(B254="","",IFERROR(INDEX(Jobs!$H$5:$H$604,MATCH(B254,Jobs!$A$5:$A$604,0)),""))</f>
        <v>0</v>
      </c>
      <c r="E254" s="23">
        <f>IF(B254="","",IFERROR(INDEX(Jobs!$K$5:$K$604,MATCH(B254,Jobs!$A$5:$A$604,0)),""))</f>
        <v>0</v>
      </c>
      <c r="P254" s="50">
        <f>IF(G254="","",IFERROR(INDEX(Checklists!$J$5:$J$404,MATCH(G254,Checklists!$F$5:$F$404,0)),"Yes"))</f>
        <v>0</v>
      </c>
      <c r="Q254" s="31">
        <f>IF(G254="","",IFERROR(INDEX(Checklists!$H$5:$H$404,MATCH(G254,Checklists!$F$5:$F$404,0)),""))</f>
        <v>0</v>
      </c>
      <c r="R254" s="31">
        <f>IF(OR(J254="",Q254=""),"",J254-Q254)</f>
        <v>0</v>
      </c>
      <c r="S254" s="50">
        <f>IF(B254="","",IF(H254="Done","Yes","No"))</f>
        <v>0</v>
      </c>
      <c r="T254" s="39">
        <f>IF(B254="","",IF(G254="","Add - what was the task?",IF(H254="Issue found",IF(M254="Yes","OK - issue reported","Action - tell the client"),IF(H254="Needs rework","Action - rework needed",IF(AND(H254="Skipped",P254="Yes"),"Check - required task skipped",IF(H254="Done","OK","Due"))))))</f>
        <v>0</v>
      </c>
    </row>
    <row r="255" spans="1:20">
      <c r="A255" s="43">
        <f>IF(B255="","","JT-"&amp;TEXT(ROW()-4,"0000"))</f>
        <v>0</v>
      </c>
      <c r="C255" s="18">
        <f>IF(B255="","",IFERROR(INDEX(Jobs!$B$5:$B$604,MATCH(B255,Jobs!$A$5:$A$604,0)),""))</f>
        <v>0</v>
      </c>
      <c r="D255" s="23">
        <f>IF(B255="","",IFERROR(INDEX(Jobs!$H$5:$H$604,MATCH(B255,Jobs!$A$5:$A$604,0)),""))</f>
        <v>0</v>
      </c>
      <c r="E255" s="23">
        <f>IF(B255="","",IFERROR(INDEX(Jobs!$K$5:$K$604,MATCH(B255,Jobs!$A$5:$A$604,0)),""))</f>
        <v>0</v>
      </c>
      <c r="P255" s="50">
        <f>IF(G255="","",IFERROR(INDEX(Checklists!$J$5:$J$404,MATCH(G255,Checklists!$F$5:$F$404,0)),"Yes"))</f>
        <v>0</v>
      </c>
      <c r="Q255" s="31">
        <f>IF(G255="","",IFERROR(INDEX(Checklists!$H$5:$H$404,MATCH(G255,Checklists!$F$5:$F$404,0)),""))</f>
        <v>0</v>
      </c>
      <c r="R255" s="31">
        <f>IF(OR(J255="",Q255=""),"",J255-Q255)</f>
        <v>0</v>
      </c>
      <c r="S255" s="50">
        <f>IF(B255="","",IF(H255="Done","Yes","No"))</f>
        <v>0</v>
      </c>
      <c r="T255" s="39">
        <f>IF(B255="","",IF(G255="","Add - what was the task?",IF(H255="Issue found",IF(M255="Yes","OK - issue reported","Action - tell the client"),IF(H255="Needs rework","Action - rework needed",IF(AND(H255="Skipped",P255="Yes"),"Check - required task skipped",IF(H255="Done","OK","Due"))))))</f>
        <v>0</v>
      </c>
    </row>
    <row r="256" spans="1:20">
      <c r="A256" s="43">
        <f>IF(B256="","","JT-"&amp;TEXT(ROW()-4,"0000"))</f>
        <v>0</v>
      </c>
      <c r="C256" s="18">
        <f>IF(B256="","",IFERROR(INDEX(Jobs!$B$5:$B$604,MATCH(B256,Jobs!$A$5:$A$604,0)),""))</f>
        <v>0</v>
      </c>
      <c r="D256" s="23">
        <f>IF(B256="","",IFERROR(INDEX(Jobs!$H$5:$H$604,MATCH(B256,Jobs!$A$5:$A$604,0)),""))</f>
        <v>0</v>
      </c>
      <c r="E256" s="23">
        <f>IF(B256="","",IFERROR(INDEX(Jobs!$K$5:$K$604,MATCH(B256,Jobs!$A$5:$A$604,0)),""))</f>
        <v>0</v>
      </c>
      <c r="P256" s="50">
        <f>IF(G256="","",IFERROR(INDEX(Checklists!$J$5:$J$404,MATCH(G256,Checklists!$F$5:$F$404,0)),"Yes"))</f>
        <v>0</v>
      </c>
      <c r="Q256" s="31">
        <f>IF(G256="","",IFERROR(INDEX(Checklists!$H$5:$H$404,MATCH(G256,Checklists!$F$5:$F$404,0)),""))</f>
        <v>0</v>
      </c>
      <c r="R256" s="31">
        <f>IF(OR(J256="",Q256=""),"",J256-Q256)</f>
        <v>0</v>
      </c>
      <c r="S256" s="50">
        <f>IF(B256="","",IF(H256="Done","Yes","No"))</f>
        <v>0</v>
      </c>
      <c r="T256" s="39">
        <f>IF(B256="","",IF(G256="","Add - what was the task?",IF(H256="Issue found",IF(M256="Yes","OK - issue reported","Action - tell the client"),IF(H256="Needs rework","Action - rework needed",IF(AND(H256="Skipped",P256="Yes"),"Check - required task skipped",IF(H256="Done","OK","Due"))))))</f>
        <v>0</v>
      </c>
    </row>
    <row r="257" spans="1:20">
      <c r="A257" s="43">
        <f>IF(B257="","","JT-"&amp;TEXT(ROW()-4,"0000"))</f>
        <v>0</v>
      </c>
      <c r="C257" s="18">
        <f>IF(B257="","",IFERROR(INDEX(Jobs!$B$5:$B$604,MATCH(B257,Jobs!$A$5:$A$604,0)),""))</f>
        <v>0</v>
      </c>
      <c r="D257" s="23">
        <f>IF(B257="","",IFERROR(INDEX(Jobs!$H$5:$H$604,MATCH(B257,Jobs!$A$5:$A$604,0)),""))</f>
        <v>0</v>
      </c>
      <c r="E257" s="23">
        <f>IF(B257="","",IFERROR(INDEX(Jobs!$K$5:$K$604,MATCH(B257,Jobs!$A$5:$A$604,0)),""))</f>
        <v>0</v>
      </c>
      <c r="P257" s="50">
        <f>IF(G257="","",IFERROR(INDEX(Checklists!$J$5:$J$404,MATCH(G257,Checklists!$F$5:$F$404,0)),"Yes"))</f>
        <v>0</v>
      </c>
      <c r="Q257" s="31">
        <f>IF(G257="","",IFERROR(INDEX(Checklists!$H$5:$H$404,MATCH(G257,Checklists!$F$5:$F$404,0)),""))</f>
        <v>0</v>
      </c>
      <c r="R257" s="31">
        <f>IF(OR(J257="",Q257=""),"",J257-Q257)</f>
        <v>0</v>
      </c>
      <c r="S257" s="50">
        <f>IF(B257="","",IF(H257="Done","Yes","No"))</f>
        <v>0</v>
      </c>
      <c r="T257" s="39">
        <f>IF(B257="","",IF(G257="","Add - what was the task?",IF(H257="Issue found",IF(M257="Yes","OK - issue reported","Action - tell the client"),IF(H257="Needs rework","Action - rework needed",IF(AND(H257="Skipped",P257="Yes"),"Check - required task skipped",IF(H257="Done","OK","Due"))))))</f>
        <v>0</v>
      </c>
    </row>
    <row r="258" spans="1:20">
      <c r="A258" s="43">
        <f>IF(B258="","","JT-"&amp;TEXT(ROW()-4,"0000"))</f>
        <v>0</v>
      </c>
      <c r="C258" s="18">
        <f>IF(B258="","",IFERROR(INDEX(Jobs!$B$5:$B$604,MATCH(B258,Jobs!$A$5:$A$604,0)),""))</f>
        <v>0</v>
      </c>
      <c r="D258" s="23">
        <f>IF(B258="","",IFERROR(INDEX(Jobs!$H$5:$H$604,MATCH(B258,Jobs!$A$5:$A$604,0)),""))</f>
        <v>0</v>
      </c>
      <c r="E258" s="23">
        <f>IF(B258="","",IFERROR(INDEX(Jobs!$K$5:$K$604,MATCH(B258,Jobs!$A$5:$A$604,0)),""))</f>
        <v>0</v>
      </c>
      <c r="P258" s="50">
        <f>IF(G258="","",IFERROR(INDEX(Checklists!$J$5:$J$404,MATCH(G258,Checklists!$F$5:$F$404,0)),"Yes"))</f>
        <v>0</v>
      </c>
      <c r="Q258" s="31">
        <f>IF(G258="","",IFERROR(INDEX(Checklists!$H$5:$H$404,MATCH(G258,Checklists!$F$5:$F$404,0)),""))</f>
        <v>0</v>
      </c>
      <c r="R258" s="31">
        <f>IF(OR(J258="",Q258=""),"",J258-Q258)</f>
        <v>0</v>
      </c>
      <c r="S258" s="50">
        <f>IF(B258="","",IF(H258="Done","Yes","No"))</f>
        <v>0</v>
      </c>
      <c r="T258" s="39">
        <f>IF(B258="","",IF(G258="","Add - what was the task?",IF(H258="Issue found",IF(M258="Yes","OK - issue reported","Action - tell the client"),IF(H258="Needs rework","Action - rework needed",IF(AND(H258="Skipped",P258="Yes"),"Check - required task skipped",IF(H258="Done","OK","Due"))))))</f>
        <v>0</v>
      </c>
    </row>
    <row r="259" spans="1:20">
      <c r="A259" s="43">
        <f>IF(B259="","","JT-"&amp;TEXT(ROW()-4,"0000"))</f>
        <v>0</v>
      </c>
      <c r="C259" s="18">
        <f>IF(B259="","",IFERROR(INDEX(Jobs!$B$5:$B$604,MATCH(B259,Jobs!$A$5:$A$604,0)),""))</f>
        <v>0</v>
      </c>
      <c r="D259" s="23">
        <f>IF(B259="","",IFERROR(INDEX(Jobs!$H$5:$H$604,MATCH(B259,Jobs!$A$5:$A$604,0)),""))</f>
        <v>0</v>
      </c>
      <c r="E259" s="23">
        <f>IF(B259="","",IFERROR(INDEX(Jobs!$K$5:$K$604,MATCH(B259,Jobs!$A$5:$A$604,0)),""))</f>
        <v>0</v>
      </c>
      <c r="P259" s="50">
        <f>IF(G259="","",IFERROR(INDEX(Checklists!$J$5:$J$404,MATCH(G259,Checklists!$F$5:$F$404,0)),"Yes"))</f>
        <v>0</v>
      </c>
      <c r="Q259" s="31">
        <f>IF(G259="","",IFERROR(INDEX(Checklists!$H$5:$H$404,MATCH(G259,Checklists!$F$5:$F$404,0)),""))</f>
        <v>0</v>
      </c>
      <c r="R259" s="31">
        <f>IF(OR(J259="",Q259=""),"",J259-Q259)</f>
        <v>0</v>
      </c>
      <c r="S259" s="50">
        <f>IF(B259="","",IF(H259="Done","Yes","No"))</f>
        <v>0</v>
      </c>
      <c r="T259" s="39">
        <f>IF(B259="","",IF(G259="","Add - what was the task?",IF(H259="Issue found",IF(M259="Yes","OK - issue reported","Action - tell the client"),IF(H259="Needs rework","Action - rework needed",IF(AND(H259="Skipped",P259="Yes"),"Check - required task skipped",IF(H259="Done","OK","Due"))))))</f>
        <v>0</v>
      </c>
    </row>
    <row r="260" spans="1:20">
      <c r="A260" s="43">
        <f>IF(B260="","","JT-"&amp;TEXT(ROW()-4,"0000"))</f>
        <v>0</v>
      </c>
      <c r="C260" s="18">
        <f>IF(B260="","",IFERROR(INDEX(Jobs!$B$5:$B$604,MATCH(B260,Jobs!$A$5:$A$604,0)),""))</f>
        <v>0</v>
      </c>
      <c r="D260" s="23">
        <f>IF(B260="","",IFERROR(INDEX(Jobs!$H$5:$H$604,MATCH(B260,Jobs!$A$5:$A$604,0)),""))</f>
        <v>0</v>
      </c>
      <c r="E260" s="23">
        <f>IF(B260="","",IFERROR(INDEX(Jobs!$K$5:$K$604,MATCH(B260,Jobs!$A$5:$A$604,0)),""))</f>
        <v>0</v>
      </c>
      <c r="P260" s="50">
        <f>IF(G260="","",IFERROR(INDEX(Checklists!$J$5:$J$404,MATCH(G260,Checklists!$F$5:$F$404,0)),"Yes"))</f>
        <v>0</v>
      </c>
      <c r="Q260" s="31">
        <f>IF(G260="","",IFERROR(INDEX(Checklists!$H$5:$H$404,MATCH(G260,Checklists!$F$5:$F$404,0)),""))</f>
        <v>0</v>
      </c>
      <c r="R260" s="31">
        <f>IF(OR(J260="",Q260=""),"",J260-Q260)</f>
        <v>0</v>
      </c>
      <c r="S260" s="50">
        <f>IF(B260="","",IF(H260="Done","Yes","No"))</f>
        <v>0</v>
      </c>
      <c r="T260" s="39">
        <f>IF(B260="","",IF(G260="","Add - what was the task?",IF(H260="Issue found",IF(M260="Yes","OK - issue reported","Action - tell the client"),IF(H260="Needs rework","Action - rework needed",IF(AND(H260="Skipped",P260="Yes"),"Check - required task skipped",IF(H260="Done","OK","Due"))))))</f>
        <v>0</v>
      </c>
    </row>
    <row r="261" spans="1:20">
      <c r="A261" s="43">
        <f>IF(B261="","","JT-"&amp;TEXT(ROW()-4,"0000"))</f>
        <v>0</v>
      </c>
      <c r="C261" s="18">
        <f>IF(B261="","",IFERROR(INDEX(Jobs!$B$5:$B$604,MATCH(B261,Jobs!$A$5:$A$604,0)),""))</f>
        <v>0</v>
      </c>
      <c r="D261" s="23">
        <f>IF(B261="","",IFERROR(INDEX(Jobs!$H$5:$H$604,MATCH(B261,Jobs!$A$5:$A$604,0)),""))</f>
        <v>0</v>
      </c>
      <c r="E261" s="23">
        <f>IF(B261="","",IFERROR(INDEX(Jobs!$K$5:$K$604,MATCH(B261,Jobs!$A$5:$A$604,0)),""))</f>
        <v>0</v>
      </c>
      <c r="P261" s="50">
        <f>IF(G261="","",IFERROR(INDEX(Checklists!$J$5:$J$404,MATCH(G261,Checklists!$F$5:$F$404,0)),"Yes"))</f>
        <v>0</v>
      </c>
      <c r="Q261" s="31">
        <f>IF(G261="","",IFERROR(INDEX(Checklists!$H$5:$H$404,MATCH(G261,Checklists!$F$5:$F$404,0)),""))</f>
        <v>0</v>
      </c>
      <c r="R261" s="31">
        <f>IF(OR(J261="",Q261=""),"",J261-Q261)</f>
        <v>0</v>
      </c>
      <c r="S261" s="50">
        <f>IF(B261="","",IF(H261="Done","Yes","No"))</f>
        <v>0</v>
      </c>
      <c r="T261" s="39">
        <f>IF(B261="","",IF(G261="","Add - what was the task?",IF(H261="Issue found",IF(M261="Yes","OK - issue reported","Action - tell the client"),IF(H261="Needs rework","Action - rework needed",IF(AND(H261="Skipped",P261="Yes"),"Check - required task skipped",IF(H261="Done","OK","Due"))))))</f>
        <v>0</v>
      </c>
    </row>
    <row r="262" spans="1:20">
      <c r="A262" s="43">
        <f>IF(B262="","","JT-"&amp;TEXT(ROW()-4,"0000"))</f>
        <v>0</v>
      </c>
      <c r="C262" s="18">
        <f>IF(B262="","",IFERROR(INDEX(Jobs!$B$5:$B$604,MATCH(B262,Jobs!$A$5:$A$604,0)),""))</f>
        <v>0</v>
      </c>
      <c r="D262" s="23">
        <f>IF(B262="","",IFERROR(INDEX(Jobs!$H$5:$H$604,MATCH(B262,Jobs!$A$5:$A$604,0)),""))</f>
        <v>0</v>
      </c>
      <c r="E262" s="23">
        <f>IF(B262="","",IFERROR(INDEX(Jobs!$K$5:$K$604,MATCH(B262,Jobs!$A$5:$A$604,0)),""))</f>
        <v>0</v>
      </c>
      <c r="P262" s="50">
        <f>IF(G262="","",IFERROR(INDEX(Checklists!$J$5:$J$404,MATCH(G262,Checklists!$F$5:$F$404,0)),"Yes"))</f>
        <v>0</v>
      </c>
      <c r="Q262" s="31">
        <f>IF(G262="","",IFERROR(INDEX(Checklists!$H$5:$H$404,MATCH(G262,Checklists!$F$5:$F$404,0)),""))</f>
        <v>0</v>
      </c>
      <c r="R262" s="31">
        <f>IF(OR(J262="",Q262=""),"",J262-Q262)</f>
        <v>0</v>
      </c>
      <c r="S262" s="50">
        <f>IF(B262="","",IF(H262="Done","Yes","No"))</f>
        <v>0</v>
      </c>
      <c r="T262" s="39">
        <f>IF(B262="","",IF(G262="","Add - what was the task?",IF(H262="Issue found",IF(M262="Yes","OK - issue reported","Action - tell the client"),IF(H262="Needs rework","Action - rework needed",IF(AND(H262="Skipped",P262="Yes"),"Check - required task skipped",IF(H262="Done","OK","Due"))))))</f>
        <v>0</v>
      </c>
    </row>
    <row r="263" spans="1:20">
      <c r="A263" s="43">
        <f>IF(B263="","","JT-"&amp;TEXT(ROW()-4,"0000"))</f>
        <v>0</v>
      </c>
      <c r="C263" s="18">
        <f>IF(B263="","",IFERROR(INDEX(Jobs!$B$5:$B$604,MATCH(B263,Jobs!$A$5:$A$604,0)),""))</f>
        <v>0</v>
      </c>
      <c r="D263" s="23">
        <f>IF(B263="","",IFERROR(INDEX(Jobs!$H$5:$H$604,MATCH(B263,Jobs!$A$5:$A$604,0)),""))</f>
        <v>0</v>
      </c>
      <c r="E263" s="23">
        <f>IF(B263="","",IFERROR(INDEX(Jobs!$K$5:$K$604,MATCH(B263,Jobs!$A$5:$A$604,0)),""))</f>
        <v>0</v>
      </c>
      <c r="P263" s="50">
        <f>IF(G263="","",IFERROR(INDEX(Checklists!$J$5:$J$404,MATCH(G263,Checklists!$F$5:$F$404,0)),"Yes"))</f>
        <v>0</v>
      </c>
      <c r="Q263" s="31">
        <f>IF(G263="","",IFERROR(INDEX(Checklists!$H$5:$H$404,MATCH(G263,Checklists!$F$5:$F$404,0)),""))</f>
        <v>0</v>
      </c>
      <c r="R263" s="31">
        <f>IF(OR(J263="",Q263=""),"",J263-Q263)</f>
        <v>0</v>
      </c>
      <c r="S263" s="50">
        <f>IF(B263="","",IF(H263="Done","Yes","No"))</f>
        <v>0</v>
      </c>
      <c r="T263" s="39">
        <f>IF(B263="","",IF(G263="","Add - what was the task?",IF(H263="Issue found",IF(M263="Yes","OK - issue reported","Action - tell the client"),IF(H263="Needs rework","Action - rework needed",IF(AND(H263="Skipped",P263="Yes"),"Check - required task skipped",IF(H263="Done","OK","Due"))))))</f>
        <v>0</v>
      </c>
    </row>
    <row r="264" spans="1:20">
      <c r="A264" s="43">
        <f>IF(B264="","","JT-"&amp;TEXT(ROW()-4,"0000"))</f>
        <v>0</v>
      </c>
      <c r="C264" s="18">
        <f>IF(B264="","",IFERROR(INDEX(Jobs!$B$5:$B$604,MATCH(B264,Jobs!$A$5:$A$604,0)),""))</f>
        <v>0</v>
      </c>
      <c r="D264" s="23">
        <f>IF(B264="","",IFERROR(INDEX(Jobs!$H$5:$H$604,MATCH(B264,Jobs!$A$5:$A$604,0)),""))</f>
        <v>0</v>
      </c>
      <c r="E264" s="23">
        <f>IF(B264="","",IFERROR(INDEX(Jobs!$K$5:$K$604,MATCH(B264,Jobs!$A$5:$A$604,0)),""))</f>
        <v>0</v>
      </c>
      <c r="P264" s="50">
        <f>IF(G264="","",IFERROR(INDEX(Checklists!$J$5:$J$404,MATCH(G264,Checklists!$F$5:$F$404,0)),"Yes"))</f>
        <v>0</v>
      </c>
      <c r="Q264" s="31">
        <f>IF(G264="","",IFERROR(INDEX(Checklists!$H$5:$H$404,MATCH(G264,Checklists!$F$5:$F$404,0)),""))</f>
        <v>0</v>
      </c>
      <c r="R264" s="31">
        <f>IF(OR(J264="",Q264=""),"",J264-Q264)</f>
        <v>0</v>
      </c>
      <c r="S264" s="50">
        <f>IF(B264="","",IF(H264="Done","Yes","No"))</f>
        <v>0</v>
      </c>
      <c r="T264" s="39">
        <f>IF(B264="","",IF(G264="","Add - what was the task?",IF(H264="Issue found",IF(M264="Yes","OK - issue reported","Action - tell the client"),IF(H264="Needs rework","Action - rework needed",IF(AND(H264="Skipped",P264="Yes"),"Check - required task skipped",IF(H264="Done","OK","Due"))))))</f>
        <v>0</v>
      </c>
    </row>
    <row r="265" spans="1:20">
      <c r="A265" s="43">
        <f>IF(B265="","","JT-"&amp;TEXT(ROW()-4,"0000"))</f>
        <v>0</v>
      </c>
      <c r="C265" s="18">
        <f>IF(B265="","",IFERROR(INDEX(Jobs!$B$5:$B$604,MATCH(B265,Jobs!$A$5:$A$604,0)),""))</f>
        <v>0</v>
      </c>
      <c r="D265" s="23">
        <f>IF(B265="","",IFERROR(INDEX(Jobs!$H$5:$H$604,MATCH(B265,Jobs!$A$5:$A$604,0)),""))</f>
        <v>0</v>
      </c>
      <c r="E265" s="23">
        <f>IF(B265="","",IFERROR(INDEX(Jobs!$K$5:$K$604,MATCH(B265,Jobs!$A$5:$A$604,0)),""))</f>
        <v>0</v>
      </c>
      <c r="P265" s="50">
        <f>IF(G265="","",IFERROR(INDEX(Checklists!$J$5:$J$404,MATCH(G265,Checklists!$F$5:$F$404,0)),"Yes"))</f>
        <v>0</v>
      </c>
      <c r="Q265" s="31">
        <f>IF(G265="","",IFERROR(INDEX(Checklists!$H$5:$H$404,MATCH(G265,Checklists!$F$5:$F$404,0)),""))</f>
        <v>0</v>
      </c>
      <c r="R265" s="31">
        <f>IF(OR(J265="",Q265=""),"",J265-Q265)</f>
        <v>0</v>
      </c>
      <c r="S265" s="50">
        <f>IF(B265="","",IF(H265="Done","Yes","No"))</f>
        <v>0</v>
      </c>
      <c r="T265" s="39">
        <f>IF(B265="","",IF(G265="","Add - what was the task?",IF(H265="Issue found",IF(M265="Yes","OK - issue reported","Action - tell the client"),IF(H265="Needs rework","Action - rework needed",IF(AND(H265="Skipped",P265="Yes"),"Check - required task skipped",IF(H265="Done","OK","Due"))))))</f>
        <v>0</v>
      </c>
    </row>
    <row r="266" spans="1:20">
      <c r="A266" s="43">
        <f>IF(B266="","","JT-"&amp;TEXT(ROW()-4,"0000"))</f>
        <v>0</v>
      </c>
      <c r="C266" s="18">
        <f>IF(B266="","",IFERROR(INDEX(Jobs!$B$5:$B$604,MATCH(B266,Jobs!$A$5:$A$604,0)),""))</f>
        <v>0</v>
      </c>
      <c r="D266" s="23">
        <f>IF(B266="","",IFERROR(INDEX(Jobs!$H$5:$H$604,MATCH(B266,Jobs!$A$5:$A$604,0)),""))</f>
        <v>0</v>
      </c>
      <c r="E266" s="23">
        <f>IF(B266="","",IFERROR(INDEX(Jobs!$K$5:$K$604,MATCH(B266,Jobs!$A$5:$A$604,0)),""))</f>
        <v>0</v>
      </c>
      <c r="P266" s="50">
        <f>IF(G266="","",IFERROR(INDEX(Checklists!$J$5:$J$404,MATCH(G266,Checklists!$F$5:$F$404,0)),"Yes"))</f>
        <v>0</v>
      </c>
      <c r="Q266" s="31">
        <f>IF(G266="","",IFERROR(INDEX(Checklists!$H$5:$H$404,MATCH(G266,Checklists!$F$5:$F$404,0)),""))</f>
        <v>0</v>
      </c>
      <c r="R266" s="31">
        <f>IF(OR(J266="",Q266=""),"",J266-Q266)</f>
        <v>0</v>
      </c>
      <c r="S266" s="50">
        <f>IF(B266="","",IF(H266="Done","Yes","No"))</f>
        <v>0</v>
      </c>
      <c r="T266" s="39">
        <f>IF(B266="","",IF(G266="","Add - what was the task?",IF(H266="Issue found",IF(M266="Yes","OK - issue reported","Action - tell the client"),IF(H266="Needs rework","Action - rework needed",IF(AND(H266="Skipped",P266="Yes"),"Check - required task skipped",IF(H266="Done","OK","Due"))))))</f>
        <v>0</v>
      </c>
    </row>
    <row r="267" spans="1:20">
      <c r="A267" s="43">
        <f>IF(B267="","","JT-"&amp;TEXT(ROW()-4,"0000"))</f>
        <v>0</v>
      </c>
      <c r="C267" s="18">
        <f>IF(B267="","",IFERROR(INDEX(Jobs!$B$5:$B$604,MATCH(B267,Jobs!$A$5:$A$604,0)),""))</f>
        <v>0</v>
      </c>
      <c r="D267" s="23">
        <f>IF(B267="","",IFERROR(INDEX(Jobs!$H$5:$H$604,MATCH(B267,Jobs!$A$5:$A$604,0)),""))</f>
        <v>0</v>
      </c>
      <c r="E267" s="23">
        <f>IF(B267="","",IFERROR(INDEX(Jobs!$K$5:$K$604,MATCH(B267,Jobs!$A$5:$A$604,0)),""))</f>
        <v>0</v>
      </c>
      <c r="P267" s="50">
        <f>IF(G267="","",IFERROR(INDEX(Checklists!$J$5:$J$404,MATCH(G267,Checklists!$F$5:$F$404,0)),"Yes"))</f>
        <v>0</v>
      </c>
      <c r="Q267" s="31">
        <f>IF(G267="","",IFERROR(INDEX(Checklists!$H$5:$H$404,MATCH(G267,Checklists!$F$5:$F$404,0)),""))</f>
        <v>0</v>
      </c>
      <c r="R267" s="31">
        <f>IF(OR(J267="",Q267=""),"",J267-Q267)</f>
        <v>0</v>
      </c>
      <c r="S267" s="50">
        <f>IF(B267="","",IF(H267="Done","Yes","No"))</f>
        <v>0</v>
      </c>
      <c r="T267" s="39">
        <f>IF(B267="","",IF(G267="","Add - what was the task?",IF(H267="Issue found",IF(M267="Yes","OK - issue reported","Action - tell the client"),IF(H267="Needs rework","Action - rework needed",IF(AND(H267="Skipped",P267="Yes"),"Check - required task skipped",IF(H267="Done","OK","Due"))))))</f>
        <v>0</v>
      </c>
    </row>
    <row r="268" spans="1:20">
      <c r="A268" s="43">
        <f>IF(B268="","","JT-"&amp;TEXT(ROW()-4,"0000"))</f>
        <v>0</v>
      </c>
      <c r="C268" s="18">
        <f>IF(B268="","",IFERROR(INDEX(Jobs!$B$5:$B$604,MATCH(B268,Jobs!$A$5:$A$604,0)),""))</f>
        <v>0</v>
      </c>
      <c r="D268" s="23">
        <f>IF(B268="","",IFERROR(INDEX(Jobs!$H$5:$H$604,MATCH(B268,Jobs!$A$5:$A$604,0)),""))</f>
        <v>0</v>
      </c>
      <c r="E268" s="23">
        <f>IF(B268="","",IFERROR(INDEX(Jobs!$K$5:$K$604,MATCH(B268,Jobs!$A$5:$A$604,0)),""))</f>
        <v>0</v>
      </c>
      <c r="P268" s="50">
        <f>IF(G268="","",IFERROR(INDEX(Checklists!$J$5:$J$404,MATCH(G268,Checklists!$F$5:$F$404,0)),"Yes"))</f>
        <v>0</v>
      </c>
      <c r="Q268" s="31">
        <f>IF(G268="","",IFERROR(INDEX(Checklists!$H$5:$H$404,MATCH(G268,Checklists!$F$5:$F$404,0)),""))</f>
        <v>0</v>
      </c>
      <c r="R268" s="31">
        <f>IF(OR(J268="",Q268=""),"",J268-Q268)</f>
        <v>0</v>
      </c>
      <c r="S268" s="50">
        <f>IF(B268="","",IF(H268="Done","Yes","No"))</f>
        <v>0</v>
      </c>
      <c r="T268" s="39">
        <f>IF(B268="","",IF(G268="","Add - what was the task?",IF(H268="Issue found",IF(M268="Yes","OK - issue reported","Action - tell the client"),IF(H268="Needs rework","Action - rework needed",IF(AND(H268="Skipped",P268="Yes"),"Check - required task skipped",IF(H268="Done","OK","Due"))))))</f>
        <v>0</v>
      </c>
    </row>
    <row r="269" spans="1:20">
      <c r="A269" s="43">
        <f>IF(B269="","","JT-"&amp;TEXT(ROW()-4,"0000"))</f>
        <v>0</v>
      </c>
      <c r="C269" s="18">
        <f>IF(B269="","",IFERROR(INDEX(Jobs!$B$5:$B$604,MATCH(B269,Jobs!$A$5:$A$604,0)),""))</f>
        <v>0</v>
      </c>
      <c r="D269" s="23">
        <f>IF(B269="","",IFERROR(INDEX(Jobs!$H$5:$H$604,MATCH(B269,Jobs!$A$5:$A$604,0)),""))</f>
        <v>0</v>
      </c>
      <c r="E269" s="23">
        <f>IF(B269="","",IFERROR(INDEX(Jobs!$K$5:$K$604,MATCH(B269,Jobs!$A$5:$A$604,0)),""))</f>
        <v>0</v>
      </c>
      <c r="P269" s="50">
        <f>IF(G269="","",IFERROR(INDEX(Checklists!$J$5:$J$404,MATCH(G269,Checklists!$F$5:$F$404,0)),"Yes"))</f>
        <v>0</v>
      </c>
      <c r="Q269" s="31">
        <f>IF(G269="","",IFERROR(INDEX(Checklists!$H$5:$H$404,MATCH(G269,Checklists!$F$5:$F$404,0)),""))</f>
        <v>0</v>
      </c>
      <c r="R269" s="31">
        <f>IF(OR(J269="",Q269=""),"",J269-Q269)</f>
        <v>0</v>
      </c>
      <c r="S269" s="50">
        <f>IF(B269="","",IF(H269="Done","Yes","No"))</f>
        <v>0</v>
      </c>
      <c r="T269" s="39">
        <f>IF(B269="","",IF(G269="","Add - what was the task?",IF(H269="Issue found",IF(M269="Yes","OK - issue reported","Action - tell the client"),IF(H269="Needs rework","Action - rework needed",IF(AND(H269="Skipped",P269="Yes"),"Check - required task skipped",IF(H269="Done","OK","Due"))))))</f>
        <v>0</v>
      </c>
    </row>
    <row r="270" spans="1:20">
      <c r="A270" s="43">
        <f>IF(B270="","","JT-"&amp;TEXT(ROW()-4,"0000"))</f>
        <v>0</v>
      </c>
      <c r="C270" s="18">
        <f>IF(B270="","",IFERROR(INDEX(Jobs!$B$5:$B$604,MATCH(B270,Jobs!$A$5:$A$604,0)),""))</f>
        <v>0</v>
      </c>
      <c r="D270" s="23">
        <f>IF(B270="","",IFERROR(INDEX(Jobs!$H$5:$H$604,MATCH(B270,Jobs!$A$5:$A$604,0)),""))</f>
        <v>0</v>
      </c>
      <c r="E270" s="23">
        <f>IF(B270="","",IFERROR(INDEX(Jobs!$K$5:$K$604,MATCH(B270,Jobs!$A$5:$A$604,0)),""))</f>
        <v>0</v>
      </c>
      <c r="P270" s="50">
        <f>IF(G270="","",IFERROR(INDEX(Checklists!$J$5:$J$404,MATCH(G270,Checklists!$F$5:$F$404,0)),"Yes"))</f>
        <v>0</v>
      </c>
      <c r="Q270" s="31">
        <f>IF(G270="","",IFERROR(INDEX(Checklists!$H$5:$H$404,MATCH(G270,Checklists!$F$5:$F$404,0)),""))</f>
        <v>0</v>
      </c>
      <c r="R270" s="31">
        <f>IF(OR(J270="",Q270=""),"",J270-Q270)</f>
        <v>0</v>
      </c>
      <c r="S270" s="50">
        <f>IF(B270="","",IF(H270="Done","Yes","No"))</f>
        <v>0</v>
      </c>
      <c r="T270" s="39">
        <f>IF(B270="","",IF(G270="","Add - what was the task?",IF(H270="Issue found",IF(M270="Yes","OK - issue reported","Action - tell the client"),IF(H270="Needs rework","Action - rework needed",IF(AND(H270="Skipped",P270="Yes"),"Check - required task skipped",IF(H270="Done","OK","Due"))))))</f>
        <v>0</v>
      </c>
    </row>
    <row r="271" spans="1:20">
      <c r="A271" s="43">
        <f>IF(B271="","","JT-"&amp;TEXT(ROW()-4,"0000"))</f>
        <v>0</v>
      </c>
      <c r="C271" s="18">
        <f>IF(B271="","",IFERROR(INDEX(Jobs!$B$5:$B$604,MATCH(B271,Jobs!$A$5:$A$604,0)),""))</f>
        <v>0</v>
      </c>
      <c r="D271" s="23">
        <f>IF(B271="","",IFERROR(INDEX(Jobs!$H$5:$H$604,MATCH(B271,Jobs!$A$5:$A$604,0)),""))</f>
        <v>0</v>
      </c>
      <c r="E271" s="23">
        <f>IF(B271="","",IFERROR(INDEX(Jobs!$K$5:$K$604,MATCH(B271,Jobs!$A$5:$A$604,0)),""))</f>
        <v>0</v>
      </c>
      <c r="P271" s="50">
        <f>IF(G271="","",IFERROR(INDEX(Checklists!$J$5:$J$404,MATCH(G271,Checklists!$F$5:$F$404,0)),"Yes"))</f>
        <v>0</v>
      </c>
      <c r="Q271" s="31">
        <f>IF(G271="","",IFERROR(INDEX(Checklists!$H$5:$H$404,MATCH(G271,Checklists!$F$5:$F$404,0)),""))</f>
        <v>0</v>
      </c>
      <c r="R271" s="31">
        <f>IF(OR(J271="",Q271=""),"",J271-Q271)</f>
        <v>0</v>
      </c>
      <c r="S271" s="50">
        <f>IF(B271="","",IF(H271="Done","Yes","No"))</f>
        <v>0</v>
      </c>
      <c r="T271" s="39">
        <f>IF(B271="","",IF(G271="","Add - what was the task?",IF(H271="Issue found",IF(M271="Yes","OK - issue reported","Action - tell the client"),IF(H271="Needs rework","Action - rework needed",IF(AND(H271="Skipped",P271="Yes"),"Check - required task skipped",IF(H271="Done","OK","Due"))))))</f>
        <v>0</v>
      </c>
    </row>
    <row r="272" spans="1:20">
      <c r="A272" s="43">
        <f>IF(B272="","","JT-"&amp;TEXT(ROW()-4,"0000"))</f>
        <v>0</v>
      </c>
      <c r="C272" s="18">
        <f>IF(B272="","",IFERROR(INDEX(Jobs!$B$5:$B$604,MATCH(B272,Jobs!$A$5:$A$604,0)),""))</f>
        <v>0</v>
      </c>
      <c r="D272" s="23">
        <f>IF(B272="","",IFERROR(INDEX(Jobs!$H$5:$H$604,MATCH(B272,Jobs!$A$5:$A$604,0)),""))</f>
        <v>0</v>
      </c>
      <c r="E272" s="23">
        <f>IF(B272="","",IFERROR(INDEX(Jobs!$K$5:$K$604,MATCH(B272,Jobs!$A$5:$A$604,0)),""))</f>
        <v>0</v>
      </c>
      <c r="P272" s="50">
        <f>IF(G272="","",IFERROR(INDEX(Checklists!$J$5:$J$404,MATCH(G272,Checklists!$F$5:$F$404,0)),"Yes"))</f>
        <v>0</v>
      </c>
      <c r="Q272" s="31">
        <f>IF(G272="","",IFERROR(INDEX(Checklists!$H$5:$H$404,MATCH(G272,Checklists!$F$5:$F$404,0)),""))</f>
        <v>0</v>
      </c>
      <c r="R272" s="31">
        <f>IF(OR(J272="",Q272=""),"",J272-Q272)</f>
        <v>0</v>
      </c>
      <c r="S272" s="50">
        <f>IF(B272="","",IF(H272="Done","Yes","No"))</f>
        <v>0</v>
      </c>
      <c r="T272" s="39">
        <f>IF(B272="","",IF(G272="","Add - what was the task?",IF(H272="Issue found",IF(M272="Yes","OK - issue reported","Action - tell the client"),IF(H272="Needs rework","Action - rework needed",IF(AND(H272="Skipped",P272="Yes"),"Check - required task skipped",IF(H272="Done","OK","Due"))))))</f>
        <v>0</v>
      </c>
    </row>
    <row r="273" spans="1:20">
      <c r="A273" s="43">
        <f>IF(B273="","","JT-"&amp;TEXT(ROW()-4,"0000"))</f>
        <v>0</v>
      </c>
      <c r="C273" s="18">
        <f>IF(B273="","",IFERROR(INDEX(Jobs!$B$5:$B$604,MATCH(B273,Jobs!$A$5:$A$604,0)),""))</f>
        <v>0</v>
      </c>
      <c r="D273" s="23">
        <f>IF(B273="","",IFERROR(INDEX(Jobs!$H$5:$H$604,MATCH(B273,Jobs!$A$5:$A$604,0)),""))</f>
        <v>0</v>
      </c>
      <c r="E273" s="23">
        <f>IF(B273="","",IFERROR(INDEX(Jobs!$K$5:$K$604,MATCH(B273,Jobs!$A$5:$A$604,0)),""))</f>
        <v>0</v>
      </c>
      <c r="P273" s="50">
        <f>IF(G273="","",IFERROR(INDEX(Checklists!$J$5:$J$404,MATCH(G273,Checklists!$F$5:$F$404,0)),"Yes"))</f>
        <v>0</v>
      </c>
      <c r="Q273" s="31">
        <f>IF(G273="","",IFERROR(INDEX(Checklists!$H$5:$H$404,MATCH(G273,Checklists!$F$5:$F$404,0)),""))</f>
        <v>0</v>
      </c>
      <c r="R273" s="31">
        <f>IF(OR(J273="",Q273=""),"",J273-Q273)</f>
        <v>0</v>
      </c>
      <c r="S273" s="50">
        <f>IF(B273="","",IF(H273="Done","Yes","No"))</f>
        <v>0</v>
      </c>
      <c r="T273" s="39">
        <f>IF(B273="","",IF(G273="","Add - what was the task?",IF(H273="Issue found",IF(M273="Yes","OK - issue reported","Action - tell the client"),IF(H273="Needs rework","Action - rework needed",IF(AND(H273="Skipped",P273="Yes"),"Check - required task skipped",IF(H273="Done","OK","Due"))))))</f>
        <v>0</v>
      </c>
    </row>
    <row r="274" spans="1:20">
      <c r="A274" s="43">
        <f>IF(B274="","","JT-"&amp;TEXT(ROW()-4,"0000"))</f>
        <v>0</v>
      </c>
      <c r="C274" s="18">
        <f>IF(B274="","",IFERROR(INDEX(Jobs!$B$5:$B$604,MATCH(B274,Jobs!$A$5:$A$604,0)),""))</f>
        <v>0</v>
      </c>
      <c r="D274" s="23">
        <f>IF(B274="","",IFERROR(INDEX(Jobs!$H$5:$H$604,MATCH(B274,Jobs!$A$5:$A$604,0)),""))</f>
        <v>0</v>
      </c>
      <c r="E274" s="23">
        <f>IF(B274="","",IFERROR(INDEX(Jobs!$K$5:$K$604,MATCH(B274,Jobs!$A$5:$A$604,0)),""))</f>
        <v>0</v>
      </c>
      <c r="P274" s="50">
        <f>IF(G274="","",IFERROR(INDEX(Checklists!$J$5:$J$404,MATCH(G274,Checklists!$F$5:$F$404,0)),"Yes"))</f>
        <v>0</v>
      </c>
      <c r="Q274" s="31">
        <f>IF(G274="","",IFERROR(INDEX(Checklists!$H$5:$H$404,MATCH(G274,Checklists!$F$5:$F$404,0)),""))</f>
        <v>0</v>
      </c>
      <c r="R274" s="31">
        <f>IF(OR(J274="",Q274=""),"",J274-Q274)</f>
        <v>0</v>
      </c>
      <c r="S274" s="50">
        <f>IF(B274="","",IF(H274="Done","Yes","No"))</f>
        <v>0</v>
      </c>
      <c r="T274" s="39">
        <f>IF(B274="","",IF(G274="","Add - what was the task?",IF(H274="Issue found",IF(M274="Yes","OK - issue reported","Action - tell the client"),IF(H274="Needs rework","Action - rework needed",IF(AND(H274="Skipped",P274="Yes"),"Check - required task skipped",IF(H274="Done","OK","Due"))))))</f>
        <v>0</v>
      </c>
    </row>
    <row r="275" spans="1:20">
      <c r="A275" s="43">
        <f>IF(B275="","","JT-"&amp;TEXT(ROW()-4,"0000"))</f>
        <v>0</v>
      </c>
      <c r="C275" s="18">
        <f>IF(B275="","",IFERROR(INDEX(Jobs!$B$5:$B$604,MATCH(B275,Jobs!$A$5:$A$604,0)),""))</f>
        <v>0</v>
      </c>
      <c r="D275" s="23">
        <f>IF(B275="","",IFERROR(INDEX(Jobs!$H$5:$H$604,MATCH(B275,Jobs!$A$5:$A$604,0)),""))</f>
        <v>0</v>
      </c>
      <c r="E275" s="23">
        <f>IF(B275="","",IFERROR(INDEX(Jobs!$K$5:$K$604,MATCH(B275,Jobs!$A$5:$A$604,0)),""))</f>
        <v>0</v>
      </c>
      <c r="P275" s="50">
        <f>IF(G275="","",IFERROR(INDEX(Checklists!$J$5:$J$404,MATCH(G275,Checklists!$F$5:$F$404,0)),"Yes"))</f>
        <v>0</v>
      </c>
      <c r="Q275" s="31">
        <f>IF(G275="","",IFERROR(INDEX(Checklists!$H$5:$H$404,MATCH(G275,Checklists!$F$5:$F$404,0)),""))</f>
        <v>0</v>
      </c>
      <c r="R275" s="31">
        <f>IF(OR(J275="",Q275=""),"",J275-Q275)</f>
        <v>0</v>
      </c>
      <c r="S275" s="50">
        <f>IF(B275="","",IF(H275="Done","Yes","No"))</f>
        <v>0</v>
      </c>
      <c r="T275" s="39">
        <f>IF(B275="","",IF(G275="","Add - what was the task?",IF(H275="Issue found",IF(M275="Yes","OK - issue reported","Action - tell the client"),IF(H275="Needs rework","Action - rework needed",IF(AND(H275="Skipped",P275="Yes"),"Check - required task skipped",IF(H275="Done","OK","Due"))))))</f>
        <v>0</v>
      </c>
    </row>
    <row r="276" spans="1:20">
      <c r="A276" s="43">
        <f>IF(B276="","","JT-"&amp;TEXT(ROW()-4,"0000"))</f>
        <v>0</v>
      </c>
      <c r="C276" s="18">
        <f>IF(B276="","",IFERROR(INDEX(Jobs!$B$5:$B$604,MATCH(B276,Jobs!$A$5:$A$604,0)),""))</f>
        <v>0</v>
      </c>
      <c r="D276" s="23">
        <f>IF(B276="","",IFERROR(INDEX(Jobs!$H$5:$H$604,MATCH(B276,Jobs!$A$5:$A$604,0)),""))</f>
        <v>0</v>
      </c>
      <c r="E276" s="23">
        <f>IF(B276="","",IFERROR(INDEX(Jobs!$K$5:$K$604,MATCH(B276,Jobs!$A$5:$A$604,0)),""))</f>
        <v>0</v>
      </c>
      <c r="P276" s="50">
        <f>IF(G276="","",IFERROR(INDEX(Checklists!$J$5:$J$404,MATCH(G276,Checklists!$F$5:$F$404,0)),"Yes"))</f>
        <v>0</v>
      </c>
      <c r="Q276" s="31">
        <f>IF(G276="","",IFERROR(INDEX(Checklists!$H$5:$H$404,MATCH(G276,Checklists!$F$5:$F$404,0)),""))</f>
        <v>0</v>
      </c>
      <c r="R276" s="31">
        <f>IF(OR(J276="",Q276=""),"",J276-Q276)</f>
        <v>0</v>
      </c>
      <c r="S276" s="50">
        <f>IF(B276="","",IF(H276="Done","Yes","No"))</f>
        <v>0</v>
      </c>
      <c r="T276" s="39">
        <f>IF(B276="","",IF(G276="","Add - what was the task?",IF(H276="Issue found",IF(M276="Yes","OK - issue reported","Action - tell the client"),IF(H276="Needs rework","Action - rework needed",IF(AND(H276="Skipped",P276="Yes"),"Check - required task skipped",IF(H276="Done","OK","Due"))))))</f>
        <v>0</v>
      </c>
    </row>
    <row r="277" spans="1:20">
      <c r="A277" s="43">
        <f>IF(B277="","","JT-"&amp;TEXT(ROW()-4,"0000"))</f>
        <v>0</v>
      </c>
      <c r="C277" s="18">
        <f>IF(B277="","",IFERROR(INDEX(Jobs!$B$5:$B$604,MATCH(B277,Jobs!$A$5:$A$604,0)),""))</f>
        <v>0</v>
      </c>
      <c r="D277" s="23">
        <f>IF(B277="","",IFERROR(INDEX(Jobs!$H$5:$H$604,MATCH(B277,Jobs!$A$5:$A$604,0)),""))</f>
        <v>0</v>
      </c>
      <c r="E277" s="23">
        <f>IF(B277="","",IFERROR(INDEX(Jobs!$K$5:$K$604,MATCH(B277,Jobs!$A$5:$A$604,0)),""))</f>
        <v>0</v>
      </c>
      <c r="P277" s="50">
        <f>IF(G277="","",IFERROR(INDEX(Checklists!$J$5:$J$404,MATCH(G277,Checklists!$F$5:$F$404,0)),"Yes"))</f>
        <v>0</v>
      </c>
      <c r="Q277" s="31">
        <f>IF(G277="","",IFERROR(INDEX(Checklists!$H$5:$H$404,MATCH(G277,Checklists!$F$5:$F$404,0)),""))</f>
        <v>0</v>
      </c>
      <c r="R277" s="31">
        <f>IF(OR(J277="",Q277=""),"",J277-Q277)</f>
        <v>0</v>
      </c>
      <c r="S277" s="50">
        <f>IF(B277="","",IF(H277="Done","Yes","No"))</f>
        <v>0</v>
      </c>
      <c r="T277" s="39">
        <f>IF(B277="","",IF(G277="","Add - what was the task?",IF(H277="Issue found",IF(M277="Yes","OK - issue reported","Action - tell the client"),IF(H277="Needs rework","Action - rework needed",IF(AND(H277="Skipped",P277="Yes"),"Check - required task skipped",IF(H277="Done","OK","Due"))))))</f>
        <v>0</v>
      </c>
    </row>
    <row r="278" spans="1:20">
      <c r="A278" s="43">
        <f>IF(B278="","","JT-"&amp;TEXT(ROW()-4,"0000"))</f>
        <v>0</v>
      </c>
      <c r="C278" s="18">
        <f>IF(B278="","",IFERROR(INDEX(Jobs!$B$5:$B$604,MATCH(B278,Jobs!$A$5:$A$604,0)),""))</f>
        <v>0</v>
      </c>
      <c r="D278" s="23">
        <f>IF(B278="","",IFERROR(INDEX(Jobs!$H$5:$H$604,MATCH(B278,Jobs!$A$5:$A$604,0)),""))</f>
        <v>0</v>
      </c>
      <c r="E278" s="23">
        <f>IF(B278="","",IFERROR(INDEX(Jobs!$K$5:$K$604,MATCH(B278,Jobs!$A$5:$A$604,0)),""))</f>
        <v>0</v>
      </c>
      <c r="P278" s="50">
        <f>IF(G278="","",IFERROR(INDEX(Checklists!$J$5:$J$404,MATCH(G278,Checklists!$F$5:$F$404,0)),"Yes"))</f>
        <v>0</v>
      </c>
      <c r="Q278" s="31">
        <f>IF(G278="","",IFERROR(INDEX(Checklists!$H$5:$H$404,MATCH(G278,Checklists!$F$5:$F$404,0)),""))</f>
        <v>0</v>
      </c>
      <c r="R278" s="31">
        <f>IF(OR(J278="",Q278=""),"",J278-Q278)</f>
        <v>0</v>
      </c>
      <c r="S278" s="50">
        <f>IF(B278="","",IF(H278="Done","Yes","No"))</f>
        <v>0</v>
      </c>
      <c r="T278" s="39">
        <f>IF(B278="","",IF(G278="","Add - what was the task?",IF(H278="Issue found",IF(M278="Yes","OK - issue reported","Action - tell the client"),IF(H278="Needs rework","Action - rework needed",IF(AND(H278="Skipped",P278="Yes"),"Check - required task skipped",IF(H278="Done","OK","Due"))))))</f>
        <v>0</v>
      </c>
    </row>
    <row r="279" spans="1:20">
      <c r="A279" s="43">
        <f>IF(B279="","","JT-"&amp;TEXT(ROW()-4,"0000"))</f>
        <v>0</v>
      </c>
      <c r="C279" s="18">
        <f>IF(B279="","",IFERROR(INDEX(Jobs!$B$5:$B$604,MATCH(B279,Jobs!$A$5:$A$604,0)),""))</f>
        <v>0</v>
      </c>
      <c r="D279" s="23">
        <f>IF(B279="","",IFERROR(INDEX(Jobs!$H$5:$H$604,MATCH(B279,Jobs!$A$5:$A$604,0)),""))</f>
        <v>0</v>
      </c>
      <c r="E279" s="23">
        <f>IF(B279="","",IFERROR(INDEX(Jobs!$K$5:$K$604,MATCH(B279,Jobs!$A$5:$A$604,0)),""))</f>
        <v>0</v>
      </c>
      <c r="P279" s="50">
        <f>IF(G279="","",IFERROR(INDEX(Checklists!$J$5:$J$404,MATCH(G279,Checklists!$F$5:$F$404,0)),"Yes"))</f>
        <v>0</v>
      </c>
      <c r="Q279" s="31">
        <f>IF(G279="","",IFERROR(INDEX(Checklists!$H$5:$H$404,MATCH(G279,Checklists!$F$5:$F$404,0)),""))</f>
        <v>0</v>
      </c>
      <c r="R279" s="31">
        <f>IF(OR(J279="",Q279=""),"",J279-Q279)</f>
        <v>0</v>
      </c>
      <c r="S279" s="50">
        <f>IF(B279="","",IF(H279="Done","Yes","No"))</f>
        <v>0</v>
      </c>
      <c r="T279" s="39">
        <f>IF(B279="","",IF(G279="","Add - what was the task?",IF(H279="Issue found",IF(M279="Yes","OK - issue reported","Action - tell the client"),IF(H279="Needs rework","Action - rework needed",IF(AND(H279="Skipped",P279="Yes"),"Check - required task skipped",IF(H279="Done","OK","Due"))))))</f>
        <v>0</v>
      </c>
    </row>
    <row r="280" spans="1:20">
      <c r="A280" s="43">
        <f>IF(B280="","","JT-"&amp;TEXT(ROW()-4,"0000"))</f>
        <v>0</v>
      </c>
      <c r="C280" s="18">
        <f>IF(B280="","",IFERROR(INDEX(Jobs!$B$5:$B$604,MATCH(B280,Jobs!$A$5:$A$604,0)),""))</f>
        <v>0</v>
      </c>
      <c r="D280" s="23">
        <f>IF(B280="","",IFERROR(INDEX(Jobs!$H$5:$H$604,MATCH(B280,Jobs!$A$5:$A$604,0)),""))</f>
        <v>0</v>
      </c>
      <c r="E280" s="23">
        <f>IF(B280="","",IFERROR(INDEX(Jobs!$K$5:$K$604,MATCH(B280,Jobs!$A$5:$A$604,0)),""))</f>
        <v>0</v>
      </c>
      <c r="P280" s="50">
        <f>IF(G280="","",IFERROR(INDEX(Checklists!$J$5:$J$404,MATCH(G280,Checklists!$F$5:$F$404,0)),"Yes"))</f>
        <v>0</v>
      </c>
      <c r="Q280" s="31">
        <f>IF(G280="","",IFERROR(INDEX(Checklists!$H$5:$H$404,MATCH(G280,Checklists!$F$5:$F$404,0)),""))</f>
        <v>0</v>
      </c>
      <c r="R280" s="31">
        <f>IF(OR(J280="",Q280=""),"",J280-Q280)</f>
        <v>0</v>
      </c>
      <c r="S280" s="50">
        <f>IF(B280="","",IF(H280="Done","Yes","No"))</f>
        <v>0</v>
      </c>
      <c r="T280" s="39">
        <f>IF(B280="","",IF(G280="","Add - what was the task?",IF(H280="Issue found",IF(M280="Yes","OK - issue reported","Action - tell the client"),IF(H280="Needs rework","Action - rework needed",IF(AND(H280="Skipped",P280="Yes"),"Check - required task skipped",IF(H280="Done","OK","Due"))))))</f>
        <v>0</v>
      </c>
    </row>
    <row r="281" spans="1:20">
      <c r="A281" s="43">
        <f>IF(B281="","","JT-"&amp;TEXT(ROW()-4,"0000"))</f>
        <v>0</v>
      </c>
      <c r="C281" s="18">
        <f>IF(B281="","",IFERROR(INDEX(Jobs!$B$5:$B$604,MATCH(B281,Jobs!$A$5:$A$604,0)),""))</f>
        <v>0</v>
      </c>
      <c r="D281" s="23">
        <f>IF(B281="","",IFERROR(INDEX(Jobs!$H$5:$H$604,MATCH(B281,Jobs!$A$5:$A$604,0)),""))</f>
        <v>0</v>
      </c>
      <c r="E281" s="23">
        <f>IF(B281="","",IFERROR(INDEX(Jobs!$K$5:$K$604,MATCH(B281,Jobs!$A$5:$A$604,0)),""))</f>
        <v>0</v>
      </c>
      <c r="P281" s="50">
        <f>IF(G281="","",IFERROR(INDEX(Checklists!$J$5:$J$404,MATCH(G281,Checklists!$F$5:$F$404,0)),"Yes"))</f>
        <v>0</v>
      </c>
      <c r="Q281" s="31">
        <f>IF(G281="","",IFERROR(INDEX(Checklists!$H$5:$H$404,MATCH(G281,Checklists!$F$5:$F$404,0)),""))</f>
        <v>0</v>
      </c>
      <c r="R281" s="31">
        <f>IF(OR(J281="",Q281=""),"",J281-Q281)</f>
        <v>0</v>
      </c>
      <c r="S281" s="50">
        <f>IF(B281="","",IF(H281="Done","Yes","No"))</f>
        <v>0</v>
      </c>
      <c r="T281" s="39">
        <f>IF(B281="","",IF(G281="","Add - what was the task?",IF(H281="Issue found",IF(M281="Yes","OK - issue reported","Action - tell the client"),IF(H281="Needs rework","Action - rework needed",IF(AND(H281="Skipped",P281="Yes"),"Check - required task skipped",IF(H281="Done","OK","Due"))))))</f>
        <v>0</v>
      </c>
    </row>
    <row r="282" spans="1:20">
      <c r="A282" s="43">
        <f>IF(B282="","","JT-"&amp;TEXT(ROW()-4,"0000"))</f>
        <v>0</v>
      </c>
      <c r="C282" s="18">
        <f>IF(B282="","",IFERROR(INDEX(Jobs!$B$5:$B$604,MATCH(B282,Jobs!$A$5:$A$604,0)),""))</f>
        <v>0</v>
      </c>
      <c r="D282" s="23">
        <f>IF(B282="","",IFERROR(INDEX(Jobs!$H$5:$H$604,MATCH(B282,Jobs!$A$5:$A$604,0)),""))</f>
        <v>0</v>
      </c>
      <c r="E282" s="23">
        <f>IF(B282="","",IFERROR(INDEX(Jobs!$K$5:$K$604,MATCH(B282,Jobs!$A$5:$A$604,0)),""))</f>
        <v>0</v>
      </c>
      <c r="P282" s="50">
        <f>IF(G282="","",IFERROR(INDEX(Checklists!$J$5:$J$404,MATCH(G282,Checklists!$F$5:$F$404,0)),"Yes"))</f>
        <v>0</v>
      </c>
      <c r="Q282" s="31">
        <f>IF(G282="","",IFERROR(INDEX(Checklists!$H$5:$H$404,MATCH(G282,Checklists!$F$5:$F$404,0)),""))</f>
        <v>0</v>
      </c>
      <c r="R282" s="31">
        <f>IF(OR(J282="",Q282=""),"",J282-Q282)</f>
        <v>0</v>
      </c>
      <c r="S282" s="50">
        <f>IF(B282="","",IF(H282="Done","Yes","No"))</f>
        <v>0</v>
      </c>
      <c r="T282" s="39">
        <f>IF(B282="","",IF(G282="","Add - what was the task?",IF(H282="Issue found",IF(M282="Yes","OK - issue reported","Action - tell the client"),IF(H282="Needs rework","Action - rework needed",IF(AND(H282="Skipped",P282="Yes"),"Check - required task skipped",IF(H282="Done","OK","Due"))))))</f>
        <v>0</v>
      </c>
    </row>
    <row r="283" spans="1:20">
      <c r="A283" s="43">
        <f>IF(B283="","","JT-"&amp;TEXT(ROW()-4,"0000"))</f>
        <v>0</v>
      </c>
      <c r="C283" s="18">
        <f>IF(B283="","",IFERROR(INDEX(Jobs!$B$5:$B$604,MATCH(B283,Jobs!$A$5:$A$604,0)),""))</f>
        <v>0</v>
      </c>
      <c r="D283" s="23">
        <f>IF(B283="","",IFERROR(INDEX(Jobs!$H$5:$H$604,MATCH(B283,Jobs!$A$5:$A$604,0)),""))</f>
        <v>0</v>
      </c>
      <c r="E283" s="23">
        <f>IF(B283="","",IFERROR(INDEX(Jobs!$K$5:$K$604,MATCH(B283,Jobs!$A$5:$A$604,0)),""))</f>
        <v>0</v>
      </c>
      <c r="P283" s="50">
        <f>IF(G283="","",IFERROR(INDEX(Checklists!$J$5:$J$404,MATCH(G283,Checklists!$F$5:$F$404,0)),"Yes"))</f>
        <v>0</v>
      </c>
      <c r="Q283" s="31">
        <f>IF(G283="","",IFERROR(INDEX(Checklists!$H$5:$H$404,MATCH(G283,Checklists!$F$5:$F$404,0)),""))</f>
        <v>0</v>
      </c>
      <c r="R283" s="31">
        <f>IF(OR(J283="",Q283=""),"",J283-Q283)</f>
        <v>0</v>
      </c>
      <c r="S283" s="50">
        <f>IF(B283="","",IF(H283="Done","Yes","No"))</f>
        <v>0</v>
      </c>
      <c r="T283" s="39">
        <f>IF(B283="","",IF(G283="","Add - what was the task?",IF(H283="Issue found",IF(M283="Yes","OK - issue reported","Action - tell the client"),IF(H283="Needs rework","Action - rework needed",IF(AND(H283="Skipped",P283="Yes"),"Check - required task skipped",IF(H283="Done","OK","Due"))))))</f>
        <v>0</v>
      </c>
    </row>
    <row r="284" spans="1:20">
      <c r="A284" s="43">
        <f>IF(B284="","","JT-"&amp;TEXT(ROW()-4,"0000"))</f>
        <v>0</v>
      </c>
      <c r="C284" s="18">
        <f>IF(B284="","",IFERROR(INDEX(Jobs!$B$5:$B$604,MATCH(B284,Jobs!$A$5:$A$604,0)),""))</f>
        <v>0</v>
      </c>
      <c r="D284" s="23">
        <f>IF(B284="","",IFERROR(INDEX(Jobs!$H$5:$H$604,MATCH(B284,Jobs!$A$5:$A$604,0)),""))</f>
        <v>0</v>
      </c>
      <c r="E284" s="23">
        <f>IF(B284="","",IFERROR(INDEX(Jobs!$K$5:$K$604,MATCH(B284,Jobs!$A$5:$A$604,0)),""))</f>
        <v>0</v>
      </c>
      <c r="P284" s="50">
        <f>IF(G284="","",IFERROR(INDEX(Checklists!$J$5:$J$404,MATCH(G284,Checklists!$F$5:$F$404,0)),"Yes"))</f>
        <v>0</v>
      </c>
      <c r="Q284" s="31">
        <f>IF(G284="","",IFERROR(INDEX(Checklists!$H$5:$H$404,MATCH(G284,Checklists!$F$5:$F$404,0)),""))</f>
        <v>0</v>
      </c>
      <c r="R284" s="31">
        <f>IF(OR(J284="",Q284=""),"",J284-Q284)</f>
        <v>0</v>
      </c>
      <c r="S284" s="50">
        <f>IF(B284="","",IF(H284="Done","Yes","No"))</f>
        <v>0</v>
      </c>
      <c r="T284" s="39">
        <f>IF(B284="","",IF(G284="","Add - what was the task?",IF(H284="Issue found",IF(M284="Yes","OK - issue reported","Action - tell the client"),IF(H284="Needs rework","Action - rework needed",IF(AND(H284="Skipped",P284="Yes"),"Check - required task skipped",IF(H284="Done","OK","Due"))))))</f>
        <v>0</v>
      </c>
    </row>
    <row r="285" spans="1:20">
      <c r="A285" s="43">
        <f>IF(B285="","","JT-"&amp;TEXT(ROW()-4,"0000"))</f>
        <v>0</v>
      </c>
      <c r="C285" s="18">
        <f>IF(B285="","",IFERROR(INDEX(Jobs!$B$5:$B$604,MATCH(B285,Jobs!$A$5:$A$604,0)),""))</f>
        <v>0</v>
      </c>
      <c r="D285" s="23">
        <f>IF(B285="","",IFERROR(INDEX(Jobs!$H$5:$H$604,MATCH(B285,Jobs!$A$5:$A$604,0)),""))</f>
        <v>0</v>
      </c>
      <c r="E285" s="23">
        <f>IF(B285="","",IFERROR(INDEX(Jobs!$K$5:$K$604,MATCH(B285,Jobs!$A$5:$A$604,0)),""))</f>
        <v>0</v>
      </c>
      <c r="P285" s="50">
        <f>IF(G285="","",IFERROR(INDEX(Checklists!$J$5:$J$404,MATCH(G285,Checklists!$F$5:$F$404,0)),"Yes"))</f>
        <v>0</v>
      </c>
      <c r="Q285" s="31">
        <f>IF(G285="","",IFERROR(INDEX(Checklists!$H$5:$H$404,MATCH(G285,Checklists!$F$5:$F$404,0)),""))</f>
        <v>0</v>
      </c>
      <c r="R285" s="31">
        <f>IF(OR(J285="",Q285=""),"",J285-Q285)</f>
        <v>0</v>
      </c>
      <c r="S285" s="50">
        <f>IF(B285="","",IF(H285="Done","Yes","No"))</f>
        <v>0</v>
      </c>
      <c r="T285" s="39">
        <f>IF(B285="","",IF(G285="","Add - what was the task?",IF(H285="Issue found",IF(M285="Yes","OK - issue reported","Action - tell the client"),IF(H285="Needs rework","Action - rework needed",IF(AND(H285="Skipped",P285="Yes"),"Check - required task skipped",IF(H285="Done","OK","Due"))))))</f>
        <v>0</v>
      </c>
    </row>
    <row r="286" spans="1:20">
      <c r="A286" s="43">
        <f>IF(B286="","","JT-"&amp;TEXT(ROW()-4,"0000"))</f>
        <v>0</v>
      </c>
      <c r="C286" s="18">
        <f>IF(B286="","",IFERROR(INDEX(Jobs!$B$5:$B$604,MATCH(B286,Jobs!$A$5:$A$604,0)),""))</f>
        <v>0</v>
      </c>
      <c r="D286" s="23">
        <f>IF(B286="","",IFERROR(INDEX(Jobs!$H$5:$H$604,MATCH(B286,Jobs!$A$5:$A$604,0)),""))</f>
        <v>0</v>
      </c>
      <c r="E286" s="23">
        <f>IF(B286="","",IFERROR(INDEX(Jobs!$K$5:$K$604,MATCH(B286,Jobs!$A$5:$A$604,0)),""))</f>
        <v>0</v>
      </c>
      <c r="P286" s="50">
        <f>IF(G286="","",IFERROR(INDEX(Checklists!$J$5:$J$404,MATCH(G286,Checklists!$F$5:$F$404,0)),"Yes"))</f>
        <v>0</v>
      </c>
      <c r="Q286" s="31">
        <f>IF(G286="","",IFERROR(INDEX(Checklists!$H$5:$H$404,MATCH(G286,Checklists!$F$5:$F$404,0)),""))</f>
        <v>0</v>
      </c>
      <c r="R286" s="31">
        <f>IF(OR(J286="",Q286=""),"",J286-Q286)</f>
        <v>0</v>
      </c>
      <c r="S286" s="50">
        <f>IF(B286="","",IF(H286="Done","Yes","No"))</f>
        <v>0</v>
      </c>
      <c r="T286" s="39">
        <f>IF(B286="","",IF(G286="","Add - what was the task?",IF(H286="Issue found",IF(M286="Yes","OK - issue reported","Action - tell the client"),IF(H286="Needs rework","Action - rework needed",IF(AND(H286="Skipped",P286="Yes"),"Check - required task skipped",IF(H286="Done","OK","Due"))))))</f>
        <v>0</v>
      </c>
    </row>
    <row r="287" spans="1:20">
      <c r="A287" s="43">
        <f>IF(B287="","","JT-"&amp;TEXT(ROW()-4,"0000"))</f>
        <v>0</v>
      </c>
      <c r="C287" s="18">
        <f>IF(B287="","",IFERROR(INDEX(Jobs!$B$5:$B$604,MATCH(B287,Jobs!$A$5:$A$604,0)),""))</f>
        <v>0</v>
      </c>
      <c r="D287" s="23">
        <f>IF(B287="","",IFERROR(INDEX(Jobs!$H$5:$H$604,MATCH(B287,Jobs!$A$5:$A$604,0)),""))</f>
        <v>0</v>
      </c>
      <c r="E287" s="23">
        <f>IF(B287="","",IFERROR(INDEX(Jobs!$K$5:$K$604,MATCH(B287,Jobs!$A$5:$A$604,0)),""))</f>
        <v>0</v>
      </c>
      <c r="P287" s="50">
        <f>IF(G287="","",IFERROR(INDEX(Checklists!$J$5:$J$404,MATCH(G287,Checklists!$F$5:$F$404,0)),"Yes"))</f>
        <v>0</v>
      </c>
      <c r="Q287" s="31">
        <f>IF(G287="","",IFERROR(INDEX(Checklists!$H$5:$H$404,MATCH(G287,Checklists!$F$5:$F$404,0)),""))</f>
        <v>0</v>
      </c>
      <c r="R287" s="31">
        <f>IF(OR(J287="",Q287=""),"",J287-Q287)</f>
        <v>0</v>
      </c>
      <c r="S287" s="50">
        <f>IF(B287="","",IF(H287="Done","Yes","No"))</f>
        <v>0</v>
      </c>
      <c r="T287" s="39">
        <f>IF(B287="","",IF(G287="","Add - what was the task?",IF(H287="Issue found",IF(M287="Yes","OK - issue reported","Action - tell the client"),IF(H287="Needs rework","Action - rework needed",IF(AND(H287="Skipped",P287="Yes"),"Check - required task skipped",IF(H287="Done","OK","Due"))))))</f>
        <v>0</v>
      </c>
    </row>
    <row r="288" spans="1:20">
      <c r="A288" s="43">
        <f>IF(B288="","","JT-"&amp;TEXT(ROW()-4,"0000"))</f>
        <v>0</v>
      </c>
      <c r="C288" s="18">
        <f>IF(B288="","",IFERROR(INDEX(Jobs!$B$5:$B$604,MATCH(B288,Jobs!$A$5:$A$604,0)),""))</f>
        <v>0</v>
      </c>
      <c r="D288" s="23">
        <f>IF(B288="","",IFERROR(INDEX(Jobs!$H$5:$H$604,MATCH(B288,Jobs!$A$5:$A$604,0)),""))</f>
        <v>0</v>
      </c>
      <c r="E288" s="23">
        <f>IF(B288="","",IFERROR(INDEX(Jobs!$K$5:$K$604,MATCH(B288,Jobs!$A$5:$A$604,0)),""))</f>
        <v>0</v>
      </c>
      <c r="P288" s="50">
        <f>IF(G288="","",IFERROR(INDEX(Checklists!$J$5:$J$404,MATCH(G288,Checklists!$F$5:$F$404,0)),"Yes"))</f>
        <v>0</v>
      </c>
      <c r="Q288" s="31">
        <f>IF(G288="","",IFERROR(INDEX(Checklists!$H$5:$H$404,MATCH(G288,Checklists!$F$5:$F$404,0)),""))</f>
        <v>0</v>
      </c>
      <c r="R288" s="31">
        <f>IF(OR(J288="",Q288=""),"",J288-Q288)</f>
        <v>0</v>
      </c>
      <c r="S288" s="50">
        <f>IF(B288="","",IF(H288="Done","Yes","No"))</f>
        <v>0</v>
      </c>
      <c r="T288" s="39">
        <f>IF(B288="","",IF(G288="","Add - what was the task?",IF(H288="Issue found",IF(M288="Yes","OK - issue reported","Action - tell the client"),IF(H288="Needs rework","Action - rework needed",IF(AND(H288="Skipped",P288="Yes"),"Check - required task skipped",IF(H288="Done","OK","Due"))))))</f>
        <v>0</v>
      </c>
    </row>
    <row r="289" spans="1:20">
      <c r="A289" s="43">
        <f>IF(B289="","","JT-"&amp;TEXT(ROW()-4,"0000"))</f>
        <v>0</v>
      </c>
      <c r="C289" s="18">
        <f>IF(B289="","",IFERROR(INDEX(Jobs!$B$5:$B$604,MATCH(B289,Jobs!$A$5:$A$604,0)),""))</f>
        <v>0</v>
      </c>
      <c r="D289" s="23">
        <f>IF(B289="","",IFERROR(INDEX(Jobs!$H$5:$H$604,MATCH(B289,Jobs!$A$5:$A$604,0)),""))</f>
        <v>0</v>
      </c>
      <c r="E289" s="23">
        <f>IF(B289="","",IFERROR(INDEX(Jobs!$K$5:$K$604,MATCH(B289,Jobs!$A$5:$A$604,0)),""))</f>
        <v>0</v>
      </c>
      <c r="P289" s="50">
        <f>IF(G289="","",IFERROR(INDEX(Checklists!$J$5:$J$404,MATCH(G289,Checklists!$F$5:$F$404,0)),"Yes"))</f>
        <v>0</v>
      </c>
      <c r="Q289" s="31">
        <f>IF(G289="","",IFERROR(INDEX(Checklists!$H$5:$H$404,MATCH(G289,Checklists!$F$5:$F$404,0)),""))</f>
        <v>0</v>
      </c>
      <c r="R289" s="31">
        <f>IF(OR(J289="",Q289=""),"",J289-Q289)</f>
        <v>0</v>
      </c>
      <c r="S289" s="50">
        <f>IF(B289="","",IF(H289="Done","Yes","No"))</f>
        <v>0</v>
      </c>
      <c r="T289" s="39">
        <f>IF(B289="","",IF(G289="","Add - what was the task?",IF(H289="Issue found",IF(M289="Yes","OK - issue reported","Action - tell the client"),IF(H289="Needs rework","Action - rework needed",IF(AND(H289="Skipped",P289="Yes"),"Check - required task skipped",IF(H289="Done","OK","Due"))))))</f>
        <v>0</v>
      </c>
    </row>
    <row r="290" spans="1:20">
      <c r="A290" s="43">
        <f>IF(B290="","","JT-"&amp;TEXT(ROW()-4,"0000"))</f>
        <v>0</v>
      </c>
      <c r="C290" s="18">
        <f>IF(B290="","",IFERROR(INDEX(Jobs!$B$5:$B$604,MATCH(B290,Jobs!$A$5:$A$604,0)),""))</f>
        <v>0</v>
      </c>
      <c r="D290" s="23">
        <f>IF(B290="","",IFERROR(INDEX(Jobs!$H$5:$H$604,MATCH(B290,Jobs!$A$5:$A$604,0)),""))</f>
        <v>0</v>
      </c>
      <c r="E290" s="23">
        <f>IF(B290="","",IFERROR(INDEX(Jobs!$K$5:$K$604,MATCH(B290,Jobs!$A$5:$A$604,0)),""))</f>
        <v>0</v>
      </c>
      <c r="P290" s="50">
        <f>IF(G290="","",IFERROR(INDEX(Checklists!$J$5:$J$404,MATCH(G290,Checklists!$F$5:$F$404,0)),"Yes"))</f>
        <v>0</v>
      </c>
      <c r="Q290" s="31">
        <f>IF(G290="","",IFERROR(INDEX(Checklists!$H$5:$H$404,MATCH(G290,Checklists!$F$5:$F$404,0)),""))</f>
        <v>0</v>
      </c>
      <c r="R290" s="31">
        <f>IF(OR(J290="",Q290=""),"",J290-Q290)</f>
        <v>0</v>
      </c>
      <c r="S290" s="50">
        <f>IF(B290="","",IF(H290="Done","Yes","No"))</f>
        <v>0</v>
      </c>
      <c r="T290" s="39">
        <f>IF(B290="","",IF(G290="","Add - what was the task?",IF(H290="Issue found",IF(M290="Yes","OK - issue reported","Action - tell the client"),IF(H290="Needs rework","Action - rework needed",IF(AND(H290="Skipped",P290="Yes"),"Check - required task skipped",IF(H290="Done","OK","Due"))))))</f>
        <v>0</v>
      </c>
    </row>
    <row r="291" spans="1:20">
      <c r="A291" s="43">
        <f>IF(B291="","","JT-"&amp;TEXT(ROW()-4,"0000"))</f>
        <v>0</v>
      </c>
      <c r="C291" s="18">
        <f>IF(B291="","",IFERROR(INDEX(Jobs!$B$5:$B$604,MATCH(B291,Jobs!$A$5:$A$604,0)),""))</f>
        <v>0</v>
      </c>
      <c r="D291" s="23">
        <f>IF(B291="","",IFERROR(INDEX(Jobs!$H$5:$H$604,MATCH(B291,Jobs!$A$5:$A$604,0)),""))</f>
        <v>0</v>
      </c>
      <c r="E291" s="23">
        <f>IF(B291="","",IFERROR(INDEX(Jobs!$K$5:$K$604,MATCH(B291,Jobs!$A$5:$A$604,0)),""))</f>
        <v>0</v>
      </c>
      <c r="P291" s="50">
        <f>IF(G291="","",IFERROR(INDEX(Checklists!$J$5:$J$404,MATCH(G291,Checklists!$F$5:$F$404,0)),"Yes"))</f>
        <v>0</v>
      </c>
      <c r="Q291" s="31">
        <f>IF(G291="","",IFERROR(INDEX(Checklists!$H$5:$H$404,MATCH(G291,Checklists!$F$5:$F$404,0)),""))</f>
        <v>0</v>
      </c>
      <c r="R291" s="31">
        <f>IF(OR(J291="",Q291=""),"",J291-Q291)</f>
        <v>0</v>
      </c>
      <c r="S291" s="50">
        <f>IF(B291="","",IF(H291="Done","Yes","No"))</f>
        <v>0</v>
      </c>
      <c r="T291" s="39">
        <f>IF(B291="","",IF(G291="","Add - what was the task?",IF(H291="Issue found",IF(M291="Yes","OK - issue reported","Action - tell the client"),IF(H291="Needs rework","Action - rework needed",IF(AND(H291="Skipped",P291="Yes"),"Check - required task skipped",IF(H291="Done","OK","Due"))))))</f>
        <v>0</v>
      </c>
    </row>
    <row r="292" spans="1:20">
      <c r="A292" s="43">
        <f>IF(B292="","","JT-"&amp;TEXT(ROW()-4,"0000"))</f>
        <v>0</v>
      </c>
      <c r="C292" s="18">
        <f>IF(B292="","",IFERROR(INDEX(Jobs!$B$5:$B$604,MATCH(B292,Jobs!$A$5:$A$604,0)),""))</f>
        <v>0</v>
      </c>
      <c r="D292" s="23">
        <f>IF(B292="","",IFERROR(INDEX(Jobs!$H$5:$H$604,MATCH(B292,Jobs!$A$5:$A$604,0)),""))</f>
        <v>0</v>
      </c>
      <c r="E292" s="23">
        <f>IF(B292="","",IFERROR(INDEX(Jobs!$K$5:$K$604,MATCH(B292,Jobs!$A$5:$A$604,0)),""))</f>
        <v>0</v>
      </c>
      <c r="P292" s="50">
        <f>IF(G292="","",IFERROR(INDEX(Checklists!$J$5:$J$404,MATCH(G292,Checklists!$F$5:$F$404,0)),"Yes"))</f>
        <v>0</v>
      </c>
      <c r="Q292" s="31">
        <f>IF(G292="","",IFERROR(INDEX(Checklists!$H$5:$H$404,MATCH(G292,Checklists!$F$5:$F$404,0)),""))</f>
        <v>0</v>
      </c>
      <c r="R292" s="31">
        <f>IF(OR(J292="",Q292=""),"",J292-Q292)</f>
        <v>0</v>
      </c>
      <c r="S292" s="50">
        <f>IF(B292="","",IF(H292="Done","Yes","No"))</f>
        <v>0</v>
      </c>
      <c r="T292" s="39">
        <f>IF(B292="","",IF(G292="","Add - what was the task?",IF(H292="Issue found",IF(M292="Yes","OK - issue reported","Action - tell the client"),IF(H292="Needs rework","Action - rework needed",IF(AND(H292="Skipped",P292="Yes"),"Check - required task skipped",IF(H292="Done","OK","Due"))))))</f>
        <v>0</v>
      </c>
    </row>
    <row r="293" spans="1:20">
      <c r="A293" s="43">
        <f>IF(B293="","","JT-"&amp;TEXT(ROW()-4,"0000"))</f>
        <v>0</v>
      </c>
      <c r="C293" s="18">
        <f>IF(B293="","",IFERROR(INDEX(Jobs!$B$5:$B$604,MATCH(B293,Jobs!$A$5:$A$604,0)),""))</f>
        <v>0</v>
      </c>
      <c r="D293" s="23">
        <f>IF(B293="","",IFERROR(INDEX(Jobs!$H$5:$H$604,MATCH(B293,Jobs!$A$5:$A$604,0)),""))</f>
        <v>0</v>
      </c>
      <c r="E293" s="23">
        <f>IF(B293="","",IFERROR(INDEX(Jobs!$K$5:$K$604,MATCH(B293,Jobs!$A$5:$A$604,0)),""))</f>
        <v>0</v>
      </c>
      <c r="P293" s="50">
        <f>IF(G293="","",IFERROR(INDEX(Checklists!$J$5:$J$404,MATCH(G293,Checklists!$F$5:$F$404,0)),"Yes"))</f>
        <v>0</v>
      </c>
      <c r="Q293" s="31">
        <f>IF(G293="","",IFERROR(INDEX(Checklists!$H$5:$H$404,MATCH(G293,Checklists!$F$5:$F$404,0)),""))</f>
        <v>0</v>
      </c>
      <c r="R293" s="31">
        <f>IF(OR(J293="",Q293=""),"",J293-Q293)</f>
        <v>0</v>
      </c>
      <c r="S293" s="50">
        <f>IF(B293="","",IF(H293="Done","Yes","No"))</f>
        <v>0</v>
      </c>
      <c r="T293" s="39">
        <f>IF(B293="","",IF(G293="","Add - what was the task?",IF(H293="Issue found",IF(M293="Yes","OK - issue reported","Action - tell the client"),IF(H293="Needs rework","Action - rework needed",IF(AND(H293="Skipped",P293="Yes"),"Check - required task skipped",IF(H293="Done","OK","Due"))))))</f>
        <v>0</v>
      </c>
    </row>
    <row r="294" spans="1:20">
      <c r="A294" s="43">
        <f>IF(B294="","","JT-"&amp;TEXT(ROW()-4,"0000"))</f>
        <v>0</v>
      </c>
      <c r="C294" s="18">
        <f>IF(B294="","",IFERROR(INDEX(Jobs!$B$5:$B$604,MATCH(B294,Jobs!$A$5:$A$604,0)),""))</f>
        <v>0</v>
      </c>
      <c r="D294" s="23">
        <f>IF(B294="","",IFERROR(INDEX(Jobs!$H$5:$H$604,MATCH(B294,Jobs!$A$5:$A$604,0)),""))</f>
        <v>0</v>
      </c>
      <c r="E294" s="23">
        <f>IF(B294="","",IFERROR(INDEX(Jobs!$K$5:$K$604,MATCH(B294,Jobs!$A$5:$A$604,0)),""))</f>
        <v>0</v>
      </c>
      <c r="P294" s="50">
        <f>IF(G294="","",IFERROR(INDEX(Checklists!$J$5:$J$404,MATCH(G294,Checklists!$F$5:$F$404,0)),"Yes"))</f>
        <v>0</v>
      </c>
      <c r="Q294" s="31">
        <f>IF(G294="","",IFERROR(INDEX(Checklists!$H$5:$H$404,MATCH(G294,Checklists!$F$5:$F$404,0)),""))</f>
        <v>0</v>
      </c>
      <c r="R294" s="31">
        <f>IF(OR(J294="",Q294=""),"",J294-Q294)</f>
        <v>0</v>
      </c>
      <c r="S294" s="50">
        <f>IF(B294="","",IF(H294="Done","Yes","No"))</f>
        <v>0</v>
      </c>
      <c r="T294" s="39">
        <f>IF(B294="","",IF(G294="","Add - what was the task?",IF(H294="Issue found",IF(M294="Yes","OK - issue reported","Action - tell the client"),IF(H294="Needs rework","Action - rework needed",IF(AND(H294="Skipped",P294="Yes"),"Check - required task skipped",IF(H294="Done","OK","Due"))))))</f>
        <v>0</v>
      </c>
    </row>
    <row r="295" spans="1:20">
      <c r="A295" s="43">
        <f>IF(B295="","","JT-"&amp;TEXT(ROW()-4,"0000"))</f>
        <v>0</v>
      </c>
      <c r="C295" s="18">
        <f>IF(B295="","",IFERROR(INDEX(Jobs!$B$5:$B$604,MATCH(B295,Jobs!$A$5:$A$604,0)),""))</f>
        <v>0</v>
      </c>
      <c r="D295" s="23">
        <f>IF(B295="","",IFERROR(INDEX(Jobs!$H$5:$H$604,MATCH(B295,Jobs!$A$5:$A$604,0)),""))</f>
        <v>0</v>
      </c>
      <c r="E295" s="23">
        <f>IF(B295="","",IFERROR(INDEX(Jobs!$K$5:$K$604,MATCH(B295,Jobs!$A$5:$A$604,0)),""))</f>
        <v>0</v>
      </c>
      <c r="P295" s="50">
        <f>IF(G295="","",IFERROR(INDEX(Checklists!$J$5:$J$404,MATCH(G295,Checklists!$F$5:$F$404,0)),"Yes"))</f>
        <v>0</v>
      </c>
      <c r="Q295" s="31">
        <f>IF(G295="","",IFERROR(INDEX(Checklists!$H$5:$H$404,MATCH(G295,Checklists!$F$5:$F$404,0)),""))</f>
        <v>0</v>
      </c>
      <c r="R295" s="31">
        <f>IF(OR(J295="",Q295=""),"",J295-Q295)</f>
        <v>0</v>
      </c>
      <c r="S295" s="50">
        <f>IF(B295="","",IF(H295="Done","Yes","No"))</f>
        <v>0</v>
      </c>
      <c r="T295" s="39">
        <f>IF(B295="","",IF(G295="","Add - what was the task?",IF(H295="Issue found",IF(M295="Yes","OK - issue reported","Action - tell the client"),IF(H295="Needs rework","Action - rework needed",IF(AND(H295="Skipped",P295="Yes"),"Check - required task skipped",IF(H295="Done","OK","Due"))))))</f>
        <v>0</v>
      </c>
    </row>
    <row r="296" spans="1:20">
      <c r="A296" s="43">
        <f>IF(B296="","","JT-"&amp;TEXT(ROW()-4,"0000"))</f>
        <v>0</v>
      </c>
      <c r="C296" s="18">
        <f>IF(B296="","",IFERROR(INDEX(Jobs!$B$5:$B$604,MATCH(B296,Jobs!$A$5:$A$604,0)),""))</f>
        <v>0</v>
      </c>
      <c r="D296" s="23">
        <f>IF(B296="","",IFERROR(INDEX(Jobs!$H$5:$H$604,MATCH(B296,Jobs!$A$5:$A$604,0)),""))</f>
        <v>0</v>
      </c>
      <c r="E296" s="23">
        <f>IF(B296="","",IFERROR(INDEX(Jobs!$K$5:$K$604,MATCH(B296,Jobs!$A$5:$A$604,0)),""))</f>
        <v>0</v>
      </c>
      <c r="P296" s="50">
        <f>IF(G296="","",IFERROR(INDEX(Checklists!$J$5:$J$404,MATCH(G296,Checklists!$F$5:$F$404,0)),"Yes"))</f>
        <v>0</v>
      </c>
      <c r="Q296" s="31">
        <f>IF(G296="","",IFERROR(INDEX(Checklists!$H$5:$H$404,MATCH(G296,Checklists!$F$5:$F$404,0)),""))</f>
        <v>0</v>
      </c>
      <c r="R296" s="31">
        <f>IF(OR(J296="",Q296=""),"",J296-Q296)</f>
        <v>0</v>
      </c>
      <c r="S296" s="50">
        <f>IF(B296="","",IF(H296="Done","Yes","No"))</f>
        <v>0</v>
      </c>
      <c r="T296" s="39">
        <f>IF(B296="","",IF(G296="","Add - what was the task?",IF(H296="Issue found",IF(M296="Yes","OK - issue reported","Action - tell the client"),IF(H296="Needs rework","Action - rework needed",IF(AND(H296="Skipped",P296="Yes"),"Check - required task skipped",IF(H296="Done","OK","Due"))))))</f>
        <v>0</v>
      </c>
    </row>
    <row r="297" spans="1:20">
      <c r="A297" s="43">
        <f>IF(B297="","","JT-"&amp;TEXT(ROW()-4,"0000"))</f>
        <v>0</v>
      </c>
      <c r="C297" s="18">
        <f>IF(B297="","",IFERROR(INDEX(Jobs!$B$5:$B$604,MATCH(B297,Jobs!$A$5:$A$604,0)),""))</f>
        <v>0</v>
      </c>
      <c r="D297" s="23">
        <f>IF(B297="","",IFERROR(INDEX(Jobs!$H$5:$H$604,MATCH(B297,Jobs!$A$5:$A$604,0)),""))</f>
        <v>0</v>
      </c>
      <c r="E297" s="23">
        <f>IF(B297="","",IFERROR(INDEX(Jobs!$K$5:$K$604,MATCH(B297,Jobs!$A$5:$A$604,0)),""))</f>
        <v>0</v>
      </c>
      <c r="P297" s="50">
        <f>IF(G297="","",IFERROR(INDEX(Checklists!$J$5:$J$404,MATCH(G297,Checklists!$F$5:$F$404,0)),"Yes"))</f>
        <v>0</v>
      </c>
      <c r="Q297" s="31">
        <f>IF(G297="","",IFERROR(INDEX(Checklists!$H$5:$H$404,MATCH(G297,Checklists!$F$5:$F$404,0)),""))</f>
        <v>0</v>
      </c>
      <c r="R297" s="31">
        <f>IF(OR(J297="",Q297=""),"",J297-Q297)</f>
        <v>0</v>
      </c>
      <c r="S297" s="50">
        <f>IF(B297="","",IF(H297="Done","Yes","No"))</f>
        <v>0</v>
      </c>
      <c r="T297" s="39">
        <f>IF(B297="","",IF(G297="","Add - what was the task?",IF(H297="Issue found",IF(M297="Yes","OK - issue reported","Action - tell the client"),IF(H297="Needs rework","Action - rework needed",IF(AND(H297="Skipped",P297="Yes"),"Check - required task skipped",IF(H297="Done","OK","Due"))))))</f>
        <v>0</v>
      </c>
    </row>
    <row r="298" spans="1:20">
      <c r="A298" s="43">
        <f>IF(B298="","","JT-"&amp;TEXT(ROW()-4,"0000"))</f>
        <v>0</v>
      </c>
      <c r="C298" s="18">
        <f>IF(B298="","",IFERROR(INDEX(Jobs!$B$5:$B$604,MATCH(B298,Jobs!$A$5:$A$604,0)),""))</f>
        <v>0</v>
      </c>
      <c r="D298" s="23">
        <f>IF(B298="","",IFERROR(INDEX(Jobs!$H$5:$H$604,MATCH(B298,Jobs!$A$5:$A$604,0)),""))</f>
        <v>0</v>
      </c>
      <c r="E298" s="23">
        <f>IF(B298="","",IFERROR(INDEX(Jobs!$K$5:$K$604,MATCH(B298,Jobs!$A$5:$A$604,0)),""))</f>
        <v>0</v>
      </c>
      <c r="P298" s="50">
        <f>IF(G298="","",IFERROR(INDEX(Checklists!$J$5:$J$404,MATCH(G298,Checklists!$F$5:$F$404,0)),"Yes"))</f>
        <v>0</v>
      </c>
      <c r="Q298" s="31">
        <f>IF(G298="","",IFERROR(INDEX(Checklists!$H$5:$H$404,MATCH(G298,Checklists!$F$5:$F$404,0)),""))</f>
        <v>0</v>
      </c>
      <c r="R298" s="31">
        <f>IF(OR(J298="",Q298=""),"",J298-Q298)</f>
        <v>0</v>
      </c>
      <c r="S298" s="50">
        <f>IF(B298="","",IF(H298="Done","Yes","No"))</f>
        <v>0</v>
      </c>
      <c r="T298" s="39">
        <f>IF(B298="","",IF(G298="","Add - what was the task?",IF(H298="Issue found",IF(M298="Yes","OK - issue reported","Action - tell the client"),IF(H298="Needs rework","Action - rework needed",IF(AND(H298="Skipped",P298="Yes"),"Check - required task skipped",IF(H298="Done","OK","Due"))))))</f>
        <v>0</v>
      </c>
    </row>
    <row r="299" spans="1:20">
      <c r="A299" s="43">
        <f>IF(B299="","","JT-"&amp;TEXT(ROW()-4,"0000"))</f>
        <v>0</v>
      </c>
      <c r="C299" s="18">
        <f>IF(B299="","",IFERROR(INDEX(Jobs!$B$5:$B$604,MATCH(B299,Jobs!$A$5:$A$604,0)),""))</f>
        <v>0</v>
      </c>
      <c r="D299" s="23">
        <f>IF(B299="","",IFERROR(INDEX(Jobs!$H$5:$H$604,MATCH(B299,Jobs!$A$5:$A$604,0)),""))</f>
        <v>0</v>
      </c>
      <c r="E299" s="23">
        <f>IF(B299="","",IFERROR(INDEX(Jobs!$K$5:$K$604,MATCH(B299,Jobs!$A$5:$A$604,0)),""))</f>
        <v>0</v>
      </c>
      <c r="P299" s="50">
        <f>IF(G299="","",IFERROR(INDEX(Checklists!$J$5:$J$404,MATCH(G299,Checklists!$F$5:$F$404,0)),"Yes"))</f>
        <v>0</v>
      </c>
      <c r="Q299" s="31">
        <f>IF(G299="","",IFERROR(INDEX(Checklists!$H$5:$H$404,MATCH(G299,Checklists!$F$5:$F$404,0)),""))</f>
        <v>0</v>
      </c>
      <c r="R299" s="31">
        <f>IF(OR(J299="",Q299=""),"",J299-Q299)</f>
        <v>0</v>
      </c>
      <c r="S299" s="50">
        <f>IF(B299="","",IF(H299="Done","Yes","No"))</f>
        <v>0</v>
      </c>
      <c r="T299" s="39">
        <f>IF(B299="","",IF(G299="","Add - what was the task?",IF(H299="Issue found",IF(M299="Yes","OK - issue reported","Action - tell the client"),IF(H299="Needs rework","Action - rework needed",IF(AND(H299="Skipped",P299="Yes"),"Check - required task skipped",IF(H299="Done","OK","Due"))))))</f>
        <v>0</v>
      </c>
    </row>
    <row r="300" spans="1:20">
      <c r="A300" s="43">
        <f>IF(B300="","","JT-"&amp;TEXT(ROW()-4,"0000"))</f>
        <v>0</v>
      </c>
      <c r="C300" s="18">
        <f>IF(B300="","",IFERROR(INDEX(Jobs!$B$5:$B$604,MATCH(B300,Jobs!$A$5:$A$604,0)),""))</f>
        <v>0</v>
      </c>
      <c r="D300" s="23">
        <f>IF(B300="","",IFERROR(INDEX(Jobs!$H$5:$H$604,MATCH(B300,Jobs!$A$5:$A$604,0)),""))</f>
        <v>0</v>
      </c>
      <c r="E300" s="23">
        <f>IF(B300="","",IFERROR(INDEX(Jobs!$K$5:$K$604,MATCH(B300,Jobs!$A$5:$A$604,0)),""))</f>
        <v>0</v>
      </c>
      <c r="P300" s="50">
        <f>IF(G300="","",IFERROR(INDEX(Checklists!$J$5:$J$404,MATCH(G300,Checklists!$F$5:$F$404,0)),"Yes"))</f>
        <v>0</v>
      </c>
      <c r="Q300" s="31">
        <f>IF(G300="","",IFERROR(INDEX(Checklists!$H$5:$H$404,MATCH(G300,Checklists!$F$5:$F$404,0)),""))</f>
        <v>0</v>
      </c>
      <c r="R300" s="31">
        <f>IF(OR(J300="",Q300=""),"",J300-Q300)</f>
        <v>0</v>
      </c>
      <c r="S300" s="50">
        <f>IF(B300="","",IF(H300="Done","Yes","No"))</f>
        <v>0</v>
      </c>
      <c r="T300" s="39">
        <f>IF(B300="","",IF(G300="","Add - what was the task?",IF(H300="Issue found",IF(M300="Yes","OK - issue reported","Action - tell the client"),IF(H300="Needs rework","Action - rework needed",IF(AND(H300="Skipped",P300="Yes"),"Check - required task skipped",IF(H300="Done","OK","Due"))))))</f>
        <v>0</v>
      </c>
    </row>
    <row r="301" spans="1:20">
      <c r="A301" s="43">
        <f>IF(B301="","","JT-"&amp;TEXT(ROW()-4,"0000"))</f>
        <v>0</v>
      </c>
      <c r="C301" s="18">
        <f>IF(B301="","",IFERROR(INDEX(Jobs!$B$5:$B$604,MATCH(B301,Jobs!$A$5:$A$604,0)),""))</f>
        <v>0</v>
      </c>
      <c r="D301" s="23">
        <f>IF(B301="","",IFERROR(INDEX(Jobs!$H$5:$H$604,MATCH(B301,Jobs!$A$5:$A$604,0)),""))</f>
        <v>0</v>
      </c>
      <c r="E301" s="23">
        <f>IF(B301="","",IFERROR(INDEX(Jobs!$K$5:$K$604,MATCH(B301,Jobs!$A$5:$A$604,0)),""))</f>
        <v>0</v>
      </c>
      <c r="P301" s="50">
        <f>IF(G301="","",IFERROR(INDEX(Checklists!$J$5:$J$404,MATCH(G301,Checklists!$F$5:$F$404,0)),"Yes"))</f>
        <v>0</v>
      </c>
      <c r="Q301" s="31">
        <f>IF(G301="","",IFERROR(INDEX(Checklists!$H$5:$H$404,MATCH(G301,Checklists!$F$5:$F$404,0)),""))</f>
        <v>0</v>
      </c>
      <c r="R301" s="31">
        <f>IF(OR(J301="",Q301=""),"",J301-Q301)</f>
        <v>0</v>
      </c>
      <c r="S301" s="50">
        <f>IF(B301="","",IF(H301="Done","Yes","No"))</f>
        <v>0</v>
      </c>
      <c r="T301" s="39">
        <f>IF(B301="","",IF(G301="","Add - what was the task?",IF(H301="Issue found",IF(M301="Yes","OK - issue reported","Action - tell the client"),IF(H301="Needs rework","Action - rework needed",IF(AND(H301="Skipped",P301="Yes"),"Check - required task skipped",IF(H301="Done","OK","Due"))))))</f>
        <v>0</v>
      </c>
    </row>
    <row r="302" spans="1:20">
      <c r="A302" s="43">
        <f>IF(B302="","","JT-"&amp;TEXT(ROW()-4,"0000"))</f>
        <v>0</v>
      </c>
      <c r="C302" s="18">
        <f>IF(B302="","",IFERROR(INDEX(Jobs!$B$5:$B$604,MATCH(B302,Jobs!$A$5:$A$604,0)),""))</f>
        <v>0</v>
      </c>
      <c r="D302" s="23">
        <f>IF(B302="","",IFERROR(INDEX(Jobs!$H$5:$H$604,MATCH(B302,Jobs!$A$5:$A$604,0)),""))</f>
        <v>0</v>
      </c>
      <c r="E302" s="23">
        <f>IF(B302="","",IFERROR(INDEX(Jobs!$K$5:$K$604,MATCH(B302,Jobs!$A$5:$A$604,0)),""))</f>
        <v>0</v>
      </c>
      <c r="P302" s="50">
        <f>IF(G302="","",IFERROR(INDEX(Checklists!$J$5:$J$404,MATCH(G302,Checklists!$F$5:$F$404,0)),"Yes"))</f>
        <v>0</v>
      </c>
      <c r="Q302" s="31">
        <f>IF(G302="","",IFERROR(INDEX(Checklists!$H$5:$H$404,MATCH(G302,Checklists!$F$5:$F$404,0)),""))</f>
        <v>0</v>
      </c>
      <c r="R302" s="31">
        <f>IF(OR(J302="",Q302=""),"",J302-Q302)</f>
        <v>0</v>
      </c>
      <c r="S302" s="50">
        <f>IF(B302="","",IF(H302="Done","Yes","No"))</f>
        <v>0</v>
      </c>
      <c r="T302" s="39">
        <f>IF(B302="","",IF(G302="","Add - what was the task?",IF(H302="Issue found",IF(M302="Yes","OK - issue reported","Action - tell the client"),IF(H302="Needs rework","Action - rework needed",IF(AND(H302="Skipped",P302="Yes"),"Check - required task skipped",IF(H302="Done","OK","Due"))))))</f>
        <v>0</v>
      </c>
    </row>
    <row r="303" spans="1:20">
      <c r="A303" s="43">
        <f>IF(B303="","","JT-"&amp;TEXT(ROW()-4,"0000"))</f>
        <v>0</v>
      </c>
      <c r="C303" s="18">
        <f>IF(B303="","",IFERROR(INDEX(Jobs!$B$5:$B$604,MATCH(B303,Jobs!$A$5:$A$604,0)),""))</f>
        <v>0</v>
      </c>
      <c r="D303" s="23">
        <f>IF(B303="","",IFERROR(INDEX(Jobs!$H$5:$H$604,MATCH(B303,Jobs!$A$5:$A$604,0)),""))</f>
        <v>0</v>
      </c>
      <c r="E303" s="23">
        <f>IF(B303="","",IFERROR(INDEX(Jobs!$K$5:$K$604,MATCH(B303,Jobs!$A$5:$A$604,0)),""))</f>
        <v>0</v>
      </c>
      <c r="P303" s="50">
        <f>IF(G303="","",IFERROR(INDEX(Checklists!$J$5:$J$404,MATCH(G303,Checklists!$F$5:$F$404,0)),"Yes"))</f>
        <v>0</v>
      </c>
      <c r="Q303" s="31">
        <f>IF(G303="","",IFERROR(INDEX(Checklists!$H$5:$H$404,MATCH(G303,Checklists!$F$5:$F$404,0)),""))</f>
        <v>0</v>
      </c>
      <c r="R303" s="31">
        <f>IF(OR(J303="",Q303=""),"",J303-Q303)</f>
        <v>0</v>
      </c>
      <c r="S303" s="50">
        <f>IF(B303="","",IF(H303="Done","Yes","No"))</f>
        <v>0</v>
      </c>
      <c r="T303" s="39">
        <f>IF(B303="","",IF(G303="","Add - what was the task?",IF(H303="Issue found",IF(M303="Yes","OK - issue reported","Action - tell the client"),IF(H303="Needs rework","Action - rework needed",IF(AND(H303="Skipped",P303="Yes"),"Check - required task skipped",IF(H303="Done","OK","Due"))))))</f>
        <v>0</v>
      </c>
    </row>
    <row r="304" spans="1:20">
      <c r="A304" s="43">
        <f>IF(B304="","","JT-"&amp;TEXT(ROW()-4,"0000"))</f>
        <v>0</v>
      </c>
      <c r="C304" s="18">
        <f>IF(B304="","",IFERROR(INDEX(Jobs!$B$5:$B$604,MATCH(B304,Jobs!$A$5:$A$604,0)),""))</f>
        <v>0</v>
      </c>
      <c r="D304" s="23">
        <f>IF(B304="","",IFERROR(INDEX(Jobs!$H$5:$H$604,MATCH(B304,Jobs!$A$5:$A$604,0)),""))</f>
        <v>0</v>
      </c>
      <c r="E304" s="23">
        <f>IF(B304="","",IFERROR(INDEX(Jobs!$K$5:$K$604,MATCH(B304,Jobs!$A$5:$A$604,0)),""))</f>
        <v>0</v>
      </c>
      <c r="P304" s="50">
        <f>IF(G304="","",IFERROR(INDEX(Checklists!$J$5:$J$404,MATCH(G304,Checklists!$F$5:$F$404,0)),"Yes"))</f>
        <v>0</v>
      </c>
      <c r="Q304" s="31">
        <f>IF(G304="","",IFERROR(INDEX(Checklists!$H$5:$H$404,MATCH(G304,Checklists!$F$5:$F$404,0)),""))</f>
        <v>0</v>
      </c>
      <c r="R304" s="31">
        <f>IF(OR(J304="",Q304=""),"",J304-Q304)</f>
        <v>0</v>
      </c>
      <c r="S304" s="50">
        <f>IF(B304="","",IF(H304="Done","Yes","No"))</f>
        <v>0</v>
      </c>
      <c r="T304" s="39">
        <f>IF(B304="","",IF(G304="","Add - what was the task?",IF(H304="Issue found",IF(M304="Yes","OK - issue reported","Action - tell the client"),IF(H304="Needs rework","Action - rework needed",IF(AND(H304="Skipped",P304="Yes"),"Check - required task skipped",IF(H304="Done","OK","Due"))))))</f>
        <v>0</v>
      </c>
    </row>
    <row r="305" spans="1:20">
      <c r="A305" s="43">
        <f>IF(B305="","","JT-"&amp;TEXT(ROW()-4,"0000"))</f>
        <v>0</v>
      </c>
      <c r="C305" s="18">
        <f>IF(B305="","",IFERROR(INDEX(Jobs!$B$5:$B$604,MATCH(B305,Jobs!$A$5:$A$604,0)),""))</f>
        <v>0</v>
      </c>
      <c r="D305" s="23">
        <f>IF(B305="","",IFERROR(INDEX(Jobs!$H$5:$H$604,MATCH(B305,Jobs!$A$5:$A$604,0)),""))</f>
        <v>0</v>
      </c>
      <c r="E305" s="23">
        <f>IF(B305="","",IFERROR(INDEX(Jobs!$K$5:$K$604,MATCH(B305,Jobs!$A$5:$A$604,0)),""))</f>
        <v>0</v>
      </c>
      <c r="P305" s="50">
        <f>IF(G305="","",IFERROR(INDEX(Checklists!$J$5:$J$404,MATCH(G305,Checklists!$F$5:$F$404,0)),"Yes"))</f>
        <v>0</v>
      </c>
      <c r="Q305" s="31">
        <f>IF(G305="","",IFERROR(INDEX(Checklists!$H$5:$H$404,MATCH(G305,Checklists!$F$5:$F$404,0)),""))</f>
        <v>0</v>
      </c>
      <c r="R305" s="31">
        <f>IF(OR(J305="",Q305=""),"",J305-Q305)</f>
        <v>0</v>
      </c>
      <c r="S305" s="50">
        <f>IF(B305="","",IF(H305="Done","Yes","No"))</f>
        <v>0</v>
      </c>
      <c r="T305" s="39">
        <f>IF(B305="","",IF(G305="","Add - what was the task?",IF(H305="Issue found",IF(M305="Yes","OK - issue reported","Action - tell the client"),IF(H305="Needs rework","Action - rework needed",IF(AND(H305="Skipped",P305="Yes"),"Check - required task skipped",IF(H305="Done","OK","Due"))))))</f>
        <v>0</v>
      </c>
    </row>
    <row r="306" spans="1:20">
      <c r="A306" s="43">
        <f>IF(B306="","","JT-"&amp;TEXT(ROW()-4,"0000"))</f>
        <v>0</v>
      </c>
      <c r="C306" s="18">
        <f>IF(B306="","",IFERROR(INDEX(Jobs!$B$5:$B$604,MATCH(B306,Jobs!$A$5:$A$604,0)),""))</f>
        <v>0</v>
      </c>
      <c r="D306" s="23">
        <f>IF(B306="","",IFERROR(INDEX(Jobs!$H$5:$H$604,MATCH(B306,Jobs!$A$5:$A$604,0)),""))</f>
        <v>0</v>
      </c>
      <c r="E306" s="23">
        <f>IF(B306="","",IFERROR(INDEX(Jobs!$K$5:$K$604,MATCH(B306,Jobs!$A$5:$A$604,0)),""))</f>
        <v>0</v>
      </c>
      <c r="P306" s="50">
        <f>IF(G306="","",IFERROR(INDEX(Checklists!$J$5:$J$404,MATCH(G306,Checklists!$F$5:$F$404,0)),"Yes"))</f>
        <v>0</v>
      </c>
      <c r="Q306" s="31">
        <f>IF(G306="","",IFERROR(INDEX(Checklists!$H$5:$H$404,MATCH(G306,Checklists!$F$5:$F$404,0)),""))</f>
        <v>0</v>
      </c>
      <c r="R306" s="31">
        <f>IF(OR(J306="",Q306=""),"",J306-Q306)</f>
        <v>0</v>
      </c>
      <c r="S306" s="50">
        <f>IF(B306="","",IF(H306="Done","Yes","No"))</f>
        <v>0</v>
      </c>
      <c r="T306" s="39">
        <f>IF(B306="","",IF(G306="","Add - what was the task?",IF(H306="Issue found",IF(M306="Yes","OK - issue reported","Action - tell the client"),IF(H306="Needs rework","Action - rework needed",IF(AND(H306="Skipped",P306="Yes"),"Check - required task skipped",IF(H306="Done","OK","Due"))))))</f>
        <v>0</v>
      </c>
    </row>
    <row r="307" spans="1:20">
      <c r="A307" s="43">
        <f>IF(B307="","","JT-"&amp;TEXT(ROW()-4,"0000"))</f>
        <v>0</v>
      </c>
      <c r="C307" s="18">
        <f>IF(B307="","",IFERROR(INDEX(Jobs!$B$5:$B$604,MATCH(B307,Jobs!$A$5:$A$604,0)),""))</f>
        <v>0</v>
      </c>
      <c r="D307" s="23">
        <f>IF(B307="","",IFERROR(INDEX(Jobs!$H$5:$H$604,MATCH(B307,Jobs!$A$5:$A$604,0)),""))</f>
        <v>0</v>
      </c>
      <c r="E307" s="23">
        <f>IF(B307="","",IFERROR(INDEX(Jobs!$K$5:$K$604,MATCH(B307,Jobs!$A$5:$A$604,0)),""))</f>
        <v>0</v>
      </c>
      <c r="P307" s="50">
        <f>IF(G307="","",IFERROR(INDEX(Checklists!$J$5:$J$404,MATCH(G307,Checklists!$F$5:$F$404,0)),"Yes"))</f>
        <v>0</v>
      </c>
      <c r="Q307" s="31">
        <f>IF(G307="","",IFERROR(INDEX(Checklists!$H$5:$H$404,MATCH(G307,Checklists!$F$5:$F$404,0)),""))</f>
        <v>0</v>
      </c>
      <c r="R307" s="31">
        <f>IF(OR(J307="",Q307=""),"",J307-Q307)</f>
        <v>0</v>
      </c>
      <c r="S307" s="50">
        <f>IF(B307="","",IF(H307="Done","Yes","No"))</f>
        <v>0</v>
      </c>
      <c r="T307" s="39">
        <f>IF(B307="","",IF(G307="","Add - what was the task?",IF(H307="Issue found",IF(M307="Yes","OK - issue reported","Action - tell the client"),IF(H307="Needs rework","Action - rework needed",IF(AND(H307="Skipped",P307="Yes"),"Check - required task skipped",IF(H307="Done","OK","Due"))))))</f>
        <v>0</v>
      </c>
    </row>
    <row r="308" spans="1:20">
      <c r="A308" s="43">
        <f>IF(B308="","","JT-"&amp;TEXT(ROW()-4,"0000"))</f>
        <v>0</v>
      </c>
      <c r="C308" s="18">
        <f>IF(B308="","",IFERROR(INDEX(Jobs!$B$5:$B$604,MATCH(B308,Jobs!$A$5:$A$604,0)),""))</f>
        <v>0</v>
      </c>
      <c r="D308" s="23">
        <f>IF(B308="","",IFERROR(INDEX(Jobs!$H$5:$H$604,MATCH(B308,Jobs!$A$5:$A$604,0)),""))</f>
        <v>0</v>
      </c>
      <c r="E308" s="23">
        <f>IF(B308="","",IFERROR(INDEX(Jobs!$K$5:$K$604,MATCH(B308,Jobs!$A$5:$A$604,0)),""))</f>
        <v>0</v>
      </c>
      <c r="P308" s="50">
        <f>IF(G308="","",IFERROR(INDEX(Checklists!$J$5:$J$404,MATCH(G308,Checklists!$F$5:$F$404,0)),"Yes"))</f>
        <v>0</v>
      </c>
      <c r="Q308" s="31">
        <f>IF(G308="","",IFERROR(INDEX(Checklists!$H$5:$H$404,MATCH(G308,Checklists!$F$5:$F$404,0)),""))</f>
        <v>0</v>
      </c>
      <c r="R308" s="31">
        <f>IF(OR(J308="",Q308=""),"",J308-Q308)</f>
        <v>0</v>
      </c>
      <c r="S308" s="50">
        <f>IF(B308="","",IF(H308="Done","Yes","No"))</f>
        <v>0</v>
      </c>
      <c r="T308" s="39">
        <f>IF(B308="","",IF(G308="","Add - what was the task?",IF(H308="Issue found",IF(M308="Yes","OK - issue reported","Action - tell the client"),IF(H308="Needs rework","Action - rework needed",IF(AND(H308="Skipped",P308="Yes"),"Check - required task skipped",IF(H308="Done","OK","Due"))))))</f>
        <v>0</v>
      </c>
    </row>
    <row r="309" spans="1:20">
      <c r="A309" s="43">
        <f>IF(B309="","","JT-"&amp;TEXT(ROW()-4,"0000"))</f>
        <v>0</v>
      </c>
      <c r="C309" s="18">
        <f>IF(B309="","",IFERROR(INDEX(Jobs!$B$5:$B$604,MATCH(B309,Jobs!$A$5:$A$604,0)),""))</f>
        <v>0</v>
      </c>
      <c r="D309" s="23">
        <f>IF(B309="","",IFERROR(INDEX(Jobs!$H$5:$H$604,MATCH(B309,Jobs!$A$5:$A$604,0)),""))</f>
        <v>0</v>
      </c>
      <c r="E309" s="23">
        <f>IF(B309="","",IFERROR(INDEX(Jobs!$K$5:$K$604,MATCH(B309,Jobs!$A$5:$A$604,0)),""))</f>
        <v>0</v>
      </c>
      <c r="P309" s="50">
        <f>IF(G309="","",IFERROR(INDEX(Checklists!$J$5:$J$404,MATCH(G309,Checklists!$F$5:$F$404,0)),"Yes"))</f>
        <v>0</v>
      </c>
      <c r="Q309" s="31">
        <f>IF(G309="","",IFERROR(INDEX(Checklists!$H$5:$H$404,MATCH(G309,Checklists!$F$5:$F$404,0)),""))</f>
        <v>0</v>
      </c>
      <c r="R309" s="31">
        <f>IF(OR(J309="",Q309=""),"",J309-Q309)</f>
        <v>0</v>
      </c>
      <c r="S309" s="50">
        <f>IF(B309="","",IF(H309="Done","Yes","No"))</f>
        <v>0</v>
      </c>
      <c r="T309" s="39">
        <f>IF(B309="","",IF(G309="","Add - what was the task?",IF(H309="Issue found",IF(M309="Yes","OK - issue reported","Action - tell the client"),IF(H309="Needs rework","Action - rework needed",IF(AND(H309="Skipped",P309="Yes"),"Check - required task skipped",IF(H309="Done","OK","Due"))))))</f>
        <v>0</v>
      </c>
    </row>
    <row r="310" spans="1:20">
      <c r="A310" s="43">
        <f>IF(B310="","","JT-"&amp;TEXT(ROW()-4,"0000"))</f>
        <v>0</v>
      </c>
      <c r="C310" s="18">
        <f>IF(B310="","",IFERROR(INDEX(Jobs!$B$5:$B$604,MATCH(B310,Jobs!$A$5:$A$604,0)),""))</f>
        <v>0</v>
      </c>
      <c r="D310" s="23">
        <f>IF(B310="","",IFERROR(INDEX(Jobs!$H$5:$H$604,MATCH(B310,Jobs!$A$5:$A$604,0)),""))</f>
        <v>0</v>
      </c>
      <c r="E310" s="23">
        <f>IF(B310="","",IFERROR(INDEX(Jobs!$K$5:$K$604,MATCH(B310,Jobs!$A$5:$A$604,0)),""))</f>
        <v>0</v>
      </c>
      <c r="P310" s="50">
        <f>IF(G310="","",IFERROR(INDEX(Checklists!$J$5:$J$404,MATCH(G310,Checklists!$F$5:$F$404,0)),"Yes"))</f>
        <v>0</v>
      </c>
      <c r="Q310" s="31">
        <f>IF(G310="","",IFERROR(INDEX(Checklists!$H$5:$H$404,MATCH(G310,Checklists!$F$5:$F$404,0)),""))</f>
        <v>0</v>
      </c>
      <c r="R310" s="31">
        <f>IF(OR(J310="",Q310=""),"",J310-Q310)</f>
        <v>0</v>
      </c>
      <c r="S310" s="50">
        <f>IF(B310="","",IF(H310="Done","Yes","No"))</f>
        <v>0</v>
      </c>
      <c r="T310" s="39">
        <f>IF(B310="","",IF(G310="","Add - what was the task?",IF(H310="Issue found",IF(M310="Yes","OK - issue reported","Action - tell the client"),IF(H310="Needs rework","Action - rework needed",IF(AND(H310="Skipped",P310="Yes"),"Check - required task skipped",IF(H310="Done","OK","Due"))))))</f>
        <v>0</v>
      </c>
    </row>
    <row r="311" spans="1:20">
      <c r="A311" s="43">
        <f>IF(B311="","","JT-"&amp;TEXT(ROW()-4,"0000"))</f>
        <v>0</v>
      </c>
      <c r="C311" s="18">
        <f>IF(B311="","",IFERROR(INDEX(Jobs!$B$5:$B$604,MATCH(B311,Jobs!$A$5:$A$604,0)),""))</f>
        <v>0</v>
      </c>
      <c r="D311" s="23">
        <f>IF(B311="","",IFERROR(INDEX(Jobs!$H$5:$H$604,MATCH(B311,Jobs!$A$5:$A$604,0)),""))</f>
        <v>0</v>
      </c>
      <c r="E311" s="23">
        <f>IF(B311="","",IFERROR(INDEX(Jobs!$K$5:$K$604,MATCH(B311,Jobs!$A$5:$A$604,0)),""))</f>
        <v>0</v>
      </c>
      <c r="P311" s="50">
        <f>IF(G311="","",IFERROR(INDEX(Checklists!$J$5:$J$404,MATCH(G311,Checklists!$F$5:$F$404,0)),"Yes"))</f>
        <v>0</v>
      </c>
      <c r="Q311" s="31">
        <f>IF(G311="","",IFERROR(INDEX(Checklists!$H$5:$H$404,MATCH(G311,Checklists!$F$5:$F$404,0)),""))</f>
        <v>0</v>
      </c>
      <c r="R311" s="31">
        <f>IF(OR(J311="",Q311=""),"",J311-Q311)</f>
        <v>0</v>
      </c>
      <c r="S311" s="50">
        <f>IF(B311="","",IF(H311="Done","Yes","No"))</f>
        <v>0</v>
      </c>
      <c r="T311" s="39">
        <f>IF(B311="","",IF(G311="","Add - what was the task?",IF(H311="Issue found",IF(M311="Yes","OK - issue reported","Action - tell the client"),IF(H311="Needs rework","Action - rework needed",IF(AND(H311="Skipped",P311="Yes"),"Check - required task skipped",IF(H311="Done","OK","Due"))))))</f>
        <v>0</v>
      </c>
    </row>
    <row r="312" spans="1:20">
      <c r="A312" s="43">
        <f>IF(B312="","","JT-"&amp;TEXT(ROW()-4,"0000"))</f>
        <v>0</v>
      </c>
      <c r="C312" s="18">
        <f>IF(B312="","",IFERROR(INDEX(Jobs!$B$5:$B$604,MATCH(B312,Jobs!$A$5:$A$604,0)),""))</f>
        <v>0</v>
      </c>
      <c r="D312" s="23">
        <f>IF(B312="","",IFERROR(INDEX(Jobs!$H$5:$H$604,MATCH(B312,Jobs!$A$5:$A$604,0)),""))</f>
        <v>0</v>
      </c>
      <c r="E312" s="23">
        <f>IF(B312="","",IFERROR(INDEX(Jobs!$K$5:$K$604,MATCH(B312,Jobs!$A$5:$A$604,0)),""))</f>
        <v>0</v>
      </c>
      <c r="P312" s="50">
        <f>IF(G312="","",IFERROR(INDEX(Checklists!$J$5:$J$404,MATCH(G312,Checklists!$F$5:$F$404,0)),"Yes"))</f>
        <v>0</v>
      </c>
      <c r="Q312" s="31">
        <f>IF(G312="","",IFERROR(INDEX(Checklists!$H$5:$H$404,MATCH(G312,Checklists!$F$5:$F$404,0)),""))</f>
        <v>0</v>
      </c>
      <c r="R312" s="31">
        <f>IF(OR(J312="",Q312=""),"",J312-Q312)</f>
        <v>0</v>
      </c>
      <c r="S312" s="50">
        <f>IF(B312="","",IF(H312="Done","Yes","No"))</f>
        <v>0</v>
      </c>
      <c r="T312" s="39">
        <f>IF(B312="","",IF(G312="","Add - what was the task?",IF(H312="Issue found",IF(M312="Yes","OK - issue reported","Action - tell the client"),IF(H312="Needs rework","Action - rework needed",IF(AND(H312="Skipped",P312="Yes"),"Check - required task skipped",IF(H312="Done","OK","Due"))))))</f>
        <v>0</v>
      </c>
    </row>
    <row r="313" spans="1:20">
      <c r="A313" s="43">
        <f>IF(B313="","","JT-"&amp;TEXT(ROW()-4,"0000"))</f>
        <v>0</v>
      </c>
      <c r="C313" s="18">
        <f>IF(B313="","",IFERROR(INDEX(Jobs!$B$5:$B$604,MATCH(B313,Jobs!$A$5:$A$604,0)),""))</f>
        <v>0</v>
      </c>
      <c r="D313" s="23">
        <f>IF(B313="","",IFERROR(INDEX(Jobs!$H$5:$H$604,MATCH(B313,Jobs!$A$5:$A$604,0)),""))</f>
        <v>0</v>
      </c>
      <c r="E313" s="23">
        <f>IF(B313="","",IFERROR(INDEX(Jobs!$K$5:$K$604,MATCH(B313,Jobs!$A$5:$A$604,0)),""))</f>
        <v>0</v>
      </c>
      <c r="P313" s="50">
        <f>IF(G313="","",IFERROR(INDEX(Checklists!$J$5:$J$404,MATCH(G313,Checklists!$F$5:$F$404,0)),"Yes"))</f>
        <v>0</v>
      </c>
      <c r="Q313" s="31">
        <f>IF(G313="","",IFERROR(INDEX(Checklists!$H$5:$H$404,MATCH(G313,Checklists!$F$5:$F$404,0)),""))</f>
        <v>0</v>
      </c>
      <c r="R313" s="31">
        <f>IF(OR(J313="",Q313=""),"",J313-Q313)</f>
        <v>0</v>
      </c>
      <c r="S313" s="50">
        <f>IF(B313="","",IF(H313="Done","Yes","No"))</f>
        <v>0</v>
      </c>
      <c r="T313" s="39">
        <f>IF(B313="","",IF(G313="","Add - what was the task?",IF(H313="Issue found",IF(M313="Yes","OK - issue reported","Action - tell the client"),IF(H313="Needs rework","Action - rework needed",IF(AND(H313="Skipped",P313="Yes"),"Check - required task skipped",IF(H313="Done","OK","Due"))))))</f>
        <v>0</v>
      </c>
    </row>
    <row r="314" spans="1:20">
      <c r="A314" s="43">
        <f>IF(B314="","","JT-"&amp;TEXT(ROW()-4,"0000"))</f>
        <v>0</v>
      </c>
      <c r="C314" s="18">
        <f>IF(B314="","",IFERROR(INDEX(Jobs!$B$5:$B$604,MATCH(B314,Jobs!$A$5:$A$604,0)),""))</f>
        <v>0</v>
      </c>
      <c r="D314" s="23">
        <f>IF(B314="","",IFERROR(INDEX(Jobs!$H$5:$H$604,MATCH(B314,Jobs!$A$5:$A$604,0)),""))</f>
        <v>0</v>
      </c>
      <c r="E314" s="23">
        <f>IF(B314="","",IFERROR(INDEX(Jobs!$K$5:$K$604,MATCH(B314,Jobs!$A$5:$A$604,0)),""))</f>
        <v>0</v>
      </c>
      <c r="P314" s="50">
        <f>IF(G314="","",IFERROR(INDEX(Checklists!$J$5:$J$404,MATCH(G314,Checklists!$F$5:$F$404,0)),"Yes"))</f>
        <v>0</v>
      </c>
      <c r="Q314" s="31">
        <f>IF(G314="","",IFERROR(INDEX(Checklists!$H$5:$H$404,MATCH(G314,Checklists!$F$5:$F$404,0)),""))</f>
        <v>0</v>
      </c>
      <c r="R314" s="31">
        <f>IF(OR(J314="",Q314=""),"",J314-Q314)</f>
        <v>0</v>
      </c>
      <c r="S314" s="50">
        <f>IF(B314="","",IF(H314="Done","Yes","No"))</f>
        <v>0</v>
      </c>
      <c r="T314" s="39">
        <f>IF(B314="","",IF(G314="","Add - what was the task?",IF(H314="Issue found",IF(M314="Yes","OK - issue reported","Action - tell the client"),IF(H314="Needs rework","Action - rework needed",IF(AND(H314="Skipped",P314="Yes"),"Check - required task skipped",IF(H314="Done","OK","Due"))))))</f>
        <v>0</v>
      </c>
    </row>
    <row r="315" spans="1:20">
      <c r="A315" s="43">
        <f>IF(B315="","","JT-"&amp;TEXT(ROW()-4,"0000"))</f>
        <v>0</v>
      </c>
      <c r="C315" s="18">
        <f>IF(B315="","",IFERROR(INDEX(Jobs!$B$5:$B$604,MATCH(B315,Jobs!$A$5:$A$604,0)),""))</f>
        <v>0</v>
      </c>
      <c r="D315" s="23">
        <f>IF(B315="","",IFERROR(INDEX(Jobs!$H$5:$H$604,MATCH(B315,Jobs!$A$5:$A$604,0)),""))</f>
        <v>0</v>
      </c>
      <c r="E315" s="23">
        <f>IF(B315="","",IFERROR(INDEX(Jobs!$K$5:$K$604,MATCH(B315,Jobs!$A$5:$A$604,0)),""))</f>
        <v>0</v>
      </c>
      <c r="P315" s="50">
        <f>IF(G315="","",IFERROR(INDEX(Checklists!$J$5:$J$404,MATCH(G315,Checklists!$F$5:$F$404,0)),"Yes"))</f>
        <v>0</v>
      </c>
      <c r="Q315" s="31">
        <f>IF(G315="","",IFERROR(INDEX(Checklists!$H$5:$H$404,MATCH(G315,Checklists!$F$5:$F$404,0)),""))</f>
        <v>0</v>
      </c>
      <c r="R315" s="31">
        <f>IF(OR(J315="",Q315=""),"",J315-Q315)</f>
        <v>0</v>
      </c>
      <c r="S315" s="50">
        <f>IF(B315="","",IF(H315="Done","Yes","No"))</f>
        <v>0</v>
      </c>
      <c r="T315" s="39">
        <f>IF(B315="","",IF(G315="","Add - what was the task?",IF(H315="Issue found",IF(M315="Yes","OK - issue reported","Action - tell the client"),IF(H315="Needs rework","Action - rework needed",IF(AND(H315="Skipped",P315="Yes"),"Check - required task skipped",IF(H315="Done","OK","Due"))))))</f>
        <v>0</v>
      </c>
    </row>
    <row r="316" spans="1:20">
      <c r="A316" s="43">
        <f>IF(B316="","","JT-"&amp;TEXT(ROW()-4,"0000"))</f>
        <v>0</v>
      </c>
      <c r="C316" s="18">
        <f>IF(B316="","",IFERROR(INDEX(Jobs!$B$5:$B$604,MATCH(B316,Jobs!$A$5:$A$604,0)),""))</f>
        <v>0</v>
      </c>
      <c r="D316" s="23">
        <f>IF(B316="","",IFERROR(INDEX(Jobs!$H$5:$H$604,MATCH(B316,Jobs!$A$5:$A$604,0)),""))</f>
        <v>0</v>
      </c>
      <c r="E316" s="23">
        <f>IF(B316="","",IFERROR(INDEX(Jobs!$K$5:$K$604,MATCH(B316,Jobs!$A$5:$A$604,0)),""))</f>
        <v>0</v>
      </c>
      <c r="P316" s="50">
        <f>IF(G316="","",IFERROR(INDEX(Checklists!$J$5:$J$404,MATCH(G316,Checklists!$F$5:$F$404,0)),"Yes"))</f>
        <v>0</v>
      </c>
      <c r="Q316" s="31">
        <f>IF(G316="","",IFERROR(INDEX(Checklists!$H$5:$H$404,MATCH(G316,Checklists!$F$5:$F$404,0)),""))</f>
        <v>0</v>
      </c>
      <c r="R316" s="31">
        <f>IF(OR(J316="",Q316=""),"",J316-Q316)</f>
        <v>0</v>
      </c>
      <c r="S316" s="50">
        <f>IF(B316="","",IF(H316="Done","Yes","No"))</f>
        <v>0</v>
      </c>
      <c r="T316" s="39">
        <f>IF(B316="","",IF(G316="","Add - what was the task?",IF(H316="Issue found",IF(M316="Yes","OK - issue reported","Action - tell the client"),IF(H316="Needs rework","Action - rework needed",IF(AND(H316="Skipped",P316="Yes"),"Check - required task skipped",IF(H316="Done","OK","Due"))))))</f>
        <v>0</v>
      </c>
    </row>
    <row r="317" spans="1:20">
      <c r="A317" s="43">
        <f>IF(B317="","","JT-"&amp;TEXT(ROW()-4,"0000"))</f>
        <v>0</v>
      </c>
      <c r="C317" s="18">
        <f>IF(B317="","",IFERROR(INDEX(Jobs!$B$5:$B$604,MATCH(B317,Jobs!$A$5:$A$604,0)),""))</f>
        <v>0</v>
      </c>
      <c r="D317" s="23">
        <f>IF(B317="","",IFERROR(INDEX(Jobs!$H$5:$H$604,MATCH(B317,Jobs!$A$5:$A$604,0)),""))</f>
        <v>0</v>
      </c>
      <c r="E317" s="23">
        <f>IF(B317="","",IFERROR(INDEX(Jobs!$K$5:$K$604,MATCH(B317,Jobs!$A$5:$A$604,0)),""))</f>
        <v>0</v>
      </c>
      <c r="P317" s="50">
        <f>IF(G317="","",IFERROR(INDEX(Checklists!$J$5:$J$404,MATCH(G317,Checklists!$F$5:$F$404,0)),"Yes"))</f>
        <v>0</v>
      </c>
      <c r="Q317" s="31">
        <f>IF(G317="","",IFERROR(INDEX(Checklists!$H$5:$H$404,MATCH(G317,Checklists!$F$5:$F$404,0)),""))</f>
        <v>0</v>
      </c>
      <c r="R317" s="31">
        <f>IF(OR(J317="",Q317=""),"",J317-Q317)</f>
        <v>0</v>
      </c>
      <c r="S317" s="50">
        <f>IF(B317="","",IF(H317="Done","Yes","No"))</f>
        <v>0</v>
      </c>
      <c r="T317" s="39">
        <f>IF(B317="","",IF(G317="","Add - what was the task?",IF(H317="Issue found",IF(M317="Yes","OK - issue reported","Action - tell the client"),IF(H317="Needs rework","Action - rework needed",IF(AND(H317="Skipped",P317="Yes"),"Check - required task skipped",IF(H317="Done","OK","Due"))))))</f>
        <v>0</v>
      </c>
    </row>
    <row r="318" spans="1:20">
      <c r="A318" s="43">
        <f>IF(B318="","","JT-"&amp;TEXT(ROW()-4,"0000"))</f>
        <v>0</v>
      </c>
      <c r="C318" s="18">
        <f>IF(B318="","",IFERROR(INDEX(Jobs!$B$5:$B$604,MATCH(B318,Jobs!$A$5:$A$604,0)),""))</f>
        <v>0</v>
      </c>
      <c r="D318" s="23">
        <f>IF(B318="","",IFERROR(INDEX(Jobs!$H$5:$H$604,MATCH(B318,Jobs!$A$5:$A$604,0)),""))</f>
        <v>0</v>
      </c>
      <c r="E318" s="23">
        <f>IF(B318="","",IFERROR(INDEX(Jobs!$K$5:$K$604,MATCH(B318,Jobs!$A$5:$A$604,0)),""))</f>
        <v>0</v>
      </c>
      <c r="P318" s="50">
        <f>IF(G318="","",IFERROR(INDEX(Checklists!$J$5:$J$404,MATCH(G318,Checklists!$F$5:$F$404,0)),"Yes"))</f>
        <v>0</v>
      </c>
      <c r="Q318" s="31">
        <f>IF(G318="","",IFERROR(INDEX(Checklists!$H$5:$H$404,MATCH(G318,Checklists!$F$5:$F$404,0)),""))</f>
        <v>0</v>
      </c>
      <c r="R318" s="31">
        <f>IF(OR(J318="",Q318=""),"",J318-Q318)</f>
        <v>0</v>
      </c>
      <c r="S318" s="50">
        <f>IF(B318="","",IF(H318="Done","Yes","No"))</f>
        <v>0</v>
      </c>
      <c r="T318" s="39">
        <f>IF(B318="","",IF(G318="","Add - what was the task?",IF(H318="Issue found",IF(M318="Yes","OK - issue reported","Action - tell the client"),IF(H318="Needs rework","Action - rework needed",IF(AND(H318="Skipped",P318="Yes"),"Check - required task skipped",IF(H318="Done","OK","Due"))))))</f>
        <v>0</v>
      </c>
    </row>
    <row r="319" spans="1:20">
      <c r="A319" s="43">
        <f>IF(B319="","","JT-"&amp;TEXT(ROW()-4,"0000"))</f>
        <v>0</v>
      </c>
      <c r="C319" s="18">
        <f>IF(B319="","",IFERROR(INDEX(Jobs!$B$5:$B$604,MATCH(B319,Jobs!$A$5:$A$604,0)),""))</f>
        <v>0</v>
      </c>
      <c r="D319" s="23">
        <f>IF(B319="","",IFERROR(INDEX(Jobs!$H$5:$H$604,MATCH(B319,Jobs!$A$5:$A$604,0)),""))</f>
        <v>0</v>
      </c>
      <c r="E319" s="23">
        <f>IF(B319="","",IFERROR(INDEX(Jobs!$K$5:$K$604,MATCH(B319,Jobs!$A$5:$A$604,0)),""))</f>
        <v>0</v>
      </c>
      <c r="P319" s="50">
        <f>IF(G319="","",IFERROR(INDEX(Checklists!$J$5:$J$404,MATCH(G319,Checklists!$F$5:$F$404,0)),"Yes"))</f>
        <v>0</v>
      </c>
      <c r="Q319" s="31">
        <f>IF(G319="","",IFERROR(INDEX(Checklists!$H$5:$H$404,MATCH(G319,Checklists!$F$5:$F$404,0)),""))</f>
        <v>0</v>
      </c>
      <c r="R319" s="31">
        <f>IF(OR(J319="",Q319=""),"",J319-Q319)</f>
        <v>0</v>
      </c>
      <c r="S319" s="50">
        <f>IF(B319="","",IF(H319="Done","Yes","No"))</f>
        <v>0</v>
      </c>
      <c r="T319" s="39">
        <f>IF(B319="","",IF(G319="","Add - what was the task?",IF(H319="Issue found",IF(M319="Yes","OK - issue reported","Action - tell the client"),IF(H319="Needs rework","Action - rework needed",IF(AND(H319="Skipped",P319="Yes"),"Check - required task skipped",IF(H319="Done","OK","Due"))))))</f>
        <v>0</v>
      </c>
    </row>
    <row r="320" spans="1:20">
      <c r="A320" s="43">
        <f>IF(B320="","","JT-"&amp;TEXT(ROW()-4,"0000"))</f>
        <v>0</v>
      </c>
      <c r="C320" s="18">
        <f>IF(B320="","",IFERROR(INDEX(Jobs!$B$5:$B$604,MATCH(B320,Jobs!$A$5:$A$604,0)),""))</f>
        <v>0</v>
      </c>
      <c r="D320" s="23">
        <f>IF(B320="","",IFERROR(INDEX(Jobs!$H$5:$H$604,MATCH(B320,Jobs!$A$5:$A$604,0)),""))</f>
        <v>0</v>
      </c>
      <c r="E320" s="23">
        <f>IF(B320="","",IFERROR(INDEX(Jobs!$K$5:$K$604,MATCH(B320,Jobs!$A$5:$A$604,0)),""))</f>
        <v>0</v>
      </c>
      <c r="P320" s="50">
        <f>IF(G320="","",IFERROR(INDEX(Checklists!$J$5:$J$404,MATCH(G320,Checklists!$F$5:$F$404,0)),"Yes"))</f>
        <v>0</v>
      </c>
      <c r="Q320" s="31">
        <f>IF(G320="","",IFERROR(INDEX(Checklists!$H$5:$H$404,MATCH(G320,Checklists!$F$5:$F$404,0)),""))</f>
        <v>0</v>
      </c>
      <c r="R320" s="31">
        <f>IF(OR(J320="",Q320=""),"",J320-Q320)</f>
        <v>0</v>
      </c>
      <c r="S320" s="50">
        <f>IF(B320="","",IF(H320="Done","Yes","No"))</f>
        <v>0</v>
      </c>
      <c r="T320" s="39">
        <f>IF(B320="","",IF(G320="","Add - what was the task?",IF(H320="Issue found",IF(M320="Yes","OK - issue reported","Action - tell the client"),IF(H320="Needs rework","Action - rework needed",IF(AND(H320="Skipped",P320="Yes"),"Check - required task skipped",IF(H320="Done","OK","Due"))))))</f>
        <v>0</v>
      </c>
    </row>
    <row r="321" spans="1:20">
      <c r="A321" s="43">
        <f>IF(B321="","","JT-"&amp;TEXT(ROW()-4,"0000"))</f>
        <v>0</v>
      </c>
      <c r="C321" s="18">
        <f>IF(B321="","",IFERROR(INDEX(Jobs!$B$5:$B$604,MATCH(B321,Jobs!$A$5:$A$604,0)),""))</f>
        <v>0</v>
      </c>
      <c r="D321" s="23">
        <f>IF(B321="","",IFERROR(INDEX(Jobs!$H$5:$H$604,MATCH(B321,Jobs!$A$5:$A$604,0)),""))</f>
        <v>0</v>
      </c>
      <c r="E321" s="23">
        <f>IF(B321="","",IFERROR(INDEX(Jobs!$K$5:$K$604,MATCH(B321,Jobs!$A$5:$A$604,0)),""))</f>
        <v>0</v>
      </c>
      <c r="P321" s="50">
        <f>IF(G321="","",IFERROR(INDEX(Checklists!$J$5:$J$404,MATCH(G321,Checklists!$F$5:$F$404,0)),"Yes"))</f>
        <v>0</v>
      </c>
      <c r="Q321" s="31">
        <f>IF(G321="","",IFERROR(INDEX(Checklists!$H$5:$H$404,MATCH(G321,Checklists!$F$5:$F$404,0)),""))</f>
        <v>0</v>
      </c>
      <c r="R321" s="31">
        <f>IF(OR(J321="",Q321=""),"",J321-Q321)</f>
        <v>0</v>
      </c>
      <c r="S321" s="50">
        <f>IF(B321="","",IF(H321="Done","Yes","No"))</f>
        <v>0</v>
      </c>
      <c r="T321" s="39">
        <f>IF(B321="","",IF(G321="","Add - what was the task?",IF(H321="Issue found",IF(M321="Yes","OK - issue reported","Action - tell the client"),IF(H321="Needs rework","Action - rework needed",IF(AND(H321="Skipped",P321="Yes"),"Check - required task skipped",IF(H321="Done","OK","Due"))))))</f>
        <v>0</v>
      </c>
    </row>
    <row r="322" spans="1:20">
      <c r="A322" s="43">
        <f>IF(B322="","","JT-"&amp;TEXT(ROW()-4,"0000"))</f>
        <v>0</v>
      </c>
      <c r="C322" s="18">
        <f>IF(B322="","",IFERROR(INDEX(Jobs!$B$5:$B$604,MATCH(B322,Jobs!$A$5:$A$604,0)),""))</f>
        <v>0</v>
      </c>
      <c r="D322" s="23">
        <f>IF(B322="","",IFERROR(INDEX(Jobs!$H$5:$H$604,MATCH(B322,Jobs!$A$5:$A$604,0)),""))</f>
        <v>0</v>
      </c>
      <c r="E322" s="23">
        <f>IF(B322="","",IFERROR(INDEX(Jobs!$K$5:$K$604,MATCH(B322,Jobs!$A$5:$A$604,0)),""))</f>
        <v>0</v>
      </c>
      <c r="P322" s="50">
        <f>IF(G322="","",IFERROR(INDEX(Checklists!$J$5:$J$404,MATCH(G322,Checklists!$F$5:$F$404,0)),"Yes"))</f>
        <v>0</v>
      </c>
      <c r="Q322" s="31">
        <f>IF(G322="","",IFERROR(INDEX(Checklists!$H$5:$H$404,MATCH(G322,Checklists!$F$5:$F$404,0)),""))</f>
        <v>0</v>
      </c>
      <c r="R322" s="31">
        <f>IF(OR(J322="",Q322=""),"",J322-Q322)</f>
        <v>0</v>
      </c>
      <c r="S322" s="50">
        <f>IF(B322="","",IF(H322="Done","Yes","No"))</f>
        <v>0</v>
      </c>
      <c r="T322" s="39">
        <f>IF(B322="","",IF(G322="","Add - what was the task?",IF(H322="Issue found",IF(M322="Yes","OK - issue reported","Action - tell the client"),IF(H322="Needs rework","Action - rework needed",IF(AND(H322="Skipped",P322="Yes"),"Check - required task skipped",IF(H322="Done","OK","Due"))))))</f>
        <v>0</v>
      </c>
    </row>
    <row r="323" spans="1:20">
      <c r="A323" s="43">
        <f>IF(B323="","","JT-"&amp;TEXT(ROW()-4,"0000"))</f>
        <v>0</v>
      </c>
      <c r="C323" s="18">
        <f>IF(B323="","",IFERROR(INDEX(Jobs!$B$5:$B$604,MATCH(B323,Jobs!$A$5:$A$604,0)),""))</f>
        <v>0</v>
      </c>
      <c r="D323" s="23">
        <f>IF(B323="","",IFERROR(INDEX(Jobs!$H$5:$H$604,MATCH(B323,Jobs!$A$5:$A$604,0)),""))</f>
        <v>0</v>
      </c>
      <c r="E323" s="23">
        <f>IF(B323="","",IFERROR(INDEX(Jobs!$K$5:$K$604,MATCH(B323,Jobs!$A$5:$A$604,0)),""))</f>
        <v>0</v>
      </c>
      <c r="P323" s="50">
        <f>IF(G323="","",IFERROR(INDEX(Checklists!$J$5:$J$404,MATCH(G323,Checklists!$F$5:$F$404,0)),"Yes"))</f>
        <v>0</v>
      </c>
      <c r="Q323" s="31">
        <f>IF(G323="","",IFERROR(INDEX(Checklists!$H$5:$H$404,MATCH(G323,Checklists!$F$5:$F$404,0)),""))</f>
        <v>0</v>
      </c>
      <c r="R323" s="31">
        <f>IF(OR(J323="",Q323=""),"",J323-Q323)</f>
        <v>0</v>
      </c>
      <c r="S323" s="50">
        <f>IF(B323="","",IF(H323="Done","Yes","No"))</f>
        <v>0</v>
      </c>
      <c r="T323" s="39">
        <f>IF(B323="","",IF(G323="","Add - what was the task?",IF(H323="Issue found",IF(M323="Yes","OK - issue reported","Action - tell the client"),IF(H323="Needs rework","Action - rework needed",IF(AND(H323="Skipped",P323="Yes"),"Check - required task skipped",IF(H323="Done","OK","Due"))))))</f>
        <v>0</v>
      </c>
    </row>
    <row r="324" spans="1:20">
      <c r="A324" s="43">
        <f>IF(B324="","","JT-"&amp;TEXT(ROW()-4,"0000"))</f>
        <v>0</v>
      </c>
      <c r="C324" s="18">
        <f>IF(B324="","",IFERROR(INDEX(Jobs!$B$5:$B$604,MATCH(B324,Jobs!$A$5:$A$604,0)),""))</f>
        <v>0</v>
      </c>
      <c r="D324" s="23">
        <f>IF(B324="","",IFERROR(INDEX(Jobs!$H$5:$H$604,MATCH(B324,Jobs!$A$5:$A$604,0)),""))</f>
        <v>0</v>
      </c>
      <c r="E324" s="23">
        <f>IF(B324="","",IFERROR(INDEX(Jobs!$K$5:$K$604,MATCH(B324,Jobs!$A$5:$A$604,0)),""))</f>
        <v>0</v>
      </c>
      <c r="P324" s="50">
        <f>IF(G324="","",IFERROR(INDEX(Checklists!$J$5:$J$404,MATCH(G324,Checklists!$F$5:$F$404,0)),"Yes"))</f>
        <v>0</v>
      </c>
      <c r="Q324" s="31">
        <f>IF(G324="","",IFERROR(INDEX(Checklists!$H$5:$H$404,MATCH(G324,Checklists!$F$5:$F$404,0)),""))</f>
        <v>0</v>
      </c>
      <c r="R324" s="31">
        <f>IF(OR(J324="",Q324=""),"",J324-Q324)</f>
        <v>0</v>
      </c>
      <c r="S324" s="50">
        <f>IF(B324="","",IF(H324="Done","Yes","No"))</f>
        <v>0</v>
      </c>
      <c r="T324" s="39">
        <f>IF(B324="","",IF(G324="","Add - what was the task?",IF(H324="Issue found",IF(M324="Yes","OK - issue reported","Action - tell the client"),IF(H324="Needs rework","Action - rework needed",IF(AND(H324="Skipped",P324="Yes"),"Check - required task skipped",IF(H324="Done","OK","Due"))))))</f>
        <v>0</v>
      </c>
    </row>
    <row r="325" spans="1:20">
      <c r="A325" s="43">
        <f>IF(B325="","","JT-"&amp;TEXT(ROW()-4,"0000"))</f>
        <v>0</v>
      </c>
      <c r="C325" s="18">
        <f>IF(B325="","",IFERROR(INDEX(Jobs!$B$5:$B$604,MATCH(B325,Jobs!$A$5:$A$604,0)),""))</f>
        <v>0</v>
      </c>
      <c r="D325" s="23">
        <f>IF(B325="","",IFERROR(INDEX(Jobs!$H$5:$H$604,MATCH(B325,Jobs!$A$5:$A$604,0)),""))</f>
        <v>0</v>
      </c>
      <c r="E325" s="23">
        <f>IF(B325="","",IFERROR(INDEX(Jobs!$K$5:$K$604,MATCH(B325,Jobs!$A$5:$A$604,0)),""))</f>
        <v>0</v>
      </c>
      <c r="P325" s="50">
        <f>IF(G325="","",IFERROR(INDEX(Checklists!$J$5:$J$404,MATCH(G325,Checklists!$F$5:$F$404,0)),"Yes"))</f>
        <v>0</v>
      </c>
      <c r="Q325" s="31">
        <f>IF(G325="","",IFERROR(INDEX(Checklists!$H$5:$H$404,MATCH(G325,Checklists!$F$5:$F$404,0)),""))</f>
        <v>0</v>
      </c>
      <c r="R325" s="31">
        <f>IF(OR(J325="",Q325=""),"",J325-Q325)</f>
        <v>0</v>
      </c>
      <c r="S325" s="50">
        <f>IF(B325="","",IF(H325="Done","Yes","No"))</f>
        <v>0</v>
      </c>
      <c r="T325" s="39">
        <f>IF(B325="","",IF(G325="","Add - what was the task?",IF(H325="Issue found",IF(M325="Yes","OK - issue reported","Action - tell the client"),IF(H325="Needs rework","Action - rework needed",IF(AND(H325="Skipped",P325="Yes"),"Check - required task skipped",IF(H325="Done","OK","Due"))))))</f>
        <v>0</v>
      </c>
    </row>
    <row r="326" spans="1:20">
      <c r="A326" s="43">
        <f>IF(B326="","","JT-"&amp;TEXT(ROW()-4,"0000"))</f>
        <v>0</v>
      </c>
      <c r="C326" s="18">
        <f>IF(B326="","",IFERROR(INDEX(Jobs!$B$5:$B$604,MATCH(B326,Jobs!$A$5:$A$604,0)),""))</f>
        <v>0</v>
      </c>
      <c r="D326" s="23">
        <f>IF(B326="","",IFERROR(INDEX(Jobs!$H$5:$H$604,MATCH(B326,Jobs!$A$5:$A$604,0)),""))</f>
        <v>0</v>
      </c>
      <c r="E326" s="23">
        <f>IF(B326="","",IFERROR(INDEX(Jobs!$K$5:$K$604,MATCH(B326,Jobs!$A$5:$A$604,0)),""))</f>
        <v>0</v>
      </c>
      <c r="P326" s="50">
        <f>IF(G326="","",IFERROR(INDEX(Checklists!$J$5:$J$404,MATCH(G326,Checklists!$F$5:$F$404,0)),"Yes"))</f>
        <v>0</v>
      </c>
      <c r="Q326" s="31">
        <f>IF(G326="","",IFERROR(INDEX(Checklists!$H$5:$H$404,MATCH(G326,Checklists!$F$5:$F$404,0)),""))</f>
        <v>0</v>
      </c>
      <c r="R326" s="31">
        <f>IF(OR(J326="",Q326=""),"",J326-Q326)</f>
        <v>0</v>
      </c>
      <c r="S326" s="50">
        <f>IF(B326="","",IF(H326="Done","Yes","No"))</f>
        <v>0</v>
      </c>
      <c r="T326" s="39">
        <f>IF(B326="","",IF(G326="","Add - what was the task?",IF(H326="Issue found",IF(M326="Yes","OK - issue reported","Action - tell the client"),IF(H326="Needs rework","Action - rework needed",IF(AND(H326="Skipped",P326="Yes"),"Check - required task skipped",IF(H326="Done","OK","Due"))))))</f>
        <v>0</v>
      </c>
    </row>
    <row r="327" spans="1:20">
      <c r="A327" s="43">
        <f>IF(B327="","","JT-"&amp;TEXT(ROW()-4,"0000"))</f>
        <v>0</v>
      </c>
      <c r="C327" s="18">
        <f>IF(B327="","",IFERROR(INDEX(Jobs!$B$5:$B$604,MATCH(B327,Jobs!$A$5:$A$604,0)),""))</f>
        <v>0</v>
      </c>
      <c r="D327" s="23">
        <f>IF(B327="","",IFERROR(INDEX(Jobs!$H$5:$H$604,MATCH(B327,Jobs!$A$5:$A$604,0)),""))</f>
        <v>0</v>
      </c>
      <c r="E327" s="23">
        <f>IF(B327="","",IFERROR(INDEX(Jobs!$K$5:$K$604,MATCH(B327,Jobs!$A$5:$A$604,0)),""))</f>
        <v>0</v>
      </c>
      <c r="P327" s="50">
        <f>IF(G327="","",IFERROR(INDEX(Checklists!$J$5:$J$404,MATCH(G327,Checklists!$F$5:$F$404,0)),"Yes"))</f>
        <v>0</v>
      </c>
      <c r="Q327" s="31">
        <f>IF(G327="","",IFERROR(INDEX(Checklists!$H$5:$H$404,MATCH(G327,Checklists!$F$5:$F$404,0)),""))</f>
        <v>0</v>
      </c>
      <c r="R327" s="31">
        <f>IF(OR(J327="",Q327=""),"",J327-Q327)</f>
        <v>0</v>
      </c>
      <c r="S327" s="50">
        <f>IF(B327="","",IF(H327="Done","Yes","No"))</f>
        <v>0</v>
      </c>
      <c r="T327" s="39">
        <f>IF(B327="","",IF(G327="","Add - what was the task?",IF(H327="Issue found",IF(M327="Yes","OK - issue reported","Action - tell the client"),IF(H327="Needs rework","Action - rework needed",IF(AND(H327="Skipped",P327="Yes"),"Check - required task skipped",IF(H327="Done","OK","Due"))))))</f>
        <v>0</v>
      </c>
    </row>
    <row r="328" spans="1:20">
      <c r="A328" s="43">
        <f>IF(B328="","","JT-"&amp;TEXT(ROW()-4,"0000"))</f>
        <v>0</v>
      </c>
      <c r="C328" s="18">
        <f>IF(B328="","",IFERROR(INDEX(Jobs!$B$5:$B$604,MATCH(B328,Jobs!$A$5:$A$604,0)),""))</f>
        <v>0</v>
      </c>
      <c r="D328" s="23">
        <f>IF(B328="","",IFERROR(INDEX(Jobs!$H$5:$H$604,MATCH(B328,Jobs!$A$5:$A$604,0)),""))</f>
        <v>0</v>
      </c>
      <c r="E328" s="23">
        <f>IF(B328="","",IFERROR(INDEX(Jobs!$K$5:$K$604,MATCH(B328,Jobs!$A$5:$A$604,0)),""))</f>
        <v>0</v>
      </c>
      <c r="P328" s="50">
        <f>IF(G328="","",IFERROR(INDEX(Checklists!$J$5:$J$404,MATCH(G328,Checklists!$F$5:$F$404,0)),"Yes"))</f>
        <v>0</v>
      </c>
      <c r="Q328" s="31">
        <f>IF(G328="","",IFERROR(INDEX(Checklists!$H$5:$H$404,MATCH(G328,Checklists!$F$5:$F$404,0)),""))</f>
        <v>0</v>
      </c>
      <c r="R328" s="31">
        <f>IF(OR(J328="",Q328=""),"",J328-Q328)</f>
        <v>0</v>
      </c>
      <c r="S328" s="50">
        <f>IF(B328="","",IF(H328="Done","Yes","No"))</f>
        <v>0</v>
      </c>
      <c r="T328" s="39">
        <f>IF(B328="","",IF(G328="","Add - what was the task?",IF(H328="Issue found",IF(M328="Yes","OK - issue reported","Action - tell the client"),IF(H328="Needs rework","Action - rework needed",IF(AND(H328="Skipped",P328="Yes"),"Check - required task skipped",IF(H328="Done","OK","Due"))))))</f>
        <v>0</v>
      </c>
    </row>
    <row r="329" spans="1:20">
      <c r="A329" s="43">
        <f>IF(B329="","","JT-"&amp;TEXT(ROW()-4,"0000"))</f>
        <v>0</v>
      </c>
      <c r="C329" s="18">
        <f>IF(B329="","",IFERROR(INDEX(Jobs!$B$5:$B$604,MATCH(B329,Jobs!$A$5:$A$604,0)),""))</f>
        <v>0</v>
      </c>
      <c r="D329" s="23">
        <f>IF(B329="","",IFERROR(INDEX(Jobs!$H$5:$H$604,MATCH(B329,Jobs!$A$5:$A$604,0)),""))</f>
        <v>0</v>
      </c>
      <c r="E329" s="23">
        <f>IF(B329="","",IFERROR(INDEX(Jobs!$K$5:$K$604,MATCH(B329,Jobs!$A$5:$A$604,0)),""))</f>
        <v>0</v>
      </c>
      <c r="P329" s="50">
        <f>IF(G329="","",IFERROR(INDEX(Checklists!$J$5:$J$404,MATCH(G329,Checklists!$F$5:$F$404,0)),"Yes"))</f>
        <v>0</v>
      </c>
      <c r="Q329" s="31">
        <f>IF(G329="","",IFERROR(INDEX(Checklists!$H$5:$H$404,MATCH(G329,Checklists!$F$5:$F$404,0)),""))</f>
        <v>0</v>
      </c>
      <c r="R329" s="31">
        <f>IF(OR(J329="",Q329=""),"",J329-Q329)</f>
        <v>0</v>
      </c>
      <c r="S329" s="50">
        <f>IF(B329="","",IF(H329="Done","Yes","No"))</f>
        <v>0</v>
      </c>
      <c r="T329" s="39">
        <f>IF(B329="","",IF(G329="","Add - what was the task?",IF(H329="Issue found",IF(M329="Yes","OK - issue reported","Action - tell the client"),IF(H329="Needs rework","Action - rework needed",IF(AND(H329="Skipped",P329="Yes"),"Check - required task skipped",IF(H329="Done","OK","Due"))))))</f>
        <v>0</v>
      </c>
    </row>
    <row r="330" spans="1:20">
      <c r="A330" s="43">
        <f>IF(B330="","","JT-"&amp;TEXT(ROW()-4,"0000"))</f>
        <v>0</v>
      </c>
      <c r="C330" s="18">
        <f>IF(B330="","",IFERROR(INDEX(Jobs!$B$5:$B$604,MATCH(B330,Jobs!$A$5:$A$604,0)),""))</f>
        <v>0</v>
      </c>
      <c r="D330" s="23">
        <f>IF(B330="","",IFERROR(INDEX(Jobs!$H$5:$H$604,MATCH(B330,Jobs!$A$5:$A$604,0)),""))</f>
        <v>0</v>
      </c>
      <c r="E330" s="23">
        <f>IF(B330="","",IFERROR(INDEX(Jobs!$K$5:$K$604,MATCH(B330,Jobs!$A$5:$A$604,0)),""))</f>
        <v>0</v>
      </c>
      <c r="P330" s="50">
        <f>IF(G330="","",IFERROR(INDEX(Checklists!$J$5:$J$404,MATCH(G330,Checklists!$F$5:$F$404,0)),"Yes"))</f>
        <v>0</v>
      </c>
      <c r="Q330" s="31">
        <f>IF(G330="","",IFERROR(INDEX(Checklists!$H$5:$H$404,MATCH(G330,Checklists!$F$5:$F$404,0)),""))</f>
        <v>0</v>
      </c>
      <c r="R330" s="31">
        <f>IF(OR(J330="",Q330=""),"",J330-Q330)</f>
        <v>0</v>
      </c>
      <c r="S330" s="50">
        <f>IF(B330="","",IF(H330="Done","Yes","No"))</f>
        <v>0</v>
      </c>
      <c r="T330" s="39">
        <f>IF(B330="","",IF(G330="","Add - what was the task?",IF(H330="Issue found",IF(M330="Yes","OK - issue reported","Action - tell the client"),IF(H330="Needs rework","Action - rework needed",IF(AND(H330="Skipped",P330="Yes"),"Check - required task skipped",IF(H330="Done","OK","Due"))))))</f>
        <v>0</v>
      </c>
    </row>
    <row r="331" spans="1:20">
      <c r="A331" s="43">
        <f>IF(B331="","","JT-"&amp;TEXT(ROW()-4,"0000"))</f>
        <v>0</v>
      </c>
      <c r="C331" s="18">
        <f>IF(B331="","",IFERROR(INDEX(Jobs!$B$5:$B$604,MATCH(B331,Jobs!$A$5:$A$604,0)),""))</f>
        <v>0</v>
      </c>
      <c r="D331" s="23">
        <f>IF(B331="","",IFERROR(INDEX(Jobs!$H$5:$H$604,MATCH(B331,Jobs!$A$5:$A$604,0)),""))</f>
        <v>0</v>
      </c>
      <c r="E331" s="23">
        <f>IF(B331="","",IFERROR(INDEX(Jobs!$K$5:$K$604,MATCH(B331,Jobs!$A$5:$A$604,0)),""))</f>
        <v>0</v>
      </c>
      <c r="P331" s="50">
        <f>IF(G331="","",IFERROR(INDEX(Checklists!$J$5:$J$404,MATCH(G331,Checklists!$F$5:$F$404,0)),"Yes"))</f>
        <v>0</v>
      </c>
      <c r="Q331" s="31">
        <f>IF(G331="","",IFERROR(INDEX(Checklists!$H$5:$H$404,MATCH(G331,Checklists!$F$5:$F$404,0)),""))</f>
        <v>0</v>
      </c>
      <c r="R331" s="31">
        <f>IF(OR(J331="",Q331=""),"",J331-Q331)</f>
        <v>0</v>
      </c>
      <c r="S331" s="50">
        <f>IF(B331="","",IF(H331="Done","Yes","No"))</f>
        <v>0</v>
      </c>
      <c r="T331" s="39">
        <f>IF(B331="","",IF(G331="","Add - what was the task?",IF(H331="Issue found",IF(M331="Yes","OK - issue reported","Action - tell the client"),IF(H331="Needs rework","Action - rework needed",IF(AND(H331="Skipped",P331="Yes"),"Check - required task skipped",IF(H331="Done","OK","Due"))))))</f>
        <v>0</v>
      </c>
    </row>
    <row r="332" spans="1:20">
      <c r="A332" s="43">
        <f>IF(B332="","","JT-"&amp;TEXT(ROW()-4,"0000"))</f>
        <v>0</v>
      </c>
      <c r="C332" s="18">
        <f>IF(B332="","",IFERROR(INDEX(Jobs!$B$5:$B$604,MATCH(B332,Jobs!$A$5:$A$604,0)),""))</f>
        <v>0</v>
      </c>
      <c r="D332" s="23">
        <f>IF(B332="","",IFERROR(INDEX(Jobs!$H$5:$H$604,MATCH(B332,Jobs!$A$5:$A$604,0)),""))</f>
        <v>0</v>
      </c>
      <c r="E332" s="23">
        <f>IF(B332="","",IFERROR(INDEX(Jobs!$K$5:$K$604,MATCH(B332,Jobs!$A$5:$A$604,0)),""))</f>
        <v>0</v>
      </c>
      <c r="P332" s="50">
        <f>IF(G332="","",IFERROR(INDEX(Checklists!$J$5:$J$404,MATCH(G332,Checklists!$F$5:$F$404,0)),"Yes"))</f>
        <v>0</v>
      </c>
      <c r="Q332" s="31">
        <f>IF(G332="","",IFERROR(INDEX(Checklists!$H$5:$H$404,MATCH(G332,Checklists!$F$5:$F$404,0)),""))</f>
        <v>0</v>
      </c>
      <c r="R332" s="31">
        <f>IF(OR(J332="",Q332=""),"",J332-Q332)</f>
        <v>0</v>
      </c>
      <c r="S332" s="50">
        <f>IF(B332="","",IF(H332="Done","Yes","No"))</f>
        <v>0</v>
      </c>
      <c r="T332" s="39">
        <f>IF(B332="","",IF(G332="","Add - what was the task?",IF(H332="Issue found",IF(M332="Yes","OK - issue reported","Action - tell the client"),IF(H332="Needs rework","Action - rework needed",IF(AND(H332="Skipped",P332="Yes"),"Check - required task skipped",IF(H332="Done","OK","Due"))))))</f>
        <v>0</v>
      </c>
    </row>
    <row r="333" spans="1:20">
      <c r="A333" s="43">
        <f>IF(B333="","","JT-"&amp;TEXT(ROW()-4,"0000"))</f>
        <v>0</v>
      </c>
      <c r="C333" s="18">
        <f>IF(B333="","",IFERROR(INDEX(Jobs!$B$5:$B$604,MATCH(B333,Jobs!$A$5:$A$604,0)),""))</f>
        <v>0</v>
      </c>
      <c r="D333" s="23">
        <f>IF(B333="","",IFERROR(INDEX(Jobs!$H$5:$H$604,MATCH(B333,Jobs!$A$5:$A$604,0)),""))</f>
        <v>0</v>
      </c>
      <c r="E333" s="23">
        <f>IF(B333="","",IFERROR(INDEX(Jobs!$K$5:$K$604,MATCH(B333,Jobs!$A$5:$A$604,0)),""))</f>
        <v>0</v>
      </c>
      <c r="P333" s="50">
        <f>IF(G333="","",IFERROR(INDEX(Checklists!$J$5:$J$404,MATCH(G333,Checklists!$F$5:$F$404,0)),"Yes"))</f>
        <v>0</v>
      </c>
      <c r="Q333" s="31">
        <f>IF(G333="","",IFERROR(INDEX(Checklists!$H$5:$H$404,MATCH(G333,Checklists!$F$5:$F$404,0)),""))</f>
        <v>0</v>
      </c>
      <c r="R333" s="31">
        <f>IF(OR(J333="",Q333=""),"",J333-Q333)</f>
        <v>0</v>
      </c>
      <c r="S333" s="50">
        <f>IF(B333="","",IF(H333="Done","Yes","No"))</f>
        <v>0</v>
      </c>
      <c r="T333" s="39">
        <f>IF(B333="","",IF(G333="","Add - what was the task?",IF(H333="Issue found",IF(M333="Yes","OK - issue reported","Action - tell the client"),IF(H333="Needs rework","Action - rework needed",IF(AND(H333="Skipped",P333="Yes"),"Check - required task skipped",IF(H333="Done","OK","Due"))))))</f>
        <v>0</v>
      </c>
    </row>
    <row r="334" spans="1:20">
      <c r="A334" s="43">
        <f>IF(B334="","","JT-"&amp;TEXT(ROW()-4,"0000"))</f>
        <v>0</v>
      </c>
      <c r="C334" s="18">
        <f>IF(B334="","",IFERROR(INDEX(Jobs!$B$5:$B$604,MATCH(B334,Jobs!$A$5:$A$604,0)),""))</f>
        <v>0</v>
      </c>
      <c r="D334" s="23">
        <f>IF(B334="","",IFERROR(INDEX(Jobs!$H$5:$H$604,MATCH(B334,Jobs!$A$5:$A$604,0)),""))</f>
        <v>0</v>
      </c>
      <c r="E334" s="23">
        <f>IF(B334="","",IFERROR(INDEX(Jobs!$K$5:$K$604,MATCH(B334,Jobs!$A$5:$A$604,0)),""))</f>
        <v>0</v>
      </c>
      <c r="P334" s="50">
        <f>IF(G334="","",IFERROR(INDEX(Checklists!$J$5:$J$404,MATCH(G334,Checklists!$F$5:$F$404,0)),"Yes"))</f>
        <v>0</v>
      </c>
      <c r="Q334" s="31">
        <f>IF(G334="","",IFERROR(INDEX(Checklists!$H$5:$H$404,MATCH(G334,Checklists!$F$5:$F$404,0)),""))</f>
        <v>0</v>
      </c>
      <c r="R334" s="31">
        <f>IF(OR(J334="",Q334=""),"",J334-Q334)</f>
        <v>0</v>
      </c>
      <c r="S334" s="50">
        <f>IF(B334="","",IF(H334="Done","Yes","No"))</f>
        <v>0</v>
      </c>
      <c r="T334" s="39">
        <f>IF(B334="","",IF(G334="","Add - what was the task?",IF(H334="Issue found",IF(M334="Yes","OK - issue reported","Action - tell the client"),IF(H334="Needs rework","Action - rework needed",IF(AND(H334="Skipped",P334="Yes"),"Check - required task skipped",IF(H334="Done","OK","Due"))))))</f>
        <v>0</v>
      </c>
    </row>
    <row r="335" spans="1:20">
      <c r="A335" s="43">
        <f>IF(B335="","","JT-"&amp;TEXT(ROW()-4,"0000"))</f>
        <v>0</v>
      </c>
      <c r="C335" s="18">
        <f>IF(B335="","",IFERROR(INDEX(Jobs!$B$5:$B$604,MATCH(B335,Jobs!$A$5:$A$604,0)),""))</f>
        <v>0</v>
      </c>
      <c r="D335" s="23">
        <f>IF(B335="","",IFERROR(INDEX(Jobs!$H$5:$H$604,MATCH(B335,Jobs!$A$5:$A$604,0)),""))</f>
        <v>0</v>
      </c>
      <c r="E335" s="23">
        <f>IF(B335="","",IFERROR(INDEX(Jobs!$K$5:$K$604,MATCH(B335,Jobs!$A$5:$A$604,0)),""))</f>
        <v>0</v>
      </c>
      <c r="P335" s="50">
        <f>IF(G335="","",IFERROR(INDEX(Checklists!$J$5:$J$404,MATCH(G335,Checklists!$F$5:$F$404,0)),"Yes"))</f>
        <v>0</v>
      </c>
      <c r="Q335" s="31">
        <f>IF(G335="","",IFERROR(INDEX(Checklists!$H$5:$H$404,MATCH(G335,Checklists!$F$5:$F$404,0)),""))</f>
        <v>0</v>
      </c>
      <c r="R335" s="31">
        <f>IF(OR(J335="",Q335=""),"",J335-Q335)</f>
        <v>0</v>
      </c>
      <c r="S335" s="50">
        <f>IF(B335="","",IF(H335="Done","Yes","No"))</f>
        <v>0</v>
      </c>
      <c r="T335" s="39">
        <f>IF(B335="","",IF(G335="","Add - what was the task?",IF(H335="Issue found",IF(M335="Yes","OK - issue reported","Action - tell the client"),IF(H335="Needs rework","Action - rework needed",IF(AND(H335="Skipped",P335="Yes"),"Check - required task skipped",IF(H335="Done","OK","Due"))))))</f>
        <v>0</v>
      </c>
    </row>
    <row r="336" spans="1:20">
      <c r="A336" s="43">
        <f>IF(B336="","","JT-"&amp;TEXT(ROW()-4,"0000"))</f>
        <v>0</v>
      </c>
      <c r="C336" s="18">
        <f>IF(B336="","",IFERROR(INDEX(Jobs!$B$5:$B$604,MATCH(B336,Jobs!$A$5:$A$604,0)),""))</f>
        <v>0</v>
      </c>
      <c r="D336" s="23">
        <f>IF(B336="","",IFERROR(INDEX(Jobs!$H$5:$H$604,MATCH(B336,Jobs!$A$5:$A$604,0)),""))</f>
        <v>0</v>
      </c>
      <c r="E336" s="23">
        <f>IF(B336="","",IFERROR(INDEX(Jobs!$K$5:$K$604,MATCH(B336,Jobs!$A$5:$A$604,0)),""))</f>
        <v>0</v>
      </c>
      <c r="P336" s="50">
        <f>IF(G336="","",IFERROR(INDEX(Checklists!$J$5:$J$404,MATCH(G336,Checklists!$F$5:$F$404,0)),"Yes"))</f>
        <v>0</v>
      </c>
      <c r="Q336" s="31">
        <f>IF(G336="","",IFERROR(INDEX(Checklists!$H$5:$H$404,MATCH(G336,Checklists!$F$5:$F$404,0)),""))</f>
        <v>0</v>
      </c>
      <c r="R336" s="31">
        <f>IF(OR(J336="",Q336=""),"",J336-Q336)</f>
        <v>0</v>
      </c>
      <c r="S336" s="50">
        <f>IF(B336="","",IF(H336="Done","Yes","No"))</f>
        <v>0</v>
      </c>
      <c r="T336" s="39">
        <f>IF(B336="","",IF(G336="","Add - what was the task?",IF(H336="Issue found",IF(M336="Yes","OK - issue reported","Action - tell the client"),IF(H336="Needs rework","Action - rework needed",IF(AND(H336="Skipped",P336="Yes"),"Check - required task skipped",IF(H336="Done","OK","Due"))))))</f>
        <v>0</v>
      </c>
    </row>
    <row r="337" spans="1:20">
      <c r="A337" s="43">
        <f>IF(B337="","","JT-"&amp;TEXT(ROW()-4,"0000"))</f>
        <v>0</v>
      </c>
      <c r="C337" s="18">
        <f>IF(B337="","",IFERROR(INDEX(Jobs!$B$5:$B$604,MATCH(B337,Jobs!$A$5:$A$604,0)),""))</f>
        <v>0</v>
      </c>
      <c r="D337" s="23">
        <f>IF(B337="","",IFERROR(INDEX(Jobs!$H$5:$H$604,MATCH(B337,Jobs!$A$5:$A$604,0)),""))</f>
        <v>0</v>
      </c>
      <c r="E337" s="23">
        <f>IF(B337="","",IFERROR(INDEX(Jobs!$K$5:$K$604,MATCH(B337,Jobs!$A$5:$A$604,0)),""))</f>
        <v>0</v>
      </c>
      <c r="P337" s="50">
        <f>IF(G337="","",IFERROR(INDEX(Checklists!$J$5:$J$404,MATCH(G337,Checklists!$F$5:$F$404,0)),"Yes"))</f>
        <v>0</v>
      </c>
      <c r="Q337" s="31">
        <f>IF(G337="","",IFERROR(INDEX(Checklists!$H$5:$H$404,MATCH(G337,Checklists!$F$5:$F$404,0)),""))</f>
        <v>0</v>
      </c>
      <c r="R337" s="31">
        <f>IF(OR(J337="",Q337=""),"",J337-Q337)</f>
        <v>0</v>
      </c>
      <c r="S337" s="50">
        <f>IF(B337="","",IF(H337="Done","Yes","No"))</f>
        <v>0</v>
      </c>
      <c r="T337" s="39">
        <f>IF(B337="","",IF(G337="","Add - what was the task?",IF(H337="Issue found",IF(M337="Yes","OK - issue reported","Action - tell the client"),IF(H337="Needs rework","Action - rework needed",IF(AND(H337="Skipped",P337="Yes"),"Check - required task skipped",IF(H337="Done","OK","Due"))))))</f>
        <v>0</v>
      </c>
    </row>
    <row r="338" spans="1:20">
      <c r="A338" s="43">
        <f>IF(B338="","","JT-"&amp;TEXT(ROW()-4,"0000"))</f>
        <v>0</v>
      </c>
      <c r="C338" s="18">
        <f>IF(B338="","",IFERROR(INDEX(Jobs!$B$5:$B$604,MATCH(B338,Jobs!$A$5:$A$604,0)),""))</f>
        <v>0</v>
      </c>
      <c r="D338" s="23">
        <f>IF(B338="","",IFERROR(INDEX(Jobs!$H$5:$H$604,MATCH(B338,Jobs!$A$5:$A$604,0)),""))</f>
        <v>0</v>
      </c>
      <c r="E338" s="23">
        <f>IF(B338="","",IFERROR(INDEX(Jobs!$K$5:$K$604,MATCH(B338,Jobs!$A$5:$A$604,0)),""))</f>
        <v>0</v>
      </c>
      <c r="P338" s="50">
        <f>IF(G338="","",IFERROR(INDEX(Checklists!$J$5:$J$404,MATCH(G338,Checklists!$F$5:$F$404,0)),"Yes"))</f>
        <v>0</v>
      </c>
      <c r="Q338" s="31">
        <f>IF(G338="","",IFERROR(INDEX(Checklists!$H$5:$H$404,MATCH(G338,Checklists!$F$5:$F$404,0)),""))</f>
        <v>0</v>
      </c>
      <c r="R338" s="31">
        <f>IF(OR(J338="",Q338=""),"",J338-Q338)</f>
        <v>0</v>
      </c>
      <c r="S338" s="50">
        <f>IF(B338="","",IF(H338="Done","Yes","No"))</f>
        <v>0</v>
      </c>
      <c r="T338" s="39">
        <f>IF(B338="","",IF(G338="","Add - what was the task?",IF(H338="Issue found",IF(M338="Yes","OK - issue reported","Action - tell the client"),IF(H338="Needs rework","Action - rework needed",IF(AND(H338="Skipped",P338="Yes"),"Check - required task skipped",IF(H338="Done","OK","Due"))))))</f>
        <v>0</v>
      </c>
    </row>
    <row r="339" spans="1:20">
      <c r="A339" s="43">
        <f>IF(B339="","","JT-"&amp;TEXT(ROW()-4,"0000"))</f>
        <v>0</v>
      </c>
      <c r="C339" s="18">
        <f>IF(B339="","",IFERROR(INDEX(Jobs!$B$5:$B$604,MATCH(B339,Jobs!$A$5:$A$604,0)),""))</f>
        <v>0</v>
      </c>
      <c r="D339" s="23">
        <f>IF(B339="","",IFERROR(INDEX(Jobs!$H$5:$H$604,MATCH(B339,Jobs!$A$5:$A$604,0)),""))</f>
        <v>0</v>
      </c>
      <c r="E339" s="23">
        <f>IF(B339="","",IFERROR(INDEX(Jobs!$K$5:$K$604,MATCH(B339,Jobs!$A$5:$A$604,0)),""))</f>
        <v>0</v>
      </c>
      <c r="P339" s="50">
        <f>IF(G339="","",IFERROR(INDEX(Checklists!$J$5:$J$404,MATCH(G339,Checklists!$F$5:$F$404,0)),"Yes"))</f>
        <v>0</v>
      </c>
      <c r="Q339" s="31">
        <f>IF(G339="","",IFERROR(INDEX(Checklists!$H$5:$H$404,MATCH(G339,Checklists!$F$5:$F$404,0)),""))</f>
        <v>0</v>
      </c>
      <c r="R339" s="31">
        <f>IF(OR(J339="",Q339=""),"",J339-Q339)</f>
        <v>0</v>
      </c>
      <c r="S339" s="50">
        <f>IF(B339="","",IF(H339="Done","Yes","No"))</f>
        <v>0</v>
      </c>
      <c r="T339" s="39">
        <f>IF(B339="","",IF(G339="","Add - what was the task?",IF(H339="Issue found",IF(M339="Yes","OK - issue reported","Action - tell the client"),IF(H339="Needs rework","Action - rework needed",IF(AND(H339="Skipped",P339="Yes"),"Check - required task skipped",IF(H339="Done","OK","Due"))))))</f>
        <v>0</v>
      </c>
    </row>
    <row r="340" spans="1:20">
      <c r="A340" s="43">
        <f>IF(B340="","","JT-"&amp;TEXT(ROW()-4,"0000"))</f>
        <v>0</v>
      </c>
      <c r="C340" s="18">
        <f>IF(B340="","",IFERROR(INDEX(Jobs!$B$5:$B$604,MATCH(B340,Jobs!$A$5:$A$604,0)),""))</f>
        <v>0</v>
      </c>
      <c r="D340" s="23">
        <f>IF(B340="","",IFERROR(INDEX(Jobs!$H$5:$H$604,MATCH(B340,Jobs!$A$5:$A$604,0)),""))</f>
        <v>0</v>
      </c>
      <c r="E340" s="23">
        <f>IF(B340="","",IFERROR(INDEX(Jobs!$K$5:$K$604,MATCH(B340,Jobs!$A$5:$A$604,0)),""))</f>
        <v>0</v>
      </c>
      <c r="P340" s="50">
        <f>IF(G340="","",IFERROR(INDEX(Checklists!$J$5:$J$404,MATCH(G340,Checklists!$F$5:$F$404,0)),"Yes"))</f>
        <v>0</v>
      </c>
      <c r="Q340" s="31">
        <f>IF(G340="","",IFERROR(INDEX(Checklists!$H$5:$H$404,MATCH(G340,Checklists!$F$5:$F$404,0)),""))</f>
        <v>0</v>
      </c>
      <c r="R340" s="31">
        <f>IF(OR(J340="",Q340=""),"",J340-Q340)</f>
        <v>0</v>
      </c>
      <c r="S340" s="50">
        <f>IF(B340="","",IF(H340="Done","Yes","No"))</f>
        <v>0</v>
      </c>
      <c r="T340" s="39">
        <f>IF(B340="","",IF(G340="","Add - what was the task?",IF(H340="Issue found",IF(M340="Yes","OK - issue reported","Action - tell the client"),IF(H340="Needs rework","Action - rework needed",IF(AND(H340="Skipped",P340="Yes"),"Check - required task skipped",IF(H340="Done","OK","Due"))))))</f>
        <v>0</v>
      </c>
    </row>
    <row r="341" spans="1:20">
      <c r="A341" s="43">
        <f>IF(B341="","","JT-"&amp;TEXT(ROW()-4,"0000"))</f>
        <v>0</v>
      </c>
      <c r="C341" s="18">
        <f>IF(B341="","",IFERROR(INDEX(Jobs!$B$5:$B$604,MATCH(B341,Jobs!$A$5:$A$604,0)),""))</f>
        <v>0</v>
      </c>
      <c r="D341" s="23">
        <f>IF(B341="","",IFERROR(INDEX(Jobs!$H$5:$H$604,MATCH(B341,Jobs!$A$5:$A$604,0)),""))</f>
        <v>0</v>
      </c>
      <c r="E341" s="23">
        <f>IF(B341="","",IFERROR(INDEX(Jobs!$K$5:$K$604,MATCH(B341,Jobs!$A$5:$A$604,0)),""))</f>
        <v>0</v>
      </c>
      <c r="P341" s="50">
        <f>IF(G341="","",IFERROR(INDEX(Checklists!$J$5:$J$404,MATCH(G341,Checklists!$F$5:$F$404,0)),"Yes"))</f>
        <v>0</v>
      </c>
      <c r="Q341" s="31">
        <f>IF(G341="","",IFERROR(INDEX(Checklists!$H$5:$H$404,MATCH(G341,Checklists!$F$5:$F$404,0)),""))</f>
        <v>0</v>
      </c>
      <c r="R341" s="31">
        <f>IF(OR(J341="",Q341=""),"",J341-Q341)</f>
        <v>0</v>
      </c>
      <c r="S341" s="50">
        <f>IF(B341="","",IF(H341="Done","Yes","No"))</f>
        <v>0</v>
      </c>
      <c r="T341" s="39">
        <f>IF(B341="","",IF(G341="","Add - what was the task?",IF(H341="Issue found",IF(M341="Yes","OK - issue reported","Action - tell the client"),IF(H341="Needs rework","Action - rework needed",IF(AND(H341="Skipped",P341="Yes"),"Check - required task skipped",IF(H341="Done","OK","Due"))))))</f>
        <v>0</v>
      </c>
    </row>
    <row r="342" spans="1:20">
      <c r="A342" s="43">
        <f>IF(B342="","","JT-"&amp;TEXT(ROW()-4,"0000"))</f>
        <v>0</v>
      </c>
      <c r="C342" s="18">
        <f>IF(B342="","",IFERROR(INDEX(Jobs!$B$5:$B$604,MATCH(B342,Jobs!$A$5:$A$604,0)),""))</f>
        <v>0</v>
      </c>
      <c r="D342" s="23">
        <f>IF(B342="","",IFERROR(INDEX(Jobs!$H$5:$H$604,MATCH(B342,Jobs!$A$5:$A$604,0)),""))</f>
        <v>0</v>
      </c>
      <c r="E342" s="23">
        <f>IF(B342="","",IFERROR(INDEX(Jobs!$K$5:$K$604,MATCH(B342,Jobs!$A$5:$A$604,0)),""))</f>
        <v>0</v>
      </c>
      <c r="P342" s="50">
        <f>IF(G342="","",IFERROR(INDEX(Checklists!$J$5:$J$404,MATCH(G342,Checklists!$F$5:$F$404,0)),"Yes"))</f>
        <v>0</v>
      </c>
      <c r="Q342" s="31">
        <f>IF(G342="","",IFERROR(INDEX(Checklists!$H$5:$H$404,MATCH(G342,Checklists!$F$5:$F$404,0)),""))</f>
        <v>0</v>
      </c>
      <c r="R342" s="31">
        <f>IF(OR(J342="",Q342=""),"",J342-Q342)</f>
        <v>0</v>
      </c>
      <c r="S342" s="50">
        <f>IF(B342="","",IF(H342="Done","Yes","No"))</f>
        <v>0</v>
      </c>
      <c r="T342" s="39">
        <f>IF(B342="","",IF(G342="","Add - what was the task?",IF(H342="Issue found",IF(M342="Yes","OK - issue reported","Action - tell the client"),IF(H342="Needs rework","Action - rework needed",IF(AND(H342="Skipped",P342="Yes"),"Check - required task skipped",IF(H342="Done","OK","Due"))))))</f>
        <v>0</v>
      </c>
    </row>
    <row r="343" spans="1:20">
      <c r="A343" s="43">
        <f>IF(B343="","","JT-"&amp;TEXT(ROW()-4,"0000"))</f>
        <v>0</v>
      </c>
      <c r="C343" s="18">
        <f>IF(B343="","",IFERROR(INDEX(Jobs!$B$5:$B$604,MATCH(B343,Jobs!$A$5:$A$604,0)),""))</f>
        <v>0</v>
      </c>
      <c r="D343" s="23">
        <f>IF(B343="","",IFERROR(INDEX(Jobs!$H$5:$H$604,MATCH(B343,Jobs!$A$5:$A$604,0)),""))</f>
        <v>0</v>
      </c>
      <c r="E343" s="23">
        <f>IF(B343="","",IFERROR(INDEX(Jobs!$K$5:$K$604,MATCH(B343,Jobs!$A$5:$A$604,0)),""))</f>
        <v>0</v>
      </c>
      <c r="P343" s="50">
        <f>IF(G343="","",IFERROR(INDEX(Checklists!$J$5:$J$404,MATCH(G343,Checklists!$F$5:$F$404,0)),"Yes"))</f>
        <v>0</v>
      </c>
      <c r="Q343" s="31">
        <f>IF(G343="","",IFERROR(INDEX(Checklists!$H$5:$H$404,MATCH(G343,Checklists!$F$5:$F$404,0)),""))</f>
        <v>0</v>
      </c>
      <c r="R343" s="31">
        <f>IF(OR(J343="",Q343=""),"",J343-Q343)</f>
        <v>0</v>
      </c>
      <c r="S343" s="50">
        <f>IF(B343="","",IF(H343="Done","Yes","No"))</f>
        <v>0</v>
      </c>
      <c r="T343" s="39">
        <f>IF(B343="","",IF(G343="","Add - what was the task?",IF(H343="Issue found",IF(M343="Yes","OK - issue reported","Action - tell the client"),IF(H343="Needs rework","Action - rework needed",IF(AND(H343="Skipped",P343="Yes"),"Check - required task skipped",IF(H343="Done","OK","Due"))))))</f>
        <v>0</v>
      </c>
    </row>
    <row r="344" spans="1:20">
      <c r="A344" s="43">
        <f>IF(B344="","","JT-"&amp;TEXT(ROW()-4,"0000"))</f>
        <v>0</v>
      </c>
      <c r="C344" s="18">
        <f>IF(B344="","",IFERROR(INDEX(Jobs!$B$5:$B$604,MATCH(B344,Jobs!$A$5:$A$604,0)),""))</f>
        <v>0</v>
      </c>
      <c r="D344" s="23">
        <f>IF(B344="","",IFERROR(INDEX(Jobs!$H$5:$H$604,MATCH(B344,Jobs!$A$5:$A$604,0)),""))</f>
        <v>0</v>
      </c>
      <c r="E344" s="23">
        <f>IF(B344="","",IFERROR(INDEX(Jobs!$K$5:$K$604,MATCH(B344,Jobs!$A$5:$A$604,0)),""))</f>
        <v>0</v>
      </c>
      <c r="P344" s="50">
        <f>IF(G344="","",IFERROR(INDEX(Checklists!$J$5:$J$404,MATCH(G344,Checklists!$F$5:$F$404,0)),"Yes"))</f>
        <v>0</v>
      </c>
      <c r="Q344" s="31">
        <f>IF(G344="","",IFERROR(INDEX(Checklists!$H$5:$H$404,MATCH(G344,Checklists!$F$5:$F$404,0)),""))</f>
        <v>0</v>
      </c>
      <c r="R344" s="31">
        <f>IF(OR(J344="",Q344=""),"",J344-Q344)</f>
        <v>0</v>
      </c>
      <c r="S344" s="50">
        <f>IF(B344="","",IF(H344="Done","Yes","No"))</f>
        <v>0</v>
      </c>
      <c r="T344" s="39">
        <f>IF(B344="","",IF(G344="","Add - what was the task?",IF(H344="Issue found",IF(M344="Yes","OK - issue reported","Action - tell the client"),IF(H344="Needs rework","Action - rework needed",IF(AND(H344="Skipped",P344="Yes"),"Check - required task skipped",IF(H344="Done","OK","Due"))))))</f>
        <v>0</v>
      </c>
    </row>
    <row r="345" spans="1:20">
      <c r="A345" s="43">
        <f>IF(B345="","","JT-"&amp;TEXT(ROW()-4,"0000"))</f>
        <v>0</v>
      </c>
      <c r="C345" s="18">
        <f>IF(B345="","",IFERROR(INDEX(Jobs!$B$5:$B$604,MATCH(B345,Jobs!$A$5:$A$604,0)),""))</f>
        <v>0</v>
      </c>
      <c r="D345" s="23">
        <f>IF(B345="","",IFERROR(INDEX(Jobs!$H$5:$H$604,MATCH(B345,Jobs!$A$5:$A$604,0)),""))</f>
        <v>0</v>
      </c>
      <c r="E345" s="23">
        <f>IF(B345="","",IFERROR(INDEX(Jobs!$K$5:$K$604,MATCH(B345,Jobs!$A$5:$A$604,0)),""))</f>
        <v>0</v>
      </c>
      <c r="P345" s="50">
        <f>IF(G345="","",IFERROR(INDEX(Checklists!$J$5:$J$404,MATCH(G345,Checklists!$F$5:$F$404,0)),"Yes"))</f>
        <v>0</v>
      </c>
      <c r="Q345" s="31">
        <f>IF(G345="","",IFERROR(INDEX(Checklists!$H$5:$H$404,MATCH(G345,Checklists!$F$5:$F$404,0)),""))</f>
        <v>0</v>
      </c>
      <c r="R345" s="31">
        <f>IF(OR(J345="",Q345=""),"",J345-Q345)</f>
        <v>0</v>
      </c>
      <c r="S345" s="50">
        <f>IF(B345="","",IF(H345="Done","Yes","No"))</f>
        <v>0</v>
      </c>
      <c r="T345" s="39">
        <f>IF(B345="","",IF(G345="","Add - what was the task?",IF(H345="Issue found",IF(M345="Yes","OK - issue reported","Action - tell the client"),IF(H345="Needs rework","Action - rework needed",IF(AND(H345="Skipped",P345="Yes"),"Check - required task skipped",IF(H345="Done","OK","Due"))))))</f>
        <v>0</v>
      </c>
    </row>
    <row r="346" spans="1:20">
      <c r="A346" s="43">
        <f>IF(B346="","","JT-"&amp;TEXT(ROW()-4,"0000"))</f>
        <v>0</v>
      </c>
      <c r="C346" s="18">
        <f>IF(B346="","",IFERROR(INDEX(Jobs!$B$5:$B$604,MATCH(B346,Jobs!$A$5:$A$604,0)),""))</f>
        <v>0</v>
      </c>
      <c r="D346" s="23">
        <f>IF(B346="","",IFERROR(INDEX(Jobs!$H$5:$H$604,MATCH(B346,Jobs!$A$5:$A$604,0)),""))</f>
        <v>0</v>
      </c>
      <c r="E346" s="23">
        <f>IF(B346="","",IFERROR(INDEX(Jobs!$K$5:$K$604,MATCH(B346,Jobs!$A$5:$A$604,0)),""))</f>
        <v>0</v>
      </c>
      <c r="P346" s="50">
        <f>IF(G346="","",IFERROR(INDEX(Checklists!$J$5:$J$404,MATCH(G346,Checklists!$F$5:$F$404,0)),"Yes"))</f>
        <v>0</v>
      </c>
      <c r="Q346" s="31">
        <f>IF(G346="","",IFERROR(INDEX(Checklists!$H$5:$H$404,MATCH(G346,Checklists!$F$5:$F$404,0)),""))</f>
        <v>0</v>
      </c>
      <c r="R346" s="31">
        <f>IF(OR(J346="",Q346=""),"",J346-Q346)</f>
        <v>0</v>
      </c>
      <c r="S346" s="50">
        <f>IF(B346="","",IF(H346="Done","Yes","No"))</f>
        <v>0</v>
      </c>
      <c r="T346" s="39">
        <f>IF(B346="","",IF(G346="","Add - what was the task?",IF(H346="Issue found",IF(M346="Yes","OK - issue reported","Action - tell the client"),IF(H346="Needs rework","Action - rework needed",IF(AND(H346="Skipped",P346="Yes"),"Check - required task skipped",IF(H346="Done","OK","Due"))))))</f>
        <v>0</v>
      </c>
    </row>
    <row r="347" spans="1:20">
      <c r="A347" s="43">
        <f>IF(B347="","","JT-"&amp;TEXT(ROW()-4,"0000"))</f>
        <v>0</v>
      </c>
      <c r="C347" s="18">
        <f>IF(B347="","",IFERROR(INDEX(Jobs!$B$5:$B$604,MATCH(B347,Jobs!$A$5:$A$604,0)),""))</f>
        <v>0</v>
      </c>
      <c r="D347" s="23">
        <f>IF(B347="","",IFERROR(INDEX(Jobs!$H$5:$H$604,MATCH(B347,Jobs!$A$5:$A$604,0)),""))</f>
        <v>0</v>
      </c>
      <c r="E347" s="23">
        <f>IF(B347="","",IFERROR(INDEX(Jobs!$K$5:$K$604,MATCH(B347,Jobs!$A$5:$A$604,0)),""))</f>
        <v>0</v>
      </c>
      <c r="P347" s="50">
        <f>IF(G347="","",IFERROR(INDEX(Checklists!$J$5:$J$404,MATCH(G347,Checklists!$F$5:$F$404,0)),"Yes"))</f>
        <v>0</v>
      </c>
      <c r="Q347" s="31">
        <f>IF(G347="","",IFERROR(INDEX(Checklists!$H$5:$H$404,MATCH(G347,Checklists!$F$5:$F$404,0)),""))</f>
        <v>0</v>
      </c>
      <c r="R347" s="31">
        <f>IF(OR(J347="",Q347=""),"",J347-Q347)</f>
        <v>0</v>
      </c>
      <c r="S347" s="50">
        <f>IF(B347="","",IF(H347="Done","Yes","No"))</f>
        <v>0</v>
      </c>
      <c r="T347" s="39">
        <f>IF(B347="","",IF(G347="","Add - what was the task?",IF(H347="Issue found",IF(M347="Yes","OK - issue reported","Action - tell the client"),IF(H347="Needs rework","Action - rework needed",IF(AND(H347="Skipped",P347="Yes"),"Check - required task skipped",IF(H347="Done","OK","Due"))))))</f>
        <v>0</v>
      </c>
    </row>
    <row r="348" spans="1:20">
      <c r="A348" s="43">
        <f>IF(B348="","","JT-"&amp;TEXT(ROW()-4,"0000"))</f>
        <v>0</v>
      </c>
      <c r="C348" s="18">
        <f>IF(B348="","",IFERROR(INDEX(Jobs!$B$5:$B$604,MATCH(B348,Jobs!$A$5:$A$604,0)),""))</f>
        <v>0</v>
      </c>
      <c r="D348" s="23">
        <f>IF(B348="","",IFERROR(INDEX(Jobs!$H$5:$H$604,MATCH(B348,Jobs!$A$5:$A$604,0)),""))</f>
        <v>0</v>
      </c>
      <c r="E348" s="23">
        <f>IF(B348="","",IFERROR(INDEX(Jobs!$K$5:$K$604,MATCH(B348,Jobs!$A$5:$A$604,0)),""))</f>
        <v>0</v>
      </c>
      <c r="P348" s="50">
        <f>IF(G348="","",IFERROR(INDEX(Checklists!$J$5:$J$404,MATCH(G348,Checklists!$F$5:$F$404,0)),"Yes"))</f>
        <v>0</v>
      </c>
      <c r="Q348" s="31">
        <f>IF(G348="","",IFERROR(INDEX(Checklists!$H$5:$H$404,MATCH(G348,Checklists!$F$5:$F$404,0)),""))</f>
        <v>0</v>
      </c>
      <c r="R348" s="31">
        <f>IF(OR(J348="",Q348=""),"",J348-Q348)</f>
        <v>0</v>
      </c>
      <c r="S348" s="50">
        <f>IF(B348="","",IF(H348="Done","Yes","No"))</f>
        <v>0</v>
      </c>
      <c r="T348" s="39">
        <f>IF(B348="","",IF(G348="","Add - what was the task?",IF(H348="Issue found",IF(M348="Yes","OK - issue reported","Action - tell the client"),IF(H348="Needs rework","Action - rework needed",IF(AND(H348="Skipped",P348="Yes"),"Check - required task skipped",IF(H348="Done","OK","Due"))))))</f>
        <v>0</v>
      </c>
    </row>
    <row r="349" spans="1:20">
      <c r="A349" s="43">
        <f>IF(B349="","","JT-"&amp;TEXT(ROW()-4,"0000"))</f>
        <v>0</v>
      </c>
      <c r="C349" s="18">
        <f>IF(B349="","",IFERROR(INDEX(Jobs!$B$5:$B$604,MATCH(B349,Jobs!$A$5:$A$604,0)),""))</f>
        <v>0</v>
      </c>
      <c r="D349" s="23">
        <f>IF(B349="","",IFERROR(INDEX(Jobs!$H$5:$H$604,MATCH(B349,Jobs!$A$5:$A$604,0)),""))</f>
        <v>0</v>
      </c>
      <c r="E349" s="23">
        <f>IF(B349="","",IFERROR(INDEX(Jobs!$K$5:$K$604,MATCH(B349,Jobs!$A$5:$A$604,0)),""))</f>
        <v>0</v>
      </c>
      <c r="P349" s="50">
        <f>IF(G349="","",IFERROR(INDEX(Checklists!$J$5:$J$404,MATCH(G349,Checklists!$F$5:$F$404,0)),"Yes"))</f>
        <v>0</v>
      </c>
      <c r="Q349" s="31">
        <f>IF(G349="","",IFERROR(INDEX(Checklists!$H$5:$H$404,MATCH(G349,Checklists!$F$5:$F$404,0)),""))</f>
        <v>0</v>
      </c>
      <c r="R349" s="31">
        <f>IF(OR(J349="",Q349=""),"",J349-Q349)</f>
        <v>0</v>
      </c>
      <c r="S349" s="50">
        <f>IF(B349="","",IF(H349="Done","Yes","No"))</f>
        <v>0</v>
      </c>
      <c r="T349" s="39">
        <f>IF(B349="","",IF(G349="","Add - what was the task?",IF(H349="Issue found",IF(M349="Yes","OK - issue reported","Action - tell the client"),IF(H349="Needs rework","Action - rework needed",IF(AND(H349="Skipped",P349="Yes"),"Check - required task skipped",IF(H349="Done","OK","Due"))))))</f>
        <v>0</v>
      </c>
    </row>
    <row r="350" spans="1:20">
      <c r="A350" s="43">
        <f>IF(B350="","","JT-"&amp;TEXT(ROW()-4,"0000"))</f>
        <v>0</v>
      </c>
      <c r="C350" s="18">
        <f>IF(B350="","",IFERROR(INDEX(Jobs!$B$5:$B$604,MATCH(B350,Jobs!$A$5:$A$604,0)),""))</f>
        <v>0</v>
      </c>
      <c r="D350" s="23">
        <f>IF(B350="","",IFERROR(INDEX(Jobs!$H$5:$H$604,MATCH(B350,Jobs!$A$5:$A$604,0)),""))</f>
        <v>0</v>
      </c>
      <c r="E350" s="23">
        <f>IF(B350="","",IFERROR(INDEX(Jobs!$K$5:$K$604,MATCH(B350,Jobs!$A$5:$A$604,0)),""))</f>
        <v>0</v>
      </c>
      <c r="P350" s="50">
        <f>IF(G350="","",IFERROR(INDEX(Checklists!$J$5:$J$404,MATCH(G350,Checklists!$F$5:$F$404,0)),"Yes"))</f>
        <v>0</v>
      </c>
      <c r="Q350" s="31">
        <f>IF(G350="","",IFERROR(INDEX(Checklists!$H$5:$H$404,MATCH(G350,Checklists!$F$5:$F$404,0)),""))</f>
        <v>0</v>
      </c>
      <c r="R350" s="31">
        <f>IF(OR(J350="",Q350=""),"",J350-Q350)</f>
        <v>0</v>
      </c>
      <c r="S350" s="50">
        <f>IF(B350="","",IF(H350="Done","Yes","No"))</f>
        <v>0</v>
      </c>
      <c r="T350" s="39">
        <f>IF(B350="","",IF(G350="","Add - what was the task?",IF(H350="Issue found",IF(M350="Yes","OK - issue reported","Action - tell the client"),IF(H350="Needs rework","Action - rework needed",IF(AND(H350="Skipped",P350="Yes"),"Check - required task skipped",IF(H350="Done","OK","Due"))))))</f>
        <v>0</v>
      </c>
    </row>
    <row r="351" spans="1:20">
      <c r="A351" s="43">
        <f>IF(B351="","","JT-"&amp;TEXT(ROW()-4,"0000"))</f>
        <v>0</v>
      </c>
      <c r="C351" s="18">
        <f>IF(B351="","",IFERROR(INDEX(Jobs!$B$5:$B$604,MATCH(B351,Jobs!$A$5:$A$604,0)),""))</f>
        <v>0</v>
      </c>
      <c r="D351" s="23">
        <f>IF(B351="","",IFERROR(INDEX(Jobs!$H$5:$H$604,MATCH(B351,Jobs!$A$5:$A$604,0)),""))</f>
        <v>0</v>
      </c>
      <c r="E351" s="23">
        <f>IF(B351="","",IFERROR(INDEX(Jobs!$K$5:$K$604,MATCH(B351,Jobs!$A$5:$A$604,0)),""))</f>
        <v>0</v>
      </c>
      <c r="P351" s="50">
        <f>IF(G351="","",IFERROR(INDEX(Checklists!$J$5:$J$404,MATCH(G351,Checklists!$F$5:$F$404,0)),"Yes"))</f>
        <v>0</v>
      </c>
      <c r="Q351" s="31">
        <f>IF(G351="","",IFERROR(INDEX(Checklists!$H$5:$H$404,MATCH(G351,Checklists!$F$5:$F$404,0)),""))</f>
        <v>0</v>
      </c>
      <c r="R351" s="31">
        <f>IF(OR(J351="",Q351=""),"",J351-Q351)</f>
        <v>0</v>
      </c>
      <c r="S351" s="50">
        <f>IF(B351="","",IF(H351="Done","Yes","No"))</f>
        <v>0</v>
      </c>
      <c r="T351" s="39">
        <f>IF(B351="","",IF(G351="","Add - what was the task?",IF(H351="Issue found",IF(M351="Yes","OK - issue reported","Action - tell the client"),IF(H351="Needs rework","Action - rework needed",IF(AND(H351="Skipped",P351="Yes"),"Check - required task skipped",IF(H351="Done","OK","Due"))))))</f>
        <v>0</v>
      </c>
    </row>
    <row r="352" spans="1:20">
      <c r="A352" s="43">
        <f>IF(B352="","","JT-"&amp;TEXT(ROW()-4,"0000"))</f>
        <v>0</v>
      </c>
      <c r="C352" s="18">
        <f>IF(B352="","",IFERROR(INDEX(Jobs!$B$5:$B$604,MATCH(B352,Jobs!$A$5:$A$604,0)),""))</f>
        <v>0</v>
      </c>
      <c r="D352" s="23">
        <f>IF(B352="","",IFERROR(INDEX(Jobs!$H$5:$H$604,MATCH(B352,Jobs!$A$5:$A$604,0)),""))</f>
        <v>0</v>
      </c>
      <c r="E352" s="23">
        <f>IF(B352="","",IFERROR(INDEX(Jobs!$K$5:$K$604,MATCH(B352,Jobs!$A$5:$A$604,0)),""))</f>
        <v>0</v>
      </c>
      <c r="P352" s="50">
        <f>IF(G352="","",IFERROR(INDEX(Checklists!$J$5:$J$404,MATCH(G352,Checklists!$F$5:$F$404,0)),"Yes"))</f>
        <v>0</v>
      </c>
      <c r="Q352" s="31">
        <f>IF(G352="","",IFERROR(INDEX(Checklists!$H$5:$H$404,MATCH(G352,Checklists!$F$5:$F$404,0)),""))</f>
        <v>0</v>
      </c>
      <c r="R352" s="31">
        <f>IF(OR(J352="",Q352=""),"",J352-Q352)</f>
        <v>0</v>
      </c>
      <c r="S352" s="50">
        <f>IF(B352="","",IF(H352="Done","Yes","No"))</f>
        <v>0</v>
      </c>
      <c r="T352" s="39">
        <f>IF(B352="","",IF(G352="","Add - what was the task?",IF(H352="Issue found",IF(M352="Yes","OK - issue reported","Action - tell the client"),IF(H352="Needs rework","Action - rework needed",IF(AND(H352="Skipped",P352="Yes"),"Check - required task skipped",IF(H352="Done","OK","Due"))))))</f>
        <v>0</v>
      </c>
    </row>
    <row r="353" spans="1:20">
      <c r="A353" s="43">
        <f>IF(B353="","","JT-"&amp;TEXT(ROW()-4,"0000"))</f>
        <v>0</v>
      </c>
      <c r="C353" s="18">
        <f>IF(B353="","",IFERROR(INDEX(Jobs!$B$5:$B$604,MATCH(B353,Jobs!$A$5:$A$604,0)),""))</f>
        <v>0</v>
      </c>
      <c r="D353" s="23">
        <f>IF(B353="","",IFERROR(INDEX(Jobs!$H$5:$H$604,MATCH(B353,Jobs!$A$5:$A$604,0)),""))</f>
        <v>0</v>
      </c>
      <c r="E353" s="23">
        <f>IF(B353="","",IFERROR(INDEX(Jobs!$K$5:$K$604,MATCH(B353,Jobs!$A$5:$A$604,0)),""))</f>
        <v>0</v>
      </c>
      <c r="P353" s="50">
        <f>IF(G353="","",IFERROR(INDEX(Checklists!$J$5:$J$404,MATCH(G353,Checklists!$F$5:$F$404,0)),"Yes"))</f>
        <v>0</v>
      </c>
      <c r="Q353" s="31">
        <f>IF(G353="","",IFERROR(INDEX(Checklists!$H$5:$H$404,MATCH(G353,Checklists!$F$5:$F$404,0)),""))</f>
        <v>0</v>
      </c>
      <c r="R353" s="31">
        <f>IF(OR(J353="",Q353=""),"",J353-Q353)</f>
        <v>0</v>
      </c>
      <c r="S353" s="50">
        <f>IF(B353="","",IF(H353="Done","Yes","No"))</f>
        <v>0</v>
      </c>
      <c r="T353" s="39">
        <f>IF(B353="","",IF(G353="","Add - what was the task?",IF(H353="Issue found",IF(M353="Yes","OK - issue reported","Action - tell the client"),IF(H353="Needs rework","Action - rework needed",IF(AND(H353="Skipped",P353="Yes"),"Check - required task skipped",IF(H353="Done","OK","Due"))))))</f>
        <v>0</v>
      </c>
    </row>
    <row r="354" spans="1:20">
      <c r="A354" s="43">
        <f>IF(B354="","","JT-"&amp;TEXT(ROW()-4,"0000"))</f>
        <v>0</v>
      </c>
      <c r="C354" s="18">
        <f>IF(B354="","",IFERROR(INDEX(Jobs!$B$5:$B$604,MATCH(B354,Jobs!$A$5:$A$604,0)),""))</f>
        <v>0</v>
      </c>
      <c r="D354" s="23">
        <f>IF(B354="","",IFERROR(INDEX(Jobs!$H$5:$H$604,MATCH(B354,Jobs!$A$5:$A$604,0)),""))</f>
        <v>0</v>
      </c>
      <c r="E354" s="23">
        <f>IF(B354="","",IFERROR(INDEX(Jobs!$K$5:$K$604,MATCH(B354,Jobs!$A$5:$A$604,0)),""))</f>
        <v>0</v>
      </c>
      <c r="P354" s="50">
        <f>IF(G354="","",IFERROR(INDEX(Checklists!$J$5:$J$404,MATCH(G354,Checklists!$F$5:$F$404,0)),"Yes"))</f>
        <v>0</v>
      </c>
      <c r="Q354" s="31">
        <f>IF(G354="","",IFERROR(INDEX(Checklists!$H$5:$H$404,MATCH(G354,Checklists!$F$5:$F$404,0)),""))</f>
        <v>0</v>
      </c>
      <c r="R354" s="31">
        <f>IF(OR(J354="",Q354=""),"",J354-Q354)</f>
        <v>0</v>
      </c>
      <c r="S354" s="50">
        <f>IF(B354="","",IF(H354="Done","Yes","No"))</f>
        <v>0</v>
      </c>
      <c r="T354" s="39">
        <f>IF(B354="","",IF(G354="","Add - what was the task?",IF(H354="Issue found",IF(M354="Yes","OK - issue reported","Action - tell the client"),IF(H354="Needs rework","Action - rework needed",IF(AND(H354="Skipped",P354="Yes"),"Check - required task skipped",IF(H354="Done","OK","Due"))))))</f>
        <v>0</v>
      </c>
    </row>
    <row r="355" spans="1:20">
      <c r="A355" s="43">
        <f>IF(B355="","","JT-"&amp;TEXT(ROW()-4,"0000"))</f>
        <v>0</v>
      </c>
      <c r="C355" s="18">
        <f>IF(B355="","",IFERROR(INDEX(Jobs!$B$5:$B$604,MATCH(B355,Jobs!$A$5:$A$604,0)),""))</f>
        <v>0</v>
      </c>
      <c r="D355" s="23">
        <f>IF(B355="","",IFERROR(INDEX(Jobs!$H$5:$H$604,MATCH(B355,Jobs!$A$5:$A$604,0)),""))</f>
        <v>0</v>
      </c>
      <c r="E355" s="23">
        <f>IF(B355="","",IFERROR(INDEX(Jobs!$K$5:$K$604,MATCH(B355,Jobs!$A$5:$A$604,0)),""))</f>
        <v>0</v>
      </c>
      <c r="P355" s="50">
        <f>IF(G355="","",IFERROR(INDEX(Checklists!$J$5:$J$404,MATCH(G355,Checklists!$F$5:$F$404,0)),"Yes"))</f>
        <v>0</v>
      </c>
      <c r="Q355" s="31">
        <f>IF(G355="","",IFERROR(INDEX(Checklists!$H$5:$H$404,MATCH(G355,Checklists!$F$5:$F$404,0)),""))</f>
        <v>0</v>
      </c>
      <c r="R355" s="31">
        <f>IF(OR(J355="",Q355=""),"",J355-Q355)</f>
        <v>0</v>
      </c>
      <c r="S355" s="50">
        <f>IF(B355="","",IF(H355="Done","Yes","No"))</f>
        <v>0</v>
      </c>
      <c r="T355" s="39">
        <f>IF(B355="","",IF(G355="","Add - what was the task?",IF(H355="Issue found",IF(M355="Yes","OK - issue reported","Action - tell the client"),IF(H355="Needs rework","Action - rework needed",IF(AND(H355="Skipped",P355="Yes"),"Check - required task skipped",IF(H355="Done","OK","Due"))))))</f>
        <v>0</v>
      </c>
    </row>
    <row r="356" spans="1:20">
      <c r="A356" s="43">
        <f>IF(B356="","","JT-"&amp;TEXT(ROW()-4,"0000"))</f>
        <v>0</v>
      </c>
      <c r="C356" s="18">
        <f>IF(B356="","",IFERROR(INDEX(Jobs!$B$5:$B$604,MATCH(B356,Jobs!$A$5:$A$604,0)),""))</f>
        <v>0</v>
      </c>
      <c r="D356" s="23">
        <f>IF(B356="","",IFERROR(INDEX(Jobs!$H$5:$H$604,MATCH(B356,Jobs!$A$5:$A$604,0)),""))</f>
        <v>0</v>
      </c>
      <c r="E356" s="23">
        <f>IF(B356="","",IFERROR(INDEX(Jobs!$K$5:$K$604,MATCH(B356,Jobs!$A$5:$A$604,0)),""))</f>
        <v>0</v>
      </c>
      <c r="P356" s="50">
        <f>IF(G356="","",IFERROR(INDEX(Checklists!$J$5:$J$404,MATCH(G356,Checklists!$F$5:$F$404,0)),"Yes"))</f>
        <v>0</v>
      </c>
      <c r="Q356" s="31">
        <f>IF(G356="","",IFERROR(INDEX(Checklists!$H$5:$H$404,MATCH(G356,Checklists!$F$5:$F$404,0)),""))</f>
        <v>0</v>
      </c>
      <c r="R356" s="31">
        <f>IF(OR(J356="",Q356=""),"",J356-Q356)</f>
        <v>0</v>
      </c>
      <c r="S356" s="50">
        <f>IF(B356="","",IF(H356="Done","Yes","No"))</f>
        <v>0</v>
      </c>
      <c r="T356" s="39">
        <f>IF(B356="","",IF(G356="","Add - what was the task?",IF(H356="Issue found",IF(M356="Yes","OK - issue reported","Action - tell the client"),IF(H356="Needs rework","Action - rework needed",IF(AND(H356="Skipped",P356="Yes"),"Check - required task skipped",IF(H356="Done","OK","Due"))))))</f>
        <v>0</v>
      </c>
    </row>
    <row r="357" spans="1:20">
      <c r="A357" s="43">
        <f>IF(B357="","","JT-"&amp;TEXT(ROW()-4,"0000"))</f>
        <v>0</v>
      </c>
      <c r="C357" s="18">
        <f>IF(B357="","",IFERROR(INDEX(Jobs!$B$5:$B$604,MATCH(B357,Jobs!$A$5:$A$604,0)),""))</f>
        <v>0</v>
      </c>
      <c r="D357" s="23">
        <f>IF(B357="","",IFERROR(INDEX(Jobs!$H$5:$H$604,MATCH(B357,Jobs!$A$5:$A$604,0)),""))</f>
        <v>0</v>
      </c>
      <c r="E357" s="23">
        <f>IF(B357="","",IFERROR(INDEX(Jobs!$K$5:$K$604,MATCH(B357,Jobs!$A$5:$A$604,0)),""))</f>
        <v>0</v>
      </c>
      <c r="P357" s="50">
        <f>IF(G357="","",IFERROR(INDEX(Checklists!$J$5:$J$404,MATCH(G357,Checklists!$F$5:$F$404,0)),"Yes"))</f>
        <v>0</v>
      </c>
      <c r="Q357" s="31">
        <f>IF(G357="","",IFERROR(INDEX(Checklists!$H$5:$H$404,MATCH(G357,Checklists!$F$5:$F$404,0)),""))</f>
        <v>0</v>
      </c>
      <c r="R357" s="31">
        <f>IF(OR(J357="",Q357=""),"",J357-Q357)</f>
        <v>0</v>
      </c>
      <c r="S357" s="50">
        <f>IF(B357="","",IF(H357="Done","Yes","No"))</f>
        <v>0</v>
      </c>
      <c r="T357" s="39">
        <f>IF(B357="","",IF(G357="","Add - what was the task?",IF(H357="Issue found",IF(M357="Yes","OK - issue reported","Action - tell the client"),IF(H357="Needs rework","Action - rework needed",IF(AND(H357="Skipped",P357="Yes"),"Check - required task skipped",IF(H357="Done","OK","Due"))))))</f>
        <v>0</v>
      </c>
    </row>
    <row r="358" spans="1:20">
      <c r="A358" s="43">
        <f>IF(B358="","","JT-"&amp;TEXT(ROW()-4,"0000"))</f>
        <v>0</v>
      </c>
      <c r="C358" s="18">
        <f>IF(B358="","",IFERROR(INDEX(Jobs!$B$5:$B$604,MATCH(B358,Jobs!$A$5:$A$604,0)),""))</f>
        <v>0</v>
      </c>
      <c r="D358" s="23">
        <f>IF(B358="","",IFERROR(INDEX(Jobs!$H$5:$H$604,MATCH(B358,Jobs!$A$5:$A$604,0)),""))</f>
        <v>0</v>
      </c>
      <c r="E358" s="23">
        <f>IF(B358="","",IFERROR(INDEX(Jobs!$K$5:$K$604,MATCH(B358,Jobs!$A$5:$A$604,0)),""))</f>
        <v>0</v>
      </c>
      <c r="P358" s="50">
        <f>IF(G358="","",IFERROR(INDEX(Checklists!$J$5:$J$404,MATCH(G358,Checklists!$F$5:$F$404,0)),"Yes"))</f>
        <v>0</v>
      </c>
      <c r="Q358" s="31">
        <f>IF(G358="","",IFERROR(INDEX(Checklists!$H$5:$H$404,MATCH(G358,Checklists!$F$5:$F$404,0)),""))</f>
        <v>0</v>
      </c>
      <c r="R358" s="31">
        <f>IF(OR(J358="",Q358=""),"",J358-Q358)</f>
        <v>0</v>
      </c>
      <c r="S358" s="50">
        <f>IF(B358="","",IF(H358="Done","Yes","No"))</f>
        <v>0</v>
      </c>
      <c r="T358" s="39">
        <f>IF(B358="","",IF(G358="","Add - what was the task?",IF(H358="Issue found",IF(M358="Yes","OK - issue reported","Action - tell the client"),IF(H358="Needs rework","Action - rework needed",IF(AND(H358="Skipped",P358="Yes"),"Check - required task skipped",IF(H358="Done","OK","Due"))))))</f>
        <v>0</v>
      </c>
    </row>
    <row r="359" spans="1:20">
      <c r="A359" s="43">
        <f>IF(B359="","","JT-"&amp;TEXT(ROW()-4,"0000"))</f>
        <v>0</v>
      </c>
      <c r="C359" s="18">
        <f>IF(B359="","",IFERROR(INDEX(Jobs!$B$5:$B$604,MATCH(B359,Jobs!$A$5:$A$604,0)),""))</f>
        <v>0</v>
      </c>
      <c r="D359" s="23">
        <f>IF(B359="","",IFERROR(INDEX(Jobs!$H$5:$H$604,MATCH(B359,Jobs!$A$5:$A$604,0)),""))</f>
        <v>0</v>
      </c>
      <c r="E359" s="23">
        <f>IF(B359="","",IFERROR(INDEX(Jobs!$K$5:$K$604,MATCH(B359,Jobs!$A$5:$A$604,0)),""))</f>
        <v>0</v>
      </c>
      <c r="P359" s="50">
        <f>IF(G359="","",IFERROR(INDEX(Checklists!$J$5:$J$404,MATCH(G359,Checklists!$F$5:$F$404,0)),"Yes"))</f>
        <v>0</v>
      </c>
      <c r="Q359" s="31">
        <f>IF(G359="","",IFERROR(INDEX(Checklists!$H$5:$H$404,MATCH(G359,Checklists!$F$5:$F$404,0)),""))</f>
        <v>0</v>
      </c>
      <c r="R359" s="31">
        <f>IF(OR(J359="",Q359=""),"",J359-Q359)</f>
        <v>0</v>
      </c>
      <c r="S359" s="50">
        <f>IF(B359="","",IF(H359="Done","Yes","No"))</f>
        <v>0</v>
      </c>
      <c r="T359" s="39">
        <f>IF(B359="","",IF(G359="","Add - what was the task?",IF(H359="Issue found",IF(M359="Yes","OK - issue reported","Action - tell the client"),IF(H359="Needs rework","Action - rework needed",IF(AND(H359="Skipped",P359="Yes"),"Check - required task skipped",IF(H359="Done","OK","Due"))))))</f>
        <v>0</v>
      </c>
    </row>
    <row r="360" spans="1:20">
      <c r="A360" s="43">
        <f>IF(B360="","","JT-"&amp;TEXT(ROW()-4,"0000"))</f>
        <v>0</v>
      </c>
      <c r="C360" s="18">
        <f>IF(B360="","",IFERROR(INDEX(Jobs!$B$5:$B$604,MATCH(B360,Jobs!$A$5:$A$604,0)),""))</f>
        <v>0</v>
      </c>
      <c r="D360" s="23">
        <f>IF(B360="","",IFERROR(INDEX(Jobs!$H$5:$H$604,MATCH(B360,Jobs!$A$5:$A$604,0)),""))</f>
        <v>0</v>
      </c>
      <c r="E360" s="23">
        <f>IF(B360="","",IFERROR(INDEX(Jobs!$K$5:$K$604,MATCH(B360,Jobs!$A$5:$A$604,0)),""))</f>
        <v>0</v>
      </c>
      <c r="P360" s="50">
        <f>IF(G360="","",IFERROR(INDEX(Checklists!$J$5:$J$404,MATCH(G360,Checklists!$F$5:$F$404,0)),"Yes"))</f>
        <v>0</v>
      </c>
      <c r="Q360" s="31">
        <f>IF(G360="","",IFERROR(INDEX(Checklists!$H$5:$H$404,MATCH(G360,Checklists!$F$5:$F$404,0)),""))</f>
        <v>0</v>
      </c>
      <c r="R360" s="31">
        <f>IF(OR(J360="",Q360=""),"",J360-Q360)</f>
        <v>0</v>
      </c>
      <c r="S360" s="50">
        <f>IF(B360="","",IF(H360="Done","Yes","No"))</f>
        <v>0</v>
      </c>
      <c r="T360" s="39">
        <f>IF(B360="","",IF(G360="","Add - what was the task?",IF(H360="Issue found",IF(M360="Yes","OK - issue reported","Action - tell the client"),IF(H360="Needs rework","Action - rework needed",IF(AND(H360="Skipped",P360="Yes"),"Check - required task skipped",IF(H360="Done","OK","Due"))))))</f>
        <v>0</v>
      </c>
    </row>
    <row r="361" spans="1:20">
      <c r="A361" s="43">
        <f>IF(B361="","","JT-"&amp;TEXT(ROW()-4,"0000"))</f>
        <v>0</v>
      </c>
      <c r="C361" s="18">
        <f>IF(B361="","",IFERROR(INDEX(Jobs!$B$5:$B$604,MATCH(B361,Jobs!$A$5:$A$604,0)),""))</f>
        <v>0</v>
      </c>
      <c r="D361" s="23">
        <f>IF(B361="","",IFERROR(INDEX(Jobs!$H$5:$H$604,MATCH(B361,Jobs!$A$5:$A$604,0)),""))</f>
        <v>0</v>
      </c>
      <c r="E361" s="23">
        <f>IF(B361="","",IFERROR(INDEX(Jobs!$K$5:$K$604,MATCH(B361,Jobs!$A$5:$A$604,0)),""))</f>
        <v>0</v>
      </c>
      <c r="P361" s="50">
        <f>IF(G361="","",IFERROR(INDEX(Checklists!$J$5:$J$404,MATCH(G361,Checklists!$F$5:$F$404,0)),"Yes"))</f>
        <v>0</v>
      </c>
      <c r="Q361" s="31">
        <f>IF(G361="","",IFERROR(INDEX(Checklists!$H$5:$H$404,MATCH(G361,Checklists!$F$5:$F$404,0)),""))</f>
        <v>0</v>
      </c>
      <c r="R361" s="31">
        <f>IF(OR(J361="",Q361=""),"",J361-Q361)</f>
        <v>0</v>
      </c>
      <c r="S361" s="50">
        <f>IF(B361="","",IF(H361="Done","Yes","No"))</f>
        <v>0</v>
      </c>
      <c r="T361" s="39">
        <f>IF(B361="","",IF(G361="","Add - what was the task?",IF(H361="Issue found",IF(M361="Yes","OK - issue reported","Action - tell the client"),IF(H361="Needs rework","Action - rework needed",IF(AND(H361="Skipped",P361="Yes"),"Check - required task skipped",IF(H361="Done","OK","Due"))))))</f>
        <v>0</v>
      </c>
    </row>
    <row r="362" spans="1:20">
      <c r="A362" s="43">
        <f>IF(B362="","","JT-"&amp;TEXT(ROW()-4,"0000"))</f>
        <v>0</v>
      </c>
      <c r="C362" s="18">
        <f>IF(B362="","",IFERROR(INDEX(Jobs!$B$5:$B$604,MATCH(B362,Jobs!$A$5:$A$604,0)),""))</f>
        <v>0</v>
      </c>
      <c r="D362" s="23">
        <f>IF(B362="","",IFERROR(INDEX(Jobs!$H$5:$H$604,MATCH(B362,Jobs!$A$5:$A$604,0)),""))</f>
        <v>0</v>
      </c>
      <c r="E362" s="23">
        <f>IF(B362="","",IFERROR(INDEX(Jobs!$K$5:$K$604,MATCH(B362,Jobs!$A$5:$A$604,0)),""))</f>
        <v>0</v>
      </c>
      <c r="P362" s="50">
        <f>IF(G362="","",IFERROR(INDEX(Checklists!$J$5:$J$404,MATCH(G362,Checklists!$F$5:$F$404,0)),"Yes"))</f>
        <v>0</v>
      </c>
      <c r="Q362" s="31">
        <f>IF(G362="","",IFERROR(INDEX(Checklists!$H$5:$H$404,MATCH(G362,Checklists!$F$5:$F$404,0)),""))</f>
        <v>0</v>
      </c>
      <c r="R362" s="31">
        <f>IF(OR(J362="",Q362=""),"",J362-Q362)</f>
        <v>0</v>
      </c>
      <c r="S362" s="50">
        <f>IF(B362="","",IF(H362="Done","Yes","No"))</f>
        <v>0</v>
      </c>
      <c r="T362" s="39">
        <f>IF(B362="","",IF(G362="","Add - what was the task?",IF(H362="Issue found",IF(M362="Yes","OK - issue reported","Action - tell the client"),IF(H362="Needs rework","Action - rework needed",IF(AND(H362="Skipped",P362="Yes"),"Check - required task skipped",IF(H362="Done","OK","Due"))))))</f>
        <v>0</v>
      </c>
    </row>
    <row r="363" spans="1:20">
      <c r="A363" s="43">
        <f>IF(B363="","","JT-"&amp;TEXT(ROW()-4,"0000"))</f>
        <v>0</v>
      </c>
      <c r="C363" s="18">
        <f>IF(B363="","",IFERROR(INDEX(Jobs!$B$5:$B$604,MATCH(B363,Jobs!$A$5:$A$604,0)),""))</f>
        <v>0</v>
      </c>
      <c r="D363" s="23">
        <f>IF(B363="","",IFERROR(INDEX(Jobs!$H$5:$H$604,MATCH(B363,Jobs!$A$5:$A$604,0)),""))</f>
        <v>0</v>
      </c>
      <c r="E363" s="23">
        <f>IF(B363="","",IFERROR(INDEX(Jobs!$K$5:$K$604,MATCH(B363,Jobs!$A$5:$A$604,0)),""))</f>
        <v>0</v>
      </c>
      <c r="P363" s="50">
        <f>IF(G363="","",IFERROR(INDEX(Checklists!$J$5:$J$404,MATCH(G363,Checklists!$F$5:$F$404,0)),"Yes"))</f>
        <v>0</v>
      </c>
      <c r="Q363" s="31">
        <f>IF(G363="","",IFERROR(INDEX(Checklists!$H$5:$H$404,MATCH(G363,Checklists!$F$5:$F$404,0)),""))</f>
        <v>0</v>
      </c>
      <c r="R363" s="31">
        <f>IF(OR(J363="",Q363=""),"",J363-Q363)</f>
        <v>0</v>
      </c>
      <c r="S363" s="50">
        <f>IF(B363="","",IF(H363="Done","Yes","No"))</f>
        <v>0</v>
      </c>
      <c r="T363" s="39">
        <f>IF(B363="","",IF(G363="","Add - what was the task?",IF(H363="Issue found",IF(M363="Yes","OK - issue reported","Action - tell the client"),IF(H363="Needs rework","Action - rework needed",IF(AND(H363="Skipped",P363="Yes"),"Check - required task skipped",IF(H363="Done","OK","Due"))))))</f>
        <v>0</v>
      </c>
    </row>
    <row r="364" spans="1:20">
      <c r="A364" s="43">
        <f>IF(B364="","","JT-"&amp;TEXT(ROW()-4,"0000"))</f>
        <v>0</v>
      </c>
      <c r="C364" s="18">
        <f>IF(B364="","",IFERROR(INDEX(Jobs!$B$5:$B$604,MATCH(B364,Jobs!$A$5:$A$604,0)),""))</f>
        <v>0</v>
      </c>
      <c r="D364" s="23">
        <f>IF(B364="","",IFERROR(INDEX(Jobs!$H$5:$H$604,MATCH(B364,Jobs!$A$5:$A$604,0)),""))</f>
        <v>0</v>
      </c>
      <c r="E364" s="23">
        <f>IF(B364="","",IFERROR(INDEX(Jobs!$K$5:$K$604,MATCH(B364,Jobs!$A$5:$A$604,0)),""))</f>
        <v>0</v>
      </c>
      <c r="P364" s="50">
        <f>IF(G364="","",IFERROR(INDEX(Checklists!$J$5:$J$404,MATCH(G364,Checklists!$F$5:$F$404,0)),"Yes"))</f>
        <v>0</v>
      </c>
      <c r="Q364" s="31">
        <f>IF(G364="","",IFERROR(INDEX(Checklists!$H$5:$H$404,MATCH(G364,Checklists!$F$5:$F$404,0)),""))</f>
        <v>0</v>
      </c>
      <c r="R364" s="31">
        <f>IF(OR(J364="",Q364=""),"",J364-Q364)</f>
        <v>0</v>
      </c>
      <c r="S364" s="50">
        <f>IF(B364="","",IF(H364="Done","Yes","No"))</f>
        <v>0</v>
      </c>
      <c r="T364" s="39">
        <f>IF(B364="","",IF(G364="","Add - what was the task?",IF(H364="Issue found",IF(M364="Yes","OK - issue reported","Action - tell the client"),IF(H364="Needs rework","Action - rework needed",IF(AND(H364="Skipped",P364="Yes"),"Check - required task skipped",IF(H364="Done","OK","Due"))))))</f>
        <v>0</v>
      </c>
    </row>
    <row r="365" spans="1:20">
      <c r="A365" s="43">
        <f>IF(B365="","","JT-"&amp;TEXT(ROW()-4,"0000"))</f>
        <v>0</v>
      </c>
      <c r="C365" s="18">
        <f>IF(B365="","",IFERROR(INDEX(Jobs!$B$5:$B$604,MATCH(B365,Jobs!$A$5:$A$604,0)),""))</f>
        <v>0</v>
      </c>
      <c r="D365" s="23">
        <f>IF(B365="","",IFERROR(INDEX(Jobs!$H$5:$H$604,MATCH(B365,Jobs!$A$5:$A$604,0)),""))</f>
        <v>0</v>
      </c>
      <c r="E365" s="23">
        <f>IF(B365="","",IFERROR(INDEX(Jobs!$K$5:$K$604,MATCH(B365,Jobs!$A$5:$A$604,0)),""))</f>
        <v>0</v>
      </c>
      <c r="P365" s="50">
        <f>IF(G365="","",IFERROR(INDEX(Checklists!$J$5:$J$404,MATCH(G365,Checklists!$F$5:$F$404,0)),"Yes"))</f>
        <v>0</v>
      </c>
      <c r="Q365" s="31">
        <f>IF(G365="","",IFERROR(INDEX(Checklists!$H$5:$H$404,MATCH(G365,Checklists!$F$5:$F$404,0)),""))</f>
        <v>0</v>
      </c>
      <c r="R365" s="31">
        <f>IF(OR(J365="",Q365=""),"",J365-Q365)</f>
        <v>0</v>
      </c>
      <c r="S365" s="50">
        <f>IF(B365="","",IF(H365="Done","Yes","No"))</f>
        <v>0</v>
      </c>
      <c r="T365" s="39">
        <f>IF(B365="","",IF(G365="","Add - what was the task?",IF(H365="Issue found",IF(M365="Yes","OK - issue reported","Action - tell the client"),IF(H365="Needs rework","Action - rework needed",IF(AND(H365="Skipped",P365="Yes"),"Check - required task skipped",IF(H365="Done","OK","Due"))))))</f>
        <v>0</v>
      </c>
    </row>
    <row r="366" spans="1:20">
      <c r="A366" s="43">
        <f>IF(B366="","","JT-"&amp;TEXT(ROW()-4,"0000"))</f>
        <v>0</v>
      </c>
      <c r="C366" s="18">
        <f>IF(B366="","",IFERROR(INDEX(Jobs!$B$5:$B$604,MATCH(B366,Jobs!$A$5:$A$604,0)),""))</f>
        <v>0</v>
      </c>
      <c r="D366" s="23">
        <f>IF(B366="","",IFERROR(INDEX(Jobs!$H$5:$H$604,MATCH(B366,Jobs!$A$5:$A$604,0)),""))</f>
        <v>0</v>
      </c>
      <c r="E366" s="23">
        <f>IF(B366="","",IFERROR(INDEX(Jobs!$K$5:$K$604,MATCH(B366,Jobs!$A$5:$A$604,0)),""))</f>
        <v>0</v>
      </c>
      <c r="P366" s="50">
        <f>IF(G366="","",IFERROR(INDEX(Checklists!$J$5:$J$404,MATCH(G366,Checklists!$F$5:$F$404,0)),"Yes"))</f>
        <v>0</v>
      </c>
      <c r="Q366" s="31">
        <f>IF(G366="","",IFERROR(INDEX(Checklists!$H$5:$H$404,MATCH(G366,Checklists!$F$5:$F$404,0)),""))</f>
        <v>0</v>
      </c>
      <c r="R366" s="31">
        <f>IF(OR(J366="",Q366=""),"",J366-Q366)</f>
        <v>0</v>
      </c>
      <c r="S366" s="50">
        <f>IF(B366="","",IF(H366="Done","Yes","No"))</f>
        <v>0</v>
      </c>
      <c r="T366" s="39">
        <f>IF(B366="","",IF(G366="","Add - what was the task?",IF(H366="Issue found",IF(M366="Yes","OK - issue reported","Action - tell the client"),IF(H366="Needs rework","Action - rework needed",IF(AND(H366="Skipped",P366="Yes"),"Check - required task skipped",IF(H366="Done","OK","Due"))))))</f>
        <v>0</v>
      </c>
    </row>
    <row r="367" spans="1:20">
      <c r="A367" s="43">
        <f>IF(B367="","","JT-"&amp;TEXT(ROW()-4,"0000"))</f>
        <v>0</v>
      </c>
      <c r="C367" s="18">
        <f>IF(B367="","",IFERROR(INDEX(Jobs!$B$5:$B$604,MATCH(B367,Jobs!$A$5:$A$604,0)),""))</f>
        <v>0</v>
      </c>
      <c r="D367" s="23">
        <f>IF(B367="","",IFERROR(INDEX(Jobs!$H$5:$H$604,MATCH(B367,Jobs!$A$5:$A$604,0)),""))</f>
        <v>0</v>
      </c>
      <c r="E367" s="23">
        <f>IF(B367="","",IFERROR(INDEX(Jobs!$K$5:$K$604,MATCH(B367,Jobs!$A$5:$A$604,0)),""))</f>
        <v>0</v>
      </c>
      <c r="P367" s="50">
        <f>IF(G367="","",IFERROR(INDEX(Checklists!$J$5:$J$404,MATCH(G367,Checklists!$F$5:$F$404,0)),"Yes"))</f>
        <v>0</v>
      </c>
      <c r="Q367" s="31">
        <f>IF(G367="","",IFERROR(INDEX(Checklists!$H$5:$H$404,MATCH(G367,Checklists!$F$5:$F$404,0)),""))</f>
        <v>0</v>
      </c>
      <c r="R367" s="31">
        <f>IF(OR(J367="",Q367=""),"",J367-Q367)</f>
        <v>0</v>
      </c>
      <c r="S367" s="50">
        <f>IF(B367="","",IF(H367="Done","Yes","No"))</f>
        <v>0</v>
      </c>
      <c r="T367" s="39">
        <f>IF(B367="","",IF(G367="","Add - what was the task?",IF(H367="Issue found",IF(M367="Yes","OK - issue reported","Action - tell the client"),IF(H367="Needs rework","Action - rework needed",IF(AND(H367="Skipped",P367="Yes"),"Check - required task skipped",IF(H367="Done","OK","Due"))))))</f>
        <v>0</v>
      </c>
    </row>
    <row r="368" spans="1:20">
      <c r="A368" s="43">
        <f>IF(B368="","","JT-"&amp;TEXT(ROW()-4,"0000"))</f>
        <v>0</v>
      </c>
      <c r="C368" s="18">
        <f>IF(B368="","",IFERROR(INDEX(Jobs!$B$5:$B$604,MATCH(B368,Jobs!$A$5:$A$604,0)),""))</f>
        <v>0</v>
      </c>
      <c r="D368" s="23">
        <f>IF(B368="","",IFERROR(INDEX(Jobs!$H$5:$H$604,MATCH(B368,Jobs!$A$5:$A$604,0)),""))</f>
        <v>0</v>
      </c>
      <c r="E368" s="23">
        <f>IF(B368="","",IFERROR(INDEX(Jobs!$K$5:$K$604,MATCH(B368,Jobs!$A$5:$A$604,0)),""))</f>
        <v>0</v>
      </c>
      <c r="P368" s="50">
        <f>IF(G368="","",IFERROR(INDEX(Checklists!$J$5:$J$404,MATCH(G368,Checklists!$F$5:$F$404,0)),"Yes"))</f>
        <v>0</v>
      </c>
      <c r="Q368" s="31">
        <f>IF(G368="","",IFERROR(INDEX(Checklists!$H$5:$H$404,MATCH(G368,Checklists!$F$5:$F$404,0)),""))</f>
        <v>0</v>
      </c>
      <c r="R368" s="31">
        <f>IF(OR(J368="",Q368=""),"",J368-Q368)</f>
        <v>0</v>
      </c>
      <c r="S368" s="50">
        <f>IF(B368="","",IF(H368="Done","Yes","No"))</f>
        <v>0</v>
      </c>
      <c r="T368" s="39">
        <f>IF(B368="","",IF(G368="","Add - what was the task?",IF(H368="Issue found",IF(M368="Yes","OK - issue reported","Action - tell the client"),IF(H368="Needs rework","Action - rework needed",IF(AND(H368="Skipped",P368="Yes"),"Check - required task skipped",IF(H368="Done","OK","Due"))))))</f>
        <v>0</v>
      </c>
    </row>
    <row r="369" spans="1:20">
      <c r="A369" s="43">
        <f>IF(B369="","","JT-"&amp;TEXT(ROW()-4,"0000"))</f>
        <v>0</v>
      </c>
      <c r="C369" s="18">
        <f>IF(B369="","",IFERROR(INDEX(Jobs!$B$5:$B$604,MATCH(B369,Jobs!$A$5:$A$604,0)),""))</f>
        <v>0</v>
      </c>
      <c r="D369" s="23">
        <f>IF(B369="","",IFERROR(INDEX(Jobs!$H$5:$H$604,MATCH(B369,Jobs!$A$5:$A$604,0)),""))</f>
        <v>0</v>
      </c>
      <c r="E369" s="23">
        <f>IF(B369="","",IFERROR(INDEX(Jobs!$K$5:$K$604,MATCH(B369,Jobs!$A$5:$A$604,0)),""))</f>
        <v>0</v>
      </c>
      <c r="P369" s="50">
        <f>IF(G369="","",IFERROR(INDEX(Checklists!$J$5:$J$404,MATCH(G369,Checklists!$F$5:$F$404,0)),"Yes"))</f>
        <v>0</v>
      </c>
      <c r="Q369" s="31">
        <f>IF(G369="","",IFERROR(INDEX(Checklists!$H$5:$H$404,MATCH(G369,Checklists!$F$5:$F$404,0)),""))</f>
        <v>0</v>
      </c>
      <c r="R369" s="31">
        <f>IF(OR(J369="",Q369=""),"",J369-Q369)</f>
        <v>0</v>
      </c>
      <c r="S369" s="50">
        <f>IF(B369="","",IF(H369="Done","Yes","No"))</f>
        <v>0</v>
      </c>
      <c r="T369" s="39">
        <f>IF(B369="","",IF(G369="","Add - what was the task?",IF(H369="Issue found",IF(M369="Yes","OK - issue reported","Action - tell the client"),IF(H369="Needs rework","Action - rework needed",IF(AND(H369="Skipped",P369="Yes"),"Check - required task skipped",IF(H369="Done","OK","Due"))))))</f>
        <v>0</v>
      </c>
    </row>
    <row r="370" spans="1:20">
      <c r="A370" s="43">
        <f>IF(B370="","","JT-"&amp;TEXT(ROW()-4,"0000"))</f>
        <v>0</v>
      </c>
      <c r="C370" s="18">
        <f>IF(B370="","",IFERROR(INDEX(Jobs!$B$5:$B$604,MATCH(B370,Jobs!$A$5:$A$604,0)),""))</f>
        <v>0</v>
      </c>
      <c r="D370" s="23">
        <f>IF(B370="","",IFERROR(INDEX(Jobs!$H$5:$H$604,MATCH(B370,Jobs!$A$5:$A$604,0)),""))</f>
        <v>0</v>
      </c>
      <c r="E370" s="23">
        <f>IF(B370="","",IFERROR(INDEX(Jobs!$K$5:$K$604,MATCH(B370,Jobs!$A$5:$A$604,0)),""))</f>
        <v>0</v>
      </c>
      <c r="P370" s="50">
        <f>IF(G370="","",IFERROR(INDEX(Checklists!$J$5:$J$404,MATCH(G370,Checklists!$F$5:$F$404,0)),"Yes"))</f>
        <v>0</v>
      </c>
      <c r="Q370" s="31">
        <f>IF(G370="","",IFERROR(INDEX(Checklists!$H$5:$H$404,MATCH(G370,Checklists!$F$5:$F$404,0)),""))</f>
        <v>0</v>
      </c>
      <c r="R370" s="31">
        <f>IF(OR(J370="",Q370=""),"",J370-Q370)</f>
        <v>0</v>
      </c>
      <c r="S370" s="50">
        <f>IF(B370="","",IF(H370="Done","Yes","No"))</f>
        <v>0</v>
      </c>
      <c r="T370" s="39">
        <f>IF(B370="","",IF(G370="","Add - what was the task?",IF(H370="Issue found",IF(M370="Yes","OK - issue reported","Action - tell the client"),IF(H370="Needs rework","Action - rework needed",IF(AND(H370="Skipped",P370="Yes"),"Check - required task skipped",IF(H370="Done","OK","Due"))))))</f>
        <v>0</v>
      </c>
    </row>
    <row r="371" spans="1:20">
      <c r="A371" s="43">
        <f>IF(B371="","","JT-"&amp;TEXT(ROW()-4,"0000"))</f>
        <v>0</v>
      </c>
      <c r="C371" s="18">
        <f>IF(B371="","",IFERROR(INDEX(Jobs!$B$5:$B$604,MATCH(B371,Jobs!$A$5:$A$604,0)),""))</f>
        <v>0</v>
      </c>
      <c r="D371" s="23">
        <f>IF(B371="","",IFERROR(INDEX(Jobs!$H$5:$H$604,MATCH(B371,Jobs!$A$5:$A$604,0)),""))</f>
        <v>0</v>
      </c>
      <c r="E371" s="23">
        <f>IF(B371="","",IFERROR(INDEX(Jobs!$K$5:$K$604,MATCH(B371,Jobs!$A$5:$A$604,0)),""))</f>
        <v>0</v>
      </c>
      <c r="P371" s="50">
        <f>IF(G371="","",IFERROR(INDEX(Checklists!$J$5:$J$404,MATCH(G371,Checklists!$F$5:$F$404,0)),"Yes"))</f>
        <v>0</v>
      </c>
      <c r="Q371" s="31">
        <f>IF(G371="","",IFERROR(INDEX(Checklists!$H$5:$H$404,MATCH(G371,Checklists!$F$5:$F$404,0)),""))</f>
        <v>0</v>
      </c>
      <c r="R371" s="31">
        <f>IF(OR(J371="",Q371=""),"",J371-Q371)</f>
        <v>0</v>
      </c>
      <c r="S371" s="50">
        <f>IF(B371="","",IF(H371="Done","Yes","No"))</f>
        <v>0</v>
      </c>
      <c r="T371" s="39">
        <f>IF(B371="","",IF(G371="","Add - what was the task?",IF(H371="Issue found",IF(M371="Yes","OK - issue reported","Action - tell the client"),IF(H371="Needs rework","Action - rework needed",IF(AND(H371="Skipped",P371="Yes"),"Check - required task skipped",IF(H371="Done","OK","Due"))))))</f>
        <v>0</v>
      </c>
    </row>
    <row r="372" spans="1:20">
      <c r="A372" s="43">
        <f>IF(B372="","","JT-"&amp;TEXT(ROW()-4,"0000"))</f>
        <v>0</v>
      </c>
      <c r="C372" s="18">
        <f>IF(B372="","",IFERROR(INDEX(Jobs!$B$5:$B$604,MATCH(B372,Jobs!$A$5:$A$604,0)),""))</f>
        <v>0</v>
      </c>
      <c r="D372" s="23">
        <f>IF(B372="","",IFERROR(INDEX(Jobs!$H$5:$H$604,MATCH(B372,Jobs!$A$5:$A$604,0)),""))</f>
        <v>0</v>
      </c>
      <c r="E372" s="23">
        <f>IF(B372="","",IFERROR(INDEX(Jobs!$K$5:$K$604,MATCH(B372,Jobs!$A$5:$A$604,0)),""))</f>
        <v>0</v>
      </c>
      <c r="P372" s="50">
        <f>IF(G372="","",IFERROR(INDEX(Checklists!$J$5:$J$404,MATCH(G372,Checklists!$F$5:$F$404,0)),"Yes"))</f>
        <v>0</v>
      </c>
      <c r="Q372" s="31">
        <f>IF(G372="","",IFERROR(INDEX(Checklists!$H$5:$H$404,MATCH(G372,Checklists!$F$5:$F$404,0)),""))</f>
        <v>0</v>
      </c>
      <c r="R372" s="31">
        <f>IF(OR(J372="",Q372=""),"",J372-Q372)</f>
        <v>0</v>
      </c>
      <c r="S372" s="50">
        <f>IF(B372="","",IF(H372="Done","Yes","No"))</f>
        <v>0</v>
      </c>
      <c r="T372" s="39">
        <f>IF(B372="","",IF(G372="","Add - what was the task?",IF(H372="Issue found",IF(M372="Yes","OK - issue reported","Action - tell the client"),IF(H372="Needs rework","Action - rework needed",IF(AND(H372="Skipped",P372="Yes"),"Check - required task skipped",IF(H372="Done","OK","Due"))))))</f>
        <v>0</v>
      </c>
    </row>
    <row r="373" spans="1:20">
      <c r="A373" s="43">
        <f>IF(B373="","","JT-"&amp;TEXT(ROW()-4,"0000"))</f>
        <v>0</v>
      </c>
      <c r="C373" s="18">
        <f>IF(B373="","",IFERROR(INDEX(Jobs!$B$5:$B$604,MATCH(B373,Jobs!$A$5:$A$604,0)),""))</f>
        <v>0</v>
      </c>
      <c r="D373" s="23">
        <f>IF(B373="","",IFERROR(INDEX(Jobs!$H$5:$H$604,MATCH(B373,Jobs!$A$5:$A$604,0)),""))</f>
        <v>0</v>
      </c>
      <c r="E373" s="23">
        <f>IF(B373="","",IFERROR(INDEX(Jobs!$K$5:$K$604,MATCH(B373,Jobs!$A$5:$A$604,0)),""))</f>
        <v>0</v>
      </c>
      <c r="P373" s="50">
        <f>IF(G373="","",IFERROR(INDEX(Checklists!$J$5:$J$404,MATCH(G373,Checklists!$F$5:$F$404,0)),"Yes"))</f>
        <v>0</v>
      </c>
      <c r="Q373" s="31">
        <f>IF(G373="","",IFERROR(INDEX(Checklists!$H$5:$H$404,MATCH(G373,Checklists!$F$5:$F$404,0)),""))</f>
        <v>0</v>
      </c>
      <c r="R373" s="31">
        <f>IF(OR(J373="",Q373=""),"",J373-Q373)</f>
        <v>0</v>
      </c>
      <c r="S373" s="50">
        <f>IF(B373="","",IF(H373="Done","Yes","No"))</f>
        <v>0</v>
      </c>
      <c r="T373" s="39">
        <f>IF(B373="","",IF(G373="","Add - what was the task?",IF(H373="Issue found",IF(M373="Yes","OK - issue reported","Action - tell the client"),IF(H373="Needs rework","Action - rework needed",IF(AND(H373="Skipped",P373="Yes"),"Check - required task skipped",IF(H373="Done","OK","Due"))))))</f>
        <v>0</v>
      </c>
    </row>
    <row r="374" spans="1:20">
      <c r="A374" s="43">
        <f>IF(B374="","","JT-"&amp;TEXT(ROW()-4,"0000"))</f>
        <v>0</v>
      </c>
      <c r="C374" s="18">
        <f>IF(B374="","",IFERROR(INDEX(Jobs!$B$5:$B$604,MATCH(B374,Jobs!$A$5:$A$604,0)),""))</f>
        <v>0</v>
      </c>
      <c r="D374" s="23">
        <f>IF(B374="","",IFERROR(INDEX(Jobs!$H$5:$H$604,MATCH(B374,Jobs!$A$5:$A$604,0)),""))</f>
        <v>0</v>
      </c>
      <c r="E374" s="23">
        <f>IF(B374="","",IFERROR(INDEX(Jobs!$K$5:$K$604,MATCH(B374,Jobs!$A$5:$A$604,0)),""))</f>
        <v>0</v>
      </c>
      <c r="P374" s="50">
        <f>IF(G374="","",IFERROR(INDEX(Checklists!$J$5:$J$404,MATCH(G374,Checklists!$F$5:$F$404,0)),"Yes"))</f>
        <v>0</v>
      </c>
      <c r="Q374" s="31">
        <f>IF(G374="","",IFERROR(INDEX(Checklists!$H$5:$H$404,MATCH(G374,Checklists!$F$5:$F$404,0)),""))</f>
        <v>0</v>
      </c>
      <c r="R374" s="31">
        <f>IF(OR(J374="",Q374=""),"",J374-Q374)</f>
        <v>0</v>
      </c>
      <c r="S374" s="50">
        <f>IF(B374="","",IF(H374="Done","Yes","No"))</f>
        <v>0</v>
      </c>
      <c r="T374" s="39">
        <f>IF(B374="","",IF(G374="","Add - what was the task?",IF(H374="Issue found",IF(M374="Yes","OK - issue reported","Action - tell the client"),IF(H374="Needs rework","Action - rework needed",IF(AND(H374="Skipped",P374="Yes"),"Check - required task skipped",IF(H374="Done","OK","Due"))))))</f>
        <v>0</v>
      </c>
    </row>
    <row r="375" spans="1:20">
      <c r="A375" s="43">
        <f>IF(B375="","","JT-"&amp;TEXT(ROW()-4,"0000"))</f>
        <v>0</v>
      </c>
      <c r="C375" s="18">
        <f>IF(B375="","",IFERROR(INDEX(Jobs!$B$5:$B$604,MATCH(B375,Jobs!$A$5:$A$604,0)),""))</f>
        <v>0</v>
      </c>
      <c r="D375" s="23">
        <f>IF(B375="","",IFERROR(INDEX(Jobs!$H$5:$H$604,MATCH(B375,Jobs!$A$5:$A$604,0)),""))</f>
        <v>0</v>
      </c>
      <c r="E375" s="23">
        <f>IF(B375="","",IFERROR(INDEX(Jobs!$K$5:$K$604,MATCH(B375,Jobs!$A$5:$A$604,0)),""))</f>
        <v>0</v>
      </c>
      <c r="P375" s="50">
        <f>IF(G375="","",IFERROR(INDEX(Checklists!$J$5:$J$404,MATCH(G375,Checklists!$F$5:$F$404,0)),"Yes"))</f>
        <v>0</v>
      </c>
      <c r="Q375" s="31">
        <f>IF(G375="","",IFERROR(INDEX(Checklists!$H$5:$H$404,MATCH(G375,Checklists!$F$5:$F$404,0)),""))</f>
        <v>0</v>
      </c>
      <c r="R375" s="31">
        <f>IF(OR(J375="",Q375=""),"",J375-Q375)</f>
        <v>0</v>
      </c>
      <c r="S375" s="50">
        <f>IF(B375="","",IF(H375="Done","Yes","No"))</f>
        <v>0</v>
      </c>
      <c r="T375" s="39">
        <f>IF(B375="","",IF(G375="","Add - what was the task?",IF(H375="Issue found",IF(M375="Yes","OK - issue reported","Action - tell the client"),IF(H375="Needs rework","Action - rework needed",IF(AND(H375="Skipped",P375="Yes"),"Check - required task skipped",IF(H375="Done","OK","Due"))))))</f>
        <v>0</v>
      </c>
    </row>
    <row r="376" spans="1:20">
      <c r="A376" s="43">
        <f>IF(B376="","","JT-"&amp;TEXT(ROW()-4,"0000"))</f>
        <v>0</v>
      </c>
      <c r="C376" s="18">
        <f>IF(B376="","",IFERROR(INDEX(Jobs!$B$5:$B$604,MATCH(B376,Jobs!$A$5:$A$604,0)),""))</f>
        <v>0</v>
      </c>
      <c r="D376" s="23">
        <f>IF(B376="","",IFERROR(INDEX(Jobs!$H$5:$H$604,MATCH(B376,Jobs!$A$5:$A$604,0)),""))</f>
        <v>0</v>
      </c>
      <c r="E376" s="23">
        <f>IF(B376="","",IFERROR(INDEX(Jobs!$K$5:$K$604,MATCH(B376,Jobs!$A$5:$A$604,0)),""))</f>
        <v>0</v>
      </c>
      <c r="P376" s="50">
        <f>IF(G376="","",IFERROR(INDEX(Checklists!$J$5:$J$404,MATCH(G376,Checklists!$F$5:$F$404,0)),"Yes"))</f>
        <v>0</v>
      </c>
      <c r="Q376" s="31">
        <f>IF(G376="","",IFERROR(INDEX(Checklists!$H$5:$H$404,MATCH(G376,Checklists!$F$5:$F$404,0)),""))</f>
        <v>0</v>
      </c>
      <c r="R376" s="31">
        <f>IF(OR(J376="",Q376=""),"",J376-Q376)</f>
        <v>0</v>
      </c>
      <c r="S376" s="50">
        <f>IF(B376="","",IF(H376="Done","Yes","No"))</f>
        <v>0</v>
      </c>
      <c r="T376" s="39">
        <f>IF(B376="","",IF(G376="","Add - what was the task?",IF(H376="Issue found",IF(M376="Yes","OK - issue reported","Action - tell the client"),IF(H376="Needs rework","Action - rework needed",IF(AND(H376="Skipped",P376="Yes"),"Check - required task skipped",IF(H376="Done","OK","Due"))))))</f>
        <v>0</v>
      </c>
    </row>
    <row r="377" spans="1:20">
      <c r="A377" s="43">
        <f>IF(B377="","","JT-"&amp;TEXT(ROW()-4,"0000"))</f>
        <v>0</v>
      </c>
      <c r="C377" s="18">
        <f>IF(B377="","",IFERROR(INDEX(Jobs!$B$5:$B$604,MATCH(B377,Jobs!$A$5:$A$604,0)),""))</f>
        <v>0</v>
      </c>
      <c r="D377" s="23">
        <f>IF(B377="","",IFERROR(INDEX(Jobs!$H$5:$H$604,MATCH(B377,Jobs!$A$5:$A$604,0)),""))</f>
        <v>0</v>
      </c>
      <c r="E377" s="23">
        <f>IF(B377="","",IFERROR(INDEX(Jobs!$K$5:$K$604,MATCH(B377,Jobs!$A$5:$A$604,0)),""))</f>
        <v>0</v>
      </c>
      <c r="P377" s="50">
        <f>IF(G377="","",IFERROR(INDEX(Checklists!$J$5:$J$404,MATCH(G377,Checklists!$F$5:$F$404,0)),"Yes"))</f>
        <v>0</v>
      </c>
      <c r="Q377" s="31">
        <f>IF(G377="","",IFERROR(INDEX(Checklists!$H$5:$H$404,MATCH(G377,Checklists!$F$5:$F$404,0)),""))</f>
        <v>0</v>
      </c>
      <c r="R377" s="31">
        <f>IF(OR(J377="",Q377=""),"",J377-Q377)</f>
        <v>0</v>
      </c>
      <c r="S377" s="50">
        <f>IF(B377="","",IF(H377="Done","Yes","No"))</f>
        <v>0</v>
      </c>
      <c r="T377" s="39">
        <f>IF(B377="","",IF(G377="","Add - what was the task?",IF(H377="Issue found",IF(M377="Yes","OK - issue reported","Action - tell the client"),IF(H377="Needs rework","Action - rework needed",IF(AND(H377="Skipped",P377="Yes"),"Check - required task skipped",IF(H377="Done","OK","Due"))))))</f>
        <v>0</v>
      </c>
    </row>
    <row r="378" spans="1:20">
      <c r="A378" s="43">
        <f>IF(B378="","","JT-"&amp;TEXT(ROW()-4,"0000"))</f>
        <v>0</v>
      </c>
      <c r="C378" s="18">
        <f>IF(B378="","",IFERROR(INDEX(Jobs!$B$5:$B$604,MATCH(B378,Jobs!$A$5:$A$604,0)),""))</f>
        <v>0</v>
      </c>
      <c r="D378" s="23">
        <f>IF(B378="","",IFERROR(INDEX(Jobs!$H$5:$H$604,MATCH(B378,Jobs!$A$5:$A$604,0)),""))</f>
        <v>0</v>
      </c>
      <c r="E378" s="23">
        <f>IF(B378="","",IFERROR(INDEX(Jobs!$K$5:$K$604,MATCH(B378,Jobs!$A$5:$A$604,0)),""))</f>
        <v>0</v>
      </c>
      <c r="P378" s="50">
        <f>IF(G378="","",IFERROR(INDEX(Checklists!$J$5:$J$404,MATCH(G378,Checklists!$F$5:$F$404,0)),"Yes"))</f>
        <v>0</v>
      </c>
      <c r="Q378" s="31">
        <f>IF(G378="","",IFERROR(INDEX(Checklists!$H$5:$H$404,MATCH(G378,Checklists!$F$5:$F$404,0)),""))</f>
        <v>0</v>
      </c>
      <c r="R378" s="31">
        <f>IF(OR(J378="",Q378=""),"",J378-Q378)</f>
        <v>0</v>
      </c>
      <c r="S378" s="50">
        <f>IF(B378="","",IF(H378="Done","Yes","No"))</f>
        <v>0</v>
      </c>
      <c r="T378" s="39">
        <f>IF(B378="","",IF(G378="","Add - what was the task?",IF(H378="Issue found",IF(M378="Yes","OK - issue reported","Action - tell the client"),IF(H378="Needs rework","Action - rework needed",IF(AND(H378="Skipped",P378="Yes"),"Check - required task skipped",IF(H378="Done","OK","Due"))))))</f>
        <v>0</v>
      </c>
    </row>
    <row r="379" spans="1:20">
      <c r="A379" s="43">
        <f>IF(B379="","","JT-"&amp;TEXT(ROW()-4,"0000"))</f>
        <v>0</v>
      </c>
      <c r="C379" s="18">
        <f>IF(B379="","",IFERROR(INDEX(Jobs!$B$5:$B$604,MATCH(B379,Jobs!$A$5:$A$604,0)),""))</f>
        <v>0</v>
      </c>
      <c r="D379" s="23">
        <f>IF(B379="","",IFERROR(INDEX(Jobs!$H$5:$H$604,MATCH(B379,Jobs!$A$5:$A$604,0)),""))</f>
        <v>0</v>
      </c>
      <c r="E379" s="23">
        <f>IF(B379="","",IFERROR(INDEX(Jobs!$K$5:$K$604,MATCH(B379,Jobs!$A$5:$A$604,0)),""))</f>
        <v>0</v>
      </c>
      <c r="P379" s="50">
        <f>IF(G379="","",IFERROR(INDEX(Checklists!$J$5:$J$404,MATCH(G379,Checklists!$F$5:$F$404,0)),"Yes"))</f>
        <v>0</v>
      </c>
      <c r="Q379" s="31">
        <f>IF(G379="","",IFERROR(INDEX(Checklists!$H$5:$H$404,MATCH(G379,Checklists!$F$5:$F$404,0)),""))</f>
        <v>0</v>
      </c>
      <c r="R379" s="31">
        <f>IF(OR(J379="",Q379=""),"",J379-Q379)</f>
        <v>0</v>
      </c>
      <c r="S379" s="50">
        <f>IF(B379="","",IF(H379="Done","Yes","No"))</f>
        <v>0</v>
      </c>
      <c r="T379" s="39">
        <f>IF(B379="","",IF(G379="","Add - what was the task?",IF(H379="Issue found",IF(M379="Yes","OK - issue reported","Action - tell the client"),IF(H379="Needs rework","Action - rework needed",IF(AND(H379="Skipped",P379="Yes"),"Check - required task skipped",IF(H379="Done","OK","Due"))))))</f>
        <v>0</v>
      </c>
    </row>
    <row r="380" spans="1:20">
      <c r="A380" s="43">
        <f>IF(B380="","","JT-"&amp;TEXT(ROW()-4,"0000"))</f>
        <v>0</v>
      </c>
      <c r="C380" s="18">
        <f>IF(B380="","",IFERROR(INDEX(Jobs!$B$5:$B$604,MATCH(B380,Jobs!$A$5:$A$604,0)),""))</f>
        <v>0</v>
      </c>
      <c r="D380" s="23">
        <f>IF(B380="","",IFERROR(INDEX(Jobs!$H$5:$H$604,MATCH(B380,Jobs!$A$5:$A$604,0)),""))</f>
        <v>0</v>
      </c>
      <c r="E380" s="23">
        <f>IF(B380="","",IFERROR(INDEX(Jobs!$K$5:$K$604,MATCH(B380,Jobs!$A$5:$A$604,0)),""))</f>
        <v>0</v>
      </c>
      <c r="P380" s="50">
        <f>IF(G380="","",IFERROR(INDEX(Checklists!$J$5:$J$404,MATCH(G380,Checklists!$F$5:$F$404,0)),"Yes"))</f>
        <v>0</v>
      </c>
      <c r="Q380" s="31">
        <f>IF(G380="","",IFERROR(INDEX(Checklists!$H$5:$H$404,MATCH(G380,Checklists!$F$5:$F$404,0)),""))</f>
        <v>0</v>
      </c>
      <c r="R380" s="31">
        <f>IF(OR(J380="",Q380=""),"",J380-Q380)</f>
        <v>0</v>
      </c>
      <c r="S380" s="50">
        <f>IF(B380="","",IF(H380="Done","Yes","No"))</f>
        <v>0</v>
      </c>
      <c r="T380" s="39">
        <f>IF(B380="","",IF(G380="","Add - what was the task?",IF(H380="Issue found",IF(M380="Yes","OK - issue reported","Action - tell the client"),IF(H380="Needs rework","Action - rework needed",IF(AND(H380="Skipped",P380="Yes"),"Check - required task skipped",IF(H380="Done","OK","Due"))))))</f>
        <v>0</v>
      </c>
    </row>
    <row r="381" spans="1:20">
      <c r="A381" s="43">
        <f>IF(B381="","","JT-"&amp;TEXT(ROW()-4,"0000"))</f>
        <v>0</v>
      </c>
      <c r="C381" s="18">
        <f>IF(B381="","",IFERROR(INDEX(Jobs!$B$5:$B$604,MATCH(B381,Jobs!$A$5:$A$604,0)),""))</f>
        <v>0</v>
      </c>
      <c r="D381" s="23">
        <f>IF(B381="","",IFERROR(INDEX(Jobs!$H$5:$H$604,MATCH(B381,Jobs!$A$5:$A$604,0)),""))</f>
        <v>0</v>
      </c>
      <c r="E381" s="23">
        <f>IF(B381="","",IFERROR(INDEX(Jobs!$K$5:$K$604,MATCH(B381,Jobs!$A$5:$A$604,0)),""))</f>
        <v>0</v>
      </c>
      <c r="P381" s="50">
        <f>IF(G381="","",IFERROR(INDEX(Checklists!$J$5:$J$404,MATCH(G381,Checklists!$F$5:$F$404,0)),"Yes"))</f>
        <v>0</v>
      </c>
      <c r="Q381" s="31">
        <f>IF(G381="","",IFERROR(INDEX(Checklists!$H$5:$H$404,MATCH(G381,Checklists!$F$5:$F$404,0)),""))</f>
        <v>0</v>
      </c>
      <c r="R381" s="31">
        <f>IF(OR(J381="",Q381=""),"",J381-Q381)</f>
        <v>0</v>
      </c>
      <c r="S381" s="50">
        <f>IF(B381="","",IF(H381="Done","Yes","No"))</f>
        <v>0</v>
      </c>
      <c r="T381" s="39">
        <f>IF(B381="","",IF(G381="","Add - what was the task?",IF(H381="Issue found",IF(M381="Yes","OK - issue reported","Action - tell the client"),IF(H381="Needs rework","Action - rework needed",IF(AND(H381="Skipped",P381="Yes"),"Check - required task skipped",IF(H381="Done","OK","Due"))))))</f>
        <v>0</v>
      </c>
    </row>
    <row r="382" spans="1:20">
      <c r="A382" s="43">
        <f>IF(B382="","","JT-"&amp;TEXT(ROW()-4,"0000"))</f>
        <v>0</v>
      </c>
      <c r="C382" s="18">
        <f>IF(B382="","",IFERROR(INDEX(Jobs!$B$5:$B$604,MATCH(B382,Jobs!$A$5:$A$604,0)),""))</f>
        <v>0</v>
      </c>
      <c r="D382" s="23">
        <f>IF(B382="","",IFERROR(INDEX(Jobs!$H$5:$H$604,MATCH(B382,Jobs!$A$5:$A$604,0)),""))</f>
        <v>0</v>
      </c>
      <c r="E382" s="23">
        <f>IF(B382="","",IFERROR(INDEX(Jobs!$K$5:$K$604,MATCH(B382,Jobs!$A$5:$A$604,0)),""))</f>
        <v>0</v>
      </c>
      <c r="P382" s="50">
        <f>IF(G382="","",IFERROR(INDEX(Checklists!$J$5:$J$404,MATCH(G382,Checklists!$F$5:$F$404,0)),"Yes"))</f>
        <v>0</v>
      </c>
      <c r="Q382" s="31">
        <f>IF(G382="","",IFERROR(INDEX(Checklists!$H$5:$H$404,MATCH(G382,Checklists!$F$5:$F$404,0)),""))</f>
        <v>0</v>
      </c>
      <c r="R382" s="31">
        <f>IF(OR(J382="",Q382=""),"",J382-Q382)</f>
        <v>0</v>
      </c>
      <c r="S382" s="50">
        <f>IF(B382="","",IF(H382="Done","Yes","No"))</f>
        <v>0</v>
      </c>
      <c r="T382" s="39">
        <f>IF(B382="","",IF(G382="","Add - what was the task?",IF(H382="Issue found",IF(M382="Yes","OK - issue reported","Action - tell the client"),IF(H382="Needs rework","Action - rework needed",IF(AND(H382="Skipped",P382="Yes"),"Check - required task skipped",IF(H382="Done","OK","Due"))))))</f>
        <v>0</v>
      </c>
    </row>
    <row r="383" spans="1:20">
      <c r="A383" s="43">
        <f>IF(B383="","","JT-"&amp;TEXT(ROW()-4,"0000"))</f>
        <v>0</v>
      </c>
      <c r="C383" s="18">
        <f>IF(B383="","",IFERROR(INDEX(Jobs!$B$5:$B$604,MATCH(B383,Jobs!$A$5:$A$604,0)),""))</f>
        <v>0</v>
      </c>
      <c r="D383" s="23">
        <f>IF(B383="","",IFERROR(INDEX(Jobs!$H$5:$H$604,MATCH(B383,Jobs!$A$5:$A$604,0)),""))</f>
        <v>0</v>
      </c>
      <c r="E383" s="23">
        <f>IF(B383="","",IFERROR(INDEX(Jobs!$K$5:$K$604,MATCH(B383,Jobs!$A$5:$A$604,0)),""))</f>
        <v>0</v>
      </c>
      <c r="P383" s="50">
        <f>IF(G383="","",IFERROR(INDEX(Checklists!$J$5:$J$404,MATCH(G383,Checklists!$F$5:$F$404,0)),"Yes"))</f>
        <v>0</v>
      </c>
      <c r="Q383" s="31">
        <f>IF(G383="","",IFERROR(INDEX(Checklists!$H$5:$H$404,MATCH(G383,Checklists!$F$5:$F$404,0)),""))</f>
        <v>0</v>
      </c>
      <c r="R383" s="31">
        <f>IF(OR(J383="",Q383=""),"",J383-Q383)</f>
        <v>0</v>
      </c>
      <c r="S383" s="50">
        <f>IF(B383="","",IF(H383="Done","Yes","No"))</f>
        <v>0</v>
      </c>
      <c r="T383" s="39">
        <f>IF(B383="","",IF(G383="","Add - what was the task?",IF(H383="Issue found",IF(M383="Yes","OK - issue reported","Action - tell the client"),IF(H383="Needs rework","Action - rework needed",IF(AND(H383="Skipped",P383="Yes"),"Check - required task skipped",IF(H383="Done","OK","Due"))))))</f>
        <v>0</v>
      </c>
    </row>
    <row r="384" spans="1:20">
      <c r="A384" s="43">
        <f>IF(B384="","","JT-"&amp;TEXT(ROW()-4,"0000"))</f>
        <v>0</v>
      </c>
      <c r="C384" s="18">
        <f>IF(B384="","",IFERROR(INDEX(Jobs!$B$5:$B$604,MATCH(B384,Jobs!$A$5:$A$604,0)),""))</f>
        <v>0</v>
      </c>
      <c r="D384" s="23">
        <f>IF(B384="","",IFERROR(INDEX(Jobs!$H$5:$H$604,MATCH(B384,Jobs!$A$5:$A$604,0)),""))</f>
        <v>0</v>
      </c>
      <c r="E384" s="23">
        <f>IF(B384="","",IFERROR(INDEX(Jobs!$K$5:$K$604,MATCH(B384,Jobs!$A$5:$A$604,0)),""))</f>
        <v>0</v>
      </c>
      <c r="P384" s="50">
        <f>IF(G384="","",IFERROR(INDEX(Checklists!$J$5:$J$404,MATCH(G384,Checklists!$F$5:$F$404,0)),"Yes"))</f>
        <v>0</v>
      </c>
      <c r="Q384" s="31">
        <f>IF(G384="","",IFERROR(INDEX(Checklists!$H$5:$H$404,MATCH(G384,Checklists!$F$5:$F$404,0)),""))</f>
        <v>0</v>
      </c>
      <c r="R384" s="31">
        <f>IF(OR(J384="",Q384=""),"",J384-Q384)</f>
        <v>0</v>
      </c>
      <c r="S384" s="50">
        <f>IF(B384="","",IF(H384="Done","Yes","No"))</f>
        <v>0</v>
      </c>
      <c r="T384" s="39">
        <f>IF(B384="","",IF(G384="","Add - what was the task?",IF(H384="Issue found",IF(M384="Yes","OK - issue reported","Action - tell the client"),IF(H384="Needs rework","Action - rework needed",IF(AND(H384="Skipped",P384="Yes"),"Check - required task skipped",IF(H384="Done","OK","Due"))))))</f>
        <v>0</v>
      </c>
    </row>
    <row r="385" spans="1:20">
      <c r="A385" s="43">
        <f>IF(B385="","","JT-"&amp;TEXT(ROW()-4,"0000"))</f>
        <v>0</v>
      </c>
      <c r="C385" s="18">
        <f>IF(B385="","",IFERROR(INDEX(Jobs!$B$5:$B$604,MATCH(B385,Jobs!$A$5:$A$604,0)),""))</f>
        <v>0</v>
      </c>
      <c r="D385" s="23">
        <f>IF(B385="","",IFERROR(INDEX(Jobs!$H$5:$H$604,MATCH(B385,Jobs!$A$5:$A$604,0)),""))</f>
        <v>0</v>
      </c>
      <c r="E385" s="23">
        <f>IF(B385="","",IFERROR(INDEX(Jobs!$K$5:$K$604,MATCH(B385,Jobs!$A$5:$A$604,0)),""))</f>
        <v>0</v>
      </c>
      <c r="P385" s="50">
        <f>IF(G385="","",IFERROR(INDEX(Checklists!$J$5:$J$404,MATCH(G385,Checklists!$F$5:$F$404,0)),"Yes"))</f>
        <v>0</v>
      </c>
      <c r="Q385" s="31">
        <f>IF(G385="","",IFERROR(INDEX(Checklists!$H$5:$H$404,MATCH(G385,Checklists!$F$5:$F$404,0)),""))</f>
        <v>0</v>
      </c>
      <c r="R385" s="31">
        <f>IF(OR(J385="",Q385=""),"",J385-Q385)</f>
        <v>0</v>
      </c>
      <c r="S385" s="50">
        <f>IF(B385="","",IF(H385="Done","Yes","No"))</f>
        <v>0</v>
      </c>
      <c r="T385" s="39">
        <f>IF(B385="","",IF(G385="","Add - what was the task?",IF(H385="Issue found",IF(M385="Yes","OK - issue reported","Action - tell the client"),IF(H385="Needs rework","Action - rework needed",IF(AND(H385="Skipped",P385="Yes"),"Check - required task skipped",IF(H385="Done","OK","Due"))))))</f>
        <v>0</v>
      </c>
    </row>
    <row r="386" spans="1:20">
      <c r="A386" s="43">
        <f>IF(B386="","","JT-"&amp;TEXT(ROW()-4,"0000"))</f>
        <v>0</v>
      </c>
      <c r="C386" s="18">
        <f>IF(B386="","",IFERROR(INDEX(Jobs!$B$5:$B$604,MATCH(B386,Jobs!$A$5:$A$604,0)),""))</f>
        <v>0</v>
      </c>
      <c r="D386" s="23">
        <f>IF(B386="","",IFERROR(INDEX(Jobs!$H$5:$H$604,MATCH(B386,Jobs!$A$5:$A$604,0)),""))</f>
        <v>0</v>
      </c>
      <c r="E386" s="23">
        <f>IF(B386="","",IFERROR(INDEX(Jobs!$K$5:$K$604,MATCH(B386,Jobs!$A$5:$A$604,0)),""))</f>
        <v>0</v>
      </c>
      <c r="P386" s="50">
        <f>IF(G386="","",IFERROR(INDEX(Checklists!$J$5:$J$404,MATCH(G386,Checklists!$F$5:$F$404,0)),"Yes"))</f>
        <v>0</v>
      </c>
      <c r="Q386" s="31">
        <f>IF(G386="","",IFERROR(INDEX(Checklists!$H$5:$H$404,MATCH(G386,Checklists!$F$5:$F$404,0)),""))</f>
        <v>0</v>
      </c>
      <c r="R386" s="31">
        <f>IF(OR(J386="",Q386=""),"",J386-Q386)</f>
        <v>0</v>
      </c>
      <c r="S386" s="50">
        <f>IF(B386="","",IF(H386="Done","Yes","No"))</f>
        <v>0</v>
      </c>
      <c r="T386" s="39">
        <f>IF(B386="","",IF(G386="","Add - what was the task?",IF(H386="Issue found",IF(M386="Yes","OK - issue reported","Action - tell the client"),IF(H386="Needs rework","Action - rework needed",IF(AND(H386="Skipped",P386="Yes"),"Check - required task skipped",IF(H386="Done","OK","Due"))))))</f>
        <v>0</v>
      </c>
    </row>
    <row r="387" spans="1:20">
      <c r="A387" s="43">
        <f>IF(B387="","","JT-"&amp;TEXT(ROW()-4,"0000"))</f>
        <v>0</v>
      </c>
      <c r="C387" s="18">
        <f>IF(B387="","",IFERROR(INDEX(Jobs!$B$5:$B$604,MATCH(B387,Jobs!$A$5:$A$604,0)),""))</f>
        <v>0</v>
      </c>
      <c r="D387" s="23">
        <f>IF(B387="","",IFERROR(INDEX(Jobs!$H$5:$H$604,MATCH(B387,Jobs!$A$5:$A$604,0)),""))</f>
        <v>0</v>
      </c>
      <c r="E387" s="23">
        <f>IF(B387="","",IFERROR(INDEX(Jobs!$K$5:$K$604,MATCH(B387,Jobs!$A$5:$A$604,0)),""))</f>
        <v>0</v>
      </c>
      <c r="P387" s="50">
        <f>IF(G387="","",IFERROR(INDEX(Checklists!$J$5:$J$404,MATCH(G387,Checklists!$F$5:$F$404,0)),"Yes"))</f>
        <v>0</v>
      </c>
      <c r="Q387" s="31">
        <f>IF(G387="","",IFERROR(INDEX(Checklists!$H$5:$H$404,MATCH(G387,Checklists!$F$5:$F$404,0)),""))</f>
        <v>0</v>
      </c>
      <c r="R387" s="31">
        <f>IF(OR(J387="",Q387=""),"",J387-Q387)</f>
        <v>0</v>
      </c>
      <c r="S387" s="50">
        <f>IF(B387="","",IF(H387="Done","Yes","No"))</f>
        <v>0</v>
      </c>
      <c r="T387" s="39">
        <f>IF(B387="","",IF(G387="","Add - what was the task?",IF(H387="Issue found",IF(M387="Yes","OK - issue reported","Action - tell the client"),IF(H387="Needs rework","Action - rework needed",IF(AND(H387="Skipped",P387="Yes"),"Check - required task skipped",IF(H387="Done","OK","Due"))))))</f>
        <v>0</v>
      </c>
    </row>
    <row r="388" spans="1:20">
      <c r="A388" s="43">
        <f>IF(B388="","","JT-"&amp;TEXT(ROW()-4,"0000"))</f>
        <v>0</v>
      </c>
      <c r="C388" s="18">
        <f>IF(B388="","",IFERROR(INDEX(Jobs!$B$5:$B$604,MATCH(B388,Jobs!$A$5:$A$604,0)),""))</f>
        <v>0</v>
      </c>
      <c r="D388" s="23">
        <f>IF(B388="","",IFERROR(INDEX(Jobs!$H$5:$H$604,MATCH(B388,Jobs!$A$5:$A$604,0)),""))</f>
        <v>0</v>
      </c>
      <c r="E388" s="23">
        <f>IF(B388="","",IFERROR(INDEX(Jobs!$K$5:$K$604,MATCH(B388,Jobs!$A$5:$A$604,0)),""))</f>
        <v>0</v>
      </c>
      <c r="P388" s="50">
        <f>IF(G388="","",IFERROR(INDEX(Checklists!$J$5:$J$404,MATCH(G388,Checklists!$F$5:$F$404,0)),"Yes"))</f>
        <v>0</v>
      </c>
      <c r="Q388" s="31">
        <f>IF(G388="","",IFERROR(INDEX(Checklists!$H$5:$H$404,MATCH(G388,Checklists!$F$5:$F$404,0)),""))</f>
        <v>0</v>
      </c>
      <c r="R388" s="31">
        <f>IF(OR(J388="",Q388=""),"",J388-Q388)</f>
        <v>0</v>
      </c>
      <c r="S388" s="50">
        <f>IF(B388="","",IF(H388="Done","Yes","No"))</f>
        <v>0</v>
      </c>
      <c r="T388" s="39">
        <f>IF(B388="","",IF(G388="","Add - what was the task?",IF(H388="Issue found",IF(M388="Yes","OK - issue reported","Action - tell the client"),IF(H388="Needs rework","Action - rework needed",IF(AND(H388="Skipped",P388="Yes"),"Check - required task skipped",IF(H388="Done","OK","Due"))))))</f>
        <v>0</v>
      </c>
    </row>
    <row r="389" spans="1:20">
      <c r="A389" s="43">
        <f>IF(B389="","","JT-"&amp;TEXT(ROW()-4,"0000"))</f>
        <v>0</v>
      </c>
      <c r="C389" s="18">
        <f>IF(B389="","",IFERROR(INDEX(Jobs!$B$5:$B$604,MATCH(B389,Jobs!$A$5:$A$604,0)),""))</f>
        <v>0</v>
      </c>
      <c r="D389" s="23">
        <f>IF(B389="","",IFERROR(INDEX(Jobs!$H$5:$H$604,MATCH(B389,Jobs!$A$5:$A$604,0)),""))</f>
        <v>0</v>
      </c>
      <c r="E389" s="23">
        <f>IF(B389="","",IFERROR(INDEX(Jobs!$K$5:$K$604,MATCH(B389,Jobs!$A$5:$A$604,0)),""))</f>
        <v>0</v>
      </c>
      <c r="P389" s="50">
        <f>IF(G389="","",IFERROR(INDEX(Checklists!$J$5:$J$404,MATCH(G389,Checklists!$F$5:$F$404,0)),"Yes"))</f>
        <v>0</v>
      </c>
      <c r="Q389" s="31">
        <f>IF(G389="","",IFERROR(INDEX(Checklists!$H$5:$H$404,MATCH(G389,Checklists!$F$5:$F$404,0)),""))</f>
        <v>0</v>
      </c>
      <c r="R389" s="31">
        <f>IF(OR(J389="",Q389=""),"",J389-Q389)</f>
        <v>0</v>
      </c>
      <c r="S389" s="50">
        <f>IF(B389="","",IF(H389="Done","Yes","No"))</f>
        <v>0</v>
      </c>
      <c r="T389" s="39">
        <f>IF(B389="","",IF(G389="","Add - what was the task?",IF(H389="Issue found",IF(M389="Yes","OK - issue reported","Action - tell the client"),IF(H389="Needs rework","Action - rework needed",IF(AND(H389="Skipped",P389="Yes"),"Check - required task skipped",IF(H389="Done","OK","Due"))))))</f>
        <v>0</v>
      </c>
    </row>
    <row r="390" spans="1:20">
      <c r="A390" s="43">
        <f>IF(B390="","","JT-"&amp;TEXT(ROW()-4,"0000"))</f>
        <v>0</v>
      </c>
      <c r="C390" s="18">
        <f>IF(B390="","",IFERROR(INDEX(Jobs!$B$5:$B$604,MATCH(B390,Jobs!$A$5:$A$604,0)),""))</f>
        <v>0</v>
      </c>
      <c r="D390" s="23">
        <f>IF(B390="","",IFERROR(INDEX(Jobs!$H$5:$H$604,MATCH(B390,Jobs!$A$5:$A$604,0)),""))</f>
        <v>0</v>
      </c>
      <c r="E390" s="23">
        <f>IF(B390="","",IFERROR(INDEX(Jobs!$K$5:$K$604,MATCH(B390,Jobs!$A$5:$A$604,0)),""))</f>
        <v>0</v>
      </c>
      <c r="P390" s="50">
        <f>IF(G390="","",IFERROR(INDEX(Checklists!$J$5:$J$404,MATCH(G390,Checklists!$F$5:$F$404,0)),"Yes"))</f>
        <v>0</v>
      </c>
      <c r="Q390" s="31">
        <f>IF(G390="","",IFERROR(INDEX(Checklists!$H$5:$H$404,MATCH(G390,Checklists!$F$5:$F$404,0)),""))</f>
        <v>0</v>
      </c>
      <c r="R390" s="31">
        <f>IF(OR(J390="",Q390=""),"",J390-Q390)</f>
        <v>0</v>
      </c>
      <c r="S390" s="50">
        <f>IF(B390="","",IF(H390="Done","Yes","No"))</f>
        <v>0</v>
      </c>
      <c r="T390" s="39">
        <f>IF(B390="","",IF(G390="","Add - what was the task?",IF(H390="Issue found",IF(M390="Yes","OK - issue reported","Action - tell the client"),IF(H390="Needs rework","Action - rework needed",IF(AND(H390="Skipped",P390="Yes"),"Check - required task skipped",IF(H390="Done","OK","Due"))))))</f>
        <v>0</v>
      </c>
    </row>
    <row r="391" spans="1:20">
      <c r="A391" s="43">
        <f>IF(B391="","","JT-"&amp;TEXT(ROW()-4,"0000"))</f>
        <v>0</v>
      </c>
      <c r="C391" s="18">
        <f>IF(B391="","",IFERROR(INDEX(Jobs!$B$5:$B$604,MATCH(B391,Jobs!$A$5:$A$604,0)),""))</f>
        <v>0</v>
      </c>
      <c r="D391" s="23">
        <f>IF(B391="","",IFERROR(INDEX(Jobs!$H$5:$H$604,MATCH(B391,Jobs!$A$5:$A$604,0)),""))</f>
        <v>0</v>
      </c>
      <c r="E391" s="23">
        <f>IF(B391="","",IFERROR(INDEX(Jobs!$K$5:$K$604,MATCH(B391,Jobs!$A$5:$A$604,0)),""))</f>
        <v>0</v>
      </c>
      <c r="P391" s="50">
        <f>IF(G391="","",IFERROR(INDEX(Checklists!$J$5:$J$404,MATCH(G391,Checklists!$F$5:$F$404,0)),"Yes"))</f>
        <v>0</v>
      </c>
      <c r="Q391" s="31">
        <f>IF(G391="","",IFERROR(INDEX(Checklists!$H$5:$H$404,MATCH(G391,Checklists!$F$5:$F$404,0)),""))</f>
        <v>0</v>
      </c>
      <c r="R391" s="31">
        <f>IF(OR(J391="",Q391=""),"",J391-Q391)</f>
        <v>0</v>
      </c>
      <c r="S391" s="50">
        <f>IF(B391="","",IF(H391="Done","Yes","No"))</f>
        <v>0</v>
      </c>
      <c r="T391" s="39">
        <f>IF(B391="","",IF(G391="","Add - what was the task?",IF(H391="Issue found",IF(M391="Yes","OK - issue reported","Action - tell the client"),IF(H391="Needs rework","Action - rework needed",IF(AND(H391="Skipped",P391="Yes"),"Check - required task skipped",IF(H391="Done","OK","Due"))))))</f>
        <v>0</v>
      </c>
    </row>
    <row r="392" spans="1:20">
      <c r="A392" s="43">
        <f>IF(B392="","","JT-"&amp;TEXT(ROW()-4,"0000"))</f>
        <v>0</v>
      </c>
      <c r="C392" s="18">
        <f>IF(B392="","",IFERROR(INDEX(Jobs!$B$5:$B$604,MATCH(B392,Jobs!$A$5:$A$604,0)),""))</f>
        <v>0</v>
      </c>
      <c r="D392" s="23">
        <f>IF(B392="","",IFERROR(INDEX(Jobs!$H$5:$H$604,MATCH(B392,Jobs!$A$5:$A$604,0)),""))</f>
        <v>0</v>
      </c>
      <c r="E392" s="23">
        <f>IF(B392="","",IFERROR(INDEX(Jobs!$K$5:$K$604,MATCH(B392,Jobs!$A$5:$A$604,0)),""))</f>
        <v>0</v>
      </c>
      <c r="P392" s="50">
        <f>IF(G392="","",IFERROR(INDEX(Checklists!$J$5:$J$404,MATCH(G392,Checklists!$F$5:$F$404,0)),"Yes"))</f>
        <v>0</v>
      </c>
      <c r="Q392" s="31">
        <f>IF(G392="","",IFERROR(INDEX(Checklists!$H$5:$H$404,MATCH(G392,Checklists!$F$5:$F$404,0)),""))</f>
        <v>0</v>
      </c>
      <c r="R392" s="31">
        <f>IF(OR(J392="",Q392=""),"",J392-Q392)</f>
        <v>0</v>
      </c>
      <c r="S392" s="50">
        <f>IF(B392="","",IF(H392="Done","Yes","No"))</f>
        <v>0</v>
      </c>
      <c r="T392" s="39">
        <f>IF(B392="","",IF(G392="","Add - what was the task?",IF(H392="Issue found",IF(M392="Yes","OK - issue reported","Action - tell the client"),IF(H392="Needs rework","Action - rework needed",IF(AND(H392="Skipped",P392="Yes"),"Check - required task skipped",IF(H392="Done","OK","Due"))))))</f>
        <v>0</v>
      </c>
    </row>
    <row r="393" spans="1:20">
      <c r="A393" s="43">
        <f>IF(B393="","","JT-"&amp;TEXT(ROW()-4,"0000"))</f>
        <v>0</v>
      </c>
      <c r="C393" s="18">
        <f>IF(B393="","",IFERROR(INDEX(Jobs!$B$5:$B$604,MATCH(B393,Jobs!$A$5:$A$604,0)),""))</f>
        <v>0</v>
      </c>
      <c r="D393" s="23">
        <f>IF(B393="","",IFERROR(INDEX(Jobs!$H$5:$H$604,MATCH(B393,Jobs!$A$5:$A$604,0)),""))</f>
        <v>0</v>
      </c>
      <c r="E393" s="23">
        <f>IF(B393="","",IFERROR(INDEX(Jobs!$K$5:$K$604,MATCH(B393,Jobs!$A$5:$A$604,0)),""))</f>
        <v>0</v>
      </c>
      <c r="P393" s="50">
        <f>IF(G393="","",IFERROR(INDEX(Checklists!$J$5:$J$404,MATCH(G393,Checklists!$F$5:$F$404,0)),"Yes"))</f>
        <v>0</v>
      </c>
      <c r="Q393" s="31">
        <f>IF(G393="","",IFERROR(INDEX(Checklists!$H$5:$H$404,MATCH(G393,Checklists!$F$5:$F$404,0)),""))</f>
        <v>0</v>
      </c>
      <c r="R393" s="31">
        <f>IF(OR(J393="",Q393=""),"",J393-Q393)</f>
        <v>0</v>
      </c>
      <c r="S393" s="50">
        <f>IF(B393="","",IF(H393="Done","Yes","No"))</f>
        <v>0</v>
      </c>
      <c r="T393" s="39">
        <f>IF(B393="","",IF(G393="","Add - what was the task?",IF(H393="Issue found",IF(M393="Yes","OK - issue reported","Action - tell the client"),IF(H393="Needs rework","Action - rework needed",IF(AND(H393="Skipped",P393="Yes"),"Check - required task skipped",IF(H393="Done","OK","Due"))))))</f>
        <v>0</v>
      </c>
    </row>
    <row r="394" spans="1:20">
      <c r="A394" s="43">
        <f>IF(B394="","","JT-"&amp;TEXT(ROW()-4,"0000"))</f>
        <v>0</v>
      </c>
      <c r="C394" s="18">
        <f>IF(B394="","",IFERROR(INDEX(Jobs!$B$5:$B$604,MATCH(B394,Jobs!$A$5:$A$604,0)),""))</f>
        <v>0</v>
      </c>
      <c r="D394" s="23">
        <f>IF(B394="","",IFERROR(INDEX(Jobs!$H$5:$H$604,MATCH(B394,Jobs!$A$5:$A$604,0)),""))</f>
        <v>0</v>
      </c>
      <c r="E394" s="23">
        <f>IF(B394="","",IFERROR(INDEX(Jobs!$K$5:$K$604,MATCH(B394,Jobs!$A$5:$A$604,0)),""))</f>
        <v>0</v>
      </c>
      <c r="P394" s="50">
        <f>IF(G394="","",IFERROR(INDEX(Checklists!$J$5:$J$404,MATCH(G394,Checklists!$F$5:$F$404,0)),"Yes"))</f>
        <v>0</v>
      </c>
      <c r="Q394" s="31">
        <f>IF(G394="","",IFERROR(INDEX(Checklists!$H$5:$H$404,MATCH(G394,Checklists!$F$5:$F$404,0)),""))</f>
        <v>0</v>
      </c>
      <c r="R394" s="31">
        <f>IF(OR(J394="",Q394=""),"",J394-Q394)</f>
        <v>0</v>
      </c>
      <c r="S394" s="50">
        <f>IF(B394="","",IF(H394="Done","Yes","No"))</f>
        <v>0</v>
      </c>
      <c r="T394" s="39">
        <f>IF(B394="","",IF(G394="","Add - what was the task?",IF(H394="Issue found",IF(M394="Yes","OK - issue reported","Action - tell the client"),IF(H394="Needs rework","Action - rework needed",IF(AND(H394="Skipped",P394="Yes"),"Check - required task skipped",IF(H394="Done","OK","Due"))))))</f>
        <v>0</v>
      </c>
    </row>
    <row r="395" spans="1:20">
      <c r="A395" s="43">
        <f>IF(B395="","","JT-"&amp;TEXT(ROW()-4,"0000"))</f>
        <v>0</v>
      </c>
      <c r="C395" s="18">
        <f>IF(B395="","",IFERROR(INDEX(Jobs!$B$5:$B$604,MATCH(B395,Jobs!$A$5:$A$604,0)),""))</f>
        <v>0</v>
      </c>
      <c r="D395" s="23">
        <f>IF(B395="","",IFERROR(INDEX(Jobs!$H$5:$H$604,MATCH(B395,Jobs!$A$5:$A$604,0)),""))</f>
        <v>0</v>
      </c>
      <c r="E395" s="23">
        <f>IF(B395="","",IFERROR(INDEX(Jobs!$K$5:$K$604,MATCH(B395,Jobs!$A$5:$A$604,0)),""))</f>
        <v>0</v>
      </c>
      <c r="P395" s="50">
        <f>IF(G395="","",IFERROR(INDEX(Checklists!$J$5:$J$404,MATCH(G395,Checklists!$F$5:$F$404,0)),"Yes"))</f>
        <v>0</v>
      </c>
      <c r="Q395" s="31">
        <f>IF(G395="","",IFERROR(INDEX(Checklists!$H$5:$H$404,MATCH(G395,Checklists!$F$5:$F$404,0)),""))</f>
        <v>0</v>
      </c>
      <c r="R395" s="31">
        <f>IF(OR(J395="",Q395=""),"",J395-Q395)</f>
        <v>0</v>
      </c>
      <c r="S395" s="50">
        <f>IF(B395="","",IF(H395="Done","Yes","No"))</f>
        <v>0</v>
      </c>
      <c r="T395" s="39">
        <f>IF(B395="","",IF(G395="","Add - what was the task?",IF(H395="Issue found",IF(M395="Yes","OK - issue reported","Action - tell the client"),IF(H395="Needs rework","Action - rework needed",IF(AND(H395="Skipped",P395="Yes"),"Check - required task skipped",IF(H395="Done","OK","Due"))))))</f>
        <v>0</v>
      </c>
    </row>
    <row r="396" spans="1:20">
      <c r="A396" s="43">
        <f>IF(B396="","","JT-"&amp;TEXT(ROW()-4,"0000"))</f>
        <v>0</v>
      </c>
      <c r="C396" s="18">
        <f>IF(B396="","",IFERROR(INDEX(Jobs!$B$5:$B$604,MATCH(B396,Jobs!$A$5:$A$604,0)),""))</f>
        <v>0</v>
      </c>
      <c r="D396" s="23">
        <f>IF(B396="","",IFERROR(INDEX(Jobs!$H$5:$H$604,MATCH(B396,Jobs!$A$5:$A$604,0)),""))</f>
        <v>0</v>
      </c>
      <c r="E396" s="23">
        <f>IF(B396="","",IFERROR(INDEX(Jobs!$K$5:$K$604,MATCH(B396,Jobs!$A$5:$A$604,0)),""))</f>
        <v>0</v>
      </c>
      <c r="P396" s="50">
        <f>IF(G396="","",IFERROR(INDEX(Checklists!$J$5:$J$404,MATCH(G396,Checklists!$F$5:$F$404,0)),"Yes"))</f>
        <v>0</v>
      </c>
      <c r="Q396" s="31">
        <f>IF(G396="","",IFERROR(INDEX(Checklists!$H$5:$H$404,MATCH(G396,Checklists!$F$5:$F$404,0)),""))</f>
        <v>0</v>
      </c>
      <c r="R396" s="31">
        <f>IF(OR(J396="",Q396=""),"",J396-Q396)</f>
        <v>0</v>
      </c>
      <c r="S396" s="50">
        <f>IF(B396="","",IF(H396="Done","Yes","No"))</f>
        <v>0</v>
      </c>
      <c r="T396" s="39">
        <f>IF(B396="","",IF(G396="","Add - what was the task?",IF(H396="Issue found",IF(M396="Yes","OK - issue reported","Action - tell the client"),IF(H396="Needs rework","Action - rework needed",IF(AND(H396="Skipped",P396="Yes"),"Check - required task skipped",IF(H396="Done","OK","Due"))))))</f>
        <v>0</v>
      </c>
    </row>
    <row r="397" spans="1:20">
      <c r="A397" s="43">
        <f>IF(B397="","","JT-"&amp;TEXT(ROW()-4,"0000"))</f>
        <v>0</v>
      </c>
      <c r="C397" s="18">
        <f>IF(B397="","",IFERROR(INDEX(Jobs!$B$5:$B$604,MATCH(B397,Jobs!$A$5:$A$604,0)),""))</f>
        <v>0</v>
      </c>
      <c r="D397" s="23">
        <f>IF(B397="","",IFERROR(INDEX(Jobs!$H$5:$H$604,MATCH(B397,Jobs!$A$5:$A$604,0)),""))</f>
        <v>0</v>
      </c>
      <c r="E397" s="23">
        <f>IF(B397="","",IFERROR(INDEX(Jobs!$K$5:$K$604,MATCH(B397,Jobs!$A$5:$A$604,0)),""))</f>
        <v>0</v>
      </c>
      <c r="P397" s="50">
        <f>IF(G397="","",IFERROR(INDEX(Checklists!$J$5:$J$404,MATCH(G397,Checklists!$F$5:$F$404,0)),"Yes"))</f>
        <v>0</v>
      </c>
      <c r="Q397" s="31">
        <f>IF(G397="","",IFERROR(INDEX(Checklists!$H$5:$H$404,MATCH(G397,Checklists!$F$5:$F$404,0)),""))</f>
        <v>0</v>
      </c>
      <c r="R397" s="31">
        <f>IF(OR(J397="",Q397=""),"",J397-Q397)</f>
        <v>0</v>
      </c>
      <c r="S397" s="50">
        <f>IF(B397="","",IF(H397="Done","Yes","No"))</f>
        <v>0</v>
      </c>
      <c r="T397" s="39">
        <f>IF(B397="","",IF(G397="","Add - what was the task?",IF(H397="Issue found",IF(M397="Yes","OK - issue reported","Action - tell the client"),IF(H397="Needs rework","Action - rework needed",IF(AND(H397="Skipped",P397="Yes"),"Check - required task skipped",IF(H397="Done","OK","Due"))))))</f>
        <v>0</v>
      </c>
    </row>
    <row r="398" spans="1:20">
      <c r="A398" s="43">
        <f>IF(B398="","","JT-"&amp;TEXT(ROW()-4,"0000"))</f>
        <v>0</v>
      </c>
      <c r="C398" s="18">
        <f>IF(B398="","",IFERROR(INDEX(Jobs!$B$5:$B$604,MATCH(B398,Jobs!$A$5:$A$604,0)),""))</f>
        <v>0</v>
      </c>
      <c r="D398" s="23">
        <f>IF(B398="","",IFERROR(INDEX(Jobs!$H$5:$H$604,MATCH(B398,Jobs!$A$5:$A$604,0)),""))</f>
        <v>0</v>
      </c>
      <c r="E398" s="23">
        <f>IF(B398="","",IFERROR(INDEX(Jobs!$K$5:$K$604,MATCH(B398,Jobs!$A$5:$A$604,0)),""))</f>
        <v>0</v>
      </c>
      <c r="P398" s="50">
        <f>IF(G398="","",IFERROR(INDEX(Checklists!$J$5:$J$404,MATCH(G398,Checklists!$F$5:$F$404,0)),"Yes"))</f>
        <v>0</v>
      </c>
      <c r="Q398" s="31">
        <f>IF(G398="","",IFERROR(INDEX(Checklists!$H$5:$H$404,MATCH(G398,Checklists!$F$5:$F$404,0)),""))</f>
        <v>0</v>
      </c>
      <c r="R398" s="31">
        <f>IF(OR(J398="",Q398=""),"",J398-Q398)</f>
        <v>0</v>
      </c>
      <c r="S398" s="50">
        <f>IF(B398="","",IF(H398="Done","Yes","No"))</f>
        <v>0</v>
      </c>
      <c r="T398" s="39">
        <f>IF(B398="","",IF(G398="","Add - what was the task?",IF(H398="Issue found",IF(M398="Yes","OK - issue reported","Action - tell the client"),IF(H398="Needs rework","Action - rework needed",IF(AND(H398="Skipped",P398="Yes"),"Check - required task skipped",IF(H398="Done","OK","Due"))))))</f>
        <v>0</v>
      </c>
    </row>
    <row r="399" spans="1:20">
      <c r="A399" s="43">
        <f>IF(B399="","","JT-"&amp;TEXT(ROW()-4,"0000"))</f>
        <v>0</v>
      </c>
      <c r="C399" s="18">
        <f>IF(B399="","",IFERROR(INDEX(Jobs!$B$5:$B$604,MATCH(B399,Jobs!$A$5:$A$604,0)),""))</f>
        <v>0</v>
      </c>
      <c r="D399" s="23">
        <f>IF(B399="","",IFERROR(INDEX(Jobs!$H$5:$H$604,MATCH(B399,Jobs!$A$5:$A$604,0)),""))</f>
        <v>0</v>
      </c>
      <c r="E399" s="23">
        <f>IF(B399="","",IFERROR(INDEX(Jobs!$K$5:$K$604,MATCH(B399,Jobs!$A$5:$A$604,0)),""))</f>
        <v>0</v>
      </c>
      <c r="P399" s="50">
        <f>IF(G399="","",IFERROR(INDEX(Checklists!$J$5:$J$404,MATCH(G399,Checklists!$F$5:$F$404,0)),"Yes"))</f>
        <v>0</v>
      </c>
      <c r="Q399" s="31">
        <f>IF(G399="","",IFERROR(INDEX(Checklists!$H$5:$H$404,MATCH(G399,Checklists!$F$5:$F$404,0)),""))</f>
        <v>0</v>
      </c>
      <c r="R399" s="31">
        <f>IF(OR(J399="",Q399=""),"",J399-Q399)</f>
        <v>0</v>
      </c>
      <c r="S399" s="50">
        <f>IF(B399="","",IF(H399="Done","Yes","No"))</f>
        <v>0</v>
      </c>
      <c r="T399" s="39">
        <f>IF(B399="","",IF(G399="","Add - what was the task?",IF(H399="Issue found",IF(M399="Yes","OK - issue reported","Action - tell the client"),IF(H399="Needs rework","Action - rework needed",IF(AND(H399="Skipped",P399="Yes"),"Check - required task skipped",IF(H399="Done","OK","Due"))))))</f>
        <v>0</v>
      </c>
    </row>
    <row r="400" spans="1:20">
      <c r="A400" s="43">
        <f>IF(B400="","","JT-"&amp;TEXT(ROW()-4,"0000"))</f>
        <v>0</v>
      </c>
      <c r="C400" s="18">
        <f>IF(B400="","",IFERROR(INDEX(Jobs!$B$5:$B$604,MATCH(B400,Jobs!$A$5:$A$604,0)),""))</f>
        <v>0</v>
      </c>
      <c r="D400" s="23">
        <f>IF(B400="","",IFERROR(INDEX(Jobs!$H$5:$H$604,MATCH(B400,Jobs!$A$5:$A$604,0)),""))</f>
        <v>0</v>
      </c>
      <c r="E400" s="23">
        <f>IF(B400="","",IFERROR(INDEX(Jobs!$K$5:$K$604,MATCH(B400,Jobs!$A$5:$A$604,0)),""))</f>
        <v>0</v>
      </c>
      <c r="P400" s="50">
        <f>IF(G400="","",IFERROR(INDEX(Checklists!$J$5:$J$404,MATCH(G400,Checklists!$F$5:$F$404,0)),"Yes"))</f>
        <v>0</v>
      </c>
      <c r="Q400" s="31">
        <f>IF(G400="","",IFERROR(INDEX(Checklists!$H$5:$H$404,MATCH(G400,Checklists!$F$5:$F$404,0)),""))</f>
        <v>0</v>
      </c>
      <c r="R400" s="31">
        <f>IF(OR(J400="",Q400=""),"",J400-Q400)</f>
        <v>0</v>
      </c>
      <c r="S400" s="50">
        <f>IF(B400="","",IF(H400="Done","Yes","No"))</f>
        <v>0</v>
      </c>
      <c r="T400" s="39">
        <f>IF(B400="","",IF(G400="","Add - what was the task?",IF(H400="Issue found",IF(M400="Yes","OK - issue reported","Action - tell the client"),IF(H400="Needs rework","Action - rework needed",IF(AND(H400="Skipped",P400="Yes"),"Check - required task skipped",IF(H400="Done","OK","Due"))))))</f>
        <v>0</v>
      </c>
    </row>
    <row r="401" spans="1:20">
      <c r="A401" s="43">
        <f>IF(B401="","","JT-"&amp;TEXT(ROW()-4,"0000"))</f>
        <v>0</v>
      </c>
      <c r="C401" s="18">
        <f>IF(B401="","",IFERROR(INDEX(Jobs!$B$5:$B$604,MATCH(B401,Jobs!$A$5:$A$604,0)),""))</f>
        <v>0</v>
      </c>
      <c r="D401" s="23">
        <f>IF(B401="","",IFERROR(INDEX(Jobs!$H$5:$H$604,MATCH(B401,Jobs!$A$5:$A$604,0)),""))</f>
        <v>0</v>
      </c>
      <c r="E401" s="23">
        <f>IF(B401="","",IFERROR(INDEX(Jobs!$K$5:$K$604,MATCH(B401,Jobs!$A$5:$A$604,0)),""))</f>
        <v>0</v>
      </c>
      <c r="P401" s="50">
        <f>IF(G401="","",IFERROR(INDEX(Checklists!$J$5:$J$404,MATCH(G401,Checklists!$F$5:$F$404,0)),"Yes"))</f>
        <v>0</v>
      </c>
      <c r="Q401" s="31">
        <f>IF(G401="","",IFERROR(INDEX(Checklists!$H$5:$H$404,MATCH(G401,Checklists!$F$5:$F$404,0)),""))</f>
        <v>0</v>
      </c>
      <c r="R401" s="31">
        <f>IF(OR(J401="",Q401=""),"",J401-Q401)</f>
        <v>0</v>
      </c>
      <c r="S401" s="50">
        <f>IF(B401="","",IF(H401="Done","Yes","No"))</f>
        <v>0</v>
      </c>
      <c r="T401" s="39">
        <f>IF(B401="","",IF(G401="","Add - what was the task?",IF(H401="Issue found",IF(M401="Yes","OK - issue reported","Action - tell the client"),IF(H401="Needs rework","Action - rework needed",IF(AND(H401="Skipped",P401="Yes"),"Check - required task skipped",IF(H401="Done","OK","Due"))))))</f>
        <v>0</v>
      </c>
    </row>
    <row r="402" spans="1:20">
      <c r="A402" s="43">
        <f>IF(B402="","","JT-"&amp;TEXT(ROW()-4,"0000"))</f>
        <v>0</v>
      </c>
      <c r="C402" s="18">
        <f>IF(B402="","",IFERROR(INDEX(Jobs!$B$5:$B$604,MATCH(B402,Jobs!$A$5:$A$604,0)),""))</f>
        <v>0</v>
      </c>
      <c r="D402" s="23">
        <f>IF(B402="","",IFERROR(INDEX(Jobs!$H$5:$H$604,MATCH(B402,Jobs!$A$5:$A$604,0)),""))</f>
        <v>0</v>
      </c>
      <c r="E402" s="23">
        <f>IF(B402="","",IFERROR(INDEX(Jobs!$K$5:$K$604,MATCH(B402,Jobs!$A$5:$A$604,0)),""))</f>
        <v>0</v>
      </c>
      <c r="P402" s="50">
        <f>IF(G402="","",IFERROR(INDEX(Checklists!$J$5:$J$404,MATCH(G402,Checklists!$F$5:$F$404,0)),"Yes"))</f>
        <v>0</v>
      </c>
      <c r="Q402" s="31">
        <f>IF(G402="","",IFERROR(INDEX(Checklists!$H$5:$H$404,MATCH(G402,Checklists!$F$5:$F$404,0)),""))</f>
        <v>0</v>
      </c>
      <c r="R402" s="31">
        <f>IF(OR(J402="",Q402=""),"",J402-Q402)</f>
        <v>0</v>
      </c>
      <c r="S402" s="50">
        <f>IF(B402="","",IF(H402="Done","Yes","No"))</f>
        <v>0</v>
      </c>
      <c r="T402" s="39">
        <f>IF(B402="","",IF(G402="","Add - what was the task?",IF(H402="Issue found",IF(M402="Yes","OK - issue reported","Action - tell the client"),IF(H402="Needs rework","Action - rework needed",IF(AND(H402="Skipped",P402="Yes"),"Check - required task skipped",IF(H402="Done","OK","Due"))))))</f>
        <v>0</v>
      </c>
    </row>
    <row r="403" spans="1:20">
      <c r="A403" s="43">
        <f>IF(B403="","","JT-"&amp;TEXT(ROW()-4,"0000"))</f>
        <v>0</v>
      </c>
      <c r="C403" s="18">
        <f>IF(B403="","",IFERROR(INDEX(Jobs!$B$5:$B$604,MATCH(B403,Jobs!$A$5:$A$604,0)),""))</f>
        <v>0</v>
      </c>
      <c r="D403" s="23">
        <f>IF(B403="","",IFERROR(INDEX(Jobs!$H$5:$H$604,MATCH(B403,Jobs!$A$5:$A$604,0)),""))</f>
        <v>0</v>
      </c>
      <c r="E403" s="23">
        <f>IF(B403="","",IFERROR(INDEX(Jobs!$K$5:$K$604,MATCH(B403,Jobs!$A$5:$A$604,0)),""))</f>
        <v>0</v>
      </c>
      <c r="P403" s="50">
        <f>IF(G403="","",IFERROR(INDEX(Checklists!$J$5:$J$404,MATCH(G403,Checklists!$F$5:$F$404,0)),"Yes"))</f>
        <v>0</v>
      </c>
      <c r="Q403" s="31">
        <f>IF(G403="","",IFERROR(INDEX(Checklists!$H$5:$H$404,MATCH(G403,Checklists!$F$5:$F$404,0)),""))</f>
        <v>0</v>
      </c>
      <c r="R403" s="31">
        <f>IF(OR(J403="",Q403=""),"",J403-Q403)</f>
        <v>0</v>
      </c>
      <c r="S403" s="50">
        <f>IF(B403="","",IF(H403="Done","Yes","No"))</f>
        <v>0</v>
      </c>
      <c r="T403" s="39">
        <f>IF(B403="","",IF(G403="","Add - what was the task?",IF(H403="Issue found",IF(M403="Yes","OK - issue reported","Action - tell the client"),IF(H403="Needs rework","Action - rework needed",IF(AND(H403="Skipped",P403="Yes"),"Check - required task skipped",IF(H403="Done","OK","Due"))))))</f>
        <v>0</v>
      </c>
    </row>
    <row r="404" spans="1:20">
      <c r="A404" s="43">
        <f>IF(B404="","","JT-"&amp;TEXT(ROW()-4,"0000"))</f>
        <v>0</v>
      </c>
      <c r="C404" s="18">
        <f>IF(B404="","",IFERROR(INDEX(Jobs!$B$5:$B$604,MATCH(B404,Jobs!$A$5:$A$604,0)),""))</f>
        <v>0</v>
      </c>
      <c r="D404" s="23">
        <f>IF(B404="","",IFERROR(INDEX(Jobs!$H$5:$H$604,MATCH(B404,Jobs!$A$5:$A$604,0)),""))</f>
        <v>0</v>
      </c>
      <c r="E404" s="23">
        <f>IF(B404="","",IFERROR(INDEX(Jobs!$K$5:$K$604,MATCH(B404,Jobs!$A$5:$A$604,0)),""))</f>
        <v>0</v>
      </c>
      <c r="P404" s="50">
        <f>IF(G404="","",IFERROR(INDEX(Checklists!$J$5:$J$404,MATCH(G404,Checklists!$F$5:$F$404,0)),"Yes"))</f>
        <v>0</v>
      </c>
      <c r="Q404" s="31">
        <f>IF(G404="","",IFERROR(INDEX(Checklists!$H$5:$H$404,MATCH(G404,Checklists!$F$5:$F$404,0)),""))</f>
        <v>0</v>
      </c>
      <c r="R404" s="31">
        <f>IF(OR(J404="",Q404=""),"",J404-Q404)</f>
        <v>0</v>
      </c>
      <c r="S404" s="50">
        <f>IF(B404="","",IF(H404="Done","Yes","No"))</f>
        <v>0</v>
      </c>
      <c r="T404" s="39">
        <f>IF(B404="","",IF(G404="","Add - what was the task?",IF(H404="Issue found",IF(M404="Yes","OK - issue reported","Action - tell the client"),IF(H404="Needs rework","Action - rework needed",IF(AND(H404="Skipped",P404="Yes"),"Check - required task skipped",IF(H404="Done","OK","Due"))))))</f>
        <v>0</v>
      </c>
    </row>
    <row r="405" spans="1:20">
      <c r="A405" s="43">
        <f>IF(B405="","","JT-"&amp;TEXT(ROW()-4,"0000"))</f>
        <v>0</v>
      </c>
      <c r="C405" s="18">
        <f>IF(B405="","",IFERROR(INDEX(Jobs!$B$5:$B$604,MATCH(B405,Jobs!$A$5:$A$604,0)),""))</f>
        <v>0</v>
      </c>
      <c r="D405" s="23">
        <f>IF(B405="","",IFERROR(INDEX(Jobs!$H$5:$H$604,MATCH(B405,Jobs!$A$5:$A$604,0)),""))</f>
        <v>0</v>
      </c>
      <c r="E405" s="23">
        <f>IF(B405="","",IFERROR(INDEX(Jobs!$K$5:$K$604,MATCH(B405,Jobs!$A$5:$A$604,0)),""))</f>
        <v>0</v>
      </c>
      <c r="P405" s="50">
        <f>IF(G405="","",IFERROR(INDEX(Checklists!$J$5:$J$404,MATCH(G405,Checklists!$F$5:$F$404,0)),"Yes"))</f>
        <v>0</v>
      </c>
      <c r="Q405" s="31">
        <f>IF(G405="","",IFERROR(INDEX(Checklists!$H$5:$H$404,MATCH(G405,Checklists!$F$5:$F$404,0)),""))</f>
        <v>0</v>
      </c>
      <c r="R405" s="31">
        <f>IF(OR(J405="",Q405=""),"",J405-Q405)</f>
        <v>0</v>
      </c>
      <c r="S405" s="50">
        <f>IF(B405="","",IF(H405="Done","Yes","No"))</f>
        <v>0</v>
      </c>
      <c r="T405" s="39">
        <f>IF(B405="","",IF(G405="","Add - what was the task?",IF(H405="Issue found",IF(M405="Yes","OK - issue reported","Action - tell the client"),IF(H405="Needs rework","Action - rework needed",IF(AND(H405="Skipped",P405="Yes"),"Check - required task skipped",IF(H405="Done","OK","Due"))))))</f>
        <v>0</v>
      </c>
    </row>
    <row r="406" spans="1:20">
      <c r="A406" s="43">
        <f>IF(B406="","","JT-"&amp;TEXT(ROW()-4,"0000"))</f>
        <v>0</v>
      </c>
      <c r="C406" s="18">
        <f>IF(B406="","",IFERROR(INDEX(Jobs!$B$5:$B$604,MATCH(B406,Jobs!$A$5:$A$604,0)),""))</f>
        <v>0</v>
      </c>
      <c r="D406" s="23">
        <f>IF(B406="","",IFERROR(INDEX(Jobs!$H$5:$H$604,MATCH(B406,Jobs!$A$5:$A$604,0)),""))</f>
        <v>0</v>
      </c>
      <c r="E406" s="23">
        <f>IF(B406="","",IFERROR(INDEX(Jobs!$K$5:$K$604,MATCH(B406,Jobs!$A$5:$A$604,0)),""))</f>
        <v>0</v>
      </c>
      <c r="P406" s="50">
        <f>IF(G406="","",IFERROR(INDEX(Checklists!$J$5:$J$404,MATCH(G406,Checklists!$F$5:$F$404,0)),"Yes"))</f>
        <v>0</v>
      </c>
      <c r="Q406" s="31">
        <f>IF(G406="","",IFERROR(INDEX(Checklists!$H$5:$H$404,MATCH(G406,Checklists!$F$5:$F$404,0)),""))</f>
        <v>0</v>
      </c>
      <c r="R406" s="31">
        <f>IF(OR(J406="",Q406=""),"",J406-Q406)</f>
        <v>0</v>
      </c>
      <c r="S406" s="50">
        <f>IF(B406="","",IF(H406="Done","Yes","No"))</f>
        <v>0</v>
      </c>
      <c r="T406" s="39">
        <f>IF(B406="","",IF(G406="","Add - what was the task?",IF(H406="Issue found",IF(M406="Yes","OK - issue reported","Action - tell the client"),IF(H406="Needs rework","Action - rework needed",IF(AND(H406="Skipped",P406="Yes"),"Check - required task skipped",IF(H406="Done","OK","Due"))))))</f>
        <v>0</v>
      </c>
    </row>
    <row r="407" spans="1:20">
      <c r="A407" s="43">
        <f>IF(B407="","","JT-"&amp;TEXT(ROW()-4,"0000"))</f>
        <v>0</v>
      </c>
      <c r="C407" s="18">
        <f>IF(B407="","",IFERROR(INDEX(Jobs!$B$5:$B$604,MATCH(B407,Jobs!$A$5:$A$604,0)),""))</f>
        <v>0</v>
      </c>
      <c r="D407" s="23">
        <f>IF(B407="","",IFERROR(INDEX(Jobs!$H$5:$H$604,MATCH(B407,Jobs!$A$5:$A$604,0)),""))</f>
        <v>0</v>
      </c>
      <c r="E407" s="23">
        <f>IF(B407="","",IFERROR(INDEX(Jobs!$K$5:$K$604,MATCH(B407,Jobs!$A$5:$A$604,0)),""))</f>
        <v>0</v>
      </c>
      <c r="P407" s="50">
        <f>IF(G407="","",IFERROR(INDEX(Checklists!$J$5:$J$404,MATCH(G407,Checklists!$F$5:$F$404,0)),"Yes"))</f>
        <v>0</v>
      </c>
      <c r="Q407" s="31">
        <f>IF(G407="","",IFERROR(INDEX(Checklists!$H$5:$H$404,MATCH(G407,Checklists!$F$5:$F$404,0)),""))</f>
        <v>0</v>
      </c>
      <c r="R407" s="31">
        <f>IF(OR(J407="",Q407=""),"",J407-Q407)</f>
        <v>0</v>
      </c>
      <c r="S407" s="50">
        <f>IF(B407="","",IF(H407="Done","Yes","No"))</f>
        <v>0</v>
      </c>
      <c r="T407" s="39">
        <f>IF(B407="","",IF(G407="","Add - what was the task?",IF(H407="Issue found",IF(M407="Yes","OK - issue reported","Action - tell the client"),IF(H407="Needs rework","Action - rework needed",IF(AND(H407="Skipped",P407="Yes"),"Check - required task skipped",IF(H407="Done","OK","Due"))))))</f>
        <v>0</v>
      </c>
    </row>
    <row r="408" spans="1:20">
      <c r="A408" s="43">
        <f>IF(B408="","","JT-"&amp;TEXT(ROW()-4,"0000"))</f>
        <v>0</v>
      </c>
      <c r="C408" s="18">
        <f>IF(B408="","",IFERROR(INDEX(Jobs!$B$5:$B$604,MATCH(B408,Jobs!$A$5:$A$604,0)),""))</f>
        <v>0</v>
      </c>
      <c r="D408" s="23">
        <f>IF(B408="","",IFERROR(INDEX(Jobs!$H$5:$H$604,MATCH(B408,Jobs!$A$5:$A$604,0)),""))</f>
        <v>0</v>
      </c>
      <c r="E408" s="23">
        <f>IF(B408="","",IFERROR(INDEX(Jobs!$K$5:$K$604,MATCH(B408,Jobs!$A$5:$A$604,0)),""))</f>
        <v>0</v>
      </c>
      <c r="P408" s="50">
        <f>IF(G408="","",IFERROR(INDEX(Checklists!$J$5:$J$404,MATCH(G408,Checklists!$F$5:$F$404,0)),"Yes"))</f>
        <v>0</v>
      </c>
      <c r="Q408" s="31">
        <f>IF(G408="","",IFERROR(INDEX(Checklists!$H$5:$H$404,MATCH(G408,Checklists!$F$5:$F$404,0)),""))</f>
        <v>0</v>
      </c>
      <c r="R408" s="31">
        <f>IF(OR(J408="",Q408=""),"",J408-Q408)</f>
        <v>0</v>
      </c>
      <c r="S408" s="50">
        <f>IF(B408="","",IF(H408="Done","Yes","No"))</f>
        <v>0</v>
      </c>
      <c r="T408" s="39">
        <f>IF(B408="","",IF(G408="","Add - what was the task?",IF(H408="Issue found",IF(M408="Yes","OK - issue reported","Action - tell the client"),IF(H408="Needs rework","Action - rework needed",IF(AND(H408="Skipped",P408="Yes"),"Check - required task skipped",IF(H408="Done","OK","Due"))))))</f>
        <v>0</v>
      </c>
    </row>
    <row r="409" spans="1:20">
      <c r="A409" s="43">
        <f>IF(B409="","","JT-"&amp;TEXT(ROW()-4,"0000"))</f>
        <v>0</v>
      </c>
      <c r="C409" s="18">
        <f>IF(B409="","",IFERROR(INDEX(Jobs!$B$5:$B$604,MATCH(B409,Jobs!$A$5:$A$604,0)),""))</f>
        <v>0</v>
      </c>
      <c r="D409" s="23">
        <f>IF(B409="","",IFERROR(INDEX(Jobs!$H$5:$H$604,MATCH(B409,Jobs!$A$5:$A$604,0)),""))</f>
        <v>0</v>
      </c>
      <c r="E409" s="23">
        <f>IF(B409="","",IFERROR(INDEX(Jobs!$K$5:$K$604,MATCH(B409,Jobs!$A$5:$A$604,0)),""))</f>
        <v>0</v>
      </c>
      <c r="P409" s="50">
        <f>IF(G409="","",IFERROR(INDEX(Checklists!$J$5:$J$404,MATCH(G409,Checklists!$F$5:$F$404,0)),"Yes"))</f>
        <v>0</v>
      </c>
      <c r="Q409" s="31">
        <f>IF(G409="","",IFERROR(INDEX(Checklists!$H$5:$H$404,MATCH(G409,Checklists!$F$5:$F$404,0)),""))</f>
        <v>0</v>
      </c>
      <c r="R409" s="31">
        <f>IF(OR(J409="",Q409=""),"",J409-Q409)</f>
        <v>0</v>
      </c>
      <c r="S409" s="50">
        <f>IF(B409="","",IF(H409="Done","Yes","No"))</f>
        <v>0</v>
      </c>
      <c r="T409" s="39">
        <f>IF(B409="","",IF(G409="","Add - what was the task?",IF(H409="Issue found",IF(M409="Yes","OK - issue reported","Action - tell the client"),IF(H409="Needs rework","Action - rework needed",IF(AND(H409="Skipped",P409="Yes"),"Check - required task skipped",IF(H409="Done","OK","Due"))))))</f>
        <v>0</v>
      </c>
    </row>
    <row r="410" spans="1:20">
      <c r="A410" s="43">
        <f>IF(B410="","","JT-"&amp;TEXT(ROW()-4,"0000"))</f>
        <v>0</v>
      </c>
      <c r="C410" s="18">
        <f>IF(B410="","",IFERROR(INDEX(Jobs!$B$5:$B$604,MATCH(B410,Jobs!$A$5:$A$604,0)),""))</f>
        <v>0</v>
      </c>
      <c r="D410" s="23">
        <f>IF(B410="","",IFERROR(INDEX(Jobs!$H$5:$H$604,MATCH(B410,Jobs!$A$5:$A$604,0)),""))</f>
        <v>0</v>
      </c>
      <c r="E410" s="23">
        <f>IF(B410="","",IFERROR(INDEX(Jobs!$K$5:$K$604,MATCH(B410,Jobs!$A$5:$A$604,0)),""))</f>
        <v>0</v>
      </c>
      <c r="P410" s="50">
        <f>IF(G410="","",IFERROR(INDEX(Checklists!$J$5:$J$404,MATCH(G410,Checklists!$F$5:$F$404,0)),"Yes"))</f>
        <v>0</v>
      </c>
      <c r="Q410" s="31">
        <f>IF(G410="","",IFERROR(INDEX(Checklists!$H$5:$H$404,MATCH(G410,Checklists!$F$5:$F$404,0)),""))</f>
        <v>0</v>
      </c>
      <c r="R410" s="31">
        <f>IF(OR(J410="",Q410=""),"",J410-Q410)</f>
        <v>0</v>
      </c>
      <c r="S410" s="50">
        <f>IF(B410="","",IF(H410="Done","Yes","No"))</f>
        <v>0</v>
      </c>
      <c r="T410" s="39">
        <f>IF(B410="","",IF(G410="","Add - what was the task?",IF(H410="Issue found",IF(M410="Yes","OK - issue reported","Action - tell the client"),IF(H410="Needs rework","Action - rework needed",IF(AND(H410="Skipped",P410="Yes"),"Check - required task skipped",IF(H410="Done","OK","Due"))))))</f>
        <v>0</v>
      </c>
    </row>
    <row r="411" spans="1:20">
      <c r="A411" s="43">
        <f>IF(B411="","","JT-"&amp;TEXT(ROW()-4,"0000"))</f>
        <v>0</v>
      </c>
      <c r="C411" s="18">
        <f>IF(B411="","",IFERROR(INDEX(Jobs!$B$5:$B$604,MATCH(B411,Jobs!$A$5:$A$604,0)),""))</f>
        <v>0</v>
      </c>
      <c r="D411" s="23">
        <f>IF(B411="","",IFERROR(INDEX(Jobs!$H$5:$H$604,MATCH(B411,Jobs!$A$5:$A$604,0)),""))</f>
        <v>0</v>
      </c>
      <c r="E411" s="23">
        <f>IF(B411="","",IFERROR(INDEX(Jobs!$K$5:$K$604,MATCH(B411,Jobs!$A$5:$A$604,0)),""))</f>
        <v>0</v>
      </c>
      <c r="P411" s="50">
        <f>IF(G411="","",IFERROR(INDEX(Checklists!$J$5:$J$404,MATCH(G411,Checklists!$F$5:$F$404,0)),"Yes"))</f>
        <v>0</v>
      </c>
      <c r="Q411" s="31">
        <f>IF(G411="","",IFERROR(INDEX(Checklists!$H$5:$H$404,MATCH(G411,Checklists!$F$5:$F$404,0)),""))</f>
        <v>0</v>
      </c>
      <c r="R411" s="31">
        <f>IF(OR(J411="",Q411=""),"",J411-Q411)</f>
        <v>0</v>
      </c>
      <c r="S411" s="50">
        <f>IF(B411="","",IF(H411="Done","Yes","No"))</f>
        <v>0</v>
      </c>
      <c r="T411" s="39">
        <f>IF(B411="","",IF(G411="","Add - what was the task?",IF(H411="Issue found",IF(M411="Yes","OK - issue reported","Action - tell the client"),IF(H411="Needs rework","Action - rework needed",IF(AND(H411="Skipped",P411="Yes"),"Check - required task skipped",IF(H411="Done","OK","Due"))))))</f>
        <v>0</v>
      </c>
    </row>
    <row r="412" spans="1:20">
      <c r="A412" s="43">
        <f>IF(B412="","","JT-"&amp;TEXT(ROW()-4,"0000"))</f>
        <v>0</v>
      </c>
      <c r="C412" s="18">
        <f>IF(B412="","",IFERROR(INDEX(Jobs!$B$5:$B$604,MATCH(B412,Jobs!$A$5:$A$604,0)),""))</f>
        <v>0</v>
      </c>
      <c r="D412" s="23">
        <f>IF(B412="","",IFERROR(INDEX(Jobs!$H$5:$H$604,MATCH(B412,Jobs!$A$5:$A$604,0)),""))</f>
        <v>0</v>
      </c>
      <c r="E412" s="23">
        <f>IF(B412="","",IFERROR(INDEX(Jobs!$K$5:$K$604,MATCH(B412,Jobs!$A$5:$A$604,0)),""))</f>
        <v>0</v>
      </c>
      <c r="P412" s="50">
        <f>IF(G412="","",IFERROR(INDEX(Checklists!$J$5:$J$404,MATCH(G412,Checklists!$F$5:$F$404,0)),"Yes"))</f>
        <v>0</v>
      </c>
      <c r="Q412" s="31">
        <f>IF(G412="","",IFERROR(INDEX(Checklists!$H$5:$H$404,MATCH(G412,Checklists!$F$5:$F$404,0)),""))</f>
        <v>0</v>
      </c>
      <c r="R412" s="31">
        <f>IF(OR(J412="",Q412=""),"",J412-Q412)</f>
        <v>0</v>
      </c>
      <c r="S412" s="50">
        <f>IF(B412="","",IF(H412="Done","Yes","No"))</f>
        <v>0</v>
      </c>
      <c r="T412" s="39">
        <f>IF(B412="","",IF(G412="","Add - what was the task?",IF(H412="Issue found",IF(M412="Yes","OK - issue reported","Action - tell the client"),IF(H412="Needs rework","Action - rework needed",IF(AND(H412="Skipped",P412="Yes"),"Check - required task skipped",IF(H412="Done","OK","Due"))))))</f>
        <v>0</v>
      </c>
    </row>
    <row r="413" spans="1:20">
      <c r="A413" s="43">
        <f>IF(B413="","","JT-"&amp;TEXT(ROW()-4,"0000"))</f>
        <v>0</v>
      </c>
      <c r="C413" s="18">
        <f>IF(B413="","",IFERROR(INDEX(Jobs!$B$5:$B$604,MATCH(B413,Jobs!$A$5:$A$604,0)),""))</f>
        <v>0</v>
      </c>
      <c r="D413" s="23">
        <f>IF(B413="","",IFERROR(INDEX(Jobs!$H$5:$H$604,MATCH(B413,Jobs!$A$5:$A$604,0)),""))</f>
        <v>0</v>
      </c>
      <c r="E413" s="23">
        <f>IF(B413="","",IFERROR(INDEX(Jobs!$K$5:$K$604,MATCH(B413,Jobs!$A$5:$A$604,0)),""))</f>
        <v>0</v>
      </c>
      <c r="P413" s="50">
        <f>IF(G413="","",IFERROR(INDEX(Checklists!$J$5:$J$404,MATCH(G413,Checklists!$F$5:$F$404,0)),"Yes"))</f>
        <v>0</v>
      </c>
      <c r="Q413" s="31">
        <f>IF(G413="","",IFERROR(INDEX(Checklists!$H$5:$H$404,MATCH(G413,Checklists!$F$5:$F$404,0)),""))</f>
        <v>0</v>
      </c>
      <c r="R413" s="31">
        <f>IF(OR(J413="",Q413=""),"",J413-Q413)</f>
        <v>0</v>
      </c>
      <c r="S413" s="50">
        <f>IF(B413="","",IF(H413="Done","Yes","No"))</f>
        <v>0</v>
      </c>
      <c r="T413" s="39">
        <f>IF(B413="","",IF(G413="","Add - what was the task?",IF(H413="Issue found",IF(M413="Yes","OK - issue reported","Action - tell the client"),IF(H413="Needs rework","Action - rework needed",IF(AND(H413="Skipped",P413="Yes"),"Check - required task skipped",IF(H413="Done","OK","Due"))))))</f>
        <v>0</v>
      </c>
    </row>
    <row r="414" spans="1:20">
      <c r="A414" s="43">
        <f>IF(B414="","","JT-"&amp;TEXT(ROW()-4,"0000"))</f>
        <v>0</v>
      </c>
      <c r="C414" s="18">
        <f>IF(B414="","",IFERROR(INDEX(Jobs!$B$5:$B$604,MATCH(B414,Jobs!$A$5:$A$604,0)),""))</f>
        <v>0</v>
      </c>
      <c r="D414" s="23">
        <f>IF(B414="","",IFERROR(INDEX(Jobs!$H$5:$H$604,MATCH(B414,Jobs!$A$5:$A$604,0)),""))</f>
        <v>0</v>
      </c>
      <c r="E414" s="23">
        <f>IF(B414="","",IFERROR(INDEX(Jobs!$K$5:$K$604,MATCH(B414,Jobs!$A$5:$A$604,0)),""))</f>
        <v>0</v>
      </c>
      <c r="P414" s="50">
        <f>IF(G414="","",IFERROR(INDEX(Checklists!$J$5:$J$404,MATCH(G414,Checklists!$F$5:$F$404,0)),"Yes"))</f>
        <v>0</v>
      </c>
      <c r="Q414" s="31">
        <f>IF(G414="","",IFERROR(INDEX(Checklists!$H$5:$H$404,MATCH(G414,Checklists!$F$5:$F$404,0)),""))</f>
        <v>0</v>
      </c>
      <c r="R414" s="31">
        <f>IF(OR(J414="",Q414=""),"",J414-Q414)</f>
        <v>0</v>
      </c>
      <c r="S414" s="50">
        <f>IF(B414="","",IF(H414="Done","Yes","No"))</f>
        <v>0</v>
      </c>
      <c r="T414" s="39">
        <f>IF(B414="","",IF(G414="","Add - what was the task?",IF(H414="Issue found",IF(M414="Yes","OK - issue reported","Action - tell the client"),IF(H414="Needs rework","Action - rework needed",IF(AND(H414="Skipped",P414="Yes"),"Check - required task skipped",IF(H414="Done","OK","Due"))))))</f>
        <v>0</v>
      </c>
    </row>
    <row r="415" spans="1:20">
      <c r="A415" s="43">
        <f>IF(B415="","","JT-"&amp;TEXT(ROW()-4,"0000"))</f>
        <v>0</v>
      </c>
      <c r="C415" s="18">
        <f>IF(B415="","",IFERROR(INDEX(Jobs!$B$5:$B$604,MATCH(B415,Jobs!$A$5:$A$604,0)),""))</f>
        <v>0</v>
      </c>
      <c r="D415" s="23">
        <f>IF(B415="","",IFERROR(INDEX(Jobs!$H$5:$H$604,MATCH(B415,Jobs!$A$5:$A$604,0)),""))</f>
        <v>0</v>
      </c>
      <c r="E415" s="23">
        <f>IF(B415="","",IFERROR(INDEX(Jobs!$K$5:$K$604,MATCH(B415,Jobs!$A$5:$A$604,0)),""))</f>
        <v>0</v>
      </c>
      <c r="P415" s="50">
        <f>IF(G415="","",IFERROR(INDEX(Checklists!$J$5:$J$404,MATCH(G415,Checklists!$F$5:$F$404,0)),"Yes"))</f>
        <v>0</v>
      </c>
      <c r="Q415" s="31">
        <f>IF(G415="","",IFERROR(INDEX(Checklists!$H$5:$H$404,MATCH(G415,Checklists!$F$5:$F$404,0)),""))</f>
        <v>0</v>
      </c>
      <c r="R415" s="31">
        <f>IF(OR(J415="",Q415=""),"",J415-Q415)</f>
        <v>0</v>
      </c>
      <c r="S415" s="50">
        <f>IF(B415="","",IF(H415="Done","Yes","No"))</f>
        <v>0</v>
      </c>
      <c r="T415" s="39">
        <f>IF(B415="","",IF(G415="","Add - what was the task?",IF(H415="Issue found",IF(M415="Yes","OK - issue reported","Action - tell the client"),IF(H415="Needs rework","Action - rework needed",IF(AND(H415="Skipped",P415="Yes"),"Check - required task skipped",IF(H415="Done","OK","Due"))))))</f>
        <v>0</v>
      </c>
    </row>
    <row r="416" spans="1:20">
      <c r="A416" s="43">
        <f>IF(B416="","","JT-"&amp;TEXT(ROW()-4,"0000"))</f>
        <v>0</v>
      </c>
      <c r="C416" s="18">
        <f>IF(B416="","",IFERROR(INDEX(Jobs!$B$5:$B$604,MATCH(B416,Jobs!$A$5:$A$604,0)),""))</f>
        <v>0</v>
      </c>
      <c r="D416" s="23">
        <f>IF(B416="","",IFERROR(INDEX(Jobs!$H$5:$H$604,MATCH(B416,Jobs!$A$5:$A$604,0)),""))</f>
        <v>0</v>
      </c>
      <c r="E416" s="23">
        <f>IF(B416="","",IFERROR(INDEX(Jobs!$K$5:$K$604,MATCH(B416,Jobs!$A$5:$A$604,0)),""))</f>
        <v>0</v>
      </c>
      <c r="P416" s="50">
        <f>IF(G416="","",IFERROR(INDEX(Checklists!$J$5:$J$404,MATCH(G416,Checklists!$F$5:$F$404,0)),"Yes"))</f>
        <v>0</v>
      </c>
      <c r="Q416" s="31">
        <f>IF(G416="","",IFERROR(INDEX(Checklists!$H$5:$H$404,MATCH(G416,Checklists!$F$5:$F$404,0)),""))</f>
        <v>0</v>
      </c>
      <c r="R416" s="31">
        <f>IF(OR(J416="",Q416=""),"",J416-Q416)</f>
        <v>0</v>
      </c>
      <c r="S416" s="50">
        <f>IF(B416="","",IF(H416="Done","Yes","No"))</f>
        <v>0</v>
      </c>
      <c r="T416" s="39">
        <f>IF(B416="","",IF(G416="","Add - what was the task?",IF(H416="Issue found",IF(M416="Yes","OK - issue reported","Action - tell the client"),IF(H416="Needs rework","Action - rework needed",IF(AND(H416="Skipped",P416="Yes"),"Check - required task skipped",IF(H416="Done","OK","Due"))))))</f>
        <v>0</v>
      </c>
    </row>
    <row r="417" spans="1:20">
      <c r="A417" s="43">
        <f>IF(B417="","","JT-"&amp;TEXT(ROW()-4,"0000"))</f>
        <v>0</v>
      </c>
      <c r="C417" s="18">
        <f>IF(B417="","",IFERROR(INDEX(Jobs!$B$5:$B$604,MATCH(B417,Jobs!$A$5:$A$604,0)),""))</f>
        <v>0</v>
      </c>
      <c r="D417" s="23">
        <f>IF(B417="","",IFERROR(INDEX(Jobs!$H$5:$H$604,MATCH(B417,Jobs!$A$5:$A$604,0)),""))</f>
        <v>0</v>
      </c>
      <c r="E417" s="23">
        <f>IF(B417="","",IFERROR(INDEX(Jobs!$K$5:$K$604,MATCH(B417,Jobs!$A$5:$A$604,0)),""))</f>
        <v>0</v>
      </c>
      <c r="P417" s="50">
        <f>IF(G417="","",IFERROR(INDEX(Checklists!$J$5:$J$404,MATCH(G417,Checklists!$F$5:$F$404,0)),"Yes"))</f>
        <v>0</v>
      </c>
      <c r="Q417" s="31">
        <f>IF(G417="","",IFERROR(INDEX(Checklists!$H$5:$H$404,MATCH(G417,Checklists!$F$5:$F$404,0)),""))</f>
        <v>0</v>
      </c>
      <c r="R417" s="31">
        <f>IF(OR(J417="",Q417=""),"",J417-Q417)</f>
        <v>0</v>
      </c>
      <c r="S417" s="50">
        <f>IF(B417="","",IF(H417="Done","Yes","No"))</f>
        <v>0</v>
      </c>
      <c r="T417" s="39">
        <f>IF(B417="","",IF(G417="","Add - what was the task?",IF(H417="Issue found",IF(M417="Yes","OK - issue reported","Action - tell the client"),IF(H417="Needs rework","Action - rework needed",IF(AND(H417="Skipped",P417="Yes"),"Check - required task skipped",IF(H417="Done","OK","Due"))))))</f>
        <v>0</v>
      </c>
    </row>
    <row r="418" spans="1:20">
      <c r="A418" s="43">
        <f>IF(B418="","","JT-"&amp;TEXT(ROW()-4,"0000"))</f>
        <v>0</v>
      </c>
      <c r="C418" s="18">
        <f>IF(B418="","",IFERROR(INDEX(Jobs!$B$5:$B$604,MATCH(B418,Jobs!$A$5:$A$604,0)),""))</f>
        <v>0</v>
      </c>
      <c r="D418" s="23">
        <f>IF(B418="","",IFERROR(INDEX(Jobs!$H$5:$H$604,MATCH(B418,Jobs!$A$5:$A$604,0)),""))</f>
        <v>0</v>
      </c>
      <c r="E418" s="23">
        <f>IF(B418="","",IFERROR(INDEX(Jobs!$K$5:$K$604,MATCH(B418,Jobs!$A$5:$A$604,0)),""))</f>
        <v>0</v>
      </c>
      <c r="P418" s="50">
        <f>IF(G418="","",IFERROR(INDEX(Checklists!$J$5:$J$404,MATCH(G418,Checklists!$F$5:$F$404,0)),"Yes"))</f>
        <v>0</v>
      </c>
      <c r="Q418" s="31">
        <f>IF(G418="","",IFERROR(INDEX(Checklists!$H$5:$H$404,MATCH(G418,Checklists!$F$5:$F$404,0)),""))</f>
        <v>0</v>
      </c>
      <c r="R418" s="31">
        <f>IF(OR(J418="",Q418=""),"",J418-Q418)</f>
        <v>0</v>
      </c>
      <c r="S418" s="50">
        <f>IF(B418="","",IF(H418="Done","Yes","No"))</f>
        <v>0</v>
      </c>
      <c r="T418" s="39">
        <f>IF(B418="","",IF(G418="","Add - what was the task?",IF(H418="Issue found",IF(M418="Yes","OK - issue reported","Action - tell the client"),IF(H418="Needs rework","Action - rework needed",IF(AND(H418="Skipped",P418="Yes"),"Check - required task skipped",IF(H418="Done","OK","Due"))))))</f>
        <v>0</v>
      </c>
    </row>
    <row r="419" spans="1:20">
      <c r="A419" s="43">
        <f>IF(B419="","","JT-"&amp;TEXT(ROW()-4,"0000"))</f>
        <v>0</v>
      </c>
      <c r="C419" s="18">
        <f>IF(B419="","",IFERROR(INDEX(Jobs!$B$5:$B$604,MATCH(B419,Jobs!$A$5:$A$604,0)),""))</f>
        <v>0</v>
      </c>
      <c r="D419" s="23">
        <f>IF(B419="","",IFERROR(INDEX(Jobs!$H$5:$H$604,MATCH(B419,Jobs!$A$5:$A$604,0)),""))</f>
        <v>0</v>
      </c>
      <c r="E419" s="23">
        <f>IF(B419="","",IFERROR(INDEX(Jobs!$K$5:$K$604,MATCH(B419,Jobs!$A$5:$A$604,0)),""))</f>
        <v>0</v>
      </c>
      <c r="P419" s="50">
        <f>IF(G419="","",IFERROR(INDEX(Checklists!$J$5:$J$404,MATCH(G419,Checklists!$F$5:$F$404,0)),"Yes"))</f>
        <v>0</v>
      </c>
      <c r="Q419" s="31">
        <f>IF(G419="","",IFERROR(INDEX(Checklists!$H$5:$H$404,MATCH(G419,Checklists!$F$5:$F$404,0)),""))</f>
        <v>0</v>
      </c>
      <c r="R419" s="31">
        <f>IF(OR(J419="",Q419=""),"",J419-Q419)</f>
        <v>0</v>
      </c>
      <c r="S419" s="50">
        <f>IF(B419="","",IF(H419="Done","Yes","No"))</f>
        <v>0</v>
      </c>
      <c r="T419" s="39">
        <f>IF(B419="","",IF(G419="","Add - what was the task?",IF(H419="Issue found",IF(M419="Yes","OK - issue reported","Action - tell the client"),IF(H419="Needs rework","Action - rework needed",IF(AND(H419="Skipped",P419="Yes"),"Check - required task skipped",IF(H419="Done","OK","Due"))))))</f>
        <v>0</v>
      </c>
    </row>
    <row r="420" spans="1:20">
      <c r="A420" s="43">
        <f>IF(B420="","","JT-"&amp;TEXT(ROW()-4,"0000"))</f>
        <v>0</v>
      </c>
      <c r="C420" s="18">
        <f>IF(B420="","",IFERROR(INDEX(Jobs!$B$5:$B$604,MATCH(B420,Jobs!$A$5:$A$604,0)),""))</f>
        <v>0</v>
      </c>
      <c r="D420" s="23">
        <f>IF(B420="","",IFERROR(INDEX(Jobs!$H$5:$H$604,MATCH(B420,Jobs!$A$5:$A$604,0)),""))</f>
        <v>0</v>
      </c>
      <c r="E420" s="23">
        <f>IF(B420="","",IFERROR(INDEX(Jobs!$K$5:$K$604,MATCH(B420,Jobs!$A$5:$A$604,0)),""))</f>
        <v>0</v>
      </c>
      <c r="P420" s="50">
        <f>IF(G420="","",IFERROR(INDEX(Checklists!$J$5:$J$404,MATCH(G420,Checklists!$F$5:$F$404,0)),"Yes"))</f>
        <v>0</v>
      </c>
      <c r="Q420" s="31">
        <f>IF(G420="","",IFERROR(INDEX(Checklists!$H$5:$H$404,MATCH(G420,Checklists!$F$5:$F$404,0)),""))</f>
        <v>0</v>
      </c>
      <c r="R420" s="31">
        <f>IF(OR(J420="",Q420=""),"",J420-Q420)</f>
        <v>0</v>
      </c>
      <c r="S420" s="50">
        <f>IF(B420="","",IF(H420="Done","Yes","No"))</f>
        <v>0</v>
      </c>
      <c r="T420" s="39">
        <f>IF(B420="","",IF(G420="","Add - what was the task?",IF(H420="Issue found",IF(M420="Yes","OK - issue reported","Action - tell the client"),IF(H420="Needs rework","Action - rework needed",IF(AND(H420="Skipped",P420="Yes"),"Check - required task skipped",IF(H420="Done","OK","Due"))))))</f>
        <v>0</v>
      </c>
    </row>
    <row r="421" spans="1:20">
      <c r="A421" s="43">
        <f>IF(B421="","","JT-"&amp;TEXT(ROW()-4,"0000"))</f>
        <v>0</v>
      </c>
      <c r="C421" s="18">
        <f>IF(B421="","",IFERROR(INDEX(Jobs!$B$5:$B$604,MATCH(B421,Jobs!$A$5:$A$604,0)),""))</f>
        <v>0</v>
      </c>
      <c r="D421" s="23">
        <f>IF(B421="","",IFERROR(INDEX(Jobs!$H$5:$H$604,MATCH(B421,Jobs!$A$5:$A$604,0)),""))</f>
        <v>0</v>
      </c>
      <c r="E421" s="23">
        <f>IF(B421="","",IFERROR(INDEX(Jobs!$K$5:$K$604,MATCH(B421,Jobs!$A$5:$A$604,0)),""))</f>
        <v>0</v>
      </c>
      <c r="P421" s="50">
        <f>IF(G421="","",IFERROR(INDEX(Checklists!$J$5:$J$404,MATCH(G421,Checklists!$F$5:$F$404,0)),"Yes"))</f>
        <v>0</v>
      </c>
      <c r="Q421" s="31">
        <f>IF(G421="","",IFERROR(INDEX(Checklists!$H$5:$H$404,MATCH(G421,Checklists!$F$5:$F$404,0)),""))</f>
        <v>0</v>
      </c>
      <c r="R421" s="31">
        <f>IF(OR(J421="",Q421=""),"",J421-Q421)</f>
        <v>0</v>
      </c>
      <c r="S421" s="50">
        <f>IF(B421="","",IF(H421="Done","Yes","No"))</f>
        <v>0</v>
      </c>
      <c r="T421" s="39">
        <f>IF(B421="","",IF(G421="","Add - what was the task?",IF(H421="Issue found",IF(M421="Yes","OK - issue reported","Action - tell the client"),IF(H421="Needs rework","Action - rework needed",IF(AND(H421="Skipped",P421="Yes"),"Check - required task skipped",IF(H421="Done","OK","Due"))))))</f>
        <v>0</v>
      </c>
    </row>
    <row r="422" spans="1:20">
      <c r="A422" s="43">
        <f>IF(B422="","","JT-"&amp;TEXT(ROW()-4,"0000"))</f>
        <v>0</v>
      </c>
      <c r="C422" s="18">
        <f>IF(B422="","",IFERROR(INDEX(Jobs!$B$5:$B$604,MATCH(B422,Jobs!$A$5:$A$604,0)),""))</f>
        <v>0</v>
      </c>
      <c r="D422" s="23">
        <f>IF(B422="","",IFERROR(INDEX(Jobs!$H$5:$H$604,MATCH(B422,Jobs!$A$5:$A$604,0)),""))</f>
        <v>0</v>
      </c>
      <c r="E422" s="23">
        <f>IF(B422="","",IFERROR(INDEX(Jobs!$K$5:$K$604,MATCH(B422,Jobs!$A$5:$A$604,0)),""))</f>
        <v>0</v>
      </c>
      <c r="P422" s="50">
        <f>IF(G422="","",IFERROR(INDEX(Checklists!$J$5:$J$404,MATCH(G422,Checklists!$F$5:$F$404,0)),"Yes"))</f>
        <v>0</v>
      </c>
      <c r="Q422" s="31">
        <f>IF(G422="","",IFERROR(INDEX(Checklists!$H$5:$H$404,MATCH(G422,Checklists!$F$5:$F$404,0)),""))</f>
        <v>0</v>
      </c>
      <c r="R422" s="31">
        <f>IF(OR(J422="",Q422=""),"",J422-Q422)</f>
        <v>0</v>
      </c>
      <c r="S422" s="50">
        <f>IF(B422="","",IF(H422="Done","Yes","No"))</f>
        <v>0</v>
      </c>
      <c r="T422" s="39">
        <f>IF(B422="","",IF(G422="","Add - what was the task?",IF(H422="Issue found",IF(M422="Yes","OK - issue reported","Action - tell the client"),IF(H422="Needs rework","Action - rework needed",IF(AND(H422="Skipped",P422="Yes"),"Check - required task skipped",IF(H422="Done","OK","Due"))))))</f>
        <v>0</v>
      </c>
    </row>
    <row r="423" spans="1:20">
      <c r="A423" s="43">
        <f>IF(B423="","","JT-"&amp;TEXT(ROW()-4,"0000"))</f>
        <v>0</v>
      </c>
      <c r="C423" s="18">
        <f>IF(B423="","",IFERROR(INDEX(Jobs!$B$5:$B$604,MATCH(B423,Jobs!$A$5:$A$604,0)),""))</f>
        <v>0</v>
      </c>
      <c r="D423" s="23">
        <f>IF(B423="","",IFERROR(INDEX(Jobs!$H$5:$H$604,MATCH(B423,Jobs!$A$5:$A$604,0)),""))</f>
        <v>0</v>
      </c>
      <c r="E423" s="23">
        <f>IF(B423="","",IFERROR(INDEX(Jobs!$K$5:$K$604,MATCH(B423,Jobs!$A$5:$A$604,0)),""))</f>
        <v>0</v>
      </c>
      <c r="P423" s="50">
        <f>IF(G423="","",IFERROR(INDEX(Checklists!$J$5:$J$404,MATCH(G423,Checklists!$F$5:$F$404,0)),"Yes"))</f>
        <v>0</v>
      </c>
      <c r="Q423" s="31">
        <f>IF(G423="","",IFERROR(INDEX(Checklists!$H$5:$H$404,MATCH(G423,Checklists!$F$5:$F$404,0)),""))</f>
        <v>0</v>
      </c>
      <c r="R423" s="31">
        <f>IF(OR(J423="",Q423=""),"",J423-Q423)</f>
        <v>0</v>
      </c>
      <c r="S423" s="50">
        <f>IF(B423="","",IF(H423="Done","Yes","No"))</f>
        <v>0</v>
      </c>
      <c r="T423" s="39">
        <f>IF(B423="","",IF(G423="","Add - what was the task?",IF(H423="Issue found",IF(M423="Yes","OK - issue reported","Action - tell the client"),IF(H423="Needs rework","Action - rework needed",IF(AND(H423="Skipped",P423="Yes"),"Check - required task skipped",IF(H423="Done","OK","Due"))))))</f>
        <v>0</v>
      </c>
    </row>
    <row r="424" spans="1:20">
      <c r="A424" s="43">
        <f>IF(B424="","","JT-"&amp;TEXT(ROW()-4,"0000"))</f>
        <v>0</v>
      </c>
      <c r="C424" s="18">
        <f>IF(B424="","",IFERROR(INDEX(Jobs!$B$5:$B$604,MATCH(B424,Jobs!$A$5:$A$604,0)),""))</f>
        <v>0</v>
      </c>
      <c r="D424" s="23">
        <f>IF(B424="","",IFERROR(INDEX(Jobs!$H$5:$H$604,MATCH(B424,Jobs!$A$5:$A$604,0)),""))</f>
        <v>0</v>
      </c>
      <c r="E424" s="23">
        <f>IF(B424="","",IFERROR(INDEX(Jobs!$K$5:$K$604,MATCH(B424,Jobs!$A$5:$A$604,0)),""))</f>
        <v>0</v>
      </c>
      <c r="P424" s="50">
        <f>IF(G424="","",IFERROR(INDEX(Checklists!$J$5:$J$404,MATCH(G424,Checklists!$F$5:$F$404,0)),"Yes"))</f>
        <v>0</v>
      </c>
      <c r="Q424" s="31">
        <f>IF(G424="","",IFERROR(INDEX(Checklists!$H$5:$H$404,MATCH(G424,Checklists!$F$5:$F$404,0)),""))</f>
        <v>0</v>
      </c>
      <c r="R424" s="31">
        <f>IF(OR(J424="",Q424=""),"",J424-Q424)</f>
        <v>0</v>
      </c>
      <c r="S424" s="50">
        <f>IF(B424="","",IF(H424="Done","Yes","No"))</f>
        <v>0</v>
      </c>
      <c r="T424" s="39">
        <f>IF(B424="","",IF(G424="","Add - what was the task?",IF(H424="Issue found",IF(M424="Yes","OK - issue reported","Action - tell the client"),IF(H424="Needs rework","Action - rework needed",IF(AND(H424="Skipped",P424="Yes"),"Check - required task skipped",IF(H424="Done","OK","Due"))))))</f>
        <v>0</v>
      </c>
    </row>
    <row r="425" spans="1:20">
      <c r="A425" s="43">
        <f>IF(B425="","","JT-"&amp;TEXT(ROW()-4,"0000"))</f>
        <v>0</v>
      </c>
      <c r="C425" s="18">
        <f>IF(B425="","",IFERROR(INDEX(Jobs!$B$5:$B$604,MATCH(B425,Jobs!$A$5:$A$604,0)),""))</f>
        <v>0</v>
      </c>
      <c r="D425" s="23">
        <f>IF(B425="","",IFERROR(INDEX(Jobs!$H$5:$H$604,MATCH(B425,Jobs!$A$5:$A$604,0)),""))</f>
        <v>0</v>
      </c>
      <c r="E425" s="23">
        <f>IF(B425="","",IFERROR(INDEX(Jobs!$K$5:$K$604,MATCH(B425,Jobs!$A$5:$A$604,0)),""))</f>
        <v>0</v>
      </c>
      <c r="P425" s="50">
        <f>IF(G425="","",IFERROR(INDEX(Checklists!$J$5:$J$404,MATCH(G425,Checklists!$F$5:$F$404,0)),"Yes"))</f>
        <v>0</v>
      </c>
      <c r="Q425" s="31">
        <f>IF(G425="","",IFERROR(INDEX(Checklists!$H$5:$H$404,MATCH(G425,Checklists!$F$5:$F$404,0)),""))</f>
        <v>0</v>
      </c>
      <c r="R425" s="31">
        <f>IF(OR(J425="",Q425=""),"",J425-Q425)</f>
        <v>0</v>
      </c>
      <c r="S425" s="50">
        <f>IF(B425="","",IF(H425="Done","Yes","No"))</f>
        <v>0</v>
      </c>
      <c r="T425" s="39">
        <f>IF(B425="","",IF(G425="","Add - what was the task?",IF(H425="Issue found",IF(M425="Yes","OK - issue reported","Action - tell the client"),IF(H425="Needs rework","Action - rework needed",IF(AND(H425="Skipped",P425="Yes"),"Check - required task skipped",IF(H425="Done","OK","Due"))))))</f>
        <v>0</v>
      </c>
    </row>
    <row r="426" spans="1:20">
      <c r="A426" s="43">
        <f>IF(B426="","","JT-"&amp;TEXT(ROW()-4,"0000"))</f>
        <v>0</v>
      </c>
      <c r="C426" s="18">
        <f>IF(B426="","",IFERROR(INDEX(Jobs!$B$5:$B$604,MATCH(B426,Jobs!$A$5:$A$604,0)),""))</f>
        <v>0</v>
      </c>
      <c r="D426" s="23">
        <f>IF(B426="","",IFERROR(INDEX(Jobs!$H$5:$H$604,MATCH(B426,Jobs!$A$5:$A$604,0)),""))</f>
        <v>0</v>
      </c>
      <c r="E426" s="23">
        <f>IF(B426="","",IFERROR(INDEX(Jobs!$K$5:$K$604,MATCH(B426,Jobs!$A$5:$A$604,0)),""))</f>
        <v>0</v>
      </c>
      <c r="P426" s="50">
        <f>IF(G426="","",IFERROR(INDEX(Checklists!$J$5:$J$404,MATCH(G426,Checklists!$F$5:$F$404,0)),"Yes"))</f>
        <v>0</v>
      </c>
      <c r="Q426" s="31">
        <f>IF(G426="","",IFERROR(INDEX(Checklists!$H$5:$H$404,MATCH(G426,Checklists!$F$5:$F$404,0)),""))</f>
        <v>0</v>
      </c>
      <c r="R426" s="31">
        <f>IF(OR(J426="",Q426=""),"",J426-Q426)</f>
        <v>0</v>
      </c>
      <c r="S426" s="50">
        <f>IF(B426="","",IF(H426="Done","Yes","No"))</f>
        <v>0</v>
      </c>
      <c r="T426" s="39">
        <f>IF(B426="","",IF(G426="","Add - what was the task?",IF(H426="Issue found",IF(M426="Yes","OK - issue reported","Action - tell the client"),IF(H426="Needs rework","Action - rework needed",IF(AND(H426="Skipped",P426="Yes"),"Check - required task skipped",IF(H426="Done","OK","Due"))))))</f>
        <v>0</v>
      </c>
    </row>
    <row r="427" spans="1:20">
      <c r="A427" s="43">
        <f>IF(B427="","","JT-"&amp;TEXT(ROW()-4,"0000"))</f>
        <v>0</v>
      </c>
      <c r="C427" s="18">
        <f>IF(B427="","",IFERROR(INDEX(Jobs!$B$5:$B$604,MATCH(B427,Jobs!$A$5:$A$604,0)),""))</f>
        <v>0</v>
      </c>
      <c r="D427" s="23">
        <f>IF(B427="","",IFERROR(INDEX(Jobs!$H$5:$H$604,MATCH(B427,Jobs!$A$5:$A$604,0)),""))</f>
        <v>0</v>
      </c>
      <c r="E427" s="23">
        <f>IF(B427="","",IFERROR(INDEX(Jobs!$K$5:$K$604,MATCH(B427,Jobs!$A$5:$A$604,0)),""))</f>
        <v>0</v>
      </c>
      <c r="P427" s="50">
        <f>IF(G427="","",IFERROR(INDEX(Checklists!$J$5:$J$404,MATCH(G427,Checklists!$F$5:$F$404,0)),"Yes"))</f>
        <v>0</v>
      </c>
      <c r="Q427" s="31">
        <f>IF(G427="","",IFERROR(INDEX(Checklists!$H$5:$H$404,MATCH(G427,Checklists!$F$5:$F$404,0)),""))</f>
        <v>0</v>
      </c>
      <c r="R427" s="31">
        <f>IF(OR(J427="",Q427=""),"",J427-Q427)</f>
        <v>0</v>
      </c>
      <c r="S427" s="50">
        <f>IF(B427="","",IF(H427="Done","Yes","No"))</f>
        <v>0</v>
      </c>
      <c r="T427" s="39">
        <f>IF(B427="","",IF(G427="","Add - what was the task?",IF(H427="Issue found",IF(M427="Yes","OK - issue reported","Action - tell the client"),IF(H427="Needs rework","Action - rework needed",IF(AND(H427="Skipped",P427="Yes"),"Check - required task skipped",IF(H427="Done","OK","Due"))))))</f>
        <v>0</v>
      </c>
    </row>
    <row r="428" spans="1:20">
      <c r="A428" s="43">
        <f>IF(B428="","","JT-"&amp;TEXT(ROW()-4,"0000"))</f>
        <v>0</v>
      </c>
      <c r="C428" s="18">
        <f>IF(B428="","",IFERROR(INDEX(Jobs!$B$5:$B$604,MATCH(B428,Jobs!$A$5:$A$604,0)),""))</f>
        <v>0</v>
      </c>
      <c r="D428" s="23">
        <f>IF(B428="","",IFERROR(INDEX(Jobs!$H$5:$H$604,MATCH(B428,Jobs!$A$5:$A$604,0)),""))</f>
        <v>0</v>
      </c>
      <c r="E428" s="23">
        <f>IF(B428="","",IFERROR(INDEX(Jobs!$K$5:$K$604,MATCH(B428,Jobs!$A$5:$A$604,0)),""))</f>
        <v>0</v>
      </c>
      <c r="P428" s="50">
        <f>IF(G428="","",IFERROR(INDEX(Checklists!$J$5:$J$404,MATCH(G428,Checklists!$F$5:$F$404,0)),"Yes"))</f>
        <v>0</v>
      </c>
      <c r="Q428" s="31">
        <f>IF(G428="","",IFERROR(INDEX(Checklists!$H$5:$H$404,MATCH(G428,Checklists!$F$5:$F$404,0)),""))</f>
        <v>0</v>
      </c>
      <c r="R428" s="31">
        <f>IF(OR(J428="",Q428=""),"",J428-Q428)</f>
        <v>0</v>
      </c>
      <c r="S428" s="50">
        <f>IF(B428="","",IF(H428="Done","Yes","No"))</f>
        <v>0</v>
      </c>
      <c r="T428" s="39">
        <f>IF(B428="","",IF(G428="","Add - what was the task?",IF(H428="Issue found",IF(M428="Yes","OK - issue reported","Action - tell the client"),IF(H428="Needs rework","Action - rework needed",IF(AND(H428="Skipped",P428="Yes"),"Check - required task skipped",IF(H428="Done","OK","Due"))))))</f>
        <v>0</v>
      </c>
    </row>
    <row r="429" spans="1:20">
      <c r="A429" s="43">
        <f>IF(B429="","","JT-"&amp;TEXT(ROW()-4,"0000"))</f>
        <v>0</v>
      </c>
      <c r="C429" s="18">
        <f>IF(B429="","",IFERROR(INDEX(Jobs!$B$5:$B$604,MATCH(B429,Jobs!$A$5:$A$604,0)),""))</f>
        <v>0</v>
      </c>
      <c r="D429" s="23">
        <f>IF(B429="","",IFERROR(INDEX(Jobs!$H$5:$H$604,MATCH(B429,Jobs!$A$5:$A$604,0)),""))</f>
        <v>0</v>
      </c>
      <c r="E429" s="23">
        <f>IF(B429="","",IFERROR(INDEX(Jobs!$K$5:$K$604,MATCH(B429,Jobs!$A$5:$A$604,0)),""))</f>
        <v>0</v>
      </c>
      <c r="P429" s="50">
        <f>IF(G429="","",IFERROR(INDEX(Checklists!$J$5:$J$404,MATCH(G429,Checklists!$F$5:$F$404,0)),"Yes"))</f>
        <v>0</v>
      </c>
      <c r="Q429" s="31">
        <f>IF(G429="","",IFERROR(INDEX(Checklists!$H$5:$H$404,MATCH(G429,Checklists!$F$5:$F$404,0)),""))</f>
        <v>0</v>
      </c>
      <c r="R429" s="31">
        <f>IF(OR(J429="",Q429=""),"",J429-Q429)</f>
        <v>0</v>
      </c>
      <c r="S429" s="50">
        <f>IF(B429="","",IF(H429="Done","Yes","No"))</f>
        <v>0</v>
      </c>
      <c r="T429" s="39">
        <f>IF(B429="","",IF(G429="","Add - what was the task?",IF(H429="Issue found",IF(M429="Yes","OK - issue reported","Action - tell the client"),IF(H429="Needs rework","Action - rework needed",IF(AND(H429="Skipped",P429="Yes"),"Check - required task skipped",IF(H429="Done","OK","Due"))))))</f>
        <v>0</v>
      </c>
    </row>
    <row r="430" spans="1:20">
      <c r="A430" s="43">
        <f>IF(B430="","","JT-"&amp;TEXT(ROW()-4,"0000"))</f>
        <v>0</v>
      </c>
      <c r="C430" s="18">
        <f>IF(B430="","",IFERROR(INDEX(Jobs!$B$5:$B$604,MATCH(B430,Jobs!$A$5:$A$604,0)),""))</f>
        <v>0</v>
      </c>
      <c r="D430" s="23">
        <f>IF(B430="","",IFERROR(INDEX(Jobs!$H$5:$H$604,MATCH(B430,Jobs!$A$5:$A$604,0)),""))</f>
        <v>0</v>
      </c>
      <c r="E430" s="23">
        <f>IF(B430="","",IFERROR(INDEX(Jobs!$K$5:$K$604,MATCH(B430,Jobs!$A$5:$A$604,0)),""))</f>
        <v>0</v>
      </c>
      <c r="P430" s="50">
        <f>IF(G430="","",IFERROR(INDEX(Checklists!$J$5:$J$404,MATCH(G430,Checklists!$F$5:$F$404,0)),"Yes"))</f>
        <v>0</v>
      </c>
      <c r="Q430" s="31">
        <f>IF(G430="","",IFERROR(INDEX(Checklists!$H$5:$H$404,MATCH(G430,Checklists!$F$5:$F$404,0)),""))</f>
        <v>0</v>
      </c>
      <c r="R430" s="31">
        <f>IF(OR(J430="",Q430=""),"",J430-Q430)</f>
        <v>0</v>
      </c>
      <c r="S430" s="50">
        <f>IF(B430="","",IF(H430="Done","Yes","No"))</f>
        <v>0</v>
      </c>
      <c r="T430" s="39">
        <f>IF(B430="","",IF(G430="","Add - what was the task?",IF(H430="Issue found",IF(M430="Yes","OK - issue reported","Action - tell the client"),IF(H430="Needs rework","Action - rework needed",IF(AND(H430="Skipped",P430="Yes"),"Check - required task skipped",IF(H430="Done","OK","Due"))))))</f>
        <v>0</v>
      </c>
    </row>
    <row r="431" spans="1:20">
      <c r="A431" s="43">
        <f>IF(B431="","","JT-"&amp;TEXT(ROW()-4,"0000"))</f>
        <v>0</v>
      </c>
      <c r="C431" s="18">
        <f>IF(B431="","",IFERROR(INDEX(Jobs!$B$5:$B$604,MATCH(B431,Jobs!$A$5:$A$604,0)),""))</f>
        <v>0</v>
      </c>
      <c r="D431" s="23">
        <f>IF(B431="","",IFERROR(INDEX(Jobs!$H$5:$H$604,MATCH(B431,Jobs!$A$5:$A$604,0)),""))</f>
        <v>0</v>
      </c>
      <c r="E431" s="23">
        <f>IF(B431="","",IFERROR(INDEX(Jobs!$K$5:$K$604,MATCH(B431,Jobs!$A$5:$A$604,0)),""))</f>
        <v>0</v>
      </c>
      <c r="P431" s="50">
        <f>IF(G431="","",IFERROR(INDEX(Checklists!$J$5:$J$404,MATCH(G431,Checklists!$F$5:$F$404,0)),"Yes"))</f>
        <v>0</v>
      </c>
      <c r="Q431" s="31">
        <f>IF(G431="","",IFERROR(INDEX(Checklists!$H$5:$H$404,MATCH(G431,Checklists!$F$5:$F$404,0)),""))</f>
        <v>0</v>
      </c>
      <c r="R431" s="31">
        <f>IF(OR(J431="",Q431=""),"",J431-Q431)</f>
        <v>0</v>
      </c>
      <c r="S431" s="50">
        <f>IF(B431="","",IF(H431="Done","Yes","No"))</f>
        <v>0</v>
      </c>
      <c r="T431" s="39">
        <f>IF(B431="","",IF(G431="","Add - what was the task?",IF(H431="Issue found",IF(M431="Yes","OK - issue reported","Action - tell the client"),IF(H431="Needs rework","Action - rework needed",IF(AND(H431="Skipped",P431="Yes"),"Check - required task skipped",IF(H431="Done","OK","Due"))))))</f>
        <v>0</v>
      </c>
    </row>
    <row r="432" spans="1:20">
      <c r="A432" s="43">
        <f>IF(B432="","","JT-"&amp;TEXT(ROW()-4,"0000"))</f>
        <v>0</v>
      </c>
      <c r="C432" s="18">
        <f>IF(B432="","",IFERROR(INDEX(Jobs!$B$5:$B$604,MATCH(B432,Jobs!$A$5:$A$604,0)),""))</f>
        <v>0</v>
      </c>
      <c r="D432" s="23">
        <f>IF(B432="","",IFERROR(INDEX(Jobs!$H$5:$H$604,MATCH(B432,Jobs!$A$5:$A$604,0)),""))</f>
        <v>0</v>
      </c>
      <c r="E432" s="23">
        <f>IF(B432="","",IFERROR(INDEX(Jobs!$K$5:$K$604,MATCH(B432,Jobs!$A$5:$A$604,0)),""))</f>
        <v>0</v>
      </c>
      <c r="P432" s="50">
        <f>IF(G432="","",IFERROR(INDEX(Checklists!$J$5:$J$404,MATCH(G432,Checklists!$F$5:$F$404,0)),"Yes"))</f>
        <v>0</v>
      </c>
      <c r="Q432" s="31">
        <f>IF(G432="","",IFERROR(INDEX(Checklists!$H$5:$H$404,MATCH(G432,Checklists!$F$5:$F$404,0)),""))</f>
        <v>0</v>
      </c>
      <c r="R432" s="31">
        <f>IF(OR(J432="",Q432=""),"",J432-Q432)</f>
        <v>0</v>
      </c>
      <c r="S432" s="50">
        <f>IF(B432="","",IF(H432="Done","Yes","No"))</f>
        <v>0</v>
      </c>
      <c r="T432" s="39">
        <f>IF(B432="","",IF(G432="","Add - what was the task?",IF(H432="Issue found",IF(M432="Yes","OK - issue reported","Action - tell the client"),IF(H432="Needs rework","Action - rework needed",IF(AND(H432="Skipped",P432="Yes"),"Check - required task skipped",IF(H432="Done","OK","Due"))))))</f>
        <v>0</v>
      </c>
    </row>
    <row r="433" spans="1:20">
      <c r="A433" s="43">
        <f>IF(B433="","","JT-"&amp;TEXT(ROW()-4,"0000"))</f>
        <v>0</v>
      </c>
      <c r="C433" s="18">
        <f>IF(B433="","",IFERROR(INDEX(Jobs!$B$5:$B$604,MATCH(B433,Jobs!$A$5:$A$604,0)),""))</f>
        <v>0</v>
      </c>
      <c r="D433" s="23">
        <f>IF(B433="","",IFERROR(INDEX(Jobs!$H$5:$H$604,MATCH(B433,Jobs!$A$5:$A$604,0)),""))</f>
        <v>0</v>
      </c>
      <c r="E433" s="23">
        <f>IF(B433="","",IFERROR(INDEX(Jobs!$K$5:$K$604,MATCH(B433,Jobs!$A$5:$A$604,0)),""))</f>
        <v>0</v>
      </c>
      <c r="P433" s="50">
        <f>IF(G433="","",IFERROR(INDEX(Checklists!$J$5:$J$404,MATCH(G433,Checklists!$F$5:$F$404,0)),"Yes"))</f>
        <v>0</v>
      </c>
      <c r="Q433" s="31">
        <f>IF(G433="","",IFERROR(INDEX(Checklists!$H$5:$H$404,MATCH(G433,Checklists!$F$5:$F$404,0)),""))</f>
        <v>0</v>
      </c>
      <c r="R433" s="31">
        <f>IF(OR(J433="",Q433=""),"",J433-Q433)</f>
        <v>0</v>
      </c>
      <c r="S433" s="50">
        <f>IF(B433="","",IF(H433="Done","Yes","No"))</f>
        <v>0</v>
      </c>
      <c r="T433" s="39">
        <f>IF(B433="","",IF(G433="","Add - what was the task?",IF(H433="Issue found",IF(M433="Yes","OK - issue reported","Action - tell the client"),IF(H433="Needs rework","Action - rework needed",IF(AND(H433="Skipped",P433="Yes"),"Check - required task skipped",IF(H433="Done","OK","Due"))))))</f>
        <v>0</v>
      </c>
    </row>
    <row r="434" spans="1:20">
      <c r="A434" s="43">
        <f>IF(B434="","","JT-"&amp;TEXT(ROW()-4,"0000"))</f>
        <v>0</v>
      </c>
      <c r="C434" s="18">
        <f>IF(B434="","",IFERROR(INDEX(Jobs!$B$5:$B$604,MATCH(B434,Jobs!$A$5:$A$604,0)),""))</f>
        <v>0</v>
      </c>
      <c r="D434" s="23">
        <f>IF(B434="","",IFERROR(INDEX(Jobs!$H$5:$H$604,MATCH(B434,Jobs!$A$5:$A$604,0)),""))</f>
        <v>0</v>
      </c>
      <c r="E434" s="23">
        <f>IF(B434="","",IFERROR(INDEX(Jobs!$K$5:$K$604,MATCH(B434,Jobs!$A$5:$A$604,0)),""))</f>
        <v>0</v>
      </c>
      <c r="P434" s="50">
        <f>IF(G434="","",IFERROR(INDEX(Checklists!$J$5:$J$404,MATCH(G434,Checklists!$F$5:$F$404,0)),"Yes"))</f>
        <v>0</v>
      </c>
      <c r="Q434" s="31">
        <f>IF(G434="","",IFERROR(INDEX(Checklists!$H$5:$H$404,MATCH(G434,Checklists!$F$5:$F$404,0)),""))</f>
        <v>0</v>
      </c>
      <c r="R434" s="31">
        <f>IF(OR(J434="",Q434=""),"",J434-Q434)</f>
        <v>0</v>
      </c>
      <c r="S434" s="50">
        <f>IF(B434="","",IF(H434="Done","Yes","No"))</f>
        <v>0</v>
      </c>
      <c r="T434" s="39">
        <f>IF(B434="","",IF(G434="","Add - what was the task?",IF(H434="Issue found",IF(M434="Yes","OK - issue reported","Action - tell the client"),IF(H434="Needs rework","Action - rework needed",IF(AND(H434="Skipped",P434="Yes"),"Check - required task skipped",IF(H434="Done","OK","Due"))))))</f>
        <v>0</v>
      </c>
    </row>
    <row r="435" spans="1:20">
      <c r="A435" s="43">
        <f>IF(B435="","","JT-"&amp;TEXT(ROW()-4,"0000"))</f>
        <v>0</v>
      </c>
      <c r="C435" s="18">
        <f>IF(B435="","",IFERROR(INDEX(Jobs!$B$5:$B$604,MATCH(B435,Jobs!$A$5:$A$604,0)),""))</f>
        <v>0</v>
      </c>
      <c r="D435" s="23">
        <f>IF(B435="","",IFERROR(INDEX(Jobs!$H$5:$H$604,MATCH(B435,Jobs!$A$5:$A$604,0)),""))</f>
        <v>0</v>
      </c>
      <c r="E435" s="23">
        <f>IF(B435="","",IFERROR(INDEX(Jobs!$K$5:$K$604,MATCH(B435,Jobs!$A$5:$A$604,0)),""))</f>
        <v>0</v>
      </c>
      <c r="P435" s="50">
        <f>IF(G435="","",IFERROR(INDEX(Checklists!$J$5:$J$404,MATCH(G435,Checklists!$F$5:$F$404,0)),"Yes"))</f>
        <v>0</v>
      </c>
      <c r="Q435" s="31">
        <f>IF(G435="","",IFERROR(INDEX(Checklists!$H$5:$H$404,MATCH(G435,Checklists!$F$5:$F$404,0)),""))</f>
        <v>0</v>
      </c>
      <c r="R435" s="31">
        <f>IF(OR(J435="",Q435=""),"",J435-Q435)</f>
        <v>0</v>
      </c>
      <c r="S435" s="50">
        <f>IF(B435="","",IF(H435="Done","Yes","No"))</f>
        <v>0</v>
      </c>
      <c r="T435" s="39">
        <f>IF(B435="","",IF(G435="","Add - what was the task?",IF(H435="Issue found",IF(M435="Yes","OK - issue reported","Action - tell the client"),IF(H435="Needs rework","Action - rework needed",IF(AND(H435="Skipped",P435="Yes"),"Check - required task skipped",IF(H435="Done","OK","Due"))))))</f>
        <v>0</v>
      </c>
    </row>
    <row r="436" spans="1:20">
      <c r="A436" s="43">
        <f>IF(B436="","","JT-"&amp;TEXT(ROW()-4,"0000"))</f>
        <v>0</v>
      </c>
      <c r="C436" s="18">
        <f>IF(B436="","",IFERROR(INDEX(Jobs!$B$5:$B$604,MATCH(B436,Jobs!$A$5:$A$604,0)),""))</f>
        <v>0</v>
      </c>
      <c r="D436" s="23">
        <f>IF(B436="","",IFERROR(INDEX(Jobs!$H$5:$H$604,MATCH(B436,Jobs!$A$5:$A$604,0)),""))</f>
        <v>0</v>
      </c>
      <c r="E436" s="23">
        <f>IF(B436="","",IFERROR(INDEX(Jobs!$K$5:$K$604,MATCH(B436,Jobs!$A$5:$A$604,0)),""))</f>
        <v>0</v>
      </c>
      <c r="P436" s="50">
        <f>IF(G436="","",IFERROR(INDEX(Checklists!$J$5:$J$404,MATCH(G436,Checklists!$F$5:$F$404,0)),"Yes"))</f>
        <v>0</v>
      </c>
      <c r="Q436" s="31">
        <f>IF(G436="","",IFERROR(INDEX(Checklists!$H$5:$H$404,MATCH(G436,Checklists!$F$5:$F$404,0)),""))</f>
        <v>0</v>
      </c>
      <c r="R436" s="31">
        <f>IF(OR(J436="",Q436=""),"",J436-Q436)</f>
        <v>0</v>
      </c>
      <c r="S436" s="50">
        <f>IF(B436="","",IF(H436="Done","Yes","No"))</f>
        <v>0</v>
      </c>
      <c r="T436" s="39">
        <f>IF(B436="","",IF(G436="","Add - what was the task?",IF(H436="Issue found",IF(M436="Yes","OK - issue reported","Action - tell the client"),IF(H436="Needs rework","Action - rework needed",IF(AND(H436="Skipped",P436="Yes"),"Check - required task skipped",IF(H436="Done","OK","Due"))))))</f>
        <v>0</v>
      </c>
    </row>
    <row r="437" spans="1:20">
      <c r="A437" s="43">
        <f>IF(B437="","","JT-"&amp;TEXT(ROW()-4,"0000"))</f>
        <v>0</v>
      </c>
      <c r="C437" s="18">
        <f>IF(B437="","",IFERROR(INDEX(Jobs!$B$5:$B$604,MATCH(B437,Jobs!$A$5:$A$604,0)),""))</f>
        <v>0</v>
      </c>
      <c r="D437" s="23">
        <f>IF(B437="","",IFERROR(INDEX(Jobs!$H$5:$H$604,MATCH(B437,Jobs!$A$5:$A$604,0)),""))</f>
        <v>0</v>
      </c>
      <c r="E437" s="23">
        <f>IF(B437="","",IFERROR(INDEX(Jobs!$K$5:$K$604,MATCH(B437,Jobs!$A$5:$A$604,0)),""))</f>
        <v>0</v>
      </c>
      <c r="P437" s="50">
        <f>IF(G437="","",IFERROR(INDEX(Checklists!$J$5:$J$404,MATCH(G437,Checklists!$F$5:$F$404,0)),"Yes"))</f>
        <v>0</v>
      </c>
      <c r="Q437" s="31">
        <f>IF(G437="","",IFERROR(INDEX(Checklists!$H$5:$H$404,MATCH(G437,Checklists!$F$5:$F$404,0)),""))</f>
        <v>0</v>
      </c>
      <c r="R437" s="31">
        <f>IF(OR(J437="",Q437=""),"",J437-Q437)</f>
        <v>0</v>
      </c>
      <c r="S437" s="50">
        <f>IF(B437="","",IF(H437="Done","Yes","No"))</f>
        <v>0</v>
      </c>
      <c r="T437" s="39">
        <f>IF(B437="","",IF(G437="","Add - what was the task?",IF(H437="Issue found",IF(M437="Yes","OK - issue reported","Action - tell the client"),IF(H437="Needs rework","Action - rework needed",IF(AND(H437="Skipped",P437="Yes"),"Check - required task skipped",IF(H437="Done","OK","Due"))))))</f>
        <v>0</v>
      </c>
    </row>
    <row r="438" spans="1:20">
      <c r="A438" s="43">
        <f>IF(B438="","","JT-"&amp;TEXT(ROW()-4,"0000"))</f>
        <v>0</v>
      </c>
      <c r="C438" s="18">
        <f>IF(B438="","",IFERROR(INDEX(Jobs!$B$5:$B$604,MATCH(B438,Jobs!$A$5:$A$604,0)),""))</f>
        <v>0</v>
      </c>
      <c r="D438" s="23">
        <f>IF(B438="","",IFERROR(INDEX(Jobs!$H$5:$H$604,MATCH(B438,Jobs!$A$5:$A$604,0)),""))</f>
        <v>0</v>
      </c>
      <c r="E438" s="23">
        <f>IF(B438="","",IFERROR(INDEX(Jobs!$K$5:$K$604,MATCH(B438,Jobs!$A$5:$A$604,0)),""))</f>
        <v>0</v>
      </c>
      <c r="P438" s="50">
        <f>IF(G438="","",IFERROR(INDEX(Checklists!$J$5:$J$404,MATCH(G438,Checklists!$F$5:$F$404,0)),"Yes"))</f>
        <v>0</v>
      </c>
      <c r="Q438" s="31">
        <f>IF(G438="","",IFERROR(INDEX(Checklists!$H$5:$H$404,MATCH(G438,Checklists!$F$5:$F$404,0)),""))</f>
        <v>0</v>
      </c>
      <c r="R438" s="31">
        <f>IF(OR(J438="",Q438=""),"",J438-Q438)</f>
        <v>0</v>
      </c>
      <c r="S438" s="50">
        <f>IF(B438="","",IF(H438="Done","Yes","No"))</f>
        <v>0</v>
      </c>
      <c r="T438" s="39">
        <f>IF(B438="","",IF(G438="","Add - what was the task?",IF(H438="Issue found",IF(M438="Yes","OK - issue reported","Action - tell the client"),IF(H438="Needs rework","Action - rework needed",IF(AND(H438="Skipped",P438="Yes"),"Check - required task skipped",IF(H438="Done","OK","Due"))))))</f>
        <v>0</v>
      </c>
    </row>
    <row r="439" spans="1:20">
      <c r="A439" s="43">
        <f>IF(B439="","","JT-"&amp;TEXT(ROW()-4,"0000"))</f>
        <v>0</v>
      </c>
      <c r="C439" s="18">
        <f>IF(B439="","",IFERROR(INDEX(Jobs!$B$5:$B$604,MATCH(B439,Jobs!$A$5:$A$604,0)),""))</f>
        <v>0</v>
      </c>
      <c r="D439" s="23">
        <f>IF(B439="","",IFERROR(INDEX(Jobs!$H$5:$H$604,MATCH(B439,Jobs!$A$5:$A$604,0)),""))</f>
        <v>0</v>
      </c>
      <c r="E439" s="23">
        <f>IF(B439="","",IFERROR(INDEX(Jobs!$K$5:$K$604,MATCH(B439,Jobs!$A$5:$A$604,0)),""))</f>
        <v>0</v>
      </c>
      <c r="P439" s="50">
        <f>IF(G439="","",IFERROR(INDEX(Checklists!$J$5:$J$404,MATCH(G439,Checklists!$F$5:$F$404,0)),"Yes"))</f>
        <v>0</v>
      </c>
      <c r="Q439" s="31">
        <f>IF(G439="","",IFERROR(INDEX(Checklists!$H$5:$H$404,MATCH(G439,Checklists!$F$5:$F$404,0)),""))</f>
        <v>0</v>
      </c>
      <c r="R439" s="31">
        <f>IF(OR(J439="",Q439=""),"",J439-Q439)</f>
        <v>0</v>
      </c>
      <c r="S439" s="50">
        <f>IF(B439="","",IF(H439="Done","Yes","No"))</f>
        <v>0</v>
      </c>
      <c r="T439" s="39">
        <f>IF(B439="","",IF(G439="","Add - what was the task?",IF(H439="Issue found",IF(M439="Yes","OK - issue reported","Action - tell the client"),IF(H439="Needs rework","Action - rework needed",IF(AND(H439="Skipped",P439="Yes"),"Check - required task skipped",IF(H439="Done","OK","Due"))))))</f>
        <v>0</v>
      </c>
    </row>
    <row r="440" spans="1:20">
      <c r="A440" s="43">
        <f>IF(B440="","","JT-"&amp;TEXT(ROW()-4,"0000"))</f>
        <v>0</v>
      </c>
      <c r="C440" s="18">
        <f>IF(B440="","",IFERROR(INDEX(Jobs!$B$5:$B$604,MATCH(B440,Jobs!$A$5:$A$604,0)),""))</f>
        <v>0</v>
      </c>
      <c r="D440" s="23">
        <f>IF(B440="","",IFERROR(INDEX(Jobs!$H$5:$H$604,MATCH(B440,Jobs!$A$5:$A$604,0)),""))</f>
        <v>0</v>
      </c>
      <c r="E440" s="23">
        <f>IF(B440="","",IFERROR(INDEX(Jobs!$K$5:$K$604,MATCH(B440,Jobs!$A$5:$A$604,0)),""))</f>
        <v>0</v>
      </c>
      <c r="P440" s="50">
        <f>IF(G440="","",IFERROR(INDEX(Checklists!$J$5:$J$404,MATCH(G440,Checklists!$F$5:$F$404,0)),"Yes"))</f>
        <v>0</v>
      </c>
      <c r="Q440" s="31">
        <f>IF(G440="","",IFERROR(INDEX(Checklists!$H$5:$H$404,MATCH(G440,Checklists!$F$5:$F$404,0)),""))</f>
        <v>0</v>
      </c>
      <c r="R440" s="31">
        <f>IF(OR(J440="",Q440=""),"",J440-Q440)</f>
        <v>0</v>
      </c>
      <c r="S440" s="50">
        <f>IF(B440="","",IF(H440="Done","Yes","No"))</f>
        <v>0</v>
      </c>
      <c r="T440" s="39">
        <f>IF(B440="","",IF(G440="","Add - what was the task?",IF(H440="Issue found",IF(M440="Yes","OK - issue reported","Action - tell the client"),IF(H440="Needs rework","Action - rework needed",IF(AND(H440="Skipped",P440="Yes"),"Check - required task skipped",IF(H440="Done","OK","Due"))))))</f>
        <v>0</v>
      </c>
    </row>
    <row r="441" spans="1:20">
      <c r="A441" s="43">
        <f>IF(B441="","","JT-"&amp;TEXT(ROW()-4,"0000"))</f>
        <v>0</v>
      </c>
      <c r="C441" s="18">
        <f>IF(B441="","",IFERROR(INDEX(Jobs!$B$5:$B$604,MATCH(B441,Jobs!$A$5:$A$604,0)),""))</f>
        <v>0</v>
      </c>
      <c r="D441" s="23">
        <f>IF(B441="","",IFERROR(INDEX(Jobs!$H$5:$H$604,MATCH(B441,Jobs!$A$5:$A$604,0)),""))</f>
        <v>0</v>
      </c>
      <c r="E441" s="23">
        <f>IF(B441="","",IFERROR(INDEX(Jobs!$K$5:$K$604,MATCH(B441,Jobs!$A$5:$A$604,0)),""))</f>
        <v>0</v>
      </c>
      <c r="P441" s="50">
        <f>IF(G441="","",IFERROR(INDEX(Checklists!$J$5:$J$404,MATCH(G441,Checklists!$F$5:$F$404,0)),"Yes"))</f>
        <v>0</v>
      </c>
      <c r="Q441" s="31">
        <f>IF(G441="","",IFERROR(INDEX(Checklists!$H$5:$H$404,MATCH(G441,Checklists!$F$5:$F$404,0)),""))</f>
        <v>0</v>
      </c>
      <c r="R441" s="31">
        <f>IF(OR(J441="",Q441=""),"",J441-Q441)</f>
        <v>0</v>
      </c>
      <c r="S441" s="50">
        <f>IF(B441="","",IF(H441="Done","Yes","No"))</f>
        <v>0</v>
      </c>
      <c r="T441" s="39">
        <f>IF(B441="","",IF(G441="","Add - what was the task?",IF(H441="Issue found",IF(M441="Yes","OK - issue reported","Action - tell the client"),IF(H441="Needs rework","Action - rework needed",IF(AND(H441="Skipped",P441="Yes"),"Check - required task skipped",IF(H441="Done","OK","Due"))))))</f>
        <v>0</v>
      </c>
    </row>
    <row r="442" spans="1:20">
      <c r="A442" s="43">
        <f>IF(B442="","","JT-"&amp;TEXT(ROW()-4,"0000"))</f>
        <v>0</v>
      </c>
      <c r="C442" s="18">
        <f>IF(B442="","",IFERROR(INDEX(Jobs!$B$5:$B$604,MATCH(B442,Jobs!$A$5:$A$604,0)),""))</f>
        <v>0</v>
      </c>
      <c r="D442" s="23">
        <f>IF(B442="","",IFERROR(INDEX(Jobs!$H$5:$H$604,MATCH(B442,Jobs!$A$5:$A$604,0)),""))</f>
        <v>0</v>
      </c>
      <c r="E442" s="23">
        <f>IF(B442="","",IFERROR(INDEX(Jobs!$K$5:$K$604,MATCH(B442,Jobs!$A$5:$A$604,0)),""))</f>
        <v>0</v>
      </c>
      <c r="P442" s="50">
        <f>IF(G442="","",IFERROR(INDEX(Checklists!$J$5:$J$404,MATCH(G442,Checklists!$F$5:$F$404,0)),"Yes"))</f>
        <v>0</v>
      </c>
      <c r="Q442" s="31">
        <f>IF(G442="","",IFERROR(INDEX(Checklists!$H$5:$H$404,MATCH(G442,Checklists!$F$5:$F$404,0)),""))</f>
        <v>0</v>
      </c>
      <c r="R442" s="31">
        <f>IF(OR(J442="",Q442=""),"",J442-Q442)</f>
        <v>0</v>
      </c>
      <c r="S442" s="50">
        <f>IF(B442="","",IF(H442="Done","Yes","No"))</f>
        <v>0</v>
      </c>
      <c r="T442" s="39">
        <f>IF(B442="","",IF(G442="","Add - what was the task?",IF(H442="Issue found",IF(M442="Yes","OK - issue reported","Action - tell the client"),IF(H442="Needs rework","Action - rework needed",IF(AND(H442="Skipped",P442="Yes"),"Check - required task skipped",IF(H442="Done","OK","Due"))))))</f>
        <v>0</v>
      </c>
    </row>
    <row r="443" spans="1:20">
      <c r="A443" s="43">
        <f>IF(B443="","","JT-"&amp;TEXT(ROW()-4,"0000"))</f>
        <v>0</v>
      </c>
      <c r="C443" s="18">
        <f>IF(B443="","",IFERROR(INDEX(Jobs!$B$5:$B$604,MATCH(B443,Jobs!$A$5:$A$604,0)),""))</f>
        <v>0</v>
      </c>
      <c r="D443" s="23">
        <f>IF(B443="","",IFERROR(INDEX(Jobs!$H$5:$H$604,MATCH(B443,Jobs!$A$5:$A$604,0)),""))</f>
        <v>0</v>
      </c>
      <c r="E443" s="23">
        <f>IF(B443="","",IFERROR(INDEX(Jobs!$K$5:$K$604,MATCH(B443,Jobs!$A$5:$A$604,0)),""))</f>
        <v>0</v>
      </c>
      <c r="P443" s="50">
        <f>IF(G443="","",IFERROR(INDEX(Checklists!$J$5:$J$404,MATCH(G443,Checklists!$F$5:$F$404,0)),"Yes"))</f>
        <v>0</v>
      </c>
      <c r="Q443" s="31">
        <f>IF(G443="","",IFERROR(INDEX(Checklists!$H$5:$H$404,MATCH(G443,Checklists!$F$5:$F$404,0)),""))</f>
        <v>0</v>
      </c>
      <c r="R443" s="31">
        <f>IF(OR(J443="",Q443=""),"",J443-Q443)</f>
        <v>0</v>
      </c>
      <c r="S443" s="50">
        <f>IF(B443="","",IF(H443="Done","Yes","No"))</f>
        <v>0</v>
      </c>
      <c r="T443" s="39">
        <f>IF(B443="","",IF(G443="","Add - what was the task?",IF(H443="Issue found",IF(M443="Yes","OK - issue reported","Action - tell the client"),IF(H443="Needs rework","Action - rework needed",IF(AND(H443="Skipped",P443="Yes"),"Check - required task skipped",IF(H443="Done","OK","Due"))))))</f>
        <v>0</v>
      </c>
    </row>
    <row r="444" spans="1:20">
      <c r="A444" s="43">
        <f>IF(B444="","","JT-"&amp;TEXT(ROW()-4,"0000"))</f>
        <v>0</v>
      </c>
      <c r="C444" s="18">
        <f>IF(B444="","",IFERROR(INDEX(Jobs!$B$5:$B$604,MATCH(B444,Jobs!$A$5:$A$604,0)),""))</f>
        <v>0</v>
      </c>
      <c r="D444" s="23">
        <f>IF(B444="","",IFERROR(INDEX(Jobs!$H$5:$H$604,MATCH(B444,Jobs!$A$5:$A$604,0)),""))</f>
        <v>0</v>
      </c>
      <c r="E444" s="23">
        <f>IF(B444="","",IFERROR(INDEX(Jobs!$K$5:$K$604,MATCH(B444,Jobs!$A$5:$A$604,0)),""))</f>
        <v>0</v>
      </c>
      <c r="P444" s="50">
        <f>IF(G444="","",IFERROR(INDEX(Checklists!$J$5:$J$404,MATCH(G444,Checklists!$F$5:$F$404,0)),"Yes"))</f>
        <v>0</v>
      </c>
      <c r="Q444" s="31">
        <f>IF(G444="","",IFERROR(INDEX(Checklists!$H$5:$H$404,MATCH(G444,Checklists!$F$5:$F$404,0)),""))</f>
        <v>0</v>
      </c>
      <c r="R444" s="31">
        <f>IF(OR(J444="",Q444=""),"",J444-Q444)</f>
        <v>0</v>
      </c>
      <c r="S444" s="50">
        <f>IF(B444="","",IF(H444="Done","Yes","No"))</f>
        <v>0</v>
      </c>
      <c r="T444" s="39">
        <f>IF(B444="","",IF(G444="","Add - what was the task?",IF(H444="Issue found",IF(M444="Yes","OK - issue reported","Action - tell the client"),IF(H444="Needs rework","Action - rework needed",IF(AND(H444="Skipped",P444="Yes"),"Check - required task skipped",IF(H444="Done","OK","Due"))))))</f>
        <v>0</v>
      </c>
    </row>
    <row r="445" spans="1:20">
      <c r="A445" s="43">
        <f>IF(B445="","","JT-"&amp;TEXT(ROW()-4,"0000"))</f>
        <v>0</v>
      </c>
      <c r="C445" s="18">
        <f>IF(B445="","",IFERROR(INDEX(Jobs!$B$5:$B$604,MATCH(B445,Jobs!$A$5:$A$604,0)),""))</f>
        <v>0</v>
      </c>
      <c r="D445" s="23">
        <f>IF(B445="","",IFERROR(INDEX(Jobs!$H$5:$H$604,MATCH(B445,Jobs!$A$5:$A$604,0)),""))</f>
        <v>0</v>
      </c>
      <c r="E445" s="23">
        <f>IF(B445="","",IFERROR(INDEX(Jobs!$K$5:$K$604,MATCH(B445,Jobs!$A$5:$A$604,0)),""))</f>
        <v>0</v>
      </c>
      <c r="P445" s="50">
        <f>IF(G445="","",IFERROR(INDEX(Checklists!$J$5:$J$404,MATCH(G445,Checklists!$F$5:$F$404,0)),"Yes"))</f>
        <v>0</v>
      </c>
      <c r="Q445" s="31">
        <f>IF(G445="","",IFERROR(INDEX(Checklists!$H$5:$H$404,MATCH(G445,Checklists!$F$5:$F$404,0)),""))</f>
        <v>0</v>
      </c>
      <c r="R445" s="31">
        <f>IF(OR(J445="",Q445=""),"",J445-Q445)</f>
        <v>0</v>
      </c>
      <c r="S445" s="50">
        <f>IF(B445="","",IF(H445="Done","Yes","No"))</f>
        <v>0</v>
      </c>
      <c r="T445" s="39">
        <f>IF(B445="","",IF(G445="","Add - what was the task?",IF(H445="Issue found",IF(M445="Yes","OK - issue reported","Action - tell the client"),IF(H445="Needs rework","Action - rework needed",IF(AND(H445="Skipped",P445="Yes"),"Check - required task skipped",IF(H445="Done","OK","Due"))))))</f>
        <v>0</v>
      </c>
    </row>
    <row r="446" spans="1:20">
      <c r="A446" s="43">
        <f>IF(B446="","","JT-"&amp;TEXT(ROW()-4,"0000"))</f>
        <v>0</v>
      </c>
      <c r="C446" s="18">
        <f>IF(B446="","",IFERROR(INDEX(Jobs!$B$5:$B$604,MATCH(B446,Jobs!$A$5:$A$604,0)),""))</f>
        <v>0</v>
      </c>
      <c r="D446" s="23">
        <f>IF(B446="","",IFERROR(INDEX(Jobs!$H$5:$H$604,MATCH(B446,Jobs!$A$5:$A$604,0)),""))</f>
        <v>0</v>
      </c>
      <c r="E446" s="23">
        <f>IF(B446="","",IFERROR(INDEX(Jobs!$K$5:$K$604,MATCH(B446,Jobs!$A$5:$A$604,0)),""))</f>
        <v>0</v>
      </c>
      <c r="P446" s="50">
        <f>IF(G446="","",IFERROR(INDEX(Checklists!$J$5:$J$404,MATCH(G446,Checklists!$F$5:$F$404,0)),"Yes"))</f>
        <v>0</v>
      </c>
      <c r="Q446" s="31">
        <f>IF(G446="","",IFERROR(INDEX(Checklists!$H$5:$H$404,MATCH(G446,Checklists!$F$5:$F$404,0)),""))</f>
        <v>0</v>
      </c>
      <c r="R446" s="31">
        <f>IF(OR(J446="",Q446=""),"",J446-Q446)</f>
        <v>0</v>
      </c>
      <c r="S446" s="50">
        <f>IF(B446="","",IF(H446="Done","Yes","No"))</f>
        <v>0</v>
      </c>
      <c r="T446" s="39">
        <f>IF(B446="","",IF(G446="","Add - what was the task?",IF(H446="Issue found",IF(M446="Yes","OK - issue reported","Action - tell the client"),IF(H446="Needs rework","Action - rework needed",IF(AND(H446="Skipped",P446="Yes"),"Check - required task skipped",IF(H446="Done","OK","Due"))))))</f>
        <v>0</v>
      </c>
    </row>
    <row r="447" spans="1:20">
      <c r="A447" s="43">
        <f>IF(B447="","","JT-"&amp;TEXT(ROW()-4,"0000"))</f>
        <v>0</v>
      </c>
      <c r="C447" s="18">
        <f>IF(B447="","",IFERROR(INDEX(Jobs!$B$5:$B$604,MATCH(B447,Jobs!$A$5:$A$604,0)),""))</f>
        <v>0</v>
      </c>
      <c r="D447" s="23">
        <f>IF(B447="","",IFERROR(INDEX(Jobs!$H$5:$H$604,MATCH(B447,Jobs!$A$5:$A$604,0)),""))</f>
        <v>0</v>
      </c>
      <c r="E447" s="23">
        <f>IF(B447="","",IFERROR(INDEX(Jobs!$K$5:$K$604,MATCH(B447,Jobs!$A$5:$A$604,0)),""))</f>
        <v>0</v>
      </c>
      <c r="P447" s="50">
        <f>IF(G447="","",IFERROR(INDEX(Checklists!$J$5:$J$404,MATCH(G447,Checklists!$F$5:$F$404,0)),"Yes"))</f>
        <v>0</v>
      </c>
      <c r="Q447" s="31">
        <f>IF(G447="","",IFERROR(INDEX(Checklists!$H$5:$H$404,MATCH(G447,Checklists!$F$5:$F$404,0)),""))</f>
        <v>0</v>
      </c>
      <c r="R447" s="31">
        <f>IF(OR(J447="",Q447=""),"",J447-Q447)</f>
        <v>0</v>
      </c>
      <c r="S447" s="50">
        <f>IF(B447="","",IF(H447="Done","Yes","No"))</f>
        <v>0</v>
      </c>
      <c r="T447" s="39">
        <f>IF(B447="","",IF(G447="","Add - what was the task?",IF(H447="Issue found",IF(M447="Yes","OK - issue reported","Action - tell the client"),IF(H447="Needs rework","Action - rework needed",IF(AND(H447="Skipped",P447="Yes"),"Check - required task skipped",IF(H447="Done","OK","Due"))))))</f>
        <v>0</v>
      </c>
    </row>
    <row r="448" spans="1:20">
      <c r="A448" s="43">
        <f>IF(B448="","","JT-"&amp;TEXT(ROW()-4,"0000"))</f>
        <v>0</v>
      </c>
      <c r="C448" s="18">
        <f>IF(B448="","",IFERROR(INDEX(Jobs!$B$5:$B$604,MATCH(B448,Jobs!$A$5:$A$604,0)),""))</f>
        <v>0</v>
      </c>
      <c r="D448" s="23">
        <f>IF(B448="","",IFERROR(INDEX(Jobs!$H$5:$H$604,MATCH(B448,Jobs!$A$5:$A$604,0)),""))</f>
        <v>0</v>
      </c>
      <c r="E448" s="23">
        <f>IF(B448="","",IFERROR(INDEX(Jobs!$K$5:$K$604,MATCH(B448,Jobs!$A$5:$A$604,0)),""))</f>
        <v>0</v>
      </c>
      <c r="P448" s="50">
        <f>IF(G448="","",IFERROR(INDEX(Checklists!$J$5:$J$404,MATCH(G448,Checklists!$F$5:$F$404,0)),"Yes"))</f>
        <v>0</v>
      </c>
      <c r="Q448" s="31">
        <f>IF(G448="","",IFERROR(INDEX(Checklists!$H$5:$H$404,MATCH(G448,Checklists!$F$5:$F$404,0)),""))</f>
        <v>0</v>
      </c>
      <c r="R448" s="31">
        <f>IF(OR(J448="",Q448=""),"",J448-Q448)</f>
        <v>0</v>
      </c>
      <c r="S448" s="50">
        <f>IF(B448="","",IF(H448="Done","Yes","No"))</f>
        <v>0</v>
      </c>
      <c r="T448" s="39">
        <f>IF(B448="","",IF(G448="","Add - what was the task?",IF(H448="Issue found",IF(M448="Yes","OK - issue reported","Action - tell the client"),IF(H448="Needs rework","Action - rework needed",IF(AND(H448="Skipped",P448="Yes"),"Check - required task skipped",IF(H448="Done","OK","Due"))))))</f>
        <v>0</v>
      </c>
    </row>
    <row r="449" spans="1:20">
      <c r="A449" s="43">
        <f>IF(B449="","","JT-"&amp;TEXT(ROW()-4,"0000"))</f>
        <v>0</v>
      </c>
      <c r="C449" s="18">
        <f>IF(B449="","",IFERROR(INDEX(Jobs!$B$5:$B$604,MATCH(B449,Jobs!$A$5:$A$604,0)),""))</f>
        <v>0</v>
      </c>
      <c r="D449" s="23">
        <f>IF(B449="","",IFERROR(INDEX(Jobs!$H$5:$H$604,MATCH(B449,Jobs!$A$5:$A$604,0)),""))</f>
        <v>0</v>
      </c>
      <c r="E449" s="23">
        <f>IF(B449="","",IFERROR(INDEX(Jobs!$K$5:$K$604,MATCH(B449,Jobs!$A$5:$A$604,0)),""))</f>
        <v>0</v>
      </c>
      <c r="P449" s="50">
        <f>IF(G449="","",IFERROR(INDEX(Checklists!$J$5:$J$404,MATCH(G449,Checklists!$F$5:$F$404,0)),"Yes"))</f>
        <v>0</v>
      </c>
      <c r="Q449" s="31">
        <f>IF(G449="","",IFERROR(INDEX(Checklists!$H$5:$H$404,MATCH(G449,Checklists!$F$5:$F$404,0)),""))</f>
        <v>0</v>
      </c>
      <c r="R449" s="31">
        <f>IF(OR(J449="",Q449=""),"",J449-Q449)</f>
        <v>0</v>
      </c>
      <c r="S449" s="50">
        <f>IF(B449="","",IF(H449="Done","Yes","No"))</f>
        <v>0</v>
      </c>
      <c r="T449" s="39">
        <f>IF(B449="","",IF(G449="","Add - what was the task?",IF(H449="Issue found",IF(M449="Yes","OK - issue reported","Action - tell the client"),IF(H449="Needs rework","Action - rework needed",IF(AND(H449="Skipped",P449="Yes"),"Check - required task skipped",IF(H449="Done","OK","Due"))))))</f>
        <v>0</v>
      </c>
    </row>
    <row r="450" spans="1:20">
      <c r="A450" s="43">
        <f>IF(B450="","","JT-"&amp;TEXT(ROW()-4,"0000"))</f>
        <v>0</v>
      </c>
      <c r="C450" s="18">
        <f>IF(B450="","",IFERROR(INDEX(Jobs!$B$5:$B$604,MATCH(B450,Jobs!$A$5:$A$604,0)),""))</f>
        <v>0</v>
      </c>
      <c r="D450" s="23">
        <f>IF(B450="","",IFERROR(INDEX(Jobs!$H$5:$H$604,MATCH(B450,Jobs!$A$5:$A$604,0)),""))</f>
        <v>0</v>
      </c>
      <c r="E450" s="23">
        <f>IF(B450="","",IFERROR(INDEX(Jobs!$K$5:$K$604,MATCH(B450,Jobs!$A$5:$A$604,0)),""))</f>
        <v>0</v>
      </c>
      <c r="P450" s="50">
        <f>IF(G450="","",IFERROR(INDEX(Checklists!$J$5:$J$404,MATCH(G450,Checklists!$F$5:$F$404,0)),"Yes"))</f>
        <v>0</v>
      </c>
      <c r="Q450" s="31">
        <f>IF(G450="","",IFERROR(INDEX(Checklists!$H$5:$H$404,MATCH(G450,Checklists!$F$5:$F$404,0)),""))</f>
        <v>0</v>
      </c>
      <c r="R450" s="31">
        <f>IF(OR(J450="",Q450=""),"",J450-Q450)</f>
        <v>0</v>
      </c>
      <c r="S450" s="50">
        <f>IF(B450="","",IF(H450="Done","Yes","No"))</f>
        <v>0</v>
      </c>
      <c r="T450" s="39">
        <f>IF(B450="","",IF(G450="","Add - what was the task?",IF(H450="Issue found",IF(M450="Yes","OK - issue reported","Action - tell the client"),IF(H450="Needs rework","Action - rework needed",IF(AND(H450="Skipped",P450="Yes"),"Check - required task skipped",IF(H450="Done","OK","Due"))))))</f>
        <v>0</v>
      </c>
    </row>
    <row r="451" spans="1:20">
      <c r="A451" s="43">
        <f>IF(B451="","","JT-"&amp;TEXT(ROW()-4,"0000"))</f>
        <v>0</v>
      </c>
      <c r="C451" s="18">
        <f>IF(B451="","",IFERROR(INDEX(Jobs!$B$5:$B$604,MATCH(B451,Jobs!$A$5:$A$604,0)),""))</f>
        <v>0</v>
      </c>
      <c r="D451" s="23">
        <f>IF(B451="","",IFERROR(INDEX(Jobs!$H$5:$H$604,MATCH(B451,Jobs!$A$5:$A$604,0)),""))</f>
        <v>0</v>
      </c>
      <c r="E451" s="23">
        <f>IF(B451="","",IFERROR(INDEX(Jobs!$K$5:$K$604,MATCH(B451,Jobs!$A$5:$A$604,0)),""))</f>
        <v>0</v>
      </c>
      <c r="P451" s="50">
        <f>IF(G451="","",IFERROR(INDEX(Checklists!$J$5:$J$404,MATCH(G451,Checklists!$F$5:$F$404,0)),"Yes"))</f>
        <v>0</v>
      </c>
      <c r="Q451" s="31">
        <f>IF(G451="","",IFERROR(INDEX(Checklists!$H$5:$H$404,MATCH(G451,Checklists!$F$5:$F$404,0)),""))</f>
        <v>0</v>
      </c>
      <c r="R451" s="31">
        <f>IF(OR(J451="",Q451=""),"",J451-Q451)</f>
        <v>0</v>
      </c>
      <c r="S451" s="50">
        <f>IF(B451="","",IF(H451="Done","Yes","No"))</f>
        <v>0</v>
      </c>
      <c r="T451" s="39">
        <f>IF(B451="","",IF(G451="","Add - what was the task?",IF(H451="Issue found",IF(M451="Yes","OK - issue reported","Action - tell the client"),IF(H451="Needs rework","Action - rework needed",IF(AND(H451="Skipped",P451="Yes"),"Check - required task skipped",IF(H451="Done","OK","Due"))))))</f>
        <v>0</v>
      </c>
    </row>
    <row r="452" spans="1:20">
      <c r="A452" s="43">
        <f>IF(B452="","","JT-"&amp;TEXT(ROW()-4,"0000"))</f>
        <v>0</v>
      </c>
      <c r="C452" s="18">
        <f>IF(B452="","",IFERROR(INDEX(Jobs!$B$5:$B$604,MATCH(B452,Jobs!$A$5:$A$604,0)),""))</f>
        <v>0</v>
      </c>
      <c r="D452" s="23">
        <f>IF(B452="","",IFERROR(INDEX(Jobs!$H$5:$H$604,MATCH(B452,Jobs!$A$5:$A$604,0)),""))</f>
        <v>0</v>
      </c>
      <c r="E452" s="23">
        <f>IF(B452="","",IFERROR(INDEX(Jobs!$K$5:$K$604,MATCH(B452,Jobs!$A$5:$A$604,0)),""))</f>
        <v>0</v>
      </c>
      <c r="P452" s="50">
        <f>IF(G452="","",IFERROR(INDEX(Checklists!$J$5:$J$404,MATCH(G452,Checklists!$F$5:$F$404,0)),"Yes"))</f>
        <v>0</v>
      </c>
      <c r="Q452" s="31">
        <f>IF(G452="","",IFERROR(INDEX(Checklists!$H$5:$H$404,MATCH(G452,Checklists!$F$5:$F$404,0)),""))</f>
        <v>0</v>
      </c>
      <c r="R452" s="31">
        <f>IF(OR(J452="",Q452=""),"",J452-Q452)</f>
        <v>0</v>
      </c>
      <c r="S452" s="50">
        <f>IF(B452="","",IF(H452="Done","Yes","No"))</f>
        <v>0</v>
      </c>
      <c r="T452" s="39">
        <f>IF(B452="","",IF(G452="","Add - what was the task?",IF(H452="Issue found",IF(M452="Yes","OK - issue reported","Action - tell the client"),IF(H452="Needs rework","Action - rework needed",IF(AND(H452="Skipped",P452="Yes"),"Check - required task skipped",IF(H452="Done","OK","Due"))))))</f>
        <v>0</v>
      </c>
    </row>
    <row r="453" spans="1:20">
      <c r="A453" s="43">
        <f>IF(B453="","","JT-"&amp;TEXT(ROW()-4,"0000"))</f>
        <v>0</v>
      </c>
      <c r="C453" s="18">
        <f>IF(B453="","",IFERROR(INDEX(Jobs!$B$5:$B$604,MATCH(B453,Jobs!$A$5:$A$604,0)),""))</f>
        <v>0</v>
      </c>
      <c r="D453" s="23">
        <f>IF(B453="","",IFERROR(INDEX(Jobs!$H$5:$H$604,MATCH(B453,Jobs!$A$5:$A$604,0)),""))</f>
        <v>0</v>
      </c>
      <c r="E453" s="23">
        <f>IF(B453="","",IFERROR(INDEX(Jobs!$K$5:$K$604,MATCH(B453,Jobs!$A$5:$A$604,0)),""))</f>
        <v>0</v>
      </c>
      <c r="P453" s="50">
        <f>IF(G453="","",IFERROR(INDEX(Checklists!$J$5:$J$404,MATCH(G453,Checklists!$F$5:$F$404,0)),"Yes"))</f>
        <v>0</v>
      </c>
      <c r="Q453" s="31">
        <f>IF(G453="","",IFERROR(INDEX(Checklists!$H$5:$H$404,MATCH(G453,Checklists!$F$5:$F$404,0)),""))</f>
        <v>0</v>
      </c>
      <c r="R453" s="31">
        <f>IF(OR(J453="",Q453=""),"",J453-Q453)</f>
        <v>0</v>
      </c>
      <c r="S453" s="50">
        <f>IF(B453="","",IF(H453="Done","Yes","No"))</f>
        <v>0</v>
      </c>
      <c r="T453" s="39">
        <f>IF(B453="","",IF(G453="","Add - what was the task?",IF(H453="Issue found",IF(M453="Yes","OK - issue reported","Action - tell the client"),IF(H453="Needs rework","Action - rework needed",IF(AND(H453="Skipped",P453="Yes"),"Check - required task skipped",IF(H453="Done","OK","Due"))))))</f>
        <v>0</v>
      </c>
    </row>
    <row r="454" spans="1:20">
      <c r="A454" s="43">
        <f>IF(B454="","","JT-"&amp;TEXT(ROW()-4,"0000"))</f>
        <v>0</v>
      </c>
      <c r="C454" s="18">
        <f>IF(B454="","",IFERROR(INDEX(Jobs!$B$5:$B$604,MATCH(B454,Jobs!$A$5:$A$604,0)),""))</f>
        <v>0</v>
      </c>
      <c r="D454" s="23">
        <f>IF(B454="","",IFERROR(INDEX(Jobs!$H$5:$H$604,MATCH(B454,Jobs!$A$5:$A$604,0)),""))</f>
        <v>0</v>
      </c>
      <c r="E454" s="23">
        <f>IF(B454="","",IFERROR(INDEX(Jobs!$K$5:$K$604,MATCH(B454,Jobs!$A$5:$A$604,0)),""))</f>
        <v>0</v>
      </c>
      <c r="P454" s="50">
        <f>IF(G454="","",IFERROR(INDEX(Checklists!$J$5:$J$404,MATCH(G454,Checklists!$F$5:$F$404,0)),"Yes"))</f>
        <v>0</v>
      </c>
      <c r="Q454" s="31">
        <f>IF(G454="","",IFERROR(INDEX(Checklists!$H$5:$H$404,MATCH(G454,Checklists!$F$5:$F$404,0)),""))</f>
        <v>0</v>
      </c>
      <c r="R454" s="31">
        <f>IF(OR(J454="",Q454=""),"",J454-Q454)</f>
        <v>0</v>
      </c>
      <c r="S454" s="50">
        <f>IF(B454="","",IF(H454="Done","Yes","No"))</f>
        <v>0</v>
      </c>
      <c r="T454" s="39">
        <f>IF(B454="","",IF(G454="","Add - what was the task?",IF(H454="Issue found",IF(M454="Yes","OK - issue reported","Action - tell the client"),IF(H454="Needs rework","Action - rework needed",IF(AND(H454="Skipped",P454="Yes"),"Check - required task skipped",IF(H454="Done","OK","Due"))))))</f>
        <v>0</v>
      </c>
    </row>
    <row r="455" spans="1:20">
      <c r="A455" s="43">
        <f>IF(B455="","","JT-"&amp;TEXT(ROW()-4,"0000"))</f>
        <v>0</v>
      </c>
      <c r="C455" s="18">
        <f>IF(B455="","",IFERROR(INDEX(Jobs!$B$5:$B$604,MATCH(B455,Jobs!$A$5:$A$604,0)),""))</f>
        <v>0</v>
      </c>
      <c r="D455" s="23">
        <f>IF(B455="","",IFERROR(INDEX(Jobs!$H$5:$H$604,MATCH(B455,Jobs!$A$5:$A$604,0)),""))</f>
        <v>0</v>
      </c>
      <c r="E455" s="23">
        <f>IF(B455="","",IFERROR(INDEX(Jobs!$K$5:$K$604,MATCH(B455,Jobs!$A$5:$A$604,0)),""))</f>
        <v>0</v>
      </c>
      <c r="P455" s="50">
        <f>IF(G455="","",IFERROR(INDEX(Checklists!$J$5:$J$404,MATCH(G455,Checklists!$F$5:$F$404,0)),"Yes"))</f>
        <v>0</v>
      </c>
      <c r="Q455" s="31">
        <f>IF(G455="","",IFERROR(INDEX(Checklists!$H$5:$H$404,MATCH(G455,Checklists!$F$5:$F$404,0)),""))</f>
        <v>0</v>
      </c>
      <c r="R455" s="31">
        <f>IF(OR(J455="",Q455=""),"",J455-Q455)</f>
        <v>0</v>
      </c>
      <c r="S455" s="50">
        <f>IF(B455="","",IF(H455="Done","Yes","No"))</f>
        <v>0</v>
      </c>
      <c r="T455" s="39">
        <f>IF(B455="","",IF(G455="","Add - what was the task?",IF(H455="Issue found",IF(M455="Yes","OK - issue reported","Action - tell the client"),IF(H455="Needs rework","Action - rework needed",IF(AND(H455="Skipped",P455="Yes"),"Check - required task skipped",IF(H455="Done","OK","Due"))))))</f>
        <v>0</v>
      </c>
    </row>
    <row r="456" spans="1:20">
      <c r="A456" s="43">
        <f>IF(B456="","","JT-"&amp;TEXT(ROW()-4,"0000"))</f>
        <v>0</v>
      </c>
      <c r="C456" s="18">
        <f>IF(B456="","",IFERROR(INDEX(Jobs!$B$5:$B$604,MATCH(B456,Jobs!$A$5:$A$604,0)),""))</f>
        <v>0</v>
      </c>
      <c r="D456" s="23">
        <f>IF(B456="","",IFERROR(INDEX(Jobs!$H$5:$H$604,MATCH(B456,Jobs!$A$5:$A$604,0)),""))</f>
        <v>0</v>
      </c>
      <c r="E456" s="23">
        <f>IF(B456="","",IFERROR(INDEX(Jobs!$K$5:$K$604,MATCH(B456,Jobs!$A$5:$A$604,0)),""))</f>
        <v>0</v>
      </c>
      <c r="P456" s="50">
        <f>IF(G456="","",IFERROR(INDEX(Checklists!$J$5:$J$404,MATCH(G456,Checklists!$F$5:$F$404,0)),"Yes"))</f>
        <v>0</v>
      </c>
      <c r="Q456" s="31">
        <f>IF(G456="","",IFERROR(INDEX(Checklists!$H$5:$H$404,MATCH(G456,Checklists!$F$5:$F$404,0)),""))</f>
        <v>0</v>
      </c>
      <c r="R456" s="31">
        <f>IF(OR(J456="",Q456=""),"",J456-Q456)</f>
        <v>0</v>
      </c>
      <c r="S456" s="50">
        <f>IF(B456="","",IF(H456="Done","Yes","No"))</f>
        <v>0</v>
      </c>
      <c r="T456" s="39">
        <f>IF(B456="","",IF(G456="","Add - what was the task?",IF(H456="Issue found",IF(M456="Yes","OK - issue reported","Action - tell the client"),IF(H456="Needs rework","Action - rework needed",IF(AND(H456="Skipped",P456="Yes"),"Check - required task skipped",IF(H456="Done","OK","Due"))))))</f>
        <v>0</v>
      </c>
    </row>
    <row r="457" spans="1:20">
      <c r="A457" s="43">
        <f>IF(B457="","","JT-"&amp;TEXT(ROW()-4,"0000"))</f>
        <v>0</v>
      </c>
      <c r="C457" s="18">
        <f>IF(B457="","",IFERROR(INDEX(Jobs!$B$5:$B$604,MATCH(B457,Jobs!$A$5:$A$604,0)),""))</f>
        <v>0</v>
      </c>
      <c r="D457" s="23">
        <f>IF(B457="","",IFERROR(INDEX(Jobs!$H$5:$H$604,MATCH(B457,Jobs!$A$5:$A$604,0)),""))</f>
        <v>0</v>
      </c>
      <c r="E457" s="23">
        <f>IF(B457="","",IFERROR(INDEX(Jobs!$K$5:$K$604,MATCH(B457,Jobs!$A$5:$A$604,0)),""))</f>
        <v>0</v>
      </c>
      <c r="P457" s="50">
        <f>IF(G457="","",IFERROR(INDEX(Checklists!$J$5:$J$404,MATCH(G457,Checklists!$F$5:$F$404,0)),"Yes"))</f>
        <v>0</v>
      </c>
      <c r="Q457" s="31">
        <f>IF(G457="","",IFERROR(INDEX(Checklists!$H$5:$H$404,MATCH(G457,Checklists!$F$5:$F$404,0)),""))</f>
        <v>0</v>
      </c>
      <c r="R457" s="31">
        <f>IF(OR(J457="",Q457=""),"",J457-Q457)</f>
        <v>0</v>
      </c>
      <c r="S457" s="50">
        <f>IF(B457="","",IF(H457="Done","Yes","No"))</f>
        <v>0</v>
      </c>
      <c r="T457" s="39">
        <f>IF(B457="","",IF(G457="","Add - what was the task?",IF(H457="Issue found",IF(M457="Yes","OK - issue reported","Action - tell the client"),IF(H457="Needs rework","Action - rework needed",IF(AND(H457="Skipped",P457="Yes"),"Check - required task skipped",IF(H457="Done","OK","Due"))))))</f>
        <v>0</v>
      </c>
    </row>
    <row r="458" spans="1:20">
      <c r="A458" s="43">
        <f>IF(B458="","","JT-"&amp;TEXT(ROW()-4,"0000"))</f>
        <v>0</v>
      </c>
      <c r="C458" s="18">
        <f>IF(B458="","",IFERROR(INDEX(Jobs!$B$5:$B$604,MATCH(B458,Jobs!$A$5:$A$604,0)),""))</f>
        <v>0</v>
      </c>
      <c r="D458" s="23">
        <f>IF(B458="","",IFERROR(INDEX(Jobs!$H$5:$H$604,MATCH(B458,Jobs!$A$5:$A$604,0)),""))</f>
        <v>0</v>
      </c>
      <c r="E458" s="23">
        <f>IF(B458="","",IFERROR(INDEX(Jobs!$K$5:$K$604,MATCH(B458,Jobs!$A$5:$A$604,0)),""))</f>
        <v>0</v>
      </c>
      <c r="P458" s="50">
        <f>IF(G458="","",IFERROR(INDEX(Checklists!$J$5:$J$404,MATCH(G458,Checklists!$F$5:$F$404,0)),"Yes"))</f>
        <v>0</v>
      </c>
      <c r="Q458" s="31">
        <f>IF(G458="","",IFERROR(INDEX(Checklists!$H$5:$H$404,MATCH(G458,Checklists!$F$5:$F$404,0)),""))</f>
        <v>0</v>
      </c>
      <c r="R458" s="31">
        <f>IF(OR(J458="",Q458=""),"",J458-Q458)</f>
        <v>0</v>
      </c>
      <c r="S458" s="50">
        <f>IF(B458="","",IF(H458="Done","Yes","No"))</f>
        <v>0</v>
      </c>
      <c r="T458" s="39">
        <f>IF(B458="","",IF(G458="","Add - what was the task?",IF(H458="Issue found",IF(M458="Yes","OK - issue reported","Action - tell the client"),IF(H458="Needs rework","Action - rework needed",IF(AND(H458="Skipped",P458="Yes"),"Check - required task skipped",IF(H458="Done","OK","Due"))))))</f>
        <v>0</v>
      </c>
    </row>
    <row r="459" spans="1:20">
      <c r="A459" s="43">
        <f>IF(B459="","","JT-"&amp;TEXT(ROW()-4,"0000"))</f>
        <v>0</v>
      </c>
      <c r="C459" s="18">
        <f>IF(B459="","",IFERROR(INDEX(Jobs!$B$5:$B$604,MATCH(B459,Jobs!$A$5:$A$604,0)),""))</f>
        <v>0</v>
      </c>
      <c r="D459" s="23">
        <f>IF(B459="","",IFERROR(INDEX(Jobs!$H$5:$H$604,MATCH(B459,Jobs!$A$5:$A$604,0)),""))</f>
        <v>0</v>
      </c>
      <c r="E459" s="23">
        <f>IF(B459="","",IFERROR(INDEX(Jobs!$K$5:$K$604,MATCH(B459,Jobs!$A$5:$A$604,0)),""))</f>
        <v>0</v>
      </c>
      <c r="P459" s="50">
        <f>IF(G459="","",IFERROR(INDEX(Checklists!$J$5:$J$404,MATCH(G459,Checklists!$F$5:$F$404,0)),"Yes"))</f>
        <v>0</v>
      </c>
      <c r="Q459" s="31">
        <f>IF(G459="","",IFERROR(INDEX(Checklists!$H$5:$H$404,MATCH(G459,Checklists!$F$5:$F$404,0)),""))</f>
        <v>0</v>
      </c>
      <c r="R459" s="31">
        <f>IF(OR(J459="",Q459=""),"",J459-Q459)</f>
        <v>0</v>
      </c>
      <c r="S459" s="50">
        <f>IF(B459="","",IF(H459="Done","Yes","No"))</f>
        <v>0</v>
      </c>
      <c r="T459" s="39">
        <f>IF(B459="","",IF(G459="","Add - what was the task?",IF(H459="Issue found",IF(M459="Yes","OK - issue reported","Action - tell the client"),IF(H459="Needs rework","Action - rework needed",IF(AND(H459="Skipped",P459="Yes"),"Check - required task skipped",IF(H459="Done","OK","Due"))))))</f>
        <v>0</v>
      </c>
    </row>
    <row r="460" spans="1:20">
      <c r="A460" s="43">
        <f>IF(B460="","","JT-"&amp;TEXT(ROW()-4,"0000"))</f>
        <v>0</v>
      </c>
      <c r="C460" s="18">
        <f>IF(B460="","",IFERROR(INDEX(Jobs!$B$5:$B$604,MATCH(B460,Jobs!$A$5:$A$604,0)),""))</f>
        <v>0</v>
      </c>
      <c r="D460" s="23">
        <f>IF(B460="","",IFERROR(INDEX(Jobs!$H$5:$H$604,MATCH(B460,Jobs!$A$5:$A$604,0)),""))</f>
        <v>0</v>
      </c>
      <c r="E460" s="23">
        <f>IF(B460="","",IFERROR(INDEX(Jobs!$K$5:$K$604,MATCH(B460,Jobs!$A$5:$A$604,0)),""))</f>
        <v>0</v>
      </c>
      <c r="P460" s="50">
        <f>IF(G460="","",IFERROR(INDEX(Checklists!$J$5:$J$404,MATCH(G460,Checklists!$F$5:$F$404,0)),"Yes"))</f>
        <v>0</v>
      </c>
      <c r="Q460" s="31">
        <f>IF(G460="","",IFERROR(INDEX(Checklists!$H$5:$H$404,MATCH(G460,Checklists!$F$5:$F$404,0)),""))</f>
        <v>0</v>
      </c>
      <c r="R460" s="31">
        <f>IF(OR(J460="",Q460=""),"",J460-Q460)</f>
        <v>0</v>
      </c>
      <c r="S460" s="50">
        <f>IF(B460="","",IF(H460="Done","Yes","No"))</f>
        <v>0</v>
      </c>
      <c r="T460" s="39">
        <f>IF(B460="","",IF(G460="","Add - what was the task?",IF(H460="Issue found",IF(M460="Yes","OK - issue reported","Action - tell the client"),IF(H460="Needs rework","Action - rework needed",IF(AND(H460="Skipped",P460="Yes"),"Check - required task skipped",IF(H460="Done","OK","Due"))))))</f>
        <v>0</v>
      </c>
    </row>
    <row r="461" spans="1:20">
      <c r="A461" s="43">
        <f>IF(B461="","","JT-"&amp;TEXT(ROW()-4,"0000"))</f>
        <v>0</v>
      </c>
      <c r="C461" s="18">
        <f>IF(B461="","",IFERROR(INDEX(Jobs!$B$5:$B$604,MATCH(B461,Jobs!$A$5:$A$604,0)),""))</f>
        <v>0</v>
      </c>
      <c r="D461" s="23">
        <f>IF(B461="","",IFERROR(INDEX(Jobs!$H$5:$H$604,MATCH(B461,Jobs!$A$5:$A$604,0)),""))</f>
        <v>0</v>
      </c>
      <c r="E461" s="23">
        <f>IF(B461="","",IFERROR(INDEX(Jobs!$K$5:$K$604,MATCH(B461,Jobs!$A$5:$A$604,0)),""))</f>
        <v>0</v>
      </c>
      <c r="P461" s="50">
        <f>IF(G461="","",IFERROR(INDEX(Checklists!$J$5:$J$404,MATCH(G461,Checklists!$F$5:$F$404,0)),"Yes"))</f>
        <v>0</v>
      </c>
      <c r="Q461" s="31">
        <f>IF(G461="","",IFERROR(INDEX(Checklists!$H$5:$H$404,MATCH(G461,Checklists!$F$5:$F$404,0)),""))</f>
        <v>0</v>
      </c>
      <c r="R461" s="31">
        <f>IF(OR(J461="",Q461=""),"",J461-Q461)</f>
        <v>0</v>
      </c>
      <c r="S461" s="50">
        <f>IF(B461="","",IF(H461="Done","Yes","No"))</f>
        <v>0</v>
      </c>
      <c r="T461" s="39">
        <f>IF(B461="","",IF(G461="","Add - what was the task?",IF(H461="Issue found",IF(M461="Yes","OK - issue reported","Action - tell the client"),IF(H461="Needs rework","Action - rework needed",IF(AND(H461="Skipped",P461="Yes"),"Check - required task skipped",IF(H461="Done","OK","Due"))))))</f>
        <v>0</v>
      </c>
    </row>
    <row r="462" spans="1:20">
      <c r="A462" s="43">
        <f>IF(B462="","","JT-"&amp;TEXT(ROW()-4,"0000"))</f>
        <v>0</v>
      </c>
      <c r="C462" s="18">
        <f>IF(B462="","",IFERROR(INDEX(Jobs!$B$5:$B$604,MATCH(B462,Jobs!$A$5:$A$604,0)),""))</f>
        <v>0</v>
      </c>
      <c r="D462" s="23">
        <f>IF(B462="","",IFERROR(INDEX(Jobs!$H$5:$H$604,MATCH(B462,Jobs!$A$5:$A$604,0)),""))</f>
        <v>0</v>
      </c>
      <c r="E462" s="23">
        <f>IF(B462="","",IFERROR(INDEX(Jobs!$K$5:$K$604,MATCH(B462,Jobs!$A$5:$A$604,0)),""))</f>
        <v>0</v>
      </c>
      <c r="P462" s="50">
        <f>IF(G462="","",IFERROR(INDEX(Checklists!$J$5:$J$404,MATCH(G462,Checklists!$F$5:$F$404,0)),"Yes"))</f>
        <v>0</v>
      </c>
      <c r="Q462" s="31">
        <f>IF(G462="","",IFERROR(INDEX(Checklists!$H$5:$H$404,MATCH(G462,Checklists!$F$5:$F$404,0)),""))</f>
        <v>0</v>
      </c>
      <c r="R462" s="31">
        <f>IF(OR(J462="",Q462=""),"",J462-Q462)</f>
        <v>0</v>
      </c>
      <c r="S462" s="50">
        <f>IF(B462="","",IF(H462="Done","Yes","No"))</f>
        <v>0</v>
      </c>
      <c r="T462" s="39">
        <f>IF(B462="","",IF(G462="","Add - what was the task?",IF(H462="Issue found",IF(M462="Yes","OK - issue reported","Action - tell the client"),IF(H462="Needs rework","Action - rework needed",IF(AND(H462="Skipped",P462="Yes"),"Check - required task skipped",IF(H462="Done","OK","Due"))))))</f>
        <v>0</v>
      </c>
    </row>
    <row r="463" spans="1:20">
      <c r="A463" s="43">
        <f>IF(B463="","","JT-"&amp;TEXT(ROW()-4,"0000"))</f>
        <v>0</v>
      </c>
      <c r="C463" s="18">
        <f>IF(B463="","",IFERROR(INDEX(Jobs!$B$5:$B$604,MATCH(B463,Jobs!$A$5:$A$604,0)),""))</f>
        <v>0</v>
      </c>
      <c r="D463" s="23">
        <f>IF(B463="","",IFERROR(INDEX(Jobs!$H$5:$H$604,MATCH(B463,Jobs!$A$5:$A$604,0)),""))</f>
        <v>0</v>
      </c>
      <c r="E463" s="23">
        <f>IF(B463="","",IFERROR(INDEX(Jobs!$K$5:$K$604,MATCH(B463,Jobs!$A$5:$A$604,0)),""))</f>
        <v>0</v>
      </c>
      <c r="P463" s="50">
        <f>IF(G463="","",IFERROR(INDEX(Checklists!$J$5:$J$404,MATCH(G463,Checklists!$F$5:$F$404,0)),"Yes"))</f>
        <v>0</v>
      </c>
      <c r="Q463" s="31">
        <f>IF(G463="","",IFERROR(INDEX(Checklists!$H$5:$H$404,MATCH(G463,Checklists!$F$5:$F$404,0)),""))</f>
        <v>0</v>
      </c>
      <c r="R463" s="31">
        <f>IF(OR(J463="",Q463=""),"",J463-Q463)</f>
        <v>0</v>
      </c>
      <c r="S463" s="50">
        <f>IF(B463="","",IF(H463="Done","Yes","No"))</f>
        <v>0</v>
      </c>
      <c r="T463" s="39">
        <f>IF(B463="","",IF(G463="","Add - what was the task?",IF(H463="Issue found",IF(M463="Yes","OK - issue reported","Action - tell the client"),IF(H463="Needs rework","Action - rework needed",IF(AND(H463="Skipped",P463="Yes"),"Check - required task skipped",IF(H463="Done","OK","Due"))))))</f>
        <v>0</v>
      </c>
    </row>
    <row r="464" spans="1:20">
      <c r="A464" s="43">
        <f>IF(B464="","","JT-"&amp;TEXT(ROW()-4,"0000"))</f>
        <v>0</v>
      </c>
      <c r="C464" s="18">
        <f>IF(B464="","",IFERROR(INDEX(Jobs!$B$5:$B$604,MATCH(B464,Jobs!$A$5:$A$604,0)),""))</f>
        <v>0</v>
      </c>
      <c r="D464" s="23">
        <f>IF(B464="","",IFERROR(INDEX(Jobs!$H$5:$H$604,MATCH(B464,Jobs!$A$5:$A$604,0)),""))</f>
        <v>0</v>
      </c>
      <c r="E464" s="23">
        <f>IF(B464="","",IFERROR(INDEX(Jobs!$K$5:$K$604,MATCH(B464,Jobs!$A$5:$A$604,0)),""))</f>
        <v>0</v>
      </c>
      <c r="P464" s="50">
        <f>IF(G464="","",IFERROR(INDEX(Checklists!$J$5:$J$404,MATCH(G464,Checklists!$F$5:$F$404,0)),"Yes"))</f>
        <v>0</v>
      </c>
      <c r="Q464" s="31">
        <f>IF(G464="","",IFERROR(INDEX(Checklists!$H$5:$H$404,MATCH(G464,Checklists!$F$5:$F$404,0)),""))</f>
        <v>0</v>
      </c>
      <c r="R464" s="31">
        <f>IF(OR(J464="",Q464=""),"",J464-Q464)</f>
        <v>0</v>
      </c>
      <c r="S464" s="50">
        <f>IF(B464="","",IF(H464="Done","Yes","No"))</f>
        <v>0</v>
      </c>
      <c r="T464" s="39">
        <f>IF(B464="","",IF(G464="","Add - what was the task?",IF(H464="Issue found",IF(M464="Yes","OK - issue reported","Action - tell the client"),IF(H464="Needs rework","Action - rework needed",IF(AND(H464="Skipped",P464="Yes"),"Check - required task skipped",IF(H464="Done","OK","Due"))))))</f>
        <v>0</v>
      </c>
    </row>
    <row r="465" spans="1:20">
      <c r="A465" s="43">
        <f>IF(B465="","","JT-"&amp;TEXT(ROW()-4,"0000"))</f>
        <v>0</v>
      </c>
      <c r="C465" s="18">
        <f>IF(B465="","",IFERROR(INDEX(Jobs!$B$5:$B$604,MATCH(B465,Jobs!$A$5:$A$604,0)),""))</f>
        <v>0</v>
      </c>
      <c r="D465" s="23">
        <f>IF(B465="","",IFERROR(INDEX(Jobs!$H$5:$H$604,MATCH(B465,Jobs!$A$5:$A$604,0)),""))</f>
        <v>0</v>
      </c>
      <c r="E465" s="23">
        <f>IF(B465="","",IFERROR(INDEX(Jobs!$K$5:$K$604,MATCH(B465,Jobs!$A$5:$A$604,0)),""))</f>
        <v>0</v>
      </c>
      <c r="P465" s="50">
        <f>IF(G465="","",IFERROR(INDEX(Checklists!$J$5:$J$404,MATCH(G465,Checklists!$F$5:$F$404,0)),"Yes"))</f>
        <v>0</v>
      </c>
      <c r="Q465" s="31">
        <f>IF(G465="","",IFERROR(INDEX(Checklists!$H$5:$H$404,MATCH(G465,Checklists!$F$5:$F$404,0)),""))</f>
        <v>0</v>
      </c>
      <c r="R465" s="31">
        <f>IF(OR(J465="",Q465=""),"",J465-Q465)</f>
        <v>0</v>
      </c>
      <c r="S465" s="50">
        <f>IF(B465="","",IF(H465="Done","Yes","No"))</f>
        <v>0</v>
      </c>
      <c r="T465" s="39">
        <f>IF(B465="","",IF(G465="","Add - what was the task?",IF(H465="Issue found",IF(M465="Yes","OK - issue reported","Action - tell the client"),IF(H465="Needs rework","Action - rework needed",IF(AND(H465="Skipped",P465="Yes"),"Check - required task skipped",IF(H465="Done","OK","Due"))))))</f>
        <v>0</v>
      </c>
    </row>
    <row r="466" spans="1:20">
      <c r="A466" s="43">
        <f>IF(B466="","","JT-"&amp;TEXT(ROW()-4,"0000"))</f>
        <v>0</v>
      </c>
      <c r="C466" s="18">
        <f>IF(B466="","",IFERROR(INDEX(Jobs!$B$5:$B$604,MATCH(B466,Jobs!$A$5:$A$604,0)),""))</f>
        <v>0</v>
      </c>
      <c r="D466" s="23">
        <f>IF(B466="","",IFERROR(INDEX(Jobs!$H$5:$H$604,MATCH(B466,Jobs!$A$5:$A$604,0)),""))</f>
        <v>0</v>
      </c>
      <c r="E466" s="23">
        <f>IF(B466="","",IFERROR(INDEX(Jobs!$K$5:$K$604,MATCH(B466,Jobs!$A$5:$A$604,0)),""))</f>
        <v>0</v>
      </c>
      <c r="P466" s="50">
        <f>IF(G466="","",IFERROR(INDEX(Checklists!$J$5:$J$404,MATCH(G466,Checklists!$F$5:$F$404,0)),"Yes"))</f>
        <v>0</v>
      </c>
      <c r="Q466" s="31">
        <f>IF(G466="","",IFERROR(INDEX(Checklists!$H$5:$H$404,MATCH(G466,Checklists!$F$5:$F$404,0)),""))</f>
        <v>0</v>
      </c>
      <c r="R466" s="31">
        <f>IF(OR(J466="",Q466=""),"",J466-Q466)</f>
        <v>0</v>
      </c>
      <c r="S466" s="50">
        <f>IF(B466="","",IF(H466="Done","Yes","No"))</f>
        <v>0</v>
      </c>
      <c r="T466" s="39">
        <f>IF(B466="","",IF(G466="","Add - what was the task?",IF(H466="Issue found",IF(M466="Yes","OK - issue reported","Action - tell the client"),IF(H466="Needs rework","Action - rework needed",IF(AND(H466="Skipped",P466="Yes"),"Check - required task skipped",IF(H466="Done","OK","Due"))))))</f>
        <v>0</v>
      </c>
    </row>
    <row r="467" spans="1:20">
      <c r="A467" s="43">
        <f>IF(B467="","","JT-"&amp;TEXT(ROW()-4,"0000"))</f>
        <v>0</v>
      </c>
      <c r="C467" s="18">
        <f>IF(B467="","",IFERROR(INDEX(Jobs!$B$5:$B$604,MATCH(B467,Jobs!$A$5:$A$604,0)),""))</f>
        <v>0</v>
      </c>
      <c r="D467" s="23">
        <f>IF(B467="","",IFERROR(INDEX(Jobs!$H$5:$H$604,MATCH(B467,Jobs!$A$5:$A$604,0)),""))</f>
        <v>0</v>
      </c>
      <c r="E467" s="23">
        <f>IF(B467="","",IFERROR(INDEX(Jobs!$K$5:$K$604,MATCH(B467,Jobs!$A$5:$A$604,0)),""))</f>
        <v>0</v>
      </c>
      <c r="P467" s="50">
        <f>IF(G467="","",IFERROR(INDEX(Checklists!$J$5:$J$404,MATCH(G467,Checklists!$F$5:$F$404,0)),"Yes"))</f>
        <v>0</v>
      </c>
      <c r="Q467" s="31">
        <f>IF(G467="","",IFERROR(INDEX(Checklists!$H$5:$H$404,MATCH(G467,Checklists!$F$5:$F$404,0)),""))</f>
        <v>0</v>
      </c>
      <c r="R467" s="31">
        <f>IF(OR(J467="",Q467=""),"",J467-Q467)</f>
        <v>0</v>
      </c>
      <c r="S467" s="50">
        <f>IF(B467="","",IF(H467="Done","Yes","No"))</f>
        <v>0</v>
      </c>
      <c r="T467" s="39">
        <f>IF(B467="","",IF(G467="","Add - what was the task?",IF(H467="Issue found",IF(M467="Yes","OK - issue reported","Action - tell the client"),IF(H467="Needs rework","Action - rework needed",IF(AND(H467="Skipped",P467="Yes"),"Check - required task skipped",IF(H467="Done","OK","Due"))))))</f>
        <v>0</v>
      </c>
    </row>
    <row r="468" spans="1:20">
      <c r="A468" s="43">
        <f>IF(B468="","","JT-"&amp;TEXT(ROW()-4,"0000"))</f>
        <v>0</v>
      </c>
      <c r="C468" s="18">
        <f>IF(B468="","",IFERROR(INDEX(Jobs!$B$5:$B$604,MATCH(B468,Jobs!$A$5:$A$604,0)),""))</f>
        <v>0</v>
      </c>
      <c r="D468" s="23">
        <f>IF(B468="","",IFERROR(INDEX(Jobs!$H$5:$H$604,MATCH(B468,Jobs!$A$5:$A$604,0)),""))</f>
        <v>0</v>
      </c>
      <c r="E468" s="23">
        <f>IF(B468="","",IFERROR(INDEX(Jobs!$K$5:$K$604,MATCH(B468,Jobs!$A$5:$A$604,0)),""))</f>
        <v>0</v>
      </c>
      <c r="P468" s="50">
        <f>IF(G468="","",IFERROR(INDEX(Checklists!$J$5:$J$404,MATCH(G468,Checklists!$F$5:$F$404,0)),"Yes"))</f>
        <v>0</v>
      </c>
      <c r="Q468" s="31">
        <f>IF(G468="","",IFERROR(INDEX(Checklists!$H$5:$H$404,MATCH(G468,Checklists!$F$5:$F$404,0)),""))</f>
        <v>0</v>
      </c>
      <c r="R468" s="31">
        <f>IF(OR(J468="",Q468=""),"",J468-Q468)</f>
        <v>0</v>
      </c>
      <c r="S468" s="50">
        <f>IF(B468="","",IF(H468="Done","Yes","No"))</f>
        <v>0</v>
      </c>
      <c r="T468" s="39">
        <f>IF(B468="","",IF(G468="","Add - what was the task?",IF(H468="Issue found",IF(M468="Yes","OK - issue reported","Action - tell the client"),IF(H468="Needs rework","Action - rework needed",IF(AND(H468="Skipped",P468="Yes"),"Check - required task skipped",IF(H468="Done","OK","Due"))))))</f>
        <v>0</v>
      </c>
    </row>
    <row r="469" spans="1:20">
      <c r="A469" s="43">
        <f>IF(B469="","","JT-"&amp;TEXT(ROW()-4,"0000"))</f>
        <v>0</v>
      </c>
      <c r="C469" s="18">
        <f>IF(B469="","",IFERROR(INDEX(Jobs!$B$5:$B$604,MATCH(B469,Jobs!$A$5:$A$604,0)),""))</f>
        <v>0</v>
      </c>
      <c r="D469" s="23">
        <f>IF(B469="","",IFERROR(INDEX(Jobs!$H$5:$H$604,MATCH(B469,Jobs!$A$5:$A$604,0)),""))</f>
        <v>0</v>
      </c>
      <c r="E469" s="23">
        <f>IF(B469="","",IFERROR(INDEX(Jobs!$K$5:$K$604,MATCH(B469,Jobs!$A$5:$A$604,0)),""))</f>
        <v>0</v>
      </c>
      <c r="P469" s="50">
        <f>IF(G469="","",IFERROR(INDEX(Checklists!$J$5:$J$404,MATCH(G469,Checklists!$F$5:$F$404,0)),"Yes"))</f>
        <v>0</v>
      </c>
      <c r="Q469" s="31">
        <f>IF(G469="","",IFERROR(INDEX(Checklists!$H$5:$H$404,MATCH(G469,Checklists!$F$5:$F$404,0)),""))</f>
        <v>0</v>
      </c>
      <c r="R469" s="31">
        <f>IF(OR(J469="",Q469=""),"",J469-Q469)</f>
        <v>0</v>
      </c>
      <c r="S469" s="50">
        <f>IF(B469="","",IF(H469="Done","Yes","No"))</f>
        <v>0</v>
      </c>
      <c r="T469" s="39">
        <f>IF(B469="","",IF(G469="","Add - what was the task?",IF(H469="Issue found",IF(M469="Yes","OK - issue reported","Action - tell the client"),IF(H469="Needs rework","Action - rework needed",IF(AND(H469="Skipped",P469="Yes"),"Check - required task skipped",IF(H469="Done","OK","Due"))))))</f>
        <v>0</v>
      </c>
    </row>
    <row r="470" spans="1:20">
      <c r="A470" s="43">
        <f>IF(B470="","","JT-"&amp;TEXT(ROW()-4,"0000"))</f>
        <v>0</v>
      </c>
      <c r="C470" s="18">
        <f>IF(B470="","",IFERROR(INDEX(Jobs!$B$5:$B$604,MATCH(B470,Jobs!$A$5:$A$604,0)),""))</f>
        <v>0</v>
      </c>
      <c r="D470" s="23">
        <f>IF(B470="","",IFERROR(INDEX(Jobs!$H$5:$H$604,MATCH(B470,Jobs!$A$5:$A$604,0)),""))</f>
        <v>0</v>
      </c>
      <c r="E470" s="23">
        <f>IF(B470="","",IFERROR(INDEX(Jobs!$K$5:$K$604,MATCH(B470,Jobs!$A$5:$A$604,0)),""))</f>
        <v>0</v>
      </c>
      <c r="P470" s="50">
        <f>IF(G470="","",IFERROR(INDEX(Checklists!$J$5:$J$404,MATCH(G470,Checklists!$F$5:$F$404,0)),"Yes"))</f>
        <v>0</v>
      </c>
      <c r="Q470" s="31">
        <f>IF(G470="","",IFERROR(INDEX(Checklists!$H$5:$H$404,MATCH(G470,Checklists!$F$5:$F$404,0)),""))</f>
        <v>0</v>
      </c>
      <c r="R470" s="31">
        <f>IF(OR(J470="",Q470=""),"",J470-Q470)</f>
        <v>0</v>
      </c>
      <c r="S470" s="50">
        <f>IF(B470="","",IF(H470="Done","Yes","No"))</f>
        <v>0</v>
      </c>
      <c r="T470" s="39">
        <f>IF(B470="","",IF(G470="","Add - what was the task?",IF(H470="Issue found",IF(M470="Yes","OK - issue reported","Action - tell the client"),IF(H470="Needs rework","Action - rework needed",IF(AND(H470="Skipped",P470="Yes"),"Check - required task skipped",IF(H470="Done","OK","Due"))))))</f>
        <v>0</v>
      </c>
    </row>
    <row r="471" spans="1:20">
      <c r="A471" s="43">
        <f>IF(B471="","","JT-"&amp;TEXT(ROW()-4,"0000"))</f>
        <v>0</v>
      </c>
      <c r="C471" s="18">
        <f>IF(B471="","",IFERROR(INDEX(Jobs!$B$5:$B$604,MATCH(B471,Jobs!$A$5:$A$604,0)),""))</f>
        <v>0</v>
      </c>
      <c r="D471" s="23">
        <f>IF(B471="","",IFERROR(INDEX(Jobs!$H$5:$H$604,MATCH(B471,Jobs!$A$5:$A$604,0)),""))</f>
        <v>0</v>
      </c>
      <c r="E471" s="23">
        <f>IF(B471="","",IFERROR(INDEX(Jobs!$K$5:$K$604,MATCH(B471,Jobs!$A$5:$A$604,0)),""))</f>
        <v>0</v>
      </c>
      <c r="P471" s="50">
        <f>IF(G471="","",IFERROR(INDEX(Checklists!$J$5:$J$404,MATCH(G471,Checklists!$F$5:$F$404,0)),"Yes"))</f>
        <v>0</v>
      </c>
      <c r="Q471" s="31">
        <f>IF(G471="","",IFERROR(INDEX(Checklists!$H$5:$H$404,MATCH(G471,Checklists!$F$5:$F$404,0)),""))</f>
        <v>0</v>
      </c>
      <c r="R471" s="31">
        <f>IF(OR(J471="",Q471=""),"",J471-Q471)</f>
        <v>0</v>
      </c>
      <c r="S471" s="50">
        <f>IF(B471="","",IF(H471="Done","Yes","No"))</f>
        <v>0</v>
      </c>
      <c r="T471" s="39">
        <f>IF(B471="","",IF(G471="","Add - what was the task?",IF(H471="Issue found",IF(M471="Yes","OK - issue reported","Action - tell the client"),IF(H471="Needs rework","Action - rework needed",IF(AND(H471="Skipped",P471="Yes"),"Check - required task skipped",IF(H471="Done","OK","Due"))))))</f>
        <v>0</v>
      </c>
    </row>
    <row r="472" spans="1:20">
      <c r="A472" s="43">
        <f>IF(B472="","","JT-"&amp;TEXT(ROW()-4,"0000"))</f>
        <v>0</v>
      </c>
      <c r="C472" s="18">
        <f>IF(B472="","",IFERROR(INDEX(Jobs!$B$5:$B$604,MATCH(B472,Jobs!$A$5:$A$604,0)),""))</f>
        <v>0</v>
      </c>
      <c r="D472" s="23">
        <f>IF(B472="","",IFERROR(INDEX(Jobs!$H$5:$H$604,MATCH(B472,Jobs!$A$5:$A$604,0)),""))</f>
        <v>0</v>
      </c>
      <c r="E472" s="23">
        <f>IF(B472="","",IFERROR(INDEX(Jobs!$K$5:$K$604,MATCH(B472,Jobs!$A$5:$A$604,0)),""))</f>
        <v>0</v>
      </c>
      <c r="P472" s="50">
        <f>IF(G472="","",IFERROR(INDEX(Checklists!$J$5:$J$404,MATCH(G472,Checklists!$F$5:$F$404,0)),"Yes"))</f>
        <v>0</v>
      </c>
      <c r="Q472" s="31">
        <f>IF(G472="","",IFERROR(INDEX(Checklists!$H$5:$H$404,MATCH(G472,Checklists!$F$5:$F$404,0)),""))</f>
        <v>0</v>
      </c>
      <c r="R472" s="31">
        <f>IF(OR(J472="",Q472=""),"",J472-Q472)</f>
        <v>0</v>
      </c>
      <c r="S472" s="50">
        <f>IF(B472="","",IF(H472="Done","Yes","No"))</f>
        <v>0</v>
      </c>
      <c r="T472" s="39">
        <f>IF(B472="","",IF(G472="","Add - what was the task?",IF(H472="Issue found",IF(M472="Yes","OK - issue reported","Action - tell the client"),IF(H472="Needs rework","Action - rework needed",IF(AND(H472="Skipped",P472="Yes"),"Check - required task skipped",IF(H472="Done","OK","Due"))))))</f>
        <v>0</v>
      </c>
    </row>
    <row r="473" spans="1:20">
      <c r="A473" s="43">
        <f>IF(B473="","","JT-"&amp;TEXT(ROW()-4,"0000"))</f>
        <v>0</v>
      </c>
      <c r="C473" s="18">
        <f>IF(B473="","",IFERROR(INDEX(Jobs!$B$5:$B$604,MATCH(B473,Jobs!$A$5:$A$604,0)),""))</f>
        <v>0</v>
      </c>
      <c r="D473" s="23">
        <f>IF(B473="","",IFERROR(INDEX(Jobs!$H$5:$H$604,MATCH(B473,Jobs!$A$5:$A$604,0)),""))</f>
        <v>0</v>
      </c>
      <c r="E473" s="23">
        <f>IF(B473="","",IFERROR(INDEX(Jobs!$K$5:$K$604,MATCH(B473,Jobs!$A$5:$A$604,0)),""))</f>
        <v>0</v>
      </c>
      <c r="P473" s="50">
        <f>IF(G473="","",IFERROR(INDEX(Checklists!$J$5:$J$404,MATCH(G473,Checklists!$F$5:$F$404,0)),"Yes"))</f>
        <v>0</v>
      </c>
      <c r="Q473" s="31">
        <f>IF(G473="","",IFERROR(INDEX(Checklists!$H$5:$H$404,MATCH(G473,Checklists!$F$5:$F$404,0)),""))</f>
        <v>0</v>
      </c>
      <c r="R473" s="31">
        <f>IF(OR(J473="",Q473=""),"",J473-Q473)</f>
        <v>0</v>
      </c>
      <c r="S473" s="50">
        <f>IF(B473="","",IF(H473="Done","Yes","No"))</f>
        <v>0</v>
      </c>
      <c r="T473" s="39">
        <f>IF(B473="","",IF(G473="","Add - what was the task?",IF(H473="Issue found",IF(M473="Yes","OK - issue reported","Action - tell the client"),IF(H473="Needs rework","Action - rework needed",IF(AND(H473="Skipped",P473="Yes"),"Check - required task skipped",IF(H473="Done","OK","Due"))))))</f>
        <v>0</v>
      </c>
    </row>
    <row r="474" spans="1:20">
      <c r="A474" s="43">
        <f>IF(B474="","","JT-"&amp;TEXT(ROW()-4,"0000"))</f>
        <v>0</v>
      </c>
      <c r="C474" s="18">
        <f>IF(B474="","",IFERROR(INDEX(Jobs!$B$5:$B$604,MATCH(B474,Jobs!$A$5:$A$604,0)),""))</f>
        <v>0</v>
      </c>
      <c r="D474" s="23">
        <f>IF(B474="","",IFERROR(INDEX(Jobs!$H$5:$H$604,MATCH(B474,Jobs!$A$5:$A$604,0)),""))</f>
        <v>0</v>
      </c>
      <c r="E474" s="23">
        <f>IF(B474="","",IFERROR(INDEX(Jobs!$K$5:$K$604,MATCH(B474,Jobs!$A$5:$A$604,0)),""))</f>
        <v>0</v>
      </c>
      <c r="P474" s="50">
        <f>IF(G474="","",IFERROR(INDEX(Checklists!$J$5:$J$404,MATCH(G474,Checklists!$F$5:$F$404,0)),"Yes"))</f>
        <v>0</v>
      </c>
      <c r="Q474" s="31">
        <f>IF(G474="","",IFERROR(INDEX(Checklists!$H$5:$H$404,MATCH(G474,Checklists!$F$5:$F$404,0)),""))</f>
        <v>0</v>
      </c>
      <c r="R474" s="31">
        <f>IF(OR(J474="",Q474=""),"",J474-Q474)</f>
        <v>0</v>
      </c>
      <c r="S474" s="50">
        <f>IF(B474="","",IF(H474="Done","Yes","No"))</f>
        <v>0</v>
      </c>
      <c r="T474" s="39">
        <f>IF(B474="","",IF(G474="","Add - what was the task?",IF(H474="Issue found",IF(M474="Yes","OK - issue reported","Action - tell the client"),IF(H474="Needs rework","Action - rework needed",IF(AND(H474="Skipped",P474="Yes"),"Check - required task skipped",IF(H474="Done","OK","Due"))))))</f>
        <v>0</v>
      </c>
    </row>
    <row r="475" spans="1:20">
      <c r="A475" s="43">
        <f>IF(B475="","","JT-"&amp;TEXT(ROW()-4,"0000"))</f>
        <v>0</v>
      </c>
      <c r="C475" s="18">
        <f>IF(B475="","",IFERROR(INDEX(Jobs!$B$5:$B$604,MATCH(B475,Jobs!$A$5:$A$604,0)),""))</f>
        <v>0</v>
      </c>
      <c r="D475" s="23">
        <f>IF(B475="","",IFERROR(INDEX(Jobs!$H$5:$H$604,MATCH(B475,Jobs!$A$5:$A$604,0)),""))</f>
        <v>0</v>
      </c>
      <c r="E475" s="23">
        <f>IF(B475="","",IFERROR(INDEX(Jobs!$K$5:$K$604,MATCH(B475,Jobs!$A$5:$A$604,0)),""))</f>
        <v>0</v>
      </c>
      <c r="P475" s="50">
        <f>IF(G475="","",IFERROR(INDEX(Checklists!$J$5:$J$404,MATCH(G475,Checklists!$F$5:$F$404,0)),"Yes"))</f>
        <v>0</v>
      </c>
      <c r="Q475" s="31">
        <f>IF(G475="","",IFERROR(INDEX(Checklists!$H$5:$H$404,MATCH(G475,Checklists!$F$5:$F$404,0)),""))</f>
        <v>0</v>
      </c>
      <c r="R475" s="31">
        <f>IF(OR(J475="",Q475=""),"",J475-Q475)</f>
        <v>0</v>
      </c>
      <c r="S475" s="50">
        <f>IF(B475="","",IF(H475="Done","Yes","No"))</f>
        <v>0</v>
      </c>
      <c r="T475" s="39">
        <f>IF(B475="","",IF(G475="","Add - what was the task?",IF(H475="Issue found",IF(M475="Yes","OK - issue reported","Action - tell the client"),IF(H475="Needs rework","Action - rework needed",IF(AND(H475="Skipped",P475="Yes"),"Check - required task skipped",IF(H475="Done","OK","Due"))))))</f>
        <v>0</v>
      </c>
    </row>
    <row r="476" spans="1:20">
      <c r="A476" s="43">
        <f>IF(B476="","","JT-"&amp;TEXT(ROW()-4,"0000"))</f>
        <v>0</v>
      </c>
      <c r="C476" s="18">
        <f>IF(B476="","",IFERROR(INDEX(Jobs!$B$5:$B$604,MATCH(B476,Jobs!$A$5:$A$604,0)),""))</f>
        <v>0</v>
      </c>
      <c r="D476" s="23">
        <f>IF(B476="","",IFERROR(INDEX(Jobs!$H$5:$H$604,MATCH(B476,Jobs!$A$5:$A$604,0)),""))</f>
        <v>0</v>
      </c>
      <c r="E476" s="23">
        <f>IF(B476="","",IFERROR(INDEX(Jobs!$K$5:$K$604,MATCH(B476,Jobs!$A$5:$A$604,0)),""))</f>
        <v>0</v>
      </c>
      <c r="P476" s="50">
        <f>IF(G476="","",IFERROR(INDEX(Checklists!$J$5:$J$404,MATCH(G476,Checklists!$F$5:$F$404,0)),"Yes"))</f>
        <v>0</v>
      </c>
      <c r="Q476" s="31">
        <f>IF(G476="","",IFERROR(INDEX(Checklists!$H$5:$H$404,MATCH(G476,Checklists!$F$5:$F$404,0)),""))</f>
        <v>0</v>
      </c>
      <c r="R476" s="31">
        <f>IF(OR(J476="",Q476=""),"",J476-Q476)</f>
        <v>0</v>
      </c>
      <c r="S476" s="50">
        <f>IF(B476="","",IF(H476="Done","Yes","No"))</f>
        <v>0</v>
      </c>
      <c r="T476" s="39">
        <f>IF(B476="","",IF(G476="","Add - what was the task?",IF(H476="Issue found",IF(M476="Yes","OK - issue reported","Action - tell the client"),IF(H476="Needs rework","Action - rework needed",IF(AND(H476="Skipped",P476="Yes"),"Check - required task skipped",IF(H476="Done","OK","Due"))))))</f>
        <v>0</v>
      </c>
    </row>
    <row r="477" spans="1:20">
      <c r="A477" s="43">
        <f>IF(B477="","","JT-"&amp;TEXT(ROW()-4,"0000"))</f>
        <v>0</v>
      </c>
      <c r="C477" s="18">
        <f>IF(B477="","",IFERROR(INDEX(Jobs!$B$5:$B$604,MATCH(B477,Jobs!$A$5:$A$604,0)),""))</f>
        <v>0</v>
      </c>
      <c r="D477" s="23">
        <f>IF(B477="","",IFERROR(INDEX(Jobs!$H$5:$H$604,MATCH(B477,Jobs!$A$5:$A$604,0)),""))</f>
        <v>0</v>
      </c>
      <c r="E477" s="23">
        <f>IF(B477="","",IFERROR(INDEX(Jobs!$K$5:$K$604,MATCH(B477,Jobs!$A$5:$A$604,0)),""))</f>
        <v>0</v>
      </c>
      <c r="P477" s="50">
        <f>IF(G477="","",IFERROR(INDEX(Checklists!$J$5:$J$404,MATCH(G477,Checklists!$F$5:$F$404,0)),"Yes"))</f>
        <v>0</v>
      </c>
      <c r="Q477" s="31">
        <f>IF(G477="","",IFERROR(INDEX(Checklists!$H$5:$H$404,MATCH(G477,Checklists!$F$5:$F$404,0)),""))</f>
        <v>0</v>
      </c>
      <c r="R477" s="31">
        <f>IF(OR(J477="",Q477=""),"",J477-Q477)</f>
        <v>0</v>
      </c>
      <c r="S477" s="50">
        <f>IF(B477="","",IF(H477="Done","Yes","No"))</f>
        <v>0</v>
      </c>
      <c r="T477" s="39">
        <f>IF(B477="","",IF(G477="","Add - what was the task?",IF(H477="Issue found",IF(M477="Yes","OK - issue reported","Action - tell the client"),IF(H477="Needs rework","Action - rework needed",IF(AND(H477="Skipped",P477="Yes"),"Check - required task skipped",IF(H477="Done","OK","Due"))))))</f>
        <v>0</v>
      </c>
    </row>
    <row r="478" spans="1:20">
      <c r="A478" s="43">
        <f>IF(B478="","","JT-"&amp;TEXT(ROW()-4,"0000"))</f>
        <v>0</v>
      </c>
      <c r="C478" s="18">
        <f>IF(B478="","",IFERROR(INDEX(Jobs!$B$5:$B$604,MATCH(B478,Jobs!$A$5:$A$604,0)),""))</f>
        <v>0</v>
      </c>
      <c r="D478" s="23">
        <f>IF(B478="","",IFERROR(INDEX(Jobs!$H$5:$H$604,MATCH(B478,Jobs!$A$5:$A$604,0)),""))</f>
        <v>0</v>
      </c>
      <c r="E478" s="23">
        <f>IF(B478="","",IFERROR(INDEX(Jobs!$K$5:$K$604,MATCH(B478,Jobs!$A$5:$A$604,0)),""))</f>
        <v>0</v>
      </c>
      <c r="P478" s="50">
        <f>IF(G478="","",IFERROR(INDEX(Checklists!$J$5:$J$404,MATCH(G478,Checklists!$F$5:$F$404,0)),"Yes"))</f>
        <v>0</v>
      </c>
      <c r="Q478" s="31">
        <f>IF(G478="","",IFERROR(INDEX(Checklists!$H$5:$H$404,MATCH(G478,Checklists!$F$5:$F$404,0)),""))</f>
        <v>0</v>
      </c>
      <c r="R478" s="31">
        <f>IF(OR(J478="",Q478=""),"",J478-Q478)</f>
        <v>0</v>
      </c>
      <c r="S478" s="50">
        <f>IF(B478="","",IF(H478="Done","Yes","No"))</f>
        <v>0</v>
      </c>
      <c r="T478" s="39">
        <f>IF(B478="","",IF(G478="","Add - what was the task?",IF(H478="Issue found",IF(M478="Yes","OK - issue reported","Action - tell the client"),IF(H478="Needs rework","Action - rework needed",IF(AND(H478="Skipped",P478="Yes"),"Check - required task skipped",IF(H478="Done","OK","Due"))))))</f>
        <v>0</v>
      </c>
    </row>
    <row r="479" spans="1:20">
      <c r="A479" s="43">
        <f>IF(B479="","","JT-"&amp;TEXT(ROW()-4,"0000"))</f>
        <v>0</v>
      </c>
      <c r="C479" s="18">
        <f>IF(B479="","",IFERROR(INDEX(Jobs!$B$5:$B$604,MATCH(B479,Jobs!$A$5:$A$604,0)),""))</f>
        <v>0</v>
      </c>
      <c r="D479" s="23">
        <f>IF(B479="","",IFERROR(INDEX(Jobs!$H$5:$H$604,MATCH(B479,Jobs!$A$5:$A$604,0)),""))</f>
        <v>0</v>
      </c>
      <c r="E479" s="23">
        <f>IF(B479="","",IFERROR(INDEX(Jobs!$K$5:$K$604,MATCH(B479,Jobs!$A$5:$A$604,0)),""))</f>
        <v>0</v>
      </c>
      <c r="P479" s="50">
        <f>IF(G479="","",IFERROR(INDEX(Checklists!$J$5:$J$404,MATCH(G479,Checklists!$F$5:$F$404,0)),"Yes"))</f>
        <v>0</v>
      </c>
      <c r="Q479" s="31">
        <f>IF(G479="","",IFERROR(INDEX(Checklists!$H$5:$H$404,MATCH(G479,Checklists!$F$5:$F$404,0)),""))</f>
        <v>0</v>
      </c>
      <c r="R479" s="31">
        <f>IF(OR(J479="",Q479=""),"",J479-Q479)</f>
        <v>0</v>
      </c>
      <c r="S479" s="50">
        <f>IF(B479="","",IF(H479="Done","Yes","No"))</f>
        <v>0</v>
      </c>
      <c r="T479" s="39">
        <f>IF(B479="","",IF(G479="","Add - what was the task?",IF(H479="Issue found",IF(M479="Yes","OK - issue reported","Action - tell the client"),IF(H479="Needs rework","Action - rework needed",IF(AND(H479="Skipped",P479="Yes"),"Check - required task skipped",IF(H479="Done","OK","Due"))))))</f>
        <v>0</v>
      </c>
    </row>
    <row r="480" spans="1:20">
      <c r="A480" s="43">
        <f>IF(B480="","","JT-"&amp;TEXT(ROW()-4,"0000"))</f>
        <v>0</v>
      </c>
      <c r="C480" s="18">
        <f>IF(B480="","",IFERROR(INDEX(Jobs!$B$5:$B$604,MATCH(B480,Jobs!$A$5:$A$604,0)),""))</f>
        <v>0</v>
      </c>
      <c r="D480" s="23">
        <f>IF(B480="","",IFERROR(INDEX(Jobs!$H$5:$H$604,MATCH(B480,Jobs!$A$5:$A$604,0)),""))</f>
        <v>0</v>
      </c>
      <c r="E480" s="23">
        <f>IF(B480="","",IFERROR(INDEX(Jobs!$K$5:$K$604,MATCH(B480,Jobs!$A$5:$A$604,0)),""))</f>
        <v>0</v>
      </c>
      <c r="P480" s="50">
        <f>IF(G480="","",IFERROR(INDEX(Checklists!$J$5:$J$404,MATCH(G480,Checklists!$F$5:$F$404,0)),"Yes"))</f>
        <v>0</v>
      </c>
      <c r="Q480" s="31">
        <f>IF(G480="","",IFERROR(INDEX(Checklists!$H$5:$H$404,MATCH(G480,Checklists!$F$5:$F$404,0)),""))</f>
        <v>0</v>
      </c>
      <c r="R480" s="31">
        <f>IF(OR(J480="",Q480=""),"",J480-Q480)</f>
        <v>0</v>
      </c>
      <c r="S480" s="50">
        <f>IF(B480="","",IF(H480="Done","Yes","No"))</f>
        <v>0</v>
      </c>
      <c r="T480" s="39">
        <f>IF(B480="","",IF(G480="","Add - what was the task?",IF(H480="Issue found",IF(M480="Yes","OK - issue reported","Action - tell the client"),IF(H480="Needs rework","Action - rework needed",IF(AND(H480="Skipped",P480="Yes"),"Check - required task skipped",IF(H480="Done","OK","Due"))))))</f>
        <v>0</v>
      </c>
    </row>
    <row r="481" spans="1:20">
      <c r="A481" s="43">
        <f>IF(B481="","","JT-"&amp;TEXT(ROW()-4,"0000"))</f>
        <v>0</v>
      </c>
      <c r="C481" s="18">
        <f>IF(B481="","",IFERROR(INDEX(Jobs!$B$5:$B$604,MATCH(B481,Jobs!$A$5:$A$604,0)),""))</f>
        <v>0</v>
      </c>
      <c r="D481" s="23">
        <f>IF(B481="","",IFERROR(INDEX(Jobs!$H$5:$H$604,MATCH(B481,Jobs!$A$5:$A$604,0)),""))</f>
        <v>0</v>
      </c>
      <c r="E481" s="23">
        <f>IF(B481="","",IFERROR(INDEX(Jobs!$K$5:$K$604,MATCH(B481,Jobs!$A$5:$A$604,0)),""))</f>
        <v>0</v>
      </c>
      <c r="P481" s="50">
        <f>IF(G481="","",IFERROR(INDEX(Checklists!$J$5:$J$404,MATCH(G481,Checklists!$F$5:$F$404,0)),"Yes"))</f>
        <v>0</v>
      </c>
      <c r="Q481" s="31">
        <f>IF(G481="","",IFERROR(INDEX(Checklists!$H$5:$H$404,MATCH(G481,Checklists!$F$5:$F$404,0)),""))</f>
        <v>0</v>
      </c>
      <c r="R481" s="31">
        <f>IF(OR(J481="",Q481=""),"",J481-Q481)</f>
        <v>0</v>
      </c>
      <c r="S481" s="50">
        <f>IF(B481="","",IF(H481="Done","Yes","No"))</f>
        <v>0</v>
      </c>
      <c r="T481" s="39">
        <f>IF(B481="","",IF(G481="","Add - what was the task?",IF(H481="Issue found",IF(M481="Yes","OK - issue reported","Action - tell the client"),IF(H481="Needs rework","Action - rework needed",IF(AND(H481="Skipped",P481="Yes"),"Check - required task skipped",IF(H481="Done","OK","Due"))))))</f>
        <v>0</v>
      </c>
    </row>
    <row r="482" spans="1:20">
      <c r="A482" s="43">
        <f>IF(B482="","","JT-"&amp;TEXT(ROW()-4,"0000"))</f>
        <v>0</v>
      </c>
      <c r="C482" s="18">
        <f>IF(B482="","",IFERROR(INDEX(Jobs!$B$5:$B$604,MATCH(B482,Jobs!$A$5:$A$604,0)),""))</f>
        <v>0</v>
      </c>
      <c r="D482" s="23">
        <f>IF(B482="","",IFERROR(INDEX(Jobs!$H$5:$H$604,MATCH(B482,Jobs!$A$5:$A$604,0)),""))</f>
        <v>0</v>
      </c>
      <c r="E482" s="23">
        <f>IF(B482="","",IFERROR(INDEX(Jobs!$K$5:$K$604,MATCH(B482,Jobs!$A$5:$A$604,0)),""))</f>
        <v>0</v>
      </c>
      <c r="P482" s="50">
        <f>IF(G482="","",IFERROR(INDEX(Checklists!$J$5:$J$404,MATCH(G482,Checklists!$F$5:$F$404,0)),"Yes"))</f>
        <v>0</v>
      </c>
      <c r="Q482" s="31">
        <f>IF(G482="","",IFERROR(INDEX(Checklists!$H$5:$H$404,MATCH(G482,Checklists!$F$5:$F$404,0)),""))</f>
        <v>0</v>
      </c>
      <c r="R482" s="31">
        <f>IF(OR(J482="",Q482=""),"",J482-Q482)</f>
        <v>0</v>
      </c>
      <c r="S482" s="50">
        <f>IF(B482="","",IF(H482="Done","Yes","No"))</f>
        <v>0</v>
      </c>
      <c r="T482" s="39">
        <f>IF(B482="","",IF(G482="","Add - what was the task?",IF(H482="Issue found",IF(M482="Yes","OK - issue reported","Action - tell the client"),IF(H482="Needs rework","Action - rework needed",IF(AND(H482="Skipped",P482="Yes"),"Check - required task skipped",IF(H482="Done","OK","Due"))))))</f>
        <v>0</v>
      </c>
    </row>
    <row r="483" spans="1:20">
      <c r="A483" s="43">
        <f>IF(B483="","","JT-"&amp;TEXT(ROW()-4,"0000"))</f>
        <v>0</v>
      </c>
      <c r="C483" s="18">
        <f>IF(B483="","",IFERROR(INDEX(Jobs!$B$5:$B$604,MATCH(B483,Jobs!$A$5:$A$604,0)),""))</f>
        <v>0</v>
      </c>
      <c r="D483" s="23">
        <f>IF(B483="","",IFERROR(INDEX(Jobs!$H$5:$H$604,MATCH(B483,Jobs!$A$5:$A$604,0)),""))</f>
        <v>0</v>
      </c>
      <c r="E483" s="23">
        <f>IF(B483="","",IFERROR(INDEX(Jobs!$K$5:$K$604,MATCH(B483,Jobs!$A$5:$A$604,0)),""))</f>
        <v>0</v>
      </c>
      <c r="P483" s="50">
        <f>IF(G483="","",IFERROR(INDEX(Checklists!$J$5:$J$404,MATCH(G483,Checklists!$F$5:$F$404,0)),"Yes"))</f>
        <v>0</v>
      </c>
      <c r="Q483" s="31">
        <f>IF(G483="","",IFERROR(INDEX(Checklists!$H$5:$H$404,MATCH(G483,Checklists!$F$5:$F$404,0)),""))</f>
        <v>0</v>
      </c>
      <c r="R483" s="31">
        <f>IF(OR(J483="",Q483=""),"",J483-Q483)</f>
        <v>0</v>
      </c>
      <c r="S483" s="50">
        <f>IF(B483="","",IF(H483="Done","Yes","No"))</f>
        <v>0</v>
      </c>
      <c r="T483" s="39">
        <f>IF(B483="","",IF(G483="","Add - what was the task?",IF(H483="Issue found",IF(M483="Yes","OK - issue reported","Action - tell the client"),IF(H483="Needs rework","Action - rework needed",IF(AND(H483="Skipped",P483="Yes"),"Check - required task skipped",IF(H483="Done","OK","Due"))))))</f>
        <v>0</v>
      </c>
    </row>
    <row r="484" spans="1:20">
      <c r="A484" s="43">
        <f>IF(B484="","","JT-"&amp;TEXT(ROW()-4,"0000"))</f>
        <v>0</v>
      </c>
      <c r="C484" s="18">
        <f>IF(B484="","",IFERROR(INDEX(Jobs!$B$5:$B$604,MATCH(B484,Jobs!$A$5:$A$604,0)),""))</f>
        <v>0</v>
      </c>
      <c r="D484" s="23">
        <f>IF(B484="","",IFERROR(INDEX(Jobs!$H$5:$H$604,MATCH(B484,Jobs!$A$5:$A$604,0)),""))</f>
        <v>0</v>
      </c>
      <c r="E484" s="23">
        <f>IF(B484="","",IFERROR(INDEX(Jobs!$K$5:$K$604,MATCH(B484,Jobs!$A$5:$A$604,0)),""))</f>
        <v>0</v>
      </c>
      <c r="P484" s="50">
        <f>IF(G484="","",IFERROR(INDEX(Checklists!$J$5:$J$404,MATCH(G484,Checklists!$F$5:$F$404,0)),"Yes"))</f>
        <v>0</v>
      </c>
      <c r="Q484" s="31">
        <f>IF(G484="","",IFERROR(INDEX(Checklists!$H$5:$H$404,MATCH(G484,Checklists!$F$5:$F$404,0)),""))</f>
        <v>0</v>
      </c>
      <c r="R484" s="31">
        <f>IF(OR(J484="",Q484=""),"",J484-Q484)</f>
        <v>0</v>
      </c>
      <c r="S484" s="50">
        <f>IF(B484="","",IF(H484="Done","Yes","No"))</f>
        <v>0</v>
      </c>
      <c r="T484" s="39">
        <f>IF(B484="","",IF(G484="","Add - what was the task?",IF(H484="Issue found",IF(M484="Yes","OK - issue reported","Action - tell the client"),IF(H484="Needs rework","Action - rework needed",IF(AND(H484="Skipped",P484="Yes"),"Check - required task skipped",IF(H484="Done","OK","Due"))))))</f>
        <v>0</v>
      </c>
    </row>
    <row r="485" spans="1:20">
      <c r="A485" s="43">
        <f>IF(B485="","","JT-"&amp;TEXT(ROW()-4,"0000"))</f>
        <v>0</v>
      </c>
      <c r="C485" s="18">
        <f>IF(B485="","",IFERROR(INDEX(Jobs!$B$5:$B$604,MATCH(B485,Jobs!$A$5:$A$604,0)),""))</f>
        <v>0</v>
      </c>
      <c r="D485" s="23">
        <f>IF(B485="","",IFERROR(INDEX(Jobs!$H$5:$H$604,MATCH(B485,Jobs!$A$5:$A$604,0)),""))</f>
        <v>0</v>
      </c>
      <c r="E485" s="23">
        <f>IF(B485="","",IFERROR(INDEX(Jobs!$K$5:$K$604,MATCH(B485,Jobs!$A$5:$A$604,0)),""))</f>
        <v>0</v>
      </c>
      <c r="P485" s="50">
        <f>IF(G485="","",IFERROR(INDEX(Checklists!$J$5:$J$404,MATCH(G485,Checklists!$F$5:$F$404,0)),"Yes"))</f>
        <v>0</v>
      </c>
      <c r="Q485" s="31">
        <f>IF(G485="","",IFERROR(INDEX(Checklists!$H$5:$H$404,MATCH(G485,Checklists!$F$5:$F$404,0)),""))</f>
        <v>0</v>
      </c>
      <c r="R485" s="31">
        <f>IF(OR(J485="",Q485=""),"",J485-Q485)</f>
        <v>0</v>
      </c>
      <c r="S485" s="50">
        <f>IF(B485="","",IF(H485="Done","Yes","No"))</f>
        <v>0</v>
      </c>
      <c r="T485" s="39">
        <f>IF(B485="","",IF(G485="","Add - what was the task?",IF(H485="Issue found",IF(M485="Yes","OK - issue reported","Action - tell the client"),IF(H485="Needs rework","Action - rework needed",IF(AND(H485="Skipped",P485="Yes"),"Check - required task skipped",IF(H485="Done","OK","Due"))))))</f>
        <v>0</v>
      </c>
    </row>
    <row r="486" spans="1:20">
      <c r="A486" s="43">
        <f>IF(B486="","","JT-"&amp;TEXT(ROW()-4,"0000"))</f>
        <v>0</v>
      </c>
      <c r="C486" s="18">
        <f>IF(B486="","",IFERROR(INDEX(Jobs!$B$5:$B$604,MATCH(B486,Jobs!$A$5:$A$604,0)),""))</f>
        <v>0</v>
      </c>
      <c r="D486" s="23">
        <f>IF(B486="","",IFERROR(INDEX(Jobs!$H$5:$H$604,MATCH(B486,Jobs!$A$5:$A$604,0)),""))</f>
        <v>0</v>
      </c>
      <c r="E486" s="23">
        <f>IF(B486="","",IFERROR(INDEX(Jobs!$K$5:$K$604,MATCH(B486,Jobs!$A$5:$A$604,0)),""))</f>
        <v>0</v>
      </c>
      <c r="P486" s="50">
        <f>IF(G486="","",IFERROR(INDEX(Checklists!$J$5:$J$404,MATCH(G486,Checklists!$F$5:$F$404,0)),"Yes"))</f>
        <v>0</v>
      </c>
      <c r="Q486" s="31">
        <f>IF(G486="","",IFERROR(INDEX(Checklists!$H$5:$H$404,MATCH(G486,Checklists!$F$5:$F$404,0)),""))</f>
        <v>0</v>
      </c>
      <c r="R486" s="31">
        <f>IF(OR(J486="",Q486=""),"",J486-Q486)</f>
        <v>0</v>
      </c>
      <c r="S486" s="50">
        <f>IF(B486="","",IF(H486="Done","Yes","No"))</f>
        <v>0</v>
      </c>
      <c r="T486" s="39">
        <f>IF(B486="","",IF(G486="","Add - what was the task?",IF(H486="Issue found",IF(M486="Yes","OK - issue reported","Action - tell the client"),IF(H486="Needs rework","Action - rework needed",IF(AND(H486="Skipped",P486="Yes"),"Check - required task skipped",IF(H486="Done","OK","Due"))))))</f>
        <v>0</v>
      </c>
    </row>
    <row r="487" spans="1:20">
      <c r="A487" s="43">
        <f>IF(B487="","","JT-"&amp;TEXT(ROW()-4,"0000"))</f>
        <v>0</v>
      </c>
      <c r="C487" s="18">
        <f>IF(B487="","",IFERROR(INDEX(Jobs!$B$5:$B$604,MATCH(B487,Jobs!$A$5:$A$604,0)),""))</f>
        <v>0</v>
      </c>
      <c r="D487" s="23">
        <f>IF(B487="","",IFERROR(INDEX(Jobs!$H$5:$H$604,MATCH(B487,Jobs!$A$5:$A$604,0)),""))</f>
        <v>0</v>
      </c>
      <c r="E487" s="23">
        <f>IF(B487="","",IFERROR(INDEX(Jobs!$K$5:$K$604,MATCH(B487,Jobs!$A$5:$A$604,0)),""))</f>
        <v>0</v>
      </c>
      <c r="P487" s="50">
        <f>IF(G487="","",IFERROR(INDEX(Checklists!$J$5:$J$404,MATCH(G487,Checklists!$F$5:$F$404,0)),"Yes"))</f>
        <v>0</v>
      </c>
      <c r="Q487" s="31">
        <f>IF(G487="","",IFERROR(INDEX(Checklists!$H$5:$H$404,MATCH(G487,Checklists!$F$5:$F$404,0)),""))</f>
        <v>0</v>
      </c>
      <c r="R487" s="31">
        <f>IF(OR(J487="",Q487=""),"",J487-Q487)</f>
        <v>0</v>
      </c>
      <c r="S487" s="50">
        <f>IF(B487="","",IF(H487="Done","Yes","No"))</f>
        <v>0</v>
      </c>
      <c r="T487" s="39">
        <f>IF(B487="","",IF(G487="","Add - what was the task?",IF(H487="Issue found",IF(M487="Yes","OK - issue reported","Action - tell the client"),IF(H487="Needs rework","Action - rework needed",IF(AND(H487="Skipped",P487="Yes"),"Check - required task skipped",IF(H487="Done","OK","Due"))))))</f>
        <v>0</v>
      </c>
    </row>
    <row r="488" spans="1:20">
      <c r="A488" s="43">
        <f>IF(B488="","","JT-"&amp;TEXT(ROW()-4,"0000"))</f>
        <v>0</v>
      </c>
      <c r="C488" s="18">
        <f>IF(B488="","",IFERROR(INDEX(Jobs!$B$5:$B$604,MATCH(B488,Jobs!$A$5:$A$604,0)),""))</f>
        <v>0</v>
      </c>
      <c r="D488" s="23">
        <f>IF(B488="","",IFERROR(INDEX(Jobs!$H$5:$H$604,MATCH(B488,Jobs!$A$5:$A$604,0)),""))</f>
        <v>0</v>
      </c>
      <c r="E488" s="23">
        <f>IF(B488="","",IFERROR(INDEX(Jobs!$K$5:$K$604,MATCH(B488,Jobs!$A$5:$A$604,0)),""))</f>
        <v>0</v>
      </c>
      <c r="P488" s="50">
        <f>IF(G488="","",IFERROR(INDEX(Checklists!$J$5:$J$404,MATCH(G488,Checklists!$F$5:$F$404,0)),"Yes"))</f>
        <v>0</v>
      </c>
      <c r="Q488" s="31">
        <f>IF(G488="","",IFERROR(INDEX(Checklists!$H$5:$H$404,MATCH(G488,Checklists!$F$5:$F$404,0)),""))</f>
        <v>0</v>
      </c>
      <c r="R488" s="31">
        <f>IF(OR(J488="",Q488=""),"",J488-Q488)</f>
        <v>0</v>
      </c>
      <c r="S488" s="50">
        <f>IF(B488="","",IF(H488="Done","Yes","No"))</f>
        <v>0</v>
      </c>
      <c r="T488" s="39">
        <f>IF(B488="","",IF(G488="","Add - what was the task?",IF(H488="Issue found",IF(M488="Yes","OK - issue reported","Action - tell the client"),IF(H488="Needs rework","Action - rework needed",IF(AND(H488="Skipped",P488="Yes"),"Check - required task skipped",IF(H488="Done","OK","Due"))))))</f>
        <v>0</v>
      </c>
    </row>
    <row r="489" spans="1:20">
      <c r="A489" s="43">
        <f>IF(B489="","","JT-"&amp;TEXT(ROW()-4,"0000"))</f>
        <v>0</v>
      </c>
      <c r="C489" s="18">
        <f>IF(B489="","",IFERROR(INDEX(Jobs!$B$5:$B$604,MATCH(B489,Jobs!$A$5:$A$604,0)),""))</f>
        <v>0</v>
      </c>
      <c r="D489" s="23">
        <f>IF(B489="","",IFERROR(INDEX(Jobs!$H$5:$H$604,MATCH(B489,Jobs!$A$5:$A$604,0)),""))</f>
        <v>0</v>
      </c>
      <c r="E489" s="23">
        <f>IF(B489="","",IFERROR(INDEX(Jobs!$K$5:$K$604,MATCH(B489,Jobs!$A$5:$A$604,0)),""))</f>
        <v>0</v>
      </c>
      <c r="P489" s="50">
        <f>IF(G489="","",IFERROR(INDEX(Checklists!$J$5:$J$404,MATCH(G489,Checklists!$F$5:$F$404,0)),"Yes"))</f>
        <v>0</v>
      </c>
      <c r="Q489" s="31">
        <f>IF(G489="","",IFERROR(INDEX(Checklists!$H$5:$H$404,MATCH(G489,Checklists!$F$5:$F$404,0)),""))</f>
        <v>0</v>
      </c>
      <c r="R489" s="31">
        <f>IF(OR(J489="",Q489=""),"",J489-Q489)</f>
        <v>0</v>
      </c>
      <c r="S489" s="50">
        <f>IF(B489="","",IF(H489="Done","Yes","No"))</f>
        <v>0</v>
      </c>
      <c r="T489" s="39">
        <f>IF(B489="","",IF(G489="","Add - what was the task?",IF(H489="Issue found",IF(M489="Yes","OK - issue reported","Action - tell the client"),IF(H489="Needs rework","Action - rework needed",IF(AND(H489="Skipped",P489="Yes"),"Check - required task skipped",IF(H489="Done","OK","Due"))))))</f>
        <v>0</v>
      </c>
    </row>
    <row r="490" spans="1:20">
      <c r="A490" s="43">
        <f>IF(B490="","","JT-"&amp;TEXT(ROW()-4,"0000"))</f>
        <v>0</v>
      </c>
      <c r="C490" s="18">
        <f>IF(B490="","",IFERROR(INDEX(Jobs!$B$5:$B$604,MATCH(B490,Jobs!$A$5:$A$604,0)),""))</f>
        <v>0</v>
      </c>
      <c r="D490" s="23">
        <f>IF(B490="","",IFERROR(INDEX(Jobs!$H$5:$H$604,MATCH(B490,Jobs!$A$5:$A$604,0)),""))</f>
        <v>0</v>
      </c>
      <c r="E490" s="23">
        <f>IF(B490="","",IFERROR(INDEX(Jobs!$K$5:$K$604,MATCH(B490,Jobs!$A$5:$A$604,0)),""))</f>
        <v>0</v>
      </c>
      <c r="P490" s="50">
        <f>IF(G490="","",IFERROR(INDEX(Checklists!$J$5:$J$404,MATCH(G490,Checklists!$F$5:$F$404,0)),"Yes"))</f>
        <v>0</v>
      </c>
      <c r="Q490" s="31">
        <f>IF(G490="","",IFERROR(INDEX(Checklists!$H$5:$H$404,MATCH(G490,Checklists!$F$5:$F$404,0)),""))</f>
        <v>0</v>
      </c>
      <c r="R490" s="31">
        <f>IF(OR(J490="",Q490=""),"",J490-Q490)</f>
        <v>0</v>
      </c>
      <c r="S490" s="50">
        <f>IF(B490="","",IF(H490="Done","Yes","No"))</f>
        <v>0</v>
      </c>
      <c r="T490" s="39">
        <f>IF(B490="","",IF(G490="","Add - what was the task?",IF(H490="Issue found",IF(M490="Yes","OK - issue reported","Action - tell the client"),IF(H490="Needs rework","Action - rework needed",IF(AND(H490="Skipped",P490="Yes"),"Check - required task skipped",IF(H490="Done","OK","Due"))))))</f>
        <v>0</v>
      </c>
    </row>
    <row r="491" spans="1:20">
      <c r="A491" s="43">
        <f>IF(B491="","","JT-"&amp;TEXT(ROW()-4,"0000"))</f>
        <v>0</v>
      </c>
      <c r="C491" s="18">
        <f>IF(B491="","",IFERROR(INDEX(Jobs!$B$5:$B$604,MATCH(B491,Jobs!$A$5:$A$604,0)),""))</f>
        <v>0</v>
      </c>
      <c r="D491" s="23">
        <f>IF(B491="","",IFERROR(INDEX(Jobs!$H$5:$H$604,MATCH(B491,Jobs!$A$5:$A$604,0)),""))</f>
        <v>0</v>
      </c>
      <c r="E491" s="23">
        <f>IF(B491="","",IFERROR(INDEX(Jobs!$K$5:$K$604,MATCH(B491,Jobs!$A$5:$A$604,0)),""))</f>
        <v>0</v>
      </c>
      <c r="P491" s="50">
        <f>IF(G491="","",IFERROR(INDEX(Checklists!$J$5:$J$404,MATCH(G491,Checklists!$F$5:$F$404,0)),"Yes"))</f>
        <v>0</v>
      </c>
      <c r="Q491" s="31">
        <f>IF(G491="","",IFERROR(INDEX(Checklists!$H$5:$H$404,MATCH(G491,Checklists!$F$5:$F$404,0)),""))</f>
        <v>0</v>
      </c>
      <c r="R491" s="31">
        <f>IF(OR(J491="",Q491=""),"",J491-Q491)</f>
        <v>0</v>
      </c>
      <c r="S491" s="50">
        <f>IF(B491="","",IF(H491="Done","Yes","No"))</f>
        <v>0</v>
      </c>
      <c r="T491" s="39">
        <f>IF(B491="","",IF(G491="","Add - what was the task?",IF(H491="Issue found",IF(M491="Yes","OK - issue reported","Action - tell the client"),IF(H491="Needs rework","Action - rework needed",IF(AND(H491="Skipped",P491="Yes"),"Check - required task skipped",IF(H491="Done","OK","Due"))))))</f>
        <v>0</v>
      </c>
    </row>
    <row r="492" spans="1:20">
      <c r="A492" s="43">
        <f>IF(B492="","","JT-"&amp;TEXT(ROW()-4,"0000"))</f>
        <v>0</v>
      </c>
      <c r="C492" s="18">
        <f>IF(B492="","",IFERROR(INDEX(Jobs!$B$5:$B$604,MATCH(B492,Jobs!$A$5:$A$604,0)),""))</f>
        <v>0</v>
      </c>
      <c r="D492" s="23">
        <f>IF(B492="","",IFERROR(INDEX(Jobs!$H$5:$H$604,MATCH(B492,Jobs!$A$5:$A$604,0)),""))</f>
        <v>0</v>
      </c>
      <c r="E492" s="23">
        <f>IF(B492="","",IFERROR(INDEX(Jobs!$K$5:$K$604,MATCH(B492,Jobs!$A$5:$A$604,0)),""))</f>
        <v>0</v>
      </c>
      <c r="P492" s="50">
        <f>IF(G492="","",IFERROR(INDEX(Checklists!$J$5:$J$404,MATCH(G492,Checklists!$F$5:$F$404,0)),"Yes"))</f>
        <v>0</v>
      </c>
      <c r="Q492" s="31">
        <f>IF(G492="","",IFERROR(INDEX(Checklists!$H$5:$H$404,MATCH(G492,Checklists!$F$5:$F$404,0)),""))</f>
        <v>0</v>
      </c>
      <c r="R492" s="31">
        <f>IF(OR(J492="",Q492=""),"",J492-Q492)</f>
        <v>0</v>
      </c>
      <c r="S492" s="50">
        <f>IF(B492="","",IF(H492="Done","Yes","No"))</f>
        <v>0</v>
      </c>
      <c r="T492" s="39">
        <f>IF(B492="","",IF(G492="","Add - what was the task?",IF(H492="Issue found",IF(M492="Yes","OK - issue reported","Action - tell the client"),IF(H492="Needs rework","Action - rework needed",IF(AND(H492="Skipped",P492="Yes"),"Check - required task skipped",IF(H492="Done","OK","Due"))))))</f>
        <v>0</v>
      </c>
    </row>
    <row r="493" spans="1:20">
      <c r="A493" s="43">
        <f>IF(B493="","","JT-"&amp;TEXT(ROW()-4,"0000"))</f>
        <v>0</v>
      </c>
      <c r="C493" s="18">
        <f>IF(B493="","",IFERROR(INDEX(Jobs!$B$5:$B$604,MATCH(B493,Jobs!$A$5:$A$604,0)),""))</f>
        <v>0</v>
      </c>
      <c r="D493" s="23">
        <f>IF(B493="","",IFERROR(INDEX(Jobs!$H$5:$H$604,MATCH(B493,Jobs!$A$5:$A$604,0)),""))</f>
        <v>0</v>
      </c>
      <c r="E493" s="23">
        <f>IF(B493="","",IFERROR(INDEX(Jobs!$K$5:$K$604,MATCH(B493,Jobs!$A$5:$A$604,0)),""))</f>
        <v>0</v>
      </c>
      <c r="P493" s="50">
        <f>IF(G493="","",IFERROR(INDEX(Checklists!$J$5:$J$404,MATCH(G493,Checklists!$F$5:$F$404,0)),"Yes"))</f>
        <v>0</v>
      </c>
      <c r="Q493" s="31">
        <f>IF(G493="","",IFERROR(INDEX(Checklists!$H$5:$H$404,MATCH(G493,Checklists!$F$5:$F$404,0)),""))</f>
        <v>0</v>
      </c>
      <c r="R493" s="31">
        <f>IF(OR(J493="",Q493=""),"",J493-Q493)</f>
        <v>0</v>
      </c>
      <c r="S493" s="50">
        <f>IF(B493="","",IF(H493="Done","Yes","No"))</f>
        <v>0</v>
      </c>
      <c r="T493" s="39">
        <f>IF(B493="","",IF(G493="","Add - what was the task?",IF(H493="Issue found",IF(M493="Yes","OK - issue reported","Action - tell the client"),IF(H493="Needs rework","Action - rework needed",IF(AND(H493="Skipped",P493="Yes"),"Check - required task skipped",IF(H493="Done","OK","Due"))))))</f>
        <v>0</v>
      </c>
    </row>
    <row r="494" spans="1:20">
      <c r="A494" s="43">
        <f>IF(B494="","","JT-"&amp;TEXT(ROW()-4,"0000"))</f>
        <v>0</v>
      </c>
      <c r="C494" s="18">
        <f>IF(B494="","",IFERROR(INDEX(Jobs!$B$5:$B$604,MATCH(B494,Jobs!$A$5:$A$604,0)),""))</f>
        <v>0</v>
      </c>
      <c r="D494" s="23">
        <f>IF(B494="","",IFERROR(INDEX(Jobs!$H$5:$H$604,MATCH(B494,Jobs!$A$5:$A$604,0)),""))</f>
        <v>0</v>
      </c>
      <c r="E494" s="23">
        <f>IF(B494="","",IFERROR(INDEX(Jobs!$K$5:$K$604,MATCH(B494,Jobs!$A$5:$A$604,0)),""))</f>
        <v>0</v>
      </c>
      <c r="P494" s="50">
        <f>IF(G494="","",IFERROR(INDEX(Checklists!$J$5:$J$404,MATCH(G494,Checklists!$F$5:$F$404,0)),"Yes"))</f>
        <v>0</v>
      </c>
      <c r="Q494" s="31">
        <f>IF(G494="","",IFERROR(INDEX(Checklists!$H$5:$H$404,MATCH(G494,Checklists!$F$5:$F$404,0)),""))</f>
        <v>0</v>
      </c>
      <c r="R494" s="31">
        <f>IF(OR(J494="",Q494=""),"",J494-Q494)</f>
        <v>0</v>
      </c>
      <c r="S494" s="50">
        <f>IF(B494="","",IF(H494="Done","Yes","No"))</f>
        <v>0</v>
      </c>
      <c r="T494" s="39">
        <f>IF(B494="","",IF(G494="","Add - what was the task?",IF(H494="Issue found",IF(M494="Yes","OK - issue reported","Action - tell the client"),IF(H494="Needs rework","Action - rework needed",IF(AND(H494="Skipped",P494="Yes"),"Check - required task skipped",IF(H494="Done","OK","Due"))))))</f>
        <v>0</v>
      </c>
    </row>
    <row r="495" spans="1:20">
      <c r="A495" s="43">
        <f>IF(B495="","","JT-"&amp;TEXT(ROW()-4,"0000"))</f>
        <v>0</v>
      </c>
      <c r="C495" s="18">
        <f>IF(B495="","",IFERROR(INDEX(Jobs!$B$5:$B$604,MATCH(B495,Jobs!$A$5:$A$604,0)),""))</f>
        <v>0</v>
      </c>
      <c r="D495" s="23">
        <f>IF(B495="","",IFERROR(INDEX(Jobs!$H$5:$H$604,MATCH(B495,Jobs!$A$5:$A$604,0)),""))</f>
        <v>0</v>
      </c>
      <c r="E495" s="23">
        <f>IF(B495="","",IFERROR(INDEX(Jobs!$K$5:$K$604,MATCH(B495,Jobs!$A$5:$A$604,0)),""))</f>
        <v>0</v>
      </c>
      <c r="P495" s="50">
        <f>IF(G495="","",IFERROR(INDEX(Checklists!$J$5:$J$404,MATCH(G495,Checklists!$F$5:$F$404,0)),"Yes"))</f>
        <v>0</v>
      </c>
      <c r="Q495" s="31">
        <f>IF(G495="","",IFERROR(INDEX(Checklists!$H$5:$H$404,MATCH(G495,Checklists!$F$5:$F$404,0)),""))</f>
        <v>0</v>
      </c>
      <c r="R495" s="31">
        <f>IF(OR(J495="",Q495=""),"",J495-Q495)</f>
        <v>0</v>
      </c>
      <c r="S495" s="50">
        <f>IF(B495="","",IF(H495="Done","Yes","No"))</f>
        <v>0</v>
      </c>
      <c r="T495" s="39">
        <f>IF(B495="","",IF(G495="","Add - what was the task?",IF(H495="Issue found",IF(M495="Yes","OK - issue reported","Action - tell the client"),IF(H495="Needs rework","Action - rework needed",IF(AND(H495="Skipped",P495="Yes"),"Check - required task skipped",IF(H495="Done","OK","Due"))))))</f>
        <v>0</v>
      </c>
    </row>
    <row r="496" spans="1:20">
      <c r="A496" s="43">
        <f>IF(B496="","","JT-"&amp;TEXT(ROW()-4,"0000"))</f>
        <v>0</v>
      </c>
      <c r="C496" s="18">
        <f>IF(B496="","",IFERROR(INDEX(Jobs!$B$5:$B$604,MATCH(B496,Jobs!$A$5:$A$604,0)),""))</f>
        <v>0</v>
      </c>
      <c r="D496" s="23">
        <f>IF(B496="","",IFERROR(INDEX(Jobs!$H$5:$H$604,MATCH(B496,Jobs!$A$5:$A$604,0)),""))</f>
        <v>0</v>
      </c>
      <c r="E496" s="23">
        <f>IF(B496="","",IFERROR(INDEX(Jobs!$K$5:$K$604,MATCH(B496,Jobs!$A$5:$A$604,0)),""))</f>
        <v>0</v>
      </c>
      <c r="P496" s="50">
        <f>IF(G496="","",IFERROR(INDEX(Checklists!$J$5:$J$404,MATCH(G496,Checklists!$F$5:$F$404,0)),"Yes"))</f>
        <v>0</v>
      </c>
      <c r="Q496" s="31">
        <f>IF(G496="","",IFERROR(INDEX(Checklists!$H$5:$H$404,MATCH(G496,Checklists!$F$5:$F$404,0)),""))</f>
        <v>0</v>
      </c>
      <c r="R496" s="31">
        <f>IF(OR(J496="",Q496=""),"",J496-Q496)</f>
        <v>0</v>
      </c>
      <c r="S496" s="50">
        <f>IF(B496="","",IF(H496="Done","Yes","No"))</f>
        <v>0</v>
      </c>
      <c r="T496" s="39">
        <f>IF(B496="","",IF(G496="","Add - what was the task?",IF(H496="Issue found",IF(M496="Yes","OK - issue reported","Action - tell the client"),IF(H496="Needs rework","Action - rework needed",IF(AND(H496="Skipped",P496="Yes"),"Check - required task skipped",IF(H496="Done","OK","Due"))))))</f>
        <v>0</v>
      </c>
    </row>
    <row r="497" spans="1:20">
      <c r="A497" s="43">
        <f>IF(B497="","","JT-"&amp;TEXT(ROW()-4,"0000"))</f>
        <v>0</v>
      </c>
      <c r="C497" s="18">
        <f>IF(B497="","",IFERROR(INDEX(Jobs!$B$5:$B$604,MATCH(B497,Jobs!$A$5:$A$604,0)),""))</f>
        <v>0</v>
      </c>
      <c r="D497" s="23">
        <f>IF(B497="","",IFERROR(INDEX(Jobs!$H$5:$H$604,MATCH(B497,Jobs!$A$5:$A$604,0)),""))</f>
        <v>0</v>
      </c>
      <c r="E497" s="23">
        <f>IF(B497="","",IFERROR(INDEX(Jobs!$K$5:$K$604,MATCH(B497,Jobs!$A$5:$A$604,0)),""))</f>
        <v>0</v>
      </c>
      <c r="P497" s="50">
        <f>IF(G497="","",IFERROR(INDEX(Checklists!$J$5:$J$404,MATCH(G497,Checklists!$F$5:$F$404,0)),"Yes"))</f>
        <v>0</v>
      </c>
      <c r="Q497" s="31">
        <f>IF(G497="","",IFERROR(INDEX(Checklists!$H$5:$H$404,MATCH(G497,Checklists!$F$5:$F$404,0)),""))</f>
        <v>0</v>
      </c>
      <c r="R497" s="31">
        <f>IF(OR(J497="",Q497=""),"",J497-Q497)</f>
        <v>0</v>
      </c>
      <c r="S497" s="50">
        <f>IF(B497="","",IF(H497="Done","Yes","No"))</f>
        <v>0</v>
      </c>
      <c r="T497" s="39">
        <f>IF(B497="","",IF(G497="","Add - what was the task?",IF(H497="Issue found",IF(M497="Yes","OK - issue reported","Action - tell the client"),IF(H497="Needs rework","Action - rework needed",IF(AND(H497="Skipped",P497="Yes"),"Check - required task skipped",IF(H497="Done","OK","Due"))))))</f>
        <v>0</v>
      </c>
    </row>
    <row r="498" spans="1:20">
      <c r="A498" s="43">
        <f>IF(B498="","","JT-"&amp;TEXT(ROW()-4,"0000"))</f>
        <v>0</v>
      </c>
      <c r="C498" s="18">
        <f>IF(B498="","",IFERROR(INDEX(Jobs!$B$5:$B$604,MATCH(B498,Jobs!$A$5:$A$604,0)),""))</f>
        <v>0</v>
      </c>
      <c r="D498" s="23">
        <f>IF(B498="","",IFERROR(INDEX(Jobs!$H$5:$H$604,MATCH(B498,Jobs!$A$5:$A$604,0)),""))</f>
        <v>0</v>
      </c>
      <c r="E498" s="23">
        <f>IF(B498="","",IFERROR(INDEX(Jobs!$K$5:$K$604,MATCH(B498,Jobs!$A$5:$A$604,0)),""))</f>
        <v>0</v>
      </c>
      <c r="P498" s="50">
        <f>IF(G498="","",IFERROR(INDEX(Checklists!$J$5:$J$404,MATCH(G498,Checklists!$F$5:$F$404,0)),"Yes"))</f>
        <v>0</v>
      </c>
      <c r="Q498" s="31">
        <f>IF(G498="","",IFERROR(INDEX(Checklists!$H$5:$H$404,MATCH(G498,Checklists!$F$5:$F$404,0)),""))</f>
        <v>0</v>
      </c>
      <c r="R498" s="31">
        <f>IF(OR(J498="",Q498=""),"",J498-Q498)</f>
        <v>0</v>
      </c>
      <c r="S498" s="50">
        <f>IF(B498="","",IF(H498="Done","Yes","No"))</f>
        <v>0</v>
      </c>
      <c r="T498" s="39">
        <f>IF(B498="","",IF(G498="","Add - what was the task?",IF(H498="Issue found",IF(M498="Yes","OK - issue reported","Action - tell the client"),IF(H498="Needs rework","Action - rework needed",IF(AND(H498="Skipped",P498="Yes"),"Check - required task skipped",IF(H498="Done","OK","Due"))))))</f>
        <v>0</v>
      </c>
    </row>
    <row r="499" spans="1:20">
      <c r="A499" s="43">
        <f>IF(B499="","","JT-"&amp;TEXT(ROW()-4,"0000"))</f>
        <v>0</v>
      </c>
      <c r="C499" s="18">
        <f>IF(B499="","",IFERROR(INDEX(Jobs!$B$5:$B$604,MATCH(B499,Jobs!$A$5:$A$604,0)),""))</f>
        <v>0</v>
      </c>
      <c r="D499" s="23">
        <f>IF(B499="","",IFERROR(INDEX(Jobs!$H$5:$H$604,MATCH(B499,Jobs!$A$5:$A$604,0)),""))</f>
        <v>0</v>
      </c>
      <c r="E499" s="23">
        <f>IF(B499="","",IFERROR(INDEX(Jobs!$K$5:$K$604,MATCH(B499,Jobs!$A$5:$A$604,0)),""))</f>
        <v>0</v>
      </c>
      <c r="P499" s="50">
        <f>IF(G499="","",IFERROR(INDEX(Checklists!$J$5:$J$404,MATCH(G499,Checklists!$F$5:$F$404,0)),"Yes"))</f>
        <v>0</v>
      </c>
      <c r="Q499" s="31">
        <f>IF(G499="","",IFERROR(INDEX(Checklists!$H$5:$H$404,MATCH(G499,Checklists!$F$5:$F$404,0)),""))</f>
        <v>0</v>
      </c>
      <c r="R499" s="31">
        <f>IF(OR(J499="",Q499=""),"",J499-Q499)</f>
        <v>0</v>
      </c>
      <c r="S499" s="50">
        <f>IF(B499="","",IF(H499="Done","Yes","No"))</f>
        <v>0</v>
      </c>
      <c r="T499" s="39">
        <f>IF(B499="","",IF(G499="","Add - what was the task?",IF(H499="Issue found",IF(M499="Yes","OK - issue reported","Action - tell the client"),IF(H499="Needs rework","Action - rework needed",IF(AND(H499="Skipped",P499="Yes"),"Check - required task skipped",IF(H499="Done","OK","Due"))))))</f>
        <v>0</v>
      </c>
    </row>
    <row r="500" spans="1:20">
      <c r="A500" s="43">
        <f>IF(B500="","","JT-"&amp;TEXT(ROW()-4,"0000"))</f>
        <v>0</v>
      </c>
      <c r="C500" s="18">
        <f>IF(B500="","",IFERROR(INDEX(Jobs!$B$5:$B$604,MATCH(B500,Jobs!$A$5:$A$604,0)),""))</f>
        <v>0</v>
      </c>
      <c r="D500" s="23">
        <f>IF(B500="","",IFERROR(INDEX(Jobs!$H$5:$H$604,MATCH(B500,Jobs!$A$5:$A$604,0)),""))</f>
        <v>0</v>
      </c>
      <c r="E500" s="23">
        <f>IF(B500="","",IFERROR(INDEX(Jobs!$K$5:$K$604,MATCH(B500,Jobs!$A$5:$A$604,0)),""))</f>
        <v>0</v>
      </c>
      <c r="P500" s="50">
        <f>IF(G500="","",IFERROR(INDEX(Checklists!$J$5:$J$404,MATCH(G500,Checklists!$F$5:$F$404,0)),"Yes"))</f>
        <v>0</v>
      </c>
      <c r="Q500" s="31">
        <f>IF(G500="","",IFERROR(INDEX(Checklists!$H$5:$H$404,MATCH(G500,Checklists!$F$5:$F$404,0)),""))</f>
        <v>0</v>
      </c>
      <c r="R500" s="31">
        <f>IF(OR(J500="",Q500=""),"",J500-Q500)</f>
        <v>0</v>
      </c>
      <c r="S500" s="50">
        <f>IF(B500="","",IF(H500="Done","Yes","No"))</f>
        <v>0</v>
      </c>
      <c r="T500" s="39">
        <f>IF(B500="","",IF(G500="","Add - what was the task?",IF(H500="Issue found",IF(M500="Yes","OK - issue reported","Action - tell the client"),IF(H500="Needs rework","Action - rework needed",IF(AND(H500="Skipped",P500="Yes"),"Check - required task skipped",IF(H500="Done","OK","Due"))))))</f>
        <v>0</v>
      </c>
    </row>
    <row r="501" spans="1:20">
      <c r="A501" s="43">
        <f>IF(B501="","","JT-"&amp;TEXT(ROW()-4,"0000"))</f>
        <v>0</v>
      </c>
      <c r="C501" s="18">
        <f>IF(B501="","",IFERROR(INDEX(Jobs!$B$5:$B$604,MATCH(B501,Jobs!$A$5:$A$604,0)),""))</f>
        <v>0</v>
      </c>
      <c r="D501" s="23">
        <f>IF(B501="","",IFERROR(INDEX(Jobs!$H$5:$H$604,MATCH(B501,Jobs!$A$5:$A$604,0)),""))</f>
        <v>0</v>
      </c>
      <c r="E501" s="23">
        <f>IF(B501="","",IFERROR(INDEX(Jobs!$K$5:$K$604,MATCH(B501,Jobs!$A$5:$A$604,0)),""))</f>
        <v>0</v>
      </c>
      <c r="P501" s="50">
        <f>IF(G501="","",IFERROR(INDEX(Checklists!$J$5:$J$404,MATCH(G501,Checklists!$F$5:$F$404,0)),"Yes"))</f>
        <v>0</v>
      </c>
      <c r="Q501" s="31">
        <f>IF(G501="","",IFERROR(INDEX(Checklists!$H$5:$H$404,MATCH(G501,Checklists!$F$5:$F$404,0)),""))</f>
        <v>0</v>
      </c>
      <c r="R501" s="31">
        <f>IF(OR(J501="",Q501=""),"",J501-Q501)</f>
        <v>0</v>
      </c>
      <c r="S501" s="50">
        <f>IF(B501="","",IF(H501="Done","Yes","No"))</f>
        <v>0</v>
      </c>
      <c r="T501" s="39">
        <f>IF(B501="","",IF(G501="","Add - what was the task?",IF(H501="Issue found",IF(M501="Yes","OK - issue reported","Action - tell the client"),IF(H501="Needs rework","Action - rework needed",IF(AND(H501="Skipped",P501="Yes"),"Check - required task skipped",IF(H501="Done","OK","Due"))))))</f>
        <v>0</v>
      </c>
    </row>
    <row r="502" spans="1:20">
      <c r="A502" s="43">
        <f>IF(B502="","","JT-"&amp;TEXT(ROW()-4,"0000"))</f>
        <v>0</v>
      </c>
      <c r="C502" s="18">
        <f>IF(B502="","",IFERROR(INDEX(Jobs!$B$5:$B$604,MATCH(B502,Jobs!$A$5:$A$604,0)),""))</f>
        <v>0</v>
      </c>
      <c r="D502" s="23">
        <f>IF(B502="","",IFERROR(INDEX(Jobs!$H$5:$H$604,MATCH(B502,Jobs!$A$5:$A$604,0)),""))</f>
        <v>0</v>
      </c>
      <c r="E502" s="23">
        <f>IF(B502="","",IFERROR(INDEX(Jobs!$K$5:$K$604,MATCH(B502,Jobs!$A$5:$A$604,0)),""))</f>
        <v>0</v>
      </c>
      <c r="P502" s="50">
        <f>IF(G502="","",IFERROR(INDEX(Checklists!$J$5:$J$404,MATCH(G502,Checklists!$F$5:$F$404,0)),"Yes"))</f>
        <v>0</v>
      </c>
      <c r="Q502" s="31">
        <f>IF(G502="","",IFERROR(INDEX(Checklists!$H$5:$H$404,MATCH(G502,Checklists!$F$5:$F$404,0)),""))</f>
        <v>0</v>
      </c>
      <c r="R502" s="31">
        <f>IF(OR(J502="",Q502=""),"",J502-Q502)</f>
        <v>0</v>
      </c>
      <c r="S502" s="50">
        <f>IF(B502="","",IF(H502="Done","Yes","No"))</f>
        <v>0</v>
      </c>
      <c r="T502" s="39">
        <f>IF(B502="","",IF(G502="","Add - what was the task?",IF(H502="Issue found",IF(M502="Yes","OK - issue reported","Action - tell the client"),IF(H502="Needs rework","Action - rework needed",IF(AND(H502="Skipped",P502="Yes"),"Check - required task skipped",IF(H502="Done","OK","Due"))))))</f>
        <v>0</v>
      </c>
    </row>
    <row r="503" spans="1:20">
      <c r="A503" s="43">
        <f>IF(B503="","","JT-"&amp;TEXT(ROW()-4,"0000"))</f>
        <v>0</v>
      </c>
      <c r="C503" s="18">
        <f>IF(B503="","",IFERROR(INDEX(Jobs!$B$5:$B$604,MATCH(B503,Jobs!$A$5:$A$604,0)),""))</f>
        <v>0</v>
      </c>
      <c r="D503" s="23">
        <f>IF(B503="","",IFERROR(INDEX(Jobs!$H$5:$H$604,MATCH(B503,Jobs!$A$5:$A$604,0)),""))</f>
        <v>0</v>
      </c>
      <c r="E503" s="23">
        <f>IF(B503="","",IFERROR(INDEX(Jobs!$K$5:$K$604,MATCH(B503,Jobs!$A$5:$A$604,0)),""))</f>
        <v>0</v>
      </c>
      <c r="P503" s="50">
        <f>IF(G503="","",IFERROR(INDEX(Checklists!$J$5:$J$404,MATCH(G503,Checklists!$F$5:$F$404,0)),"Yes"))</f>
        <v>0</v>
      </c>
      <c r="Q503" s="31">
        <f>IF(G503="","",IFERROR(INDEX(Checklists!$H$5:$H$404,MATCH(G503,Checklists!$F$5:$F$404,0)),""))</f>
        <v>0</v>
      </c>
      <c r="R503" s="31">
        <f>IF(OR(J503="",Q503=""),"",J503-Q503)</f>
        <v>0</v>
      </c>
      <c r="S503" s="50">
        <f>IF(B503="","",IF(H503="Done","Yes","No"))</f>
        <v>0</v>
      </c>
      <c r="T503" s="39">
        <f>IF(B503="","",IF(G503="","Add - what was the task?",IF(H503="Issue found",IF(M503="Yes","OK - issue reported","Action - tell the client"),IF(H503="Needs rework","Action - rework needed",IF(AND(H503="Skipped",P503="Yes"),"Check - required task skipped",IF(H503="Done","OK","Due"))))))</f>
        <v>0</v>
      </c>
    </row>
    <row r="504" spans="1:20">
      <c r="A504" s="43">
        <f>IF(B504="","","JT-"&amp;TEXT(ROW()-4,"0000"))</f>
        <v>0</v>
      </c>
      <c r="C504" s="18">
        <f>IF(B504="","",IFERROR(INDEX(Jobs!$B$5:$B$604,MATCH(B504,Jobs!$A$5:$A$604,0)),""))</f>
        <v>0</v>
      </c>
      <c r="D504" s="23">
        <f>IF(B504="","",IFERROR(INDEX(Jobs!$H$5:$H$604,MATCH(B504,Jobs!$A$5:$A$604,0)),""))</f>
        <v>0</v>
      </c>
      <c r="E504" s="23">
        <f>IF(B504="","",IFERROR(INDEX(Jobs!$K$5:$K$604,MATCH(B504,Jobs!$A$5:$A$604,0)),""))</f>
        <v>0</v>
      </c>
      <c r="P504" s="50">
        <f>IF(G504="","",IFERROR(INDEX(Checklists!$J$5:$J$404,MATCH(G504,Checklists!$F$5:$F$404,0)),"Yes"))</f>
        <v>0</v>
      </c>
      <c r="Q504" s="31">
        <f>IF(G504="","",IFERROR(INDEX(Checklists!$H$5:$H$404,MATCH(G504,Checklists!$F$5:$F$404,0)),""))</f>
        <v>0</v>
      </c>
      <c r="R504" s="31">
        <f>IF(OR(J504="",Q504=""),"",J504-Q504)</f>
        <v>0</v>
      </c>
      <c r="S504" s="50">
        <f>IF(B504="","",IF(H504="Done","Yes","No"))</f>
        <v>0</v>
      </c>
      <c r="T504" s="39">
        <f>IF(B504="","",IF(G504="","Add - what was the task?",IF(H504="Issue found",IF(M504="Yes","OK - issue reported","Action - tell the client"),IF(H504="Needs rework","Action - rework needed",IF(AND(H504="Skipped",P504="Yes"),"Check - required task skipped",IF(H504="Done","OK","Due"))))))</f>
        <v>0</v>
      </c>
    </row>
    <row r="505" spans="1:20">
      <c r="A505" s="43">
        <f>IF(B505="","","JT-"&amp;TEXT(ROW()-4,"0000"))</f>
        <v>0</v>
      </c>
      <c r="C505" s="18">
        <f>IF(B505="","",IFERROR(INDEX(Jobs!$B$5:$B$604,MATCH(B505,Jobs!$A$5:$A$604,0)),""))</f>
        <v>0</v>
      </c>
      <c r="D505" s="23">
        <f>IF(B505="","",IFERROR(INDEX(Jobs!$H$5:$H$604,MATCH(B505,Jobs!$A$5:$A$604,0)),""))</f>
        <v>0</v>
      </c>
      <c r="E505" s="23">
        <f>IF(B505="","",IFERROR(INDEX(Jobs!$K$5:$K$604,MATCH(B505,Jobs!$A$5:$A$604,0)),""))</f>
        <v>0</v>
      </c>
      <c r="P505" s="50">
        <f>IF(G505="","",IFERROR(INDEX(Checklists!$J$5:$J$404,MATCH(G505,Checklists!$F$5:$F$404,0)),"Yes"))</f>
        <v>0</v>
      </c>
      <c r="Q505" s="31">
        <f>IF(G505="","",IFERROR(INDEX(Checklists!$H$5:$H$404,MATCH(G505,Checklists!$F$5:$F$404,0)),""))</f>
        <v>0</v>
      </c>
      <c r="R505" s="31">
        <f>IF(OR(J505="",Q505=""),"",J505-Q505)</f>
        <v>0</v>
      </c>
      <c r="S505" s="50">
        <f>IF(B505="","",IF(H505="Done","Yes","No"))</f>
        <v>0</v>
      </c>
      <c r="T505" s="39">
        <f>IF(B505="","",IF(G505="","Add - what was the task?",IF(H505="Issue found",IF(M505="Yes","OK - issue reported","Action - tell the client"),IF(H505="Needs rework","Action - rework needed",IF(AND(H505="Skipped",P505="Yes"),"Check - required task skipped",IF(H505="Done","OK","Due"))))))</f>
        <v>0</v>
      </c>
    </row>
    <row r="506" spans="1:20">
      <c r="A506" s="43">
        <f>IF(B506="","","JT-"&amp;TEXT(ROW()-4,"0000"))</f>
        <v>0</v>
      </c>
      <c r="C506" s="18">
        <f>IF(B506="","",IFERROR(INDEX(Jobs!$B$5:$B$604,MATCH(B506,Jobs!$A$5:$A$604,0)),""))</f>
        <v>0</v>
      </c>
      <c r="D506" s="23">
        <f>IF(B506="","",IFERROR(INDEX(Jobs!$H$5:$H$604,MATCH(B506,Jobs!$A$5:$A$604,0)),""))</f>
        <v>0</v>
      </c>
      <c r="E506" s="23">
        <f>IF(B506="","",IFERROR(INDEX(Jobs!$K$5:$K$604,MATCH(B506,Jobs!$A$5:$A$604,0)),""))</f>
        <v>0</v>
      </c>
      <c r="P506" s="50">
        <f>IF(G506="","",IFERROR(INDEX(Checklists!$J$5:$J$404,MATCH(G506,Checklists!$F$5:$F$404,0)),"Yes"))</f>
        <v>0</v>
      </c>
      <c r="Q506" s="31">
        <f>IF(G506="","",IFERROR(INDEX(Checklists!$H$5:$H$404,MATCH(G506,Checklists!$F$5:$F$404,0)),""))</f>
        <v>0</v>
      </c>
      <c r="R506" s="31">
        <f>IF(OR(J506="",Q506=""),"",J506-Q506)</f>
        <v>0</v>
      </c>
      <c r="S506" s="50">
        <f>IF(B506="","",IF(H506="Done","Yes","No"))</f>
        <v>0</v>
      </c>
      <c r="T506" s="39">
        <f>IF(B506="","",IF(G506="","Add - what was the task?",IF(H506="Issue found",IF(M506="Yes","OK - issue reported","Action - tell the client"),IF(H506="Needs rework","Action - rework needed",IF(AND(H506="Skipped",P506="Yes"),"Check - required task skipped",IF(H506="Done","OK","Due"))))))</f>
        <v>0</v>
      </c>
    </row>
    <row r="507" spans="1:20">
      <c r="A507" s="43">
        <f>IF(B507="","","JT-"&amp;TEXT(ROW()-4,"0000"))</f>
        <v>0</v>
      </c>
      <c r="C507" s="18">
        <f>IF(B507="","",IFERROR(INDEX(Jobs!$B$5:$B$604,MATCH(B507,Jobs!$A$5:$A$604,0)),""))</f>
        <v>0</v>
      </c>
      <c r="D507" s="23">
        <f>IF(B507="","",IFERROR(INDEX(Jobs!$H$5:$H$604,MATCH(B507,Jobs!$A$5:$A$604,0)),""))</f>
        <v>0</v>
      </c>
      <c r="E507" s="23">
        <f>IF(B507="","",IFERROR(INDEX(Jobs!$K$5:$K$604,MATCH(B507,Jobs!$A$5:$A$604,0)),""))</f>
        <v>0</v>
      </c>
      <c r="P507" s="50">
        <f>IF(G507="","",IFERROR(INDEX(Checklists!$J$5:$J$404,MATCH(G507,Checklists!$F$5:$F$404,0)),"Yes"))</f>
        <v>0</v>
      </c>
      <c r="Q507" s="31">
        <f>IF(G507="","",IFERROR(INDEX(Checklists!$H$5:$H$404,MATCH(G507,Checklists!$F$5:$F$404,0)),""))</f>
        <v>0</v>
      </c>
      <c r="R507" s="31">
        <f>IF(OR(J507="",Q507=""),"",J507-Q507)</f>
        <v>0</v>
      </c>
      <c r="S507" s="50">
        <f>IF(B507="","",IF(H507="Done","Yes","No"))</f>
        <v>0</v>
      </c>
      <c r="T507" s="39">
        <f>IF(B507="","",IF(G507="","Add - what was the task?",IF(H507="Issue found",IF(M507="Yes","OK - issue reported","Action - tell the client"),IF(H507="Needs rework","Action - rework needed",IF(AND(H507="Skipped",P507="Yes"),"Check - required task skipped",IF(H507="Done","OK","Due"))))))</f>
        <v>0</v>
      </c>
    </row>
    <row r="508" spans="1:20">
      <c r="A508" s="43">
        <f>IF(B508="","","JT-"&amp;TEXT(ROW()-4,"0000"))</f>
        <v>0</v>
      </c>
      <c r="C508" s="18">
        <f>IF(B508="","",IFERROR(INDEX(Jobs!$B$5:$B$604,MATCH(B508,Jobs!$A$5:$A$604,0)),""))</f>
        <v>0</v>
      </c>
      <c r="D508" s="23">
        <f>IF(B508="","",IFERROR(INDEX(Jobs!$H$5:$H$604,MATCH(B508,Jobs!$A$5:$A$604,0)),""))</f>
        <v>0</v>
      </c>
      <c r="E508" s="23">
        <f>IF(B508="","",IFERROR(INDEX(Jobs!$K$5:$K$604,MATCH(B508,Jobs!$A$5:$A$604,0)),""))</f>
        <v>0</v>
      </c>
      <c r="P508" s="50">
        <f>IF(G508="","",IFERROR(INDEX(Checklists!$J$5:$J$404,MATCH(G508,Checklists!$F$5:$F$404,0)),"Yes"))</f>
        <v>0</v>
      </c>
      <c r="Q508" s="31">
        <f>IF(G508="","",IFERROR(INDEX(Checklists!$H$5:$H$404,MATCH(G508,Checklists!$F$5:$F$404,0)),""))</f>
        <v>0</v>
      </c>
      <c r="R508" s="31">
        <f>IF(OR(J508="",Q508=""),"",J508-Q508)</f>
        <v>0</v>
      </c>
      <c r="S508" s="50">
        <f>IF(B508="","",IF(H508="Done","Yes","No"))</f>
        <v>0</v>
      </c>
      <c r="T508" s="39">
        <f>IF(B508="","",IF(G508="","Add - what was the task?",IF(H508="Issue found",IF(M508="Yes","OK - issue reported","Action - tell the client"),IF(H508="Needs rework","Action - rework needed",IF(AND(H508="Skipped",P508="Yes"),"Check - required task skipped",IF(H508="Done","OK","Due"))))))</f>
        <v>0</v>
      </c>
    </row>
    <row r="509" spans="1:20">
      <c r="A509" s="43">
        <f>IF(B509="","","JT-"&amp;TEXT(ROW()-4,"0000"))</f>
        <v>0</v>
      </c>
      <c r="C509" s="18">
        <f>IF(B509="","",IFERROR(INDEX(Jobs!$B$5:$B$604,MATCH(B509,Jobs!$A$5:$A$604,0)),""))</f>
        <v>0</v>
      </c>
      <c r="D509" s="23">
        <f>IF(B509="","",IFERROR(INDEX(Jobs!$H$5:$H$604,MATCH(B509,Jobs!$A$5:$A$604,0)),""))</f>
        <v>0</v>
      </c>
      <c r="E509" s="23">
        <f>IF(B509="","",IFERROR(INDEX(Jobs!$K$5:$K$604,MATCH(B509,Jobs!$A$5:$A$604,0)),""))</f>
        <v>0</v>
      </c>
      <c r="P509" s="50">
        <f>IF(G509="","",IFERROR(INDEX(Checklists!$J$5:$J$404,MATCH(G509,Checklists!$F$5:$F$404,0)),"Yes"))</f>
        <v>0</v>
      </c>
      <c r="Q509" s="31">
        <f>IF(G509="","",IFERROR(INDEX(Checklists!$H$5:$H$404,MATCH(G509,Checklists!$F$5:$F$404,0)),""))</f>
        <v>0</v>
      </c>
      <c r="R509" s="31">
        <f>IF(OR(J509="",Q509=""),"",J509-Q509)</f>
        <v>0</v>
      </c>
      <c r="S509" s="50">
        <f>IF(B509="","",IF(H509="Done","Yes","No"))</f>
        <v>0</v>
      </c>
      <c r="T509" s="39">
        <f>IF(B509="","",IF(G509="","Add - what was the task?",IF(H509="Issue found",IF(M509="Yes","OK - issue reported","Action - tell the client"),IF(H509="Needs rework","Action - rework needed",IF(AND(H509="Skipped",P509="Yes"),"Check - required task skipped",IF(H509="Done","OK","Due"))))))</f>
        <v>0</v>
      </c>
    </row>
    <row r="510" spans="1:20">
      <c r="A510" s="43">
        <f>IF(B510="","","JT-"&amp;TEXT(ROW()-4,"0000"))</f>
        <v>0</v>
      </c>
      <c r="C510" s="18">
        <f>IF(B510="","",IFERROR(INDEX(Jobs!$B$5:$B$604,MATCH(B510,Jobs!$A$5:$A$604,0)),""))</f>
        <v>0</v>
      </c>
      <c r="D510" s="23">
        <f>IF(B510="","",IFERROR(INDEX(Jobs!$H$5:$H$604,MATCH(B510,Jobs!$A$5:$A$604,0)),""))</f>
        <v>0</v>
      </c>
      <c r="E510" s="23">
        <f>IF(B510="","",IFERROR(INDEX(Jobs!$K$5:$K$604,MATCH(B510,Jobs!$A$5:$A$604,0)),""))</f>
        <v>0</v>
      </c>
      <c r="P510" s="50">
        <f>IF(G510="","",IFERROR(INDEX(Checklists!$J$5:$J$404,MATCH(G510,Checklists!$F$5:$F$404,0)),"Yes"))</f>
        <v>0</v>
      </c>
      <c r="Q510" s="31">
        <f>IF(G510="","",IFERROR(INDEX(Checklists!$H$5:$H$404,MATCH(G510,Checklists!$F$5:$F$404,0)),""))</f>
        <v>0</v>
      </c>
      <c r="R510" s="31">
        <f>IF(OR(J510="",Q510=""),"",J510-Q510)</f>
        <v>0</v>
      </c>
      <c r="S510" s="50">
        <f>IF(B510="","",IF(H510="Done","Yes","No"))</f>
        <v>0</v>
      </c>
      <c r="T510" s="39">
        <f>IF(B510="","",IF(G510="","Add - what was the task?",IF(H510="Issue found",IF(M510="Yes","OK - issue reported","Action - tell the client"),IF(H510="Needs rework","Action - rework needed",IF(AND(H510="Skipped",P510="Yes"),"Check - required task skipped",IF(H510="Done","OK","Due"))))))</f>
        <v>0</v>
      </c>
    </row>
    <row r="511" spans="1:20">
      <c r="A511" s="43">
        <f>IF(B511="","","JT-"&amp;TEXT(ROW()-4,"0000"))</f>
        <v>0</v>
      </c>
      <c r="C511" s="18">
        <f>IF(B511="","",IFERROR(INDEX(Jobs!$B$5:$B$604,MATCH(B511,Jobs!$A$5:$A$604,0)),""))</f>
        <v>0</v>
      </c>
      <c r="D511" s="23">
        <f>IF(B511="","",IFERROR(INDEX(Jobs!$H$5:$H$604,MATCH(B511,Jobs!$A$5:$A$604,0)),""))</f>
        <v>0</v>
      </c>
      <c r="E511" s="23">
        <f>IF(B511="","",IFERROR(INDEX(Jobs!$K$5:$K$604,MATCH(B511,Jobs!$A$5:$A$604,0)),""))</f>
        <v>0</v>
      </c>
      <c r="P511" s="50">
        <f>IF(G511="","",IFERROR(INDEX(Checklists!$J$5:$J$404,MATCH(G511,Checklists!$F$5:$F$404,0)),"Yes"))</f>
        <v>0</v>
      </c>
      <c r="Q511" s="31">
        <f>IF(G511="","",IFERROR(INDEX(Checklists!$H$5:$H$404,MATCH(G511,Checklists!$F$5:$F$404,0)),""))</f>
        <v>0</v>
      </c>
      <c r="R511" s="31">
        <f>IF(OR(J511="",Q511=""),"",J511-Q511)</f>
        <v>0</v>
      </c>
      <c r="S511" s="50">
        <f>IF(B511="","",IF(H511="Done","Yes","No"))</f>
        <v>0</v>
      </c>
      <c r="T511" s="39">
        <f>IF(B511="","",IF(G511="","Add - what was the task?",IF(H511="Issue found",IF(M511="Yes","OK - issue reported","Action - tell the client"),IF(H511="Needs rework","Action - rework needed",IF(AND(H511="Skipped",P511="Yes"),"Check - required task skipped",IF(H511="Done","OK","Due"))))))</f>
        <v>0</v>
      </c>
    </row>
    <row r="512" spans="1:20">
      <c r="A512" s="43">
        <f>IF(B512="","","JT-"&amp;TEXT(ROW()-4,"0000"))</f>
        <v>0</v>
      </c>
      <c r="C512" s="18">
        <f>IF(B512="","",IFERROR(INDEX(Jobs!$B$5:$B$604,MATCH(B512,Jobs!$A$5:$A$604,0)),""))</f>
        <v>0</v>
      </c>
      <c r="D512" s="23">
        <f>IF(B512="","",IFERROR(INDEX(Jobs!$H$5:$H$604,MATCH(B512,Jobs!$A$5:$A$604,0)),""))</f>
        <v>0</v>
      </c>
      <c r="E512" s="23">
        <f>IF(B512="","",IFERROR(INDEX(Jobs!$K$5:$K$604,MATCH(B512,Jobs!$A$5:$A$604,0)),""))</f>
        <v>0</v>
      </c>
      <c r="P512" s="50">
        <f>IF(G512="","",IFERROR(INDEX(Checklists!$J$5:$J$404,MATCH(G512,Checklists!$F$5:$F$404,0)),"Yes"))</f>
        <v>0</v>
      </c>
      <c r="Q512" s="31">
        <f>IF(G512="","",IFERROR(INDEX(Checklists!$H$5:$H$404,MATCH(G512,Checklists!$F$5:$F$404,0)),""))</f>
        <v>0</v>
      </c>
      <c r="R512" s="31">
        <f>IF(OR(J512="",Q512=""),"",J512-Q512)</f>
        <v>0</v>
      </c>
      <c r="S512" s="50">
        <f>IF(B512="","",IF(H512="Done","Yes","No"))</f>
        <v>0</v>
      </c>
      <c r="T512" s="39">
        <f>IF(B512="","",IF(G512="","Add - what was the task?",IF(H512="Issue found",IF(M512="Yes","OK - issue reported","Action - tell the client"),IF(H512="Needs rework","Action - rework needed",IF(AND(H512="Skipped",P512="Yes"),"Check - required task skipped",IF(H512="Done","OK","Due"))))))</f>
        <v>0</v>
      </c>
    </row>
    <row r="513" spans="1:20">
      <c r="A513" s="43">
        <f>IF(B513="","","JT-"&amp;TEXT(ROW()-4,"0000"))</f>
        <v>0</v>
      </c>
      <c r="C513" s="18">
        <f>IF(B513="","",IFERROR(INDEX(Jobs!$B$5:$B$604,MATCH(B513,Jobs!$A$5:$A$604,0)),""))</f>
        <v>0</v>
      </c>
      <c r="D513" s="23">
        <f>IF(B513="","",IFERROR(INDEX(Jobs!$H$5:$H$604,MATCH(B513,Jobs!$A$5:$A$604,0)),""))</f>
        <v>0</v>
      </c>
      <c r="E513" s="23">
        <f>IF(B513="","",IFERROR(INDEX(Jobs!$K$5:$K$604,MATCH(B513,Jobs!$A$5:$A$604,0)),""))</f>
        <v>0</v>
      </c>
      <c r="P513" s="50">
        <f>IF(G513="","",IFERROR(INDEX(Checklists!$J$5:$J$404,MATCH(G513,Checklists!$F$5:$F$404,0)),"Yes"))</f>
        <v>0</v>
      </c>
      <c r="Q513" s="31">
        <f>IF(G513="","",IFERROR(INDEX(Checklists!$H$5:$H$404,MATCH(G513,Checklists!$F$5:$F$404,0)),""))</f>
        <v>0</v>
      </c>
      <c r="R513" s="31">
        <f>IF(OR(J513="",Q513=""),"",J513-Q513)</f>
        <v>0</v>
      </c>
      <c r="S513" s="50">
        <f>IF(B513="","",IF(H513="Done","Yes","No"))</f>
        <v>0</v>
      </c>
      <c r="T513" s="39">
        <f>IF(B513="","",IF(G513="","Add - what was the task?",IF(H513="Issue found",IF(M513="Yes","OK - issue reported","Action - tell the client"),IF(H513="Needs rework","Action - rework needed",IF(AND(H513="Skipped",P513="Yes"),"Check - required task skipped",IF(H513="Done","OK","Due"))))))</f>
        <v>0</v>
      </c>
    </row>
    <row r="514" spans="1:20">
      <c r="A514" s="43">
        <f>IF(B514="","","JT-"&amp;TEXT(ROW()-4,"0000"))</f>
        <v>0</v>
      </c>
      <c r="C514" s="18">
        <f>IF(B514="","",IFERROR(INDEX(Jobs!$B$5:$B$604,MATCH(B514,Jobs!$A$5:$A$604,0)),""))</f>
        <v>0</v>
      </c>
      <c r="D514" s="23">
        <f>IF(B514="","",IFERROR(INDEX(Jobs!$H$5:$H$604,MATCH(B514,Jobs!$A$5:$A$604,0)),""))</f>
        <v>0</v>
      </c>
      <c r="E514" s="23">
        <f>IF(B514="","",IFERROR(INDEX(Jobs!$K$5:$K$604,MATCH(B514,Jobs!$A$5:$A$604,0)),""))</f>
        <v>0</v>
      </c>
      <c r="P514" s="50">
        <f>IF(G514="","",IFERROR(INDEX(Checklists!$J$5:$J$404,MATCH(G514,Checklists!$F$5:$F$404,0)),"Yes"))</f>
        <v>0</v>
      </c>
      <c r="Q514" s="31">
        <f>IF(G514="","",IFERROR(INDEX(Checklists!$H$5:$H$404,MATCH(G514,Checklists!$F$5:$F$404,0)),""))</f>
        <v>0</v>
      </c>
      <c r="R514" s="31">
        <f>IF(OR(J514="",Q514=""),"",J514-Q514)</f>
        <v>0</v>
      </c>
      <c r="S514" s="50">
        <f>IF(B514="","",IF(H514="Done","Yes","No"))</f>
        <v>0</v>
      </c>
      <c r="T514" s="39">
        <f>IF(B514="","",IF(G514="","Add - what was the task?",IF(H514="Issue found",IF(M514="Yes","OK - issue reported","Action - tell the client"),IF(H514="Needs rework","Action - rework needed",IF(AND(H514="Skipped",P514="Yes"),"Check - required task skipped",IF(H514="Done","OK","Due"))))))</f>
        <v>0</v>
      </c>
    </row>
    <row r="515" spans="1:20">
      <c r="A515" s="43">
        <f>IF(B515="","","JT-"&amp;TEXT(ROW()-4,"0000"))</f>
        <v>0</v>
      </c>
      <c r="C515" s="18">
        <f>IF(B515="","",IFERROR(INDEX(Jobs!$B$5:$B$604,MATCH(B515,Jobs!$A$5:$A$604,0)),""))</f>
        <v>0</v>
      </c>
      <c r="D515" s="23">
        <f>IF(B515="","",IFERROR(INDEX(Jobs!$H$5:$H$604,MATCH(B515,Jobs!$A$5:$A$604,0)),""))</f>
        <v>0</v>
      </c>
      <c r="E515" s="23">
        <f>IF(B515="","",IFERROR(INDEX(Jobs!$K$5:$K$604,MATCH(B515,Jobs!$A$5:$A$604,0)),""))</f>
        <v>0</v>
      </c>
      <c r="P515" s="50">
        <f>IF(G515="","",IFERROR(INDEX(Checklists!$J$5:$J$404,MATCH(G515,Checklists!$F$5:$F$404,0)),"Yes"))</f>
        <v>0</v>
      </c>
      <c r="Q515" s="31">
        <f>IF(G515="","",IFERROR(INDEX(Checklists!$H$5:$H$404,MATCH(G515,Checklists!$F$5:$F$404,0)),""))</f>
        <v>0</v>
      </c>
      <c r="R515" s="31">
        <f>IF(OR(J515="",Q515=""),"",J515-Q515)</f>
        <v>0</v>
      </c>
      <c r="S515" s="50">
        <f>IF(B515="","",IF(H515="Done","Yes","No"))</f>
        <v>0</v>
      </c>
      <c r="T515" s="39">
        <f>IF(B515="","",IF(G515="","Add - what was the task?",IF(H515="Issue found",IF(M515="Yes","OK - issue reported","Action - tell the client"),IF(H515="Needs rework","Action - rework needed",IF(AND(H515="Skipped",P515="Yes"),"Check - required task skipped",IF(H515="Done","OK","Due"))))))</f>
        <v>0</v>
      </c>
    </row>
    <row r="516" spans="1:20">
      <c r="A516" s="43">
        <f>IF(B516="","","JT-"&amp;TEXT(ROW()-4,"0000"))</f>
        <v>0</v>
      </c>
      <c r="C516" s="18">
        <f>IF(B516="","",IFERROR(INDEX(Jobs!$B$5:$B$604,MATCH(B516,Jobs!$A$5:$A$604,0)),""))</f>
        <v>0</v>
      </c>
      <c r="D516" s="23">
        <f>IF(B516="","",IFERROR(INDEX(Jobs!$H$5:$H$604,MATCH(B516,Jobs!$A$5:$A$604,0)),""))</f>
        <v>0</v>
      </c>
      <c r="E516" s="23">
        <f>IF(B516="","",IFERROR(INDEX(Jobs!$K$5:$K$604,MATCH(B516,Jobs!$A$5:$A$604,0)),""))</f>
        <v>0</v>
      </c>
      <c r="P516" s="50">
        <f>IF(G516="","",IFERROR(INDEX(Checklists!$J$5:$J$404,MATCH(G516,Checklists!$F$5:$F$404,0)),"Yes"))</f>
        <v>0</v>
      </c>
      <c r="Q516" s="31">
        <f>IF(G516="","",IFERROR(INDEX(Checklists!$H$5:$H$404,MATCH(G516,Checklists!$F$5:$F$404,0)),""))</f>
        <v>0</v>
      </c>
      <c r="R516" s="31">
        <f>IF(OR(J516="",Q516=""),"",J516-Q516)</f>
        <v>0</v>
      </c>
      <c r="S516" s="50">
        <f>IF(B516="","",IF(H516="Done","Yes","No"))</f>
        <v>0</v>
      </c>
      <c r="T516" s="39">
        <f>IF(B516="","",IF(G516="","Add - what was the task?",IF(H516="Issue found",IF(M516="Yes","OK - issue reported","Action - tell the client"),IF(H516="Needs rework","Action - rework needed",IF(AND(H516="Skipped",P516="Yes"),"Check - required task skipped",IF(H516="Done","OK","Due"))))))</f>
        <v>0</v>
      </c>
    </row>
    <row r="517" spans="1:20">
      <c r="A517" s="43">
        <f>IF(B517="","","JT-"&amp;TEXT(ROW()-4,"0000"))</f>
        <v>0</v>
      </c>
      <c r="C517" s="18">
        <f>IF(B517="","",IFERROR(INDEX(Jobs!$B$5:$B$604,MATCH(B517,Jobs!$A$5:$A$604,0)),""))</f>
        <v>0</v>
      </c>
      <c r="D517" s="23">
        <f>IF(B517="","",IFERROR(INDEX(Jobs!$H$5:$H$604,MATCH(B517,Jobs!$A$5:$A$604,0)),""))</f>
        <v>0</v>
      </c>
      <c r="E517" s="23">
        <f>IF(B517="","",IFERROR(INDEX(Jobs!$K$5:$K$604,MATCH(B517,Jobs!$A$5:$A$604,0)),""))</f>
        <v>0</v>
      </c>
      <c r="P517" s="50">
        <f>IF(G517="","",IFERROR(INDEX(Checklists!$J$5:$J$404,MATCH(G517,Checklists!$F$5:$F$404,0)),"Yes"))</f>
        <v>0</v>
      </c>
      <c r="Q517" s="31">
        <f>IF(G517="","",IFERROR(INDEX(Checklists!$H$5:$H$404,MATCH(G517,Checklists!$F$5:$F$404,0)),""))</f>
        <v>0</v>
      </c>
      <c r="R517" s="31">
        <f>IF(OR(J517="",Q517=""),"",J517-Q517)</f>
        <v>0</v>
      </c>
      <c r="S517" s="50">
        <f>IF(B517="","",IF(H517="Done","Yes","No"))</f>
        <v>0</v>
      </c>
      <c r="T517" s="39">
        <f>IF(B517="","",IF(G517="","Add - what was the task?",IF(H517="Issue found",IF(M517="Yes","OK - issue reported","Action - tell the client"),IF(H517="Needs rework","Action - rework needed",IF(AND(H517="Skipped",P517="Yes"),"Check - required task skipped",IF(H517="Done","OK","Due"))))))</f>
        <v>0</v>
      </c>
    </row>
    <row r="518" spans="1:20">
      <c r="A518" s="43">
        <f>IF(B518="","","JT-"&amp;TEXT(ROW()-4,"0000"))</f>
        <v>0</v>
      </c>
      <c r="C518" s="18">
        <f>IF(B518="","",IFERROR(INDEX(Jobs!$B$5:$B$604,MATCH(B518,Jobs!$A$5:$A$604,0)),""))</f>
        <v>0</v>
      </c>
      <c r="D518" s="23">
        <f>IF(B518="","",IFERROR(INDEX(Jobs!$H$5:$H$604,MATCH(B518,Jobs!$A$5:$A$604,0)),""))</f>
        <v>0</v>
      </c>
      <c r="E518" s="23">
        <f>IF(B518="","",IFERROR(INDEX(Jobs!$K$5:$K$604,MATCH(B518,Jobs!$A$5:$A$604,0)),""))</f>
        <v>0</v>
      </c>
      <c r="P518" s="50">
        <f>IF(G518="","",IFERROR(INDEX(Checklists!$J$5:$J$404,MATCH(G518,Checklists!$F$5:$F$404,0)),"Yes"))</f>
        <v>0</v>
      </c>
      <c r="Q518" s="31">
        <f>IF(G518="","",IFERROR(INDEX(Checklists!$H$5:$H$404,MATCH(G518,Checklists!$F$5:$F$404,0)),""))</f>
        <v>0</v>
      </c>
      <c r="R518" s="31">
        <f>IF(OR(J518="",Q518=""),"",J518-Q518)</f>
        <v>0</v>
      </c>
      <c r="S518" s="50">
        <f>IF(B518="","",IF(H518="Done","Yes","No"))</f>
        <v>0</v>
      </c>
      <c r="T518" s="39">
        <f>IF(B518="","",IF(G518="","Add - what was the task?",IF(H518="Issue found",IF(M518="Yes","OK - issue reported","Action - tell the client"),IF(H518="Needs rework","Action - rework needed",IF(AND(H518="Skipped",P518="Yes"),"Check - required task skipped",IF(H518="Done","OK","Due"))))))</f>
        <v>0</v>
      </c>
    </row>
    <row r="519" spans="1:20">
      <c r="A519" s="43">
        <f>IF(B519="","","JT-"&amp;TEXT(ROW()-4,"0000"))</f>
        <v>0</v>
      </c>
      <c r="C519" s="18">
        <f>IF(B519="","",IFERROR(INDEX(Jobs!$B$5:$B$604,MATCH(B519,Jobs!$A$5:$A$604,0)),""))</f>
        <v>0</v>
      </c>
      <c r="D519" s="23">
        <f>IF(B519="","",IFERROR(INDEX(Jobs!$H$5:$H$604,MATCH(B519,Jobs!$A$5:$A$604,0)),""))</f>
        <v>0</v>
      </c>
      <c r="E519" s="23">
        <f>IF(B519="","",IFERROR(INDEX(Jobs!$K$5:$K$604,MATCH(B519,Jobs!$A$5:$A$604,0)),""))</f>
        <v>0</v>
      </c>
      <c r="P519" s="50">
        <f>IF(G519="","",IFERROR(INDEX(Checklists!$J$5:$J$404,MATCH(G519,Checklists!$F$5:$F$404,0)),"Yes"))</f>
        <v>0</v>
      </c>
      <c r="Q519" s="31">
        <f>IF(G519="","",IFERROR(INDEX(Checklists!$H$5:$H$404,MATCH(G519,Checklists!$F$5:$F$404,0)),""))</f>
        <v>0</v>
      </c>
      <c r="R519" s="31">
        <f>IF(OR(J519="",Q519=""),"",J519-Q519)</f>
        <v>0</v>
      </c>
      <c r="S519" s="50">
        <f>IF(B519="","",IF(H519="Done","Yes","No"))</f>
        <v>0</v>
      </c>
      <c r="T519" s="39">
        <f>IF(B519="","",IF(G519="","Add - what was the task?",IF(H519="Issue found",IF(M519="Yes","OK - issue reported","Action - tell the client"),IF(H519="Needs rework","Action - rework needed",IF(AND(H519="Skipped",P519="Yes"),"Check - required task skipped",IF(H519="Done","OK","Due"))))))</f>
        <v>0</v>
      </c>
    </row>
    <row r="520" spans="1:20">
      <c r="A520" s="43">
        <f>IF(B520="","","JT-"&amp;TEXT(ROW()-4,"0000"))</f>
        <v>0</v>
      </c>
      <c r="C520" s="18">
        <f>IF(B520="","",IFERROR(INDEX(Jobs!$B$5:$B$604,MATCH(B520,Jobs!$A$5:$A$604,0)),""))</f>
        <v>0</v>
      </c>
      <c r="D520" s="23">
        <f>IF(B520="","",IFERROR(INDEX(Jobs!$H$5:$H$604,MATCH(B520,Jobs!$A$5:$A$604,0)),""))</f>
        <v>0</v>
      </c>
      <c r="E520" s="23">
        <f>IF(B520="","",IFERROR(INDEX(Jobs!$K$5:$K$604,MATCH(B520,Jobs!$A$5:$A$604,0)),""))</f>
        <v>0</v>
      </c>
      <c r="P520" s="50">
        <f>IF(G520="","",IFERROR(INDEX(Checklists!$J$5:$J$404,MATCH(G520,Checklists!$F$5:$F$404,0)),"Yes"))</f>
        <v>0</v>
      </c>
      <c r="Q520" s="31">
        <f>IF(G520="","",IFERROR(INDEX(Checklists!$H$5:$H$404,MATCH(G520,Checklists!$F$5:$F$404,0)),""))</f>
        <v>0</v>
      </c>
      <c r="R520" s="31">
        <f>IF(OR(J520="",Q520=""),"",J520-Q520)</f>
        <v>0</v>
      </c>
      <c r="S520" s="50">
        <f>IF(B520="","",IF(H520="Done","Yes","No"))</f>
        <v>0</v>
      </c>
      <c r="T520" s="39">
        <f>IF(B520="","",IF(G520="","Add - what was the task?",IF(H520="Issue found",IF(M520="Yes","OK - issue reported","Action - tell the client"),IF(H520="Needs rework","Action - rework needed",IF(AND(H520="Skipped",P520="Yes"),"Check - required task skipped",IF(H520="Done","OK","Due"))))))</f>
        <v>0</v>
      </c>
    </row>
    <row r="521" spans="1:20">
      <c r="A521" s="43">
        <f>IF(B521="","","JT-"&amp;TEXT(ROW()-4,"0000"))</f>
        <v>0</v>
      </c>
      <c r="C521" s="18">
        <f>IF(B521="","",IFERROR(INDEX(Jobs!$B$5:$B$604,MATCH(B521,Jobs!$A$5:$A$604,0)),""))</f>
        <v>0</v>
      </c>
      <c r="D521" s="23">
        <f>IF(B521="","",IFERROR(INDEX(Jobs!$H$5:$H$604,MATCH(B521,Jobs!$A$5:$A$604,0)),""))</f>
        <v>0</v>
      </c>
      <c r="E521" s="23">
        <f>IF(B521="","",IFERROR(INDEX(Jobs!$K$5:$K$604,MATCH(B521,Jobs!$A$5:$A$604,0)),""))</f>
        <v>0</v>
      </c>
      <c r="P521" s="50">
        <f>IF(G521="","",IFERROR(INDEX(Checklists!$J$5:$J$404,MATCH(G521,Checklists!$F$5:$F$404,0)),"Yes"))</f>
        <v>0</v>
      </c>
      <c r="Q521" s="31">
        <f>IF(G521="","",IFERROR(INDEX(Checklists!$H$5:$H$404,MATCH(G521,Checklists!$F$5:$F$404,0)),""))</f>
        <v>0</v>
      </c>
      <c r="R521" s="31">
        <f>IF(OR(J521="",Q521=""),"",J521-Q521)</f>
        <v>0</v>
      </c>
      <c r="S521" s="50">
        <f>IF(B521="","",IF(H521="Done","Yes","No"))</f>
        <v>0</v>
      </c>
      <c r="T521" s="39">
        <f>IF(B521="","",IF(G521="","Add - what was the task?",IF(H521="Issue found",IF(M521="Yes","OK - issue reported","Action - tell the client"),IF(H521="Needs rework","Action - rework needed",IF(AND(H521="Skipped",P521="Yes"),"Check - required task skipped",IF(H521="Done","OK","Due"))))))</f>
        <v>0</v>
      </c>
    </row>
    <row r="522" spans="1:20">
      <c r="A522" s="43">
        <f>IF(B522="","","JT-"&amp;TEXT(ROW()-4,"0000"))</f>
        <v>0</v>
      </c>
      <c r="C522" s="18">
        <f>IF(B522="","",IFERROR(INDEX(Jobs!$B$5:$B$604,MATCH(B522,Jobs!$A$5:$A$604,0)),""))</f>
        <v>0</v>
      </c>
      <c r="D522" s="23">
        <f>IF(B522="","",IFERROR(INDEX(Jobs!$H$5:$H$604,MATCH(B522,Jobs!$A$5:$A$604,0)),""))</f>
        <v>0</v>
      </c>
      <c r="E522" s="23">
        <f>IF(B522="","",IFERROR(INDEX(Jobs!$K$5:$K$604,MATCH(B522,Jobs!$A$5:$A$604,0)),""))</f>
        <v>0</v>
      </c>
      <c r="P522" s="50">
        <f>IF(G522="","",IFERROR(INDEX(Checklists!$J$5:$J$404,MATCH(G522,Checklists!$F$5:$F$404,0)),"Yes"))</f>
        <v>0</v>
      </c>
      <c r="Q522" s="31">
        <f>IF(G522="","",IFERROR(INDEX(Checklists!$H$5:$H$404,MATCH(G522,Checklists!$F$5:$F$404,0)),""))</f>
        <v>0</v>
      </c>
      <c r="R522" s="31">
        <f>IF(OR(J522="",Q522=""),"",J522-Q522)</f>
        <v>0</v>
      </c>
      <c r="S522" s="50">
        <f>IF(B522="","",IF(H522="Done","Yes","No"))</f>
        <v>0</v>
      </c>
      <c r="T522" s="39">
        <f>IF(B522="","",IF(G522="","Add - what was the task?",IF(H522="Issue found",IF(M522="Yes","OK - issue reported","Action - tell the client"),IF(H522="Needs rework","Action - rework needed",IF(AND(H522="Skipped",P522="Yes"),"Check - required task skipped",IF(H522="Done","OK","Due"))))))</f>
        <v>0</v>
      </c>
    </row>
    <row r="523" spans="1:20">
      <c r="A523" s="43">
        <f>IF(B523="","","JT-"&amp;TEXT(ROW()-4,"0000"))</f>
        <v>0</v>
      </c>
      <c r="C523" s="18">
        <f>IF(B523="","",IFERROR(INDEX(Jobs!$B$5:$B$604,MATCH(B523,Jobs!$A$5:$A$604,0)),""))</f>
        <v>0</v>
      </c>
      <c r="D523" s="23">
        <f>IF(B523="","",IFERROR(INDEX(Jobs!$H$5:$H$604,MATCH(B523,Jobs!$A$5:$A$604,0)),""))</f>
        <v>0</v>
      </c>
      <c r="E523" s="23">
        <f>IF(B523="","",IFERROR(INDEX(Jobs!$K$5:$K$604,MATCH(B523,Jobs!$A$5:$A$604,0)),""))</f>
        <v>0</v>
      </c>
      <c r="P523" s="50">
        <f>IF(G523="","",IFERROR(INDEX(Checklists!$J$5:$J$404,MATCH(G523,Checklists!$F$5:$F$404,0)),"Yes"))</f>
        <v>0</v>
      </c>
      <c r="Q523" s="31">
        <f>IF(G523="","",IFERROR(INDEX(Checklists!$H$5:$H$404,MATCH(G523,Checklists!$F$5:$F$404,0)),""))</f>
        <v>0</v>
      </c>
      <c r="R523" s="31">
        <f>IF(OR(J523="",Q523=""),"",J523-Q523)</f>
        <v>0</v>
      </c>
      <c r="S523" s="50">
        <f>IF(B523="","",IF(H523="Done","Yes","No"))</f>
        <v>0</v>
      </c>
      <c r="T523" s="39">
        <f>IF(B523="","",IF(G523="","Add - what was the task?",IF(H523="Issue found",IF(M523="Yes","OK - issue reported","Action - tell the client"),IF(H523="Needs rework","Action - rework needed",IF(AND(H523="Skipped",P523="Yes"),"Check - required task skipped",IF(H523="Done","OK","Due"))))))</f>
        <v>0</v>
      </c>
    </row>
    <row r="524" spans="1:20">
      <c r="A524" s="43">
        <f>IF(B524="","","JT-"&amp;TEXT(ROW()-4,"0000"))</f>
        <v>0</v>
      </c>
      <c r="C524" s="18">
        <f>IF(B524="","",IFERROR(INDEX(Jobs!$B$5:$B$604,MATCH(B524,Jobs!$A$5:$A$604,0)),""))</f>
        <v>0</v>
      </c>
      <c r="D524" s="23">
        <f>IF(B524="","",IFERROR(INDEX(Jobs!$H$5:$H$604,MATCH(B524,Jobs!$A$5:$A$604,0)),""))</f>
        <v>0</v>
      </c>
      <c r="E524" s="23">
        <f>IF(B524="","",IFERROR(INDEX(Jobs!$K$5:$K$604,MATCH(B524,Jobs!$A$5:$A$604,0)),""))</f>
        <v>0</v>
      </c>
      <c r="P524" s="50">
        <f>IF(G524="","",IFERROR(INDEX(Checklists!$J$5:$J$404,MATCH(G524,Checklists!$F$5:$F$404,0)),"Yes"))</f>
        <v>0</v>
      </c>
      <c r="Q524" s="31">
        <f>IF(G524="","",IFERROR(INDEX(Checklists!$H$5:$H$404,MATCH(G524,Checklists!$F$5:$F$404,0)),""))</f>
        <v>0</v>
      </c>
      <c r="R524" s="31">
        <f>IF(OR(J524="",Q524=""),"",J524-Q524)</f>
        <v>0</v>
      </c>
      <c r="S524" s="50">
        <f>IF(B524="","",IF(H524="Done","Yes","No"))</f>
        <v>0</v>
      </c>
      <c r="T524" s="39">
        <f>IF(B524="","",IF(G524="","Add - what was the task?",IF(H524="Issue found",IF(M524="Yes","OK - issue reported","Action - tell the client"),IF(H524="Needs rework","Action - rework needed",IF(AND(H524="Skipped",P524="Yes"),"Check - required task skipped",IF(H524="Done","OK","Due"))))))</f>
        <v>0</v>
      </c>
    </row>
    <row r="525" spans="1:20">
      <c r="A525" s="43">
        <f>IF(B525="","","JT-"&amp;TEXT(ROW()-4,"0000"))</f>
        <v>0</v>
      </c>
      <c r="C525" s="18">
        <f>IF(B525="","",IFERROR(INDEX(Jobs!$B$5:$B$604,MATCH(B525,Jobs!$A$5:$A$604,0)),""))</f>
        <v>0</v>
      </c>
      <c r="D525" s="23">
        <f>IF(B525="","",IFERROR(INDEX(Jobs!$H$5:$H$604,MATCH(B525,Jobs!$A$5:$A$604,0)),""))</f>
        <v>0</v>
      </c>
      <c r="E525" s="23">
        <f>IF(B525="","",IFERROR(INDEX(Jobs!$K$5:$K$604,MATCH(B525,Jobs!$A$5:$A$604,0)),""))</f>
        <v>0</v>
      </c>
      <c r="P525" s="50">
        <f>IF(G525="","",IFERROR(INDEX(Checklists!$J$5:$J$404,MATCH(G525,Checklists!$F$5:$F$404,0)),"Yes"))</f>
        <v>0</v>
      </c>
      <c r="Q525" s="31">
        <f>IF(G525="","",IFERROR(INDEX(Checklists!$H$5:$H$404,MATCH(G525,Checklists!$F$5:$F$404,0)),""))</f>
        <v>0</v>
      </c>
      <c r="R525" s="31">
        <f>IF(OR(J525="",Q525=""),"",J525-Q525)</f>
        <v>0</v>
      </c>
      <c r="S525" s="50">
        <f>IF(B525="","",IF(H525="Done","Yes","No"))</f>
        <v>0</v>
      </c>
      <c r="T525" s="39">
        <f>IF(B525="","",IF(G525="","Add - what was the task?",IF(H525="Issue found",IF(M525="Yes","OK - issue reported","Action - tell the client"),IF(H525="Needs rework","Action - rework needed",IF(AND(H525="Skipped",P525="Yes"),"Check - required task skipped",IF(H525="Done","OK","Due"))))))</f>
        <v>0</v>
      </c>
    </row>
    <row r="526" spans="1:20">
      <c r="A526" s="43">
        <f>IF(B526="","","JT-"&amp;TEXT(ROW()-4,"0000"))</f>
        <v>0</v>
      </c>
      <c r="C526" s="18">
        <f>IF(B526="","",IFERROR(INDEX(Jobs!$B$5:$B$604,MATCH(B526,Jobs!$A$5:$A$604,0)),""))</f>
        <v>0</v>
      </c>
      <c r="D526" s="23">
        <f>IF(B526="","",IFERROR(INDEX(Jobs!$H$5:$H$604,MATCH(B526,Jobs!$A$5:$A$604,0)),""))</f>
        <v>0</v>
      </c>
      <c r="E526" s="23">
        <f>IF(B526="","",IFERROR(INDEX(Jobs!$K$5:$K$604,MATCH(B526,Jobs!$A$5:$A$604,0)),""))</f>
        <v>0</v>
      </c>
      <c r="P526" s="50">
        <f>IF(G526="","",IFERROR(INDEX(Checklists!$J$5:$J$404,MATCH(G526,Checklists!$F$5:$F$404,0)),"Yes"))</f>
        <v>0</v>
      </c>
      <c r="Q526" s="31">
        <f>IF(G526="","",IFERROR(INDEX(Checklists!$H$5:$H$404,MATCH(G526,Checklists!$F$5:$F$404,0)),""))</f>
        <v>0</v>
      </c>
      <c r="R526" s="31">
        <f>IF(OR(J526="",Q526=""),"",J526-Q526)</f>
        <v>0</v>
      </c>
      <c r="S526" s="50">
        <f>IF(B526="","",IF(H526="Done","Yes","No"))</f>
        <v>0</v>
      </c>
      <c r="T526" s="39">
        <f>IF(B526="","",IF(G526="","Add - what was the task?",IF(H526="Issue found",IF(M526="Yes","OK - issue reported","Action - tell the client"),IF(H526="Needs rework","Action - rework needed",IF(AND(H526="Skipped",P526="Yes"),"Check - required task skipped",IF(H526="Done","OK","Due"))))))</f>
        <v>0</v>
      </c>
    </row>
    <row r="527" spans="1:20">
      <c r="A527" s="43">
        <f>IF(B527="","","JT-"&amp;TEXT(ROW()-4,"0000"))</f>
        <v>0</v>
      </c>
      <c r="C527" s="18">
        <f>IF(B527="","",IFERROR(INDEX(Jobs!$B$5:$B$604,MATCH(B527,Jobs!$A$5:$A$604,0)),""))</f>
        <v>0</v>
      </c>
      <c r="D527" s="23">
        <f>IF(B527="","",IFERROR(INDEX(Jobs!$H$5:$H$604,MATCH(B527,Jobs!$A$5:$A$604,0)),""))</f>
        <v>0</v>
      </c>
      <c r="E527" s="23">
        <f>IF(B527="","",IFERROR(INDEX(Jobs!$K$5:$K$604,MATCH(B527,Jobs!$A$5:$A$604,0)),""))</f>
        <v>0</v>
      </c>
      <c r="P527" s="50">
        <f>IF(G527="","",IFERROR(INDEX(Checklists!$J$5:$J$404,MATCH(G527,Checklists!$F$5:$F$404,0)),"Yes"))</f>
        <v>0</v>
      </c>
      <c r="Q527" s="31">
        <f>IF(G527="","",IFERROR(INDEX(Checklists!$H$5:$H$404,MATCH(G527,Checklists!$F$5:$F$404,0)),""))</f>
        <v>0</v>
      </c>
      <c r="R527" s="31">
        <f>IF(OR(J527="",Q527=""),"",J527-Q527)</f>
        <v>0</v>
      </c>
      <c r="S527" s="50">
        <f>IF(B527="","",IF(H527="Done","Yes","No"))</f>
        <v>0</v>
      </c>
      <c r="T527" s="39">
        <f>IF(B527="","",IF(G527="","Add - what was the task?",IF(H527="Issue found",IF(M527="Yes","OK - issue reported","Action - tell the client"),IF(H527="Needs rework","Action - rework needed",IF(AND(H527="Skipped",P527="Yes"),"Check - required task skipped",IF(H527="Done","OK","Due"))))))</f>
        <v>0</v>
      </c>
    </row>
    <row r="528" spans="1:20">
      <c r="A528" s="43">
        <f>IF(B528="","","JT-"&amp;TEXT(ROW()-4,"0000"))</f>
        <v>0</v>
      </c>
      <c r="C528" s="18">
        <f>IF(B528="","",IFERROR(INDEX(Jobs!$B$5:$B$604,MATCH(B528,Jobs!$A$5:$A$604,0)),""))</f>
        <v>0</v>
      </c>
      <c r="D528" s="23">
        <f>IF(B528="","",IFERROR(INDEX(Jobs!$H$5:$H$604,MATCH(B528,Jobs!$A$5:$A$604,0)),""))</f>
        <v>0</v>
      </c>
      <c r="E528" s="23">
        <f>IF(B528="","",IFERROR(INDEX(Jobs!$K$5:$K$604,MATCH(B528,Jobs!$A$5:$A$604,0)),""))</f>
        <v>0</v>
      </c>
      <c r="P528" s="50">
        <f>IF(G528="","",IFERROR(INDEX(Checklists!$J$5:$J$404,MATCH(G528,Checklists!$F$5:$F$404,0)),"Yes"))</f>
        <v>0</v>
      </c>
      <c r="Q528" s="31">
        <f>IF(G528="","",IFERROR(INDEX(Checklists!$H$5:$H$404,MATCH(G528,Checklists!$F$5:$F$404,0)),""))</f>
        <v>0</v>
      </c>
      <c r="R528" s="31">
        <f>IF(OR(J528="",Q528=""),"",J528-Q528)</f>
        <v>0</v>
      </c>
      <c r="S528" s="50">
        <f>IF(B528="","",IF(H528="Done","Yes","No"))</f>
        <v>0</v>
      </c>
      <c r="T528" s="39">
        <f>IF(B528="","",IF(G528="","Add - what was the task?",IF(H528="Issue found",IF(M528="Yes","OK - issue reported","Action - tell the client"),IF(H528="Needs rework","Action - rework needed",IF(AND(H528="Skipped",P528="Yes"),"Check - required task skipped",IF(H528="Done","OK","Due"))))))</f>
        <v>0</v>
      </c>
    </row>
    <row r="529" spans="1:20">
      <c r="A529" s="43">
        <f>IF(B529="","","JT-"&amp;TEXT(ROW()-4,"0000"))</f>
        <v>0</v>
      </c>
      <c r="C529" s="18">
        <f>IF(B529="","",IFERROR(INDEX(Jobs!$B$5:$B$604,MATCH(B529,Jobs!$A$5:$A$604,0)),""))</f>
        <v>0</v>
      </c>
      <c r="D529" s="23">
        <f>IF(B529="","",IFERROR(INDEX(Jobs!$H$5:$H$604,MATCH(B529,Jobs!$A$5:$A$604,0)),""))</f>
        <v>0</v>
      </c>
      <c r="E529" s="23">
        <f>IF(B529="","",IFERROR(INDEX(Jobs!$K$5:$K$604,MATCH(B529,Jobs!$A$5:$A$604,0)),""))</f>
        <v>0</v>
      </c>
      <c r="P529" s="50">
        <f>IF(G529="","",IFERROR(INDEX(Checklists!$J$5:$J$404,MATCH(G529,Checklists!$F$5:$F$404,0)),"Yes"))</f>
        <v>0</v>
      </c>
      <c r="Q529" s="31">
        <f>IF(G529="","",IFERROR(INDEX(Checklists!$H$5:$H$404,MATCH(G529,Checklists!$F$5:$F$404,0)),""))</f>
        <v>0</v>
      </c>
      <c r="R529" s="31">
        <f>IF(OR(J529="",Q529=""),"",J529-Q529)</f>
        <v>0</v>
      </c>
      <c r="S529" s="50">
        <f>IF(B529="","",IF(H529="Done","Yes","No"))</f>
        <v>0</v>
      </c>
      <c r="T529" s="39">
        <f>IF(B529="","",IF(G529="","Add - what was the task?",IF(H529="Issue found",IF(M529="Yes","OK - issue reported","Action - tell the client"),IF(H529="Needs rework","Action - rework needed",IF(AND(H529="Skipped",P529="Yes"),"Check - required task skipped",IF(H529="Done","OK","Due"))))))</f>
        <v>0</v>
      </c>
    </row>
    <row r="530" spans="1:20">
      <c r="A530" s="43">
        <f>IF(B530="","","JT-"&amp;TEXT(ROW()-4,"0000"))</f>
        <v>0</v>
      </c>
      <c r="C530" s="18">
        <f>IF(B530="","",IFERROR(INDEX(Jobs!$B$5:$B$604,MATCH(B530,Jobs!$A$5:$A$604,0)),""))</f>
        <v>0</v>
      </c>
      <c r="D530" s="23">
        <f>IF(B530="","",IFERROR(INDEX(Jobs!$H$5:$H$604,MATCH(B530,Jobs!$A$5:$A$604,0)),""))</f>
        <v>0</v>
      </c>
      <c r="E530" s="23">
        <f>IF(B530="","",IFERROR(INDEX(Jobs!$K$5:$K$604,MATCH(B530,Jobs!$A$5:$A$604,0)),""))</f>
        <v>0</v>
      </c>
      <c r="P530" s="50">
        <f>IF(G530="","",IFERROR(INDEX(Checklists!$J$5:$J$404,MATCH(G530,Checklists!$F$5:$F$404,0)),"Yes"))</f>
        <v>0</v>
      </c>
      <c r="Q530" s="31">
        <f>IF(G530="","",IFERROR(INDEX(Checklists!$H$5:$H$404,MATCH(G530,Checklists!$F$5:$F$404,0)),""))</f>
        <v>0</v>
      </c>
      <c r="R530" s="31">
        <f>IF(OR(J530="",Q530=""),"",J530-Q530)</f>
        <v>0</v>
      </c>
      <c r="S530" s="50">
        <f>IF(B530="","",IF(H530="Done","Yes","No"))</f>
        <v>0</v>
      </c>
      <c r="T530" s="39">
        <f>IF(B530="","",IF(G530="","Add - what was the task?",IF(H530="Issue found",IF(M530="Yes","OK - issue reported","Action - tell the client"),IF(H530="Needs rework","Action - rework needed",IF(AND(H530="Skipped",P530="Yes"),"Check - required task skipped",IF(H530="Done","OK","Due"))))))</f>
        <v>0</v>
      </c>
    </row>
    <row r="531" spans="1:20">
      <c r="A531" s="43">
        <f>IF(B531="","","JT-"&amp;TEXT(ROW()-4,"0000"))</f>
        <v>0</v>
      </c>
      <c r="C531" s="18">
        <f>IF(B531="","",IFERROR(INDEX(Jobs!$B$5:$B$604,MATCH(B531,Jobs!$A$5:$A$604,0)),""))</f>
        <v>0</v>
      </c>
      <c r="D531" s="23">
        <f>IF(B531="","",IFERROR(INDEX(Jobs!$H$5:$H$604,MATCH(B531,Jobs!$A$5:$A$604,0)),""))</f>
        <v>0</v>
      </c>
      <c r="E531" s="23">
        <f>IF(B531="","",IFERROR(INDEX(Jobs!$K$5:$K$604,MATCH(B531,Jobs!$A$5:$A$604,0)),""))</f>
        <v>0</v>
      </c>
      <c r="P531" s="50">
        <f>IF(G531="","",IFERROR(INDEX(Checklists!$J$5:$J$404,MATCH(G531,Checklists!$F$5:$F$404,0)),"Yes"))</f>
        <v>0</v>
      </c>
      <c r="Q531" s="31">
        <f>IF(G531="","",IFERROR(INDEX(Checklists!$H$5:$H$404,MATCH(G531,Checklists!$F$5:$F$404,0)),""))</f>
        <v>0</v>
      </c>
      <c r="R531" s="31">
        <f>IF(OR(J531="",Q531=""),"",J531-Q531)</f>
        <v>0</v>
      </c>
      <c r="S531" s="50">
        <f>IF(B531="","",IF(H531="Done","Yes","No"))</f>
        <v>0</v>
      </c>
      <c r="T531" s="39">
        <f>IF(B531="","",IF(G531="","Add - what was the task?",IF(H531="Issue found",IF(M531="Yes","OK - issue reported","Action - tell the client"),IF(H531="Needs rework","Action - rework needed",IF(AND(H531="Skipped",P531="Yes"),"Check - required task skipped",IF(H531="Done","OK","Due"))))))</f>
        <v>0</v>
      </c>
    </row>
    <row r="532" spans="1:20">
      <c r="A532" s="43">
        <f>IF(B532="","","JT-"&amp;TEXT(ROW()-4,"0000"))</f>
        <v>0</v>
      </c>
      <c r="C532" s="18">
        <f>IF(B532="","",IFERROR(INDEX(Jobs!$B$5:$B$604,MATCH(B532,Jobs!$A$5:$A$604,0)),""))</f>
        <v>0</v>
      </c>
      <c r="D532" s="23">
        <f>IF(B532="","",IFERROR(INDEX(Jobs!$H$5:$H$604,MATCH(B532,Jobs!$A$5:$A$604,0)),""))</f>
        <v>0</v>
      </c>
      <c r="E532" s="23">
        <f>IF(B532="","",IFERROR(INDEX(Jobs!$K$5:$K$604,MATCH(B532,Jobs!$A$5:$A$604,0)),""))</f>
        <v>0</v>
      </c>
      <c r="P532" s="50">
        <f>IF(G532="","",IFERROR(INDEX(Checklists!$J$5:$J$404,MATCH(G532,Checklists!$F$5:$F$404,0)),"Yes"))</f>
        <v>0</v>
      </c>
      <c r="Q532" s="31">
        <f>IF(G532="","",IFERROR(INDEX(Checklists!$H$5:$H$404,MATCH(G532,Checklists!$F$5:$F$404,0)),""))</f>
        <v>0</v>
      </c>
      <c r="R532" s="31">
        <f>IF(OR(J532="",Q532=""),"",J532-Q532)</f>
        <v>0</v>
      </c>
      <c r="S532" s="50">
        <f>IF(B532="","",IF(H532="Done","Yes","No"))</f>
        <v>0</v>
      </c>
      <c r="T532" s="39">
        <f>IF(B532="","",IF(G532="","Add - what was the task?",IF(H532="Issue found",IF(M532="Yes","OK - issue reported","Action - tell the client"),IF(H532="Needs rework","Action - rework needed",IF(AND(H532="Skipped",P532="Yes"),"Check - required task skipped",IF(H532="Done","OK","Due"))))))</f>
        <v>0</v>
      </c>
    </row>
    <row r="533" spans="1:20">
      <c r="A533" s="43">
        <f>IF(B533="","","JT-"&amp;TEXT(ROW()-4,"0000"))</f>
        <v>0</v>
      </c>
      <c r="C533" s="18">
        <f>IF(B533="","",IFERROR(INDEX(Jobs!$B$5:$B$604,MATCH(B533,Jobs!$A$5:$A$604,0)),""))</f>
        <v>0</v>
      </c>
      <c r="D533" s="23">
        <f>IF(B533="","",IFERROR(INDEX(Jobs!$H$5:$H$604,MATCH(B533,Jobs!$A$5:$A$604,0)),""))</f>
        <v>0</v>
      </c>
      <c r="E533" s="23">
        <f>IF(B533="","",IFERROR(INDEX(Jobs!$K$5:$K$604,MATCH(B533,Jobs!$A$5:$A$604,0)),""))</f>
        <v>0</v>
      </c>
      <c r="P533" s="50">
        <f>IF(G533="","",IFERROR(INDEX(Checklists!$J$5:$J$404,MATCH(G533,Checklists!$F$5:$F$404,0)),"Yes"))</f>
        <v>0</v>
      </c>
      <c r="Q533" s="31">
        <f>IF(G533="","",IFERROR(INDEX(Checklists!$H$5:$H$404,MATCH(G533,Checklists!$F$5:$F$404,0)),""))</f>
        <v>0</v>
      </c>
      <c r="R533" s="31">
        <f>IF(OR(J533="",Q533=""),"",J533-Q533)</f>
        <v>0</v>
      </c>
      <c r="S533" s="50">
        <f>IF(B533="","",IF(H533="Done","Yes","No"))</f>
        <v>0</v>
      </c>
      <c r="T533" s="39">
        <f>IF(B533="","",IF(G533="","Add - what was the task?",IF(H533="Issue found",IF(M533="Yes","OK - issue reported","Action - tell the client"),IF(H533="Needs rework","Action - rework needed",IF(AND(H533="Skipped",P533="Yes"),"Check - required task skipped",IF(H533="Done","OK","Due"))))))</f>
        <v>0</v>
      </c>
    </row>
    <row r="534" spans="1:20">
      <c r="A534" s="43">
        <f>IF(B534="","","JT-"&amp;TEXT(ROW()-4,"0000"))</f>
        <v>0</v>
      </c>
      <c r="C534" s="18">
        <f>IF(B534="","",IFERROR(INDEX(Jobs!$B$5:$B$604,MATCH(B534,Jobs!$A$5:$A$604,0)),""))</f>
        <v>0</v>
      </c>
      <c r="D534" s="23">
        <f>IF(B534="","",IFERROR(INDEX(Jobs!$H$5:$H$604,MATCH(B534,Jobs!$A$5:$A$604,0)),""))</f>
        <v>0</v>
      </c>
      <c r="E534" s="23">
        <f>IF(B534="","",IFERROR(INDEX(Jobs!$K$5:$K$604,MATCH(B534,Jobs!$A$5:$A$604,0)),""))</f>
        <v>0</v>
      </c>
      <c r="P534" s="50">
        <f>IF(G534="","",IFERROR(INDEX(Checklists!$J$5:$J$404,MATCH(G534,Checklists!$F$5:$F$404,0)),"Yes"))</f>
        <v>0</v>
      </c>
      <c r="Q534" s="31">
        <f>IF(G534="","",IFERROR(INDEX(Checklists!$H$5:$H$404,MATCH(G534,Checklists!$F$5:$F$404,0)),""))</f>
        <v>0</v>
      </c>
      <c r="R534" s="31">
        <f>IF(OR(J534="",Q534=""),"",J534-Q534)</f>
        <v>0</v>
      </c>
      <c r="S534" s="50">
        <f>IF(B534="","",IF(H534="Done","Yes","No"))</f>
        <v>0</v>
      </c>
      <c r="T534" s="39">
        <f>IF(B534="","",IF(G534="","Add - what was the task?",IF(H534="Issue found",IF(M534="Yes","OK - issue reported","Action - tell the client"),IF(H534="Needs rework","Action - rework needed",IF(AND(H534="Skipped",P534="Yes"),"Check - required task skipped",IF(H534="Done","OK","Due"))))))</f>
        <v>0</v>
      </c>
    </row>
    <row r="535" spans="1:20">
      <c r="A535" s="43">
        <f>IF(B535="","","JT-"&amp;TEXT(ROW()-4,"0000"))</f>
        <v>0</v>
      </c>
      <c r="C535" s="18">
        <f>IF(B535="","",IFERROR(INDEX(Jobs!$B$5:$B$604,MATCH(B535,Jobs!$A$5:$A$604,0)),""))</f>
        <v>0</v>
      </c>
      <c r="D535" s="23">
        <f>IF(B535="","",IFERROR(INDEX(Jobs!$H$5:$H$604,MATCH(B535,Jobs!$A$5:$A$604,0)),""))</f>
        <v>0</v>
      </c>
      <c r="E535" s="23">
        <f>IF(B535="","",IFERROR(INDEX(Jobs!$K$5:$K$604,MATCH(B535,Jobs!$A$5:$A$604,0)),""))</f>
        <v>0</v>
      </c>
      <c r="P535" s="50">
        <f>IF(G535="","",IFERROR(INDEX(Checklists!$J$5:$J$404,MATCH(G535,Checklists!$F$5:$F$404,0)),"Yes"))</f>
        <v>0</v>
      </c>
      <c r="Q535" s="31">
        <f>IF(G535="","",IFERROR(INDEX(Checklists!$H$5:$H$404,MATCH(G535,Checklists!$F$5:$F$404,0)),""))</f>
        <v>0</v>
      </c>
      <c r="R535" s="31">
        <f>IF(OR(J535="",Q535=""),"",J535-Q535)</f>
        <v>0</v>
      </c>
      <c r="S535" s="50">
        <f>IF(B535="","",IF(H535="Done","Yes","No"))</f>
        <v>0</v>
      </c>
      <c r="T535" s="39">
        <f>IF(B535="","",IF(G535="","Add - what was the task?",IF(H535="Issue found",IF(M535="Yes","OK - issue reported","Action - tell the client"),IF(H535="Needs rework","Action - rework needed",IF(AND(H535="Skipped",P535="Yes"),"Check - required task skipped",IF(H535="Done","OK","Due"))))))</f>
        <v>0</v>
      </c>
    </row>
    <row r="536" spans="1:20">
      <c r="A536" s="43">
        <f>IF(B536="","","JT-"&amp;TEXT(ROW()-4,"0000"))</f>
        <v>0</v>
      </c>
      <c r="C536" s="18">
        <f>IF(B536="","",IFERROR(INDEX(Jobs!$B$5:$B$604,MATCH(B536,Jobs!$A$5:$A$604,0)),""))</f>
        <v>0</v>
      </c>
      <c r="D536" s="23">
        <f>IF(B536="","",IFERROR(INDEX(Jobs!$H$5:$H$604,MATCH(B536,Jobs!$A$5:$A$604,0)),""))</f>
        <v>0</v>
      </c>
      <c r="E536" s="23">
        <f>IF(B536="","",IFERROR(INDEX(Jobs!$K$5:$K$604,MATCH(B536,Jobs!$A$5:$A$604,0)),""))</f>
        <v>0</v>
      </c>
      <c r="P536" s="50">
        <f>IF(G536="","",IFERROR(INDEX(Checklists!$J$5:$J$404,MATCH(G536,Checklists!$F$5:$F$404,0)),"Yes"))</f>
        <v>0</v>
      </c>
      <c r="Q536" s="31">
        <f>IF(G536="","",IFERROR(INDEX(Checklists!$H$5:$H$404,MATCH(G536,Checklists!$F$5:$F$404,0)),""))</f>
        <v>0</v>
      </c>
      <c r="R536" s="31">
        <f>IF(OR(J536="",Q536=""),"",J536-Q536)</f>
        <v>0</v>
      </c>
      <c r="S536" s="50">
        <f>IF(B536="","",IF(H536="Done","Yes","No"))</f>
        <v>0</v>
      </c>
      <c r="T536" s="39">
        <f>IF(B536="","",IF(G536="","Add - what was the task?",IF(H536="Issue found",IF(M536="Yes","OK - issue reported","Action - tell the client"),IF(H536="Needs rework","Action - rework needed",IF(AND(H536="Skipped",P536="Yes"),"Check - required task skipped",IF(H536="Done","OK","Due"))))))</f>
        <v>0</v>
      </c>
    </row>
    <row r="537" spans="1:20">
      <c r="A537" s="43">
        <f>IF(B537="","","JT-"&amp;TEXT(ROW()-4,"0000"))</f>
        <v>0</v>
      </c>
      <c r="C537" s="18">
        <f>IF(B537="","",IFERROR(INDEX(Jobs!$B$5:$B$604,MATCH(B537,Jobs!$A$5:$A$604,0)),""))</f>
        <v>0</v>
      </c>
      <c r="D537" s="23">
        <f>IF(B537="","",IFERROR(INDEX(Jobs!$H$5:$H$604,MATCH(B537,Jobs!$A$5:$A$604,0)),""))</f>
        <v>0</v>
      </c>
      <c r="E537" s="23">
        <f>IF(B537="","",IFERROR(INDEX(Jobs!$K$5:$K$604,MATCH(B537,Jobs!$A$5:$A$604,0)),""))</f>
        <v>0</v>
      </c>
      <c r="P537" s="50">
        <f>IF(G537="","",IFERROR(INDEX(Checklists!$J$5:$J$404,MATCH(G537,Checklists!$F$5:$F$404,0)),"Yes"))</f>
        <v>0</v>
      </c>
      <c r="Q537" s="31">
        <f>IF(G537="","",IFERROR(INDEX(Checklists!$H$5:$H$404,MATCH(G537,Checklists!$F$5:$F$404,0)),""))</f>
        <v>0</v>
      </c>
      <c r="R537" s="31">
        <f>IF(OR(J537="",Q537=""),"",J537-Q537)</f>
        <v>0</v>
      </c>
      <c r="S537" s="50">
        <f>IF(B537="","",IF(H537="Done","Yes","No"))</f>
        <v>0</v>
      </c>
      <c r="T537" s="39">
        <f>IF(B537="","",IF(G537="","Add - what was the task?",IF(H537="Issue found",IF(M537="Yes","OK - issue reported","Action - tell the client"),IF(H537="Needs rework","Action - rework needed",IF(AND(H537="Skipped",P537="Yes"),"Check - required task skipped",IF(H537="Done","OK","Due"))))))</f>
        <v>0</v>
      </c>
    </row>
    <row r="538" spans="1:20">
      <c r="A538" s="43">
        <f>IF(B538="","","JT-"&amp;TEXT(ROW()-4,"0000"))</f>
        <v>0</v>
      </c>
      <c r="C538" s="18">
        <f>IF(B538="","",IFERROR(INDEX(Jobs!$B$5:$B$604,MATCH(B538,Jobs!$A$5:$A$604,0)),""))</f>
        <v>0</v>
      </c>
      <c r="D538" s="23">
        <f>IF(B538="","",IFERROR(INDEX(Jobs!$H$5:$H$604,MATCH(B538,Jobs!$A$5:$A$604,0)),""))</f>
        <v>0</v>
      </c>
      <c r="E538" s="23">
        <f>IF(B538="","",IFERROR(INDEX(Jobs!$K$5:$K$604,MATCH(B538,Jobs!$A$5:$A$604,0)),""))</f>
        <v>0</v>
      </c>
      <c r="P538" s="50">
        <f>IF(G538="","",IFERROR(INDEX(Checklists!$J$5:$J$404,MATCH(G538,Checklists!$F$5:$F$404,0)),"Yes"))</f>
        <v>0</v>
      </c>
      <c r="Q538" s="31">
        <f>IF(G538="","",IFERROR(INDEX(Checklists!$H$5:$H$404,MATCH(G538,Checklists!$F$5:$F$404,0)),""))</f>
        <v>0</v>
      </c>
      <c r="R538" s="31">
        <f>IF(OR(J538="",Q538=""),"",J538-Q538)</f>
        <v>0</v>
      </c>
      <c r="S538" s="50">
        <f>IF(B538="","",IF(H538="Done","Yes","No"))</f>
        <v>0</v>
      </c>
      <c r="T538" s="39">
        <f>IF(B538="","",IF(G538="","Add - what was the task?",IF(H538="Issue found",IF(M538="Yes","OK - issue reported","Action - tell the client"),IF(H538="Needs rework","Action - rework needed",IF(AND(H538="Skipped",P538="Yes"),"Check - required task skipped",IF(H538="Done","OK","Due"))))))</f>
        <v>0</v>
      </c>
    </row>
    <row r="539" spans="1:20">
      <c r="A539" s="43">
        <f>IF(B539="","","JT-"&amp;TEXT(ROW()-4,"0000"))</f>
        <v>0</v>
      </c>
      <c r="C539" s="18">
        <f>IF(B539="","",IFERROR(INDEX(Jobs!$B$5:$B$604,MATCH(B539,Jobs!$A$5:$A$604,0)),""))</f>
        <v>0</v>
      </c>
      <c r="D539" s="23">
        <f>IF(B539="","",IFERROR(INDEX(Jobs!$H$5:$H$604,MATCH(B539,Jobs!$A$5:$A$604,0)),""))</f>
        <v>0</v>
      </c>
      <c r="E539" s="23">
        <f>IF(B539="","",IFERROR(INDEX(Jobs!$K$5:$K$604,MATCH(B539,Jobs!$A$5:$A$604,0)),""))</f>
        <v>0</v>
      </c>
      <c r="P539" s="50">
        <f>IF(G539="","",IFERROR(INDEX(Checklists!$J$5:$J$404,MATCH(G539,Checklists!$F$5:$F$404,0)),"Yes"))</f>
        <v>0</v>
      </c>
      <c r="Q539" s="31">
        <f>IF(G539="","",IFERROR(INDEX(Checklists!$H$5:$H$404,MATCH(G539,Checklists!$F$5:$F$404,0)),""))</f>
        <v>0</v>
      </c>
      <c r="R539" s="31">
        <f>IF(OR(J539="",Q539=""),"",J539-Q539)</f>
        <v>0</v>
      </c>
      <c r="S539" s="50">
        <f>IF(B539="","",IF(H539="Done","Yes","No"))</f>
        <v>0</v>
      </c>
      <c r="T539" s="39">
        <f>IF(B539="","",IF(G539="","Add - what was the task?",IF(H539="Issue found",IF(M539="Yes","OK - issue reported","Action - tell the client"),IF(H539="Needs rework","Action - rework needed",IF(AND(H539="Skipped",P539="Yes"),"Check - required task skipped",IF(H539="Done","OK","Due"))))))</f>
        <v>0</v>
      </c>
    </row>
    <row r="540" spans="1:20">
      <c r="A540" s="43">
        <f>IF(B540="","","JT-"&amp;TEXT(ROW()-4,"0000"))</f>
        <v>0</v>
      </c>
      <c r="C540" s="18">
        <f>IF(B540="","",IFERROR(INDEX(Jobs!$B$5:$B$604,MATCH(B540,Jobs!$A$5:$A$604,0)),""))</f>
        <v>0</v>
      </c>
      <c r="D540" s="23">
        <f>IF(B540="","",IFERROR(INDEX(Jobs!$H$5:$H$604,MATCH(B540,Jobs!$A$5:$A$604,0)),""))</f>
        <v>0</v>
      </c>
      <c r="E540" s="23">
        <f>IF(B540="","",IFERROR(INDEX(Jobs!$K$5:$K$604,MATCH(B540,Jobs!$A$5:$A$604,0)),""))</f>
        <v>0</v>
      </c>
      <c r="P540" s="50">
        <f>IF(G540="","",IFERROR(INDEX(Checklists!$J$5:$J$404,MATCH(G540,Checklists!$F$5:$F$404,0)),"Yes"))</f>
        <v>0</v>
      </c>
      <c r="Q540" s="31">
        <f>IF(G540="","",IFERROR(INDEX(Checklists!$H$5:$H$404,MATCH(G540,Checklists!$F$5:$F$404,0)),""))</f>
        <v>0</v>
      </c>
      <c r="R540" s="31">
        <f>IF(OR(J540="",Q540=""),"",J540-Q540)</f>
        <v>0</v>
      </c>
      <c r="S540" s="50">
        <f>IF(B540="","",IF(H540="Done","Yes","No"))</f>
        <v>0</v>
      </c>
      <c r="T540" s="39">
        <f>IF(B540="","",IF(G540="","Add - what was the task?",IF(H540="Issue found",IF(M540="Yes","OK - issue reported","Action - tell the client"),IF(H540="Needs rework","Action - rework needed",IF(AND(H540="Skipped",P540="Yes"),"Check - required task skipped",IF(H540="Done","OK","Due"))))))</f>
        <v>0</v>
      </c>
    </row>
    <row r="541" spans="1:20">
      <c r="A541" s="43">
        <f>IF(B541="","","JT-"&amp;TEXT(ROW()-4,"0000"))</f>
        <v>0</v>
      </c>
      <c r="C541" s="18">
        <f>IF(B541="","",IFERROR(INDEX(Jobs!$B$5:$B$604,MATCH(B541,Jobs!$A$5:$A$604,0)),""))</f>
        <v>0</v>
      </c>
      <c r="D541" s="23">
        <f>IF(B541="","",IFERROR(INDEX(Jobs!$H$5:$H$604,MATCH(B541,Jobs!$A$5:$A$604,0)),""))</f>
        <v>0</v>
      </c>
      <c r="E541" s="23">
        <f>IF(B541="","",IFERROR(INDEX(Jobs!$K$5:$K$604,MATCH(B541,Jobs!$A$5:$A$604,0)),""))</f>
        <v>0</v>
      </c>
      <c r="P541" s="50">
        <f>IF(G541="","",IFERROR(INDEX(Checklists!$J$5:$J$404,MATCH(G541,Checklists!$F$5:$F$404,0)),"Yes"))</f>
        <v>0</v>
      </c>
      <c r="Q541" s="31">
        <f>IF(G541="","",IFERROR(INDEX(Checklists!$H$5:$H$404,MATCH(G541,Checklists!$F$5:$F$404,0)),""))</f>
        <v>0</v>
      </c>
      <c r="R541" s="31">
        <f>IF(OR(J541="",Q541=""),"",J541-Q541)</f>
        <v>0</v>
      </c>
      <c r="S541" s="50">
        <f>IF(B541="","",IF(H541="Done","Yes","No"))</f>
        <v>0</v>
      </c>
      <c r="T541" s="39">
        <f>IF(B541="","",IF(G541="","Add - what was the task?",IF(H541="Issue found",IF(M541="Yes","OK - issue reported","Action - tell the client"),IF(H541="Needs rework","Action - rework needed",IF(AND(H541="Skipped",P541="Yes"),"Check - required task skipped",IF(H541="Done","OK","Due"))))))</f>
        <v>0</v>
      </c>
    </row>
    <row r="542" spans="1:20">
      <c r="A542" s="43">
        <f>IF(B542="","","JT-"&amp;TEXT(ROW()-4,"0000"))</f>
        <v>0</v>
      </c>
      <c r="C542" s="18">
        <f>IF(B542="","",IFERROR(INDEX(Jobs!$B$5:$B$604,MATCH(B542,Jobs!$A$5:$A$604,0)),""))</f>
        <v>0</v>
      </c>
      <c r="D542" s="23">
        <f>IF(B542="","",IFERROR(INDEX(Jobs!$H$5:$H$604,MATCH(B542,Jobs!$A$5:$A$604,0)),""))</f>
        <v>0</v>
      </c>
      <c r="E542" s="23">
        <f>IF(B542="","",IFERROR(INDEX(Jobs!$K$5:$K$604,MATCH(B542,Jobs!$A$5:$A$604,0)),""))</f>
        <v>0</v>
      </c>
      <c r="P542" s="50">
        <f>IF(G542="","",IFERROR(INDEX(Checklists!$J$5:$J$404,MATCH(G542,Checklists!$F$5:$F$404,0)),"Yes"))</f>
        <v>0</v>
      </c>
      <c r="Q542" s="31">
        <f>IF(G542="","",IFERROR(INDEX(Checklists!$H$5:$H$404,MATCH(G542,Checklists!$F$5:$F$404,0)),""))</f>
        <v>0</v>
      </c>
      <c r="R542" s="31">
        <f>IF(OR(J542="",Q542=""),"",J542-Q542)</f>
        <v>0</v>
      </c>
      <c r="S542" s="50">
        <f>IF(B542="","",IF(H542="Done","Yes","No"))</f>
        <v>0</v>
      </c>
      <c r="T542" s="39">
        <f>IF(B542="","",IF(G542="","Add - what was the task?",IF(H542="Issue found",IF(M542="Yes","OK - issue reported","Action - tell the client"),IF(H542="Needs rework","Action - rework needed",IF(AND(H542="Skipped",P542="Yes"),"Check - required task skipped",IF(H542="Done","OK","Due"))))))</f>
        <v>0</v>
      </c>
    </row>
    <row r="543" spans="1:20">
      <c r="A543" s="43">
        <f>IF(B543="","","JT-"&amp;TEXT(ROW()-4,"0000"))</f>
        <v>0</v>
      </c>
      <c r="C543" s="18">
        <f>IF(B543="","",IFERROR(INDEX(Jobs!$B$5:$B$604,MATCH(B543,Jobs!$A$5:$A$604,0)),""))</f>
        <v>0</v>
      </c>
      <c r="D543" s="23">
        <f>IF(B543="","",IFERROR(INDEX(Jobs!$H$5:$H$604,MATCH(B543,Jobs!$A$5:$A$604,0)),""))</f>
        <v>0</v>
      </c>
      <c r="E543" s="23">
        <f>IF(B543="","",IFERROR(INDEX(Jobs!$K$5:$K$604,MATCH(B543,Jobs!$A$5:$A$604,0)),""))</f>
        <v>0</v>
      </c>
      <c r="P543" s="50">
        <f>IF(G543="","",IFERROR(INDEX(Checklists!$J$5:$J$404,MATCH(G543,Checklists!$F$5:$F$404,0)),"Yes"))</f>
        <v>0</v>
      </c>
      <c r="Q543" s="31">
        <f>IF(G543="","",IFERROR(INDEX(Checklists!$H$5:$H$404,MATCH(G543,Checklists!$F$5:$F$404,0)),""))</f>
        <v>0</v>
      </c>
      <c r="R543" s="31">
        <f>IF(OR(J543="",Q543=""),"",J543-Q543)</f>
        <v>0</v>
      </c>
      <c r="S543" s="50">
        <f>IF(B543="","",IF(H543="Done","Yes","No"))</f>
        <v>0</v>
      </c>
      <c r="T543" s="39">
        <f>IF(B543="","",IF(G543="","Add - what was the task?",IF(H543="Issue found",IF(M543="Yes","OK - issue reported","Action - tell the client"),IF(H543="Needs rework","Action - rework needed",IF(AND(H543="Skipped",P543="Yes"),"Check - required task skipped",IF(H543="Done","OK","Due"))))))</f>
        <v>0</v>
      </c>
    </row>
    <row r="544" spans="1:20">
      <c r="A544" s="43">
        <f>IF(B544="","","JT-"&amp;TEXT(ROW()-4,"0000"))</f>
        <v>0</v>
      </c>
      <c r="C544" s="18">
        <f>IF(B544="","",IFERROR(INDEX(Jobs!$B$5:$B$604,MATCH(B544,Jobs!$A$5:$A$604,0)),""))</f>
        <v>0</v>
      </c>
      <c r="D544" s="23">
        <f>IF(B544="","",IFERROR(INDEX(Jobs!$H$5:$H$604,MATCH(B544,Jobs!$A$5:$A$604,0)),""))</f>
        <v>0</v>
      </c>
      <c r="E544" s="23">
        <f>IF(B544="","",IFERROR(INDEX(Jobs!$K$5:$K$604,MATCH(B544,Jobs!$A$5:$A$604,0)),""))</f>
        <v>0</v>
      </c>
      <c r="P544" s="50">
        <f>IF(G544="","",IFERROR(INDEX(Checklists!$J$5:$J$404,MATCH(G544,Checklists!$F$5:$F$404,0)),"Yes"))</f>
        <v>0</v>
      </c>
      <c r="Q544" s="31">
        <f>IF(G544="","",IFERROR(INDEX(Checklists!$H$5:$H$404,MATCH(G544,Checklists!$F$5:$F$404,0)),""))</f>
        <v>0</v>
      </c>
      <c r="R544" s="31">
        <f>IF(OR(J544="",Q544=""),"",J544-Q544)</f>
        <v>0</v>
      </c>
      <c r="S544" s="50">
        <f>IF(B544="","",IF(H544="Done","Yes","No"))</f>
        <v>0</v>
      </c>
      <c r="T544" s="39">
        <f>IF(B544="","",IF(G544="","Add - what was the task?",IF(H544="Issue found",IF(M544="Yes","OK - issue reported","Action - tell the client"),IF(H544="Needs rework","Action - rework needed",IF(AND(H544="Skipped",P544="Yes"),"Check - required task skipped",IF(H544="Done","OK","Due"))))))</f>
        <v>0</v>
      </c>
    </row>
    <row r="545" spans="1:20">
      <c r="A545" s="43">
        <f>IF(B545="","","JT-"&amp;TEXT(ROW()-4,"0000"))</f>
        <v>0</v>
      </c>
      <c r="C545" s="18">
        <f>IF(B545="","",IFERROR(INDEX(Jobs!$B$5:$B$604,MATCH(B545,Jobs!$A$5:$A$604,0)),""))</f>
        <v>0</v>
      </c>
      <c r="D545" s="23">
        <f>IF(B545="","",IFERROR(INDEX(Jobs!$H$5:$H$604,MATCH(B545,Jobs!$A$5:$A$604,0)),""))</f>
        <v>0</v>
      </c>
      <c r="E545" s="23">
        <f>IF(B545="","",IFERROR(INDEX(Jobs!$K$5:$K$604,MATCH(B545,Jobs!$A$5:$A$604,0)),""))</f>
        <v>0</v>
      </c>
      <c r="P545" s="50">
        <f>IF(G545="","",IFERROR(INDEX(Checklists!$J$5:$J$404,MATCH(G545,Checklists!$F$5:$F$404,0)),"Yes"))</f>
        <v>0</v>
      </c>
      <c r="Q545" s="31">
        <f>IF(G545="","",IFERROR(INDEX(Checklists!$H$5:$H$404,MATCH(G545,Checklists!$F$5:$F$404,0)),""))</f>
        <v>0</v>
      </c>
      <c r="R545" s="31">
        <f>IF(OR(J545="",Q545=""),"",J545-Q545)</f>
        <v>0</v>
      </c>
      <c r="S545" s="50">
        <f>IF(B545="","",IF(H545="Done","Yes","No"))</f>
        <v>0</v>
      </c>
      <c r="T545" s="39">
        <f>IF(B545="","",IF(G545="","Add - what was the task?",IF(H545="Issue found",IF(M545="Yes","OK - issue reported","Action - tell the client"),IF(H545="Needs rework","Action - rework needed",IF(AND(H545="Skipped",P545="Yes"),"Check - required task skipped",IF(H545="Done","OK","Due"))))))</f>
        <v>0</v>
      </c>
    </row>
    <row r="546" spans="1:20">
      <c r="A546" s="43">
        <f>IF(B546="","","JT-"&amp;TEXT(ROW()-4,"0000"))</f>
        <v>0</v>
      </c>
      <c r="C546" s="18">
        <f>IF(B546="","",IFERROR(INDEX(Jobs!$B$5:$B$604,MATCH(B546,Jobs!$A$5:$A$604,0)),""))</f>
        <v>0</v>
      </c>
      <c r="D546" s="23">
        <f>IF(B546="","",IFERROR(INDEX(Jobs!$H$5:$H$604,MATCH(B546,Jobs!$A$5:$A$604,0)),""))</f>
        <v>0</v>
      </c>
      <c r="E546" s="23">
        <f>IF(B546="","",IFERROR(INDEX(Jobs!$K$5:$K$604,MATCH(B546,Jobs!$A$5:$A$604,0)),""))</f>
        <v>0</v>
      </c>
      <c r="P546" s="50">
        <f>IF(G546="","",IFERROR(INDEX(Checklists!$J$5:$J$404,MATCH(G546,Checklists!$F$5:$F$404,0)),"Yes"))</f>
        <v>0</v>
      </c>
      <c r="Q546" s="31">
        <f>IF(G546="","",IFERROR(INDEX(Checklists!$H$5:$H$404,MATCH(G546,Checklists!$F$5:$F$404,0)),""))</f>
        <v>0</v>
      </c>
      <c r="R546" s="31">
        <f>IF(OR(J546="",Q546=""),"",J546-Q546)</f>
        <v>0</v>
      </c>
      <c r="S546" s="50">
        <f>IF(B546="","",IF(H546="Done","Yes","No"))</f>
        <v>0</v>
      </c>
      <c r="T546" s="39">
        <f>IF(B546="","",IF(G546="","Add - what was the task?",IF(H546="Issue found",IF(M546="Yes","OK - issue reported","Action - tell the client"),IF(H546="Needs rework","Action - rework needed",IF(AND(H546="Skipped",P546="Yes"),"Check - required task skipped",IF(H546="Done","OK","Due"))))))</f>
        <v>0</v>
      </c>
    </row>
    <row r="547" spans="1:20">
      <c r="A547" s="43">
        <f>IF(B547="","","JT-"&amp;TEXT(ROW()-4,"0000"))</f>
        <v>0</v>
      </c>
      <c r="C547" s="18">
        <f>IF(B547="","",IFERROR(INDEX(Jobs!$B$5:$B$604,MATCH(B547,Jobs!$A$5:$A$604,0)),""))</f>
        <v>0</v>
      </c>
      <c r="D547" s="23">
        <f>IF(B547="","",IFERROR(INDEX(Jobs!$H$5:$H$604,MATCH(B547,Jobs!$A$5:$A$604,0)),""))</f>
        <v>0</v>
      </c>
      <c r="E547" s="23">
        <f>IF(B547="","",IFERROR(INDEX(Jobs!$K$5:$K$604,MATCH(B547,Jobs!$A$5:$A$604,0)),""))</f>
        <v>0</v>
      </c>
      <c r="P547" s="50">
        <f>IF(G547="","",IFERROR(INDEX(Checklists!$J$5:$J$404,MATCH(G547,Checklists!$F$5:$F$404,0)),"Yes"))</f>
        <v>0</v>
      </c>
      <c r="Q547" s="31">
        <f>IF(G547="","",IFERROR(INDEX(Checklists!$H$5:$H$404,MATCH(G547,Checklists!$F$5:$F$404,0)),""))</f>
        <v>0</v>
      </c>
      <c r="R547" s="31">
        <f>IF(OR(J547="",Q547=""),"",J547-Q547)</f>
        <v>0</v>
      </c>
      <c r="S547" s="50">
        <f>IF(B547="","",IF(H547="Done","Yes","No"))</f>
        <v>0</v>
      </c>
      <c r="T547" s="39">
        <f>IF(B547="","",IF(G547="","Add - what was the task?",IF(H547="Issue found",IF(M547="Yes","OK - issue reported","Action - tell the client"),IF(H547="Needs rework","Action - rework needed",IF(AND(H547="Skipped",P547="Yes"),"Check - required task skipped",IF(H547="Done","OK","Due"))))))</f>
        <v>0</v>
      </c>
    </row>
    <row r="548" spans="1:20">
      <c r="A548" s="43">
        <f>IF(B548="","","JT-"&amp;TEXT(ROW()-4,"0000"))</f>
        <v>0</v>
      </c>
      <c r="C548" s="18">
        <f>IF(B548="","",IFERROR(INDEX(Jobs!$B$5:$B$604,MATCH(B548,Jobs!$A$5:$A$604,0)),""))</f>
        <v>0</v>
      </c>
      <c r="D548" s="23">
        <f>IF(B548="","",IFERROR(INDEX(Jobs!$H$5:$H$604,MATCH(B548,Jobs!$A$5:$A$604,0)),""))</f>
        <v>0</v>
      </c>
      <c r="E548" s="23">
        <f>IF(B548="","",IFERROR(INDEX(Jobs!$K$5:$K$604,MATCH(B548,Jobs!$A$5:$A$604,0)),""))</f>
        <v>0</v>
      </c>
      <c r="P548" s="50">
        <f>IF(G548="","",IFERROR(INDEX(Checklists!$J$5:$J$404,MATCH(G548,Checklists!$F$5:$F$404,0)),"Yes"))</f>
        <v>0</v>
      </c>
      <c r="Q548" s="31">
        <f>IF(G548="","",IFERROR(INDEX(Checklists!$H$5:$H$404,MATCH(G548,Checklists!$F$5:$F$404,0)),""))</f>
        <v>0</v>
      </c>
      <c r="R548" s="31">
        <f>IF(OR(J548="",Q548=""),"",J548-Q548)</f>
        <v>0</v>
      </c>
      <c r="S548" s="50">
        <f>IF(B548="","",IF(H548="Done","Yes","No"))</f>
        <v>0</v>
      </c>
      <c r="T548" s="39">
        <f>IF(B548="","",IF(G548="","Add - what was the task?",IF(H548="Issue found",IF(M548="Yes","OK - issue reported","Action - tell the client"),IF(H548="Needs rework","Action - rework needed",IF(AND(H548="Skipped",P548="Yes"),"Check - required task skipped",IF(H548="Done","OK","Due"))))))</f>
        <v>0</v>
      </c>
    </row>
    <row r="549" spans="1:20">
      <c r="A549" s="43">
        <f>IF(B549="","","JT-"&amp;TEXT(ROW()-4,"0000"))</f>
        <v>0</v>
      </c>
      <c r="C549" s="18">
        <f>IF(B549="","",IFERROR(INDEX(Jobs!$B$5:$B$604,MATCH(B549,Jobs!$A$5:$A$604,0)),""))</f>
        <v>0</v>
      </c>
      <c r="D549" s="23">
        <f>IF(B549="","",IFERROR(INDEX(Jobs!$H$5:$H$604,MATCH(B549,Jobs!$A$5:$A$604,0)),""))</f>
        <v>0</v>
      </c>
      <c r="E549" s="23">
        <f>IF(B549="","",IFERROR(INDEX(Jobs!$K$5:$K$604,MATCH(B549,Jobs!$A$5:$A$604,0)),""))</f>
        <v>0</v>
      </c>
      <c r="P549" s="50">
        <f>IF(G549="","",IFERROR(INDEX(Checklists!$J$5:$J$404,MATCH(G549,Checklists!$F$5:$F$404,0)),"Yes"))</f>
        <v>0</v>
      </c>
      <c r="Q549" s="31">
        <f>IF(G549="","",IFERROR(INDEX(Checklists!$H$5:$H$404,MATCH(G549,Checklists!$F$5:$F$404,0)),""))</f>
        <v>0</v>
      </c>
      <c r="R549" s="31">
        <f>IF(OR(J549="",Q549=""),"",J549-Q549)</f>
        <v>0</v>
      </c>
      <c r="S549" s="50">
        <f>IF(B549="","",IF(H549="Done","Yes","No"))</f>
        <v>0</v>
      </c>
      <c r="T549" s="39">
        <f>IF(B549="","",IF(G549="","Add - what was the task?",IF(H549="Issue found",IF(M549="Yes","OK - issue reported","Action - tell the client"),IF(H549="Needs rework","Action - rework needed",IF(AND(H549="Skipped",P549="Yes"),"Check - required task skipped",IF(H549="Done","OK","Due"))))))</f>
        <v>0</v>
      </c>
    </row>
    <row r="550" spans="1:20">
      <c r="A550" s="43">
        <f>IF(B550="","","JT-"&amp;TEXT(ROW()-4,"0000"))</f>
        <v>0</v>
      </c>
      <c r="C550" s="18">
        <f>IF(B550="","",IFERROR(INDEX(Jobs!$B$5:$B$604,MATCH(B550,Jobs!$A$5:$A$604,0)),""))</f>
        <v>0</v>
      </c>
      <c r="D550" s="23">
        <f>IF(B550="","",IFERROR(INDEX(Jobs!$H$5:$H$604,MATCH(B550,Jobs!$A$5:$A$604,0)),""))</f>
        <v>0</v>
      </c>
      <c r="E550" s="23">
        <f>IF(B550="","",IFERROR(INDEX(Jobs!$K$5:$K$604,MATCH(B550,Jobs!$A$5:$A$604,0)),""))</f>
        <v>0</v>
      </c>
      <c r="P550" s="50">
        <f>IF(G550="","",IFERROR(INDEX(Checklists!$J$5:$J$404,MATCH(G550,Checklists!$F$5:$F$404,0)),"Yes"))</f>
        <v>0</v>
      </c>
      <c r="Q550" s="31">
        <f>IF(G550="","",IFERROR(INDEX(Checklists!$H$5:$H$404,MATCH(G550,Checklists!$F$5:$F$404,0)),""))</f>
        <v>0</v>
      </c>
      <c r="R550" s="31">
        <f>IF(OR(J550="",Q550=""),"",J550-Q550)</f>
        <v>0</v>
      </c>
      <c r="S550" s="50">
        <f>IF(B550="","",IF(H550="Done","Yes","No"))</f>
        <v>0</v>
      </c>
      <c r="T550" s="39">
        <f>IF(B550="","",IF(G550="","Add - what was the task?",IF(H550="Issue found",IF(M550="Yes","OK - issue reported","Action - tell the client"),IF(H550="Needs rework","Action - rework needed",IF(AND(H550="Skipped",P550="Yes"),"Check - required task skipped",IF(H550="Done","OK","Due"))))))</f>
        <v>0</v>
      </c>
    </row>
    <row r="551" spans="1:20">
      <c r="A551" s="43">
        <f>IF(B551="","","JT-"&amp;TEXT(ROW()-4,"0000"))</f>
        <v>0</v>
      </c>
      <c r="C551" s="18">
        <f>IF(B551="","",IFERROR(INDEX(Jobs!$B$5:$B$604,MATCH(B551,Jobs!$A$5:$A$604,0)),""))</f>
        <v>0</v>
      </c>
      <c r="D551" s="23">
        <f>IF(B551="","",IFERROR(INDEX(Jobs!$H$5:$H$604,MATCH(B551,Jobs!$A$5:$A$604,0)),""))</f>
        <v>0</v>
      </c>
      <c r="E551" s="23">
        <f>IF(B551="","",IFERROR(INDEX(Jobs!$K$5:$K$604,MATCH(B551,Jobs!$A$5:$A$604,0)),""))</f>
        <v>0</v>
      </c>
      <c r="P551" s="50">
        <f>IF(G551="","",IFERROR(INDEX(Checklists!$J$5:$J$404,MATCH(G551,Checklists!$F$5:$F$404,0)),"Yes"))</f>
        <v>0</v>
      </c>
      <c r="Q551" s="31">
        <f>IF(G551="","",IFERROR(INDEX(Checklists!$H$5:$H$404,MATCH(G551,Checklists!$F$5:$F$404,0)),""))</f>
        <v>0</v>
      </c>
      <c r="R551" s="31">
        <f>IF(OR(J551="",Q551=""),"",J551-Q551)</f>
        <v>0</v>
      </c>
      <c r="S551" s="50">
        <f>IF(B551="","",IF(H551="Done","Yes","No"))</f>
        <v>0</v>
      </c>
      <c r="T551" s="39">
        <f>IF(B551="","",IF(G551="","Add - what was the task?",IF(H551="Issue found",IF(M551="Yes","OK - issue reported","Action - tell the client"),IF(H551="Needs rework","Action - rework needed",IF(AND(H551="Skipped",P551="Yes"),"Check - required task skipped",IF(H551="Done","OK","Due"))))))</f>
        <v>0</v>
      </c>
    </row>
    <row r="552" spans="1:20">
      <c r="A552" s="43">
        <f>IF(B552="","","JT-"&amp;TEXT(ROW()-4,"0000"))</f>
        <v>0</v>
      </c>
      <c r="C552" s="18">
        <f>IF(B552="","",IFERROR(INDEX(Jobs!$B$5:$B$604,MATCH(B552,Jobs!$A$5:$A$604,0)),""))</f>
        <v>0</v>
      </c>
      <c r="D552" s="23">
        <f>IF(B552="","",IFERROR(INDEX(Jobs!$H$5:$H$604,MATCH(B552,Jobs!$A$5:$A$604,0)),""))</f>
        <v>0</v>
      </c>
      <c r="E552" s="23">
        <f>IF(B552="","",IFERROR(INDEX(Jobs!$K$5:$K$604,MATCH(B552,Jobs!$A$5:$A$604,0)),""))</f>
        <v>0</v>
      </c>
      <c r="P552" s="50">
        <f>IF(G552="","",IFERROR(INDEX(Checklists!$J$5:$J$404,MATCH(G552,Checklists!$F$5:$F$404,0)),"Yes"))</f>
        <v>0</v>
      </c>
      <c r="Q552" s="31">
        <f>IF(G552="","",IFERROR(INDEX(Checklists!$H$5:$H$404,MATCH(G552,Checklists!$F$5:$F$404,0)),""))</f>
        <v>0</v>
      </c>
      <c r="R552" s="31">
        <f>IF(OR(J552="",Q552=""),"",J552-Q552)</f>
        <v>0</v>
      </c>
      <c r="S552" s="50">
        <f>IF(B552="","",IF(H552="Done","Yes","No"))</f>
        <v>0</v>
      </c>
      <c r="T552" s="39">
        <f>IF(B552="","",IF(G552="","Add - what was the task?",IF(H552="Issue found",IF(M552="Yes","OK - issue reported","Action - tell the client"),IF(H552="Needs rework","Action - rework needed",IF(AND(H552="Skipped",P552="Yes"),"Check - required task skipped",IF(H552="Done","OK","Due"))))))</f>
        <v>0</v>
      </c>
    </row>
    <row r="553" spans="1:20">
      <c r="A553" s="43">
        <f>IF(B553="","","JT-"&amp;TEXT(ROW()-4,"0000"))</f>
        <v>0</v>
      </c>
      <c r="C553" s="18">
        <f>IF(B553="","",IFERROR(INDEX(Jobs!$B$5:$B$604,MATCH(B553,Jobs!$A$5:$A$604,0)),""))</f>
        <v>0</v>
      </c>
      <c r="D553" s="23">
        <f>IF(B553="","",IFERROR(INDEX(Jobs!$H$5:$H$604,MATCH(B553,Jobs!$A$5:$A$604,0)),""))</f>
        <v>0</v>
      </c>
      <c r="E553" s="23">
        <f>IF(B553="","",IFERROR(INDEX(Jobs!$K$5:$K$604,MATCH(B553,Jobs!$A$5:$A$604,0)),""))</f>
        <v>0</v>
      </c>
      <c r="P553" s="50">
        <f>IF(G553="","",IFERROR(INDEX(Checklists!$J$5:$J$404,MATCH(G553,Checklists!$F$5:$F$404,0)),"Yes"))</f>
        <v>0</v>
      </c>
      <c r="Q553" s="31">
        <f>IF(G553="","",IFERROR(INDEX(Checklists!$H$5:$H$404,MATCH(G553,Checklists!$F$5:$F$404,0)),""))</f>
        <v>0</v>
      </c>
      <c r="R553" s="31">
        <f>IF(OR(J553="",Q553=""),"",J553-Q553)</f>
        <v>0</v>
      </c>
      <c r="S553" s="50">
        <f>IF(B553="","",IF(H553="Done","Yes","No"))</f>
        <v>0</v>
      </c>
      <c r="T553" s="39">
        <f>IF(B553="","",IF(G553="","Add - what was the task?",IF(H553="Issue found",IF(M553="Yes","OK - issue reported","Action - tell the client"),IF(H553="Needs rework","Action - rework needed",IF(AND(H553="Skipped",P553="Yes"),"Check - required task skipped",IF(H553="Done","OK","Due"))))))</f>
        <v>0</v>
      </c>
    </row>
    <row r="554" spans="1:20">
      <c r="A554" s="43">
        <f>IF(B554="","","JT-"&amp;TEXT(ROW()-4,"0000"))</f>
        <v>0</v>
      </c>
      <c r="C554" s="18">
        <f>IF(B554="","",IFERROR(INDEX(Jobs!$B$5:$B$604,MATCH(B554,Jobs!$A$5:$A$604,0)),""))</f>
        <v>0</v>
      </c>
      <c r="D554" s="23">
        <f>IF(B554="","",IFERROR(INDEX(Jobs!$H$5:$H$604,MATCH(B554,Jobs!$A$5:$A$604,0)),""))</f>
        <v>0</v>
      </c>
      <c r="E554" s="23">
        <f>IF(B554="","",IFERROR(INDEX(Jobs!$K$5:$K$604,MATCH(B554,Jobs!$A$5:$A$604,0)),""))</f>
        <v>0</v>
      </c>
      <c r="P554" s="50">
        <f>IF(G554="","",IFERROR(INDEX(Checklists!$J$5:$J$404,MATCH(G554,Checklists!$F$5:$F$404,0)),"Yes"))</f>
        <v>0</v>
      </c>
      <c r="Q554" s="31">
        <f>IF(G554="","",IFERROR(INDEX(Checklists!$H$5:$H$404,MATCH(G554,Checklists!$F$5:$F$404,0)),""))</f>
        <v>0</v>
      </c>
      <c r="R554" s="31">
        <f>IF(OR(J554="",Q554=""),"",J554-Q554)</f>
        <v>0</v>
      </c>
      <c r="S554" s="50">
        <f>IF(B554="","",IF(H554="Done","Yes","No"))</f>
        <v>0</v>
      </c>
      <c r="T554" s="39">
        <f>IF(B554="","",IF(G554="","Add - what was the task?",IF(H554="Issue found",IF(M554="Yes","OK - issue reported","Action - tell the client"),IF(H554="Needs rework","Action - rework needed",IF(AND(H554="Skipped",P554="Yes"),"Check - required task skipped",IF(H554="Done","OK","Due"))))))</f>
        <v>0</v>
      </c>
    </row>
    <row r="555" spans="1:20">
      <c r="A555" s="43">
        <f>IF(B555="","","JT-"&amp;TEXT(ROW()-4,"0000"))</f>
        <v>0</v>
      </c>
      <c r="C555" s="18">
        <f>IF(B555="","",IFERROR(INDEX(Jobs!$B$5:$B$604,MATCH(B555,Jobs!$A$5:$A$604,0)),""))</f>
        <v>0</v>
      </c>
      <c r="D555" s="23">
        <f>IF(B555="","",IFERROR(INDEX(Jobs!$H$5:$H$604,MATCH(B555,Jobs!$A$5:$A$604,0)),""))</f>
        <v>0</v>
      </c>
      <c r="E555" s="23">
        <f>IF(B555="","",IFERROR(INDEX(Jobs!$K$5:$K$604,MATCH(B555,Jobs!$A$5:$A$604,0)),""))</f>
        <v>0</v>
      </c>
      <c r="P555" s="50">
        <f>IF(G555="","",IFERROR(INDEX(Checklists!$J$5:$J$404,MATCH(G555,Checklists!$F$5:$F$404,0)),"Yes"))</f>
        <v>0</v>
      </c>
      <c r="Q555" s="31">
        <f>IF(G555="","",IFERROR(INDEX(Checklists!$H$5:$H$404,MATCH(G555,Checklists!$F$5:$F$404,0)),""))</f>
        <v>0</v>
      </c>
      <c r="R555" s="31">
        <f>IF(OR(J555="",Q555=""),"",J555-Q555)</f>
        <v>0</v>
      </c>
      <c r="S555" s="50">
        <f>IF(B555="","",IF(H555="Done","Yes","No"))</f>
        <v>0</v>
      </c>
      <c r="T555" s="39">
        <f>IF(B555="","",IF(G555="","Add - what was the task?",IF(H555="Issue found",IF(M555="Yes","OK - issue reported","Action - tell the client"),IF(H555="Needs rework","Action - rework needed",IF(AND(H555="Skipped",P555="Yes"),"Check - required task skipped",IF(H555="Done","OK","Due"))))))</f>
        <v>0</v>
      </c>
    </row>
    <row r="556" spans="1:20">
      <c r="A556" s="43">
        <f>IF(B556="","","JT-"&amp;TEXT(ROW()-4,"0000"))</f>
        <v>0</v>
      </c>
      <c r="C556" s="18">
        <f>IF(B556="","",IFERROR(INDEX(Jobs!$B$5:$B$604,MATCH(B556,Jobs!$A$5:$A$604,0)),""))</f>
        <v>0</v>
      </c>
      <c r="D556" s="23">
        <f>IF(B556="","",IFERROR(INDEX(Jobs!$H$5:$H$604,MATCH(B556,Jobs!$A$5:$A$604,0)),""))</f>
        <v>0</v>
      </c>
      <c r="E556" s="23">
        <f>IF(B556="","",IFERROR(INDEX(Jobs!$K$5:$K$604,MATCH(B556,Jobs!$A$5:$A$604,0)),""))</f>
        <v>0</v>
      </c>
      <c r="P556" s="50">
        <f>IF(G556="","",IFERROR(INDEX(Checklists!$J$5:$J$404,MATCH(G556,Checklists!$F$5:$F$404,0)),"Yes"))</f>
        <v>0</v>
      </c>
      <c r="Q556" s="31">
        <f>IF(G556="","",IFERROR(INDEX(Checklists!$H$5:$H$404,MATCH(G556,Checklists!$F$5:$F$404,0)),""))</f>
        <v>0</v>
      </c>
      <c r="R556" s="31">
        <f>IF(OR(J556="",Q556=""),"",J556-Q556)</f>
        <v>0</v>
      </c>
      <c r="S556" s="50">
        <f>IF(B556="","",IF(H556="Done","Yes","No"))</f>
        <v>0</v>
      </c>
      <c r="T556" s="39">
        <f>IF(B556="","",IF(G556="","Add - what was the task?",IF(H556="Issue found",IF(M556="Yes","OK - issue reported","Action - tell the client"),IF(H556="Needs rework","Action - rework needed",IF(AND(H556="Skipped",P556="Yes"),"Check - required task skipped",IF(H556="Done","OK","Due"))))))</f>
        <v>0</v>
      </c>
    </row>
    <row r="557" spans="1:20">
      <c r="A557" s="43">
        <f>IF(B557="","","JT-"&amp;TEXT(ROW()-4,"0000"))</f>
        <v>0</v>
      </c>
      <c r="C557" s="18">
        <f>IF(B557="","",IFERROR(INDEX(Jobs!$B$5:$B$604,MATCH(B557,Jobs!$A$5:$A$604,0)),""))</f>
        <v>0</v>
      </c>
      <c r="D557" s="23">
        <f>IF(B557="","",IFERROR(INDEX(Jobs!$H$5:$H$604,MATCH(B557,Jobs!$A$5:$A$604,0)),""))</f>
        <v>0</v>
      </c>
      <c r="E557" s="23">
        <f>IF(B557="","",IFERROR(INDEX(Jobs!$K$5:$K$604,MATCH(B557,Jobs!$A$5:$A$604,0)),""))</f>
        <v>0</v>
      </c>
      <c r="P557" s="50">
        <f>IF(G557="","",IFERROR(INDEX(Checklists!$J$5:$J$404,MATCH(G557,Checklists!$F$5:$F$404,0)),"Yes"))</f>
        <v>0</v>
      </c>
      <c r="Q557" s="31">
        <f>IF(G557="","",IFERROR(INDEX(Checklists!$H$5:$H$404,MATCH(G557,Checklists!$F$5:$F$404,0)),""))</f>
        <v>0</v>
      </c>
      <c r="R557" s="31">
        <f>IF(OR(J557="",Q557=""),"",J557-Q557)</f>
        <v>0</v>
      </c>
      <c r="S557" s="50">
        <f>IF(B557="","",IF(H557="Done","Yes","No"))</f>
        <v>0</v>
      </c>
      <c r="T557" s="39">
        <f>IF(B557="","",IF(G557="","Add - what was the task?",IF(H557="Issue found",IF(M557="Yes","OK - issue reported","Action - tell the client"),IF(H557="Needs rework","Action - rework needed",IF(AND(H557="Skipped",P557="Yes"),"Check - required task skipped",IF(H557="Done","OK","Due"))))))</f>
        <v>0</v>
      </c>
    </row>
    <row r="558" spans="1:20">
      <c r="A558" s="43">
        <f>IF(B558="","","JT-"&amp;TEXT(ROW()-4,"0000"))</f>
        <v>0</v>
      </c>
      <c r="C558" s="18">
        <f>IF(B558="","",IFERROR(INDEX(Jobs!$B$5:$B$604,MATCH(B558,Jobs!$A$5:$A$604,0)),""))</f>
        <v>0</v>
      </c>
      <c r="D558" s="23">
        <f>IF(B558="","",IFERROR(INDEX(Jobs!$H$5:$H$604,MATCH(B558,Jobs!$A$5:$A$604,0)),""))</f>
        <v>0</v>
      </c>
      <c r="E558" s="23">
        <f>IF(B558="","",IFERROR(INDEX(Jobs!$K$5:$K$604,MATCH(B558,Jobs!$A$5:$A$604,0)),""))</f>
        <v>0</v>
      </c>
      <c r="P558" s="50">
        <f>IF(G558="","",IFERROR(INDEX(Checklists!$J$5:$J$404,MATCH(G558,Checklists!$F$5:$F$404,0)),"Yes"))</f>
        <v>0</v>
      </c>
      <c r="Q558" s="31">
        <f>IF(G558="","",IFERROR(INDEX(Checklists!$H$5:$H$404,MATCH(G558,Checklists!$F$5:$F$404,0)),""))</f>
        <v>0</v>
      </c>
      <c r="R558" s="31">
        <f>IF(OR(J558="",Q558=""),"",J558-Q558)</f>
        <v>0</v>
      </c>
      <c r="S558" s="50">
        <f>IF(B558="","",IF(H558="Done","Yes","No"))</f>
        <v>0</v>
      </c>
      <c r="T558" s="39">
        <f>IF(B558="","",IF(G558="","Add - what was the task?",IF(H558="Issue found",IF(M558="Yes","OK - issue reported","Action - tell the client"),IF(H558="Needs rework","Action - rework needed",IF(AND(H558="Skipped",P558="Yes"),"Check - required task skipped",IF(H558="Done","OK","Due"))))))</f>
        <v>0</v>
      </c>
    </row>
    <row r="559" spans="1:20">
      <c r="A559" s="43">
        <f>IF(B559="","","JT-"&amp;TEXT(ROW()-4,"0000"))</f>
        <v>0</v>
      </c>
      <c r="C559" s="18">
        <f>IF(B559="","",IFERROR(INDEX(Jobs!$B$5:$B$604,MATCH(B559,Jobs!$A$5:$A$604,0)),""))</f>
        <v>0</v>
      </c>
      <c r="D559" s="23">
        <f>IF(B559="","",IFERROR(INDEX(Jobs!$H$5:$H$604,MATCH(B559,Jobs!$A$5:$A$604,0)),""))</f>
        <v>0</v>
      </c>
      <c r="E559" s="23">
        <f>IF(B559="","",IFERROR(INDEX(Jobs!$K$5:$K$604,MATCH(B559,Jobs!$A$5:$A$604,0)),""))</f>
        <v>0</v>
      </c>
      <c r="P559" s="50">
        <f>IF(G559="","",IFERROR(INDEX(Checklists!$J$5:$J$404,MATCH(G559,Checklists!$F$5:$F$404,0)),"Yes"))</f>
        <v>0</v>
      </c>
      <c r="Q559" s="31">
        <f>IF(G559="","",IFERROR(INDEX(Checklists!$H$5:$H$404,MATCH(G559,Checklists!$F$5:$F$404,0)),""))</f>
        <v>0</v>
      </c>
      <c r="R559" s="31">
        <f>IF(OR(J559="",Q559=""),"",J559-Q559)</f>
        <v>0</v>
      </c>
      <c r="S559" s="50">
        <f>IF(B559="","",IF(H559="Done","Yes","No"))</f>
        <v>0</v>
      </c>
      <c r="T559" s="39">
        <f>IF(B559="","",IF(G559="","Add - what was the task?",IF(H559="Issue found",IF(M559="Yes","OK - issue reported","Action - tell the client"),IF(H559="Needs rework","Action - rework needed",IF(AND(H559="Skipped",P559="Yes"),"Check - required task skipped",IF(H559="Done","OK","Due"))))))</f>
        <v>0</v>
      </c>
    </row>
    <row r="560" spans="1:20">
      <c r="A560" s="43">
        <f>IF(B560="","","JT-"&amp;TEXT(ROW()-4,"0000"))</f>
        <v>0</v>
      </c>
      <c r="C560" s="18">
        <f>IF(B560="","",IFERROR(INDEX(Jobs!$B$5:$B$604,MATCH(B560,Jobs!$A$5:$A$604,0)),""))</f>
        <v>0</v>
      </c>
      <c r="D560" s="23">
        <f>IF(B560="","",IFERROR(INDEX(Jobs!$H$5:$H$604,MATCH(B560,Jobs!$A$5:$A$604,0)),""))</f>
        <v>0</v>
      </c>
      <c r="E560" s="23">
        <f>IF(B560="","",IFERROR(INDEX(Jobs!$K$5:$K$604,MATCH(B560,Jobs!$A$5:$A$604,0)),""))</f>
        <v>0</v>
      </c>
      <c r="P560" s="50">
        <f>IF(G560="","",IFERROR(INDEX(Checklists!$J$5:$J$404,MATCH(G560,Checklists!$F$5:$F$404,0)),"Yes"))</f>
        <v>0</v>
      </c>
      <c r="Q560" s="31">
        <f>IF(G560="","",IFERROR(INDEX(Checklists!$H$5:$H$404,MATCH(G560,Checklists!$F$5:$F$404,0)),""))</f>
        <v>0</v>
      </c>
      <c r="R560" s="31">
        <f>IF(OR(J560="",Q560=""),"",J560-Q560)</f>
        <v>0</v>
      </c>
      <c r="S560" s="50">
        <f>IF(B560="","",IF(H560="Done","Yes","No"))</f>
        <v>0</v>
      </c>
      <c r="T560" s="39">
        <f>IF(B560="","",IF(G560="","Add - what was the task?",IF(H560="Issue found",IF(M560="Yes","OK - issue reported","Action - tell the client"),IF(H560="Needs rework","Action - rework needed",IF(AND(H560="Skipped",P560="Yes"),"Check - required task skipped",IF(H560="Done","OK","Due"))))))</f>
        <v>0</v>
      </c>
    </row>
    <row r="561" spans="1:20">
      <c r="A561" s="43">
        <f>IF(B561="","","JT-"&amp;TEXT(ROW()-4,"0000"))</f>
        <v>0</v>
      </c>
      <c r="C561" s="18">
        <f>IF(B561="","",IFERROR(INDEX(Jobs!$B$5:$B$604,MATCH(B561,Jobs!$A$5:$A$604,0)),""))</f>
        <v>0</v>
      </c>
      <c r="D561" s="23">
        <f>IF(B561="","",IFERROR(INDEX(Jobs!$H$5:$H$604,MATCH(B561,Jobs!$A$5:$A$604,0)),""))</f>
        <v>0</v>
      </c>
      <c r="E561" s="23">
        <f>IF(B561="","",IFERROR(INDEX(Jobs!$K$5:$K$604,MATCH(B561,Jobs!$A$5:$A$604,0)),""))</f>
        <v>0</v>
      </c>
      <c r="P561" s="50">
        <f>IF(G561="","",IFERROR(INDEX(Checklists!$J$5:$J$404,MATCH(G561,Checklists!$F$5:$F$404,0)),"Yes"))</f>
        <v>0</v>
      </c>
      <c r="Q561" s="31">
        <f>IF(G561="","",IFERROR(INDEX(Checklists!$H$5:$H$404,MATCH(G561,Checklists!$F$5:$F$404,0)),""))</f>
        <v>0</v>
      </c>
      <c r="R561" s="31">
        <f>IF(OR(J561="",Q561=""),"",J561-Q561)</f>
        <v>0</v>
      </c>
      <c r="S561" s="50">
        <f>IF(B561="","",IF(H561="Done","Yes","No"))</f>
        <v>0</v>
      </c>
      <c r="T561" s="39">
        <f>IF(B561="","",IF(G561="","Add - what was the task?",IF(H561="Issue found",IF(M561="Yes","OK - issue reported","Action - tell the client"),IF(H561="Needs rework","Action - rework needed",IF(AND(H561="Skipped",P561="Yes"),"Check - required task skipped",IF(H561="Done","OK","Due"))))))</f>
        <v>0</v>
      </c>
    </row>
    <row r="562" spans="1:20">
      <c r="A562" s="43">
        <f>IF(B562="","","JT-"&amp;TEXT(ROW()-4,"0000"))</f>
        <v>0</v>
      </c>
      <c r="C562" s="18">
        <f>IF(B562="","",IFERROR(INDEX(Jobs!$B$5:$B$604,MATCH(B562,Jobs!$A$5:$A$604,0)),""))</f>
        <v>0</v>
      </c>
      <c r="D562" s="23">
        <f>IF(B562="","",IFERROR(INDEX(Jobs!$H$5:$H$604,MATCH(B562,Jobs!$A$5:$A$604,0)),""))</f>
        <v>0</v>
      </c>
      <c r="E562" s="23">
        <f>IF(B562="","",IFERROR(INDEX(Jobs!$K$5:$K$604,MATCH(B562,Jobs!$A$5:$A$604,0)),""))</f>
        <v>0</v>
      </c>
      <c r="P562" s="50">
        <f>IF(G562="","",IFERROR(INDEX(Checklists!$J$5:$J$404,MATCH(G562,Checklists!$F$5:$F$404,0)),"Yes"))</f>
        <v>0</v>
      </c>
      <c r="Q562" s="31">
        <f>IF(G562="","",IFERROR(INDEX(Checklists!$H$5:$H$404,MATCH(G562,Checklists!$F$5:$F$404,0)),""))</f>
        <v>0</v>
      </c>
      <c r="R562" s="31">
        <f>IF(OR(J562="",Q562=""),"",J562-Q562)</f>
        <v>0</v>
      </c>
      <c r="S562" s="50">
        <f>IF(B562="","",IF(H562="Done","Yes","No"))</f>
        <v>0</v>
      </c>
      <c r="T562" s="39">
        <f>IF(B562="","",IF(G562="","Add - what was the task?",IF(H562="Issue found",IF(M562="Yes","OK - issue reported","Action - tell the client"),IF(H562="Needs rework","Action - rework needed",IF(AND(H562="Skipped",P562="Yes"),"Check - required task skipped",IF(H562="Done","OK","Due"))))))</f>
        <v>0</v>
      </c>
    </row>
    <row r="563" spans="1:20">
      <c r="A563" s="43">
        <f>IF(B563="","","JT-"&amp;TEXT(ROW()-4,"0000"))</f>
        <v>0</v>
      </c>
      <c r="C563" s="18">
        <f>IF(B563="","",IFERROR(INDEX(Jobs!$B$5:$B$604,MATCH(B563,Jobs!$A$5:$A$604,0)),""))</f>
        <v>0</v>
      </c>
      <c r="D563" s="23">
        <f>IF(B563="","",IFERROR(INDEX(Jobs!$H$5:$H$604,MATCH(B563,Jobs!$A$5:$A$604,0)),""))</f>
        <v>0</v>
      </c>
      <c r="E563" s="23">
        <f>IF(B563="","",IFERROR(INDEX(Jobs!$K$5:$K$604,MATCH(B563,Jobs!$A$5:$A$604,0)),""))</f>
        <v>0</v>
      </c>
      <c r="P563" s="50">
        <f>IF(G563="","",IFERROR(INDEX(Checklists!$J$5:$J$404,MATCH(G563,Checklists!$F$5:$F$404,0)),"Yes"))</f>
        <v>0</v>
      </c>
      <c r="Q563" s="31">
        <f>IF(G563="","",IFERROR(INDEX(Checklists!$H$5:$H$404,MATCH(G563,Checklists!$F$5:$F$404,0)),""))</f>
        <v>0</v>
      </c>
      <c r="R563" s="31">
        <f>IF(OR(J563="",Q563=""),"",J563-Q563)</f>
        <v>0</v>
      </c>
      <c r="S563" s="50">
        <f>IF(B563="","",IF(H563="Done","Yes","No"))</f>
        <v>0</v>
      </c>
      <c r="T563" s="39">
        <f>IF(B563="","",IF(G563="","Add - what was the task?",IF(H563="Issue found",IF(M563="Yes","OK - issue reported","Action - tell the client"),IF(H563="Needs rework","Action - rework needed",IF(AND(H563="Skipped",P563="Yes"),"Check - required task skipped",IF(H563="Done","OK","Due"))))))</f>
        <v>0</v>
      </c>
    </row>
    <row r="564" spans="1:20">
      <c r="A564" s="43">
        <f>IF(B564="","","JT-"&amp;TEXT(ROW()-4,"0000"))</f>
        <v>0</v>
      </c>
      <c r="C564" s="18">
        <f>IF(B564="","",IFERROR(INDEX(Jobs!$B$5:$B$604,MATCH(B564,Jobs!$A$5:$A$604,0)),""))</f>
        <v>0</v>
      </c>
      <c r="D564" s="23">
        <f>IF(B564="","",IFERROR(INDEX(Jobs!$H$5:$H$604,MATCH(B564,Jobs!$A$5:$A$604,0)),""))</f>
        <v>0</v>
      </c>
      <c r="E564" s="23">
        <f>IF(B564="","",IFERROR(INDEX(Jobs!$K$5:$K$604,MATCH(B564,Jobs!$A$5:$A$604,0)),""))</f>
        <v>0</v>
      </c>
      <c r="P564" s="50">
        <f>IF(G564="","",IFERROR(INDEX(Checklists!$J$5:$J$404,MATCH(G564,Checklists!$F$5:$F$404,0)),"Yes"))</f>
        <v>0</v>
      </c>
      <c r="Q564" s="31">
        <f>IF(G564="","",IFERROR(INDEX(Checklists!$H$5:$H$404,MATCH(G564,Checklists!$F$5:$F$404,0)),""))</f>
        <v>0</v>
      </c>
      <c r="R564" s="31">
        <f>IF(OR(J564="",Q564=""),"",J564-Q564)</f>
        <v>0</v>
      </c>
      <c r="S564" s="50">
        <f>IF(B564="","",IF(H564="Done","Yes","No"))</f>
        <v>0</v>
      </c>
      <c r="T564" s="39">
        <f>IF(B564="","",IF(G564="","Add - what was the task?",IF(H564="Issue found",IF(M564="Yes","OK - issue reported","Action - tell the client"),IF(H564="Needs rework","Action - rework needed",IF(AND(H564="Skipped",P564="Yes"),"Check - required task skipped",IF(H564="Done","OK","Due"))))))</f>
        <v>0</v>
      </c>
    </row>
    <row r="565" spans="1:20">
      <c r="A565" s="43">
        <f>IF(B565="","","JT-"&amp;TEXT(ROW()-4,"0000"))</f>
        <v>0</v>
      </c>
      <c r="C565" s="18">
        <f>IF(B565="","",IFERROR(INDEX(Jobs!$B$5:$B$604,MATCH(B565,Jobs!$A$5:$A$604,0)),""))</f>
        <v>0</v>
      </c>
      <c r="D565" s="23">
        <f>IF(B565="","",IFERROR(INDEX(Jobs!$H$5:$H$604,MATCH(B565,Jobs!$A$5:$A$604,0)),""))</f>
        <v>0</v>
      </c>
      <c r="E565" s="23">
        <f>IF(B565="","",IFERROR(INDEX(Jobs!$K$5:$K$604,MATCH(B565,Jobs!$A$5:$A$604,0)),""))</f>
        <v>0</v>
      </c>
      <c r="P565" s="50">
        <f>IF(G565="","",IFERROR(INDEX(Checklists!$J$5:$J$404,MATCH(G565,Checklists!$F$5:$F$404,0)),"Yes"))</f>
        <v>0</v>
      </c>
      <c r="Q565" s="31">
        <f>IF(G565="","",IFERROR(INDEX(Checklists!$H$5:$H$404,MATCH(G565,Checklists!$F$5:$F$404,0)),""))</f>
        <v>0</v>
      </c>
      <c r="R565" s="31">
        <f>IF(OR(J565="",Q565=""),"",J565-Q565)</f>
        <v>0</v>
      </c>
      <c r="S565" s="50">
        <f>IF(B565="","",IF(H565="Done","Yes","No"))</f>
        <v>0</v>
      </c>
      <c r="T565" s="39">
        <f>IF(B565="","",IF(G565="","Add - what was the task?",IF(H565="Issue found",IF(M565="Yes","OK - issue reported","Action - tell the client"),IF(H565="Needs rework","Action - rework needed",IF(AND(H565="Skipped",P565="Yes"),"Check - required task skipped",IF(H565="Done","OK","Due"))))))</f>
        <v>0</v>
      </c>
    </row>
    <row r="566" spans="1:20">
      <c r="A566" s="43">
        <f>IF(B566="","","JT-"&amp;TEXT(ROW()-4,"0000"))</f>
        <v>0</v>
      </c>
      <c r="C566" s="18">
        <f>IF(B566="","",IFERROR(INDEX(Jobs!$B$5:$B$604,MATCH(B566,Jobs!$A$5:$A$604,0)),""))</f>
        <v>0</v>
      </c>
      <c r="D566" s="23">
        <f>IF(B566="","",IFERROR(INDEX(Jobs!$H$5:$H$604,MATCH(B566,Jobs!$A$5:$A$604,0)),""))</f>
        <v>0</v>
      </c>
      <c r="E566" s="23">
        <f>IF(B566="","",IFERROR(INDEX(Jobs!$K$5:$K$604,MATCH(B566,Jobs!$A$5:$A$604,0)),""))</f>
        <v>0</v>
      </c>
      <c r="P566" s="50">
        <f>IF(G566="","",IFERROR(INDEX(Checklists!$J$5:$J$404,MATCH(G566,Checklists!$F$5:$F$404,0)),"Yes"))</f>
        <v>0</v>
      </c>
      <c r="Q566" s="31">
        <f>IF(G566="","",IFERROR(INDEX(Checklists!$H$5:$H$404,MATCH(G566,Checklists!$F$5:$F$404,0)),""))</f>
        <v>0</v>
      </c>
      <c r="R566" s="31">
        <f>IF(OR(J566="",Q566=""),"",J566-Q566)</f>
        <v>0</v>
      </c>
      <c r="S566" s="50">
        <f>IF(B566="","",IF(H566="Done","Yes","No"))</f>
        <v>0</v>
      </c>
      <c r="T566" s="39">
        <f>IF(B566="","",IF(G566="","Add - what was the task?",IF(H566="Issue found",IF(M566="Yes","OK - issue reported","Action - tell the client"),IF(H566="Needs rework","Action - rework needed",IF(AND(H566="Skipped",P566="Yes"),"Check - required task skipped",IF(H566="Done","OK","Due"))))))</f>
        <v>0</v>
      </c>
    </row>
    <row r="567" spans="1:20">
      <c r="A567" s="43">
        <f>IF(B567="","","JT-"&amp;TEXT(ROW()-4,"0000"))</f>
        <v>0</v>
      </c>
      <c r="C567" s="18">
        <f>IF(B567="","",IFERROR(INDEX(Jobs!$B$5:$B$604,MATCH(B567,Jobs!$A$5:$A$604,0)),""))</f>
        <v>0</v>
      </c>
      <c r="D567" s="23">
        <f>IF(B567="","",IFERROR(INDEX(Jobs!$H$5:$H$604,MATCH(B567,Jobs!$A$5:$A$604,0)),""))</f>
        <v>0</v>
      </c>
      <c r="E567" s="23">
        <f>IF(B567="","",IFERROR(INDEX(Jobs!$K$5:$K$604,MATCH(B567,Jobs!$A$5:$A$604,0)),""))</f>
        <v>0</v>
      </c>
      <c r="P567" s="50">
        <f>IF(G567="","",IFERROR(INDEX(Checklists!$J$5:$J$404,MATCH(G567,Checklists!$F$5:$F$404,0)),"Yes"))</f>
        <v>0</v>
      </c>
      <c r="Q567" s="31">
        <f>IF(G567="","",IFERROR(INDEX(Checklists!$H$5:$H$404,MATCH(G567,Checklists!$F$5:$F$404,0)),""))</f>
        <v>0</v>
      </c>
      <c r="R567" s="31">
        <f>IF(OR(J567="",Q567=""),"",J567-Q567)</f>
        <v>0</v>
      </c>
      <c r="S567" s="50">
        <f>IF(B567="","",IF(H567="Done","Yes","No"))</f>
        <v>0</v>
      </c>
      <c r="T567" s="39">
        <f>IF(B567="","",IF(G567="","Add - what was the task?",IF(H567="Issue found",IF(M567="Yes","OK - issue reported","Action - tell the client"),IF(H567="Needs rework","Action - rework needed",IF(AND(H567="Skipped",P567="Yes"),"Check - required task skipped",IF(H567="Done","OK","Due"))))))</f>
        <v>0</v>
      </c>
    </row>
    <row r="568" spans="1:20">
      <c r="A568" s="43">
        <f>IF(B568="","","JT-"&amp;TEXT(ROW()-4,"0000"))</f>
        <v>0</v>
      </c>
      <c r="C568" s="18">
        <f>IF(B568="","",IFERROR(INDEX(Jobs!$B$5:$B$604,MATCH(B568,Jobs!$A$5:$A$604,0)),""))</f>
        <v>0</v>
      </c>
      <c r="D568" s="23">
        <f>IF(B568="","",IFERROR(INDEX(Jobs!$H$5:$H$604,MATCH(B568,Jobs!$A$5:$A$604,0)),""))</f>
        <v>0</v>
      </c>
      <c r="E568" s="23">
        <f>IF(B568="","",IFERROR(INDEX(Jobs!$K$5:$K$604,MATCH(B568,Jobs!$A$5:$A$604,0)),""))</f>
        <v>0</v>
      </c>
      <c r="P568" s="50">
        <f>IF(G568="","",IFERROR(INDEX(Checklists!$J$5:$J$404,MATCH(G568,Checklists!$F$5:$F$404,0)),"Yes"))</f>
        <v>0</v>
      </c>
      <c r="Q568" s="31">
        <f>IF(G568="","",IFERROR(INDEX(Checklists!$H$5:$H$404,MATCH(G568,Checklists!$F$5:$F$404,0)),""))</f>
        <v>0</v>
      </c>
      <c r="R568" s="31">
        <f>IF(OR(J568="",Q568=""),"",J568-Q568)</f>
        <v>0</v>
      </c>
      <c r="S568" s="50">
        <f>IF(B568="","",IF(H568="Done","Yes","No"))</f>
        <v>0</v>
      </c>
      <c r="T568" s="39">
        <f>IF(B568="","",IF(G568="","Add - what was the task?",IF(H568="Issue found",IF(M568="Yes","OK - issue reported","Action - tell the client"),IF(H568="Needs rework","Action - rework needed",IF(AND(H568="Skipped",P568="Yes"),"Check - required task skipped",IF(H568="Done","OK","Due"))))))</f>
        <v>0</v>
      </c>
    </row>
    <row r="569" spans="1:20">
      <c r="A569" s="43">
        <f>IF(B569="","","JT-"&amp;TEXT(ROW()-4,"0000"))</f>
        <v>0</v>
      </c>
      <c r="C569" s="18">
        <f>IF(B569="","",IFERROR(INDEX(Jobs!$B$5:$B$604,MATCH(B569,Jobs!$A$5:$A$604,0)),""))</f>
        <v>0</v>
      </c>
      <c r="D569" s="23">
        <f>IF(B569="","",IFERROR(INDEX(Jobs!$H$5:$H$604,MATCH(B569,Jobs!$A$5:$A$604,0)),""))</f>
        <v>0</v>
      </c>
      <c r="E569" s="23">
        <f>IF(B569="","",IFERROR(INDEX(Jobs!$K$5:$K$604,MATCH(B569,Jobs!$A$5:$A$604,0)),""))</f>
        <v>0</v>
      </c>
      <c r="P569" s="50">
        <f>IF(G569="","",IFERROR(INDEX(Checklists!$J$5:$J$404,MATCH(G569,Checklists!$F$5:$F$404,0)),"Yes"))</f>
        <v>0</v>
      </c>
      <c r="Q569" s="31">
        <f>IF(G569="","",IFERROR(INDEX(Checklists!$H$5:$H$404,MATCH(G569,Checklists!$F$5:$F$404,0)),""))</f>
        <v>0</v>
      </c>
      <c r="R569" s="31">
        <f>IF(OR(J569="",Q569=""),"",J569-Q569)</f>
        <v>0</v>
      </c>
      <c r="S569" s="50">
        <f>IF(B569="","",IF(H569="Done","Yes","No"))</f>
        <v>0</v>
      </c>
      <c r="T569" s="39">
        <f>IF(B569="","",IF(G569="","Add - what was the task?",IF(H569="Issue found",IF(M569="Yes","OK - issue reported","Action - tell the client"),IF(H569="Needs rework","Action - rework needed",IF(AND(H569="Skipped",P569="Yes"),"Check - required task skipped",IF(H569="Done","OK","Due"))))))</f>
        <v>0</v>
      </c>
    </row>
    <row r="570" spans="1:20">
      <c r="A570" s="43">
        <f>IF(B570="","","JT-"&amp;TEXT(ROW()-4,"0000"))</f>
        <v>0</v>
      </c>
      <c r="C570" s="18">
        <f>IF(B570="","",IFERROR(INDEX(Jobs!$B$5:$B$604,MATCH(B570,Jobs!$A$5:$A$604,0)),""))</f>
        <v>0</v>
      </c>
      <c r="D570" s="23">
        <f>IF(B570="","",IFERROR(INDEX(Jobs!$H$5:$H$604,MATCH(B570,Jobs!$A$5:$A$604,0)),""))</f>
        <v>0</v>
      </c>
      <c r="E570" s="23">
        <f>IF(B570="","",IFERROR(INDEX(Jobs!$K$5:$K$604,MATCH(B570,Jobs!$A$5:$A$604,0)),""))</f>
        <v>0</v>
      </c>
      <c r="P570" s="50">
        <f>IF(G570="","",IFERROR(INDEX(Checklists!$J$5:$J$404,MATCH(G570,Checklists!$F$5:$F$404,0)),"Yes"))</f>
        <v>0</v>
      </c>
      <c r="Q570" s="31">
        <f>IF(G570="","",IFERROR(INDEX(Checklists!$H$5:$H$404,MATCH(G570,Checklists!$F$5:$F$404,0)),""))</f>
        <v>0</v>
      </c>
      <c r="R570" s="31">
        <f>IF(OR(J570="",Q570=""),"",J570-Q570)</f>
        <v>0</v>
      </c>
      <c r="S570" s="50">
        <f>IF(B570="","",IF(H570="Done","Yes","No"))</f>
        <v>0</v>
      </c>
      <c r="T570" s="39">
        <f>IF(B570="","",IF(G570="","Add - what was the task?",IF(H570="Issue found",IF(M570="Yes","OK - issue reported","Action - tell the client"),IF(H570="Needs rework","Action - rework needed",IF(AND(H570="Skipped",P570="Yes"),"Check - required task skipped",IF(H570="Done","OK","Due"))))))</f>
        <v>0</v>
      </c>
    </row>
    <row r="571" spans="1:20">
      <c r="A571" s="43">
        <f>IF(B571="","","JT-"&amp;TEXT(ROW()-4,"0000"))</f>
        <v>0</v>
      </c>
      <c r="C571" s="18">
        <f>IF(B571="","",IFERROR(INDEX(Jobs!$B$5:$B$604,MATCH(B571,Jobs!$A$5:$A$604,0)),""))</f>
        <v>0</v>
      </c>
      <c r="D571" s="23">
        <f>IF(B571="","",IFERROR(INDEX(Jobs!$H$5:$H$604,MATCH(B571,Jobs!$A$5:$A$604,0)),""))</f>
        <v>0</v>
      </c>
      <c r="E571" s="23">
        <f>IF(B571="","",IFERROR(INDEX(Jobs!$K$5:$K$604,MATCH(B571,Jobs!$A$5:$A$604,0)),""))</f>
        <v>0</v>
      </c>
      <c r="P571" s="50">
        <f>IF(G571="","",IFERROR(INDEX(Checklists!$J$5:$J$404,MATCH(G571,Checklists!$F$5:$F$404,0)),"Yes"))</f>
        <v>0</v>
      </c>
      <c r="Q571" s="31">
        <f>IF(G571="","",IFERROR(INDEX(Checklists!$H$5:$H$404,MATCH(G571,Checklists!$F$5:$F$404,0)),""))</f>
        <v>0</v>
      </c>
      <c r="R571" s="31">
        <f>IF(OR(J571="",Q571=""),"",J571-Q571)</f>
        <v>0</v>
      </c>
      <c r="S571" s="50">
        <f>IF(B571="","",IF(H571="Done","Yes","No"))</f>
        <v>0</v>
      </c>
      <c r="T571" s="39">
        <f>IF(B571="","",IF(G571="","Add - what was the task?",IF(H571="Issue found",IF(M571="Yes","OK - issue reported","Action - tell the client"),IF(H571="Needs rework","Action - rework needed",IF(AND(H571="Skipped",P571="Yes"),"Check - required task skipped",IF(H571="Done","OK","Due"))))))</f>
        <v>0</v>
      </c>
    </row>
    <row r="572" spans="1:20">
      <c r="A572" s="43">
        <f>IF(B572="","","JT-"&amp;TEXT(ROW()-4,"0000"))</f>
        <v>0</v>
      </c>
      <c r="C572" s="18">
        <f>IF(B572="","",IFERROR(INDEX(Jobs!$B$5:$B$604,MATCH(B572,Jobs!$A$5:$A$604,0)),""))</f>
        <v>0</v>
      </c>
      <c r="D572" s="23">
        <f>IF(B572="","",IFERROR(INDEX(Jobs!$H$5:$H$604,MATCH(B572,Jobs!$A$5:$A$604,0)),""))</f>
        <v>0</v>
      </c>
      <c r="E572" s="23">
        <f>IF(B572="","",IFERROR(INDEX(Jobs!$K$5:$K$604,MATCH(B572,Jobs!$A$5:$A$604,0)),""))</f>
        <v>0</v>
      </c>
      <c r="P572" s="50">
        <f>IF(G572="","",IFERROR(INDEX(Checklists!$J$5:$J$404,MATCH(G572,Checklists!$F$5:$F$404,0)),"Yes"))</f>
        <v>0</v>
      </c>
      <c r="Q572" s="31">
        <f>IF(G572="","",IFERROR(INDEX(Checklists!$H$5:$H$404,MATCH(G572,Checklists!$F$5:$F$404,0)),""))</f>
        <v>0</v>
      </c>
      <c r="R572" s="31">
        <f>IF(OR(J572="",Q572=""),"",J572-Q572)</f>
        <v>0</v>
      </c>
      <c r="S572" s="50">
        <f>IF(B572="","",IF(H572="Done","Yes","No"))</f>
        <v>0</v>
      </c>
      <c r="T572" s="39">
        <f>IF(B572="","",IF(G572="","Add - what was the task?",IF(H572="Issue found",IF(M572="Yes","OK - issue reported","Action - tell the client"),IF(H572="Needs rework","Action - rework needed",IF(AND(H572="Skipped",P572="Yes"),"Check - required task skipped",IF(H572="Done","OK","Due"))))))</f>
        <v>0</v>
      </c>
    </row>
    <row r="573" spans="1:20">
      <c r="A573" s="43">
        <f>IF(B573="","","JT-"&amp;TEXT(ROW()-4,"0000"))</f>
        <v>0</v>
      </c>
      <c r="C573" s="18">
        <f>IF(B573="","",IFERROR(INDEX(Jobs!$B$5:$B$604,MATCH(B573,Jobs!$A$5:$A$604,0)),""))</f>
        <v>0</v>
      </c>
      <c r="D573" s="23">
        <f>IF(B573="","",IFERROR(INDEX(Jobs!$H$5:$H$604,MATCH(B573,Jobs!$A$5:$A$604,0)),""))</f>
        <v>0</v>
      </c>
      <c r="E573" s="23">
        <f>IF(B573="","",IFERROR(INDEX(Jobs!$K$5:$K$604,MATCH(B573,Jobs!$A$5:$A$604,0)),""))</f>
        <v>0</v>
      </c>
      <c r="P573" s="50">
        <f>IF(G573="","",IFERROR(INDEX(Checklists!$J$5:$J$404,MATCH(G573,Checklists!$F$5:$F$404,0)),"Yes"))</f>
        <v>0</v>
      </c>
      <c r="Q573" s="31">
        <f>IF(G573="","",IFERROR(INDEX(Checklists!$H$5:$H$404,MATCH(G573,Checklists!$F$5:$F$404,0)),""))</f>
        <v>0</v>
      </c>
      <c r="R573" s="31">
        <f>IF(OR(J573="",Q573=""),"",J573-Q573)</f>
        <v>0</v>
      </c>
      <c r="S573" s="50">
        <f>IF(B573="","",IF(H573="Done","Yes","No"))</f>
        <v>0</v>
      </c>
      <c r="T573" s="39">
        <f>IF(B573="","",IF(G573="","Add - what was the task?",IF(H573="Issue found",IF(M573="Yes","OK - issue reported","Action - tell the client"),IF(H573="Needs rework","Action - rework needed",IF(AND(H573="Skipped",P573="Yes"),"Check - required task skipped",IF(H573="Done","OK","Due"))))))</f>
        <v>0</v>
      </c>
    </row>
    <row r="574" spans="1:20">
      <c r="A574" s="43">
        <f>IF(B574="","","JT-"&amp;TEXT(ROW()-4,"0000"))</f>
        <v>0</v>
      </c>
      <c r="C574" s="18">
        <f>IF(B574="","",IFERROR(INDEX(Jobs!$B$5:$B$604,MATCH(B574,Jobs!$A$5:$A$604,0)),""))</f>
        <v>0</v>
      </c>
      <c r="D574" s="23">
        <f>IF(B574="","",IFERROR(INDEX(Jobs!$H$5:$H$604,MATCH(B574,Jobs!$A$5:$A$604,0)),""))</f>
        <v>0</v>
      </c>
      <c r="E574" s="23">
        <f>IF(B574="","",IFERROR(INDEX(Jobs!$K$5:$K$604,MATCH(B574,Jobs!$A$5:$A$604,0)),""))</f>
        <v>0</v>
      </c>
      <c r="P574" s="50">
        <f>IF(G574="","",IFERROR(INDEX(Checklists!$J$5:$J$404,MATCH(G574,Checklists!$F$5:$F$404,0)),"Yes"))</f>
        <v>0</v>
      </c>
      <c r="Q574" s="31">
        <f>IF(G574="","",IFERROR(INDEX(Checklists!$H$5:$H$404,MATCH(G574,Checklists!$F$5:$F$404,0)),""))</f>
        <v>0</v>
      </c>
      <c r="R574" s="31">
        <f>IF(OR(J574="",Q574=""),"",J574-Q574)</f>
        <v>0</v>
      </c>
      <c r="S574" s="50">
        <f>IF(B574="","",IF(H574="Done","Yes","No"))</f>
        <v>0</v>
      </c>
      <c r="T574" s="39">
        <f>IF(B574="","",IF(G574="","Add - what was the task?",IF(H574="Issue found",IF(M574="Yes","OK - issue reported","Action - tell the client"),IF(H574="Needs rework","Action - rework needed",IF(AND(H574="Skipped",P574="Yes"),"Check - required task skipped",IF(H574="Done","OK","Due"))))))</f>
        <v>0</v>
      </c>
    </row>
    <row r="575" spans="1:20">
      <c r="A575" s="43">
        <f>IF(B575="","","JT-"&amp;TEXT(ROW()-4,"0000"))</f>
        <v>0</v>
      </c>
      <c r="C575" s="18">
        <f>IF(B575="","",IFERROR(INDEX(Jobs!$B$5:$B$604,MATCH(B575,Jobs!$A$5:$A$604,0)),""))</f>
        <v>0</v>
      </c>
      <c r="D575" s="23">
        <f>IF(B575="","",IFERROR(INDEX(Jobs!$H$5:$H$604,MATCH(B575,Jobs!$A$5:$A$604,0)),""))</f>
        <v>0</v>
      </c>
      <c r="E575" s="23">
        <f>IF(B575="","",IFERROR(INDEX(Jobs!$K$5:$K$604,MATCH(B575,Jobs!$A$5:$A$604,0)),""))</f>
        <v>0</v>
      </c>
      <c r="P575" s="50">
        <f>IF(G575="","",IFERROR(INDEX(Checklists!$J$5:$J$404,MATCH(G575,Checklists!$F$5:$F$404,0)),"Yes"))</f>
        <v>0</v>
      </c>
      <c r="Q575" s="31">
        <f>IF(G575="","",IFERROR(INDEX(Checklists!$H$5:$H$404,MATCH(G575,Checklists!$F$5:$F$404,0)),""))</f>
        <v>0</v>
      </c>
      <c r="R575" s="31">
        <f>IF(OR(J575="",Q575=""),"",J575-Q575)</f>
        <v>0</v>
      </c>
      <c r="S575" s="50">
        <f>IF(B575="","",IF(H575="Done","Yes","No"))</f>
        <v>0</v>
      </c>
      <c r="T575" s="39">
        <f>IF(B575="","",IF(G575="","Add - what was the task?",IF(H575="Issue found",IF(M575="Yes","OK - issue reported","Action - tell the client"),IF(H575="Needs rework","Action - rework needed",IF(AND(H575="Skipped",P575="Yes"),"Check - required task skipped",IF(H575="Done","OK","Due"))))))</f>
        <v>0</v>
      </c>
    </row>
    <row r="576" spans="1:20">
      <c r="A576" s="43">
        <f>IF(B576="","","JT-"&amp;TEXT(ROW()-4,"0000"))</f>
        <v>0</v>
      </c>
      <c r="C576" s="18">
        <f>IF(B576="","",IFERROR(INDEX(Jobs!$B$5:$B$604,MATCH(B576,Jobs!$A$5:$A$604,0)),""))</f>
        <v>0</v>
      </c>
      <c r="D576" s="23">
        <f>IF(B576="","",IFERROR(INDEX(Jobs!$H$5:$H$604,MATCH(B576,Jobs!$A$5:$A$604,0)),""))</f>
        <v>0</v>
      </c>
      <c r="E576" s="23">
        <f>IF(B576="","",IFERROR(INDEX(Jobs!$K$5:$K$604,MATCH(B576,Jobs!$A$5:$A$604,0)),""))</f>
        <v>0</v>
      </c>
      <c r="P576" s="50">
        <f>IF(G576="","",IFERROR(INDEX(Checklists!$J$5:$J$404,MATCH(G576,Checklists!$F$5:$F$404,0)),"Yes"))</f>
        <v>0</v>
      </c>
      <c r="Q576" s="31">
        <f>IF(G576="","",IFERROR(INDEX(Checklists!$H$5:$H$404,MATCH(G576,Checklists!$F$5:$F$404,0)),""))</f>
        <v>0</v>
      </c>
      <c r="R576" s="31">
        <f>IF(OR(J576="",Q576=""),"",J576-Q576)</f>
        <v>0</v>
      </c>
      <c r="S576" s="50">
        <f>IF(B576="","",IF(H576="Done","Yes","No"))</f>
        <v>0</v>
      </c>
      <c r="T576" s="39">
        <f>IF(B576="","",IF(G576="","Add - what was the task?",IF(H576="Issue found",IF(M576="Yes","OK - issue reported","Action - tell the client"),IF(H576="Needs rework","Action - rework needed",IF(AND(H576="Skipped",P576="Yes"),"Check - required task skipped",IF(H576="Done","OK","Due"))))))</f>
        <v>0</v>
      </c>
    </row>
    <row r="577" spans="1:20">
      <c r="A577" s="43">
        <f>IF(B577="","","JT-"&amp;TEXT(ROW()-4,"0000"))</f>
        <v>0</v>
      </c>
      <c r="C577" s="18">
        <f>IF(B577="","",IFERROR(INDEX(Jobs!$B$5:$B$604,MATCH(B577,Jobs!$A$5:$A$604,0)),""))</f>
        <v>0</v>
      </c>
      <c r="D577" s="23">
        <f>IF(B577="","",IFERROR(INDEX(Jobs!$H$5:$H$604,MATCH(B577,Jobs!$A$5:$A$604,0)),""))</f>
        <v>0</v>
      </c>
      <c r="E577" s="23">
        <f>IF(B577="","",IFERROR(INDEX(Jobs!$K$5:$K$604,MATCH(B577,Jobs!$A$5:$A$604,0)),""))</f>
        <v>0</v>
      </c>
      <c r="P577" s="50">
        <f>IF(G577="","",IFERROR(INDEX(Checklists!$J$5:$J$404,MATCH(G577,Checklists!$F$5:$F$404,0)),"Yes"))</f>
        <v>0</v>
      </c>
      <c r="Q577" s="31">
        <f>IF(G577="","",IFERROR(INDEX(Checklists!$H$5:$H$404,MATCH(G577,Checklists!$F$5:$F$404,0)),""))</f>
        <v>0</v>
      </c>
      <c r="R577" s="31">
        <f>IF(OR(J577="",Q577=""),"",J577-Q577)</f>
        <v>0</v>
      </c>
      <c r="S577" s="50">
        <f>IF(B577="","",IF(H577="Done","Yes","No"))</f>
        <v>0</v>
      </c>
      <c r="T577" s="39">
        <f>IF(B577="","",IF(G577="","Add - what was the task?",IF(H577="Issue found",IF(M577="Yes","OK - issue reported","Action - tell the client"),IF(H577="Needs rework","Action - rework needed",IF(AND(H577="Skipped",P577="Yes"),"Check - required task skipped",IF(H577="Done","OK","Due"))))))</f>
        <v>0</v>
      </c>
    </row>
    <row r="578" spans="1:20">
      <c r="A578" s="43">
        <f>IF(B578="","","JT-"&amp;TEXT(ROW()-4,"0000"))</f>
        <v>0</v>
      </c>
      <c r="C578" s="18">
        <f>IF(B578="","",IFERROR(INDEX(Jobs!$B$5:$B$604,MATCH(B578,Jobs!$A$5:$A$604,0)),""))</f>
        <v>0</v>
      </c>
      <c r="D578" s="23">
        <f>IF(B578="","",IFERROR(INDEX(Jobs!$H$5:$H$604,MATCH(B578,Jobs!$A$5:$A$604,0)),""))</f>
        <v>0</v>
      </c>
      <c r="E578" s="23">
        <f>IF(B578="","",IFERROR(INDEX(Jobs!$K$5:$K$604,MATCH(B578,Jobs!$A$5:$A$604,0)),""))</f>
        <v>0</v>
      </c>
      <c r="P578" s="50">
        <f>IF(G578="","",IFERROR(INDEX(Checklists!$J$5:$J$404,MATCH(G578,Checklists!$F$5:$F$404,0)),"Yes"))</f>
        <v>0</v>
      </c>
      <c r="Q578" s="31">
        <f>IF(G578="","",IFERROR(INDEX(Checklists!$H$5:$H$404,MATCH(G578,Checklists!$F$5:$F$404,0)),""))</f>
        <v>0</v>
      </c>
      <c r="R578" s="31">
        <f>IF(OR(J578="",Q578=""),"",J578-Q578)</f>
        <v>0</v>
      </c>
      <c r="S578" s="50">
        <f>IF(B578="","",IF(H578="Done","Yes","No"))</f>
        <v>0</v>
      </c>
      <c r="T578" s="39">
        <f>IF(B578="","",IF(G578="","Add - what was the task?",IF(H578="Issue found",IF(M578="Yes","OK - issue reported","Action - tell the client"),IF(H578="Needs rework","Action - rework needed",IF(AND(H578="Skipped",P578="Yes"),"Check - required task skipped",IF(H578="Done","OK","Due"))))))</f>
        <v>0</v>
      </c>
    </row>
    <row r="579" spans="1:20">
      <c r="A579" s="43">
        <f>IF(B579="","","JT-"&amp;TEXT(ROW()-4,"0000"))</f>
        <v>0</v>
      </c>
      <c r="C579" s="18">
        <f>IF(B579="","",IFERROR(INDEX(Jobs!$B$5:$B$604,MATCH(B579,Jobs!$A$5:$A$604,0)),""))</f>
        <v>0</v>
      </c>
      <c r="D579" s="23">
        <f>IF(B579="","",IFERROR(INDEX(Jobs!$H$5:$H$604,MATCH(B579,Jobs!$A$5:$A$604,0)),""))</f>
        <v>0</v>
      </c>
      <c r="E579" s="23">
        <f>IF(B579="","",IFERROR(INDEX(Jobs!$K$5:$K$604,MATCH(B579,Jobs!$A$5:$A$604,0)),""))</f>
        <v>0</v>
      </c>
      <c r="P579" s="50">
        <f>IF(G579="","",IFERROR(INDEX(Checklists!$J$5:$J$404,MATCH(G579,Checklists!$F$5:$F$404,0)),"Yes"))</f>
        <v>0</v>
      </c>
      <c r="Q579" s="31">
        <f>IF(G579="","",IFERROR(INDEX(Checklists!$H$5:$H$404,MATCH(G579,Checklists!$F$5:$F$404,0)),""))</f>
        <v>0</v>
      </c>
      <c r="R579" s="31">
        <f>IF(OR(J579="",Q579=""),"",J579-Q579)</f>
        <v>0</v>
      </c>
      <c r="S579" s="50">
        <f>IF(B579="","",IF(H579="Done","Yes","No"))</f>
        <v>0</v>
      </c>
      <c r="T579" s="39">
        <f>IF(B579="","",IF(G579="","Add - what was the task?",IF(H579="Issue found",IF(M579="Yes","OK - issue reported","Action - tell the client"),IF(H579="Needs rework","Action - rework needed",IF(AND(H579="Skipped",P579="Yes"),"Check - required task skipped",IF(H579="Done","OK","Due"))))))</f>
        <v>0</v>
      </c>
    </row>
    <row r="580" spans="1:20">
      <c r="A580" s="43">
        <f>IF(B580="","","JT-"&amp;TEXT(ROW()-4,"0000"))</f>
        <v>0</v>
      </c>
      <c r="C580" s="18">
        <f>IF(B580="","",IFERROR(INDEX(Jobs!$B$5:$B$604,MATCH(B580,Jobs!$A$5:$A$604,0)),""))</f>
        <v>0</v>
      </c>
      <c r="D580" s="23">
        <f>IF(B580="","",IFERROR(INDEX(Jobs!$H$5:$H$604,MATCH(B580,Jobs!$A$5:$A$604,0)),""))</f>
        <v>0</v>
      </c>
      <c r="E580" s="23">
        <f>IF(B580="","",IFERROR(INDEX(Jobs!$K$5:$K$604,MATCH(B580,Jobs!$A$5:$A$604,0)),""))</f>
        <v>0</v>
      </c>
      <c r="P580" s="50">
        <f>IF(G580="","",IFERROR(INDEX(Checklists!$J$5:$J$404,MATCH(G580,Checklists!$F$5:$F$404,0)),"Yes"))</f>
        <v>0</v>
      </c>
      <c r="Q580" s="31">
        <f>IF(G580="","",IFERROR(INDEX(Checklists!$H$5:$H$404,MATCH(G580,Checklists!$F$5:$F$404,0)),""))</f>
        <v>0</v>
      </c>
      <c r="R580" s="31">
        <f>IF(OR(J580="",Q580=""),"",J580-Q580)</f>
        <v>0</v>
      </c>
      <c r="S580" s="50">
        <f>IF(B580="","",IF(H580="Done","Yes","No"))</f>
        <v>0</v>
      </c>
      <c r="T580" s="39">
        <f>IF(B580="","",IF(G580="","Add - what was the task?",IF(H580="Issue found",IF(M580="Yes","OK - issue reported","Action - tell the client"),IF(H580="Needs rework","Action - rework needed",IF(AND(H580="Skipped",P580="Yes"),"Check - required task skipped",IF(H580="Done","OK","Due"))))))</f>
        <v>0</v>
      </c>
    </row>
    <row r="581" spans="1:20">
      <c r="A581" s="43">
        <f>IF(B581="","","JT-"&amp;TEXT(ROW()-4,"0000"))</f>
        <v>0</v>
      </c>
      <c r="C581" s="18">
        <f>IF(B581="","",IFERROR(INDEX(Jobs!$B$5:$B$604,MATCH(B581,Jobs!$A$5:$A$604,0)),""))</f>
        <v>0</v>
      </c>
      <c r="D581" s="23">
        <f>IF(B581="","",IFERROR(INDEX(Jobs!$H$5:$H$604,MATCH(B581,Jobs!$A$5:$A$604,0)),""))</f>
        <v>0</v>
      </c>
      <c r="E581" s="23">
        <f>IF(B581="","",IFERROR(INDEX(Jobs!$K$5:$K$604,MATCH(B581,Jobs!$A$5:$A$604,0)),""))</f>
        <v>0</v>
      </c>
      <c r="P581" s="50">
        <f>IF(G581="","",IFERROR(INDEX(Checklists!$J$5:$J$404,MATCH(G581,Checklists!$F$5:$F$404,0)),"Yes"))</f>
        <v>0</v>
      </c>
      <c r="Q581" s="31">
        <f>IF(G581="","",IFERROR(INDEX(Checklists!$H$5:$H$404,MATCH(G581,Checklists!$F$5:$F$404,0)),""))</f>
        <v>0</v>
      </c>
      <c r="R581" s="31">
        <f>IF(OR(J581="",Q581=""),"",J581-Q581)</f>
        <v>0</v>
      </c>
      <c r="S581" s="50">
        <f>IF(B581="","",IF(H581="Done","Yes","No"))</f>
        <v>0</v>
      </c>
      <c r="T581" s="39">
        <f>IF(B581="","",IF(G581="","Add - what was the task?",IF(H581="Issue found",IF(M581="Yes","OK - issue reported","Action - tell the client"),IF(H581="Needs rework","Action - rework needed",IF(AND(H581="Skipped",P581="Yes"),"Check - required task skipped",IF(H581="Done","OK","Due"))))))</f>
        <v>0</v>
      </c>
    </row>
    <row r="582" spans="1:20">
      <c r="A582" s="43">
        <f>IF(B582="","","JT-"&amp;TEXT(ROW()-4,"0000"))</f>
        <v>0</v>
      </c>
      <c r="C582" s="18">
        <f>IF(B582="","",IFERROR(INDEX(Jobs!$B$5:$B$604,MATCH(B582,Jobs!$A$5:$A$604,0)),""))</f>
        <v>0</v>
      </c>
      <c r="D582" s="23">
        <f>IF(B582="","",IFERROR(INDEX(Jobs!$H$5:$H$604,MATCH(B582,Jobs!$A$5:$A$604,0)),""))</f>
        <v>0</v>
      </c>
      <c r="E582" s="23">
        <f>IF(B582="","",IFERROR(INDEX(Jobs!$K$5:$K$604,MATCH(B582,Jobs!$A$5:$A$604,0)),""))</f>
        <v>0</v>
      </c>
      <c r="P582" s="50">
        <f>IF(G582="","",IFERROR(INDEX(Checklists!$J$5:$J$404,MATCH(G582,Checklists!$F$5:$F$404,0)),"Yes"))</f>
        <v>0</v>
      </c>
      <c r="Q582" s="31">
        <f>IF(G582="","",IFERROR(INDEX(Checklists!$H$5:$H$404,MATCH(G582,Checklists!$F$5:$F$404,0)),""))</f>
        <v>0</v>
      </c>
      <c r="R582" s="31">
        <f>IF(OR(J582="",Q582=""),"",J582-Q582)</f>
        <v>0</v>
      </c>
      <c r="S582" s="50">
        <f>IF(B582="","",IF(H582="Done","Yes","No"))</f>
        <v>0</v>
      </c>
      <c r="T582" s="39">
        <f>IF(B582="","",IF(G582="","Add - what was the task?",IF(H582="Issue found",IF(M582="Yes","OK - issue reported","Action - tell the client"),IF(H582="Needs rework","Action - rework needed",IF(AND(H582="Skipped",P582="Yes"),"Check - required task skipped",IF(H582="Done","OK","Due"))))))</f>
        <v>0</v>
      </c>
    </row>
    <row r="583" spans="1:20">
      <c r="A583" s="43">
        <f>IF(B583="","","JT-"&amp;TEXT(ROW()-4,"0000"))</f>
        <v>0</v>
      </c>
      <c r="C583" s="18">
        <f>IF(B583="","",IFERROR(INDEX(Jobs!$B$5:$B$604,MATCH(B583,Jobs!$A$5:$A$604,0)),""))</f>
        <v>0</v>
      </c>
      <c r="D583" s="23">
        <f>IF(B583="","",IFERROR(INDEX(Jobs!$H$5:$H$604,MATCH(B583,Jobs!$A$5:$A$604,0)),""))</f>
        <v>0</v>
      </c>
      <c r="E583" s="23">
        <f>IF(B583="","",IFERROR(INDEX(Jobs!$K$5:$K$604,MATCH(B583,Jobs!$A$5:$A$604,0)),""))</f>
        <v>0</v>
      </c>
      <c r="P583" s="50">
        <f>IF(G583="","",IFERROR(INDEX(Checklists!$J$5:$J$404,MATCH(G583,Checklists!$F$5:$F$404,0)),"Yes"))</f>
        <v>0</v>
      </c>
      <c r="Q583" s="31">
        <f>IF(G583="","",IFERROR(INDEX(Checklists!$H$5:$H$404,MATCH(G583,Checklists!$F$5:$F$404,0)),""))</f>
        <v>0</v>
      </c>
      <c r="R583" s="31">
        <f>IF(OR(J583="",Q583=""),"",J583-Q583)</f>
        <v>0</v>
      </c>
      <c r="S583" s="50">
        <f>IF(B583="","",IF(H583="Done","Yes","No"))</f>
        <v>0</v>
      </c>
      <c r="T583" s="39">
        <f>IF(B583="","",IF(G583="","Add - what was the task?",IF(H583="Issue found",IF(M583="Yes","OK - issue reported","Action - tell the client"),IF(H583="Needs rework","Action - rework needed",IF(AND(H583="Skipped",P583="Yes"),"Check - required task skipped",IF(H583="Done","OK","Due"))))))</f>
        <v>0</v>
      </c>
    </row>
    <row r="584" spans="1:20">
      <c r="A584" s="43">
        <f>IF(B584="","","JT-"&amp;TEXT(ROW()-4,"0000"))</f>
        <v>0</v>
      </c>
      <c r="C584" s="18">
        <f>IF(B584="","",IFERROR(INDEX(Jobs!$B$5:$B$604,MATCH(B584,Jobs!$A$5:$A$604,0)),""))</f>
        <v>0</v>
      </c>
      <c r="D584" s="23">
        <f>IF(B584="","",IFERROR(INDEX(Jobs!$H$5:$H$604,MATCH(B584,Jobs!$A$5:$A$604,0)),""))</f>
        <v>0</v>
      </c>
      <c r="E584" s="23">
        <f>IF(B584="","",IFERROR(INDEX(Jobs!$K$5:$K$604,MATCH(B584,Jobs!$A$5:$A$604,0)),""))</f>
        <v>0</v>
      </c>
      <c r="P584" s="50">
        <f>IF(G584="","",IFERROR(INDEX(Checklists!$J$5:$J$404,MATCH(G584,Checklists!$F$5:$F$404,0)),"Yes"))</f>
        <v>0</v>
      </c>
      <c r="Q584" s="31">
        <f>IF(G584="","",IFERROR(INDEX(Checklists!$H$5:$H$404,MATCH(G584,Checklists!$F$5:$F$404,0)),""))</f>
        <v>0</v>
      </c>
      <c r="R584" s="31">
        <f>IF(OR(J584="",Q584=""),"",J584-Q584)</f>
        <v>0</v>
      </c>
      <c r="S584" s="50">
        <f>IF(B584="","",IF(H584="Done","Yes","No"))</f>
        <v>0</v>
      </c>
      <c r="T584" s="39">
        <f>IF(B584="","",IF(G584="","Add - what was the task?",IF(H584="Issue found",IF(M584="Yes","OK - issue reported","Action - tell the client"),IF(H584="Needs rework","Action - rework needed",IF(AND(H584="Skipped",P584="Yes"),"Check - required task skipped",IF(H584="Done","OK","Due"))))))</f>
        <v>0</v>
      </c>
    </row>
    <row r="585" spans="1:20">
      <c r="A585" s="43">
        <f>IF(B585="","","JT-"&amp;TEXT(ROW()-4,"0000"))</f>
        <v>0</v>
      </c>
      <c r="C585" s="18">
        <f>IF(B585="","",IFERROR(INDEX(Jobs!$B$5:$B$604,MATCH(B585,Jobs!$A$5:$A$604,0)),""))</f>
        <v>0</v>
      </c>
      <c r="D585" s="23">
        <f>IF(B585="","",IFERROR(INDEX(Jobs!$H$5:$H$604,MATCH(B585,Jobs!$A$5:$A$604,0)),""))</f>
        <v>0</v>
      </c>
      <c r="E585" s="23">
        <f>IF(B585="","",IFERROR(INDEX(Jobs!$K$5:$K$604,MATCH(B585,Jobs!$A$5:$A$604,0)),""))</f>
        <v>0</v>
      </c>
      <c r="P585" s="50">
        <f>IF(G585="","",IFERROR(INDEX(Checklists!$J$5:$J$404,MATCH(G585,Checklists!$F$5:$F$404,0)),"Yes"))</f>
        <v>0</v>
      </c>
      <c r="Q585" s="31">
        <f>IF(G585="","",IFERROR(INDEX(Checklists!$H$5:$H$404,MATCH(G585,Checklists!$F$5:$F$404,0)),""))</f>
        <v>0</v>
      </c>
      <c r="R585" s="31">
        <f>IF(OR(J585="",Q585=""),"",J585-Q585)</f>
        <v>0</v>
      </c>
      <c r="S585" s="50">
        <f>IF(B585="","",IF(H585="Done","Yes","No"))</f>
        <v>0</v>
      </c>
      <c r="T585" s="39">
        <f>IF(B585="","",IF(G585="","Add - what was the task?",IF(H585="Issue found",IF(M585="Yes","OK - issue reported","Action - tell the client"),IF(H585="Needs rework","Action - rework needed",IF(AND(H585="Skipped",P585="Yes"),"Check - required task skipped",IF(H585="Done","OK","Due"))))))</f>
        <v>0</v>
      </c>
    </row>
    <row r="586" spans="1:20">
      <c r="A586" s="43">
        <f>IF(B586="","","JT-"&amp;TEXT(ROW()-4,"0000"))</f>
        <v>0</v>
      </c>
      <c r="C586" s="18">
        <f>IF(B586="","",IFERROR(INDEX(Jobs!$B$5:$B$604,MATCH(B586,Jobs!$A$5:$A$604,0)),""))</f>
        <v>0</v>
      </c>
      <c r="D586" s="23">
        <f>IF(B586="","",IFERROR(INDEX(Jobs!$H$5:$H$604,MATCH(B586,Jobs!$A$5:$A$604,0)),""))</f>
        <v>0</v>
      </c>
      <c r="E586" s="23">
        <f>IF(B586="","",IFERROR(INDEX(Jobs!$K$5:$K$604,MATCH(B586,Jobs!$A$5:$A$604,0)),""))</f>
        <v>0</v>
      </c>
      <c r="P586" s="50">
        <f>IF(G586="","",IFERROR(INDEX(Checklists!$J$5:$J$404,MATCH(G586,Checklists!$F$5:$F$404,0)),"Yes"))</f>
        <v>0</v>
      </c>
      <c r="Q586" s="31">
        <f>IF(G586="","",IFERROR(INDEX(Checklists!$H$5:$H$404,MATCH(G586,Checklists!$F$5:$F$404,0)),""))</f>
        <v>0</v>
      </c>
      <c r="R586" s="31">
        <f>IF(OR(J586="",Q586=""),"",J586-Q586)</f>
        <v>0</v>
      </c>
      <c r="S586" s="50">
        <f>IF(B586="","",IF(H586="Done","Yes","No"))</f>
        <v>0</v>
      </c>
      <c r="T586" s="39">
        <f>IF(B586="","",IF(G586="","Add - what was the task?",IF(H586="Issue found",IF(M586="Yes","OK - issue reported","Action - tell the client"),IF(H586="Needs rework","Action - rework needed",IF(AND(H586="Skipped",P586="Yes"),"Check - required task skipped",IF(H586="Done","OK","Due"))))))</f>
        <v>0</v>
      </c>
    </row>
    <row r="587" spans="1:20">
      <c r="A587" s="43">
        <f>IF(B587="","","JT-"&amp;TEXT(ROW()-4,"0000"))</f>
        <v>0</v>
      </c>
      <c r="C587" s="18">
        <f>IF(B587="","",IFERROR(INDEX(Jobs!$B$5:$B$604,MATCH(B587,Jobs!$A$5:$A$604,0)),""))</f>
        <v>0</v>
      </c>
      <c r="D587" s="23">
        <f>IF(B587="","",IFERROR(INDEX(Jobs!$H$5:$H$604,MATCH(B587,Jobs!$A$5:$A$604,0)),""))</f>
        <v>0</v>
      </c>
      <c r="E587" s="23">
        <f>IF(B587="","",IFERROR(INDEX(Jobs!$K$5:$K$604,MATCH(B587,Jobs!$A$5:$A$604,0)),""))</f>
        <v>0</v>
      </c>
      <c r="P587" s="50">
        <f>IF(G587="","",IFERROR(INDEX(Checklists!$J$5:$J$404,MATCH(G587,Checklists!$F$5:$F$404,0)),"Yes"))</f>
        <v>0</v>
      </c>
      <c r="Q587" s="31">
        <f>IF(G587="","",IFERROR(INDEX(Checklists!$H$5:$H$404,MATCH(G587,Checklists!$F$5:$F$404,0)),""))</f>
        <v>0</v>
      </c>
      <c r="R587" s="31">
        <f>IF(OR(J587="",Q587=""),"",J587-Q587)</f>
        <v>0</v>
      </c>
      <c r="S587" s="50">
        <f>IF(B587="","",IF(H587="Done","Yes","No"))</f>
        <v>0</v>
      </c>
      <c r="T587" s="39">
        <f>IF(B587="","",IF(G587="","Add - what was the task?",IF(H587="Issue found",IF(M587="Yes","OK - issue reported","Action - tell the client"),IF(H587="Needs rework","Action - rework needed",IF(AND(H587="Skipped",P587="Yes"),"Check - required task skipped",IF(H587="Done","OK","Due"))))))</f>
        <v>0</v>
      </c>
    </row>
    <row r="588" spans="1:20">
      <c r="A588" s="43">
        <f>IF(B588="","","JT-"&amp;TEXT(ROW()-4,"0000"))</f>
        <v>0</v>
      </c>
      <c r="C588" s="18">
        <f>IF(B588="","",IFERROR(INDEX(Jobs!$B$5:$B$604,MATCH(B588,Jobs!$A$5:$A$604,0)),""))</f>
        <v>0</v>
      </c>
      <c r="D588" s="23">
        <f>IF(B588="","",IFERROR(INDEX(Jobs!$H$5:$H$604,MATCH(B588,Jobs!$A$5:$A$604,0)),""))</f>
        <v>0</v>
      </c>
      <c r="E588" s="23">
        <f>IF(B588="","",IFERROR(INDEX(Jobs!$K$5:$K$604,MATCH(B588,Jobs!$A$5:$A$604,0)),""))</f>
        <v>0</v>
      </c>
      <c r="P588" s="50">
        <f>IF(G588="","",IFERROR(INDEX(Checklists!$J$5:$J$404,MATCH(G588,Checklists!$F$5:$F$404,0)),"Yes"))</f>
        <v>0</v>
      </c>
      <c r="Q588" s="31">
        <f>IF(G588="","",IFERROR(INDEX(Checklists!$H$5:$H$404,MATCH(G588,Checklists!$F$5:$F$404,0)),""))</f>
        <v>0</v>
      </c>
      <c r="R588" s="31">
        <f>IF(OR(J588="",Q588=""),"",J588-Q588)</f>
        <v>0</v>
      </c>
      <c r="S588" s="50">
        <f>IF(B588="","",IF(H588="Done","Yes","No"))</f>
        <v>0</v>
      </c>
      <c r="T588" s="39">
        <f>IF(B588="","",IF(G588="","Add - what was the task?",IF(H588="Issue found",IF(M588="Yes","OK - issue reported","Action - tell the client"),IF(H588="Needs rework","Action - rework needed",IF(AND(H588="Skipped",P588="Yes"),"Check - required task skipped",IF(H588="Done","OK","Due"))))))</f>
        <v>0</v>
      </c>
    </row>
    <row r="589" spans="1:20">
      <c r="A589" s="43">
        <f>IF(B589="","","JT-"&amp;TEXT(ROW()-4,"0000"))</f>
        <v>0</v>
      </c>
      <c r="C589" s="18">
        <f>IF(B589="","",IFERROR(INDEX(Jobs!$B$5:$B$604,MATCH(B589,Jobs!$A$5:$A$604,0)),""))</f>
        <v>0</v>
      </c>
      <c r="D589" s="23">
        <f>IF(B589="","",IFERROR(INDEX(Jobs!$H$5:$H$604,MATCH(B589,Jobs!$A$5:$A$604,0)),""))</f>
        <v>0</v>
      </c>
      <c r="E589" s="23">
        <f>IF(B589="","",IFERROR(INDEX(Jobs!$K$5:$K$604,MATCH(B589,Jobs!$A$5:$A$604,0)),""))</f>
        <v>0</v>
      </c>
      <c r="P589" s="50">
        <f>IF(G589="","",IFERROR(INDEX(Checklists!$J$5:$J$404,MATCH(G589,Checklists!$F$5:$F$404,0)),"Yes"))</f>
        <v>0</v>
      </c>
      <c r="Q589" s="31">
        <f>IF(G589="","",IFERROR(INDEX(Checklists!$H$5:$H$404,MATCH(G589,Checklists!$F$5:$F$404,0)),""))</f>
        <v>0</v>
      </c>
      <c r="R589" s="31">
        <f>IF(OR(J589="",Q589=""),"",J589-Q589)</f>
        <v>0</v>
      </c>
      <c r="S589" s="50">
        <f>IF(B589="","",IF(H589="Done","Yes","No"))</f>
        <v>0</v>
      </c>
      <c r="T589" s="39">
        <f>IF(B589="","",IF(G589="","Add - what was the task?",IF(H589="Issue found",IF(M589="Yes","OK - issue reported","Action - tell the client"),IF(H589="Needs rework","Action - rework needed",IF(AND(H589="Skipped",P589="Yes"),"Check - required task skipped",IF(H589="Done","OK","Due"))))))</f>
        <v>0</v>
      </c>
    </row>
    <row r="590" spans="1:20">
      <c r="A590" s="43">
        <f>IF(B590="","","JT-"&amp;TEXT(ROW()-4,"0000"))</f>
        <v>0</v>
      </c>
      <c r="C590" s="18">
        <f>IF(B590="","",IFERROR(INDEX(Jobs!$B$5:$B$604,MATCH(B590,Jobs!$A$5:$A$604,0)),""))</f>
        <v>0</v>
      </c>
      <c r="D590" s="23">
        <f>IF(B590="","",IFERROR(INDEX(Jobs!$H$5:$H$604,MATCH(B590,Jobs!$A$5:$A$604,0)),""))</f>
        <v>0</v>
      </c>
      <c r="E590" s="23">
        <f>IF(B590="","",IFERROR(INDEX(Jobs!$K$5:$K$604,MATCH(B590,Jobs!$A$5:$A$604,0)),""))</f>
        <v>0</v>
      </c>
      <c r="P590" s="50">
        <f>IF(G590="","",IFERROR(INDEX(Checklists!$J$5:$J$404,MATCH(G590,Checklists!$F$5:$F$404,0)),"Yes"))</f>
        <v>0</v>
      </c>
      <c r="Q590" s="31">
        <f>IF(G590="","",IFERROR(INDEX(Checklists!$H$5:$H$404,MATCH(G590,Checklists!$F$5:$F$404,0)),""))</f>
        <v>0</v>
      </c>
      <c r="R590" s="31">
        <f>IF(OR(J590="",Q590=""),"",J590-Q590)</f>
        <v>0</v>
      </c>
      <c r="S590" s="50">
        <f>IF(B590="","",IF(H590="Done","Yes","No"))</f>
        <v>0</v>
      </c>
      <c r="T590" s="39">
        <f>IF(B590="","",IF(G590="","Add - what was the task?",IF(H590="Issue found",IF(M590="Yes","OK - issue reported","Action - tell the client"),IF(H590="Needs rework","Action - rework needed",IF(AND(H590="Skipped",P590="Yes"),"Check - required task skipped",IF(H590="Done","OK","Due"))))))</f>
        <v>0</v>
      </c>
    </row>
    <row r="591" spans="1:20">
      <c r="A591" s="43">
        <f>IF(B591="","","JT-"&amp;TEXT(ROW()-4,"0000"))</f>
        <v>0</v>
      </c>
      <c r="C591" s="18">
        <f>IF(B591="","",IFERROR(INDEX(Jobs!$B$5:$B$604,MATCH(B591,Jobs!$A$5:$A$604,0)),""))</f>
        <v>0</v>
      </c>
      <c r="D591" s="23">
        <f>IF(B591="","",IFERROR(INDEX(Jobs!$H$5:$H$604,MATCH(B591,Jobs!$A$5:$A$604,0)),""))</f>
        <v>0</v>
      </c>
      <c r="E591" s="23">
        <f>IF(B591="","",IFERROR(INDEX(Jobs!$K$5:$K$604,MATCH(B591,Jobs!$A$5:$A$604,0)),""))</f>
        <v>0</v>
      </c>
      <c r="P591" s="50">
        <f>IF(G591="","",IFERROR(INDEX(Checklists!$J$5:$J$404,MATCH(G591,Checklists!$F$5:$F$404,0)),"Yes"))</f>
        <v>0</v>
      </c>
      <c r="Q591" s="31">
        <f>IF(G591="","",IFERROR(INDEX(Checklists!$H$5:$H$404,MATCH(G591,Checklists!$F$5:$F$404,0)),""))</f>
        <v>0</v>
      </c>
      <c r="R591" s="31">
        <f>IF(OR(J591="",Q591=""),"",J591-Q591)</f>
        <v>0</v>
      </c>
      <c r="S591" s="50">
        <f>IF(B591="","",IF(H591="Done","Yes","No"))</f>
        <v>0</v>
      </c>
      <c r="T591" s="39">
        <f>IF(B591="","",IF(G591="","Add - what was the task?",IF(H591="Issue found",IF(M591="Yes","OK - issue reported","Action - tell the client"),IF(H591="Needs rework","Action - rework needed",IF(AND(H591="Skipped",P591="Yes"),"Check - required task skipped",IF(H591="Done","OK","Due"))))))</f>
        <v>0</v>
      </c>
    </row>
    <row r="592" spans="1:20">
      <c r="A592" s="43">
        <f>IF(B592="","","JT-"&amp;TEXT(ROW()-4,"0000"))</f>
        <v>0</v>
      </c>
      <c r="C592" s="18">
        <f>IF(B592="","",IFERROR(INDEX(Jobs!$B$5:$B$604,MATCH(B592,Jobs!$A$5:$A$604,0)),""))</f>
        <v>0</v>
      </c>
      <c r="D592" s="23">
        <f>IF(B592="","",IFERROR(INDEX(Jobs!$H$5:$H$604,MATCH(B592,Jobs!$A$5:$A$604,0)),""))</f>
        <v>0</v>
      </c>
      <c r="E592" s="23">
        <f>IF(B592="","",IFERROR(INDEX(Jobs!$K$5:$K$604,MATCH(B592,Jobs!$A$5:$A$604,0)),""))</f>
        <v>0</v>
      </c>
      <c r="P592" s="50">
        <f>IF(G592="","",IFERROR(INDEX(Checklists!$J$5:$J$404,MATCH(G592,Checklists!$F$5:$F$404,0)),"Yes"))</f>
        <v>0</v>
      </c>
      <c r="Q592" s="31">
        <f>IF(G592="","",IFERROR(INDEX(Checklists!$H$5:$H$404,MATCH(G592,Checklists!$F$5:$F$404,0)),""))</f>
        <v>0</v>
      </c>
      <c r="R592" s="31">
        <f>IF(OR(J592="",Q592=""),"",J592-Q592)</f>
        <v>0</v>
      </c>
      <c r="S592" s="50">
        <f>IF(B592="","",IF(H592="Done","Yes","No"))</f>
        <v>0</v>
      </c>
      <c r="T592" s="39">
        <f>IF(B592="","",IF(G592="","Add - what was the task?",IF(H592="Issue found",IF(M592="Yes","OK - issue reported","Action - tell the client"),IF(H592="Needs rework","Action - rework needed",IF(AND(H592="Skipped",P592="Yes"),"Check - required task skipped",IF(H592="Done","OK","Due"))))))</f>
        <v>0</v>
      </c>
    </row>
    <row r="593" spans="1:20">
      <c r="A593" s="43">
        <f>IF(B593="","","JT-"&amp;TEXT(ROW()-4,"0000"))</f>
        <v>0</v>
      </c>
      <c r="C593" s="18">
        <f>IF(B593="","",IFERROR(INDEX(Jobs!$B$5:$B$604,MATCH(B593,Jobs!$A$5:$A$604,0)),""))</f>
        <v>0</v>
      </c>
      <c r="D593" s="23">
        <f>IF(B593="","",IFERROR(INDEX(Jobs!$H$5:$H$604,MATCH(B593,Jobs!$A$5:$A$604,0)),""))</f>
        <v>0</v>
      </c>
      <c r="E593" s="23">
        <f>IF(B593="","",IFERROR(INDEX(Jobs!$K$5:$K$604,MATCH(B593,Jobs!$A$5:$A$604,0)),""))</f>
        <v>0</v>
      </c>
      <c r="P593" s="50">
        <f>IF(G593="","",IFERROR(INDEX(Checklists!$J$5:$J$404,MATCH(G593,Checklists!$F$5:$F$404,0)),"Yes"))</f>
        <v>0</v>
      </c>
      <c r="Q593" s="31">
        <f>IF(G593="","",IFERROR(INDEX(Checklists!$H$5:$H$404,MATCH(G593,Checklists!$F$5:$F$404,0)),""))</f>
        <v>0</v>
      </c>
      <c r="R593" s="31">
        <f>IF(OR(J593="",Q593=""),"",J593-Q593)</f>
        <v>0</v>
      </c>
      <c r="S593" s="50">
        <f>IF(B593="","",IF(H593="Done","Yes","No"))</f>
        <v>0</v>
      </c>
      <c r="T593" s="39">
        <f>IF(B593="","",IF(G593="","Add - what was the task?",IF(H593="Issue found",IF(M593="Yes","OK - issue reported","Action - tell the client"),IF(H593="Needs rework","Action - rework needed",IF(AND(H593="Skipped",P593="Yes"),"Check - required task skipped",IF(H593="Done","OK","Due"))))))</f>
        <v>0</v>
      </c>
    </row>
    <row r="594" spans="1:20">
      <c r="A594" s="43">
        <f>IF(B594="","","JT-"&amp;TEXT(ROW()-4,"0000"))</f>
        <v>0</v>
      </c>
      <c r="C594" s="18">
        <f>IF(B594="","",IFERROR(INDEX(Jobs!$B$5:$B$604,MATCH(B594,Jobs!$A$5:$A$604,0)),""))</f>
        <v>0</v>
      </c>
      <c r="D594" s="23">
        <f>IF(B594="","",IFERROR(INDEX(Jobs!$H$5:$H$604,MATCH(B594,Jobs!$A$5:$A$604,0)),""))</f>
        <v>0</v>
      </c>
      <c r="E594" s="23">
        <f>IF(B594="","",IFERROR(INDEX(Jobs!$K$5:$K$604,MATCH(B594,Jobs!$A$5:$A$604,0)),""))</f>
        <v>0</v>
      </c>
      <c r="P594" s="50">
        <f>IF(G594="","",IFERROR(INDEX(Checklists!$J$5:$J$404,MATCH(G594,Checklists!$F$5:$F$404,0)),"Yes"))</f>
        <v>0</v>
      </c>
      <c r="Q594" s="31">
        <f>IF(G594="","",IFERROR(INDEX(Checklists!$H$5:$H$404,MATCH(G594,Checklists!$F$5:$F$404,0)),""))</f>
        <v>0</v>
      </c>
      <c r="R594" s="31">
        <f>IF(OR(J594="",Q594=""),"",J594-Q594)</f>
        <v>0</v>
      </c>
      <c r="S594" s="50">
        <f>IF(B594="","",IF(H594="Done","Yes","No"))</f>
        <v>0</v>
      </c>
      <c r="T594" s="39">
        <f>IF(B594="","",IF(G594="","Add - what was the task?",IF(H594="Issue found",IF(M594="Yes","OK - issue reported","Action - tell the client"),IF(H594="Needs rework","Action - rework needed",IF(AND(H594="Skipped",P594="Yes"),"Check - required task skipped",IF(H594="Done","OK","Due"))))))</f>
        <v>0</v>
      </c>
    </row>
    <row r="595" spans="1:20">
      <c r="A595" s="43">
        <f>IF(B595="","","JT-"&amp;TEXT(ROW()-4,"0000"))</f>
        <v>0</v>
      </c>
      <c r="C595" s="18">
        <f>IF(B595="","",IFERROR(INDEX(Jobs!$B$5:$B$604,MATCH(B595,Jobs!$A$5:$A$604,0)),""))</f>
        <v>0</v>
      </c>
      <c r="D595" s="23">
        <f>IF(B595="","",IFERROR(INDEX(Jobs!$H$5:$H$604,MATCH(B595,Jobs!$A$5:$A$604,0)),""))</f>
        <v>0</v>
      </c>
      <c r="E595" s="23">
        <f>IF(B595="","",IFERROR(INDEX(Jobs!$K$5:$K$604,MATCH(B595,Jobs!$A$5:$A$604,0)),""))</f>
        <v>0</v>
      </c>
      <c r="P595" s="50">
        <f>IF(G595="","",IFERROR(INDEX(Checklists!$J$5:$J$404,MATCH(G595,Checklists!$F$5:$F$404,0)),"Yes"))</f>
        <v>0</v>
      </c>
      <c r="Q595" s="31">
        <f>IF(G595="","",IFERROR(INDEX(Checklists!$H$5:$H$404,MATCH(G595,Checklists!$F$5:$F$404,0)),""))</f>
        <v>0</v>
      </c>
      <c r="R595" s="31">
        <f>IF(OR(J595="",Q595=""),"",J595-Q595)</f>
        <v>0</v>
      </c>
      <c r="S595" s="50">
        <f>IF(B595="","",IF(H595="Done","Yes","No"))</f>
        <v>0</v>
      </c>
      <c r="T595" s="39">
        <f>IF(B595="","",IF(G595="","Add - what was the task?",IF(H595="Issue found",IF(M595="Yes","OK - issue reported","Action - tell the client"),IF(H595="Needs rework","Action - rework needed",IF(AND(H595="Skipped",P595="Yes"),"Check - required task skipped",IF(H595="Done","OK","Due"))))))</f>
        <v>0</v>
      </c>
    </row>
    <row r="596" spans="1:20">
      <c r="A596" s="43">
        <f>IF(B596="","","JT-"&amp;TEXT(ROW()-4,"0000"))</f>
        <v>0</v>
      </c>
      <c r="C596" s="18">
        <f>IF(B596="","",IFERROR(INDEX(Jobs!$B$5:$B$604,MATCH(B596,Jobs!$A$5:$A$604,0)),""))</f>
        <v>0</v>
      </c>
      <c r="D596" s="23">
        <f>IF(B596="","",IFERROR(INDEX(Jobs!$H$5:$H$604,MATCH(B596,Jobs!$A$5:$A$604,0)),""))</f>
        <v>0</v>
      </c>
      <c r="E596" s="23">
        <f>IF(B596="","",IFERROR(INDEX(Jobs!$K$5:$K$604,MATCH(B596,Jobs!$A$5:$A$604,0)),""))</f>
        <v>0</v>
      </c>
      <c r="P596" s="50">
        <f>IF(G596="","",IFERROR(INDEX(Checklists!$J$5:$J$404,MATCH(G596,Checklists!$F$5:$F$404,0)),"Yes"))</f>
        <v>0</v>
      </c>
      <c r="Q596" s="31">
        <f>IF(G596="","",IFERROR(INDEX(Checklists!$H$5:$H$404,MATCH(G596,Checklists!$F$5:$F$404,0)),""))</f>
        <v>0</v>
      </c>
      <c r="R596" s="31">
        <f>IF(OR(J596="",Q596=""),"",J596-Q596)</f>
        <v>0</v>
      </c>
      <c r="S596" s="50">
        <f>IF(B596="","",IF(H596="Done","Yes","No"))</f>
        <v>0</v>
      </c>
      <c r="T596" s="39">
        <f>IF(B596="","",IF(G596="","Add - what was the task?",IF(H596="Issue found",IF(M596="Yes","OK - issue reported","Action - tell the client"),IF(H596="Needs rework","Action - rework needed",IF(AND(H596="Skipped",P596="Yes"),"Check - required task skipped",IF(H596="Done","OK","Due"))))))</f>
        <v>0</v>
      </c>
    </row>
    <row r="597" spans="1:20">
      <c r="A597" s="43">
        <f>IF(B597="","","JT-"&amp;TEXT(ROW()-4,"0000"))</f>
        <v>0</v>
      </c>
      <c r="C597" s="18">
        <f>IF(B597="","",IFERROR(INDEX(Jobs!$B$5:$B$604,MATCH(B597,Jobs!$A$5:$A$604,0)),""))</f>
        <v>0</v>
      </c>
      <c r="D597" s="23">
        <f>IF(B597="","",IFERROR(INDEX(Jobs!$H$5:$H$604,MATCH(B597,Jobs!$A$5:$A$604,0)),""))</f>
        <v>0</v>
      </c>
      <c r="E597" s="23">
        <f>IF(B597="","",IFERROR(INDEX(Jobs!$K$5:$K$604,MATCH(B597,Jobs!$A$5:$A$604,0)),""))</f>
        <v>0</v>
      </c>
      <c r="P597" s="50">
        <f>IF(G597="","",IFERROR(INDEX(Checklists!$J$5:$J$404,MATCH(G597,Checklists!$F$5:$F$404,0)),"Yes"))</f>
        <v>0</v>
      </c>
      <c r="Q597" s="31">
        <f>IF(G597="","",IFERROR(INDEX(Checklists!$H$5:$H$404,MATCH(G597,Checklists!$F$5:$F$404,0)),""))</f>
        <v>0</v>
      </c>
      <c r="R597" s="31">
        <f>IF(OR(J597="",Q597=""),"",J597-Q597)</f>
        <v>0</v>
      </c>
      <c r="S597" s="50">
        <f>IF(B597="","",IF(H597="Done","Yes","No"))</f>
        <v>0</v>
      </c>
      <c r="T597" s="39">
        <f>IF(B597="","",IF(G597="","Add - what was the task?",IF(H597="Issue found",IF(M597="Yes","OK - issue reported","Action - tell the client"),IF(H597="Needs rework","Action - rework needed",IF(AND(H597="Skipped",P597="Yes"),"Check - required task skipped",IF(H597="Done","OK","Due"))))))</f>
        <v>0</v>
      </c>
    </row>
    <row r="598" spans="1:20">
      <c r="A598" s="43">
        <f>IF(B598="","","JT-"&amp;TEXT(ROW()-4,"0000"))</f>
        <v>0</v>
      </c>
      <c r="C598" s="18">
        <f>IF(B598="","",IFERROR(INDEX(Jobs!$B$5:$B$604,MATCH(B598,Jobs!$A$5:$A$604,0)),""))</f>
        <v>0</v>
      </c>
      <c r="D598" s="23">
        <f>IF(B598="","",IFERROR(INDEX(Jobs!$H$5:$H$604,MATCH(B598,Jobs!$A$5:$A$604,0)),""))</f>
        <v>0</v>
      </c>
      <c r="E598" s="23">
        <f>IF(B598="","",IFERROR(INDEX(Jobs!$K$5:$K$604,MATCH(B598,Jobs!$A$5:$A$604,0)),""))</f>
        <v>0</v>
      </c>
      <c r="P598" s="50">
        <f>IF(G598="","",IFERROR(INDEX(Checklists!$J$5:$J$404,MATCH(G598,Checklists!$F$5:$F$404,0)),"Yes"))</f>
        <v>0</v>
      </c>
      <c r="Q598" s="31">
        <f>IF(G598="","",IFERROR(INDEX(Checklists!$H$5:$H$404,MATCH(G598,Checklists!$F$5:$F$404,0)),""))</f>
        <v>0</v>
      </c>
      <c r="R598" s="31">
        <f>IF(OR(J598="",Q598=""),"",J598-Q598)</f>
        <v>0</v>
      </c>
      <c r="S598" s="50">
        <f>IF(B598="","",IF(H598="Done","Yes","No"))</f>
        <v>0</v>
      </c>
      <c r="T598" s="39">
        <f>IF(B598="","",IF(G598="","Add - what was the task?",IF(H598="Issue found",IF(M598="Yes","OK - issue reported","Action - tell the client"),IF(H598="Needs rework","Action - rework needed",IF(AND(H598="Skipped",P598="Yes"),"Check - required task skipped",IF(H598="Done","OK","Due"))))))</f>
        <v>0</v>
      </c>
    </row>
    <row r="599" spans="1:20">
      <c r="A599" s="43">
        <f>IF(B599="","","JT-"&amp;TEXT(ROW()-4,"0000"))</f>
        <v>0</v>
      </c>
      <c r="C599" s="18">
        <f>IF(B599="","",IFERROR(INDEX(Jobs!$B$5:$B$604,MATCH(B599,Jobs!$A$5:$A$604,0)),""))</f>
        <v>0</v>
      </c>
      <c r="D599" s="23">
        <f>IF(B599="","",IFERROR(INDEX(Jobs!$H$5:$H$604,MATCH(B599,Jobs!$A$5:$A$604,0)),""))</f>
        <v>0</v>
      </c>
      <c r="E599" s="23">
        <f>IF(B599="","",IFERROR(INDEX(Jobs!$K$5:$K$604,MATCH(B599,Jobs!$A$5:$A$604,0)),""))</f>
        <v>0</v>
      </c>
      <c r="P599" s="50">
        <f>IF(G599="","",IFERROR(INDEX(Checklists!$J$5:$J$404,MATCH(G599,Checklists!$F$5:$F$404,0)),"Yes"))</f>
        <v>0</v>
      </c>
      <c r="Q599" s="31">
        <f>IF(G599="","",IFERROR(INDEX(Checklists!$H$5:$H$404,MATCH(G599,Checklists!$F$5:$F$404,0)),""))</f>
        <v>0</v>
      </c>
      <c r="R599" s="31">
        <f>IF(OR(J599="",Q599=""),"",J599-Q599)</f>
        <v>0</v>
      </c>
      <c r="S599" s="50">
        <f>IF(B599="","",IF(H599="Done","Yes","No"))</f>
        <v>0</v>
      </c>
      <c r="T599" s="39">
        <f>IF(B599="","",IF(G599="","Add - what was the task?",IF(H599="Issue found",IF(M599="Yes","OK - issue reported","Action - tell the client"),IF(H599="Needs rework","Action - rework needed",IF(AND(H599="Skipped",P599="Yes"),"Check - required task skipped",IF(H599="Done","OK","Due"))))))</f>
        <v>0</v>
      </c>
    </row>
    <row r="600" spans="1:20">
      <c r="A600" s="43">
        <f>IF(B600="","","JT-"&amp;TEXT(ROW()-4,"0000"))</f>
        <v>0</v>
      </c>
      <c r="C600" s="18">
        <f>IF(B600="","",IFERROR(INDEX(Jobs!$B$5:$B$604,MATCH(B600,Jobs!$A$5:$A$604,0)),""))</f>
        <v>0</v>
      </c>
      <c r="D600" s="23">
        <f>IF(B600="","",IFERROR(INDEX(Jobs!$H$5:$H$604,MATCH(B600,Jobs!$A$5:$A$604,0)),""))</f>
        <v>0</v>
      </c>
      <c r="E600" s="23">
        <f>IF(B600="","",IFERROR(INDEX(Jobs!$K$5:$K$604,MATCH(B600,Jobs!$A$5:$A$604,0)),""))</f>
        <v>0</v>
      </c>
      <c r="P600" s="50">
        <f>IF(G600="","",IFERROR(INDEX(Checklists!$J$5:$J$404,MATCH(G600,Checklists!$F$5:$F$404,0)),"Yes"))</f>
        <v>0</v>
      </c>
      <c r="Q600" s="31">
        <f>IF(G600="","",IFERROR(INDEX(Checklists!$H$5:$H$404,MATCH(G600,Checklists!$F$5:$F$404,0)),""))</f>
        <v>0</v>
      </c>
      <c r="R600" s="31">
        <f>IF(OR(J600="",Q600=""),"",J600-Q600)</f>
        <v>0</v>
      </c>
      <c r="S600" s="50">
        <f>IF(B600="","",IF(H600="Done","Yes","No"))</f>
        <v>0</v>
      </c>
      <c r="T600" s="39">
        <f>IF(B600="","",IF(G600="","Add - what was the task?",IF(H600="Issue found",IF(M600="Yes","OK - issue reported","Action - tell the client"),IF(H600="Needs rework","Action - rework needed",IF(AND(H600="Skipped",P600="Yes"),"Check - required task skipped",IF(H600="Done","OK","Due"))))))</f>
        <v>0</v>
      </c>
    </row>
    <row r="601" spans="1:20">
      <c r="A601" s="43">
        <f>IF(B601="","","JT-"&amp;TEXT(ROW()-4,"0000"))</f>
        <v>0</v>
      </c>
      <c r="C601" s="18">
        <f>IF(B601="","",IFERROR(INDEX(Jobs!$B$5:$B$604,MATCH(B601,Jobs!$A$5:$A$604,0)),""))</f>
        <v>0</v>
      </c>
      <c r="D601" s="23">
        <f>IF(B601="","",IFERROR(INDEX(Jobs!$H$5:$H$604,MATCH(B601,Jobs!$A$5:$A$604,0)),""))</f>
        <v>0</v>
      </c>
      <c r="E601" s="23">
        <f>IF(B601="","",IFERROR(INDEX(Jobs!$K$5:$K$604,MATCH(B601,Jobs!$A$5:$A$604,0)),""))</f>
        <v>0</v>
      </c>
      <c r="P601" s="50">
        <f>IF(G601="","",IFERROR(INDEX(Checklists!$J$5:$J$404,MATCH(G601,Checklists!$F$5:$F$404,0)),"Yes"))</f>
        <v>0</v>
      </c>
      <c r="Q601" s="31">
        <f>IF(G601="","",IFERROR(INDEX(Checklists!$H$5:$H$404,MATCH(G601,Checklists!$F$5:$F$404,0)),""))</f>
        <v>0</v>
      </c>
      <c r="R601" s="31">
        <f>IF(OR(J601="",Q601=""),"",J601-Q601)</f>
        <v>0</v>
      </c>
      <c r="S601" s="50">
        <f>IF(B601="","",IF(H601="Done","Yes","No"))</f>
        <v>0</v>
      </c>
      <c r="T601" s="39">
        <f>IF(B601="","",IF(G601="","Add - what was the task?",IF(H601="Issue found",IF(M601="Yes","OK - issue reported","Action - tell the client"),IF(H601="Needs rework","Action - rework needed",IF(AND(H601="Skipped",P601="Yes"),"Check - required task skipped",IF(H601="Done","OK","Due"))))))</f>
        <v>0</v>
      </c>
    </row>
    <row r="602" spans="1:20">
      <c r="A602" s="43">
        <f>IF(B602="","","JT-"&amp;TEXT(ROW()-4,"0000"))</f>
        <v>0</v>
      </c>
      <c r="C602" s="18">
        <f>IF(B602="","",IFERROR(INDEX(Jobs!$B$5:$B$604,MATCH(B602,Jobs!$A$5:$A$604,0)),""))</f>
        <v>0</v>
      </c>
      <c r="D602" s="23">
        <f>IF(B602="","",IFERROR(INDEX(Jobs!$H$5:$H$604,MATCH(B602,Jobs!$A$5:$A$604,0)),""))</f>
        <v>0</v>
      </c>
      <c r="E602" s="23">
        <f>IF(B602="","",IFERROR(INDEX(Jobs!$K$5:$K$604,MATCH(B602,Jobs!$A$5:$A$604,0)),""))</f>
        <v>0</v>
      </c>
      <c r="P602" s="50">
        <f>IF(G602="","",IFERROR(INDEX(Checklists!$J$5:$J$404,MATCH(G602,Checklists!$F$5:$F$404,0)),"Yes"))</f>
        <v>0</v>
      </c>
      <c r="Q602" s="31">
        <f>IF(G602="","",IFERROR(INDEX(Checklists!$H$5:$H$404,MATCH(G602,Checklists!$F$5:$F$404,0)),""))</f>
        <v>0</v>
      </c>
      <c r="R602" s="31">
        <f>IF(OR(J602="",Q602=""),"",J602-Q602)</f>
        <v>0</v>
      </c>
      <c r="S602" s="50">
        <f>IF(B602="","",IF(H602="Done","Yes","No"))</f>
        <v>0</v>
      </c>
      <c r="T602" s="39">
        <f>IF(B602="","",IF(G602="","Add - what was the task?",IF(H602="Issue found",IF(M602="Yes","OK - issue reported","Action - tell the client"),IF(H602="Needs rework","Action - rework needed",IF(AND(H602="Skipped",P602="Yes"),"Check - required task skipped",IF(H602="Done","OK","Due"))))))</f>
        <v>0</v>
      </c>
    </row>
    <row r="603" spans="1:20">
      <c r="A603" s="43">
        <f>IF(B603="","","JT-"&amp;TEXT(ROW()-4,"0000"))</f>
        <v>0</v>
      </c>
      <c r="C603" s="18">
        <f>IF(B603="","",IFERROR(INDEX(Jobs!$B$5:$B$604,MATCH(B603,Jobs!$A$5:$A$604,0)),""))</f>
        <v>0</v>
      </c>
      <c r="D603" s="23">
        <f>IF(B603="","",IFERROR(INDEX(Jobs!$H$5:$H$604,MATCH(B603,Jobs!$A$5:$A$604,0)),""))</f>
        <v>0</v>
      </c>
      <c r="E603" s="23">
        <f>IF(B603="","",IFERROR(INDEX(Jobs!$K$5:$K$604,MATCH(B603,Jobs!$A$5:$A$604,0)),""))</f>
        <v>0</v>
      </c>
      <c r="P603" s="50">
        <f>IF(G603="","",IFERROR(INDEX(Checklists!$J$5:$J$404,MATCH(G603,Checklists!$F$5:$F$404,0)),"Yes"))</f>
        <v>0</v>
      </c>
      <c r="Q603" s="31">
        <f>IF(G603="","",IFERROR(INDEX(Checklists!$H$5:$H$404,MATCH(G603,Checklists!$F$5:$F$404,0)),""))</f>
        <v>0</v>
      </c>
      <c r="R603" s="31">
        <f>IF(OR(J603="",Q603=""),"",J603-Q603)</f>
        <v>0</v>
      </c>
      <c r="S603" s="50">
        <f>IF(B603="","",IF(H603="Done","Yes","No"))</f>
        <v>0</v>
      </c>
      <c r="T603" s="39">
        <f>IF(B603="","",IF(G603="","Add - what was the task?",IF(H603="Issue found",IF(M603="Yes","OK - issue reported","Action - tell the client"),IF(H603="Needs rework","Action - rework needed",IF(AND(H603="Skipped",P603="Yes"),"Check - required task skipped",IF(H603="Done","OK","Due"))))))</f>
        <v>0</v>
      </c>
    </row>
    <row r="604" spans="1:20">
      <c r="A604" s="43">
        <f>IF(B604="","","JT-"&amp;TEXT(ROW()-4,"0000"))</f>
        <v>0</v>
      </c>
      <c r="C604" s="18">
        <f>IF(B604="","",IFERROR(INDEX(Jobs!$B$5:$B$604,MATCH(B604,Jobs!$A$5:$A$604,0)),""))</f>
        <v>0</v>
      </c>
      <c r="D604" s="23">
        <f>IF(B604="","",IFERROR(INDEX(Jobs!$H$5:$H$604,MATCH(B604,Jobs!$A$5:$A$604,0)),""))</f>
        <v>0</v>
      </c>
      <c r="E604" s="23">
        <f>IF(B604="","",IFERROR(INDEX(Jobs!$K$5:$K$604,MATCH(B604,Jobs!$A$5:$A$604,0)),""))</f>
        <v>0</v>
      </c>
      <c r="P604" s="50">
        <f>IF(G604="","",IFERROR(INDEX(Checklists!$J$5:$J$404,MATCH(G604,Checklists!$F$5:$F$404,0)),"Yes"))</f>
        <v>0</v>
      </c>
      <c r="Q604" s="31">
        <f>IF(G604="","",IFERROR(INDEX(Checklists!$H$5:$H$404,MATCH(G604,Checklists!$F$5:$F$404,0)),""))</f>
        <v>0</v>
      </c>
      <c r="R604" s="31">
        <f>IF(OR(J604="",Q604=""),"",J604-Q604)</f>
        <v>0</v>
      </c>
      <c r="S604" s="50">
        <f>IF(B604="","",IF(H604="Done","Yes","No"))</f>
        <v>0</v>
      </c>
      <c r="T604" s="39">
        <f>IF(B604="","",IF(G604="","Add - what was the task?",IF(H604="Issue found",IF(M604="Yes","OK - issue reported","Action - tell the client"),IF(H604="Needs rework","Action - rework needed",IF(AND(H604="Skipped",P604="Yes"),"Check - required task skipped",IF(H604="Done","OK","Due"))))))</f>
        <v>0</v>
      </c>
    </row>
    <row r="605" spans="1:20">
      <c r="A605" s="43">
        <f>IF(B605="","","JT-"&amp;TEXT(ROW()-4,"0000"))</f>
        <v>0</v>
      </c>
      <c r="C605" s="18">
        <f>IF(B605="","",IFERROR(INDEX(Jobs!$B$5:$B$604,MATCH(B605,Jobs!$A$5:$A$604,0)),""))</f>
        <v>0</v>
      </c>
      <c r="D605" s="23">
        <f>IF(B605="","",IFERROR(INDEX(Jobs!$H$5:$H$604,MATCH(B605,Jobs!$A$5:$A$604,0)),""))</f>
        <v>0</v>
      </c>
      <c r="E605" s="23">
        <f>IF(B605="","",IFERROR(INDEX(Jobs!$K$5:$K$604,MATCH(B605,Jobs!$A$5:$A$604,0)),""))</f>
        <v>0</v>
      </c>
      <c r="P605" s="50">
        <f>IF(G605="","",IFERROR(INDEX(Checklists!$J$5:$J$404,MATCH(G605,Checklists!$F$5:$F$404,0)),"Yes"))</f>
        <v>0</v>
      </c>
      <c r="Q605" s="31">
        <f>IF(G605="","",IFERROR(INDEX(Checklists!$H$5:$H$404,MATCH(G605,Checklists!$F$5:$F$404,0)),""))</f>
        <v>0</v>
      </c>
      <c r="R605" s="31">
        <f>IF(OR(J605="",Q605=""),"",J605-Q605)</f>
        <v>0</v>
      </c>
      <c r="S605" s="50">
        <f>IF(B605="","",IF(H605="Done","Yes","No"))</f>
        <v>0</v>
      </c>
      <c r="T605" s="39">
        <f>IF(B605="","",IF(G605="","Add - what was the task?",IF(H605="Issue found",IF(M605="Yes","OK - issue reported","Action - tell the client"),IF(H605="Needs rework","Action - rework needed",IF(AND(H605="Skipped",P605="Yes"),"Check - required task skipped",IF(H605="Done","OK","Due"))))))</f>
        <v>0</v>
      </c>
    </row>
    <row r="606" spans="1:20">
      <c r="A606" s="43">
        <f>IF(B606="","","JT-"&amp;TEXT(ROW()-4,"0000"))</f>
        <v>0</v>
      </c>
      <c r="C606" s="18">
        <f>IF(B606="","",IFERROR(INDEX(Jobs!$B$5:$B$604,MATCH(B606,Jobs!$A$5:$A$604,0)),""))</f>
        <v>0</v>
      </c>
      <c r="D606" s="23">
        <f>IF(B606="","",IFERROR(INDEX(Jobs!$H$5:$H$604,MATCH(B606,Jobs!$A$5:$A$604,0)),""))</f>
        <v>0</v>
      </c>
      <c r="E606" s="23">
        <f>IF(B606="","",IFERROR(INDEX(Jobs!$K$5:$K$604,MATCH(B606,Jobs!$A$5:$A$604,0)),""))</f>
        <v>0</v>
      </c>
      <c r="P606" s="50">
        <f>IF(G606="","",IFERROR(INDEX(Checklists!$J$5:$J$404,MATCH(G606,Checklists!$F$5:$F$404,0)),"Yes"))</f>
        <v>0</v>
      </c>
      <c r="Q606" s="31">
        <f>IF(G606="","",IFERROR(INDEX(Checklists!$H$5:$H$404,MATCH(G606,Checklists!$F$5:$F$404,0)),""))</f>
        <v>0</v>
      </c>
      <c r="R606" s="31">
        <f>IF(OR(J606="",Q606=""),"",J606-Q606)</f>
        <v>0</v>
      </c>
      <c r="S606" s="50">
        <f>IF(B606="","",IF(H606="Done","Yes","No"))</f>
        <v>0</v>
      </c>
      <c r="T606" s="39">
        <f>IF(B606="","",IF(G606="","Add - what was the task?",IF(H606="Issue found",IF(M606="Yes","OK - issue reported","Action - tell the client"),IF(H606="Needs rework","Action - rework needed",IF(AND(H606="Skipped",P606="Yes"),"Check - required task skipped",IF(H606="Done","OK","Due"))))))</f>
        <v>0</v>
      </c>
    </row>
    <row r="607" spans="1:20">
      <c r="A607" s="43">
        <f>IF(B607="","","JT-"&amp;TEXT(ROW()-4,"0000"))</f>
        <v>0</v>
      </c>
      <c r="C607" s="18">
        <f>IF(B607="","",IFERROR(INDEX(Jobs!$B$5:$B$604,MATCH(B607,Jobs!$A$5:$A$604,0)),""))</f>
        <v>0</v>
      </c>
      <c r="D607" s="23">
        <f>IF(B607="","",IFERROR(INDEX(Jobs!$H$5:$H$604,MATCH(B607,Jobs!$A$5:$A$604,0)),""))</f>
        <v>0</v>
      </c>
      <c r="E607" s="23">
        <f>IF(B607="","",IFERROR(INDEX(Jobs!$K$5:$K$604,MATCH(B607,Jobs!$A$5:$A$604,0)),""))</f>
        <v>0</v>
      </c>
      <c r="P607" s="50">
        <f>IF(G607="","",IFERROR(INDEX(Checklists!$J$5:$J$404,MATCH(G607,Checklists!$F$5:$F$404,0)),"Yes"))</f>
        <v>0</v>
      </c>
      <c r="Q607" s="31">
        <f>IF(G607="","",IFERROR(INDEX(Checklists!$H$5:$H$404,MATCH(G607,Checklists!$F$5:$F$404,0)),""))</f>
        <v>0</v>
      </c>
      <c r="R607" s="31">
        <f>IF(OR(J607="",Q607=""),"",J607-Q607)</f>
        <v>0</v>
      </c>
      <c r="S607" s="50">
        <f>IF(B607="","",IF(H607="Done","Yes","No"))</f>
        <v>0</v>
      </c>
      <c r="T607" s="39">
        <f>IF(B607="","",IF(G607="","Add - what was the task?",IF(H607="Issue found",IF(M607="Yes","OK - issue reported","Action - tell the client"),IF(H607="Needs rework","Action - rework needed",IF(AND(H607="Skipped",P607="Yes"),"Check - required task skipped",IF(H607="Done","OK","Due"))))))</f>
        <v>0</v>
      </c>
    </row>
    <row r="608" spans="1:20">
      <c r="A608" s="43">
        <f>IF(B608="","","JT-"&amp;TEXT(ROW()-4,"0000"))</f>
        <v>0</v>
      </c>
      <c r="C608" s="18">
        <f>IF(B608="","",IFERROR(INDEX(Jobs!$B$5:$B$604,MATCH(B608,Jobs!$A$5:$A$604,0)),""))</f>
        <v>0</v>
      </c>
      <c r="D608" s="23">
        <f>IF(B608="","",IFERROR(INDEX(Jobs!$H$5:$H$604,MATCH(B608,Jobs!$A$5:$A$604,0)),""))</f>
        <v>0</v>
      </c>
      <c r="E608" s="23">
        <f>IF(B608="","",IFERROR(INDEX(Jobs!$K$5:$K$604,MATCH(B608,Jobs!$A$5:$A$604,0)),""))</f>
        <v>0</v>
      </c>
      <c r="P608" s="50">
        <f>IF(G608="","",IFERROR(INDEX(Checklists!$J$5:$J$404,MATCH(G608,Checklists!$F$5:$F$404,0)),"Yes"))</f>
        <v>0</v>
      </c>
      <c r="Q608" s="31">
        <f>IF(G608="","",IFERROR(INDEX(Checklists!$H$5:$H$404,MATCH(G608,Checklists!$F$5:$F$404,0)),""))</f>
        <v>0</v>
      </c>
      <c r="R608" s="31">
        <f>IF(OR(J608="",Q608=""),"",J608-Q608)</f>
        <v>0</v>
      </c>
      <c r="S608" s="50">
        <f>IF(B608="","",IF(H608="Done","Yes","No"))</f>
        <v>0</v>
      </c>
      <c r="T608" s="39">
        <f>IF(B608="","",IF(G608="","Add - what was the task?",IF(H608="Issue found",IF(M608="Yes","OK - issue reported","Action - tell the client"),IF(H608="Needs rework","Action - rework needed",IF(AND(H608="Skipped",P608="Yes"),"Check - required task skipped",IF(H608="Done","OK","Due"))))))</f>
        <v>0</v>
      </c>
    </row>
    <row r="609" spans="1:20">
      <c r="A609" s="43">
        <f>IF(B609="","","JT-"&amp;TEXT(ROW()-4,"0000"))</f>
        <v>0</v>
      </c>
      <c r="C609" s="18">
        <f>IF(B609="","",IFERROR(INDEX(Jobs!$B$5:$B$604,MATCH(B609,Jobs!$A$5:$A$604,0)),""))</f>
        <v>0</v>
      </c>
      <c r="D609" s="23">
        <f>IF(B609="","",IFERROR(INDEX(Jobs!$H$5:$H$604,MATCH(B609,Jobs!$A$5:$A$604,0)),""))</f>
        <v>0</v>
      </c>
      <c r="E609" s="23">
        <f>IF(B609="","",IFERROR(INDEX(Jobs!$K$5:$K$604,MATCH(B609,Jobs!$A$5:$A$604,0)),""))</f>
        <v>0</v>
      </c>
      <c r="P609" s="50">
        <f>IF(G609="","",IFERROR(INDEX(Checklists!$J$5:$J$404,MATCH(G609,Checklists!$F$5:$F$404,0)),"Yes"))</f>
        <v>0</v>
      </c>
      <c r="Q609" s="31">
        <f>IF(G609="","",IFERROR(INDEX(Checklists!$H$5:$H$404,MATCH(G609,Checklists!$F$5:$F$404,0)),""))</f>
        <v>0</v>
      </c>
      <c r="R609" s="31">
        <f>IF(OR(J609="",Q609=""),"",J609-Q609)</f>
        <v>0</v>
      </c>
      <c r="S609" s="50">
        <f>IF(B609="","",IF(H609="Done","Yes","No"))</f>
        <v>0</v>
      </c>
      <c r="T609" s="39">
        <f>IF(B609="","",IF(G609="","Add - what was the task?",IF(H609="Issue found",IF(M609="Yes","OK - issue reported","Action - tell the client"),IF(H609="Needs rework","Action - rework needed",IF(AND(H609="Skipped",P609="Yes"),"Check - required task skipped",IF(H609="Done","OK","Due"))))))</f>
        <v>0</v>
      </c>
    </row>
    <row r="610" spans="1:20">
      <c r="A610" s="43">
        <f>IF(B610="","","JT-"&amp;TEXT(ROW()-4,"0000"))</f>
        <v>0</v>
      </c>
      <c r="C610" s="18">
        <f>IF(B610="","",IFERROR(INDEX(Jobs!$B$5:$B$604,MATCH(B610,Jobs!$A$5:$A$604,0)),""))</f>
        <v>0</v>
      </c>
      <c r="D610" s="23">
        <f>IF(B610="","",IFERROR(INDEX(Jobs!$H$5:$H$604,MATCH(B610,Jobs!$A$5:$A$604,0)),""))</f>
        <v>0</v>
      </c>
      <c r="E610" s="23">
        <f>IF(B610="","",IFERROR(INDEX(Jobs!$K$5:$K$604,MATCH(B610,Jobs!$A$5:$A$604,0)),""))</f>
        <v>0</v>
      </c>
      <c r="P610" s="50">
        <f>IF(G610="","",IFERROR(INDEX(Checklists!$J$5:$J$404,MATCH(G610,Checklists!$F$5:$F$404,0)),"Yes"))</f>
        <v>0</v>
      </c>
      <c r="Q610" s="31">
        <f>IF(G610="","",IFERROR(INDEX(Checklists!$H$5:$H$404,MATCH(G610,Checklists!$F$5:$F$404,0)),""))</f>
        <v>0</v>
      </c>
      <c r="R610" s="31">
        <f>IF(OR(J610="",Q610=""),"",J610-Q610)</f>
        <v>0</v>
      </c>
      <c r="S610" s="50">
        <f>IF(B610="","",IF(H610="Done","Yes","No"))</f>
        <v>0</v>
      </c>
      <c r="T610" s="39">
        <f>IF(B610="","",IF(G610="","Add - what was the task?",IF(H610="Issue found",IF(M610="Yes","OK - issue reported","Action - tell the client"),IF(H610="Needs rework","Action - rework needed",IF(AND(H610="Skipped",P610="Yes"),"Check - required task skipped",IF(H610="Done","OK","Due"))))))</f>
        <v>0</v>
      </c>
    </row>
    <row r="611" spans="1:20">
      <c r="A611" s="43">
        <f>IF(B611="","","JT-"&amp;TEXT(ROW()-4,"0000"))</f>
        <v>0</v>
      </c>
      <c r="C611" s="18">
        <f>IF(B611="","",IFERROR(INDEX(Jobs!$B$5:$B$604,MATCH(B611,Jobs!$A$5:$A$604,0)),""))</f>
        <v>0</v>
      </c>
      <c r="D611" s="23">
        <f>IF(B611="","",IFERROR(INDEX(Jobs!$H$5:$H$604,MATCH(B611,Jobs!$A$5:$A$604,0)),""))</f>
        <v>0</v>
      </c>
      <c r="E611" s="23">
        <f>IF(B611="","",IFERROR(INDEX(Jobs!$K$5:$K$604,MATCH(B611,Jobs!$A$5:$A$604,0)),""))</f>
        <v>0</v>
      </c>
      <c r="P611" s="50">
        <f>IF(G611="","",IFERROR(INDEX(Checklists!$J$5:$J$404,MATCH(G611,Checklists!$F$5:$F$404,0)),"Yes"))</f>
        <v>0</v>
      </c>
      <c r="Q611" s="31">
        <f>IF(G611="","",IFERROR(INDEX(Checklists!$H$5:$H$404,MATCH(G611,Checklists!$F$5:$F$404,0)),""))</f>
        <v>0</v>
      </c>
      <c r="R611" s="31">
        <f>IF(OR(J611="",Q611=""),"",J611-Q611)</f>
        <v>0</v>
      </c>
      <c r="S611" s="50">
        <f>IF(B611="","",IF(H611="Done","Yes","No"))</f>
        <v>0</v>
      </c>
      <c r="T611" s="39">
        <f>IF(B611="","",IF(G611="","Add - what was the task?",IF(H611="Issue found",IF(M611="Yes","OK - issue reported","Action - tell the client"),IF(H611="Needs rework","Action - rework needed",IF(AND(H611="Skipped",P611="Yes"),"Check - required task skipped",IF(H611="Done","OK","Due"))))))</f>
        <v>0</v>
      </c>
    </row>
    <row r="612" spans="1:20">
      <c r="A612" s="43">
        <f>IF(B612="","","JT-"&amp;TEXT(ROW()-4,"0000"))</f>
        <v>0</v>
      </c>
      <c r="C612" s="18">
        <f>IF(B612="","",IFERROR(INDEX(Jobs!$B$5:$B$604,MATCH(B612,Jobs!$A$5:$A$604,0)),""))</f>
        <v>0</v>
      </c>
      <c r="D612" s="23">
        <f>IF(B612="","",IFERROR(INDEX(Jobs!$H$5:$H$604,MATCH(B612,Jobs!$A$5:$A$604,0)),""))</f>
        <v>0</v>
      </c>
      <c r="E612" s="23">
        <f>IF(B612="","",IFERROR(INDEX(Jobs!$K$5:$K$604,MATCH(B612,Jobs!$A$5:$A$604,0)),""))</f>
        <v>0</v>
      </c>
      <c r="P612" s="50">
        <f>IF(G612="","",IFERROR(INDEX(Checklists!$J$5:$J$404,MATCH(G612,Checklists!$F$5:$F$404,0)),"Yes"))</f>
        <v>0</v>
      </c>
      <c r="Q612" s="31">
        <f>IF(G612="","",IFERROR(INDEX(Checklists!$H$5:$H$404,MATCH(G612,Checklists!$F$5:$F$404,0)),""))</f>
        <v>0</v>
      </c>
      <c r="R612" s="31">
        <f>IF(OR(J612="",Q612=""),"",J612-Q612)</f>
        <v>0</v>
      </c>
      <c r="S612" s="50">
        <f>IF(B612="","",IF(H612="Done","Yes","No"))</f>
        <v>0</v>
      </c>
      <c r="T612" s="39">
        <f>IF(B612="","",IF(G612="","Add - what was the task?",IF(H612="Issue found",IF(M612="Yes","OK - issue reported","Action - tell the client"),IF(H612="Needs rework","Action - rework needed",IF(AND(H612="Skipped",P612="Yes"),"Check - required task skipped",IF(H612="Done","OK","Due"))))))</f>
        <v>0</v>
      </c>
    </row>
    <row r="613" spans="1:20">
      <c r="A613" s="43">
        <f>IF(B613="","","JT-"&amp;TEXT(ROW()-4,"0000"))</f>
        <v>0</v>
      </c>
      <c r="C613" s="18">
        <f>IF(B613="","",IFERROR(INDEX(Jobs!$B$5:$B$604,MATCH(B613,Jobs!$A$5:$A$604,0)),""))</f>
        <v>0</v>
      </c>
      <c r="D613" s="23">
        <f>IF(B613="","",IFERROR(INDEX(Jobs!$H$5:$H$604,MATCH(B613,Jobs!$A$5:$A$604,0)),""))</f>
        <v>0</v>
      </c>
      <c r="E613" s="23">
        <f>IF(B613="","",IFERROR(INDEX(Jobs!$K$5:$K$604,MATCH(B613,Jobs!$A$5:$A$604,0)),""))</f>
        <v>0</v>
      </c>
      <c r="P613" s="50">
        <f>IF(G613="","",IFERROR(INDEX(Checklists!$J$5:$J$404,MATCH(G613,Checklists!$F$5:$F$404,0)),"Yes"))</f>
        <v>0</v>
      </c>
      <c r="Q613" s="31">
        <f>IF(G613="","",IFERROR(INDEX(Checklists!$H$5:$H$404,MATCH(G613,Checklists!$F$5:$F$404,0)),""))</f>
        <v>0</v>
      </c>
      <c r="R613" s="31">
        <f>IF(OR(J613="",Q613=""),"",J613-Q613)</f>
        <v>0</v>
      </c>
      <c r="S613" s="50">
        <f>IF(B613="","",IF(H613="Done","Yes","No"))</f>
        <v>0</v>
      </c>
      <c r="T613" s="39">
        <f>IF(B613="","",IF(G613="","Add - what was the task?",IF(H613="Issue found",IF(M613="Yes","OK - issue reported","Action - tell the client"),IF(H613="Needs rework","Action - rework needed",IF(AND(H613="Skipped",P613="Yes"),"Check - required task skipped",IF(H613="Done","OK","Due"))))))</f>
        <v>0</v>
      </c>
    </row>
    <row r="614" spans="1:20">
      <c r="A614" s="43">
        <f>IF(B614="","","JT-"&amp;TEXT(ROW()-4,"0000"))</f>
        <v>0</v>
      </c>
      <c r="C614" s="18">
        <f>IF(B614="","",IFERROR(INDEX(Jobs!$B$5:$B$604,MATCH(B614,Jobs!$A$5:$A$604,0)),""))</f>
        <v>0</v>
      </c>
      <c r="D614" s="23">
        <f>IF(B614="","",IFERROR(INDEX(Jobs!$H$5:$H$604,MATCH(B614,Jobs!$A$5:$A$604,0)),""))</f>
        <v>0</v>
      </c>
      <c r="E614" s="23">
        <f>IF(B614="","",IFERROR(INDEX(Jobs!$K$5:$K$604,MATCH(B614,Jobs!$A$5:$A$604,0)),""))</f>
        <v>0</v>
      </c>
      <c r="P614" s="50">
        <f>IF(G614="","",IFERROR(INDEX(Checklists!$J$5:$J$404,MATCH(G614,Checklists!$F$5:$F$404,0)),"Yes"))</f>
        <v>0</v>
      </c>
      <c r="Q614" s="31">
        <f>IF(G614="","",IFERROR(INDEX(Checklists!$H$5:$H$404,MATCH(G614,Checklists!$F$5:$F$404,0)),""))</f>
        <v>0</v>
      </c>
      <c r="R614" s="31">
        <f>IF(OR(J614="",Q614=""),"",J614-Q614)</f>
        <v>0</v>
      </c>
      <c r="S614" s="50">
        <f>IF(B614="","",IF(H614="Done","Yes","No"))</f>
        <v>0</v>
      </c>
      <c r="T614" s="39">
        <f>IF(B614="","",IF(G614="","Add - what was the task?",IF(H614="Issue found",IF(M614="Yes","OK - issue reported","Action - tell the client"),IF(H614="Needs rework","Action - rework needed",IF(AND(H614="Skipped",P614="Yes"),"Check - required task skipped",IF(H614="Done","OK","Due"))))))</f>
        <v>0</v>
      </c>
    </row>
    <row r="615" spans="1:20">
      <c r="A615" s="43">
        <f>IF(B615="","","JT-"&amp;TEXT(ROW()-4,"0000"))</f>
        <v>0</v>
      </c>
      <c r="C615" s="18">
        <f>IF(B615="","",IFERROR(INDEX(Jobs!$B$5:$B$604,MATCH(B615,Jobs!$A$5:$A$604,0)),""))</f>
        <v>0</v>
      </c>
      <c r="D615" s="23">
        <f>IF(B615="","",IFERROR(INDEX(Jobs!$H$5:$H$604,MATCH(B615,Jobs!$A$5:$A$604,0)),""))</f>
        <v>0</v>
      </c>
      <c r="E615" s="23">
        <f>IF(B615="","",IFERROR(INDEX(Jobs!$K$5:$K$604,MATCH(B615,Jobs!$A$5:$A$604,0)),""))</f>
        <v>0</v>
      </c>
      <c r="P615" s="50">
        <f>IF(G615="","",IFERROR(INDEX(Checklists!$J$5:$J$404,MATCH(G615,Checklists!$F$5:$F$404,0)),"Yes"))</f>
        <v>0</v>
      </c>
      <c r="Q615" s="31">
        <f>IF(G615="","",IFERROR(INDEX(Checklists!$H$5:$H$404,MATCH(G615,Checklists!$F$5:$F$404,0)),""))</f>
        <v>0</v>
      </c>
      <c r="R615" s="31">
        <f>IF(OR(J615="",Q615=""),"",J615-Q615)</f>
        <v>0</v>
      </c>
      <c r="S615" s="50">
        <f>IF(B615="","",IF(H615="Done","Yes","No"))</f>
        <v>0</v>
      </c>
      <c r="T615" s="39">
        <f>IF(B615="","",IF(G615="","Add - what was the task?",IF(H615="Issue found",IF(M615="Yes","OK - issue reported","Action - tell the client"),IF(H615="Needs rework","Action - rework needed",IF(AND(H615="Skipped",P615="Yes"),"Check - required task skipped",IF(H615="Done","OK","Due"))))))</f>
        <v>0</v>
      </c>
    </row>
    <row r="616" spans="1:20">
      <c r="A616" s="43">
        <f>IF(B616="","","JT-"&amp;TEXT(ROW()-4,"0000"))</f>
        <v>0</v>
      </c>
      <c r="C616" s="18">
        <f>IF(B616="","",IFERROR(INDEX(Jobs!$B$5:$B$604,MATCH(B616,Jobs!$A$5:$A$604,0)),""))</f>
        <v>0</v>
      </c>
      <c r="D616" s="23">
        <f>IF(B616="","",IFERROR(INDEX(Jobs!$H$5:$H$604,MATCH(B616,Jobs!$A$5:$A$604,0)),""))</f>
        <v>0</v>
      </c>
      <c r="E616" s="23">
        <f>IF(B616="","",IFERROR(INDEX(Jobs!$K$5:$K$604,MATCH(B616,Jobs!$A$5:$A$604,0)),""))</f>
        <v>0</v>
      </c>
      <c r="P616" s="50">
        <f>IF(G616="","",IFERROR(INDEX(Checklists!$J$5:$J$404,MATCH(G616,Checklists!$F$5:$F$404,0)),"Yes"))</f>
        <v>0</v>
      </c>
      <c r="Q616" s="31">
        <f>IF(G616="","",IFERROR(INDEX(Checklists!$H$5:$H$404,MATCH(G616,Checklists!$F$5:$F$404,0)),""))</f>
        <v>0</v>
      </c>
      <c r="R616" s="31">
        <f>IF(OR(J616="",Q616=""),"",J616-Q616)</f>
        <v>0</v>
      </c>
      <c r="S616" s="50">
        <f>IF(B616="","",IF(H616="Done","Yes","No"))</f>
        <v>0</v>
      </c>
      <c r="T616" s="39">
        <f>IF(B616="","",IF(G616="","Add - what was the task?",IF(H616="Issue found",IF(M616="Yes","OK - issue reported","Action - tell the client"),IF(H616="Needs rework","Action - rework needed",IF(AND(H616="Skipped",P616="Yes"),"Check - required task skipped",IF(H616="Done","OK","Due"))))))</f>
        <v>0</v>
      </c>
    </row>
    <row r="617" spans="1:20">
      <c r="A617" s="43">
        <f>IF(B617="","","JT-"&amp;TEXT(ROW()-4,"0000"))</f>
        <v>0</v>
      </c>
      <c r="C617" s="18">
        <f>IF(B617="","",IFERROR(INDEX(Jobs!$B$5:$B$604,MATCH(B617,Jobs!$A$5:$A$604,0)),""))</f>
        <v>0</v>
      </c>
      <c r="D617" s="23">
        <f>IF(B617="","",IFERROR(INDEX(Jobs!$H$5:$H$604,MATCH(B617,Jobs!$A$5:$A$604,0)),""))</f>
        <v>0</v>
      </c>
      <c r="E617" s="23">
        <f>IF(B617="","",IFERROR(INDEX(Jobs!$K$5:$K$604,MATCH(B617,Jobs!$A$5:$A$604,0)),""))</f>
        <v>0</v>
      </c>
      <c r="P617" s="50">
        <f>IF(G617="","",IFERROR(INDEX(Checklists!$J$5:$J$404,MATCH(G617,Checklists!$F$5:$F$404,0)),"Yes"))</f>
        <v>0</v>
      </c>
      <c r="Q617" s="31">
        <f>IF(G617="","",IFERROR(INDEX(Checklists!$H$5:$H$404,MATCH(G617,Checklists!$F$5:$F$404,0)),""))</f>
        <v>0</v>
      </c>
      <c r="R617" s="31">
        <f>IF(OR(J617="",Q617=""),"",J617-Q617)</f>
        <v>0</v>
      </c>
      <c r="S617" s="50">
        <f>IF(B617="","",IF(H617="Done","Yes","No"))</f>
        <v>0</v>
      </c>
      <c r="T617" s="39">
        <f>IF(B617="","",IF(G617="","Add - what was the task?",IF(H617="Issue found",IF(M617="Yes","OK - issue reported","Action - tell the client"),IF(H617="Needs rework","Action - rework needed",IF(AND(H617="Skipped",P617="Yes"),"Check - required task skipped",IF(H617="Done","OK","Due"))))))</f>
        <v>0</v>
      </c>
    </row>
    <row r="618" spans="1:20">
      <c r="A618" s="43">
        <f>IF(B618="","","JT-"&amp;TEXT(ROW()-4,"0000"))</f>
        <v>0</v>
      </c>
      <c r="C618" s="18">
        <f>IF(B618="","",IFERROR(INDEX(Jobs!$B$5:$B$604,MATCH(B618,Jobs!$A$5:$A$604,0)),""))</f>
        <v>0</v>
      </c>
      <c r="D618" s="23">
        <f>IF(B618="","",IFERROR(INDEX(Jobs!$H$5:$H$604,MATCH(B618,Jobs!$A$5:$A$604,0)),""))</f>
        <v>0</v>
      </c>
      <c r="E618" s="23">
        <f>IF(B618="","",IFERROR(INDEX(Jobs!$K$5:$K$604,MATCH(B618,Jobs!$A$5:$A$604,0)),""))</f>
        <v>0</v>
      </c>
      <c r="P618" s="50">
        <f>IF(G618="","",IFERROR(INDEX(Checklists!$J$5:$J$404,MATCH(G618,Checklists!$F$5:$F$404,0)),"Yes"))</f>
        <v>0</v>
      </c>
      <c r="Q618" s="31">
        <f>IF(G618="","",IFERROR(INDEX(Checklists!$H$5:$H$404,MATCH(G618,Checklists!$F$5:$F$404,0)),""))</f>
        <v>0</v>
      </c>
      <c r="R618" s="31">
        <f>IF(OR(J618="",Q618=""),"",J618-Q618)</f>
        <v>0</v>
      </c>
      <c r="S618" s="50">
        <f>IF(B618="","",IF(H618="Done","Yes","No"))</f>
        <v>0</v>
      </c>
      <c r="T618" s="39">
        <f>IF(B618="","",IF(G618="","Add - what was the task?",IF(H618="Issue found",IF(M618="Yes","OK - issue reported","Action - tell the client"),IF(H618="Needs rework","Action - rework needed",IF(AND(H618="Skipped",P618="Yes"),"Check - required task skipped",IF(H618="Done","OK","Due"))))))</f>
        <v>0</v>
      </c>
    </row>
    <row r="619" spans="1:20">
      <c r="A619" s="43">
        <f>IF(B619="","","JT-"&amp;TEXT(ROW()-4,"0000"))</f>
        <v>0</v>
      </c>
      <c r="C619" s="18">
        <f>IF(B619="","",IFERROR(INDEX(Jobs!$B$5:$B$604,MATCH(B619,Jobs!$A$5:$A$604,0)),""))</f>
        <v>0</v>
      </c>
      <c r="D619" s="23">
        <f>IF(B619="","",IFERROR(INDEX(Jobs!$H$5:$H$604,MATCH(B619,Jobs!$A$5:$A$604,0)),""))</f>
        <v>0</v>
      </c>
      <c r="E619" s="23">
        <f>IF(B619="","",IFERROR(INDEX(Jobs!$K$5:$K$604,MATCH(B619,Jobs!$A$5:$A$604,0)),""))</f>
        <v>0</v>
      </c>
      <c r="P619" s="50">
        <f>IF(G619="","",IFERROR(INDEX(Checklists!$J$5:$J$404,MATCH(G619,Checklists!$F$5:$F$404,0)),"Yes"))</f>
        <v>0</v>
      </c>
      <c r="Q619" s="31">
        <f>IF(G619="","",IFERROR(INDEX(Checklists!$H$5:$H$404,MATCH(G619,Checklists!$F$5:$F$404,0)),""))</f>
        <v>0</v>
      </c>
      <c r="R619" s="31">
        <f>IF(OR(J619="",Q619=""),"",J619-Q619)</f>
        <v>0</v>
      </c>
      <c r="S619" s="50">
        <f>IF(B619="","",IF(H619="Done","Yes","No"))</f>
        <v>0</v>
      </c>
      <c r="T619" s="39">
        <f>IF(B619="","",IF(G619="","Add - what was the task?",IF(H619="Issue found",IF(M619="Yes","OK - issue reported","Action - tell the client"),IF(H619="Needs rework","Action - rework needed",IF(AND(H619="Skipped",P619="Yes"),"Check - required task skipped",IF(H619="Done","OK","Due"))))))</f>
        <v>0</v>
      </c>
    </row>
    <row r="620" spans="1:20">
      <c r="A620" s="43">
        <f>IF(B620="","","JT-"&amp;TEXT(ROW()-4,"0000"))</f>
        <v>0</v>
      </c>
      <c r="C620" s="18">
        <f>IF(B620="","",IFERROR(INDEX(Jobs!$B$5:$B$604,MATCH(B620,Jobs!$A$5:$A$604,0)),""))</f>
        <v>0</v>
      </c>
      <c r="D620" s="23">
        <f>IF(B620="","",IFERROR(INDEX(Jobs!$H$5:$H$604,MATCH(B620,Jobs!$A$5:$A$604,0)),""))</f>
        <v>0</v>
      </c>
      <c r="E620" s="23">
        <f>IF(B620="","",IFERROR(INDEX(Jobs!$K$5:$K$604,MATCH(B620,Jobs!$A$5:$A$604,0)),""))</f>
        <v>0</v>
      </c>
      <c r="P620" s="50">
        <f>IF(G620="","",IFERROR(INDEX(Checklists!$J$5:$J$404,MATCH(G620,Checklists!$F$5:$F$404,0)),"Yes"))</f>
        <v>0</v>
      </c>
      <c r="Q620" s="31">
        <f>IF(G620="","",IFERROR(INDEX(Checklists!$H$5:$H$404,MATCH(G620,Checklists!$F$5:$F$404,0)),""))</f>
        <v>0</v>
      </c>
      <c r="R620" s="31">
        <f>IF(OR(J620="",Q620=""),"",J620-Q620)</f>
        <v>0</v>
      </c>
      <c r="S620" s="50">
        <f>IF(B620="","",IF(H620="Done","Yes","No"))</f>
        <v>0</v>
      </c>
      <c r="T620" s="39">
        <f>IF(B620="","",IF(G620="","Add - what was the task?",IF(H620="Issue found",IF(M620="Yes","OK - issue reported","Action - tell the client"),IF(H620="Needs rework","Action - rework needed",IF(AND(H620="Skipped",P620="Yes"),"Check - required task skipped",IF(H620="Done","OK","Due"))))))</f>
        <v>0</v>
      </c>
    </row>
    <row r="621" spans="1:20">
      <c r="A621" s="43">
        <f>IF(B621="","","JT-"&amp;TEXT(ROW()-4,"0000"))</f>
        <v>0</v>
      </c>
      <c r="C621" s="18">
        <f>IF(B621="","",IFERROR(INDEX(Jobs!$B$5:$B$604,MATCH(B621,Jobs!$A$5:$A$604,0)),""))</f>
        <v>0</v>
      </c>
      <c r="D621" s="23">
        <f>IF(B621="","",IFERROR(INDEX(Jobs!$H$5:$H$604,MATCH(B621,Jobs!$A$5:$A$604,0)),""))</f>
        <v>0</v>
      </c>
      <c r="E621" s="23">
        <f>IF(B621="","",IFERROR(INDEX(Jobs!$K$5:$K$604,MATCH(B621,Jobs!$A$5:$A$604,0)),""))</f>
        <v>0</v>
      </c>
      <c r="P621" s="50">
        <f>IF(G621="","",IFERROR(INDEX(Checklists!$J$5:$J$404,MATCH(G621,Checklists!$F$5:$F$404,0)),"Yes"))</f>
        <v>0</v>
      </c>
      <c r="Q621" s="31">
        <f>IF(G621="","",IFERROR(INDEX(Checklists!$H$5:$H$404,MATCH(G621,Checklists!$F$5:$F$404,0)),""))</f>
        <v>0</v>
      </c>
      <c r="R621" s="31">
        <f>IF(OR(J621="",Q621=""),"",J621-Q621)</f>
        <v>0</v>
      </c>
      <c r="S621" s="50">
        <f>IF(B621="","",IF(H621="Done","Yes","No"))</f>
        <v>0</v>
      </c>
      <c r="T621" s="39">
        <f>IF(B621="","",IF(G621="","Add - what was the task?",IF(H621="Issue found",IF(M621="Yes","OK - issue reported","Action - tell the client"),IF(H621="Needs rework","Action - rework needed",IF(AND(H621="Skipped",P621="Yes"),"Check - required task skipped",IF(H621="Done","OK","Due"))))))</f>
        <v>0</v>
      </c>
    </row>
    <row r="622" spans="1:20">
      <c r="A622" s="43">
        <f>IF(B622="","","JT-"&amp;TEXT(ROW()-4,"0000"))</f>
        <v>0</v>
      </c>
      <c r="C622" s="18">
        <f>IF(B622="","",IFERROR(INDEX(Jobs!$B$5:$B$604,MATCH(B622,Jobs!$A$5:$A$604,0)),""))</f>
        <v>0</v>
      </c>
      <c r="D622" s="23">
        <f>IF(B622="","",IFERROR(INDEX(Jobs!$H$5:$H$604,MATCH(B622,Jobs!$A$5:$A$604,0)),""))</f>
        <v>0</v>
      </c>
      <c r="E622" s="23">
        <f>IF(B622="","",IFERROR(INDEX(Jobs!$K$5:$K$604,MATCH(B622,Jobs!$A$5:$A$604,0)),""))</f>
        <v>0</v>
      </c>
      <c r="P622" s="50">
        <f>IF(G622="","",IFERROR(INDEX(Checklists!$J$5:$J$404,MATCH(G622,Checklists!$F$5:$F$404,0)),"Yes"))</f>
        <v>0</v>
      </c>
      <c r="Q622" s="31">
        <f>IF(G622="","",IFERROR(INDEX(Checklists!$H$5:$H$404,MATCH(G622,Checklists!$F$5:$F$404,0)),""))</f>
        <v>0</v>
      </c>
      <c r="R622" s="31">
        <f>IF(OR(J622="",Q622=""),"",J622-Q622)</f>
        <v>0</v>
      </c>
      <c r="S622" s="50">
        <f>IF(B622="","",IF(H622="Done","Yes","No"))</f>
        <v>0</v>
      </c>
      <c r="T622" s="39">
        <f>IF(B622="","",IF(G622="","Add - what was the task?",IF(H622="Issue found",IF(M622="Yes","OK - issue reported","Action - tell the client"),IF(H622="Needs rework","Action - rework needed",IF(AND(H622="Skipped",P622="Yes"),"Check - required task skipped",IF(H622="Done","OK","Due"))))))</f>
        <v>0</v>
      </c>
    </row>
    <row r="623" spans="1:20">
      <c r="A623" s="43">
        <f>IF(B623="","","JT-"&amp;TEXT(ROW()-4,"0000"))</f>
        <v>0</v>
      </c>
      <c r="C623" s="18">
        <f>IF(B623="","",IFERROR(INDEX(Jobs!$B$5:$B$604,MATCH(B623,Jobs!$A$5:$A$604,0)),""))</f>
        <v>0</v>
      </c>
      <c r="D623" s="23">
        <f>IF(B623="","",IFERROR(INDEX(Jobs!$H$5:$H$604,MATCH(B623,Jobs!$A$5:$A$604,0)),""))</f>
        <v>0</v>
      </c>
      <c r="E623" s="23">
        <f>IF(B623="","",IFERROR(INDEX(Jobs!$K$5:$K$604,MATCH(B623,Jobs!$A$5:$A$604,0)),""))</f>
        <v>0</v>
      </c>
      <c r="P623" s="50">
        <f>IF(G623="","",IFERROR(INDEX(Checklists!$J$5:$J$404,MATCH(G623,Checklists!$F$5:$F$404,0)),"Yes"))</f>
        <v>0</v>
      </c>
      <c r="Q623" s="31">
        <f>IF(G623="","",IFERROR(INDEX(Checklists!$H$5:$H$404,MATCH(G623,Checklists!$F$5:$F$404,0)),""))</f>
        <v>0</v>
      </c>
      <c r="R623" s="31">
        <f>IF(OR(J623="",Q623=""),"",J623-Q623)</f>
        <v>0</v>
      </c>
      <c r="S623" s="50">
        <f>IF(B623="","",IF(H623="Done","Yes","No"))</f>
        <v>0</v>
      </c>
      <c r="T623" s="39">
        <f>IF(B623="","",IF(G623="","Add - what was the task?",IF(H623="Issue found",IF(M623="Yes","OK - issue reported","Action - tell the client"),IF(H623="Needs rework","Action - rework needed",IF(AND(H623="Skipped",P623="Yes"),"Check - required task skipped",IF(H623="Done","OK","Due"))))))</f>
        <v>0</v>
      </c>
    </row>
    <row r="624" spans="1:20">
      <c r="A624" s="43">
        <f>IF(B624="","","JT-"&amp;TEXT(ROW()-4,"0000"))</f>
        <v>0</v>
      </c>
      <c r="C624" s="18">
        <f>IF(B624="","",IFERROR(INDEX(Jobs!$B$5:$B$604,MATCH(B624,Jobs!$A$5:$A$604,0)),""))</f>
        <v>0</v>
      </c>
      <c r="D624" s="23">
        <f>IF(B624="","",IFERROR(INDEX(Jobs!$H$5:$H$604,MATCH(B624,Jobs!$A$5:$A$604,0)),""))</f>
        <v>0</v>
      </c>
      <c r="E624" s="23">
        <f>IF(B624="","",IFERROR(INDEX(Jobs!$K$5:$K$604,MATCH(B624,Jobs!$A$5:$A$604,0)),""))</f>
        <v>0</v>
      </c>
      <c r="P624" s="50">
        <f>IF(G624="","",IFERROR(INDEX(Checklists!$J$5:$J$404,MATCH(G624,Checklists!$F$5:$F$404,0)),"Yes"))</f>
        <v>0</v>
      </c>
      <c r="Q624" s="31">
        <f>IF(G624="","",IFERROR(INDEX(Checklists!$H$5:$H$404,MATCH(G624,Checklists!$F$5:$F$404,0)),""))</f>
        <v>0</v>
      </c>
      <c r="R624" s="31">
        <f>IF(OR(J624="",Q624=""),"",J624-Q624)</f>
        <v>0</v>
      </c>
      <c r="S624" s="50">
        <f>IF(B624="","",IF(H624="Done","Yes","No"))</f>
        <v>0</v>
      </c>
      <c r="T624" s="39">
        <f>IF(B624="","",IF(G624="","Add - what was the task?",IF(H624="Issue found",IF(M624="Yes","OK - issue reported","Action - tell the client"),IF(H624="Needs rework","Action - rework needed",IF(AND(H624="Skipped",P624="Yes"),"Check - required task skipped",IF(H624="Done","OK","Due"))))))</f>
        <v>0</v>
      </c>
    </row>
    <row r="625" spans="1:20">
      <c r="A625" s="43">
        <f>IF(B625="","","JT-"&amp;TEXT(ROW()-4,"0000"))</f>
        <v>0</v>
      </c>
      <c r="C625" s="18">
        <f>IF(B625="","",IFERROR(INDEX(Jobs!$B$5:$B$604,MATCH(B625,Jobs!$A$5:$A$604,0)),""))</f>
        <v>0</v>
      </c>
      <c r="D625" s="23">
        <f>IF(B625="","",IFERROR(INDEX(Jobs!$H$5:$H$604,MATCH(B625,Jobs!$A$5:$A$604,0)),""))</f>
        <v>0</v>
      </c>
      <c r="E625" s="23">
        <f>IF(B625="","",IFERROR(INDEX(Jobs!$K$5:$K$604,MATCH(B625,Jobs!$A$5:$A$604,0)),""))</f>
        <v>0</v>
      </c>
      <c r="P625" s="50">
        <f>IF(G625="","",IFERROR(INDEX(Checklists!$J$5:$J$404,MATCH(G625,Checklists!$F$5:$F$404,0)),"Yes"))</f>
        <v>0</v>
      </c>
      <c r="Q625" s="31">
        <f>IF(G625="","",IFERROR(INDEX(Checklists!$H$5:$H$404,MATCH(G625,Checklists!$F$5:$F$404,0)),""))</f>
        <v>0</v>
      </c>
      <c r="R625" s="31">
        <f>IF(OR(J625="",Q625=""),"",J625-Q625)</f>
        <v>0</v>
      </c>
      <c r="S625" s="50">
        <f>IF(B625="","",IF(H625="Done","Yes","No"))</f>
        <v>0</v>
      </c>
      <c r="T625" s="39">
        <f>IF(B625="","",IF(G625="","Add - what was the task?",IF(H625="Issue found",IF(M625="Yes","OK - issue reported","Action - tell the client"),IF(H625="Needs rework","Action - rework needed",IF(AND(H625="Skipped",P625="Yes"),"Check - required task skipped",IF(H625="Done","OK","Due"))))))</f>
        <v>0</v>
      </c>
    </row>
    <row r="626" spans="1:20">
      <c r="A626" s="43">
        <f>IF(B626="","","JT-"&amp;TEXT(ROW()-4,"0000"))</f>
        <v>0</v>
      </c>
      <c r="C626" s="18">
        <f>IF(B626="","",IFERROR(INDEX(Jobs!$B$5:$B$604,MATCH(B626,Jobs!$A$5:$A$604,0)),""))</f>
        <v>0</v>
      </c>
      <c r="D626" s="23">
        <f>IF(B626="","",IFERROR(INDEX(Jobs!$H$5:$H$604,MATCH(B626,Jobs!$A$5:$A$604,0)),""))</f>
        <v>0</v>
      </c>
      <c r="E626" s="23">
        <f>IF(B626="","",IFERROR(INDEX(Jobs!$K$5:$K$604,MATCH(B626,Jobs!$A$5:$A$604,0)),""))</f>
        <v>0</v>
      </c>
      <c r="P626" s="50">
        <f>IF(G626="","",IFERROR(INDEX(Checklists!$J$5:$J$404,MATCH(G626,Checklists!$F$5:$F$404,0)),"Yes"))</f>
        <v>0</v>
      </c>
      <c r="Q626" s="31">
        <f>IF(G626="","",IFERROR(INDEX(Checklists!$H$5:$H$404,MATCH(G626,Checklists!$F$5:$F$404,0)),""))</f>
        <v>0</v>
      </c>
      <c r="R626" s="31">
        <f>IF(OR(J626="",Q626=""),"",J626-Q626)</f>
        <v>0</v>
      </c>
      <c r="S626" s="50">
        <f>IF(B626="","",IF(H626="Done","Yes","No"))</f>
        <v>0</v>
      </c>
      <c r="T626" s="39">
        <f>IF(B626="","",IF(G626="","Add - what was the task?",IF(H626="Issue found",IF(M626="Yes","OK - issue reported","Action - tell the client"),IF(H626="Needs rework","Action - rework needed",IF(AND(H626="Skipped",P626="Yes"),"Check - required task skipped",IF(H626="Done","OK","Due"))))))</f>
        <v>0</v>
      </c>
    </row>
    <row r="627" spans="1:20">
      <c r="A627" s="43">
        <f>IF(B627="","","JT-"&amp;TEXT(ROW()-4,"0000"))</f>
        <v>0</v>
      </c>
      <c r="C627" s="18">
        <f>IF(B627="","",IFERROR(INDEX(Jobs!$B$5:$B$604,MATCH(B627,Jobs!$A$5:$A$604,0)),""))</f>
        <v>0</v>
      </c>
      <c r="D627" s="23">
        <f>IF(B627="","",IFERROR(INDEX(Jobs!$H$5:$H$604,MATCH(B627,Jobs!$A$5:$A$604,0)),""))</f>
        <v>0</v>
      </c>
      <c r="E627" s="23">
        <f>IF(B627="","",IFERROR(INDEX(Jobs!$K$5:$K$604,MATCH(B627,Jobs!$A$5:$A$604,0)),""))</f>
        <v>0</v>
      </c>
      <c r="P627" s="50">
        <f>IF(G627="","",IFERROR(INDEX(Checklists!$J$5:$J$404,MATCH(G627,Checklists!$F$5:$F$404,0)),"Yes"))</f>
        <v>0</v>
      </c>
      <c r="Q627" s="31">
        <f>IF(G627="","",IFERROR(INDEX(Checklists!$H$5:$H$404,MATCH(G627,Checklists!$F$5:$F$404,0)),""))</f>
        <v>0</v>
      </c>
      <c r="R627" s="31">
        <f>IF(OR(J627="",Q627=""),"",J627-Q627)</f>
        <v>0</v>
      </c>
      <c r="S627" s="50">
        <f>IF(B627="","",IF(H627="Done","Yes","No"))</f>
        <v>0</v>
      </c>
      <c r="T627" s="39">
        <f>IF(B627="","",IF(G627="","Add - what was the task?",IF(H627="Issue found",IF(M627="Yes","OK - issue reported","Action - tell the client"),IF(H627="Needs rework","Action - rework needed",IF(AND(H627="Skipped",P627="Yes"),"Check - required task skipped",IF(H627="Done","OK","Due"))))))</f>
        <v>0</v>
      </c>
    </row>
    <row r="628" spans="1:20">
      <c r="A628" s="43">
        <f>IF(B628="","","JT-"&amp;TEXT(ROW()-4,"0000"))</f>
        <v>0</v>
      </c>
      <c r="C628" s="18">
        <f>IF(B628="","",IFERROR(INDEX(Jobs!$B$5:$B$604,MATCH(B628,Jobs!$A$5:$A$604,0)),""))</f>
        <v>0</v>
      </c>
      <c r="D628" s="23">
        <f>IF(B628="","",IFERROR(INDEX(Jobs!$H$5:$H$604,MATCH(B628,Jobs!$A$5:$A$604,0)),""))</f>
        <v>0</v>
      </c>
      <c r="E628" s="23">
        <f>IF(B628="","",IFERROR(INDEX(Jobs!$K$5:$K$604,MATCH(B628,Jobs!$A$5:$A$604,0)),""))</f>
        <v>0</v>
      </c>
      <c r="P628" s="50">
        <f>IF(G628="","",IFERROR(INDEX(Checklists!$J$5:$J$404,MATCH(G628,Checklists!$F$5:$F$404,0)),"Yes"))</f>
        <v>0</v>
      </c>
      <c r="Q628" s="31">
        <f>IF(G628="","",IFERROR(INDEX(Checklists!$H$5:$H$404,MATCH(G628,Checklists!$F$5:$F$404,0)),""))</f>
        <v>0</v>
      </c>
      <c r="R628" s="31">
        <f>IF(OR(J628="",Q628=""),"",J628-Q628)</f>
        <v>0</v>
      </c>
      <c r="S628" s="50">
        <f>IF(B628="","",IF(H628="Done","Yes","No"))</f>
        <v>0</v>
      </c>
      <c r="T628" s="39">
        <f>IF(B628="","",IF(G628="","Add - what was the task?",IF(H628="Issue found",IF(M628="Yes","OK - issue reported","Action - tell the client"),IF(H628="Needs rework","Action - rework needed",IF(AND(H628="Skipped",P628="Yes"),"Check - required task skipped",IF(H628="Done","OK","Due"))))))</f>
        <v>0</v>
      </c>
    </row>
    <row r="629" spans="1:20">
      <c r="A629" s="43">
        <f>IF(B629="","","JT-"&amp;TEXT(ROW()-4,"0000"))</f>
        <v>0</v>
      </c>
      <c r="C629" s="18">
        <f>IF(B629="","",IFERROR(INDEX(Jobs!$B$5:$B$604,MATCH(B629,Jobs!$A$5:$A$604,0)),""))</f>
        <v>0</v>
      </c>
      <c r="D629" s="23">
        <f>IF(B629="","",IFERROR(INDEX(Jobs!$H$5:$H$604,MATCH(B629,Jobs!$A$5:$A$604,0)),""))</f>
        <v>0</v>
      </c>
      <c r="E629" s="23">
        <f>IF(B629="","",IFERROR(INDEX(Jobs!$K$5:$K$604,MATCH(B629,Jobs!$A$5:$A$604,0)),""))</f>
        <v>0</v>
      </c>
      <c r="P629" s="50">
        <f>IF(G629="","",IFERROR(INDEX(Checklists!$J$5:$J$404,MATCH(G629,Checklists!$F$5:$F$404,0)),"Yes"))</f>
        <v>0</v>
      </c>
      <c r="Q629" s="31">
        <f>IF(G629="","",IFERROR(INDEX(Checklists!$H$5:$H$404,MATCH(G629,Checklists!$F$5:$F$404,0)),""))</f>
        <v>0</v>
      </c>
      <c r="R629" s="31">
        <f>IF(OR(J629="",Q629=""),"",J629-Q629)</f>
        <v>0</v>
      </c>
      <c r="S629" s="50">
        <f>IF(B629="","",IF(H629="Done","Yes","No"))</f>
        <v>0</v>
      </c>
      <c r="T629" s="39">
        <f>IF(B629="","",IF(G629="","Add - what was the task?",IF(H629="Issue found",IF(M629="Yes","OK - issue reported","Action - tell the client"),IF(H629="Needs rework","Action - rework needed",IF(AND(H629="Skipped",P629="Yes"),"Check - required task skipped",IF(H629="Done","OK","Due"))))))</f>
        <v>0</v>
      </c>
    </row>
    <row r="630" spans="1:20">
      <c r="A630" s="43">
        <f>IF(B630="","","JT-"&amp;TEXT(ROW()-4,"0000"))</f>
        <v>0</v>
      </c>
      <c r="C630" s="18">
        <f>IF(B630="","",IFERROR(INDEX(Jobs!$B$5:$B$604,MATCH(B630,Jobs!$A$5:$A$604,0)),""))</f>
        <v>0</v>
      </c>
      <c r="D630" s="23">
        <f>IF(B630="","",IFERROR(INDEX(Jobs!$H$5:$H$604,MATCH(B630,Jobs!$A$5:$A$604,0)),""))</f>
        <v>0</v>
      </c>
      <c r="E630" s="23">
        <f>IF(B630="","",IFERROR(INDEX(Jobs!$K$5:$K$604,MATCH(B630,Jobs!$A$5:$A$604,0)),""))</f>
        <v>0</v>
      </c>
      <c r="P630" s="50">
        <f>IF(G630="","",IFERROR(INDEX(Checklists!$J$5:$J$404,MATCH(G630,Checklists!$F$5:$F$404,0)),"Yes"))</f>
        <v>0</v>
      </c>
      <c r="Q630" s="31">
        <f>IF(G630="","",IFERROR(INDEX(Checklists!$H$5:$H$404,MATCH(G630,Checklists!$F$5:$F$404,0)),""))</f>
        <v>0</v>
      </c>
      <c r="R630" s="31">
        <f>IF(OR(J630="",Q630=""),"",J630-Q630)</f>
        <v>0</v>
      </c>
      <c r="S630" s="50">
        <f>IF(B630="","",IF(H630="Done","Yes","No"))</f>
        <v>0</v>
      </c>
      <c r="T630" s="39">
        <f>IF(B630="","",IF(G630="","Add - what was the task?",IF(H630="Issue found",IF(M630="Yes","OK - issue reported","Action - tell the client"),IF(H630="Needs rework","Action - rework needed",IF(AND(H630="Skipped",P630="Yes"),"Check - required task skipped",IF(H630="Done","OK","Due"))))))</f>
        <v>0</v>
      </c>
    </row>
    <row r="631" spans="1:20">
      <c r="A631" s="43">
        <f>IF(B631="","","JT-"&amp;TEXT(ROW()-4,"0000"))</f>
        <v>0</v>
      </c>
      <c r="C631" s="18">
        <f>IF(B631="","",IFERROR(INDEX(Jobs!$B$5:$B$604,MATCH(B631,Jobs!$A$5:$A$604,0)),""))</f>
        <v>0</v>
      </c>
      <c r="D631" s="23">
        <f>IF(B631="","",IFERROR(INDEX(Jobs!$H$5:$H$604,MATCH(B631,Jobs!$A$5:$A$604,0)),""))</f>
        <v>0</v>
      </c>
      <c r="E631" s="23">
        <f>IF(B631="","",IFERROR(INDEX(Jobs!$K$5:$K$604,MATCH(B631,Jobs!$A$5:$A$604,0)),""))</f>
        <v>0</v>
      </c>
      <c r="P631" s="50">
        <f>IF(G631="","",IFERROR(INDEX(Checklists!$J$5:$J$404,MATCH(G631,Checklists!$F$5:$F$404,0)),"Yes"))</f>
        <v>0</v>
      </c>
      <c r="Q631" s="31">
        <f>IF(G631="","",IFERROR(INDEX(Checklists!$H$5:$H$404,MATCH(G631,Checklists!$F$5:$F$404,0)),""))</f>
        <v>0</v>
      </c>
      <c r="R631" s="31">
        <f>IF(OR(J631="",Q631=""),"",J631-Q631)</f>
        <v>0</v>
      </c>
      <c r="S631" s="50">
        <f>IF(B631="","",IF(H631="Done","Yes","No"))</f>
        <v>0</v>
      </c>
      <c r="T631" s="39">
        <f>IF(B631="","",IF(G631="","Add - what was the task?",IF(H631="Issue found",IF(M631="Yes","OK - issue reported","Action - tell the client"),IF(H631="Needs rework","Action - rework needed",IF(AND(H631="Skipped",P631="Yes"),"Check - required task skipped",IF(H631="Done","OK","Due"))))))</f>
        <v>0</v>
      </c>
    </row>
    <row r="632" spans="1:20">
      <c r="A632" s="43">
        <f>IF(B632="","","JT-"&amp;TEXT(ROW()-4,"0000"))</f>
        <v>0</v>
      </c>
      <c r="C632" s="18">
        <f>IF(B632="","",IFERROR(INDEX(Jobs!$B$5:$B$604,MATCH(B632,Jobs!$A$5:$A$604,0)),""))</f>
        <v>0</v>
      </c>
      <c r="D632" s="23">
        <f>IF(B632="","",IFERROR(INDEX(Jobs!$H$5:$H$604,MATCH(B632,Jobs!$A$5:$A$604,0)),""))</f>
        <v>0</v>
      </c>
      <c r="E632" s="23">
        <f>IF(B632="","",IFERROR(INDEX(Jobs!$K$5:$K$604,MATCH(B632,Jobs!$A$5:$A$604,0)),""))</f>
        <v>0</v>
      </c>
      <c r="P632" s="50">
        <f>IF(G632="","",IFERROR(INDEX(Checklists!$J$5:$J$404,MATCH(G632,Checklists!$F$5:$F$404,0)),"Yes"))</f>
        <v>0</v>
      </c>
      <c r="Q632" s="31">
        <f>IF(G632="","",IFERROR(INDEX(Checklists!$H$5:$H$404,MATCH(G632,Checklists!$F$5:$F$404,0)),""))</f>
        <v>0</v>
      </c>
      <c r="R632" s="31">
        <f>IF(OR(J632="",Q632=""),"",J632-Q632)</f>
        <v>0</v>
      </c>
      <c r="S632" s="50">
        <f>IF(B632="","",IF(H632="Done","Yes","No"))</f>
        <v>0</v>
      </c>
      <c r="T632" s="39">
        <f>IF(B632="","",IF(G632="","Add - what was the task?",IF(H632="Issue found",IF(M632="Yes","OK - issue reported","Action - tell the client"),IF(H632="Needs rework","Action - rework needed",IF(AND(H632="Skipped",P632="Yes"),"Check - required task skipped",IF(H632="Done","OK","Due"))))))</f>
        <v>0</v>
      </c>
    </row>
    <row r="633" spans="1:20">
      <c r="A633" s="43">
        <f>IF(B633="","","JT-"&amp;TEXT(ROW()-4,"0000"))</f>
        <v>0</v>
      </c>
      <c r="C633" s="18">
        <f>IF(B633="","",IFERROR(INDEX(Jobs!$B$5:$B$604,MATCH(B633,Jobs!$A$5:$A$604,0)),""))</f>
        <v>0</v>
      </c>
      <c r="D633" s="23">
        <f>IF(B633="","",IFERROR(INDEX(Jobs!$H$5:$H$604,MATCH(B633,Jobs!$A$5:$A$604,0)),""))</f>
        <v>0</v>
      </c>
      <c r="E633" s="23">
        <f>IF(B633="","",IFERROR(INDEX(Jobs!$K$5:$K$604,MATCH(B633,Jobs!$A$5:$A$604,0)),""))</f>
        <v>0</v>
      </c>
      <c r="P633" s="50">
        <f>IF(G633="","",IFERROR(INDEX(Checklists!$J$5:$J$404,MATCH(G633,Checklists!$F$5:$F$404,0)),"Yes"))</f>
        <v>0</v>
      </c>
      <c r="Q633" s="31">
        <f>IF(G633="","",IFERROR(INDEX(Checklists!$H$5:$H$404,MATCH(G633,Checklists!$F$5:$F$404,0)),""))</f>
        <v>0</v>
      </c>
      <c r="R633" s="31">
        <f>IF(OR(J633="",Q633=""),"",J633-Q633)</f>
        <v>0</v>
      </c>
      <c r="S633" s="50">
        <f>IF(B633="","",IF(H633="Done","Yes","No"))</f>
        <v>0</v>
      </c>
      <c r="T633" s="39">
        <f>IF(B633="","",IF(G633="","Add - what was the task?",IF(H633="Issue found",IF(M633="Yes","OK - issue reported","Action - tell the client"),IF(H633="Needs rework","Action - rework needed",IF(AND(H633="Skipped",P633="Yes"),"Check - required task skipped",IF(H633="Done","OK","Due"))))))</f>
        <v>0</v>
      </c>
    </row>
    <row r="634" spans="1:20">
      <c r="A634" s="43">
        <f>IF(B634="","","JT-"&amp;TEXT(ROW()-4,"0000"))</f>
        <v>0</v>
      </c>
      <c r="C634" s="18">
        <f>IF(B634="","",IFERROR(INDEX(Jobs!$B$5:$B$604,MATCH(B634,Jobs!$A$5:$A$604,0)),""))</f>
        <v>0</v>
      </c>
      <c r="D634" s="23">
        <f>IF(B634="","",IFERROR(INDEX(Jobs!$H$5:$H$604,MATCH(B634,Jobs!$A$5:$A$604,0)),""))</f>
        <v>0</v>
      </c>
      <c r="E634" s="23">
        <f>IF(B634="","",IFERROR(INDEX(Jobs!$K$5:$K$604,MATCH(B634,Jobs!$A$5:$A$604,0)),""))</f>
        <v>0</v>
      </c>
      <c r="P634" s="50">
        <f>IF(G634="","",IFERROR(INDEX(Checklists!$J$5:$J$404,MATCH(G634,Checklists!$F$5:$F$404,0)),"Yes"))</f>
        <v>0</v>
      </c>
      <c r="Q634" s="31">
        <f>IF(G634="","",IFERROR(INDEX(Checklists!$H$5:$H$404,MATCH(G634,Checklists!$F$5:$F$404,0)),""))</f>
        <v>0</v>
      </c>
      <c r="R634" s="31">
        <f>IF(OR(J634="",Q634=""),"",J634-Q634)</f>
        <v>0</v>
      </c>
      <c r="S634" s="50">
        <f>IF(B634="","",IF(H634="Done","Yes","No"))</f>
        <v>0</v>
      </c>
      <c r="T634" s="39">
        <f>IF(B634="","",IF(G634="","Add - what was the task?",IF(H634="Issue found",IF(M634="Yes","OK - issue reported","Action - tell the client"),IF(H634="Needs rework","Action - rework needed",IF(AND(H634="Skipped",P634="Yes"),"Check - required task skipped",IF(H634="Done","OK","Due"))))))</f>
        <v>0</v>
      </c>
    </row>
    <row r="635" spans="1:20">
      <c r="A635" s="43">
        <f>IF(B635="","","JT-"&amp;TEXT(ROW()-4,"0000"))</f>
        <v>0</v>
      </c>
      <c r="C635" s="18">
        <f>IF(B635="","",IFERROR(INDEX(Jobs!$B$5:$B$604,MATCH(B635,Jobs!$A$5:$A$604,0)),""))</f>
        <v>0</v>
      </c>
      <c r="D635" s="23">
        <f>IF(B635="","",IFERROR(INDEX(Jobs!$H$5:$H$604,MATCH(B635,Jobs!$A$5:$A$604,0)),""))</f>
        <v>0</v>
      </c>
      <c r="E635" s="23">
        <f>IF(B635="","",IFERROR(INDEX(Jobs!$K$5:$K$604,MATCH(B635,Jobs!$A$5:$A$604,0)),""))</f>
        <v>0</v>
      </c>
      <c r="P635" s="50">
        <f>IF(G635="","",IFERROR(INDEX(Checklists!$J$5:$J$404,MATCH(G635,Checklists!$F$5:$F$404,0)),"Yes"))</f>
        <v>0</v>
      </c>
      <c r="Q635" s="31">
        <f>IF(G635="","",IFERROR(INDEX(Checklists!$H$5:$H$404,MATCH(G635,Checklists!$F$5:$F$404,0)),""))</f>
        <v>0</v>
      </c>
      <c r="R635" s="31">
        <f>IF(OR(J635="",Q635=""),"",J635-Q635)</f>
        <v>0</v>
      </c>
      <c r="S635" s="50">
        <f>IF(B635="","",IF(H635="Done","Yes","No"))</f>
        <v>0</v>
      </c>
      <c r="T635" s="39">
        <f>IF(B635="","",IF(G635="","Add - what was the task?",IF(H635="Issue found",IF(M635="Yes","OK - issue reported","Action - tell the client"),IF(H635="Needs rework","Action - rework needed",IF(AND(H635="Skipped",P635="Yes"),"Check - required task skipped",IF(H635="Done","OK","Due"))))))</f>
        <v>0</v>
      </c>
    </row>
    <row r="636" spans="1:20">
      <c r="A636" s="43">
        <f>IF(B636="","","JT-"&amp;TEXT(ROW()-4,"0000"))</f>
        <v>0</v>
      </c>
      <c r="C636" s="18">
        <f>IF(B636="","",IFERROR(INDEX(Jobs!$B$5:$B$604,MATCH(B636,Jobs!$A$5:$A$604,0)),""))</f>
        <v>0</v>
      </c>
      <c r="D636" s="23">
        <f>IF(B636="","",IFERROR(INDEX(Jobs!$H$5:$H$604,MATCH(B636,Jobs!$A$5:$A$604,0)),""))</f>
        <v>0</v>
      </c>
      <c r="E636" s="23">
        <f>IF(B636="","",IFERROR(INDEX(Jobs!$K$5:$K$604,MATCH(B636,Jobs!$A$5:$A$604,0)),""))</f>
        <v>0</v>
      </c>
      <c r="P636" s="50">
        <f>IF(G636="","",IFERROR(INDEX(Checklists!$J$5:$J$404,MATCH(G636,Checklists!$F$5:$F$404,0)),"Yes"))</f>
        <v>0</v>
      </c>
      <c r="Q636" s="31">
        <f>IF(G636="","",IFERROR(INDEX(Checklists!$H$5:$H$404,MATCH(G636,Checklists!$F$5:$F$404,0)),""))</f>
        <v>0</v>
      </c>
      <c r="R636" s="31">
        <f>IF(OR(J636="",Q636=""),"",J636-Q636)</f>
        <v>0</v>
      </c>
      <c r="S636" s="50">
        <f>IF(B636="","",IF(H636="Done","Yes","No"))</f>
        <v>0</v>
      </c>
      <c r="T636" s="39">
        <f>IF(B636="","",IF(G636="","Add - what was the task?",IF(H636="Issue found",IF(M636="Yes","OK - issue reported","Action - tell the client"),IF(H636="Needs rework","Action - rework needed",IF(AND(H636="Skipped",P636="Yes"),"Check - required task skipped",IF(H636="Done","OK","Due"))))))</f>
        <v>0</v>
      </c>
    </row>
    <row r="637" spans="1:20">
      <c r="A637" s="43">
        <f>IF(B637="","","JT-"&amp;TEXT(ROW()-4,"0000"))</f>
        <v>0</v>
      </c>
      <c r="C637" s="18">
        <f>IF(B637="","",IFERROR(INDEX(Jobs!$B$5:$B$604,MATCH(B637,Jobs!$A$5:$A$604,0)),""))</f>
        <v>0</v>
      </c>
      <c r="D637" s="23">
        <f>IF(B637="","",IFERROR(INDEX(Jobs!$H$5:$H$604,MATCH(B637,Jobs!$A$5:$A$604,0)),""))</f>
        <v>0</v>
      </c>
      <c r="E637" s="23">
        <f>IF(B637="","",IFERROR(INDEX(Jobs!$K$5:$K$604,MATCH(B637,Jobs!$A$5:$A$604,0)),""))</f>
        <v>0</v>
      </c>
      <c r="P637" s="50">
        <f>IF(G637="","",IFERROR(INDEX(Checklists!$J$5:$J$404,MATCH(G637,Checklists!$F$5:$F$404,0)),"Yes"))</f>
        <v>0</v>
      </c>
      <c r="Q637" s="31">
        <f>IF(G637="","",IFERROR(INDEX(Checklists!$H$5:$H$404,MATCH(G637,Checklists!$F$5:$F$404,0)),""))</f>
        <v>0</v>
      </c>
      <c r="R637" s="31">
        <f>IF(OR(J637="",Q637=""),"",J637-Q637)</f>
        <v>0</v>
      </c>
      <c r="S637" s="50">
        <f>IF(B637="","",IF(H637="Done","Yes","No"))</f>
        <v>0</v>
      </c>
      <c r="T637" s="39">
        <f>IF(B637="","",IF(G637="","Add - what was the task?",IF(H637="Issue found",IF(M637="Yes","OK - issue reported","Action - tell the client"),IF(H637="Needs rework","Action - rework needed",IF(AND(H637="Skipped",P637="Yes"),"Check - required task skipped",IF(H637="Done","OK","Due"))))))</f>
        <v>0</v>
      </c>
    </row>
    <row r="638" spans="1:20">
      <c r="A638" s="43">
        <f>IF(B638="","","JT-"&amp;TEXT(ROW()-4,"0000"))</f>
        <v>0</v>
      </c>
      <c r="C638" s="18">
        <f>IF(B638="","",IFERROR(INDEX(Jobs!$B$5:$B$604,MATCH(B638,Jobs!$A$5:$A$604,0)),""))</f>
        <v>0</v>
      </c>
      <c r="D638" s="23">
        <f>IF(B638="","",IFERROR(INDEX(Jobs!$H$5:$H$604,MATCH(B638,Jobs!$A$5:$A$604,0)),""))</f>
        <v>0</v>
      </c>
      <c r="E638" s="23">
        <f>IF(B638="","",IFERROR(INDEX(Jobs!$K$5:$K$604,MATCH(B638,Jobs!$A$5:$A$604,0)),""))</f>
        <v>0</v>
      </c>
      <c r="P638" s="50">
        <f>IF(G638="","",IFERROR(INDEX(Checklists!$J$5:$J$404,MATCH(G638,Checklists!$F$5:$F$404,0)),"Yes"))</f>
        <v>0</v>
      </c>
      <c r="Q638" s="31">
        <f>IF(G638="","",IFERROR(INDEX(Checklists!$H$5:$H$404,MATCH(G638,Checklists!$F$5:$F$404,0)),""))</f>
        <v>0</v>
      </c>
      <c r="R638" s="31">
        <f>IF(OR(J638="",Q638=""),"",J638-Q638)</f>
        <v>0</v>
      </c>
      <c r="S638" s="50">
        <f>IF(B638="","",IF(H638="Done","Yes","No"))</f>
        <v>0</v>
      </c>
      <c r="T638" s="39">
        <f>IF(B638="","",IF(G638="","Add - what was the task?",IF(H638="Issue found",IF(M638="Yes","OK - issue reported","Action - tell the client"),IF(H638="Needs rework","Action - rework needed",IF(AND(H638="Skipped",P638="Yes"),"Check - required task skipped",IF(H638="Done","OK","Due"))))))</f>
        <v>0</v>
      </c>
    </row>
    <row r="639" spans="1:20">
      <c r="A639" s="43">
        <f>IF(B639="","","JT-"&amp;TEXT(ROW()-4,"0000"))</f>
        <v>0</v>
      </c>
      <c r="C639" s="18">
        <f>IF(B639="","",IFERROR(INDEX(Jobs!$B$5:$B$604,MATCH(B639,Jobs!$A$5:$A$604,0)),""))</f>
        <v>0</v>
      </c>
      <c r="D639" s="23">
        <f>IF(B639="","",IFERROR(INDEX(Jobs!$H$5:$H$604,MATCH(B639,Jobs!$A$5:$A$604,0)),""))</f>
        <v>0</v>
      </c>
      <c r="E639" s="23">
        <f>IF(B639="","",IFERROR(INDEX(Jobs!$K$5:$K$604,MATCH(B639,Jobs!$A$5:$A$604,0)),""))</f>
        <v>0</v>
      </c>
      <c r="P639" s="50">
        <f>IF(G639="","",IFERROR(INDEX(Checklists!$J$5:$J$404,MATCH(G639,Checklists!$F$5:$F$404,0)),"Yes"))</f>
        <v>0</v>
      </c>
      <c r="Q639" s="31">
        <f>IF(G639="","",IFERROR(INDEX(Checklists!$H$5:$H$404,MATCH(G639,Checklists!$F$5:$F$404,0)),""))</f>
        <v>0</v>
      </c>
      <c r="R639" s="31">
        <f>IF(OR(J639="",Q639=""),"",J639-Q639)</f>
        <v>0</v>
      </c>
      <c r="S639" s="50">
        <f>IF(B639="","",IF(H639="Done","Yes","No"))</f>
        <v>0</v>
      </c>
      <c r="T639" s="39">
        <f>IF(B639="","",IF(G639="","Add - what was the task?",IF(H639="Issue found",IF(M639="Yes","OK - issue reported","Action - tell the client"),IF(H639="Needs rework","Action - rework needed",IF(AND(H639="Skipped",P639="Yes"),"Check - required task skipped",IF(H639="Done","OK","Due"))))))</f>
        <v>0</v>
      </c>
    </row>
    <row r="640" spans="1:20">
      <c r="A640" s="43">
        <f>IF(B640="","","JT-"&amp;TEXT(ROW()-4,"0000"))</f>
        <v>0</v>
      </c>
      <c r="C640" s="18">
        <f>IF(B640="","",IFERROR(INDEX(Jobs!$B$5:$B$604,MATCH(B640,Jobs!$A$5:$A$604,0)),""))</f>
        <v>0</v>
      </c>
      <c r="D640" s="23">
        <f>IF(B640="","",IFERROR(INDEX(Jobs!$H$5:$H$604,MATCH(B640,Jobs!$A$5:$A$604,0)),""))</f>
        <v>0</v>
      </c>
      <c r="E640" s="23">
        <f>IF(B640="","",IFERROR(INDEX(Jobs!$K$5:$K$604,MATCH(B640,Jobs!$A$5:$A$604,0)),""))</f>
        <v>0</v>
      </c>
      <c r="P640" s="50">
        <f>IF(G640="","",IFERROR(INDEX(Checklists!$J$5:$J$404,MATCH(G640,Checklists!$F$5:$F$404,0)),"Yes"))</f>
        <v>0</v>
      </c>
      <c r="Q640" s="31">
        <f>IF(G640="","",IFERROR(INDEX(Checklists!$H$5:$H$404,MATCH(G640,Checklists!$F$5:$F$404,0)),""))</f>
        <v>0</v>
      </c>
      <c r="R640" s="31">
        <f>IF(OR(J640="",Q640=""),"",J640-Q640)</f>
        <v>0</v>
      </c>
      <c r="S640" s="50">
        <f>IF(B640="","",IF(H640="Done","Yes","No"))</f>
        <v>0</v>
      </c>
      <c r="T640" s="39">
        <f>IF(B640="","",IF(G640="","Add - what was the task?",IF(H640="Issue found",IF(M640="Yes","OK - issue reported","Action - tell the client"),IF(H640="Needs rework","Action - rework needed",IF(AND(H640="Skipped",P640="Yes"),"Check - required task skipped",IF(H640="Done","OK","Due"))))))</f>
        <v>0</v>
      </c>
    </row>
    <row r="641" spans="1:20">
      <c r="A641" s="43">
        <f>IF(B641="","","JT-"&amp;TEXT(ROW()-4,"0000"))</f>
        <v>0</v>
      </c>
      <c r="C641" s="18">
        <f>IF(B641="","",IFERROR(INDEX(Jobs!$B$5:$B$604,MATCH(B641,Jobs!$A$5:$A$604,0)),""))</f>
        <v>0</v>
      </c>
      <c r="D641" s="23">
        <f>IF(B641="","",IFERROR(INDEX(Jobs!$H$5:$H$604,MATCH(B641,Jobs!$A$5:$A$604,0)),""))</f>
        <v>0</v>
      </c>
      <c r="E641" s="23">
        <f>IF(B641="","",IFERROR(INDEX(Jobs!$K$5:$K$604,MATCH(B641,Jobs!$A$5:$A$604,0)),""))</f>
        <v>0</v>
      </c>
      <c r="P641" s="50">
        <f>IF(G641="","",IFERROR(INDEX(Checklists!$J$5:$J$404,MATCH(G641,Checklists!$F$5:$F$404,0)),"Yes"))</f>
        <v>0</v>
      </c>
      <c r="Q641" s="31">
        <f>IF(G641="","",IFERROR(INDEX(Checklists!$H$5:$H$404,MATCH(G641,Checklists!$F$5:$F$404,0)),""))</f>
        <v>0</v>
      </c>
      <c r="R641" s="31">
        <f>IF(OR(J641="",Q641=""),"",J641-Q641)</f>
        <v>0</v>
      </c>
      <c r="S641" s="50">
        <f>IF(B641="","",IF(H641="Done","Yes","No"))</f>
        <v>0</v>
      </c>
      <c r="T641" s="39">
        <f>IF(B641="","",IF(G641="","Add - what was the task?",IF(H641="Issue found",IF(M641="Yes","OK - issue reported","Action - tell the client"),IF(H641="Needs rework","Action - rework needed",IF(AND(H641="Skipped",P641="Yes"),"Check - required task skipped",IF(H641="Done","OK","Due"))))))</f>
        <v>0</v>
      </c>
    </row>
    <row r="642" spans="1:20">
      <c r="A642" s="43">
        <f>IF(B642="","","JT-"&amp;TEXT(ROW()-4,"0000"))</f>
        <v>0</v>
      </c>
      <c r="C642" s="18">
        <f>IF(B642="","",IFERROR(INDEX(Jobs!$B$5:$B$604,MATCH(B642,Jobs!$A$5:$A$604,0)),""))</f>
        <v>0</v>
      </c>
      <c r="D642" s="23">
        <f>IF(B642="","",IFERROR(INDEX(Jobs!$H$5:$H$604,MATCH(B642,Jobs!$A$5:$A$604,0)),""))</f>
        <v>0</v>
      </c>
      <c r="E642" s="23">
        <f>IF(B642="","",IFERROR(INDEX(Jobs!$K$5:$K$604,MATCH(B642,Jobs!$A$5:$A$604,0)),""))</f>
        <v>0</v>
      </c>
      <c r="P642" s="50">
        <f>IF(G642="","",IFERROR(INDEX(Checklists!$J$5:$J$404,MATCH(G642,Checklists!$F$5:$F$404,0)),"Yes"))</f>
        <v>0</v>
      </c>
      <c r="Q642" s="31">
        <f>IF(G642="","",IFERROR(INDEX(Checklists!$H$5:$H$404,MATCH(G642,Checklists!$F$5:$F$404,0)),""))</f>
        <v>0</v>
      </c>
      <c r="R642" s="31">
        <f>IF(OR(J642="",Q642=""),"",J642-Q642)</f>
        <v>0</v>
      </c>
      <c r="S642" s="50">
        <f>IF(B642="","",IF(H642="Done","Yes","No"))</f>
        <v>0</v>
      </c>
      <c r="T642" s="39">
        <f>IF(B642="","",IF(G642="","Add - what was the task?",IF(H642="Issue found",IF(M642="Yes","OK - issue reported","Action - tell the client"),IF(H642="Needs rework","Action - rework needed",IF(AND(H642="Skipped",P642="Yes"),"Check - required task skipped",IF(H642="Done","OK","Due"))))))</f>
        <v>0</v>
      </c>
    </row>
    <row r="643" spans="1:20">
      <c r="A643" s="43">
        <f>IF(B643="","","JT-"&amp;TEXT(ROW()-4,"0000"))</f>
        <v>0</v>
      </c>
      <c r="C643" s="18">
        <f>IF(B643="","",IFERROR(INDEX(Jobs!$B$5:$B$604,MATCH(B643,Jobs!$A$5:$A$604,0)),""))</f>
        <v>0</v>
      </c>
      <c r="D643" s="23">
        <f>IF(B643="","",IFERROR(INDEX(Jobs!$H$5:$H$604,MATCH(B643,Jobs!$A$5:$A$604,0)),""))</f>
        <v>0</v>
      </c>
      <c r="E643" s="23">
        <f>IF(B643="","",IFERROR(INDEX(Jobs!$K$5:$K$604,MATCH(B643,Jobs!$A$5:$A$604,0)),""))</f>
        <v>0</v>
      </c>
      <c r="P643" s="50">
        <f>IF(G643="","",IFERROR(INDEX(Checklists!$J$5:$J$404,MATCH(G643,Checklists!$F$5:$F$404,0)),"Yes"))</f>
        <v>0</v>
      </c>
      <c r="Q643" s="31">
        <f>IF(G643="","",IFERROR(INDEX(Checklists!$H$5:$H$404,MATCH(G643,Checklists!$F$5:$F$404,0)),""))</f>
        <v>0</v>
      </c>
      <c r="R643" s="31">
        <f>IF(OR(J643="",Q643=""),"",J643-Q643)</f>
        <v>0</v>
      </c>
      <c r="S643" s="50">
        <f>IF(B643="","",IF(H643="Done","Yes","No"))</f>
        <v>0</v>
      </c>
      <c r="T643" s="39">
        <f>IF(B643="","",IF(G643="","Add - what was the task?",IF(H643="Issue found",IF(M643="Yes","OK - issue reported","Action - tell the client"),IF(H643="Needs rework","Action - rework needed",IF(AND(H643="Skipped",P643="Yes"),"Check - required task skipped",IF(H643="Done","OK","Due"))))))</f>
        <v>0</v>
      </c>
    </row>
    <row r="644" spans="1:20">
      <c r="A644" s="43">
        <f>IF(B644="","","JT-"&amp;TEXT(ROW()-4,"0000"))</f>
        <v>0</v>
      </c>
      <c r="C644" s="18">
        <f>IF(B644="","",IFERROR(INDEX(Jobs!$B$5:$B$604,MATCH(B644,Jobs!$A$5:$A$604,0)),""))</f>
        <v>0</v>
      </c>
      <c r="D644" s="23">
        <f>IF(B644="","",IFERROR(INDEX(Jobs!$H$5:$H$604,MATCH(B644,Jobs!$A$5:$A$604,0)),""))</f>
        <v>0</v>
      </c>
      <c r="E644" s="23">
        <f>IF(B644="","",IFERROR(INDEX(Jobs!$K$5:$K$604,MATCH(B644,Jobs!$A$5:$A$604,0)),""))</f>
        <v>0</v>
      </c>
      <c r="P644" s="50">
        <f>IF(G644="","",IFERROR(INDEX(Checklists!$J$5:$J$404,MATCH(G644,Checklists!$F$5:$F$404,0)),"Yes"))</f>
        <v>0</v>
      </c>
      <c r="Q644" s="31">
        <f>IF(G644="","",IFERROR(INDEX(Checklists!$H$5:$H$404,MATCH(G644,Checklists!$F$5:$F$404,0)),""))</f>
        <v>0</v>
      </c>
      <c r="R644" s="31">
        <f>IF(OR(J644="",Q644=""),"",J644-Q644)</f>
        <v>0</v>
      </c>
      <c r="S644" s="50">
        <f>IF(B644="","",IF(H644="Done","Yes","No"))</f>
        <v>0</v>
      </c>
      <c r="T644" s="39">
        <f>IF(B644="","",IF(G644="","Add - what was the task?",IF(H644="Issue found",IF(M644="Yes","OK - issue reported","Action - tell the client"),IF(H644="Needs rework","Action - rework needed",IF(AND(H644="Skipped",P644="Yes"),"Check - required task skipped",IF(H644="Done","OK","Due"))))))</f>
        <v>0</v>
      </c>
    </row>
    <row r="645" spans="1:20">
      <c r="A645" s="43">
        <f>IF(B645="","","JT-"&amp;TEXT(ROW()-4,"0000"))</f>
        <v>0</v>
      </c>
      <c r="C645" s="18">
        <f>IF(B645="","",IFERROR(INDEX(Jobs!$B$5:$B$604,MATCH(B645,Jobs!$A$5:$A$604,0)),""))</f>
        <v>0</v>
      </c>
      <c r="D645" s="23">
        <f>IF(B645="","",IFERROR(INDEX(Jobs!$H$5:$H$604,MATCH(B645,Jobs!$A$5:$A$604,0)),""))</f>
        <v>0</v>
      </c>
      <c r="E645" s="23">
        <f>IF(B645="","",IFERROR(INDEX(Jobs!$K$5:$K$604,MATCH(B645,Jobs!$A$5:$A$604,0)),""))</f>
        <v>0</v>
      </c>
      <c r="P645" s="50">
        <f>IF(G645="","",IFERROR(INDEX(Checklists!$J$5:$J$404,MATCH(G645,Checklists!$F$5:$F$404,0)),"Yes"))</f>
        <v>0</v>
      </c>
      <c r="Q645" s="31">
        <f>IF(G645="","",IFERROR(INDEX(Checklists!$H$5:$H$404,MATCH(G645,Checklists!$F$5:$F$404,0)),""))</f>
        <v>0</v>
      </c>
      <c r="R645" s="31">
        <f>IF(OR(J645="",Q645=""),"",J645-Q645)</f>
        <v>0</v>
      </c>
      <c r="S645" s="50">
        <f>IF(B645="","",IF(H645="Done","Yes","No"))</f>
        <v>0</v>
      </c>
      <c r="T645" s="39">
        <f>IF(B645="","",IF(G645="","Add - what was the task?",IF(H645="Issue found",IF(M645="Yes","OK - issue reported","Action - tell the client"),IF(H645="Needs rework","Action - rework needed",IF(AND(H645="Skipped",P645="Yes"),"Check - required task skipped",IF(H645="Done","OK","Due"))))))</f>
        <v>0</v>
      </c>
    </row>
    <row r="646" spans="1:20">
      <c r="A646" s="43">
        <f>IF(B646="","","JT-"&amp;TEXT(ROW()-4,"0000"))</f>
        <v>0</v>
      </c>
      <c r="C646" s="18">
        <f>IF(B646="","",IFERROR(INDEX(Jobs!$B$5:$B$604,MATCH(B646,Jobs!$A$5:$A$604,0)),""))</f>
        <v>0</v>
      </c>
      <c r="D646" s="23">
        <f>IF(B646="","",IFERROR(INDEX(Jobs!$H$5:$H$604,MATCH(B646,Jobs!$A$5:$A$604,0)),""))</f>
        <v>0</v>
      </c>
      <c r="E646" s="23">
        <f>IF(B646="","",IFERROR(INDEX(Jobs!$K$5:$K$604,MATCH(B646,Jobs!$A$5:$A$604,0)),""))</f>
        <v>0</v>
      </c>
      <c r="P646" s="50">
        <f>IF(G646="","",IFERROR(INDEX(Checklists!$J$5:$J$404,MATCH(G646,Checklists!$F$5:$F$404,0)),"Yes"))</f>
        <v>0</v>
      </c>
      <c r="Q646" s="31">
        <f>IF(G646="","",IFERROR(INDEX(Checklists!$H$5:$H$404,MATCH(G646,Checklists!$F$5:$F$404,0)),""))</f>
        <v>0</v>
      </c>
      <c r="R646" s="31">
        <f>IF(OR(J646="",Q646=""),"",J646-Q646)</f>
        <v>0</v>
      </c>
      <c r="S646" s="50">
        <f>IF(B646="","",IF(H646="Done","Yes","No"))</f>
        <v>0</v>
      </c>
      <c r="T646" s="39">
        <f>IF(B646="","",IF(G646="","Add - what was the task?",IF(H646="Issue found",IF(M646="Yes","OK - issue reported","Action - tell the client"),IF(H646="Needs rework","Action - rework needed",IF(AND(H646="Skipped",P646="Yes"),"Check - required task skipped",IF(H646="Done","OK","Due"))))))</f>
        <v>0</v>
      </c>
    </row>
    <row r="647" spans="1:20">
      <c r="A647" s="43">
        <f>IF(B647="","","JT-"&amp;TEXT(ROW()-4,"0000"))</f>
        <v>0</v>
      </c>
      <c r="C647" s="18">
        <f>IF(B647="","",IFERROR(INDEX(Jobs!$B$5:$B$604,MATCH(B647,Jobs!$A$5:$A$604,0)),""))</f>
        <v>0</v>
      </c>
      <c r="D647" s="23">
        <f>IF(B647="","",IFERROR(INDEX(Jobs!$H$5:$H$604,MATCH(B647,Jobs!$A$5:$A$604,0)),""))</f>
        <v>0</v>
      </c>
      <c r="E647" s="23">
        <f>IF(B647="","",IFERROR(INDEX(Jobs!$K$5:$K$604,MATCH(B647,Jobs!$A$5:$A$604,0)),""))</f>
        <v>0</v>
      </c>
      <c r="P647" s="50">
        <f>IF(G647="","",IFERROR(INDEX(Checklists!$J$5:$J$404,MATCH(G647,Checklists!$F$5:$F$404,0)),"Yes"))</f>
        <v>0</v>
      </c>
      <c r="Q647" s="31">
        <f>IF(G647="","",IFERROR(INDEX(Checklists!$H$5:$H$404,MATCH(G647,Checklists!$F$5:$F$404,0)),""))</f>
        <v>0</v>
      </c>
      <c r="R647" s="31">
        <f>IF(OR(J647="",Q647=""),"",J647-Q647)</f>
        <v>0</v>
      </c>
      <c r="S647" s="50">
        <f>IF(B647="","",IF(H647="Done","Yes","No"))</f>
        <v>0</v>
      </c>
      <c r="T647" s="39">
        <f>IF(B647="","",IF(G647="","Add - what was the task?",IF(H647="Issue found",IF(M647="Yes","OK - issue reported","Action - tell the client"),IF(H647="Needs rework","Action - rework needed",IF(AND(H647="Skipped",P647="Yes"),"Check - required task skipped",IF(H647="Done","OK","Due"))))))</f>
        <v>0</v>
      </c>
    </row>
    <row r="648" spans="1:20">
      <c r="A648" s="43">
        <f>IF(B648="","","JT-"&amp;TEXT(ROW()-4,"0000"))</f>
        <v>0</v>
      </c>
      <c r="C648" s="18">
        <f>IF(B648="","",IFERROR(INDEX(Jobs!$B$5:$B$604,MATCH(B648,Jobs!$A$5:$A$604,0)),""))</f>
        <v>0</v>
      </c>
      <c r="D648" s="23">
        <f>IF(B648="","",IFERROR(INDEX(Jobs!$H$5:$H$604,MATCH(B648,Jobs!$A$5:$A$604,0)),""))</f>
        <v>0</v>
      </c>
      <c r="E648" s="23">
        <f>IF(B648="","",IFERROR(INDEX(Jobs!$K$5:$K$604,MATCH(B648,Jobs!$A$5:$A$604,0)),""))</f>
        <v>0</v>
      </c>
      <c r="P648" s="50">
        <f>IF(G648="","",IFERROR(INDEX(Checklists!$J$5:$J$404,MATCH(G648,Checklists!$F$5:$F$404,0)),"Yes"))</f>
        <v>0</v>
      </c>
      <c r="Q648" s="31">
        <f>IF(G648="","",IFERROR(INDEX(Checklists!$H$5:$H$404,MATCH(G648,Checklists!$F$5:$F$404,0)),""))</f>
        <v>0</v>
      </c>
      <c r="R648" s="31">
        <f>IF(OR(J648="",Q648=""),"",J648-Q648)</f>
        <v>0</v>
      </c>
      <c r="S648" s="50">
        <f>IF(B648="","",IF(H648="Done","Yes","No"))</f>
        <v>0</v>
      </c>
      <c r="T648" s="39">
        <f>IF(B648="","",IF(G648="","Add - what was the task?",IF(H648="Issue found",IF(M648="Yes","OK - issue reported","Action - tell the client"),IF(H648="Needs rework","Action - rework needed",IF(AND(H648="Skipped",P648="Yes"),"Check - required task skipped",IF(H648="Done","OK","Due"))))))</f>
        <v>0</v>
      </c>
    </row>
    <row r="649" spans="1:20">
      <c r="A649" s="43">
        <f>IF(B649="","","JT-"&amp;TEXT(ROW()-4,"0000"))</f>
        <v>0</v>
      </c>
      <c r="C649" s="18">
        <f>IF(B649="","",IFERROR(INDEX(Jobs!$B$5:$B$604,MATCH(B649,Jobs!$A$5:$A$604,0)),""))</f>
        <v>0</v>
      </c>
      <c r="D649" s="23">
        <f>IF(B649="","",IFERROR(INDEX(Jobs!$H$5:$H$604,MATCH(B649,Jobs!$A$5:$A$604,0)),""))</f>
        <v>0</v>
      </c>
      <c r="E649" s="23">
        <f>IF(B649="","",IFERROR(INDEX(Jobs!$K$5:$K$604,MATCH(B649,Jobs!$A$5:$A$604,0)),""))</f>
        <v>0</v>
      </c>
      <c r="P649" s="50">
        <f>IF(G649="","",IFERROR(INDEX(Checklists!$J$5:$J$404,MATCH(G649,Checklists!$F$5:$F$404,0)),"Yes"))</f>
        <v>0</v>
      </c>
      <c r="Q649" s="31">
        <f>IF(G649="","",IFERROR(INDEX(Checklists!$H$5:$H$404,MATCH(G649,Checklists!$F$5:$F$404,0)),""))</f>
        <v>0</v>
      </c>
      <c r="R649" s="31">
        <f>IF(OR(J649="",Q649=""),"",J649-Q649)</f>
        <v>0</v>
      </c>
      <c r="S649" s="50">
        <f>IF(B649="","",IF(H649="Done","Yes","No"))</f>
        <v>0</v>
      </c>
      <c r="T649" s="39">
        <f>IF(B649="","",IF(G649="","Add - what was the task?",IF(H649="Issue found",IF(M649="Yes","OK - issue reported","Action - tell the client"),IF(H649="Needs rework","Action - rework needed",IF(AND(H649="Skipped",P649="Yes"),"Check - required task skipped",IF(H649="Done","OK","Due"))))))</f>
        <v>0</v>
      </c>
    </row>
    <row r="650" spans="1:20">
      <c r="A650" s="43">
        <f>IF(B650="","","JT-"&amp;TEXT(ROW()-4,"0000"))</f>
        <v>0</v>
      </c>
      <c r="C650" s="18">
        <f>IF(B650="","",IFERROR(INDEX(Jobs!$B$5:$B$604,MATCH(B650,Jobs!$A$5:$A$604,0)),""))</f>
        <v>0</v>
      </c>
      <c r="D650" s="23">
        <f>IF(B650="","",IFERROR(INDEX(Jobs!$H$5:$H$604,MATCH(B650,Jobs!$A$5:$A$604,0)),""))</f>
        <v>0</v>
      </c>
      <c r="E650" s="23">
        <f>IF(B650="","",IFERROR(INDEX(Jobs!$K$5:$K$604,MATCH(B650,Jobs!$A$5:$A$604,0)),""))</f>
        <v>0</v>
      </c>
      <c r="P650" s="50">
        <f>IF(G650="","",IFERROR(INDEX(Checklists!$J$5:$J$404,MATCH(G650,Checklists!$F$5:$F$404,0)),"Yes"))</f>
        <v>0</v>
      </c>
      <c r="Q650" s="31">
        <f>IF(G650="","",IFERROR(INDEX(Checklists!$H$5:$H$404,MATCH(G650,Checklists!$F$5:$F$404,0)),""))</f>
        <v>0</v>
      </c>
      <c r="R650" s="31">
        <f>IF(OR(J650="",Q650=""),"",J650-Q650)</f>
        <v>0</v>
      </c>
      <c r="S650" s="50">
        <f>IF(B650="","",IF(H650="Done","Yes","No"))</f>
        <v>0</v>
      </c>
      <c r="T650" s="39">
        <f>IF(B650="","",IF(G650="","Add - what was the task?",IF(H650="Issue found",IF(M650="Yes","OK - issue reported","Action - tell the client"),IF(H650="Needs rework","Action - rework needed",IF(AND(H650="Skipped",P650="Yes"),"Check - required task skipped",IF(H650="Done","OK","Due"))))))</f>
        <v>0</v>
      </c>
    </row>
    <row r="651" spans="1:20">
      <c r="A651" s="43">
        <f>IF(B651="","","JT-"&amp;TEXT(ROW()-4,"0000"))</f>
        <v>0</v>
      </c>
      <c r="C651" s="18">
        <f>IF(B651="","",IFERROR(INDEX(Jobs!$B$5:$B$604,MATCH(B651,Jobs!$A$5:$A$604,0)),""))</f>
        <v>0</v>
      </c>
      <c r="D651" s="23">
        <f>IF(B651="","",IFERROR(INDEX(Jobs!$H$5:$H$604,MATCH(B651,Jobs!$A$5:$A$604,0)),""))</f>
        <v>0</v>
      </c>
      <c r="E651" s="23">
        <f>IF(B651="","",IFERROR(INDEX(Jobs!$K$5:$K$604,MATCH(B651,Jobs!$A$5:$A$604,0)),""))</f>
        <v>0</v>
      </c>
      <c r="P651" s="50">
        <f>IF(G651="","",IFERROR(INDEX(Checklists!$J$5:$J$404,MATCH(G651,Checklists!$F$5:$F$404,0)),"Yes"))</f>
        <v>0</v>
      </c>
      <c r="Q651" s="31">
        <f>IF(G651="","",IFERROR(INDEX(Checklists!$H$5:$H$404,MATCH(G651,Checklists!$F$5:$F$404,0)),""))</f>
        <v>0</v>
      </c>
      <c r="R651" s="31">
        <f>IF(OR(J651="",Q651=""),"",J651-Q651)</f>
        <v>0</v>
      </c>
      <c r="S651" s="50">
        <f>IF(B651="","",IF(H651="Done","Yes","No"))</f>
        <v>0</v>
      </c>
      <c r="T651" s="39">
        <f>IF(B651="","",IF(G651="","Add - what was the task?",IF(H651="Issue found",IF(M651="Yes","OK - issue reported","Action - tell the client"),IF(H651="Needs rework","Action - rework needed",IF(AND(H651="Skipped",P651="Yes"),"Check - required task skipped",IF(H651="Done","OK","Due"))))))</f>
        <v>0</v>
      </c>
    </row>
    <row r="652" spans="1:20">
      <c r="A652" s="43">
        <f>IF(B652="","","JT-"&amp;TEXT(ROW()-4,"0000"))</f>
        <v>0</v>
      </c>
      <c r="C652" s="18">
        <f>IF(B652="","",IFERROR(INDEX(Jobs!$B$5:$B$604,MATCH(B652,Jobs!$A$5:$A$604,0)),""))</f>
        <v>0</v>
      </c>
      <c r="D652" s="23">
        <f>IF(B652="","",IFERROR(INDEX(Jobs!$H$5:$H$604,MATCH(B652,Jobs!$A$5:$A$604,0)),""))</f>
        <v>0</v>
      </c>
      <c r="E652" s="23">
        <f>IF(B652="","",IFERROR(INDEX(Jobs!$K$5:$K$604,MATCH(B652,Jobs!$A$5:$A$604,0)),""))</f>
        <v>0</v>
      </c>
      <c r="P652" s="50">
        <f>IF(G652="","",IFERROR(INDEX(Checklists!$J$5:$J$404,MATCH(G652,Checklists!$F$5:$F$404,0)),"Yes"))</f>
        <v>0</v>
      </c>
      <c r="Q652" s="31">
        <f>IF(G652="","",IFERROR(INDEX(Checklists!$H$5:$H$404,MATCH(G652,Checklists!$F$5:$F$404,0)),""))</f>
        <v>0</v>
      </c>
      <c r="R652" s="31">
        <f>IF(OR(J652="",Q652=""),"",J652-Q652)</f>
        <v>0</v>
      </c>
      <c r="S652" s="50">
        <f>IF(B652="","",IF(H652="Done","Yes","No"))</f>
        <v>0</v>
      </c>
      <c r="T652" s="39">
        <f>IF(B652="","",IF(G652="","Add - what was the task?",IF(H652="Issue found",IF(M652="Yes","OK - issue reported","Action - tell the client"),IF(H652="Needs rework","Action - rework needed",IF(AND(H652="Skipped",P652="Yes"),"Check - required task skipped",IF(H652="Done","OK","Due"))))))</f>
        <v>0</v>
      </c>
    </row>
    <row r="653" spans="1:20">
      <c r="A653" s="43">
        <f>IF(B653="","","JT-"&amp;TEXT(ROW()-4,"0000"))</f>
        <v>0</v>
      </c>
      <c r="C653" s="18">
        <f>IF(B653="","",IFERROR(INDEX(Jobs!$B$5:$B$604,MATCH(B653,Jobs!$A$5:$A$604,0)),""))</f>
        <v>0</v>
      </c>
      <c r="D653" s="23">
        <f>IF(B653="","",IFERROR(INDEX(Jobs!$H$5:$H$604,MATCH(B653,Jobs!$A$5:$A$604,0)),""))</f>
        <v>0</v>
      </c>
      <c r="E653" s="23">
        <f>IF(B653="","",IFERROR(INDEX(Jobs!$K$5:$K$604,MATCH(B653,Jobs!$A$5:$A$604,0)),""))</f>
        <v>0</v>
      </c>
      <c r="P653" s="50">
        <f>IF(G653="","",IFERROR(INDEX(Checklists!$J$5:$J$404,MATCH(G653,Checklists!$F$5:$F$404,0)),"Yes"))</f>
        <v>0</v>
      </c>
      <c r="Q653" s="31">
        <f>IF(G653="","",IFERROR(INDEX(Checklists!$H$5:$H$404,MATCH(G653,Checklists!$F$5:$F$404,0)),""))</f>
        <v>0</v>
      </c>
      <c r="R653" s="31">
        <f>IF(OR(J653="",Q653=""),"",J653-Q653)</f>
        <v>0</v>
      </c>
      <c r="S653" s="50">
        <f>IF(B653="","",IF(H653="Done","Yes","No"))</f>
        <v>0</v>
      </c>
      <c r="T653" s="39">
        <f>IF(B653="","",IF(G653="","Add - what was the task?",IF(H653="Issue found",IF(M653="Yes","OK - issue reported","Action - tell the client"),IF(H653="Needs rework","Action - rework needed",IF(AND(H653="Skipped",P653="Yes"),"Check - required task skipped",IF(H653="Done","OK","Due"))))))</f>
        <v>0</v>
      </c>
    </row>
    <row r="654" spans="1:20">
      <c r="A654" s="43">
        <f>IF(B654="","","JT-"&amp;TEXT(ROW()-4,"0000"))</f>
        <v>0</v>
      </c>
      <c r="C654" s="18">
        <f>IF(B654="","",IFERROR(INDEX(Jobs!$B$5:$B$604,MATCH(B654,Jobs!$A$5:$A$604,0)),""))</f>
        <v>0</v>
      </c>
      <c r="D654" s="23">
        <f>IF(B654="","",IFERROR(INDEX(Jobs!$H$5:$H$604,MATCH(B654,Jobs!$A$5:$A$604,0)),""))</f>
        <v>0</v>
      </c>
      <c r="E654" s="23">
        <f>IF(B654="","",IFERROR(INDEX(Jobs!$K$5:$K$604,MATCH(B654,Jobs!$A$5:$A$604,0)),""))</f>
        <v>0</v>
      </c>
      <c r="P654" s="50">
        <f>IF(G654="","",IFERROR(INDEX(Checklists!$J$5:$J$404,MATCH(G654,Checklists!$F$5:$F$404,0)),"Yes"))</f>
        <v>0</v>
      </c>
      <c r="Q654" s="31">
        <f>IF(G654="","",IFERROR(INDEX(Checklists!$H$5:$H$404,MATCH(G654,Checklists!$F$5:$F$404,0)),""))</f>
        <v>0</v>
      </c>
      <c r="R654" s="31">
        <f>IF(OR(J654="",Q654=""),"",J654-Q654)</f>
        <v>0</v>
      </c>
      <c r="S654" s="50">
        <f>IF(B654="","",IF(H654="Done","Yes","No"))</f>
        <v>0</v>
      </c>
      <c r="T654" s="39">
        <f>IF(B654="","",IF(G654="","Add - what was the task?",IF(H654="Issue found",IF(M654="Yes","OK - issue reported","Action - tell the client"),IF(H654="Needs rework","Action - rework needed",IF(AND(H654="Skipped",P654="Yes"),"Check - required task skipped",IF(H654="Done","OK","Due"))))))</f>
        <v>0</v>
      </c>
    </row>
    <row r="655" spans="1:20">
      <c r="A655" s="43">
        <f>IF(B655="","","JT-"&amp;TEXT(ROW()-4,"0000"))</f>
        <v>0</v>
      </c>
      <c r="C655" s="18">
        <f>IF(B655="","",IFERROR(INDEX(Jobs!$B$5:$B$604,MATCH(B655,Jobs!$A$5:$A$604,0)),""))</f>
        <v>0</v>
      </c>
      <c r="D655" s="23">
        <f>IF(B655="","",IFERROR(INDEX(Jobs!$H$5:$H$604,MATCH(B655,Jobs!$A$5:$A$604,0)),""))</f>
        <v>0</v>
      </c>
      <c r="E655" s="23">
        <f>IF(B655="","",IFERROR(INDEX(Jobs!$K$5:$K$604,MATCH(B655,Jobs!$A$5:$A$604,0)),""))</f>
        <v>0</v>
      </c>
      <c r="P655" s="50">
        <f>IF(G655="","",IFERROR(INDEX(Checklists!$J$5:$J$404,MATCH(G655,Checklists!$F$5:$F$404,0)),"Yes"))</f>
        <v>0</v>
      </c>
      <c r="Q655" s="31">
        <f>IF(G655="","",IFERROR(INDEX(Checklists!$H$5:$H$404,MATCH(G655,Checklists!$F$5:$F$404,0)),""))</f>
        <v>0</v>
      </c>
      <c r="R655" s="31">
        <f>IF(OR(J655="",Q655=""),"",J655-Q655)</f>
        <v>0</v>
      </c>
      <c r="S655" s="50">
        <f>IF(B655="","",IF(H655="Done","Yes","No"))</f>
        <v>0</v>
      </c>
      <c r="T655" s="39">
        <f>IF(B655="","",IF(G655="","Add - what was the task?",IF(H655="Issue found",IF(M655="Yes","OK - issue reported","Action - tell the client"),IF(H655="Needs rework","Action - rework needed",IF(AND(H655="Skipped",P655="Yes"),"Check - required task skipped",IF(H655="Done","OK","Due"))))))</f>
        <v>0</v>
      </c>
    </row>
    <row r="656" spans="1:20">
      <c r="A656" s="43">
        <f>IF(B656="","","JT-"&amp;TEXT(ROW()-4,"0000"))</f>
        <v>0</v>
      </c>
      <c r="C656" s="18">
        <f>IF(B656="","",IFERROR(INDEX(Jobs!$B$5:$B$604,MATCH(B656,Jobs!$A$5:$A$604,0)),""))</f>
        <v>0</v>
      </c>
      <c r="D656" s="23">
        <f>IF(B656="","",IFERROR(INDEX(Jobs!$H$5:$H$604,MATCH(B656,Jobs!$A$5:$A$604,0)),""))</f>
        <v>0</v>
      </c>
      <c r="E656" s="23">
        <f>IF(B656="","",IFERROR(INDEX(Jobs!$K$5:$K$604,MATCH(B656,Jobs!$A$5:$A$604,0)),""))</f>
        <v>0</v>
      </c>
      <c r="P656" s="50">
        <f>IF(G656="","",IFERROR(INDEX(Checklists!$J$5:$J$404,MATCH(G656,Checklists!$F$5:$F$404,0)),"Yes"))</f>
        <v>0</v>
      </c>
      <c r="Q656" s="31">
        <f>IF(G656="","",IFERROR(INDEX(Checklists!$H$5:$H$404,MATCH(G656,Checklists!$F$5:$F$404,0)),""))</f>
        <v>0</v>
      </c>
      <c r="R656" s="31">
        <f>IF(OR(J656="",Q656=""),"",J656-Q656)</f>
        <v>0</v>
      </c>
      <c r="S656" s="50">
        <f>IF(B656="","",IF(H656="Done","Yes","No"))</f>
        <v>0</v>
      </c>
      <c r="T656" s="39">
        <f>IF(B656="","",IF(G656="","Add - what was the task?",IF(H656="Issue found",IF(M656="Yes","OK - issue reported","Action - tell the client"),IF(H656="Needs rework","Action - rework needed",IF(AND(H656="Skipped",P656="Yes"),"Check - required task skipped",IF(H656="Done","OK","Due"))))))</f>
        <v>0</v>
      </c>
    </row>
    <row r="657" spans="1:20">
      <c r="A657" s="43">
        <f>IF(B657="","","JT-"&amp;TEXT(ROW()-4,"0000"))</f>
        <v>0</v>
      </c>
      <c r="C657" s="18">
        <f>IF(B657="","",IFERROR(INDEX(Jobs!$B$5:$B$604,MATCH(B657,Jobs!$A$5:$A$604,0)),""))</f>
        <v>0</v>
      </c>
      <c r="D657" s="23">
        <f>IF(B657="","",IFERROR(INDEX(Jobs!$H$5:$H$604,MATCH(B657,Jobs!$A$5:$A$604,0)),""))</f>
        <v>0</v>
      </c>
      <c r="E657" s="23">
        <f>IF(B657="","",IFERROR(INDEX(Jobs!$K$5:$K$604,MATCH(B657,Jobs!$A$5:$A$604,0)),""))</f>
        <v>0</v>
      </c>
      <c r="P657" s="50">
        <f>IF(G657="","",IFERROR(INDEX(Checklists!$J$5:$J$404,MATCH(G657,Checklists!$F$5:$F$404,0)),"Yes"))</f>
        <v>0</v>
      </c>
      <c r="Q657" s="31">
        <f>IF(G657="","",IFERROR(INDEX(Checklists!$H$5:$H$404,MATCH(G657,Checklists!$F$5:$F$404,0)),""))</f>
        <v>0</v>
      </c>
      <c r="R657" s="31">
        <f>IF(OR(J657="",Q657=""),"",J657-Q657)</f>
        <v>0</v>
      </c>
      <c r="S657" s="50">
        <f>IF(B657="","",IF(H657="Done","Yes","No"))</f>
        <v>0</v>
      </c>
      <c r="T657" s="39">
        <f>IF(B657="","",IF(G657="","Add - what was the task?",IF(H657="Issue found",IF(M657="Yes","OK - issue reported","Action - tell the client"),IF(H657="Needs rework","Action - rework needed",IF(AND(H657="Skipped",P657="Yes"),"Check - required task skipped",IF(H657="Done","OK","Due"))))))</f>
        <v>0</v>
      </c>
    </row>
    <row r="658" spans="1:20">
      <c r="A658" s="43">
        <f>IF(B658="","","JT-"&amp;TEXT(ROW()-4,"0000"))</f>
        <v>0</v>
      </c>
      <c r="C658" s="18">
        <f>IF(B658="","",IFERROR(INDEX(Jobs!$B$5:$B$604,MATCH(B658,Jobs!$A$5:$A$604,0)),""))</f>
        <v>0</v>
      </c>
      <c r="D658" s="23">
        <f>IF(B658="","",IFERROR(INDEX(Jobs!$H$5:$H$604,MATCH(B658,Jobs!$A$5:$A$604,0)),""))</f>
        <v>0</v>
      </c>
      <c r="E658" s="23">
        <f>IF(B658="","",IFERROR(INDEX(Jobs!$K$5:$K$604,MATCH(B658,Jobs!$A$5:$A$604,0)),""))</f>
        <v>0</v>
      </c>
      <c r="P658" s="50">
        <f>IF(G658="","",IFERROR(INDEX(Checklists!$J$5:$J$404,MATCH(G658,Checklists!$F$5:$F$404,0)),"Yes"))</f>
        <v>0</v>
      </c>
      <c r="Q658" s="31">
        <f>IF(G658="","",IFERROR(INDEX(Checklists!$H$5:$H$404,MATCH(G658,Checklists!$F$5:$F$404,0)),""))</f>
        <v>0</v>
      </c>
      <c r="R658" s="31">
        <f>IF(OR(J658="",Q658=""),"",J658-Q658)</f>
        <v>0</v>
      </c>
      <c r="S658" s="50">
        <f>IF(B658="","",IF(H658="Done","Yes","No"))</f>
        <v>0</v>
      </c>
      <c r="T658" s="39">
        <f>IF(B658="","",IF(G658="","Add - what was the task?",IF(H658="Issue found",IF(M658="Yes","OK - issue reported","Action - tell the client"),IF(H658="Needs rework","Action - rework needed",IF(AND(H658="Skipped",P658="Yes"),"Check - required task skipped",IF(H658="Done","OK","Due"))))))</f>
        <v>0</v>
      </c>
    </row>
    <row r="659" spans="1:20">
      <c r="A659" s="43">
        <f>IF(B659="","","JT-"&amp;TEXT(ROW()-4,"0000"))</f>
        <v>0</v>
      </c>
      <c r="C659" s="18">
        <f>IF(B659="","",IFERROR(INDEX(Jobs!$B$5:$B$604,MATCH(B659,Jobs!$A$5:$A$604,0)),""))</f>
        <v>0</v>
      </c>
      <c r="D659" s="23">
        <f>IF(B659="","",IFERROR(INDEX(Jobs!$H$5:$H$604,MATCH(B659,Jobs!$A$5:$A$604,0)),""))</f>
        <v>0</v>
      </c>
      <c r="E659" s="23">
        <f>IF(B659="","",IFERROR(INDEX(Jobs!$K$5:$K$604,MATCH(B659,Jobs!$A$5:$A$604,0)),""))</f>
        <v>0</v>
      </c>
      <c r="P659" s="50">
        <f>IF(G659="","",IFERROR(INDEX(Checklists!$J$5:$J$404,MATCH(G659,Checklists!$F$5:$F$404,0)),"Yes"))</f>
        <v>0</v>
      </c>
      <c r="Q659" s="31">
        <f>IF(G659="","",IFERROR(INDEX(Checklists!$H$5:$H$404,MATCH(G659,Checklists!$F$5:$F$404,0)),""))</f>
        <v>0</v>
      </c>
      <c r="R659" s="31">
        <f>IF(OR(J659="",Q659=""),"",J659-Q659)</f>
        <v>0</v>
      </c>
      <c r="S659" s="50">
        <f>IF(B659="","",IF(H659="Done","Yes","No"))</f>
        <v>0</v>
      </c>
      <c r="T659" s="39">
        <f>IF(B659="","",IF(G659="","Add - what was the task?",IF(H659="Issue found",IF(M659="Yes","OK - issue reported","Action - tell the client"),IF(H659="Needs rework","Action - rework needed",IF(AND(H659="Skipped",P659="Yes"),"Check - required task skipped",IF(H659="Done","OK","Due"))))))</f>
        <v>0</v>
      </c>
    </row>
    <row r="660" spans="1:20">
      <c r="A660" s="43">
        <f>IF(B660="","","JT-"&amp;TEXT(ROW()-4,"0000"))</f>
        <v>0</v>
      </c>
      <c r="C660" s="18">
        <f>IF(B660="","",IFERROR(INDEX(Jobs!$B$5:$B$604,MATCH(B660,Jobs!$A$5:$A$604,0)),""))</f>
        <v>0</v>
      </c>
      <c r="D660" s="23">
        <f>IF(B660="","",IFERROR(INDEX(Jobs!$H$5:$H$604,MATCH(B660,Jobs!$A$5:$A$604,0)),""))</f>
        <v>0</v>
      </c>
      <c r="E660" s="23">
        <f>IF(B660="","",IFERROR(INDEX(Jobs!$K$5:$K$604,MATCH(B660,Jobs!$A$5:$A$604,0)),""))</f>
        <v>0</v>
      </c>
      <c r="P660" s="50">
        <f>IF(G660="","",IFERROR(INDEX(Checklists!$J$5:$J$404,MATCH(G660,Checklists!$F$5:$F$404,0)),"Yes"))</f>
        <v>0</v>
      </c>
      <c r="Q660" s="31">
        <f>IF(G660="","",IFERROR(INDEX(Checklists!$H$5:$H$404,MATCH(G660,Checklists!$F$5:$F$404,0)),""))</f>
        <v>0</v>
      </c>
      <c r="R660" s="31">
        <f>IF(OR(J660="",Q660=""),"",J660-Q660)</f>
        <v>0</v>
      </c>
      <c r="S660" s="50">
        <f>IF(B660="","",IF(H660="Done","Yes","No"))</f>
        <v>0</v>
      </c>
      <c r="T660" s="39">
        <f>IF(B660="","",IF(G660="","Add - what was the task?",IF(H660="Issue found",IF(M660="Yes","OK - issue reported","Action - tell the client"),IF(H660="Needs rework","Action - rework needed",IF(AND(H660="Skipped",P660="Yes"),"Check - required task skipped",IF(H660="Done","OK","Due"))))))</f>
        <v>0</v>
      </c>
    </row>
    <row r="661" spans="1:20">
      <c r="A661" s="43">
        <f>IF(B661="","","JT-"&amp;TEXT(ROW()-4,"0000"))</f>
        <v>0</v>
      </c>
      <c r="C661" s="18">
        <f>IF(B661="","",IFERROR(INDEX(Jobs!$B$5:$B$604,MATCH(B661,Jobs!$A$5:$A$604,0)),""))</f>
        <v>0</v>
      </c>
      <c r="D661" s="23">
        <f>IF(B661="","",IFERROR(INDEX(Jobs!$H$5:$H$604,MATCH(B661,Jobs!$A$5:$A$604,0)),""))</f>
        <v>0</v>
      </c>
      <c r="E661" s="23">
        <f>IF(B661="","",IFERROR(INDEX(Jobs!$K$5:$K$604,MATCH(B661,Jobs!$A$5:$A$604,0)),""))</f>
        <v>0</v>
      </c>
      <c r="P661" s="50">
        <f>IF(G661="","",IFERROR(INDEX(Checklists!$J$5:$J$404,MATCH(G661,Checklists!$F$5:$F$404,0)),"Yes"))</f>
        <v>0</v>
      </c>
      <c r="Q661" s="31">
        <f>IF(G661="","",IFERROR(INDEX(Checklists!$H$5:$H$404,MATCH(G661,Checklists!$F$5:$F$404,0)),""))</f>
        <v>0</v>
      </c>
      <c r="R661" s="31">
        <f>IF(OR(J661="",Q661=""),"",J661-Q661)</f>
        <v>0</v>
      </c>
      <c r="S661" s="50">
        <f>IF(B661="","",IF(H661="Done","Yes","No"))</f>
        <v>0</v>
      </c>
      <c r="T661" s="39">
        <f>IF(B661="","",IF(G661="","Add - what was the task?",IF(H661="Issue found",IF(M661="Yes","OK - issue reported","Action - tell the client"),IF(H661="Needs rework","Action - rework needed",IF(AND(H661="Skipped",P661="Yes"),"Check - required task skipped",IF(H661="Done","OK","Due"))))))</f>
        <v>0</v>
      </c>
    </row>
    <row r="662" spans="1:20">
      <c r="A662" s="43">
        <f>IF(B662="","","JT-"&amp;TEXT(ROW()-4,"0000"))</f>
        <v>0</v>
      </c>
      <c r="C662" s="18">
        <f>IF(B662="","",IFERROR(INDEX(Jobs!$B$5:$B$604,MATCH(B662,Jobs!$A$5:$A$604,0)),""))</f>
        <v>0</v>
      </c>
      <c r="D662" s="23">
        <f>IF(B662="","",IFERROR(INDEX(Jobs!$H$5:$H$604,MATCH(B662,Jobs!$A$5:$A$604,0)),""))</f>
        <v>0</v>
      </c>
      <c r="E662" s="23">
        <f>IF(B662="","",IFERROR(INDEX(Jobs!$K$5:$K$604,MATCH(B662,Jobs!$A$5:$A$604,0)),""))</f>
        <v>0</v>
      </c>
      <c r="P662" s="50">
        <f>IF(G662="","",IFERROR(INDEX(Checklists!$J$5:$J$404,MATCH(G662,Checklists!$F$5:$F$404,0)),"Yes"))</f>
        <v>0</v>
      </c>
      <c r="Q662" s="31">
        <f>IF(G662="","",IFERROR(INDEX(Checklists!$H$5:$H$404,MATCH(G662,Checklists!$F$5:$F$404,0)),""))</f>
        <v>0</v>
      </c>
      <c r="R662" s="31">
        <f>IF(OR(J662="",Q662=""),"",J662-Q662)</f>
        <v>0</v>
      </c>
      <c r="S662" s="50">
        <f>IF(B662="","",IF(H662="Done","Yes","No"))</f>
        <v>0</v>
      </c>
      <c r="T662" s="39">
        <f>IF(B662="","",IF(G662="","Add - what was the task?",IF(H662="Issue found",IF(M662="Yes","OK - issue reported","Action - tell the client"),IF(H662="Needs rework","Action - rework needed",IF(AND(H662="Skipped",P662="Yes"),"Check - required task skipped",IF(H662="Done","OK","Due"))))))</f>
        <v>0</v>
      </c>
    </row>
    <row r="663" spans="1:20">
      <c r="A663" s="43">
        <f>IF(B663="","","JT-"&amp;TEXT(ROW()-4,"0000"))</f>
        <v>0</v>
      </c>
      <c r="C663" s="18">
        <f>IF(B663="","",IFERROR(INDEX(Jobs!$B$5:$B$604,MATCH(B663,Jobs!$A$5:$A$604,0)),""))</f>
        <v>0</v>
      </c>
      <c r="D663" s="23">
        <f>IF(B663="","",IFERROR(INDEX(Jobs!$H$5:$H$604,MATCH(B663,Jobs!$A$5:$A$604,0)),""))</f>
        <v>0</v>
      </c>
      <c r="E663" s="23">
        <f>IF(B663="","",IFERROR(INDEX(Jobs!$K$5:$K$604,MATCH(B663,Jobs!$A$5:$A$604,0)),""))</f>
        <v>0</v>
      </c>
      <c r="P663" s="50">
        <f>IF(G663="","",IFERROR(INDEX(Checklists!$J$5:$J$404,MATCH(G663,Checklists!$F$5:$F$404,0)),"Yes"))</f>
        <v>0</v>
      </c>
      <c r="Q663" s="31">
        <f>IF(G663="","",IFERROR(INDEX(Checklists!$H$5:$H$404,MATCH(G663,Checklists!$F$5:$F$404,0)),""))</f>
        <v>0</v>
      </c>
      <c r="R663" s="31">
        <f>IF(OR(J663="",Q663=""),"",J663-Q663)</f>
        <v>0</v>
      </c>
      <c r="S663" s="50">
        <f>IF(B663="","",IF(H663="Done","Yes","No"))</f>
        <v>0</v>
      </c>
      <c r="T663" s="39">
        <f>IF(B663="","",IF(G663="","Add - what was the task?",IF(H663="Issue found",IF(M663="Yes","OK - issue reported","Action - tell the client"),IF(H663="Needs rework","Action - rework needed",IF(AND(H663="Skipped",P663="Yes"),"Check - required task skipped",IF(H663="Done","OK","Due"))))))</f>
        <v>0</v>
      </c>
    </row>
    <row r="664" spans="1:20">
      <c r="A664" s="43">
        <f>IF(B664="","","JT-"&amp;TEXT(ROW()-4,"0000"))</f>
        <v>0</v>
      </c>
      <c r="C664" s="18">
        <f>IF(B664="","",IFERROR(INDEX(Jobs!$B$5:$B$604,MATCH(B664,Jobs!$A$5:$A$604,0)),""))</f>
        <v>0</v>
      </c>
      <c r="D664" s="23">
        <f>IF(B664="","",IFERROR(INDEX(Jobs!$H$5:$H$604,MATCH(B664,Jobs!$A$5:$A$604,0)),""))</f>
        <v>0</v>
      </c>
      <c r="E664" s="23">
        <f>IF(B664="","",IFERROR(INDEX(Jobs!$K$5:$K$604,MATCH(B664,Jobs!$A$5:$A$604,0)),""))</f>
        <v>0</v>
      </c>
      <c r="P664" s="50">
        <f>IF(G664="","",IFERROR(INDEX(Checklists!$J$5:$J$404,MATCH(G664,Checklists!$F$5:$F$404,0)),"Yes"))</f>
        <v>0</v>
      </c>
      <c r="Q664" s="31">
        <f>IF(G664="","",IFERROR(INDEX(Checklists!$H$5:$H$404,MATCH(G664,Checklists!$F$5:$F$404,0)),""))</f>
        <v>0</v>
      </c>
      <c r="R664" s="31">
        <f>IF(OR(J664="",Q664=""),"",J664-Q664)</f>
        <v>0</v>
      </c>
      <c r="S664" s="50">
        <f>IF(B664="","",IF(H664="Done","Yes","No"))</f>
        <v>0</v>
      </c>
      <c r="T664" s="39">
        <f>IF(B664="","",IF(G664="","Add - what was the task?",IF(H664="Issue found",IF(M664="Yes","OK - issue reported","Action - tell the client"),IF(H664="Needs rework","Action - rework needed",IF(AND(H664="Skipped",P664="Yes"),"Check - required task skipped",IF(H664="Done","OK","Due"))))))</f>
        <v>0</v>
      </c>
    </row>
    <row r="665" spans="1:20">
      <c r="A665" s="43">
        <f>IF(B665="","","JT-"&amp;TEXT(ROW()-4,"0000"))</f>
        <v>0</v>
      </c>
      <c r="C665" s="18">
        <f>IF(B665="","",IFERROR(INDEX(Jobs!$B$5:$B$604,MATCH(B665,Jobs!$A$5:$A$604,0)),""))</f>
        <v>0</v>
      </c>
      <c r="D665" s="23">
        <f>IF(B665="","",IFERROR(INDEX(Jobs!$H$5:$H$604,MATCH(B665,Jobs!$A$5:$A$604,0)),""))</f>
        <v>0</v>
      </c>
      <c r="E665" s="23">
        <f>IF(B665="","",IFERROR(INDEX(Jobs!$K$5:$K$604,MATCH(B665,Jobs!$A$5:$A$604,0)),""))</f>
        <v>0</v>
      </c>
      <c r="P665" s="50">
        <f>IF(G665="","",IFERROR(INDEX(Checklists!$J$5:$J$404,MATCH(G665,Checklists!$F$5:$F$404,0)),"Yes"))</f>
        <v>0</v>
      </c>
      <c r="Q665" s="31">
        <f>IF(G665="","",IFERROR(INDEX(Checklists!$H$5:$H$404,MATCH(G665,Checklists!$F$5:$F$404,0)),""))</f>
        <v>0</v>
      </c>
      <c r="R665" s="31">
        <f>IF(OR(J665="",Q665=""),"",J665-Q665)</f>
        <v>0</v>
      </c>
      <c r="S665" s="50">
        <f>IF(B665="","",IF(H665="Done","Yes","No"))</f>
        <v>0</v>
      </c>
      <c r="T665" s="39">
        <f>IF(B665="","",IF(G665="","Add - what was the task?",IF(H665="Issue found",IF(M665="Yes","OK - issue reported","Action - tell the client"),IF(H665="Needs rework","Action - rework needed",IF(AND(H665="Skipped",P665="Yes"),"Check - required task skipped",IF(H665="Done","OK","Due"))))))</f>
        <v>0</v>
      </c>
    </row>
    <row r="666" spans="1:20">
      <c r="A666" s="43">
        <f>IF(B666="","","JT-"&amp;TEXT(ROW()-4,"0000"))</f>
        <v>0</v>
      </c>
      <c r="C666" s="18">
        <f>IF(B666="","",IFERROR(INDEX(Jobs!$B$5:$B$604,MATCH(B666,Jobs!$A$5:$A$604,0)),""))</f>
        <v>0</v>
      </c>
      <c r="D666" s="23">
        <f>IF(B666="","",IFERROR(INDEX(Jobs!$H$5:$H$604,MATCH(B666,Jobs!$A$5:$A$604,0)),""))</f>
        <v>0</v>
      </c>
      <c r="E666" s="23">
        <f>IF(B666="","",IFERROR(INDEX(Jobs!$K$5:$K$604,MATCH(B666,Jobs!$A$5:$A$604,0)),""))</f>
        <v>0</v>
      </c>
      <c r="P666" s="50">
        <f>IF(G666="","",IFERROR(INDEX(Checklists!$J$5:$J$404,MATCH(G666,Checklists!$F$5:$F$404,0)),"Yes"))</f>
        <v>0</v>
      </c>
      <c r="Q666" s="31">
        <f>IF(G666="","",IFERROR(INDEX(Checklists!$H$5:$H$404,MATCH(G666,Checklists!$F$5:$F$404,0)),""))</f>
        <v>0</v>
      </c>
      <c r="R666" s="31">
        <f>IF(OR(J666="",Q666=""),"",J666-Q666)</f>
        <v>0</v>
      </c>
      <c r="S666" s="50">
        <f>IF(B666="","",IF(H666="Done","Yes","No"))</f>
        <v>0</v>
      </c>
      <c r="T666" s="39">
        <f>IF(B666="","",IF(G666="","Add - what was the task?",IF(H666="Issue found",IF(M666="Yes","OK - issue reported","Action - tell the client"),IF(H666="Needs rework","Action - rework needed",IF(AND(H666="Skipped",P666="Yes"),"Check - required task skipped",IF(H666="Done","OK","Due"))))))</f>
        <v>0</v>
      </c>
    </row>
    <row r="667" spans="1:20">
      <c r="A667" s="43">
        <f>IF(B667="","","JT-"&amp;TEXT(ROW()-4,"0000"))</f>
        <v>0</v>
      </c>
      <c r="C667" s="18">
        <f>IF(B667="","",IFERROR(INDEX(Jobs!$B$5:$B$604,MATCH(B667,Jobs!$A$5:$A$604,0)),""))</f>
        <v>0</v>
      </c>
      <c r="D667" s="23">
        <f>IF(B667="","",IFERROR(INDEX(Jobs!$H$5:$H$604,MATCH(B667,Jobs!$A$5:$A$604,0)),""))</f>
        <v>0</v>
      </c>
      <c r="E667" s="23">
        <f>IF(B667="","",IFERROR(INDEX(Jobs!$K$5:$K$604,MATCH(B667,Jobs!$A$5:$A$604,0)),""))</f>
        <v>0</v>
      </c>
      <c r="P667" s="50">
        <f>IF(G667="","",IFERROR(INDEX(Checklists!$J$5:$J$404,MATCH(G667,Checklists!$F$5:$F$404,0)),"Yes"))</f>
        <v>0</v>
      </c>
      <c r="Q667" s="31">
        <f>IF(G667="","",IFERROR(INDEX(Checklists!$H$5:$H$404,MATCH(G667,Checklists!$F$5:$F$404,0)),""))</f>
        <v>0</v>
      </c>
      <c r="R667" s="31">
        <f>IF(OR(J667="",Q667=""),"",J667-Q667)</f>
        <v>0</v>
      </c>
      <c r="S667" s="50">
        <f>IF(B667="","",IF(H667="Done","Yes","No"))</f>
        <v>0</v>
      </c>
      <c r="T667" s="39">
        <f>IF(B667="","",IF(G667="","Add - what was the task?",IF(H667="Issue found",IF(M667="Yes","OK - issue reported","Action - tell the client"),IF(H667="Needs rework","Action - rework needed",IF(AND(H667="Skipped",P667="Yes"),"Check - required task skipped",IF(H667="Done","OK","Due"))))))</f>
        <v>0</v>
      </c>
    </row>
    <row r="668" spans="1:20">
      <c r="A668" s="43">
        <f>IF(B668="","","JT-"&amp;TEXT(ROW()-4,"0000"))</f>
        <v>0</v>
      </c>
      <c r="C668" s="18">
        <f>IF(B668="","",IFERROR(INDEX(Jobs!$B$5:$B$604,MATCH(B668,Jobs!$A$5:$A$604,0)),""))</f>
        <v>0</v>
      </c>
      <c r="D668" s="23">
        <f>IF(B668="","",IFERROR(INDEX(Jobs!$H$5:$H$604,MATCH(B668,Jobs!$A$5:$A$604,0)),""))</f>
        <v>0</v>
      </c>
      <c r="E668" s="23">
        <f>IF(B668="","",IFERROR(INDEX(Jobs!$K$5:$K$604,MATCH(B668,Jobs!$A$5:$A$604,0)),""))</f>
        <v>0</v>
      </c>
      <c r="P668" s="50">
        <f>IF(G668="","",IFERROR(INDEX(Checklists!$J$5:$J$404,MATCH(G668,Checklists!$F$5:$F$404,0)),"Yes"))</f>
        <v>0</v>
      </c>
      <c r="Q668" s="31">
        <f>IF(G668="","",IFERROR(INDEX(Checklists!$H$5:$H$404,MATCH(G668,Checklists!$F$5:$F$404,0)),""))</f>
        <v>0</v>
      </c>
      <c r="R668" s="31">
        <f>IF(OR(J668="",Q668=""),"",J668-Q668)</f>
        <v>0</v>
      </c>
      <c r="S668" s="50">
        <f>IF(B668="","",IF(H668="Done","Yes","No"))</f>
        <v>0</v>
      </c>
      <c r="T668" s="39">
        <f>IF(B668="","",IF(G668="","Add - what was the task?",IF(H668="Issue found",IF(M668="Yes","OK - issue reported","Action - tell the client"),IF(H668="Needs rework","Action - rework needed",IF(AND(H668="Skipped",P668="Yes"),"Check - required task skipped",IF(H668="Done","OK","Due"))))))</f>
        <v>0</v>
      </c>
    </row>
    <row r="669" spans="1:20">
      <c r="A669" s="43">
        <f>IF(B669="","","JT-"&amp;TEXT(ROW()-4,"0000"))</f>
        <v>0</v>
      </c>
      <c r="C669" s="18">
        <f>IF(B669="","",IFERROR(INDEX(Jobs!$B$5:$B$604,MATCH(B669,Jobs!$A$5:$A$604,0)),""))</f>
        <v>0</v>
      </c>
      <c r="D669" s="23">
        <f>IF(B669="","",IFERROR(INDEX(Jobs!$H$5:$H$604,MATCH(B669,Jobs!$A$5:$A$604,0)),""))</f>
        <v>0</v>
      </c>
      <c r="E669" s="23">
        <f>IF(B669="","",IFERROR(INDEX(Jobs!$K$5:$K$604,MATCH(B669,Jobs!$A$5:$A$604,0)),""))</f>
        <v>0</v>
      </c>
      <c r="P669" s="50">
        <f>IF(G669="","",IFERROR(INDEX(Checklists!$J$5:$J$404,MATCH(G669,Checklists!$F$5:$F$404,0)),"Yes"))</f>
        <v>0</v>
      </c>
      <c r="Q669" s="31">
        <f>IF(G669="","",IFERROR(INDEX(Checklists!$H$5:$H$404,MATCH(G669,Checklists!$F$5:$F$404,0)),""))</f>
        <v>0</v>
      </c>
      <c r="R669" s="31">
        <f>IF(OR(J669="",Q669=""),"",J669-Q669)</f>
        <v>0</v>
      </c>
      <c r="S669" s="50">
        <f>IF(B669="","",IF(H669="Done","Yes","No"))</f>
        <v>0</v>
      </c>
      <c r="T669" s="39">
        <f>IF(B669="","",IF(G669="","Add - what was the task?",IF(H669="Issue found",IF(M669="Yes","OK - issue reported","Action - tell the client"),IF(H669="Needs rework","Action - rework needed",IF(AND(H669="Skipped",P669="Yes"),"Check - required task skipped",IF(H669="Done","OK","Due"))))))</f>
        <v>0</v>
      </c>
    </row>
    <row r="670" spans="1:20">
      <c r="A670" s="43">
        <f>IF(B670="","","JT-"&amp;TEXT(ROW()-4,"0000"))</f>
        <v>0</v>
      </c>
      <c r="C670" s="18">
        <f>IF(B670="","",IFERROR(INDEX(Jobs!$B$5:$B$604,MATCH(B670,Jobs!$A$5:$A$604,0)),""))</f>
        <v>0</v>
      </c>
      <c r="D670" s="23">
        <f>IF(B670="","",IFERROR(INDEX(Jobs!$H$5:$H$604,MATCH(B670,Jobs!$A$5:$A$604,0)),""))</f>
        <v>0</v>
      </c>
      <c r="E670" s="23">
        <f>IF(B670="","",IFERROR(INDEX(Jobs!$K$5:$K$604,MATCH(B670,Jobs!$A$5:$A$604,0)),""))</f>
        <v>0</v>
      </c>
      <c r="P670" s="50">
        <f>IF(G670="","",IFERROR(INDEX(Checklists!$J$5:$J$404,MATCH(G670,Checklists!$F$5:$F$404,0)),"Yes"))</f>
        <v>0</v>
      </c>
      <c r="Q670" s="31">
        <f>IF(G670="","",IFERROR(INDEX(Checklists!$H$5:$H$404,MATCH(G670,Checklists!$F$5:$F$404,0)),""))</f>
        <v>0</v>
      </c>
      <c r="R670" s="31">
        <f>IF(OR(J670="",Q670=""),"",J670-Q670)</f>
        <v>0</v>
      </c>
      <c r="S670" s="50">
        <f>IF(B670="","",IF(H670="Done","Yes","No"))</f>
        <v>0</v>
      </c>
      <c r="T670" s="39">
        <f>IF(B670="","",IF(G670="","Add - what was the task?",IF(H670="Issue found",IF(M670="Yes","OK - issue reported","Action - tell the client"),IF(H670="Needs rework","Action - rework needed",IF(AND(H670="Skipped",P670="Yes"),"Check - required task skipped",IF(H670="Done","OK","Due"))))))</f>
        <v>0</v>
      </c>
    </row>
    <row r="671" spans="1:20">
      <c r="A671" s="43">
        <f>IF(B671="","","JT-"&amp;TEXT(ROW()-4,"0000"))</f>
        <v>0</v>
      </c>
      <c r="C671" s="18">
        <f>IF(B671="","",IFERROR(INDEX(Jobs!$B$5:$B$604,MATCH(B671,Jobs!$A$5:$A$604,0)),""))</f>
        <v>0</v>
      </c>
      <c r="D671" s="23">
        <f>IF(B671="","",IFERROR(INDEX(Jobs!$H$5:$H$604,MATCH(B671,Jobs!$A$5:$A$604,0)),""))</f>
        <v>0</v>
      </c>
      <c r="E671" s="23">
        <f>IF(B671="","",IFERROR(INDEX(Jobs!$K$5:$K$604,MATCH(B671,Jobs!$A$5:$A$604,0)),""))</f>
        <v>0</v>
      </c>
      <c r="P671" s="50">
        <f>IF(G671="","",IFERROR(INDEX(Checklists!$J$5:$J$404,MATCH(G671,Checklists!$F$5:$F$404,0)),"Yes"))</f>
        <v>0</v>
      </c>
      <c r="Q671" s="31">
        <f>IF(G671="","",IFERROR(INDEX(Checklists!$H$5:$H$404,MATCH(G671,Checklists!$F$5:$F$404,0)),""))</f>
        <v>0</v>
      </c>
      <c r="R671" s="31">
        <f>IF(OR(J671="",Q671=""),"",J671-Q671)</f>
        <v>0</v>
      </c>
      <c r="S671" s="50">
        <f>IF(B671="","",IF(H671="Done","Yes","No"))</f>
        <v>0</v>
      </c>
      <c r="T671" s="39">
        <f>IF(B671="","",IF(G671="","Add - what was the task?",IF(H671="Issue found",IF(M671="Yes","OK - issue reported","Action - tell the client"),IF(H671="Needs rework","Action - rework needed",IF(AND(H671="Skipped",P671="Yes"),"Check - required task skipped",IF(H671="Done","OK","Due"))))))</f>
        <v>0</v>
      </c>
    </row>
    <row r="672" spans="1:20">
      <c r="A672" s="43">
        <f>IF(B672="","","JT-"&amp;TEXT(ROW()-4,"0000"))</f>
        <v>0</v>
      </c>
      <c r="C672" s="18">
        <f>IF(B672="","",IFERROR(INDEX(Jobs!$B$5:$B$604,MATCH(B672,Jobs!$A$5:$A$604,0)),""))</f>
        <v>0</v>
      </c>
      <c r="D672" s="23">
        <f>IF(B672="","",IFERROR(INDEX(Jobs!$H$5:$H$604,MATCH(B672,Jobs!$A$5:$A$604,0)),""))</f>
        <v>0</v>
      </c>
      <c r="E672" s="23">
        <f>IF(B672="","",IFERROR(INDEX(Jobs!$K$5:$K$604,MATCH(B672,Jobs!$A$5:$A$604,0)),""))</f>
        <v>0</v>
      </c>
      <c r="P672" s="50">
        <f>IF(G672="","",IFERROR(INDEX(Checklists!$J$5:$J$404,MATCH(G672,Checklists!$F$5:$F$404,0)),"Yes"))</f>
        <v>0</v>
      </c>
      <c r="Q672" s="31">
        <f>IF(G672="","",IFERROR(INDEX(Checklists!$H$5:$H$404,MATCH(G672,Checklists!$F$5:$F$404,0)),""))</f>
        <v>0</v>
      </c>
      <c r="R672" s="31">
        <f>IF(OR(J672="",Q672=""),"",J672-Q672)</f>
        <v>0</v>
      </c>
      <c r="S672" s="50">
        <f>IF(B672="","",IF(H672="Done","Yes","No"))</f>
        <v>0</v>
      </c>
      <c r="T672" s="39">
        <f>IF(B672="","",IF(G672="","Add - what was the task?",IF(H672="Issue found",IF(M672="Yes","OK - issue reported","Action - tell the client"),IF(H672="Needs rework","Action - rework needed",IF(AND(H672="Skipped",P672="Yes"),"Check - required task skipped",IF(H672="Done","OK","Due"))))))</f>
        <v>0</v>
      </c>
    </row>
    <row r="673" spans="1:20">
      <c r="A673" s="43">
        <f>IF(B673="","","JT-"&amp;TEXT(ROW()-4,"0000"))</f>
        <v>0</v>
      </c>
      <c r="C673" s="18">
        <f>IF(B673="","",IFERROR(INDEX(Jobs!$B$5:$B$604,MATCH(B673,Jobs!$A$5:$A$604,0)),""))</f>
        <v>0</v>
      </c>
      <c r="D673" s="23">
        <f>IF(B673="","",IFERROR(INDEX(Jobs!$H$5:$H$604,MATCH(B673,Jobs!$A$5:$A$604,0)),""))</f>
        <v>0</v>
      </c>
      <c r="E673" s="23">
        <f>IF(B673="","",IFERROR(INDEX(Jobs!$K$5:$K$604,MATCH(B673,Jobs!$A$5:$A$604,0)),""))</f>
        <v>0</v>
      </c>
      <c r="P673" s="50">
        <f>IF(G673="","",IFERROR(INDEX(Checklists!$J$5:$J$404,MATCH(G673,Checklists!$F$5:$F$404,0)),"Yes"))</f>
        <v>0</v>
      </c>
      <c r="Q673" s="31">
        <f>IF(G673="","",IFERROR(INDEX(Checklists!$H$5:$H$404,MATCH(G673,Checklists!$F$5:$F$404,0)),""))</f>
        <v>0</v>
      </c>
      <c r="R673" s="31">
        <f>IF(OR(J673="",Q673=""),"",J673-Q673)</f>
        <v>0</v>
      </c>
      <c r="S673" s="50">
        <f>IF(B673="","",IF(H673="Done","Yes","No"))</f>
        <v>0</v>
      </c>
      <c r="T673" s="39">
        <f>IF(B673="","",IF(G673="","Add - what was the task?",IF(H673="Issue found",IF(M673="Yes","OK - issue reported","Action - tell the client"),IF(H673="Needs rework","Action - rework needed",IF(AND(H673="Skipped",P673="Yes"),"Check - required task skipped",IF(H673="Done","OK","Due"))))))</f>
        <v>0</v>
      </c>
    </row>
    <row r="674" spans="1:20">
      <c r="A674" s="43">
        <f>IF(B674="","","JT-"&amp;TEXT(ROW()-4,"0000"))</f>
        <v>0</v>
      </c>
      <c r="C674" s="18">
        <f>IF(B674="","",IFERROR(INDEX(Jobs!$B$5:$B$604,MATCH(B674,Jobs!$A$5:$A$604,0)),""))</f>
        <v>0</v>
      </c>
      <c r="D674" s="23">
        <f>IF(B674="","",IFERROR(INDEX(Jobs!$H$5:$H$604,MATCH(B674,Jobs!$A$5:$A$604,0)),""))</f>
        <v>0</v>
      </c>
      <c r="E674" s="23">
        <f>IF(B674="","",IFERROR(INDEX(Jobs!$K$5:$K$604,MATCH(B674,Jobs!$A$5:$A$604,0)),""))</f>
        <v>0</v>
      </c>
      <c r="P674" s="50">
        <f>IF(G674="","",IFERROR(INDEX(Checklists!$J$5:$J$404,MATCH(G674,Checklists!$F$5:$F$404,0)),"Yes"))</f>
        <v>0</v>
      </c>
      <c r="Q674" s="31">
        <f>IF(G674="","",IFERROR(INDEX(Checklists!$H$5:$H$404,MATCH(G674,Checklists!$F$5:$F$404,0)),""))</f>
        <v>0</v>
      </c>
      <c r="R674" s="31">
        <f>IF(OR(J674="",Q674=""),"",J674-Q674)</f>
        <v>0</v>
      </c>
      <c r="S674" s="50">
        <f>IF(B674="","",IF(H674="Done","Yes","No"))</f>
        <v>0</v>
      </c>
      <c r="T674" s="39">
        <f>IF(B674="","",IF(G674="","Add - what was the task?",IF(H674="Issue found",IF(M674="Yes","OK - issue reported","Action - tell the client"),IF(H674="Needs rework","Action - rework needed",IF(AND(H674="Skipped",P674="Yes"),"Check - required task skipped",IF(H674="Done","OK","Due"))))))</f>
        <v>0</v>
      </c>
    </row>
    <row r="675" spans="1:20">
      <c r="A675" s="43">
        <f>IF(B675="","","JT-"&amp;TEXT(ROW()-4,"0000"))</f>
        <v>0</v>
      </c>
      <c r="C675" s="18">
        <f>IF(B675="","",IFERROR(INDEX(Jobs!$B$5:$B$604,MATCH(B675,Jobs!$A$5:$A$604,0)),""))</f>
        <v>0</v>
      </c>
      <c r="D675" s="23">
        <f>IF(B675="","",IFERROR(INDEX(Jobs!$H$5:$H$604,MATCH(B675,Jobs!$A$5:$A$604,0)),""))</f>
        <v>0</v>
      </c>
      <c r="E675" s="23">
        <f>IF(B675="","",IFERROR(INDEX(Jobs!$K$5:$K$604,MATCH(B675,Jobs!$A$5:$A$604,0)),""))</f>
        <v>0</v>
      </c>
      <c r="P675" s="50">
        <f>IF(G675="","",IFERROR(INDEX(Checklists!$J$5:$J$404,MATCH(G675,Checklists!$F$5:$F$404,0)),"Yes"))</f>
        <v>0</v>
      </c>
      <c r="Q675" s="31">
        <f>IF(G675="","",IFERROR(INDEX(Checklists!$H$5:$H$404,MATCH(G675,Checklists!$F$5:$F$404,0)),""))</f>
        <v>0</v>
      </c>
      <c r="R675" s="31">
        <f>IF(OR(J675="",Q675=""),"",J675-Q675)</f>
        <v>0</v>
      </c>
      <c r="S675" s="50">
        <f>IF(B675="","",IF(H675="Done","Yes","No"))</f>
        <v>0</v>
      </c>
      <c r="T675" s="39">
        <f>IF(B675="","",IF(G675="","Add - what was the task?",IF(H675="Issue found",IF(M675="Yes","OK - issue reported","Action - tell the client"),IF(H675="Needs rework","Action - rework needed",IF(AND(H675="Skipped",P675="Yes"),"Check - required task skipped",IF(H675="Done","OK","Due"))))))</f>
        <v>0</v>
      </c>
    </row>
    <row r="676" spans="1:20">
      <c r="A676" s="43">
        <f>IF(B676="","","JT-"&amp;TEXT(ROW()-4,"0000"))</f>
        <v>0</v>
      </c>
      <c r="C676" s="18">
        <f>IF(B676="","",IFERROR(INDEX(Jobs!$B$5:$B$604,MATCH(B676,Jobs!$A$5:$A$604,0)),""))</f>
        <v>0</v>
      </c>
      <c r="D676" s="23">
        <f>IF(B676="","",IFERROR(INDEX(Jobs!$H$5:$H$604,MATCH(B676,Jobs!$A$5:$A$604,0)),""))</f>
        <v>0</v>
      </c>
      <c r="E676" s="23">
        <f>IF(B676="","",IFERROR(INDEX(Jobs!$K$5:$K$604,MATCH(B676,Jobs!$A$5:$A$604,0)),""))</f>
        <v>0</v>
      </c>
      <c r="P676" s="50">
        <f>IF(G676="","",IFERROR(INDEX(Checklists!$J$5:$J$404,MATCH(G676,Checklists!$F$5:$F$404,0)),"Yes"))</f>
        <v>0</v>
      </c>
      <c r="Q676" s="31">
        <f>IF(G676="","",IFERROR(INDEX(Checklists!$H$5:$H$404,MATCH(G676,Checklists!$F$5:$F$404,0)),""))</f>
        <v>0</v>
      </c>
      <c r="R676" s="31">
        <f>IF(OR(J676="",Q676=""),"",J676-Q676)</f>
        <v>0</v>
      </c>
      <c r="S676" s="50">
        <f>IF(B676="","",IF(H676="Done","Yes","No"))</f>
        <v>0</v>
      </c>
      <c r="T676" s="39">
        <f>IF(B676="","",IF(G676="","Add - what was the task?",IF(H676="Issue found",IF(M676="Yes","OK - issue reported","Action - tell the client"),IF(H676="Needs rework","Action - rework needed",IF(AND(H676="Skipped",P676="Yes"),"Check - required task skipped",IF(H676="Done","OK","Due"))))))</f>
        <v>0</v>
      </c>
    </row>
    <row r="677" spans="1:20">
      <c r="A677" s="43">
        <f>IF(B677="","","JT-"&amp;TEXT(ROW()-4,"0000"))</f>
        <v>0</v>
      </c>
      <c r="C677" s="18">
        <f>IF(B677="","",IFERROR(INDEX(Jobs!$B$5:$B$604,MATCH(B677,Jobs!$A$5:$A$604,0)),""))</f>
        <v>0</v>
      </c>
      <c r="D677" s="23">
        <f>IF(B677="","",IFERROR(INDEX(Jobs!$H$5:$H$604,MATCH(B677,Jobs!$A$5:$A$604,0)),""))</f>
        <v>0</v>
      </c>
      <c r="E677" s="23">
        <f>IF(B677="","",IFERROR(INDEX(Jobs!$K$5:$K$604,MATCH(B677,Jobs!$A$5:$A$604,0)),""))</f>
        <v>0</v>
      </c>
      <c r="P677" s="50">
        <f>IF(G677="","",IFERROR(INDEX(Checklists!$J$5:$J$404,MATCH(G677,Checklists!$F$5:$F$404,0)),"Yes"))</f>
        <v>0</v>
      </c>
      <c r="Q677" s="31">
        <f>IF(G677="","",IFERROR(INDEX(Checklists!$H$5:$H$404,MATCH(G677,Checklists!$F$5:$F$404,0)),""))</f>
        <v>0</v>
      </c>
      <c r="R677" s="31">
        <f>IF(OR(J677="",Q677=""),"",J677-Q677)</f>
        <v>0</v>
      </c>
      <c r="S677" s="50">
        <f>IF(B677="","",IF(H677="Done","Yes","No"))</f>
        <v>0</v>
      </c>
      <c r="T677" s="39">
        <f>IF(B677="","",IF(G677="","Add - what was the task?",IF(H677="Issue found",IF(M677="Yes","OK - issue reported","Action - tell the client"),IF(H677="Needs rework","Action - rework needed",IF(AND(H677="Skipped",P677="Yes"),"Check - required task skipped",IF(H677="Done","OK","Due"))))))</f>
        <v>0</v>
      </c>
    </row>
    <row r="678" spans="1:20">
      <c r="A678" s="43">
        <f>IF(B678="","","JT-"&amp;TEXT(ROW()-4,"0000"))</f>
        <v>0</v>
      </c>
      <c r="C678" s="18">
        <f>IF(B678="","",IFERROR(INDEX(Jobs!$B$5:$B$604,MATCH(B678,Jobs!$A$5:$A$604,0)),""))</f>
        <v>0</v>
      </c>
      <c r="D678" s="23">
        <f>IF(B678="","",IFERROR(INDEX(Jobs!$H$5:$H$604,MATCH(B678,Jobs!$A$5:$A$604,0)),""))</f>
        <v>0</v>
      </c>
      <c r="E678" s="23">
        <f>IF(B678="","",IFERROR(INDEX(Jobs!$K$5:$K$604,MATCH(B678,Jobs!$A$5:$A$604,0)),""))</f>
        <v>0</v>
      </c>
      <c r="P678" s="50">
        <f>IF(G678="","",IFERROR(INDEX(Checklists!$J$5:$J$404,MATCH(G678,Checklists!$F$5:$F$404,0)),"Yes"))</f>
        <v>0</v>
      </c>
      <c r="Q678" s="31">
        <f>IF(G678="","",IFERROR(INDEX(Checklists!$H$5:$H$404,MATCH(G678,Checklists!$F$5:$F$404,0)),""))</f>
        <v>0</v>
      </c>
      <c r="R678" s="31">
        <f>IF(OR(J678="",Q678=""),"",J678-Q678)</f>
        <v>0</v>
      </c>
      <c r="S678" s="50">
        <f>IF(B678="","",IF(H678="Done","Yes","No"))</f>
        <v>0</v>
      </c>
      <c r="T678" s="39">
        <f>IF(B678="","",IF(G678="","Add - what was the task?",IF(H678="Issue found",IF(M678="Yes","OK - issue reported","Action - tell the client"),IF(H678="Needs rework","Action - rework needed",IF(AND(H678="Skipped",P678="Yes"),"Check - required task skipped",IF(H678="Done","OK","Due"))))))</f>
        <v>0</v>
      </c>
    </row>
    <row r="679" spans="1:20">
      <c r="A679" s="43">
        <f>IF(B679="","","JT-"&amp;TEXT(ROW()-4,"0000"))</f>
        <v>0</v>
      </c>
      <c r="C679" s="18">
        <f>IF(B679="","",IFERROR(INDEX(Jobs!$B$5:$B$604,MATCH(B679,Jobs!$A$5:$A$604,0)),""))</f>
        <v>0</v>
      </c>
      <c r="D679" s="23">
        <f>IF(B679="","",IFERROR(INDEX(Jobs!$H$5:$H$604,MATCH(B679,Jobs!$A$5:$A$604,0)),""))</f>
        <v>0</v>
      </c>
      <c r="E679" s="23">
        <f>IF(B679="","",IFERROR(INDEX(Jobs!$K$5:$K$604,MATCH(B679,Jobs!$A$5:$A$604,0)),""))</f>
        <v>0</v>
      </c>
      <c r="P679" s="50">
        <f>IF(G679="","",IFERROR(INDEX(Checklists!$J$5:$J$404,MATCH(G679,Checklists!$F$5:$F$404,0)),"Yes"))</f>
        <v>0</v>
      </c>
      <c r="Q679" s="31">
        <f>IF(G679="","",IFERROR(INDEX(Checklists!$H$5:$H$404,MATCH(G679,Checklists!$F$5:$F$404,0)),""))</f>
        <v>0</v>
      </c>
      <c r="R679" s="31">
        <f>IF(OR(J679="",Q679=""),"",J679-Q679)</f>
        <v>0</v>
      </c>
      <c r="S679" s="50">
        <f>IF(B679="","",IF(H679="Done","Yes","No"))</f>
        <v>0</v>
      </c>
      <c r="T679" s="39">
        <f>IF(B679="","",IF(G679="","Add - what was the task?",IF(H679="Issue found",IF(M679="Yes","OK - issue reported","Action - tell the client"),IF(H679="Needs rework","Action - rework needed",IF(AND(H679="Skipped",P679="Yes"),"Check - required task skipped",IF(H679="Done","OK","Due"))))))</f>
        <v>0</v>
      </c>
    </row>
    <row r="680" spans="1:20">
      <c r="A680" s="43">
        <f>IF(B680="","","JT-"&amp;TEXT(ROW()-4,"0000"))</f>
        <v>0</v>
      </c>
      <c r="C680" s="18">
        <f>IF(B680="","",IFERROR(INDEX(Jobs!$B$5:$B$604,MATCH(B680,Jobs!$A$5:$A$604,0)),""))</f>
        <v>0</v>
      </c>
      <c r="D680" s="23">
        <f>IF(B680="","",IFERROR(INDEX(Jobs!$H$5:$H$604,MATCH(B680,Jobs!$A$5:$A$604,0)),""))</f>
        <v>0</v>
      </c>
      <c r="E680" s="23">
        <f>IF(B680="","",IFERROR(INDEX(Jobs!$K$5:$K$604,MATCH(B680,Jobs!$A$5:$A$604,0)),""))</f>
        <v>0</v>
      </c>
      <c r="P680" s="50">
        <f>IF(G680="","",IFERROR(INDEX(Checklists!$J$5:$J$404,MATCH(G680,Checklists!$F$5:$F$404,0)),"Yes"))</f>
        <v>0</v>
      </c>
      <c r="Q680" s="31">
        <f>IF(G680="","",IFERROR(INDEX(Checklists!$H$5:$H$404,MATCH(G680,Checklists!$F$5:$F$404,0)),""))</f>
        <v>0</v>
      </c>
      <c r="R680" s="31">
        <f>IF(OR(J680="",Q680=""),"",J680-Q680)</f>
        <v>0</v>
      </c>
      <c r="S680" s="50">
        <f>IF(B680="","",IF(H680="Done","Yes","No"))</f>
        <v>0</v>
      </c>
      <c r="T680" s="39">
        <f>IF(B680="","",IF(G680="","Add - what was the task?",IF(H680="Issue found",IF(M680="Yes","OK - issue reported","Action - tell the client"),IF(H680="Needs rework","Action - rework needed",IF(AND(H680="Skipped",P680="Yes"),"Check - required task skipped",IF(H680="Done","OK","Due"))))))</f>
        <v>0</v>
      </c>
    </row>
    <row r="681" spans="1:20">
      <c r="A681" s="43">
        <f>IF(B681="","","JT-"&amp;TEXT(ROW()-4,"0000"))</f>
        <v>0</v>
      </c>
      <c r="C681" s="18">
        <f>IF(B681="","",IFERROR(INDEX(Jobs!$B$5:$B$604,MATCH(B681,Jobs!$A$5:$A$604,0)),""))</f>
        <v>0</v>
      </c>
      <c r="D681" s="23">
        <f>IF(B681="","",IFERROR(INDEX(Jobs!$H$5:$H$604,MATCH(B681,Jobs!$A$5:$A$604,0)),""))</f>
        <v>0</v>
      </c>
      <c r="E681" s="23">
        <f>IF(B681="","",IFERROR(INDEX(Jobs!$K$5:$K$604,MATCH(B681,Jobs!$A$5:$A$604,0)),""))</f>
        <v>0</v>
      </c>
      <c r="P681" s="50">
        <f>IF(G681="","",IFERROR(INDEX(Checklists!$J$5:$J$404,MATCH(G681,Checklists!$F$5:$F$404,0)),"Yes"))</f>
        <v>0</v>
      </c>
      <c r="Q681" s="31">
        <f>IF(G681="","",IFERROR(INDEX(Checklists!$H$5:$H$404,MATCH(G681,Checklists!$F$5:$F$404,0)),""))</f>
        <v>0</v>
      </c>
      <c r="R681" s="31">
        <f>IF(OR(J681="",Q681=""),"",J681-Q681)</f>
        <v>0</v>
      </c>
      <c r="S681" s="50">
        <f>IF(B681="","",IF(H681="Done","Yes","No"))</f>
        <v>0</v>
      </c>
      <c r="T681" s="39">
        <f>IF(B681="","",IF(G681="","Add - what was the task?",IF(H681="Issue found",IF(M681="Yes","OK - issue reported","Action - tell the client"),IF(H681="Needs rework","Action - rework needed",IF(AND(H681="Skipped",P681="Yes"),"Check - required task skipped",IF(H681="Done","OK","Due"))))))</f>
        <v>0</v>
      </c>
    </row>
    <row r="682" spans="1:20">
      <c r="A682" s="43">
        <f>IF(B682="","","JT-"&amp;TEXT(ROW()-4,"0000"))</f>
        <v>0</v>
      </c>
      <c r="C682" s="18">
        <f>IF(B682="","",IFERROR(INDEX(Jobs!$B$5:$B$604,MATCH(B682,Jobs!$A$5:$A$604,0)),""))</f>
        <v>0</v>
      </c>
      <c r="D682" s="23">
        <f>IF(B682="","",IFERROR(INDEX(Jobs!$H$5:$H$604,MATCH(B682,Jobs!$A$5:$A$604,0)),""))</f>
        <v>0</v>
      </c>
      <c r="E682" s="23">
        <f>IF(B682="","",IFERROR(INDEX(Jobs!$K$5:$K$604,MATCH(B682,Jobs!$A$5:$A$604,0)),""))</f>
        <v>0</v>
      </c>
      <c r="P682" s="50">
        <f>IF(G682="","",IFERROR(INDEX(Checklists!$J$5:$J$404,MATCH(G682,Checklists!$F$5:$F$404,0)),"Yes"))</f>
        <v>0</v>
      </c>
      <c r="Q682" s="31">
        <f>IF(G682="","",IFERROR(INDEX(Checklists!$H$5:$H$404,MATCH(G682,Checklists!$F$5:$F$404,0)),""))</f>
        <v>0</v>
      </c>
      <c r="R682" s="31">
        <f>IF(OR(J682="",Q682=""),"",J682-Q682)</f>
        <v>0</v>
      </c>
      <c r="S682" s="50">
        <f>IF(B682="","",IF(H682="Done","Yes","No"))</f>
        <v>0</v>
      </c>
      <c r="T682" s="39">
        <f>IF(B682="","",IF(G682="","Add - what was the task?",IF(H682="Issue found",IF(M682="Yes","OK - issue reported","Action - tell the client"),IF(H682="Needs rework","Action - rework needed",IF(AND(H682="Skipped",P682="Yes"),"Check - required task skipped",IF(H682="Done","OK","Due"))))))</f>
        <v>0</v>
      </c>
    </row>
    <row r="683" spans="1:20">
      <c r="A683" s="43">
        <f>IF(B683="","","JT-"&amp;TEXT(ROW()-4,"0000"))</f>
        <v>0</v>
      </c>
      <c r="C683" s="18">
        <f>IF(B683="","",IFERROR(INDEX(Jobs!$B$5:$B$604,MATCH(B683,Jobs!$A$5:$A$604,0)),""))</f>
        <v>0</v>
      </c>
      <c r="D683" s="23">
        <f>IF(B683="","",IFERROR(INDEX(Jobs!$H$5:$H$604,MATCH(B683,Jobs!$A$5:$A$604,0)),""))</f>
        <v>0</v>
      </c>
      <c r="E683" s="23">
        <f>IF(B683="","",IFERROR(INDEX(Jobs!$K$5:$K$604,MATCH(B683,Jobs!$A$5:$A$604,0)),""))</f>
        <v>0</v>
      </c>
      <c r="P683" s="50">
        <f>IF(G683="","",IFERROR(INDEX(Checklists!$J$5:$J$404,MATCH(G683,Checklists!$F$5:$F$404,0)),"Yes"))</f>
        <v>0</v>
      </c>
      <c r="Q683" s="31">
        <f>IF(G683="","",IFERROR(INDEX(Checklists!$H$5:$H$404,MATCH(G683,Checklists!$F$5:$F$404,0)),""))</f>
        <v>0</v>
      </c>
      <c r="R683" s="31">
        <f>IF(OR(J683="",Q683=""),"",J683-Q683)</f>
        <v>0</v>
      </c>
      <c r="S683" s="50">
        <f>IF(B683="","",IF(H683="Done","Yes","No"))</f>
        <v>0</v>
      </c>
      <c r="T683" s="39">
        <f>IF(B683="","",IF(G683="","Add - what was the task?",IF(H683="Issue found",IF(M683="Yes","OK - issue reported","Action - tell the client"),IF(H683="Needs rework","Action - rework needed",IF(AND(H683="Skipped",P683="Yes"),"Check - required task skipped",IF(H683="Done","OK","Due"))))))</f>
        <v>0</v>
      </c>
    </row>
    <row r="684" spans="1:20">
      <c r="A684" s="43">
        <f>IF(B684="","","JT-"&amp;TEXT(ROW()-4,"0000"))</f>
        <v>0</v>
      </c>
      <c r="C684" s="18">
        <f>IF(B684="","",IFERROR(INDEX(Jobs!$B$5:$B$604,MATCH(B684,Jobs!$A$5:$A$604,0)),""))</f>
        <v>0</v>
      </c>
      <c r="D684" s="23">
        <f>IF(B684="","",IFERROR(INDEX(Jobs!$H$5:$H$604,MATCH(B684,Jobs!$A$5:$A$604,0)),""))</f>
        <v>0</v>
      </c>
      <c r="E684" s="23">
        <f>IF(B684="","",IFERROR(INDEX(Jobs!$K$5:$K$604,MATCH(B684,Jobs!$A$5:$A$604,0)),""))</f>
        <v>0</v>
      </c>
      <c r="P684" s="50">
        <f>IF(G684="","",IFERROR(INDEX(Checklists!$J$5:$J$404,MATCH(G684,Checklists!$F$5:$F$404,0)),"Yes"))</f>
        <v>0</v>
      </c>
      <c r="Q684" s="31">
        <f>IF(G684="","",IFERROR(INDEX(Checklists!$H$5:$H$404,MATCH(G684,Checklists!$F$5:$F$404,0)),""))</f>
        <v>0</v>
      </c>
      <c r="R684" s="31">
        <f>IF(OR(J684="",Q684=""),"",J684-Q684)</f>
        <v>0</v>
      </c>
      <c r="S684" s="50">
        <f>IF(B684="","",IF(H684="Done","Yes","No"))</f>
        <v>0</v>
      </c>
      <c r="T684" s="39">
        <f>IF(B684="","",IF(G684="","Add - what was the task?",IF(H684="Issue found",IF(M684="Yes","OK - issue reported","Action - tell the client"),IF(H684="Needs rework","Action - rework needed",IF(AND(H684="Skipped",P684="Yes"),"Check - required task skipped",IF(H684="Done","OK","Due"))))))</f>
        <v>0</v>
      </c>
    </row>
    <row r="685" spans="1:20">
      <c r="A685" s="43">
        <f>IF(B685="","","JT-"&amp;TEXT(ROW()-4,"0000"))</f>
        <v>0</v>
      </c>
      <c r="C685" s="18">
        <f>IF(B685="","",IFERROR(INDEX(Jobs!$B$5:$B$604,MATCH(B685,Jobs!$A$5:$A$604,0)),""))</f>
        <v>0</v>
      </c>
      <c r="D685" s="23">
        <f>IF(B685="","",IFERROR(INDEX(Jobs!$H$5:$H$604,MATCH(B685,Jobs!$A$5:$A$604,0)),""))</f>
        <v>0</v>
      </c>
      <c r="E685" s="23">
        <f>IF(B685="","",IFERROR(INDEX(Jobs!$K$5:$K$604,MATCH(B685,Jobs!$A$5:$A$604,0)),""))</f>
        <v>0</v>
      </c>
      <c r="P685" s="50">
        <f>IF(G685="","",IFERROR(INDEX(Checklists!$J$5:$J$404,MATCH(G685,Checklists!$F$5:$F$404,0)),"Yes"))</f>
        <v>0</v>
      </c>
      <c r="Q685" s="31">
        <f>IF(G685="","",IFERROR(INDEX(Checklists!$H$5:$H$404,MATCH(G685,Checklists!$F$5:$F$404,0)),""))</f>
        <v>0</v>
      </c>
      <c r="R685" s="31">
        <f>IF(OR(J685="",Q685=""),"",J685-Q685)</f>
        <v>0</v>
      </c>
      <c r="S685" s="50">
        <f>IF(B685="","",IF(H685="Done","Yes","No"))</f>
        <v>0</v>
      </c>
      <c r="T685" s="39">
        <f>IF(B685="","",IF(G685="","Add - what was the task?",IF(H685="Issue found",IF(M685="Yes","OK - issue reported","Action - tell the client"),IF(H685="Needs rework","Action - rework needed",IF(AND(H685="Skipped",P685="Yes"),"Check - required task skipped",IF(H685="Done","OK","Due"))))))</f>
        <v>0</v>
      </c>
    </row>
    <row r="686" spans="1:20">
      <c r="A686" s="43">
        <f>IF(B686="","","JT-"&amp;TEXT(ROW()-4,"0000"))</f>
        <v>0</v>
      </c>
      <c r="C686" s="18">
        <f>IF(B686="","",IFERROR(INDEX(Jobs!$B$5:$B$604,MATCH(B686,Jobs!$A$5:$A$604,0)),""))</f>
        <v>0</v>
      </c>
      <c r="D686" s="23">
        <f>IF(B686="","",IFERROR(INDEX(Jobs!$H$5:$H$604,MATCH(B686,Jobs!$A$5:$A$604,0)),""))</f>
        <v>0</v>
      </c>
      <c r="E686" s="23">
        <f>IF(B686="","",IFERROR(INDEX(Jobs!$K$5:$K$604,MATCH(B686,Jobs!$A$5:$A$604,0)),""))</f>
        <v>0</v>
      </c>
      <c r="P686" s="50">
        <f>IF(G686="","",IFERROR(INDEX(Checklists!$J$5:$J$404,MATCH(G686,Checklists!$F$5:$F$404,0)),"Yes"))</f>
        <v>0</v>
      </c>
      <c r="Q686" s="31">
        <f>IF(G686="","",IFERROR(INDEX(Checklists!$H$5:$H$404,MATCH(G686,Checklists!$F$5:$F$404,0)),""))</f>
        <v>0</v>
      </c>
      <c r="R686" s="31">
        <f>IF(OR(J686="",Q686=""),"",J686-Q686)</f>
        <v>0</v>
      </c>
      <c r="S686" s="50">
        <f>IF(B686="","",IF(H686="Done","Yes","No"))</f>
        <v>0</v>
      </c>
      <c r="T686" s="39">
        <f>IF(B686="","",IF(G686="","Add - what was the task?",IF(H686="Issue found",IF(M686="Yes","OK - issue reported","Action - tell the client"),IF(H686="Needs rework","Action - rework needed",IF(AND(H686="Skipped",P686="Yes"),"Check - required task skipped",IF(H686="Done","OK","Due"))))))</f>
        <v>0</v>
      </c>
    </row>
    <row r="687" spans="1:20">
      <c r="A687" s="43">
        <f>IF(B687="","","JT-"&amp;TEXT(ROW()-4,"0000"))</f>
        <v>0</v>
      </c>
      <c r="C687" s="18">
        <f>IF(B687="","",IFERROR(INDEX(Jobs!$B$5:$B$604,MATCH(B687,Jobs!$A$5:$A$604,0)),""))</f>
        <v>0</v>
      </c>
      <c r="D687" s="23">
        <f>IF(B687="","",IFERROR(INDEX(Jobs!$H$5:$H$604,MATCH(B687,Jobs!$A$5:$A$604,0)),""))</f>
        <v>0</v>
      </c>
      <c r="E687" s="23">
        <f>IF(B687="","",IFERROR(INDEX(Jobs!$K$5:$K$604,MATCH(B687,Jobs!$A$5:$A$604,0)),""))</f>
        <v>0</v>
      </c>
      <c r="P687" s="50">
        <f>IF(G687="","",IFERROR(INDEX(Checklists!$J$5:$J$404,MATCH(G687,Checklists!$F$5:$F$404,0)),"Yes"))</f>
        <v>0</v>
      </c>
      <c r="Q687" s="31">
        <f>IF(G687="","",IFERROR(INDEX(Checklists!$H$5:$H$404,MATCH(G687,Checklists!$F$5:$F$404,0)),""))</f>
        <v>0</v>
      </c>
      <c r="R687" s="31">
        <f>IF(OR(J687="",Q687=""),"",J687-Q687)</f>
        <v>0</v>
      </c>
      <c r="S687" s="50">
        <f>IF(B687="","",IF(H687="Done","Yes","No"))</f>
        <v>0</v>
      </c>
      <c r="T687" s="39">
        <f>IF(B687="","",IF(G687="","Add - what was the task?",IF(H687="Issue found",IF(M687="Yes","OK - issue reported","Action - tell the client"),IF(H687="Needs rework","Action - rework needed",IF(AND(H687="Skipped",P687="Yes"),"Check - required task skipped",IF(H687="Done","OK","Due"))))))</f>
        <v>0</v>
      </c>
    </row>
    <row r="688" spans="1:20">
      <c r="A688" s="43">
        <f>IF(B688="","","JT-"&amp;TEXT(ROW()-4,"0000"))</f>
        <v>0</v>
      </c>
      <c r="C688" s="18">
        <f>IF(B688="","",IFERROR(INDEX(Jobs!$B$5:$B$604,MATCH(B688,Jobs!$A$5:$A$604,0)),""))</f>
        <v>0</v>
      </c>
      <c r="D688" s="23">
        <f>IF(B688="","",IFERROR(INDEX(Jobs!$H$5:$H$604,MATCH(B688,Jobs!$A$5:$A$604,0)),""))</f>
        <v>0</v>
      </c>
      <c r="E688" s="23">
        <f>IF(B688="","",IFERROR(INDEX(Jobs!$K$5:$K$604,MATCH(B688,Jobs!$A$5:$A$604,0)),""))</f>
        <v>0</v>
      </c>
      <c r="P688" s="50">
        <f>IF(G688="","",IFERROR(INDEX(Checklists!$J$5:$J$404,MATCH(G688,Checklists!$F$5:$F$404,0)),"Yes"))</f>
        <v>0</v>
      </c>
      <c r="Q688" s="31">
        <f>IF(G688="","",IFERROR(INDEX(Checklists!$H$5:$H$404,MATCH(G688,Checklists!$F$5:$F$404,0)),""))</f>
        <v>0</v>
      </c>
      <c r="R688" s="31">
        <f>IF(OR(J688="",Q688=""),"",J688-Q688)</f>
        <v>0</v>
      </c>
      <c r="S688" s="50">
        <f>IF(B688="","",IF(H688="Done","Yes","No"))</f>
        <v>0</v>
      </c>
      <c r="T688" s="39">
        <f>IF(B688="","",IF(G688="","Add - what was the task?",IF(H688="Issue found",IF(M688="Yes","OK - issue reported","Action - tell the client"),IF(H688="Needs rework","Action - rework needed",IF(AND(H688="Skipped",P688="Yes"),"Check - required task skipped",IF(H688="Done","OK","Due"))))))</f>
        <v>0</v>
      </c>
    </row>
    <row r="689" spans="1:20">
      <c r="A689" s="43">
        <f>IF(B689="","","JT-"&amp;TEXT(ROW()-4,"0000"))</f>
        <v>0</v>
      </c>
      <c r="C689" s="18">
        <f>IF(B689="","",IFERROR(INDEX(Jobs!$B$5:$B$604,MATCH(B689,Jobs!$A$5:$A$604,0)),""))</f>
        <v>0</v>
      </c>
      <c r="D689" s="23">
        <f>IF(B689="","",IFERROR(INDEX(Jobs!$H$5:$H$604,MATCH(B689,Jobs!$A$5:$A$604,0)),""))</f>
        <v>0</v>
      </c>
      <c r="E689" s="23">
        <f>IF(B689="","",IFERROR(INDEX(Jobs!$K$5:$K$604,MATCH(B689,Jobs!$A$5:$A$604,0)),""))</f>
        <v>0</v>
      </c>
      <c r="P689" s="50">
        <f>IF(G689="","",IFERROR(INDEX(Checklists!$J$5:$J$404,MATCH(G689,Checklists!$F$5:$F$404,0)),"Yes"))</f>
        <v>0</v>
      </c>
      <c r="Q689" s="31">
        <f>IF(G689="","",IFERROR(INDEX(Checklists!$H$5:$H$404,MATCH(G689,Checklists!$F$5:$F$404,0)),""))</f>
        <v>0</v>
      </c>
      <c r="R689" s="31">
        <f>IF(OR(J689="",Q689=""),"",J689-Q689)</f>
        <v>0</v>
      </c>
      <c r="S689" s="50">
        <f>IF(B689="","",IF(H689="Done","Yes","No"))</f>
        <v>0</v>
      </c>
      <c r="T689" s="39">
        <f>IF(B689="","",IF(G689="","Add - what was the task?",IF(H689="Issue found",IF(M689="Yes","OK - issue reported","Action - tell the client"),IF(H689="Needs rework","Action - rework needed",IF(AND(H689="Skipped",P689="Yes"),"Check - required task skipped",IF(H689="Done","OK","Due"))))))</f>
        <v>0</v>
      </c>
    </row>
    <row r="690" spans="1:20">
      <c r="A690" s="43">
        <f>IF(B690="","","JT-"&amp;TEXT(ROW()-4,"0000"))</f>
        <v>0</v>
      </c>
      <c r="C690" s="18">
        <f>IF(B690="","",IFERROR(INDEX(Jobs!$B$5:$B$604,MATCH(B690,Jobs!$A$5:$A$604,0)),""))</f>
        <v>0</v>
      </c>
      <c r="D690" s="23">
        <f>IF(B690="","",IFERROR(INDEX(Jobs!$H$5:$H$604,MATCH(B690,Jobs!$A$5:$A$604,0)),""))</f>
        <v>0</v>
      </c>
      <c r="E690" s="23">
        <f>IF(B690="","",IFERROR(INDEX(Jobs!$K$5:$K$604,MATCH(B690,Jobs!$A$5:$A$604,0)),""))</f>
        <v>0</v>
      </c>
      <c r="P690" s="50">
        <f>IF(G690="","",IFERROR(INDEX(Checklists!$J$5:$J$404,MATCH(G690,Checklists!$F$5:$F$404,0)),"Yes"))</f>
        <v>0</v>
      </c>
      <c r="Q690" s="31">
        <f>IF(G690="","",IFERROR(INDEX(Checklists!$H$5:$H$404,MATCH(G690,Checklists!$F$5:$F$404,0)),""))</f>
        <v>0</v>
      </c>
      <c r="R690" s="31">
        <f>IF(OR(J690="",Q690=""),"",J690-Q690)</f>
        <v>0</v>
      </c>
      <c r="S690" s="50">
        <f>IF(B690="","",IF(H690="Done","Yes","No"))</f>
        <v>0</v>
      </c>
      <c r="T690" s="39">
        <f>IF(B690="","",IF(G690="","Add - what was the task?",IF(H690="Issue found",IF(M690="Yes","OK - issue reported","Action - tell the client"),IF(H690="Needs rework","Action - rework needed",IF(AND(H690="Skipped",P690="Yes"),"Check - required task skipped",IF(H690="Done","OK","Due"))))))</f>
        <v>0</v>
      </c>
    </row>
    <row r="691" spans="1:20">
      <c r="A691" s="43">
        <f>IF(B691="","","JT-"&amp;TEXT(ROW()-4,"0000"))</f>
        <v>0</v>
      </c>
      <c r="C691" s="18">
        <f>IF(B691="","",IFERROR(INDEX(Jobs!$B$5:$B$604,MATCH(B691,Jobs!$A$5:$A$604,0)),""))</f>
        <v>0</v>
      </c>
      <c r="D691" s="23">
        <f>IF(B691="","",IFERROR(INDEX(Jobs!$H$5:$H$604,MATCH(B691,Jobs!$A$5:$A$604,0)),""))</f>
        <v>0</v>
      </c>
      <c r="E691" s="23">
        <f>IF(B691="","",IFERROR(INDEX(Jobs!$K$5:$K$604,MATCH(B691,Jobs!$A$5:$A$604,0)),""))</f>
        <v>0</v>
      </c>
      <c r="P691" s="50">
        <f>IF(G691="","",IFERROR(INDEX(Checklists!$J$5:$J$404,MATCH(G691,Checklists!$F$5:$F$404,0)),"Yes"))</f>
        <v>0</v>
      </c>
      <c r="Q691" s="31">
        <f>IF(G691="","",IFERROR(INDEX(Checklists!$H$5:$H$404,MATCH(G691,Checklists!$F$5:$F$404,0)),""))</f>
        <v>0</v>
      </c>
      <c r="R691" s="31">
        <f>IF(OR(J691="",Q691=""),"",J691-Q691)</f>
        <v>0</v>
      </c>
      <c r="S691" s="50">
        <f>IF(B691="","",IF(H691="Done","Yes","No"))</f>
        <v>0</v>
      </c>
      <c r="T691" s="39">
        <f>IF(B691="","",IF(G691="","Add - what was the task?",IF(H691="Issue found",IF(M691="Yes","OK - issue reported","Action - tell the client"),IF(H691="Needs rework","Action - rework needed",IF(AND(H691="Skipped",P691="Yes"),"Check - required task skipped",IF(H691="Done","OK","Due"))))))</f>
        <v>0</v>
      </c>
    </row>
    <row r="692" spans="1:20">
      <c r="A692" s="43">
        <f>IF(B692="","","JT-"&amp;TEXT(ROW()-4,"0000"))</f>
        <v>0</v>
      </c>
      <c r="C692" s="18">
        <f>IF(B692="","",IFERROR(INDEX(Jobs!$B$5:$B$604,MATCH(B692,Jobs!$A$5:$A$604,0)),""))</f>
        <v>0</v>
      </c>
      <c r="D692" s="23">
        <f>IF(B692="","",IFERROR(INDEX(Jobs!$H$5:$H$604,MATCH(B692,Jobs!$A$5:$A$604,0)),""))</f>
        <v>0</v>
      </c>
      <c r="E692" s="23">
        <f>IF(B692="","",IFERROR(INDEX(Jobs!$K$5:$K$604,MATCH(B692,Jobs!$A$5:$A$604,0)),""))</f>
        <v>0</v>
      </c>
      <c r="P692" s="50">
        <f>IF(G692="","",IFERROR(INDEX(Checklists!$J$5:$J$404,MATCH(G692,Checklists!$F$5:$F$404,0)),"Yes"))</f>
        <v>0</v>
      </c>
      <c r="Q692" s="31">
        <f>IF(G692="","",IFERROR(INDEX(Checklists!$H$5:$H$404,MATCH(G692,Checklists!$F$5:$F$404,0)),""))</f>
        <v>0</v>
      </c>
      <c r="R692" s="31">
        <f>IF(OR(J692="",Q692=""),"",J692-Q692)</f>
        <v>0</v>
      </c>
      <c r="S692" s="50">
        <f>IF(B692="","",IF(H692="Done","Yes","No"))</f>
        <v>0</v>
      </c>
      <c r="T692" s="39">
        <f>IF(B692="","",IF(G692="","Add - what was the task?",IF(H692="Issue found",IF(M692="Yes","OK - issue reported","Action - tell the client"),IF(H692="Needs rework","Action - rework needed",IF(AND(H692="Skipped",P692="Yes"),"Check - required task skipped",IF(H692="Done","OK","Due"))))))</f>
        <v>0</v>
      </c>
    </row>
    <row r="693" spans="1:20">
      <c r="A693" s="43">
        <f>IF(B693="","","JT-"&amp;TEXT(ROW()-4,"0000"))</f>
        <v>0</v>
      </c>
      <c r="C693" s="18">
        <f>IF(B693="","",IFERROR(INDEX(Jobs!$B$5:$B$604,MATCH(B693,Jobs!$A$5:$A$604,0)),""))</f>
        <v>0</v>
      </c>
      <c r="D693" s="23">
        <f>IF(B693="","",IFERROR(INDEX(Jobs!$H$5:$H$604,MATCH(B693,Jobs!$A$5:$A$604,0)),""))</f>
        <v>0</v>
      </c>
      <c r="E693" s="23">
        <f>IF(B693="","",IFERROR(INDEX(Jobs!$K$5:$K$604,MATCH(B693,Jobs!$A$5:$A$604,0)),""))</f>
        <v>0</v>
      </c>
      <c r="P693" s="50">
        <f>IF(G693="","",IFERROR(INDEX(Checklists!$J$5:$J$404,MATCH(G693,Checklists!$F$5:$F$404,0)),"Yes"))</f>
        <v>0</v>
      </c>
      <c r="Q693" s="31">
        <f>IF(G693="","",IFERROR(INDEX(Checklists!$H$5:$H$404,MATCH(G693,Checklists!$F$5:$F$404,0)),""))</f>
        <v>0</v>
      </c>
      <c r="R693" s="31">
        <f>IF(OR(J693="",Q693=""),"",J693-Q693)</f>
        <v>0</v>
      </c>
      <c r="S693" s="50">
        <f>IF(B693="","",IF(H693="Done","Yes","No"))</f>
        <v>0</v>
      </c>
      <c r="T693" s="39">
        <f>IF(B693="","",IF(G693="","Add - what was the task?",IF(H693="Issue found",IF(M693="Yes","OK - issue reported","Action - tell the client"),IF(H693="Needs rework","Action - rework needed",IF(AND(H693="Skipped",P693="Yes"),"Check - required task skipped",IF(H693="Done","OK","Due"))))))</f>
        <v>0</v>
      </c>
    </row>
    <row r="694" spans="1:20">
      <c r="A694" s="43">
        <f>IF(B694="","","JT-"&amp;TEXT(ROW()-4,"0000"))</f>
        <v>0</v>
      </c>
      <c r="C694" s="18">
        <f>IF(B694="","",IFERROR(INDEX(Jobs!$B$5:$B$604,MATCH(B694,Jobs!$A$5:$A$604,0)),""))</f>
        <v>0</v>
      </c>
      <c r="D694" s="23">
        <f>IF(B694="","",IFERROR(INDEX(Jobs!$H$5:$H$604,MATCH(B694,Jobs!$A$5:$A$604,0)),""))</f>
        <v>0</v>
      </c>
      <c r="E694" s="23">
        <f>IF(B694="","",IFERROR(INDEX(Jobs!$K$5:$K$604,MATCH(B694,Jobs!$A$5:$A$604,0)),""))</f>
        <v>0</v>
      </c>
      <c r="P694" s="50">
        <f>IF(G694="","",IFERROR(INDEX(Checklists!$J$5:$J$404,MATCH(G694,Checklists!$F$5:$F$404,0)),"Yes"))</f>
        <v>0</v>
      </c>
      <c r="Q694" s="31">
        <f>IF(G694="","",IFERROR(INDEX(Checklists!$H$5:$H$404,MATCH(G694,Checklists!$F$5:$F$404,0)),""))</f>
        <v>0</v>
      </c>
      <c r="R694" s="31">
        <f>IF(OR(J694="",Q694=""),"",J694-Q694)</f>
        <v>0</v>
      </c>
      <c r="S694" s="50">
        <f>IF(B694="","",IF(H694="Done","Yes","No"))</f>
        <v>0</v>
      </c>
      <c r="T694" s="39">
        <f>IF(B694="","",IF(G694="","Add - what was the task?",IF(H694="Issue found",IF(M694="Yes","OK - issue reported","Action - tell the client"),IF(H694="Needs rework","Action - rework needed",IF(AND(H694="Skipped",P694="Yes"),"Check - required task skipped",IF(H694="Done","OK","Due"))))))</f>
        <v>0</v>
      </c>
    </row>
    <row r="695" spans="1:20">
      <c r="A695" s="43">
        <f>IF(B695="","","JT-"&amp;TEXT(ROW()-4,"0000"))</f>
        <v>0</v>
      </c>
      <c r="C695" s="18">
        <f>IF(B695="","",IFERROR(INDEX(Jobs!$B$5:$B$604,MATCH(B695,Jobs!$A$5:$A$604,0)),""))</f>
        <v>0</v>
      </c>
      <c r="D695" s="23">
        <f>IF(B695="","",IFERROR(INDEX(Jobs!$H$5:$H$604,MATCH(B695,Jobs!$A$5:$A$604,0)),""))</f>
        <v>0</v>
      </c>
      <c r="E695" s="23">
        <f>IF(B695="","",IFERROR(INDEX(Jobs!$K$5:$K$604,MATCH(B695,Jobs!$A$5:$A$604,0)),""))</f>
        <v>0</v>
      </c>
      <c r="P695" s="50">
        <f>IF(G695="","",IFERROR(INDEX(Checklists!$J$5:$J$404,MATCH(G695,Checklists!$F$5:$F$404,0)),"Yes"))</f>
        <v>0</v>
      </c>
      <c r="Q695" s="31">
        <f>IF(G695="","",IFERROR(INDEX(Checklists!$H$5:$H$404,MATCH(G695,Checklists!$F$5:$F$404,0)),""))</f>
        <v>0</v>
      </c>
      <c r="R695" s="31">
        <f>IF(OR(J695="",Q695=""),"",J695-Q695)</f>
        <v>0</v>
      </c>
      <c r="S695" s="50">
        <f>IF(B695="","",IF(H695="Done","Yes","No"))</f>
        <v>0</v>
      </c>
      <c r="T695" s="39">
        <f>IF(B695="","",IF(G695="","Add - what was the task?",IF(H695="Issue found",IF(M695="Yes","OK - issue reported","Action - tell the client"),IF(H695="Needs rework","Action - rework needed",IF(AND(H695="Skipped",P695="Yes"),"Check - required task skipped",IF(H695="Done","OK","Due"))))))</f>
        <v>0</v>
      </c>
    </row>
    <row r="696" spans="1:20">
      <c r="A696" s="43">
        <f>IF(B696="","","JT-"&amp;TEXT(ROW()-4,"0000"))</f>
        <v>0</v>
      </c>
      <c r="C696" s="18">
        <f>IF(B696="","",IFERROR(INDEX(Jobs!$B$5:$B$604,MATCH(B696,Jobs!$A$5:$A$604,0)),""))</f>
        <v>0</v>
      </c>
      <c r="D696" s="23">
        <f>IF(B696="","",IFERROR(INDEX(Jobs!$H$5:$H$604,MATCH(B696,Jobs!$A$5:$A$604,0)),""))</f>
        <v>0</v>
      </c>
      <c r="E696" s="23">
        <f>IF(B696="","",IFERROR(INDEX(Jobs!$K$5:$K$604,MATCH(B696,Jobs!$A$5:$A$604,0)),""))</f>
        <v>0</v>
      </c>
      <c r="P696" s="50">
        <f>IF(G696="","",IFERROR(INDEX(Checklists!$J$5:$J$404,MATCH(G696,Checklists!$F$5:$F$404,0)),"Yes"))</f>
        <v>0</v>
      </c>
      <c r="Q696" s="31">
        <f>IF(G696="","",IFERROR(INDEX(Checklists!$H$5:$H$404,MATCH(G696,Checklists!$F$5:$F$404,0)),""))</f>
        <v>0</v>
      </c>
      <c r="R696" s="31">
        <f>IF(OR(J696="",Q696=""),"",J696-Q696)</f>
        <v>0</v>
      </c>
      <c r="S696" s="50">
        <f>IF(B696="","",IF(H696="Done","Yes","No"))</f>
        <v>0</v>
      </c>
      <c r="T696" s="39">
        <f>IF(B696="","",IF(G696="","Add - what was the task?",IF(H696="Issue found",IF(M696="Yes","OK - issue reported","Action - tell the client"),IF(H696="Needs rework","Action - rework needed",IF(AND(H696="Skipped",P696="Yes"),"Check - required task skipped",IF(H696="Done","OK","Due"))))))</f>
        <v>0</v>
      </c>
    </row>
    <row r="697" spans="1:20">
      <c r="A697" s="43">
        <f>IF(B697="","","JT-"&amp;TEXT(ROW()-4,"0000"))</f>
        <v>0</v>
      </c>
      <c r="C697" s="18">
        <f>IF(B697="","",IFERROR(INDEX(Jobs!$B$5:$B$604,MATCH(B697,Jobs!$A$5:$A$604,0)),""))</f>
        <v>0</v>
      </c>
      <c r="D697" s="23">
        <f>IF(B697="","",IFERROR(INDEX(Jobs!$H$5:$H$604,MATCH(B697,Jobs!$A$5:$A$604,0)),""))</f>
        <v>0</v>
      </c>
      <c r="E697" s="23">
        <f>IF(B697="","",IFERROR(INDEX(Jobs!$K$5:$K$604,MATCH(B697,Jobs!$A$5:$A$604,0)),""))</f>
        <v>0</v>
      </c>
      <c r="P697" s="50">
        <f>IF(G697="","",IFERROR(INDEX(Checklists!$J$5:$J$404,MATCH(G697,Checklists!$F$5:$F$404,0)),"Yes"))</f>
        <v>0</v>
      </c>
      <c r="Q697" s="31">
        <f>IF(G697="","",IFERROR(INDEX(Checklists!$H$5:$H$404,MATCH(G697,Checklists!$F$5:$F$404,0)),""))</f>
        <v>0</v>
      </c>
      <c r="R697" s="31">
        <f>IF(OR(J697="",Q697=""),"",J697-Q697)</f>
        <v>0</v>
      </c>
      <c r="S697" s="50">
        <f>IF(B697="","",IF(H697="Done","Yes","No"))</f>
        <v>0</v>
      </c>
      <c r="T697" s="39">
        <f>IF(B697="","",IF(G697="","Add - what was the task?",IF(H697="Issue found",IF(M697="Yes","OK - issue reported","Action - tell the client"),IF(H697="Needs rework","Action - rework needed",IF(AND(H697="Skipped",P697="Yes"),"Check - required task skipped",IF(H697="Done","OK","Due"))))))</f>
        <v>0</v>
      </c>
    </row>
    <row r="698" spans="1:20">
      <c r="A698" s="43">
        <f>IF(B698="","","JT-"&amp;TEXT(ROW()-4,"0000"))</f>
        <v>0</v>
      </c>
      <c r="C698" s="18">
        <f>IF(B698="","",IFERROR(INDEX(Jobs!$B$5:$B$604,MATCH(B698,Jobs!$A$5:$A$604,0)),""))</f>
        <v>0</v>
      </c>
      <c r="D698" s="23">
        <f>IF(B698="","",IFERROR(INDEX(Jobs!$H$5:$H$604,MATCH(B698,Jobs!$A$5:$A$604,0)),""))</f>
        <v>0</v>
      </c>
      <c r="E698" s="23">
        <f>IF(B698="","",IFERROR(INDEX(Jobs!$K$5:$K$604,MATCH(B698,Jobs!$A$5:$A$604,0)),""))</f>
        <v>0</v>
      </c>
      <c r="P698" s="50">
        <f>IF(G698="","",IFERROR(INDEX(Checklists!$J$5:$J$404,MATCH(G698,Checklists!$F$5:$F$404,0)),"Yes"))</f>
        <v>0</v>
      </c>
      <c r="Q698" s="31">
        <f>IF(G698="","",IFERROR(INDEX(Checklists!$H$5:$H$404,MATCH(G698,Checklists!$F$5:$F$404,0)),""))</f>
        <v>0</v>
      </c>
      <c r="R698" s="31">
        <f>IF(OR(J698="",Q698=""),"",J698-Q698)</f>
        <v>0</v>
      </c>
      <c r="S698" s="50">
        <f>IF(B698="","",IF(H698="Done","Yes","No"))</f>
        <v>0</v>
      </c>
      <c r="T698" s="39">
        <f>IF(B698="","",IF(G698="","Add - what was the task?",IF(H698="Issue found",IF(M698="Yes","OK - issue reported","Action - tell the client"),IF(H698="Needs rework","Action - rework needed",IF(AND(H698="Skipped",P698="Yes"),"Check - required task skipped",IF(H698="Done","OK","Due"))))))</f>
        <v>0</v>
      </c>
    </row>
    <row r="699" spans="1:20">
      <c r="A699" s="43">
        <f>IF(B699="","","JT-"&amp;TEXT(ROW()-4,"0000"))</f>
        <v>0</v>
      </c>
      <c r="C699" s="18">
        <f>IF(B699="","",IFERROR(INDEX(Jobs!$B$5:$B$604,MATCH(B699,Jobs!$A$5:$A$604,0)),""))</f>
        <v>0</v>
      </c>
      <c r="D699" s="23">
        <f>IF(B699="","",IFERROR(INDEX(Jobs!$H$5:$H$604,MATCH(B699,Jobs!$A$5:$A$604,0)),""))</f>
        <v>0</v>
      </c>
      <c r="E699" s="23">
        <f>IF(B699="","",IFERROR(INDEX(Jobs!$K$5:$K$604,MATCH(B699,Jobs!$A$5:$A$604,0)),""))</f>
        <v>0</v>
      </c>
      <c r="P699" s="50">
        <f>IF(G699="","",IFERROR(INDEX(Checklists!$J$5:$J$404,MATCH(G699,Checklists!$F$5:$F$404,0)),"Yes"))</f>
        <v>0</v>
      </c>
      <c r="Q699" s="31">
        <f>IF(G699="","",IFERROR(INDEX(Checklists!$H$5:$H$404,MATCH(G699,Checklists!$F$5:$F$404,0)),""))</f>
        <v>0</v>
      </c>
      <c r="R699" s="31">
        <f>IF(OR(J699="",Q699=""),"",J699-Q699)</f>
        <v>0</v>
      </c>
      <c r="S699" s="50">
        <f>IF(B699="","",IF(H699="Done","Yes","No"))</f>
        <v>0</v>
      </c>
      <c r="T699" s="39">
        <f>IF(B699="","",IF(G699="","Add - what was the task?",IF(H699="Issue found",IF(M699="Yes","OK - issue reported","Action - tell the client"),IF(H699="Needs rework","Action - rework needed",IF(AND(H699="Skipped",P699="Yes"),"Check - required task skipped",IF(H699="Done","OK","Due"))))))</f>
        <v>0</v>
      </c>
    </row>
    <row r="700" spans="1:20">
      <c r="A700" s="43">
        <f>IF(B700="","","JT-"&amp;TEXT(ROW()-4,"0000"))</f>
        <v>0</v>
      </c>
      <c r="C700" s="18">
        <f>IF(B700="","",IFERROR(INDEX(Jobs!$B$5:$B$604,MATCH(B700,Jobs!$A$5:$A$604,0)),""))</f>
        <v>0</v>
      </c>
      <c r="D700" s="23">
        <f>IF(B700="","",IFERROR(INDEX(Jobs!$H$5:$H$604,MATCH(B700,Jobs!$A$5:$A$604,0)),""))</f>
        <v>0</v>
      </c>
      <c r="E700" s="23">
        <f>IF(B700="","",IFERROR(INDEX(Jobs!$K$5:$K$604,MATCH(B700,Jobs!$A$5:$A$604,0)),""))</f>
        <v>0</v>
      </c>
      <c r="P700" s="50">
        <f>IF(G700="","",IFERROR(INDEX(Checklists!$J$5:$J$404,MATCH(G700,Checklists!$F$5:$F$404,0)),"Yes"))</f>
        <v>0</v>
      </c>
      <c r="Q700" s="31">
        <f>IF(G700="","",IFERROR(INDEX(Checklists!$H$5:$H$404,MATCH(G700,Checklists!$F$5:$F$404,0)),""))</f>
        <v>0</v>
      </c>
      <c r="R700" s="31">
        <f>IF(OR(J700="",Q700=""),"",J700-Q700)</f>
        <v>0</v>
      </c>
      <c r="S700" s="50">
        <f>IF(B700="","",IF(H700="Done","Yes","No"))</f>
        <v>0</v>
      </c>
      <c r="T700" s="39">
        <f>IF(B700="","",IF(G700="","Add - what was the task?",IF(H700="Issue found",IF(M700="Yes","OK - issue reported","Action - tell the client"),IF(H700="Needs rework","Action - rework needed",IF(AND(H700="Skipped",P700="Yes"),"Check - required task skipped",IF(H700="Done","OK","Due"))))))</f>
        <v>0</v>
      </c>
    </row>
    <row r="701" spans="1:20">
      <c r="A701" s="43">
        <f>IF(B701="","","JT-"&amp;TEXT(ROW()-4,"0000"))</f>
        <v>0</v>
      </c>
      <c r="C701" s="18">
        <f>IF(B701="","",IFERROR(INDEX(Jobs!$B$5:$B$604,MATCH(B701,Jobs!$A$5:$A$604,0)),""))</f>
        <v>0</v>
      </c>
      <c r="D701" s="23">
        <f>IF(B701="","",IFERROR(INDEX(Jobs!$H$5:$H$604,MATCH(B701,Jobs!$A$5:$A$604,0)),""))</f>
        <v>0</v>
      </c>
      <c r="E701" s="23">
        <f>IF(B701="","",IFERROR(INDEX(Jobs!$K$5:$K$604,MATCH(B701,Jobs!$A$5:$A$604,0)),""))</f>
        <v>0</v>
      </c>
      <c r="P701" s="50">
        <f>IF(G701="","",IFERROR(INDEX(Checklists!$J$5:$J$404,MATCH(G701,Checklists!$F$5:$F$404,0)),"Yes"))</f>
        <v>0</v>
      </c>
      <c r="Q701" s="31">
        <f>IF(G701="","",IFERROR(INDEX(Checklists!$H$5:$H$404,MATCH(G701,Checklists!$F$5:$F$404,0)),""))</f>
        <v>0</v>
      </c>
      <c r="R701" s="31">
        <f>IF(OR(J701="",Q701=""),"",J701-Q701)</f>
        <v>0</v>
      </c>
      <c r="S701" s="50">
        <f>IF(B701="","",IF(H701="Done","Yes","No"))</f>
        <v>0</v>
      </c>
      <c r="T701" s="39">
        <f>IF(B701="","",IF(G701="","Add - what was the task?",IF(H701="Issue found",IF(M701="Yes","OK - issue reported","Action - tell the client"),IF(H701="Needs rework","Action - rework needed",IF(AND(H701="Skipped",P701="Yes"),"Check - required task skipped",IF(H701="Done","OK","Due"))))))</f>
        <v>0</v>
      </c>
    </row>
    <row r="702" spans="1:20">
      <c r="A702" s="43">
        <f>IF(B702="","","JT-"&amp;TEXT(ROW()-4,"0000"))</f>
        <v>0</v>
      </c>
      <c r="C702" s="18">
        <f>IF(B702="","",IFERROR(INDEX(Jobs!$B$5:$B$604,MATCH(B702,Jobs!$A$5:$A$604,0)),""))</f>
        <v>0</v>
      </c>
      <c r="D702" s="23">
        <f>IF(B702="","",IFERROR(INDEX(Jobs!$H$5:$H$604,MATCH(B702,Jobs!$A$5:$A$604,0)),""))</f>
        <v>0</v>
      </c>
      <c r="E702" s="23">
        <f>IF(B702="","",IFERROR(INDEX(Jobs!$K$5:$K$604,MATCH(B702,Jobs!$A$5:$A$604,0)),""))</f>
        <v>0</v>
      </c>
      <c r="P702" s="50">
        <f>IF(G702="","",IFERROR(INDEX(Checklists!$J$5:$J$404,MATCH(G702,Checklists!$F$5:$F$404,0)),"Yes"))</f>
        <v>0</v>
      </c>
      <c r="Q702" s="31">
        <f>IF(G702="","",IFERROR(INDEX(Checklists!$H$5:$H$404,MATCH(G702,Checklists!$F$5:$F$404,0)),""))</f>
        <v>0</v>
      </c>
      <c r="R702" s="31">
        <f>IF(OR(J702="",Q702=""),"",J702-Q702)</f>
        <v>0</v>
      </c>
      <c r="S702" s="50">
        <f>IF(B702="","",IF(H702="Done","Yes","No"))</f>
        <v>0</v>
      </c>
      <c r="T702" s="39">
        <f>IF(B702="","",IF(G702="","Add - what was the task?",IF(H702="Issue found",IF(M702="Yes","OK - issue reported","Action - tell the client"),IF(H702="Needs rework","Action - rework needed",IF(AND(H702="Skipped",P702="Yes"),"Check - required task skipped",IF(H702="Done","OK","Due"))))))</f>
        <v>0</v>
      </c>
    </row>
    <row r="703" spans="1:20">
      <c r="A703" s="43">
        <f>IF(B703="","","JT-"&amp;TEXT(ROW()-4,"0000"))</f>
        <v>0</v>
      </c>
      <c r="C703" s="18">
        <f>IF(B703="","",IFERROR(INDEX(Jobs!$B$5:$B$604,MATCH(B703,Jobs!$A$5:$A$604,0)),""))</f>
        <v>0</v>
      </c>
      <c r="D703" s="23">
        <f>IF(B703="","",IFERROR(INDEX(Jobs!$H$5:$H$604,MATCH(B703,Jobs!$A$5:$A$604,0)),""))</f>
        <v>0</v>
      </c>
      <c r="E703" s="23">
        <f>IF(B703="","",IFERROR(INDEX(Jobs!$K$5:$K$604,MATCH(B703,Jobs!$A$5:$A$604,0)),""))</f>
        <v>0</v>
      </c>
      <c r="P703" s="50">
        <f>IF(G703="","",IFERROR(INDEX(Checklists!$J$5:$J$404,MATCH(G703,Checklists!$F$5:$F$404,0)),"Yes"))</f>
        <v>0</v>
      </c>
      <c r="Q703" s="31">
        <f>IF(G703="","",IFERROR(INDEX(Checklists!$H$5:$H$404,MATCH(G703,Checklists!$F$5:$F$404,0)),""))</f>
        <v>0</v>
      </c>
      <c r="R703" s="31">
        <f>IF(OR(J703="",Q703=""),"",J703-Q703)</f>
        <v>0</v>
      </c>
      <c r="S703" s="50">
        <f>IF(B703="","",IF(H703="Done","Yes","No"))</f>
        <v>0</v>
      </c>
      <c r="T703" s="39">
        <f>IF(B703="","",IF(G703="","Add - what was the task?",IF(H703="Issue found",IF(M703="Yes","OK - issue reported","Action - tell the client"),IF(H703="Needs rework","Action - rework needed",IF(AND(H703="Skipped",P703="Yes"),"Check - required task skipped",IF(H703="Done","OK","Due"))))))</f>
        <v>0</v>
      </c>
    </row>
    <row r="704" spans="1:20">
      <c r="A704" s="43">
        <f>IF(B704="","","JT-"&amp;TEXT(ROW()-4,"0000"))</f>
        <v>0</v>
      </c>
      <c r="C704" s="18">
        <f>IF(B704="","",IFERROR(INDEX(Jobs!$B$5:$B$604,MATCH(B704,Jobs!$A$5:$A$604,0)),""))</f>
        <v>0</v>
      </c>
      <c r="D704" s="23">
        <f>IF(B704="","",IFERROR(INDEX(Jobs!$H$5:$H$604,MATCH(B704,Jobs!$A$5:$A$604,0)),""))</f>
        <v>0</v>
      </c>
      <c r="E704" s="23">
        <f>IF(B704="","",IFERROR(INDEX(Jobs!$K$5:$K$604,MATCH(B704,Jobs!$A$5:$A$604,0)),""))</f>
        <v>0</v>
      </c>
      <c r="P704" s="50">
        <f>IF(G704="","",IFERROR(INDEX(Checklists!$J$5:$J$404,MATCH(G704,Checklists!$F$5:$F$404,0)),"Yes"))</f>
        <v>0</v>
      </c>
      <c r="Q704" s="31">
        <f>IF(G704="","",IFERROR(INDEX(Checklists!$H$5:$H$404,MATCH(G704,Checklists!$F$5:$F$404,0)),""))</f>
        <v>0</v>
      </c>
      <c r="R704" s="31">
        <f>IF(OR(J704="",Q704=""),"",J704-Q704)</f>
        <v>0</v>
      </c>
      <c r="S704" s="50">
        <f>IF(B704="","",IF(H704="Done","Yes","No"))</f>
        <v>0</v>
      </c>
      <c r="T704" s="39">
        <f>IF(B704="","",IF(G704="","Add - what was the task?",IF(H704="Issue found",IF(M704="Yes","OK - issue reported","Action - tell the client"),IF(H704="Needs rework","Action - rework needed",IF(AND(H704="Skipped",P704="Yes"),"Check - required task skipped",IF(H704="Done","OK","Due"))))))</f>
        <v>0</v>
      </c>
    </row>
    <row r="705" spans="1:20">
      <c r="A705" s="43">
        <f>IF(B705="","","JT-"&amp;TEXT(ROW()-4,"0000"))</f>
        <v>0</v>
      </c>
      <c r="C705" s="18">
        <f>IF(B705="","",IFERROR(INDEX(Jobs!$B$5:$B$604,MATCH(B705,Jobs!$A$5:$A$604,0)),""))</f>
        <v>0</v>
      </c>
      <c r="D705" s="23">
        <f>IF(B705="","",IFERROR(INDEX(Jobs!$H$5:$H$604,MATCH(B705,Jobs!$A$5:$A$604,0)),""))</f>
        <v>0</v>
      </c>
      <c r="E705" s="23">
        <f>IF(B705="","",IFERROR(INDEX(Jobs!$K$5:$K$604,MATCH(B705,Jobs!$A$5:$A$604,0)),""))</f>
        <v>0</v>
      </c>
      <c r="P705" s="50">
        <f>IF(G705="","",IFERROR(INDEX(Checklists!$J$5:$J$404,MATCH(G705,Checklists!$F$5:$F$404,0)),"Yes"))</f>
        <v>0</v>
      </c>
      <c r="Q705" s="31">
        <f>IF(G705="","",IFERROR(INDEX(Checklists!$H$5:$H$404,MATCH(G705,Checklists!$F$5:$F$404,0)),""))</f>
        <v>0</v>
      </c>
      <c r="R705" s="31">
        <f>IF(OR(J705="",Q705=""),"",J705-Q705)</f>
        <v>0</v>
      </c>
      <c r="S705" s="50">
        <f>IF(B705="","",IF(H705="Done","Yes","No"))</f>
        <v>0</v>
      </c>
      <c r="T705" s="39">
        <f>IF(B705="","",IF(G705="","Add - what was the task?",IF(H705="Issue found",IF(M705="Yes","OK - issue reported","Action - tell the client"),IF(H705="Needs rework","Action - rework needed",IF(AND(H705="Skipped",P705="Yes"),"Check - required task skipped",IF(H705="Done","OK","Due"))))))</f>
        <v>0</v>
      </c>
    </row>
    <row r="706" spans="1:20">
      <c r="A706" s="43">
        <f>IF(B706="","","JT-"&amp;TEXT(ROW()-4,"0000"))</f>
        <v>0</v>
      </c>
      <c r="C706" s="18">
        <f>IF(B706="","",IFERROR(INDEX(Jobs!$B$5:$B$604,MATCH(B706,Jobs!$A$5:$A$604,0)),""))</f>
        <v>0</v>
      </c>
      <c r="D706" s="23">
        <f>IF(B706="","",IFERROR(INDEX(Jobs!$H$5:$H$604,MATCH(B706,Jobs!$A$5:$A$604,0)),""))</f>
        <v>0</v>
      </c>
      <c r="E706" s="23">
        <f>IF(B706="","",IFERROR(INDEX(Jobs!$K$5:$K$604,MATCH(B706,Jobs!$A$5:$A$604,0)),""))</f>
        <v>0</v>
      </c>
      <c r="P706" s="50">
        <f>IF(G706="","",IFERROR(INDEX(Checklists!$J$5:$J$404,MATCH(G706,Checklists!$F$5:$F$404,0)),"Yes"))</f>
        <v>0</v>
      </c>
      <c r="Q706" s="31">
        <f>IF(G706="","",IFERROR(INDEX(Checklists!$H$5:$H$404,MATCH(G706,Checklists!$F$5:$F$404,0)),""))</f>
        <v>0</v>
      </c>
      <c r="R706" s="31">
        <f>IF(OR(J706="",Q706=""),"",J706-Q706)</f>
        <v>0</v>
      </c>
      <c r="S706" s="50">
        <f>IF(B706="","",IF(H706="Done","Yes","No"))</f>
        <v>0</v>
      </c>
      <c r="T706" s="39">
        <f>IF(B706="","",IF(G706="","Add - what was the task?",IF(H706="Issue found",IF(M706="Yes","OK - issue reported","Action - tell the client"),IF(H706="Needs rework","Action - rework needed",IF(AND(H706="Skipped",P706="Yes"),"Check - required task skipped",IF(H706="Done","OK","Due"))))))</f>
        <v>0</v>
      </c>
    </row>
    <row r="707" spans="1:20">
      <c r="A707" s="43">
        <f>IF(B707="","","JT-"&amp;TEXT(ROW()-4,"0000"))</f>
        <v>0</v>
      </c>
      <c r="C707" s="18">
        <f>IF(B707="","",IFERROR(INDEX(Jobs!$B$5:$B$604,MATCH(B707,Jobs!$A$5:$A$604,0)),""))</f>
        <v>0</v>
      </c>
      <c r="D707" s="23">
        <f>IF(B707="","",IFERROR(INDEX(Jobs!$H$5:$H$604,MATCH(B707,Jobs!$A$5:$A$604,0)),""))</f>
        <v>0</v>
      </c>
      <c r="E707" s="23">
        <f>IF(B707="","",IFERROR(INDEX(Jobs!$K$5:$K$604,MATCH(B707,Jobs!$A$5:$A$604,0)),""))</f>
        <v>0</v>
      </c>
      <c r="P707" s="50">
        <f>IF(G707="","",IFERROR(INDEX(Checklists!$J$5:$J$404,MATCH(G707,Checklists!$F$5:$F$404,0)),"Yes"))</f>
        <v>0</v>
      </c>
      <c r="Q707" s="31">
        <f>IF(G707="","",IFERROR(INDEX(Checklists!$H$5:$H$404,MATCH(G707,Checklists!$F$5:$F$404,0)),""))</f>
        <v>0</v>
      </c>
      <c r="R707" s="31">
        <f>IF(OR(J707="",Q707=""),"",J707-Q707)</f>
        <v>0</v>
      </c>
      <c r="S707" s="50">
        <f>IF(B707="","",IF(H707="Done","Yes","No"))</f>
        <v>0</v>
      </c>
      <c r="T707" s="39">
        <f>IF(B707="","",IF(G707="","Add - what was the task?",IF(H707="Issue found",IF(M707="Yes","OK - issue reported","Action - tell the client"),IF(H707="Needs rework","Action - rework needed",IF(AND(H707="Skipped",P707="Yes"),"Check - required task skipped",IF(H707="Done","OK","Due"))))))</f>
        <v>0</v>
      </c>
    </row>
    <row r="708" spans="1:20">
      <c r="A708" s="43">
        <f>IF(B708="","","JT-"&amp;TEXT(ROW()-4,"0000"))</f>
        <v>0</v>
      </c>
      <c r="C708" s="18">
        <f>IF(B708="","",IFERROR(INDEX(Jobs!$B$5:$B$604,MATCH(B708,Jobs!$A$5:$A$604,0)),""))</f>
        <v>0</v>
      </c>
      <c r="D708" s="23">
        <f>IF(B708="","",IFERROR(INDEX(Jobs!$H$5:$H$604,MATCH(B708,Jobs!$A$5:$A$604,0)),""))</f>
        <v>0</v>
      </c>
      <c r="E708" s="23">
        <f>IF(B708="","",IFERROR(INDEX(Jobs!$K$5:$K$604,MATCH(B708,Jobs!$A$5:$A$604,0)),""))</f>
        <v>0</v>
      </c>
      <c r="P708" s="50">
        <f>IF(G708="","",IFERROR(INDEX(Checklists!$J$5:$J$404,MATCH(G708,Checklists!$F$5:$F$404,0)),"Yes"))</f>
        <v>0</v>
      </c>
      <c r="Q708" s="31">
        <f>IF(G708="","",IFERROR(INDEX(Checklists!$H$5:$H$404,MATCH(G708,Checklists!$F$5:$F$404,0)),""))</f>
        <v>0</v>
      </c>
      <c r="R708" s="31">
        <f>IF(OR(J708="",Q708=""),"",J708-Q708)</f>
        <v>0</v>
      </c>
      <c r="S708" s="50">
        <f>IF(B708="","",IF(H708="Done","Yes","No"))</f>
        <v>0</v>
      </c>
      <c r="T708" s="39">
        <f>IF(B708="","",IF(G708="","Add - what was the task?",IF(H708="Issue found",IF(M708="Yes","OK - issue reported","Action - tell the client"),IF(H708="Needs rework","Action - rework needed",IF(AND(H708="Skipped",P708="Yes"),"Check - required task skipped",IF(H708="Done","OK","Due"))))))</f>
        <v>0</v>
      </c>
    </row>
    <row r="709" spans="1:20">
      <c r="A709" s="43">
        <f>IF(B709="","","JT-"&amp;TEXT(ROW()-4,"0000"))</f>
        <v>0</v>
      </c>
      <c r="C709" s="18">
        <f>IF(B709="","",IFERROR(INDEX(Jobs!$B$5:$B$604,MATCH(B709,Jobs!$A$5:$A$604,0)),""))</f>
        <v>0</v>
      </c>
      <c r="D709" s="23">
        <f>IF(B709="","",IFERROR(INDEX(Jobs!$H$5:$H$604,MATCH(B709,Jobs!$A$5:$A$604,0)),""))</f>
        <v>0</v>
      </c>
      <c r="E709" s="23">
        <f>IF(B709="","",IFERROR(INDEX(Jobs!$K$5:$K$604,MATCH(B709,Jobs!$A$5:$A$604,0)),""))</f>
        <v>0</v>
      </c>
      <c r="P709" s="50">
        <f>IF(G709="","",IFERROR(INDEX(Checklists!$J$5:$J$404,MATCH(G709,Checklists!$F$5:$F$404,0)),"Yes"))</f>
        <v>0</v>
      </c>
      <c r="Q709" s="31">
        <f>IF(G709="","",IFERROR(INDEX(Checklists!$H$5:$H$404,MATCH(G709,Checklists!$F$5:$F$404,0)),""))</f>
        <v>0</v>
      </c>
      <c r="R709" s="31">
        <f>IF(OR(J709="",Q709=""),"",J709-Q709)</f>
        <v>0</v>
      </c>
      <c r="S709" s="50">
        <f>IF(B709="","",IF(H709="Done","Yes","No"))</f>
        <v>0</v>
      </c>
      <c r="T709" s="39">
        <f>IF(B709="","",IF(G709="","Add - what was the task?",IF(H709="Issue found",IF(M709="Yes","OK - issue reported","Action - tell the client"),IF(H709="Needs rework","Action - rework needed",IF(AND(H709="Skipped",P709="Yes"),"Check - required task skipped",IF(H709="Done","OK","Due"))))))</f>
        <v>0</v>
      </c>
    </row>
    <row r="710" spans="1:20">
      <c r="A710" s="43">
        <f>IF(B710="","","JT-"&amp;TEXT(ROW()-4,"0000"))</f>
        <v>0</v>
      </c>
      <c r="C710" s="18">
        <f>IF(B710="","",IFERROR(INDEX(Jobs!$B$5:$B$604,MATCH(B710,Jobs!$A$5:$A$604,0)),""))</f>
        <v>0</v>
      </c>
      <c r="D710" s="23">
        <f>IF(B710="","",IFERROR(INDEX(Jobs!$H$5:$H$604,MATCH(B710,Jobs!$A$5:$A$604,0)),""))</f>
        <v>0</v>
      </c>
      <c r="E710" s="23">
        <f>IF(B710="","",IFERROR(INDEX(Jobs!$K$5:$K$604,MATCH(B710,Jobs!$A$5:$A$604,0)),""))</f>
        <v>0</v>
      </c>
      <c r="P710" s="50">
        <f>IF(G710="","",IFERROR(INDEX(Checklists!$J$5:$J$404,MATCH(G710,Checklists!$F$5:$F$404,0)),"Yes"))</f>
        <v>0</v>
      </c>
      <c r="Q710" s="31">
        <f>IF(G710="","",IFERROR(INDEX(Checklists!$H$5:$H$404,MATCH(G710,Checklists!$F$5:$F$404,0)),""))</f>
        <v>0</v>
      </c>
      <c r="R710" s="31">
        <f>IF(OR(J710="",Q710=""),"",J710-Q710)</f>
        <v>0</v>
      </c>
      <c r="S710" s="50">
        <f>IF(B710="","",IF(H710="Done","Yes","No"))</f>
        <v>0</v>
      </c>
      <c r="T710" s="39">
        <f>IF(B710="","",IF(G710="","Add - what was the task?",IF(H710="Issue found",IF(M710="Yes","OK - issue reported","Action - tell the client"),IF(H710="Needs rework","Action - rework needed",IF(AND(H710="Skipped",P710="Yes"),"Check - required task skipped",IF(H710="Done","OK","Due"))))))</f>
        <v>0</v>
      </c>
    </row>
    <row r="711" spans="1:20">
      <c r="A711" s="43">
        <f>IF(B711="","","JT-"&amp;TEXT(ROW()-4,"0000"))</f>
        <v>0</v>
      </c>
      <c r="C711" s="18">
        <f>IF(B711="","",IFERROR(INDEX(Jobs!$B$5:$B$604,MATCH(B711,Jobs!$A$5:$A$604,0)),""))</f>
        <v>0</v>
      </c>
      <c r="D711" s="23">
        <f>IF(B711="","",IFERROR(INDEX(Jobs!$H$5:$H$604,MATCH(B711,Jobs!$A$5:$A$604,0)),""))</f>
        <v>0</v>
      </c>
      <c r="E711" s="23">
        <f>IF(B711="","",IFERROR(INDEX(Jobs!$K$5:$K$604,MATCH(B711,Jobs!$A$5:$A$604,0)),""))</f>
        <v>0</v>
      </c>
      <c r="P711" s="50">
        <f>IF(G711="","",IFERROR(INDEX(Checklists!$J$5:$J$404,MATCH(G711,Checklists!$F$5:$F$404,0)),"Yes"))</f>
        <v>0</v>
      </c>
      <c r="Q711" s="31">
        <f>IF(G711="","",IFERROR(INDEX(Checklists!$H$5:$H$404,MATCH(G711,Checklists!$F$5:$F$404,0)),""))</f>
        <v>0</v>
      </c>
      <c r="R711" s="31">
        <f>IF(OR(J711="",Q711=""),"",J711-Q711)</f>
        <v>0</v>
      </c>
      <c r="S711" s="50">
        <f>IF(B711="","",IF(H711="Done","Yes","No"))</f>
        <v>0</v>
      </c>
      <c r="T711" s="39">
        <f>IF(B711="","",IF(G711="","Add - what was the task?",IF(H711="Issue found",IF(M711="Yes","OK - issue reported","Action - tell the client"),IF(H711="Needs rework","Action - rework needed",IF(AND(H711="Skipped",P711="Yes"),"Check - required task skipped",IF(H711="Done","OK","Due"))))))</f>
        <v>0</v>
      </c>
    </row>
    <row r="712" spans="1:20">
      <c r="A712" s="43">
        <f>IF(B712="","","JT-"&amp;TEXT(ROW()-4,"0000"))</f>
        <v>0</v>
      </c>
      <c r="C712" s="18">
        <f>IF(B712="","",IFERROR(INDEX(Jobs!$B$5:$B$604,MATCH(B712,Jobs!$A$5:$A$604,0)),""))</f>
        <v>0</v>
      </c>
      <c r="D712" s="23">
        <f>IF(B712="","",IFERROR(INDEX(Jobs!$H$5:$H$604,MATCH(B712,Jobs!$A$5:$A$604,0)),""))</f>
        <v>0</v>
      </c>
      <c r="E712" s="23">
        <f>IF(B712="","",IFERROR(INDEX(Jobs!$K$5:$K$604,MATCH(B712,Jobs!$A$5:$A$604,0)),""))</f>
        <v>0</v>
      </c>
      <c r="P712" s="50">
        <f>IF(G712="","",IFERROR(INDEX(Checklists!$J$5:$J$404,MATCH(G712,Checklists!$F$5:$F$404,0)),"Yes"))</f>
        <v>0</v>
      </c>
      <c r="Q712" s="31">
        <f>IF(G712="","",IFERROR(INDEX(Checklists!$H$5:$H$404,MATCH(G712,Checklists!$F$5:$F$404,0)),""))</f>
        <v>0</v>
      </c>
      <c r="R712" s="31">
        <f>IF(OR(J712="",Q712=""),"",J712-Q712)</f>
        <v>0</v>
      </c>
      <c r="S712" s="50">
        <f>IF(B712="","",IF(H712="Done","Yes","No"))</f>
        <v>0</v>
      </c>
      <c r="T712" s="39">
        <f>IF(B712="","",IF(G712="","Add - what was the task?",IF(H712="Issue found",IF(M712="Yes","OK - issue reported","Action - tell the client"),IF(H712="Needs rework","Action - rework needed",IF(AND(H712="Skipped",P712="Yes"),"Check - required task skipped",IF(H712="Done","OK","Due"))))))</f>
        <v>0</v>
      </c>
    </row>
    <row r="713" spans="1:20">
      <c r="A713" s="43">
        <f>IF(B713="","","JT-"&amp;TEXT(ROW()-4,"0000"))</f>
        <v>0</v>
      </c>
      <c r="C713" s="18">
        <f>IF(B713="","",IFERROR(INDEX(Jobs!$B$5:$B$604,MATCH(B713,Jobs!$A$5:$A$604,0)),""))</f>
        <v>0</v>
      </c>
      <c r="D713" s="23">
        <f>IF(B713="","",IFERROR(INDEX(Jobs!$H$5:$H$604,MATCH(B713,Jobs!$A$5:$A$604,0)),""))</f>
        <v>0</v>
      </c>
      <c r="E713" s="23">
        <f>IF(B713="","",IFERROR(INDEX(Jobs!$K$5:$K$604,MATCH(B713,Jobs!$A$5:$A$604,0)),""))</f>
        <v>0</v>
      </c>
      <c r="P713" s="50">
        <f>IF(G713="","",IFERROR(INDEX(Checklists!$J$5:$J$404,MATCH(G713,Checklists!$F$5:$F$404,0)),"Yes"))</f>
        <v>0</v>
      </c>
      <c r="Q713" s="31">
        <f>IF(G713="","",IFERROR(INDEX(Checklists!$H$5:$H$404,MATCH(G713,Checklists!$F$5:$F$404,0)),""))</f>
        <v>0</v>
      </c>
      <c r="R713" s="31">
        <f>IF(OR(J713="",Q713=""),"",J713-Q713)</f>
        <v>0</v>
      </c>
      <c r="S713" s="50">
        <f>IF(B713="","",IF(H713="Done","Yes","No"))</f>
        <v>0</v>
      </c>
      <c r="T713" s="39">
        <f>IF(B713="","",IF(G713="","Add - what was the task?",IF(H713="Issue found",IF(M713="Yes","OK - issue reported","Action - tell the client"),IF(H713="Needs rework","Action - rework needed",IF(AND(H713="Skipped",P713="Yes"),"Check - required task skipped",IF(H713="Done","OK","Due"))))))</f>
        <v>0</v>
      </c>
    </row>
    <row r="714" spans="1:20">
      <c r="A714" s="43">
        <f>IF(B714="","","JT-"&amp;TEXT(ROW()-4,"0000"))</f>
        <v>0</v>
      </c>
      <c r="C714" s="18">
        <f>IF(B714="","",IFERROR(INDEX(Jobs!$B$5:$B$604,MATCH(B714,Jobs!$A$5:$A$604,0)),""))</f>
        <v>0</v>
      </c>
      <c r="D714" s="23">
        <f>IF(B714="","",IFERROR(INDEX(Jobs!$H$5:$H$604,MATCH(B714,Jobs!$A$5:$A$604,0)),""))</f>
        <v>0</v>
      </c>
      <c r="E714" s="23">
        <f>IF(B714="","",IFERROR(INDEX(Jobs!$K$5:$K$604,MATCH(B714,Jobs!$A$5:$A$604,0)),""))</f>
        <v>0</v>
      </c>
      <c r="P714" s="50">
        <f>IF(G714="","",IFERROR(INDEX(Checklists!$J$5:$J$404,MATCH(G714,Checklists!$F$5:$F$404,0)),"Yes"))</f>
        <v>0</v>
      </c>
      <c r="Q714" s="31">
        <f>IF(G714="","",IFERROR(INDEX(Checklists!$H$5:$H$404,MATCH(G714,Checklists!$F$5:$F$404,0)),""))</f>
        <v>0</v>
      </c>
      <c r="R714" s="31">
        <f>IF(OR(J714="",Q714=""),"",J714-Q714)</f>
        <v>0</v>
      </c>
      <c r="S714" s="50">
        <f>IF(B714="","",IF(H714="Done","Yes","No"))</f>
        <v>0</v>
      </c>
      <c r="T714" s="39">
        <f>IF(B714="","",IF(G714="","Add - what was the task?",IF(H714="Issue found",IF(M714="Yes","OK - issue reported","Action - tell the client"),IF(H714="Needs rework","Action - rework needed",IF(AND(H714="Skipped",P714="Yes"),"Check - required task skipped",IF(H714="Done","OK","Due"))))))</f>
        <v>0</v>
      </c>
    </row>
    <row r="715" spans="1:20">
      <c r="A715" s="43">
        <f>IF(B715="","","JT-"&amp;TEXT(ROW()-4,"0000"))</f>
        <v>0</v>
      </c>
      <c r="C715" s="18">
        <f>IF(B715="","",IFERROR(INDEX(Jobs!$B$5:$B$604,MATCH(B715,Jobs!$A$5:$A$604,0)),""))</f>
        <v>0</v>
      </c>
      <c r="D715" s="23">
        <f>IF(B715="","",IFERROR(INDEX(Jobs!$H$5:$H$604,MATCH(B715,Jobs!$A$5:$A$604,0)),""))</f>
        <v>0</v>
      </c>
      <c r="E715" s="23">
        <f>IF(B715="","",IFERROR(INDEX(Jobs!$K$5:$K$604,MATCH(B715,Jobs!$A$5:$A$604,0)),""))</f>
        <v>0</v>
      </c>
      <c r="P715" s="50">
        <f>IF(G715="","",IFERROR(INDEX(Checklists!$J$5:$J$404,MATCH(G715,Checklists!$F$5:$F$404,0)),"Yes"))</f>
        <v>0</v>
      </c>
      <c r="Q715" s="31">
        <f>IF(G715="","",IFERROR(INDEX(Checklists!$H$5:$H$404,MATCH(G715,Checklists!$F$5:$F$404,0)),""))</f>
        <v>0</v>
      </c>
      <c r="R715" s="31">
        <f>IF(OR(J715="",Q715=""),"",J715-Q715)</f>
        <v>0</v>
      </c>
      <c r="S715" s="50">
        <f>IF(B715="","",IF(H715="Done","Yes","No"))</f>
        <v>0</v>
      </c>
      <c r="T715" s="39">
        <f>IF(B715="","",IF(G715="","Add - what was the task?",IF(H715="Issue found",IF(M715="Yes","OK - issue reported","Action - tell the client"),IF(H715="Needs rework","Action - rework needed",IF(AND(H715="Skipped",P715="Yes"),"Check - required task skipped",IF(H715="Done","OK","Due"))))))</f>
        <v>0</v>
      </c>
    </row>
    <row r="716" spans="1:20">
      <c r="A716" s="43">
        <f>IF(B716="","","JT-"&amp;TEXT(ROW()-4,"0000"))</f>
        <v>0</v>
      </c>
      <c r="C716" s="18">
        <f>IF(B716="","",IFERROR(INDEX(Jobs!$B$5:$B$604,MATCH(B716,Jobs!$A$5:$A$604,0)),""))</f>
        <v>0</v>
      </c>
      <c r="D716" s="23">
        <f>IF(B716="","",IFERROR(INDEX(Jobs!$H$5:$H$604,MATCH(B716,Jobs!$A$5:$A$604,0)),""))</f>
        <v>0</v>
      </c>
      <c r="E716" s="23">
        <f>IF(B716="","",IFERROR(INDEX(Jobs!$K$5:$K$604,MATCH(B716,Jobs!$A$5:$A$604,0)),""))</f>
        <v>0</v>
      </c>
      <c r="P716" s="50">
        <f>IF(G716="","",IFERROR(INDEX(Checklists!$J$5:$J$404,MATCH(G716,Checklists!$F$5:$F$404,0)),"Yes"))</f>
        <v>0</v>
      </c>
      <c r="Q716" s="31">
        <f>IF(G716="","",IFERROR(INDEX(Checklists!$H$5:$H$404,MATCH(G716,Checklists!$F$5:$F$404,0)),""))</f>
        <v>0</v>
      </c>
      <c r="R716" s="31">
        <f>IF(OR(J716="",Q716=""),"",J716-Q716)</f>
        <v>0</v>
      </c>
      <c r="S716" s="50">
        <f>IF(B716="","",IF(H716="Done","Yes","No"))</f>
        <v>0</v>
      </c>
      <c r="T716" s="39">
        <f>IF(B716="","",IF(G716="","Add - what was the task?",IF(H716="Issue found",IF(M716="Yes","OK - issue reported","Action - tell the client"),IF(H716="Needs rework","Action - rework needed",IF(AND(H716="Skipped",P716="Yes"),"Check - required task skipped",IF(H716="Done","OK","Due"))))))</f>
        <v>0</v>
      </c>
    </row>
    <row r="717" spans="1:20">
      <c r="A717" s="43">
        <f>IF(B717="","","JT-"&amp;TEXT(ROW()-4,"0000"))</f>
        <v>0</v>
      </c>
      <c r="C717" s="18">
        <f>IF(B717="","",IFERROR(INDEX(Jobs!$B$5:$B$604,MATCH(B717,Jobs!$A$5:$A$604,0)),""))</f>
        <v>0</v>
      </c>
      <c r="D717" s="23">
        <f>IF(B717="","",IFERROR(INDEX(Jobs!$H$5:$H$604,MATCH(B717,Jobs!$A$5:$A$604,0)),""))</f>
        <v>0</v>
      </c>
      <c r="E717" s="23">
        <f>IF(B717="","",IFERROR(INDEX(Jobs!$K$5:$K$604,MATCH(B717,Jobs!$A$5:$A$604,0)),""))</f>
        <v>0</v>
      </c>
      <c r="P717" s="50">
        <f>IF(G717="","",IFERROR(INDEX(Checklists!$J$5:$J$404,MATCH(G717,Checklists!$F$5:$F$404,0)),"Yes"))</f>
        <v>0</v>
      </c>
      <c r="Q717" s="31">
        <f>IF(G717="","",IFERROR(INDEX(Checklists!$H$5:$H$404,MATCH(G717,Checklists!$F$5:$F$404,0)),""))</f>
        <v>0</v>
      </c>
      <c r="R717" s="31">
        <f>IF(OR(J717="",Q717=""),"",J717-Q717)</f>
        <v>0</v>
      </c>
      <c r="S717" s="50">
        <f>IF(B717="","",IF(H717="Done","Yes","No"))</f>
        <v>0</v>
      </c>
      <c r="T717" s="39">
        <f>IF(B717="","",IF(G717="","Add - what was the task?",IF(H717="Issue found",IF(M717="Yes","OK - issue reported","Action - tell the client"),IF(H717="Needs rework","Action - rework needed",IF(AND(H717="Skipped",P717="Yes"),"Check - required task skipped",IF(H717="Done","OK","Due"))))))</f>
        <v>0</v>
      </c>
    </row>
    <row r="718" spans="1:20">
      <c r="A718" s="43">
        <f>IF(B718="","","JT-"&amp;TEXT(ROW()-4,"0000"))</f>
        <v>0</v>
      </c>
      <c r="C718" s="18">
        <f>IF(B718="","",IFERROR(INDEX(Jobs!$B$5:$B$604,MATCH(B718,Jobs!$A$5:$A$604,0)),""))</f>
        <v>0</v>
      </c>
      <c r="D718" s="23">
        <f>IF(B718="","",IFERROR(INDEX(Jobs!$H$5:$H$604,MATCH(B718,Jobs!$A$5:$A$604,0)),""))</f>
        <v>0</v>
      </c>
      <c r="E718" s="23">
        <f>IF(B718="","",IFERROR(INDEX(Jobs!$K$5:$K$604,MATCH(B718,Jobs!$A$5:$A$604,0)),""))</f>
        <v>0</v>
      </c>
      <c r="P718" s="50">
        <f>IF(G718="","",IFERROR(INDEX(Checklists!$J$5:$J$404,MATCH(G718,Checklists!$F$5:$F$404,0)),"Yes"))</f>
        <v>0</v>
      </c>
      <c r="Q718" s="31">
        <f>IF(G718="","",IFERROR(INDEX(Checklists!$H$5:$H$404,MATCH(G718,Checklists!$F$5:$F$404,0)),""))</f>
        <v>0</v>
      </c>
      <c r="R718" s="31">
        <f>IF(OR(J718="",Q718=""),"",J718-Q718)</f>
        <v>0</v>
      </c>
      <c r="S718" s="50">
        <f>IF(B718="","",IF(H718="Done","Yes","No"))</f>
        <v>0</v>
      </c>
      <c r="T718" s="39">
        <f>IF(B718="","",IF(G718="","Add - what was the task?",IF(H718="Issue found",IF(M718="Yes","OK - issue reported","Action - tell the client"),IF(H718="Needs rework","Action - rework needed",IF(AND(H718="Skipped",P718="Yes"),"Check - required task skipped",IF(H718="Done","OK","Due"))))))</f>
        <v>0</v>
      </c>
    </row>
    <row r="719" spans="1:20">
      <c r="A719" s="43">
        <f>IF(B719="","","JT-"&amp;TEXT(ROW()-4,"0000"))</f>
        <v>0</v>
      </c>
      <c r="C719" s="18">
        <f>IF(B719="","",IFERROR(INDEX(Jobs!$B$5:$B$604,MATCH(B719,Jobs!$A$5:$A$604,0)),""))</f>
        <v>0</v>
      </c>
      <c r="D719" s="23">
        <f>IF(B719="","",IFERROR(INDEX(Jobs!$H$5:$H$604,MATCH(B719,Jobs!$A$5:$A$604,0)),""))</f>
        <v>0</v>
      </c>
      <c r="E719" s="23">
        <f>IF(B719="","",IFERROR(INDEX(Jobs!$K$5:$K$604,MATCH(B719,Jobs!$A$5:$A$604,0)),""))</f>
        <v>0</v>
      </c>
      <c r="P719" s="50">
        <f>IF(G719="","",IFERROR(INDEX(Checklists!$J$5:$J$404,MATCH(G719,Checklists!$F$5:$F$404,0)),"Yes"))</f>
        <v>0</v>
      </c>
      <c r="Q719" s="31">
        <f>IF(G719="","",IFERROR(INDEX(Checklists!$H$5:$H$404,MATCH(G719,Checklists!$F$5:$F$404,0)),""))</f>
        <v>0</v>
      </c>
      <c r="R719" s="31">
        <f>IF(OR(J719="",Q719=""),"",J719-Q719)</f>
        <v>0</v>
      </c>
      <c r="S719" s="50">
        <f>IF(B719="","",IF(H719="Done","Yes","No"))</f>
        <v>0</v>
      </c>
      <c r="T719" s="39">
        <f>IF(B719="","",IF(G719="","Add - what was the task?",IF(H719="Issue found",IF(M719="Yes","OK - issue reported","Action - tell the client"),IF(H719="Needs rework","Action - rework needed",IF(AND(H719="Skipped",P719="Yes"),"Check - required task skipped",IF(H719="Done","OK","Due"))))))</f>
        <v>0</v>
      </c>
    </row>
    <row r="720" spans="1:20">
      <c r="A720" s="43">
        <f>IF(B720="","","JT-"&amp;TEXT(ROW()-4,"0000"))</f>
        <v>0</v>
      </c>
      <c r="C720" s="18">
        <f>IF(B720="","",IFERROR(INDEX(Jobs!$B$5:$B$604,MATCH(B720,Jobs!$A$5:$A$604,0)),""))</f>
        <v>0</v>
      </c>
      <c r="D720" s="23">
        <f>IF(B720="","",IFERROR(INDEX(Jobs!$H$5:$H$604,MATCH(B720,Jobs!$A$5:$A$604,0)),""))</f>
        <v>0</v>
      </c>
      <c r="E720" s="23">
        <f>IF(B720="","",IFERROR(INDEX(Jobs!$K$5:$K$604,MATCH(B720,Jobs!$A$5:$A$604,0)),""))</f>
        <v>0</v>
      </c>
      <c r="P720" s="50">
        <f>IF(G720="","",IFERROR(INDEX(Checklists!$J$5:$J$404,MATCH(G720,Checklists!$F$5:$F$404,0)),"Yes"))</f>
        <v>0</v>
      </c>
      <c r="Q720" s="31">
        <f>IF(G720="","",IFERROR(INDEX(Checklists!$H$5:$H$404,MATCH(G720,Checklists!$F$5:$F$404,0)),""))</f>
        <v>0</v>
      </c>
      <c r="R720" s="31">
        <f>IF(OR(J720="",Q720=""),"",J720-Q720)</f>
        <v>0</v>
      </c>
      <c r="S720" s="50">
        <f>IF(B720="","",IF(H720="Done","Yes","No"))</f>
        <v>0</v>
      </c>
      <c r="T720" s="39">
        <f>IF(B720="","",IF(G720="","Add - what was the task?",IF(H720="Issue found",IF(M720="Yes","OK - issue reported","Action - tell the client"),IF(H720="Needs rework","Action - rework needed",IF(AND(H720="Skipped",P720="Yes"),"Check - required task skipped",IF(H720="Done","OK","Due"))))))</f>
        <v>0</v>
      </c>
    </row>
    <row r="721" spans="1:20">
      <c r="A721" s="43">
        <f>IF(B721="","","JT-"&amp;TEXT(ROW()-4,"0000"))</f>
        <v>0</v>
      </c>
      <c r="C721" s="18">
        <f>IF(B721="","",IFERROR(INDEX(Jobs!$B$5:$B$604,MATCH(B721,Jobs!$A$5:$A$604,0)),""))</f>
        <v>0</v>
      </c>
      <c r="D721" s="23">
        <f>IF(B721="","",IFERROR(INDEX(Jobs!$H$5:$H$604,MATCH(B721,Jobs!$A$5:$A$604,0)),""))</f>
        <v>0</v>
      </c>
      <c r="E721" s="23">
        <f>IF(B721="","",IFERROR(INDEX(Jobs!$K$5:$K$604,MATCH(B721,Jobs!$A$5:$A$604,0)),""))</f>
        <v>0</v>
      </c>
      <c r="P721" s="50">
        <f>IF(G721="","",IFERROR(INDEX(Checklists!$J$5:$J$404,MATCH(G721,Checklists!$F$5:$F$404,0)),"Yes"))</f>
        <v>0</v>
      </c>
      <c r="Q721" s="31">
        <f>IF(G721="","",IFERROR(INDEX(Checklists!$H$5:$H$404,MATCH(G721,Checklists!$F$5:$F$404,0)),""))</f>
        <v>0</v>
      </c>
      <c r="R721" s="31">
        <f>IF(OR(J721="",Q721=""),"",J721-Q721)</f>
        <v>0</v>
      </c>
      <c r="S721" s="50">
        <f>IF(B721="","",IF(H721="Done","Yes","No"))</f>
        <v>0</v>
      </c>
      <c r="T721" s="39">
        <f>IF(B721="","",IF(G721="","Add - what was the task?",IF(H721="Issue found",IF(M721="Yes","OK - issue reported","Action - tell the client"),IF(H721="Needs rework","Action - rework needed",IF(AND(H721="Skipped",P721="Yes"),"Check - required task skipped",IF(H721="Done","OK","Due"))))))</f>
        <v>0</v>
      </c>
    </row>
    <row r="722" spans="1:20">
      <c r="A722" s="43">
        <f>IF(B722="","","JT-"&amp;TEXT(ROW()-4,"0000"))</f>
        <v>0</v>
      </c>
      <c r="C722" s="18">
        <f>IF(B722="","",IFERROR(INDEX(Jobs!$B$5:$B$604,MATCH(B722,Jobs!$A$5:$A$604,0)),""))</f>
        <v>0</v>
      </c>
      <c r="D722" s="23">
        <f>IF(B722="","",IFERROR(INDEX(Jobs!$H$5:$H$604,MATCH(B722,Jobs!$A$5:$A$604,0)),""))</f>
        <v>0</v>
      </c>
      <c r="E722" s="23">
        <f>IF(B722="","",IFERROR(INDEX(Jobs!$K$5:$K$604,MATCH(B722,Jobs!$A$5:$A$604,0)),""))</f>
        <v>0</v>
      </c>
      <c r="P722" s="50">
        <f>IF(G722="","",IFERROR(INDEX(Checklists!$J$5:$J$404,MATCH(G722,Checklists!$F$5:$F$404,0)),"Yes"))</f>
        <v>0</v>
      </c>
      <c r="Q722" s="31">
        <f>IF(G722="","",IFERROR(INDEX(Checklists!$H$5:$H$404,MATCH(G722,Checklists!$F$5:$F$404,0)),""))</f>
        <v>0</v>
      </c>
      <c r="R722" s="31">
        <f>IF(OR(J722="",Q722=""),"",J722-Q722)</f>
        <v>0</v>
      </c>
      <c r="S722" s="50">
        <f>IF(B722="","",IF(H722="Done","Yes","No"))</f>
        <v>0</v>
      </c>
      <c r="T722" s="39">
        <f>IF(B722="","",IF(G722="","Add - what was the task?",IF(H722="Issue found",IF(M722="Yes","OK - issue reported","Action - tell the client"),IF(H722="Needs rework","Action - rework needed",IF(AND(H722="Skipped",P722="Yes"),"Check - required task skipped",IF(H722="Done","OK","Due"))))))</f>
        <v>0</v>
      </c>
    </row>
    <row r="723" spans="1:20">
      <c r="A723" s="43">
        <f>IF(B723="","","JT-"&amp;TEXT(ROW()-4,"0000"))</f>
        <v>0</v>
      </c>
      <c r="C723" s="18">
        <f>IF(B723="","",IFERROR(INDEX(Jobs!$B$5:$B$604,MATCH(B723,Jobs!$A$5:$A$604,0)),""))</f>
        <v>0</v>
      </c>
      <c r="D723" s="23">
        <f>IF(B723="","",IFERROR(INDEX(Jobs!$H$5:$H$604,MATCH(B723,Jobs!$A$5:$A$604,0)),""))</f>
        <v>0</v>
      </c>
      <c r="E723" s="23">
        <f>IF(B723="","",IFERROR(INDEX(Jobs!$K$5:$K$604,MATCH(B723,Jobs!$A$5:$A$604,0)),""))</f>
        <v>0</v>
      </c>
      <c r="P723" s="50">
        <f>IF(G723="","",IFERROR(INDEX(Checklists!$J$5:$J$404,MATCH(G723,Checklists!$F$5:$F$404,0)),"Yes"))</f>
        <v>0</v>
      </c>
      <c r="Q723" s="31">
        <f>IF(G723="","",IFERROR(INDEX(Checklists!$H$5:$H$404,MATCH(G723,Checklists!$F$5:$F$404,0)),""))</f>
        <v>0</v>
      </c>
      <c r="R723" s="31">
        <f>IF(OR(J723="",Q723=""),"",J723-Q723)</f>
        <v>0</v>
      </c>
      <c r="S723" s="50">
        <f>IF(B723="","",IF(H723="Done","Yes","No"))</f>
        <v>0</v>
      </c>
      <c r="T723" s="39">
        <f>IF(B723="","",IF(G723="","Add - what was the task?",IF(H723="Issue found",IF(M723="Yes","OK - issue reported","Action - tell the client"),IF(H723="Needs rework","Action - rework needed",IF(AND(H723="Skipped",P723="Yes"),"Check - required task skipped",IF(H723="Done","OK","Due"))))))</f>
        <v>0</v>
      </c>
    </row>
    <row r="724" spans="1:20">
      <c r="A724" s="43">
        <f>IF(B724="","","JT-"&amp;TEXT(ROW()-4,"0000"))</f>
        <v>0</v>
      </c>
      <c r="C724" s="18">
        <f>IF(B724="","",IFERROR(INDEX(Jobs!$B$5:$B$604,MATCH(B724,Jobs!$A$5:$A$604,0)),""))</f>
        <v>0</v>
      </c>
      <c r="D724" s="23">
        <f>IF(B724="","",IFERROR(INDEX(Jobs!$H$5:$H$604,MATCH(B724,Jobs!$A$5:$A$604,0)),""))</f>
        <v>0</v>
      </c>
      <c r="E724" s="23">
        <f>IF(B724="","",IFERROR(INDEX(Jobs!$K$5:$K$604,MATCH(B724,Jobs!$A$5:$A$604,0)),""))</f>
        <v>0</v>
      </c>
      <c r="P724" s="50">
        <f>IF(G724="","",IFERROR(INDEX(Checklists!$J$5:$J$404,MATCH(G724,Checklists!$F$5:$F$404,0)),"Yes"))</f>
        <v>0</v>
      </c>
      <c r="Q724" s="31">
        <f>IF(G724="","",IFERROR(INDEX(Checklists!$H$5:$H$404,MATCH(G724,Checklists!$F$5:$F$404,0)),""))</f>
        <v>0</v>
      </c>
      <c r="R724" s="31">
        <f>IF(OR(J724="",Q724=""),"",J724-Q724)</f>
        <v>0</v>
      </c>
      <c r="S724" s="50">
        <f>IF(B724="","",IF(H724="Done","Yes","No"))</f>
        <v>0</v>
      </c>
      <c r="T724" s="39">
        <f>IF(B724="","",IF(G724="","Add - what was the task?",IF(H724="Issue found",IF(M724="Yes","OK - issue reported","Action - tell the client"),IF(H724="Needs rework","Action - rework needed",IF(AND(H724="Skipped",P724="Yes"),"Check - required task skipped",IF(H724="Done","OK","Due"))))))</f>
        <v>0</v>
      </c>
    </row>
    <row r="725" spans="1:20">
      <c r="A725" s="43">
        <f>IF(B725="","","JT-"&amp;TEXT(ROW()-4,"0000"))</f>
        <v>0</v>
      </c>
      <c r="C725" s="18">
        <f>IF(B725="","",IFERROR(INDEX(Jobs!$B$5:$B$604,MATCH(B725,Jobs!$A$5:$A$604,0)),""))</f>
        <v>0</v>
      </c>
      <c r="D725" s="23">
        <f>IF(B725="","",IFERROR(INDEX(Jobs!$H$5:$H$604,MATCH(B725,Jobs!$A$5:$A$604,0)),""))</f>
        <v>0</v>
      </c>
      <c r="E725" s="23">
        <f>IF(B725="","",IFERROR(INDEX(Jobs!$K$5:$K$604,MATCH(B725,Jobs!$A$5:$A$604,0)),""))</f>
        <v>0</v>
      </c>
      <c r="P725" s="50">
        <f>IF(G725="","",IFERROR(INDEX(Checklists!$J$5:$J$404,MATCH(G725,Checklists!$F$5:$F$404,0)),"Yes"))</f>
        <v>0</v>
      </c>
      <c r="Q725" s="31">
        <f>IF(G725="","",IFERROR(INDEX(Checklists!$H$5:$H$404,MATCH(G725,Checklists!$F$5:$F$404,0)),""))</f>
        <v>0</v>
      </c>
      <c r="R725" s="31">
        <f>IF(OR(J725="",Q725=""),"",J725-Q725)</f>
        <v>0</v>
      </c>
      <c r="S725" s="50">
        <f>IF(B725="","",IF(H725="Done","Yes","No"))</f>
        <v>0</v>
      </c>
      <c r="T725" s="39">
        <f>IF(B725="","",IF(G725="","Add - what was the task?",IF(H725="Issue found",IF(M725="Yes","OK - issue reported","Action - tell the client"),IF(H725="Needs rework","Action - rework needed",IF(AND(H725="Skipped",P725="Yes"),"Check - required task skipped",IF(H725="Done","OK","Due"))))))</f>
        <v>0</v>
      </c>
    </row>
    <row r="726" spans="1:20">
      <c r="A726" s="43">
        <f>IF(B726="","","JT-"&amp;TEXT(ROW()-4,"0000"))</f>
        <v>0</v>
      </c>
      <c r="C726" s="18">
        <f>IF(B726="","",IFERROR(INDEX(Jobs!$B$5:$B$604,MATCH(B726,Jobs!$A$5:$A$604,0)),""))</f>
        <v>0</v>
      </c>
      <c r="D726" s="23">
        <f>IF(B726="","",IFERROR(INDEX(Jobs!$H$5:$H$604,MATCH(B726,Jobs!$A$5:$A$604,0)),""))</f>
        <v>0</v>
      </c>
      <c r="E726" s="23">
        <f>IF(B726="","",IFERROR(INDEX(Jobs!$K$5:$K$604,MATCH(B726,Jobs!$A$5:$A$604,0)),""))</f>
        <v>0</v>
      </c>
      <c r="P726" s="50">
        <f>IF(G726="","",IFERROR(INDEX(Checklists!$J$5:$J$404,MATCH(G726,Checklists!$F$5:$F$404,0)),"Yes"))</f>
        <v>0</v>
      </c>
      <c r="Q726" s="31">
        <f>IF(G726="","",IFERROR(INDEX(Checklists!$H$5:$H$404,MATCH(G726,Checklists!$F$5:$F$404,0)),""))</f>
        <v>0</v>
      </c>
      <c r="R726" s="31">
        <f>IF(OR(J726="",Q726=""),"",J726-Q726)</f>
        <v>0</v>
      </c>
      <c r="S726" s="50">
        <f>IF(B726="","",IF(H726="Done","Yes","No"))</f>
        <v>0</v>
      </c>
      <c r="T726" s="39">
        <f>IF(B726="","",IF(G726="","Add - what was the task?",IF(H726="Issue found",IF(M726="Yes","OK - issue reported","Action - tell the client"),IF(H726="Needs rework","Action - rework needed",IF(AND(H726="Skipped",P726="Yes"),"Check - required task skipped",IF(H726="Done","OK","Due"))))))</f>
        <v>0</v>
      </c>
    </row>
    <row r="727" spans="1:20">
      <c r="A727" s="43">
        <f>IF(B727="","","JT-"&amp;TEXT(ROW()-4,"0000"))</f>
        <v>0</v>
      </c>
      <c r="C727" s="18">
        <f>IF(B727="","",IFERROR(INDEX(Jobs!$B$5:$B$604,MATCH(B727,Jobs!$A$5:$A$604,0)),""))</f>
        <v>0</v>
      </c>
      <c r="D727" s="23">
        <f>IF(B727="","",IFERROR(INDEX(Jobs!$H$5:$H$604,MATCH(B727,Jobs!$A$5:$A$604,0)),""))</f>
        <v>0</v>
      </c>
      <c r="E727" s="23">
        <f>IF(B727="","",IFERROR(INDEX(Jobs!$K$5:$K$604,MATCH(B727,Jobs!$A$5:$A$604,0)),""))</f>
        <v>0</v>
      </c>
      <c r="P727" s="50">
        <f>IF(G727="","",IFERROR(INDEX(Checklists!$J$5:$J$404,MATCH(G727,Checklists!$F$5:$F$404,0)),"Yes"))</f>
        <v>0</v>
      </c>
      <c r="Q727" s="31">
        <f>IF(G727="","",IFERROR(INDEX(Checklists!$H$5:$H$404,MATCH(G727,Checklists!$F$5:$F$404,0)),""))</f>
        <v>0</v>
      </c>
      <c r="R727" s="31">
        <f>IF(OR(J727="",Q727=""),"",J727-Q727)</f>
        <v>0</v>
      </c>
      <c r="S727" s="50">
        <f>IF(B727="","",IF(H727="Done","Yes","No"))</f>
        <v>0</v>
      </c>
      <c r="T727" s="39">
        <f>IF(B727="","",IF(G727="","Add - what was the task?",IF(H727="Issue found",IF(M727="Yes","OK - issue reported","Action - tell the client"),IF(H727="Needs rework","Action - rework needed",IF(AND(H727="Skipped",P727="Yes"),"Check - required task skipped",IF(H727="Done","OK","Due"))))))</f>
        <v>0</v>
      </c>
    </row>
    <row r="728" spans="1:20">
      <c r="A728" s="43">
        <f>IF(B728="","","JT-"&amp;TEXT(ROW()-4,"0000"))</f>
        <v>0</v>
      </c>
      <c r="C728" s="18">
        <f>IF(B728="","",IFERROR(INDEX(Jobs!$B$5:$B$604,MATCH(B728,Jobs!$A$5:$A$604,0)),""))</f>
        <v>0</v>
      </c>
      <c r="D728" s="23">
        <f>IF(B728="","",IFERROR(INDEX(Jobs!$H$5:$H$604,MATCH(B728,Jobs!$A$5:$A$604,0)),""))</f>
        <v>0</v>
      </c>
      <c r="E728" s="23">
        <f>IF(B728="","",IFERROR(INDEX(Jobs!$K$5:$K$604,MATCH(B728,Jobs!$A$5:$A$604,0)),""))</f>
        <v>0</v>
      </c>
      <c r="P728" s="50">
        <f>IF(G728="","",IFERROR(INDEX(Checklists!$J$5:$J$404,MATCH(G728,Checklists!$F$5:$F$404,0)),"Yes"))</f>
        <v>0</v>
      </c>
      <c r="Q728" s="31">
        <f>IF(G728="","",IFERROR(INDEX(Checklists!$H$5:$H$404,MATCH(G728,Checklists!$F$5:$F$404,0)),""))</f>
        <v>0</v>
      </c>
      <c r="R728" s="31">
        <f>IF(OR(J728="",Q728=""),"",J728-Q728)</f>
        <v>0</v>
      </c>
      <c r="S728" s="50">
        <f>IF(B728="","",IF(H728="Done","Yes","No"))</f>
        <v>0</v>
      </c>
      <c r="T728" s="39">
        <f>IF(B728="","",IF(G728="","Add - what was the task?",IF(H728="Issue found",IF(M728="Yes","OK - issue reported","Action - tell the client"),IF(H728="Needs rework","Action - rework needed",IF(AND(H728="Skipped",P728="Yes"),"Check - required task skipped",IF(H728="Done","OK","Due"))))))</f>
        <v>0</v>
      </c>
    </row>
    <row r="729" spans="1:20">
      <c r="A729" s="43">
        <f>IF(B729="","","JT-"&amp;TEXT(ROW()-4,"0000"))</f>
        <v>0</v>
      </c>
      <c r="C729" s="18">
        <f>IF(B729="","",IFERROR(INDEX(Jobs!$B$5:$B$604,MATCH(B729,Jobs!$A$5:$A$604,0)),""))</f>
        <v>0</v>
      </c>
      <c r="D729" s="23">
        <f>IF(B729="","",IFERROR(INDEX(Jobs!$H$5:$H$604,MATCH(B729,Jobs!$A$5:$A$604,0)),""))</f>
        <v>0</v>
      </c>
      <c r="E729" s="23">
        <f>IF(B729="","",IFERROR(INDEX(Jobs!$K$5:$K$604,MATCH(B729,Jobs!$A$5:$A$604,0)),""))</f>
        <v>0</v>
      </c>
      <c r="P729" s="50">
        <f>IF(G729="","",IFERROR(INDEX(Checklists!$J$5:$J$404,MATCH(G729,Checklists!$F$5:$F$404,0)),"Yes"))</f>
        <v>0</v>
      </c>
      <c r="Q729" s="31">
        <f>IF(G729="","",IFERROR(INDEX(Checklists!$H$5:$H$404,MATCH(G729,Checklists!$F$5:$F$404,0)),""))</f>
        <v>0</v>
      </c>
      <c r="R729" s="31">
        <f>IF(OR(J729="",Q729=""),"",J729-Q729)</f>
        <v>0</v>
      </c>
      <c r="S729" s="50">
        <f>IF(B729="","",IF(H729="Done","Yes","No"))</f>
        <v>0</v>
      </c>
      <c r="T729" s="39">
        <f>IF(B729="","",IF(G729="","Add - what was the task?",IF(H729="Issue found",IF(M729="Yes","OK - issue reported","Action - tell the client"),IF(H729="Needs rework","Action - rework needed",IF(AND(H729="Skipped",P729="Yes"),"Check - required task skipped",IF(H729="Done","OK","Due"))))))</f>
        <v>0</v>
      </c>
    </row>
    <row r="730" spans="1:20">
      <c r="A730" s="43">
        <f>IF(B730="","","JT-"&amp;TEXT(ROW()-4,"0000"))</f>
        <v>0</v>
      </c>
      <c r="C730" s="18">
        <f>IF(B730="","",IFERROR(INDEX(Jobs!$B$5:$B$604,MATCH(B730,Jobs!$A$5:$A$604,0)),""))</f>
        <v>0</v>
      </c>
      <c r="D730" s="23">
        <f>IF(B730="","",IFERROR(INDEX(Jobs!$H$5:$H$604,MATCH(B730,Jobs!$A$5:$A$604,0)),""))</f>
        <v>0</v>
      </c>
      <c r="E730" s="23">
        <f>IF(B730="","",IFERROR(INDEX(Jobs!$K$5:$K$604,MATCH(B730,Jobs!$A$5:$A$604,0)),""))</f>
        <v>0</v>
      </c>
      <c r="P730" s="50">
        <f>IF(G730="","",IFERROR(INDEX(Checklists!$J$5:$J$404,MATCH(G730,Checklists!$F$5:$F$404,0)),"Yes"))</f>
        <v>0</v>
      </c>
      <c r="Q730" s="31">
        <f>IF(G730="","",IFERROR(INDEX(Checklists!$H$5:$H$404,MATCH(G730,Checklists!$F$5:$F$404,0)),""))</f>
        <v>0</v>
      </c>
      <c r="R730" s="31">
        <f>IF(OR(J730="",Q730=""),"",J730-Q730)</f>
        <v>0</v>
      </c>
      <c r="S730" s="50">
        <f>IF(B730="","",IF(H730="Done","Yes","No"))</f>
        <v>0</v>
      </c>
      <c r="T730" s="39">
        <f>IF(B730="","",IF(G730="","Add - what was the task?",IF(H730="Issue found",IF(M730="Yes","OK - issue reported","Action - tell the client"),IF(H730="Needs rework","Action - rework needed",IF(AND(H730="Skipped",P730="Yes"),"Check - required task skipped",IF(H730="Done","OK","Due"))))))</f>
        <v>0</v>
      </c>
    </row>
    <row r="731" spans="1:20">
      <c r="A731" s="43">
        <f>IF(B731="","","JT-"&amp;TEXT(ROW()-4,"0000"))</f>
        <v>0</v>
      </c>
      <c r="C731" s="18">
        <f>IF(B731="","",IFERROR(INDEX(Jobs!$B$5:$B$604,MATCH(B731,Jobs!$A$5:$A$604,0)),""))</f>
        <v>0</v>
      </c>
      <c r="D731" s="23">
        <f>IF(B731="","",IFERROR(INDEX(Jobs!$H$5:$H$604,MATCH(B731,Jobs!$A$5:$A$604,0)),""))</f>
        <v>0</v>
      </c>
      <c r="E731" s="23">
        <f>IF(B731="","",IFERROR(INDEX(Jobs!$K$5:$K$604,MATCH(B731,Jobs!$A$5:$A$604,0)),""))</f>
        <v>0</v>
      </c>
      <c r="P731" s="50">
        <f>IF(G731="","",IFERROR(INDEX(Checklists!$J$5:$J$404,MATCH(G731,Checklists!$F$5:$F$404,0)),"Yes"))</f>
        <v>0</v>
      </c>
      <c r="Q731" s="31">
        <f>IF(G731="","",IFERROR(INDEX(Checklists!$H$5:$H$404,MATCH(G731,Checklists!$F$5:$F$404,0)),""))</f>
        <v>0</v>
      </c>
      <c r="R731" s="31">
        <f>IF(OR(J731="",Q731=""),"",J731-Q731)</f>
        <v>0</v>
      </c>
      <c r="S731" s="50">
        <f>IF(B731="","",IF(H731="Done","Yes","No"))</f>
        <v>0</v>
      </c>
      <c r="T731" s="39">
        <f>IF(B731="","",IF(G731="","Add - what was the task?",IF(H731="Issue found",IF(M731="Yes","OK - issue reported","Action - tell the client"),IF(H731="Needs rework","Action - rework needed",IF(AND(H731="Skipped",P731="Yes"),"Check - required task skipped",IF(H731="Done","OK","Due"))))))</f>
        <v>0</v>
      </c>
    </row>
    <row r="732" spans="1:20">
      <c r="A732" s="43">
        <f>IF(B732="","","JT-"&amp;TEXT(ROW()-4,"0000"))</f>
        <v>0</v>
      </c>
      <c r="C732" s="18">
        <f>IF(B732="","",IFERROR(INDEX(Jobs!$B$5:$B$604,MATCH(B732,Jobs!$A$5:$A$604,0)),""))</f>
        <v>0</v>
      </c>
      <c r="D732" s="23">
        <f>IF(B732="","",IFERROR(INDEX(Jobs!$H$5:$H$604,MATCH(B732,Jobs!$A$5:$A$604,0)),""))</f>
        <v>0</v>
      </c>
      <c r="E732" s="23">
        <f>IF(B732="","",IFERROR(INDEX(Jobs!$K$5:$K$604,MATCH(B732,Jobs!$A$5:$A$604,0)),""))</f>
        <v>0</v>
      </c>
      <c r="P732" s="50">
        <f>IF(G732="","",IFERROR(INDEX(Checklists!$J$5:$J$404,MATCH(G732,Checklists!$F$5:$F$404,0)),"Yes"))</f>
        <v>0</v>
      </c>
      <c r="Q732" s="31">
        <f>IF(G732="","",IFERROR(INDEX(Checklists!$H$5:$H$404,MATCH(G732,Checklists!$F$5:$F$404,0)),""))</f>
        <v>0</v>
      </c>
      <c r="R732" s="31">
        <f>IF(OR(J732="",Q732=""),"",J732-Q732)</f>
        <v>0</v>
      </c>
      <c r="S732" s="50">
        <f>IF(B732="","",IF(H732="Done","Yes","No"))</f>
        <v>0</v>
      </c>
      <c r="T732" s="39">
        <f>IF(B732="","",IF(G732="","Add - what was the task?",IF(H732="Issue found",IF(M732="Yes","OK - issue reported","Action - tell the client"),IF(H732="Needs rework","Action - rework needed",IF(AND(H732="Skipped",P732="Yes"),"Check - required task skipped",IF(H732="Done","OK","Due"))))))</f>
        <v>0</v>
      </c>
    </row>
    <row r="733" spans="1:20">
      <c r="A733" s="43">
        <f>IF(B733="","","JT-"&amp;TEXT(ROW()-4,"0000"))</f>
        <v>0</v>
      </c>
      <c r="C733" s="18">
        <f>IF(B733="","",IFERROR(INDEX(Jobs!$B$5:$B$604,MATCH(B733,Jobs!$A$5:$A$604,0)),""))</f>
        <v>0</v>
      </c>
      <c r="D733" s="23">
        <f>IF(B733="","",IFERROR(INDEX(Jobs!$H$5:$H$604,MATCH(B733,Jobs!$A$5:$A$604,0)),""))</f>
        <v>0</v>
      </c>
      <c r="E733" s="23">
        <f>IF(B733="","",IFERROR(INDEX(Jobs!$K$5:$K$604,MATCH(B733,Jobs!$A$5:$A$604,0)),""))</f>
        <v>0</v>
      </c>
      <c r="P733" s="50">
        <f>IF(G733="","",IFERROR(INDEX(Checklists!$J$5:$J$404,MATCH(G733,Checklists!$F$5:$F$404,0)),"Yes"))</f>
        <v>0</v>
      </c>
      <c r="Q733" s="31">
        <f>IF(G733="","",IFERROR(INDEX(Checklists!$H$5:$H$404,MATCH(G733,Checklists!$F$5:$F$404,0)),""))</f>
        <v>0</v>
      </c>
      <c r="R733" s="31">
        <f>IF(OR(J733="",Q733=""),"",J733-Q733)</f>
        <v>0</v>
      </c>
      <c r="S733" s="50">
        <f>IF(B733="","",IF(H733="Done","Yes","No"))</f>
        <v>0</v>
      </c>
      <c r="T733" s="39">
        <f>IF(B733="","",IF(G733="","Add - what was the task?",IF(H733="Issue found",IF(M733="Yes","OK - issue reported","Action - tell the client"),IF(H733="Needs rework","Action - rework needed",IF(AND(H733="Skipped",P733="Yes"),"Check - required task skipped",IF(H733="Done","OK","Due"))))))</f>
        <v>0</v>
      </c>
    </row>
    <row r="734" spans="1:20">
      <c r="A734" s="43">
        <f>IF(B734="","","JT-"&amp;TEXT(ROW()-4,"0000"))</f>
        <v>0</v>
      </c>
      <c r="C734" s="18">
        <f>IF(B734="","",IFERROR(INDEX(Jobs!$B$5:$B$604,MATCH(B734,Jobs!$A$5:$A$604,0)),""))</f>
        <v>0</v>
      </c>
      <c r="D734" s="23">
        <f>IF(B734="","",IFERROR(INDEX(Jobs!$H$5:$H$604,MATCH(B734,Jobs!$A$5:$A$604,0)),""))</f>
        <v>0</v>
      </c>
      <c r="E734" s="23">
        <f>IF(B734="","",IFERROR(INDEX(Jobs!$K$5:$K$604,MATCH(B734,Jobs!$A$5:$A$604,0)),""))</f>
        <v>0</v>
      </c>
      <c r="P734" s="50">
        <f>IF(G734="","",IFERROR(INDEX(Checklists!$J$5:$J$404,MATCH(G734,Checklists!$F$5:$F$404,0)),"Yes"))</f>
        <v>0</v>
      </c>
      <c r="Q734" s="31">
        <f>IF(G734="","",IFERROR(INDEX(Checklists!$H$5:$H$404,MATCH(G734,Checklists!$F$5:$F$404,0)),""))</f>
        <v>0</v>
      </c>
      <c r="R734" s="31">
        <f>IF(OR(J734="",Q734=""),"",J734-Q734)</f>
        <v>0</v>
      </c>
      <c r="S734" s="50">
        <f>IF(B734="","",IF(H734="Done","Yes","No"))</f>
        <v>0</v>
      </c>
      <c r="T734" s="39">
        <f>IF(B734="","",IF(G734="","Add - what was the task?",IF(H734="Issue found",IF(M734="Yes","OK - issue reported","Action - tell the client"),IF(H734="Needs rework","Action - rework needed",IF(AND(H734="Skipped",P734="Yes"),"Check - required task skipped",IF(H734="Done","OK","Due"))))))</f>
        <v>0</v>
      </c>
    </row>
    <row r="735" spans="1:20">
      <c r="A735" s="43">
        <f>IF(B735="","","JT-"&amp;TEXT(ROW()-4,"0000"))</f>
        <v>0</v>
      </c>
      <c r="C735" s="18">
        <f>IF(B735="","",IFERROR(INDEX(Jobs!$B$5:$B$604,MATCH(B735,Jobs!$A$5:$A$604,0)),""))</f>
        <v>0</v>
      </c>
      <c r="D735" s="23">
        <f>IF(B735="","",IFERROR(INDEX(Jobs!$H$5:$H$604,MATCH(B735,Jobs!$A$5:$A$604,0)),""))</f>
        <v>0</v>
      </c>
      <c r="E735" s="23">
        <f>IF(B735="","",IFERROR(INDEX(Jobs!$K$5:$K$604,MATCH(B735,Jobs!$A$5:$A$604,0)),""))</f>
        <v>0</v>
      </c>
      <c r="P735" s="50">
        <f>IF(G735="","",IFERROR(INDEX(Checklists!$J$5:$J$404,MATCH(G735,Checklists!$F$5:$F$404,0)),"Yes"))</f>
        <v>0</v>
      </c>
      <c r="Q735" s="31">
        <f>IF(G735="","",IFERROR(INDEX(Checklists!$H$5:$H$404,MATCH(G735,Checklists!$F$5:$F$404,0)),""))</f>
        <v>0</v>
      </c>
      <c r="R735" s="31">
        <f>IF(OR(J735="",Q735=""),"",J735-Q735)</f>
        <v>0</v>
      </c>
      <c r="S735" s="50">
        <f>IF(B735="","",IF(H735="Done","Yes","No"))</f>
        <v>0</v>
      </c>
      <c r="T735" s="39">
        <f>IF(B735="","",IF(G735="","Add - what was the task?",IF(H735="Issue found",IF(M735="Yes","OK - issue reported","Action - tell the client"),IF(H735="Needs rework","Action - rework needed",IF(AND(H735="Skipped",P735="Yes"),"Check - required task skipped",IF(H735="Done","OK","Due"))))))</f>
        <v>0</v>
      </c>
    </row>
    <row r="736" spans="1:20">
      <c r="A736" s="43">
        <f>IF(B736="","","JT-"&amp;TEXT(ROW()-4,"0000"))</f>
        <v>0</v>
      </c>
      <c r="C736" s="18">
        <f>IF(B736="","",IFERROR(INDEX(Jobs!$B$5:$B$604,MATCH(B736,Jobs!$A$5:$A$604,0)),""))</f>
        <v>0</v>
      </c>
      <c r="D736" s="23">
        <f>IF(B736="","",IFERROR(INDEX(Jobs!$H$5:$H$604,MATCH(B736,Jobs!$A$5:$A$604,0)),""))</f>
        <v>0</v>
      </c>
      <c r="E736" s="23">
        <f>IF(B736="","",IFERROR(INDEX(Jobs!$K$5:$K$604,MATCH(B736,Jobs!$A$5:$A$604,0)),""))</f>
        <v>0</v>
      </c>
      <c r="P736" s="50">
        <f>IF(G736="","",IFERROR(INDEX(Checklists!$J$5:$J$404,MATCH(G736,Checklists!$F$5:$F$404,0)),"Yes"))</f>
        <v>0</v>
      </c>
      <c r="Q736" s="31">
        <f>IF(G736="","",IFERROR(INDEX(Checklists!$H$5:$H$404,MATCH(G736,Checklists!$F$5:$F$404,0)),""))</f>
        <v>0</v>
      </c>
      <c r="R736" s="31">
        <f>IF(OR(J736="",Q736=""),"",J736-Q736)</f>
        <v>0</v>
      </c>
      <c r="S736" s="50">
        <f>IF(B736="","",IF(H736="Done","Yes","No"))</f>
        <v>0</v>
      </c>
      <c r="T736" s="39">
        <f>IF(B736="","",IF(G736="","Add - what was the task?",IF(H736="Issue found",IF(M736="Yes","OK - issue reported","Action - tell the client"),IF(H736="Needs rework","Action - rework needed",IF(AND(H736="Skipped",P736="Yes"),"Check - required task skipped",IF(H736="Done","OK","Due"))))))</f>
        <v>0</v>
      </c>
    </row>
    <row r="737" spans="1:20">
      <c r="A737" s="43">
        <f>IF(B737="","","JT-"&amp;TEXT(ROW()-4,"0000"))</f>
        <v>0</v>
      </c>
      <c r="C737" s="18">
        <f>IF(B737="","",IFERROR(INDEX(Jobs!$B$5:$B$604,MATCH(B737,Jobs!$A$5:$A$604,0)),""))</f>
        <v>0</v>
      </c>
      <c r="D737" s="23">
        <f>IF(B737="","",IFERROR(INDEX(Jobs!$H$5:$H$604,MATCH(B737,Jobs!$A$5:$A$604,0)),""))</f>
        <v>0</v>
      </c>
      <c r="E737" s="23">
        <f>IF(B737="","",IFERROR(INDEX(Jobs!$K$5:$K$604,MATCH(B737,Jobs!$A$5:$A$604,0)),""))</f>
        <v>0</v>
      </c>
      <c r="P737" s="50">
        <f>IF(G737="","",IFERROR(INDEX(Checklists!$J$5:$J$404,MATCH(G737,Checklists!$F$5:$F$404,0)),"Yes"))</f>
        <v>0</v>
      </c>
      <c r="Q737" s="31">
        <f>IF(G737="","",IFERROR(INDEX(Checklists!$H$5:$H$404,MATCH(G737,Checklists!$F$5:$F$404,0)),""))</f>
        <v>0</v>
      </c>
      <c r="R737" s="31">
        <f>IF(OR(J737="",Q737=""),"",J737-Q737)</f>
        <v>0</v>
      </c>
      <c r="S737" s="50">
        <f>IF(B737="","",IF(H737="Done","Yes","No"))</f>
        <v>0</v>
      </c>
      <c r="T737" s="39">
        <f>IF(B737="","",IF(G737="","Add - what was the task?",IF(H737="Issue found",IF(M737="Yes","OK - issue reported","Action - tell the client"),IF(H737="Needs rework","Action - rework needed",IF(AND(H737="Skipped",P737="Yes"),"Check - required task skipped",IF(H737="Done","OK","Due"))))))</f>
        <v>0</v>
      </c>
    </row>
    <row r="738" spans="1:20">
      <c r="A738" s="43">
        <f>IF(B738="","","JT-"&amp;TEXT(ROW()-4,"0000"))</f>
        <v>0</v>
      </c>
      <c r="C738" s="18">
        <f>IF(B738="","",IFERROR(INDEX(Jobs!$B$5:$B$604,MATCH(B738,Jobs!$A$5:$A$604,0)),""))</f>
        <v>0</v>
      </c>
      <c r="D738" s="23">
        <f>IF(B738="","",IFERROR(INDEX(Jobs!$H$5:$H$604,MATCH(B738,Jobs!$A$5:$A$604,0)),""))</f>
        <v>0</v>
      </c>
      <c r="E738" s="23">
        <f>IF(B738="","",IFERROR(INDEX(Jobs!$K$5:$K$604,MATCH(B738,Jobs!$A$5:$A$604,0)),""))</f>
        <v>0</v>
      </c>
      <c r="P738" s="50">
        <f>IF(G738="","",IFERROR(INDEX(Checklists!$J$5:$J$404,MATCH(G738,Checklists!$F$5:$F$404,0)),"Yes"))</f>
        <v>0</v>
      </c>
      <c r="Q738" s="31">
        <f>IF(G738="","",IFERROR(INDEX(Checklists!$H$5:$H$404,MATCH(G738,Checklists!$F$5:$F$404,0)),""))</f>
        <v>0</v>
      </c>
      <c r="R738" s="31">
        <f>IF(OR(J738="",Q738=""),"",J738-Q738)</f>
        <v>0</v>
      </c>
      <c r="S738" s="50">
        <f>IF(B738="","",IF(H738="Done","Yes","No"))</f>
        <v>0</v>
      </c>
      <c r="T738" s="39">
        <f>IF(B738="","",IF(G738="","Add - what was the task?",IF(H738="Issue found",IF(M738="Yes","OK - issue reported","Action - tell the client"),IF(H738="Needs rework","Action - rework needed",IF(AND(H738="Skipped",P738="Yes"),"Check - required task skipped",IF(H738="Done","OK","Due"))))))</f>
        <v>0</v>
      </c>
    </row>
    <row r="739" spans="1:20">
      <c r="A739" s="43">
        <f>IF(B739="","","JT-"&amp;TEXT(ROW()-4,"0000"))</f>
        <v>0</v>
      </c>
      <c r="C739" s="18">
        <f>IF(B739="","",IFERROR(INDEX(Jobs!$B$5:$B$604,MATCH(B739,Jobs!$A$5:$A$604,0)),""))</f>
        <v>0</v>
      </c>
      <c r="D739" s="23">
        <f>IF(B739="","",IFERROR(INDEX(Jobs!$H$5:$H$604,MATCH(B739,Jobs!$A$5:$A$604,0)),""))</f>
        <v>0</v>
      </c>
      <c r="E739" s="23">
        <f>IF(B739="","",IFERROR(INDEX(Jobs!$K$5:$K$604,MATCH(B739,Jobs!$A$5:$A$604,0)),""))</f>
        <v>0</v>
      </c>
      <c r="P739" s="50">
        <f>IF(G739="","",IFERROR(INDEX(Checklists!$J$5:$J$404,MATCH(G739,Checklists!$F$5:$F$404,0)),"Yes"))</f>
        <v>0</v>
      </c>
      <c r="Q739" s="31">
        <f>IF(G739="","",IFERROR(INDEX(Checklists!$H$5:$H$404,MATCH(G739,Checklists!$F$5:$F$404,0)),""))</f>
        <v>0</v>
      </c>
      <c r="R739" s="31">
        <f>IF(OR(J739="",Q739=""),"",J739-Q739)</f>
        <v>0</v>
      </c>
      <c r="S739" s="50">
        <f>IF(B739="","",IF(H739="Done","Yes","No"))</f>
        <v>0</v>
      </c>
      <c r="T739" s="39">
        <f>IF(B739="","",IF(G739="","Add - what was the task?",IF(H739="Issue found",IF(M739="Yes","OK - issue reported","Action - tell the client"),IF(H739="Needs rework","Action - rework needed",IF(AND(H739="Skipped",P739="Yes"),"Check - required task skipped",IF(H739="Done","OK","Due"))))))</f>
        <v>0</v>
      </c>
    </row>
    <row r="740" spans="1:20">
      <c r="A740" s="43">
        <f>IF(B740="","","JT-"&amp;TEXT(ROW()-4,"0000"))</f>
        <v>0</v>
      </c>
      <c r="C740" s="18">
        <f>IF(B740="","",IFERROR(INDEX(Jobs!$B$5:$B$604,MATCH(B740,Jobs!$A$5:$A$604,0)),""))</f>
        <v>0</v>
      </c>
      <c r="D740" s="23">
        <f>IF(B740="","",IFERROR(INDEX(Jobs!$H$5:$H$604,MATCH(B740,Jobs!$A$5:$A$604,0)),""))</f>
        <v>0</v>
      </c>
      <c r="E740" s="23">
        <f>IF(B740="","",IFERROR(INDEX(Jobs!$K$5:$K$604,MATCH(B740,Jobs!$A$5:$A$604,0)),""))</f>
        <v>0</v>
      </c>
      <c r="P740" s="50">
        <f>IF(G740="","",IFERROR(INDEX(Checklists!$J$5:$J$404,MATCH(G740,Checklists!$F$5:$F$404,0)),"Yes"))</f>
        <v>0</v>
      </c>
      <c r="Q740" s="31">
        <f>IF(G740="","",IFERROR(INDEX(Checklists!$H$5:$H$404,MATCH(G740,Checklists!$F$5:$F$404,0)),""))</f>
        <v>0</v>
      </c>
      <c r="R740" s="31">
        <f>IF(OR(J740="",Q740=""),"",J740-Q740)</f>
        <v>0</v>
      </c>
      <c r="S740" s="50">
        <f>IF(B740="","",IF(H740="Done","Yes","No"))</f>
        <v>0</v>
      </c>
      <c r="T740" s="39">
        <f>IF(B740="","",IF(G740="","Add - what was the task?",IF(H740="Issue found",IF(M740="Yes","OK - issue reported","Action - tell the client"),IF(H740="Needs rework","Action - rework needed",IF(AND(H740="Skipped",P740="Yes"),"Check - required task skipped",IF(H740="Done","OK","Due"))))))</f>
        <v>0</v>
      </c>
    </row>
    <row r="741" spans="1:20">
      <c r="A741" s="43">
        <f>IF(B741="","","JT-"&amp;TEXT(ROW()-4,"0000"))</f>
        <v>0</v>
      </c>
      <c r="C741" s="18">
        <f>IF(B741="","",IFERROR(INDEX(Jobs!$B$5:$B$604,MATCH(B741,Jobs!$A$5:$A$604,0)),""))</f>
        <v>0</v>
      </c>
      <c r="D741" s="23">
        <f>IF(B741="","",IFERROR(INDEX(Jobs!$H$5:$H$604,MATCH(B741,Jobs!$A$5:$A$604,0)),""))</f>
        <v>0</v>
      </c>
      <c r="E741" s="23">
        <f>IF(B741="","",IFERROR(INDEX(Jobs!$K$5:$K$604,MATCH(B741,Jobs!$A$5:$A$604,0)),""))</f>
        <v>0</v>
      </c>
      <c r="P741" s="50">
        <f>IF(G741="","",IFERROR(INDEX(Checklists!$J$5:$J$404,MATCH(G741,Checklists!$F$5:$F$404,0)),"Yes"))</f>
        <v>0</v>
      </c>
      <c r="Q741" s="31">
        <f>IF(G741="","",IFERROR(INDEX(Checklists!$H$5:$H$404,MATCH(G741,Checklists!$F$5:$F$404,0)),""))</f>
        <v>0</v>
      </c>
      <c r="R741" s="31">
        <f>IF(OR(J741="",Q741=""),"",J741-Q741)</f>
        <v>0</v>
      </c>
      <c r="S741" s="50">
        <f>IF(B741="","",IF(H741="Done","Yes","No"))</f>
        <v>0</v>
      </c>
      <c r="T741" s="39">
        <f>IF(B741="","",IF(G741="","Add - what was the task?",IF(H741="Issue found",IF(M741="Yes","OK - issue reported","Action - tell the client"),IF(H741="Needs rework","Action - rework needed",IF(AND(H741="Skipped",P741="Yes"),"Check - required task skipped",IF(H741="Done","OK","Due"))))))</f>
        <v>0</v>
      </c>
    </row>
    <row r="742" spans="1:20">
      <c r="A742" s="43">
        <f>IF(B742="","","JT-"&amp;TEXT(ROW()-4,"0000"))</f>
        <v>0</v>
      </c>
      <c r="C742" s="18">
        <f>IF(B742="","",IFERROR(INDEX(Jobs!$B$5:$B$604,MATCH(B742,Jobs!$A$5:$A$604,0)),""))</f>
        <v>0</v>
      </c>
      <c r="D742" s="23">
        <f>IF(B742="","",IFERROR(INDEX(Jobs!$H$5:$H$604,MATCH(B742,Jobs!$A$5:$A$604,0)),""))</f>
        <v>0</v>
      </c>
      <c r="E742" s="23">
        <f>IF(B742="","",IFERROR(INDEX(Jobs!$K$5:$K$604,MATCH(B742,Jobs!$A$5:$A$604,0)),""))</f>
        <v>0</v>
      </c>
      <c r="P742" s="50">
        <f>IF(G742="","",IFERROR(INDEX(Checklists!$J$5:$J$404,MATCH(G742,Checklists!$F$5:$F$404,0)),"Yes"))</f>
        <v>0</v>
      </c>
      <c r="Q742" s="31">
        <f>IF(G742="","",IFERROR(INDEX(Checklists!$H$5:$H$404,MATCH(G742,Checklists!$F$5:$F$404,0)),""))</f>
        <v>0</v>
      </c>
      <c r="R742" s="31">
        <f>IF(OR(J742="",Q742=""),"",J742-Q742)</f>
        <v>0</v>
      </c>
      <c r="S742" s="50">
        <f>IF(B742="","",IF(H742="Done","Yes","No"))</f>
        <v>0</v>
      </c>
      <c r="T742" s="39">
        <f>IF(B742="","",IF(G742="","Add - what was the task?",IF(H742="Issue found",IF(M742="Yes","OK - issue reported","Action - tell the client"),IF(H742="Needs rework","Action - rework needed",IF(AND(H742="Skipped",P742="Yes"),"Check - required task skipped",IF(H742="Done","OK","Due"))))))</f>
        <v>0</v>
      </c>
    </row>
    <row r="743" spans="1:20">
      <c r="A743" s="43">
        <f>IF(B743="","","JT-"&amp;TEXT(ROW()-4,"0000"))</f>
        <v>0</v>
      </c>
      <c r="C743" s="18">
        <f>IF(B743="","",IFERROR(INDEX(Jobs!$B$5:$B$604,MATCH(B743,Jobs!$A$5:$A$604,0)),""))</f>
        <v>0</v>
      </c>
      <c r="D743" s="23">
        <f>IF(B743="","",IFERROR(INDEX(Jobs!$H$5:$H$604,MATCH(B743,Jobs!$A$5:$A$604,0)),""))</f>
        <v>0</v>
      </c>
      <c r="E743" s="23">
        <f>IF(B743="","",IFERROR(INDEX(Jobs!$K$5:$K$604,MATCH(B743,Jobs!$A$5:$A$604,0)),""))</f>
        <v>0</v>
      </c>
      <c r="P743" s="50">
        <f>IF(G743="","",IFERROR(INDEX(Checklists!$J$5:$J$404,MATCH(G743,Checklists!$F$5:$F$404,0)),"Yes"))</f>
        <v>0</v>
      </c>
      <c r="Q743" s="31">
        <f>IF(G743="","",IFERROR(INDEX(Checklists!$H$5:$H$404,MATCH(G743,Checklists!$F$5:$F$404,0)),""))</f>
        <v>0</v>
      </c>
      <c r="R743" s="31">
        <f>IF(OR(J743="",Q743=""),"",J743-Q743)</f>
        <v>0</v>
      </c>
      <c r="S743" s="50">
        <f>IF(B743="","",IF(H743="Done","Yes","No"))</f>
        <v>0</v>
      </c>
      <c r="T743" s="39">
        <f>IF(B743="","",IF(G743="","Add - what was the task?",IF(H743="Issue found",IF(M743="Yes","OK - issue reported","Action - tell the client"),IF(H743="Needs rework","Action - rework needed",IF(AND(H743="Skipped",P743="Yes"),"Check - required task skipped",IF(H743="Done","OK","Due"))))))</f>
        <v>0</v>
      </c>
    </row>
    <row r="744" spans="1:20">
      <c r="A744" s="43">
        <f>IF(B744="","","JT-"&amp;TEXT(ROW()-4,"0000"))</f>
        <v>0</v>
      </c>
      <c r="C744" s="18">
        <f>IF(B744="","",IFERROR(INDEX(Jobs!$B$5:$B$604,MATCH(B744,Jobs!$A$5:$A$604,0)),""))</f>
        <v>0</v>
      </c>
      <c r="D744" s="23">
        <f>IF(B744="","",IFERROR(INDEX(Jobs!$H$5:$H$604,MATCH(B744,Jobs!$A$5:$A$604,0)),""))</f>
        <v>0</v>
      </c>
      <c r="E744" s="23">
        <f>IF(B744="","",IFERROR(INDEX(Jobs!$K$5:$K$604,MATCH(B744,Jobs!$A$5:$A$604,0)),""))</f>
        <v>0</v>
      </c>
      <c r="P744" s="50">
        <f>IF(G744="","",IFERROR(INDEX(Checklists!$J$5:$J$404,MATCH(G744,Checklists!$F$5:$F$404,0)),"Yes"))</f>
        <v>0</v>
      </c>
      <c r="Q744" s="31">
        <f>IF(G744="","",IFERROR(INDEX(Checklists!$H$5:$H$404,MATCH(G744,Checklists!$F$5:$F$404,0)),""))</f>
        <v>0</v>
      </c>
      <c r="R744" s="31">
        <f>IF(OR(J744="",Q744=""),"",J744-Q744)</f>
        <v>0</v>
      </c>
      <c r="S744" s="50">
        <f>IF(B744="","",IF(H744="Done","Yes","No"))</f>
        <v>0</v>
      </c>
      <c r="T744" s="39">
        <f>IF(B744="","",IF(G744="","Add - what was the task?",IF(H744="Issue found",IF(M744="Yes","OK - issue reported","Action - tell the client"),IF(H744="Needs rework","Action - rework needed",IF(AND(H744="Skipped",P744="Yes"),"Check - required task skipped",IF(H744="Done","OK","Due"))))))</f>
        <v>0</v>
      </c>
    </row>
    <row r="745" spans="1:20">
      <c r="A745" s="43">
        <f>IF(B745="","","JT-"&amp;TEXT(ROW()-4,"0000"))</f>
        <v>0</v>
      </c>
      <c r="C745" s="18">
        <f>IF(B745="","",IFERROR(INDEX(Jobs!$B$5:$B$604,MATCH(B745,Jobs!$A$5:$A$604,0)),""))</f>
        <v>0</v>
      </c>
      <c r="D745" s="23">
        <f>IF(B745="","",IFERROR(INDEX(Jobs!$H$5:$H$604,MATCH(B745,Jobs!$A$5:$A$604,0)),""))</f>
        <v>0</v>
      </c>
      <c r="E745" s="23">
        <f>IF(B745="","",IFERROR(INDEX(Jobs!$K$5:$K$604,MATCH(B745,Jobs!$A$5:$A$604,0)),""))</f>
        <v>0</v>
      </c>
      <c r="P745" s="50">
        <f>IF(G745="","",IFERROR(INDEX(Checklists!$J$5:$J$404,MATCH(G745,Checklists!$F$5:$F$404,0)),"Yes"))</f>
        <v>0</v>
      </c>
      <c r="Q745" s="31">
        <f>IF(G745="","",IFERROR(INDEX(Checklists!$H$5:$H$404,MATCH(G745,Checklists!$F$5:$F$404,0)),""))</f>
        <v>0</v>
      </c>
      <c r="R745" s="31">
        <f>IF(OR(J745="",Q745=""),"",J745-Q745)</f>
        <v>0</v>
      </c>
      <c r="S745" s="50">
        <f>IF(B745="","",IF(H745="Done","Yes","No"))</f>
        <v>0</v>
      </c>
      <c r="T745" s="39">
        <f>IF(B745="","",IF(G745="","Add - what was the task?",IF(H745="Issue found",IF(M745="Yes","OK - issue reported","Action - tell the client"),IF(H745="Needs rework","Action - rework needed",IF(AND(H745="Skipped",P745="Yes"),"Check - required task skipped",IF(H745="Done","OK","Due"))))))</f>
        <v>0</v>
      </c>
    </row>
    <row r="746" spans="1:20">
      <c r="A746" s="43">
        <f>IF(B746="","","JT-"&amp;TEXT(ROW()-4,"0000"))</f>
        <v>0</v>
      </c>
      <c r="C746" s="18">
        <f>IF(B746="","",IFERROR(INDEX(Jobs!$B$5:$B$604,MATCH(B746,Jobs!$A$5:$A$604,0)),""))</f>
        <v>0</v>
      </c>
      <c r="D746" s="23">
        <f>IF(B746="","",IFERROR(INDEX(Jobs!$H$5:$H$604,MATCH(B746,Jobs!$A$5:$A$604,0)),""))</f>
        <v>0</v>
      </c>
      <c r="E746" s="23">
        <f>IF(B746="","",IFERROR(INDEX(Jobs!$K$5:$K$604,MATCH(B746,Jobs!$A$5:$A$604,0)),""))</f>
        <v>0</v>
      </c>
      <c r="P746" s="50">
        <f>IF(G746="","",IFERROR(INDEX(Checklists!$J$5:$J$404,MATCH(G746,Checklists!$F$5:$F$404,0)),"Yes"))</f>
        <v>0</v>
      </c>
      <c r="Q746" s="31">
        <f>IF(G746="","",IFERROR(INDEX(Checklists!$H$5:$H$404,MATCH(G746,Checklists!$F$5:$F$404,0)),""))</f>
        <v>0</v>
      </c>
      <c r="R746" s="31">
        <f>IF(OR(J746="",Q746=""),"",J746-Q746)</f>
        <v>0</v>
      </c>
      <c r="S746" s="50">
        <f>IF(B746="","",IF(H746="Done","Yes","No"))</f>
        <v>0</v>
      </c>
      <c r="T746" s="39">
        <f>IF(B746="","",IF(G746="","Add - what was the task?",IF(H746="Issue found",IF(M746="Yes","OK - issue reported","Action - tell the client"),IF(H746="Needs rework","Action - rework needed",IF(AND(H746="Skipped",P746="Yes"),"Check - required task skipped",IF(H746="Done","OK","Due"))))))</f>
        <v>0</v>
      </c>
    </row>
    <row r="747" spans="1:20">
      <c r="A747" s="43">
        <f>IF(B747="","","JT-"&amp;TEXT(ROW()-4,"0000"))</f>
        <v>0</v>
      </c>
      <c r="C747" s="18">
        <f>IF(B747="","",IFERROR(INDEX(Jobs!$B$5:$B$604,MATCH(B747,Jobs!$A$5:$A$604,0)),""))</f>
        <v>0</v>
      </c>
      <c r="D747" s="23">
        <f>IF(B747="","",IFERROR(INDEX(Jobs!$H$5:$H$604,MATCH(B747,Jobs!$A$5:$A$604,0)),""))</f>
        <v>0</v>
      </c>
      <c r="E747" s="23">
        <f>IF(B747="","",IFERROR(INDEX(Jobs!$K$5:$K$604,MATCH(B747,Jobs!$A$5:$A$604,0)),""))</f>
        <v>0</v>
      </c>
      <c r="P747" s="50">
        <f>IF(G747="","",IFERROR(INDEX(Checklists!$J$5:$J$404,MATCH(G747,Checklists!$F$5:$F$404,0)),"Yes"))</f>
        <v>0</v>
      </c>
      <c r="Q747" s="31">
        <f>IF(G747="","",IFERROR(INDEX(Checklists!$H$5:$H$404,MATCH(G747,Checklists!$F$5:$F$404,0)),""))</f>
        <v>0</v>
      </c>
      <c r="R747" s="31">
        <f>IF(OR(J747="",Q747=""),"",J747-Q747)</f>
        <v>0</v>
      </c>
      <c r="S747" s="50">
        <f>IF(B747="","",IF(H747="Done","Yes","No"))</f>
        <v>0</v>
      </c>
      <c r="T747" s="39">
        <f>IF(B747="","",IF(G747="","Add - what was the task?",IF(H747="Issue found",IF(M747="Yes","OK - issue reported","Action - tell the client"),IF(H747="Needs rework","Action - rework needed",IF(AND(H747="Skipped",P747="Yes"),"Check - required task skipped",IF(H747="Done","OK","Due"))))))</f>
        <v>0</v>
      </c>
    </row>
    <row r="748" spans="1:20">
      <c r="A748" s="43">
        <f>IF(B748="","","JT-"&amp;TEXT(ROW()-4,"0000"))</f>
        <v>0</v>
      </c>
      <c r="C748" s="18">
        <f>IF(B748="","",IFERROR(INDEX(Jobs!$B$5:$B$604,MATCH(B748,Jobs!$A$5:$A$604,0)),""))</f>
        <v>0</v>
      </c>
      <c r="D748" s="23">
        <f>IF(B748="","",IFERROR(INDEX(Jobs!$H$5:$H$604,MATCH(B748,Jobs!$A$5:$A$604,0)),""))</f>
        <v>0</v>
      </c>
      <c r="E748" s="23">
        <f>IF(B748="","",IFERROR(INDEX(Jobs!$K$5:$K$604,MATCH(B748,Jobs!$A$5:$A$604,0)),""))</f>
        <v>0</v>
      </c>
      <c r="P748" s="50">
        <f>IF(G748="","",IFERROR(INDEX(Checklists!$J$5:$J$404,MATCH(G748,Checklists!$F$5:$F$404,0)),"Yes"))</f>
        <v>0</v>
      </c>
      <c r="Q748" s="31">
        <f>IF(G748="","",IFERROR(INDEX(Checklists!$H$5:$H$404,MATCH(G748,Checklists!$F$5:$F$404,0)),""))</f>
        <v>0</v>
      </c>
      <c r="R748" s="31">
        <f>IF(OR(J748="",Q748=""),"",J748-Q748)</f>
        <v>0</v>
      </c>
      <c r="S748" s="50">
        <f>IF(B748="","",IF(H748="Done","Yes","No"))</f>
        <v>0</v>
      </c>
      <c r="T748" s="39">
        <f>IF(B748="","",IF(G748="","Add - what was the task?",IF(H748="Issue found",IF(M748="Yes","OK - issue reported","Action - tell the client"),IF(H748="Needs rework","Action - rework needed",IF(AND(H748="Skipped",P748="Yes"),"Check - required task skipped",IF(H748="Done","OK","Due"))))))</f>
        <v>0</v>
      </c>
    </row>
    <row r="749" spans="1:20">
      <c r="A749" s="43">
        <f>IF(B749="","","JT-"&amp;TEXT(ROW()-4,"0000"))</f>
        <v>0</v>
      </c>
      <c r="C749" s="18">
        <f>IF(B749="","",IFERROR(INDEX(Jobs!$B$5:$B$604,MATCH(B749,Jobs!$A$5:$A$604,0)),""))</f>
        <v>0</v>
      </c>
      <c r="D749" s="23">
        <f>IF(B749="","",IFERROR(INDEX(Jobs!$H$5:$H$604,MATCH(B749,Jobs!$A$5:$A$604,0)),""))</f>
        <v>0</v>
      </c>
      <c r="E749" s="23">
        <f>IF(B749="","",IFERROR(INDEX(Jobs!$K$5:$K$604,MATCH(B749,Jobs!$A$5:$A$604,0)),""))</f>
        <v>0</v>
      </c>
      <c r="P749" s="50">
        <f>IF(G749="","",IFERROR(INDEX(Checklists!$J$5:$J$404,MATCH(G749,Checklists!$F$5:$F$404,0)),"Yes"))</f>
        <v>0</v>
      </c>
      <c r="Q749" s="31">
        <f>IF(G749="","",IFERROR(INDEX(Checklists!$H$5:$H$404,MATCH(G749,Checklists!$F$5:$F$404,0)),""))</f>
        <v>0</v>
      </c>
      <c r="R749" s="31">
        <f>IF(OR(J749="",Q749=""),"",J749-Q749)</f>
        <v>0</v>
      </c>
      <c r="S749" s="50">
        <f>IF(B749="","",IF(H749="Done","Yes","No"))</f>
        <v>0</v>
      </c>
      <c r="T749" s="39">
        <f>IF(B749="","",IF(G749="","Add - what was the task?",IF(H749="Issue found",IF(M749="Yes","OK - issue reported","Action - tell the client"),IF(H749="Needs rework","Action - rework needed",IF(AND(H749="Skipped",P749="Yes"),"Check - required task skipped",IF(H749="Done","OK","Due"))))))</f>
        <v>0</v>
      </c>
    </row>
    <row r="750" spans="1:20">
      <c r="A750" s="43">
        <f>IF(B750="","","JT-"&amp;TEXT(ROW()-4,"0000"))</f>
        <v>0</v>
      </c>
      <c r="C750" s="18">
        <f>IF(B750="","",IFERROR(INDEX(Jobs!$B$5:$B$604,MATCH(B750,Jobs!$A$5:$A$604,0)),""))</f>
        <v>0</v>
      </c>
      <c r="D750" s="23">
        <f>IF(B750="","",IFERROR(INDEX(Jobs!$H$5:$H$604,MATCH(B750,Jobs!$A$5:$A$604,0)),""))</f>
        <v>0</v>
      </c>
      <c r="E750" s="23">
        <f>IF(B750="","",IFERROR(INDEX(Jobs!$K$5:$K$604,MATCH(B750,Jobs!$A$5:$A$604,0)),""))</f>
        <v>0</v>
      </c>
      <c r="P750" s="50">
        <f>IF(G750="","",IFERROR(INDEX(Checklists!$J$5:$J$404,MATCH(G750,Checklists!$F$5:$F$404,0)),"Yes"))</f>
        <v>0</v>
      </c>
      <c r="Q750" s="31">
        <f>IF(G750="","",IFERROR(INDEX(Checklists!$H$5:$H$404,MATCH(G750,Checklists!$F$5:$F$404,0)),""))</f>
        <v>0</v>
      </c>
      <c r="R750" s="31">
        <f>IF(OR(J750="",Q750=""),"",J750-Q750)</f>
        <v>0</v>
      </c>
      <c r="S750" s="50">
        <f>IF(B750="","",IF(H750="Done","Yes","No"))</f>
        <v>0</v>
      </c>
      <c r="T750" s="39">
        <f>IF(B750="","",IF(G750="","Add - what was the task?",IF(H750="Issue found",IF(M750="Yes","OK - issue reported","Action - tell the client"),IF(H750="Needs rework","Action - rework needed",IF(AND(H750="Skipped",P750="Yes"),"Check - required task skipped",IF(H750="Done","OK","Due"))))))</f>
        <v>0</v>
      </c>
    </row>
    <row r="751" spans="1:20">
      <c r="A751" s="43">
        <f>IF(B751="","","JT-"&amp;TEXT(ROW()-4,"0000"))</f>
        <v>0</v>
      </c>
      <c r="C751" s="18">
        <f>IF(B751="","",IFERROR(INDEX(Jobs!$B$5:$B$604,MATCH(B751,Jobs!$A$5:$A$604,0)),""))</f>
        <v>0</v>
      </c>
      <c r="D751" s="23">
        <f>IF(B751="","",IFERROR(INDEX(Jobs!$H$5:$H$604,MATCH(B751,Jobs!$A$5:$A$604,0)),""))</f>
        <v>0</v>
      </c>
      <c r="E751" s="23">
        <f>IF(B751="","",IFERROR(INDEX(Jobs!$K$5:$K$604,MATCH(B751,Jobs!$A$5:$A$604,0)),""))</f>
        <v>0</v>
      </c>
      <c r="P751" s="50">
        <f>IF(G751="","",IFERROR(INDEX(Checklists!$J$5:$J$404,MATCH(G751,Checklists!$F$5:$F$404,0)),"Yes"))</f>
        <v>0</v>
      </c>
      <c r="Q751" s="31">
        <f>IF(G751="","",IFERROR(INDEX(Checklists!$H$5:$H$404,MATCH(G751,Checklists!$F$5:$F$404,0)),""))</f>
        <v>0</v>
      </c>
      <c r="R751" s="31">
        <f>IF(OR(J751="",Q751=""),"",J751-Q751)</f>
        <v>0</v>
      </c>
      <c r="S751" s="50">
        <f>IF(B751="","",IF(H751="Done","Yes","No"))</f>
        <v>0</v>
      </c>
      <c r="T751" s="39">
        <f>IF(B751="","",IF(G751="","Add - what was the task?",IF(H751="Issue found",IF(M751="Yes","OK - issue reported","Action - tell the client"),IF(H751="Needs rework","Action - rework needed",IF(AND(H751="Skipped",P751="Yes"),"Check - required task skipped",IF(H751="Done","OK","Due"))))))</f>
        <v>0</v>
      </c>
    </row>
    <row r="752" spans="1:20">
      <c r="A752" s="43">
        <f>IF(B752="","","JT-"&amp;TEXT(ROW()-4,"0000"))</f>
        <v>0</v>
      </c>
      <c r="C752" s="18">
        <f>IF(B752="","",IFERROR(INDEX(Jobs!$B$5:$B$604,MATCH(B752,Jobs!$A$5:$A$604,0)),""))</f>
        <v>0</v>
      </c>
      <c r="D752" s="23">
        <f>IF(B752="","",IFERROR(INDEX(Jobs!$H$5:$H$604,MATCH(B752,Jobs!$A$5:$A$604,0)),""))</f>
        <v>0</v>
      </c>
      <c r="E752" s="23">
        <f>IF(B752="","",IFERROR(INDEX(Jobs!$K$5:$K$604,MATCH(B752,Jobs!$A$5:$A$604,0)),""))</f>
        <v>0</v>
      </c>
      <c r="P752" s="50">
        <f>IF(G752="","",IFERROR(INDEX(Checklists!$J$5:$J$404,MATCH(G752,Checklists!$F$5:$F$404,0)),"Yes"))</f>
        <v>0</v>
      </c>
      <c r="Q752" s="31">
        <f>IF(G752="","",IFERROR(INDEX(Checklists!$H$5:$H$404,MATCH(G752,Checklists!$F$5:$F$404,0)),""))</f>
        <v>0</v>
      </c>
      <c r="R752" s="31">
        <f>IF(OR(J752="",Q752=""),"",J752-Q752)</f>
        <v>0</v>
      </c>
      <c r="S752" s="50">
        <f>IF(B752="","",IF(H752="Done","Yes","No"))</f>
        <v>0</v>
      </c>
      <c r="T752" s="39">
        <f>IF(B752="","",IF(G752="","Add - what was the task?",IF(H752="Issue found",IF(M752="Yes","OK - issue reported","Action - tell the client"),IF(H752="Needs rework","Action - rework needed",IF(AND(H752="Skipped",P752="Yes"),"Check - required task skipped",IF(H752="Done","OK","Due"))))))</f>
        <v>0</v>
      </c>
    </row>
    <row r="753" spans="1:20">
      <c r="A753" s="43">
        <f>IF(B753="","","JT-"&amp;TEXT(ROW()-4,"0000"))</f>
        <v>0</v>
      </c>
      <c r="C753" s="18">
        <f>IF(B753="","",IFERROR(INDEX(Jobs!$B$5:$B$604,MATCH(B753,Jobs!$A$5:$A$604,0)),""))</f>
        <v>0</v>
      </c>
      <c r="D753" s="23">
        <f>IF(B753="","",IFERROR(INDEX(Jobs!$H$5:$H$604,MATCH(B753,Jobs!$A$5:$A$604,0)),""))</f>
        <v>0</v>
      </c>
      <c r="E753" s="23">
        <f>IF(B753="","",IFERROR(INDEX(Jobs!$K$5:$K$604,MATCH(B753,Jobs!$A$5:$A$604,0)),""))</f>
        <v>0</v>
      </c>
      <c r="P753" s="50">
        <f>IF(G753="","",IFERROR(INDEX(Checklists!$J$5:$J$404,MATCH(G753,Checklists!$F$5:$F$404,0)),"Yes"))</f>
        <v>0</v>
      </c>
      <c r="Q753" s="31">
        <f>IF(G753="","",IFERROR(INDEX(Checklists!$H$5:$H$404,MATCH(G753,Checklists!$F$5:$F$404,0)),""))</f>
        <v>0</v>
      </c>
      <c r="R753" s="31">
        <f>IF(OR(J753="",Q753=""),"",J753-Q753)</f>
        <v>0</v>
      </c>
      <c r="S753" s="50">
        <f>IF(B753="","",IF(H753="Done","Yes","No"))</f>
        <v>0</v>
      </c>
      <c r="T753" s="39">
        <f>IF(B753="","",IF(G753="","Add - what was the task?",IF(H753="Issue found",IF(M753="Yes","OK - issue reported","Action - tell the client"),IF(H753="Needs rework","Action - rework needed",IF(AND(H753="Skipped",P753="Yes"),"Check - required task skipped",IF(H753="Done","OK","Due"))))))</f>
        <v>0</v>
      </c>
    </row>
    <row r="754" spans="1:20">
      <c r="A754" s="43">
        <f>IF(B754="","","JT-"&amp;TEXT(ROW()-4,"0000"))</f>
        <v>0</v>
      </c>
      <c r="C754" s="18">
        <f>IF(B754="","",IFERROR(INDEX(Jobs!$B$5:$B$604,MATCH(B754,Jobs!$A$5:$A$604,0)),""))</f>
        <v>0</v>
      </c>
      <c r="D754" s="23">
        <f>IF(B754="","",IFERROR(INDEX(Jobs!$H$5:$H$604,MATCH(B754,Jobs!$A$5:$A$604,0)),""))</f>
        <v>0</v>
      </c>
      <c r="E754" s="23">
        <f>IF(B754="","",IFERROR(INDEX(Jobs!$K$5:$K$604,MATCH(B754,Jobs!$A$5:$A$604,0)),""))</f>
        <v>0</v>
      </c>
      <c r="P754" s="50">
        <f>IF(G754="","",IFERROR(INDEX(Checklists!$J$5:$J$404,MATCH(G754,Checklists!$F$5:$F$404,0)),"Yes"))</f>
        <v>0</v>
      </c>
      <c r="Q754" s="31">
        <f>IF(G754="","",IFERROR(INDEX(Checklists!$H$5:$H$404,MATCH(G754,Checklists!$F$5:$F$404,0)),""))</f>
        <v>0</v>
      </c>
      <c r="R754" s="31">
        <f>IF(OR(J754="",Q754=""),"",J754-Q754)</f>
        <v>0</v>
      </c>
      <c r="S754" s="50">
        <f>IF(B754="","",IF(H754="Done","Yes","No"))</f>
        <v>0</v>
      </c>
      <c r="T754" s="39">
        <f>IF(B754="","",IF(G754="","Add - what was the task?",IF(H754="Issue found",IF(M754="Yes","OK - issue reported","Action - tell the client"),IF(H754="Needs rework","Action - rework needed",IF(AND(H754="Skipped",P754="Yes"),"Check - required task skipped",IF(H754="Done","OK","Due"))))))</f>
        <v>0</v>
      </c>
    </row>
    <row r="755" spans="1:20">
      <c r="A755" s="43">
        <f>IF(B755="","","JT-"&amp;TEXT(ROW()-4,"0000"))</f>
        <v>0</v>
      </c>
      <c r="C755" s="18">
        <f>IF(B755="","",IFERROR(INDEX(Jobs!$B$5:$B$604,MATCH(B755,Jobs!$A$5:$A$604,0)),""))</f>
        <v>0</v>
      </c>
      <c r="D755" s="23">
        <f>IF(B755="","",IFERROR(INDEX(Jobs!$H$5:$H$604,MATCH(B755,Jobs!$A$5:$A$604,0)),""))</f>
        <v>0</v>
      </c>
      <c r="E755" s="23">
        <f>IF(B755="","",IFERROR(INDEX(Jobs!$K$5:$K$604,MATCH(B755,Jobs!$A$5:$A$604,0)),""))</f>
        <v>0</v>
      </c>
      <c r="P755" s="50">
        <f>IF(G755="","",IFERROR(INDEX(Checklists!$J$5:$J$404,MATCH(G755,Checklists!$F$5:$F$404,0)),"Yes"))</f>
        <v>0</v>
      </c>
      <c r="Q755" s="31">
        <f>IF(G755="","",IFERROR(INDEX(Checklists!$H$5:$H$404,MATCH(G755,Checklists!$F$5:$F$404,0)),""))</f>
        <v>0</v>
      </c>
      <c r="R755" s="31">
        <f>IF(OR(J755="",Q755=""),"",J755-Q755)</f>
        <v>0</v>
      </c>
      <c r="S755" s="50">
        <f>IF(B755="","",IF(H755="Done","Yes","No"))</f>
        <v>0</v>
      </c>
      <c r="T755" s="39">
        <f>IF(B755="","",IF(G755="","Add - what was the task?",IF(H755="Issue found",IF(M755="Yes","OK - issue reported","Action - tell the client"),IF(H755="Needs rework","Action - rework needed",IF(AND(H755="Skipped",P755="Yes"),"Check - required task skipped",IF(H755="Done","OK","Due"))))))</f>
        <v>0</v>
      </c>
    </row>
    <row r="756" spans="1:20">
      <c r="A756" s="43">
        <f>IF(B756="","","JT-"&amp;TEXT(ROW()-4,"0000"))</f>
        <v>0</v>
      </c>
      <c r="C756" s="18">
        <f>IF(B756="","",IFERROR(INDEX(Jobs!$B$5:$B$604,MATCH(B756,Jobs!$A$5:$A$604,0)),""))</f>
        <v>0</v>
      </c>
      <c r="D756" s="23">
        <f>IF(B756="","",IFERROR(INDEX(Jobs!$H$5:$H$604,MATCH(B756,Jobs!$A$5:$A$604,0)),""))</f>
        <v>0</v>
      </c>
      <c r="E756" s="23">
        <f>IF(B756="","",IFERROR(INDEX(Jobs!$K$5:$K$604,MATCH(B756,Jobs!$A$5:$A$604,0)),""))</f>
        <v>0</v>
      </c>
      <c r="P756" s="50">
        <f>IF(G756="","",IFERROR(INDEX(Checklists!$J$5:$J$404,MATCH(G756,Checklists!$F$5:$F$404,0)),"Yes"))</f>
        <v>0</v>
      </c>
      <c r="Q756" s="31">
        <f>IF(G756="","",IFERROR(INDEX(Checklists!$H$5:$H$404,MATCH(G756,Checklists!$F$5:$F$404,0)),""))</f>
        <v>0</v>
      </c>
      <c r="R756" s="31">
        <f>IF(OR(J756="",Q756=""),"",J756-Q756)</f>
        <v>0</v>
      </c>
      <c r="S756" s="50">
        <f>IF(B756="","",IF(H756="Done","Yes","No"))</f>
        <v>0</v>
      </c>
      <c r="T756" s="39">
        <f>IF(B756="","",IF(G756="","Add - what was the task?",IF(H756="Issue found",IF(M756="Yes","OK - issue reported","Action - tell the client"),IF(H756="Needs rework","Action - rework needed",IF(AND(H756="Skipped",P756="Yes"),"Check - required task skipped",IF(H756="Done","OK","Due"))))))</f>
        <v>0</v>
      </c>
    </row>
    <row r="757" spans="1:20">
      <c r="A757" s="43">
        <f>IF(B757="","","JT-"&amp;TEXT(ROW()-4,"0000"))</f>
        <v>0</v>
      </c>
      <c r="C757" s="18">
        <f>IF(B757="","",IFERROR(INDEX(Jobs!$B$5:$B$604,MATCH(B757,Jobs!$A$5:$A$604,0)),""))</f>
        <v>0</v>
      </c>
      <c r="D757" s="23">
        <f>IF(B757="","",IFERROR(INDEX(Jobs!$H$5:$H$604,MATCH(B757,Jobs!$A$5:$A$604,0)),""))</f>
        <v>0</v>
      </c>
      <c r="E757" s="23">
        <f>IF(B757="","",IFERROR(INDEX(Jobs!$K$5:$K$604,MATCH(B757,Jobs!$A$5:$A$604,0)),""))</f>
        <v>0</v>
      </c>
      <c r="P757" s="50">
        <f>IF(G757="","",IFERROR(INDEX(Checklists!$J$5:$J$404,MATCH(G757,Checklists!$F$5:$F$404,0)),"Yes"))</f>
        <v>0</v>
      </c>
      <c r="Q757" s="31">
        <f>IF(G757="","",IFERROR(INDEX(Checklists!$H$5:$H$404,MATCH(G757,Checklists!$F$5:$F$404,0)),""))</f>
        <v>0</v>
      </c>
      <c r="R757" s="31">
        <f>IF(OR(J757="",Q757=""),"",J757-Q757)</f>
        <v>0</v>
      </c>
      <c r="S757" s="50">
        <f>IF(B757="","",IF(H757="Done","Yes","No"))</f>
        <v>0</v>
      </c>
      <c r="T757" s="39">
        <f>IF(B757="","",IF(G757="","Add - what was the task?",IF(H757="Issue found",IF(M757="Yes","OK - issue reported","Action - tell the client"),IF(H757="Needs rework","Action - rework needed",IF(AND(H757="Skipped",P757="Yes"),"Check - required task skipped",IF(H757="Done","OK","Due"))))))</f>
        <v>0</v>
      </c>
    </row>
    <row r="758" spans="1:20">
      <c r="A758" s="43">
        <f>IF(B758="","","JT-"&amp;TEXT(ROW()-4,"0000"))</f>
        <v>0</v>
      </c>
      <c r="C758" s="18">
        <f>IF(B758="","",IFERROR(INDEX(Jobs!$B$5:$B$604,MATCH(B758,Jobs!$A$5:$A$604,0)),""))</f>
        <v>0</v>
      </c>
      <c r="D758" s="23">
        <f>IF(B758="","",IFERROR(INDEX(Jobs!$H$5:$H$604,MATCH(B758,Jobs!$A$5:$A$604,0)),""))</f>
        <v>0</v>
      </c>
      <c r="E758" s="23">
        <f>IF(B758="","",IFERROR(INDEX(Jobs!$K$5:$K$604,MATCH(B758,Jobs!$A$5:$A$604,0)),""))</f>
        <v>0</v>
      </c>
      <c r="P758" s="50">
        <f>IF(G758="","",IFERROR(INDEX(Checklists!$J$5:$J$404,MATCH(G758,Checklists!$F$5:$F$404,0)),"Yes"))</f>
        <v>0</v>
      </c>
      <c r="Q758" s="31">
        <f>IF(G758="","",IFERROR(INDEX(Checklists!$H$5:$H$404,MATCH(G758,Checklists!$F$5:$F$404,0)),""))</f>
        <v>0</v>
      </c>
      <c r="R758" s="31">
        <f>IF(OR(J758="",Q758=""),"",J758-Q758)</f>
        <v>0</v>
      </c>
      <c r="S758" s="50">
        <f>IF(B758="","",IF(H758="Done","Yes","No"))</f>
        <v>0</v>
      </c>
      <c r="T758" s="39">
        <f>IF(B758="","",IF(G758="","Add - what was the task?",IF(H758="Issue found",IF(M758="Yes","OK - issue reported","Action - tell the client"),IF(H758="Needs rework","Action - rework needed",IF(AND(H758="Skipped",P758="Yes"),"Check - required task skipped",IF(H758="Done","OK","Due"))))))</f>
        <v>0</v>
      </c>
    </row>
    <row r="759" spans="1:20">
      <c r="A759" s="43">
        <f>IF(B759="","","JT-"&amp;TEXT(ROW()-4,"0000"))</f>
        <v>0</v>
      </c>
      <c r="C759" s="18">
        <f>IF(B759="","",IFERROR(INDEX(Jobs!$B$5:$B$604,MATCH(B759,Jobs!$A$5:$A$604,0)),""))</f>
        <v>0</v>
      </c>
      <c r="D759" s="23">
        <f>IF(B759="","",IFERROR(INDEX(Jobs!$H$5:$H$604,MATCH(B759,Jobs!$A$5:$A$604,0)),""))</f>
        <v>0</v>
      </c>
      <c r="E759" s="23">
        <f>IF(B759="","",IFERROR(INDEX(Jobs!$K$5:$K$604,MATCH(B759,Jobs!$A$5:$A$604,0)),""))</f>
        <v>0</v>
      </c>
      <c r="P759" s="50">
        <f>IF(G759="","",IFERROR(INDEX(Checklists!$J$5:$J$404,MATCH(G759,Checklists!$F$5:$F$404,0)),"Yes"))</f>
        <v>0</v>
      </c>
      <c r="Q759" s="31">
        <f>IF(G759="","",IFERROR(INDEX(Checklists!$H$5:$H$404,MATCH(G759,Checklists!$F$5:$F$404,0)),""))</f>
        <v>0</v>
      </c>
      <c r="R759" s="31">
        <f>IF(OR(J759="",Q759=""),"",J759-Q759)</f>
        <v>0</v>
      </c>
      <c r="S759" s="50">
        <f>IF(B759="","",IF(H759="Done","Yes","No"))</f>
        <v>0</v>
      </c>
      <c r="T759" s="39">
        <f>IF(B759="","",IF(G759="","Add - what was the task?",IF(H759="Issue found",IF(M759="Yes","OK - issue reported","Action - tell the client"),IF(H759="Needs rework","Action - rework needed",IF(AND(H759="Skipped",P759="Yes"),"Check - required task skipped",IF(H759="Done","OK","Due"))))))</f>
        <v>0</v>
      </c>
    </row>
    <row r="760" spans="1:20">
      <c r="A760" s="43">
        <f>IF(B760="","","JT-"&amp;TEXT(ROW()-4,"0000"))</f>
        <v>0</v>
      </c>
      <c r="C760" s="18">
        <f>IF(B760="","",IFERROR(INDEX(Jobs!$B$5:$B$604,MATCH(B760,Jobs!$A$5:$A$604,0)),""))</f>
        <v>0</v>
      </c>
      <c r="D760" s="23">
        <f>IF(B760="","",IFERROR(INDEX(Jobs!$H$5:$H$604,MATCH(B760,Jobs!$A$5:$A$604,0)),""))</f>
        <v>0</v>
      </c>
      <c r="E760" s="23">
        <f>IF(B760="","",IFERROR(INDEX(Jobs!$K$5:$K$604,MATCH(B760,Jobs!$A$5:$A$604,0)),""))</f>
        <v>0</v>
      </c>
      <c r="P760" s="50">
        <f>IF(G760="","",IFERROR(INDEX(Checklists!$J$5:$J$404,MATCH(G760,Checklists!$F$5:$F$404,0)),"Yes"))</f>
        <v>0</v>
      </c>
      <c r="Q760" s="31">
        <f>IF(G760="","",IFERROR(INDEX(Checklists!$H$5:$H$404,MATCH(G760,Checklists!$F$5:$F$404,0)),""))</f>
        <v>0</v>
      </c>
      <c r="R760" s="31">
        <f>IF(OR(J760="",Q760=""),"",J760-Q760)</f>
        <v>0</v>
      </c>
      <c r="S760" s="50">
        <f>IF(B760="","",IF(H760="Done","Yes","No"))</f>
        <v>0</v>
      </c>
      <c r="T760" s="39">
        <f>IF(B760="","",IF(G760="","Add - what was the task?",IF(H760="Issue found",IF(M760="Yes","OK - issue reported","Action - tell the client"),IF(H760="Needs rework","Action - rework needed",IF(AND(H760="Skipped",P760="Yes"),"Check - required task skipped",IF(H760="Done","OK","Due"))))))</f>
        <v>0</v>
      </c>
    </row>
    <row r="761" spans="1:20">
      <c r="A761" s="43">
        <f>IF(B761="","","JT-"&amp;TEXT(ROW()-4,"0000"))</f>
        <v>0</v>
      </c>
      <c r="C761" s="18">
        <f>IF(B761="","",IFERROR(INDEX(Jobs!$B$5:$B$604,MATCH(B761,Jobs!$A$5:$A$604,0)),""))</f>
        <v>0</v>
      </c>
      <c r="D761" s="23">
        <f>IF(B761="","",IFERROR(INDEX(Jobs!$H$5:$H$604,MATCH(B761,Jobs!$A$5:$A$604,0)),""))</f>
        <v>0</v>
      </c>
      <c r="E761" s="23">
        <f>IF(B761="","",IFERROR(INDEX(Jobs!$K$5:$K$604,MATCH(B761,Jobs!$A$5:$A$604,0)),""))</f>
        <v>0</v>
      </c>
      <c r="P761" s="50">
        <f>IF(G761="","",IFERROR(INDEX(Checklists!$J$5:$J$404,MATCH(G761,Checklists!$F$5:$F$404,0)),"Yes"))</f>
        <v>0</v>
      </c>
      <c r="Q761" s="31">
        <f>IF(G761="","",IFERROR(INDEX(Checklists!$H$5:$H$404,MATCH(G761,Checklists!$F$5:$F$404,0)),""))</f>
        <v>0</v>
      </c>
      <c r="R761" s="31">
        <f>IF(OR(J761="",Q761=""),"",J761-Q761)</f>
        <v>0</v>
      </c>
      <c r="S761" s="50">
        <f>IF(B761="","",IF(H761="Done","Yes","No"))</f>
        <v>0</v>
      </c>
      <c r="T761" s="39">
        <f>IF(B761="","",IF(G761="","Add - what was the task?",IF(H761="Issue found",IF(M761="Yes","OK - issue reported","Action - tell the client"),IF(H761="Needs rework","Action - rework needed",IF(AND(H761="Skipped",P761="Yes"),"Check - required task skipped",IF(H761="Done","OK","Due"))))))</f>
        <v>0</v>
      </c>
    </row>
    <row r="762" spans="1:20">
      <c r="A762" s="43">
        <f>IF(B762="","","JT-"&amp;TEXT(ROW()-4,"0000"))</f>
        <v>0</v>
      </c>
      <c r="C762" s="18">
        <f>IF(B762="","",IFERROR(INDEX(Jobs!$B$5:$B$604,MATCH(B762,Jobs!$A$5:$A$604,0)),""))</f>
        <v>0</v>
      </c>
      <c r="D762" s="23">
        <f>IF(B762="","",IFERROR(INDEX(Jobs!$H$5:$H$604,MATCH(B762,Jobs!$A$5:$A$604,0)),""))</f>
        <v>0</v>
      </c>
      <c r="E762" s="23">
        <f>IF(B762="","",IFERROR(INDEX(Jobs!$K$5:$K$604,MATCH(B762,Jobs!$A$5:$A$604,0)),""))</f>
        <v>0</v>
      </c>
      <c r="P762" s="50">
        <f>IF(G762="","",IFERROR(INDEX(Checklists!$J$5:$J$404,MATCH(G762,Checklists!$F$5:$F$404,0)),"Yes"))</f>
        <v>0</v>
      </c>
      <c r="Q762" s="31">
        <f>IF(G762="","",IFERROR(INDEX(Checklists!$H$5:$H$404,MATCH(G762,Checklists!$F$5:$F$404,0)),""))</f>
        <v>0</v>
      </c>
      <c r="R762" s="31">
        <f>IF(OR(J762="",Q762=""),"",J762-Q762)</f>
        <v>0</v>
      </c>
      <c r="S762" s="50">
        <f>IF(B762="","",IF(H762="Done","Yes","No"))</f>
        <v>0</v>
      </c>
      <c r="T762" s="39">
        <f>IF(B762="","",IF(G762="","Add - what was the task?",IF(H762="Issue found",IF(M762="Yes","OK - issue reported","Action - tell the client"),IF(H762="Needs rework","Action - rework needed",IF(AND(H762="Skipped",P762="Yes"),"Check - required task skipped",IF(H762="Done","OK","Due"))))))</f>
        <v>0</v>
      </c>
    </row>
    <row r="763" spans="1:20">
      <c r="A763" s="43">
        <f>IF(B763="","","JT-"&amp;TEXT(ROW()-4,"0000"))</f>
        <v>0</v>
      </c>
      <c r="C763" s="18">
        <f>IF(B763="","",IFERROR(INDEX(Jobs!$B$5:$B$604,MATCH(B763,Jobs!$A$5:$A$604,0)),""))</f>
        <v>0</v>
      </c>
      <c r="D763" s="23">
        <f>IF(B763="","",IFERROR(INDEX(Jobs!$H$5:$H$604,MATCH(B763,Jobs!$A$5:$A$604,0)),""))</f>
        <v>0</v>
      </c>
      <c r="E763" s="23">
        <f>IF(B763="","",IFERROR(INDEX(Jobs!$K$5:$K$604,MATCH(B763,Jobs!$A$5:$A$604,0)),""))</f>
        <v>0</v>
      </c>
      <c r="P763" s="50">
        <f>IF(G763="","",IFERROR(INDEX(Checklists!$J$5:$J$404,MATCH(G763,Checklists!$F$5:$F$404,0)),"Yes"))</f>
        <v>0</v>
      </c>
      <c r="Q763" s="31">
        <f>IF(G763="","",IFERROR(INDEX(Checklists!$H$5:$H$404,MATCH(G763,Checklists!$F$5:$F$404,0)),""))</f>
        <v>0</v>
      </c>
      <c r="R763" s="31">
        <f>IF(OR(J763="",Q763=""),"",J763-Q763)</f>
        <v>0</v>
      </c>
      <c r="S763" s="50">
        <f>IF(B763="","",IF(H763="Done","Yes","No"))</f>
        <v>0</v>
      </c>
      <c r="T763" s="39">
        <f>IF(B763="","",IF(G763="","Add - what was the task?",IF(H763="Issue found",IF(M763="Yes","OK - issue reported","Action - tell the client"),IF(H763="Needs rework","Action - rework needed",IF(AND(H763="Skipped",P763="Yes"),"Check - required task skipped",IF(H763="Done","OK","Due"))))))</f>
        <v>0</v>
      </c>
    </row>
    <row r="764" spans="1:20">
      <c r="A764" s="43">
        <f>IF(B764="","","JT-"&amp;TEXT(ROW()-4,"0000"))</f>
        <v>0</v>
      </c>
      <c r="C764" s="18">
        <f>IF(B764="","",IFERROR(INDEX(Jobs!$B$5:$B$604,MATCH(B764,Jobs!$A$5:$A$604,0)),""))</f>
        <v>0</v>
      </c>
      <c r="D764" s="23">
        <f>IF(B764="","",IFERROR(INDEX(Jobs!$H$5:$H$604,MATCH(B764,Jobs!$A$5:$A$604,0)),""))</f>
        <v>0</v>
      </c>
      <c r="E764" s="23">
        <f>IF(B764="","",IFERROR(INDEX(Jobs!$K$5:$K$604,MATCH(B764,Jobs!$A$5:$A$604,0)),""))</f>
        <v>0</v>
      </c>
      <c r="P764" s="50">
        <f>IF(G764="","",IFERROR(INDEX(Checklists!$J$5:$J$404,MATCH(G764,Checklists!$F$5:$F$404,0)),"Yes"))</f>
        <v>0</v>
      </c>
      <c r="Q764" s="31">
        <f>IF(G764="","",IFERROR(INDEX(Checklists!$H$5:$H$404,MATCH(G764,Checklists!$F$5:$F$404,0)),""))</f>
        <v>0</v>
      </c>
      <c r="R764" s="31">
        <f>IF(OR(J764="",Q764=""),"",J764-Q764)</f>
        <v>0</v>
      </c>
      <c r="S764" s="50">
        <f>IF(B764="","",IF(H764="Done","Yes","No"))</f>
        <v>0</v>
      </c>
      <c r="T764" s="39">
        <f>IF(B764="","",IF(G764="","Add - what was the task?",IF(H764="Issue found",IF(M764="Yes","OK - issue reported","Action - tell the client"),IF(H764="Needs rework","Action - rework needed",IF(AND(H764="Skipped",P764="Yes"),"Check - required task skipped",IF(H764="Done","OK","Due"))))))</f>
        <v>0</v>
      </c>
    </row>
    <row r="765" spans="1:20">
      <c r="A765" s="43">
        <f>IF(B765="","","JT-"&amp;TEXT(ROW()-4,"0000"))</f>
        <v>0</v>
      </c>
      <c r="C765" s="18">
        <f>IF(B765="","",IFERROR(INDEX(Jobs!$B$5:$B$604,MATCH(B765,Jobs!$A$5:$A$604,0)),""))</f>
        <v>0</v>
      </c>
      <c r="D765" s="23">
        <f>IF(B765="","",IFERROR(INDEX(Jobs!$H$5:$H$604,MATCH(B765,Jobs!$A$5:$A$604,0)),""))</f>
        <v>0</v>
      </c>
      <c r="E765" s="23">
        <f>IF(B765="","",IFERROR(INDEX(Jobs!$K$5:$K$604,MATCH(B765,Jobs!$A$5:$A$604,0)),""))</f>
        <v>0</v>
      </c>
      <c r="P765" s="50">
        <f>IF(G765="","",IFERROR(INDEX(Checklists!$J$5:$J$404,MATCH(G765,Checklists!$F$5:$F$404,0)),"Yes"))</f>
        <v>0</v>
      </c>
      <c r="Q765" s="31">
        <f>IF(G765="","",IFERROR(INDEX(Checklists!$H$5:$H$404,MATCH(G765,Checklists!$F$5:$F$404,0)),""))</f>
        <v>0</v>
      </c>
      <c r="R765" s="31">
        <f>IF(OR(J765="",Q765=""),"",J765-Q765)</f>
        <v>0</v>
      </c>
      <c r="S765" s="50">
        <f>IF(B765="","",IF(H765="Done","Yes","No"))</f>
        <v>0</v>
      </c>
      <c r="T765" s="39">
        <f>IF(B765="","",IF(G765="","Add - what was the task?",IF(H765="Issue found",IF(M765="Yes","OK - issue reported","Action - tell the client"),IF(H765="Needs rework","Action - rework needed",IF(AND(H765="Skipped",P765="Yes"),"Check - required task skipped",IF(H765="Done","OK","Due"))))))</f>
        <v>0</v>
      </c>
    </row>
    <row r="766" spans="1:20">
      <c r="A766" s="43">
        <f>IF(B766="","","JT-"&amp;TEXT(ROW()-4,"0000"))</f>
        <v>0</v>
      </c>
      <c r="C766" s="18">
        <f>IF(B766="","",IFERROR(INDEX(Jobs!$B$5:$B$604,MATCH(B766,Jobs!$A$5:$A$604,0)),""))</f>
        <v>0</v>
      </c>
      <c r="D766" s="23">
        <f>IF(B766="","",IFERROR(INDEX(Jobs!$H$5:$H$604,MATCH(B766,Jobs!$A$5:$A$604,0)),""))</f>
        <v>0</v>
      </c>
      <c r="E766" s="23">
        <f>IF(B766="","",IFERROR(INDEX(Jobs!$K$5:$K$604,MATCH(B766,Jobs!$A$5:$A$604,0)),""))</f>
        <v>0</v>
      </c>
      <c r="P766" s="50">
        <f>IF(G766="","",IFERROR(INDEX(Checklists!$J$5:$J$404,MATCH(G766,Checklists!$F$5:$F$404,0)),"Yes"))</f>
        <v>0</v>
      </c>
      <c r="Q766" s="31">
        <f>IF(G766="","",IFERROR(INDEX(Checklists!$H$5:$H$404,MATCH(G766,Checklists!$F$5:$F$404,0)),""))</f>
        <v>0</v>
      </c>
      <c r="R766" s="31">
        <f>IF(OR(J766="",Q766=""),"",J766-Q766)</f>
        <v>0</v>
      </c>
      <c r="S766" s="50">
        <f>IF(B766="","",IF(H766="Done","Yes","No"))</f>
        <v>0</v>
      </c>
      <c r="T766" s="39">
        <f>IF(B766="","",IF(G766="","Add - what was the task?",IF(H766="Issue found",IF(M766="Yes","OK - issue reported","Action - tell the client"),IF(H766="Needs rework","Action - rework needed",IF(AND(H766="Skipped",P766="Yes"),"Check - required task skipped",IF(H766="Done","OK","Due"))))))</f>
        <v>0</v>
      </c>
    </row>
    <row r="767" spans="1:20">
      <c r="A767" s="43">
        <f>IF(B767="","","JT-"&amp;TEXT(ROW()-4,"0000"))</f>
        <v>0</v>
      </c>
      <c r="C767" s="18">
        <f>IF(B767="","",IFERROR(INDEX(Jobs!$B$5:$B$604,MATCH(B767,Jobs!$A$5:$A$604,0)),""))</f>
        <v>0</v>
      </c>
      <c r="D767" s="23">
        <f>IF(B767="","",IFERROR(INDEX(Jobs!$H$5:$H$604,MATCH(B767,Jobs!$A$5:$A$604,0)),""))</f>
        <v>0</v>
      </c>
      <c r="E767" s="23">
        <f>IF(B767="","",IFERROR(INDEX(Jobs!$K$5:$K$604,MATCH(B767,Jobs!$A$5:$A$604,0)),""))</f>
        <v>0</v>
      </c>
      <c r="P767" s="50">
        <f>IF(G767="","",IFERROR(INDEX(Checklists!$J$5:$J$404,MATCH(G767,Checklists!$F$5:$F$404,0)),"Yes"))</f>
        <v>0</v>
      </c>
      <c r="Q767" s="31">
        <f>IF(G767="","",IFERROR(INDEX(Checklists!$H$5:$H$404,MATCH(G767,Checklists!$F$5:$F$404,0)),""))</f>
        <v>0</v>
      </c>
      <c r="R767" s="31">
        <f>IF(OR(J767="",Q767=""),"",J767-Q767)</f>
        <v>0</v>
      </c>
      <c r="S767" s="50">
        <f>IF(B767="","",IF(H767="Done","Yes","No"))</f>
        <v>0</v>
      </c>
      <c r="T767" s="39">
        <f>IF(B767="","",IF(G767="","Add - what was the task?",IF(H767="Issue found",IF(M767="Yes","OK - issue reported","Action - tell the client"),IF(H767="Needs rework","Action - rework needed",IF(AND(H767="Skipped",P767="Yes"),"Check - required task skipped",IF(H767="Done","OK","Due"))))))</f>
        <v>0</v>
      </c>
    </row>
    <row r="768" spans="1:20">
      <c r="A768" s="43">
        <f>IF(B768="","","JT-"&amp;TEXT(ROW()-4,"0000"))</f>
        <v>0</v>
      </c>
      <c r="C768" s="18">
        <f>IF(B768="","",IFERROR(INDEX(Jobs!$B$5:$B$604,MATCH(B768,Jobs!$A$5:$A$604,0)),""))</f>
        <v>0</v>
      </c>
      <c r="D768" s="23">
        <f>IF(B768="","",IFERROR(INDEX(Jobs!$H$5:$H$604,MATCH(B768,Jobs!$A$5:$A$604,0)),""))</f>
        <v>0</v>
      </c>
      <c r="E768" s="23">
        <f>IF(B768="","",IFERROR(INDEX(Jobs!$K$5:$K$604,MATCH(B768,Jobs!$A$5:$A$604,0)),""))</f>
        <v>0</v>
      </c>
      <c r="P768" s="50">
        <f>IF(G768="","",IFERROR(INDEX(Checklists!$J$5:$J$404,MATCH(G768,Checklists!$F$5:$F$404,0)),"Yes"))</f>
        <v>0</v>
      </c>
      <c r="Q768" s="31">
        <f>IF(G768="","",IFERROR(INDEX(Checklists!$H$5:$H$404,MATCH(G768,Checklists!$F$5:$F$404,0)),""))</f>
        <v>0</v>
      </c>
      <c r="R768" s="31">
        <f>IF(OR(J768="",Q768=""),"",J768-Q768)</f>
        <v>0</v>
      </c>
      <c r="S768" s="50">
        <f>IF(B768="","",IF(H768="Done","Yes","No"))</f>
        <v>0</v>
      </c>
      <c r="T768" s="39">
        <f>IF(B768="","",IF(G768="","Add - what was the task?",IF(H768="Issue found",IF(M768="Yes","OK - issue reported","Action - tell the client"),IF(H768="Needs rework","Action - rework needed",IF(AND(H768="Skipped",P768="Yes"),"Check - required task skipped",IF(H768="Done","OK","Due"))))))</f>
        <v>0</v>
      </c>
    </row>
    <row r="769" spans="1:20">
      <c r="A769" s="43">
        <f>IF(B769="","","JT-"&amp;TEXT(ROW()-4,"0000"))</f>
        <v>0</v>
      </c>
      <c r="C769" s="18">
        <f>IF(B769="","",IFERROR(INDEX(Jobs!$B$5:$B$604,MATCH(B769,Jobs!$A$5:$A$604,0)),""))</f>
        <v>0</v>
      </c>
      <c r="D769" s="23">
        <f>IF(B769="","",IFERROR(INDEX(Jobs!$H$5:$H$604,MATCH(B769,Jobs!$A$5:$A$604,0)),""))</f>
        <v>0</v>
      </c>
      <c r="E769" s="23">
        <f>IF(B769="","",IFERROR(INDEX(Jobs!$K$5:$K$604,MATCH(B769,Jobs!$A$5:$A$604,0)),""))</f>
        <v>0</v>
      </c>
      <c r="P769" s="50">
        <f>IF(G769="","",IFERROR(INDEX(Checklists!$J$5:$J$404,MATCH(G769,Checklists!$F$5:$F$404,0)),"Yes"))</f>
        <v>0</v>
      </c>
      <c r="Q769" s="31">
        <f>IF(G769="","",IFERROR(INDEX(Checklists!$H$5:$H$404,MATCH(G769,Checklists!$F$5:$F$404,0)),""))</f>
        <v>0</v>
      </c>
      <c r="R769" s="31">
        <f>IF(OR(J769="",Q769=""),"",J769-Q769)</f>
        <v>0</v>
      </c>
      <c r="S769" s="50">
        <f>IF(B769="","",IF(H769="Done","Yes","No"))</f>
        <v>0</v>
      </c>
      <c r="T769" s="39">
        <f>IF(B769="","",IF(G769="","Add - what was the task?",IF(H769="Issue found",IF(M769="Yes","OK - issue reported","Action - tell the client"),IF(H769="Needs rework","Action - rework needed",IF(AND(H769="Skipped",P769="Yes"),"Check - required task skipped",IF(H769="Done","OK","Due"))))))</f>
        <v>0</v>
      </c>
    </row>
    <row r="770" spans="1:20">
      <c r="A770" s="43">
        <f>IF(B770="","","JT-"&amp;TEXT(ROW()-4,"0000"))</f>
        <v>0</v>
      </c>
      <c r="C770" s="18">
        <f>IF(B770="","",IFERROR(INDEX(Jobs!$B$5:$B$604,MATCH(B770,Jobs!$A$5:$A$604,0)),""))</f>
        <v>0</v>
      </c>
      <c r="D770" s="23">
        <f>IF(B770="","",IFERROR(INDEX(Jobs!$H$5:$H$604,MATCH(B770,Jobs!$A$5:$A$604,0)),""))</f>
        <v>0</v>
      </c>
      <c r="E770" s="23">
        <f>IF(B770="","",IFERROR(INDEX(Jobs!$K$5:$K$604,MATCH(B770,Jobs!$A$5:$A$604,0)),""))</f>
        <v>0</v>
      </c>
      <c r="P770" s="50">
        <f>IF(G770="","",IFERROR(INDEX(Checklists!$J$5:$J$404,MATCH(G770,Checklists!$F$5:$F$404,0)),"Yes"))</f>
        <v>0</v>
      </c>
      <c r="Q770" s="31">
        <f>IF(G770="","",IFERROR(INDEX(Checklists!$H$5:$H$404,MATCH(G770,Checklists!$F$5:$F$404,0)),""))</f>
        <v>0</v>
      </c>
      <c r="R770" s="31">
        <f>IF(OR(J770="",Q770=""),"",J770-Q770)</f>
        <v>0</v>
      </c>
      <c r="S770" s="50">
        <f>IF(B770="","",IF(H770="Done","Yes","No"))</f>
        <v>0</v>
      </c>
      <c r="T770" s="39">
        <f>IF(B770="","",IF(G770="","Add - what was the task?",IF(H770="Issue found",IF(M770="Yes","OK - issue reported","Action - tell the client"),IF(H770="Needs rework","Action - rework needed",IF(AND(H770="Skipped",P770="Yes"),"Check - required task skipped",IF(H770="Done","OK","Due"))))))</f>
        <v>0</v>
      </c>
    </row>
    <row r="771" spans="1:20">
      <c r="A771" s="43">
        <f>IF(B771="","","JT-"&amp;TEXT(ROW()-4,"0000"))</f>
        <v>0</v>
      </c>
      <c r="C771" s="18">
        <f>IF(B771="","",IFERROR(INDEX(Jobs!$B$5:$B$604,MATCH(B771,Jobs!$A$5:$A$604,0)),""))</f>
        <v>0</v>
      </c>
      <c r="D771" s="23">
        <f>IF(B771="","",IFERROR(INDEX(Jobs!$H$5:$H$604,MATCH(B771,Jobs!$A$5:$A$604,0)),""))</f>
        <v>0</v>
      </c>
      <c r="E771" s="23">
        <f>IF(B771="","",IFERROR(INDEX(Jobs!$K$5:$K$604,MATCH(B771,Jobs!$A$5:$A$604,0)),""))</f>
        <v>0</v>
      </c>
      <c r="P771" s="50">
        <f>IF(G771="","",IFERROR(INDEX(Checklists!$J$5:$J$404,MATCH(G771,Checklists!$F$5:$F$404,0)),"Yes"))</f>
        <v>0</v>
      </c>
      <c r="Q771" s="31">
        <f>IF(G771="","",IFERROR(INDEX(Checklists!$H$5:$H$404,MATCH(G771,Checklists!$F$5:$F$404,0)),""))</f>
        <v>0</v>
      </c>
      <c r="R771" s="31">
        <f>IF(OR(J771="",Q771=""),"",J771-Q771)</f>
        <v>0</v>
      </c>
      <c r="S771" s="50">
        <f>IF(B771="","",IF(H771="Done","Yes","No"))</f>
        <v>0</v>
      </c>
      <c r="T771" s="39">
        <f>IF(B771="","",IF(G771="","Add - what was the task?",IF(H771="Issue found",IF(M771="Yes","OK - issue reported","Action - tell the client"),IF(H771="Needs rework","Action - rework needed",IF(AND(H771="Skipped",P771="Yes"),"Check - required task skipped",IF(H771="Done","OK","Due"))))))</f>
        <v>0</v>
      </c>
    </row>
    <row r="772" spans="1:20">
      <c r="A772" s="43">
        <f>IF(B772="","","JT-"&amp;TEXT(ROW()-4,"0000"))</f>
        <v>0</v>
      </c>
      <c r="C772" s="18">
        <f>IF(B772="","",IFERROR(INDEX(Jobs!$B$5:$B$604,MATCH(B772,Jobs!$A$5:$A$604,0)),""))</f>
        <v>0</v>
      </c>
      <c r="D772" s="23">
        <f>IF(B772="","",IFERROR(INDEX(Jobs!$H$5:$H$604,MATCH(B772,Jobs!$A$5:$A$604,0)),""))</f>
        <v>0</v>
      </c>
      <c r="E772" s="23">
        <f>IF(B772="","",IFERROR(INDEX(Jobs!$K$5:$K$604,MATCH(B772,Jobs!$A$5:$A$604,0)),""))</f>
        <v>0</v>
      </c>
      <c r="P772" s="50">
        <f>IF(G772="","",IFERROR(INDEX(Checklists!$J$5:$J$404,MATCH(G772,Checklists!$F$5:$F$404,0)),"Yes"))</f>
        <v>0</v>
      </c>
      <c r="Q772" s="31">
        <f>IF(G772="","",IFERROR(INDEX(Checklists!$H$5:$H$404,MATCH(G772,Checklists!$F$5:$F$404,0)),""))</f>
        <v>0</v>
      </c>
      <c r="R772" s="31">
        <f>IF(OR(J772="",Q772=""),"",J772-Q772)</f>
        <v>0</v>
      </c>
      <c r="S772" s="50">
        <f>IF(B772="","",IF(H772="Done","Yes","No"))</f>
        <v>0</v>
      </c>
      <c r="T772" s="39">
        <f>IF(B772="","",IF(G772="","Add - what was the task?",IF(H772="Issue found",IF(M772="Yes","OK - issue reported","Action - tell the client"),IF(H772="Needs rework","Action - rework needed",IF(AND(H772="Skipped",P772="Yes"),"Check - required task skipped",IF(H772="Done","OK","Due"))))))</f>
        <v>0</v>
      </c>
    </row>
    <row r="773" spans="1:20">
      <c r="A773" s="43">
        <f>IF(B773="","","JT-"&amp;TEXT(ROW()-4,"0000"))</f>
        <v>0</v>
      </c>
      <c r="C773" s="18">
        <f>IF(B773="","",IFERROR(INDEX(Jobs!$B$5:$B$604,MATCH(B773,Jobs!$A$5:$A$604,0)),""))</f>
        <v>0</v>
      </c>
      <c r="D773" s="23">
        <f>IF(B773="","",IFERROR(INDEX(Jobs!$H$5:$H$604,MATCH(B773,Jobs!$A$5:$A$604,0)),""))</f>
        <v>0</v>
      </c>
      <c r="E773" s="23">
        <f>IF(B773="","",IFERROR(INDEX(Jobs!$K$5:$K$604,MATCH(B773,Jobs!$A$5:$A$604,0)),""))</f>
        <v>0</v>
      </c>
      <c r="P773" s="50">
        <f>IF(G773="","",IFERROR(INDEX(Checklists!$J$5:$J$404,MATCH(G773,Checklists!$F$5:$F$404,0)),"Yes"))</f>
        <v>0</v>
      </c>
      <c r="Q773" s="31">
        <f>IF(G773="","",IFERROR(INDEX(Checklists!$H$5:$H$404,MATCH(G773,Checklists!$F$5:$F$404,0)),""))</f>
        <v>0</v>
      </c>
      <c r="R773" s="31">
        <f>IF(OR(J773="",Q773=""),"",J773-Q773)</f>
        <v>0</v>
      </c>
      <c r="S773" s="50">
        <f>IF(B773="","",IF(H773="Done","Yes","No"))</f>
        <v>0</v>
      </c>
      <c r="T773" s="39">
        <f>IF(B773="","",IF(G773="","Add - what was the task?",IF(H773="Issue found",IF(M773="Yes","OK - issue reported","Action - tell the client"),IF(H773="Needs rework","Action - rework needed",IF(AND(H773="Skipped",P773="Yes"),"Check - required task skipped",IF(H773="Done","OK","Due"))))))</f>
        <v>0</v>
      </c>
    </row>
    <row r="774" spans="1:20">
      <c r="A774" s="43">
        <f>IF(B774="","","JT-"&amp;TEXT(ROW()-4,"0000"))</f>
        <v>0</v>
      </c>
      <c r="C774" s="18">
        <f>IF(B774="","",IFERROR(INDEX(Jobs!$B$5:$B$604,MATCH(B774,Jobs!$A$5:$A$604,0)),""))</f>
        <v>0</v>
      </c>
      <c r="D774" s="23">
        <f>IF(B774="","",IFERROR(INDEX(Jobs!$H$5:$H$604,MATCH(B774,Jobs!$A$5:$A$604,0)),""))</f>
        <v>0</v>
      </c>
      <c r="E774" s="23">
        <f>IF(B774="","",IFERROR(INDEX(Jobs!$K$5:$K$604,MATCH(B774,Jobs!$A$5:$A$604,0)),""))</f>
        <v>0</v>
      </c>
      <c r="P774" s="50">
        <f>IF(G774="","",IFERROR(INDEX(Checklists!$J$5:$J$404,MATCH(G774,Checklists!$F$5:$F$404,0)),"Yes"))</f>
        <v>0</v>
      </c>
      <c r="Q774" s="31">
        <f>IF(G774="","",IFERROR(INDEX(Checklists!$H$5:$H$404,MATCH(G774,Checklists!$F$5:$F$404,0)),""))</f>
        <v>0</v>
      </c>
      <c r="R774" s="31">
        <f>IF(OR(J774="",Q774=""),"",J774-Q774)</f>
        <v>0</v>
      </c>
      <c r="S774" s="50">
        <f>IF(B774="","",IF(H774="Done","Yes","No"))</f>
        <v>0</v>
      </c>
      <c r="T774" s="39">
        <f>IF(B774="","",IF(G774="","Add - what was the task?",IF(H774="Issue found",IF(M774="Yes","OK - issue reported","Action - tell the client"),IF(H774="Needs rework","Action - rework needed",IF(AND(H774="Skipped",P774="Yes"),"Check - required task skipped",IF(H774="Done","OK","Due"))))))</f>
        <v>0</v>
      </c>
    </row>
    <row r="775" spans="1:20">
      <c r="A775" s="43">
        <f>IF(B775="","","JT-"&amp;TEXT(ROW()-4,"0000"))</f>
        <v>0</v>
      </c>
      <c r="C775" s="18">
        <f>IF(B775="","",IFERROR(INDEX(Jobs!$B$5:$B$604,MATCH(B775,Jobs!$A$5:$A$604,0)),""))</f>
        <v>0</v>
      </c>
      <c r="D775" s="23">
        <f>IF(B775="","",IFERROR(INDEX(Jobs!$H$5:$H$604,MATCH(B775,Jobs!$A$5:$A$604,0)),""))</f>
        <v>0</v>
      </c>
      <c r="E775" s="23">
        <f>IF(B775="","",IFERROR(INDEX(Jobs!$K$5:$K$604,MATCH(B775,Jobs!$A$5:$A$604,0)),""))</f>
        <v>0</v>
      </c>
      <c r="P775" s="50">
        <f>IF(G775="","",IFERROR(INDEX(Checklists!$J$5:$J$404,MATCH(G775,Checklists!$F$5:$F$404,0)),"Yes"))</f>
        <v>0</v>
      </c>
      <c r="Q775" s="31">
        <f>IF(G775="","",IFERROR(INDEX(Checklists!$H$5:$H$404,MATCH(G775,Checklists!$F$5:$F$404,0)),""))</f>
        <v>0</v>
      </c>
      <c r="R775" s="31">
        <f>IF(OR(J775="",Q775=""),"",J775-Q775)</f>
        <v>0</v>
      </c>
      <c r="S775" s="50">
        <f>IF(B775="","",IF(H775="Done","Yes","No"))</f>
        <v>0</v>
      </c>
      <c r="T775" s="39">
        <f>IF(B775="","",IF(G775="","Add - what was the task?",IF(H775="Issue found",IF(M775="Yes","OK - issue reported","Action - tell the client"),IF(H775="Needs rework","Action - rework needed",IF(AND(H775="Skipped",P775="Yes"),"Check - required task skipped",IF(H775="Done","OK","Due"))))))</f>
        <v>0</v>
      </c>
    </row>
    <row r="776" spans="1:20">
      <c r="A776" s="43">
        <f>IF(B776="","","JT-"&amp;TEXT(ROW()-4,"0000"))</f>
        <v>0</v>
      </c>
      <c r="C776" s="18">
        <f>IF(B776="","",IFERROR(INDEX(Jobs!$B$5:$B$604,MATCH(B776,Jobs!$A$5:$A$604,0)),""))</f>
        <v>0</v>
      </c>
      <c r="D776" s="23">
        <f>IF(B776="","",IFERROR(INDEX(Jobs!$H$5:$H$604,MATCH(B776,Jobs!$A$5:$A$604,0)),""))</f>
        <v>0</v>
      </c>
      <c r="E776" s="23">
        <f>IF(B776="","",IFERROR(INDEX(Jobs!$K$5:$K$604,MATCH(B776,Jobs!$A$5:$A$604,0)),""))</f>
        <v>0</v>
      </c>
      <c r="P776" s="50">
        <f>IF(G776="","",IFERROR(INDEX(Checklists!$J$5:$J$404,MATCH(G776,Checklists!$F$5:$F$404,0)),"Yes"))</f>
        <v>0</v>
      </c>
      <c r="Q776" s="31">
        <f>IF(G776="","",IFERROR(INDEX(Checklists!$H$5:$H$404,MATCH(G776,Checklists!$F$5:$F$404,0)),""))</f>
        <v>0</v>
      </c>
      <c r="R776" s="31">
        <f>IF(OR(J776="",Q776=""),"",J776-Q776)</f>
        <v>0</v>
      </c>
      <c r="S776" s="50">
        <f>IF(B776="","",IF(H776="Done","Yes","No"))</f>
        <v>0</v>
      </c>
      <c r="T776" s="39">
        <f>IF(B776="","",IF(G776="","Add - what was the task?",IF(H776="Issue found",IF(M776="Yes","OK - issue reported","Action - tell the client"),IF(H776="Needs rework","Action - rework needed",IF(AND(H776="Skipped",P776="Yes"),"Check - required task skipped",IF(H776="Done","OK","Due"))))))</f>
        <v>0</v>
      </c>
    </row>
    <row r="777" spans="1:20">
      <c r="A777" s="43">
        <f>IF(B777="","","JT-"&amp;TEXT(ROW()-4,"0000"))</f>
        <v>0</v>
      </c>
      <c r="C777" s="18">
        <f>IF(B777="","",IFERROR(INDEX(Jobs!$B$5:$B$604,MATCH(B777,Jobs!$A$5:$A$604,0)),""))</f>
        <v>0</v>
      </c>
      <c r="D777" s="23">
        <f>IF(B777="","",IFERROR(INDEX(Jobs!$H$5:$H$604,MATCH(B777,Jobs!$A$5:$A$604,0)),""))</f>
        <v>0</v>
      </c>
      <c r="E777" s="23">
        <f>IF(B777="","",IFERROR(INDEX(Jobs!$K$5:$K$604,MATCH(B777,Jobs!$A$5:$A$604,0)),""))</f>
        <v>0</v>
      </c>
      <c r="P777" s="50">
        <f>IF(G777="","",IFERROR(INDEX(Checklists!$J$5:$J$404,MATCH(G777,Checklists!$F$5:$F$404,0)),"Yes"))</f>
        <v>0</v>
      </c>
      <c r="Q777" s="31">
        <f>IF(G777="","",IFERROR(INDEX(Checklists!$H$5:$H$404,MATCH(G777,Checklists!$F$5:$F$404,0)),""))</f>
        <v>0</v>
      </c>
      <c r="R777" s="31">
        <f>IF(OR(J777="",Q777=""),"",J777-Q777)</f>
        <v>0</v>
      </c>
      <c r="S777" s="50">
        <f>IF(B777="","",IF(H777="Done","Yes","No"))</f>
        <v>0</v>
      </c>
      <c r="T777" s="39">
        <f>IF(B777="","",IF(G777="","Add - what was the task?",IF(H777="Issue found",IF(M777="Yes","OK - issue reported","Action - tell the client"),IF(H777="Needs rework","Action - rework needed",IF(AND(H777="Skipped",P777="Yes"),"Check - required task skipped",IF(H777="Done","OK","Due"))))))</f>
        <v>0</v>
      </c>
    </row>
    <row r="778" spans="1:20">
      <c r="A778" s="43">
        <f>IF(B778="","","JT-"&amp;TEXT(ROW()-4,"0000"))</f>
        <v>0</v>
      </c>
      <c r="C778" s="18">
        <f>IF(B778="","",IFERROR(INDEX(Jobs!$B$5:$B$604,MATCH(B778,Jobs!$A$5:$A$604,0)),""))</f>
        <v>0</v>
      </c>
      <c r="D778" s="23">
        <f>IF(B778="","",IFERROR(INDEX(Jobs!$H$5:$H$604,MATCH(B778,Jobs!$A$5:$A$604,0)),""))</f>
        <v>0</v>
      </c>
      <c r="E778" s="23">
        <f>IF(B778="","",IFERROR(INDEX(Jobs!$K$5:$K$604,MATCH(B778,Jobs!$A$5:$A$604,0)),""))</f>
        <v>0</v>
      </c>
      <c r="P778" s="50">
        <f>IF(G778="","",IFERROR(INDEX(Checklists!$J$5:$J$404,MATCH(G778,Checklists!$F$5:$F$404,0)),"Yes"))</f>
        <v>0</v>
      </c>
      <c r="Q778" s="31">
        <f>IF(G778="","",IFERROR(INDEX(Checklists!$H$5:$H$404,MATCH(G778,Checklists!$F$5:$F$404,0)),""))</f>
        <v>0</v>
      </c>
      <c r="R778" s="31">
        <f>IF(OR(J778="",Q778=""),"",J778-Q778)</f>
        <v>0</v>
      </c>
      <c r="S778" s="50">
        <f>IF(B778="","",IF(H778="Done","Yes","No"))</f>
        <v>0</v>
      </c>
      <c r="T778" s="39">
        <f>IF(B778="","",IF(G778="","Add - what was the task?",IF(H778="Issue found",IF(M778="Yes","OK - issue reported","Action - tell the client"),IF(H778="Needs rework","Action - rework needed",IF(AND(H778="Skipped",P778="Yes"),"Check - required task skipped",IF(H778="Done","OK","Due"))))))</f>
        <v>0</v>
      </c>
    </row>
    <row r="779" spans="1:20">
      <c r="A779" s="43">
        <f>IF(B779="","","JT-"&amp;TEXT(ROW()-4,"0000"))</f>
        <v>0</v>
      </c>
      <c r="C779" s="18">
        <f>IF(B779="","",IFERROR(INDEX(Jobs!$B$5:$B$604,MATCH(B779,Jobs!$A$5:$A$604,0)),""))</f>
        <v>0</v>
      </c>
      <c r="D779" s="23">
        <f>IF(B779="","",IFERROR(INDEX(Jobs!$H$5:$H$604,MATCH(B779,Jobs!$A$5:$A$604,0)),""))</f>
        <v>0</v>
      </c>
      <c r="E779" s="23">
        <f>IF(B779="","",IFERROR(INDEX(Jobs!$K$5:$K$604,MATCH(B779,Jobs!$A$5:$A$604,0)),""))</f>
        <v>0</v>
      </c>
      <c r="P779" s="50">
        <f>IF(G779="","",IFERROR(INDEX(Checklists!$J$5:$J$404,MATCH(G779,Checklists!$F$5:$F$404,0)),"Yes"))</f>
        <v>0</v>
      </c>
      <c r="Q779" s="31">
        <f>IF(G779="","",IFERROR(INDEX(Checklists!$H$5:$H$404,MATCH(G779,Checklists!$F$5:$F$404,0)),""))</f>
        <v>0</v>
      </c>
      <c r="R779" s="31">
        <f>IF(OR(J779="",Q779=""),"",J779-Q779)</f>
        <v>0</v>
      </c>
      <c r="S779" s="50">
        <f>IF(B779="","",IF(H779="Done","Yes","No"))</f>
        <v>0</v>
      </c>
      <c r="T779" s="39">
        <f>IF(B779="","",IF(G779="","Add - what was the task?",IF(H779="Issue found",IF(M779="Yes","OK - issue reported","Action - tell the client"),IF(H779="Needs rework","Action - rework needed",IF(AND(H779="Skipped",P779="Yes"),"Check - required task skipped",IF(H779="Done","OK","Due"))))))</f>
        <v>0</v>
      </c>
    </row>
    <row r="780" spans="1:20">
      <c r="A780" s="43">
        <f>IF(B780="","","JT-"&amp;TEXT(ROW()-4,"0000"))</f>
        <v>0</v>
      </c>
      <c r="C780" s="18">
        <f>IF(B780="","",IFERROR(INDEX(Jobs!$B$5:$B$604,MATCH(B780,Jobs!$A$5:$A$604,0)),""))</f>
        <v>0</v>
      </c>
      <c r="D780" s="23">
        <f>IF(B780="","",IFERROR(INDEX(Jobs!$H$5:$H$604,MATCH(B780,Jobs!$A$5:$A$604,0)),""))</f>
        <v>0</v>
      </c>
      <c r="E780" s="23">
        <f>IF(B780="","",IFERROR(INDEX(Jobs!$K$5:$K$604,MATCH(B780,Jobs!$A$5:$A$604,0)),""))</f>
        <v>0</v>
      </c>
      <c r="P780" s="50">
        <f>IF(G780="","",IFERROR(INDEX(Checklists!$J$5:$J$404,MATCH(G780,Checklists!$F$5:$F$404,0)),"Yes"))</f>
        <v>0</v>
      </c>
      <c r="Q780" s="31">
        <f>IF(G780="","",IFERROR(INDEX(Checklists!$H$5:$H$404,MATCH(G780,Checklists!$F$5:$F$404,0)),""))</f>
        <v>0</v>
      </c>
      <c r="R780" s="31">
        <f>IF(OR(J780="",Q780=""),"",J780-Q780)</f>
        <v>0</v>
      </c>
      <c r="S780" s="50">
        <f>IF(B780="","",IF(H780="Done","Yes","No"))</f>
        <v>0</v>
      </c>
      <c r="T780" s="39">
        <f>IF(B780="","",IF(G780="","Add - what was the task?",IF(H780="Issue found",IF(M780="Yes","OK - issue reported","Action - tell the client"),IF(H780="Needs rework","Action - rework needed",IF(AND(H780="Skipped",P780="Yes"),"Check - required task skipped",IF(H780="Done","OK","Due"))))))</f>
        <v>0</v>
      </c>
    </row>
    <row r="781" spans="1:20">
      <c r="A781" s="43">
        <f>IF(B781="","","JT-"&amp;TEXT(ROW()-4,"0000"))</f>
        <v>0</v>
      </c>
      <c r="C781" s="18">
        <f>IF(B781="","",IFERROR(INDEX(Jobs!$B$5:$B$604,MATCH(B781,Jobs!$A$5:$A$604,0)),""))</f>
        <v>0</v>
      </c>
      <c r="D781" s="23">
        <f>IF(B781="","",IFERROR(INDEX(Jobs!$H$5:$H$604,MATCH(B781,Jobs!$A$5:$A$604,0)),""))</f>
        <v>0</v>
      </c>
      <c r="E781" s="23">
        <f>IF(B781="","",IFERROR(INDEX(Jobs!$K$5:$K$604,MATCH(B781,Jobs!$A$5:$A$604,0)),""))</f>
        <v>0</v>
      </c>
      <c r="P781" s="50">
        <f>IF(G781="","",IFERROR(INDEX(Checklists!$J$5:$J$404,MATCH(G781,Checklists!$F$5:$F$404,0)),"Yes"))</f>
        <v>0</v>
      </c>
      <c r="Q781" s="31">
        <f>IF(G781="","",IFERROR(INDEX(Checklists!$H$5:$H$404,MATCH(G781,Checklists!$F$5:$F$404,0)),""))</f>
        <v>0</v>
      </c>
      <c r="R781" s="31">
        <f>IF(OR(J781="",Q781=""),"",J781-Q781)</f>
        <v>0</v>
      </c>
      <c r="S781" s="50">
        <f>IF(B781="","",IF(H781="Done","Yes","No"))</f>
        <v>0</v>
      </c>
      <c r="T781" s="39">
        <f>IF(B781="","",IF(G781="","Add - what was the task?",IF(H781="Issue found",IF(M781="Yes","OK - issue reported","Action - tell the client"),IF(H781="Needs rework","Action - rework needed",IF(AND(H781="Skipped",P781="Yes"),"Check - required task skipped",IF(H781="Done","OK","Due"))))))</f>
        <v>0</v>
      </c>
    </row>
    <row r="782" spans="1:20">
      <c r="A782" s="43">
        <f>IF(B782="","","JT-"&amp;TEXT(ROW()-4,"0000"))</f>
        <v>0</v>
      </c>
      <c r="C782" s="18">
        <f>IF(B782="","",IFERROR(INDEX(Jobs!$B$5:$B$604,MATCH(B782,Jobs!$A$5:$A$604,0)),""))</f>
        <v>0</v>
      </c>
      <c r="D782" s="23">
        <f>IF(B782="","",IFERROR(INDEX(Jobs!$H$5:$H$604,MATCH(B782,Jobs!$A$5:$A$604,0)),""))</f>
        <v>0</v>
      </c>
      <c r="E782" s="23">
        <f>IF(B782="","",IFERROR(INDEX(Jobs!$K$5:$K$604,MATCH(B782,Jobs!$A$5:$A$604,0)),""))</f>
        <v>0</v>
      </c>
      <c r="P782" s="50">
        <f>IF(G782="","",IFERROR(INDEX(Checklists!$J$5:$J$404,MATCH(G782,Checklists!$F$5:$F$404,0)),"Yes"))</f>
        <v>0</v>
      </c>
      <c r="Q782" s="31">
        <f>IF(G782="","",IFERROR(INDEX(Checklists!$H$5:$H$404,MATCH(G782,Checklists!$F$5:$F$404,0)),""))</f>
        <v>0</v>
      </c>
      <c r="R782" s="31">
        <f>IF(OR(J782="",Q782=""),"",J782-Q782)</f>
        <v>0</v>
      </c>
      <c r="S782" s="50">
        <f>IF(B782="","",IF(H782="Done","Yes","No"))</f>
        <v>0</v>
      </c>
      <c r="T782" s="39">
        <f>IF(B782="","",IF(G782="","Add - what was the task?",IF(H782="Issue found",IF(M782="Yes","OK - issue reported","Action - tell the client"),IF(H782="Needs rework","Action - rework needed",IF(AND(H782="Skipped",P782="Yes"),"Check - required task skipped",IF(H782="Done","OK","Due"))))))</f>
        <v>0</v>
      </c>
    </row>
    <row r="783" spans="1:20">
      <c r="A783" s="43">
        <f>IF(B783="","","JT-"&amp;TEXT(ROW()-4,"0000"))</f>
        <v>0</v>
      </c>
      <c r="C783" s="18">
        <f>IF(B783="","",IFERROR(INDEX(Jobs!$B$5:$B$604,MATCH(B783,Jobs!$A$5:$A$604,0)),""))</f>
        <v>0</v>
      </c>
      <c r="D783" s="23">
        <f>IF(B783="","",IFERROR(INDEX(Jobs!$H$5:$H$604,MATCH(B783,Jobs!$A$5:$A$604,0)),""))</f>
        <v>0</v>
      </c>
      <c r="E783" s="23">
        <f>IF(B783="","",IFERROR(INDEX(Jobs!$K$5:$K$604,MATCH(B783,Jobs!$A$5:$A$604,0)),""))</f>
        <v>0</v>
      </c>
      <c r="P783" s="50">
        <f>IF(G783="","",IFERROR(INDEX(Checklists!$J$5:$J$404,MATCH(G783,Checklists!$F$5:$F$404,0)),"Yes"))</f>
        <v>0</v>
      </c>
      <c r="Q783" s="31">
        <f>IF(G783="","",IFERROR(INDEX(Checklists!$H$5:$H$404,MATCH(G783,Checklists!$F$5:$F$404,0)),""))</f>
        <v>0</v>
      </c>
      <c r="R783" s="31">
        <f>IF(OR(J783="",Q783=""),"",J783-Q783)</f>
        <v>0</v>
      </c>
      <c r="S783" s="50">
        <f>IF(B783="","",IF(H783="Done","Yes","No"))</f>
        <v>0</v>
      </c>
      <c r="T783" s="39">
        <f>IF(B783="","",IF(G783="","Add - what was the task?",IF(H783="Issue found",IF(M783="Yes","OK - issue reported","Action - tell the client"),IF(H783="Needs rework","Action - rework needed",IF(AND(H783="Skipped",P783="Yes"),"Check - required task skipped",IF(H783="Done","OK","Due"))))))</f>
        <v>0</v>
      </c>
    </row>
    <row r="784" spans="1:20">
      <c r="A784" s="43">
        <f>IF(B784="","","JT-"&amp;TEXT(ROW()-4,"0000"))</f>
        <v>0</v>
      </c>
      <c r="C784" s="18">
        <f>IF(B784="","",IFERROR(INDEX(Jobs!$B$5:$B$604,MATCH(B784,Jobs!$A$5:$A$604,0)),""))</f>
        <v>0</v>
      </c>
      <c r="D784" s="23">
        <f>IF(B784="","",IFERROR(INDEX(Jobs!$H$5:$H$604,MATCH(B784,Jobs!$A$5:$A$604,0)),""))</f>
        <v>0</v>
      </c>
      <c r="E784" s="23">
        <f>IF(B784="","",IFERROR(INDEX(Jobs!$K$5:$K$604,MATCH(B784,Jobs!$A$5:$A$604,0)),""))</f>
        <v>0</v>
      </c>
      <c r="P784" s="50">
        <f>IF(G784="","",IFERROR(INDEX(Checklists!$J$5:$J$404,MATCH(G784,Checklists!$F$5:$F$404,0)),"Yes"))</f>
        <v>0</v>
      </c>
      <c r="Q784" s="31">
        <f>IF(G784="","",IFERROR(INDEX(Checklists!$H$5:$H$404,MATCH(G784,Checklists!$F$5:$F$404,0)),""))</f>
        <v>0</v>
      </c>
      <c r="R784" s="31">
        <f>IF(OR(J784="",Q784=""),"",J784-Q784)</f>
        <v>0</v>
      </c>
      <c r="S784" s="50">
        <f>IF(B784="","",IF(H784="Done","Yes","No"))</f>
        <v>0</v>
      </c>
      <c r="T784" s="39">
        <f>IF(B784="","",IF(G784="","Add - what was the task?",IF(H784="Issue found",IF(M784="Yes","OK - issue reported","Action - tell the client"),IF(H784="Needs rework","Action - rework needed",IF(AND(H784="Skipped",P784="Yes"),"Check - required task skipped",IF(H784="Done","OK","Due"))))))</f>
        <v>0</v>
      </c>
    </row>
    <row r="785" spans="1:20">
      <c r="A785" s="43">
        <f>IF(B785="","","JT-"&amp;TEXT(ROW()-4,"0000"))</f>
        <v>0</v>
      </c>
      <c r="C785" s="18">
        <f>IF(B785="","",IFERROR(INDEX(Jobs!$B$5:$B$604,MATCH(B785,Jobs!$A$5:$A$604,0)),""))</f>
        <v>0</v>
      </c>
      <c r="D785" s="23">
        <f>IF(B785="","",IFERROR(INDEX(Jobs!$H$5:$H$604,MATCH(B785,Jobs!$A$5:$A$604,0)),""))</f>
        <v>0</v>
      </c>
      <c r="E785" s="23">
        <f>IF(B785="","",IFERROR(INDEX(Jobs!$K$5:$K$604,MATCH(B785,Jobs!$A$5:$A$604,0)),""))</f>
        <v>0</v>
      </c>
      <c r="P785" s="50">
        <f>IF(G785="","",IFERROR(INDEX(Checklists!$J$5:$J$404,MATCH(G785,Checklists!$F$5:$F$404,0)),"Yes"))</f>
        <v>0</v>
      </c>
      <c r="Q785" s="31">
        <f>IF(G785="","",IFERROR(INDEX(Checklists!$H$5:$H$404,MATCH(G785,Checklists!$F$5:$F$404,0)),""))</f>
        <v>0</v>
      </c>
      <c r="R785" s="31">
        <f>IF(OR(J785="",Q785=""),"",J785-Q785)</f>
        <v>0</v>
      </c>
      <c r="S785" s="50">
        <f>IF(B785="","",IF(H785="Done","Yes","No"))</f>
        <v>0</v>
      </c>
      <c r="T785" s="39">
        <f>IF(B785="","",IF(G785="","Add - what was the task?",IF(H785="Issue found",IF(M785="Yes","OK - issue reported","Action - tell the client"),IF(H785="Needs rework","Action - rework needed",IF(AND(H785="Skipped",P785="Yes"),"Check - required task skipped",IF(H785="Done","OK","Due"))))))</f>
        <v>0</v>
      </c>
    </row>
    <row r="786" spans="1:20">
      <c r="A786" s="43">
        <f>IF(B786="","","JT-"&amp;TEXT(ROW()-4,"0000"))</f>
        <v>0</v>
      </c>
      <c r="C786" s="18">
        <f>IF(B786="","",IFERROR(INDEX(Jobs!$B$5:$B$604,MATCH(B786,Jobs!$A$5:$A$604,0)),""))</f>
        <v>0</v>
      </c>
      <c r="D786" s="23">
        <f>IF(B786="","",IFERROR(INDEX(Jobs!$H$5:$H$604,MATCH(B786,Jobs!$A$5:$A$604,0)),""))</f>
        <v>0</v>
      </c>
      <c r="E786" s="23">
        <f>IF(B786="","",IFERROR(INDEX(Jobs!$K$5:$K$604,MATCH(B786,Jobs!$A$5:$A$604,0)),""))</f>
        <v>0</v>
      </c>
      <c r="P786" s="50">
        <f>IF(G786="","",IFERROR(INDEX(Checklists!$J$5:$J$404,MATCH(G786,Checklists!$F$5:$F$404,0)),"Yes"))</f>
        <v>0</v>
      </c>
      <c r="Q786" s="31">
        <f>IF(G786="","",IFERROR(INDEX(Checklists!$H$5:$H$404,MATCH(G786,Checklists!$F$5:$F$404,0)),""))</f>
        <v>0</v>
      </c>
      <c r="R786" s="31">
        <f>IF(OR(J786="",Q786=""),"",J786-Q786)</f>
        <v>0</v>
      </c>
      <c r="S786" s="50">
        <f>IF(B786="","",IF(H786="Done","Yes","No"))</f>
        <v>0</v>
      </c>
      <c r="T786" s="39">
        <f>IF(B786="","",IF(G786="","Add - what was the task?",IF(H786="Issue found",IF(M786="Yes","OK - issue reported","Action - tell the client"),IF(H786="Needs rework","Action - rework needed",IF(AND(H786="Skipped",P786="Yes"),"Check - required task skipped",IF(H786="Done","OK","Due"))))))</f>
        <v>0</v>
      </c>
    </row>
    <row r="787" spans="1:20">
      <c r="A787" s="43">
        <f>IF(B787="","","JT-"&amp;TEXT(ROW()-4,"0000"))</f>
        <v>0</v>
      </c>
      <c r="C787" s="18">
        <f>IF(B787="","",IFERROR(INDEX(Jobs!$B$5:$B$604,MATCH(B787,Jobs!$A$5:$A$604,0)),""))</f>
        <v>0</v>
      </c>
      <c r="D787" s="23">
        <f>IF(B787="","",IFERROR(INDEX(Jobs!$H$5:$H$604,MATCH(B787,Jobs!$A$5:$A$604,0)),""))</f>
        <v>0</v>
      </c>
      <c r="E787" s="23">
        <f>IF(B787="","",IFERROR(INDEX(Jobs!$K$5:$K$604,MATCH(B787,Jobs!$A$5:$A$604,0)),""))</f>
        <v>0</v>
      </c>
      <c r="P787" s="50">
        <f>IF(G787="","",IFERROR(INDEX(Checklists!$J$5:$J$404,MATCH(G787,Checklists!$F$5:$F$404,0)),"Yes"))</f>
        <v>0</v>
      </c>
      <c r="Q787" s="31">
        <f>IF(G787="","",IFERROR(INDEX(Checklists!$H$5:$H$404,MATCH(G787,Checklists!$F$5:$F$404,0)),""))</f>
        <v>0</v>
      </c>
      <c r="R787" s="31">
        <f>IF(OR(J787="",Q787=""),"",J787-Q787)</f>
        <v>0</v>
      </c>
      <c r="S787" s="50">
        <f>IF(B787="","",IF(H787="Done","Yes","No"))</f>
        <v>0</v>
      </c>
      <c r="T787" s="39">
        <f>IF(B787="","",IF(G787="","Add - what was the task?",IF(H787="Issue found",IF(M787="Yes","OK - issue reported","Action - tell the client"),IF(H787="Needs rework","Action - rework needed",IF(AND(H787="Skipped",P787="Yes"),"Check - required task skipped",IF(H787="Done","OK","Due"))))))</f>
        <v>0</v>
      </c>
    </row>
    <row r="788" spans="1:20">
      <c r="A788" s="43">
        <f>IF(B788="","","JT-"&amp;TEXT(ROW()-4,"0000"))</f>
        <v>0</v>
      </c>
      <c r="C788" s="18">
        <f>IF(B788="","",IFERROR(INDEX(Jobs!$B$5:$B$604,MATCH(B788,Jobs!$A$5:$A$604,0)),""))</f>
        <v>0</v>
      </c>
      <c r="D788" s="23">
        <f>IF(B788="","",IFERROR(INDEX(Jobs!$H$5:$H$604,MATCH(B788,Jobs!$A$5:$A$604,0)),""))</f>
        <v>0</v>
      </c>
      <c r="E788" s="23">
        <f>IF(B788="","",IFERROR(INDEX(Jobs!$K$5:$K$604,MATCH(B788,Jobs!$A$5:$A$604,0)),""))</f>
        <v>0</v>
      </c>
      <c r="P788" s="50">
        <f>IF(G788="","",IFERROR(INDEX(Checklists!$J$5:$J$404,MATCH(G788,Checklists!$F$5:$F$404,0)),"Yes"))</f>
        <v>0</v>
      </c>
      <c r="Q788" s="31">
        <f>IF(G788="","",IFERROR(INDEX(Checklists!$H$5:$H$404,MATCH(G788,Checklists!$F$5:$F$404,0)),""))</f>
        <v>0</v>
      </c>
      <c r="R788" s="31">
        <f>IF(OR(J788="",Q788=""),"",J788-Q788)</f>
        <v>0</v>
      </c>
      <c r="S788" s="50">
        <f>IF(B788="","",IF(H788="Done","Yes","No"))</f>
        <v>0</v>
      </c>
      <c r="T788" s="39">
        <f>IF(B788="","",IF(G788="","Add - what was the task?",IF(H788="Issue found",IF(M788="Yes","OK - issue reported","Action - tell the client"),IF(H788="Needs rework","Action - rework needed",IF(AND(H788="Skipped",P788="Yes"),"Check - required task skipped",IF(H788="Done","OK","Due"))))))</f>
        <v>0</v>
      </c>
    </row>
    <row r="789" spans="1:20">
      <c r="A789" s="43">
        <f>IF(B789="","","JT-"&amp;TEXT(ROW()-4,"0000"))</f>
        <v>0</v>
      </c>
      <c r="C789" s="18">
        <f>IF(B789="","",IFERROR(INDEX(Jobs!$B$5:$B$604,MATCH(B789,Jobs!$A$5:$A$604,0)),""))</f>
        <v>0</v>
      </c>
      <c r="D789" s="23">
        <f>IF(B789="","",IFERROR(INDEX(Jobs!$H$5:$H$604,MATCH(B789,Jobs!$A$5:$A$604,0)),""))</f>
        <v>0</v>
      </c>
      <c r="E789" s="23">
        <f>IF(B789="","",IFERROR(INDEX(Jobs!$K$5:$K$604,MATCH(B789,Jobs!$A$5:$A$604,0)),""))</f>
        <v>0</v>
      </c>
      <c r="P789" s="50">
        <f>IF(G789="","",IFERROR(INDEX(Checklists!$J$5:$J$404,MATCH(G789,Checklists!$F$5:$F$404,0)),"Yes"))</f>
        <v>0</v>
      </c>
      <c r="Q789" s="31">
        <f>IF(G789="","",IFERROR(INDEX(Checklists!$H$5:$H$404,MATCH(G789,Checklists!$F$5:$F$404,0)),""))</f>
        <v>0</v>
      </c>
      <c r="R789" s="31">
        <f>IF(OR(J789="",Q789=""),"",J789-Q789)</f>
        <v>0</v>
      </c>
      <c r="S789" s="50">
        <f>IF(B789="","",IF(H789="Done","Yes","No"))</f>
        <v>0</v>
      </c>
      <c r="T789" s="39">
        <f>IF(B789="","",IF(G789="","Add - what was the task?",IF(H789="Issue found",IF(M789="Yes","OK - issue reported","Action - tell the client"),IF(H789="Needs rework","Action - rework needed",IF(AND(H789="Skipped",P789="Yes"),"Check - required task skipped",IF(H789="Done","OK","Due"))))))</f>
        <v>0</v>
      </c>
    </row>
    <row r="790" spans="1:20">
      <c r="A790" s="43">
        <f>IF(B790="","","JT-"&amp;TEXT(ROW()-4,"0000"))</f>
        <v>0</v>
      </c>
      <c r="C790" s="18">
        <f>IF(B790="","",IFERROR(INDEX(Jobs!$B$5:$B$604,MATCH(B790,Jobs!$A$5:$A$604,0)),""))</f>
        <v>0</v>
      </c>
      <c r="D790" s="23">
        <f>IF(B790="","",IFERROR(INDEX(Jobs!$H$5:$H$604,MATCH(B790,Jobs!$A$5:$A$604,0)),""))</f>
        <v>0</v>
      </c>
      <c r="E790" s="23">
        <f>IF(B790="","",IFERROR(INDEX(Jobs!$K$5:$K$604,MATCH(B790,Jobs!$A$5:$A$604,0)),""))</f>
        <v>0</v>
      </c>
      <c r="P790" s="50">
        <f>IF(G790="","",IFERROR(INDEX(Checklists!$J$5:$J$404,MATCH(G790,Checklists!$F$5:$F$404,0)),"Yes"))</f>
        <v>0</v>
      </c>
      <c r="Q790" s="31">
        <f>IF(G790="","",IFERROR(INDEX(Checklists!$H$5:$H$404,MATCH(G790,Checklists!$F$5:$F$404,0)),""))</f>
        <v>0</v>
      </c>
      <c r="R790" s="31">
        <f>IF(OR(J790="",Q790=""),"",J790-Q790)</f>
        <v>0</v>
      </c>
      <c r="S790" s="50">
        <f>IF(B790="","",IF(H790="Done","Yes","No"))</f>
        <v>0</v>
      </c>
      <c r="T790" s="39">
        <f>IF(B790="","",IF(G790="","Add - what was the task?",IF(H790="Issue found",IF(M790="Yes","OK - issue reported","Action - tell the client"),IF(H790="Needs rework","Action - rework needed",IF(AND(H790="Skipped",P790="Yes"),"Check - required task skipped",IF(H790="Done","OK","Due"))))))</f>
        <v>0</v>
      </c>
    </row>
    <row r="791" spans="1:20">
      <c r="A791" s="43">
        <f>IF(B791="","","JT-"&amp;TEXT(ROW()-4,"0000"))</f>
        <v>0</v>
      </c>
      <c r="C791" s="18">
        <f>IF(B791="","",IFERROR(INDEX(Jobs!$B$5:$B$604,MATCH(B791,Jobs!$A$5:$A$604,0)),""))</f>
        <v>0</v>
      </c>
      <c r="D791" s="23">
        <f>IF(B791="","",IFERROR(INDEX(Jobs!$H$5:$H$604,MATCH(B791,Jobs!$A$5:$A$604,0)),""))</f>
        <v>0</v>
      </c>
      <c r="E791" s="23">
        <f>IF(B791="","",IFERROR(INDEX(Jobs!$K$5:$K$604,MATCH(B791,Jobs!$A$5:$A$604,0)),""))</f>
        <v>0</v>
      </c>
      <c r="P791" s="50">
        <f>IF(G791="","",IFERROR(INDEX(Checklists!$J$5:$J$404,MATCH(G791,Checklists!$F$5:$F$404,0)),"Yes"))</f>
        <v>0</v>
      </c>
      <c r="Q791" s="31">
        <f>IF(G791="","",IFERROR(INDEX(Checklists!$H$5:$H$404,MATCH(G791,Checklists!$F$5:$F$404,0)),""))</f>
        <v>0</v>
      </c>
      <c r="R791" s="31">
        <f>IF(OR(J791="",Q791=""),"",J791-Q791)</f>
        <v>0</v>
      </c>
      <c r="S791" s="50">
        <f>IF(B791="","",IF(H791="Done","Yes","No"))</f>
        <v>0</v>
      </c>
      <c r="T791" s="39">
        <f>IF(B791="","",IF(G791="","Add - what was the task?",IF(H791="Issue found",IF(M791="Yes","OK - issue reported","Action - tell the client"),IF(H791="Needs rework","Action - rework needed",IF(AND(H791="Skipped",P791="Yes"),"Check - required task skipped",IF(H791="Done","OK","Due"))))))</f>
        <v>0</v>
      </c>
    </row>
    <row r="792" spans="1:20">
      <c r="A792" s="43">
        <f>IF(B792="","","JT-"&amp;TEXT(ROW()-4,"0000"))</f>
        <v>0</v>
      </c>
      <c r="C792" s="18">
        <f>IF(B792="","",IFERROR(INDEX(Jobs!$B$5:$B$604,MATCH(B792,Jobs!$A$5:$A$604,0)),""))</f>
        <v>0</v>
      </c>
      <c r="D792" s="23">
        <f>IF(B792="","",IFERROR(INDEX(Jobs!$H$5:$H$604,MATCH(B792,Jobs!$A$5:$A$604,0)),""))</f>
        <v>0</v>
      </c>
      <c r="E792" s="23">
        <f>IF(B792="","",IFERROR(INDEX(Jobs!$K$5:$K$604,MATCH(B792,Jobs!$A$5:$A$604,0)),""))</f>
        <v>0</v>
      </c>
      <c r="P792" s="50">
        <f>IF(G792="","",IFERROR(INDEX(Checklists!$J$5:$J$404,MATCH(G792,Checklists!$F$5:$F$404,0)),"Yes"))</f>
        <v>0</v>
      </c>
      <c r="Q792" s="31">
        <f>IF(G792="","",IFERROR(INDEX(Checklists!$H$5:$H$404,MATCH(G792,Checklists!$F$5:$F$404,0)),""))</f>
        <v>0</v>
      </c>
      <c r="R792" s="31">
        <f>IF(OR(J792="",Q792=""),"",J792-Q792)</f>
        <v>0</v>
      </c>
      <c r="S792" s="50">
        <f>IF(B792="","",IF(H792="Done","Yes","No"))</f>
        <v>0</v>
      </c>
      <c r="T792" s="39">
        <f>IF(B792="","",IF(G792="","Add - what was the task?",IF(H792="Issue found",IF(M792="Yes","OK - issue reported","Action - tell the client"),IF(H792="Needs rework","Action - rework needed",IF(AND(H792="Skipped",P792="Yes"),"Check - required task skipped",IF(H792="Done","OK","Due"))))))</f>
        <v>0</v>
      </c>
    </row>
    <row r="793" spans="1:20">
      <c r="A793" s="43">
        <f>IF(B793="","","JT-"&amp;TEXT(ROW()-4,"0000"))</f>
        <v>0</v>
      </c>
      <c r="C793" s="18">
        <f>IF(B793="","",IFERROR(INDEX(Jobs!$B$5:$B$604,MATCH(B793,Jobs!$A$5:$A$604,0)),""))</f>
        <v>0</v>
      </c>
      <c r="D793" s="23">
        <f>IF(B793="","",IFERROR(INDEX(Jobs!$H$5:$H$604,MATCH(B793,Jobs!$A$5:$A$604,0)),""))</f>
        <v>0</v>
      </c>
      <c r="E793" s="23">
        <f>IF(B793="","",IFERROR(INDEX(Jobs!$K$5:$K$604,MATCH(B793,Jobs!$A$5:$A$604,0)),""))</f>
        <v>0</v>
      </c>
      <c r="P793" s="50">
        <f>IF(G793="","",IFERROR(INDEX(Checklists!$J$5:$J$404,MATCH(G793,Checklists!$F$5:$F$404,0)),"Yes"))</f>
        <v>0</v>
      </c>
      <c r="Q793" s="31">
        <f>IF(G793="","",IFERROR(INDEX(Checklists!$H$5:$H$404,MATCH(G793,Checklists!$F$5:$F$404,0)),""))</f>
        <v>0</v>
      </c>
      <c r="R793" s="31">
        <f>IF(OR(J793="",Q793=""),"",J793-Q793)</f>
        <v>0</v>
      </c>
      <c r="S793" s="50">
        <f>IF(B793="","",IF(H793="Done","Yes","No"))</f>
        <v>0</v>
      </c>
      <c r="T793" s="39">
        <f>IF(B793="","",IF(G793="","Add - what was the task?",IF(H793="Issue found",IF(M793="Yes","OK - issue reported","Action - tell the client"),IF(H793="Needs rework","Action - rework needed",IF(AND(H793="Skipped",P793="Yes"),"Check - required task skipped",IF(H793="Done","OK","Due"))))))</f>
        <v>0</v>
      </c>
    </row>
    <row r="794" spans="1:20">
      <c r="A794" s="43">
        <f>IF(B794="","","JT-"&amp;TEXT(ROW()-4,"0000"))</f>
        <v>0</v>
      </c>
      <c r="C794" s="18">
        <f>IF(B794="","",IFERROR(INDEX(Jobs!$B$5:$B$604,MATCH(B794,Jobs!$A$5:$A$604,0)),""))</f>
        <v>0</v>
      </c>
      <c r="D794" s="23">
        <f>IF(B794="","",IFERROR(INDEX(Jobs!$H$5:$H$604,MATCH(B794,Jobs!$A$5:$A$604,0)),""))</f>
        <v>0</v>
      </c>
      <c r="E794" s="23">
        <f>IF(B794="","",IFERROR(INDEX(Jobs!$K$5:$K$604,MATCH(B794,Jobs!$A$5:$A$604,0)),""))</f>
        <v>0</v>
      </c>
      <c r="P794" s="50">
        <f>IF(G794="","",IFERROR(INDEX(Checklists!$J$5:$J$404,MATCH(G794,Checklists!$F$5:$F$404,0)),"Yes"))</f>
        <v>0</v>
      </c>
      <c r="Q794" s="31">
        <f>IF(G794="","",IFERROR(INDEX(Checklists!$H$5:$H$404,MATCH(G794,Checklists!$F$5:$F$404,0)),""))</f>
        <v>0</v>
      </c>
      <c r="R794" s="31">
        <f>IF(OR(J794="",Q794=""),"",J794-Q794)</f>
        <v>0</v>
      </c>
      <c r="S794" s="50">
        <f>IF(B794="","",IF(H794="Done","Yes","No"))</f>
        <v>0</v>
      </c>
      <c r="T794" s="39">
        <f>IF(B794="","",IF(G794="","Add - what was the task?",IF(H794="Issue found",IF(M794="Yes","OK - issue reported","Action - tell the client"),IF(H794="Needs rework","Action - rework needed",IF(AND(H794="Skipped",P794="Yes"),"Check - required task skipped",IF(H794="Done","OK","Due"))))))</f>
        <v>0</v>
      </c>
    </row>
    <row r="795" spans="1:20">
      <c r="A795" s="43">
        <f>IF(B795="","","JT-"&amp;TEXT(ROW()-4,"0000"))</f>
        <v>0</v>
      </c>
      <c r="C795" s="18">
        <f>IF(B795="","",IFERROR(INDEX(Jobs!$B$5:$B$604,MATCH(B795,Jobs!$A$5:$A$604,0)),""))</f>
        <v>0</v>
      </c>
      <c r="D795" s="23">
        <f>IF(B795="","",IFERROR(INDEX(Jobs!$H$5:$H$604,MATCH(B795,Jobs!$A$5:$A$604,0)),""))</f>
        <v>0</v>
      </c>
      <c r="E795" s="23">
        <f>IF(B795="","",IFERROR(INDEX(Jobs!$K$5:$K$604,MATCH(B795,Jobs!$A$5:$A$604,0)),""))</f>
        <v>0</v>
      </c>
      <c r="P795" s="50">
        <f>IF(G795="","",IFERROR(INDEX(Checklists!$J$5:$J$404,MATCH(G795,Checklists!$F$5:$F$404,0)),"Yes"))</f>
        <v>0</v>
      </c>
      <c r="Q795" s="31">
        <f>IF(G795="","",IFERROR(INDEX(Checklists!$H$5:$H$404,MATCH(G795,Checklists!$F$5:$F$404,0)),""))</f>
        <v>0</v>
      </c>
      <c r="R795" s="31">
        <f>IF(OR(J795="",Q795=""),"",J795-Q795)</f>
        <v>0</v>
      </c>
      <c r="S795" s="50">
        <f>IF(B795="","",IF(H795="Done","Yes","No"))</f>
        <v>0</v>
      </c>
      <c r="T795" s="39">
        <f>IF(B795="","",IF(G795="","Add - what was the task?",IF(H795="Issue found",IF(M795="Yes","OK - issue reported","Action - tell the client"),IF(H795="Needs rework","Action - rework needed",IF(AND(H795="Skipped",P795="Yes"),"Check - required task skipped",IF(H795="Done","OK","Due"))))))</f>
        <v>0</v>
      </c>
    </row>
    <row r="796" spans="1:20">
      <c r="A796" s="43">
        <f>IF(B796="","","JT-"&amp;TEXT(ROW()-4,"0000"))</f>
        <v>0</v>
      </c>
      <c r="C796" s="18">
        <f>IF(B796="","",IFERROR(INDEX(Jobs!$B$5:$B$604,MATCH(B796,Jobs!$A$5:$A$604,0)),""))</f>
        <v>0</v>
      </c>
      <c r="D796" s="23">
        <f>IF(B796="","",IFERROR(INDEX(Jobs!$H$5:$H$604,MATCH(B796,Jobs!$A$5:$A$604,0)),""))</f>
        <v>0</v>
      </c>
      <c r="E796" s="23">
        <f>IF(B796="","",IFERROR(INDEX(Jobs!$K$5:$K$604,MATCH(B796,Jobs!$A$5:$A$604,0)),""))</f>
        <v>0</v>
      </c>
      <c r="P796" s="50">
        <f>IF(G796="","",IFERROR(INDEX(Checklists!$J$5:$J$404,MATCH(G796,Checklists!$F$5:$F$404,0)),"Yes"))</f>
        <v>0</v>
      </c>
      <c r="Q796" s="31">
        <f>IF(G796="","",IFERROR(INDEX(Checklists!$H$5:$H$404,MATCH(G796,Checklists!$F$5:$F$404,0)),""))</f>
        <v>0</v>
      </c>
      <c r="R796" s="31">
        <f>IF(OR(J796="",Q796=""),"",J796-Q796)</f>
        <v>0</v>
      </c>
      <c r="S796" s="50">
        <f>IF(B796="","",IF(H796="Done","Yes","No"))</f>
        <v>0</v>
      </c>
      <c r="T796" s="39">
        <f>IF(B796="","",IF(G796="","Add - what was the task?",IF(H796="Issue found",IF(M796="Yes","OK - issue reported","Action - tell the client"),IF(H796="Needs rework","Action - rework needed",IF(AND(H796="Skipped",P796="Yes"),"Check - required task skipped",IF(H796="Done","OK","Due"))))))</f>
        <v>0</v>
      </c>
    </row>
    <row r="797" spans="1:20">
      <c r="A797" s="43">
        <f>IF(B797="","","JT-"&amp;TEXT(ROW()-4,"0000"))</f>
        <v>0</v>
      </c>
      <c r="C797" s="18">
        <f>IF(B797="","",IFERROR(INDEX(Jobs!$B$5:$B$604,MATCH(B797,Jobs!$A$5:$A$604,0)),""))</f>
        <v>0</v>
      </c>
      <c r="D797" s="23">
        <f>IF(B797="","",IFERROR(INDEX(Jobs!$H$5:$H$604,MATCH(B797,Jobs!$A$5:$A$604,0)),""))</f>
        <v>0</v>
      </c>
      <c r="E797" s="23">
        <f>IF(B797="","",IFERROR(INDEX(Jobs!$K$5:$K$604,MATCH(B797,Jobs!$A$5:$A$604,0)),""))</f>
        <v>0</v>
      </c>
      <c r="P797" s="50">
        <f>IF(G797="","",IFERROR(INDEX(Checklists!$J$5:$J$404,MATCH(G797,Checklists!$F$5:$F$404,0)),"Yes"))</f>
        <v>0</v>
      </c>
      <c r="Q797" s="31">
        <f>IF(G797="","",IFERROR(INDEX(Checklists!$H$5:$H$404,MATCH(G797,Checklists!$F$5:$F$404,0)),""))</f>
        <v>0</v>
      </c>
      <c r="R797" s="31">
        <f>IF(OR(J797="",Q797=""),"",J797-Q797)</f>
        <v>0</v>
      </c>
      <c r="S797" s="50">
        <f>IF(B797="","",IF(H797="Done","Yes","No"))</f>
        <v>0</v>
      </c>
      <c r="T797" s="39">
        <f>IF(B797="","",IF(G797="","Add - what was the task?",IF(H797="Issue found",IF(M797="Yes","OK - issue reported","Action - tell the client"),IF(H797="Needs rework","Action - rework needed",IF(AND(H797="Skipped",P797="Yes"),"Check - required task skipped",IF(H797="Done","OK","Due"))))))</f>
        <v>0</v>
      </c>
    </row>
    <row r="798" spans="1:20">
      <c r="A798" s="43">
        <f>IF(B798="","","JT-"&amp;TEXT(ROW()-4,"0000"))</f>
        <v>0</v>
      </c>
      <c r="C798" s="18">
        <f>IF(B798="","",IFERROR(INDEX(Jobs!$B$5:$B$604,MATCH(B798,Jobs!$A$5:$A$604,0)),""))</f>
        <v>0</v>
      </c>
      <c r="D798" s="23">
        <f>IF(B798="","",IFERROR(INDEX(Jobs!$H$5:$H$604,MATCH(B798,Jobs!$A$5:$A$604,0)),""))</f>
        <v>0</v>
      </c>
      <c r="E798" s="23">
        <f>IF(B798="","",IFERROR(INDEX(Jobs!$K$5:$K$604,MATCH(B798,Jobs!$A$5:$A$604,0)),""))</f>
        <v>0</v>
      </c>
      <c r="P798" s="50">
        <f>IF(G798="","",IFERROR(INDEX(Checklists!$J$5:$J$404,MATCH(G798,Checklists!$F$5:$F$404,0)),"Yes"))</f>
        <v>0</v>
      </c>
      <c r="Q798" s="31">
        <f>IF(G798="","",IFERROR(INDEX(Checklists!$H$5:$H$404,MATCH(G798,Checklists!$F$5:$F$404,0)),""))</f>
        <v>0</v>
      </c>
      <c r="R798" s="31">
        <f>IF(OR(J798="",Q798=""),"",J798-Q798)</f>
        <v>0</v>
      </c>
      <c r="S798" s="50">
        <f>IF(B798="","",IF(H798="Done","Yes","No"))</f>
        <v>0</v>
      </c>
      <c r="T798" s="39">
        <f>IF(B798="","",IF(G798="","Add - what was the task?",IF(H798="Issue found",IF(M798="Yes","OK - issue reported","Action - tell the client"),IF(H798="Needs rework","Action - rework needed",IF(AND(H798="Skipped",P798="Yes"),"Check - required task skipped",IF(H798="Done","OK","Due"))))))</f>
        <v>0</v>
      </c>
    </row>
    <row r="799" spans="1:20">
      <c r="A799" s="43">
        <f>IF(B799="","","JT-"&amp;TEXT(ROW()-4,"0000"))</f>
        <v>0</v>
      </c>
      <c r="C799" s="18">
        <f>IF(B799="","",IFERROR(INDEX(Jobs!$B$5:$B$604,MATCH(B799,Jobs!$A$5:$A$604,0)),""))</f>
        <v>0</v>
      </c>
      <c r="D799" s="23">
        <f>IF(B799="","",IFERROR(INDEX(Jobs!$H$5:$H$604,MATCH(B799,Jobs!$A$5:$A$604,0)),""))</f>
        <v>0</v>
      </c>
      <c r="E799" s="23">
        <f>IF(B799="","",IFERROR(INDEX(Jobs!$K$5:$K$604,MATCH(B799,Jobs!$A$5:$A$604,0)),""))</f>
        <v>0</v>
      </c>
      <c r="P799" s="50">
        <f>IF(G799="","",IFERROR(INDEX(Checklists!$J$5:$J$404,MATCH(G799,Checklists!$F$5:$F$404,0)),"Yes"))</f>
        <v>0</v>
      </c>
      <c r="Q799" s="31">
        <f>IF(G799="","",IFERROR(INDEX(Checklists!$H$5:$H$404,MATCH(G799,Checklists!$F$5:$F$404,0)),""))</f>
        <v>0</v>
      </c>
      <c r="R799" s="31">
        <f>IF(OR(J799="",Q799=""),"",J799-Q799)</f>
        <v>0</v>
      </c>
      <c r="S799" s="50">
        <f>IF(B799="","",IF(H799="Done","Yes","No"))</f>
        <v>0</v>
      </c>
      <c r="T799" s="39">
        <f>IF(B799="","",IF(G799="","Add - what was the task?",IF(H799="Issue found",IF(M799="Yes","OK - issue reported","Action - tell the client"),IF(H799="Needs rework","Action - rework needed",IF(AND(H799="Skipped",P799="Yes"),"Check - required task skipped",IF(H799="Done","OK","Due"))))))</f>
        <v>0</v>
      </c>
    </row>
    <row r="800" spans="1:20">
      <c r="A800" s="43">
        <f>IF(B800="","","JT-"&amp;TEXT(ROW()-4,"0000"))</f>
        <v>0</v>
      </c>
      <c r="C800" s="18">
        <f>IF(B800="","",IFERROR(INDEX(Jobs!$B$5:$B$604,MATCH(B800,Jobs!$A$5:$A$604,0)),""))</f>
        <v>0</v>
      </c>
      <c r="D800" s="23">
        <f>IF(B800="","",IFERROR(INDEX(Jobs!$H$5:$H$604,MATCH(B800,Jobs!$A$5:$A$604,0)),""))</f>
        <v>0</v>
      </c>
      <c r="E800" s="23">
        <f>IF(B800="","",IFERROR(INDEX(Jobs!$K$5:$K$604,MATCH(B800,Jobs!$A$5:$A$604,0)),""))</f>
        <v>0</v>
      </c>
      <c r="P800" s="50">
        <f>IF(G800="","",IFERROR(INDEX(Checklists!$J$5:$J$404,MATCH(G800,Checklists!$F$5:$F$404,0)),"Yes"))</f>
        <v>0</v>
      </c>
      <c r="Q800" s="31">
        <f>IF(G800="","",IFERROR(INDEX(Checklists!$H$5:$H$404,MATCH(G800,Checklists!$F$5:$F$404,0)),""))</f>
        <v>0</v>
      </c>
      <c r="R800" s="31">
        <f>IF(OR(J800="",Q800=""),"",J800-Q800)</f>
        <v>0</v>
      </c>
      <c r="S800" s="50">
        <f>IF(B800="","",IF(H800="Done","Yes","No"))</f>
        <v>0</v>
      </c>
      <c r="T800" s="39">
        <f>IF(B800="","",IF(G800="","Add - what was the task?",IF(H800="Issue found",IF(M800="Yes","OK - issue reported","Action - tell the client"),IF(H800="Needs rework","Action - rework needed",IF(AND(H800="Skipped",P800="Yes"),"Check - required task skipped",IF(H800="Done","OK","Due"))))))</f>
        <v>0</v>
      </c>
    </row>
    <row r="801" spans="1:20">
      <c r="A801" s="43">
        <f>IF(B801="","","JT-"&amp;TEXT(ROW()-4,"0000"))</f>
        <v>0</v>
      </c>
      <c r="C801" s="18">
        <f>IF(B801="","",IFERROR(INDEX(Jobs!$B$5:$B$604,MATCH(B801,Jobs!$A$5:$A$604,0)),""))</f>
        <v>0</v>
      </c>
      <c r="D801" s="23">
        <f>IF(B801="","",IFERROR(INDEX(Jobs!$H$5:$H$604,MATCH(B801,Jobs!$A$5:$A$604,0)),""))</f>
        <v>0</v>
      </c>
      <c r="E801" s="23">
        <f>IF(B801="","",IFERROR(INDEX(Jobs!$K$5:$K$604,MATCH(B801,Jobs!$A$5:$A$604,0)),""))</f>
        <v>0</v>
      </c>
      <c r="P801" s="50">
        <f>IF(G801="","",IFERROR(INDEX(Checklists!$J$5:$J$404,MATCH(G801,Checklists!$F$5:$F$404,0)),"Yes"))</f>
        <v>0</v>
      </c>
      <c r="Q801" s="31">
        <f>IF(G801="","",IFERROR(INDEX(Checklists!$H$5:$H$404,MATCH(G801,Checklists!$F$5:$F$404,0)),""))</f>
        <v>0</v>
      </c>
      <c r="R801" s="31">
        <f>IF(OR(J801="",Q801=""),"",J801-Q801)</f>
        <v>0</v>
      </c>
      <c r="S801" s="50">
        <f>IF(B801="","",IF(H801="Done","Yes","No"))</f>
        <v>0</v>
      </c>
      <c r="T801" s="39">
        <f>IF(B801="","",IF(G801="","Add - what was the task?",IF(H801="Issue found",IF(M801="Yes","OK - issue reported","Action - tell the client"),IF(H801="Needs rework","Action - rework needed",IF(AND(H801="Skipped",P801="Yes"),"Check - required task skipped",IF(H801="Done","OK","Due"))))))</f>
        <v>0</v>
      </c>
    </row>
    <row r="802" spans="1:20">
      <c r="A802" s="43">
        <f>IF(B802="","","JT-"&amp;TEXT(ROW()-4,"0000"))</f>
        <v>0</v>
      </c>
      <c r="C802" s="18">
        <f>IF(B802="","",IFERROR(INDEX(Jobs!$B$5:$B$604,MATCH(B802,Jobs!$A$5:$A$604,0)),""))</f>
        <v>0</v>
      </c>
      <c r="D802" s="23">
        <f>IF(B802="","",IFERROR(INDEX(Jobs!$H$5:$H$604,MATCH(B802,Jobs!$A$5:$A$604,0)),""))</f>
        <v>0</v>
      </c>
      <c r="E802" s="23">
        <f>IF(B802="","",IFERROR(INDEX(Jobs!$K$5:$K$604,MATCH(B802,Jobs!$A$5:$A$604,0)),""))</f>
        <v>0</v>
      </c>
      <c r="P802" s="50">
        <f>IF(G802="","",IFERROR(INDEX(Checklists!$J$5:$J$404,MATCH(G802,Checklists!$F$5:$F$404,0)),"Yes"))</f>
        <v>0</v>
      </c>
      <c r="Q802" s="31">
        <f>IF(G802="","",IFERROR(INDEX(Checklists!$H$5:$H$404,MATCH(G802,Checklists!$F$5:$F$404,0)),""))</f>
        <v>0</v>
      </c>
      <c r="R802" s="31">
        <f>IF(OR(J802="",Q802=""),"",J802-Q802)</f>
        <v>0</v>
      </c>
      <c r="S802" s="50">
        <f>IF(B802="","",IF(H802="Done","Yes","No"))</f>
        <v>0</v>
      </c>
      <c r="T802" s="39">
        <f>IF(B802="","",IF(G802="","Add - what was the task?",IF(H802="Issue found",IF(M802="Yes","OK - issue reported","Action - tell the client"),IF(H802="Needs rework","Action - rework needed",IF(AND(H802="Skipped",P802="Yes"),"Check - required task skipped",IF(H802="Done","OK","Due"))))))</f>
        <v>0</v>
      </c>
    </row>
    <row r="803" spans="1:20">
      <c r="A803" s="43">
        <f>IF(B803="","","JT-"&amp;TEXT(ROW()-4,"0000"))</f>
        <v>0</v>
      </c>
      <c r="C803" s="18">
        <f>IF(B803="","",IFERROR(INDEX(Jobs!$B$5:$B$604,MATCH(B803,Jobs!$A$5:$A$604,0)),""))</f>
        <v>0</v>
      </c>
      <c r="D803" s="23">
        <f>IF(B803="","",IFERROR(INDEX(Jobs!$H$5:$H$604,MATCH(B803,Jobs!$A$5:$A$604,0)),""))</f>
        <v>0</v>
      </c>
      <c r="E803" s="23">
        <f>IF(B803="","",IFERROR(INDEX(Jobs!$K$5:$K$604,MATCH(B803,Jobs!$A$5:$A$604,0)),""))</f>
        <v>0</v>
      </c>
      <c r="P803" s="50">
        <f>IF(G803="","",IFERROR(INDEX(Checklists!$J$5:$J$404,MATCH(G803,Checklists!$F$5:$F$404,0)),"Yes"))</f>
        <v>0</v>
      </c>
      <c r="Q803" s="31">
        <f>IF(G803="","",IFERROR(INDEX(Checklists!$H$5:$H$404,MATCH(G803,Checklists!$F$5:$F$404,0)),""))</f>
        <v>0</v>
      </c>
      <c r="R803" s="31">
        <f>IF(OR(J803="",Q803=""),"",J803-Q803)</f>
        <v>0</v>
      </c>
      <c r="S803" s="50">
        <f>IF(B803="","",IF(H803="Done","Yes","No"))</f>
        <v>0</v>
      </c>
      <c r="T803" s="39">
        <f>IF(B803="","",IF(G803="","Add - what was the task?",IF(H803="Issue found",IF(M803="Yes","OK - issue reported","Action - tell the client"),IF(H803="Needs rework","Action - rework needed",IF(AND(H803="Skipped",P803="Yes"),"Check - required task skipped",IF(H803="Done","OK","Due"))))))</f>
        <v>0</v>
      </c>
    </row>
    <row r="804" spans="1:20">
      <c r="A804" s="43">
        <f>IF(B804="","","JT-"&amp;TEXT(ROW()-4,"0000"))</f>
        <v>0</v>
      </c>
      <c r="C804" s="18">
        <f>IF(B804="","",IFERROR(INDEX(Jobs!$B$5:$B$604,MATCH(B804,Jobs!$A$5:$A$604,0)),""))</f>
        <v>0</v>
      </c>
      <c r="D804" s="23">
        <f>IF(B804="","",IFERROR(INDEX(Jobs!$H$5:$H$604,MATCH(B804,Jobs!$A$5:$A$604,0)),""))</f>
        <v>0</v>
      </c>
      <c r="E804" s="23">
        <f>IF(B804="","",IFERROR(INDEX(Jobs!$K$5:$K$604,MATCH(B804,Jobs!$A$5:$A$604,0)),""))</f>
        <v>0</v>
      </c>
      <c r="P804" s="50">
        <f>IF(G804="","",IFERROR(INDEX(Checklists!$J$5:$J$404,MATCH(G804,Checklists!$F$5:$F$404,0)),"Yes"))</f>
        <v>0</v>
      </c>
      <c r="Q804" s="31">
        <f>IF(G804="","",IFERROR(INDEX(Checklists!$H$5:$H$404,MATCH(G804,Checklists!$F$5:$F$404,0)),""))</f>
        <v>0</v>
      </c>
      <c r="R804" s="31">
        <f>IF(OR(J804="",Q804=""),"",J804-Q804)</f>
        <v>0</v>
      </c>
      <c r="S804" s="50">
        <f>IF(B804="","",IF(H804="Done","Yes","No"))</f>
        <v>0</v>
      </c>
      <c r="T804" s="39">
        <f>IF(B804="","",IF(G804="","Add - what was the task?",IF(H804="Issue found",IF(M804="Yes","OK - issue reported","Action - tell the client"),IF(H804="Needs rework","Action - rework needed",IF(AND(H804="Skipped",P804="Yes"),"Check - required task skipped",IF(H804="Done","OK","Due"))))))</f>
        <v>0</v>
      </c>
    </row>
    <row r="805" spans="1:20">
      <c r="A805" s="43">
        <f>IF(B805="","","JT-"&amp;TEXT(ROW()-4,"0000"))</f>
        <v>0</v>
      </c>
      <c r="C805" s="18">
        <f>IF(B805="","",IFERROR(INDEX(Jobs!$B$5:$B$604,MATCH(B805,Jobs!$A$5:$A$604,0)),""))</f>
        <v>0</v>
      </c>
      <c r="D805" s="23">
        <f>IF(B805="","",IFERROR(INDEX(Jobs!$H$5:$H$604,MATCH(B805,Jobs!$A$5:$A$604,0)),""))</f>
        <v>0</v>
      </c>
      <c r="E805" s="23">
        <f>IF(B805="","",IFERROR(INDEX(Jobs!$K$5:$K$604,MATCH(B805,Jobs!$A$5:$A$604,0)),""))</f>
        <v>0</v>
      </c>
      <c r="P805" s="50">
        <f>IF(G805="","",IFERROR(INDEX(Checklists!$J$5:$J$404,MATCH(G805,Checklists!$F$5:$F$404,0)),"Yes"))</f>
        <v>0</v>
      </c>
      <c r="Q805" s="31">
        <f>IF(G805="","",IFERROR(INDEX(Checklists!$H$5:$H$404,MATCH(G805,Checklists!$F$5:$F$404,0)),""))</f>
        <v>0</v>
      </c>
      <c r="R805" s="31">
        <f>IF(OR(J805="",Q805=""),"",J805-Q805)</f>
        <v>0</v>
      </c>
      <c r="S805" s="50">
        <f>IF(B805="","",IF(H805="Done","Yes","No"))</f>
        <v>0</v>
      </c>
      <c r="T805" s="39">
        <f>IF(B805="","",IF(G805="","Add - what was the task?",IF(H805="Issue found",IF(M805="Yes","OK - issue reported","Action - tell the client"),IF(H805="Needs rework","Action - rework needed",IF(AND(H805="Skipped",P805="Yes"),"Check - required task skipped",IF(H805="Done","OK","Due"))))))</f>
        <v>0</v>
      </c>
    </row>
    <row r="806" spans="1:20">
      <c r="A806" s="43">
        <f>IF(B806="","","JT-"&amp;TEXT(ROW()-4,"0000"))</f>
        <v>0</v>
      </c>
      <c r="C806" s="18">
        <f>IF(B806="","",IFERROR(INDEX(Jobs!$B$5:$B$604,MATCH(B806,Jobs!$A$5:$A$604,0)),""))</f>
        <v>0</v>
      </c>
      <c r="D806" s="23">
        <f>IF(B806="","",IFERROR(INDEX(Jobs!$H$5:$H$604,MATCH(B806,Jobs!$A$5:$A$604,0)),""))</f>
        <v>0</v>
      </c>
      <c r="E806" s="23">
        <f>IF(B806="","",IFERROR(INDEX(Jobs!$K$5:$K$604,MATCH(B806,Jobs!$A$5:$A$604,0)),""))</f>
        <v>0</v>
      </c>
      <c r="P806" s="50">
        <f>IF(G806="","",IFERROR(INDEX(Checklists!$J$5:$J$404,MATCH(G806,Checklists!$F$5:$F$404,0)),"Yes"))</f>
        <v>0</v>
      </c>
      <c r="Q806" s="31">
        <f>IF(G806="","",IFERROR(INDEX(Checklists!$H$5:$H$404,MATCH(G806,Checklists!$F$5:$F$404,0)),""))</f>
        <v>0</v>
      </c>
      <c r="R806" s="31">
        <f>IF(OR(J806="",Q806=""),"",J806-Q806)</f>
        <v>0</v>
      </c>
      <c r="S806" s="50">
        <f>IF(B806="","",IF(H806="Done","Yes","No"))</f>
        <v>0</v>
      </c>
      <c r="T806" s="39">
        <f>IF(B806="","",IF(G806="","Add - what was the task?",IF(H806="Issue found",IF(M806="Yes","OK - issue reported","Action - tell the client"),IF(H806="Needs rework","Action - rework needed",IF(AND(H806="Skipped",P806="Yes"),"Check - required task skipped",IF(H806="Done","OK","Due"))))))</f>
        <v>0</v>
      </c>
    </row>
    <row r="807" spans="1:20">
      <c r="A807" s="43">
        <f>IF(B807="","","JT-"&amp;TEXT(ROW()-4,"0000"))</f>
        <v>0</v>
      </c>
      <c r="C807" s="18">
        <f>IF(B807="","",IFERROR(INDEX(Jobs!$B$5:$B$604,MATCH(B807,Jobs!$A$5:$A$604,0)),""))</f>
        <v>0</v>
      </c>
      <c r="D807" s="23">
        <f>IF(B807="","",IFERROR(INDEX(Jobs!$H$5:$H$604,MATCH(B807,Jobs!$A$5:$A$604,0)),""))</f>
        <v>0</v>
      </c>
      <c r="E807" s="23">
        <f>IF(B807="","",IFERROR(INDEX(Jobs!$K$5:$K$604,MATCH(B807,Jobs!$A$5:$A$604,0)),""))</f>
        <v>0</v>
      </c>
      <c r="P807" s="50">
        <f>IF(G807="","",IFERROR(INDEX(Checklists!$J$5:$J$404,MATCH(G807,Checklists!$F$5:$F$404,0)),"Yes"))</f>
        <v>0</v>
      </c>
      <c r="Q807" s="31">
        <f>IF(G807="","",IFERROR(INDEX(Checklists!$H$5:$H$404,MATCH(G807,Checklists!$F$5:$F$404,0)),""))</f>
        <v>0</v>
      </c>
      <c r="R807" s="31">
        <f>IF(OR(J807="",Q807=""),"",J807-Q807)</f>
        <v>0</v>
      </c>
      <c r="S807" s="50">
        <f>IF(B807="","",IF(H807="Done","Yes","No"))</f>
        <v>0</v>
      </c>
      <c r="T807" s="39">
        <f>IF(B807="","",IF(G807="","Add - what was the task?",IF(H807="Issue found",IF(M807="Yes","OK - issue reported","Action - tell the client"),IF(H807="Needs rework","Action - rework needed",IF(AND(H807="Skipped",P807="Yes"),"Check - required task skipped",IF(H807="Done","OK","Due"))))))</f>
        <v>0</v>
      </c>
    </row>
    <row r="808" spans="1:20">
      <c r="A808" s="43">
        <f>IF(B808="","","JT-"&amp;TEXT(ROW()-4,"0000"))</f>
        <v>0</v>
      </c>
      <c r="C808" s="18">
        <f>IF(B808="","",IFERROR(INDEX(Jobs!$B$5:$B$604,MATCH(B808,Jobs!$A$5:$A$604,0)),""))</f>
        <v>0</v>
      </c>
      <c r="D808" s="23">
        <f>IF(B808="","",IFERROR(INDEX(Jobs!$H$5:$H$604,MATCH(B808,Jobs!$A$5:$A$604,0)),""))</f>
        <v>0</v>
      </c>
      <c r="E808" s="23">
        <f>IF(B808="","",IFERROR(INDEX(Jobs!$K$5:$K$604,MATCH(B808,Jobs!$A$5:$A$604,0)),""))</f>
        <v>0</v>
      </c>
      <c r="P808" s="50">
        <f>IF(G808="","",IFERROR(INDEX(Checklists!$J$5:$J$404,MATCH(G808,Checklists!$F$5:$F$404,0)),"Yes"))</f>
        <v>0</v>
      </c>
      <c r="Q808" s="31">
        <f>IF(G808="","",IFERROR(INDEX(Checklists!$H$5:$H$404,MATCH(G808,Checklists!$F$5:$F$404,0)),""))</f>
        <v>0</v>
      </c>
      <c r="R808" s="31">
        <f>IF(OR(J808="",Q808=""),"",J808-Q808)</f>
        <v>0</v>
      </c>
      <c r="S808" s="50">
        <f>IF(B808="","",IF(H808="Done","Yes","No"))</f>
        <v>0</v>
      </c>
      <c r="T808" s="39">
        <f>IF(B808="","",IF(G808="","Add - what was the task?",IF(H808="Issue found",IF(M808="Yes","OK - issue reported","Action - tell the client"),IF(H808="Needs rework","Action - rework needed",IF(AND(H808="Skipped",P808="Yes"),"Check - required task skipped",IF(H808="Done","OK","Due"))))))</f>
        <v>0</v>
      </c>
    </row>
    <row r="809" spans="1:20">
      <c r="A809" s="43">
        <f>IF(B809="","","JT-"&amp;TEXT(ROW()-4,"0000"))</f>
        <v>0</v>
      </c>
      <c r="C809" s="18">
        <f>IF(B809="","",IFERROR(INDEX(Jobs!$B$5:$B$604,MATCH(B809,Jobs!$A$5:$A$604,0)),""))</f>
        <v>0</v>
      </c>
      <c r="D809" s="23">
        <f>IF(B809="","",IFERROR(INDEX(Jobs!$H$5:$H$604,MATCH(B809,Jobs!$A$5:$A$604,0)),""))</f>
        <v>0</v>
      </c>
      <c r="E809" s="23">
        <f>IF(B809="","",IFERROR(INDEX(Jobs!$K$5:$K$604,MATCH(B809,Jobs!$A$5:$A$604,0)),""))</f>
        <v>0</v>
      </c>
      <c r="P809" s="50">
        <f>IF(G809="","",IFERROR(INDEX(Checklists!$J$5:$J$404,MATCH(G809,Checklists!$F$5:$F$404,0)),"Yes"))</f>
        <v>0</v>
      </c>
      <c r="Q809" s="31">
        <f>IF(G809="","",IFERROR(INDEX(Checklists!$H$5:$H$404,MATCH(G809,Checklists!$F$5:$F$404,0)),""))</f>
        <v>0</v>
      </c>
      <c r="R809" s="31">
        <f>IF(OR(J809="",Q809=""),"",J809-Q809)</f>
        <v>0</v>
      </c>
      <c r="S809" s="50">
        <f>IF(B809="","",IF(H809="Done","Yes","No"))</f>
        <v>0</v>
      </c>
      <c r="T809" s="39">
        <f>IF(B809="","",IF(G809="","Add - what was the task?",IF(H809="Issue found",IF(M809="Yes","OK - issue reported","Action - tell the client"),IF(H809="Needs rework","Action - rework needed",IF(AND(H809="Skipped",P809="Yes"),"Check - required task skipped",IF(H809="Done","OK","Due"))))))</f>
        <v>0</v>
      </c>
    </row>
    <row r="810" spans="1:20">
      <c r="A810" s="43">
        <f>IF(B810="","","JT-"&amp;TEXT(ROW()-4,"0000"))</f>
        <v>0</v>
      </c>
      <c r="C810" s="18">
        <f>IF(B810="","",IFERROR(INDEX(Jobs!$B$5:$B$604,MATCH(B810,Jobs!$A$5:$A$604,0)),""))</f>
        <v>0</v>
      </c>
      <c r="D810" s="23">
        <f>IF(B810="","",IFERROR(INDEX(Jobs!$H$5:$H$604,MATCH(B810,Jobs!$A$5:$A$604,0)),""))</f>
        <v>0</v>
      </c>
      <c r="E810" s="23">
        <f>IF(B810="","",IFERROR(INDEX(Jobs!$K$5:$K$604,MATCH(B810,Jobs!$A$5:$A$604,0)),""))</f>
        <v>0</v>
      </c>
      <c r="P810" s="50">
        <f>IF(G810="","",IFERROR(INDEX(Checklists!$J$5:$J$404,MATCH(G810,Checklists!$F$5:$F$404,0)),"Yes"))</f>
        <v>0</v>
      </c>
      <c r="Q810" s="31">
        <f>IF(G810="","",IFERROR(INDEX(Checklists!$H$5:$H$404,MATCH(G810,Checklists!$F$5:$F$404,0)),""))</f>
        <v>0</v>
      </c>
      <c r="R810" s="31">
        <f>IF(OR(J810="",Q810=""),"",J810-Q810)</f>
        <v>0</v>
      </c>
      <c r="S810" s="50">
        <f>IF(B810="","",IF(H810="Done","Yes","No"))</f>
        <v>0</v>
      </c>
      <c r="T810" s="39">
        <f>IF(B810="","",IF(G810="","Add - what was the task?",IF(H810="Issue found",IF(M810="Yes","OK - issue reported","Action - tell the client"),IF(H810="Needs rework","Action - rework needed",IF(AND(H810="Skipped",P810="Yes"),"Check - required task skipped",IF(H810="Done","OK","Due"))))))</f>
        <v>0</v>
      </c>
    </row>
    <row r="811" spans="1:20">
      <c r="A811" s="43">
        <f>IF(B811="","","JT-"&amp;TEXT(ROW()-4,"0000"))</f>
        <v>0</v>
      </c>
      <c r="C811" s="18">
        <f>IF(B811="","",IFERROR(INDEX(Jobs!$B$5:$B$604,MATCH(B811,Jobs!$A$5:$A$604,0)),""))</f>
        <v>0</v>
      </c>
      <c r="D811" s="23">
        <f>IF(B811="","",IFERROR(INDEX(Jobs!$H$5:$H$604,MATCH(B811,Jobs!$A$5:$A$604,0)),""))</f>
        <v>0</v>
      </c>
      <c r="E811" s="23">
        <f>IF(B811="","",IFERROR(INDEX(Jobs!$K$5:$K$604,MATCH(B811,Jobs!$A$5:$A$604,0)),""))</f>
        <v>0</v>
      </c>
      <c r="P811" s="50">
        <f>IF(G811="","",IFERROR(INDEX(Checklists!$J$5:$J$404,MATCH(G811,Checklists!$F$5:$F$404,0)),"Yes"))</f>
        <v>0</v>
      </c>
      <c r="Q811" s="31">
        <f>IF(G811="","",IFERROR(INDEX(Checklists!$H$5:$H$404,MATCH(G811,Checklists!$F$5:$F$404,0)),""))</f>
        <v>0</v>
      </c>
      <c r="R811" s="31">
        <f>IF(OR(J811="",Q811=""),"",J811-Q811)</f>
        <v>0</v>
      </c>
      <c r="S811" s="50">
        <f>IF(B811="","",IF(H811="Done","Yes","No"))</f>
        <v>0</v>
      </c>
      <c r="T811" s="39">
        <f>IF(B811="","",IF(G811="","Add - what was the task?",IF(H811="Issue found",IF(M811="Yes","OK - issue reported","Action - tell the client"),IF(H811="Needs rework","Action - rework needed",IF(AND(H811="Skipped",P811="Yes"),"Check - required task skipped",IF(H811="Done","OK","Due"))))))</f>
        <v>0</v>
      </c>
    </row>
    <row r="812" spans="1:20">
      <c r="A812" s="43">
        <f>IF(B812="","","JT-"&amp;TEXT(ROW()-4,"0000"))</f>
        <v>0</v>
      </c>
      <c r="C812" s="18">
        <f>IF(B812="","",IFERROR(INDEX(Jobs!$B$5:$B$604,MATCH(B812,Jobs!$A$5:$A$604,0)),""))</f>
        <v>0</v>
      </c>
      <c r="D812" s="23">
        <f>IF(B812="","",IFERROR(INDEX(Jobs!$H$5:$H$604,MATCH(B812,Jobs!$A$5:$A$604,0)),""))</f>
        <v>0</v>
      </c>
      <c r="E812" s="23">
        <f>IF(B812="","",IFERROR(INDEX(Jobs!$K$5:$K$604,MATCH(B812,Jobs!$A$5:$A$604,0)),""))</f>
        <v>0</v>
      </c>
      <c r="P812" s="50">
        <f>IF(G812="","",IFERROR(INDEX(Checklists!$J$5:$J$404,MATCH(G812,Checklists!$F$5:$F$404,0)),"Yes"))</f>
        <v>0</v>
      </c>
      <c r="Q812" s="31">
        <f>IF(G812="","",IFERROR(INDEX(Checklists!$H$5:$H$404,MATCH(G812,Checklists!$F$5:$F$404,0)),""))</f>
        <v>0</v>
      </c>
      <c r="R812" s="31">
        <f>IF(OR(J812="",Q812=""),"",J812-Q812)</f>
        <v>0</v>
      </c>
      <c r="S812" s="50">
        <f>IF(B812="","",IF(H812="Done","Yes","No"))</f>
        <v>0</v>
      </c>
      <c r="T812" s="39">
        <f>IF(B812="","",IF(G812="","Add - what was the task?",IF(H812="Issue found",IF(M812="Yes","OK - issue reported","Action - tell the client"),IF(H812="Needs rework","Action - rework needed",IF(AND(H812="Skipped",P812="Yes"),"Check - required task skipped",IF(H812="Done","OK","Due"))))))</f>
        <v>0</v>
      </c>
    </row>
    <row r="813" spans="1:20">
      <c r="A813" s="43">
        <f>IF(B813="","","JT-"&amp;TEXT(ROW()-4,"0000"))</f>
        <v>0</v>
      </c>
      <c r="C813" s="18">
        <f>IF(B813="","",IFERROR(INDEX(Jobs!$B$5:$B$604,MATCH(B813,Jobs!$A$5:$A$604,0)),""))</f>
        <v>0</v>
      </c>
      <c r="D813" s="23">
        <f>IF(B813="","",IFERROR(INDEX(Jobs!$H$5:$H$604,MATCH(B813,Jobs!$A$5:$A$604,0)),""))</f>
        <v>0</v>
      </c>
      <c r="E813" s="23">
        <f>IF(B813="","",IFERROR(INDEX(Jobs!$K$5:$K$604,MATCH(B813,Jobs!$A$5:$A$604,0)),""))</f>
        <v>0</v>
      </c>
      <c r="P813" s="50">
        <f>IF(G813="","",IFERROR(INDEX(Checklists!$J$5:$J$404,MATCH(G813,Checklists!$F$5:$F$404,0)),"Yes"))</f>
        <v>0</v>
      </c>
      <c r="Q813" s="31">
        <f>IF(G813="","",IFERROR(INDEX(Checklists!$H$5:$H$404,MATCH(G813,Checklists!$F$5:$F$404,0)),""))</f>
        <v>0</v>
      </c>
      <c r="R813" s="31">
        <f>IF(OR(J813="",Q813=""),"",J813-Q813)</f>
        <v>0</v>
      </c>
      <c r="S813" s="50">
        <f>IF(B813="","",IF(H813="Done","Yes","No"))</f>
        <v>0</v>
      </c>
      <c r="T813" s="39">
        <f>IF(B813="","",IF(G813="","Add - what was the task?",IF(H813="Issue found",IF(M813="Yes","OK - issue reported","Action - tell the client"),IF(H813="Needs rework","Action - rework needed",IF(AND(H813="Skipped",P813="Yes"),"Check - required task skipped",IF(H813="Done","OK","Due"))))))</f>
        <v>0</v>
      </c>
    </row>
    <row r="814" spans="1:20">
      <c r="A814" s="43">
        <f>IF(B814="","","JT-"&amp;TEXT(ROW()-4,"0000"))</f>
        <v>0</v>
      </c>
      <c r="C814" s="18">
        <f>IF(B814="","",IFERROR(INDEX(Jobs!$B$5:$B$604,MATCH(B814,Jobs!$A$5:$A$604,0)),""))</f>
        <v>0</v>
      </c>
      <c r="D814" s="23">
        <f>IF(B814="","",IFERROR(INDEX(Jobs!$H$5:$H$604,MATCH(B814,Jobs!$A$5:$A$604,0)),""))</f>
        <v>0</v>
      </c>
      <c r="E814" s="23">
        <f>IF(B814="","",IFERROR(INDEX(Jobs!$K$5:$K$604,MATCH(B814,Jobs!$A$5:$A$604,0)),""))</f>
        <v>0</v>
      </c>
      <c r="P814" s="50">
        <f>IF(G814="","",IFERROR(INDEX(Checklists!$J$5:$J$404,MATCH(G814,Checklists!$F$5:$F$404,0)),"Yes"))</f>
        <v>0</v>
      </c>
      <c r="Q814" s="31">
        <f>IF(G814="","",IFERROR(INDEX(Checklists!$H$5:$H$404,MATCH(G814,Checklists!$F$5:$F$404,0)),""))</f>
        <v>0</v>
      </c>
      <c r="R814" s="31">
        <f>IF(OR(J814="",Q814=""),"",J814-Q814)</f>
        <v>0</v>
      </c>
      <c r="S814" s="50">
        <f>IF(B814="","",IF(H814="Done","Yes","No"))</f>
        <v>0</v>
      </c>
      <c r="T814" s="39">
        <f>IF(B814="","",IF(G814="","Add - what was the task?",IF(H814="Issue found",IF(M814="Yes","OK - issue reported","Action - tell the client"),IF(H814="Needs rework","Action - rework needed",IF(AND(H814="Skipped",P814="Yes"),"Check - required task skipped",IF(H814="Done","OK","Due"))))))</f>
        <v>0</v>
      </c>
    </row>
    <row r="815" spans="1:20">
      <c r="A815" s="43">
        <f>IF(B815="","","JT-"&amp;TEXT(ROW()-4,"0000"))</f>
        <v>0</v>
      </c>
      <c r="C815" s="18">
        <f>IF(B815="","",IFERROR(INDEX(Jobs!$B$5:$B$604,MATCH(B815,Jobs!$A$5:$A$604,0)),""))</f>
        <v>0</v>
      </c>
      <c r="D815" s="23">
        <f>IF(B815="","",IFERROR(INDEX(Jobs!$H$5:$H$604,MATCH(B815,Jobs!$A$5:$A$604,0)),""))</f>
        <v>0</v>
      </c>
      <c r="E815" s="23">
        <f>IF(B815="","",IFERROR(INDEX(Jobs!$K$5:$K$604,MATCH(B815,Jobs!$A$5:$A$604,0)),""))</f>
        <v>0</v>
      </c>
      <c r="P815" s="50">
        <f>IF(G815="","",IFERROR(INDEX(Checklists!$J$5:$J$404,MATCH(G815,Checklists!$F$5:$F$404,0)),"Yes"))</f>
        <v>0</v>
      </c>
      <c r="Q815" s="31">
        <f>IF(G815="","",IFERROR(INDEX(Checklists!$H$5:$H$404,MATCH(G815,Checklists!$F$5:$F$404,0)),""))</f>
        <v>0</v>
      </c>
      <c r="R815" s="31">
        <f>IF(OR(J815="",Q815=""),"",J815-Q815)</f>
        <v>0</v>
      </c>
      <c r="S815" s="50">
        <f>IF(B815="","",IF(H815="Done","Yes","No"))</f>
        <v>0</v>
      </c>
      <c r="T815" s="39">
        <f>IF(B815="","",IF(G815="","Add - what was the task?",IF(H815="Issue found",IF(M815="Yes","OK - issue reported","Action - tell the client"),IF(H815="Needs rework","Action - rework needed",IF(AND(H815="Skipped",P815="Yes"),"Check - required task skipped",IF(H815="Done","OK","Due"))))))</f>
        <v>0</v>
      </c>
    </row>
    <row r="816" spans="1:20">
      <c r="A816" s="43">
        <f>IF(B816="","","JT-"&amp;TEXT(ROW()-4,"0000"))</f>
        <v>0</v>
      </c>
      <c r="C816" s="18">
        <f>IF(B816="","",IFERROR(INDEX(Jobs!$B$5:$B$604,MATCH(B816,Jobs!$A$5:$A$604,0)),""))</f>
        <v>0</v>
      </c>
      <c r="D816" s="23">
        <f>IF(B816="","",IFERROR(INDEX(Jobs!$H$5:$H$604,MATCH(B816,Jobs!$A$5:$A$604,0)),""))</f>
        <v>0</v>
      </c>
      <c r="E816" s="23">
        <f>IF(B816="","",IFERROR(INDEX(Jobs!$K$5:$K$604,MATCH(B816,Jobs!$A$5:$A$604,0)),""))</f>
        <v>0</v>
      </c>
      <c r="P816" s="50">
        <f>IF(G816="","",IFERROR(INDEX(Checklists!$J$5:$J$404,MATCH(G816,Checklists!$F$5:$F$404,0)),"Yes"))</f>
        <v>0</v>
      </c>
      <c r="Q816" s="31">
        <f>IF(G816="","",IFERROR(INDEX(Checklists!$H$5:$H$404,MATCH(G816,Checklists!$F$5:$F$404,0)),""))</f>
        <v>0</v>
      </c>
      <c r="R816" s="31">
        <f>IF(OR(J816="",Q816=""),"",J816-Q816)</f>
        <v>0</v>
      </c>
      <c r="S816" s="50">
        <f>IF(B816="","",IF(H816="Done","Yes","No"))</f>
        <v>0</v>
      </c>
      <c r="T816" s="39">
        <f>IF(B816="","",IF(G816="","Add - what was the task?",IF(H816="Issue found",IF(M816="Yes","OK - issue reported","Action - tell the client"),IF(H816="Needs rework","Action - rework needed",IF(AND(H816="Skipped",P816="Yes"),"Check - required task skipped",IF(H816="Done","OK","Due"))))))</f>
        <v>0</v>
      </c>
    </row>
    <row r="817" spans="1:20">
      <c r="A817" s="43">
        <f>IF(B817="","","JT-"&amp;TEXT(ROW()-4,"0000"))</f>
        <v>0</v>
      </c>
      <c r="C817" s="18">
        <f>IF(B817="","",IFERROR(INDEX(Jobs!$B$5:$B$604,MATCH(B817,Jobs!$A$5:$A$604,0)),""))</f>
        <v>0</v>
      </c>
      <c r="D817" s="23">
        <f>IF(B817="","",IFERROR(INDEX(Jobs!$H$5:$H$604,MATCH(B817,Jobs!$A$5:$A$604,0)),""))</f>
        <v>0</v>
      </c>
      <c r="E817" s="23">
        <f>IF(B817="","",IFERROR(INDEX(Jobs!$K$5:$K$604,MATCH(B817,Jobs!$A$5:$A$604,0)),""))</f>
        <v>0</v>
      </c>
      <c r="P817" s="50">
        <f>IF(G817="","",IFERROR(INDEX(Checklists!$J$5:$J$404,MATCH(G817,Checklists!$F$5:$F$404,0)),"Yes"))</f>
        <v>0</v>
      </c>
      <c r="Q817" s="31">
        <f>IF(G817="","",IFERROR(INDEX(Checklists!$H$5:$H$404,MATCH(G817,Checklists!$F$5:$F$404,0)),""))</f>
        <v>0</v>
      </c>
      <c r="R817" s="31">
        <f>IF(OR(J817="",Q817=""),"",J817-Q817)</f>
        <v>0</v>
      </c>
      <c r="S817" s="50">
        <f>IF(B817="","",IF(H817="Done","Yes","No"))</f>
        <v>0</v>
      </c>
      <c r="T817" s="39">
        <f>IF(B817="","",IF(G817="","Add - what was the task?",IF(H817="Issue found",IF(M817="Yes","OK - issue reported","Action - tell the client"),IF(H817="Needs rework","Action - rework needed",IF(AND(H817="Skipped",P817="Yes"),"Check - required task skipped",IF(H817="Done","OK","Due"))))))</f>
        <v>0</v>
      </c>
    </row>
    <row r="818" spans="1:20">
      <c r="A818" s="43">
        <f>IF(B818="","","JT-"&amp;TEXT(ROW()-4,"0000"))</f>
        <v>0</v>
      </c>
      <c r="C818" s="18">
        <f>IF(B818="","",IFERROR(INDEX(Jobs!$B$5:$B$604,MATCH(B818,Jobs!$A$5:$A$604,0)),""))</f>
        <v>0</v>
      </c>
      <c r="D818" s="23">
        <f>IF(B818="","",IFERROR(INDEX(Jobs!$H$5:$H$604,MATCH(B818,Jobs!$A$5:$A$604,0)),""))</f>
        <v>0</v>
      </c>
      <c r="E818" s="23">
        <f>IF(B818="","",IFERROR(INDEX(Jobs!$K$5:$K$604,MATCH(B818,Jobs!$A$5:$A$604,0)),""))</f>
        <v>0</v>
      </c>
      <c r="P818" s="50">
        <f>IF(G818="","",IFERROR(INDEX(Checklists!$J$5:$J$404,MATCH(G818,Checklists!$F$5:$F$404,0)),"Yes"))</f>
        <v>0</v>
      </c>
      <c r="Q818" s="31">
        <f>IF(G818="","",IFERROR(INDEX(Checklists!$H$5:$H$404,MATCH(G818,Checklists!$F$5:$F$404,0)),""))</f>
        <v>0</v>
      </c>
      <c r="R818" s="31">
        <f>IF(OR(J818="",Q818=""),"",J818-Q818)</f>
        <v>0</v>
      </c>
      <c r="S818" s="50">
        <f>IF(B818="","",IF(H818="Done","Yes","No"))</f>
        <v>0</v>
      </c>
      <c r="T818" s="39">
        <f>IF(B818="","",IF(G818="","Add - what was the task?",IF(H818="Issue found",IF(M818="Yes","OK - issue reported","Action - tell the client"),IF(H818="Needs rework","Action - rework needed",IF(AND(H818="Skipped",P818="Yes"),"Check - required task skipped",IF(H818="Done","OK","Due"))))))</f>
        <v>0</v>
      </c>
    </row>
    <row r="819" spans="1:20">
      <c r="A819" s="43">
        <f>IF(B819="","","JT-"&amp;TEXT(ROW()-4,"0000"))</f>
        <v>0</v>
      </c>
      <c r="C819" s="18">
        <f>IF(B819="","",IFERROR(INDEX(Jobs!$B$5:$B$604,MATCH(B819,Jobs!$A$5:$A$604,0)),""))</f>
        <v>0</v>
      </c>
      <c r="D819" s="23">
        <f>IF(B819="","",IFERROR(INDEX(Jobs!$H$5:$H$604,MATCH(B819,Jobs!$A$5:$A$604,0)),""))</f>
        <v>0</v>
      </c>
      <c r="E819" s="23">
        <f>IF(B819="","",IFERROR(INDEX(Jobs!$K$5:$K$604,MATCH(B819,Jobs!$A$5:$A$604,0)),""))</f>
        <v>0</v>
      </c>
      <c r="P819" s="50">
        <f>IF(G819="","",IFERROR(INDEX(Checklists!$J$5:$J$404,MATCH(G819,Checklists!$F$5:$F$404,0)),"Yes"))</f>
        <v>0</v>
      </c>
      <c r="Q819" s="31">
        <f>IF(G819="","",IFERROR(INDEX(Checklists!$H$5:$H$404,MATCH(G819,Checklists!$F$5:$F$404,0)),""))</f>
        <v>0</v>
      </c>
      <c r="R819" s="31">
        <f>IF(OR(J819="",Q819=""),"",J819-Q819)</f>
        <v>0</v>
      </c>
      <c r="S819" s="50">
        <f>IF(B819="","",IF(H819="Done","Yes","No"))</f>
        <v>0</v>
      </c>
      <c r="T819" s="39">
        <f>IF(B819="","",IF(G819="","Add - what was the task?",IF(H819="Issue found",IF(M819="Yes","OK - issue reported","Action - tell the client"),IF(H819="Needs rework","Action - rework needed",IF(AND(H819="Skipped",P819="Yes"),"Check - required task skipped",IF(H819="Done","OK","Due"))))))</f>
        <v>0</v>
      </c>
    </row>
    <row r="820" spans="1:20">
      <c r="A820" s="43">
        <f>IF(B820="","","JT-"&amp;TEXT(ROW()-4,"0000"))</f>
        <v>0</v>
      </c>
      <c r="C820" s="18">
        <f>IF(B820="","",IFERROR(INDEX(Jobs!$B$5:$B$604,MATCH(B820,Jobs!$A$5:$A$604,0)),""))</f>
        <v>0</v>
      </c>
      <c r="D820" s="23">
        <f>IF(B820="","",IFERROR(INDEX(Jobs!$H$5:$H$604,MATCH(B820,Jobs!$A$5:$A$604,0)),""))</f>
        <v>0</v>
      </c>
      <c r="E820" s="23">
        <f>IF(B820="","",IFERROR(INDEX(Jobs!$K$5:$K$604,MATCH(B820,Jobs!$A$5:$A$604,0)),""))</f>
        <v>0</v>
      </c>
      <c r="P820" s="50">
        <f>IF(G820="","",IFERROR(INDEX(Checklists!$J$5:$J$404,MATCH(G820,Checklists!$F$5:$F$404,0)),"Yes"))</f>
        <v>0</v>
      </c>
      <c r="Q820" s="31">
        <f>IF(G820="","",IFERROR(INDEX(Checklists!$H$5:$H$404,MATCH(G820,Checklists!$F$5:$F$404,0)),""))</f>
        <v>0</v>
      </c>
      <c r="R820" s="31">
        <f>IF(OR(J820="",Q820=""),"",J820-Q820)</f>
        <v>0</v>
      </c>
      <c r="S820" s="50">
        <f>IF(B820="","",IF(H820="Done","Yes","No"))</f>
        <v>0</v>
      </c>
      <c r="T820" s="39">
        <f>IF(B820="","",IF(G820="","Add - what was the task?",IF(H820="Issue found",IF(M820="Yes","OK - issue reported","Action - tell the client"),IF(H820="Needs rework","Action - rework needed",IF(AND(H820="Skipped",P820="Yes"),"Check - required task skipped",IF(H820="Done","OK","Due"))))))</f>
        <v>0</v>
      </c>
    </row>
    <row r="821" spans="1:20">
      <c r="A821" s="43">
        <f>IF(B821="","","JT-"&amp;TEXT(ROW()-4,"0000"))</f>
        <v>0</v>
      </c>
      <c r="C821" s="18">
        <f>IF(B821="","",IFERROR(INDEX(Jobs!$B$5:$B$604,MATCH(B821,Jobs!$A$5:$A$604,0)),""))</f>
        <v>0</v>
      </c>
      <c r="D821" s="23">
        <f>IF(B821="","",IFERROR(INDEX(Jobs!$H$5:$H$604,MATCH(B821,Jobs!$A$5:$A$604,0)),""))</f>
        <v>0</v>
      </c>
      <c r="E821" s="23">
        <f>IF(B821="","",IFERROR(INDEX(Jobs!$K$5:$K$604,MATCH(B821,Jobs!$A$5:$A$604,0)),""))</f>
        <v>0</v>
      </c>
      <c r="P821" s="50">
        <f>IF(G821="","",IFERROR(INDEX(Checklists!$J$5:$J$404,MATCH(G821,Checklists!$F$5:$F$404,0)),"Yes"))</f>
        <v>0</v>
      </c>
      <c r="Q821" s="31">
        <f>IF(G821="","",IFERROR(INDEX(Checklists!$H$5:$H$404,MATCH(G821,Checklists!$F$5:$F$404,0)),""))</f>
        <v>0</v>
      </c>
      <c r="R821" s="31">
        <f>IF(OR(J821="",Q821=""),"",J821-Q821)</f>
        <v>0</v>
      </c>
      <c r="S821" s="50">
        <f>IF(B821="","",IF(H821="Done","Yes","No"))</f>
        <v>0</v>
      </c>
      <c r="T821" s="39">
        <f>IF(B821="","",IF(G821="","Add - what was the task?",IF(H821="Issue found",IF(M821="Yes","OK - issue reported","Action - tell the client"),IF(H821="Needs rework","Action - rework needed",IF(AND(H821="Skipped",P821="Yes"),"Check - required task skipped",IF(H821="Done","OK","Due"))))))</f>
        <v>0</v>
      </c>
    </row>
    <row r="822" spans="1:20">
      <c r="A822" s="43">
        <f>IF(B822="","","JT-"&amp;TEXT(ROW()-4,"0000"))</f>
        <v>0</v>
      </c>
      <c r="C822" s="18">
        <f>IF(B822="","",IFERROR(INDEX(Jobs!$B$5:$B$604,MATCH(B822,Jobs!$A$5:$A$604,0)),""))</f>
        <v>0</v>
      </c>
      <c r="D822" s="23">
        <f>IF(B822="","",IFERROR(INDEX(Jobs!$H$5:$H$604,MATCH(B822,Jobs!$A$5:$A$604,0)),""))</f>
        <v>0</v>
      </c>
      <c r="E822" s="23">
        <f>IF(B822="","",IFERROR(INDEX(Jobs!$K$5:$K$604,MATCH(B822,Jobs!$A$5:$A$604,0)),""))</f>
        <v>0</v>
      </c>
      <c r="P822" s="50">
        <f>IF(G822="","",IFERROR(INDEX(Checklists!$J$5:$J$404,MATCH(G822,Checklists!$F$5:$F$404,0)),"Yes"))</f>
        <v>0</v>
      </c>
      <c r="Q822" s="31">
        <f>IF(G822="","",IFERROR(INDEX(Checklists!$H$5:$H$404,MATCH(G822,Checklists!$F$5:$F$404,0)),""))</f>
        <v>0</v>
      </c>
      <c r="R822" s="31">
        <f>IF(OR(J822="",Q822=""),"",J822-Q822)</f>
        <v>0</v>
      </c>
      <c r="S822" s="50">
        <f>IF(B822="","",IF(H822="Done","Yes","No"))</f>
        <v>0</v>
      </c>
      <c r="T822" s="39">
        <f>IF(B822="","",IF(G822="","Add - what was the task?",IF(H822="Issue found",IF(M822="Yes","OK - issue reported","Action - tell the client"),IF(H822="Needs rework","Action - rework needed",IF(AND(H822="Skipped",P822="Yes"),"Check - required task skipped",IF(H822="Done","OK","Due"))))))</f>
        <v>0</v>
      </c>
    </row>
    <row r="823" spans="1:20">
      <c r="A823" s="43">
        <f>IF(B823="","","JT-"&amp;TEXT(ROW()-4,"0000"))</f>
        <v>0</v>
      </c>
      <c r="C823" s="18">
        <f>IF(B823="","",IFERROR(INDEX(Jobs!$B$5:$B$604,MATCH(B823,Jobs!$A$5:$A$604,0)),""))</f>
        <v>0</v>
      </c>
      <c r="D823" s="23">
        <f>IF(B823="","",IFERROR(INDEX(Jobs!$H$5:$H$604,MATCH(B823,Jobs!$A$5:$A$604,0)),""))</f>
        <v>0</v>
      </c>
      <c r="E823" s="23">
        <f>IF(B823="","",IFERROR(INDEX(Jobs!$K$5:$K$604,MATCH(B823,Jobs!$A$5:$A$604,0)),""))</f>
        <v>0</v>
      </c>
      <c r="P823" s="50">
        <f>IF(G823="","",IFERROR(INDEX(Checklists!$J$5:$J$404,MATCH(G823,Checklists!$F$5:$F$404,0)),"Yes"))</f>
        <v>0</v>
      </c>
      <c r="Q823" s="31">
        <f>IF(G823="","",IFERROR(INDEX(Checklists!$H$5:$H$404,MATCH(G823,Checklists!$F$5:$F$404,0)),""))</f>
        <v>0</v>
      </c>
      <c r="R823" s="31">
        <f>IF(OR(J823="",Q823=""),"",J823-Q823)</f>
        <v>0</v>
      </c>
      <c r="S823" s="50">
        <f>IF(B823="","",IF(H823="Done","Yes","No"))</f>
        <v>0</v>
      </c>
      <c r="T823" s="39">
        <f>IF(B823="","",IF(G823="","Add - what was the task?",IF(H823="Issue found",IF(M823="Yes","OK - issue reported","Action - tell the client"),IF(H823="Needs rework","Action - rework needed",IF(AND(H823="Skipped",P823="Yes"),"Check - required task skipped",IF(H823="Done","OK","Due"))))))</f>
        <v>0</v>
      </c>
    </row>
    <row r="824" spans="1:20">
      <c r="A824" s="43">
        <f>IF(B824="","","JT-"&amp;TEXT(ROW()-4,"0000"))</f>
        <v>0</v>
      </c>
      <c r="C824" s="18">
        <f>IF(B824="","",IFERROR(INDEX(Jobs!$B$5:$B$604,MATCH(B824,Jobs!$A$5:$A$604,0)),""))</f>
        <v>0</v>
      </c>
      <c r="D824" s="23">
        <f>IF(B824="","",IFERROR(INDEX(Jobs!$H$5:$H$604,MATCH(B824,Jobs!$A$5:$A$604,0)),""))</f>
        <v>0</v>
      </c>
      <c r="E824" s="23">
        <f>IF(B824="","",IFERROR(INDEX(Jobs!$K$5:$K$604,MATCH(B824,Jobs!$A$5:$A$604,0)),""))</f>
        <v>0</v>
      </c>
      <c r="P824" s="50">
        <f>IF(G824="","",IFERROR(INDEX(Checklists!$J$5:$J$404,MATCH(G824,Checklists!$F$5:$F$404,0)),"Yes"))</f>
        <v>0</v>
      </c>
      <c r="Q824" s="31">
        <f>IF(G824="","",IFERROR(INDEX(Checklists!$H$5:$H$404,MATCH(G824,Checklists!$F$5:$F$404,0)),""))</f>
        <v>0</v>
      </c>
      <c r="R824" s="31">
        <f>IF(OR(J824="",Q824=""),"",J824-Q824)</f>
        <v>0</v>
      </c>
      <c r="S824" s="50">
        <f>IF(B824="","",IF(H824="Done","Yes","No"))</f>
        <v>0</v>
      </c>
      <c r="T824" s="39">
        <f>IF(B824="","",IF(G824="","Add - what was the task?",IF(H824="Issue found",IF(M824="Yes","OK - issue reported","Action - tell the client"),IF(H824="Needs rework","Action - rework needed",IF(AND(H824="Skipped",P824="Yes"),"Check - required task skipped",IF(H824="Done","OK","Due"))))))</f>
        <v>0</v>
      </c>
    </row>
    <row r="825" spans="1:20">
      <c r="A825" s="43">
        <f>IF(B825="","","JT-"&amp;TEXT(ROW()-4,"0000"))</f>
        <v>0</v>
      </c>
      <c r="C825" s="18">
        <f>IF(B825="","",IFERROR(INDEX(Jobs!$B$5:$B$604,MATCH(B825,Jobs!$A$5:$A$604,0)),""))</f>
        <v>0</v>
      </c>
      <c r="D825" s="23">
        <f>IF(B825="","",IFERROR(INDEX(Jobs!$H$5:$H$604,MATCH(B825,Jobs!$A$5:$A$604,0)),""))</f>
        <v>0</v>
      </c>
      <c r="E825" s="23">
        <f>IF(B825="","",IFERROR(INDEX(Jobs!$K$5:$K$604,MATCH(B825,Jobs!$A$5:$A$604,0)),""))</f>
        <v>0</v>
      </c>
      <c r="P825" s="50">
        <f>IF(G825="","",IFERROR(INDEX(Checklists!$J$5:$J$404,MATCH(G825,Checklists!$F$5:$F$404,0)),"Yes"))</f>
        <v>0</v>
      </c>
      <c r="Q825" s="31">
        <f>IF(G825="","",IFERROR(INDEX(Checklists!$H$5:$H$404,MATCH(G825,Checklists!$F$5:$F$404,0)),""))</f>
        <v>0</v>
      </c>
      <c r="R825" s="31">
        <f>IF(OR(J825="",Q825=""),"",J825-Q825)</f>
        <v>0</v>
      </c>
      <c r="S825" s="50">
        <f>IF(B825="","",IF(H825="Done","Yes","No"))</f>
        <v>0</v>
      </c>
      <c r="T825" s="39">
        <f>IF(B825="","",IF(G825="","Add - what was the task?",IF(H825="Issue found",IF(M825="Yes","OK - issue reported","Action - tell the client"),IF(H825="Needs rework","Action - rework needed",IF(AND(H825="Skipped",P825="Yes"),"Check - required task skipped",IF(H825="Done","OK","Due"))))))</f>
        <v>0</v>
      </c>
    </row>
    <row r="826" spans="1:20">
      <c r="A826" s="43">
        <f>IF(B826="","","JT-"&amp;TEXT(ROW()-4,"0000"))</f>
        <v>0</v>
      </c>
      <c r="C826" s="18">
        <f>IF(B826="","",IFERROR(INDEX(Jobs!$B$5:$B$604,MATCH(B826,Jobs!$A$5:$A$604,0)),""))</f>
        <v>0</v>
      </c>
      <c r="D826" s="23">
        <f>IF(B826="","",IFERROR(INDEX(Jobs!$H$5:$H$604,MATCH(B826,Jobs!$A$5:$A$604,0)),""))</f>
        <v>0</v>
      </c>
      <c r="E826" s="23">
        <f>IF(B826="","",IFERROR(INDEX(Jobs!$K$5:$K$604,MATCH(B826,Jobs!$A$5:$A$604,0)),""))</f>
        <v>0</v>
      </c>
      <c r="P826" s="50">
        <f>IF(G826="","",IFERROR(INDEX(Checklists!$J$5:$J$404,MATCH(G826,Checklists!$F$5:$F$404,0)),"Yes"))</f>
        <v>0</v>
      </c>
      <c r="Q826" s="31">
        <f>IF(G826="","",IFERROR(INDEX(Checklists!$H$5:$H$404,MATCH(G826,Checklists!$F$5:$F$404,0)),""))</f>
        <v>0</v>
      </c>
      <c r="R826" s="31">
        <f>IF(OR(J826="",Q826=""),"",J826-Q826)</f>
        <v>0</v>
      </c>
      <c r="S826" s="50">
        <f>IF(B826="","",IF(H826="Done","Yes","No"))</f>
        <v>0</v>
      </c>
      <c r="T826" s="39">
        <f>IF(B826="","",IF(G826="","Add - what was the task?",IF(H826="Issue found",IF(M826="Yes","OK - issue reported","Action - tell the client"),IF(H826="Needs rework","Action - rework needed",IF(AND(H826="Skipped",P826="Yes"),"Check - required task skipped",IF(H826="Done","OK","Due"))))))</f>
        <v>0</v>
      </c>
    </row>
    <row r="827" spans="1:20">
      <c r="A827" s="43">
        <f>IF(B827="","","JT-"&amp;TEXT(ROW()-4,"0000"))</f>
        <v>0</v>
      </c>
      <c r="C827" s="18">
        <f>IF(B827="","",IFERROR(INDEX(Jobs!$B$5:$B$604,MATCH(B827,Jobs!$A$5:$A$604,0)),""))</f>
        <v>0</v>
      </c>
      <c r="D827" s="23">
        <f>IF(B827="","",IFERROR(INDEX(Jobs!$H$5:$H$604,MATCH(B827,Jobs!$A$5:$A$604,0)),""))</f>
        <v>0</v>
      </c>
      <c r="E827" s="23">
        <f>IF(B827="","",IFERROR(INDEX(Jobs!$K$5:$K$604,MATCH(B827,Jobs!$A$5:$A$604,0)),""))</f>
        <v>0</v>
      </c>
      <c r="P827" s="50">
        <f>IF(G827="","",IFERROR(INDEX(Checklists!$J$5:$J$404,MATCH(G827,Checklists!$F$5:$F$404,0)),"Yes"))</f>
        <v>0</v>
      </c>
      <c r="Q827" s="31">
        <f>IF(G827="","",IFERROR(INDEX(Checklists!$H$5:$H$404,MATCH(G827,Checklists!$F$5:$F$404,0)),""))</f>
        <v>0</v>
      </c>
      <c r="R827" s="31">
        <f>IF(OR(J827="",Q827=""),"",J827-Q827)</f>
        <v>0</v>
      </c>
      <c r="S827" s="50">
        <f>IF(B827="","",IF(H827="Done","Yes","No"))</f>
        <v>0</v>
      </c>
      <c r="T827" s="39">
        <f>IF(B827="","",IF(G827="","Add - what was the task?",IF(H827="Issue found",IF(M827="Yes","OK - issue reported","Action - tell the client"),IF(H827="Needs rework","Action - rework needed",IF(AND(H827="Skipped",P827="Yes"),"Check - required task skipped",IF(H827="Done","OK","Due"))))))</f>
        <v>0</v>
      </c>
    </row>
    <row r="828" spans="1:20">
      <c r="A828" s="43">
        <f>IF(B828="","","JT-"&amp;TEXT(ROW()-4,"0000"))</f>
        <v>0</v>
      </c>
      <c r="C828" s="18">
        <f>IF(B828="","",IFERROR(INDEX(Jobs!$B$5:$B$604,MATCH(B828,Jobs!$A$5:$A$604,0)),""))</f>
        <v>0</v>
      </c>
      <c r="D828" s="23">
        <f>IF(B828="","",IFERROR(INDEX(Jobs!$H$5:$H$604,MATCH(B828,Jobs!$A$5:$A$604,0)),""))</f>
        <v>0</v>
      </c>
      <c r="E828" s="23">
        <f>IF(B828="","",IFERROR(INDEX(Jobs!$K$5:$K$604,MATCH(B828,Jobs!$A$5:$A$604,0)),""))</f>
        <v>0</v>
      </c>
      <c r="P828" s="50">
        <f>IF(G828="","",IFERROR(INDEX(Checklists!$J$5:$J$404,MATCH(G828,Checklists!$F$5:$F$404,0)),"Yes"))</f>
        <v>0</v>
      </c>
      <c r="Q828" s="31">
        <f>IF(G828="","",IFERROR(INDEX(Checklists!$H$5:$H$404,MATCH(G828,Checklists!$F$5:$F$404,0)),""))</f>
        <v>0</v>
      </c>
      <c r="R828" s="31">
        <f>IF(OR(J828="",Q828=""),"",J828-Q828)</f>
        <v>0</v>
      </c>
      <c r="S828" s="50">
        <f>IF(B828="","",IF(H828="Done","Yes","No"))</f>
        <v>0</v>
      </c>
      <c r="T828" s="39">
        <f>IF(B828="","",IF(G828="","Add - what was the task?",IF(H828="Issue found",IF(M828="Yes","OK - issue reported","Action - tell the client"),IF(H828="Needs rework","Action - rework needed",IF(AND(H828="Skipped",P828="Yes"),"Check - required task skipped",IF(H828="Done","OK","Due"))))))</f>
        <v>0</v>
      </c>
    </row>
    <row r="829" spans="1:20">
      <c r="A829" s="43">
        <f>IF(B829="","","JT-"&amp;TEXT(ROW()-4,"0000"))</f>
        <v>0</v>
      </c>
      <c r="C829" s="18">
        <f>IF(B829="","",IFERROR(INDEX(Jobs!$B$5:$B$604,MATCH(B829,Jobs!$A$5:$A$604,0)),""))</f>
        <v>0</v>
      </c>
      <c r="D829" s="23">
        <f>IF(B829="","",IFERROR(INDEX(Jobs!$H$5:$H$604,MATCH(B829,Jobs!$A$5:$A$604,0)),""))</f>
        <v>0</v>
      </c>
      <c r="E829" s="23">
        <f>IF(B829="","",IFERROR(INDEX(Jobs!$K$5:$K$604,MATCH(B829,Jobs!$A$5:$A$604,0)),""))</f>
        <v>0</v>
      </c>
      <c r="P829" s="50">
        <f>IF(G829="","",IFERROR(INDEX(Checklists!$J$5:$J$404,MATCH(G829,Checklists!$F$5:$F$404,0)),"Yes"))</f>
        <v>0</v>
      </c>
      <c r="Q829" s="31">
        <f>IF(G829="","",IFERROR(INDEX(Checklists!$H$5:$H$404,MATCH(G829,Checklists!$F$5:$F$404,0)),""))</f>
        <v>0</v>
      </c>
      <c r="R829" s="31">
        <f>IF(OR(J829="",Q829=""),"",J829-Q829)</f>
        <v>0</v>
      </c>
      <c r="S829" s="50">
        <f>IF(B829="","",IF(H829="Done","Yes","No"))</f>
        <v>0</v>
      </c>
      <c r="T829" s="39">
        <f>IF(B829="","",IF(G829="","Add - what was the task?",IF(H829="Issue found",IF(M829="Yes","OK - issue reported","Action - tell the client"),IF(H829="Needs rework","Action - rework needed",IF(AND(H829="Skipped",P829="Yes"),"Check - required task skipped",IF(H829="Done","OK","Due"))))))</f>
        <v>0</v>
      </c>
    </row>
    <row r="830" spans="1:20">
      <c r="A830" s="43">
        <f>IF(B830="","","JT-"&amp;TEXT(ROW()-4,"0000"))</f>
        <v>0</v>
      </c>
      <c r="C830" s="18">
        <f>IF(B830="","",IFERROR(INDEX(Jobs!$B$5:$B$604,MATCH(B830,Jobs!$A$5:$A$604,0)),""))</f>
        <v>0</v>
      </c>
      <c r="D830" s="23">
        <f>IF(B830="","",IFERROR(INDEX(Jobs!$H$5:$H$604,MATCH(B830,Jobs!$A$5:$A$604,0)),""))</f>
        <v>0</v>
      </c>
      <c r="E830" s="23">
        <f>IF(B830="","",IFERROR(INDEX(Jobs!$K$5:$K$604,MATCH(B830,Jobs!$A$5:$A$604,0)),""))</f>
        <v>0</v>
      </c>
      <c r="P830" s="50">
        <f>IF(G830="","",IFERROR(INDEX(Checklists!$J$5:$J$404,MATCH(G830,Checklists!$F$5:$F$404,0)),"Yes"))</f>
        <v>0</v>
      </c>
      <c r="Q830" s="31">
        <f>IF(G830="","",IFERROR(INDEX(Checklists!$H$5:$H$404,MATCH(G830,Checklists!$F$5:$F$404,0)),""))</f>
        <v>0</v>
      </c>
      <c r="R830" s="31">
        <f>IF(OR(J830="",Q830=""),"",J830-Q830)</f>
        <v>0</v>
      </c>
      <c r="S830" s="50">
        <f>IF(B830="","",IF(H830="Done","Yes","No"))</f>
        <v>0</v>
      </c>
      <c r="T830" s="39">
        <f>IF(B830="","",IF(G830="","Add - what was the task?",IF(H830="Issue found",IF(M830="Yes","OK - issue reported","Action - tell the client"),IF(H830="Needs rework","Action - rework needed",IF(AND(H830="Skipped",P830="Yes"),"Check - required task skipped",IF(H830="Done","OK","Due"))))))</f>
        <v>0</v>
      </c>
    </row>
    <row r="831" spans="1:20">
      <c r="A831" s="43">
        <f>IF(B831="","","JT-"&amp;TEXT(ROW()-4,"0000"))</f>
        <v>0</v>
      </c>
      <c r="C831" s="18">
        <f>IF(B831="","",IFERROR(INDEX(Jobs!$B$5:$B$604,MATCH(B831,Jobs!$A$5:$A$604,0)),""))</f>
        <v>0</v>
      </c>
      <c r="D831" s="23">
        <f>IF(B831="","",IFERROR(INDEX(Jobs!$H$5:$H$604,MATCH(B831,Jobs!$A$5:$A$604,0)),""))</f>
        <v>0</v>
      </c>
      <c r="E831" s="23">
        <f>IF(B831="","",IFERROR(INDEX(Jobs!$K$5:$K$604,MATCH(B831,Jobs!$A$5:$A$604,0)),""))</f>
        <v>0</v>
      </c>
      <c r="P831" s="50">
        <f>IF(G831="","",IFERROR(INDEX(Checklists!$J$5:$J$404,MATCH(G831,Checklists!$F$5:$F$404,0)),"Yes"))</f>
        <v>0</v>
      </c>
      <c r="Q831" s="31">
        <f>IF(G831="","",IFERROR(INDEX(Checklists!$H$5:$H$404,MATCH(G831,Checklists!$F$5:$F$404,0)),""))</f>
        <v>0</v>
      </c>
      <c r="R831" s="31">
        <f>IF(OR(J831="",Q831=""),"",J831-Q831)</f>
        <v>0</v>
      </c>
      <c r="S831" s="50">
        <f>IF(B831="","",IF(H831="Done","Yes","No"))</f>
        <v>0</v>
      </c>
      <c r="T831" s="39">
        <f>IF(B831="","",IF(G831="","Add - what was the task?",IF(H831="Issue found",IF(M831="Yes","OK - issue reported","Action - tell the client"),IF(H831="Needs rework","Action - rework needed",IF(AND(H831="Skipped",P831="Yes"),"Check - required task skipped",IF(H831="Done","OK","Due"))))))</f>
        <v>0</v>
      </c>
    </row>
    <row r="832" spans="1:20">
      <c r="A832" s="43">
        <f>IF(B832="","","JT-"&amp;TEXT(ROW()-4,"0000"))</f>
        <v>0</v>
      </c>
      <c r="C832" s="18">
        <f>IF(B832="","",IFERROR(INDEX(Jobs!$B$5:$B$604,MATCH(B832,Jobs!$A$5:$A$604,0)),""))</f>
        <v>0</v>
      </c>
      <c r="D832" s="23">
        <f>IF(B832="","",IFERROR(INDEX(Jobs!$H$5:$H$604,MATCH(B832,Jobs!$A$5:$A$604,0)),""))</f>
        <v>0</v>
      </c>
      <c r="E832" s="23">
        <f>IF(B832="","",IFERROR(INDEX(Jobs!$K$5:$K$604,MATCH(B832,Jobs!$A$5:$A$604,0)),""))</f>
        <v>0</v>
      </c>
      <c r="P832" s="50">
        <f>IF(G832="","",IFERROR(INDEX(Checklists!$J$5:$J$404,MATCH(G832,Checklists!$F$5:$F$404,0)),"Yes"))</f>
        <v>0</v>
      </c>
      <c r="Q832" s="31">
        <f>IF(G832="","",IFERROR(INDEX(Checklists!$H$5:$H$404,MATCH(G832,Checklists!$F$5:$F$404,0)),""))</f>
        <v>0</v>
      </c>
      <c r="R832" s="31">
        <f>IF(OR(J832="",Q832=""),"",J832-Q832)</f>
        <v>0</v>
      </c>
      <c r="S832" s="50">
        <f>IF(B832="","",IF(H832="Done","Yes","No"))</f>
        <v>0</v>
      </c>
      <c r="T832" s="39">
        <f>IF(B832="","",IF(G832="","Add - what was the task?",IF(H832="Issue found",IF(M832="Yes","OK - issue reported","Action - tell the client"),IF(H832="Needs rework","Action - rework needed",IF(AND(H832="Skipped",P832="Yes"),"Check - required task skipped",IF(H832="Done","OK","Due"))))))</f>
        <v>0</v>
      </c>
    </row>
    <row r="833" spans="1:20">
      <c r="A833" s="43">
        <f>IF(B833="","","JT-"&amp;TEXT(ROW()-4,"0000"))</f>
        <v>0</v>
      </c>
      <c r="C833" s="18">
        <f>IF(B833="","",IFERROR(INDEX(Jobs!$B$5:$B$604,MATCH(B833,Jobs!$A$5:$A$604,0)),""))</f>
        <v>0</v>
      </c>
      <c r="D833" s="23">
        <f>IF(B833="","",IFERROR(INDEX(Jobs!$H$5:$H$604,MATCH(B833,Jobs!$A$5:$A$604,0)),""))</f>
        <v>0</v>
      </c>
      <c r="E833" s="23">
        <f>IF(B833="","",IFERROR(INDEX(Jobs!$K$5:$K$604,MATCH(B833,Jobs!$A$5:$A$604,0)),""))</f>
        <v>0</v>
      </c>
      <c r="P833" s="50">
        <f>IF(G833="","",IFERROR(INDEX(Checklists!$J$5:$J$404,MATCH(G833,Checklists!$F$5:$F$404,0)),"Yes"))</f>
        <v>0</v>
      </c>
      <c r="Q833" s="31">
        <f>IF(G833="","",IFERROR(INDEX(Checklists!$H$5:$H$404,MATCH(G833,Checklists!$F$5:$F$404,0)),""))</f>
        <v>0</v>
      </c>
      <c r="R833" s="31">
        <f>IF(OR(J833="",Q833=""),"",J833-Q833)</f>
        <v>0</v>
      </c>
      <c r="S833" s="50">
        <f>IF(B833="","",IF(H833="Done","Yes","No"))</f>
        <v>0</v>
      </c>
      <c r="T833" s="39">
        <f>IF(B833="","",IF(G833="","Add - what was the task?",IF(H833="Issue found",IF(M833="Yes","OK - issue reported","Action - tell the client"),IF(H833="Needs rework","Action - rework needed",IF(AND(H833="Skipped",P833="Yes"),"Check - required task skipped",IF(H833="Done","OK","Due"))))))</f>
        <v>0</v>
      </c>
    </row>
    <row r="834" spans="1:20">
      <c r="A834" s="43">
        <f>IF(B834="","","JT-"&amp;TEXT(ROW()-4,"0000"))</f>
        <v>0</v>
      </c>
      <c r="C834" s="18">
        <f>IF(B834="","",IFERROR(INDEX(Jobs!$B$5:$B$604,MATCH(B834,Jobs!$A$5:$A$604,0)),""))</f>
        <v>0</v>
      </c>
      <c r="D834" s="23">
        <f>IF(B834="","",IFERROR(INDEX(Jobs!$H$5:$H$604,MATCH(B834,Jobs!$A$5:$A$604,0)),""))</f>
        <v>0</v>
      </c>
      <c r="E834" s="23">
        <f>IF(B834="","",IFERROR(INDEX(Jobs!$K$5:$K$604,MATCH(B834,Jobs!$A$5:$A$604,0)),""))</f>
        <v>0</v>
      </c>
      <c r="P834" s="50">
        <f>IF(G834="","",IFERROR(INDEX(Checklists!$J$5:$J$404,MATCH(G834,Checklists!$F$5:$F$404,0)),"Yes"))</f>
        <v>0</v>
      </c>
      <c r="Q834" s="31">
        <f>IF(G834="","",IFERROR(INDEX(Checklists!$H$5:$H$404,MATCH(G834,Checklists!$F$5:$F$404,0)),""))</f>
        <v>0</v>
      </c>
      <c r="R834" s="31">
        <f>IF(OR(J834="",Q834=""),"",J834-Q834)</f>
        <v>0</v>
      </c>
      <c r="S834" s="50">
        <f>IF(B834="","",IF(H834="Done","Yes","No"))</f>
        <v>0</v>
      </c>
      <c r="T834" s="39">
        <f>IF(B834="","",IF(G834="","Add - what was the task?",IF(H834="Issue found",IF(M834="Yes","OK - issue reported","Action - tell the client"),IF(H834="Needs rework","Action - rework needed",IF(AND(H834="Skipped",P834="Yes"),"Check - required task skipped",IF(H834="Done","OK","Due"))))))</f>
        <v>0</v>
      </c>
    </row>
    <row r="835" spans="1:20">
      <c r="A835" s="43">
        <f>IF(B835="","","JT-"&amp;TEXT(ROW()-4,"0000"))</f>
        <v>0</v>
      </c>
      <c r="C835" s="18">
        <f>IF(B835="","",IFERROR(INDEX(Jobs!$B$5:$B$604,MATCH(B835,Jobs!$A$5:$A$604,0)),""))</f>
        <v>0</v>
      </c>
      <c r="D835" s="23">
        <f>IF(B835="","",IFERROR(INDEX(Jobs!$H$5:$H$604,MATCH(B835,Jobs!$A$5:$A$604,0)),""))</f>
        <v>0</v>
      </c>
      <c r="E835" s="23">
        <f>IF(B835="","",IFERROR(INDEX(Jobs!$K$5:$K$604,MATCH(B835,Jobs!$A$5:$A$604,0)),""))</f>
        <v>0</v>
      </c>
      <c r="P835" s="50">
        <f>IF(G835="","",IFERROR(INDEX(Checklists!$J$5:$J$404,MATCH(G835,Checklists!$F$5:$F$404,0)),"Yes"))</f>
        <v>0</v>
      </c>
      <c r="Q835" s="31">
        <f>IF(G835="","",IFERROR(INDEX(Checklists!$H$5:$H$404,MATCH(G835,Checklists!$F$5:$F$404,0)),""))</f>
        <v>0</v>
      </c>
      <c r="R835" s="31">
        <f>IF(OR(J835="",Q835=""),"",J835-Q835)</f>
        <v>0</v>
      </c>
      <c r="S835" s="50">
        <f>IF(B835="","",IF(H835="Done","Yes","No"))</f>
        <v>0</v>
      </c>
      <c r="T835" s="39">
        <f>IF(B835="","",IF(G835="","Add - what was the task?",IF(H835="Issue found",IF(M835="Yes","OK - issue reported","Action - tell the client"),IF(H835="Needs rework","Action - rework needed",IF(AND(H835="Skipped",P835="Yes"),"Check - required task skipped",IF(H835="Done","OK","Due"))))))</f>
        <v>0</v>
      </c>
    </row>
    <row r="836" spans="1:20">
      <c r="A836" s="43">
        <f>IF(B836="","","JT-"&amp;TEXT(ROW()-4,"0000"))</f>
        <v>0</v>
      </c>
      <c r="C836" s="18">
        <f>IF(B836="","",IFERROR(INDEX(Jobs!$B$5:$B$604,MATCH(B836,Jobs!$A$5:$A$604,0)),""))</f>
        <v>0</v>
      </c>
      <c r="D836" s="23">
        <f>IF(B836="","",IFERROR(INDEX(Jobs!$H$5:$H$604,MATCH(B836,Jobs!$A$5:$A$604,0)),""))</f>
        <v>0</v>
      </c>
      <c r="E836" s="23">
        <f>IF(B836="","",IFERROR(INDEX(Jobs!$K$5:$K$604,MATCH(B836,Jobs!$A$5:$A$604,0)),""))</f>
        <v>0</v>
      </c>
      <c r="P836" s="50">
        <f>IF(G836="","",IFERROR(INDEX(Checklists!$J$5:$J$404,MATCH(G836,Checklists!$F$5:$F$404,0)),"Yes"))</f>
        <v>0</v>
      </c>
      <c r="Q836" s="31">
        <f>IF(G836="","",IFERROR(INDEX(Checklists!$H$5:$H$404,MATCH(G836,Checklists!$F$5:$F$404,0)),""))</f>
        <v>0</v>
      </c>
      <c r="R836" s="31">
        <f>IF(OR(J836="",Q836=""),"",J836-Q836)</f>
        <v>0</v>
      </c>
      <c r="S836" s="50">
        <f>IF(B836="","",IF(H836="Done","Yes","No"))</f>
        <v>0</v>
      </c>
      <c r="T836" s="39">
        <f>IF(B836="","",IF(G836="","Add - what was the task?",IF(H836="Issue found",IF(M836="Yes","OK - issue reported","Action - tell the client"),IF(H836="Needs rework","Action - rework needed",IF(AND(H836="Skipped",P836="Yes"),"Check - required task skipped",IF(H836="Done","OK","Due"))))))</f>
        <v>0</v>
      </c>
    </row>
    <row r="837" spans="1:20">
      <c r="A837" s="43">
        <f>IF(B837="","","JT-"&amp;TEXT(ROW()-4,"0000"))</f>
        <v>0</v>
      </c>
      <c r="C837" s="18">
        <f>IF(B837="","",IFERROR(INDEX(Jobs!$B$5:$B$604,MATCH(B837,Jobs!$A$5:$A$604,0)),""))</f>
        <v>0</v>
      </c>
      <c r="D837" s="23">
        <f>IF(B837="","",IFERROR(INDEX(Jobs!$H$5:$H$604,MATCH(B837,Jobs!$A$5:$A$604,0)),""))</f>
        <v>0</v>
      </c>
      <c r="E837" s="23">
        <f>IF(B837="","",IFERROR(INDEX(Jobs!$K$5:$K$604,MATCH(B837,Jobs!$A$5:$A$604,0)),""))</f>
        <v>0</v>
      </c>
      <c r="P837" s="50">
        <f>IF(G837="","",IFERROR(INDEX(Checklists!$J$5:$J$404,MATCH(G837,Checklists!$F$5:$F$404,0)),"Yes"))</f>
        <v>0</v>
      </c>
      <c r="Q837" s="31">
        <f>IF(G837="","",IFERROR(INDEX(Checklists!$H$5:$H$404,MATCH(G837,Checklists!$F$5:$F$404,0)),""))</f>
        <v>0</v>
      </c>
      <c r="R837" s="31">
        <f>IF(OR(J837="",Q837=""),"",J837-Q837)</f>
        <v>0</v>
      </c>
      <c r="S837" s="50">
        <f>IF(B837="","",IF(H837="Done","Yes","No"))</f>
        <v>0</v>
      </c>
      <c r="T837" s="39">
        <f>IF(B837="","",IF(G837="","Add - what was the task?",IF(H837="Issue found",IF(M837="Yes","OK - issue reported","Action - tell the client"),IF(H837="Needs rework","Action - rework needed",IF(AND(H837="Skipped",P837="Yes"),"Check - required task skipped",IF(H837="Done","OK","Due"))))))</f>
        <v>0</v>
      </c>
    </row>
    <row r="838" spans="1:20">
      <c r="A838" s="43">
        <f>IF(B838="","","JT-"&amp;TEXT(ROW()-4,"0000"))</f>
        <v>0</v>
      </c>
      <c r="C838" s="18">
        <f>IF(B838="","",IFERROR(INDEX(Jobs!$B$5:$B$604,MATCH(B838,Jobs!$A$5:$A$604,0)),""))</f>
        <v>0</v>
      </c>
      <c r="D838" s="23">
        <f>IF(B838="","",IFERROR(INDEX(Jobs!$H$5:$H$604,MATCH(B838,Jobs!$A$5:$A$604,0)),""))</f>
        <v>0</v>
      </c>
      <c r="E838" s="23">
        <f>IF(B838="","",IFERROR(INDEX(Jobs!$K$5:$K$604,MATCH(B838,Jobs!$A$5:$A$604,0)),""))</f>
        <v>0</v>
      </c>
      <c r="P838" s="50">
        <f>IF(G838="","",IFERROR(INDEX(Checklists!$J$5:$J$404,MATCH(G838,Checklists!$F$5:$F$404,0)),"Yes"))</f>
        <v>0</v>
      </c>
      <c r="Q838" s="31">
        <f>IF(G838="","",IFERROR(INDEX(Checklists!$H$5:$H$404,MATCH(G838,Checklists!$F$5:$F$404,0)),""))</f>
        <v>0</v>
      </c>
      <c r="R838" s="31">
        <f>IF(OR(J838="",Q838=""),"",J838-Q838)</f>
        <v>0</v>
      </c>
      <c r="S838" s="50">
        <f>IF(B838="","",IF(H838="Done","Yes","No"))</f>
        <v>0</v>
      </c>
      <c r="T838" s="39">
        <f>IF(B838="","",IF(G838="","Add - what was the task?",IF(H838="Issue found",IF(M838="Yes","OK - issue reported","Action - tell the client"),IF(H838="Needs rework","Action - rework needed",IF(AND(H838="Skipped",P838="Yes"),"Check - required task skipped",IF(H838="Done","OK","Due"))))))</f>
        <v>0</v>
      </c>
    </row>
    <row r="839" spans="1:20">
      <c r="A839" s="43">
        <f>IF(B839="","","JT-"&amp;TEXT(ROW()-4,"0000"))</f>
        <v>0</v>
      </c>
      <c r="C839" s="18">
        <f>IF(B839="","",IFERROR(INDEX(Jobs!$B$5:$B$604,MATCH(B839,Jobs!$A$5:$A$604,0)),""))</f>
        <v>0</v>
      </c>
      <c r="D839" s="23">
        <f>IF(B839="","",IFERROR(INDEX(Jobs!$H$5:$H$604,MATCH(B839,Jobs!$A$5:$A$604,0)),""))</f>
        <v>0</v>
      </c>
      <c r="E839" s="23">
        <f>IF(B839="","",IFERROR(INDEX(Jobs!$K$5:$K$604,MATCH(B839,Jobs!$A$5:$A$604,0)),""))</f>
        <v>0</v>
      </c>
      <c r="P839" s="50">
        <f>IF(G839="","",IFERROR(INDEX(Checklists!$J$5:$J$404,MATCH(G839,Checklists!$F$5:$F$404,0)),"Yes"))</f>
        <v>0</v>
      </c>
      <c r="Q839" s="31">
        <f>IF(G839="","",IFERROR(INDEX(Checklists!$H$5:$H$404,MATCH(G839,Checklists!$F$5:$F$404,0)),""))</f>
        <v>0</v>
      </c>
      <c r="R839" s="31">
        <f>IF(OR(J839="",Q839=""),"",J839-Q839)</f>
        <v>0</v>
      </c>
      <c r="S839" s="50">
        <f>IF(B839="","",IF(H839="Done","Yes","No"))</f>
        <v>0</v>
      </c>
      <c r="T839" s="39">
        <f>IF(B839="","",IF(G839="","Add - what was the task?",IF(H839="Issue found",IF(M839="Yes","OK - issue reported","Action - tell the client"),IF(H839="Needs rework","Action - rework needed",IF(AND(H839="Skipped",P839="Yes"),"Check - required task skipped",IF(H839="Done","OK","Due"))))))</f>
        <v>0</v>
      </c>
    </row>
    <row r="840" spans="1:20">
      <c r="A840" s="43">
        <f>IF(B840="","","JT-"&amp;TEXT(ROW()-4,"0000"))</f>
        <v>0</v>
      </c>
      <c r="C840" s="18">
        <f>IF(B840="","",IFERROR(INDEX(Jobs!$B$5:$B$604,MATCH(B840,Jobs!$A$5:$A$604,0)),""))</f>
        <v>0</v>
      </c>
      <c r="D840" s="23">
        <f>IF(B840="","",IFERROR(INDEX(Jobs!$H$5:$H$604,MATCH(B840,Jobs!$A$5:$A$604,0)),""))</f>
        <v>0</v>
      </c>
      <c r="E840" s="23">
        <f>IF(B840="","",IFERROR(INDEX(Jobs!$K$5:$K$604,MATCH(B840,Jobs!$A$5:$A$604,0)),""))</f>
        <v>0</v>
      </c>
      <c r="P840" s="50">
        <f>IF(G840="","",IFERROR(INDEX(Checklists!$J$5:$J$404,MATCH(G840,Checklists!$F$5:$F$404,0)),"Yes"))</f>
        <v>0</v>
      </c>
      <c r="Q840" s="31">
        <f>IF(G840="","",IFERROR(INDEX(Checklists!$H$5:$H$404,MATCH(G840,Checklists!$F$5:$F$404,0)),""))</f>
        <v>0</v>
      </c>
      <c r="R840" s="31">
        <f>IF(OR(J840="",Q840=""),"",J840-Q840)</f>
        <v>0</v>
      </c>
      <c r="S840" s="50">
        <f>IF(B840="","",IF(H840="Done","Yes","No"))</f>
        <v>0</v>
      </c>
      <c r="T840" s="39">
        <f>IF(B840="","",IF(G840="","Add - what was the task?",IF(H840="Issue found",IF(M840="Yes","OK - issue reported","Action - tell the client"),IF(H840="Needs rework","Action - rework needed",IF(AND(H840="Skipped",P840="Yes"),"Check - required task skipped",IF(H840="Done","OK","Due"))))))</f>
        <v>0</v>
      </c>
    </row>
    <row r="841" spans="1:20">
      <c r="A841" s="43">
        <f>IF(B841="","","JT-"&amp;TEXT(ROW()-4,"0000"))</f>
        <v>0</v>
      </c>
      <c r="C841" s="18">
        <f>IF(B841="","",IFERROR(INDEX(Jobs!$B$5:$B$604,MATCH(B841,Jobs!$A$5:$A$604,0)),""))</f>
        <v>0</v>
      </c>
      <c r="D841" s="23">
        <f>IF(B841="","",IFERROR(INDEX(Jobs!$H$5:$H$604,MATCH(B841,Jobs!$A$5:$A$604,0)),""))</f>
        <v>0</v>
      </c>
      <c r="E841" s="23">
        <f>IF(B841="","",IFERROR(INDEX(Jobs!$K$5:$K$604,MATCH(B841,Jobs!$A$5:$A$604,0)),""))</f>
        <v>0</v>
      </c>
      <c r="P841" s="50">
        <f>IF(G841="","",IFERROR(INDEX(Checklists!$J$5:$J$404,MATCH(G841,Checklists!$F$5:$F$404,0)),"Yes"))</f>
        <v>0</v>
      </c>
      <c r="Q841" s="31">
        <f>IF(G841="","",IFERROR(INDEX(Checklists!$H$5:$H$404,MATCH(G841,Checklists!$F$5:$F$404,0)),""))</f>
        <v>0</v>
      </c>
      <c r="R841" s="31">
        <f>IF(OR(J841="",Q841=""),"",J841-Q841)</f>
        <v>0</v>
      </c>
      <c r="S841" s="50">
        <f>IF(B841="","",IF(H841="Done","Yes","No"))</f>
        <v>0</v>
      </c>
      <c r="T841" s="39">
        <f>IF(B841="","",IF(G841="","Add - what was the task?",IF(H841="Issue found",IF(M841="Yes","OK - issue reported","Action - tell the client"),IF(H841="Needs rework","Action - rework needed",IF(AND(H841="Skipped",P841="Yes"),"Check - required task skipped",IF(H841="Done","OK","Due"))))))</f>
        <v>0</v>
      </c>
    </row>
    <row r="842" spans="1:20">
      <c r="A842" s="43">
        <f>IF(B842="","","JT-"&amp;TEXT(ROW()-4,"0000"))</f>
        <v>0</v>
      </c>
      <c r="C842" s="18">
        <f>IF(B842="","",IFERROR(INDEX(Jobs!$B$5:$B$604,MATCH(B842,Jobs!$A$5:$A$604,0)),""))</f>
        <v>0</v>
      </c>
      <c r="D842" s="23">
        <f>IF(B842="","",IFERROR(INDEX(Jobs!$H$5:$H$604,MATCH(B842,Jobs!$A$5:$A$604,0)),""))</f>
        <v>0</v>
      </c>
      <c r="E842" s="23">
        <f>IF(B842="","",IFERROR(INDEX(Jobs!$K$5:$K$604,MATCH(B842,Jobs!$A$5:$A$604,0)),""))</f>
        <v>0</v>
      </c>
      <c r="P842" s="50">
        <f>IF(G842="","",IFERROR(INDEX(Checklists!$J$5:$J$404,MATCH(G842,Checklists!$F$5:$F$404,0)),"Yes"))</f>
        <v>0</v>
      </c>
      <c r="Q842" s="31">
        <f>IF(G842="","",IFERROR(INDEX(Checklists!$H$5:$H$404,MATCH(G842,Checklists!$F$5:$F$404,0)),""))</f>
        <v>0</v>
      </c>
      <c r="R842" s="31">
        <f>IF(OR(J842="",Q842=""),"",J842-Q842)</f>
        <v>0</v>
      </c>
      <c r="S842" s="50">
        <f>IF(B842="","",IF(H842="Done","Yes","No"))</f>
        <v>0</v>
      </c>
      <c r="T842" s="39">
        <f>IF(B842="","",IF(G842="","Add - what was the task?",IF(H842="Issue found",IF(M842="Yes","OK - issue reported","Action - tell the client"),IF(H842="Needs rework","Action - rework needed",IF(AND(H842="Skipped",P842="Yes"),"Check - required task skipped",IF(H842="Done","OK","Due"))))))</f>
        <v>0</v>
      </c>
    </row>
    <row r="843" spans="1:20">
      <c r="A843" s="43">
        <f>IF(B843="","","JT-"&amp;TEXT(ROW()-4,"0000"))</f>
        <v>0</v>
      </c>
      <c r="C843" s="18">
        <f>IF(B843="","",IFERROR(INDEX(Jobs!$B$5:$B$604,MATCH(B843,Jobs!$A$5:$A$604,0)),""))</f>
        <v>0</v>
      </c>
      <c r="D843" s="23">
        <f>IF(B843="","",IFERROR(INDEX(Jobs!$H$5:$H$604,MATCH(B843,Jobs!$A$5:$A$604,0)),""))</f>
        <v>0</v>
      </c>
      <c r="E843" s="23">
        <f>IF(B843="","",IFERROR(INDEX(Jobs!$K$5:$K$604,MATCH(B843,Jobs!$A$5:$A$604,0)),""))</f>
        <v>0</v>
      </c>
      <c r="P843" s="50">
        <f>IF(G843="","",IFERROR(INDEX(Checklists!$J$5:$J$404,MATCH(G843,Checklists!$F$5:$F$404,0)),"Yes"))</f>
        <v>0</v>
      </c>
      <c r="Q843" s="31">
        <f>IF(G843="","",IFERROR(INDEX(Checklists!$H$5:$H$404,MATCH(G843,Checklists!$F$5:$F$404,0)),""))</f>
        <v>0</v>
      </c>
      <c r="R843" s="31">
        <f>IF(OR(J843="",Q843=""),"",J843-Q843)</f>
        <v>0</v>
      </c>
      <c r="S843" s="50">
        <f>IF(B843="","",IF(H843="Done","Yes","No"))</f>
        <v>0</v>
      </c>
      <c r="T843" s="39">
        <f>IF(B843="","",IF(G843="","Add - what was the task?",IF(H843="Issue found",IF(M843="Yes","OK - issue reported","Action - tell the client"),IF(H843="Needs rework","Action - rework needed",IF(AND(H843="Skipped",P843="Yes"),"Check - required task skipped",IF(H843="Done","OK","Due"))))))</f>
        <v>0</v>
      </c>
    </row>
    <row r="844" spans="1:20">
      <c r="A844" s="43">
        <f>IF(B844="","","JT-"&amp;TEXT(ROW()-4,"0000"))</f>
        <v>0</v>
      </c>
      <c r="C844" s="18">
        <f>IF(B844="","",IFERROR(INDEX(Jobs!$B$5:$B$604,MATCH(B844,Jobs!$A$5:$A$604,0)),""))</f>
        <v>0</v>
      </c>
      <c r="D844" s="23">
        <f>IF(B844="","",IFERROR(INDEX(Jobs!$H$5:$H$604,MATCH(B844,Jobs!$A$5:$A$604,0)),""))</f>
        <v>0</v>
      </c>
      <c r="E844" s="23">
        <f>IF(B844="","",IFERROR(INDEX(Jobs!$K$5:$K$604,MATCH(B844,Jobs!$A$5:$A$604,0)),""))</f>
        <v>0</v>
      </c>
      <c r="P844" s="50">
        <f>IF(G844="","",IFERROR(INDEX(Checklists!$J$5:$J$404,MATCH(G844,Checklists!$F$5:$F$404,0)),"Yes"))</f>
        <v>0</v>
      </c>
      <c r="Q844" s="31">
        <f>IF(G844="","",IFERROR(INDEX(Checklists!$H$5:$H$404,MATCH(G844,Checklists!$F$5:$F$404,0)),""))</f>
        <v>0</v>
      </c>
      <c r="R844" s="31">
        <f>IF(OR(J844="",Q844=""),"",J844-Q844)</f>
        <v>0</v>
      </c>
      <c r="S844" s="50">
        <f>IF(B844="","",IF(H844="Done","Yes","No"))</f>
        <v>0</v>
      </c>
      <c r="T844" s="39">
        <f>IF(B844="","",IF(G844="","Add - what was the task?",IF(H844="Issue found",IF(M844="Yes","OK - issue reported","Action - tell the client"),IF(H844="Needs rework","Action - rework needed",IF(AND(H844="Skipped",P844="Yes"),"Check - required task skipped",IF(H844="Done","OK","Due"))))))</f>
        <v>0</v>
      </c>
    </row>
    <row r="845" spans="1:20">
      <c r="A845" s="43">
        <f>IF(B845="","","JT-"&amp;TEXT(ROW()-4,"0000"))</f>
        <v>0</v>
      </c>
      <c r="C845" s="18">
        <f>IF(B845="","",IFERROR(INDEX(Jobs!$B$5:$B$604,MATCH(B845,Jobs!$A$5:$A$604,0)),""))</f>
        <v>0</v>
      </c>
      <c r="D845" s="23">
        <f>IF(B845="","",IFERROR(INDEX(Jobs!$H$5:$H$604,MATCH(B845,Jobs!$A$5:$A$604,0)),""))</f>
        <v>0</v>
      </c>
      <c r="E845" s="23">
        <f>IF(B845="","",IFERROR(INDEX(Jobs!$K$5:$K$604,MATCH(B845,Jobs!$A$5:$A$604,0)),""))</f>
        <v>0</v>
      </c>
      <c r="P845" s="50">
        <f>IF(G845="","",IFERROR(INDEX(Checklists!$J$5:$J$404,MATCH(G845,Checklists!$F$5:$F$404,0)),"Yes"))</f>
        <v>0</v>
      </c>
      <c r="Q845" s="31">
        <f>IF(G845="","",IFERROR(INDEX(Checklists!$H$5:$H$404,MATCH(G845,Checklists!$F$5:$F$404,0)),""))</f>
        <v>0</v>
      </c>
      <c r="R845" s="31">
        <f>IF(OR(J845="",Q845=""),"",J845-Q845)</f>
        <v>0</v>
      </c>
      <c r="S845" s="50">
        <f>IF(B845="","",IF(H845="Done","Yes","No"))</f>
        <v>0</v>
      </c>
      <c r="T845" s="39">
        <f>IF(B845="","",IF(G845="","Add - what was the task?",IF(H845="Issue found",IF(M845="Yes","OK - issue reported","Action - tell the client"),IF(H845="Needs rework","Action - rework needed",IF(AND(H845="Skipped",P845="Yes"),"Check - required task skipped",IF(H845="Done","OK","Due"))))))</f>
        <v>0</v>
      </c>
    </row>
    <row r="846" spans="1:20">
      <c r="A846" s="43">
        <f>IF(B846="","","JT-"&amp;TEXT(ROW()-4,"0000"))</f>
        <v>0</v>
      </c>
      <c r="C846" s="18">
        <f>IF(B846="","",IFERROR(INDEX(Jobs!$B$5:$B$604,MATCH(B846,Jobs!$A$5:$A$604,0)),""))</f>
        <v>0</v>
      </c>
      <c r="D846" s="23">
        <f>IF(B846="","",IFERROR(INDEX(Jobs!$H$5:$H$604,MATCH(B846,Jobs!$A$5:$A$604,0)),""))</f>
        <v>0</v>
      </c>
      <c r="E846" s="23">
        <f>IF(B846="","",IFERROR(INDEX(Jobs!$K$5:$K$604,MATCH(B846,Jobs!$A$5:$A$604,0)),""))</f>
        <v>0</v>
      </c>
      <c r="P846" s="50">
        <f>IF(G846="","",IFERROR(INDEX(Checklists!$J$5:$J$404,MATCH(G846,Checklists!$F$5:$F$404,0)),"Yes"))</f>
        <v>0</v>
      </c>
      <c r="Q846" s="31">
        <f>IF(G846="","",IFERROR(INDEX(Checklists!$H$5:$H$404,MATCH(G846,Checklists!$F$5:$F$404,0)),""))</f>
        <v>0</v>
      </c>
      <c r="R846" s="31">
        <f>IF(OR(J846="",Q846=""),"",J846-Q846)</f>
        <v>0</v>
      </c>
      <c r="S846" s="50">
        <f>IF(B846="","",IF(H846="Done","Yes","No"))</f>
        <v>0</v>
      </c>
      <c r="T846" s="39">
        <f>IF(B846="","",IF(G846="","Add - what was the task?",IF(H846="Issue found",IF(M846="Yes","OK - issue reported","Action - tell the client"),IF(H846="Needs rework","Action - rework needed",IF(AND(H846="Skipped",P846="Yes"),"Check - required task skipped",IF(H846="Done","OK","Due"))))))</f>
        <v>0</v>
      </c>
    </row>
    <row r="847" spans="1:20">
      <c r="A847" s="43">
        <f>IF(B847="","","JT-"&amp;TEXT(ROW()-4,"0000"))</f>
        <v>0</v>
      </c>
      <c r="C847" s="18">
        <f>IF(B847="","",IFERROR(INDEX(Jobs!$B$5:$B$604,MATCH(B847,Jobs!$A$5:$A$604,0)),""))</f>
        <v>0</v>
      </c>
      <c r="D847" s="23">
        <f>IF(B847="","",IFERROR(INDEX(Jobs!$H$5:$H$604,MATCH(B847,Jobs!$A$5:$A$604,0)),""))</f>
        <v>0</v>
      </c>
      <c r="E847" s="23">
        <f>IF(B847="","",IFERROR(INDEX(Jobs!$K$5:$K$604,MATCH(B847,Jobs!$A$5:$A$604,0)),""))</f>
        <v>0</v>
      </c>
      <c r="P847" s="50">
        <f>IF(G847="","",IFERROR(INDEX(Checklists!$J$5:$J$404,MATCH(G847,Checklists!$F$5:$F$404,0)),"Yes"))</f>
        <v>0</v>
      </c>
      <c r="Q847" s="31">
        <f>IF(G847="","",IFERROR(INDEX(Checklists!$H$5:$H$404,MATCH(G847,Checklists!$F$5:$F$404,0)),""))</f>
        <v>0</v>
      </c>
      <c r="R847" s="31">
        <f>IF(OR(J847="",Q847=""),"",J847-Q847)</f>
        <v>0</v>
      </c>
      <c r="S847" s="50">
        <f>IF(B847="","",IF(H847="Done","Yes","No"))</f>
        <v>0</v>
      </c>
      <c r="T847" s="39">
        <f>IF(B847="","",IF(G847="","Add - what was the task?",IF(H847="Issue found",IF(M847="Yes","OK - issue reported","Action - tell the client"),IF(H847="Needs rework","Action - rework needed",IF(AND(H847="Skipped",P847="Yes"),"Check - required task skipped",IF(H847="Done","OK","Due"))))))</f>
        <v>0</v>
      </c>
    </row>
    <row r="848" spans="1:20">
      <c r="A848" s="43">
        <f>IF(B848="","","JT-"&amp;TEXT(ROW()-4,"0000"))</f>
        <v>0</v>
      </c>
      <c r="C848" s="18">
        <f>IF(B848="","",IFERROR(INDEX(Jobs!$B$5:$B$604,MATCH(B848,Jobs!$A$5:$A$604,0)),""))</f>
        <v>0</v>
      </c>
      <c r="D848" s="23">
        <f>IF(B848="","",IFERROR(INDEX(Jobs!$H$5:$H$604,MATCH(B848,Jobs!$A$5:$A$604,0)),""))</f>
        <v>0</v>
      </c>
      <c r="E848" s="23">
        <f>IF(B848="","",IFERROR(INDEX(Jobs!$K$5:$K$604,MATCH(B848,Jobs!$A$5:$A$604,0)),""))</f>
        <v>0</v>
      </c>
      <c r="P848" s="50">
        <f>IF(G848="","",IFERROR(INDEX(Checklists!$J$5:$J$404,MATCH(G848,Checklists!$F$5:$F$404,0)),"Yes"))</f>
        <v>0</v>
      </c>
      <c r="Q848" s="31">
        <f>IF(G848="","",IFERROR(INDEX(Checklists!$H$5:$H$404,MATCH(G848,Checklists!$F$5:$F$404,0)),""))</f>
        <v>0</v>
      </c>
      <c r="R848" s="31">
        <f>IF(OR(J848="",Q848=""),"",J848-Q848)</f>
        <v>0</v>
      </c>
      <c r="S848" s="50">
        <f>IF(B848="","",IF(H848="Done","Yes","No"))</f>
        <v>0</v>
      </c>
      <c r="T848" s="39">
        <f>IF(B848="","",IF(G848="","Add - what was the task?",IF(H848="Issue found",IF(M848="Yes","OK - issue reported","Action - tell the client"),IF(H848="Needs rework","Action - rework needed",IF(AND(H848="Skipped",P848="Yes"),"Check - required task skipped",IF(H848="Done","OK","Due"))))))</f>
        <v>0</v>
      </c>
    </row>
    <row r="849" spans="1:20">
      <c r="A849" s="43">
        <f>IF(B849="","","JT-"&amp;TEXT(ROW()-4,"0000"))</f>
        <v>0</v>
      </c>
      <c r="C849" s="18">
        <f>IF(B849="","",IFERROR(INDEX(Jobs!$B$5:$B$604,MATCH(B849,Jobs!$A$5:$A$604,0)),""))</f>
        <v>0</v>
      </c>
      <c r="D849" s="23">
        <f>IF(B849="","",IFERROR(INDEX(Jobs!$H$5:$H$604,MATCH(B849,Jobs!$A$5:$A$604,0)),""))</f>
        <v>0</v>
      </c>
      <c r="E849" s="23">
        <f>IF(B849="","",IFERROR(INDEX(Jobs!$K$5:$K$604,MATCH(B849,Jobs!$A$5:$A$604,0)),""))</f>
        <v>0</v>
      </c>
      <c r="P849" s="50">
        <f>IF(G849="","",IFERROR(INDEX(Checklists!$J$5:$J$404,MATCH(G849,Checklists!$F$5:$F$404,0)),"Yes"))</f>
        <v>0</v>
      </c>
      <c r="Q849" s="31">
        <f>IF(G849="","",IFERROR(INDEX(Checklists!$H$5:$H$404,MATCH(G849,Checklists!$F$5:$F$404,0)),""))</f>
        <v>0</v>
      </c>
      <c r="R849" s="31">
        <f>IF(OR(J849="",Q849=""),"",J849-Q849)</f>
        <v>0</v>
      </c>
      <c r="S849" s="50">
        <f>IF(B849="","",IF(H849="Done","Yes","No"))</f>
        <v>0</v>
      </c>
      <c r="T849" s="39">
        <f>IF(B849="","",IF(G849="","Add - what was the task?",IF(H849="Issue found",IF(M849="Yes","OK - issue reported","Action - tell the client"),IF(H849="Needs rework","Action - rework needed",IF(AND(H849="Skipped",P849="Yes"),"Check - required task skipped",IF(H849="Done","OK","Due"))))))</f>
        <v>0</v>
      </c>
    </row>
    <row r="850" spans="1:20">
      <c r="A850" s="43">
        <f>IF(B850="","","JT-"&amp;TEXT(ROW()-4,"0000"))</f>
        <v>0</v>
      </c>
      <c r="C850" s="18">
        <f>IF(B850="","",IFERROR(INDEX(Jobs!$B$5:$B$604,MATCH(B850,Jobs!$A$5:$A$604,0)),""))</f>
        <v>0</v>
      </c>
      <c r="D850" s="23">
        <f>IF(B850="","",IFERROR(INDEX(Jobs!$H$5:$H$604,MATCH(B850,Jobs!$A$5:$A$604,0)),""))</f>
        <v>0</v>
      </c>
      <c r="E850" s="23">
        <f>IF(B850="","",IFERROR(INDEX(Jobs!$K$5:$K$604,MATCH(B850,Jobs!$A$5:$A$604,0)),""))</f>
        <v>0</v>
      </c>
      <c r="P850" s="50">
        <f>IF(G850="","",IFERROR(INDEX(Checklists!$J$5:$J$404,MATCH(G850,Checklists!$F$5:$F$404,0)),"Yes"))</f>
        <v>0</v>
      </c>
      <c r="Q850" s="31">
        <f>IF(G850="","",IFERROR(INDEX(Checklists!$H$5:$H$404,MATCH(G850,Checklists!$F$5:$F$404,0)),""))</f>
        <v>0</v>
      </c>
      <c r="R850" s="31">
        <f>IF(OR(J850="",Q850=""),"",J850-Q850)</f>
        <v>0</v>
      </c>
      <c r="S850" s="50">
        <f>IF(B850="","",IF(H850="Done","Yes","No"))</f>
        <v>0</v>
      </c>
      <c r="T850" s="39">
        <f>IF(B850="","",IF(G850="","Add - what was the task?",IF(H850="Issue found",IF(M850="Yes","OK - issue reported","Action - tell the client"),IF(H850="Needs rework","Action - rework needed",IF(AND(H850="Skipped",P850="Yes"),"Check - required task skipped",IF(H850="Done","OK","Due"))))))</f>
        <v>0</v>
      </c>
    </row>
    <row r="851" spans="1:20">
      <c r="A851" s="43">
        <f>IF(B851="","","JT-"&amp;TEXT(ROW()-4,"0000"))</f>
        <v>0</v>
      </c>
      <c r="C851" s="18">
        <f>IF(B851="","",IFERROR(INDEX(Jobs!$B$5:$B$604,MATCH(B851,Jobs!$A$5:$A$604,0)),""))</f>
        <v>0</v>
      </c>
      <c r="D851" s="23">
        <f>IF(B851="","",IFERROR(INDEX(Jobs!$H$5:$H$604,MATCH(B851,Jobs!$A$5:$A$604,0)),""))</f>
        <v>0</v>
      </c>
      <c r="E851" s="23">
        <f>IF(B851="","",IFERROR(INDEX(Jobs!$K$5:$K$604,MATCH(B851,Jobs!$A$5:$A$604,0)),""))</f>
        <v>0</v>
      </c>
      <c r="P851" s="50">
        <f>IF(G851="","",IFERROR(INDEX(Checklists!$J$5:$J$404,MATCH(G851,Checklists!$F$5:$F$404,0)),"Yes"))</f>
        <v>0</v>
      </c>
      <c r="Q851" s="31">
        <f>IF(G851="","",IFERROR(INDEX(Checklists!$H$5:$H$404,MATCH(G851,Checklists!$F$5:$F$404,0)),""))</f>
        <v>0</v>
      </c>
      <c r="R851" s="31">
        <f>IF(OR(J851="",Q851=""),"",J851-Q851)</f>
        <v>0</v>
      </c>
      <c r="S851" s="50">
        <f>IF(B851="","",IF(H851="Done","Yes","No"))</f>
        <v>0</v>
      </c>
      <c r="T851" s="39">
        <f>IF(B851="","",IF(G851="","Add - what was the task?",IF(H851="Issue found",IF(M851="Yes","OK - issue reported","Action - tell the client"),IF(H851="Needs rework","Action - rework needed",IF(AND(H851="Skipped",P851="Yes"),"Check - required task skipped",IF(H851="Done","OK","Due"))))))</f>
        <v>0</v>
      </c>
    </row>
    <row r="852" spans="1:20">
      <c r="A852" s="43">
        <f>IF(B852="","","JT-"&amp;TEXT(ROW()-4,"0000"))</f>
        <v>0</v>
      </c>
      <c r="C852" s="18">
        <f>IF(B852="","",IFERROR(INDEX(Jobs!$B$5:$B$604,MATCH(B852,Jobs!$A$5:$A$604,0)),""))</f>
        <v>0</v>
      </c>
      <c r="D852" s="23">
        <f>IF(B852="","",IFERROR(INDEX(Jobs!$H$5:$H$604,MATCH(B852,Jobs!$A$5:$A$604,0)),""))</f>
        <v>0</v>
      </c>
      <c r="E852" s="23">
        <f>IF(B852="","",IFERROR(INDEX(Jobs!$K$5:$K$604,MATCH(B852,Jobs!$A$5:$A$604,0)),""))</f>
        <v>0</v>
      </c>
      <c r="P852" s="50">
        <f>IF(G852="","",IFERROR(INDEX(Checklists!$J$5:$J$404,MATCH(G852,Checklists!$F$5:$F$404,0)),"Yes"))</f>
        <v>0</v>
      </c>
      <c r="Q852" s="31">
        <f>IF(G852="","",IFERROR(INDEX(Checklists!$H$5:$H$404,MATCH(G852,Checklists!$F$5:$F$404,0)),""))</f>
        <v>0</v>
      </c>
      <c r="R852" s="31">
        <f>IF(OR(J852="",Q852=""),"",J852-Q852)</f>
        <v>0</v>
      </c>
      <c r="S852" s="50">
        <f>IF(B852="","",IF(H852="Done","Yes","No"))</f>
        <v>0</v>
      </c>
      <c r="T852" s="39">
        <f>IF(B852="","",IF(G852="","Add - what was the task?",IF(H852="Issue found",IF(M852="Yes","OK - issue reported","Action - tell the client"),IF(H852="Needs rework","Action - rework needed",IF(AND(H852="Skipped",P852="Yes"),"Check - required task skipped",IF(H852="Done","OK","Due"))))))</f>
        <v>0</v>
      </c>
    </row>
    <row r="853" spans="1:20">
      <c r="A853" s="43">
        <f>IF(B853="","","JT-"&amp;TEXT(ROW()-4,"0000"))</f>
        <v>0</v>
      </c>
      <c r="C853" s="18">
        <f>IF(B853="","",IFERROR(INDEX(Jobs!$B$5:$B$604,MATCH(B853,Jobs!$A$5:$A$604,0)),""))</f>
        <v>0</v>
      </c>
      <c r="D853" s="23">
        <f>IF(B853="","",IFERROR(INDEX(Jobs!$H$5:$H$604,MATCH(B853,Jobs!$A$5:$A$604,0)),""))</f>
        <v>0</v>
      </c>
      <c r="E853" s="23">
        <f>IF(B853="","",IFERROR(INDEX(Jobs!$K$5:$K$604,MATCH(B853,Jobs!$A$5:$A$604,0)),""))</f>
        <v>0</v>
      </c>
      <c r="P853" s="50">
        <f>IF(G853="","",IFERROR(INDEX(Checklists!$J$5:$J$404,MATCH(G853,Checklists!$F$5:$F$404,0)),"Yes"))</f>
        <v>0</v>
      </c>
      <c r="Q853" s="31">
        <f>IF(G853="","",IFERROR(INDEX(Checklists!$H$5:$H$404,MATCH(G853,Checklists!$F$5:$F$404,0)),""))</f>
        <v>0</v>
      </c>
      <c r="R853" s="31">
        <f>IF(OR(J853="",Q853=""),"",J853-Q853)</f>
        <v>0</v>
      </c>
      <c r="S853" s="50">
        <f>IF(B853="","",IF(H853="Done","Yes","No"))</f>
        <v>0</v>
      </c>
      <c r="T853" s="39">
        <f>IF(B853="","",IF(G853="","Add - what was the task?",IF(H853="Issue found",IF(M853="Yes","OK - issue reported","Action - tell the client"),IF(H853="Needs rework","Action - rework needed",IF(AND(H853="Skipped",P853="Yes"),"Check - required task skipped",IF(H853="Done","OK","Due"))))))</f>
        <v>0</v>
      </c>
    </row>
    <row r="854" spans="1:20">
      <c r="A854" s="43">
        <f>IF(B854="","","JT-"&amp;TEXT(ROW()-4,"0000"))</f>
        <v>0</v>
      </c>
      <c r="C854" s="18">
        <f>IF(B854="","",IFERROR(INDEX(Jobs!$B$5:$B$604,MATCH(B854,Jobs!$A$5:$A$604,0)),""))</f>
        <v>0</v>
      </c>
      <c r="D854" s="23">
        <f>IF(B854="","",IFERROR(INDEX(Jobs!$H$5:$H$604,MATCH(B854,Jobs!$A$5:$A$604,0)),""))</f>
        <v>0</v>
      </c>
      <c r="E854" s="23">
        <f>IF(B854="","",IFERROR(INDEX(Jobs!$K$5:$K$604,MATCH(B854,Jobs!$A$5:$A$604,0)),""))</f>
        <v>0</v>
      </c>
      <c r="P854" s="50">
        <f>IF(G854="","",IFERROR(INDEX(Checklists!$J$5:$J$404,MATCH(G854,Checklists!$F$5:$F$404,0)),"Yes"))</f>
        <v>0</v>
      </c>
      <c r="Q854" s="31">
        <f>IF(G854="","",IFERROR(INDEX(Checklists!$H$5:$H$404,MATCH(G854,Checklists!$F$5:$F$404,0)),""))</f>
        <v>0</v>
      </c>
      <c r="R854" s="31">
        <f>IF(OR(J854="",Q854=""),"",J854-Q854)</f>
        <v>0</v>
      </c>
      <c r="S854" s="50">
        <f>IF(B854="","",IF(H854="Done","Yes","No"))</f>
        <v>0</v>
      </c>
      <c r="T854" s="39">
        <f>IF(B854="","",IF(G854="","Add - what was the task?",IF(H854="Issue found",IF(M854="Yes","OK - issue reported","Action - tell the client"),IF(H854="Needs rework","Action - rework needed",IF(AND(H854="Skipped",P854="Yes"),"Check - required task skipped",IF(H854="Done","OK","Due"))))))</f>
        <v>0</v>
      </c>
    </row>
    <row r="855" spans="1:20">
      <c r="A855" s="43">
        <f>IF(B855="","","JT-"&amp;TEXT(ROW()-4,"0000"))</f>
        <v>0</v>
      </c>
      <c r="C855" s="18">
        <f>IF(B855="","",IFERROR(INDEX(Jobs!$B$5:$B$604,MATCH(B855,Jobs!$A$5:$A$604,0)),""))</f>
        <v>0</v>
      </c>
      <c r="D855" s="23">
        <f>IF(B855="","",IFERROR(INDEX(Jobs!$H$5:$H$604,MATCH(B855,Jobs!$A$5:$A$604,0)),""))</f>
        <v>0</v>
      </c>
      <c r="E855" s="23">
        <f>IF(B855="","",IFERROR(INDEX(Jobs!$K$5:$K$604,MATCH(B855,Jobs!$A$5:$A$604,0)),""))</f>
        <v>0</v>
      </c>
      <c r="P855" s="50">
        <f>IF(G855="","",IFERROR(INDEX(Checklists!$J$5:$J$404,MATCH(G855,Checklists!$F$5:$F$404,0)),"Yes"))</f>
        <v>0</v>
      </c>
      <c r="Q855" s="31">
        <f>IF(G855="","",IFERROR(INDEX(Checklists!$H$5:$H$404,MATCH(G855,Checklists!$F$5:$F$404,0)),""))</f>
        <v>0</v>
      </c>
      <c r="R855" s="31">
        <f>IF(OR(J855="",Q855=""),"",J855-Q855)</f>
        <v>0</v>
      </c>
      <c r="S855" s="50">
        <f>IF(B855="","",IF(H855="Done","Yes","No"))</f>
        <v>0</v>
      </c>
      <c r="T855" s="39">
        <f>IF(B855="","",IF(G855="","Add - what was the task?",IF(H855="Issue found",IF(M855="Yes","OK - issue reported","Action - tell the client"),IF(H855="Needs rework","Action - rework needed",IF(AND(H855="Skipped",P855="Yes"),"Check - required task skipped",IF(H855="Done","OK","Due"))))))</f>
        <v>0</v>
      </c>
    </row>
    <row r="856" spans="1:20">
      <c r="A856" s="43">
        <f>IF(B856="","","JT-"&amp;TEXT(ROW()-4,"0000"))</f>
        <v>0</v>
      </c>
      <c r="C856" s="18">
        <f>IF(B856="","",IFERROR(INDEX(Jobs!$B$5:$B$604,MATCH(B856,Jobs!$A$5:$A$604,0)),""))</f>
        <v>0</v>
      </c>
      <c r="D856" s="23">
        <f>IF(B856="","",IFERROR(INDEX(Jobs!$H$5:$H$604,MATCH(B856,Jobs!$A$5:$A$604,0)),""))</f>
        <v>0</v>
      </c>
      <c r="E856" s="23">
        <f>IF(B856="","",IFERROR(INDEX(Jobs!$K$5:$K$604,MATCH(B856,Jobs!$A$5:$A$604,0)),""))</f>
        <v>0</v>
      </c>
      <c r="P856" s="50">
        <f>IF(G856="","",IFERROR(INDEX(Checklists!$J$5:$J$404,MATCH(G856,Checklists!$F$5:$F$404,0)),"Yes"))</f>
        <v>0</v>
      </c>
      <c r="Q856" s="31">
        <f>IF(G856="","",IFERROR(INDEX(Checklists!$H$5:$H$404,MATCH(G856,Checklists!$F$5:$F$404,0)),""))</f>
        <v>0</v>
      </c>
      <c r="R856" s="31">
        <f>IF(OR(J856="",Q856=""),"",J856-Q856)</f>
        <v>0</v>
      </c>
      <c r="S856" s="50">
        <f>IF(B856="","",IF(H856="Done","Yes","No"))</f>
        <v>0</v>
      </c>
      <c r="T856" s="39">
        <f>IF(B856="","",IF(G856="","Add - what was the task?",IF(H856="Issue found",IF(M856="Yes","OK - issue reported","Action - tell the client"),IF(H856="Needs rework","Action - rework needed",IF(AND(H856="Skipped",P856="Yes"),"Check - required task skipped",IF(H856="Done","OK","Due"))))))</f>
        <v>0</v>
      </c>
    </row>
    <row r="857" spans="1:20">
      <c r="A857" s="43">
        <f>IF(B857="","","JT-"&amp;TEXT(ROW()-4,"0000"))</f>
        <v>0</v>
      </c>
      <c r="C857" s="18">
        <f>IF(B857="","",IFERROR(INDEX(Jobs!$B$5:$B$604,MATCH(B857,Jobs!$A$5:$A$604,0)),""))</f>
        <v>0</v>
      </c>
      <c r="D857" s="23">
        <f>IF(B857="","",IFERROR(INDEX(Jobs!$H$5:$H$604,MATCH(B857,Jobs!$A$5:$A$604,0)),""))</f>
        <v>0</v>
      </c>
      <c r="E857" s="23">
        <f>IF(B857="","",IFERROR(INDEX(Jobs!$K$5:$K$604,MATCH(B857,Jobs!$A$5:$A$604,0)),""))</f>
        <v>0</v>
      </c>
      <c r="P857" s="50">
        <f>IF(G857="","",IFERROR(INDEX(Checklists!$J$5:$J$404,MATCH(G857,Checklists!$F$5:$F$404,0)),"Yes"))</f>
        <v>0</v>
      </c>
      <c r="Q857" s="31">
        <f>IF(G857="","",IFERROR(INDEX(Checklists!$H$5:$H$404,MATCH(G857,Checklists!$F$5:$F$404,0)),""))</f>
        <v>0</v>
      </c>
      <c r="R857" s="31">
        <f>IF(OR(J857="",Q857=""),"",J857-Q857)</f>
        <v>0</v>
      </c>
      <c r="S857" s="50">
        <f>IF(B857="","",IF(H857="Done","Yes","No"))</f>
        <v>0</v>
      </c>
      <c r="T857" s="39">
        <f>IF(B857="","",IF(G857="","Add - what was the task?",IF(H857="Issue found",IF(M857="Yes","OK - issue reported","Action - tell the client"),IF(H857="Needs rework","Action - rework needed",IF(AND(H857="Skipped",P857="Yes"),"Check - required task skipped",IF(H857="Done","OK","Due"))))))</f>
        <v>0</v>
      </c>
    </row>
    <row r="858" spans="1:20">
      <c r="A858" s="43">
        <f>IF(B858="","","JT-"&amp;TEXT(ROW()-4,"0000"))</f>
        <v>0</v>
      </c>
      <c r="C858" s="18">
        <f>IF(B858="","",IFERROR(INDEX(Jobs!$B$5:$B$604,MATCH(B858,Jobs!$A$5:$A$604,0)),""))</f>
        <v>0</v>
      </c>
      <c r="D858" s="23">
        <f>IF(B858="","",IFERROR(INDEX(Jobs!$H$5:$H$604,MATCH(B858,Jobs!$A$5:$A$604,0)),""))</f>
        <v>0</v>
      </c>
      <c r="E858" s="23">
        <f>IF(B858="","",IFERROR(INDEX(Jobs!$K$5:$K$604,MATCH(B858,Jobs!$A$5:$A$604,0)),""))</f>
        <v>0</v>
      </c>
      <c r="P858" s="50">
        <f>IF(G858="","",IFERROR(INDEX(Checklists!$J$5:$J$404,MATCH(G858,Checklists!$F$5:$F$404,0)),"Yes"))</f>
        <v>0</v>
      </c>
      <c r="Q858" s="31">
        <f>IF(G858="","",IFERROR(INDEX(Checklists!$H$5:$H$404,MATCH(G858,Checklists!$F$5:$F$404,0)),""))</f>
        <v>0</v>
      </c>
      <c r="R858" s="31">
        <f>IF(OR(J858="",Q858=""),"",J858-Q858)</f>
        <v>0</v>
      </c>
      <c r="S858" s="50">
        <f>IF(B858="","",IF(H858="Done","Yes","No"))</f>
        <v>0</v>
      </c>
      <c r="T858" s="39">
        <f>IF(B858="","",IF(G858="","Add - what was the task?",IF(H858="Issue found",IF(M858="Yes","OK - issue reported","Action - tell the client"),IF(H858="Needs rework","Action - rework needed",IF(AND(H858="Skipped",P858="Yes"),"Check - required task skipped",IF(H858="Done","OK","Due"))))))</f>
        <v>0</v>
      </c>
    </row>
    <row r="859" spans="1:20">
      <c r="A859" s="43">
        <f>IF(B859="","","JT-"&amp;TEXT(ROW()-4,"0000"))</f>
        <v>0</v>
      </c>
      <c r="C859" s="18">
        <f>IF(B859="","",IFERROR(INDEX(Jobs!$B$5:$B$604,MATCH(B859,Jobs!$A$5:$A$604,0)),""))</f>
        <v>0</v>
      </c>
      <c r="D859" s="23">
        <f>IF(B859="","",IFERROR(INDEX(Jobs!$H$5:$H$604,MATCH(B859,Jobs!$A$5:$A$604,0)),""))</f>
        <v>0</v>
      </c>
      <c r="E859" s="23">
        <f>IF(B859="","",IFERROR(INDEX(Jobs!$K$5:$K$604,MATCH(B859,Jobs!$A$5:$A$604,0)),""))</f>
        <v>0</v>
      </c>
      <c r="P859" s="50">
        <f>IF(G859="","",IFERROR(INDEX(Checklists!$J$5:$J$404,MATCH(G859,Checklists!$F$5:$F$404,0)),"Yes"))</f>
        <v>0</v>
      </c>
      <c r="Q859" s="31">
        <f>IF(G859="","",IFERROR(INDEX(Checklists!$H$5:$H$404,MATCH(G859,Checklists!$F$5:$F$404,0)),""))</f>
        <v>0</v>
      </c>
      <c r="R859" s="31">
        <f>IF(OR(J859="",Q859=""),"",J859-Q859)</f>
        <v>0</v>
      </c>
      <c r="S859" s="50">
        <f>IF(B859="","",IF(H859="Done","Yes","No"))</f>
        <v>0</v>
      </c>
      <c r="T859" s="39">
        <f>IF(B859="","",IF(G859="","Add - what was the task?",IF(H859="Issue found",IF(M859="Yes","OK - issue reported","Action - tell the client"),IF(H859="Needs rework","Action - rework needed",IF(AND(H859="Skipped",P859="Yes"),"Check - required task skipped",IF(H859="Done","OK","Due"))))))</f>
        <v>0</v>
      </c>
    </row>
    <row r="860" spans="1:20">
      <c r="A860" s="43">
        <f>IF(B860="","","JT-"&amp;TEXT(ROW()-4,"0000"))</f>
        <v>0</v>
      </c>
      <c r="C860" s="18">
        <f>IF(B860="","",IFERROR(INDEX(Jobs!$B$5:$B$604,MATCH(B860,Jobs!$A$5:$A$604,0)),""))</f>
        <v>0</v>
      </c>
      <c r="D860" s="23">
        <f>IF(B860="","",IFERROR(INDEX(Jobs!$H$5:$H$604,MATCH(B860,Jobs!$A$5:$A$604,0)),""))</f>
        <v>0</v>
      </c>
      <c r="E860" s="23">
        <f>IF(B860="","",IFERROR(INDEX(Jobs!$K$5:$K$604,MATCH(B860,Jobs!$A$5:$A$604,0)),""))</f>
        <v>0</v>
      </c>
      <c r="P860" s="50">
        <f>IF(G860="","",IFERROR(INDEX(Checklists!$J$5:$J$404,MATCH(G860,Checklists!$F$5:$F$404,0)),"Yes"))</f>
        <v>0</v>
      </c>
      <c r="Q860" s="31">
        <f>IF(G860="","",IFERROR(INDEX(Checklists!$H$5:$H$404,MATCH(G860,Checklists!$F$5:$F$404,0)),""))</f>
        <v>0</v>
      </c>
      <c r="R860" s="31">
        <f>IF(OR(J860="",Q860=""),"",J860-Q860)</f>
        <v>0</v>
      </c>
      <c r="S860" s="50">
        <f>IF(B860="","",IF(H860="Done","Yes","No"))</f>
        <v>0</v>
      </c>
      <c r="T860" s="39">
        <f>IF(B860="","",IF(G860="","Add - what was the task?",IF(H860="Issue found",IF(M860="Yes","OK - issue reported","Action - tell the client"),IF(H860="Needs rework","Action - rework needed",IF(AND(H860="Skipped",P860="Yes"),"Check - required task skipped",IF(H860="Done","OK","Due"))))))</f>
        <v>0</v>
      </c>
    </row>
    <row r="861" spans="1:20">
      <c r="A861" s="43">
        <f>IF(B861="","","JT-"&amp;TEXT(ROW()-4,"0000"))</f>
        <v>0</v>
      </c>
      <c r="C861" s="18">
        <f>IF(B861="","",IFERROR(INDEX(Jobs!$B$5:$B$604,MATCH(B861,Jobs!$A$5:$A$604,0)),""))</f>
        <v>0</v>
      </c>
      <c r="D861" s="23">
        <f>IF(B861="","",IFERROR(INDEX(Jobs!$H$5:$H$604,MATCH(B861,Jobs!$A$5:$A$604,0)),""))</f>
        <v>0</v>
      </c>
      <c r="E861" s="23">
        <f>IF(B861="","",IFERROR(INDEX(Jobs!$K$5:$K$604,MATCH(B861,Jobs!$A$5:$A$604,0)),""))</f>
        <v>0</v>
      </c>
      <c r="P861" s="50">
        <f>IF(G861="","",IFERROR(INDEX(Checklists!$J$5:$J$404,MATCH(G861,Checklists!$F$5:$F$404,0)),"Yes"))</f>
        <v>0</v>
      </c>
      <c r="Q861" s="31">
        <f>IF(G861="","",IFERROR(INDEX(Checklists!$H$5:$H$404,MATCH(G861,Checklists!$F$5:$F$404,0)),""))</f>
        <v>0</v>
      </c>
      <c r="R861" s="31">
        <f>IF(OR(J861="",Q861=""),"",J861-Q861)</f>
        <v>0</v>
      </c>
      <c r="S861" s="50">
        <f>IF(B861="","",IF(H861="Done","Yes","No"))</f>
        <v>0</v>
      </c>
      <c r="T861" s="39">
        <f>IF(B861="","",IF(G861="","Add - what was the task?",IF(H861="Issue found",IF(M861="Yes","OK - issue reported","Action - tell the client"),IF(H861="Needs rework","Action - rework needed",IF(AND(H861="Skipped",P861="Yes"),"Check - required task skipped",IF(H861="Done","OK","Due"))))))</f>
        <v>0</v>
      </c>
    </row>
    <row r="862" spans="1:20">
      <c r="A862" s="43">
        <f>IF(B862="","","JT-"&amp;TEXT(ROW()-4,"0000"))</f>
        <v>0</v>
      </c>
      <c r="C862" s="18">
        <f>IF(B862="","",IFERROR(INDEX(Jobs!$B$5:$B$604,MATCH(B862,Jobs!$A$5:$A$604,0)),""))</f>
        <v>0</v>
      </c>
      <c r="D862" s="23">
        <f>IF(B862="","",IFERROR(INDEX(Jobs!$H$5:$H$604,MATCH(B862,Jobs!$A$5:$A$604,0)),""))</f>
        <v>0</v>
      </c>
      <c r="E862" s="23">
        <f>IF(B862="","",IFERROR(INDEX(Jobs!$K$5:$K$604,MATCH(B862,Jobs!$A$5:$A$604,0)),""))</f>
        <v>0</v>
      </c>
      <c r="P862" s="50">
        <f>IF(G862="","",IFERROR(INDEX(Checklists!$J$5:$J$404,MATCH(G862,Checklists!$F$5:$F$404,0)),"Yes"))</f>
        <v>0</v>
      </c>
      <c r="Q862" s="31">
        <f>IF(G862="","",IFERROR(INDEX(Checklists!$H$5:$H$404,MATCH(G862,Checklists!$F$5:$F$404,0)),""))</f>
        <v>0</v>
      </c>
      <c r="R862" s="31">
        <f>IF(OR(J862="",Q862=""),"",J862-Q862)</f>
        <v>0</v>
      </c>
      <c r="S862" s="50">
        <f>IF(B862="","",IF(H862="Done","Yes","No"))</f>
        <v>0</v>
      </c>
      <c r="T862" s="39">
        <f>IF(B862="","",IF(G862="","Add - what was the task?",IF(H862="Issue found",IF(M862="Yes","OK - issue reported","Action - tell the client"),IF(H862="Needs rework","Action - rework needed",IF(AND(H862="Skipped",P862="Yes"),"Check - required task skipped",IF(H862="Done","OK","Due"))))))</f>
        <v>0</v>
      </c>
    </row>
    <row r="863" spans="1:20">
      <c r="A863" s="43">
        <f>IF(B863="","","JT-"&amp;TEXT(ROW()-4,"0000"))</f>
        <v>0</v>
      </c>
      <c r="C863" s="18">
        <f>IF(B863="","",IFERROR(INDEX(Jobs!$B$5:$B$604,MATCH(B863,Jobs!$A$5:$A$604,0)),""))</f>
        <v>0</v>
      </c>
      <c r="D863" s="23">
        <f>IF(B863="","",IFERROR(INDEX(Jobs!$H$5:$H$604,MATCH(B863,Jobs!$A$5:$A$604,0)),""))</f>
        <v>0</v>
      </c>
      <c r="E863" s="23">
        <f>IF(B863="","",IFERROR(INDEX(Jobs!$K$5:$K$604,MATCH(B863,Jobs!$A$5:$A$604,0)),""))</f>
        <v>0</v>
      </c>
      <c r="P863" s="50">
        <f>IF(G863="","",IFERROR(INDEX(Checklists!$J$5:$J$404,MATCH(G863,Checklists!$F$5:$F$404,0)),"Yes"))</f>
        <v>0</v>
      </c>
      <c r="Q863" s="31">
        <f>IF(G863="","",IFERROR(INDEX(Checklists!$H$5:$H$404,MATCH(G863,Checklists!$F$5:$F$404,0)),""))</f>
        <v>0</v>
      </c>
      <c r="R863" s="31">
        <f>IF(OR(J863="",Q863=""),"",J863-Q863)</f>
        <v>0</v>
      </c>
      <c r="S863" s="50">
        <f>IF(B863="","",IF(H863="Done","Yes","No"))</f>
        <v>0</v>
      </c>
      <c r="T863" s="39">
        <f>IF(B863="","",IF(G863="","Add - what was the task?",IF(H863="Issue found",IF(M863="Yes","OK - issue reported","Action - tell the client"),IF(H863="Needs rework","Action - rework needed",IF(AND(H863="Skipped",P863="Yes"),"Check - required task skipped",IF(H863="Done","OK","Due"))))))</f>
        <v>0</v>
      </c>
    </row>
    <row r="864" spans="1:20">
      <c r="A864" s="43">
        <f>IF(B864="","","JT-"&amp;TEXT(ROW()-4,"0000"))</f>
        <v>0</v>
      </c>
      <c r="C864" s="18">
        <f>IF(B864="","",IFERROR(INDEX(Jobs!$B$5:$B$604,MATCH(B864,Jobs!$A$5:$A$604,0)),""))</f>
        <v>0</v>
      </c>
      <c r="D864" s="23">
        <f>IF(B864="","",IFERROR(INDEX(Jobs!$H$5:$H$604,MATCH(B864,Jobs!$A$5:$A$604,0)),""))</f>
        <v>0</v>
      </c>
      <c r="E864" s="23">
        <f>IF(B864="","",IFERROR(INDEX(Jobs!$K$5:$K$604,MATCH(B864,Jobs!$A$5:$A$604,0)),""))</f>
        <v>0</v>
      </c>
      <c r="P864" s="50">
        <f>IF(G864="","",IFERROR(INDEX(Checklists!$J$5:$J$404,MATCH(G864,Checklists!$F$5:$F$404,0)),"Yes"))</f>
        <v>0</v>
      </c>
      <c r="Q864" s="31">
        <f>IF(G864="","",IFERROR(INDEX(Checklists!$H$5:$H$404,MATCH(G864,Checklists!$F$5:$F$404,0)),""))</f>
        <v>0</v>
      </c>
      <c r="R864" s="31">
        <f>IF(OR(J864="",Q864=""),"",J864-Q864)</f>
        <v>0</v>
      </c>
      <c r="S864" s="50">
        <f>IF(B864="","",IF(H864="Done","Yes","No"))</f>
        <v>0</v>
      </c>
      <c r="T864" s="39">
        <f>IF(B864="","",IF(G864="","Add - what was the task?",IF(H864="Issue found",IF(M864="Yes","OK - issue reported","Action - tell the client"),IF(H864="Needs rework","Action - rework needed",IF(AND(H864="Skipped",P864="Yes"),"Check - required task skipped",IF(H864="Done","OK","Due"))))))</f>
        <v>0</v>
      </c>
    </row>
    <row r="865" spans="1:20">
      <c r="A865" s="43">
        <f>IF(B865="","","JT-"&amp;TEXT(ROW()-4,"0000"))</f>
        <v>0</v>
      </c>
      <c r="C865" s="18">
        <f>IF(B865="","",IFERROR(INDEX(Jobs!$B$5:$B$604,MATCH(B865,Jobs!$A$5:$A$604,0)),""))</f>
        <v>0</v>
      </c>
      <c r="D865" s="23">
        <f>IF(B865="","",IFERROR(INDEX(Jobs!$H$5:$H$604,MATCH(B865,Jobs!$A$5:$A$604,0)),""))</f>
        <v>0</v>
      </c>
      <c r="E865" s="23">
        <f>IF(B865="","",IFERROR(INDEX(Jobs!$K$5:$K$604,MATCH(B865,Jobs!$A$5:$A$604,0)),""))</f>
        <v>0</v>
      </c>
      <c r="P865" s="50">
        <f>IF(G865="","",IFERROR(INDEX(Checklists!$J$5:$J$404,MATCH(G865,Checklists!$F$5:$F$404,0)),"Yes"))</f>
        <v>0</v>
      </c>
      <c r="Q865" s="31">
        <f>IF(G865="","",IFERROR(INDEX(Checklists!$H$5:$H$404,MATCH(G865,Checklists!$F$5:$F$404,0)),""))</f>
        <v>0</v>
      </c>
      <c r="R865" s="31">
        <f>IF(OR(J865="",Q865=""),"",J865-Q865)</f>
        <v>0</v>
      </c>
      <c r="S865" s="50">
        <f>IF(B865="","",IF(H865="Done","Yes","No"))</f>
        <v>0</v>
      </c>
      <c r="T865" s="39">
        <f>IF(B865="","",IF(G865="","Add - what was the task?",IF(H865="Issue found",IF(M865="Yes","OK - issue reported","Action - tell the client"),IF(H865="Needs rework","Action - rework needed",IF(AND(H865="Skipped",P865="Yes"),"Check - required task skipped",IF(H865="Done","OK","Due"))))))</f>
        <v>0</v>
      </c>
    </row>
    <row r="866" spans="1:20">
      <c r="A866" s="43">
        <f>IF(B866="","","JT-"&amp;TEXT(ROW()-4,"0000"))</f>
        <v>0</v>
      </c>
      <c r="C866" s="18">
        <f>IF(B866="","",IFERROR(INDEX(Jobs!$B$5:$B$604,MATCH(B866,Jobs!$A$5:$A$604,0)),""))</f>
        <v>0</v>
      </c>
      <c r="D866" s="23">
        <f>IF(B866="","",IFERROR(INDEX(Jobs!$H$5:$H$604,MATCH(B866,Jobs!$A$5:$A$604,0)),""))</f>
        <v>0</v>
      </c>
      <c r="E866" s="23">
        <f>IF(B866="","",IFERROR(INDEX(Jobs!$K$5:$K$604,MATCH(B866,Jobs!$A$5:$A$604,0)),""))</f>
        <v>0</v>
      </c>
      <c r="P866" s="50">
        <f>IF(G866="","",IFERROR(INDEX(Checklists!$J$5:$J$404,MATCH(G866,Checklists!$F$5:$F$404,0)),"Yes"))</f>
        <v>0</v>
      </c>
      <c r="Q866" s="31">
        <f>IF(G866="","",IFERROR(INDEX(Checklists!$H$5:$H$404,MATCH(G866,Checklists!$F$5:$F$404,0)),""))</f>
        <v>0</v>
      </c>
      <c r="R866" s="31">
        <f>IF(OR(J866="",Q866=""),"",J866-Q866)</f>
        <v>0</v>
      </c>
      <c r="S866" s="50">
        <f>IF(B866="","",IF(H866="Done","Yes","No"))</f>
        <v>0</v>
      </c>
      <c r="T866" s="39">
        <f>IF(B866="","",IF(G866="","Add - what was the task?",IF(H866="Issue found",IF(M866="Yes","OK - issue reported","Action - tell the client"),IF(H866="Needs rework","Action - rework needed",IF(AND(H866="Skipped",P866="Yes"),"Check - required task skipped",IF(H866="Done","OK","Due"))))))</f>
        <v>0</v>
      </c>
    </row>
    <row r="867" spans="1:20">
      <c r="A867" s="43">
        <f>IF(B867="","","JT-"&amp;TEXT(ROW()-4,"0000"))</f>
        <v>0</v>
      </c>
      <c r="C867" s="18">
        <f>IF(B867="","",IFERROR(INDEX(Jobs!$B$5:$B$604,MATCH(B867,Jobs!$A$5:$A$604,0)),""))</f>
        <v>0</v>
      </c>
      <c r="D867" s="23">
        <f>IF(B867="","",IFERROR(INDEX(Jobs!$H$5:$H$604,MATCH(B867,Jobs!$A$5:$A$604,0)),""))</f>
        <v>0</v>
      </c>
      <c r="E867" s="23">
        <f>IF(B867="","",IFERROR(INDEX(Jobs!$K$5:$K$604,MATCH(B867,Jobs!$A$5:$A$604,0)),""))</f>
        <v>0</v>
      </c>
      <c r="P867" s="50">
        <f>IF(G867="","",IFERROR(INDEX(Checklists!$J$5:$J$404,MATCH(G867,Checklists!$F$5:$F$404,0)),"Yes"))</f>
        <v>0</v>
      </c>
      <c r="Q867" s="31">
        <f>IF(G867="","",IFERROR(INDEX(Checklists!$H$5:$H$404,MATCH(G867,Checklists!$F$5:$F$404,0)),""))</f>
        <v>0</v>
      </c>
      <c r="R867" s="31">
        <f>IF(OR(J867="",Q867=""),"",J867-Q867)</f>
        <v>0</v>
      </c>
      <c r="S867" s="50">
        <f>IF(B867="","",IF(H867="Done","Yes","No"))</f>
        <v>0</v>
      </c>
      <c r="T867" s="39">
        <f>IF(B867="","",IF(G867="","Add - what was the task?",IF(H867="Issue found",IF(M867="Yes","OK - issue reported","Action - tell the client"),IF(H867="Needs rework","Action - rework needed",IF(AND(H867="Skipped",P867="Yes"),"Check - required task skipped",IF(H867="Done","OK","Due"))))))</f>
        <v>0</v>
      </c>
    </row>
    <row r="868" spans="1:20">
      <c r="A868" s="43">
        <f>IF(B868="","","JT-"&amp;TEXT(ROW()-4,"0000"))</f>
        <v>0</v>
      </c>
      <c r="C868" s="18">
        <f>IF(B868="","",IFERROR(INDEX(Jobs!$B$5:$B$604,MATCH(B868,Jobs!$A$5:$A$604,0)),""))</f>
        <v>0</v>
      </c>
      <c r="D868" s="23">
        <f>IF(B868="","",IFERROR(INDEX(Jobs!$H$5:$H$604,MATCH(B868,Jobs!$A$5:$A$604,0)),""))</f>
        <v>0</v>
      </c>
      <c r="E868" s="23">
        <f>IF(B868="","",IFERROR(INDEX(Jobs!$K$5:$K$604,MATCH(B868,Jobs!$A$5:$A$604,0)),""))</f>
        <v>0</v>
      </c>
      <c r="P868" s="50">
        <f>IF(G868="","",IFERROR(INDEX(Checklists!$J$5:$J$404,MATCH(G868,Checklists!$F$5:$F$404,0)),"Yes"))</f>
        <v>0</v>
      </c>
      <c r="Q868" s="31">
        <f>IF(G868="","",IFERROR(INDEX(Checklists!$H$5:$H$404,MATCH(G868,Checklists!$F$5:$F$404,0)),""))</f>
        <v>0</v>
      </c>
      <c r="R868" s="31">
        <f>IF(OR(J868="",Q868=""),"",J868-Q868)</f>
        <v>0</v>
      </c>
      <c r="S868" s="50">
        <f>IF(B868="","",IF(H868="Done","Yes","No"))</f>
        <v>0</v>
      </c>
      <c r="T868" s="39">
        <f>IF(B868="","",IF(G868="","Add - what was the task?",IF(H868="Issue found",IF(M868="Yes","OK - issue reported","Action - tell the client"),IF(H868="Needs rework","Action - rework needed",IF(AND(H868="Skipped",P868="Yes"),"Check - required task skipped",IF(H868="Done","OK","Due"))))))</f>
        <v>0</v>
      </c>
    </row>
    <row r="869" spans="1:20">
      <c r="A869" s="43">
        <f>IF(B869="","","JT-"&amp;TEXT(ROW()-4,"0000"))</f>
        <v>0</v>
      </c>
      <c r="C869" s="18">
        <f>IF(B869="","",IFERROR(INDEX(Jobs!$B$5:$B$604,MATCH(B869,Jobs!$A$5:$A$604,0)),""))</f>
        <v>0</v>
      </c>
      <c r="D869" s="23">
        <f>IF(B869="","",IFERROR(INDEX(Jobs!$H$5:$H$604,MATCH(B869,Jobs!$A$5:$A$604,0)),""))</f>
        <v>0</v>
      </c>
      <c r="E869" s="23">
        <f>IF(B869="","",IFERROR(INDEX(Jobs!$K$5:$K$604,MATCH(B869,Jobs!$A$5:$A$604,0)),""))</f>
        <v>0</v>
      </c>
      <c r="P869" s="50">
        <f>IF(G869="","",IFERROR(INDEX(Checklists!$J$5:$J$404,MATCH(G869,Checklists!$F$5:$F$404,0)),"Yes"))</f>
        <v>0</v>
      </c>
      <c r="Q869" s="31">
        <f>IF(G869="","",IFERROR(INDEX(Checklists!$H$5:$H$404,MATCH(G869,Checklists!$F$5:$F$404,0)),""))</f>
        <v>0</v>
      </c>
      <c r="R869" s="31">
        <f>IF(OR(J869="",Q869=""),"",J869-Q869)</f>
        <v>0</v>
      </c>
      <c r="S869" s="50">
        <f>IF(B869="","",IF(H869="Done","Yes","No"))</f>
        <v>0</v>
      </c>
      <c r="T869" s="39">
        <f>IF(B869="","",IF(G869="","Add - what was the task?",IF(H869="Issue found",IF(M869="Yes","OK - issue reported","Action - tell the client"),IF(H869="Needs rework","Action - rework needed",IF(AND(H869="Skipped",P869="Yes"),"Check - required task skipped",IF(H869="Done","OK","Due"))))))</f>
        <v>0</v>
      </c>
    </row>
    <row r="870" spans="1:20">
      <c r="A870" s="43">
        <f>IF(B870="","","JT-"&amp;TEXT(ROW()-4,"0000"))</f>
        <v>0</v>
      </c>
      <c r="C870" s="18">
        <f>IF(B870="","",IFERROR(INDEX(Jobs!$B$5:$B$604,MATCH(B870,Jobs!$A$5:$A$604,0)),""))</f>
        <v>0</v>
      </c>
      <c r="D870" s="23">
        <f>IF(B870="","",IFERROR(INDEX(Jobs!$H$5:$H$604,MATCH(B870,Jobs!$A$5:$A$604,0)),""))</f>
        <v>0</v>
      </c>
      <c r="E870" s="23">
        <f>IF(B870="","",IFERROR(INDEX(Jobs!$K$5:$K$604,MATCH(B870,Jobs!$A$5:$A$604,0)),""))</f>
        <v>0</v>
      </c>
      <c r="P870" s="50">
        <f>IF(G870="","",IFERROR(INDEX(Checklists!$J$5:$J$404,MATCH(G870,Checklists!$F$5:$F$404,0)),"Yes"))</f>
        <v>0</v>
      </c>
      <c r="Q870" s="31">
        <f>IF(G870="","",IFERROR(INDEX(Checklists!$H$5:$H$404,MATCH(G870,Checklists!$F$5:$F$404,0)),""))</f>
        <v>0</v>
      </c>
      <c r="R870" s="31">
        <f>IF(OR(J870="",Q870=""),"",J870-Q870)</f>
        <v>0</v>
      </c>
      <c r="S870" s="50">
        <f>IF(B870="","",IF(H870="Done","Yes","No"))</f>
        <v>0</v>
      </c>
      <c r="T870" s="39">
        <f>IF(B870="","",IF(G870="","Add - what was the task?",IF(H870="Issue found",IF(M870="Yes","OK - issue reported","Action - tell the client"),IF(H870="Needs rework","Action - rework needed",IF(AND(H870="Skipped",P870="Yes"),"Check - required task skipped",IF(H870="Done","OK","Due"))))))</f>
        <v>0</v>
      </c>
    </row>
    <row r="871" spans="1:20">
      <c r="A871" s="43">
        <f>IF(B871="","","JT-"&amp;TEXT(ROW()-4,"0000"))</f>
        <v>0</v>
      </c>
      <c r="C871" s="18">
        <f>IF(B871="","",IFERROR(INDEX(Jobs!$B$5:$B$604,MATCH(B871,Jobs!$A$5:$A$604,0)),""))</f>
        <v>0</v>
      </c>
      <c r="D871" s="23">
        <f>IF(B871="","",IFERROR(INDEX(Jobs!$H$5:$H$604,MATCH(B871,Jobs!$A$5:$A$604,0)),""))</f>
        <v>0</v>
      </c>
      <c r="E871" s="23">
        <f>IF(B871="","",IFERROR(INDEX(Jobs!$K$5:$K$604,MATCH(B871,Jobs!$A$5:$A$604,0)),""))</f>
        <v>0</v>
      </c>
      <c r="P871" s="50">
        <f>IF(G871="","",IFERROR(INDEX(Checklists!$J$5:$J$404,MATCH(G871,Checklists!$F$5:$F$404,0)),"Yes"))</f>
        <v>0</v>
      </c>
      <c r="Q871" s="31">
        <f>IF(G871="","",IFERROR(INDEX(Checklists!$H$5:$H$404,MATCH(G871,Checklists!$F$5:$F$404,0)),""))</f>
        <v>0</v>
      </c>
      <c r="R871" s="31">
        <f>IF(OR(J871="",Q871=""),"",J871-Q871)</f>
        <v>0</v>
      </c>
      <c r="S871" s="50">
        <f>IF(B871="","",IF(H871="Done","Yes","No"))</f>
        <v>0</v>
      </c>
      <c r="T871" s="39">
        <f>IF(B871="","",IF(G871="","Add - what was the task?",IF(H871="Issue found",IF(M871="Yes","OK - issue reported","Action - tell the client"),IF(H871="Needs rework","Action - rework needed",IF(AND(H871="Skipped",P871="Yes"),"Check - required task skipped",IF(H871="Done","OK","Due"))))))</f>
        <v>0</v>
      </c>
    </row>
    <row r="872" spans="1:20">
      <c r="A872" s="43">
        <f>IF(B872="","","JT-"&amp;TEXT(ROW()-4,"0000"))</f>
        <v>0</v>
      </c>
      <c r="C872" s="18">
        <f>IF(B872="","",IFERROR(INDEX(Jobs!$B$5:$B$604,MATCH(B872,Jobs!$A$5:$A$604,0)),""))</f>
        <v>0</v>
      </c>
      <c r="D872" s="23">
        <f>IF(B872="","",IFERROR(INDEX(Jobs!$H$5:$H$604,MATCH(B872,Jobs!$A$5:$A$604,0)),""))</f>
        <v>0</v>
      </c>
      <c r="E872" s="23">
        <f>IF(B872="","",IFERROR(INDEX(Jobs!$K$5:$K$604,MATCH(B872,Jobs!$A$5:$A$604,0)),""))</f>
        <v>0</v>
      </c>
      <c r="P872" s="50">
        <f>IF(G872="","",IFERROR(INDEX(Checklists!$J$5:$J$404,MATCH(G872,Checklists!$F$5:$F$404,0)),"Yes"))</f>
        <v>0</v>
      </c>
      <c r="Q872" s="31">
        <f>IF(G872="","",IFERROR(INDEX(Checklists!$H$5:$H$404,MATCH(G872,Checklists!$F$5:$F$404,0)),""))</f>
        <v>0</v>
      </c>
      <c r="R872" s="31">
        <f>IF(OR(J872="",Q872=""),"",J872-Q872)</f>
        <v>0</v>
      </c>
      <c r="S872" s="50">
        <f>IF(B872="","",IF(H872="Done","Yes","No"))</f>
        <v>0</v>
      </c>
      <c r="T872" s="39">
        <f>IF(B872="","",IF(G872="","Add - what was the task?",IF(H872="Issue found",IF(M872="Yes","OK - issue reported","Action - tell the client"),IF(H872="Needs rework","Action - rework needed",IF(AND(H872="Skipped",P872="Yes"),"Check - required task skipped",IF(H872="Done","OK","Due"))))))</f>
        <v>0</v>
      </c>
    </row>
    <row r="873" spans="1:20">
      <c r="A873" s="43">
        <f>IF(B873="","","JT-"&amp;TEXT(ROW()-4,"0000"))</f>
        <v>0</v>
      </c>
      <c r="C873" s="18">
        <f>IF(B873="","",IFERROR(INDEX(Jobs!$B$5:$B$604,MATCH(B873,Jobs!$A$5:$A$604,0)),""))</f>
        <v>0</v>
      </c>
      <c r="D873" s="23">
        <f>IF(B873="","",IFERROR(INDEX(Jobs!$H$5:$H$604,MATCH(B873,Jobs!$A$5:$A$604,0)),""))</f>
        <v>0</v>
      </c>
      <c r="E873" s="23">
        <f>IF(B873="","",IFERROR(INDEX(Jobs!$K$5:$K$604,MATCH(B873,Jobs!$A$5:$A$604,0)),""))</f>
        <v>0</v>
      </c>
      <c r="P873" s="50">
        <f>IF(G873="","",IFERROR(INDEX(Checklists!$J$5:$J$404,MATCH(G873,Checklists!$F$5:$F$404,0)),"Yes"))</f>
        <v>0</v>
      </c>
      <c r="Q873" s="31">
        <f>IF(G873="","",IFERROR(INDEX(Checklists!$H$5:$H$404,MATCH(G873,Checklists!$F$5:$F$404,0)),""))</f>
        <v>0</v>
      </c>
      <c r="R873" s="31">
        <f>IF(OR(J873="",Q873=""),"",J873-Q873)</f>
        <v>0</v>
      </c>
      <c r="S873" s="50">
        <f>IF(B873="","",IF(H873="Done","Yes","No"))</f>
        <v>0</v>
      </c>
      <c r="T873" s="39">
        <f>IF(B873="","",IF(G873="","Add - what was the task?",IF(H873="Issue found",IF(M873="Yes","OK - issue reported","Action - tell the client"),IF(H873="Needs rework","Action - rework needed",IF(AND(H873="Skipped",P873="Yes"),"Check - required task skipped",IF(H873="Done","OK","Due"))))))</f>
        <v>0</v>
      </c>
    </row>
    <row r="874" spans="1:20">
      <c r="A874" s="43">
        <f>IF(B874="","","JT-"&amp;TEXT(ROW()-4,"0000"))</f>
        <v>0</v>
      </c>
      <c r="C874" s="18">
        <f>IF(B874="","",IFERROR(INDEX(Jobs!$B$5:$B$604,MATCH(B874,Jobs!$A$5:$A$604,0)),""))</f>
        <v>0</v>
      </c>
      <c r="D874" s="23">
        <f>IF(B874="","",IFERROR(INDEX(Jobs!$H$5:$H$604,MATCH(B874,Jobs!$A$5:$A$604,0)),""))</f>
        <v>0</v>
      </c>
      <c r="E874" s="23">
        <f>IF(B874="","",IFERROR(INDEX(Jobs!$K$5:$K$604,MATCH(B874,Jobs!$A$5:$A$604,0)),""))</f>
        <v>0</v>
      </c>
      <c r="P874" s="50">
        <f>IF(G874="","",IFERROR(INDEX(Checklists!$J$5:$J$404,MATCH(G874,Checklists!$F$5:$F$404,0)),"Yes"))</f>
        <v>0</v>
      </c>
      <c r="Q874" s="31">
        <f>IF(G874="","",IFERROR(INDEX(Checklists!$H$5:$H$404,MATCH(G874,Checklists!$F$5:$F$404,0)),""))</f>
        <v>0</v>
      </c>
      <c r="R874" s="31">
        <f>IF(OR(J874="",Q874=""),"",J874-Q874)</f>
        <v>0</v>
      </c>
      <c r="S874" s="50">
        <f>IF(B874="","",IF(H874="Done","Yes","No"))</f>
        <v>0</v>
      </c>
      <c r="T874" s="39">
        <f>IF(B874="","",IF(G874="","Add - what was the task?",IF(H874="Issue found",IF(M874="Yes","OK - issue reported","Action - tell the client"),IF(H874="Needs rework","Action - rework needed",IF(AND(H874="Skipped",P874="Yes"),"Check - required task skipped",IF(H874="Done","OK","Due"))))))</f>
        <v>0</v>
      </c>
    </row>
    <row r="875" spans="1:20">
      <c r="A875" s="43">
        <f>IF(B875="","","JT-"&amp;TEXT(ROW()-4,"0000"))</f>
        <v>0</v>
      </c>
      <c r="C875" s="18">
        <f>IF(B875="","",IFERROR(INDEX(Jobs!$B$5:$B$604,MATCH(B875,Jobs!$A$5:$A$604,0)),""))</f>
        <v>0</v>
      </c>
      <c r="D875" s="23">
        <f>IF(B875="","",IFERROR(INDEX(Jobs!$H$5:$H$604,MATCH(B875,Jobs!$A$5:$A$604,0)),""))</f>
        <v>0</v>
      </c>
      <c r="E875" s="23">
        <f>IF(B875="","",IFERROR(INDEX(Jobs!$K$5:$K$604,MATCH(B875,Jobs!$A$5:$A$604,0)),""))</f>
        <v>0</v>
      </c>
      <c r="P875" s="50">
        <f>IF(G875="","",IFERROR(INDEX(Checklists!$J$5:$J$404,MATCH(G875,Checklists!$F$5:$F$404,0)),"Yes"))</f>
        <v>0</v>
      </c>
      <c r="Q875" s="31">
        <f>IF(G875="","",IFERROR(INDEX(Checklists!$H$5:$H$404,MATCH(G875,Checklists!$F$5:$F$404,0)),""))</f>
        <v>0</v>
      </c>
      <c r="R875" s="31">
        <f>IF(OR(J875="",Q875=""),"",J875-Q875)</f>
        <v>0</v>
      </c>
      <c r="S875" s="50">
        <f>IF(B875="","",IF(H875="Done","Yes","No"))</f>
        <v>0</v>
      </c>
      <c r="T875" s="39">
        <f>IF(B875="","",IF(G875="","Add - what was the task?",IF(H875="Issue found",IF(M875="Yes","OK - issue reported","Action - tell the client"),IF(H875="Needs rework","Action - rework needed",IF(AND(H875="Skipped",P875="Yes"),"Check - required task skipped",IF(H875="Done","OK","Due"))))))</f>
        <v>0</v>
      </c>
    </row>
    <row r="876" spans="1:20">
      <c r="A876" s="43">
        <f>IF(B876="","","JT-"&amp;TEXT(ROW()-4,"0000"))</f>
        <v>0</v>
      </c>
      <c r="C876" s="18">
        <f>IF(B876="","",IFERROR(INDEX(Jobs!$B$5:$B$604,MATCH(B876,Jobs!$A$5:$A$604,0)),""))</f>
        <v>0</v>
      </c>
      <c r="D876" s="23">
        <f>IF(B876="","",IFERROR(INDEX(Jobs!$H$5:$H$604,MATCH(B876,Jobs!$A$5:$A$604,0)),""))</f>
        <v>0</v>
      </c>
      <c r="E876" s="23">
        <f>IF(B876="","",IFERROR(INDEX(Jobs!$K$5:$K$604,MATCH(B876,Jobs!$A$5:$A$604,0)),""))</f>
        <v>0</v>
      </c>
      <c r="P876" s="50">
        <f>IF(G876="","",IFERROR(INDEX(Checklists!$J$5:$J$404,MATCH(G876,Checklists!$F$5:$F$404,0)),"Yes"))</f>
        <v>0</v>
      </c>
      <c r="Q876" s="31">
        <f>IF(G876="","",IFERROR(INDEX(Checklists!$H$5:$H$404,MATCH(G876,Checklists!$F$5:$F$404,0)),""))</f>
        <v>0</v>
      </c>
      <c r="R876" s="31">
        <f>IF(OR(J876="",Q876=""),"",J876-Q876)</f>
        <v>0</v>
      </c>
      <c r="S876" s="50">
        <f>IF(B876="","",IF(H876="Done","Yes","No"))</f>
        <v>0</v>
      </c>
      <c r="T876" s="39">
        <f>IF(B876="","",IF(G876="","Add - what was the task?",IF(H876="Issue found",IF(M876="Yes","OK - issue reported","Action - tell the client"),IF(H876="Needs rework","Action - rework needed",IF(AND(H876="Skipped",P876="Yes"),"Check - required task skipped",IF(H876="Done","OK","Due"))))))</f>
        <v>0</v>
      </c>
    </row>
    <row r="877" spans="1:20">
      <c r="A877" s="43">
        <f>IF(B877="","","JT-"&amp;TEXT(ROW()-4,"0000"))</f>
        <v>0</v>
      </c>
      <c r="C877" s="18">
        <f>IF(B877="","",IFERROR(INDEX(Jobs!$B$5:$B$604,MATCH(B877,Jobs!$A$5:$A$604,0)),""))</f>
        <v>0</v>
      </c>
      <c r="D877" s="23">
        <f>IF(B877="","",IFERROR(INDEX(Jobs!$H$5:$H$604,MATCH(B877,Jobs!$A$5:$A$604,0)),""))</f>
        <v>0</v>
      </c>
      <c r="E877" s="23">
        <f>IF(B877="","",IFERROR(INDEX(Jobs!$K$5:$K$604,MATCH(B877,Jobs!$A$5:$A$604,0)),""))</f>
        <v>0</v>
      </c>
      <c r="P877" s="50">
        <f>IF(G877="","",IFERROR(INDEX(Checklists!$J$5:$J$404,MATCH(G877,Checklists!$F$5:$F$404,0)),"Yes"))</f>
        <v>0</v>
      </c>
      <c r="Q877" s="31">
        <f>IF(G877="","",IFERROR(INDEX(Checklists!$H$5:$H$404,MATCH(G877,Checklists!$F$5:$F$404,0)),""))</f>
        <v>0</v>
      </c>
      <c r="R877" s="31">
        <f>IF(OR(J877="",Q877=""),"",J877-Q877)</f>
        <v>0</v>
      </c>
      <c r="S877" s="50">
        <f>IF(B877="","",IF(H877="Done","Yes","No"))</f>
        <v>0</v>
      </c>
      <c r="T877" s="39">
        <f>IF(B877="","",IF(G877="","Add - what was the task?",IF(H877="Issue found",IF(M877="Yes","OK - issue reported","Action - tell the client"),IF(H877="Needs rework","Action - rework needed",IF(AND(H877="Skipped",P877="Yes"),"Check - required task skipped",IF(H877="Done","OK","Due"))))))</f>
        <v>0</v>
      </c>
    </row>
    <row r="878" spans="1:20">
      <c r="A878" s="43">
        <f>IF(B878="","","JT-"&amp;TEXT(ROW()-4,"0000"))</f>
        <v>0</v>
      </c>
      <c r="C878" s="18">
        <f>IF(B878="","",IFERROR(INDEX(Jobs!$B$5:$B$604,MATCH(B878,Jobs!$A$5:$A$604,0)),""))</f>
        <v>0</v>
      </c>
      <c r="D878" s="23">
        <f>IF(B878="","",IFERROR(INDEX(Jobs!$H$5:$H$604,MATCH(B878,Jobs!$A$5:$A$604,0)),""))</f>
        <v>0</v>
      </c>
      <c r="E878" s="23">
        <f>IF(B878="","",IFERROR(INDEX(Jobs!$K$5:$K$604,MATCH(B878,Jobs!$A$5:$A$604,0)),""))</f>
        <v>0</v>
      </c>
      <c r="P878" s="50">
        <f>IF(G878="","",IFERROR(INDEX(Checklists!$J$5:$J$404,MATCH(G878,Checklists!$F$5:$F$404,0)),"Yes"))</f>
        <v>0</v>
      </c>
      <c r="Q878" s="31">
        <f>IF(G878="","",IFERROR(INDEX(Checklists!$H$5:$H$404,MATCH(G878,Checklists!$F$5:$F$404,0)),""))</f>
        <v>0</v>
      </c>
      <c r="R878" s="31">
        <f>IF(OR(J878="",Q878=""),"",J878-Q878)</f>
        <v>0</v>
      </c>
      <c r="S878" s="50">
        <f>IF(B878="","",IF(H878="Done","Yes","No"))</f>
        <v>0</v>
      </c>
      <c r="T878" s="39">
        <f>IF(B878="","",IF(G878="","Add - what was the task?",IF(H878="Issue found",IF(M878="Yes","OK - issue reported","Action - tell the client"),IF(H878="Needs rework","Action - rework needed",IF(AND(H878="Skipped",P878="Yes"),"Check - required task skipped",IF(H878="Done","OK","Due"))))))</f>
        <v>0</v>
      </c>
    </row>
    <row r="879" spans="1:20">
      <c r="A879" s="43">
        <f>IF(B879="","","JT-"&amp;TEXT(ROW()-4,"0000"))</f>
        <v>0</v>
      </c>
      <c r="C879" s="18">
        <f>IF(B879="","",IFERROR(INDEX(Jobs!$B$5:$B$604,MATCH(B879,Jobs!$A$5:$A$604,0)),""))</f>
        <v>0</v>
      </c>
      <c r="D879" s="23">
        <f>IF(B879="","",IFERROR(INDEX(Jobs!$H$5:$H$604,MATCH(B879,Jobs!$A$5:$A$604,0)),""))</f>
        <v>0</v>
      </c>
      <c r="E879" s="23">
        <f>IF(B879="","",IFERROR(INDEX(Jobs!$K$5:$K$604,MATCH(B879,Jobs!$A$5:$A$604,0)),""))</f>
        <v>0</v>
      </c>
      <c r="P879" s="50">
        <f>IF(G879="","",IFERROR(INDEX(Checklists!$J$5:$J$404,MATCH(G879,Checklists!$F$5:$F$404,0)),"Yes"))</f>
        <v>0</v>
      </c>
      <c r="Q879" s="31">
        <f>IF(G879="","",IFERROR(INDEX(Checklists!$H$5:$H$404,MATCH(G879,Checklists!$F$5:$F$404,0)),""))</f>
        <v>0</v>
      </c>
      <c r="R879" s="31">
        <f>IF(OR(J879="",Q879=""),"",J879-Q879)</f>
        <v>0</v>
      </c>
      <c r="S879" s="50">
        <f>IF(B879="","",IF(H879="Done","Yes","No"))</f>
        <v>0</v>
      </c>
      <c r="T879" s="39">
        <f>IF(B879="","",IF(G879="","Add - what was the task?",IF(H879="Issue found",IF(M879="Yes","OK - issue reported","Action - tell the client"),IF(H879="Needs rework","Action - rework needed",IF(AND(H879="Skipped",P879="Yes"),"Check - required task skipped",IF(H879="Done","OK","Due"))))))</f>
        <v>0</v>
      </c>
    </row>
    <row r="880" spans="1:20">
      <c r="A880" s="43">
        <f>IF(B880="","","JT-"&amp;TEXT(ROW()-4,"0000"))</f>
        <v>0</v>
      </c>
      <c r="C880" s="18">
        <f>IF(B880="","",IFERROR(INDEX(Jobs!$B$5:$B$604,MATCH(B880,Jobs!$A$5:$A$604,0)),""))</f>
        <v>0</v>
      </c>
      <c r="D880" s="23">
        <f>IF(B880="","",IFERROR(INDEX(Jobs!$H$5:$H$604,MATCH(B880,Jobs!$A$5:$A$604,0)),""))</f>
        <v>0</v>
      </c>
      <c r="E880" s="23">
        <f>IF(B880="","",IFERROR(INDEX(Jobs!$K$5:$K$604,MATCH(B880,Jobs!$A$5:$A$604,0)),""))</f>
        <v>0</v>
      </c>
      <c r="P880" s="50">
        <f>IF(G880="","",IFERROR(INDEX(Checklists!$J$5:$J$404,MATCH(G880,Checklists!$F$5:$F$404,0)),"Yes"))</f>
        <v>0</v>
      </c>
      <c r="Q880" s="31">
        <f>IF(G880="","",IFERROR(INDEX(Checklists!$H$5:$H$404,MATCH(G880,Checklists!$F$5:$F$404,0)),""))</f>
        <v>0</v>
      </c>
      <c r="R880" s="31">
        <f>IF(OR(J880="",Q880=""),"",J880-Q880)</f>
        <v>0</v>
      </c>
      <c r="S880" s="50">
        <f>IF(B880="","",IF(H880="Done","Yes","No"))</f>
        <v>0</v>
      </c>
      <c r="T880" s="39">
        <f>IF(B880="","",IF(G880="","Add - what was the task?",IF(H880="Issue found",IF(M880="Yes","OK - issue reported","Action - tell the client"),IF(H880="Needs rework","Action - rework needed",IF(AND(H880="Skipped",P880="Yes"),"Check - required task skipped",IF(H880="Done","OK","Due"))))))</f>
        <v>0</v>
      </c>
    </row>
    <row r="881" spans="1:20">
      <c r="A881" s="43">
        <f>IF(B881="","","JT-"&amp;TEXT(ROW()-4,"0000"))</f>
        <v>0</v>
      </c>
      <c r="C881" s="18">
        <f>IF(B881="","",IFERROR(INDEX(Jobs!$B$5:$B$604,MATCH(B881,Jobs!$A$5:$A$604,0)),""))</f>
        <v>0</v>
      </c>
      <c r="D881" s="23">
        <f>IF(B881="","",IFERROR(INDEX(Jobs!$H$5:$H$604,MATCH(B881,Jobs!$A$5:$A$604,0)),""))</f>
        <v>0</v>
      </c>
      <c r="E881" s="23">
        <f>IF(B881="","",IFERROR(INDEX(Jobs!$K$5:$K$604,MATCH(B881,Jobs!$A$5:$A$604,0)),""))</f>
        <v>0</v>
      </c>
      <c r="P881" s="50">
        <f>IF(G881="","",IFERROR(INDEX(Checklists!$J$5:$J$404,MATCH(G881,Checklists!$F$5:$F$404,0)),"Yes"))</f>
        <v>0</v>
      </c>
      <c r="Q881" s="31">
        <f>IF(G881="","",IFERROR(INDEX(Checklists!$H$5:$H$404,MATCH(G881,Checklists!$F$5:$F$404,0)),""))</f>
        <v>0</v>
      </c>
      <c r="R881" s="31">
        <f>IF(OR(J881="",Q881=""),"",J881-Q881)</f>
        <v>0</v>
      </c>
      <c r="S881" s="50">
        <f>IF(B881="","",IF(H881="Done","Yes","No"))</f>
        <v>0</v>
      </c>
      <c r="T881" s="39">
        <f>IF(B881="","",IF(G881="","Add - what was the task?",IF(H881="Issue found",IF(M881="Yes","OK - issue reported","Action - tell the client"),IF(H881="Needs rework","Action - rework needed",IF(AND(H881="Skipped",P881="Yes"),"Check - required task skipped",IF(H881="Done","OK","Due"))))))</f>
        <v>0</v>
      </c>
    </row>
    <row r="882" spans="1:20">
      <c r="A882" s="43">
        <f>IF(B882="","","JT-"&amp;TEXT(ROW()-4,"0000"))</f>
        <v>0</v>
      </c>
      <c r="C882" s="18">
        <f>IF(B882="","",IFERROR(INDEX(Jobs!$B$5:$B$604,MATCH(B882,Jobs!$A$5:$A$604,0)),""))</f>
        <v>0</v>
      </c>
      <c r="D882" s="23">
        <f>IF(B882="","",IFERROR(INDEX(Jobs!$H$5:$H$604,MATCH(B882,Jobs!$A$5:$A$604,0)),""))</f>
        <v>0</v>
      </c>
      <c r="E882" s="23">
        <f>IF(B882="","",IFERROR(INDEX(Jobs!$K$5:$K$604,MATCH(B882,Jobs!$A$5:$A$604,0)),""))</f>
        <v>0</v>
      </c>
      <c r="P882" s="50">
        <f>IF(G882="","",IFERROR(INDEX(Checklists!$J$5:$J$404,MATCH(G882,Checklists!$F$5:$F$404,0)),"Yes"))</f>
        <v>0</v>
      </c>
      <c r="Q882" s="31">
        <f>IF(G882="","",IFERROR(INDEX(Checklists!$H$5:$H$404,MATCH(G882,Checklists!$F$5:$F$404,0)),""))</f>
        <v>0</v>
      </c>
      <c r="R882" s="31">
        <f>IF(OR(J882="",Q882=""),"",J882-Q882)</f>
        <v>0</v>
      </c>
      <c r="S882" s="50">
        <f>IF(B882="","",IF(H882="Done","Yes","No"))</f>
        <v>0</v>
      </c>
      <c r="T882" s="39">
        <f>IF(B882="","",IF(G882="","Add - what was the task?",IF(H882="Issue found",IF(M882="Yes","OK - issue reported","Action - tell the client"),IF(H882="Needs rework","Action - rework needed",IF(AND(H882="Skipped",P882="Yes"),"Check - required task skipped",IF(H882="Done","OK","Due"))))))</f>
        <v>0</v>
      </c>
    </row>
    <row r="883" spans="1:20">
      <c r="A883" s="43">
        <f>IF(B883="","","JT-"&amp;TEXT(ROW()-4,"0000"))</f>
        <v>0</v>
      </c>
      <c r="C883" s="18">
        <f>IF(B883="","",IFERROR(INDEX(Jobs!$B$5:$B$604,MATCH(B883,Jobs!$A$5:$A$604,0)),""))</f>
        <v>0</v>
      </c>
      <c r="D883" s="23">
        <f>IF(B883="","",IFERROR(INDEX(Jobs!$H$5:$H$604,MATCH(B883,Jobs!$A$5:$A$604,0)),""))</f>
        <v>0</v>
      </c>
      <c r="E883" s="23">
        <f>IF(B883="","",IFERROR(INDEX(Jobs!$K$5:$K$604,MATCH(B883,Jobs!$A$5:$A$604,0)),""))</f>
        <v>0</v>
      </c>
      <c r="P883" s="50">
        <f>IF(G883="","",IFERROR(INDEX(Checklists!$J$5:$J$404,MATCH(G883,Checklists!$F$5:$F$404,0)),"Yes"))</f>
        <v>0</v>
      </c>
      <c r="Q883" s="31">
        <f>IF(G883="","",IFERROR(INDEX(Checklists!$H$5:$H$404,MATCH(G883,Checklists!$F$5:$F$404,0)),""))</f>
        <v>0</v>
      </c>
      <c r="R883" s="31">
        <f>IF(OR(J883="",Q883=""),"",J883-Q883)</f>
        <v>0</v>
      </c>
      <c r="S883" s="50">
        <f>IF(B883="","",IF(H883="Done","Yes","No"))</f>
        <v>0</v>
      </c>
      <c r="T883" s="39">
        <f>IF(B883="","",IF(G883="","Add - what was the task?",IF(H883="Issue found",IF(M883="Yes","OK - issue reported","Action - tell the client"),IF(H883="Needs rework","Action - rework needed",IF(AND(H883="Skipped",P883="Yes"),"Check - required task skipped",IF(H883="Done","OK","Due"))))))</f>
        <v>0</v>
      </c>
    </row>
    <row r="884" spans="1:20">
      <c r="A884" s="43">
        <f>IF(B884="","","JT-"&amp;TEXT(ROW()-4,"0000"))</f>
        <v>0</v>
      </c>
      <c r="C884" s="18">
        <f>IF(B884="","",IFERROR(INDEX(Jobs!$B$5:$B$604,MATCH(B884,Jobs!$A$5:$A$604,0)),""))</f>
        <v>0</v>
      </c>
      <c r="D884" s="23">
        <f>IF(B884="","",IFERROR(INDEX(Jobs!$H$5:$H$604,MATCH(B884,Jobs!$A$5:$A$604,0)),""))</f>
        <v>0</v>
      </c>
      <c r="E884" s="23">
        <f>IF(B884="","",IFERROR(INDEX(Jobs!$K$5:$K$604,MATCH(B884,Jobs!$A$5:$A$604,0)),""))</f>
        <v>0</v>
      </c>
      <c r="P884" s="50">
        <f>IF(G884="","",IFERROR(INDEX(Checklists!$J$5:$J$404,MATCH(G884,Checklists!$F$5:$F$404,0)),"Yes"))</f>
        <v>0</v>
      </c>
      <c r="Q884" s="31">
        <f>IF(G884="","",IFERROR(INDEX(Checklists!$H$5:$H$404,MATCH(G884,Checklists!$F$5:$F$404,0)),""))</f>
        <v>0</v>
      </c>
      <c r="R884" s="31">
        <f>IF(OR(J884="",Q884=""),"",J884-Q884)</f>
        <v>0</v>
      </c>
      <c r="S884" s="50">
        <f>IF(B884="","",IF(H884="Done","Yes","No"))</f>
        <v>0</v>
      </c>
      <c r="T884" s="39">
        <f>IF(B884="","",IF(G884="","Add - what was the task?",IF(H884="Issue found",IF(M884="Yes","OK - issue reported","Action - tell the client"),IF(H884="Needs rework","Action - rework needed",IF(AND(H884="Skipped",P884="Yes"),"Check - required task skipped",IF(H884="Done","OK","Due"))))))</f>
        <v>0</v>
      </c>
    </row>
    <row r="885" spans="1:20">
      <c r="A885" s="43">
        <f>IF(B885="","","JT-"&amp;TEXT(ROW()-4,"0000"))</f>
        <v>0</v>
      </c>
      <c r="C885" s="18">
        <f>IF(B885="","",IFERROR(INDEX(Jobs!$B$5:$B$604,MATCH(B885,Jobs!$A$5:$A$604,0)),""))</f>
        <v>0</v>
      </c>
      <c r="D885" s="23">
        <f>IF(B885="","",IFERROR(INDEX(Jobs!$H$5:$H$604,MATCH(B885,Jobs!$A$5:$A$604,0)),""))</f>
        <v>0</v>
      </c>
      <c r="E885" s="23">
        <f>IF(B885="","",IFERROR(INDEX(Jobs!$K$5:$K$604,MATCH(B885,Jobs!$A$5:$A$604,0)),""))</f>
        <v>0</v>
      </c>
      <c r="P885" s="50">
        <f>IF(G885="","",IFERROR(INDEX(Checklists!$J$5:$J$404,MATCH(G885,Checklists!$F$5:$F$404,0)),"Yes"))</f>
        <v>0</v>
      </c>
      <c r="Q885" s="31">
        <f>IF(G885="","",IFERROR(INDEX(Checklists!$H$5:$H$404,MATCH(G885,Checklists!$F$5:$F$404,0)),""))</f>
        <v>0</v>
      </c>
      <c r="R885" s="31">
        <f>IF(OR(J885="",Q885=""),"",J885-Q885)</f>
        <v>0</v>
      </c>
      <c r="S885" s="50">
        <f>IF(B885="","",IF(H885="Done","Yes","No"))</f>
        <v>0</v>
      </c>
      <c r="T885" s="39">
        <f>IF(B885="","",IF(G885="","Add - what was the task?",IF(H885="Issue found",IF(M885="Yes","OK - issue reported","Action - tell the client"),IF(H885="Needs rework","Action - rework needed",IF(AND(H885="Skipped",P885="Yes"),"Check - required task skipped",IF(H885="Done","OK","Due"))))))</f>
        <v>0</v>
      </c>
    </row>
    <row r="886" spans="1:20">
      <c r="A886" s="43">
        <f>IF(B886="","","JT-"&amp;TEXT(ROW()-4,"0000"))</f>
        <v>0</v>
      </c>
      <c r="C886" s="18">
        <f>IF(B886="","",IFERROR(INDEX(Jobs!$B$5:$B$604,MATCH(B886,Jobs!$A$5:$A$604,0)),""))</f>
        <v>0</v>
      </c>
      <c r="D886" s="23">
        <f>IF(B886="","",IFERROR(INDEX(Jobs!$H$5:$H$604,MATCH(B886,Jobs!$A$5:$A$604,0)),""))</f>
        <v>0</v>
      </c>
      <c r="E886" s="23">
        <f>IF(B886="","",IFERROR(INDEX(Jobs!$K$5:$K$604,MATCH(B886,Jobs!$A$5:$A$604,0)),""))</f>
        <v>0</v>
      </c>
      <c r="P886" s="50">
        <f>IF(G886="","",IFERROR(INDEX(Checklists!$J$5:$J$404,MATCH(G886,Checklists!$F$5:$F$404,0)),"Yes"))</f>
        <v>0</v>
      </c>
      <c r="Q886" s="31">
        <f>IF(G886="","",IFERROR(INDEX(Checklists!$H$5:$H$404,MATCH(G886,Checklists!$F$5:$F$404,0)),""))</f>
        <v>0</v>
      </c>
      <c r="R886" s="31">
        <f>IF(OR(J886="",Q886=""),"",J886-Q886)</f>
        <v>0</v>
      </c>
      <c r="S886" s="50">
        <f>IF(B886="","",IF(H886="Done","Yes","No"))</f>
        <v>0</v>
      </c>
      <c r="T886" s="39">
        <f>IF(B886="","",IF(G886="","Add - what was the task?",IF(H886="Issue found",IF(M886="Yes","OK - issue reported","Action - tell the client"),IF(H886="Needs rework","Action - rework needed",IF(AND(H886="Skipped",P886="Yes"),"Check - required task skipped",IF(H886="Done","OK","Due"))))))</f>
        <v>0</v>
      </c>
    </row>
    <row r="887" spans="1:20">
      <c r="A887" s="43">
        <f>IF(B887="","","JT-"&amp;TEXT(ROW()-4,"0000"))</f>
        <v>0</v>
      </c>
      <c r="C887" s="18">
        <f>IF(B887="","",IFERROR(INDEX(Jobs!$B$5:$B$604,MATCH(B887,Jobs!$A$5:$A$604,0)),""))</f>
        <v>0</v>
      </c>
      <c r="D887" s="23">
        <f>IF(B887="","",IFERROR(INDEX(Jobs!$H$5:$H$604,MATCH(B887,Jobs!$A$5:$A$604,0)),""))</f>
        <v>0</v>
      </c>
      <c r="E887" s="23">
        <f>IF(B887="","",IFERROR(INDEX(Jobs!$K$5:$K$604,MATCH(B887,Jobs!$A$5:$A$604,0)),""))</f>
        <v>0</v>
      </c>
      <c r="P887" s="50">
        <f>IF(G887="","",IFERROR(INDEX(Checklists!$J$5:$J$404,MATCH(G887,Checklists!$F$5:$F$404,0)),"Yes"))</f>
        <v>0</v>
      </c>
      <c r="Q887" s="31">
        <f>IF(G887="","",IFERROR(INDEX(Checklists!$H$5:$H$404,MATCH(G887,Checklists!$F$5:$F$404,0)),""))</f>
        <v>0</v>
      </c>
      <c r="R887" s="31">
        <f>IF(OR(J887="",Q887=""),"",J887-Q887)</f>
        <v>0</v>
      </c>
      <c r="S887" s="50">
        <f>IF(B887="","",IF(H887="Done","Yes","No"))</f>
        <v>0</v>
      </c>
      <c r="T887" s="39">
        <f>IF(B887="","",IF(G887="","Add - what was the task?",IF(H887="Issue found",IF(M887="Yes","OK - issue reported","Action - tell the client"),IF(H887="Needs rework","Action - rework needed",IF(AND(H887="Skipped",P887="Yes"),"Check - required task skipped",IF(H887="Done","OK","Due"))))))</f>
        <v>0</v>
      </c>
    </row>
    <row r="888" spans="1:20">
      <c r="A888" s="43">
        <f>IF(B888="","","JT-"&amp;TEXT(ROW()-4,"0000"))</f>
        <v>0</v>
      </c>
      <c r="C888" s="18">
        <f>IF(B888="","",IFERROR(INDEX(Jobs!$B$5:$B$604,MATCH(B888,Jobs!$A$5:$A$604,0)),""))</f>
        <v>0</v>
      </c>
      <c r="D888" s="23">
        <f>IF(B888="","",IFERROR(INDEX(Jobs!$H$5:$H$604,MATCH(B888,Jobs!$A$5:$A$604,0)),""))</f>
        <v>0</v>
      </c>
      <c r="E888" s="23">
        <f>IF(B888="","",IFERROR(INDEX(Jobs!$K$5:$K$604,MATCH(B888,Jobs!$A$5:$A$604,0)),""))</f>
        <v>0</v>
      </c>
      <c r="P888" s="50">
        <f>IF(G888="","",IFERROR(INDEX(Checklists!$J$5:$J$404,MATCH(G888,Checklists!$F$5:$F$404,0)),"Yes"))</f>
        <v>0</v>
      </c>
      <c r="Q888" s="31">
        <f>IF(G888="","",IFERROR(INDEX(Checklists!$H$5:$H$404,MATCH(G888,Checklists!$F$5:$F$404,0)),""))</f>
        <v>0</v>
      </c>
      <c r="R888" s="31">
        <f>IF(OR(J888="",Q888=""),"",J888-Q888)</f>
        <v>0</v>
      </c>
      <c r="S888" s="50">
        <f>IF(B888="","",IF(H888="Done","Yes","No"))</f>
        <v>0</v>
      </c>
      <c r="T888" s="39">
        <f>IF(B888="","",IF(G888="","Add - what was the task?",IF(H888="Issue found",IF(M888="Yes","OK - issue reported","Action - tell the client"),IF(H888="Needs rework","Action - rework needed",IF(AND(H888="Skipped",P888="Yes"),"Check - required task skipped",IF(H888="Done","OK","Due"))))))</f>
        <v>0</v>
      </c>
    </row>
    <row r="889" spans="1:20">
      <c r="A889" s="43">
        <f>IF(B889="","","JT-"&amp;TEXT(ROW()-4,"0000"))</f>
        <v>0</v>
      </c>
      <c r="C889" s="18">
        <f>IF(B889="","",IFERROR(INDEX(Jobs!$B$5:$B$604,MATCH(B889,Jobs!$A$5:$A$604,0)),""))</f>
        <v>0</v>
      </c>
      <c r="D889" s="23">
        <f>IF(B889="","",IFERROR(INDEX(Jobs!$H$5:$H$604,MATCH(B889,Jobs!$A$5:$A$604,0)),""))</f>
        <v>0</v>
      </c>
      <c r="E889" s="23">
        <f>IF(B889="","",IFERROR(INDEX(Jobs!$K$5:$K$604,MATCH(B889,Jobs!$A$5:$A$604,0)),""))</f>
        <v>0</v>
      </c>
      <c r="P889" s="50">
        <f>IF(G889="","",IFERROR(INDEX(Checklists!$J$5:$J$404,MATCH(G889,Checklists!$F$5:$F$404,0)),"Yes"))</f>
        <v>0</v>
      </c>
      <c r="Q889" s="31">
        <f>IF(G889="","",IFERROR(INDEX(Checklists!$H$5:$H$404,MATCH(G889,Checklists!$F$5:$F$404,0)),""))</f>
        <v>0</v>
      </c>
      <c r="R889" s="31">
        <f>IF(OR(J889="",Q889=""),"",J889-Q889)</f>
        <v>0</v>
      </c>
      <c r="S889" s="50">
        <f>IF(B889="","",IF(H889="Done","Yes","No"))</f>
        <v>0</v>
      </c>
      <c r="T889" s="39">
        <f>IF(B889="","",IF(G889="","Add - what was the task?",IF(H889="Issue found",IF(M889="Yes","OK - issue reported","Action - tell the client"),IF(H889="Needs rework","Action - rework needed",IF(AND(H889="Skipped",P889="Yes"),"Check - required task skipped",IF(H889="Done","OK","Due"))))))</f>
        <v>0</v>
      </c>
    </row>
    <row r="890" spans="1:20">
      <c r="A890" s="43">
        <f>IF(B890="","","JT-"&amp;TEXT(ROW()-4,"0000"))</f>
        <v>0</v>
      </c>
      <c r="C890" s="18">
        <f>IF(B890="","",IFERROR(INDEX(Jobs!$B$5:$B$604,MATCH(B890,Jobs!$A$5:$A$604,0)),""))</f>
        <v>0</v>
      </c>
      <c r="D890" s="23">
        <f>IF(B890="","",IFERROR(INDEX(Jobs!$H$5:$H$604,MATCH(B890,Jobs!$A$5:$A$604,0)),""))</f>
        <v>0</v>
      </c>
      <c r="E890" s="23">
        <f>IF(B890="","",IFERROR(INDEX(Jobs!$K$5:$K$604,MATCH(B890,Jobs!$A$5:$A$604,0)),""))</f>
        <v>0</v>
      </c>
      <c r="P890" s="50">
        <f>IF(G890="","",IFERROR(INDEX(Checklists!$J$5:$J$404,MATCH(G890,Checklists!$F$5:$F$404,0)),"Yes"))</f>
        <v>0</v>
      </c>
      <c r="Q890" s="31">
        <f>IF(G890="","",IFERROR(INDEX(Checklists!$H$5:$H$404,MATCH(G890,Checklists!$F$5:$F$404,0)),""))</f>
        <v>0</v>
      </c>
      <c r="R890" s="31">
        <f>IF(OR(J890="",Q890=""),"",J890-Q890)</f>
        <v>0</v>
      </c>
      <c r="S890" s="50">
        <f>IF(B890="","",IF(H890="Done","Yes","No"))</f>
        <v>0</v>
      </c>
      <c r="T890" s="39">
        <f>IF(B890="","",IF(G890="","Add - what was the task?",IF(H890="Issue found",IF(M890="Yes","OK - issue reported","Action - tell the client"),IF(H890="Needs rework","Action - rework needed",IF(AND(H890="Skipped",P890="Yes"),"Check - required task skipped",IF(H890="Done","OK","Due"))))))</f>
        <v>0</v>
      </c>
    </row>
    <row r="891" spans="1:20">
      <c r="A891" s="43">
        <f>IF(B891="","","JT-"&amp;TEXT(ROW()-4,"0000"))</f>
        <v>0</v>
      </c>
      <c r="C891" s="18">
        <f>IF(B891="","",IFERROR(INDEX(Jobs!$B$5:$B$604,MATCH(B891,Jobs!$A$5:$A$604,0)),""))</f>
        <v>0</v>
      </c>
      <c r="D891" s="23">
        <f>IF(B891="","",IFERROR(INDEX(Jobs!$H$5:$H$604,MATCH(B891,Jobs!$A$5:$A$604,0)),""))</f>
        <v>0</v>
      </c>
      <c r="E891" s="23">
        <f>IF(B891="","",IFERROR(INDEX(Jobs!$K$5:$K$604,MATCH(B891,Jobs!$A$5:$A$604,0)),""))</f>
        <v>0</v>
      </c>
      <c r="P891" s="50">
        <f>IF(G891="","",IFERROR(INDEX(Checklists!$J$5:$J$404,MATCH(G891,Checklists!$F$5:$F$404,0)),"Yes"))</f>
        <v>0</v>
      </c>
      <c r="Q891" s="31">
        <f>IF(G891="","",IFERROR(INDEX(Checklists!$H$5:$H$404,MATCH(G891,Checklists!$F$5:$F$404,0)),""))</f>
        <v>0</v>
      </c>
      <c r="R891" s="31">
        <f>IF(OR(J891="",Q891=""),"",J891-Q891)</f>
        <v>0</v>
      </c>
      <c r="S891" s="50">
        <f>IF(B891="","",IF(H891="Done","Yes","No"))</f>
        <v>0</v>
      </c>
      <c r="T891" s="39">
        <f>IF(B891="","",IF(G891="","Add - what was the task?",IF(H891="Issue found",IF(M891="Yes","OK - issue reported","Action - tell the client"),IF(H891="Needs rework","Action - rework needed",IF(AND(H891="Skipped",P891="Yes"),"Check - required task skipped",IF(H891="Done","OK","Due"))))))</f>
        <v>0</v>
      </c>
    </row>
    <row r="892" spans="1:20">
      <c r="A892" s="43">
        <f>IF(B892="","","JT-"&amp;TEXT(ROW()-4,"0000"))</f>
        <v>0</v>
      </c>
      <c r="C892" s="18">
        <f>IF(B892="","",IFERROR(INDEX(Jobs!$B$5:$B$604,MATCH(B892,Jobs!$A$5:$A$604,0)),""))</f>
        <v>0</v>
      </c>
      <c r="D892" s="23">
        <f>IF(B892="","",IFERROR(INDEX(Jobs!$H$5:$H$604,MATCH(B892,Jobs!$A$5:$A$604,0)),""))</f>
        <v>0</v>
      </c>
      <c r="E892" s="23">
        <f>IF(B892="","",IFERROR(INDEX(Jobs!$K$5:$K$604,MATCH(B892,Jobs!$A$5:$A$604,0)),""))</f>
        <v>0</v>
      </c>
      <c r="P892" s="50">
        <f>IF(G892="","",IFERROR(INDEX(Checklists!$J$5:$J$404,MATCH(G892,Checklists!$F$5:$F$404,0)),"Yes"))</f>
        <v>0</v>
      </c>
      <c r="Q892" s="31">
        <f>IF(G892="","",IFERROR(INDEX(Checklists!$H$5:$H$404,MATCH(G892,Checklists!$F$5:$F$404,0)),""))</f>
        <v>0</v>
      </c>
      <c r="R892" s="31">
        <f>IF(OR(J892="",Q892=""),"",J892-Q892)</f>
        <v>0</v>
      </c>
      <c r="S892" s="50">
        <f>IF(B892="","",IF(H892="Done","Yes","No"))</f>
        <v>0</v>
      </c>
      <c r="T892" s="39">
        <f>IF(B892="","",IF(G892="","Add - what was the task?",IF(H892="Issue found",IF(M892="Yes","OK - issue reported","Action - tell the client"),IF(H892="Needs rework","Action - rework needed",IF(AND(H892="Skipped",P892="Yes"),"Check - required task skipped",IF(H892="Done","OK","Due"))))))</f>
        <v>0</v>
      </c>
    </row>
    <row r="893" spans="1:20">
      <c r="A893" s="43">
        <f>IF(B893="","","JT-"&amp;TEXT(ROW()-4,"0000"))</f>
        <v>0</v>
      </c>
      <c r="C893" s="18">
        <f>IF(B893="","",IFERROR(INDEX(Jobs!$B$5:$B$604,MATCH(B893,Jobs!$A$5:$A$604,0)),""))</f>
        <v>0</v>
      </c>
      <c r="D893" s="23">
        <f>IF(B893="","",IFERROR(INDEX(Jobs!$H$5:$H$604,MATCH(B893,Jobs!$A$5:$A$604,0)),""))</f>
        <v>0</v>
      </c>
      <c r="E893" s="23">
        <f>IF(B893="","",IFERROR(INDEX(Jobs!$K$5:$K$604,MATCH(B893,Jobs!$A$5:$A$604,0)),""))</f>
        <v>0</v>
      </c>
      <c r="P893" s="50">
        <f>IF(G893="","",IFERROR(INDEX(Checklists!$J$5:$J$404,MATCH(G893,Checklists!$F$5:$F$404,0)),"Yes"))</f>
        <v>0</v>
      </c>
      <c r="Q893" s="31">
        <f>IF(G893="","",IFERROR(INDEX(Checklists!$H$5:$H$404,MATCH(G893,Checklists!$F$5:$F$404,0)),""))</f>
        <v>0</v>
      </c>
      <c r="R893" s="31">
        <f>IF(OR(J893="",Q893=""),"",J893-Q893)</f>
        <v>0</v>
      </c>
      <c r="S893" s="50">
        <f>IF(B893="","",IF(H893="Done","Yes","No"))</f>
        <v>0</v>
      </c>
      <c r="T893" s="39">
        <f>IF(B893="","",IF(G893="","Add - what was the task?",IF(H893="Issue found",IF(M893="Yes","OK - issue reported","Action - tell the client"),IF(H893="Needs rework","Action - rework needed",IF(AND(H893="Skipped",P893="Yes"),"Check - required task skipped",IF(H893="Done","OK","Due"))))))</f>
        <v>0</v>
      </c>
    </row>
    <row r="894" spans="1:20">
      <c r="A894" s="43">
        <f>IF(B894="","","JT-"&amp;TEXT(ROW()-4,"0000"))</f>
        <v>0</v>
      </c>
      <c r="C894" s="18">
        <f>IF(B894="","",IFERROR(INDEX(Jobs!$B$5:$B$604,MATCH(B894,Jobs!$A$5:$A$604,0)),""))</f>
        <v>0</v>
      </c>
      <c r="D894" s="23">
        <f>IF(B894="","",IFERROR(INDEX(Jobs!$H$5:$H$604,MATCH(B894,Jobs!$A$5:$A$604,0)),""))</f>
        <v>0</v>
      </c>
      <c r="E894" s="23">
        <f>IF(B894="","",IFERROR(INDEX(Jobs!$K$5:$K$604,MATCH(B894,Jobs!$A$5:$A$604,0)),""))</f>
        <v>0</v>
      </c>
      <c r="P894" s="50">
        <f>IF(G894="","",IFERROR(INDEX(Checklists!$J$5:$J$404,MATCH(G894,Checklists!$F$5:$F$404,0)),"Yes"))</f>
        <v>0</v>
      </c>
      <c r="Q894" s="31">
        <f>IF(G894="","",IFERROR(INDEX(Checklists!$H$5:$H$404,MATCH(G894,Checklists!$F$5:$F$404,0)),""))</f>
        <v>0</v>
      </c>
      <c r="R894" s="31">
        <f>IF(OR(J894="",Q894=""),"",J894-Q894)</f>
        <v>0</v>
      </c>
      <c r="S894" s="50">
        <f>IF(B894="","",IF(H894="Done","Yes","No"))</f>
        <v>0</v>
      </c>
      <c r="T894" s="39">
        <f>IF(B894="","",IF(G894="","Add - what was the task?",IF(H894="Issue found",IF(M894="Yes","OK - issue reported","Action - tell the client"),IF(H894="Needs rework","Action - rework needed",IF(AND(H894="Skipped",P894="Yes"),"Check - required task skipped",IF(H894="Done","OK","Due"))))))</f>
        <v>0</v>
      </c>
    </row>
    <row r="895" spans="1:20">
      <c r="A895" s="43">
        <f>IF(B895="","","JT-"&amp;TEXT(ROW()-4,"0000"))</f>
        <v>0</v>
      </c>
      <c r="C895" s="18">
        <f>IF(B895="","",IFERROR(INDEX(Jobs!$B$5:$B$604,MATCH(B895,Jobs!$A$5:$A$604,0)),""))</f>
        <v>0</v>
      </c>
      <c r="D895" s="23">
        <f>IF(B895="","",IFERROR(INDEX(Jobs!$H$5:$H$604,MATCH(B895,Jobs!$A$5:$A$604,0)),""))</f>
        <v>0</v>
      </c>
      <c r="E895" s="23">
        <f>IF(B895="","",IFERROR(INDEX(Jobs!$K$5:$K$604,MATCH(B895,Jobs!$A$5:$A$604,0)),""))</f>
        <v>0</v>
      </c>
      <c r="P895" s="50">
        <f>IF(G895="","",IFERROR(INDEX(Checklists!$J$5:$J$404,MATCH(G895,Checklists!$F$5:$F$404,0)),"Yes"))</f>
        <v>0</v>
      </c>
      <c r="Q895" s="31">
        <f>IF(G895="","",IFERROR(INDEX(Checklists!$H$5:$H$404,MATCH(G895,Checklists!$F$5:$F$404,0)),""))</f>
        <v>0</v>
      </c>
      <c r="R895" s="31">
        <f>IF(OR(J895="",Q895=""),"",J895-Q895)</f>
        <v>0</v>
      </c>
      <c r="S895" s="50">
        <f>IF(B895="","",IF(H895="Done","Yes","No"))</f>
        <v>0</v>
      </c>
      <c r="T895" s="39">
        <f>IF(B895="","",IF(G895="","Add - what was the task?",IF(H895="Issue found",IF(M895="Yes","OK - issue reported","Action - tell the client"),IF(H895="Needs rework","Action - rework needed",IF(AND(H895="Skipped",P895="Yes"),"Check - required task skipped",IF(H895="Done","OK","Due"))))))</f>
        <v>0</v>
      </c>
    </row>
    <row r="896" spans="1:20">
      <c r="A896" s="43">
        <f>IF(B896="","","JT-"&amp;TEXT(ROW()-4,"0000"))</f>
        <v>0</v>
      </c>
      <c r="C896" s="18">
        <f>IF(B896="","",IFERROR(INDEX(Jobs!$B$5:$B$604,MATCH(B896,Jobs!$A$5:$A$604,0)),""))</f>
        <v>0</v>
      </c>
      <c r="D896" s="23">
        <f>IF(B896="","",IFERROR(INDEX(Jobs!$H$5:$H$604,MATCH(B896,Jobs!$A$5:$A$604,0)),""))</f>
        <v>0</v>
      </c>
      <c r="E896" s="23">
        <f>IF(B896="","",IFERROR(INDEX(Jobs!$K$5:$K$604,MATCH(B896,Jobs!$A$5:$A$604,0)),""))</f>
        <v>0</v>
      </c>
      <c r="P896" s="50">
        <f>IF(G896="","",IFERROR(INDEX(Checklists!$J$5:$J$404,MATCH(G896,Checklists!$F$5:$F$404,0)),"Yes"))</f>
        <v>0</v>
      </c>
      <c r="Q896" s="31">
        <f>IF(G896="","",IFERROR(INDEX(Checklists!$H$5:$H$404,MATCH(G896,Checklists!$F$5:$F$404,0)),""))</f>
        <v>0</v>
      </c>
      <c r="R896" s="31">
        <f>IF(OR(J896="",Q896=""),"",J896-Q896)</f>
        <v>0</v>
      </c>
      <c r="S896" s="50">
        <f>IF(B896="","",IF(H896="Done","Yes","No"))</f>
        <v>0</v>
      </c>
      <c r="T896" s="39">
        <f>IF(B896="","",IF(G896="","Add - what was the task?",IF(H896="Issue found",IF(M896="Yes","OK - issue reported","Action - tell the client"),IF(H896="Needs rework","Action - rework needed",IF(AND(H896="Skipped",P896="Yes"),"Check - required task skipped",IF(H896="Done","OK","Due"))))))</f>
        <v>0</v>
      </c>
    </row>
    <row r="897" spans="1:20">
      <c r="A897" s="43">
        <f>IF(B897="","","JT-"&amp;TEXT(ROW()-4,"0000"))</f>
        <v>0</v>
      </c>
      <c r="C897" s="18">
        <f>IF(B897="","",IFERROR(INDEX(Jobs!$B$5:$B$604,MATCH(B897,Jobs!$A$5:$A$604,0)),""))</f>
        <v>0</v>
      </c>
      <c r="D897" s="23">
        <f>IF(B897="","",IFERROR(INDEX(Jobs!$H$5:$H$604,MATCH(B897,Jobs!$A$5:$A$604,0)),""))</f>
        <v>0</v>
      </c>
      <c r="E897" s="23">
        <f>IF(B897="","",IFERROR(INDEX(Jobs!$K$5:$K$604,MATCH(B897,Jobs!$A$5:$A$604,0)),""))</f>
        <v>0</v>
      </c>
      <c r="P897" s="50">
        <f>IF(G897="","",IFERROR(INDEX(Checklists!$J$5:$J$404,MATCH(G897,Checklists!$F$5:$F$404,0)),"Yes"))</f>
        <v>0</v>
      </c>
      <c r="Q897" s="31">
        <f>IF(G897="","",IFERROR(INDEX(Checklists!$H$5:$H$404,MATCH(G897,Checklists!$F$5:$F$404,0)),""))</f>
        <v>0</v>
      </c>
      <c r="R897" s="31">
        <f>IF(OR(J897="",Q897=""),"",J897-Q897)</f>
        <v>0</v>
      </c>
      <c r="S897" s="50">
        <f>IF(B897="","",IF(H897="Done","Yes","No"))</f>
        <v>0</v>
      </c>
      <c r="T897" s="39">
        <f>IF(B897="","",IF(G897="","Add - what was the task?",IF(H897="Issue found",IF(M897="Yes","OK - issue reported","Action - tell the client"),IF(H897="Needs rework","Action - rework needed",IF(AND(H897="Skipped",P897="Yes"),"Check - required task skipped",IF(H897="Done","OK","Due"))))))</f>
        <v>0</v>
      </c>
    </row>
    <row r="898" spans="1:20">
      <c r="A898" s="43">
        <f>IF(B898="","","JT-"&amp;TEXT(ROW()-4,"0000"))</f>
        <v>0</v>
      </c>
      <c r="C898" s="18">
        <f>IF(B898="","",IFERROR(INDEX(Jobs!$B$5:$B$604,MATCH(B898,Jobs!$A$5:$A$604,0)),""))</f>
        <v>0</v>
      </c>
      <c r="D898" s="23">
        <f>IF(B898="","",IFERROR(INDEX(Jobs!$H$5:$H$604,MATCH(B898,Jobs!$A$5:$A$604,0)),""))</f>
        <v>0</v>
      </c>
      <c r="E898" s="23">
        <f>IF(B898="","",IFERROR(INDEX(Jobs!$K$5:$K$604,MATCH(B898,Jobs!$A$5:$A$604,0)),""))</f>
        <v>0</v>
      </c>
      <c r="P898" s="50">
        <f>IF(G898="","",IFERROR(INDEX(Checklists!$J$5:$J$404,MATCH(G898,Checklists!$F$5:$F$404,0)),"Yes"))</f>
        <v>0</v>
      </c>
      <c r="Q898" s="31">
        <f>IF(G898="","",IFERROR(INDEX(Checklists!$H$5:$H$404,MATCH(G898,Checklists!$F$5:$F$404,0)),""))</f>
        <v>0</v>
      </c>
      <c r="R898" s="31">
        <f>IF(OR(J898="",Q898=""),"",J898-Q898)</f>
        <v>0</v>
      </c>
      <c r="S898" s="50">
        <f>IF(B898="","",IF(H898="Done","Yes","No"))</f>
        <v>0</v>
      </c>
      <c r="T898" s="39">
        <f>IF(B898="","",IF(G898="","Add - what was the task?",IF(H898="Issue found",IF(M898="Yes","OK - issue reported","Action - tell the client"),IF(H898="Needs rework","Action - rework needed",IF(AND(H898="Skipped",P898="Yes"),"Check - required task skipped",IF(H898="Done","OK","Due"))))))</f>
        <v>0</v>
      </c>
    </row>
    <row r="899" spans="1:20">
      <c r="A899" s="43">
        <f>IF(B899="","","JT-"&amp;TEXT(ROW()-4,"0000"))</f>
        <v>0</v>
      </c>
      <c r="C899" s="18">
        <f>IF(B899="","",IFERROR(INDEX(Jobs!$B$5:$B$604,MATCH(B899,Jobs!$A$5:$A$604,0)),""))</f>
        <v>0</v>
      </c>
      <c r="D899" s="23">
        <f>IF(B899="","",IFERROR(INDEX(Jobs!$H$5:$H$604,MATCH(B899,Jobs!$A$5:$A$604,0)),""))</f>
        <v>0</v>
      </c>
      <c r="E899" s="23">
        <f>IF(B899="","",IFERROR(INDEX(Jobs!$K$5:$K$604,MATCH(B899,Jobs!$A$5:$A$604,0)),""))</f>
        <v>0</v>
      </c>
      <c r="P899" s="50">
        <f>IF(G899="","",IFERROR(INDEX(Checklists!$J$5:$J$404,MATCH(G899,Checklists!$F$5:$F$404,0)),"Yes"))</f>
        <v>0</v>
      </c>
      <c r="Q899" s="31">
        <f>IF(G899="","",IFERROR(INDEX(Checklists!$H$5:$H$404,MATCH(G899,Checklists!$F$5:$F$404,0)),""))</f>
        <v>0</v>
      </c>
      <c r="R899" s="31">
        <f>IF(OR(J899="",Q899=""),"",J899-Q899)</f>
        <v>0</v>
      </c>
      <c r="S899" s="50">
        <f>IF(B899="","",IF(H899="Done","Yes","No"))</f>
        <v>0</v>
      </c>
      <c r="T899" s="39">
        <f>IF(B899="","",IF(G899="","Add - what was the task?",IF(H899="Issue found",IF(M899="Yes","OK - issue reported","Action - tell the client"),IF(H899="Needs rework","Action - rework needed",IF(AND(H899="Skipped",P899="Yes"),"Check - required task skipped",IF(H899="Done","OK","Due"))))))</f>
        <v>0</v>
      </c>
    </row>
    <row r="900" spans="1:20">
      <c r="A900" s="43">
        <f>IF(B900="","","JT-"&amp;TEXT(ROW()-4,"0000"))</f>
        <v>0</v>
      </c>
      <c r="C900" s="18">
        <f>IF(B900="","",IFERROR(INDEX(Jobs!$B$5:$B$604,MATCH(B900,Jobs!$A$5:$A$604,0)),""))</f>
        <v>0</v>
      </c>
      <c r="D900" s="23">
        <f>IF(B900="","",IFERROR(INDEX(Jobs!$H$5:$H$604,MATCH(B900,Jobs!$A$5:$A$604,0)),""))</f>
        <v>0</v>
      </c>
      <c r="E900" s="23">
        <f>IF(B900="","",IFERROR(INDEX(Jobs!$K$5:$K$604,MATCH(B900,Jobs!$A$5:$A$604,0)),""))</f>
        <v>0</v>
      </c>
      <c r="P900" s="50">
        <f>IF(G900="","",IFERROR(INDEX(Checklists!$J$5:$J$404,MATCH(G900,Checklists!$F$5:$F$404,0)),"Yes"))</f>
        <v>0</v>
      </c>
      <c r="Q900" s="31">
        <f>IF(G900="","",IFERROR(INDEX(Checklists!$H$5:$H$404,MATCH(G900,Checklists!$F$5:$F$404,0)),""))</f>
        <v>0</v>
      </c>
      <c r="R900" s="31">
        <f>IF(OR(J900="",Q900=""),"",J900-Q900)</f>
        <v>0</v>
      </c>
      <c r="S900" s="50">
        <f>IF(B900="","",IF(H900="Done","Yes","No"))</f>
        <v>0</v>
      </c>
      <c r="T900" s="39">
        <f>IF(B900="","",IF(G900="","Add - what was the task?",IF(H900="Issue found",IF(M900="Yes","OK - issue reported","Action - tell the client"),IF(H900="Needs rework","Action - rework needed",IF(AND(H900="Skipped",P900="Yes"),"Check - required task skipped",IF(H900="Done","OK","Due"))))))</f>
        <v>0</v>
      </c>
    </row>
    <row r="901" spans="1:20">
      <c r="A901" s="43">
        <f>IF(B901="","","JT-"&amp;TEXT(ROW()-4,"0000"))</f>
        <v>0</v>
      </c>
      <c r="C901" s="18">
        <f>IF(B901="","",IFERROR(INDEX(Jobs!$B$5:$B$604,MATCH(B901,Jobs!$A$5:$A$604,0)),""))</f>
        <v>0</v>
      </c>
      <c r="D901" s="23">
        <f>IF(B901="","",IFERROR(INDEX(Jobs!$H$5:$H$604,MATCH(B901,Jobs!$A$5:$A$604,0)),""))</f>
        <v>0</v>
      </c>
      <c r="E901" s="23">
        <f>IF(B901="","",IFERROR(INDEX(Jobs!$K$5:$K$604,MATCH(B901,Jobs!$A$5:$A$604,0)),""))</f>
        <v>0</v>
      </c>
      <c r="P901" s="50">
        <f>IF(G901="","",IFERROR(INDEX(Checklists!$J$5:$J$404,MATCH(G901,Checklists!$F$5:$F$404,0)),"Yes"))</f>
        <v>0</v>
      </c>
      <c r="Q901" s="31">
        <f>IF(G901="","",IFERROR(INDEX(Checklists!$H$5:$H$404,MATCH(G901,Checklists!$F$5:$F$404,0)),""))</f>
        <v>0</v>
      </c>
      <c r="R901" s="31">
        <f>IF(OR(J901="",Q901=""),"",J901-Q901)</f>
        <v>0</v>
      </c>
      <c r="S901" s="50">
        <f>IF(B901="","",IF(H901="Done","Yes","No"))</f>
        <v>0</v>
      </c>
      <c r="T901" s="39">
        <f>IF(B901="","",IF(G901="","Add - what was the task?",IF(H901="Issue found",IF(M901="Yes","OK - issue reported","Action - tell the client"),IF(H901="Needs rework","Action - rework needed",IF(AND(H901="Skipped",P901="Yes"),"Check - required task skipped",IF(H901="Done","OK","Due"))))))</f>
        <v>0</v>
      </c>
    </row>
    <row r="902" spans="1:20">
      <c r="A902" s="43">
        <f>IF(B902="","","JT-"&amp;TEXT(ROW()-4,"0000"))</f>
        <v>0</v>
      </c>
      <c r="C902" s="18">
        <f>IF(B902="","",IFERROR(INDEX(Jobs!$B$5:$B$604,MATCH(B902,Jobs!$A$5:$A$604,0)),""))</f>
        <v>0</v>
      </c>
      <c r="D902" s="23">
        <f>IF(B902="","",IFERROR(INDEX(Jobs!$H$5:$H$604,MATCH(B902,Jobs!$A$5:$A$604,0)),""))</f>
        <v>0</v>
      </c>
      <c r="E902" s="23">
        <f>IF(B902="","",IFERROR(INDEX(Jobs!$K$5:$K$604,MATCH(B902,Jobs!$A$5:$A$604,0)),""))</f>
        <v>0</v>
      </c>
      <c r="P902" s="50">
        <f>IF(G902="","",IFERROR(INDEX(Checklists!$J$5:$J$404,MATCH(G902,Checklists!$F$5:$F$404,0)),"Yes"))</f>
        <v>0</v>
      </c>
      <c r="Q902" s="31">
        <f>IF(G902="","",IFERROR(INDEX(Checklists!$H$5:$H$404,MATCH(G902,Checklists!$F$5:$F$404,0)),""))</f>
        <v>0</v>
      </c>
      <c r="R902" s="31">
        <f>IF(OR(J902="",Q902=""),"",J902-Q902)</f>
        <v>0</v>
      </c>
      <c r="S902" s="50">
        <f>IF(B902="","",IF(H902="Done","Yes","No"))</f>
        <v>0</v>
      </c>
      <c r="T902" s="39">
        <f>IF(B902="","",IF(G902="","Add - what was the task?",IF(H902="Issue found",IF(M902="Yes","OK - issue reported","Action - tell the client"),IF(H902="Needs rework","Action - rework needed",IF(AND(H902="Skipped",P902="Yes"),"Check - required task skipped",IF(H902="Done","OK","Due"))))))</f>
        <v>0</v>
      </c>
    </row>
    <row r="903" spans="1:20">
      <c r="A903" s="43">
        <f>IF(B903="","","JT-"&amp;TEXT(ROW()-4,"0000"))</f>
        <v>0</v>
      </c>
      <c r="C903" s="18">
        <f>IF(B903="","",IFERROR(INDEX(Jobs!$B$5:$B$604,MATCH(B903,Jobs!$A$5:$A$604,0)),""))</f>
        <v>0</v>
      </c>
      <c r="D903" s="23">
        <f>IF(B903="","",IFERROR(INDEX(Jobs!$H$5:$H$604,MATCH(B903,Jobs!$A$5:$A$604,0)),""))</f>
        <v>0</v>
      </c>
      <c r="E903" s="23">
        <f>IF(B903="","",IFERROR(INDEX(Jobs!$K$5:$K$604,MATCH(B903,Jobs!$A$5:$A$604,0)),""))</f>
        <v>0</v>
      </c>
      <c r="P903" s="50">
        <f>IF(G903="","",IFERROR(INDEX(Checklists!$J$5:$J$404,MATCH(G903,Checklists!$F$5:$F$404,0)),"Yes"))</f>
        <v>0</v>
      </c>
      <c r="Q903" s="31">
        <f>IF(G903="","",IFERROR(INDEX(Checklists!$H$5:$H$404,MATCH(G903,Checklists!$F$5:$F$404,0)),""))</f>
        <v>0</v>
      </c>
      <c r="R903" s="31">
        <f>IF(OR(J903="",Q903=""),"",J903-Q903)</f>
        <v>0</v>
      </c>
      <c r="S903" s="50">
        <f>IF(B903="","",IF(H903="Done","Yes","No"))</f>
        <v>0</v>
      </c>
      <c r="T903" s="39">
        <f>IF(B903="","",IF(G903="","Add - what was the task?",IF(H903="Issue found",IF(M903="Yes","OK - issue reported","Action - tell the client"),IF(H903="Needs rework","Action - rework needed",IF(AND(H903="Skipped",P903="Yes"),"Check - required task skipped",IF(H903="Done","OK","Due"))))))</f>
        <v>0</v>
      </c>
    </row>
    <row r="904" spans="1:20">
      <c r="A904" s="43">
        <f>IF(B904="","","JT-"&amp;TEXT(ROW()-4,"0000"))</f>
        <v>0</v>
      </c>
      <c r="C904" s="18">
        <f>IF(B904="","",IFERROR(INDEX(Jobs!$B$5:$B$604,MATCH(B904,Jobs!$A$5:$A$604,0)),""))</f>
        <v>0</v>
      </c>
      <c r="D904" s="23">
        <f>IF(B904="","",IFERROR(INDEX(Jobs!$H$5:$H$604,MATCH(B904,Jobs!$A$5:$A$604,0)),""))</f>
        <v>0</v>
      </c>
      <c r="E904" s="23">
        <f>IF(B904="","",IFERROR(INDEX(Jobs!$K$5:$K$604,MATCH(B904,Jobs!$A$5:$A$604,0)),""))</f>
        <v>0</v>
      </c>
      <c r="P904" s="50">
        <f>IF(G904="","",IFERROR(INDEX(Checklists!$J$5:$J$404,MATCH(G904,Checklists!$F$5:$F$404,0)),"Yes"))</f>
        <v>0</v>
      </c>
      <c r="Q904" s="31">
        <f>IF(G904="","",IFERROR(INDEX(Checklists!$H$5:$H$404,MATCH(G904,Checklists!$F$5:$F$404,0)),""))</f>
        <v>0</v>
      </c>
      <c r="R904" s="31">
        <f>IF(OR(J904="",Q904=""),"",J904-Q904)</f>
        <v>0</v>
      </c>
      <c r="S904" s="50">
        <f>IF(B904="","",IF(H904="Done","Yes","No"))</f>
        <v>0</v>
      </c>
      <c r="T904" s="39">
        <f>IF(B904="","",IF(G904="","Add - what was the task?",IF(H904="Issue found",IF(M904="Yes","OK - issue reported","Action - tell the client"),IF(H904="Needs rework","Action - rework needed",IF(AND(H904="Skipped",P904="Yes"),"Check - required task skipped",IF(H904="Done","OK","Due"))))))</f>
        <v>0</v>
      </c>
    </row>
  </sheetData>
  <sheetProtection password="EC7C" sheet="1" objects="1" scenarios="1" formatCells="0" formatColumns="0" formatRows="0" insertRows="0" insertHyperlinks="0" deleteRows="0" autoFilter="0"/>
  <autoFilter ref="A4:T904"/>
  <mergeCells count="13">
    <mergeCell ref="A1:Q1"/>
    <mergeCell ref="R1:T1"/>
    <mergeCell ref="A2:T2"/>
    <mergeCell ref="A3:B3"/>
    <mergeCell ref="C3:D3"/>
    <mergeCell ref="E3:F3"/>
    <mergeCell ref="G3:H3"/>
    <mergeCell ref="I3:J3"/>
    <mergeCell ref="K3:L3"/>
    <mergeCell ref="M3:N3"/>
    <mergeCell ref="O3:P3"/>
    <mergeCell ref="Q3:R3"/>
    <mergeCell ref="S3:T3"/>
  </mergeCells>
  <conditionalFormatting sqref="H5:H904">
    <cfRule type="containsText" dxfId="1" priority="1" operator="containsText" text="Completed">
      <formula>NOT(ISERROR(SEARCH("Completed",H5)))</formula>
    </cfRule>
    <cfRule type="containsText" dxfId="1" priority="2" operator="containsText" text="Complete">
      <formula>NOT(ISERROR(SEARCH("Complete",H5)))</formula>
    </cfRule>
    <cfRule type="containsText" dxfId="1" priority="3" operator="containsText" text="Done">
      <formula>NOT(ISERROR(SEARCH("Done",H5)))</formula>
    </cfRule>
    <cfRule type="containsText" dxfId="1" priority="4" operator="containsText" text="Paid">
      <formula>NOT(ISERROR(SEARCH("Paid",H5)))</formula>
    </cfRule>
    <cfRule type="containsText" dxfId="1" priority="5" operator="containsText" text="Accepted">
      <formula>NOT(ISERROR(SEARCH("Accepted",H5)))</formula>
    </cfRule>
    <cfRule type="containsText" dxfId="1" priority="6" operator="containsText" text="Won">
      <formula>NOT(ISERROR(SEARCH("Won",H5)))</formula>
    </cfRule>
    <cfRule type="containsText" dxfId="1" priority="7" operator="containsText" text="Active">
      <formula>NOT(ISERROR(SEARCH("Active",H5)))</formula>
    </cfRule>
    <cfRule type="containsText" dxfId="1" priority="8" operator="containsText" text="In stock">
      <formula>NOT(ISERROR(SEARCH("In stock",H5)))</formula>
    </cfRule>
    <cfRule type="containsText" dxfId="1" priority="9" operator="containsText" text="Resolved">
      <formula>NOT(ISERROR(SEARCH("Resolved",H5)))</formula>
    </cfRule>
    <cfRule type="containsText" dxfId="1" priority="10" operator="containsText" text="Signed">
      <formula>NOT(ISERROR(SEARCH("Signed",H5)))</formula>
    </cfRule>
    <cfRule type="containsText" dxfId="1" priority="11" operator="containsText" text="Yes">
      <formula>NOT(ISERROR(SEARCH("Yes",H5)))</formula>
    </cfRule>
    <cfRule type="containsText" dxfId="3" priority="12" operator="containsText" text="Booked">
      <formula>NOT(ISERROR(SEARCH("Booked",H5)))</formula>
    </cfRule>
    <cfRule type="containsText" dxfId="3" priority="13" operator="containsText" text="Confirmed">
      <formula>NOT(ISERROR(SEARCH("Confirmed",H5)))</formula>
    </cfRule>
    <cfRule type="containsText" dxfId="3" priority="14" operator="containsText" text="Scheduled">
      <formula>NOT(ISERROR(SEARCH("Scheduled",H5)))</formula>
    </cfRule>
    <cfRule type="containsText" dxfId="3" priority="15" operator="containsText" text="In progress">
      <formula>NOT(ISERROR(SEARCH("In progress",H5)))</formula>
    </cfRule>
    <cfRule type="containsText" dxfId="3" priority="16" operator="containsText" text="Sent">
      <formula>NOT(ISERROR(SEARCH("Sent",H5)))</formula>
    </cfRule>
    <cfRule type="containsText" dxfId="3" priority="17" operator="containsText" text="Invoiced">
      <formula>NOT(ISERROR(SEARCH("Invoiced",H5)))</formula>
    </cfRule>
    <cfRule type="containsText" dxfId="3" priority="18" operator="containsText" text="Quoted">
      <formula>NOT(ISERROR(SEARCH("Quoted",H5)))</formula>
    </cfRule>
    <cfRule type="containsText" dxfId="3" priority="19" operator="containsText" text="Prospect">
      <formula>NOT(ISERROR(SEARCH("Prospect",H5)))</formula>
    </cfRule>
    <cfRule type="containsText" dxfId="0" priority="20" operator="containsText" text="Draft">
      <formula>NOT(ISERROR(SEARCH("Draft",H5)))</formula>
    </cfRule>
    <cfRule type="containsText" dxfId="0" priority="21" operator="containsText" text="Enquiry">
      <formula>NOT(ISERROR(SEARCH("Enquiry",H5)))</formula>
    </cfRule>
    <cfRule type="containsText" dxfId="0" priority="22" operator="containsText" text="Pending">
      <formula>NOT(ISERROR(SEARCH("Pending",H5)))</formula>
    </cfRule>
    <cfRule type="containsText" dxfId="0" priority="23" operator="containsText" text="Part paid">
      <formula>NOT(ISERROR(SEARCH("Part paid",H5)))</formula>
    </cfRule>
    <cfRule type="containsText" dxfId="0" priority="24" operator="containsText" text="Followed up">
      <formula>NOT(ISERROR(SEARCH("Followed up",H5)))</formula>
    </cfRule>
    <cfRule type="containsText" dxfId="0" priority="25" operator="containsText" text="Low stock">
      <formula>NOT(ISERROR(SEARCH("Low stock",H5)))</formula>
    </cfRule>
    <cfRule type="containsText" dxfId="0" priority="26" operator="containsText" text="Due soon">
      <formula>NOT(ISERROR(SEARCH("Due soon",H5)))</formula>
    </cfRule>
    <cfRule type="containsText" dxfId="0" priority="27" operator="containsText" text="On hold">
      <formula>NOT(ISERROR(SEARCH("On hold",H5)))</formula>
    </cfRule>
    <cfRule type="containsText" dxfId="0" priority="28" operator="containsText" text="Unassigned">
      <formula>NOT(ISERROR(SEARCH("Unassigned",H5)))</formula>
    </cfRule>
    <cfRule type="containsText" dxfId="2" priority="29" operator="containsText" text="Overdue">
      <formula>NOT(ISERROR(SEARCH("Overdue",H5)))</formula>
    </cfRule>
    <cfRule type="containsText" dxfId="2" priority="30" operator="containsText" text="Cancelled">
      <formula>NOT(ISERROR(SEARCH("Cancelled",H5)))</formula>
    </cfRule>
    <cfRule type="containsText" dxfId="2" priority="31" operator="containsText" text="Declined">
      <formula>NOT(ISERROR(SEARCH("Declined",H5)))</formula>
    </cfRule>
    <cfRule type="containsText" dxfId="2" priority="32" operator="containsText" text="Lost">
      <formula>NOT(ISERROR(SEARCH("Lost",H5)))</formula>
    </cfRule>
    <cfRule type="containsText" dxfId="2" priority="33" operator="containsText" text="No access">
      <formula>NOT(ISERROR(SEARCH("No access",H5)))</formula>
    </cfRule>
    <cfRule type="containsText" dxfId="2" priority="34" operator="containsText" text="Out of stock">
      <formula>NOT(ISERROR(SEARCH("Out of stock",H5)))</formula>
    </cfRule>
    <cfRule type="containsText" dxfId="2" priority="35" operator="containsText" text="Written off">
      <formula>NOT(ISERROR(SEARCH("Written off",H5)))</formula>
    </cfRule>
    <cfRule type="containsText" dxfId="2" priority="36" operator="containsText" text="Expired">
      <formula>NOT(ISERROR(SEARCH("Expired",H5)))</formula>
    </cfRule>
    <cfRule type="containsText" dxfId="4" priority="37" operator="containsText" text="Inactive">
      <formula>NOT(ISERROR(SEARCH("Inactive",H5)))</formula>
    </cfRule>
    <cfRule type="containsText" dxfId="4" priority="38" operator="containsText" text="Archived">
      <formula>NOT(ISERROR(SEARCH("Archived",H5)))</formula>
    </cfRule>
    <cfRule type="containsText" dxfId="4" priority="39" operator="containsText" text="Not needed">
      <formula>NOT(ISERROR(SEARCH("Not needed",H5)))</formula>
    </cfRule>
  </conditionalFormatting>
  <conditionalFormatting sqref="K5:K904">
    <cfRule type="containsText" dxfId="1" priority="40" operator="containsText" text="Completed">
      <formula>NOT(ISERROR(SEARCH("Completed",K5)))</formula>
    </cfRule>
    <cfRule type="containsText" dxfId="1" priority="41" operator="containsText" text="Complete">
      <formula>NOT(ISERROR(SEARCH("Complete",K5)))</formula>
    </cfRule>
    <cfRule type="containsText" dxfId="1" priority="42" operator="containsText" text="Done">
      <formula>NOT(ISERROR(SEARCH("Done",K5)))</formula>
    </cfRule>
    <cfRule type="containsText" dxfId="1" priority="43" operator="containsText" text="Paid">
      <formula>NOT(ISERROR(SEARCH("Paid",K5)))</formula>
    </cfRule>
    <cfRule type="containsText" dxfId="1" priority="44" operator="containsText" text="Accepted">
      <formula>NOT(ISERROR(SEARCH("Accepted",K5)))</formula>
    </cfRule>
    <cfRule type="containsText" dxfId="1" priority="45" operator="containsText" text="Won">
      <formula>NOT(ISERROR(SEARCH("Won",K5)))</formula>
    </cfRule>
    <cfRule type="containsText" dxfId="1" priority="46" operator="containsText" text="Active">
      <formula>NOT(ISERROR(SEARCH("Active",K5)))</formula>
    </cfRule>
    <cfRule type="containsText" dxfId="1" priority="47" operator="containsText" text="In stock">
      <formula>NOT(ISERROR(SEARCH("In stock",K5)))</formula>
    </cfRule>
    <cfRule type="containsText" dxfId="1" priority="48" operator="containsText" text="Resolved">
      <formula>NOT(ISERROR(SEARCH("Resolved",K5)))</formula>
    </cfRule>
    <cfRule type="containsText" dxfId="1" priority="49" operator="containsText" text="Signed">
      <formula>NOT(ISERROR(SEARCH("Signed",K5)))</formula>
    </cfRule>
    <cfRule type="containsText" dxfId="1" priority="50" operator="containsText" text="Yes">
      <formula>NOT(ISERROR(SEARCH("Yes",K5)))</formula>
    </cfRule>
    <cfRule type="containsText" dxfId="3" priority="51" operator="containsText" text="Booked">
      <formula>NOT(ISERROR(SEARCH("Booked",K5)))</formula>
    </cfRule>
    <cfRule type="containsText" dxfId="3" priority="52" operator="containsText" text="Confirmed">
      <formula>NOT(ISERROR(SEARCH("Confirmed",K5)))</formula>
    </cfRule>
    <cfRule type="containsText" dxfId="3" priority="53" operator="containsText" text="Scheduled">
      <formula>NOT(ISERROR(SEARCH("Scheduled",K5)))</formula>
    </cfRule>
    <cfRule type="containsText" dxfId="3" priority="54" operator="containsText" text="In progress">
      <formula>NOT(ISERROR(SEARCH("In progress",K5)))</formula>
    </cfRule>
    <cfRule type="containsText" dxfId="3" priority="55" operator="containsText" text="Sent">
      <formula>NOT(ISERROR(SEARCH("Sent",K5)))</formula>
    </cfRule>
    <cfRule type="containsText" dxfId="3" priority="56" operator="containsText" text="Invoiced">
      <formula>NOT(ISERROR(SEARCH("Invoiced",K5)))</formula>
    </cfRule>
    <cfRule type="containsText" dxfId="3" priority="57" operator="containsText" text="Quoted">
      <formula>NOT(ISERROR(SEARCH("Quoted",K5)))</formula>
    </cfRule>
    <cfRule type="containsText" dxfId="3" priority="58" operator="containsText" text="Prospect">
      <formula>NOT(ISERROR(SEARCH("Prospect",K5)))</formula>
    </cfRule>
    <cfRule type="containsText" dxfId="0" priority="59" operator="containsText" text="Draft">
      <formula>NOT(ISERROR(SEARCH("Draft",K5)))</formula>
    </cfRule>
    <cfRule type="containsText" dxfId="0" priority="60" operator="containsText" text="Enquiry">
      <formula>NOT(ISERROR(SEARCH("Enquiry",K5)))</formula>
    </cfRule>
    <cfRule type="containsText" dxfId="0" priority="61" operator="containsText" text="Pending">
      <formula>NOT(ISERROR(SEARCH("Pending",K5)))</formula>
    </cfRule>
    <cfRule type="containsText" dxfId="0" priority="62" operator="containsText" text="Part paid">
      <formula>NOT(ISERROR(SEARCH("Part paid",K5)))</formula>
    </cfRule>
    <cfRule type="containsText" dxfId="0" priority="63" operator="containsText" text="Followed up">
      <formula>NOT(ISERROR(SEARCH("Followed up",K5)))</formula>
    </cfRule>
    <cfRule type="containsText" dxfId="0" priority="64" operator="containsText" text="Low stock">
      <formula>NOT(ISERROR(SEARCH("Low stock",K5)))</formula>
    </cfRule>
    <cfRule type="containsText" dxfId="0" priority="65" operator="containsText" text="Due soon">
      <formula>NOT(ISERROR(SEARCH("Due soon",K5)))</formula>
    </cfRule>
    <cfRule type="containsText" dxfId="0" priority="66" operator="containsText" text="On hold">
      <formula>NOT(ISERROR(SEARCH("On hold",K5)))</formula>
    </cfRule>
    <cfRule type="containsText" dxfId="0" priority="67" operator="containsText" text="Unassigned">
      <formula>NOT(ISERROR(SEARCH("Unassigned",K5)))</formula>
    </cfRule>
    <cfRule type="containsText" dxfId="2" priority="68" operator="containsText" text="Overdue">
      <formula>NOT(ISERROR(SEARCH("Overdue",K5)))</formula>
    </cfRule>
    <cfRule type="containsText" dxfId="2" priority="69" operator="containsText" text="Cancelled">
      <formula>NOT(ISERROR(SEARCH("Cancelled",K5)))</formula>
    </cfRule>
    <cfRule type="containsText" dxfId="2" priority="70" operator="containsText" text="Declined">
      <formula>NOT(ISERROR(SEARCH("Declined",K5)))</formula>
    </cfRule>
    <cfRule type="containsText" dxfId="2" priority="71" operator="containsText" text="Lost">
      <formula>NOT(ISERROR(SEARCH("Lost",K5)))</formula>
    </cfRule>
    <cfRule type="containsText" dxfId="2" priority="72" operator="containsText" text="No access">
      <formula>NOT(ISERROR(SEARCH("No access",K5)))</formula>
    </cfRule>
    <cfRule type="containsText" dxfId="2" priority="73" operator="containsText" text="Out of stock">
      <formula>NOT(ISERROR(SEARCH("Out of stock",K5)))</formula>
    </cfRule>
    <cfRule type="containsText" dxfId="2" priority="74" operator="containsText" text="Written off">
      <formula>NOT(ISERROR(SEARCH("Written off",K5)))</formula>
    </cfRule>
    <cfRule type="containsText" dxfId="2" priority="75" operator="containsText" text="Expired">
      <formula>NOT(ISERROR(SEARCH("Expired",K5)))</formula>
    </cfRule>
    <cfRule type="containsText" dxfId="4" priority="76" operator="containsText" text="Inactive">
      <formula>NOT(ISERROR(SEARCH("Inactive",K5)))</formula>
    </cfRule>
    <cfRule type="containsText" dxfId="4" priority="77" operator="containsText" text="Archived">
      <formula>NOT(ISERROR(SEARCH("Archived",K5)))</formula>
    </cfRule>
    <cfRule type="containsText" dxfId="4" priority="78" operator="containsText" text="Not needed">
      <formula>NOT(ISERROR(SEARCH("Not needed",K5)))</formula>
    </cfRule>
  </conditionalFormatting>
  <conditionalFormatting sqref="M5:M904">
    <cfRule type="containsText" dxfId="0" priority="79" operator="containsText" text="No">
      <formula>NOT(ISERROR(SEARCH("No",M5)))</formula>
    </cfRule>
    <cfRule type="containsText" dxfId="1" priority="80" operator="containsText" text="Yes">
      <formula>NOT(ISERROR(SEARCH("Yes",M5)))</formula>
    </cfRule>
  </conditionalFormatting>
  <conditionalFormatting sqref="S5:S904">
    <cfRule type="containsText" dxfId="0" priority="81" operator="containsText" text="No">
      <formula>NOT(ISERROR(SEARCH("No",S5)))</formula>
    </cfRule>
    <cfRule type="containsText" dxfId="1" priority="82" operator="containsText" text="Yes">
      <formula>NOT(ISERROR(SEARCH("Yes",S5)))</formula>
    </cfRule>
  </conditionalFormatting>
  <conditionalFormatting sqref="T5:T904">
    <cfRule type="beginsWith" dxfId="1" priority="83" operator="beginsWith" text="OK">
      <formula>LEFT(T5,2)="OK"</formula>
    </cfRule>
    <cfRule type="containsText" dxfId="2" priority="84" operator="containsText" text="Overdue">
      <formula>NOT(ISERROR(SEARCH("Overdue",T5)))</formula>
    </cfRule>
    <cfRule type="containsText" dxfId="2" priority="85" operator="containsText" text="Late">
      <formula>NOT(ISERROR(SEARCH("Late",T5)))</formula>
    </cfRule>
    <cfRule type="containsText" dxfId="2" priority="86" operator="containsText" text="Missing">
      <formula>NOT(ISERROR(SEARCH("Missing",T5)))</formula>
    </cfRule>
    <cfRule type="containsText" dxfId="2" priority="87" operator="containsText" text="Conflict">
      <formula>NOT(ISERROR(SEARCH("Conflict",T5)))</formula>
    </cfRule>
    <cfRule type="containsText" dxfId="2" priority="88" operator="containsText" text="Clash">
      <formula>NOT(ISERROR(SEARCH("Clash",T5)))</formula>
    </cfRule>
    <cfRule type="containsText" dxfId="2" priority="89" operator="containsText" text="Expired">
      <formula>NOT(ISERROR(SEARCH("Expired",T5)))</formula>
    </cfRule>
    <cfRule type="containsText" dxfId="2" priority="90" operator="containsText" text="Duplicate">
      <formula>NOT(ISERROR(SEARCH("Duplicate",T5)))</formula>
    </cfRule>
    <cfRule type="containsText" dxfId="2" priority="91" operator="containsText" text="Unpaid">
      <formula>NOT(ISERROR(SEARCH("Unpaid",T5)))</formula>
    </cfRule>
    <cfRule type="containsText" dxfId="2" priority="92" operator="containsText" text="Loss">
      <formula>NOT(ISERROR(SEARCH("Loss",T5)))</formula>
    </cfRule>
    <cfRule type="containsText" dxfId="2" priority="93" operator="containsText" text="Below">
      <formula>NOT(ISERROR(SEARCH("Below",T5)))</formula>
    </cfRule>
    <cfRule type="containsText" dxfId="0" priority="94" operator="containsText" text="Action">
      <formula>NOT(ISERROR(SEARCH("Action",T5)))</formula>
    </cfRule>
    <cfRule type="containsText" dxfId="0" priority="95" operator="containsText" text="Due">
      <formula>NOT(ISERROR(SEARCH("Due",T5)))</formula>
    </cfRule>
    <cfRule type="containsText" dxfId="0" priority="96" operator="containsText" text="Check">
      <formula>NOT(ISERROR(SEARCH("Check",T5)))</formula>
    </cfRule>
    <cfRule type="containsText" dxfId="0" priority="97" operator="containsText" text="Chase">
      <formula>NOT(ISERROR(SEARCH("Chase",T5)))</formula>
    </cfRule>
    <cfRule type="containsText" dxfId="0" priority="98" operator="containsText" text="Assign">
      <formula>NOT(ISERROR(SEARCH("Assign",T5)))</formula>
    </cfRule>
    <cfRule type="containsText" dxfId="0" priority="99" operator="containsText" text="Confirm">
      <formula>NOT(ISERROR(SEARCH("Confirm",T5)))</formula>
    </cfRule>
    <cfRule type="containsText" dxfId="0" priority="100" operator="containsText" text="Order">
      <formula>NOT(ISERROR(SEARCH("Order",T5)))</formula>
    </cfRule>
    <cfRule type="containsText" dxfId="3" priority="101" operator="containsText" text="Today">
      <formula>NOT(ISERROR(SEARCH("Today",T5)))</formula>
    </cfRule>
    <cfRule type="containsText" dxfId="3" priority="102" operator="containsText" text="Upcoming">
      <formula>NOT(ISERROR(SEARCH("Upcoming",T5)))</formula>
    </cfRule>
    <cfRule type="containsText" dxfId="3" priority="103" operator="containsText" text="Tomorrow">
      <formula>NOT(ISERROR(SEARCH("Tomorrow",T5)))</formula>
    </cfRule>
  </conditionalFormatting>
  <dataValidations count="7">
    <dataValidation type="list" allowBlank="1" showInputMessage="1" showErrorMessage="1" promptTitle="Job ID" prompt="Which visit. Everything about the job is pulled through from the Jobs tab." sqref="B5:B904">
      <formula1>JobIDs</formula1>
    </dataValidation>
    <dataValidation type="list" allowBlank="1" showInputMessage="1" showErrorMessage="1" sqref="F5:F904">
      <formula1>TaskAreaList</formula1>
    </dataValidation>
    <dataValidation type="list" allowBlank="1" showInputMessage="1" showErrorMessage="1" promptTitle="Status" prompt="Done, Skipped, Issue found. The job's completion percentage counts the Done ones." sqref="H5:H904">
      <formula1>TaskStatusList</formula1>
    </dataValidation>
    <dataValidation type="list" allowBlank="1" showInputMessage="1" showErrorMessage="1" promptTitle="Done by" prompt="Blank means the lead cleaner on the job." sqref="I5:I904">
      <formula1>EmployeeNames</formula1>
    </dataValidation>
    <dataValidation type="whole" allowBlank="1" showInputMessage="1" showErrorMessage="1" errorTitle="Check the value" error="Enter a number between 0 and 600." sqref="J5:J904">
      <formula1>0</formula1>
      <formula2>600</formula2>
    </dataValidation>
    <dataValidation type="list" allowBlank="1" showInputMessage="1" showErrorMessage="1" promptTitle="Quality" prompt="Filled in on a spot check, not on every task. Only the ones you look at." sqref="K5:K904">
      <formula1>QualityList</formula1>
    </dataValidation>
    <dataValidation type="list" allowBlank="1" showInputMessage="1" showErrorMessage="1" sqref="M5:M904">
      <formula1>YesNoList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&amp;L&amp;"Calibri,Bold"&amp;12&amp;C&amp;"Calibri,Bold"&amp;11Job Tasks&amp;R&amp;"Calibri,Italic"&amp;9Cleaning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13.xml><?xml version="1.0" encoding="utf-8"?>
<worksheet xmlns="http://schemas.openxmlformats.org/spreadsheetml/2006/main" xmlns:r="http://schemas.openxmlformats.org/officeDocument/2006/relationships">
  <sheetPr>
    <tabColor rgb="FF14616B"/>
    <pageSetUpPr fitToPage="1"/>
  </sheetPr>
  <dimension ref="A1:K64"/>
  <sheetViews>
    <sheetView showGridLines="0" workbookViewId="0">
      <pane ySplit="4" topLeftCell="A5" activePane="bottomLeft" state="frozen"/>
      <selection pane="bottomLeft"/>
    </sheetView>
  </sheetViews>
  <sheetFormatPr defaultRowHeight="15"/>
  <cols>
    <col min="1" max="1" width="16.7109375" customWidth="1"/>
    <col min="2" max="2" width="15.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11" width="14.7109375" customWidth="1"/>
    <col min="1" max="1" width="11.7109375" customWidth="1"/>
    <col min="2" max="2" width="8.7109375" customWidth="1"/>
    <col min="3" max="3" width="8.7109375" customWidth="1"/>
    <col min="4" max="4" width="20.7109375" customWidth="1"/>
    <col min="5" max="5" width="22.7109375" customWidth="1"/>
    <col min="6" max="6" width="20.7109375" customWidth="1"/>
    <col min="7" max="7" width="16.7109375" customWidth="1"/>
    <col min="8" max="8" width="8.7109375" customWidth="1"/>
    <col min="9" max="9" width="11.7109375" customWidth="1"/>
    <col min="10" max="10" width="13.7109375" customWidth="1"/>
    <col min="11" max="11" width="26.7109375" customWidth="1"/>
  </cols>
  <sheetData>
    <row r="1" spans="1:11" ht="34" customHeight="1">
      <c r="A1" s="2" t="s">
        <v>1223</v>
      </c>
      <c r="B1" s="2"/>
      <c r="C1" s="2"/>
      <c r="D1" s="2"/>
      <c r="E1" s="2"/>
      <c r="F1" s="2"/>
      <c r="G1" s="2"/>
      <c r="H1" s="2"/>
      <c r="I1" s="3" t="s">
        <v>1</v>
      </c>
      <c r="J1" s="3"/>
      <c r="K1" s="3"/>
    </row>
    <row r="2" spans="1:11" ht="18" customHeight="1">
      <c r="A2" s="4" t="s">
        <v>1224</v>
      </c>
      <c r="B2" s="4"/>
      <c r="C2" s="4"/>
      <c r="D2" s="4"/>
      <c r="E2" s="4"/>
      <c r="F2" s="4"/>
      <c r="G2" s="4"/>
      <c r="H2" s="4"/>
      <c r="I2" s="4"/>
      <c r="J2" s="4"/>
      <c r="K2" s="4"/>
    </row>
    <row r="3" spans="1:11" ht="16" customHeight="1">
      <c r="A3" s="5" t="s">
        <v>3</v>
      </c>
      <c r="B3" s="5"/>
      <c r="C3" s="5" t="s">
        <v>4</v>
      </c>
      <c r="D3" s="5"/>
      <c r="E3" s="5" t="s">
        <v>5</v>
      </c>
      <c r="F3" s="5"/>
      <c r="G3" s="5" t="s">
        <v>6</v>
      </c>
      <c r="H3" s="5"/>
      <c r="I3" s="5" t="s">
        <v>7</v>
      </c>
      <c r="J3" s="5"/>
      <c r="K3" s="14" t="s">
        <v>172</v>
      </c>
    </row>
    <row r="5" spans="1:11">
      <c r="A5" s="10" t="s">
        <v>1225</v>
      </c>
      <c r="B5" s="46">
        <f>MonthStart</f>
        <v>0</v>
      </c>
      <c r="C5" s="24" t="s">
        <v>1226</v>
      </c>
      <c r="D5" s="23">
        <f>TEXT(CalStart,"mmmm yyyy")</f>
        <v>0</v>
      </c>
      <c r="E5" s="23"/>
      <c r="F5" s="24" t="s">
        <v>371</v>
      </c>
      <c r="G5" s="31">
        <f>COUNTIFS(Jobs!$B$5:$B$604,"&gt;="&amp;CalStart,Jobs!$B$5:$B$604,"&lt;"&amp;DATE(YEAR(CalStart),MONTH(CalStart)+1,1),Jobs!$P$5:$P$604,"&lt;&gt;Cancelled")</f>
        <v>0</v>
      </c>
      <c r="H5" s="24" t="s">
        <v>399</v>
      </c>
      <c r="I5" s="36">
        <f>SUMIFS(Jobs!$AJ$5:$AJ$604,Jobs!$B$5:$B$604,"&gt;="&amp;CalStart,Jobs!$B$5:$B$604,"&lt;"&amp;DATE(YEAR(CalStart),MONTH(CalStart)+1,1),Jobs!$P$5:$P$604,"&lt;&gt;Cancelled")</f>
        <v>0</v>
      </c>
    </row>
    <row r="6" spans="1:11" ht="22" customHeight="1">
      <c r="A6" s="6" t="s">
        <v>1227</v>
      </c>
      <c r="B6" s="6"/>
      <c r="C6" s="6"/>
      <c r="D6" s="6"/>
      <c r="E6" s="6"/>
      <c r="F6" s="6"/>
      <c r="G6" s="6"/>
      <c r="H6" s="6"/>
      <c r="I6" s="6"/>
      <c r="J6" s="6"/>
      <c r="K6" s="6"/>
    </row>
    <row r="8" spans="1:11" ht="20" customHeight="1">
      <c r="A8" s="7" t="s">
        <v>1228</v>
      </c>
      <c r="B8" s="7"/>
      <c r="C8" s="7"/>
      <c r="D8" s="7"/>
      <c r="E8" s="7"/>
      <c r="F8" s="7"/>
      <c r="G8" s="7"/>
      <c r="H8" s="7"/>
      <c r="I8" s="7"/>
      <c r="J8" s="7"/>
      <c r="K8" s="7"/>
    </row>
    <row r="9" spans="1:11">
      <c r="A9" s="8" t="s">
        <v>396</v>
      </c>
      <c r="B9" s="9">
        <f>TEXT(CalStart-WEEKDAY(CalStart,IF(WeekStart="Sunday",1,2))+1+0,"dddd")</f>
        <v>0</v>
      </c>
      <c r="C9" s="9">
        <f>TEXT(CalStart-WEEKDAY(CalStart,IF(WeekStart="Sunday",1,2))+1+1,"dddd")</f>
        <v>0</v>
      </c>
      <c r="D9" s="9">
        <f>TEXT(CalStart-WEEKDAY(CalStart,IF(WeekStart="Sunday",1,2))+1+2,"dddd")</f>
        <v>0</v>
      </c>
      <c r="E9" s="9">
        <f>TEXT(CalStart-WEEKDAY(CalStart,IF(WeekStart="Sunday",1,2))+1+3,"dddd")</f>
        <v>0</v>
      </c>
      <c r="F9" s="9">
        <f>TEXT(CalStart-WEEKDAY(CalStart,IF(WeekStart="Sunday",1,2))+1+4,"dddd")</f>
        <v>0</v>
      </c>
      <c r="G9" s="9">
        <f>TEXT(CalStart-WEEKDAY(CalStart,IF(WeekStart="Sunday",1,2))+1+5,"dddd")</f>
        <v>0</v>
      </c>
      <c r="H9" s="9">
        <f>TEXT(CalStart-WEEKDAY(CalStart,IF(WeekStart="Sunday",1,2))+1+6,"dddd")</f>
        <v>0</v>
      </c>
    </row>
    <row r="10" spans="1:11">
      <c r="A10" s="55">
        <f>CalStart-WEEKDAY(CalStart,IF(WeekStart="Sunday",1,2))+1+0</f>
        <v>0</v>
      </c>
      <c r="B10" s="56">
        <f>CalStart-WEEKDAY(CalStart,IF(WeekStart="Sunday",1,2))+1+0</f>
        <v>0</v>
      </c>
      <c r="C10" s="56">
        <f>CalStart-WEEKDAY(CalStart,IF(WeekStart="Sunday",1,2))+1+1</f>
        <v>0</v>
      </c>
      <c r="D10" s="56">
        <f>CalStart-WEEKDAY(CalStart,IF(WeekStart="Sunday",1,2))+1+2</f>
        <v>0</v>
      </c>
      <c r="E10" s="56">
        <f>CalStart-WEEKDAY(CalStart,IF(WeekStart="Sunday",1,2))+1+3</f>
        <v>0</v>
      </c>
      <c r="F10" s="56">
        <f>CalStart-WEEKDAY(CalStart,IF(WeekStart="Sunday",1,2))+1+4</f>
        <v>0</v>
      </c>
      <c r="G10" s="56">
        <f>CalStart-WEEKDAY(CalStart,IF(WeekStart="Sunday",1,2))+1+5</f>
        <v>0</v>
      </c>
      <c r="H10" s="56">
        <f>CalStart-WEEKDAY(CalStart,IF(WeekStart="Sunday",1,2))+1+6</f>
        <v>0</v>
      </c>
    </row>
    <row r="11" spans="1:11">
      <c r="A11" s="11" t="s">
        <v>371</v>
      </c>
      <c r="B11" s="23">
        <f>IF(COUNTIFS(Jobs!$B$5:$B$604,B$10,Jobs!$P$5:$P$604,"&lt;&gt;Cancelled")=0,"",COUNTIFS(Jobs!$B$5:$B$604,B$10,Jobs!$P$5:$P$604,"&lt;&gt;Cancelled")&amp;" jobs, "&amp;TEXT(SUMIFS(Jobs!$AF$5:$AF$604,Jobs!$B$5:$B$604,B$10,Jobs!$P$5:$P$604,"&lt;&gt;Cancelled"),"0.0")&amp;"h")</f>
        <v>0</v>
      </c>
      <c r="C11" s="23">
        <f>IF(COUNTIFS(Jobs!$B$5:$B$604,C$10,Jobs!$P$5:$P$604,"&lt;&gt;Cancelled")=0,"",COUNTIFS(Jobs!$B$5:$B$604,C$10,Jobs!$P$5:$P$604,"&lt;&gt;Cancelled")&amp;" jobs, "&amp;TEXT(SUMIFS(Jobs!$AF$5:$AF$604,Jobs!$B$5:$B$604,C$10,Jobs!$P$5:$P$604,"&lt;&gt;Cancelled"),"0.0")&amp;"h")</f>
        <v>0</v>
      </c>
      <c r="D11" s="23">
        <f>IF(COUNTIFS(Jobs!$B$5:$B$604,D$10,Jobs!$P$5:$P$604,"&lt;&gt;Cancelled")=0,"",COUNTIFS(Jobs!$B$5:$B$604,D$10,Jobs!$P$5:$P$604,"&lt;&gt;Cancelled")&amp;" jobs, "&amp;TEXT(SUMIFS(Jobs!$AF$5:$AF$604,Jobs!$B$5:$B$604,D$10,Jobs!$P$5:$P$604,"&lt;&gt;Cancelled"),"0.0")&amp;"h")</f>
        <v>0</v>
      </c>
      <c r="E11" s="23">
        <f>IF(COUNTIFS(Jobs!$B$5:$B$604,E$10,Jobs!$P$5:$P$604,"&lt;&gt;Cancelled")=0,"",COUNTIFS(Jobs!$B$5:$B$604,E$10,Jobs!$P$5:$P$604,"&lt;&gt;Cancelled")&amp;" jobs, "&amp;TEXT(SUMIFS(Jobs!$AF$5:$AF$604,Jobs!$B$5:$B$604,E$10,Jobs!$P$5:$P$604,"&lt;&gt;Cancelled"),"0.0")&amp;"h")</f>
        <v>0</v>
      </c>
      <c r="F11" s="23">
        <f>IF(COUNTIFS(Jobs!$B$5:$B$604,F$10,Jobs!$P$5:$P$604,"&lt;&gt;Cancelled")=0,"",COUNTIFS(Jobs!$B$5:$B$604,F$10,Jobs!$P$5:$P$604,"&lt;&gt;Cancelled")&amp;" jobs, "&amp;TEXT(SUMIFS(Jobs!$AF$5:$AF$604,Jobs!$B$5:$B$604,F$10,Jobs!$P$5:$P$604,"&lt;&gt;Cancelled"),"0.0")&amp;"h")</f>
        <v>0</v>
      </c>
      <c r="G11" s="23">
        <f>IF(COUNTIFS(Jobs!$B$5:$B$604,G$10,Jobs!$P$5:$P$604,"&lt;&gt;Cancelled")=0,"",COUNTIFS(Jobs!$B$5:$B$604,G$10,Jobs!$P$5:$P$604,"&lt;&gt;Cancelled")&amp;" jobs, "&amp;TEXT(SUMIFS(Jobs!$AF$5:$AF$604,Jobs!$B$5:$B$604,G$10,Jobs!$P$5:$P$604,"&lt;&gt;Cancelled"),"0.0")&amp;"h")</f>
        <v>0</v>
      </c>
      <c r="H11" s="23">
        <f>IF(COUNTIFS(Jobs!$B$5:$B$604,H$10,Jobs!$P$5:$P$604,"&lt;&gt;Cancelled")=0,"",COUNTIFS(Jobs!$B$5:$B$604,H$10,Jobs!$P$5:$P$604,"&lt;&gt;Cancelled")&amp;" jobs, "&amp;TEXT(SUMIFS(Jobs!$AF$5:$AF$604,Jobs!$B$5:$B$604,H$10,Jobs!$P$5:$P$604,"&lt;&gt;Cancelled"),"0.0")&amp;"h")</f>
        <v>0</v>
      </c>
    </row>
    <row r="12" spans="1:11" ht="16" customHeight="1">
      <c r="A12" s="11" t="s">
        <v>399</v>
      </c>
      <c r="B12" s="36">
        <f>IF(SUMIFS(Jobs!$AJ$5:$AJ$604,Jobs!$B$5:$B$604,B$10,Jobs!$P$5:$P$604,"&lt;&gt;Cancelled")=0,"",SUMIFS(Jobs!$AJ$5:$AJ$604,Jobs!$B$5:$B$604,B$10,Jobs!$P$5:$P$604,"&lt;&gt;Cancelled"))</f>
        <v>0</v>
      </c>
      <c r="C12" s="36">
        <f>IF(SUMIFS(Jobs!$AJ$5:$AJ$604,Jobs!$B$5:$B$604,C$10,Jobs!$P$5:$P$604,"&lt;&gt;Cancelled")=0,"",SUMIFS(Jobs!$AJ$5:$AJ$604,Jobs!$B$5:$B$604,C$10,Jobs!$P$5:$P$604,"&lt;&gt;Cancelled"))</f>
        <v>0</v>
      </c>
      <c r="D12" s="36">
        <f>IF(SUMIFS(Jobs!$AJ$5:$AJ$604,Jobs!$B$5:$B$604,D$10,Jobs!$P$5:$P$604,"&lt;&gt;Cancelled")=0,"",SUMIFS(Jobs!$AJ$5:$AJ$604,Jobs!$B$5:$B$604,D$10,Jobs!$P$5:$P$604,"&lt;&gt;Cancelled"))</f>
        <v>0</v>
      </c>
      <c r="E12" s="36">
        <f>IF(SUMIFS(Jobs!$AJ$5:$AJ$604,Jobs!$B$5:$B$604,E$10,Jobs!$P$5:$P$604,"&lt;&gt;Cancelled")=0,"",SUMIFS(Jobs!$AJ$5:$AJ$604,Jobs!$B$5:$B$604,E$10,Jobs!$P$5:$P$604,"&lt;&gt;Cancelled"))</f>
        <v>0</v>
      </c>
      <c r="F12" s="36">
        <f>IF(SUMIFS(Jobs!$AJ$5:$AJ$604,Jobs!$B$5:$B$604,F$10,Jobs!$P$5:$P$604,"&lt;&gt;Cancelled")=0,"",SUMIFS(Jobs!$AJ$5:$AJ$604,Jobs!$B$5:$B$604,F$10,Jobs!$P$5:$P$604,"&lt;&gt;Cancelled"))</f>
        <v>0</v>
      </c>
      <c r="G12" s="36">
        <f>IF(SUMIFS(Jobs!$AJ$5:$AJ$604,Jobs!$B$5:$B$604,G$10,Jobs!$P$5:$P$604,"&lt;&gt;Cancelled")=0,"",SUMIFS(Jobs!$AJ$5:$AJ$604,Jobs!$B$5:$B$604,G$10,Jobs!$P$5:$P$604,"&lt;&gt;Cancelled"))</f>
        <v>0</v>
      </c>
      <c r="H12" s="36">
        <f>IF(SUMIFS(Jobs!$AJ$5:$AJ$604,Jobs!$B$5:$B$604,H$10,Jobs!$P$5:$P$604,"&lt;&gt;Cancelled")=0,"",SUMIFS(Jobs!$AJ$5:$AJ$604,Jobs!$B$5:$B$604,H$10,Jobs!$P$5:$P$604,"&lt;&gt;Cancelled"))</f>
        <v>0</v>
      </c>
    </row>
    <row r="13" spans="1:11">
      <c r="A13" s="55">
        <f>CalStart-WEEKDAY(CalStart,IF(WeekStart="Sunday",1,2))+1+7</f>
        <v>0</v>
      </c>
      <c r="B13" s="56">
        <f>CalStart-WEEKDAY(CalStart,IF(WeekStart="Sunday",1,2))+1+7</f>
        <v>0</v>
      </c>
      <c r="C13" s="56">
        <f>CalStart-WEEKDAY(CalStart,IF(WeekStart="Sunday",1,2))+1+8</f>
        <v>0</v>
      </c>
      <c r="D13" s="56">
        <f>CalStart-WEEKDAY(CalStart,IF(WeekStart="Sunday",1,2))+1+9</f>
        <v>0</v>
      </c>
      <c r="E13" s="56">
        <f>CalStart-WEEKDAY(CalStart,IF(WeekStart="Sunday",1,2))+1+10</f>
        <v>0</v>
      </c>
      <c r="F13" s="56">
        <f>CalStart-WEEKDAY(CalStart,IF(WeekStart="Sunday",1,2))+1+11</f>
        <v>0</v>
      </c>
      <c r="G13" s="56">
        <f>CalStart-WEEKDAY(CalStart,IF(WeekStart="Sunday",1,2))+1+12</f>
        <v>0</v>
      </c>
      <c r="H13" s="56">
        <f>CalStart-WEEKDAY(CalStart,IF(WeekStart="Sunday",1,2))+1+13</f>
        <v>0</v>
      </c>
    </row>
    <row r="14" spans="1:11">
      <c r="A14" s="11" t="s">
        <v>371</v>
      </c>
      <c r="B14" s="23">
        <f>IF(COUNTIFS(Jobs!$B$5:$B$604,B$13,Jobs!$P$5:$P$604,"&lt;&gt;Cancelled")=0,"",COUNTIFS(Jobs!$B$5:$B$604,B$13,Jobs!$P$5:$P$604,"&lt;&gt;Cancelled")&amp;" jobs, "&amp;TEXT(SUMIFS(Jobs!$AF$5:$AF$604,Jobs!$B$5:$B$604,B$13,Jobs!$P$5:$P$604,"&lt;&gt;Cancelled"),"0.0")&amp;"h")</f>
        <v>0</v>
      </c>
      <c r="C14" s="23">
        <f>IF(COUNTIFS(Jobs!$B$5:$B$604,C$13,Jobs!$P$5:$P$604,"&lt;&gt;Cancelled")=0,"",COUNTIFS(Jobs!$B$5:$B$604,C$13,Jobs!$P$5:$P$604,"&lt;&gt;Cancelled")&amp;" jobs, "&amp;TEXT(SUMIFS(Jobs!$AF$5:$AF$604,Jobs!$B$5:$B$604,C$13,Jobs!$P$5:$P$604,"&lt;&gt;Cancelled"),"0.0")&amp;"h")</f>
        <v>0</v>
      </c>
      <c r="D14" s="23">
        <f>IF(COUNTIFS(Jobs!$B$5:$B$604,D$13,Jobs!$P$5:$P$604,"&lt;&gt;Cancelled")=0,"",COUNTIFS(Jobs!$B$5:$B$604,D$13,Jobs!$P$5:$P$604,"&lt;&gt;Cancelled")&amp;" jobs, "&amp;TEXT(SUMIFS(Jobs!$AF$5:$AF$604,Jobs!$B$5:$B$604,D$13,Jobs!$P$5:$P$604,"&lt;&gt;Cancelled"),"0.0")&amp;"h")</f>
        <v>0</v>
      </c>
      <c r="E14" s="23">
        <f>IF(COUNTIFS(Jobs!$B$5:$B$604,E$13,Jobs!$P$5:$P$604,"&lt;&gt;Cancelled")=0,"",COUNTIFS(Jobs!$B$5:$B$604,E$13,Jobs!$P$5:$P$604,"&lt;&gt;Cancelled")&amp;" jobs, "&amp;TEXT(SUMIFS(Jobs!$AF$5:$AF$604,Jobs!$B$5:$B$604,E$13,Jobs!$P$5:$P$604,"&lt;&gt;Cancelled"),"0.0")&amp;"h")</f>
        <v>0</v>
      </c>
      <c r="F14" s="23">
        <f>IF(COUNTIFS(Jobs!$B$5:$B$604,F$13,Jobs!$P$5:$P$604,"&lt;&gt;Cancelled")=0,"",COUNTIFS(Jobs!$B$5:$B$604,F$13,Jobs!$P$5:$P$604,"&lt;&gt;Cancelled")&amp;" jobs, "&amp;TEXT(SUMIFS(Jobs!$AF$5:$AF$604,Jobs!$B$5:$B$604,F$13,Jobs!$P$5:$P$604,"&lt;&gt;Cancelled"),"0.0")&amp;"h")</f>
        <v>0</v>
      </c>
      <c r="G14" s="23">
        <f>IF(COUNTIFS(Jobs!$B$5:$B$604,G$13,Jobs!$P$5:$P$604,"&lt;&gt;Cancelled")=0,"",COUNTIFS(Jobs!$B$5:$B$604,G$13,Jobs!$P$5:$P$604,"&lt;&gt;Cancelled")&amp;" jobs, "&amp;TEXT(SUMIFS(Jobs!$AF$5:$AF$604,Jobs!$B$5:$B$604,G$13,Jobs!$P$5:$P$604,"&lt;&gt;Cancelled"),"0.0")&amp;"h")</f>
        <v>0</v>
      </c>
      <c r="H14" s="23">
        <f>IF(COUNTIFS(Jobs!$B$5:$B$604,H$13,Jobs!$P$5:$P$604,"&lt;&gt;Cancelled")=0,"",COUNTIFS(Jobs!$B$5:$B$604,H$13,Jobs!$P$5:$P$604,"&lt;&gt;Cancelled")&amp;" jobs, "&amp;TEXT(SUMIFS(Jobs!$AF$5:$AF$604,Jobs!$B$5:$B$604,H$13,Jobs!$P$5:$P$604,"&lt;&gt;Cancelled"),"0.0")&amp;"h")</f>
        <v>0</v>
      </c>
    </row>
    <row r="15" spans="1:11" ht="16" customHeight="1">
      <c r="A15" s="11" t="s">
        <v>399</v>
      </c>
      <c r="B15" s="36">
        <f>IF(SUMIFS(Jobs!$AJ$5:$AJ$604,Jobs!$B$5:$B$604,B$13,Jobs!$P$5:$P$604,"&lt;&gt;Cancelled")=0,"",SUMIFS(Jobs!$AJ$5:$AJ$604,Jobs!$B$5:$B$604,B$13,Jobs!$P$5:$P$604,"&lt;&gt;Cancelled"))</f>
        <v>0</v>
      </c>
      <c r="C15" s="36">
        <f>IF(SUMIFS(Jobs!$AJ$5:$AJ$604,Jobs!$B$5:$B$604,C$13,Jobs!$P$5:$P$604,"&lt;&gt;Cancelled")=0,"",SUMIFS(Jobs!$AJ$5:$AJ$604,Jobs!$B$5:$B$604,C$13,Jobs!$P$5:$P$604,"&lt;&gt;Cancelled"))</f>
        <v>0</v>
      </c>
      <c r="D15" s="36">
        <f>IF(SUMIFS(Jobs!$AJ$5:$AJ$604,Jobs!$B$5:$B$604,D$13,Jobs!$P$5:$P$604,"&lt;&gt;Cancelled")=0,"",SUMIFS(Jobs!$AJ$5:$AJ$604,Jobs!$B$5:$B$604,D$13,Jobs!$P$5:$P$604,"&lt;&gt;Cancelled"))</f>
        <v>0</v>
      </c>
      <c r="E15" s="36">
        <f>IF(SUMIFS(Jobs!$AJ$5:$AJ$604,Jobs!$B$5:$B$604,E$13,Jobs!$P$5:$P$604,"&lt;&gt;Cancelled")=0,"",SUMIFS(Jobs!$AJ$5:$AJ$604,Jobs!$B$5:$B$604,E$13,Jobs!$P$5:$P$604,"&lt;&gt;Cancelled"))</f>
        <v>0</v>
      </c>
      <c r="F15" s="36">
        <f>IF(SUMIFS(Jobs!$AJ$5:$AJ$604,Jobs!$B$5:$B$604,F$13,Jobs!$P$5:$P$604,"&lt;&gt;Cancelled")=0,"",SUMIFS(Jobs!$AJ$5:$AJ$604,Jobs!$B$5:$B$604,F$13,Jobs!$P$5:$P$604,"&lt;&gt;Cancelled"))</f>
        <v>0</v>
      </c>
      <c r="G15" s="36">
        <f>IF(SUMIFS(Jobs!$AJ$5:$AJ$604,Jobs!$B$5:$B$604,G$13,Jobs!$P$5:$P$604,"&lt;&gt;Cancelled")=0,"",SUMIFS(Jobs!$AJ$5:$AJ$604,Jobs!$B$5:$B$604,G$13,Jobs!$P$5:$P$604,"&lt;&gt;Cancelled"))</f>
        <v>0</v>
      </c>
      <c r="H15" s="36">
        <f>IF(SUMIFS(Jobs!$AJ$5:$AJ$604,Jobs!$B$5:$B$604,H$13,Jobs!$P$5:$P$604,"&lt;&gt;Cancelled")=0,"",SUMIFS(Jobs!$AJ$5:$AJ$604,Jobs!$B$5:$B$604,H$13,Jobs!$P$5:$P$604,"&lt;&gt;Cancelled"))</f>
        <v>0</v>
      </c>
    </row>
    <row r="16" spans="1:11">
      <c r="A16" s="55">
        <f>CalStart-WEEKDAY(CalStart,IF(WeekStart="Sunday",1,2))+1+14</f>
        <v>0</v>
      </c>
      <c r="B16" s="56">
        <f>CalStart-WEEKDAY(CalStart,IF(WeekStart="Sunday",1,2))+1+14</f>
        <v>0</v>
      </c>
      <c r="C16" s="56">
        <f>CalStart-WEEKDAY(CalStart,IF(WeekStart="Sunday",1,2))+1+15</f>
        <v>0</v>
      </c>
      <c r="D16" s="56">
        <f>CalStart-WEEKDAY(CalStart,IF(WeekStart="Sunday",1,2))+1+16</f>
        <v>0</v>
      </c>
      <c r="E16" s="56">
        <f>CalStart-WEEKDAY(CalStart,IF(WeekStart="Sunday",1,2))+1+17</f>
        <v>0</v>
      </c>
      <c r="F16" s="56">
        <f>CalStart-WEEKDAY(CalStart,IF(WeekStart="Sunday",1,2))+1+18</f>
        <v>0</v>
      </c>
      <c r="G16" s="56">
        <f>CalStart-WEEKDAY(CalStart,IF(WeekStart="Sunday",1,2))+1+19</f>
        <v>0</v>
      </c>
      <c r="H16" s="56">
        <f>CalStart-WEEKDAY(CalStart,IF(WeekStart="Sunday",1,2))+1+20</f>
        <v>0</v>
      </c>
    </row>
    <row r="17" spans="1:11">
      <c r="A17" s="11" t="s">
        <v>371</v>
      </c>
      <c r="B17" s="23">
        <f>IF(COUNTIFS(Jobs!$B$5:$B$604,B$16,Jobs!$P$5:$P$604,"&lt;&gt;Cancelled")=0,"",COUNTIFS(Jobs!$B$5:$B$604,B$16,Jobs!$P$5:$P$604,"&lt;&gt;Cancelled")&amp;" jobs, "&amp;TEXT(SUMIFS(Jobs!$AF$5:$AF$604,Jobs!$B$5:$B$604,B$16,Jobs!$P$5:$P$604,"&lt;&gt;Cancelled"),"0.0")&amp;"h")</f>
        <v>0</v>
      </c>
      <c r="C17" s="23">
        <f>IF(COUNTIFS(Jobs!$B$5:$B$604,C$16,Jobs!$P$5:$P$604,"&lt;&gt;Cancelled")=0,"",COUNTIFS(Jobs!$B$5:$B$604,C$16,Jobs!$P$5:$P$604,"&lt;&gt;Cancelled")&amp;" jobs, "&amp;TEXT(SUMIFS(Jobs!$AF$5:$AF$604,Jobs!$B$5:$B$604,C$16,Jobs!$P$5:$P$604,"&lt;&gt;Cancelled"),"0.0")&amp;"h")</f>
        <v>0</v>
      </c>
      <c r="D17" s="23">
        <f>IF(COUNTIFS(Jobs!$B$5:$B$604,D$16,Jobs!$P$5:$P$604,"&lt;&gt;Cancelled")=0,"",COUNTIFS(Jobs!$B$5:$B$604,D$16,Jobs!$P$5:$P$604,"&lt;&gt;Cancelled")&amp;" jobs, "&amp;TEXT(SUMIFS(Jobs!$AF$5:$AF$604,Jobs!$B$5:$B$604,D$16,Jobs!$P$5:$P$604,"&lt;&gt;Cancelled"),"0.0")&amp;"h")</f>
        <v>0</v>
      </c>
      <c r="E17" s="23">
        <f>IF(COUNTIFS(Jobs!$B$5:$B$604,E$16,Jobs!$P$5:$P$604,"&lt;&gt;Cancelled")=0,"",COUNTIFS(Jobs!$B$5:$B$604,E$16,Jobs!$P$5:$P$604,"&lt;&gt;Cancelled")&amp;" jobs, "&amp;TEXT(SUMIFS(Jobs!$AF$5:$AF$604,Jobs!$B$5:$B$604,E$16,Jobs!$P$5:$P$604,"&lt;&gt;Cancelled"),"0.0")&amp;"h")</f>
        <v>0</v>
      </c>
      <c r="F17" s="23">
        <f>IF(COUNTIFS(Jobs!$B$5:$B$604,F$16,Jobs!$P$5:$P$604,"&lt;&gt;Cancelled")=0,"",COUNTIFS(Jobs!$B$5:$B$604,F$16,Jobs!$P$5:$P$604,"&lt;&gt;Cancelled")&amp;" jobs, "&amp;TEXT(SUMIFS(Jobs!$AF$5:$AF$604,Jobs!$B$5:$B$604,F$16,Jobs!$P$5:$P$604,"&lt;&gt;Cancelled"),"0.0")&amp;"h")</f>
        <v>0</v>
      </c>
      <c r="G17" s="23">
        <f>IF(COUNTIFS(Jobs!$B$5:$B$604,G$16,Jobs!$P$5:$P$604,"&lt;&gt;Cancelled")=0,"",COUNTIFS(Jobs!$B$5:$B$604,G$16,Jobs!$P$5:$P$604,"&lt;&gt;Cancelled")&amp;" jobs, "&amp;TEXT(SUMIFS(Jobs!$AF$5:$AF$604,Jobs!$B$5:$B$604,G$16,Jobs!$P$5:$P$604,"&lt;&gt;Cancelled"),"0.0")&amp;"h")</f>
        <v>0</v>
      </c>
      <c r="H17" s="23">
        <f>IF(COUNTIFS(Jobs!$B$5:$B$604,H$16,Jobs!$P$5:$P$604,"&lt;&gt;Cancelled")=0,"",COUNTIFS(Jobs!$B$5:$B$604,H$16,Jobs!$P$5:$P$604,"&lt;&gt;Cancelled")&amp;" jobs, "&amp;TEXT(SUMIFS(Jobs!$AF$5:$AF$604,Jobs!$B$5:$B$604,H$16,Jobs!$P$5:$P$604,"&lt;&gt;Cancelled"),"0.0")&amp;"h")</f>
        <v>0</v>
      </c>
    </row>
    <row r="18" spans="1:11" ht="16" customHeight="1">
      <c r="A18" s="11" t="s">
        <v>399</v>
      </c>
      <c r="B18" s="36">
        <f>IF(SUMIFS(Jobs!$AJ$5:$AJ$604,Jobs!$B$5:$B$604,B$16,Jobs!$P$5:$P$604,"&lt;&gt;Cancelled")=0,"",SUMIFS(Jobs!$AJ$5:$AJ$604,Jobs!$B$5:$B$604,B$16,Jobs!$P$5:$P$604,"&lt;&gt;Cancelled"))</f>
        <v>0</v>
      </c>
      <c r="C18" s="36">
        <f>IF(SUMIFS(Jobs!$AJ$5:$AJ$604,Jobs!$B$5:$B$604,C$16,Jobs!$P$5:$P$604,"&lt;&gt;Cancelled")=0,"",SUMIFS(Jobs!$AJ$5:$AJ$604,Jobs!$B$5:$B$604,C$16,Jobs!$P$5:$P$604,"&lt;&gt;Cancelled"))</f>
        <v>0</v>
      </c>
      <c r="D18" s="36">
        <f>IF(SUMIFS(Jobs!$AJ$5:$AJ$604,Jobs!$B$5:$B$604,D$16,Jobs!$P$5:$P$604,"&lt;&gt;Cancelled")=0,"",SUMIFS(Jobs!$AJ$5:$AJ$604,Jobs!$B$5:$B$604,D$16,Jobs!$P$5:$P$604,"&lt;&gt;Cancelled"))</f>
        <v>0</v>
      </c>
      <c r="E18" s="36">
        <f>IF(SUMIFS(Jobs!$AJ$5:$AJ$604,Jobs!$B$5:$B$604,E$16,Jobs!$P$5:$P$604,"&lt;&gt;Cancelled")=0,"",SUMIFS(Jobs!$AJ$5:$AJ$604,Jobs!$B$5:$B$604,E$16,Jobs!$P$5:$P$604,"&lt;&gt;Cancelled"))</f>
        <v>0</v>
      </c>
      <c r="F18" s="36">
        <f>IF(SUMIFS(Jobs!$AJ$5:$AJ$604,Jobs!$B$5:$B$604,F$16,Jobs!$P$5:$P$604,"&lt;&gt;Cancelled")=0,"",SUMIFS(Jobs!$AJ$5:$AJ$604,Jobs!$B$5:$B$604,F$16,Jobs!$P$5:$P$604,"&lt;&gt;Cancelled"))</f>
        <v>0</v>
      </c>
      <c r="G18" s="36">
        <f>IF(SUMIFS(Jobs!$AJ$5:$AJ$604,Jobs!$B$5:$B$604,G$16,Jobs!$P$5:$P$604,"&lt;&gt;Cancelled")=0,"",SUMIFS(Jobs!$AJ$5:$AJ$604,Jobs!$B$5:$B$604,G$16,Jobs!$P$5:$P$604,"&lt;&gt;Cancelled"))</f>
        <v>0</v>
      </c>
      <c r="H18" s="36">
        <f>IF(SUMIFS(Jobs!$AJ$5:$AJ$604,Jobs!$B$5:$B$604,H$16,Jobs!$P$5:$P$604,"&lt;&gt;Cancelled")=0,"",SUMIFS(Jobs!$AJ$5:$AJ$604,Jobs!$B$5:$B$604,H$16,Jobs!$P$5:$P$604,"&lt;&gt;Cancelled"))</f>
        <v>0</v>
      </c>
    </row>
    <row r="19" spans="1:11">
      <c r="A19" s="55">
        <f>CalStart-WEEKDAY(CalStart,IF(WeekStart="Sunday",1,2))+1+21</f>
        <v>0</v>
      </c>
      <c r="B19" s="56">
        <f>CalStart-WEEKDAY(CalStart,IF(WeekStart="Sunday",1,2))+1+21</f>
        <v>0</v>
      </c>
      <c r="C19" s="56">
        <f>CalStart-WEEKDAY(CalStart,IF(WeekStart="Sunday",1,2))+1+22</f>
        <v>0</v>
      </c>
      <c r="D19" s="56">
        <f>CalStart-WEEKDAY(CalStart,IF(WeekStart="Sunday",1,2))+1+23</f>
        <v>0</v>
      </c>
      <c r="E19" s="56">
        <f>CalStart-WEEKDAY(CalStart,IF(WeekStart="Sunday",1,2))+1+24</f>
        <v>0</v>
      </c>
      <c r="F19" s="56">
        <f>CalStart-WEEKDAY(CalStart,IF(WeekStart="Sunday",1,2))+1+25</f>
        <v>0</v>
      </c>
      <c r="G19" s="56">
        <f>CalStart-WEEKDAY(CalStart,IF(WeekStart="Sunday",1,2))+1+26</f>
        <v>0</v>
      </c>
      <c r="H19" s="56">
        <f>CalStart-WEEKDAY(CalStart,IF(WeekStart="Sunday",1,2))+1+27</f>
        <v>0</v>
      </c>
    </row>
    <row r="20" spans="1:11">
      <c r="A20" s="11" t="s">
        <v>371</v>
      </c>
      <c r="B20" s="23">
        <f>IF(COUNTIFS(Jobs!$B$5:$B$604,B$19,Jobs!$P$5:$P$604,"&lt;&gt;Cancelled")=0,"",COUNTIFS(Jobs!$B$5:$B$604,B$19,Jobs!$P$5:$P$604,"&lt;&gt;Cancelled")&amp;" jobs, "&amp;TEXT(SUMIFS(Jobs!$AF$5:$AF$604,Jobs!$B$5:$B$604,B$19,Jobs!$P$5:$P$604,"&lt;&gt;Cancelled"),"0.0")&amp;"h")</f>
        <v>0</v>
      </c>
      <c r="C20" s="23">
        <f>IF(COUNTIFS(Jobs!$B$5:$B$604,C$19,Jobs!$P$5:$P$604,"&lt;&gt;Cancelled")=0,"",COUNTIFS(Jobs!$B$5:$B$604,C$19,Jobs!$P$5:$P$604,"&lt;&gt;Cancelled")&amp;" jobs, "&amp;TEXT(SUMIFS(Jobs!$AF$5:$AF$604,Jobs!$B$5:$B$604,C$19,Jobs!$P$5:$P$604,"&lt;&gt;Cancelled"),"0.0")&amp;"h")</f>
        <v>0</v>
      </c>
      <c r="D20" s="23">
        <f>IF(COUNTIFS(Jobs!$B$5:$B$604,D$19,Jobs!$P$5:$P$604,"&lt;&gt;Cancelled")=0,"",COUNTIFS(Jobs!$B$5:$B$604,D$19,Jobs!$P$5:$P$604,"&lt;&gt;Cancelled")&amp;" jobs, "&amp;TEXT(SUMIFS(Jobs!$AF$5:$AF$604,Jobs!$B$5:$B$604,D$19,Jobs!$P$5:$P$604,"&lt;&gt;Cancelled"),"0.0")&amp;"h")</f>
        <v>0</v>
      </c>
      <c r="E20" s="23">
        <f>IF(COUNTIFS(Jobs!$B$5:$B$604,E$19,Jobs!$P$5:$P$604,"&lt;&gt;Cancelled")=0,"",COUNTIFS(Jobs!$B$5:$B$604,E$19,Jobs!$P$5:$P$604,"&lt;&gt;Cancelled")&amp;" jobs, "&amp;TEXT(SUMIFS(Jobs!$AF$5:$AF$604,Jobs!$B$5:$B$604,E$19,Jobs!$P$5:$P$604,"&lt;&gt;Cancelled"),"0.0")&amp;"h")</f>
        <v>0</v>
      </c>
      <c r="F20" s="23">
        <f>IF(COUNTIFS(Jobs!$B$5:$B$604,F$19,Jobs!$P$5:$P$604,"&lt;&gt;Cancelled")=0,"",COUNTIFS(Jobs!$B$5:$B$604,F$19,Jobs!$P$5:$P$604,"&lt;&gt;Cancelled")&amp;" jobs, "&amp;TEXT(SUMIFS(Jobs!$AF$5:$AF$604,Jobs!$B$5:$B$604,F$19,Jobs!$P$5:$P$604,"&lt;&gt;Cancelled"),"0.0")&amp;"h")</f>
        <v>0</v>
      </c>
      <c r="G20" s="23">
        <f>IF(COUNTIFS(Jobs!$B$5:$B$604,G$19,Jobs!$P$5:$P$604,"&lt;&gt;Cancelled")=0,"",COUNTIFS(Jobs!$B$5:$B$604,G$19,Jobs!$P$5:$P$604,"&lt;&gt;Cancelled")&amp;" jobs, "&amp;TEXT(SUMIFS(Jobs!$AF$5:$AF$604,Jobs!$B$5:$B$604,G$19,Jobs!$P$5:$P$604,"&lt;&gt;Cancelled"),"0.0")&amp;"h")</f>
        <v>0</v>
      </c>
      <c r="H20" s="23">
        <f>IF(COUNTIFS(Jobs!$B$5:$B$604,H$19,Jobs!$P$5:$P$604,"&lt;&gt;Cancelled")=0,"",COUNTIFS(Jobs!$B$5:$B$604,H$19,Jobs!$P$5:$P$604,"&lt;&gt;Cancelled")&amp;" jobs, "&amp;TEXT(SUMIFS(Jobs!$AF$5:$AF$604,Jobs!$B$5:$B$604,H$19,Jobs!$P$5:$P$604,"&lt;&gt;Cancelled"),"0.0")&amp;"h")</f>
        <v>0</v>
      </c>
    </row>
    <row r="21" spans="1:11" ht="16" customHeight="1">
      <c r="A21" s="11" t="s">
        <v>399</v>
      </c>
      <c r="B21" s="36">
        <f>IF(SUMIFS(Jobs!$AJ$5:$AJ$604,Jobs!$B$5:$B$604,B$19,Jobs!$P$5:$P$604,"&lt;&gt;Cancelled")=0,"",SUMIFS(Jobs!$AJ$5:$AJ$604,Jobs!$B$5:$B$604,B$19,Jobs!$P$5:$P$604,"&lt;&gt;Cancelled"))</f>
        <v>0</v>
      </c>
      <c r="C21" s="36">
        <f>IF(SUMIFS(Jobs!$AJ$5:$AJ$604,Jobs!$B$5:$B$604,C$19,Jobs!$P$5:$P$604,"&lt;&gt;Cancelled")=0,"",SUMIFS(Jobs!$AJ$5:$AJ$604,Jobs!$B$5:$B$604,C$19,Jobs!$P$5:$P$604,"&lt;&gt;Cancelled"))</f>
        <v>0</v>
      </c>
      <c r="D21" s="36">
        <f>IF(SUMIFS(Jobs!$AJ$5:$AJ$604,Jobs!$B$5:$B$604,D$19,Jobs!$P$5:$P$604,"&lt;&gt;Cancelled")=0,"",SUMIFS(Jobs!$AJ$5:$AJ$604,Jobs!$B$5:$B$604,D$19,Jobs!$P$5:$P$604,"&lt;&gt;Cancelled"))</f>
        <v>0</v>
      </c>
      <c r="E21" s="36">
        <f>IF(SUMIFS(Jobs!$AJ$5:$AJ$604,Jobs!$B$5:$B$604,E$19,Jobs!$P$5:$P$604,"&lt;&gt;Cancelled")=0,"",SUMIFS(Jobs!$AJ$5:$AJ$604,Jobs!$B$5:$B$604,E$19,Jobs!$P$5:$P$604,"&lt;&gt;Cancelled"))</f>
        <v>0</v>
      </c>
      <c r="F21" s="36">
        <f>IF(SUMIFS(Jobs!$AJ$5:$AJ$604,Jobs!$B$5:$B$604,F$19,Jobs!$P$5:$P$604,"&lt;&gt;Cancelled")=0,"",SUMIFS(Jobs!$AJ$5:$AJ$604,Jobs!$B$5:$B$604,F$19,Jobs!$P$5:$P$604,"&lt;&gt;Cancelled"))</f>
        <v>0</v>
      </c>
      <c r="G21" s="36">
        <f>IF(SUMIFS(Jobs!$AJ$5:$AJ$604,Jobs!$B$5:$B$604,G$19,Jobs!$P$5:$P$604,"&lt;&gt;Cancelled")=0,"",SUMIFS(Jobs!$AJ$5:$AJ$604,Jobs!$B$5:$B$604,G$19,Jobs!$P$5:$P$604,"&lt;&gt;Cancelled"))</f>
        <v>0</v>
      </c>
      <c r="H21" s="36">
        <f>IF(SUMIFS(Jobs!$AJ$5:$AJ$604,Jobs!$B$5:$B$604,H$19,Jobs!$P$5:$P$604,"&lt;&gt;Cancelled")=0,"",SUMIFS(Jobs!$AJ$5:$AJ$604,Jobs!$B$5:$B$604,H$19,Jobs!$P$5:$P$604,"&lt;&gt;Cancelled"))</f>
        <v>0</v>
      </c>
    </row>
    <row r="22" spans="1:11">
      <c r="A22" s="55">
        <f>CalStart-WEEKDAY(CalStart,IF(WeekStart="Sunday",1,2))+1+28</f>
        <v>0</v>
      </c>
      <c r="B22" s="56">
        <f>CalStart-WEEKDAY(CalStart,IF(WeekStart="Sunday",1,2))+1+28</f>
        <v>0</v>
      </c>
      <c r="C22" s="56">
        <f>CalStart-WEEKDAY(CalStart,IF(WeekStart="Sunday",1,2))+1+29</f>
        <v>0</v>
      </c>
      <c r="D22" s="56">
        <f>CalStart-WEEKDAY(CalStart,IF(WeekStart="Sunday",1,2))+1+30</f>
        <v>0</v>
      </c>
      <c r="E22" s="56">
        <f>CalStart-WEEKDAY(CalStart,IF(WeekStart="Sunday",1,2))+1+31</f>
        <v>0</v>
      </c>
      <c r="F22" s="56">
        <f>CalStart-WEEKDAY(CalStart,IF(WeekStart="Sunday",1,2))+1+32</f>
        <v>0</v>
      </c>
      <c r="G22" s="56">
        <f>CalStart-WEEKDAY(CalStart,IF(WeekStart="Sunday",1,2))+1+33</f>
        <v>0</v>
      </c>
      <c r="H22" s="56">
        <f>CalStart-WEEKDAY(CalStart,IF(WeekStart="Sunday",1,2))+1+34</f>
        <v>0</v>
      </c>
    </row>
    <row r="23" spans="1:11">
      <c r="A23" s="11" t="s">
        <v>371</v>
      </c>
      <c r="B23" s="23">
        <f>IF(COUNTIFS(Jobs!$B$5:$B$604,B$22,Jobs!$P$5:$P$604,"&lt;&gt;Cancelled")=0,"",COUNTIFS(Jobs!$B$5:$B$604,B$22,Jobs!$P$5:$P$604,"&lt;&gt;Cancelled")&amp;" jobs, "&amp;TEXT(SUMIFS(Jobs!$AF$5:$AF$604,Jobs!$B$5:$B$604,B$22,Jobs!$P$5:$P$604,"&lt;&gt;Cancelled"),"0.0")&amp;"h")</f>
        <v>0</v>
      </c>
      <c r="C23" s="23">
        <f>IF(COUNTIFS(Jobs!$B$5:$B$604,C$22,Jobs!$P$5:$P$604,"&lt;&gt;Cancelled")=0,"",COUNTIFS(Jobs!$B$5:$B$604,C$22,Jobs!$P$5:$P$604,"&lt;&gt;Cancelled")&amp;" jobs, "&amp;TEXT(SUMIFS(Jobs!$AF$5:$AF$604,Jobs!$B$5:$B$604,C$22,Jobs!$P$5:$P$604,"&lt;&gt;Cancelled"),"0.0")&amp;"h")</f>
        <v>0</v>
      </c>
      <c r="D23" s="23">
        <f>IF(COUNTIFS(Jobs!$B$5:$B$604,D$22,Jobs!$P$5:$P$604,"&lt;&gt;Cancelled")=0,"",COUNTIFS(Jobs!$B$5:$B$604,D$22,Jobs!$P$5:$P$604,"&lt;&gt;Cancelled")&amp;" jobs, "&amp;TEXT(SUMIFS(Jobs!$AF$5:$AF$604,Jobs!$B$5:$B$604,D$22,Jobs!$P$5:$P$604,"&lt;&gt;Cancelled"),"0.0")&amp;"h")</f>
        <v>0</v>
      </c>
      <c r="E23" s="23">
        <f>IF(COUNTIFS(Jobs!$B$5:$B$604,E$22,Jobs!$P$5:$P$604,"&lt;&gt;Cancelled")=0,"",COUNTIFS(Jobs!$B$5:$B$604,E$22,Jobs!$P$5:$P$604,"&lt;&gt;Cancelled")&amp;" jobs, "&amp;TEXT(SUMIFS(Jobs!$AF$5:$AF$604,Jobs!$B$5:$B$604,E$22,Jobs!$P$5:$P$604,"&lt;&gt;Cancelled"),"0.0")&amp;"h")</f>
        <v>0</v>
      </c>
      <c r="F23" s="23">
        <f>IF(COUNTIFS(Jobs!$B$5:$B$604,F$22,Jobs!$P$5:$P$604,"&lt;&gt;Cancelled")=0,"",COUNTIFS(Jobs!$B$5:$B$604,F$22,Jobs!$P$5:$P$604,"&lt;&gt;Cancelled")&amp;" jobs, "&amp;TEXT(SUMIFS(Jobs!$AF$5:$AF$604,Jobs!$B$5:$B$604,F$22,Jobs!$P$5:$P$604,"&lt;&gt;Cancelled"),"0.0")&amp;"h")</f>
        <v>0</v>
      </c>
      <c r="G23" s="23">
        <f>IF(COUNTIFS(Jobs!$B$5:$B$604,G$22,Jobs!$P$5:$P$604,"&lt;&gt;Cancelled")=0,"",COUNTIFS(Jobs!$B$5:$B$604,G$22,Jobs!$P$5:$P$604,"&lt;&gt;Cancelled")&amp;" jobs, "&amp;TEXT(SUMIFS(Jobs!$AF$5:$AF$604,Jobs!$B$5:$B$604,G$22,Jobs!$P$5:$P$604,"&lt;&gt;Cancelled"),"0.0")&amp;"h")</f>
        <v>0</v>
      </c>
      <c r="H23" s="23">
        <f>IF(COUNTIFS(Jobs!$B$5:$B$604,H$22,Jobs!$P$5:$P$604,"&lt;&gt;Cancelled")=0,"",COUNTIFS(Jobs!$B$5:$B$604,H$22,Jobs!$P$5:$P$604,"&lt;&gt;Cancelled")&amp;" jobs, "&amp;TEXT(SUMIFS(Jobs!$AF$5:$AF$604,Jobs!$B$5:$B$604,H$22,Jobs!$P$5:$P$604,"&lt;&gt;Cancelled"),"0.0")&amp;"h")</f>
        <v>0</v>
      </c>
    </row>
    <row r="24" spans="1:11" ht="16" customHeight="1">
      <c r="A24" s="11" t="s">
        <v>399</v>
      </c>
      <c r="B24" s="36">
        <f>IF(SUMIFS(Jobs!$AJ$5:$AJ$604,Jobs!$B$5:$B$604,B$22,Jobs!$P$5:$P$604,"&lt;&gt;Cancelled")=0,"",SUMIFS(Jobs!$AJ$5:$AJ$604,Jobs!$B$5:$B$604,B$22,Jobs!$P$5:$P$604,"&lt;&gt;Cancelled"))</f>
        <v>0</v>
      </c>
      <c r="C24" s="36">
        <f>IF(SUMIFS(Jobs!$AJ$5:$AJ$604,Jobs!$B$5:$B$604,C$22,Jobs!$P$5:$P$604,"&lt;&gt;Cancelled")=0,"",SUMIFS(Jobs!$AJ$5:$AJ$604,Jobs!$B$5:$B$604,C$22,Jobs!$P$5:$P$604,"&lt;&gt;Cancelled"))</f>
        <v>0</v>
      </c>
      <c r="D24" s="36">
        <f>IF(SUMIFS(Jobs!$AJ$5:$AJ$604,Jobs!$B$5:$B$604,D$22,Jobs!$P$5:$P$604,"&lt;&gt;Cancelled")=0,"",SUMIFS(Jobs!$AJ$5:$AJ$604,Jobs!$B$5:$B$604,D$22,Jobs!$P$5:$P$604,"&lt;&gt;Cancelled"))</f>
        <v>0</v>
      </c>
      <c r="E24" s="36">
        <f>IF(SUMIFS(Jobs!$AJ$5:$AJ$604,Jobs!$B$5:$B$604,E$22,Jobs!$P$5:$P$604,"&lt;&gt;Cancelled")=0,"",SUMIFS(Jobs!$AJ$5:$AJ$604,Jobs!$B$5:$B$604,E$22,Jobs!$P$5:$P$604,"&lt;&gt;Cancelled"))</f>
        <v>0</v>
      </c>
      <c r="F24" s="36">
        <f>IF(SUMIFS(Jobs!$AJ$5:$AJ$604,Jobs!$B$5:$B$604,F$22,Jobs!$P$5:$P$604,"&lt;&gt;Cancelled")=0,"",SUMIFS(Jobs!$AJ$5:$AJ$604,Jobs!$B$5:$B$604,F$22,Jobs!$P$5:$P$604,"&lt;&gt;Cancelled"))</f>
        <v>0</v>
      </c>
      <c r="G24" s="36">
        <f>IF(SUMIFS(Jobs!$AJ$5:$AJ$604,Jobs!$B$5:$B$604,G$22,Jobs!$P$5:$P$604,"&lt;&gt;Cancelled")=0,"",SUMIFS(Jobs!$AJ$5:$AJ$604,Jobs!$B$5:$B$604,G$22,Jobs!$P$5:$P$604,"&lt;&gt;Cancelled"))</f>
        <v>0</v>
      </c>
      <c r="H24" s="36">
        <f>IF(SUMIFS(Jobs!$AJ$5:$AJ$604,Jobs!$B$5:$B$604,H$22,Jobs!$P$5:$P$604,"&lt;&gt;Cancelled")=0,"",SUMIFS(Jobs!$AJ$5:$AJ$604,Jobs!$B$5:$B$604,H$22,Jobs!$P$5:$P$604,"&lt;&gt;Cancelled"))</f>
        <v>0</v>
      </c>
    </row>
    <row r="25" spans="1:11">
      <c r="A25" s="55">
        <f>CalStart-WEEKDAY(CalStart,IF(WeekStart="Sunday",1,2))+1+35</f>
        <v>0</v>
      </c>
      <c r="B25" s="56">
        <f>CalStart-WEEKDAY(CalStart,IF(WeekStart="Sunday",1,2))+1+35</f>
        <v>0</v>
      </c>
      <c r="C25" s="56">
        <f>CalStart-WEEKDAY(CalStart,IF(WeekStart="Sunday",1,2))+1+36</f>
        <v>0</v>
      </c>
      <c r="D25" s="56">
        <f>CalStart-WEEKDAY(CalStart,IF(WeekStart="Sunday",1,2))+1+37</f>
        <v>0</v>
      </c>
      <c r="E25" s="56">
        <f>CalStart-WEEKDAY(CalStart,IF(WeekStart="Sunday",1,2))+1+38</f>
        <v>0</v>
      </c>
      <c r="F25" s="56">
        <f>CalStart-WEEKDAY(CalStart,IF(WeekStart="Sunday",1,2))+1+39</f>
        <v>0</v>
      </c>
      <c r="G25" s="56">
        <f>CalStart-WEEKDAY(CalStart,IF(WeekStart="Sunday",1,2))+1+40</f>
        <v>0</v>
      </c>
      <c r="H25" s="56">
        <f>CalStart-WEEKDAY(CalStart,IF(WeekStart="Sunday",1,2))+1+41</f>
        <v>0</v>
      </c>
    </row>
    <row r="26" spans="1:11">
      <c r="A26" s="11" t="s">
        <v>371</v>
      </c>
      <c r="B26" s="23">
        <f>IF(COUNTIFS(Jobs!$B$5:$B$604,B$25,Jobs!$P$5:$P$604,"&lt;&gt;Cancelled")=0,"",COUNTIFS(Jobs!$B$5:$B$604,B$25,Jobs!$P$5:$P$604,"&lt;&gt;Cancelled")&amp;" jobs, "&amp;TEXT(SUMIFS(Jobs!$AF$5:$AF$604,Jobs!$B$5:$B$604,B$25,Jobs!$P$5:$P$604,"&lt;&gt;Cancelled"),"0.0")&amp;"h")</f>
        <v>0</v>
      </c>
      <c r="C26" s="23">
        <f>IF(COUNTIFS(Jobs!$B$5:$B$604,C$25,Jobs!$P$5:$P$604,"&lt;&gt;Cancelled")=0,"",COUNTIFS(Jobs!$B$5:$B$604,C$25,Jobs!$P$5:$P$604,"&lt;&gt;Cancelled")&amp;" jobs, "&amp;TEXT(SUMIFS(Jobs!$AF$5:$AF$604,Jobs!$B$5:$B$604,C$25,Jobs!$P$5:$P$604,"&lt;&gt;Cancelled"),"0.0")&amp;"h")</f>
        <v>0</v>
      </c>
      <c r="D26" s="23">
        <f>IF(COUNTIFS(Jobs!$B$5:$B$604,D$25,Jobs!$P$5:$P$604,"&lt;&gt;Cancelled")=0,"",COUNTIFS(Jobs!$B$5:$B$604,D$25,Jobs!$P$5:$P$604,"&lt;&gt;Cancelled")&amp;" jobs, "&amp;TEXT(SUMIFS(Jobs!$AF$5:$AF$604,Jobs!$B$5:$B$604,D$25,Jobs!$P$5:$P$604,"&lt;&gt;Cancelled"),"0.0")&amp;"h")</f>
        <v>0</v>
      </c>
      <c r="E26" s="23">
        <f>IF(COUNTIFS(Jobs!$B$5:$B$604,E$25,Jobs!$P$5:$P$604,"&lt;&gt;Cancelled")=0,"",COUNTIFS(Jobs!$B$5:$B$604,E$25,Jobs!$P$5:$P$604,"&lt;&gt;Cancelled")&amp;" jobs, "&amp;TEXT(SUMIFS(Jobs!$AF$5:$AF$604,Jobs!$B$5:$B$604,E$25,Jobs!$P$5:$P$604,"&lt;&gt;Cancelled"),"0.0")&amp;"h")</f>
        <v>0</v>
      </c>
      <c r="F26" s="23">
        <f>IF(COUNTIFS(Jobs!$B$5:$B$604,F$25,Jobs!$P$5:$P$604,"&lt;&gt;Cancelled")=0,"",COUNTIFS(Jobs!$B$5:$B$604,F$25,Jobs!$P$5:$P$604,"&lt;&gt;Cancelled")&amp;" jobs, "&amp;TEXT(SUMIFS(Jobs!$AF$5:$AF$604,Jobs!$B$5:$B$604,F$25,Jobs!$P$5:$P$604,"&lt;&gt;Cancelled"),"0.0")&amp;"h")</f>
        <v>0</v>
      </c>
      <c r="G26" s="23">
        <f>IF(COUNTIFS(Jobs!$B$5:$B$604,G$25,Jobs!$P$5:$P$604,"&lt;&gt;Cancelled")=0,"",COUNTIFS(Jobs!$B$5:$B$604,G$25,Jobs!$P$5:$P$604,"&lt;&gt;Cancelled")&amp;" jobs, "&amp;TEXT(SUMIFS(Jobs!$AF$5:$AF$604,Jobs!$B$5:$B$604,G$25,Jobs!$P$5:$P$604,"&lt;&gt;Cancelled"),"0.0")&amp;"h")</f>
        <v>0</v>
      </c>
      <c r="H26" s="23">
        <f>IF(COUNTIFS(Jobs!$B$5:$B$604,H$25,Jobs!$P$5:$P$604,"&lt;&gt;Cancelled")=0,"",COUNTIFS(Jobs!$B$5:$B$604,H$25,Jobs!$P$5:$P$604,"&lt;&gt;Cancelled")&amp;" jobs, "&amp;TEXT(SUMIFS(Jobs!$AF$5:$AF$604,Jobs!$B$5:$B$604,H$25,Jobs!$P$5:$P$604,"&lt;&gt;Cancelled"),"0.0")&amp;"h")</f>
        <v>0</v>
      </c>
    </row>
    <row r="27" spans="1:11" ht="16" customHeight="1">
      <c r="A27" s="11" t="s">
        <v>399</v>
      </c>
      <c r="B27" s="36">
        <f>IF(SUMIFS(Jobs!$AJ$5:$AJ$604,Jobs!$B$5:$B$604,B$25,Jobs!$P$5:$P$604,"&lt;&gt;Cancelled")=0,"",SUMIFS(Jobs!$AJ$5:$AJ$604,Jobs!$B$5:$B$604,B$25,Jobs!$P$5:$P$604,"&lt;&gt;Cancelled"))</f>
        <v>0</v>
      </c>
      <c r="C27" s="36">
        <f>IF(SUMIFS(Jobs!$AJ$5:$AJ$604,Jobs!$B$5:$B$604,C$25,Jobs!$P$5:$P$604,"&lt;&gt;Cancelled")=0,"",SUMIFS(Jobs!$AJ$5:$AJ$604,Jobs!$B$5:$B$604,C$25,Jobs!$P$5:$P$604,"&lt;&gt;Cancelled"))</f>
        <v>0</v>
      </c>
      <c r="D27" s="36">
        <f>IF(SUMIFS(Jobs!$AJ$5:$AJ$604,Jobs!$B$5:$B$604,D$25,Jobs!$P$5:$P$604,"&lt;&gt;Cancelled")=0,"",SUMIFS(Jobs!$AJ$5:$AJ$604,Jobs!$B$5:$B$604,D$25,Jobs!$P$5:$P$604,"&lt;&gt;Cancelled"))</f>
        <v>0</v>
      </c>
      <c r="E27" s="36">
        <f>IF(SUMIFS(Jobs!$AJ$5:$AJ$604,Jobs!$B$5:$B$604,E$25,Jobs!$P$5:$P$604,"&lt;&gt;Cancelled")=0,"",SUMIFS(Jobs!$AJ$5:$AJ$604,Jobs!$B$5:$B$604,E$25,Jobs!$P$5:$P$604,"&lt;&gt;Cancelled"))</f>
        <v>0</v>
      </c>
      <c r="F27" s="36">
        <f>IF(SUMIFS(Jobs!$AJ$5:$AJ$604,Jobs!$B$5:$B$604,F$25,Jobs!$P$5:$P$604,"&lt;&gt;Cancelled")=0,"",SUMIFS(Jobs!$AJ$5:$AJ$604,Jobs!$B$5:$B$604,F$25,Jobs!$P$5:$P$604,"&lt;&gt;Cancelled"))</f>
        <v>0</v>
      </c>
      <c r="G27" s="36">
        <f>IF(SUMIFS(Jobs!$AJ$5:$AJ$604,Jobs!$B$5:$B$604,G$25,Jobs!$P$5:$P$604,"&lt;&gt;Cancelled")=0,"",SUMIFS(Jobs!$AJ$5:$AJ$604,Jobs!$B$5:$B$604,G$25,Jobs!$P$5:$P$604,"&lt;&gt;Cancelled"))</f>
        <v>0</v>
      </c>
      <c r="H27" s="36">
        <f>IF(SUMIFS(Jobs!$AJ$5:$AJ$604,Jobs!$B$5:$B$604,H$25,Jobs!$P$5:$P$604,"&lt;&gt;Cancelled")=0,"",SUMIFS(Jobs!$AJ$5:$AJ$604,Jobs!$B$5:$B$604,H$25,Jobs!$P$5:$P$604,"&lt;&gt;Cancelled"))</f>
        <v>0</v>
      </c>
    </row>
    <row r="29" spans="1:11" ht="20" customHeight="1">
      <c r="A29" s="7" t="s">
        <v>1229</v>
      </c>
      <c r="B29" s="7"/>
      <c r="C29" s="7"/>
      <c r="D29" s="7"/>
      <c r="E29" s="7"/>
      <c r="F29" s="7"/>
      <c r="G29" s="7"/>
      <c r="H29" s="7"/>
      <c r="I29" s="7"/>
      <c r="J29" s="7"/>
      <c r="K29" s="7"/>
    </row>
    <row r="30" spans="1:11" ht="26" customHeight="1">
      <c r="A30" s="8" t="s">
        <v>1100</v>
      </c>
      <c r="B30" s="9" t="s">
        <v>395</v>
      </c>
      <c r="C30" s="9" t="s">
        <v>1101</v>
      </c>
      <c r="D30" s="9" t="s">
        <v>403</v>
      </c>
      <c r="E30" s="9" t="s">
        <v>718</v>
      </c>
      <c r="F30" s="9" t="s">
        <v>436</v>
      </c>
      <c r="G30" s="9" t="s">
        <v>1104</v>
      </c>
      <c r="H30" s="9" t="s">
        <v>1077</v>
      </c>
      <c r="I30" s="9" t="s">
        <v>1120</v>
      </c>
      <c r="J30" s="9" t="s">
        <v>548</v>
      </c>
      <c r="K30" s="9" t="s">
        <v>574</v>
      </c>
    </row>
    <row r="31" spans="1:11">
      <c r="A31" s="18">
        <f>IFERROR(INDEX(Jobs!$B$5:$B$604,MATCH(1,Jobs!$AT$5:$AT$604,0)),"")</f>
        <v>0</v>
      </c>
      <c r="B31" s="23">
        <f>IFERROR(INDEX(Jobs!$C$5:$C$604,MATCH(1,Jobs!$AT$5:$AT$604,0)),"")</f>
        <v>0</v>
      </c>
      <c r="C31" s="53">
        <f>IFERROR(INDEX(Jobs!$F$5:$F$604,MATCH(1,Jobs!$AT$5:$AT$604,0)),"")</f>
        <v>0</v>
      </c>
      <c r="D31" s="23">
        <f>IFERROR(INDEX(Jobs!$H$5:$H$604,MATCH(1,Jobs!$AT$5:$AT$604,0)),"")</f>
        <v>0</v>
      </c>
      <c r="E31" s="23">
        <f>IFERROR(INDEX(Jobs!$K$5:$K$604,MATCH(1,Jobs!$AT$5:$AT$604,0)),"")</f>
        <v>0</v>
      </c>
      <c r="F31" s="23">
        <f>IFERROR(INDEX(Jobs!$M$5:$M$604,MATCH(1,Jobs!$AT$5:$AT$604,0)),"")</f>
        <v>0</v>
      </c>
      <c r="G31" s="23">
        <f>IFERROR(INDEX(Jobs!$R$5:$R$604,MATCH(1,Jobs!$AT$5:$AT$604,0)),"")</f>
        <v>0</v>
      </c>
      <c r="H31" s="34">
        <f>IFERROR(INDEX(Jobs!$AF$5:$AF$604,MATCH(1,Jobs!$AT$5:$AT$604,0)),"")</f>
        <v>0</v>
      </c>
      <c r="I31" s="21">
        <f>IFERROR(INDEX(Jobs!$AJ$5:$AJ$604,MATCH(1,Jobs!$AT$5:$AT$604,0)),"")</f>
        <v>0</v>
      </c>
      <c r="J31" s="39">
        <f>IFERROR(INDEX(Jobs!$P$5:$P$604,MATCH(1,Jobs!$AT$5:$AT$604,0)),"")</f>
        <v>0</v>
      </c>
      <c r="K31" s="39">
        <f>IFERROR(INDEX(Jobs!$AX$5:$AX$604,MATCH(1,Jobs!$AT$5:$AT$604,0)),"")</f>
        <v>0</v>
      </c>
    </row>
    <row r="32" spans="1:11">
      <c r="A32" s="18">
        <f>IFERROR(INDEX(Jobs!$B$5:$B$604,MATCH(2,Jobs!$AT$5:$AT$604,0)),"")</f>
        <v>0</v>
      </c>
      <c r="B32" s="23">
        <f>IFERROR(INDEX(Jobs!$C$5:$C$604,MATCH(2,Jobs!$AT$5:$AT$604,0)),"")</f>
        <v>0</v>
      </c>
      <c r="C32" s="53">
        <f>IFERROR(INDEX(Jobs!$F$5:$F$604,MATCH(2,Jobs!$AT$5:$AT$604,0)),"")</f>
        <v>0</v>
      </c>
      <c r="D32" s="23">
        <f>IFERROR(INDEX(Jobs!$H$5:$H$604,MATCH(2,Jobs!$AT$5:$AT$604,0)),"")</f>
        <v>0</v>
      </c>
      <c r="E32" s="23">
        <f>IFERROR(INDEX(Jobs!$K$5:$K$604,MATCH(2,Jobs!$AT$5:$AT$604,0)),"")</f>
        <v>0</v>
      </c>
      <c r="F32" s="23">
        <f>IFERROR(INDEX(Jobs!$M$5:$M$604,MATCH(2,Jobs!$AT$5:$AT$604,0)),"")</f>
        <v>0</v>
      </c>
      <c r="G32" s="23">
        <f>IFERROR(INDEX(Jobs!$R$5:$R$604,MATCH(2,Jobs!$AT$5:$AT$604,0)),"")</f>
        <v>0</v>
      </c>
      <c r="H32" s="34">
        <f>IFERROR(INDEX(Jobs!$AF$5:$AF$604,MATCH(2,Jobs!$AT$5:$AT$604,0)),"")</f>
        <v>0</v>
      </c>
      <c r="I32" s="21">
        <f>IFERROR(INDEX(Jobs!$AJ$5:$AJ$604,MATCH(2,Jobs!$AT$5:$AT$604,0)),"")</f>
        <v>0</v>
      </c>
      <c r="J32" s="39">
        <f>IFERROR(INDEX(Jobs!$P$5:$P$604,MATCH(2,Jobs!$AT$5:$AT$604,0)),"")</f>
        <v>0</v>
      </c>
      <c r="K32" s="39">
        <f>IFERROR(INDEX(Jobs!$AX$5:$AX$604,MATCH(2,Jobs!$AT$5:$AT$604,0)),"")</f>
        <v>0</v>
      </c>
    </row>
    <row r="33" spans="1:11">
      <c r="A33" s="18">
        <f>IFERROR(INDEX(Jobs!$B$5:$B$604,MATCH(3,Jobs!$AT$5:$AT$604,0)),"")</f>
        <v>0</v>
      </c>
      <c r="B33" s="23">
        <f>IFERROR(INDEX(Jobs!$C$5:$C$604,MATCH(3,Jobs!$AT$5:$AT$604,0)),"")</f>
        <v>0</v>
      </c>
      <c r="C33" s="53">
        <f>IFERROR(INDEX(Jobs!$F$5:$F$604,MATCH(3,Jobs!$AT$5:$AT$604,0)),"")</f>
        <v>0</v>
      </c>
      <c r="D33" s="23">
        <f>IFERROR(INDEX(Jobs!$H$5:$H$604,MATCH(3,Jobs!$AT$5:$AT$604,0)),"")</f>
        <v>0</v>
      </c>
      <c r="E33" s="23">
        <f>IFERROR(INDEX(Jobs!$K$5:$K$604,MATCH(3,Jobs!$AT$5:$AT$604,0)),"")</f>
        <v>0</v>
      </c>
      <c r="F33" s="23">
        <f>IFERROR(INDEX(Jobs!$M$5:$M$604,MATCH(3,Jobs!$AT$5:$AT$604,0)),"")</f>
        <v>0</v>
      </c>
      <c r="G33" s="23">
        <f>IFERROR(INDEX(Jobs!$R$5:$R$604,MATCH(3,Jobs!$AT$5:$AT$604,0)),"")</f>
        <v>0</v>
      </c>
      <c r="H33" s="34">
        <f>IFERROR(INDEX(Jobs!$AF$5:$AF$604,MATCH(3,Jobs!$AT$5:$AT$604,0)),"")</f>
        <v>0</v>
      </c>
      <c r="I33" s="21">
        <f>IFERROR(INDEX(Jobs!$AJ$5:$AJ$604,MATCH(3,Jobs!$AT$5:$AT$604,0)),"")</f>
        <v>0</v>
      </c>
      <c r="J33" s="39">
        <f>IFERROR(INDEX(Jobs!$P$5:$P$604,MATCH(3,Jobs!$AT$5:$AT$604,0)),"")</f>
        <v>0</v>
      </c>
      <c r="K33" s="39">
        <f>IFERROR(INDEX(Jobs!$AX$5:$AX$604,MATCH(3,Jobs!$AT$5:$AT$604,0)),"")</f>
        <v>0</v>
      </c>
    </row>
    <row r="34" spans="1:11">
      <c r="A34" s="18">
        <f>IFERROR(INDEX(Jobs!$B$5:$B$604,MATCH(4,Jobs!$AT$5:$AT$604,0)),"")</f>
        <v>0</v>
      </c>
      <c r="B34" s="23">
        <f>IFERROR(INDEX(Jobs!$C$5:$C$604,MATCH(4,Jobs!$AT$5:$AT$604,0)),"")</f>
        <v>0</v>
      </c>
      <c r="C34" s="53">
        <f>IFERROR(INDEX(Jobs!$F$5:$F$604,MATCH(4,Jobs!$AT$5:$AT$604,0)),"")</f>
        <v>0</v>
      </c>
      <c r="D34" s="23">
        <f>IFERROR(INDEX(Jobs!$H$5:$H$604,MATCH(4,Jobs!$AT$5:$AT$604,0)),"")</f>
        <v>0</v>
      </c>
      <c r="E34" s="23">
        <f>IFERROR(INDEX(Jobs!$K$5:$K$604,MATCH(4,Jobs!$AT$5:$AT$604,0)),"")</f>
        <v>0</v>
      </c>
      <c r="F34" s="23">
        <f>IFERROR(INDEX(Jobs!$M$5:$M$604,MATCH(4,Jobs!$AT$5:$AT$604,0)),"")</f>
        <v>0</v>
      </c>
      <c r="G34" s="23">
        <f>IFERROR(INDEX(Jobs!$R$5:$R$604,MATCH(4,Jobs!$AT$5:$AT$604,0)),"")</f>
        <v>0</v>
      </c>
      <c r="H34" s="34">
        <f>IFERROR(INDEX(Jobs!$AF$5:$AF$604,MATCH(4,Jobs!$AT$5:$AT$604,0)),"")</f>
        <v>0</v>
      </c>
      <c r="I34" s="21">
        <f>IFERROR(INDEX(Jobs!$AJ$5:$AJ$604,MATCH(4,Jobs!$AT$5:$AT$604,0)),"")</f>
        <v>0</v>
      </c>
      <c r="J34" s="39">
        <f>IFERROR(INDEX(Jobs!$P$5:$P$604,MATCH(4,Jobs!$AT$5:$AT$604,0)),"")</f>
        <v>0</v>
      </c>
      <c r="K34" s="39">
        <f>IFERROR(INDEX(Jobs!$AX$5:$AX$604,MATCH(4,Jobs!$AT$5:$AT$604,0)),"")</f>
        <v>0</v>
      </c>
    </row>
    <row r="35" spans="1:11">
      <c r="A35" s="18">
        <f>IFERROR(INDEX(Jobs!$B$5:$B$604,MATCH(5,Jobs!$AT$5:$AT$604,0)),"")</f>
        <v>0</v>
      </c>
      <c r="B35" s="23">
        <f>IFERROR(INDEX(Jobs!$C$5:$C$604,MATCH(5,Jobs!$AT$5:$AT$604,0)),"")</f>
        <v>0</v>
      </c>
      <c r="C35" s="53">
        <f>IFERROR(INDEX(Jobs!$F$5:$F$604,MATCH(5,Jobs!$AT$5:$AT$604,0)),"")</f>
        <v>0</v>
      </c>
      <c r="D35" s="23">
        <f>IFERROR(INDEX(Jobs!$H$5:$H$604,MATCH(5,Jobs!$AT$5:$AT$604,0)),"")</f>
        <v>0</v>
      </c>
      <c r="E35" s="23">
        <f>IFERROR(INDEX(Jobs!$K$5:$K$604,MATCH(5,Jobs!$AT$5:$AT$604,0)),"")</f>
        <v>0</v>
      </c>
      <c r="F35" s="23">
        <f>IFERROR(INDEX(Jobs!$M$5:$M$604,MATCH(5,Jobs!$AT$5:$AT$604,0)),"")</f>
        <v>0</v>
      </c>
      <c r="G35" s="23">
        <f>IFERROR(INDEX(Jobs!$R$5:$R$604,MATCH(5,Jobs!$AT$5:$AT$604,0)),"")</f>
        <v>0</v>
      </c>
      <c r="H35" s="34">
        <f>IFERROR(INDEX(Jobs!$AF$5:$AF$604,MATCH(5,Jobs!$AT$5:$AT$604,0)),"")</f>
        <v>0</v>
      </c>
      <c r="I35" s="21">
        <f>IFERROR(INDEX(Jobs!$AJ$5:$AJ$604,MATCH(5,Jobs!$AT$5:$AT$604,0)),"")</f>
        <v>0</v>
      </c>
      <c r="J35" s="39">
        <f>IFERROR(INDEX(Jobs!$P$5:$P$604,MATCH(5,Jobs!$AT$5:$AT$604,0)),"")</f>
        <v>0</v>
      </c>
      <c r="K35" s="39">
        <f>IFERROR(INDEX(Jobs!$AX$5:$AX$604,MATCH(5,Jobs!$AT$5:$AT$604,0)),"")</f>
        <v>0</v>
      </c>
    </row>
    <row r="36" spans="1:11">
      <c r="A36" s="18">
        <f>IFERROR(INDEX(Jobs!$B$5:$B$604,MATCH(6,Jobs!$AT$5:$AT$604,0)),"")</f>
        <v>0</v>
      </c>
      <c r="B36" s="23">
        <f>IFERROR(INDEX(Jobs!$C$5:$C$604,MATCH(6,Jobs!$AT$5:$AT$604,0)),"")</f>
        <v>0</v>
      </c>
      <c r="C36" s="53">
        <f>IFERROR(INDEX(Jobs!$F$5:$F$604,MATCH(6,Jobs!$AT$5:$AT$604,0)),"")</f>
        <v>0</v>
      </c>
      <c r="D36" s="23">
        <f>IFERROR(INDEX(Jobs!$H$5:$H$604,MATCH(6,Jobs!$AT$5:$AT$604,0)),"")</f>
        <v>0</v>
      </c>
      <c r="E36" s="23">
        <f>IFERROR(INDEX(Jobs!$K$5:$K$604,MATCH(6,Jobs!$AT$5:$AT$604,0)),"")</f>
        <v>0</v>
      </c>
      <c r="F36" s="23">
        <f>IFERROR(INDEX(Jobs!$M$5:$M$604,MATCH(6,Jobs!$AT$5:$AT$604,0)),"")</f>
        <v>0</v>
      </c>
      <c r="G36" s="23">
        <f>IFERROR(INDEX(Jobs!$R$5:$R$604,MATCH(6,Jobs!$AT$5:$AT$604,0)),"")</f>
        <v>0</v>
      </c>
      <c r="H36" s="34">
        <f>IFERROR(INDEX(Jobs!$AF$5:$AF$604,MATCH(6,Jobs!$AT$5:$AT$604,0)),"")</f>
        <v>0</v>
      </c>
      <c r="I36" s="21">
        <f>IFERROR(INDEX(Jobs!$AJ$5:$AJ$604,MATCH(6,Jobs!$AT$5:$AT$604,0)),"")</f>
        <v>0</v>
      </c>
      <c r="J36" s="39">
        <f>IFERROR(INDEX(Jobs!$P$5:$P$604,MATCH(6,Jobs!$AT$5:$AT$604,0)),"")</f>
        <v>0</v>
      </c>
      <c r="K36" s="39">
        <f>IFERROR(INDEX(Jobs!$AX$5:$AX$604,MATCH(6,Jobs!$AT$5:$AT$604,0)),"")</f>
        <v>0</v>
      </c>
    </row>
    <row r="37" spans="1:11">
      <c r="A37" s="18">
        <f>IFERROR(INDEX(Jobs!$B$5:$B$604,MATCH(7,Jobs!$AT$5:$AT$604,0)),"")</f>
        <v>0</v>
      </c>
      <c r="B37" s="23">
        <f>IFERROR(INDEX(Jobs!$C$5:$C$604,MATCH(7,Jobs!$AT$5:$AT$604,0)),"")</f>
        <v>0</v>
      </c>
      <c r="C37" s="53">
        <f>IFERROR(INDEX(Jobs!$F$5:$F$604,MATCH(7,Jobs!$AT$5:$AT$604,0)),"")</f>
        <v>0</v>
      </c>
      <c r="D37" s="23">
        <f>IFERROR(INDEX(Jobs!$H$5:$H$604,MATCH(7,Jobs!$AT$5:$AT$604,0)),"")</f>
        <v>0</v>
      </c>
      <c r="E37" s="23">
        <f>IFERROR(INDEX(Jobs!$K$5:$K$604,MATCH(7,Jobs!$AT$5:$AT$604,0)),"")</f>
        <v>0</v>
      </c>
      <c r="F37" s="23">
        <f>IFERROR(INDEX(Jobs!$M$5:$M$604,MATCH(7,Jobs!$AT$5:$AT$604,0)),"")</f>
        <v>0</v>
      </c>
      <c r="G37" s="23">
        <f>IFERROR(INDEX(Jobs!$R$5:$R$604,MATCH(7,Jobs!$AT$5:$AT$604,0)),"")</f>
        <v>0</v>
      </c>
      <c r="H37" s="34">
        <f>IFERROR(INDEX(Jobs!$AF$5:$AF$604,MATCH(7,Jobs!$AT$5:$AT$604,0)),"")</f>
        <v>0</v>
      </c>
      <c r="I37" s="21">
        <f>IFERROR(INDEX(Jobs!$AJ$5:$AJ$604,MATCH(7,Jobs!$AT$5:$AT$604,0)),"")</f>
        <v>0</v>
      </c>
      <c r="J37" s="39">
        <f>IFERROR(INDEX(Jobs!$P$5:$P$604,MATCH(7,Jobs!$AT$5:$AT$604,0)),"")</f>
        <v>0</v>
      </c>
      <c r="K37" s="39">
        <f>IFERROR(INDEX(Jobs!$AX$5:$AX$604,MATCH(7,Jobs!$AT$5:$AT$604,0)),"")</f>
        <v>0</v>
      </c>
    </row>
    <row r="38" spans="1:11">
      <c r="A38" s="18">
        <f>IFERROR(INDEX(Jobs!$B$5:$B$604,MATCH(8,Jobs!$AT$5:$AT$604,0)),"")</f>
        <v>0</v>
      </c>
      <c r="B38" s="23">
        <f>IFERROR(INDEX(Jobs!$C$5:$C$604,MATCH(8,Jobs!$AT$5:$AT$604,0)),"")</f>
        <v>0</v>
      </c>
      <c r="C38" s="53">
        <f>IFERROR(INDEX(Jobs!$F$5:$F$604,MATCH(8,Jobs!$AT$5:$AT$604,0)),"")</f>
        <v>0</v>
      </c>
      <c r="D38" s="23">
        <f>IFERROR(INDEX(Jobs!$H$5:$H$604,MATCH(8,Jobs!$AT$5:$AT$604,0)),"")</f>
        <v>0</v>
      </c>
      <c r="E38" s="23">
        <f>IFERROR(INDEX(Jobs!$K$5:$K$604,MATCH(8,Jobs!$AT$5:$AT$604,0)),"")</f>
        <v>0</v>
      </c>
      <c r="F38" s="23">
        <f>IFERROR(INDEX(Jobs!$M$5:$M$604,MATCH(8,Jobs!$AT$5:$AT$604,0)),"")</f>
        <v>0</v>
      </c>
      <c r="G38" s="23">
        <f>IFERROR(INDEX(Jobs!$R$5:$R$604,MATCH(8,Jobs!$AT$5:$AT$604,0)),"")</f>
        <v>0</v>
      </c>
      <c r="H38" s="34">
        <f>IFERROR(INDEX(Jobs!$AF$5:$AF$604,MATCH(8,Jobs!$AT$5:$AT$604,0)),"")</f>
        <v>0</v>
      </c>
      <c r="I38" s="21">
        <f>IFERROR(INDEX(Jobs!$AJ$5:$AJ$604,MATCH(8,Jobs!$AT$5:$AT$604,0)),"")</f>
        <v>0</v>
      </c>
      <c r="J38" s="39">
        <f>IFERROR(INDEX(Jobs!$P$5:$P$604,MATCH(8,Jobs!$AT$5:$AT$604,0)),"")</f>
        <v>0</v>
      </c>
      <c r="K38" s="39">
        <f>IFERROR(INDEX(Jobs!$AX$5:$AX$604,MATCH(8,Jobs!$AT$5:$AT$604,0)),"")</f>
        <v>0</v>
      </c>
    </row>
    <row r="39" spans="1:11">
      <c r="A39" s="18">
        <f>IFERROR(INDEX(Jobs!$B$5:$B$604,MATCH(9,Jobs!$AT$5:$AT$604,0)),"")</f>
        <v>0</v>
      </c>
      <c r="B39" s="23">
        <f>IFERROR(INDEX(Jobs!$C$5:$C$604,MATCH(9,Jobs!$AT$5:$AT$604,0)),"")</f>
        <v>0</v>
      </c>
      <c r="C39" s="53">
        <f>IFERROR(INDEX(Jobs!$F$5:$F$604,MATCH(9,Jobs!$AT$5:$AT$604,0)),"")</f>
        <v>0</v>
      </c>
      <c r="D39" s="23">
        <f>IFERROR(INDEX(Jobs!$H$5:$H$604,MATCH(9,Jobs!$AT$5:$AT$604,0)),"")</f>
        <v>0</v>
      </c>
      <c r="E39" s="23">
        <f>IFERROR(INDEX(Jobs!$K$5:$K$604,MATCH(9,Jobs!$AT$5:$AT$604,0)),"")</f>
        <v>0</v>
      </c>
      <c r="F39" s="23">
        <f>IFERROR(INDEX(Jobs!$M$5:$M$604,MATCH(9,Jobs!$AT$5:$AT$604,0)),"")</f>
        <v>0</v>
      </c>
      <c r="G39" s="23">
        <f>IFERROR(INDEX(Jobs!$R$5:$R$604,MATCH(9,Jobs!$AT$5:$AT$604,0)),"")</f>
        <v>0</v>
      </c>
      <c r="H39" s="34">
        <f>IFERROR(INDEX(Jobs!$AF$5:$AF$604,MATCH(9,Jobs!$AT$5:$AT$604,0)),"")</f>
        <v>0</v>
      </c>
      <c r="I39" s="21">
        <f>IFERROR(INDEX(Jobs!$AJ$5:$AJ$604,MATCH(9,Jobs!$AT$5:$AT$604,0)),"")</f>
        <v>0</v>
      </c>
      <c r="J39" s="39">
        <f>IFERROR(INDEX(Jobs!$P$5:$P$604,MATCH(9,Jobs!$AT$5:$AT$604,0)),"")</f>
        <v>0</v>
      </c>
      <c r="K39" s="39">
        <f>IFERROR(INDEX(Jobs!$AX$5:$AX$604,MATCH(9,Jobs!$AT$5:$AT$604,0)),"")</f>
        <v>0</v>
      </c>
    </row>
    <row r="40" spans="1:11">
      <c r="A40" s="18">
        <f>IFERROR(INDEX(Jobs!$B$5:$B$604,MATCH(10,Jobs!$AT$5:$AT$604,0)),"")</f>
        <v>0</v>
      </c>
      <c r="B40" s="23">
        <f>IFERROR(INDEX(Jobs!$C$5:$C$604,MATCH(10,Jobs!$AT$5:$AT$604,0)),"")</f>
        <v>0</v>
      </c>
      <c r="C40" s="53">
        <f>IFERROR(INDEX(Jobs!$F$5:$F$604,MATCH(10,Jobs!$AT$5:$AT$604,0)),"")</f>
        <v>0</v>
      </c>
      <c r="D40" s="23">
        <f>IFERROR(INDEX(Jobs!$H$5:$H$604,MATCH(10,Jobs!$AT$5:$AT$604,0)),"")</f>
        <v>0</v>
      </c>
      <c r="E40" s="23">
        <f>IFERROR(INDEX(Jobs!$K$5:$K$604,MATCH(10,Jobs!$AT$5:$AT$604,0)),"")</f>
        <v>0</v>
      </c>
      <c r="F40" s="23">
        <f>IFERROR(INDEX(Jobs!$M$5:$M$604,MATCH(10,Jobs!$AT$5:$AT$604,0)),"")</f>
        <v>0</v>
      </c>
      <c r="G40" s="23">
        <f>IFERROR(INDEX(Jobs!$R$5:$R$604,MATCH(10,Jobs!$AT$5:$AT$604,0)),"")</f>
        <v>0</v>
      </c>
      <c r="H40" s="34">
        <f>IFERROR(INDEX(Jobs!$AF$5:$AF$604,MATCH(10,Jobs!$AT$5:$AT$604,0)),"")</f>
        <v>0</v>
      </c>
      <c r="I40" s="21">
        <f>IFERROR(INDEX(Jobs!$AJ$5:$AJ$604,MATCH(10,Jobs!$AT$5:$AT$604,0)),"")</f>
        <v>0</v>
      </c>
      <c r="J40" s="39">
        <f>IFERROR(INDEX(Jobs!$P$5:$P$604,MATCH(10,Jobs!$AT$5:$AT$604,0)),"")</f>
        <v>0</v>
      </c>
      <c r="K40" s="39">
        <f>IFERROR(INDEX(Jobs!$AX$5:$AX$604,MATCH(10,Jobs!$AT$5:$AT$604,0)),"")</f>
        <v>0</v>
      </c>
    </row>
    <row r="41" spans="1:11">
      <c r="A41" s="18">
        <f>IFERROR(INDEX(Jobs!$B$5:$B$604,MATCH(11,Jobs!$AT$5:$AT$604,0)),"")</f>
        <v>0</v>
      </c>
      <c r="B41" s="23">
        <f>IFERROR(INDEX(Jobs!$C$5:$C$604,MATCH(11,Jobs!$AT$5:$AT$604,0)),"")</f>
        <v>0</v>
      </c>
      <c r="C41" s="53">
        <f>IFERROR(INDEX(Jobs!$F$5:$F$604,MATCH(11,Jobs!$AT$5:$AT$604,0)),"")</f>
        <v>0</v>
      </c>
      <c r="D41" s="23">
        <f>IFERROR(INDEX(Jobs!$H$5:$H$604,MATCH(11,Jobs!$AT$5:$AT$604,0)),"")</f>
        <v>0</v>
      </c>
      <c r="E41" s="23">
        <f>IFERROR(INDEX(Jobs!$K$5:$K$604,MATCH(11,Jobs!$AT$5:$AT$604,0)),"")</f>
        <v>0</v>
      </c>
      <c r="F41" s="23">
        <f>IFERROR(INDEX(Jobs!$M$5:$M$604,MATCH(11,Jobs!$AT$5:$AT$604,0)),"")</f>
        <v>0</v>
      </c>
      <c r="G41" s="23">
        <f>IFERROR(INDEX(Jobs!$R$5:$R$604,MATCH(11,Jobs!$AT$5:$AT$604,0)),"")</f>
        <v>0</v>
      </c>
      <c r="H41" s="34">
        <f>IFERROR(INDEX(Jobs!$AF$5:$AF$604,MATCH(11,Jobs!$AT$5:$AT$604,0)),"")</f>
        <v>0</v>
      </c>
      <c r="I41" s="21">
        <f>IFERROR(INDEX(Jobs!$AJ$5:$AJ$604,MATCH(11,Jobs!$AT$5:$AT$604,0)),"")</f>
        <v>0</v>
      </c>
      <c r="J41" s="39">
        <f>IFERROR(INDEX(Jobs!$P$5:$P$604,MATCH(11,Jobs!$AT$5:$AT$604,0)),"")</f>
        <v>0</v>
      </c>
      <c r="K41" s="39">
        <f>IFERROR(INDEX(Jobs!$AX$5:$AX$604,MATCH(11,Jobs!$AT$5:$AT$604,0)),"")</f>
        <v>0</v>
      </c>
    </row>
    <row r="42" spans="1:11">
      <c r="A42" s="18">
        <f>IFERROR(INDEX(Jobs!$B$5:$B$604,MATCH(12,Jobs!$AT$5:$AT$604,0)),"")</f>
        <v>0</v>
      </c>
      <c r="B42" s="23">
        <f>IFERROR(INDEX(Jobs!$C$5:$C$604,MATCH(12,Jobs!$AT$5:$AT$604,0)),"")</f>
        <v>0</v>
      </c>
      <c r="C42" s="53">
        <f>IFERROR(INDEX(Jobs!$F$5:$F$604,MATCH(12,Jobs!$AT$5:$AT$604,0)),"")</f>
        <v>0</v>
      </c>
      <c r="D42" s="23">
        <f>IFERROR(INDEX(Jobs!$H$5:$H$604,MATCH(12,Jobs!$AT$5:$AT$604,0)),"")</f>
        <v>0</v>
      </c>
      <c r="E42" s="23">
        <f>IFERROR(INDEX(Jobs!$K$5:$K$604,MATCH(12,Jobs!$AT$5:$AT$604,0)),"")</f>
        <v>0</v>
      </c>
      <c r="F42" s="23">
        <f>IFERROR(INDEX(Jobs!$M$5:$M$604,MATCH(12,Jobs!$AT$5:$AT$604,0)),"")</f>
        <v>0</v>
      </c>
      <c r="G42" s="23">
        <f>IFERROR(INDEX(Jobs!$R$5:$R$604,MATCH(12,Jobs!$AT$5:$AT$604,0)),"")</f>
        <v>0</v>
      </c>
      <c r="H42" s="34">
        <f>IFERROR(INDEX(Jobs!$AF$5:$AF$604,MATCH(12,Jobs!$AT$5:$AT$604,0)),"")</f>
        <v>0</v>
      </c>
      <c r="I42" s="21">
        <f>IFERROR(INDEX(Jobs!$AJ$5:$AJ$604,MATCH(12,Jobs!$AT$5:$AT$604,0)),"")</f>
        <v>0</v>
      </c>
      <c r="J42" s="39">
        <f>IFERROR(INDEX(Jobs!$P$5:$P$604,MATCH(12,Jobs!$AT$5:$AT$604,0)),"")</f>
        <v>0</v>
      </c>
      <c r="K42" s="39">
        <f>IFERROR(INDEX(Jobs!$AX$5:$AX$604,MATCH(12,Jobs!$AT$5:$AT$604,0)),"")</f>
        <v>0</v>
      </c>
    </row>
    <row r="43" spans="1:11">
      <c r="A43" s="18">
        <f>IFERROR(INDEX(Jobs!$B$5:$B$604,MATCH(13,Jobs!$AT$5:$AT$604,0)),"")</f>
        <v>0</v>
      </c>
      <c r="B43" s="23">
        <f>IFERROR(INDEX(Jobs!$C$5:$C$604,MATCH(13,Jobs!$AT$5:$AT$604,0)),"")</f>
        <v>0</v>
      </c>
      <c r="C43" s="53">
        <f>IFERROR(INDEX(Jobs!$F$5:$F$604,MATCH(13,Jobs!$AT$5:$AT$604,0)),"")</f>
        <v>0</v>
      </c>
      <c r="D43" s="23">
        <f>IFERROR(INDEX(Jobs!$H$5:$H$604,MATCH(13,Jobs!$AT$5:$AT$604,0)),"")</f>
        <v>0</v>
      </c>
      <c r="E43" s="23">
        <f>IFERROR(INDEX(Jobs!$K$5:$K$604,MATCH(13,Jobs!$AT$5:$AT$604,0)),"")</f>
        <v>0</v>
      </c>
      <c r="F43" s="23">
        <f>IFERROR(INDEX(Jobs!$M$5:$M$604,MATCH(13,Jobs!$AT$5:$AT$604,0)),"")</f>
        <v>0</v>
      </c>
      <c r="G43" s="23">
        <f>IFERROR(INDEX(Jobs!$R$5:$R$604,MATCH(13,Jobs!$AT$5:$AT$604,0)),"")</f>
        <v>0</v>
      </c>
      <c r="H43" s="34">
        <f>IFERROR(INDEX(Jobs!$AF$5:$AF$604,MATCH(13,Jobs!$AT$5:$AT$604,0)),"")</f>
        <v>0</v>
      </c>
      <c r="I43" s="21">
        <f>IFERROR(INDEX(Jobs!$AJ$5:$AJ$604,MATCH(13,Jobs!$AT$5:$AT$604,0)),"")</f>
        <v>0</v>
      </c>
      <c r="J43" s="39">
        <f>IFERROR(INDEX(Jobs!$P$5:$P$604,MATCH(13,Jobs!$AT$5:$AT$604,0)),"")</f>
        <v>0</v>
      </c>
      <c r="K43" s="39">
        <f>IFERROR(INDEX(Jobs!$AX$5:$AX$604,MATCH(13,Jobs!$AT$5:$AT$604,0)),"")</f>
        <v>0</v>
      </c>
    </row>
    <row r="44" spans="1:11">
      <c r="A44" s="18">
        <f>IFERROR(INDEX(Jobs!$B$5:$B$604,MATCH(14,Jobs!$AT$5:$AT$604,0)),"")</f>
        <v>0</v>
      </c>
      <c r="B44" s="23">
        <f>IFERROR(INDEX(Jobs!$C$5:$C$604,MATCH(14,Jobs!$AT$5:$AT$604,0)),"")</f>
        <v>0</v>
      </c>
      <c r="C44" s="53">
        <f>IFERROR(INDEX(Jobs!$F$5:$F$604,MATCH(14,Jobs!$AT$5:$AT$604,0)),"")</f>
        <v>0</v>
      </c>
      <c r="D44" s="23">
        <f>IFERROR(INDEX(Jobs!$H$5:$H$604,MATCH(14,Jobs!$AT$5:$AT$604,0)),"")</f>
        <v>0</v>
      </c>
      <c r="E44" s="23">
        <f>IFERROR(INDEX(Jobs!$K$5:$K$604,MATCH(14,Jobs!$AT$5:$AT$604,0)),"")</f>
        <v>0</v>
      </c>
      <c r="F44" s="23">
        <f>IFERROR(INDEX(Jobs!$M$5:$M$604,MATCH(14,Jobs!$AT$5:$AT$604,0)),"")</f>
        <v>0</v>
      </c>
      <c r="G44" s="23">
        <f>IFERROR(INDEX(Jobs!$R$5:$R$604,MATCH(14,Jobs!$AT$5:$AT$604,0)),"")</f>
        <v>0</v>
      </c>
      <c r="H44" s="34">
        <f>IFERROR(INDEX(Jobs!$AF$5:$AF$604,MATCH(14,Jobs!$AT$5:$AT$604,0)),"")</f>
        <v>0</v>
      </c>
      <c r="I44" s="21">
        <f>IFERROR(INDEX(Jobs!$AJ$5:$AJ$604,MATCH(14,Jobs!$AT$5:$AT$604,0)),"")</f>
        <v>0</v>
      </c>
      <c r="J44" s="39">
        <f>IFERROR(INDEX(Jobs!$P$5:$P$604,MATCH(14,Jobs!$AT$5:$AT$604,0)),"")</f>
        <v>0</v>
      </c>
      <c r="K44" s="39">
        <f>IFERROR(INDEX(Jobs!$AX$5:$AX$604,MATCH(14,Jobs!$AT$5:$AT$604,0)),"")</f>
        <v>0</v>
      </c>
    </row>
    <row r="45" spans="1:11">
      <c r="A45" s="18">
        <f>IFERROR(INDEX(Jobs!$B$5:$B$604,MATCH(15,Jobs!$AT$5:$AT$604,0)),"")</f>
        <v>0</v>
      </c>
      <c r="B45" s="23">
        <f>IFERROR(INDEX(Jobs!$C$5:$C$604,MATCH(15,Jobs!$AT$5:$AT$604,0)),"")</f>
        <v>0</v>
      </c>
      <c r="C45" s="53">
        <f>IFERROR(INDEX(Jobs!$F$5:$F$604,MATCH(15,Jobs!$AT$5:$AT$604,0)),"")</f>
        <v>0</v>
      </c>
      <c r="D45" s="23">
        <f>IFERROR(INDEX(Jobs!$H$5:$H$604,MATCH(15,Jobs!$AT$5:$AT$604,0)),"")</f>
        <v>0</v>
      </c>
      <c r="E45" s="23">
        <f>IFERROR(INDEX(Jobs!$K$5:$K$604,MATCH(15,Jobs!$AT$5:$AT$604,0)),"")</f>
        <v>0</v>
      </c>
      <c r="F45" s="23">
        <f>IFERROR(INDEX(Jobs!$M$5:$M$604,MATCH(15,Jobs!$AT$5:$AT$604,0)),"")</f>
        <v>0</v>
      </c>
      <c r="G45" s="23">
        <f>IFERROR(INDEX(Jobs!$R$5:$R$604,MATCH(15,Jobs!$AT$5:$AT$604,0)),"")</f>
        <v>0</v>
      </c>
      <c r="H45" s="34">
        <f>IFERROR(INDEX(Jobs!$AF$5:$AF$604,MATCH(15,Jobs!$AT$5:$AT$604,0)),"")</f>
        <v>0</v>
      </c>
      <c r="I45" s="21">
        <f>IFERROR(INDEX(Jobs!$AJ$5:$AJ$604,MATCH(15,Jobs!$AT$5:$AT$604,0)),"")</f>
        <v>0</v>
      </c>
      <c r="J45" s="39">
        <f>IFERROR(INDEX(Jobs!$P$5:$P$604,MATCH(15,Jobs!$AT$5:$AT$604,0)),"")</f>
        <v>0</v>
      </c>
      <c r="K45" s="39">
        <f>IFERROR(INDEX(Jobs!$AX$5:$AX$604,MATCH(15,Jobs!$AT$5:$AT$604,0)),"")</f>
        <v>0</v>
      </c>
    </row>
    <row r="46" spans="1:11">
      <c r="A46" s="18">
        <f>IFERROR(INDEX(Jobs!$B$5:$B$604,MATCH(16,Jobs!$AT$5:$AT$604,0)),"")</f>
        <v>0</v>
      </c>
      <c r="B46" s="23">
        <f>IFERROR(INDEX(Jobs!$C$5:$C$604,MATCH(16,Jobs!$AT$5:$AT$604,0)),"")</f>
        <v>0</v>
      </c>
      <c r="C46" s="53">
        <f>IFERROR(INDEX(Jobs!$F$5:$F$604,MATCH(16,Jobs!$AT$5:$AT$604,0)),"")</f>
        <v>0</v>
      </c>
      <c r="D46" s="23">
        <f>IFERROR(INDEX(Jobs!$H$5:$H$604,MATCH(16,Jobs!$AT$5:$AT$604,0)),"")</f>
        <v>0</v>
      </c>
      <c r="E46" s="23">
        <f>IFERROR(INDEX(Jobs!$K$5:$K$604,MATCH(16,Jobs!$AT$5:$AT$604,0)),"")</f>
        <v>0</v>
      </c>
      <c r="F46" s="23">
        <f>IFERROR(INDEX(Jobs!$M$5:$M$604,MATCH(16,Jobs!$AT$5:$AT$604,0)),"")</f>
        <v>0</v>
      </c>
      <c r="G46" s="23">
        <f>IFERROR(INDEX(Jobs!$R$5:$R$604,MATCH(16,Jobs!$AT$5:$AT$604,0)),"")</f>
        <v>0</v>
      </c>
      <c r="H46" s="34">
        <f>IFERROR(INDEX(Jobs!$AF$5:$AF$604,MATCH(16,Jobs!$AT$5:$AT$604,0)),"")</f>
        <v>0</v>
      </c>
      <c r="I46" s="21">
        <f>IFERROR(INDEX(Jobs!$AJ$5:$AJ$604,MATCH(16,Jobs!$AT$5:$AT$604,0)),"")</f>
        <v>0</v>
      </c>
      <c r="J46" s="39">
        <f>IFERROR(INDEX(Jobs!$P$5:$P$604,MATCH(16,Jobs!$AT$5:$AT$604,0)),"")</f>
        <v>0</v>
      </c>
      <c r="K46" s="39">
        <f>IFERROR(INDEX(Jobs!$AX$5:$AX$604,MATCH(16,Jobs!$AT$5:$AT$604,0)),"")</f>
        <v>0</v>
      </c>
    </row>
    <row r="47" spans="1:11">
      <c r="A47" s="18">
        <f>IFERROR(INDEX(Jobs!$B$5:$B$604,MATCH(17,Jobs!$AT$5:$AT$604,0)),"")</f>
        <v>0</v>
      </c>
      <c r="B47" s="23">
        <f>IFERROR(INDEX(Jobs!$C$5:$C$604,MATCH(17,Jobs!$AT$5:$AT$604,0)),"")</f>
        <v>0</v>
      </c>
      <c r="C47" s="53">
        <f>IFERROR(INDEX(Jobs!$F$5:$F$604,MATCH(17,Jobs!$AT$5:$AT$604,0)),"")</f>
        <v>0</v>
      </c>
      <c r="D47" s="23">
        <f>IFERROR(INDEX(Jobs!$H$5:$H$604,MATCH(17,Jobs!$AT$5:$AT$604,0)),"")</f>
        <v>0</v>
      </c>
      <c r="E47" s="23">
        <f>IFERROR(INDEX(Jobs!$K$5:$K$604,MATCH(17,Jobs!$AT$5:$AT$604,0)),"")</f>
        <v>0</v>
      </c>
      <c r="F47" s="23">
        <f>IFERROR(INDEX(Jobs!$M$5:$M$604,MATCH(17,Jobs!$AT$5:$AT$604,0)),"")</f>
        <v>0</v>
      </c>
      <c r="G47" s="23">
        <f>IFERROR(INDEX(Jobs!$R$5:$R$604,MATCH(17,Jobs!$AT$5:$AT$604,0)),"")</f>
        <v>0</v>
      </c>
      <c r="H47" s="34">
        <f>IFERROR(INDEX(Jobs!$AF$5:$AF$604,MATCH(17,Jobs!$AT$5:$AT$604,0)),"")</f>
        <v>0</v>
      </c>
      <c r="I47" s="21">
        <f>IFERROR(INDEX(Jobs!$AJ$5:$AJ$604,MATCH(17,Jobs!$AT$5:$AT$604,0)),"")</f>
        <v>0</v>
      </c>
      <c r="J47" s="39">
        <f>IFERROR(INDEX(Jobs!$P$5:$P$604,MATCH(17,Jobs!$AT$5:$AT$604,0)),"")</f>
        <v>0</v>
      </c>
      <c r="K47" s="39">
        <f>IFERROR(INDEX(Jobs!$AX$5:$AX$604,MATCH(17,Jobs!$AT$5:$AT$604,0)),"")</f>
        <v>0</v>
      </c>
    </row>
    <row r="48" spans="1:11">
      <c r="A48" s="18">
        <f>IFERROR(INDEX(Jobs!$B$5:$B$604,MATCH(18,Jobs!$AT$5:$AT$604,0)),"")</f>
        <v>0</v>
      </c>
      <c r="B48" s="23">
        <f>IFERROR(INDEX(Jobs!$C$5:$C$604,MATCH(18,Jobs!$AT$5:$AT$604,0)),"")</f>
        <v>0</v>
      </c>
      <c r="C48" s="53">
        <f>IFERROR(INDEX(Jobs!$F$5:$F$604,MATCH(18,Jobs!$AT$5:$AT$604,0)),"")</f>
        <v>0</v>
      </c>
      <c r="D48" s="23">
        <f>IFERROR(INDEX(Jobs!$H$5:$H$604,MATCH(18,Jobs!$AT$5:$AT$604,0)),"")</f>
        <v>0</v>
      </c>
      <c r="E48" s="23">
        <f>IFERROR(INDEX(Jobs!$K$5:$K$604,MATCH(18,Jobs!$AT$5:$AT$604,0)),"")</f>
        <v>0</v>
      </c>
      <c r="F48" s="23">
        <f>IFERROR(INDEX(Jobs!$M$5:$M$604,MATCH(18,Jobs!$AT$5:$AT$604,0)),"")</f>
        <v>0</v>
      </c>
      <c r="G48" s="23">
        <f>IFERROR(INDEX(Jobs!$R$5:$R$604,MATCH(18,Jobs!$AT$5:$AT$604,0)),"")</f>
        <v>0</v>
      </c>
      <c r="H48" s="34">
        <f>IFERROR(INDEX(Jobs!$AF$5:$AF$604,MATCH(18,Jobs!$AT$5:$AT$604,0)),"")</f>
        <v>0</v>
      </c>
      <c r="I48" s="21">
        <f>IFERROR(INDEX(Jobs!$AJ$5:$AJ$604,MATCH(18,Jobs!$AT$5:$AT$604,0)),"")</f>
        <v>0</v>
      </c>
      <c r="J48" s="39">
        <f>IFERROR(INDEX(Jobs!$P$5:$P$604,MATCH(18,Jobs!$AT$5:$AT$604,0)),"")</f>
        <v>0</v>
      </c>
      <c r="K48" s="39">
        <f>IFERROR(INDEX(Jobs!$AX$5:$AX$604,MATCH(18,Jobs!$AT$5:$AT$604,0)),"")</f>
        <v>0</v>
      </c>
    </row>
    <row r="49" spans="1:11">
      <c r="A49" s="18">
        <f>IFERROR(INDEX(Jobs!$B$5:$B$604,MATCH(19,Jobs!$AT$5:$AT$604,0)),"")</f>
        <v>0</v>
      </c>
      <c r="B49" s="23">
        <f>IFERROR(INDEX(Jobs!$C$5:$C$604,MATCH(19,Jobs!$AT$5:$AT$604,0)),"")</f>
        <v>0</v>
      </c>
      <c r="C49" s="53">
        <f>IFERROR(INDEX(Jobs!$F$5:$F$604,MATCH(19,Jobs!$AT$5:$AT$604,0)),"")</f>
        <v>0</v>
      </c>
      <c r="D49" s="23">
        <f>IFERROR(INDEX(Jobs!$H$5:$H$604,MATCH(19,Jobs!$AT$5:$AT$604,0)),"")</f>
        <v>0</v>
      </c>
      <c r="E49" s="23">
        <f>IFERROR(INDEX(Jobs!$K$5:$K$604,MATCH(19,Jobs!$AT$5:$AT$604,0)),"")</f>
        <v>0</v>
      </c>
      <c r="F49" s="23">
        <f>IFERROR(INDEX(Jobs!$M$5:$M$604,MATCH(19,Jobs!$AT$5:$AT$604,0)),"")</f>
        <v>0</v>
      </c>
      <c r="G49" s="23">
        <f>IFERROR(INDEX(Jobs!$R$5:$R$604,MATCH(19,Jobs!$AT$5:$AT$604,0)),"")</f>
        <v>0</v>
      </c>
      <c r="H49" s="34">
        <f>IFERROR(INDEX(Jobs!$AF$5:$AF$604,MATCH(19,Jobs!$AT$5:$AT$604,0)),"")</f>
        <v>0</v>
      </c>
      <c r="I49" s="21">
        <f>IFERROR(INDEX(Jobs!$AJ$5:$AJ$604,MATCH(19,Jobs!$AT$5:$AT$604,0)),"")</f>
        <v>0</v>
      </c>
      <c r="J49" s="39">
        <f>IFERROR(INDEX(Jobs!$P$5:$P$604,MATCH(19,Jobs!$AT$5:$AT$604,0)),"")</f>
        <v>0</v>
      </c>
      <c r="K49" s="39">
        <f>IFERROR(INDEX(Jobs!$AX$5:$AX$604,MATCH(19,Jobs!$AT$5:$AT$604,0)),"")</f>
        <v>0</v>
      </c>
    </row>
    <row r="50" spans="1:11">
      <c r="A50" s="18">
        <f>IFERROR(INDEX(Jobs!$B$5:$B$604,MATCH(20,Jobs!$AT$5:$AT$604,0)),"")</f>
        <v>0</v>
      </c>
      <c r="B50" s="23">
        <f>IFERROR(INDEX(Jobs!$C$5:$C$604,MATCH(20,Jobs!$AT$5:$AT$604,0)),"")</f>
        <v>0</v>
      </c>
      <c r="C50" s="53">
        <f>IFERROR(INDEX(Jobs!$F$5:$F$604,MATCH(20,Jobs!$AT$5:$AT$604,0)),"")</f>
        <v>0</v>
      </c>
      <c r="D50" s="23">
        <f>IFERROR(INDEX(Jobs!$H$5:$H$604,MATCH(20,Jobs!$AT$5:$AT$604,0)),"")</f>
        <v>0</v>
      </c>
      <c r="E50" s="23">
        <f>IFERROR(INDEX(Jobs!$K$5:$K$604,MATCH(20,Jobs!$AT$5:$AT$604,0)),"")</f>
        <v>0</v>
      </c>
      <c r="F50" s="23">
        <f>IFERROR(INDEX(Jobs!$M$5:$M$604,MATCH(20,Jobs!$AT$5:$AT$604,0)),"")</f>
        <v>0</v>
      </c>
      <c r="G50" s="23">
        <f>IFERROR(INDEX(Jobs!$R$5:$R$604,MATCH(20,Jobs!$AT$5:$AT$604,0)),"")</f>
        <v>0</v>
      </c>
      <c r="H50" s="34">
        <f>IFERROR(INDEX(Jobs!$AF$5:$AF$604,MATCH(20,Jobs!$AT$5:$AT$604,0)),"")</f>
        <v>0</v>
      </c>
      <c r="I50" s="21">
        <f>IFERROR(INDEX(Jobs!$AJ$5:$AJ$604,MATCH(20,Jobs!$AT$5:$AT$604,0)),"")</f>
        <v>0</v>
      </c>
      <c r="J50" s="39">
        <f>IFERROR(INDEX(Jobs!$P$5:$P$604,MATCH(20,Jobs!$AT$5:$AT$604,0)),"")</f>
        <v>0</v>
      </c>
      <c r="K50" s="39">
        <f>IFERROR(INDEX(Jobs!$AX$5:$AX$604,MATCH(20,Jobs!$AT$5:$AT$604,0)),"")</f>
        <v>0</v>
      </c>
    </row>
    <row r="51" spans="1:11">
      <c r="A51" s="18">
        <f>IFERROR(INDEX(Jobs!$B$5:$B$604,MATCH(21,Jobs!$AT$5:$AT$604,0)),"")</f>
        <v>0</v>
      </c>
      <c r="B51" s="23">
        <f>IFERROR(INDEX(Jobs!$C$5:$C$604,MATCH(21,Jobs!$AT$5:$AT$604,0)),"")</f>
        <v>0</v>
      </c>
      <c r="C51" s="53">
        <f>IFERROR(INDEX(Jobs!$F$5:$F$604,MATCH(21,Jobs!$AT$5:$AT$604,0)),"")</f>
        <v>0</v>
      </c>
      <c r="D51" s="23">
        <f>IFERROR(INDEX(Jobs!$H$5:$H$604,MATCH(21,Jobs!$AT$5:$AT$604,0)),"")</f>
        <v>0</v>
      </c>
      <c r="E51" s="23">
        <f>IFERROR(INDEX(Jobs!$K$5:$K$604,MATCH(21,Jobs!$AT$5:$AT$604,0)),"")</f>
        <v>0</v>
      </c>
      <c r="F51" s="23">
        <f>IFERROR(INDEX(Jobs!$M$5:$M$604,MATCH(21,Jobs!$AT$5:$AT$604,0)),"")</f>
        <v>0</v>
      </c>
      <c r="G51" s="23">
        <f>IFERROR(INDEX(Jobs!$R$5:$R$604,MATCH(21,Jobs!$AT$5:$AT$604,0)),"")</f>
        <v>0</v>
      </c>
      <c r="H51" s="34">
        <f>IFERROR(INDEX(Jobs!$AF$5:$AF$604,MATCH(21,Jobs!$AT$5:$AT$604,0)),"")</f>
        <v>0</v>
      </c>
      <c r="I51" s="21">
        <f>IFERROR(INDEX(Jobs!$AJ$5:$AJ$604,MATCH(21,Jobs!$AT$5:$AT$604,0)),"")</f>
        <v>0</v>
      </c>
      <c r="J51" s="39">
        <f>IFERROR(INDEX(Jobs!$P$5:$P$604,MATCH(21,Jobs!$AT$5:$AT$604,0)),"")</f>
        <v>0</v>
      </c>
      <c r="K51" s="39">
        <f>IFERROR(INDEX(Jobs!$AX$5:$AX$604,MATCH(21,Jobs!$AT$5:$AT$604,0)),"")</f>
        <v>0</v>
      </c>
    </row>
    <row r="52" spans="1:11">
      <c r="A52" s="18">
        <f>IFERROR(INDEX(Jobs!$B$5:$B$604,MATCH(22,Jobs!$AT$5:$AT$604,0)),"")</f>
        <v>0</v>
      </c>
      <c r="B52" s="23">
        <f>IFERROR(INDEX(Jobs!$C$5:$C$604,MATCH(22,Jobs!$AT$5:$AT$604,0)),"")</f>
        <v>0</v>
      </c>
      <c r="C52" s="53">
        <f>IFERROR(INDEX(Jobs!$F$5:$F$604,MATCH(22,Jobs!$AT$5:$AT$604,0)),"")</f>
        <v>0</v>
      </c>
      <c r="D52" s="23">
        <f>IFERROR(INDEX(Jobs!$H$5:$H$604,MATCH(22,Jobs!$AT$5:$AT$604,0)),"")</f>
        <v>0</v>
      </c>
      <c r="E52" s="23">
        <f>IFERROR(INDEX(Jobs!$K$5:$K$604,MATCH(22,Jobs!$AT$5:$AT$604,0)),"")</f>
        <v>0</v>
      </c>
      <c r="F52" s="23">
        <f>IFERROR(INDEX(Jobs!$M$5:$M$604,MATCH(22,Jobs!$AT$5:$AT$604,0)),"")</f>
        <v>0</v>
      </c>
      <c r="G52" s="23">
        <f>IFERROR(INDEX(Jobs!$R$5:$R$604,MATCH(22,Jobs!$AT$5:$AT$604,0)),"")</f>
        <v>0</v>
      </c>
      <c r="H52" s="34">
        <f>IFERROR(INDEX(Jobs!$AF$5:$AF$604,MATCH(22,Jobs!$AT$5:$AT$604,0)),"")</f>
        <v>0</v>
      </c>
      <c r="I52" s="21">
        <f>IFERROR(INDEX(Jobs!$AJ$5:$AJ$604,MATCH(22,Jobs!$AT$5:$AT$604,0)),"")</f>
        <v>0</v>
      </c>
      <c r="J52" s="39">
        <f>IFERROR(INDEX(Jobs!$P$5:$P$604,MATCH(22,Jobs!$AT$5:$AT$604,0)),"")</f>
        <v>0</v>
      </c>
      <c r="K52" s="39">
        <f>IFERROR(INDEX(Jobs!$AX$5:$AX$604,MATCH(22,Jobs!$AT$5:$AT$604,0)),"")</f>
        <v>0</v>
      </c>
    </row>
    <row r="53" spans="1:11">
      <c r="A53" s="18">
        <f>IFERROR(INDEX(Jobs!$B$5:$B$604,MATCH(23,Jobs!$AT$5:$AT$604,0)),"")</f>
        <v>0</v>
      </c>
      <c r="B53" s="23">
        <f>IFERROR(INDEX(Jobs!$C$5:$C$604,MATCH(23,Jobs!$AT$5:$AT$604,0)),"")</f>
        <v>0</v>
      </c>
      <c r="C53" s="53">
        <f>IFERROR(INDEX(Jobs!$F$5:$F$604,MATCH(23,Jobs!$AT$5:$AT$604,0)),"")</f>
        <v>0</v>
      </c>
      <c r="D53" s="23">
        <f>IFERROR(INDEX(Jobs!$H$5:$H$604,MATCH(23,Jobs!$AT$5:$AT$604,0)),"")</f>
        <v>0</v>
      </c>
      <c r="E53" s="23">
        <f>IFERROR(INDEX(Jobs!$K$5:$K$604,MATCH(23,Jobs!$AT$5:$AT$604,0)),"")</f>
        <v>0</v>
      </c>
      <c r="F53" s="23">
        <f>IFERROR(INDEX(Jobs!$M$5:$M$604,MATCH(23,Jobs!$AT$5:$AT$604,0)),"")</f>
        <v>0</v>
      </c>
      <c r="G53" s="23">
        <f>IFERROR(INDEX(Jobs!$R$5:$R$604,MATCH(23,Jobs!$AT$5:$AT$604,0)),"")</f>
        <v>0</v>
      </c>
      <c r="H53" s="34">
        <f>IFERROR(INDEX(Jobs!$AF$5:$AF$604,MATCH(23,Jobs!$AT$5:$AT$604,0)),"")</f>
        <v>0</v>
      </c>
      <c r="I53" s="21">
        <f>IFERROR(INDEX(Jobs!$AJ$5:$AJ$604,MATCH(23,Jobs!$AT$5:$AT$604,0)),"")</f>
        <v>0</v>
      </c>
      <c r="J53" s="39">
        <f>IFERROR(INDEX(Jobs!$P$5:$P$604,MATCH(23,Jobs!$AT$5:$AT$604,0)),"")</f>
        <v>0</v>
      </c>
      <c r="K53" s="39">
        <f>IFERROR(INDEX(Jobs!$AX$5:$AX$604,MATCH(23,Jobs!$AT$5:$AT$604,0)),"")</f>
        <v>0</v>
      </c>
    </row>
    <row r="54" spans="1:11">
      <c r="A54" s="18">
        <f>IFERROR(INDEX(Jobs!$B$5:$B$604,MATCH(24,Jobs!$AT$5:$AT$604,0)),"")</f>
        <v>0</v>
      </c>
      <c r="B54" s="23">
        <f>IFERROR(INDEX(Jobs!$C$5:$C$604,MATCH(24,Jobs!$AT$5:$AT$604,0)),"")</f>
        <v>0</v>
      </c>
      <c r="C54" s="53">
        <f>IFERROR(INDEX(Jobs!$F$5:$F$604,MATCH(24,Jobs!$AT$5:$AT$604,0)),"")</f>
        <v>0</v>
      </c>
      <c r="D54" s="23">
        <f>IFERROR(INDEX(Jobs!$H$5:$H$604,MATCH(24,Jobs!$AT$5:$AT$604,0)),"")</f>
        <v>0</v>
      </c>
      <c r="E54" s="23">
        <f>IFERROR(INDEX(Jobs!$K$5:$K$604,MATCH(24,Jobs!$AT$5:$AT$604,0)),"")</f>
        <v>0</v>
      </c>
      <c r="F54" s="23">
        <f>IFERROR(INDEX(Jobs!$M$5:$M$604,MATCH(24,Jobs!$AT$5:$AT$604,0)),"")</f>
        <v>0</v>
      </c>
      <c r="G54" s="23">
        <f>IFERROR(INDEX(Jobs!$R$5:$R$604,MATCH(24,Jobs!$AT$5:$AT$604,0)),"")</f>
        <v>0</v>
      </c>
      <c r="H54" s="34">
        <f>IFERROR(INDEX(Jobs!$AF$5:$AF$604,MATCH(24,Jobs!$AT$5:$AT$604,0)),"")</f>
        <v>0</v>
      </c>
      <c r="I54" s="21">
        <f>IFERROR(INDEX(Jobs!$AJ$5:$AJ$604,MATCH(24,Jobs!$AT$5:$AT$604,0)),"")</f>
        <v>0</v>
      </c>
      <c r="J54" s="39">
        <f>IFERROR(INDEX(Jobs!$P$5:$P$604,MATCH(24,Jobs!$AT$5:$AT$604,0)),"")</f>
        <v>0</v>
      </c>
      <c r="K54" s="39">
        <f>IFERROR(INDEX(Jobs!$AX$5:$AX$604,MATCH(24,Jobs!$AT$5:$AT$604,0)),"")</f>
        <v>0</v>
      </c>
    </row>
    <row r="55" spans="1:11">
      <c r="A55" s="18">
        <f>IFERROR(INDEX(Jobs!$B$5:$B$604,MATCH(25,Jobs!$AT$5:$AT$604,0)),"")</f>
        <v>0</v>
      </c>
      <c r="B55" s="23">
        <f>IFERROR(INDEX(Jobs!$C$5:$C$604,MATCH(25,Jobs!$AT$5:$AT$604,0)),"")</f>
        <v>0</v>
      </c>
      <c r="C55" s="53">
        <f>IFERROR(INDEX(Jobs!$F$5:$F$604,MATCH(25,Jobs!$AT$5:$AT$604,0)),"")</f>
        <v>0</v>
      </c>
      <c r="D55" s="23">
        <f>IFERROR(INDEX(Jobs!$H$5:$H$604,MATCH(25,Jobs!$AT$5:$AT$604,0)),"")</f>
        <v>0</v>
      </c>
      <c r="E55" s="23">
        <f>IFERROR(INDEX(Jobs!$K$5:$K$604,MATCH(25,Jobs!$AT$5:$AT$604,0)),"")</f>
        <v>0</v>
      </c>
      <c r="F55" s="23">
        <f>IFERROR(INDEX(Jobs!$M$5:$M$604,MATCH(25,Jobs!$AT$5:$AT$604,0)),"")</f>
        <v>0</v>
      </c>
      <c r="G55" s="23">
        <f>IFERROR(INDEX(Jobs!$R$5:$R$604,MATCH(25,Jobs!$AT$5:$AT$604,0)),"")</f>
        <v>0</v>
      </c>
      <c r="H55" s="34">
        <f>IFERROR(INDEX(Jobs!$AF$5:$AF$604,MATCH(25,Jobs!$AT$5:$AT$604,0)),"")</f>
        <v>0</v>
      </c>
      <c r="I55" s="21">
        <f>IFERROR(INDEX(Jobs!$AJ$5:$AJ$604,MATCH(25,Jobs!$AT$5:$AT$604,0)),"")</f>
        <v>0</v>
      </c>
      <c r="J55" s="39">
        <f>IFERROR(INDEX(Jobs!$P$5:$P$604,MATCH(25,Jobs!$AT$5:$AT$604,0)),"")</f>
        <v>0</v>
      </c>
      <c r="K55" s="39">
        <f>IFERROR(INDEX(Jobs!$AX$5:$AX$604,MATCH(25,Jobs!$AT$5:$AT$604,0)),"")</f>
        <v>0</v>
      </c>
    </row>
    <row r="56" spans="1:11">
      <c r="A56" s="18">
        <f>IFERROR(INDEX(Jobs!$B$5:$B$604,MATCH(26,Jobs!$AT$5:$AT$604,0)),"")</f>
        <v>0</v>
      </c>
      <c r="B56" s="23">
        <f>IFERROR(INDEX(Jobs!$C$5:$C$604,MATCH(26,Jobs!$AT$5:$AT$604,0)),"")</f>
        <v>0</v>
      </c>
      <c r="C56" s="53">
        <f>IFERROR(INDEX(Jobs!$F$5:$F$604,MATCH(26,Jobs!$AT$5:$AT$604,0)),"")</f>
        <v>0</v>
      </c>
      <c r="D56" s="23">
        <f>IFERROR(INDEX(Jobs!$H$5:$H$604,MATCH(26,Jobs!$AT$5:$AT$604,0)),"")</f>
        <v>0</v>
      </c>
      <c r="E56" s="23">
        <f>IFERROR(INDEX(Jobs!$K$5:$K$604,MATCH(26,Jobs!$AT$5:$AT$604,0)),"")</f>
        <v>0</v>
      </c>
      <c r="F56" s="23">
        <f>IFERROR(INDEX(Jobs!$M$5:$M$604,MATCH(26,Jobs!$AT$5:$AT$604,0)),"")</f>
        <v>0</v>
      </c>
      <c r="G56" s="23">
        <f>IFERROR(INDEX(Jobs!$R$5:$R$604,MATCH(26,Jobs!$AT$5:$AT$604,0)),"")</f>
        <v>0</v>
      </c>
      <c r="H56" s="34">
        <f>IFERROR(INDEX(Jobs!$AF$5:$AF$604,MATCH(26,Jobs!$AT$5:$AT$604,0)),"")</f>
        <v>0</v>
      </c>
      <c r="I56" s="21">
        <f>IFERROR(INDEX(Jobs!$AJ$5:$AJ$604,MATCH(26,Jobs!$AT$5:$AT$604,0)),"")</f>
        <v>0</v>
      </c>
      <c r="J56" s="39">
        <f>IFERROR(INDEX(Jobs!$P$5:$P$604,MATCH(26,Jobs!$AT$5:$AT$604,0)),"")</f>
        <v>0</v>
      </c>
      <c r="K56" s="39">
        <f>IFERROR(INDEX(Jobs!$AX$5:$AX$604,MATCH(26,Jobs!$AT$5:$AT$604,0)),"")</f>
        <v>0</v>
      </c>
    </row>
    <row r="57" spans="1:11">
      <c r="A57" s="18">
        <f>IFERROR(INDEX(Jobs!$B$5:$B$604,MATCH(27,Jobs!$AT$5:$AT$604,0)),"")</f>
        <v>0</v>
      </c>
      <c r="B57" s="23">
        <f>IFERROR(INDEX(Jobs!$C$5:$C$604,MATCH(27,Jobs!$AT$5:$AT$604,0)),"")</f>
        <v>0</v>
      </c>
      <c r="C57" s="53">
        <f>IFERROR(INDEX(Jobs!$F$5:$F$604,MATCH(27,Jobs!$AT$5:$AT$604,0)),"")</f>
        <v>0</v>
      </c>
      <c r="D57" s="23">
        <f>IFERROR(INDEX(Jobs!$H$5:$H$604,MATCH(27,Jobs!$AT$5:$AT$604,0)),"")</f>
        <v>0</v>
      </c>
      <c r="E57" s="23">
        <f>IFERROR(INDEX(Jobs!$K$5:$K$604,MATCH(27,Jobs!$AT$5:$AT$604,0)),"")</f>
        <v>0</v>
      </c>
      <c r="F57" s="23">
        <f>IFERROR(INDEX(Jobs!$M$5:$M$604,MATCH(27,Jobs!$AT$5:$AT$604,0)),"")</f>
        <v>0</v>
      </c>
      <c r="G57" s="23">
        <f>IFERROR(INDEX(Jobs!$R$5:$R$604,MATCH(27,Jobs!$AT$5:$AT$604,0)),"")</f>
        <v>0</v>
      </c>
      <c r="H57" s="34">
        <f>IFERROR(INDEX(Jobs!$AF$5:$AF$604,MATCH(27,Jobs!$AT$5:$AT$604,0)),"")</f>
        <v>0</v>
      </c>
      <c r="I57" s="21">
        <f>IFERROR(INDEX(Jobs!$AJ$5:$AJ$604,MATCH(27,Jobs!$AT$5:$AT$604,0)),"")</f>
        <v>0</v>
      </c>
      <c r="J57" s="39">
        <f>IFERROR(INDEX(Jobs!$P$5:$P$604,MATCH(27,Jobs!$AT$5:$AT$604,0)),"")</f>
        <v>0</v>
      </c>
      <c r="K57" s="39">
        <f>IFERROR(INDEX(Jobs!$AX$5:$AX$604,MATCH(27,Jobs!$AT$5:$AT$604,0)),"")</f>
        <v>0</v>
      </c>
    </row>
    <row r="58" spans="1:11">
      <c r="A58" s="18">
        <f>IFERROR(INDEX(Jobs!$B$5:$B$604,MATCH(28,Jobs!$AT$5:$AT$604,0)),"")</f>
        <v>0</v>
      </c>
      <c r="B58" s="23">
        <f>IFERROR(INDEX(Jobs!$C$5:$C$604,MATCH(28,Jobs!$AT$5:$AT$604,0)),"")</f>
        <v>0</v>
      </c>
      <c r="C58" s="53">
        <f>IFERROR(INDEX(Jobs!$F$5:$F$604,MATCH(28,Jobs!$AT$5:$AT$604,0)),"")</f>
        <v>0</v>
      </c>
      <c r="D58" s="23">
        <f>IFERROR(INDEX(Jobs!$H$5:$H$604,MATCH(28,Jobs!$AT$5:$AT$604,0)),"")</f>
        <v>0</v>
      </c>
      <c r="E58" s="23">
        <f>IFERROR(INDEX(Jobs!$K$5:$K$604,MATCH(28,Jobs!$AT$5:$AT$604,0)),"")</f>
        <v>0</v>
      </c>
      <c r="F58" s="23">
        <f>IFERROR(INDEX(Jobs!$M$5:$M$604,MATCH(28,Jobs!$AT$5:$AT$604,0)),"")</f>
        <v>0</v>
      </c>
      <c r="G58" s="23">
        <f>IFERROR(INDEX(Jobs!$R$5:$R$604,MATCH(28,Jobs!$AT$5:$AT$604,0)),"")</f>
        <v>0</v>
      </c>
      <c r="H58" s="34">
        <f>IFERROR(INDEX(Jobs!$AF$5:$AF$604,MATCH(28,Jobs!$AT$5:$AT$604,0)),"")</f>
        <v>0</v>
      </c>
      <c r="I58" s="21">
        <f>IFERROR(INDEX(Jobs!$AJ$5:$AJ$604,MATCH(28,Jobs!$AT$5:$AT$604,0)),"")</f>
        <v>0</v>
      </c>
      <c r="J58" s="39">
        <f>IFERROR(INDEX(Jobs!$P$5:$P$604,MATCH(28,Jobs!$AT$5:$AT$604,0)),"")</f>
        <v>0</v>
      </c>
      <c r="K58" s="39">
        <f>IFERROR(INDEX(Jobs!$AX$5:$AX$604,MATCH(28,Jobs!$AT$5:$AT$604,0)),"")</f>
        <v>0</v>
      </c>
    </row>
    <row r="59" spans="1:11">
      <c r="A59" s="18">
        <f>IFERROR(INDEX(Jobs!$B$5:$B$604,MATCH(29,Jobs!$AT$5:$AT$604,0)),"")</f>
        <v>0</v>
      </c>
      <c r="B59" s="23">
        <f>IFERROR(INDEX(Jobs!$C$5:$C$604,MATCH(29,Jobs!$AT$5:$AT$604,0)),"")</f>
        <v>0</v>
      </c>
      <c r="C59" s="53">
        <f>IFERROR(INDEX(Jobs!$F$5:$F$604,MATCH(29,Jobs!$AT$5:$AT$604,0)),"")</f>
        <v>0</v>
      </c>
      <c r="D59" s="23">
        <f>IFERROR(INDEX(Jobs!$H$5:$H$604,MATCH(29,Jobs!$AT$5:$AT$604,0)),"")</f>
        <v>0</v>
      </c>
      <c r="E59" s="23">
        <f>IFERROR(INDEX(Jobs!$K$5:$K$604,MATCH(29,Jobs!$AT$5:$AT$604,0)),"")</f>
        <v>0</v>
      </c>
      <c r="F59" s="23">
        <f>IFERROR(INDEX(Jobs!$M$5:$M$604,MATCH(29,Jobs!$AT$5:$AT$604,0)),"")</f>
        <v>0</v>
      </c>
      <c r="G59" s="23">
        <f>IFERROR(INDEX(Jobs!$R$5:$R$604,MATCH(29,Jobs!$AT$5:$AT$604,0)),"")</f>
        <v>0</v>
      </c>
      <c r="H59" s="34">
        <f>IFERROR(INDEX(Jobs!$AF$5:$AF$604,MATCH(29,Jobs!$AT$5:$AT$604,0)),"")</f>
        <v>0</v>
      </c>
      <c r="I59" s="21">
        <f>IFERROR(INDEX(Jobs!$AJ$5:$AJ$604,MATCH(29,Jobs!$AT$5:$AT$604,0)),"")</f>
        <v>0</v>
      </c>
      <c r="J59" s="39">
        <f>IFERROR(INDEX(Jobs!$P$5:$P$604,MATCH(29,Jobs!$AT$5:$AT$604,0)),"")</f>
        <v>0</v>
      </c>
      <c r="K59" s="39">
        <f>IFERROR(INDEX(Jobs!$AX$5:$AX$604,MATCH(29,Jobs!$AT$5:$AT$604,0)),"")</f>
        <v>0</v>
      </c>
    </row>
    <row r="60" spans="1:11">
      <c r="A60" s="18">
        <f>IFERROR(INDEX(Jobs!$B$5:$B$604,MATCH(30,Jobs!$AT$5:$AT$604,0)),"")</f>
        <v>0</v>
      </c>
      <c r="B60" s="23">
        <f>IFERROR(INDEX(Jobs!$C$5:$C$604,MATCH(30,Jobs!$AT$5:$AT$604,0)),"")</f>
        <v>0</v>
      </c>
      <c r="C60" s="53">
        <f>IFERROR(INDEX(Jobs!$F$5:$F$604,MATCH(30,Jobs!$AT$5:$AT$604,0)),"")</f>
        <v>0</v>
      </c>
      <c r="D60" s="23">
        <f>IFERROR(INDEX(Jobs!$H$5:$H$604,MATCH(30,Jobs!$AT$5:$AT$604,0)),"")</f>
        <v>0</v>
      </c>
      <c r="E60" s="23">
        <f>IFERROR(INDEX(Jobs!$K$5:$K$604,MATCH(30,Jobs!$AT$5:$AT$604,0)),"")</f>
        <v>0</v>
      </c>
      <c r="F60" s="23">
        <f>IFERROR(INDEX(Jobs!$M$5:$M$604,MATCH(30,Jobs!$AT$5:$AT$604,0)),"")</f>
        <v>0</v>
      </c>
      <c r="G60" s="23">
        <f>IFERROR(INDEX(Jobs!$R$5:$R$604,MATCH(30,Jobs!$AT$5:$AT$604,0)),"")</f>
        <v>0</v>
      </c>
      <c r="H60" s="34">
        <f>IFERROR(INDEX(Jobs!$AF$5:$AF$604,MATCH(30,Jobs!$AT$5:$AT$604,0)),"")</f>
        <v>0</v>
      </c>
      <c r="I60" s="21">
        <f>IFERROR(INDEX(Jobs!$AJ$5:$AJ$604,MATCH(30,Jobs!$AT$5:$AT$604,0)),"")</f>
        <v>0</v>
      </c>
      <c r="J60" s="39">
        <f>IFERROR(INDEX(Jobs!$P$5:$P$604,MATCH(30,Jobs!$AT$5:$AT$604,0)),"")</f>
        <v>0</v>
      </c>
      <c r="K60" s="39">
        <f>IFERROR(INDEX(Jobs!$AX$5:$AX$604,MATCH(30,Jobs!$AT$5:$AT$604,0)),"")</f>
        <v>0</v>
      </c>
    </row>
    <row r="62" spans="1:11" ht="30" customHeight="1">
      <c r="A62" s="6" t="s">
        <v>1230</v>
      </c>
      <c r="B62" s="6"/>
      <c r="C62" s="6"/>
      <c r="D62" s="6"/>
      <c r="E62" s="6"/>
      <c r="F62" s="6"/>
      <c r="G62" s="6"/>
      <c r="H62" s="6"/>
      <c r="I62" s="6"/>
      <c r="J62" s="6"/>
      <c r="K62" s="6"/>
    </row>
    <row r="64" spans="1:11" ht="44" customHeight="1">
      <c r="A64" s="6" t="s">
        <v>1231</v>
      </c>
      <c r="B64" s="6"/>
      <c r="C64" s="6"/>
      <c r="D64" s="6"/>
      <c r="E64" s="6"/>
      <c r="F64" s="6"/>
      <c r="G64" s="6"/>
      <c r="H64" s="6"/>
      <c r="I64" s="6"/>
      <c r="J64" s="6"/>
      <c r="K64" s="6"/>
    </row>
  </sheetData>
  <sheetProtection password="EC7C" sheet="1" objects="1" scenarios="1" formatCells="0" formatColumns="0" formatRows="0" insertRows="0" insertHyperlinks="0" deleteRows="0" autoFilter="0"/>
  <mergeCells count="14">
    <mergeCell ref="A1:H1"/>
    <mergeCell ref="I1:K1"/>
    <mergeCell ref="A2:K2"/>
    <mergeCell ref="A3:B3"/>
    <mergeCell ref="C3:D3"/>
    <mergeCell ref="E3:F3"/>
    <mergeCell ref="G3:H3"/>
    <mergeCell ref="I3:J3"/>
    <mergeCell ref="D5:E5"/>
    <mergeCell ref="A6:K6"/>
    <mergeCell ref="A8:K8"/>
    <mergeCell ref="A29:K29"/>
    <mergeCell ref="A62:K62"/>
    <mergeCell ref="A64:K64"/>
  </mergeCells>
  <conditionalFormatting sqref="B10:H27">
    <cfRule type="containsText" dxfId="3" priority="43" operator="containsText" text="jobs">
      <formula>NOT(ISERROR(SEARCH("jobs",B10)))</formula>
    </cfRule>
  </conditionalFormatting>
  <conditionalFormatting sqref="B12">
    <cfRule type="cellIs" dxfId="1" priority="1" operator="greaterThan">
      <formula>0</formula>
    </cfRule>
  </conditionalFormatting>
  <conditionalFormatting sqref="B15">
    <cfRule type="cellIs" dxfId="1" priority="8" operator="greaterThan">
      <formula>0</formula>
    </cfRule>
  </conditionalFormatting>
  <conditionalFormatting sqref="B18">
    <cfRule type="cellIs" dxfId="1" priority="15" operator="greaterThan">
      <formula>0</formula>
    </cfRule>
  </conditionalFormatting>
  <conditionalFormatting sqref="B21">
    <cfRule type="cellIs" dxfId="1" priority="22" operator="greaterThan">
      <formula>0</formula>
    </cfRule>
  </conditionalFormatting>
  <conditionalFormatting sqref="B24">
    <cfRule type="cellIs" dxfId="1" priority="29" operator="greaterThan">
      <formula>0</formula>
    </cfRule>
  </conditionalFormatting>
  <conditionalFormatting sqref="B27">
    <cfRule type="cellIs" dxfId="1" priority="36" operator="greaterThan">
      <formula>0</formula>
    </cfRule>
  </conditionalFormatting>
  <conditionalFormatting sqref="C12">
    <cfRule type="cellIs" dxfId="1" priority="2" operator="greaterThan">
      <formula>0</formula>
    </cfRule>
  </conditionalFormatting>
  <conditionalFormatting sqref="C15">
    <cfRule type="cellIs" dxfId="1" priority="9" operator="greaterThan">
      <formula>0</formula>
    </cfRule>
  </conditionalFormatting>
  <conditionalFormatting sqref="C18">
    <cfRule type="cellIs" dxfId="1" priority="16" operator="greaterThan">
      <formula>0</formula>
    </cfRule>
  </conditionalFormatting>
  <conditionalFormatting sqref="C21">
    <cfRule type="cellIs" dxfId="1" priority="23" operator="greaterThan">
      <formula>0</formula>
    </cfRule>
  </conditionalFormatting>
  <conditionalFormatting sqref="C24">
    <cfRule type="cellIs" dxfId="1" priority="30" operator="greaterThan">
      <formula>0</formula>
    </cfRule>
  </conditionalFormatting>
  <conditionalFormatting sqref="C27">
    <cfRule type="cellIs" dxfId="1" priority="37" operator="greaterThan">
      <formula>0</formula>
    </cfRule>
  </conditionalFormatting>
  <conditionalFormatting sqref="D12">
    <cfRule type="cellIs" dxfId="1" priority="3" operator="greaterThan">
      <formula>0</formula>
    </cfRule>
  </conditionalFormatting>
  <conditionalFormatting sqref="D15">
    <cfRule type="cellIs" dxfId="1" priority="10" operator="greaterThan">
      <formula>0</formula>
    </cfRule>
  </conditionalFormatting>
  <conditionalFormatting sqref="D18">
    <cfRule type="cellIs" dxfId="1" priority="17" operator="greaterThan">
      <formula>0</formula>
    </cfRule>
  </conditionalFormatting>
  <conditionalFormatting sqref="D21">
    <cfRule type="cellIs" dxfId="1" priority="24" operator="greaterThan">
      <formula>0</formula>
    </cfRule>
  </conditionalFormatting>
  <conditionalFormatting sqref="D24">
    <cfRule type="cellIs" dxfId="1" priority="31" operator="greaterThan">
      <formula>0</formula>
    </cfRule>
  </conditionalFormatting>
  <conditionalFormatting sqref="D27">
    <cfRule type="cellIs" dxfId="1" priority="38" operator="greaterThan">
      <formula>0</formula>
    </cfRule>
  </conditionalFormatting>
  <conditionalFormatting sqref="E12">
    <cfRule type="cellIs" dxfId="1" priority="4" operator="greaterThan">
      <formula>0</formula>
    </cfRule>
  </conditionalFormatting>
  <conditionalFormatting sqref="E15">
    <cfRule type="cellIs" dxfId="1" priority="11" operator="greaterThan">
      <formula>0</formula>
    </cfRule>
  </conditionalFormatting>
  <conditionalFormatting sqref="E18">
    <cfRule type="cellIs" dxfId="1" priority="18" operator="greaterThan">
      <formula>0</formula>
    </cfRule>
  </conditionalFormatting>
  <conditionalFormatting sqref="E21">
    <cfRule type="cellIs" dxfId="1" priority="25" operator="greaterThan">
      <formula>0</formula>
    </cfRule>
  </conditionalFormatting>
  <conditionalFormatting sqref="E24">
    <cfRule type="cellIs" dxfId="1" priority="32" operator="greaterThan">
      <formula>0</formula>
    </cfRule>
  </conditionalFormatting>
  <conditionalFormatting sqref="E27">
    <cfRule type="cellIs" dxfId="1" priority="39" operator="greaterThan">
      <formula>0</formula>
    </cfRule>
  </conditionalFormatting>
  <conditionalFormatting sqref="F12">
    <cfRule type="cellIs" dxfId="1" priority="5" operator="greaterThan">
      <formula>0</formula>
    </cfRule>
  </conditionalFormatting>
  <conditionalFormatting sqref="F15">
    <cfRule type="cellIs" dxfId="1" priority="12" operator="greaterThan">
      <formula>0</formula>
    </cfRule>
  </conditionalFormatting>
  <conditionalFormatting sqref="F18">
    <cfRule type="cellIs" dxfId="1" priority="19" operator="greaterThan">
      <formula>0</formula>
    </cfRule>
  </conditionalFormatting>
  <conditionalFormatting sqref="F21">
    <cfRule type="cellIs" dxfId="1" priority="26" operator="greaterThan">
      <formula>0</formula>
    </cfRule>
  </conditionalFormatting>
  <conditionalFormatting sqref="F24">
    <cfRule type="cellIs" dxfId="1" priority="33" operator="greaterThan">
      <formula>0</formula>
    </cfRule>
  </conditionalFormatting>
  <conditionalFormatting sqref="F27">
    <cfRule type="cellIs" dxfId="1" priority="40" operator="greaterThan">
      <formula>0</formula>
    </cfRule>
  </conditionalFormatting>
  <conditionalFormatting sqref="G12">
    <cfRule type="cellIs" dxfId="1" priority="6" operator="greaterThan">
      <formula>0</formula>
    </cfRule>
  </conditionalFormatting>
  <conditionalFormatting sqref="G15">
    <cfRule type="cellIs" dxfId="1" priority="13" operator="greaterThan">
      <formula>0</formula>
    </cfRule>
  </conditionalFormatting>
  <conditionalFormatting sqref="G18">
    <cfRule type="cellIs" dxfId="1" priority="20" operator="greaterThan">
      <formula>0</formula>
    </cfRule>
  </conditionalFormatting>
  <conditionalFormatting sqref="G21">
    <cfRule type="cellIs" dxfId="1" priority="27" operator="greaterThan">
      <formula>0</formula>
    </cfRule>
  </conditionalFormatting>
  <conditionalFormatting sqref="G24">
    <cfRule type="cellIs" dxfId="1" priority="34" operator="greaterThan">
      <formula>0</formula>
    </cfRule>
  </conditionalFormatting>
  <conditionalFormatting sqref="G27">
    <cfRule type="cellIs" dxfId="1" priority="41" operator="greaterThan">
      <formula>0</formula>
    </cfRule>
  </conditionalFormatting>
  <conditionalFormatting sqref="H12">
    <cfRule type="cellIs" dxfId="1" priority="7" operator="greaterThan">
      <formula>0</formula>
    </cfRule>
  </conditionalFormatting>
  <conditionalFormatting sqref="H15">
    <cfRule type="cellIs" dxfId="1" priority="14" operator="greaterThan">
      <formula>0</formula>
    </cfRule>
  </conditionalFormatting>
  <conditionalFormatting sqref="H18">
    <cfRule type="cellIs" dxfId="1" priority="21" operator="greaterThan">
      <formula>0</formula>
    </cfRule>
  </conditionalFormatting>
  <conditionalFormatting sqref="H21">
    <cfRule type="cellIs" dxfId="1" priority="28" operator="greaterThan">
      <formula>0</formula>
    </cfRule>
  </conditionalFormatting>
  <conditionalFormatting sqref="H24">
    <cfRule type="cellIs" dxfId="1" priority="35" operator="greaterThan">
      <formula>0</formula>
    </cfRule>
  </conditionalFormatting>
  <conditionalFormatting sqref="H27">
    <cfRule type="cellIs" dxfId="1" priority="42" operator="greaterThan">
      <formula>0</formula>
    </cfRule>
  </conditionalFormatting>
  <conditionalFormatting sqref="I31:I60">
    <cfRule type="dataBar" priority="53">
      <dataBar>
        <cfvo type="min" val="0"/>
        <cfvo type="max" val="0"/>
        <color rgb="FFE8A33D"/>
      </dataBar>
    </cfRule>
  </conditionalFormatting>
  <conditionalFormatting sqref="J31:J60">
    <cfRule type="containsText" dxfId="1" priority="44" operator="containsText" text="Completed">
      <formula>NOT(ISERROR(SEARCH("Completed",J31)))</formula>
    </cfRule>
    <cfRule type="containsText" dxfId="3" priority="45" operator="containsText" text="Confirmed">
      <formula>NOT(ISERROR(SEARCH("Confirmed",J31)))</formula>
    </cfRule>
    <cfRule type="containsText" dxfId="3" priority="46" operator="containsText" text="Booked">
      <formula>NOT(ISERROR(SEARCH("Booked",J31)))</formula>
    </cfRule>
    <cfRule type="containsText" dxfId="0" priority="47" operator="containsText" text="Enquiry">
      <formula>NOT(ISERROR(SEARCH("Enquiry",J31)))</formula>
    </cfRule>
  </conditionalFormatting>
  <conditionalFormatting sqref="K31:K60">
    <cfRule type="containsText" dxfId="0" priority="48" operator="containsText" text="Assign">
      <formula>NOT(ISERROR(SEARCH("Assign",K31)))</formula>
    </cfRule>
    <cfRule type="containsText" dxfId="0" priority="49" operator="containsText" text="Confirm">
      <formula>NOT(ISERROR(SEARCH("Confirm",K31)))</formula>
    </cfRule>
    <cfRule type="containsText" dxfId="2" priority="50" operator="containsText" text="Overdue">
      <formula>NOT(ISERROR(SEARCH("Overdue",K31)))</formula>
    </cfRule>
    <cfRule type="containsText" dxfId="2" priority="51" operator="containsText" text="Late">
      <formula>NOT(ISERROR(SEARCH("Late",K31)))</formula>
    </cfRule>
    <cfRule type="containsText" dxfId="1" priority="52" operator="containsText" text="OK">
      <formula>NOT(ISERROR(SEARCH("OK",K31)))</formula>
    </cfRule>
  </conditionalFormatting>
  <dataValidations count="1">
    <dataValidation type="date" allowBlank="1" showInputMessage="1" showErrorMessage="1" errorTitle="Check the date" error="Enter a real date between 2000 and 2100." sqref="B5">
      <formula1>36526</formula1>
      <formula2>73415</formula2>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s>
  <pageMargins left="0.4" right="0.4" top="0.6" bottom="0.5" header="0.3" footer="0.3"/>
  <pageSetup paperSize="9" fitToHeight="0" orientation="landscape"/>
  <headerFooter>
    <oddHeader>&amp;L&amp;"Calibri,Bold"&amp;12&amp;C&amp;"Calibri,Bold"&amp;11Calendar&amp;R&amp;"Calibri,Italic"&amp;9Cleaning Business CRM &amp; Pricing Calculator</oddHeader>
    <oddFooter>&amp;L&amp;"Calibri,Italic"&amp;8Novality Store - v1.0.0&amp;C&amp;"Calibri,Italic"&amp;8Page &amp;P of &amp;N&amp;R&amp;"Calibri,Italic"&amp;8&amp;D</oddFooter>
  </headerFooter>
</worksheet>
</file>

<file path=xl/worksheets/sheet14.xml><?xml version="1.0" encoding="utf-8"?>
<worksheet xmlns="http://schemas.openxmlformats.org/spreadsheetml/2006/main" xmlns:r="http://schemas.openxmlformats.org/officeDocument/2006/relationships">
  <sheetPr>
    <tabColor rgb="FF2F8F9D"/>
    <pageSetUpPr fitToPage="1"/>
  </sheetPr>
  <dimension ref="A1:X4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24.7109375" style="15" customWidth="1"/>
    <col min="3" max="3" width="13.7109375" style="49" customWidth="1"/>
    <col min="4" max="4" width="18.7109375" style="15" customWidth="1"/>
    <col min="5" max="5" width="7.7109375" style="16" customWidth="1"/>
    <col min="6" max="6" width="40.7109375" style="15" customWidth="1"/>
    <col min="7" max="7" width="36.7109375" style="44" customWidth="1"/>
    <col min="8" max="8" width="9.7109375" style="16" customWidth="1"/>
    <col min="9" max="9" width="14.7109375" style="15" customWidth="1"/>
    <col min="10" max="10" width="9.7109375" style="47" customWidth="1"/>
    <col min="11" max="11" width="10.7109375" style="47" customWidth="1"/>
    <col min="12" max="12" width="22.7109375" style="15" customWidth="1"/>
    <col min="13" max="13" width="8.7109375" style="47" customWidth="1"/>
    <col min="14" max="14" width="30.7109375" style="44" customWidth="1"/>
    <col min="15" max="15" width="8.7109375" style="34" hidden="1" customWidth="1"/>
    <col min="16" max="16" width="12.7109375" style="34" customWidth="1"/>
    <col min="17" max="17" width="11.7109375" style="34" hidden="1" customWidth="1"/>
    <col min="18" max="18" width="11.7109375" style="31" customWidth="1"/>
    <col min="19" max="19" width="11.7109375" style="31" customWidth="1"/>
    <col min="20" max="20" width="10.7109375" style="31" customWidth="1"/>
    <col min="21" max="21" width="13.7109375" style="39" hidden="1" customWidth="1"/>
    <col min="22" max="22" width="9.7109375" style="31" hidden="1" customWidth="1"/>
    <col min="23" max="23" width="12.7109375" style="23" hidden="1" customWidth="1"/>
    <col min="24" max="24" width="26.7109375" style="39" customWidth="1"/>
  </cols>
  <sheetData>
    <row r="1" spans="1:24" ht="34" customHeight="1">
      <c r="A1" s="2" t="s">
        <v>43</v>
      </c>
      <c r="B1" s="2"/>
      <c r="C1" s="2"/>
      <c r="D1" s="2"/>
      <c r="E1" s="2"/>
      <c r="F1" s="2"/>
      <c r="G1" s="2"/>
      <c r="H1" s="2"/>
      <c r="I1" s="2"/>
      <c r="J1" s="2"/>
      <c r="K1" s="2"/>
      <c r="L1" s="2"/>
      <c r="M1" s="2"/>
      <c r="N1" s="2"/>
      <c r="O1" s="2"/>
      <c r="P1" s="2"/>
      <c r="Q1" s="2"/>
      <c r="R1" s="2"/>
      <c r="S1" s="2"/>
      <c r="T1" s="2"/>
      <c r="U1" s="2"/>
      <c r="V1" s="3" t="s">
        <v>1</v>
      </c>
      <c r="W1" s="3"/>
      <c r="X1" s="3"/>
    </row>
    <row r="2" spans="1:24" ht="18" customHeight="1">
      <c r="A2" s="4" t="s">
        <v>1232</v>
      </c>
      <c r="B2" s="4"/>
      <c r="C2" s="4"/>
      <c r="D2" s="4"/>
      <c r="E2" s="4"/>
      <c r="F2" s="4"/>
      <c r="G2" s="4"/>
      <c r="H2" s="4"/>
      <c r="I2" s="4"/>
      <c r="J2" s="4"/>
      <c r="K2" s="4"/>
      <c r="L2" s="4"/>
      <c r="M2" s="4"/>
      <c r="N2" s="4"/>
      <c r="O2" s="4"/>
      <c r="P2" s="4"/>
      <c r="Q2" s="4"/>
      <c r="R2" s="4"/>
      <c r="S2" s="4"/>
      <c r="T2" s="4"/>
      <c r="U2" s="4"/>
      <c r="V2" s="4"/>
      <c r="W2" s="4"/>
      <c r="X2" s="4"/>
    </row>
    <row r="3" spans="1:24"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1233</v>
      </c>
      <c r="T3" s="48"/>
      <c r="U3" s="48"/>
      <c r="V3" s="48"/>
      <c r="W3" s="48"/>
      <c r="X3" s="48"/>
    </row>
    <row r="4" spans="1:24" ht="30" customHeight="1">
      <c r="A4" s="8" t="s">
        <v>545</v>
      </c>
      <c r="B4" s="8" t="s">
        <v>1234</v>
      </c>
      <c r="C4" s="9" t="s">
        <v>1235</v>
      </c>
      <c r="D4" s="9" t="s">
        <v>1170</v>
      </c>
      <c r="E4" s="9" t="s">
        <v>1236</v>
      </c>
      <c r="F4" s="9" t="s">
        <v>1171</v>
      </c>
      <c r="G4" s="9" t="s">
        <v>1237</v>
      </c>
      <c r="H4" s="9" t="s">
        <v>1238</v>
      </c>
      <c r="I4" s="9" t="s">
        <v>450</v>
      </c>
      <c r="J4" s="9" t="s">
        <v>1178</v>
      </c>
      <c r="K4" s="9" t="s">
        <v>1239</v>
      </c>
      <c r="L4" s="9" t="s">
        <v>1240</v>
      </c>
      <c r="M4" s="9" t="s">
        <v>1241</v>
      </c>
      <c r="N4" s="9" t="s">
        <v>421</v>
      </c>
      <c r="O4" s="9" t="s">
        <v>1077</v>
      </c>
      <c r="P4" s="9" t="s">
        <v>1242</v>
      </c>
      <c r="Q4" s="9" t="s">
        <v>1243</v>
      </c>
      <c r="R4" s="9" t="s">
        <v>1244</v>
      </c>
      <c r="S4" s="9" t="s">
        <v>1245</v>
      </c>
      <c r="T4" s="9" t="s">
        <v>1246</v>
      </c>
      <c r="U4" s="9" t="s">
        <v>1247</v>
      </c>
      <c r="V4" s="9" t="s">
        <v>1081</v>
      </c>
      <c r="W4" s="9" t="s">
        <v>1082</v>
      </c>
      <c r="X4" s="9" t="s">
        <v>970</v>
      </c>
    </row>
    <row r="5" spans="1:24">
      <c r="A5" s="43">
        <f>IF(F5="","","CHK-"&amp;TEXT(ROW()-4,"0000"))</f>
        <v>0</v>
      </c>
      <c r="B5" s="15" t="s">
        <v>437</v>
      </c>
      <c r="C5" s="49" t="s">
        <v>172</v>
      </c>
      <c r="D5" s="15" t="s">
        <v>1183</v>
      </c>
      <c r="E5" s="16">
        <v>1</v>
      </c>
      <c r="F5" s="15" t="s">
        <v>1184</v>
      </c>
      <c r="G5" s="44" t="s">
        <v>1248</v>
      </c>
      <c r="H5" s="16">
        <v>10</v>
      </c>
      <c r="I5" s="15" t="s">
        <v>1249</v>
      </c>
      <c r="J5" s="47" t="s">
        <v>454</v>
      </c>
      <c r="K5" s="47" t="s">
        <v>457</v>
      </c>
      <c r="L5" s="15" t="s">
        <v>172</v>
      </c>
      <c r="M5" s="47" t="s">
        <v>454</v>
      </c>
      <c r="N5" s="44" t="s">
        <v>172</v>
      </c>
      <c r="O5" s="34">
        <f>IF(F5="","",ROUND(IF(H5="",0,H5)/60,2))</f>
        <v>0</v>
      </c>
      <c r="P5" s="34">
        <f>IF(B5="","",ROUND(SUMIFS($H$5:$H$404,$B$5:$B$404,B5,$M$5:$M$404,"Yes")/60,2))</f>
        <v>0</v>
      </c>
      <c r="Q5" s="34">
        <f>IF(B5="","",IFERROR(INDEX(Services!$G$5:$G$64,MATCH(B5,Services!$B$5:$B$64,0)),""))</f>
        <v>0</v>
      </c>
      <c r="R5" s="31">
        <f>IF(F5="","",COUNTIFS('Job Tasks'!$G$5:$G$904,F5,'Job Tasks'!$H$5:$H$904,"Done"))</f>
        <v>0</v>
      </c>
      <c r="S5" s="31">
        <f>IF(F5="","",COUNTIFS('Job Tasks'!$G$5:$G$904,F5,'Job Tasks'!$H$5:$H$904,"Skipped"))</f>
        <v>0</v>
      </c>
      <c r="T5" s="31">
        <f>IF(F5="","",COUNTIFS('Job Tasks'!$G$5:$G$904,F5,'Job Tasks'!$H$5:$H$904,"Issue found"))</f>
        <v>0</v>
      </c>
      <c r="U5" s="39">
        <f>IF(F5="","",IF(R5+S5=0,"New",IF(S5/(R5+S5)&gt;0.25,"Often skipped","Working")))</f>
        <v>0</v>
      </c>
      <c r="V5" s="31">
        <f>IF(OR(B5="",F5=""),"",COUNTIFS($B$5:B5,B5))</f>
        <v>0</v>
      </c>
      <c r="W5" s="23">
        <f>IF(V5="","",B5&amp;"|"&amp;V5)</f>
        <v>0</v>
      </c>
      <c r="X5" s="39">
        <f>IF(F5="","",IF(B5="","Add - which service?",IF(H5="","Add - how many minutes?",IF(AND(Q5&lt;&gt;"",P5&gt;Q5+0.25),"Check - checklist is longer than the service allows",IF(S5&gt;=3,"Check - often skipped","OK")))))</f>
        <v>0</v>
      </c>
    </row>
    <row r="6" spans="1:24">
      <c r="A6" s="43">
        <f>IF(F6="","","CHK-"&amp;TEXT(ROW()-4,"0000"))</f>
        <v>0</v>
      </c>
      <c r="B6" s="15" t="s">
        <v>437</v>
      </c>
      <c r="C6" s="49" t="s">
        <v>172</v>
      </c>
      <c r="D6" s="15" t="s">
        <v>1183</v>
      </c>
      <c r="E6" s="16">
        <v>2</v>
      </c>
      <c r="F6" s="15" t="s">
        <v>1187</v>
      </c>
      <c r="G6" s="44" t="s">
        <v>1250</v>
      </c>
      <c r="H6" s="16">
        <v>8</v>
      </c>
      <c r="I6" s="15" t="s">
        <v>1249</v>
      </c>
      <c r="J6" s="47" t="s">
        <v>454</v>
      </c>
      <c r="K6" s="47" t="s">
        <v>457</v>
      </c>
      <c r="L6" s="15" t="s">
        <v>172</v>
      </c>
      <c r="M6" s="47" t="s">
        <v>454</v>
      </c>
      <c r="N6" s="44" t="s">
        <v>172</v>
      </c>
      <c r="O6" s="34">
        <f>IF(F6="","",ROUND(IF(H6="",0,H6)/60,2))</f>
        <v>0</v>
      </c>
      <c r="P6" s="34">
        <f>IF(B6="","",ROUND(SUMIFS($H$5:$H$404,$B$5:$B$404,B6,$M$5:$M$404,"Yes")/60,2))</f>
        <v>0</v>
      </c>
      <c r="Q6" s="34">
        <f>IF(B6="","",IFERROR(INDEX(Services!$G$5:$G$64,MATCH(B6,Services!$B$5:$B$64,0)),""))</f>
        <v>0</v>
      </c>
      <c r="R6" s="31">
        <f>IF(F6="","",COUNTIFS('Job Tasks'!$G$5:$G$904,F6,'Job Tasks'!$H$5:$H$904,"Done"))</f>
        <v>0</v>
      </c>
      <c r="S6" s="31">
        <f>IF(F6="","",COUNTIFS('Job Tasks'!$G$5:$G$904,F6,'Job Tasks'!$H$5:$H$904,"Skipped"))</f>
        <v>0</v>
      </c>
      <c r="T6" s="31">
        <f>IF(F6="","",COUNTIFS('Job Tasks'!$G$5:$G$904,F6,'Job Tasks'!$H$5:$H$904,"Issue found"))</f>
        <v>0</v>
      </c>
      <c r="U6" s="39">
        <f>IF(F6="","",IF(R6+S6=0,"New",IF(S6/(R6+S6)&gt;0.25,"Often skipped","Working")))</f>
        <v>0</v>
      </c>
      <c r="V6" s="31">
        <f>IF(OR(B6="",F6=""),"",COUNTIFS($B$5:B6,B6))</f>
        <v>0</v>
      </c>
      <c r="W6" s="23">
        <f>IF(V6="","",B6&amp;"|"&amp;V6)</f>
        <v>0</v>
      </c>
      <c r="X6" s="39">
        <f>IF(F6="","",IF(B6="","Add - which service?",IF(H6="","Add - how many minutes?",IF(AND(Q6&lt;&gt;"",P6&gt;Q6+0.25),"Check - checklist is longer than the service allows",IF(S6&gt;=3,"Check - often skipped","OK")))))</f>
        <v>0</v>
      </c>
    </row>
    <row r="7" spans="1:24">
      <c r="A7" s="43">
        <f>IF(F7="","","CHK-"&amp;TEXT(ROW()-4,"0000"))</f>
        <v>0</v>
      </c>
      <c r="B7" s="15" t="s">
        <v>437</v>
      </c>
      <c r="C7" s="49" t="s">
        <v>172</v>
      </c>
      <c r="D7" s="15" t="s">
        <v>1183</v>
      </c>
      <c r="E7" s="16">
        <v>3</v>
      </c>
      <c r="F7" s="15" t="s">
        <v>1188</v>
      </c>
      <c r="G7" s="44" t="s">
        <v>1251</v>
      </c>
      <c r="H7" s="16">
        <v>10</v>
      </c>
      <c r="I7" s="15" t="s">
        <v>1249</v>
      </c>
      <c r="J7" s="47" t="s">
        <v>454</v>
      </c>
      <c r="K7" s="47" t="s">
        <v>457</v>
      </c>
      <c r="L7" s="15" t="s">
        <v>172</v>
      </c>
      <c r="M7" s="47" t="s">
        <v>454</v>
      </c>
      <c r="N7" s="44" t="s">
        <v>172</v>
      </c>
      <c r="O7" s="34">
        <f>IF(F7="","",ROUND(IF(H7="",0,H7)/60,2))</f>
        <v>0</v>
      </c>
      <c r="P7" s="34">
        <f>IF(B7="","",ROUND(SUMIFS($H$5:$H$404,$B$5:$B$404,B7,$M$5:$M$404,"Yes")/60,2))</f>
        <v>0</v>
      </c>
      <c r="Q7" s="34">
        <f>IF(B7="","",IFERROR(INDEX(Services!$G$5:$G$64,MATCH(B7,Services!$B$5:$B$64,0)),""))</f>
        <v>0</v>
      </c>
      <c r="R7" s="31">
        <f>IF(F7="","",COUNTIFS('Job Tasks'!$G$5:$G$904,F7,'Job Tasks'!$H$5:$H$904,"Done"))</f>
        <v>0</v>
      </c>
      <c r="S7" s="31">
        <f>IF(F7="","",COUNTIFS('Job Tasks'!$G$5:$G$904,F7,'Job Tasks'!$H$5:$H$904,"Skipped"))</f>
        <v>0</v>
      </c>
      <c r="T7" s="31">
        <f>IF(F7="","",COUNTIFS('Job Tasks'!$G$5:$G$904,F7,'Job Tasks'!$H$5:$H$904,"Issue found"))</f>
        <v>0</v>
      </c>
      <c r="U7" s="39">
        <f>IF(F7="","",IF(R7+S7=0,"New",IF(S7/(R7+S7)&gt;0.25,"Often skipped","Working")))</f>
        <v>0</v>
      </c>
      <c r="V7" s="31">
        <f>IF(OR(B7="",F7=""),"",COUNTIFS($B$5:B7,B7))</f>
        <v>0</v>
      </c>
      <c r="W7" s="23">
        <f>IF(V7="","",B7&amp;"|"&amp;V7)</f>
        <v>0</v>
      </c>
      <c r="X7" s="39">
        <f>IF(F7="","",IF(B7="","Add - which service?",IF(H7="","Add - how many minutes?",IF(AND(Q7&lt;&gt;"",P7&gt;Q7+0.25),"Check - checklist is longer than the service allows",IF(S7&gt;=3,"Check - often skipped","OK")))))</f>
        <v>0</v>
      </c>
    </row>
    <row r="8" spans="1:24">
      <c r="A8" s="43">
        <f>IF(F8="","","CHK-"&amp;TEXT(ROW()-4,"0000"))</f>
        <v>0</v>
      </c>
      <c r="B8" s="15" t="s">
        <v>437</v>
      </c>
      <c r="C8" s="49" t="s">
        <v>172</v>
      </c>
      <c r="D8" s="15" t="s">
        <v>1183</v>
      </c>
      <c r="E8" s="16">
        <v>4</v>
      </c>
      <c r="F8" s="15" t="s">
        <v>1189</v>
      </c>
      <c r="G8" s="44" t="s">
        <v>1252</v>
      </c>
      <c r="H8" s="16">
        <v>10</v>
      </c>
      <c r="I8" s="15" t="s">
        <v>1249</v>
      </c>
      <c r="J8" s="47" t="s">
        <v>454</v>
      </c>
      <c r="K8" s="47" t="s">
        <v>457</v>
      </c>
      <c r="L8" s="15" t="s">
        <v>172</v>
      </c>
      <c r="M8" s="47" t="s">
        <v>454</v>
      </c>
      <c r="N8" s="44" t="s">
        <v>172</v>
      </c>
      <c r="O8" s="34">
        <f>IF(F8="","",ROUND(IF(H8="",0,H8)/60,2))</f>
        <v>0</v>
      </c>
      <c r="P8" s="34">
        <f>IF(B8="","",ROUND(SUMIFS($H$5:$H$404,$B$5:$B$404,B8,$M$5:$M$404,"Yes")/60,2))</f>
        <v>0</v>
      </c>
      <c r="Q8" s="34">
        <f>IF(B8="","",IFERROR(INDEX(Services!$G$5:$G$64,MATCH(B8,Services!$B$5:$B$64,0)),""))</f>
        <v>0</v>
      </c>
      <c r="R8" s="31">
        <f>IF(F8="","",COUNTIFS('Job Tasks'!$G$5:$G$904,F8,'Job Tasks'!$H$5:$H$904,"Done"))</f>
        <v>0</v>
      </c>
      <c r="S8" s="31">
        <f>IF(F8="","",COUNTIFS('Job Tasks'!$G$5:$G$904,F8,'Job Tasks'!$H$5:$H$904,"Skipped"))</f>
        <v>0</v>
      </c>
      <c r="T8" s="31">
        <f>IF(F8="","",COUNTIFS('Job Tasks'!$G$5:$G$904,F8,'Job Tasks'!$H$5:$H$904,"Issue found"))</f>
        <v>0</v>
      </c>
      <c r="U8" s="39">
        <f>IF(F8="","",IF(R8+S8=0,"New",IF(S8/(R8+S8)&gt;0.25,"Often skipped","Working")))</f>
        <v>0</v>
      </c>
      <c r="V8" s="31">
        <f>IF(OR(B8="",F8=""),"",COUNTIFS($B$5:B8,B8))</f>
        <v>0</v>
      </c>
      <c r="W8" s="23">
        <f>IF(V8="","",B8&amp;"|"&amp;V8)</f>
        <v>0</v>
      </c>
      <c r="X8" s="39">
        <f>IF(F8="","",IF(B8="","Add - which service?",IF(H8="","Add - how many minutes?",IF(AND(Q8&lt;&gt;"",P8&gt;Q8+0.25),"Check - checklist is longer than the service allows",IF(S8&gt;=3,"Check - often skipped","OK")))))</f>
        <v>0</v>
      </c>
    </row>
    <row r="9" spans="1:24">
      <c r="A9" s="43">
        <f>IF(F9="","","CHK-"&amp;TEXT(ROW()-4,"0000"))</f>
        <v>0</v>
      </c>
      <c r="B9" s="15" t="s">
        <v>437</v>
      </c>
      <c r="C9" s="49" t="s">
        <v>172</v>
      </c>
      <c r="D9" s="15" t="s">
        <v>1183</v>
      </c>
      <c r="E9" s="16">
        <v>5</v>
      </c>
      <c r="F9" s="15" t="s">
        <v>1190</v>
      </c>
      <c r="G9" s="44" t="s">
        <v>1253</v>
      </c>
      <c r="H9" s="16">
        <v>5</v>
      </c>
      <c r="I9" s="15" t="s">
        <v>451</v>
      </c>
      <c r="J9" s="47" t="s">
        <v>457</v>
      </c>
      <c r="K9" s="47" t="s">
        <v>457</v>
      </c>
      <c r="L9" s="15" t="s">
        <v>172</v>
      </c>
      <c r="M9" s="47" t="s">
        <v>454</v>
      </c>
      <c r="N9" s="44" t="s">
        <v>172</v>
      </c>
      <c r="O9" s="34">
        <f>IF(F9="","",ROUND(IF(H9="",0,H9)/60,2))</f>
        <v>0</v>
      </c>
      <c r="P9" s="34">
        <f>IF(B9="","",ROUND(SUMIFS($H$5:$H$404,$B$5:$B$404,B9,$M$5:$M$404,"Yes")/60,2))</f>
        <v>0</v>
      </c>
      <c r="Q9" s="34">
        <f>IF(B9="","",IFERROR(INDEX(Services!$G$5:$G$64,MATCH(B9,Services!$B$5:$B$64,0)),""))</f>
        <v>0</v>
      </c>
      <c r="R9" s="31">
        <f>IF(F9="","",COUNTIFS('Job Tasks'!$G$5:$G$904,F9,'Job Tasks'!$H$5:$H$904,"Done"))</f>
        <v>0</v>
      </c>
      <c r="S9" s="31">
        <f>IF(F9="","",COUNTIFS('Job Tasks'!$G$5:$G$904,F9,'Job Tasks'!$H$5:$H$904,"Skipped"))</f>
        <v>0</v>
      </c>
      <c r="T9" s="31">
        <f>IF(F9="","",COUNTIFS('Job Tasks'!$G$5:$G$904,F9,'Job Tasks'!$H$5:$H$904,"Issue found"))</f>
        <v>0</v>
      </c>
      <c r="U9" s="39">
        <f>IF(F9="","",IF(R9+S9=0,"New",IF(S9/(R9+S9)&gt;0.25,"Often skipped","Working")))</f>
        <v>0</v>
      </c>
      <c r="V9" s="31">
        <f>IF(OR(B9="",F9=""),"",COUNTIFS($B$5:B9,B9))</f>
        <v>0</v>
      </c>
      <c r="W9" s="23">
        <f>IF(V9="","",B9&amp;"|"&amp;V9)</f>
        <v>0</v>
      </c>
      <c r="X9" s="39">
        <f>IF(F9="","",IF(B9="","Add - which service?",IF(H9="","Add - how many minutes?",IF(AND(Q9&lt;&gt;"",P9&gt;Q9+0.25),"Check - checklist is longer than the service allows",IF(S9&gt;=3,"Check - often skipped","OK")))))</f>
        <v>0</v>
      </c>
    </row>
    <row r="10" spans="1:24">
      <c r="A10" s="43">
        <f>IF(F10="","","CHK-"&amp;TEXT(ROW()-4,"0000"))</f>
        <v>0</v>
      </c>
      <c r="B10" s="15" t="s">
        <v>437</v>
      </c>
      <c r="C10" s="49" t="s">
        <v>172</v>
      </c>
      <c r="D10" s="15" t="s">
        <v>1191</v>
      </c>
      <c r="E10" s="16">
        <v>6</v>
      </c>
      <c r="F10" s="15" t="s">
        <v>1192</v>
      </c>
      <c r="G10" s="44" t="s">
        <v>1254</v>
      </c>
      <c r="H10" s="16">
        <v>12</v>
      </c>
      <c r="I10" s="15" t="s">
        <v>1249</v>
      </c>
      <c r="J10" s="47" t="s">
        <v>454</v>
      </c>
      <c r="K10" s="47" t="s">
        <v>454</v>
      </c>
      <c r="L10" s="15" t="s">
        <v>172</v>
      </c>
      <c r="M10" s="47" t="s">
        <v>454</v>
      </c>
      <c r="N10" s="44" t="s">
        <v>172</v>
      </c>
      <c r="O10" s="34">
        <f>IF(F10="","",ROUND(IF(H10="",0,H10)/60,2))</f>
        <v>0</v>
      </c>
      <c r="P10" s="34">
        <f>IF(B10="","",ROUND(SUMIFS($H$5:$H$404,$B$5:$B$404,B10,$M$5:$M$404,"Yes")/60,2))</f>
        <v>0</v>
      </c>
      <c r="Q10" s="34">
        <f>IF(B10="","",IFERROR(INDEX(Services!$G$5:$G$64,MATCH(B10,Services!$B$5:$B$64,0)),""))</f>
        <v>0</v>
      </c>
      <c r="R10" s="31">
        <f>IF(F10="","",COUNTIFS('Job Tasks'!$G$5:$G$904,F10,'Job Tasks'!$H$5:$H$904,"Done"))</f>
        <v>0</v>
      </c>
      <c r="S10" s="31">
        <f>IF(F10="","",COUNTIFS('Job Tasks'!$G$5:$G$904,F10,'Job Tasks'!$H$5:$H$904,"Skipped"))</f>
        <v>0</v>
      </c>
      <c r="T10" s="31">
        <f>IF(F10="","",COUNTIFS('Job Tasks'!$G$5:$G$904,F10,'Job Tasks'!$H$5:$H$904,"Issue found"))</f>
        <v>0</v>
      </c>
      <c r="U10" s="39">
        <f>IF(F10="","",IF(R10+S10=0,"New",IF(S10/(R10+S10)&gt;0.25,"Often skipped","Working")))</f>
        <v>0</v>
      </c>
      <c r="V10" s="31">
        <f>IF(OR(B10="",F10=""),"",COUNTIFS($B$5:B10,B10))</f>
        <v>0</v>
      </c>
      <c r="W10" s="23">
        <f>IF(V10="","",B10&amp;"|"&amp;V10)</f>
        <v>0</v>
      </c>
      <c r="X10" s="39">
        <f>IF(F10="","",IF(B10="","Add - which service?",IF(H10="","Add - how many minutes?",IF(AND(Q10&lt;&gt;"",P10&gt;Q10+0.25),"Check - checklist is longer than the service allows",IF(S10&gt;=3,"Check - often skipped","OK")))))</f>
        <v>0</v>
      </c>
    </row>
    <row r="11" spans="1:24">
      <c r="A11" s="43">
        <f>IF(F11="","","CHK-"&amp;TEXT(ROW()-4,"0000"))</f>
        <v>0</v>
      </c>
      <c r="B11" s="15" t="s">
        <v>437</v>
      </c>
      <c r="C11" s="49" t="s">
        <v>172</v>
      </c>
      <c r="D11" s="15" t="s">
        <v>1191</v>
      </c>
      <c r="E11" s="16">
        <v>7</v>
      </c>
      <c r="F11" s="15" t="s">
        <v>1193</v>
      </c>
      <c r="G11" s="44" t="s">
        <v>1255</v>
      </c>
      <c r="H11" s="16">
        <v>8</v>
      </c>
      <c r="I11" s="15" t="s">
        <v>1249</v>
      </c>
      <c r="J11" s="47" t="s">
        <v>454</v>
      </c>
      <c r="K11" s="47" t="s">
        <v>457</v>
      </c>
      <c r="L11" s="15" t="s">
        <v>172</v>
      </c>
      <c r="M11" s="47" t="s">
        <v>454</v>
      </c>
      <c r="N11" s="44" t="s">
        <v>172</v>
      </c>
      <c r="O11" s="34">
        <f>IF(F11="","",ROUND(IF(H11="",0,H11)/60,2))</f>
        <v>0</v>
      </c>
      <c r="P11" s="34">
        <f>IF(B11="","",ROUND(SUMIFS($H$5:$H$404,$B$5:$B$404,B11,$M$5:$M$404,"Yes")/60,2))</f>
        <v>0</v>
      </c>
      <c r="Q11" s="34">
        <f>IF(B11="","",IFERROR(INDEX(Services!$G$5:$G$64,MATCH(B11,Services!$B$5:$B$64,0)),""))</f>
        <v>0</v>
      </c>
      <c r="R11" s="31">
        <f>IF(F11="","",COUNTIFS('Job Tasks'!$G$5:$G$904,F11,'Job Tasks'!$H$5:$H$904,"Done"))</f>
        <v>0</v>
      </c>
      <c r="S11" s="31">
        <f>IF(F11="","",COUNTIFS('Job Tasks'!$G$5:$G$904,F11,'Job Tasks'!$H$5:$H$904,"Skipped"))</f>
        <v>0</v>
      </c>
      <c r="T11" s="31">
        <f>IF(F11="","",COUNTIFS('Job Tasks'!$G$5:$G$904,F11,'Job Tasks'!$H$5:$H$904,"Issue found"))</f>
        <v>0</v>
      </c>
      <c r="U11" s="39">
        <f>IF(F11="","",IF(R11+S11=0,"New",IF(S11/(R11+S11)&gt;0.25,"Often skipped","Working")))</f>
        <v>0</v>
      </c>
      <c r="V11" s="31">
        <f>IF(OR(B11="",F11=""),"",COUNTIFS($B$5:B11,B11))</f>
        <v>0</v>
      </c>
      <c r="W11" s="23">
        <f>IF(V11="","",B11&amp;"|"&amp;V11)</f>
        <v>0</v>
      </c>
      <c r="X11" s="39">
        <f>IF(F11="","",IF(B11="","Add - which service?",IF(H11="","Add - how many minutes?",IF(AND(Q11&lt;&gt;"",P11&gt;Q11+0.25),"Check - checklist is longer than the service allows",IF(S11&gt;=3,"Check - often skipped","OK")))))</f>
        <v>0</v>
      </c>
    </row>
    <row r="12" spans="1:24">
      <c r="A12" s="43">
        <f>IF(F12="","","CHK-"&amp;TEXT(ROW()-4,"0000"))</f>
        <v>0</v>
      </c>
      <c r="B12" s="15" t="s">
        <v>437</v>
      </c>
      <c r="C12" s="49" t="s">
        <v>172</v>
      </c>
      <c r="D12" s="15" t="s">
        <v>1191</v>
      </c>
      <c r="E12" s="16">
        <v>8</v>
      </c>
      <c r="F12" s="15" t="s">
        <v>1194</v>
      </c>
      <c r="G12" s="44" t="s">
        <v>1256</v>
      </c>
      <c r="H12" s="16">
        <v>8</v>
      </c>
      <c r="I12" s="15" t="s">
        <v>1249</v>
      </c>
      <c r="J12" s="47" t="s">
        <v>454</v>
      </c>
      <c r="K12" s="47" t="s">
        <v>457</v>
      </c>
      <c r="L12" s="15" t="s">
        <v>172</v>
      </c>
      <c r="M12" s="47" t="s">
        <v>454</v>
      </c>
      <c r="N12" s="44" t="s">
        <v>172</v>
      </c>
      <c r="O12" s="34">
        <f>IF(F12="","",ROUND(IF(H12="",0,H12)/60,2))</f>
        <v>0</v>
      </c>
      <c r="P12" s="34">
        <f>IF(B12="","",ROUND(SUMIFS($H$5:$H$404,$B$5:$B$404,B12,$M$5:$M$404,"Yes")/60,2))</f>
        <v>0</v>
      </c>
      <c r="Q12" s="34">
        <f>IF(B12="","",IFERROR(INDEX(Services!$G$5:$G$64,MATCH(B12,Services!$B$5:$B$64,0)),""))</f>
        <v>0</v>
      </c>
      <c r="R12" s="31">
        <f>IF(F12="","",COUNTIFS('Job Tasks'!$G$5:$G$904,F12,'Job Tasks'!$H$5:$H$904,"Done"))</f>
        <v>0</v>
      </c>
      <c r="S12" s="31">
        <f>IF(F12="","",COUNTIFS('Job Tasks'!$G$5:$G$904,F12,'Job Tasks'!$H$5:$H$904,"Skipped"))</f>
        <v>0</v>
      </c>
      <c r="T12" s="31">
        <f>IF(F12="","",COUNTIFS('Job Tasks'!$G$5:$G$904,F12,'Job Tasks'!$H$5:$H$904,"Issue found"))</f>
        <v>0</v>
      </c>
      <c r="U12" s="39">
        <f>IF(F12="","",IF(R12+S12=0,"New",IF(S12/(R12+S12)&gt;0.25,"Often skipped","Working")))</f>
        <v>0</v>
      </c>
      <c r="V12" s="31">
        <f>IF(OR(B12="",F12=""),"",COUNTIFS($B$5:B12,B12))</f>
        <v>0</v>
      </c>
      <c r="W12" s="23">
        <f>IF(V12="","",B12&amp;"|"&amp;V12)</f>
        <v>0</v>
      </c>
      <c r="X12" s="39">
        <f>IF(F12="","",IF(B12="","Add - which service?",IF(H12="","Add - how many minutes?",IF(AND(Q12&lt;&gt;"",P12&gt;Q12+0.25),"Check - checklist is longer than the service allows",IF(S12&gt;=3,"Check - often skipped","OK")))))</f>
        <v>0</v>
      </c>
    </row>
    <row r="13" spans="1:24">
      <c r="A13" s="43">
        <f>IF(F13="","","CHK-"&amp;TEXT(ROW()-4,"0000"))</f>
        <v>0</v>
      </c>
      <c r="B13" s="15" t="s">
        <v>437</v>
      </c>
      <c r="C13" s="49" t="s">
        <v>172</v>
      </c>
      <c r="D13" s="15" t="s">
        <v>1191</v>
      </c>
      <c r="E13" s="16">
        <v>9</v>
      </c>
      <c r="F13" s="15" t="s">
        <v>1195</v>
      </c>
      <c r="G13" s="44" t="s">
        <v>1257</v>
      </c>
      <c r="H13" s="16">
        <v>8</v>
      </c>
      <c r="I13" s="15" t="s">
        <v>1249</v>
      </c>
      <c r="J13" s="47" t="s">
        <v>454</v>
      </c>
      <c r="K13" s="47" t="s">
        <v>457</v>
      </c>
      <c r="L13" s="15" t="s">
        <v>172</v>
      </c>
      <c r="M13" s="47" t="s">
        <v>454</v>
      </c>
      <c r="N13" s="44" t="s">
        <v>172</v>
      </c>
      <c r="O13" s="34">
        <f>IF(F13="","",ROUND(IF(H13="",0,H13)/60,2))</f>
        <v>0</v>
      </c>
      <c r="P13" s="34">
        <f>IF(B13="","",ROUND(SUMIFS($H$5:$H$404,$B$5:$B$404,B13,$M$5:$M$404,"Yes")/60,2))</f>
        <v>0</v>
      </c>
      <c r="Q13" s="34">
        <f>IF(B13="","",IFERROR(INDEX(Services!$G$5:$G$64,MATCH(B13,Services!$B$5:$B$64,0)),""))</f>
        <v>0</v>
      </c>
      <c r="R13" s="31">
        <f>IF(F13="","",COUNTIFS('Job Tasks'!$G$5:$G$904,F13,'Job Tasks'!$H$5:$H$904,"Done"))</f>
        <v>0</v>
      </c>
      <c r="S13" s="31">
        <f>IF(F13="","",COUNTIFS('Job Tasks'!$G$5:$G$904,F13,'Job Tasks'!$H$5:$H$904,"Skipped"))</f>
        <v>0</v>
      </c>
      <c r="T13" s="31">
        <f>IF(F13="","",COUNTIFS('Job Tasks'!$G$5:$G$904,F13,'Job Tasks'!$H$5:$H$904,"Issue found"))</f>
        <v>0</v>
      </c>
      <c r="U13" s="39">
        <f>IF(F13="","",IF(R13+S13=0,"New",IF(S13/(R13+S13)&gt;0.25,"Often skipped","Working")))</f>
        <v>0</v>
      </c>
      <c r="V13" s="31">
        <f>IF(OR(B13="",F13=""),"",COUNTIFS($B$5:B13,B13))</f>
        <v>0</v>
      </c>
      <c r="W13" s="23">
        <f>IF(V13="","",B13&amp;"|"&amp;V13)</f>
        <v>0</v>
      </c>
      <c r="X13" s="39">
        <f>IF(F13="","",IF(B13="","Add - which service?",IF(H13="","Add - how many minutes?",IF(AND(Q13&lt;&gt;"",P13&gt;Q13+0.25),"Check - checklist is longer than the service allows",IF(S13&gt;=3,"Check - often skipped","OK")))))</f>
        <v>0</v>
      </c>
    </row>
    <row r="14" spans="1:24">
      <c r="A14" s="43">
        <f>IF(F14="","","CHK-"&amp;TEXT(ROW()-4,"0000"))</f>
        <v>0</v>
      </c>
      <c r="B14" s="15" t="s">
        <v>437</v>
      </c>
      <c r="C14" s="49" t="s">
        <v>172</v>
      </c>
      <c r="D14" s="15" t="s">
        <v>1196</v>
      </c>
      <c r="E14" s="16">
        <v>10</v>
      </c>
      <c r="F14" s="15" t="s">
        <v>1197</v>
      </c>
      <c r="G14" s="44" t="s">
        <v>1258</v>
      </c>
      <c r="H14" s="16">
        <v>8</v>
      </c>
      <c r="I14" s="15" t="s">
        <v>451</v>
      </c>
      <c r="J14" s="47" t="s">
        <v>457</v>
      </c>
      <c r="K14" s="47" t="s">
        <v>457</v>
      </c>
      <c r="L14" s="15" t="s">
        <v>172</v>
      </c>
      <c r="M14" s="47" t="s">
        <v>454</v>
      </c>
      <c r="N14" s="44" t="s">
        <v>172</v>
      </c>
      <c r="O14" s="34">
        <f>IF(F14="","",ROUND(IF(H14="",0,H14)/60,2))</f>
        <v>0</v>
      </c>
      <c r="P14" s="34">
        <f>IF(B14="","",ROUND(SUMIFS($H$5:$H$404,$B$5:$B$404,B14,$M$5:$M$404,"Yes")/60,2))</f>
        <v>0</v>
      </c>
      <c r="Q14" s="34">
        <f>IF(B14="","",IFERROR(INDEX(Services!$G$5:$G$64,MATCH(B14,Services!$B$5:$B$64,0)),""))</f>
        <v>0</v>
      </c>
      <c r="R14" s="31">
        <f>IF(F14="","",COUNTIFS('Job Tasks'!$G$5:$G$904,F14,'Job Tasks'!$H$5:$H$904,"Done"))</f>
        <v>0</v>
      </c>
      <c r="S14" s="31">
        <f>IF(F14="","",COUNTIFS('Job Tasks'!$G$5:$G$904,F14,'Job Tasks'!$H$5:$H$904,"Skipped"))</f>
        <v>0</v>
      </c>
      <c r="T14" s="31">
        <f>IF(F14="","",COUNTIFS('Job Tasks'!$G$5:$G$904,F14,'Job Tasks'!$H$5:$H$904,"Issue found"))</f>
        <v>0</v>
      </c>
      <c r="U14" s="39">
        <f>IF(F14="","",IF(R14+S14=0,"New",IF(S14/(R14+S14)&gt;0.25,"Often skipped","Working")))</f>
        <v>0</v>
      </c>
      <c r="V14" s="31">
        <f>IF(OR(B14="",F14=""),"",COUNTIFS($B$5:B14,B14))</f>
        <v>0</v>
      </c>
      <c r="W14" s="23">
        <f>IF(V14="","",B14&amp;"|"&amp;V14)</f>
        <v>0</v>
      </c>
      <c r="X14" s="39">
        <f>IF(F14="","",IF(B14="","Add - which service?",IF(H14="","Add - how many minutes?",IF(AND(Q14&lt;&gt;"",P14&gt;Q14+0.25),"Check - checklist is longer than the service allows",IF(S14&gt;=3,"Check - often skipped","OK")))))</f>
        <v>0</v>
      </c>
    </row>
    <row r="15" spans="1:24">
      <c r="A15" s="43">
        <f>IF(F15="","","CHK-"&amp;TEXT(ROW()-4,"0000"))</f>
        <v>0</v>
      </c>
      <c r="B15" s="15" t="s">
        <v>437</v>
      </c>
      <c r="C15" s="49" t="s">
        <v>172</v>
      </c>
      <c r="D15" s="15" t="s">
        <v>1196</v>
      </c>
      <c r="E15" s="16">
        <v>11</v>
      </c>
      <c r="F15" s="15" t="s">
        <v>1198</v>
      </c>
      <c r="G15" s="44" t="s">
        <v>1259</v>
      </c>
      <c r="H15" s="16">
        <v>8</v>
      </c>
      <c r="I15" s="15" t="s">
        <v>1249</v>
      </c>
      <c r="J15" s="47" t="s">
        <v>454</v>
      </c>
      <c r="K15" s="47" t="s">
        <v>457</v>
      </c>
      <c r="L15" s="15" t="s">
        <v>172</v>
      </c>
      <c r="M15" s="47" t="s">
        <v>454</v>
      </c>
      <c r="N15" s="44" t="s">
        <v>172</v>
      </c>
      <c r="O15" s="34">
        <f>IF(F15="","",ROUND(IF(H15="",0,H15)/60,2))</f>
        <v>0</v>
      </c>
      <c r="P15" s="34">
        <f>IF(B15="","",ROUND(SUMIFS($H$5:$H$404,$B$5:$B$404,B15,$M$5:$M$404,"Yes")/60,2))</f>
        <v>0</v>
      </c>
      <c r="Q15" s="34">
        <f>IF(B15="","",IFERROR(INDEX(Services!$G$5:$G$64,MATCH(B15,Services!$B$5:$B$64,0)),""))</f>
        <v>0</v>
      </c>
      <c r="R15" s="31">
        <f>IF(F15="","",COUNTIFS('Job Tasks'!$G$5:$G$904,F15,'Job Tasks'!$H$5:$H$904,"Done"))</f>
        <v>0</v>
      </c>
      <c r="S15" s="31">
        <f>IF(F15="","",COUNTIFS('Job Tasks'!$G$5:$G$904,F15,'Job Tasks'!$H$5:$H$904,"Skipped"))</f>
        <v>0</v>
      </c>
      <c r="T15" s="31">
        <f>IF(F15="","",COUNTIFS('Job Tasks'!$G$5:$G$904,F15,'Job Tasks'!$H$5:$H$904,"Issue found"))</f>
        <v>0</v>
      </c>
      <c r="U15" s="39">
        <f>IF(F15="","",IF(R15+S15=0,"New",IF(S15/(R15+S15)&gt;0.25,"Often skipped","Working")))</f>
        <v>0</v>
      </c>
      <c r="V15" s="31">
        <f>IF(OR(B15="",F15=""),"",COUNTIFS($B$5:B15,B15))</f>
        <v>0</v>
      </c>
      <c r="W15" s="23">
        <f>IF(V15="","",B15&amp;"|"&amp;V15)</f>
        <v>0</v>
      </c>
      <c r="X15" s="39">
        <f>IF(F15="","",IF(B15="","Add - which service?",IF(H15="","Add - how many minutes?",IF(AND(Q15&lt;&gt;"",P15&gt;Q15+0.25),"Check - checklist is longer than the service allows",IF(S15&gt;=3,"Check - often skipped","OK")))))</f>
        <v>0</v>
      </c>
    </row>
    <row r="16" spans="1:24">
      <c r="A16" s="43">
        <f>IF(F16="","","CHK-"&amp;TEXT(ROW()-4,"0000"))</f>
        <v>0</v>
      </c>
      <c r="B16" s="15" t="s">
        <v>437</v>
      </c>
      <c r="C16" s="49" t="s">
        <v>172</v>
      </c>
      <c r="D16" s="15" t="s">
        <v>1199</v>
      </c>
      <c r="E16" s="16">
        <v>12</v>
      </c>
      <c r="F16" s="15" t="s">
        <v>1200</v>
      </c>
      <c r="G16" s="44" t="s">
        <v>1260</v>
      </c>
      <c r="H16" s="16">
        <v>12</v>
      </c>
      <c r="I16" s="15" t="s">
        <v>1249</v>
      </c>
      <c r="J16" s="47" t="s">
        <v>454</v>
      </c>
      <c r="K16" s="47" t="s">
        <v>457</v>
      </c>
      <c r="L16" s="15" t="s">
        <v>172</v>
      </c>
      <c r="M16" s="47" t="s">
        <v>454</v>
      </c>
      <c r="N16" s="44" t="s">
        <v>172</v>
      </c>
      <c r="O16" s="34">
        <f>IF(F16="","",ROUND(IF(H16="",0,H16)/60,2))</f>
        <v>0</v>
      </c>
      <c r="P16" s="34">
        <f>IF(B16="","",ROUND(SUMIFS($H$5:$H$404,$B$5:$B$404,B16,$M$5:$M$404,"Yes")/60,2))</f>
        <v>0</v>
      </c>
      <c r="Q16" s="34">
        <f>IF(B16="","",IFERROR(INDEX(Services!$G$5:$G$64,MATCH(B16,Services!$B$5:$B$64,0)),""))</f>
        <v>0</v>
      </c>
      <c r="R16" s="31">
        <f>IF(F16="","",COUNTIFS('Job Tasks'!$G$5:$G$904,F16,'Job Tasks'!$H$5:$H$904,"Done"))</f>
        <v>0</v>
      </c>
      <c r="S16" s="31">
        <f>IF(F16="","",COUNTIFS('Job Tasks'!$G$5:$G$904,F16,'Job Tasks'!$H$5:$H$904,"Skipped"))</f>
        <v>0</v>
      </c>
      <c r="T16" s="31">
        <f>IF(F16="","",COUNTIFS('Job Tasks'!$G$5:$G$904,F16,'Job Tasks'!$H$5:$H$904,"Issue found"))</f>
        <v>0</v>
      </c>
      <c r="U16" s="39">
        <f>IF(F16="","",IF(R16+S16=0,"New",IF(S16/(R16+S16)&gt;0.25,"Often skipped","Working")))</f>
        <v>0</v>
      </c>
      <c r="V16" s="31">
        <f>IF(OR(B16="",F16=""),"",COUNTIFS($B$5:B16,B16))</f>
        <v>0</v>
      </c>
      <c r="W16" s="23">
        <f>IF(V16="","",B16&amp;"|"&amp;V16)</f>
        <v>0</v>
      </c>
      <c r="X16" s="39">
        <f>IF(F16="","",IF(B16="","Add - which service?",IF(H16="","Add - how many minutes?",IF(AND(Q16&lt;&gt;"",P16&gt;Q16+0.25),"Check - checklist is longer than the service allows",IF(S16&gt;=3,"Check - often skipped","OK")))))</f>
        <v>0</v>
      </c>
    </row>
    <row r="17" spans="1:24">
      <c r="A17" s="43">
        <f>IF(F17="","","CHK-"&amp;TEXT(ROW()-4,"0000"))</f>
        <v>0</v>
      </c>
      <c r="B17" s="15" t="s">
        <v>437</v>
      </c>
      <c r="C17" s="49" t="s">
        <v>172</v>
      </c>
      <c r="D17" s="15" t="s">
        <v>1199</v>
      </c>
      <c r="E17" s="16">
        <v>13</v>
      </c>
      <c r="F17" s="15" t="s">
        <v>1201</v>
      </c>
      <c r="G17" s="44" t="s">
        <v>1261</v>
      </c>
      <c r="H17" s="16">
        <v>12</v>
      </c>
      <c r="I17" s="15" t="s">
        <v>1249</v>
      </c>
      <c r="J17" s="47" t="s">
        <v>454</v>
      </c>
      <c r="K17" s="47" t="s">
        <v>457</v>
      </c>
      <c r="L17" s="15" t="s">
        <v>172</v>
      </c>
      <c r="M17" s="47" t="s">
        <v>454</v>
      </c>
      <c r="N17" s="44" t="s">
        <v>172</v>
      </c>
      <c r="O17" s="34">
        <f>IF(F17="","",ROUND(IF(H17="",0,H17)/60,2))</f>
        <v>0</v>
      </c>
      <c r="P17" s="34">
        <f>IF(B17="","",ROUND(SUMIFS($H$5:$H$404,$B$5:$B$404,B17,$M$5:$M$404,"Yes")/60,2))</f>
        <v>0</v>
      </c>
      <c r="Q17" s="34">
        <f>IF(B17="","",IFERROR(INDEX(Services!$G$5:$G$64,MATCH(B17,Services!$B$5:$B$64,0)),""))</f>
        <v>0</v>
      </c>
      <c r="R17" s="31">
        <f>IF(F17="","",COUNTIFS('Job Tasks'!$G$5:$G$904,F17,'Job Tasks'!$H$5:$H$904,"Done"))</f>
        <v>0</v>
      </c>
      <c r="S17" s="31">
        <f>IF(F17="","",COUNTIFS('Job Tasks'!$G$5:$G$904,F17,'Job Tasks'!$H$5:$H$904,"Skipped"))</f>
        <v>0</v>
      </c>
      <c r="T17" s="31">
        <f>IF(F17="","",COUNTIFS('Job Tasks'!$G$5:$G$904,F17,'Job Tasks'!$H$5:$H$904,"Issue found"))</f>
        <v>0</v>
      </c>
      <c r="U17" s="39">
        <f>IF(F17="","",IF(R17+S17=0,"New",IF(S17/(R17+S17)&gt;0.25,"Often skipped","Working")))</f>
        <v>0</v>
      </c>
      <c r="V17" s="31">
        <f>IF(OR(B17="",F17=""),"",COUNTIFS($B$5:B17,B17))</f>
        <v>0</v>
      </c>
      <c r="W17" s="23">
        <f>IF(V17="","",B17&amp;"|"&amp;V17)</f>
        <v>0</v>
      </c>
      <c r="X17" s="39">
        <f>IF(F17="","",IF(B17="","Add - which service?",IF(H17="","Add - how many minutes?",IF(AND(Q17&lt;&gt;"",P17&gt;Q17+0.25),"Check - checklist is longer than the service allows",IF(S17&gt;=3,"Check - often skipped","OK")))))</f>
        <v>0</v>
      </c>
    </row>
    <row r="18" spans="1:24">
      <c r="A18" s="43">
        <f>IF(F18="","","CHK-"&amp;TEXT(ROW()-4,"0000"))</f>
        <v>0</v>
      </c>
      <c r="B18" s="15" t="s">
        <v>437</v>
      </c>
      <c r="C18" s="49" t="s">
        <v>172</v>
      </c>
      <c r="D18" s="15" t="s">
        <v>1202</v>
      </c>
      <c r="E18" s="16">
        <v>14</v>
      </c>
      <c r="F18" s="15" t="s">
        <v>1203</v>
      </c>
      <c r="G18" s="44" t="s">
        <v>1262</v>
      </c>
      <c r="H18" s="16">
        <v>10</v>
      </c>
      <c r="I18" s="15" t="s">
        <v>1249</v>
      </c>
      <c r="J18" s="47" t="s">
        <v>454</v>
      </c>
      <c r="K18" s="47" t="s">
        <v>457</v>
      </c>
      <c r="L18" s="15" t="s">
        <v>172</v>
      </c>
      <c r="M18" s="47" t="s">
        <v>454</v>
      </c>
      <c r="N18" s="44" t="s">
        <v>172</v>
      </c>
      <c r="O18" s="34">
        <f>IF(F18="","",ROUND(IF(H18="",0,H18)/60,2))</f>
        <v>0</v>
      </c>
      <c r="P18" s="34">
        <f>IF(B18="","",ROUND(SUMIFS($H$5:$H$404,$B$5:$B$404,B18,$M$5:$M$404,"Yes")/60,2))</f>
        <v>0</v>
      </c>
      <c r="Q18" s="34">
        <f>IF(B18="","",IFERROR(INDEX(Services!$G$5:$G$64,MATCH(B18,Services!$B$5:$B$64,0)),""))</f>
        <v>0</v>
      </c>
      <c r="R18" s="31">
        <f>IF(F18="","",COUNTIFS('Job Tasks'!$G$5:$G$904,F18,'Job Tasks'!$H$5:$H$904,"Done"))</f>
        <v>0</v>
      </c>
      <c r="S18" s="31">
        <f>IF(F18="","",COUNTIFS('Job Tasks'!$G$5:$G$904,F18,'Job Tasks'!$H$5:$H$904,"Skipped"))</f>
        <v>0</v>
      </c>
      <c r="T18" s="31">
        <f>IF(F18="","",COUNTIFS('Job Tasks'!$G$5:$G$904,F18,'Job Tasks'!$H$5:$H$904,"Issue found"))</f>
        <v>0</v>
      </c>
      <c r="U18" s="39">
        <f>IF(F18="","",IF(R18+S18=0,"New",IF(S18/(R18+S18)&gt;0.25,"Often skipped","Working")))</f>
        <v>0</v>
      </c>
      <c r="V18" s="31">
        <f>IF(OR(B18="",F18=""),"",COUNTIFS($B$5:B18,B18))</f>
        <v>0</v>
      </c>
      <c r="W18" s="23">
        <f>IF(V18="","",B18&amp;"|"&amp;V18)</f>
        <v>0</v>
      </c>
      <c r="X18" s="39">
        <f>IF(F18="","",IF(B18="","Add - which service?",IF(H18="","Add - how many minutes?",IF(AND(Q18&lt;&gt;"",P18&gt;Q18+0.25),"Check - checklist is longer than the service allows",IF(S18&gt;=3,"Check - often skipped","OK")))))</f>
        <v>0</v>
      </c>
    </row>
    <row r="19" spans="1:24">
      <c r="A19" s="43">
        <f>IF(F19="","","CHK-"&amp;TEXT(ROW()-4,"0000"))</f>
        <v>0</v>
      </c>
      <c r="B19" s="15" t="s">
        <v>437</v>
      </c>
      <c r="C19" s="49" t="s">
        <v>172</v>
      </c>
      <c r="D19" s="15" t="s">
        <v>1204</v>
      </c>
      <c r="E19" s="16">
        <v>15</v>
      </c>
      <c r="F19" s="15" t="s">
        <v>1205</v>
      </c>
      <c r="G19" s="44" t="s">
        <v>1263</v>
      </c>
      <c r="H19" s="16">
        <v>6</v>
      </c>
      <c r="I19" s="15" t="s">
        <v>1249</v>
      </c>
      <c r="J19" s="47" t="s">
        <v>454</v>
      </c>
      <c r="K19" s="47" t="s">
        <v>457</v>
      </c>
      <c r="L19" s="15" t="s">
        <v>172</v>
      </c>
      <c r="M19" s="47" t="s">
        <v>454</v>
      </c>
      <c r="N19" s="44" t="s">
        <v>172</v>
      </c>
      <c r="O19" s="34">
        <f>IF(F19="","",ROUND(IF(H19="",0,H19)/60,2))</f>
        <v>0</v>
      </c>
      <c r="P19" s="34">
        <f>IF(B19="","",ROUND(SUMIFS($H$5:$H$404,$B$5:$B$404,B19,$M$5:$M$404,"Yes")/60,2))</f>
        <v>0</v>
      </c>
      <c r="Q19" s="34">
        <f>IF(B19="","",IFERROR(INDEX(Services!$G$5:$G$64,MATCH(B19,Services!$B$5:$B$64,0)),""))</f>
        <v>0</v>
      </c>
      <c r="R19" s="31">
        <f>IF(F19="","",COUNTIFS('Job Tasks'!$G$5:$G$904,F19,'Job Tasks'!$H$5:$H$904,"Done"))</f>
        <v>0</v>
      </c>
      <c r="S19" s="31">
        <f>IF(F19="","",COUNTIFS('Job Tasks'!$G$5:$G$904,F19,'Job Tasks'!$H$5:$H$904,"Skipped"))</f>
        <v>0</v>
      </c>
      <c r="T19" s="31">
        <f>IF(F19="","",COUNTIFS('Job Tasks'!$G$5:$G$904,F19,'Job Tasks'!$H$5:$H$904,"Issue found"))</f>
        <v>0</v>
      </c>
      <c r="U19" s="39">
        <f>IF(F19="","",IF(R19+S19=0,"New",IF(S19/(R19+S19)&gt;0.25,"Often skipped","Working")))</f>
        <v>0</v>
      </c>
      <c r="V19" s="31">
        <f>IF(OR(B19="",F19=""),"",COUNTIFS($B$5:B19,B19))</f>
        <v>0</v>
      </c>
      <c r="W19" s="23">
        <f>IF(V19="","",B19&amp;"|"&amp;V19)</f>
        <v>0</v>
      </c>
      <c r="X19" s="39">
        <f>IF(F19="","",IF(B19="","Add - which service?",IF(H19="","Add - how many minutes?",IF(AND(Q19&lt;&gt;"",P19&gt;Q19+0.25),"Check - checklist is longer than the service allows",IF(S19&gt;=3,"Check - often skipped","OK")))))</f>
        <v>0</v>
      </c>
    </row>
    <row r="20" spans="1:24">
      <c r="A20" s="43">
        <f>IF(F20="","","CHK-"&amp;TEXT(ROW()-4,"0000"))</f>
        <v>0</v>
      </c>
      <c r="B20" s="15" t="s">
        <v>437</v>
      </c>
      <c r="C20" s="49" t="s">
        <v>172</v>
      </c>
      <c r="D20" s="15" t="s">
        <v>1204</v>
      </c>
      <c r="E20" s="16">
        <v>16</v>
      </c>
      <c r="F20" s="15" t="s">
        <v>1206</v>
      </c>
      <c r="G20" s="44" t="s">
        <v>1264</v>
      </c>
      <c r="H20" s="16">
        <v>5</v>
      </c>
      <c r="I20" s="15" t="s">
        <v>1249</v>
      </c>
      <c r="J20" s="47" t="s">
        <v>454</v>
      </c>
      <c r="K20" s="47" t="s">
        <v>457</v>
      </c>
      <c r="L20" s="15" t="s">
        <v>172</v>
      </c>
      <c r="M20" s="47" t="s">
        <v>454</v>
      </c>
      <c r="N20" s="44" t="s">
        <v>172</v>
      </c>
      <c r="O20" s="34">
        <f>IF(F20="","",ROUND(IF(H20="",0,H20)/60,2))</f>
        <v>0</v>
      </c>
      <c r="P20" s="34">
        <f>IF(B20="","",ROUND(SUMIFS($H$5:$H$404,$B$5:$B$404,B20,$M$5:$M$404,"Yes")/60,2))</f>
        <v>0</v>
      </c>
      <c r="Q20" s="34">
        <f>IF(B20="","",IFERROR(INDEX(Services!$G$5:$G$64,MATCH(B20,Services!$B$5:$B$64,0)),""))</f>
        <v>0</v>
      </c>
      <c r="R20" s="31">
        <f>IF(F20="","",COUNTIFS('Job Tasks'!$G$5:$G$904,F20,'Job Tasks'!$H$5:$H$904,"Done"))</f>
        <v>0</v>
      </c>
      <c r="S20" s="31">
        <f>IF(F20="","",COUNTIFS('Job Tasks'!$G$5:$G$904,F20,'Job Tasks'!$H$5:$H$904,"Skipped"))</f>
        <v>0</v>
      </c>
      <c r="T20" s="31">
        <f>IF(F20="","",COUNTIFS('Job Tasks'!$G$5:$G$904,F20,'Job Tasks'!$H$5:$H$904,"Issue found"))</f>
        <v>0</v>
      </c>
      <c r="U20" s="39">
        <f>IF(F20="","",IF(R20+S20=0,"New",IF(S20/(R20+S20)&gt;0.25,"Often skipped","Working")))</f>
        <v>0</v>
      </c>
      <c r="V20" s="31">
        <f>IF(OR(B20="",F20=""),"",COUNTIFS($B$5:B20,B20))</f>
        <v>0</v>
      </c>
      <c r="W20" s="23">
        <f>IF(V20="","",B20&amp;"|"&amp;V20)</f>
        <v>0</v>
      </c>
      <c r="X20" s="39">
        <f>IF(F20="","",IF(B20="","Add - which service?",IF(H20="","Add - how many minutes?",IF(AND(Q20&lt;&gt;"",P20&gt;Q20+0.25),"Check - checklist is longer than the service allows",IF(S20&gt;=3,"Check - often skipped","OK")))))</f>
        <v>0</v>
      </c>
    </row>
    <row r="21" spans="1:24">
      <c r="A21" s="43">
        <f>IF(F21="","","CHK-"&amp;TEXT(ROW()-4,"0000"))</f>
        <v>0</v>
      </c>
      <c r="B21" s="15" t="s">
        <v>770</v>
      </c>
      <c r="C21" s="49" t="s">
        <v>172</v>
      </c>
      <c r="D21" s="15" t="s">
        <v>1208</v>
      </c>
      <c r="E21" s="16">
        <v>1</v>
      </c>
      <c r="F21" s="15" t="s">
        <v>1209</v>
      </c>
      <c r="G21" s="44" t="s">
        <v>1265</v>
      </c>
      <c r="H21" s="16">
        <v>8</v>
      </c>
      <c r="I21" s="15" t="s">
        <v>1249</v>
      </c>
      <c r="J21" s="47" t="s">
        <v>454</v>
      </c>
      <c r="K21" s="47" t="s">
        <v>457</v>
      </c>
      <c r="L21" s="15" t="s">
        <v>172</v>
      </c>
      <c r="M21" s="47" t="s">
        <v>454</v>
      </c>
      <c r="N21" s="44" t="s">
        <v>172</v>
      </c>
      <c r="O21" s="34">
        <f>IF(F21="","",ROUND(IF(H21="",0,H21)/60,2))</f>
        <v>0</v>
      </c>
      <c r="P21" s="34">
        <f>IF(B21="","",ROUND(SUMIFS($H$5:$H$404,$B$5:$B$404,B21,$M$5:$M$404,"Yes")/60,2))</f>
        <v>0</v>
      </c>
      <c r="Q21" s="34">
        <f>IF(B21="","",IFERROR(INDEX(Services!$G$5:$G$64,MATCH(B21,Services!$B$5:$B$64,0)),""))</f>
        <v>0</v>
      </c>
      <c r="R21" s="31">
        <f>IF(F21="","",COUNTIFS('Job Tasks'!$G$5:$G$904,F21,'Job Tasks'!$H$5:$H$904,"Done"))</f>
        <v>0</v>
      </c>
      <c r="S21" s="31">
        <f>IF(F21="","",COUNTIFS('Job Tasks'!$G$5:$G$904,F21,'Job Tasks'!$H$5:$H$904,"Skipped"))</f>
        <v>0</v>
      </c>
      <c r="T21" s="31">
        <f>IF(F21="","",COUNTIFS('Job Tasks'!$G$5:$G$904,F21,'Job Tasks'!$H$5:$H$904,"Issue found"))</f>
        <v>0</v>
      </c>
      <c r="U21" s="39">
        <f>IF(F21="","",IF(R21+S21=0,"New",IF(S21/(R21+S21)&gt;0.25,"Often skipped","Working")))</f>
        <v>0</v>
      </c>
      <c r="V21" s="31">
        <f>IF(OR(B21="",F21=""),"",COUNTIFS($B$5:B21,B21))</f>
        <v>0</v>
      </c>
      <c r="W21" s="23">
        <f>IF(V21="","",B21&amp;"|"&amp;V21)</f>
        <v>0</v>
      </c>
      <c r="X21" s="39">
        <f>IF(F21="","",IF(B21="","Add - which service?",IF(H21="","Add - how many minutes?",IF(AND(Q21&lt;&gt;"",P21&gt;Q21+0.25),"Check - checklist is longer than the service allows",IF(S21&gt;=3,"Check - often skipped","OK")))))</f>
        <v>0</v>
      </c>
    </row>
    <row r="22" spans="1:24">
      <c r="A22" s="43">
        <f>IF(F22="","","CHK-"&amp;TEXT(ROW()-4,"0000"))</f>
        <v>0</v>
      </c>
      <c r="B22" s="15" t="s">
        <v>770</v>
      </c>
      <c r="C22" s="49" t="s">
        <v>172</v>
      </c>
      <c r="D22" s="15" t="s">
        <v>1211</v>
      </c>
      <c r="E22" s="16">
        <v>2</v>
      </c>
      <c r="F22" s="15" t="s">
        <v>1212</v>
      </c>
      <c r="G22" s="44" t="s">
        <v>1266</v>
      </c>
      <c r="H22" s="16">
        <v>10</v>
      </c>
      <c r="I22" s="15" t="s">
        <v>1249</v>
      </c>
      <c r="J22" s="47" t="s">
        <v>454</v>
      </c>
      <c r="K22" s="47" t="s">
        <v>457</v>
      </c>
      <c r="L22" s="15" t="s">
        <v>172</v>
      </c>
      <c r="M22" s="47" t="s">
        <v>454</v>
      </c>
      <c r="N22" s="44" t="s">
        <v>172</v>
      </c>
      <c r="O22" s="34">
        <f>IF(F22="","",ROUND(IF(H22="",0,H22)/60,2))</f>
        <v>0</v>
      </c>
      <c r="P22" s="34">
        <f>IF(B22="","",ROUND(SUMIFS($H$5:$H$404,$B$5:$B$404,B22,$M$5:$M$404,"Yes")/60,2))</f>
        <v>0</v>
      </c>
      <c r="Q22" s="34">
        <f>IF(B22="","",IFERROR(INDEX(Services!$G$5:$G$64,MATCH(B22,Services!$B$5:$B$64,0)),""))</f>
        <v>0</v>
      </c>
      <c r="R22" s="31">
        <f>IF(F22="","",COUNTIFS('Job Tasks'!$G$5:$G$904,F22,'Job Tasks'!$H$5:$H$904,"Done"))</f>
        <v>0</v>
      </c>
      <c r="S22" s="31">
        <f>IF(F22="","",COUNTIFS('Job Tasks'!$G$5:$G$904,F22,'Job Tasks'!$H$5:$H$904,"Skipped"))</f>
        <v>0</v>
      </c>
      <c r="T22" s="31">
        <f>IF(F22="","",COUNTIFS('Job Tasks'!$G$5:$G$904,F22,'Job Tasks'!$H$5:$H$904,"Issue found"))</f>
        <v>0</v>
      </c>
      <c r="U22" s="39">
        <f>IF(F22="","",IF(R22+S22=0,"New",IF(S22/(R22+S22)&gt;0.25,"Often skipped","Working")))</f>
        <v>0</v>
      </c>
      <c r="V22" s="31">
        <f>IF(OR(B22="",F22=""),"",COUNTIFS($B$5:B22,B22))</f>
        <v>0</v>
      </c>
      <c r="W22" s="23">
        <f>IF(V22="","",B22&amp;"|"&amp;V22)</f>
        <v>0</v>
      </c>
      <c r="X22" s="39">
        <f>IF(F22="","",IF(B22="","Add - which service?",IF(H22="","Add - how many minutes?",IF(AND(Q22&lt;&gt;"",P22&gt;Q22+0.25),"Check - checklist is longer than the service allows",IF(S22&gt;=3,"Check - often skipped","OK")))))</f>
        <v>0</v>
      </c>
    </row>
    <row r="23" spans="1:24">
      <c r="A23" s="43">
        <f>IF(F23="","","CHK-"&amp;TEXT(ROW()-4,"0000"))</f>
        <v>0</v>
      </c>
      <c r="B23" s="15" t="s">
        <v>770</v>
      </c>
      <c r="C23" s="49" t="s">
        <v>172</v>
      </c>
      <c r="D23" s="15" t="s">
        <v>1211</v>
      </c>
      <c r="E23" s="16">
        <v>3</v>
      </c>
      <c r="F23" s="15" t="s">
        <v>1213</v>
      </c>
      <c r="G23" s="44" t="s">
        <v>1267</v>
      </c>
      <c r="H23" s="16">
        <v>12</v>
      </c>
      <c r="I23" s="15" t="s">
        <v>1249</v>
      </c>
      <c r="J23" s="47" t="s">
        <v>454</v>
      </c>
      <c r="K23" s="47" t="s">
        <v>457</v>
      </c>
      <c r="L23" s="15" t="s">
        <v>172</v>
      </c>
      <c r="M23" s="47" t="s">
        <v>454</v>
      </c>
      <c r="N23" s="44" t="s">
        <v>172</v>
      </c>
      <c r="O23" s="34">
        <f>IF(F23="","",ROUND(IF(H23="",0,H23)/60,2))</f>
        <v>0</v>
      </c>
      <c r="P23" s="34">
        <f>IF(B23="","",ROUND(SUMIFS($H$5:$H$404,$B$5:$B$404,B23,$M$5:$M$404,"Yes")/60,2))</f>
        <v>0</v>
      </c>
      <c r="Q23" s="34">
        <f>IF(B23="","",IFERROR(INDEX(Services!$G$5:$G$64,MATCH(B23,Services!$B$5:$B$64,0)),""))</f>
        <v>0</v>
      </c>
      <c r="R23" s="31">
        <f>IF(F23="","",COUNTIFS('Job Tasks'!$G$5:$G$904,F23,'Job Tasks'!$H$5:$H$904,"Done"))</f>
        <v>0</v>
      </c>
      <c r="S23" s="31">
        <f>IF(F23="","",COUNTIFS('Job Tasks'!$G$5:$G$904,F23,'Job Tasks'!$H$5:$H$904,"Skipped"))</f>
        <v>0</v>
      </c>
      <c r="T23" s="31">
        <f>IF(F23="","",COUNTIFS('Job Tasks'!$G$5:$G$904,F23,'Job Tasks'!$H$5:$H$904,"Issue found"))</f>
        <v>0</v>
      </c>
      <c r="U23" s="39">
        <f>IF(F23="","",IF(R23+S23=0,"New",IF(S23/(R23+S23)&gt;0.25,"Often skipped","Working")))</f>
        <v>0</v>
      </c>
      <c r="V23" s="31">
        <f>IF(OR(B23="",F23=""),"",COUNTIFS($B$5:B23,B23))</f>
        <v>0</v>
      </c>
      <c r="W23" s="23">
        <f>IF(V23="","",B23&amp;"|"&amp;V23)</f>
        <v>0</v>
      </c>
      <c r="X23" s="39">
        <f>IF(F23="","",IF(B23="","Add - which service?",IF(H23="","Add - how many minutes?",IF(AND(Q23&lt;&gt;"",P23&gt;Q23+0.25),"Check - checklist is longer than the service allows",IF(S23&gt;=3,"Check - often skipped","OK")))))</f>
        <v>0</v>
      </c>
    </row>
    <row r="24" spans="1:24">
      <c r="A24" s="43">
        <f>IF(F24="","","CHK-"&amp;TEXT(ROW()-4,"0000"))</f>
        <v>0</v>
      </c>
      <c r="B24" s="15" t="s">
        <v>770</v>
      </c>
      <c r="C24" s="49" t="s">
        <v>172</v>
      </c>
      <c r="D24" s="15" t="s">
        <v>1211</v>
      </c>
      <c r="E24" s="16">
        <v>4</v>
      </c>
      <c r="F24" s="15" t="s">
        <v>1214</v>
      </c>
      <c r="G24" s="44" t="s">
        <v>1268</v>
      </c>
      <c r="H24" s="16">
        <v>15</v>
      </c>
      <c r="I24" s="15" t="s">
        <v>1249</v>
      </c>
      <c r="J24" s="47" t="s">
        <v>454</v>
      </c>
      <c r="K24" s="47" t="s">
        <v>457</v>
      </c>
      <c r="L24" s="15" t="s">
        <v>172</v>
      </c>
      <c r="M24" s="47" t="s">
        <v>454</v>
      </c>
      <c r="N24" s="44" t="s">
        <v>172</v>
      </c>
      <c r="O24" s="34">
        <f>IF(F24="","",ROUND(IF(H24="",0,H24)/60,2))</f>
        <v>0</v>
      </c>
      <c r="P24" s="34">
        <f>IF(B24="","",ROUND(SUMIFS($H$5:$H$404,$B$5:$B$404,B24,$M$5:$M$404,"Yes")/60,2))</f>
        <v>0</v>
      </c>
      <c r="Q24" s="34">
        <f>IF(B24="","",IFERROR(INDEX(Services!$G$5:$G$64,MATCH(B24,Services!$B$5:$B$64,0)),""))</f>
        <v>0</v>
      </c>
      <c r="R24" s="31">
        <f>IF(F24="","",COUNTIFS('Job Tasks'!$G$5:$G$904,F24,'Job Tasks'!$H$5:$H$904,"Done"))</f>
        <v>0</v>
      </c>
      <c r="S24" s="31">
        <f>IF(F24="","",COUNTIFS('Job Tasks'!$G$5:$G$904,F24,'Job Tasks'!$H$5:$H$904,"Skipped"))</f>
        <v>0</v>
      </c>
      <c r="T24" s="31">
        <f>IF(F24="","",COUNTIFS('Job Tasks'!$G$5:$G$904,F24,'Job Tasks'!$H$5:$H$904,"Issue found"))</f>
        <v>0</v>
      </c>
      <c r="U24" s="39">
        <f>IF(F24="","",IF(R24+S24=0,"New",IF(S24/(R24+S24)&gt;0.25,"Often skipped","Working")))</f>
        <v>0</v>
      </c>
      <c r="V24" s="31">
        <f>IF(OR(B24="",F24=""),"",COUNTIFS($B$5:B24,B24))</f>
        <v>0</v>
      </c>
      <c r="W24" s="23">
        <f>IF(V24="","",B24&amp;"|"&amp;V24)</f>
        <v>0</v>
      </c>
      <c r="X24" s="39">
        <f>IF(F24="","",IF(B24="","Add - which service?",IF(H24="","Add - how many minutes?",IF(AND(Q24&lt;&gt;"",P24&gt;Q24+0.25),"Check - checklist is longer than the service allows",IF(S24&gt;=3,"Check - often skipped","OK")))))</f>
        <v>0</v>
      </c>
    </row>
    <row r="25" spans="1:24">
      <c r="A25" s="43">
        <f>IF(F25="","","CHK-"&amp;TEXT(ROW()-4,"0000"))</f>
        <v>0</v>
      </c>
      <c r="B25" s="15" t="s">
        <v>770</v>
      </c>
      <c r="C25" s="49" t="s">
        <v>172</v>
      </c>
      <c r="D25" s="15" t="s">
        <v>1215</v>
      </c>
      <c r="E25" s="16">
        <v>5</v>
      </c>
      <c r="F25" s="15" t="s">
        <v>1216</v>
      </c>
      <c r="G25" s="44" t="s">
        <v>1269</v>
      </c>
      <c r="H25" s="16">
        <v>10</v>
      </c>
      <c r="I25" s="15" t="s">
        <v>1249</v>
      </c>
      <c r="J25" s="47" t="s">
        <v>454</v>
      </c>
      <c r="K25" s="47" t="s">
        <v>457</v>
      </c>
      <c r="L25" s="15" t="s">
        <v>172</v>
      </c>
      <c r="M25" s="47" t="s">
        <v>454</v>
      </c>
      <c r="N25" s="44" t="s">
        <v>172</v>
      </c>
      <c r="O25" s="34">
        <f>IF(F25="","",ROUND(IF(H25="",0,H25)/60,2))</f>
        <v>0</v>
      </c>
      <c r="P25" s="34">
        <f>IF(B25="","",ROUND(SUMIFS($H$5:$H$404,$B$5:$B$404,B25,$M$5:$M$404,"Yes")/60,2))</f>
        <v>0</v>
      </c>
      <c r="Q25" s="34">
        <f>IF(B25="","",IFERROR(INDEX(Services!$G$5:$G$64,MATCH(B25,Services!$B$5:$B$64,0)),""))</f>
        <v>0</v>
      </c>
      <c r="R25" s="31">
        <f>IF(F25="","",COUNTIFS('Job Tasks'!$G$5:$G$904,F25,'Job Tasks'!$H$5:$H$904,"Done"))</f>
        <v>0</v>
      </c>
      <c r="S25" s="31">
        <f>IF(F25="","",COUNTIFS('Job Tasks'!$G$5:$G$904,F25,'Job Tasks'!$H$5:$H$904,"Skipped"))</f>
        <v>0</v>
      </c>
      <c r="T25" s="31">
        <f>IF(F25="","",COUNTIFS('Job Tasks'!$G$5:$G$904,F25,'Job Tasks'!$H$5:$H$904,"Issue found"))</f>
        <v>0</v>
      </c>
      <c r="U25" s="39">
        <f>IF(F25="","",IF(R25+S25=0,"New",IF(S25/(R25+S25)&gt;0.25,"Often skipped","Working")))</f>
        <v>0</v>
      </c>
      <c r="V25" s="31">
        <f>IF(OR(B25="",F25=""),"",COUNTIFS($B$5:B25,B25))</f>
        <v>0</v>
      </c>
      <c r="W25" s="23">
        <f>IF(V25="","",B25&amp;"|"&amp;V25)</f>
        <v>0</v>
      </c>
      <c r="X25" s="39">
        <f>IF(F25="","",IF(B25="","Add - which service?",IF(H25="","Add - how many minutes?",IF(AND(Q25&lt;&gt;"",P25&gt;Q25+0.25),"Check - checklist is longer than the service allows",IF(S25&gt;=3,"Check - often skipped","OK")))))</f>
        <v>0</v>
      </c>
    </row>
    <row r="26" spans="1:24">
      <c r="A26" s="43">
        <f>IF(F26="","","CHK-"&amp;TEXT(ROW()-4,"0000"))</f>
        <v>0</v>
      </c>
      <c r="B26" s="15" t="s">
        <v>770</v>
      </c>
      <c r="C26" s="49" t="s">
        <v>172</v>
      </c>
      <c r="D26" s="15" t="s">
        <v>1217</v>
      </c>
      <c r="E26" s="16">
        <v>6</v>
      </c>
      <c r="F26" s="15" t="s">
        <v>1218</v>
      </c>
      <c r="G26" s="44" t="s">
        <v>1270</v>
      </c>
      <c r="H26" s="16">
        <v>15</v>
      </c>
      <c r="I26" s="15" t="s">
        <v>1249</v>
      </c>
      <c r="J26" s="47" t="s">
        <v>454</v>
      </c>
      <c r="K26" s="47" t="s">
        <v>457</v>
      </c>
      <c r="L26" s="15" t="s">
        <v>172</v>
      </c>
      <c r="M26" s="47" t="s">
        <v>454</v>
      </c>
      <c r="N26" s="44" t="s">
        <v>172</v>
      </c>
      <c r="O26" s="34">
        <f>IF(F26="","",ROUND(IF(H26="",0,H26)/60,2))</f>
        <v>0</v>
      </c>
      <c r="P26" s="34">
        <f>IF(B26="","",ROUND(SUMIFS($H$5:$H$404,$B$5:$B$404,B26,$M$5:$M$404,"Yes")/60,2))</f>
        <v>0</v>
      </c>
      <c r="Q26" s="34">
        <f>IF(B26="","",IFERROR(INDEX(Services!$G$5:$G$64,MATCH(B26,Services!$B$5:$B$64,0)),""))</f>
        <v>0</v>
      </c>
      <c r="R26" s="31">
        <f>IF(F26="","",COUNTIFS('Job Tasks'!$G$5:$G$904,F26,'Job Tasks'!$H$5:$H$904,"Done"))</f>
        <v>0</v>
      </c>
      <c r="S26" s="31">
        <f>IF(F26="","",COUNTIFS('Job Tasks'!$G$5:$G$904,F26,'Job Tasks'!$H$5:$H$904,"Skipped"))</f>
        <v>0</v>
      </c>
      <c r="T26" s="31">
        <f>IF(F26="","",COUNTIFS('Job Tasks'!$G$5:$G$904,F26,'Job Tasks'!$H$5:$H$904,"Issue found"))</f>
        <v>0</v>
      </c>
      <c r="U26" s="39">
        <f>IF(F26="","",IF(R26+S26=0,"New",IF(S26/(R26+S26)&gt;0.25,"Often skipped","Working")))</f>
        <v>0</v>
      </c>
      <c r="V26" s="31">
        <f>IF(OR(B26="",F26=""),"",COUNTIFS($B$5:B26,B26))</f>
        <v>0</v>
      </c>
      <c r="W26" s="23">
        <f>IF(V26="","",B26&amp;"|"&amp;V26)</f>
        <v>0</v>
      </c>
      <c r="X26" s="39">
        <f>IF(F26="","",IF(B26="","Add - which service?",IF(H26="","Add - how many minutes?",IF(AND(Q26&lt;&gt;"",P26&gt;Q26+0.25),"Check - checklist is longer than the service allows",IF(S26&gt;=3,"Check - often skipped","OK")))))</f>
        <v>0</v>
      </c>
    </row>
    <row r="27" spans="1:24">
      <c r="A27" s="43">
        <f>IF(F27="","","CHK-"&amp;TEXT(ROW()-4,"0000"))</f>
        <v>0</v>
      </c>
      <c r="B27" s="15" t="s">
        <v>770</v>
      </c>
      <c r="C27" s="49" t="s">
        <v>172</v>
      </c>
      <c r="D27" s="15" t="s">
        <v>1219</v>
      </c>
      <c r="E27" s="16">
        <v>7</v>
      </c>
      <c r="F27" s="15" t="s">
        <v>1220</v>
      </c>
      <c r="G27" s="44" t="s">
        <v>1271</v>
      </c>
      <c r="H27" s="16">
        <v>8</v>
      </c>
      <c r="I27" s="15" t="s">
        <v>1249</v>
      </c>
      <c r="J27" s="47" t="s">
        <v>454</v>
      </c>
      <c r="K27" s="47" t="s">
        <v>457</v>
      </c>
      <c r="L27" s="15" t="s">
        <v>172</v>
      </c>
      <c r="M27" s="47" t="s">
        <v>454</v>
      </c>
      <c r="N27" s="44" t="s">
        <v>172</v>
      </c>
      <c r="O27" s="34">
        <f>IF(F27="","",ROUND(IF(H27="",0,H27)/60,2))</f>
        <v>0</v>
      </c>
      <c r="P27" s="34">
        <f>IF(B27="","",ROUND(SUMIFS($H$5:$H$404,$B$5:$B$404,B27,$M$5:$M$404,"Yes")/60,2))</f>
        <v>0</v>
      </c>
      <c r="Q27" s="34">
        <f>IF(B27="","",IFERROR(INDEX(Services!$G$5:$G$64,MATCH(B27,Services!$B$5:$B$64,0)),""))</f>
        <v>0</v>
      </c>
      <c r="R27" s="31">
        <f>IF(F27="","",COUNTIFS('Job Tasks'!$G$5:$G$904,F27,'Job Tasks'!$H$5:$H$904,"Done"))</f>
        <v>0</v>
      </c>
      <c r="S27" s="31">
        <f>IF(F27="","",COUNTIFS('Job Tasks'!$G$5:$G$904,F27,'Job Tasks'!$H$5:$H$904,"Skipped"))</f>
        <v>0</v>
      </c>
      <c r="T27" s="31">
        <f>IF(F27="","",COUNTIFS('Job Tasks'!$G$5:$G$904,F27,'Job Tasks'!$H$5:$H$904,"Issue found"))</f>
        <v>0</v>
      </c>
      <c r="U27" s="39">
        <f>IF(F27="","",IF(R27+S27=0,"New",IF(S27/(R27+S27)&gt;0.25,"Often skipped","Working")))</f>
        <v>0</v>
      </c>
      <c r="V27" s="31">
        <f>IF(OR(B27="",F27=""),"",COUNTIFS($B$5:B27,B27))</f>
        <v>0</v>
      </c>
      <c r="W27" s="23">
        <f>IF(V27="","",B27&amp;"|"&amp;V27)</f>
        <v>0</v>
      </c>
      <c r="X27" s="39">
        <f>IF(F27="","",IF(B27="","Add - which service?",IF(H27="","Add - how many minutes?",IF(AND(Q27&lt;&gt;"",P27&gt;Q27+0.25),"Check - checklist is longer than the service allows",IF(S27&gt;=3,"Check - often skipped","OK")))))</f>
        <v>0</v>
      </c>
    </row>
    <row r="28" spans="1:24">
      <c r="A28" s="43">
        <f>IF(F28="","","CHK-"&amp;TEXT(ROW()-4,"0000"))</f>
        <v>0</v>
      </c>
      <c r="B28" s="15" t="s">
        <v>770</v>
      </c>
      <c r="C28" s="49" t="s">
        <v>172</v>
      </c>
      <c r="D28" s="15" t="s">
        <v>1204</v>
      </c>
      <c r="E28" s="16">
        <v>8</v>
      </c>
      <c r="F28" s="15" t="s">
        <v>1221</v>
      </c>
      <c r="G28" s="44" t="s">
        <v>1272</v>
      </c>
      <c r="H28" s="16">
        <v>8</v>
      </c>
      <c r="I28" s="15" t="s">
        <v>1249</v>
      </c>
      <c r="J28" s="47" t="s">
        <v>454</v>
      </c>
      <c r="K28" s="47" t="s">
        <v>457</v>
      </c>
      <c r="L28" s="15" t="s">
        <v>172</v>
      </c>
      <c r="M28" s="47" t="s">
        <v>454</v>
      </c>
      <c r="N28" s="44" t="s">
        <v>172</v>
      </c>
      <c r="O28" s="34">
        <f>IF(F28="","",ROUND(IF(H28="",0,H28)/60,2))</f>
        <v>0</v>
      </c>
      <c r="P28" s="34">
        <f>IF(B28="","",ROUND(SUMIFS($H$5:$H$404,$B$5:$B$404,B28,$M$5:$M$404,"Yes")/60,2))</f>
        <v>0</v>
      </c>
      <c r="Q28" s="34">
        <f>IF(B28="","",IFERROR(INDEX(Services!$G$5:$G$64,MATCH(B28,Services!$B$5:$B$64,0)),""))</f>
        <v>0</v>
      </c>
      <c r="R28" s="31">
        <f>IF(F28="","",COUNTIFS('Job Tasks'!$G$5:$G$904,F28,'Job Tasks'!$H$5:$H$904,"Done"))</f>
        <v>0</v>
      </c>
      <c r="S28" s="31">
        <f>IF(F28="","",COUNTIFS('Job Tasks'!$G$5:$G$904,F28,'Job Tasks'!$H$5:$H$904,"Skipped"))</f>
        <v>0</v>
      </c>
      <c r="T28" s="31">
        <f>IF(F28="","",COUNTIFS('Job Tasks'!$G$5:$G$904,F28,'Job Tasks'!$H$5:$H$904,"Issue found"))</f>
        <v>0</v>
      </c>
      <c r="U28" s="39">
        <f>IF(F28="","",IF(R28+S28=0,"New",IF(S28/(R28+S28)&gt;0.25,"Often skipped","Working")))</f>
        <v>0</v>
      </c>
      <c r="V28" s="31">
        <f>IF(OR(B28="",F28=""),"",COUNTIFS($B$5:B28,B28))</f>
        <v>0</v>
      </c>
      <c r="W28" s="23">
        <f>IF(V28="","",B28&amp;"|"&amp;V28)</f>
        <v>0</v>
      </c>
      <c r="X28" s="39">
        <f>IF(F28="","",IF(B28="","Add - which service?",IF(H28="","Add - how many minutes?",IF(AND(Q28&lt;&gt;"",P28&gt;Q28+0.25),"Check - checklist is longer than the service allows",IF(S28&gt;=3,"Check - often skipped","OK")))))</f>
        <v>0</v>
      </c>
    </row>
    <row r="29" spans="1:24">
      <c r="A29" s="43">
        <f>IF(F29="","","CHK-"&amp;TEXT(ROW()-4,"0000"))</f>
        <v>0</v>
      </c>
      <c r="B29" s="15" t="s">
        <v>770</v>
      </c>
      <c r="C29" s="49" t="s">
        <v>172</v>
      </c>
      <c r="D29" s="15" t="s">
        <v>1204</v>
      </c>
      <c r="E29" s="16">
        <v>9</v>
      </c>
      <c r="F29" s="15" t="s">
        <v>1222</v>
      </c>
      <c r="G29" s="44" t="s">
        <v>1273</v>
      </c>
      <c r="H29" s="16">
        <v>4</v>
      </c>
      <c r="I29" s="15" t="s">
        <v>1249</v>
      </c>
      <c r="J29" s="47" t="s">
        <v>454</v>
      </c>
      <c r="K29" s="47" t="s">
        <v>457</v>
      </c>
      <c r="L29" s="15" t="s">
        <v>172</v>
      </c>
      <c r="M29" s="47" t="s">
        <v>454</v>
      </c>
      <c r="N29" s="44" t="s">
        <v>172</v>
      </c>
      <c r="O29" s="34">
        <f>IF(F29="","",ROUND(IF(H29="",0,H29)/60,2))</f>
        <v>0</v>
      </c>
      <c r="P29" s="34">
        <f>IF(B29="","",ROUND(SUMIFS($H$5:$H$404,$B$5:$B$404,B29,$M$5:$M$404,"Yes")/60,2))</f>
        <v>0</v>
      </c>
      <c r="Q29" s="34">
        <f>IF(B29="","",IFERROR(INDEX(Services!$G$5:$G$64,MATCH(B29,Services!$B$5:$B$64,0)),""))</f>
        <v>0</v>
      </c>
      <c r="R29" s="31">
        <f>IF(F29="","",COUNTIFS('Job Tasks'!$G$5:$G$904,F29,'Job Tasks'!$H$5:$H$904,"Done"))</f>
        <v>0</v>
      </c>
      <c r="S29" s="31">
        <f>IF(F29="","",COUNTIFS('Job Tasks'!$G$5:$G$904,F29,'Job Tasks'!$H$5:$H$904,"Skipped"))</f>
        <v>0</v>
      </c>
      <c r="T29" s="31">
        <f>IF(F29="","",COUNTIFS('Job Tasks'!$G$5:$G$904,F29,'Job Tasks'!$H$5:$H$904,"Issue found"))</f>
        <v>0</v>
      </c>
      <c r="U29" s="39">
        <f>IF(F29="","",IF(R29+S29=0,"New",IF(S29/(R29+S29)&gt;0.25,"Often skipped","Working")))</f>
        <v>0</v>
      </c>
      <c r="V29" s="31">
        <f>IF(OR(B29="",F29=""),"",COUNTIFS($B$5:B29,B29))</f>
        <v>0</v>
      </c>
      <c r="W29" s="23">
        <f>IF(V29="","",B29&amp;"|"&amp;V29)</f>
        <v>0</v>
      </c>
      <c r="X29" s="39">
        <f>IF(F29="","",IF(B29="","Add - which service?",IF(H29="","Add - how many minutes?",IF(AND(Q29&lt;&gt;"",P29&gt;Q29+0.25),"Check - checklist is longer than the service allows",IF(S29&gt;=3,"Check - often skipped","OK")))))</f>
        <v>0</v>
      </c>
    </row>
    <row r="30" spans="1:24">
      <c r="A30" s="43">
        <f>IF(F30="","","CHK-"&amp;TEXT(ROW()-4,"0000"))</f>
        <v>0</v>
      </c>
      <c r="B30" s="15" t="s">
        <v>821</v>
      </c>
      <c r="C30" s="49" t="s">
        <v>172</v>
      </c>
      <c r="D30" s="15" t="s">
        <v>1204</v>
      </c>
      <c r="E30" s="16">
        <v>1</v>
      </c>
      <c r="F30" s="15" t="s">
        <v>1274</v>
      </c>
      <c r="G30" s="44" t="s">
        <v>1275</v>
      </c>
      <c r="H30" s="16">
        <v>10</v>
      </c>
      <c r="I30" s="15" t="s">
        <v>1249</v>
      </c>
      <c r="J30" s="47" t="s">
        <v>454</v>
      </c>
      <c r="K30" s="47" t="s">
        <v>454</v>
      </c>
      <c r="L30" s="15" t="s">
        <v>172</v>
      </c>
      <c r="M30" s="47" t="s">
        <v>454</v>
      </c>
      <c r="N30" s="44" t="s">
        <v>172</v>
      </c>
      <c r="O30" s="34">
        <f>IF(F30="","",ROUND(IF(H30="",0,H30)/60,2))</f>
        <v>0</v>
      </c>
      <c r="P30" s="34">
        <f>IF(B30="","",ROUND(SUMIFS($H$5:$H$404,$B$5:$B$404,B30,$M$5:$M$404,"Yes")/60,2))</f>
        <v>0</v>
      </c>
      <c r="Q30" s="34">
        <f>IF(B30="","",IFERROR(INDEX(Services!$G$5:$G$64,MATCH(B30,Services!$B$5:$B$64,0)),""))</f>
        <v>0</v>
      </c>
      <c r="R30" s="31">
        <f>IF(F30="","",COUNTIFS('Job Tasks'!$G$5:$G$904,F30,'Job Tasks'!$H$5:$H$904,"Done"))</f>
        <v>0</v>
      </c>
      <c r="S30" s="31">
        <f>IF(F30="","",COUNTIFS('Job Tasks'!$G$5:$G$904,F30,'Job Tasks'!$H$5:$H$904,"Skipped"))</f>
        <v>0</v>
      </c>
      <c r="T30" s="31">
        <f>IF(F30="","",COUNTIFS('Job Tasks'!$G$5:$G$904,F30,'Job Tasks'!$H$5:$H$904,"Issue found"))</f>
        <v>0</v>
      </c>
      <c r="U30" s="39">
        <f>IF(F30="","",IF(R30+S30=0,"New",IF(S30/(R30+S30)&gt;0.25,"Often skipped","Working")))</f>
        <v>0</v>
      </c>
      <c r="V30" s="31">
        <f>IF(OR(B30="",F30=""),"",COUNTIFS($B$5:B30,B30))</f>
        <v>0</v>
      </c>
      <c r="W30" s="23">
        <f>IF(V30="","",B30&amp;"|"&amp;V30)</f>
        <v>0</v>
      </c>
      <c r="X30" s="39">
        <f>IF(F30="","",IF(B30="","Add - which service?",IF(H30="","Add - how many minutes?",IF(AND(Q30&lt;&gt;"",P30&gt;Q30+0.25),"Check - checklist is longer than the service allows",IF(S30&gt;=3,"Check - often skipped","OK")))))</f>
        <v>0</v>
      </c>
    </row>
    <row r="31" spans="1:24">
      <c r="A31" s="43">
        <f>IF(F31="","","CHK-"&amp;TEXT(ROW()-4,"0000"))</f>
        <v>0</v>
      </c>
      <c r="B31" s="15" t="s">
        <v>821</v>
      </c>
      <c r="C31" s="49" t="s">
        <v>172</v>
      </c>
      <c r="D31" s="15" t="s">
        <v>1196</v>
      </c>
      <c r="E31" s="16">
        <v>2</v>
      </c>
      <c r="F31" s="15" t="s">
        <v>1276</v>
      </c>
      <c r="G31" s="44" t="s">
        <v>1277</v>
      </c>
      <c r="H31" s="16">
        <v>15</v>
      </c>
      <c r="I31" s="15" t="s">
        <v>1249</v>
      </c>
      <c r="J31" s="47" t="s">
        <v>454</v>
      </c>
      <c r="K31" s="47" t="s">
        <v>454</v>
      </c>
      <c r="L31" s="15" t="s">
        <v>172</v>
      </c>
      <c r="M31" s="47" t="s">
        <v>454</v>
      </c>
      <c r="N31" s="44" t="s">
        <v>172</v>
      </c>
      <c r="O31" s="34">
        <f>IF(F31="","",ROUND(IF(H31="",0,H31)/60,2))</f>
        <v>0</v>
      </c>
      <c r="P31" s="34">
        <f>IF(B31="","",ROUND(SUMIFS($H$5:$H$404,$B$5:$B$404,B31,$M$5:$M$404,"Yes")/60,2))</f>
        <v>0</v>
      </c>
      <c r="Q31" s="34">
        <f>IF(B31="","",IFERROR(INDEX(Services!$G$5:$G$64,MATCH(B31,Services!$B$5:$B$64,0)),""))</f>
        <v>0</v>
      </c>
      <c r="R31" s="31">
        <f>IF(F31="","",COUNTIFS('Job Tasks'!$G$5:$G$904,F31,'Job Tasks'!$H$5:$H$904,"Done"))</f>
        <v>0</v>
      </c>
      <c r="S31" s="31">
        <f>IF(F31="","",COUNTIFS('Job Tasks'!$G$5:$G$904,F31,'Job Tasks'!$H$5:$H$904,"Skipped"))</f>
        <v>0</v>
      </c>
      <c r="T31" s="31">
        <f>IF(F31="","",COUNTIFS('Job Tasks'!$G$5:$G$904,F31,'Job Tasks'!$H$5:$H$904,"Issue found"))</f>
        <v>0</v>
      </c>
      <c r="U31" s="39">
        <f>IF(F31="","",IF(R31+S31=0,"New",IF(S31/(R31+S31)&gt;0.25,"Often skipped","Working")))</f>
        <v>0</v>
      </c>
      <c r="V31" s="31">
        <f>IF(OR(B31="",F31=""),"",COUNTIFS($B$5:B31,B31))</f>
        <v>0</v>
      </c>
      <c r="W31" s="23">
        <f>IF(V31="","",B31&amp;"|"&amp;V31)</f>
        <v>0</v>
      </c>
      <c r="X31" s="39">
        <f>IF(F31="","",IF(B31="","Add - which service?",IF(H31="","Add - how many minutes?",IF(AND(Q31&lt;&gt;"",P31&gt;Q31+0.25),"Check - checklist is longer than the service allows",IF(S31&gt;=3,"Check - often skipped","OK")))))</f>
        <v>0</v>
      </c>
    </row>
    <row r="32" spans="1:24">
      <c r="A32" s="43">
        <f>IF(F32="","","CHK-"&amp;TEXT(ROW()-4,"0000"))</f>
        <v>0</v>
      </c>
      <c r="B32" s="15" t="s">
        <v>821</v>
      </c>
      <c r="C32" s="49" t="s">
        <v>172</v>
      </c>
      <c r="D32" s="15" t="s">
        <v>1191</v>
      </c>
      <c r="E32" s="16">
        <v>3</v>
      </c>
      <c r="F32" s="15" t="s">
        <v>1278</v>
      </c>
      <c r="G32" s="44" t="s">
        <v>1279</v>
      </c>
      <c r="H32" s="16">
        <v>15</v>
      </c>
      <c r="I32" s="15" t="s">
        <v>1249</v>
      </c>
      <c r="J32" s="47" t="s">
        <v>454</v>
      </c>
      <c r="K32" s="47" t="s">
        <v>454</v>
      </c>
      <c r="L32" s="15" t="s">
        <v>172</v>
      </c>
      <c r="M32" s="47" t="s">
        <v>454</v>
      </c>
      <c r="N32" s="44" t="s">
        <v>172</v>
      </c>
      <c r="O32" s="34">
        <f>IF(F32="","",ROUND(IF(H32="",0,H32)/60,2))</f>
        <v>0</v>
      </c>
      <c r="P32" s="34">
        <f>IF(B32="","",ROUND(SUMIFS($H$5:$H$404,$B$5:$B$404,B32,$M$5:$M$404,"Yes")/60,2))</f>
        <v>0</v>
      </c>
      <c r="Q32" s="34">
        <f>IF(B32="","",IFERROR(INDEX(Services!$G$5:$G$64,MATCH(B32,Services!$B$5:$B$64,0)),""))</f>
        <v>0</v>
      </c>
      <c r="R32" s="31">
        <f>IF(F32="","",COUNTIFS('Job Tasks'!$G$5:$G$904,F32,'Job Tasks'!$H$5:$H$904,"Done"))</f>
        <v>0</v>
      </c>
      <c r="S32" s="31">
        <f>IF(F32="","",COUNTIFS('Job Tasks'!$G$5:$G$904,F32,'Job Tasks'!$H$5:$H$904,"Skipped"))</f>
        <v>0</v>
      </c>
      <c r="T32" s="31">
        <f>IF(F32="","",COUNTIFS('Job Tasks'!$G$5:$G$904,F32,'Job Tasks'!$H$5:$H$904,"Issue found"))</f>
        <v>0</v>
      </c>
      <c r="U32" s="39">
        <f>IF(F32="","",IF(R32+S32=0,"New",IF(S32/(R32+S32)&gt;0.25,"Often skipped","Working")))</f>
        <v>0</v>
      </c>
      <c r="V32" s="31">
        <f>IF(OR(B32="",F32=""),"",COUNTIFS($B$5:B32,B32))</f>
        <v>0</v>
      </c>
      <c r="W32" s="23">
        <f>IF(V32="","",B32&amp;"|"&amp;V32)</f>
        <v>0</v>
      </c>
      <c r="X32" s="39">
        <f>IF(F32="","",IF(B32="","Add - which service?",IF(H32="","Add - how many minutes?",IF(AND(Q32&lt;&gt;"",P32&gt;Q32+0.25),"Check - checklist is longer than the service allows",IF(S32&gt;=3,"Check - often skipped","OK")))))</f>
        <v>0</v>
      </c>
    </row>
    <row r="33" spans="1:24">
      <c r="A33" s="43">
        <f>IF(F33="","","CHK-"&amp;TEXT(ROW()-4,"0000"))</f>
        <v>0</v>
      </c>
      <c r="B33" s="15" t="s">
        <v>821</v>
      </c>
      <c r="C33" s="49" t="s">
        <v>172</v>
      </c>
      <c r="D33" s="15" t="s">
        <v>1183</v>
      </c>
      <c r="E33" s="16">
        <v>4</v>
      </c>
      <c r="F33" s="15" t="s">
        <v>1280</v>
      </c>
      <c r="G33" s="44" t="s">
        <v>1281</v>
      </c>
      <c r="H33" s="16">
        <v>15</v>
      </c>
      <c r="I33" s="15" t="s">
        <v>1249</v>
      </c>
      <c r="J33" s="47" t="s">
        <v>454</v>
      </c>
      <c r="K33" s="47" t="s">
        <v>457</v>
      </c>
      <c r="L33" s="15" t="s">
        <v>172</v>
      </c>
      <c r="M33" s="47" t="s">
        <v>454</v>
      </c>
      <c r="N33" s="44" t="s">
        <v>172</v>
      </c>
      <c r="O33" s="34">
        <f>IF(F33="","",ROUND(IF(H33="",0,H33)/60,2))</f>
        <v>0</v>
      </c>
      <c r="P33" s="34">
        <f>IF(B33="","",ROUND(SUMIFS($H$5:$H$404,$B$5:$B$404,B33,$M$5:$M$404,"Yes")/60,2))</f>
        <v>0</v>
      </c>
      <c r="Q33" s="34">
        <f>IF(B33="","",IFERROR(INDEX(Services!$G$5:$G$64,MATCH(B33,Services!$B$5:$B$64,0)),""))</f>
        <v>0</v>
      </c>
      <c r="R33" s="31">
        <f>IF(F33="","",COUNTIFS('Job Tasks'!$G$5:$G$904,F33,'Job Tasks'!$H$5:$H$904,"Done"))</f>
        <v>0</v>
      </c>
      <c r="S33" s="31">
        <f>IF(F33="","",COUNTIFS('Job Tasks'!$G$5:$G$904,F33,'Job Tasks'!$H$5:$H$904,"Skipped"))</f>
        <v>0</v>
      </c>
      <c r="T33" s="31">
        <f>IF(F33="","",COUNTIFS('Job Tasks'!$G$5:$G$904,F33,'Job Tasks'!$H$5:$H$904,"Issue found"))</f>
        <v>0</v>
      </c>
      <c r="U33" s="39">
        <f>IF(F33="","",IF(R33+S33=0,"New",IF(S33/(R33+S33)&gt;0.25,"Often skipped","Working")))</f>
        <v>0</v>
      </c>
      <c r="V33" s="31">
        <f>IF(OR(B33="",F33=""),"",COUNTIFS($B$5:B33,B33))</f>
        <v>0</v>
      </c>
      <c r="W33" s="23">
        <f>IF(V33="","",B33&amp;"|"&amp;V33)</f>
        <v>0</v>
      </c>
      <c r="X33" s="39">
        <f>IF(F33="","",IF(B33="","Add - which service?",IF(H33="","Add - how many minutes?",IF(AND(Q33&lt;&gt;"",P33&gt;Q33+0.25),"Check - checklist is longer than the service allows",IF(S33&gt;=3,"Check - often skipped","OK")))))</f>
        <v>0</v>
      </c>
    </row>
    <row r="34" spans="1:24">
      <c r="A34" s="43">
        <f>IF(F34="","","CHK-"&amp;TEXT(ROW()-4,"0000"))</f>
        <v>0</v>
      </c>
      <c r="B34" s="15" t="s">
        <v>821</v>
      </c>
      <c r="C34" s="49" t="s">
        <v>172</v>
      </c>
      <c r="D34" s="15" t="s">
        <v>1204</v>
      </c>
      <c r="E34" s="16">
        <v>5</v>
      </c>
      <c r="F34" s="15" t="s">
        <v>1282</v>
      </c>
      <c r="G34" s="44" t="s">
        <v>1283</v>
      </c>
      <c r="H34" s="16">
        <v>8</v>
      </c>
      <c r="I34" s="15" t="s">
        <v>1249</v>
      </c>
      <c r="J34" s="47" t="s">
        <v>454</v>
      </c>
      <c r="K34" s="47" t="s">
        <v>457</v>
      </c>
      <c r="L34" s="15" t="s">
        <v>172</v>
      </c>
      <c r="M34" s="47" t="s">
        <v>454</v>
      </c>
      <c r="N34" s="44" t="s">
        <v>172</v>
      </c>
      <c r="O34" s="34">
        <f>IF(F34="","",ROUND(IF(H34="",0,H34)/60,2))</f>
        <v>0</v>
      </c>
      <c r="P34" s="34">
        <f>IF(B34="","",ROUND(SUMIFS($H$5:$H$404,$B$5:$B$404,B34,$M$5:$M$404,"Yes")/60,2))</f>
        <v>0</v>
      </c>
      <c r="Q34" s="34">
        <f>IF(B34="","",IFERROR(INDEX(Services!$G$5:$G$64,MATCH(B34,Services!$B$5:$B$64,0)),""))</f>
        <v>0</v>
      </c>
      <c r="R34" s="31">
        <f>IF(F34="","",COUNTIFS('Job Tasks'!$G$5:$G$904,F34,'Job Tasks'!$H$5:$H$904,"Done"))</f>
        <v>0</v>
      </c>
      <c r="S34" s="31">
        <f>IF(F34="","",COUNTIFS('Job Tasks'!$G$5:$G$904,F34,'Job Tasks'!$H$5:$H$904,"Skipped"))</f>
        <v>0</v>
      </c>
      <c r="T34" s="31">
        <f>IF(F34="","",COUNTIFS('Job Tasks'!$G$5:$G$904,F34,'Job Tasks'!$H$5:$H$904,"Issue found"))</f>
        <v>0</v>
      </c>
      <c r="U34" s="39">
        <f>IF(F34="","",IF(R34+S34=0,"New",IF(S34/(R34+S34)&gt;0.25,"Often skipped","Working")))</f>
        <v>0</v>
      </c>
      <c r="V34" s="31">
        <f>IF(OR(B34="",F34=""),"",COUNTIFS($B$5:B34,B34))</f>
        <v>0</v>
      </c>
      <c r="W34" s="23">
        <f>IF(V34="","",B34&amp;"|"&amp;V34)</f>
        <v>0</v>
      </c>
      <c r="X34" s="39">
        <f>IF(F34="","",IF(B34="","Add - which service?",IF(H34="","Add - how many minutes?",IF(AND(Q34&lt;&gt;"",P34&gt;Q34+0.25),"Check - checklist is longer than the service allows",IF(S34&gt;=3,"Check - often skipped","OK")))))</f>
        <v>0</v>
      </c>
    </row>
    <row r="35" spans="1:24">
      <c r="A35" s="43">
        <f>IF(F35="","","CHK-"&amp;TEXT(ROW()-4,"0000"))</f>
        <v>0</v>
      </c>
      <c r="B35" s="15" t="s">
        <v>821</v>
      </c>
      <c r="C35" s="49" t="s">
        <v>172</v>
      </c>
      <c r="D35" s="15" t="s">
        <v>1204</v>
      </c>
      <c r="E35" s="16">
        <v>6</v>
      </c>
      <c r="F35" s="15" t="s">
        <v>1284</v>
      </c>
      <c r="G35" s="44" t="s">
        <v>1285</v>
      </c>
      <c r="H35" s="16">
        <v>8</v>
      </c>
      <c r="I35" s="15" t="s">
        <v>1249</v>
      </c>
      <c r="J35" s="47" t="s">
        <v>454</v>
      </c>
      <c r="K35" s="47" t="s">
        <v>454</v>
      </c>
      <c r="L35" s="15" t="s">
        <v>172</v>
      </c>
      <c r="M35" s="47" t="s">
        <v>454</v>
      </c>
      <c r="N35" s="44" t="s">
        <v>172</v>
      </c>
      <c r="O35" s="34">
        <f>IF(F35="","",ROUND(IF(H35="",0,H35)/60,2))</f>
        <v>0</v>
      </c>
      <c r="P35" s="34">
        <f>IF(B35="","",ROUND(SUMIFS($H$5:$H$404,$B$5:$B$404,B35,$M$5:$M$404,"Yes")/60,2))</f>
        <v>0</v>
      </c>
      <c r="Q35" s="34">
        <f>IF(B35="","",IFERROR(INDEX(Services!$G$5:$G$64,MATCH(B35,Services!$B$5:$B$64,0)),""))</f>
        <v>0</v>
      </c>
      <c r="R35" s="31">
        <f>IF(F35="","",COUNTIFS('Job Tasks'!$G$5:$G$904,F35,'Job Tasks'!$H$5:$H$904,"Done"))</f>
        <v>0</v>
      </c>
      <c r="S35" s="31">
        <f>IF(F35="","",COUNTIFS('Job Tasks'!$G$5:$G$904,F35,'Job Tasks'!$H$5:$H$904,"Skipped"))</f>
        <v>0</v>
      </c>
      <c r="T35" s="31">
        <f>IF(F35="","",COUNTIFS('Job Tasks'!$G$5:$G$904,F35,'Job Tasks'!$H$5:$H$904,"Issue found"))</f>
        <v>0</v>
      </c>
      <c r="U35" s="39">
        <f>IF(F35="","",IF(R35+S35=0,"New",IF(S35/(R35+S35)&gt;0.25,"Often skipped","Working")))</f>
        <v>0</v>
      </c>
      <c r="V35" s="31">
        <f>IF(OR(B35="",F35=""),"",COUNTIFS($B$5:B35,B35))</f>
        <v>0</v>
      </c>
      <c r="W35" s="23">
        <f>IF(V35="","",B35&amp;"|"&amp;V35)</f>
        <v>0</v>
      </c>
      <c r="X35" s="39">
        <f>IF(F35="","",IF(B35="","Add - which service?",IF(H35="","Add - how many minutes?",IF(AND(Q35&lt;&gt;"",P35&gt;Q35+0.25),"Check - checklist is longer than the service allows",IF(S35&gt;=3,"Check - often skipped","OK")))))</f>
        <v>0</v>
      </c>
    </row>
    <row r="36" spans="1:24">
      <c r="A36" s="43">
        <f>IF(F36="","","CHK-"&amp;TEXT(ROW()-4,"0000"))</f>
        <v>0</v>
      </c>
      <c r="B36" s="15" t="s">
        <v>821</v>
      </c>
      <c r="C36" s="49" t="s">
        <v>172</v>
      </c>
      <c r="D36" s="15" t="s">
        <v>1199</v>
      </c>
      <c r="E36" s="16">
        <v>7</v>
      </c>
      <c r="F36" s="15" t="s">
        <v>1286</v>
      </c>
      <c r="G36" s="44" t="s">
        <v>1287</v>
      </c>
      <c r="H36" s="16">
        <v>10</v>
      </c>
      <c r="I36" s="15" t="s">
        <v>1249</v>
      </c>
      <c r="J36" s="47" t="s">
        <v>454</v>
      </c>
      <c r="K36" s="47" t="s">
        <v>454</v>
      </c>
      <c r="L36" s="15" t="s">
        <v>172</v>
      </c>
      <c r="M36" s="47" t="s">
        <v>454</v>
      </c>
      <c r="N36" s="44" t="s">
        <v>172</v>
      </c>
      <c r="O36" s="34">
        <f>IF(F36="","",ROUND(IF(H36="",0,H36)/60,2))</f>
        <v>0</v>
      </c>
      <c r="P36" s="34">
        <f>IF(B36="","",ROUND(SUMIFS($H$5:$H$404,$B$5:$B$404,B36,$M$5:$M$404,"Yes")/60,2))</f>
        <v>0</v>
      </c>
      <c r="Q36" s="34">
        <f>IF(B36="","",IFERROR(INDEX(Services!$G$5:$G$64,MATCH(B36,Services!$B$5:$B$64,0)),""))</f>
        <v>0</v>
      </c>
      <c r="R36" s="31">
        <f>IF(F36="","",COUNTIFS('Job Tasks'!$G$5:$G$904,F36,'Job Tasks'!$H$5:$H$904,"Done"))</f>
        <v>0</v>
      </c>
      <c r="S36" s="31">
        <f>IF(F36="","",COUNTIFS('Job Tasks'!$G$5:$G$904,F36,'Job Tasks'!$H$5:$H$904,"Skipped"))</f>
        <v>0</v>
      </c>
      <c r="T36" s="31">
        <f>IF(F36="","",COUNTIFS('Job Tasks'!$G$5:$G$904,F36,'Job Tasks'!$H$5:$H$904,"Issue found"))</f>
        <v>0</v>
      </c>
      <c r="U36" s="39">
        <f>IF(F36="","",IF(R36+S36=0,"New",IF(S36/(R36+S36)&gt;0.25,"Often skipped","Working")))</f>
        <v>0</v>
      </c>
      <c r="V36" s="31">
        <f>IF(OR(B36="",F36=""),"",COUNTIFS($B$5:B36,B36))</f>
        <v>0</v>
      </c>
      <c r="W36" s="23">
        <f>IF(V36="","",B36&amp;"|"&amp;V36)</f>
        <v>0</v>
      </c>
      <c r="X36" s="39">
        <f>IF(F36="","",IF(B36="","Add - which service?",IF(H36="","Add - how many minutes?",IF(AND(Q36&lt;&gt;"",P36&gt;Q36+0.25),"Check - checklist is longer than the service allows",IF(S36&gt;=3,"Check - often skipped","OK")))))</f>
        <v>0</v>
      </c>
    </row>
    <row r="37" spans="1:24">
      <c r="A37" s="43">
        <f>IF(F37="","","CHK-"&amp;TEXT(ROW()-4,"0000"))</f>
        <v>0</v>
      </c>
      <c r="B37" s="15" t="s">
        <v>821</v>
      </c>
      <c r="C37" s="49" t="s">
        <v>172</v>
      </c>
      <c r="D37" s="15" t="s">
        <v>1204</v>
      </c>
      <c r="E37" s="16">
        <v>8</v>
      </c>
      <c r="F37" s="15" t="s">
        <v>1288</v>
      </c>
      <c r="G37" s="44" t="s">
        <v>1289</v>
      </c>
      <c r="H37" s="16">
        <v>15</v>
      </c>
      <c r="I37" s="15" t="s">
        <v>1249</v>
      </c>
      <c r="J37" s="47" t="s">
        <v>454</v>
      </c>
      <c r="K37" s="47" t="s">
        <v>457</v>
      </c>
      <c r="L37" s="15" t="s">
        <v>172</v>
      </c>
      <c r="M37" s="47" t="s">
        <v>454</v>
      </c>
      <c r="N37" s="44" t="s">
        <v>172</v>
      </c>
      <c r="O37" s="34">
        <f>IF(F37="","",ROUND(IF(H37="",0,H37)/60,2))</f>
        <v>0</v>
      </c>
      <c r="P37" s="34">
        <f>IF(B37="","",ROUND(SUMIFS($H$5:$H$404,$B$5:$B$404,B37,$M$5:$M$404,"Yes")/60,2))</f>
        <v>0</v>
      </c>
      <c r="Q37" s="34">
        <f>IF(B37="","",IFERROR(INDEX(Services!$G$5:$G$64,MATCH(B37,Services!$B$5:$B$64,0)),""))</f>
        <v>0</v>
      </c>
      <c r="R37" s="31">
        <f>IF(F37="","",COUNTIFS('Job Tasks'!$G$5:$G$904,F37,'Job Tasks'!$H$5:$H$904,"Done"))</f>
        <v>0</v>
      </c>
      <c r="S37" s="31">
        <f>IF(F37="","",COUNTIFS('Job Tasks'!$G$5:$G$904,F37,'Job Tasks'!$H$5:$H$904,"Skipped"))</f>
        <v>0</v>
      </c>
      <c r="T37" s="31">
        <f>IF(F37="","",COUNTIFS('Job Tasks'!$G$5:$G$904,F37,'Job Tasks'!$H$5:$H$904,"Issue found"))</f>
        <v>0</v>
      </c>
      <c r="U37" s="39">
        <f>IF(F37="","",IF(R37+S37=0,"New",IF(S37/(R37+S37)&gt;0.25,"Often skipped","Working")))</f>
        <v>0</v>
      </c>
      <c r="V37" s="31">
        <f>IF(OR(B37="",F37=""),"",COUNTIFS($B$5:B37,B37))</f>
        <v>0</v>
      </c>
      <c r="W37" s="23">
        <f>IF(V37="","",B37&amp;"|"&amp;V37)</f>
        <v>0</v>
      </c>
      <c r="X37" s="39">
        <f>IF(F37="","",IF(B37="","Add - which service?",IF(H37="","Add - how many minutes?",IF(AND(Q37&lt;&gt;"",P37&gt;Q37+0.25),"Check - checklist is longer than the service allows",IF(S37&gt;=3,"Check - often skipped","OK")))))</f>
        <v>0</v>
      </c>
    </row>
    <row r="38" spans="1:24">
      <c r="A38" s="43">
        <f>IF(F38="","","CHK-"&amp;TEXT(ROW()-4,"0000"))</f>
        <v>0</v>
      </c>
      <c r="B38" s="15" t="s">
        <v>821</v>
      </c>
      <c r="C38" s="49" t="s">
        <v>172</v>
      </c>
      <c r="D38" s="15" t="s">
        <v>1204</v>
      </c>
      <c r="E38" s="16">
        <v>9</v>
      </c>
      <c r="F38" s="15" t="s">
        <v>1290</v>
      </c>
      <c r="G38" s="44" t="s">
        <v>1291</v>
      </c>
      <c r="H38" s="16">
        <v>5</v>
      </c>
      <c r="I38" s="15" t="s">
        <v>1249</v>
      </c>
      <c r="J38" s="47" t="s">
        <v>454</v>
      </c>
      <c r="K38" s="47" t="s">
        <v>457</v>
      </c>
      <c r="L38" s="15" t="s">
        <v>172</v>
      </c>
      <c r="M38" s="47" t="s">
        <v>454</v>
      </c>
      <c r="N38" s="44" t="s">
        <v>172</v>
      </c>
      <c r="O38" s="34">
        <f>IF(F38="","",ROUND(IF(H38="",0,H38)/60,2))</f>
        <v>0</v>
      </c>
      <c r="P38" s="34">
        <f>IF(B38="","",ROUND(SUMIFS($H$5:$H$404,$B$5:$B$404,B38,$M$5:$M$404,"Yes")/60,2))</f>
        <v>0</v>
      </c>
      <c r="Q38" s="34">
        <f>IF(B38="","",IFERROR(INDEX(Services!$G$5:$G$64,MATCH(B38,Services!$B$5:$B$64,0)),""))</f>
        <v>0</v>
      </c>
      <c r="R38" s="31">
        <f>IF(F38="","",COUNTIFS('Job Tasks'!$G$5:$G$904,F38,'Job Tasks'!$H$5:$H$904,"Done"))</f>
        <v>0</v>
      </c>
      <c r="S38" s="31">
        <f>IF(F38="","",COUNTIFS('Job Tasks'!$G$5:$G$904,F38,'Job Tasks'!$H$5:$H$904,"Skipped"))</f>
        <v>0</v>
      </c>
      <c r="T38" s="31">
        <f>IF(F38="","",COUNTIFS('Job Tasks'!$G$5:$G$904,F38,'Job Tasks'!$H$5:$H$904,"Issue found"))</f>
        <v>0</v>
      </c>
      <c r="U38" s="39">
        <f>IF(F38="","",IF(R38+S38=0,"New",IF(S38/(R38+S38)&gt;0.25,"Often skipped","Working")))</f>
        <v>0</v>
      </c>
      <c r="V38" s="31">
        <f>IF(OR(B38="",F38=""),"",COUNTIFS($B$5:B38,B38))</f>
        <v>0</v>
      </c>
      <c r="W38" s="23">
        <f>IF(V38="","",B38&amp;"|"&amp;V38)</f>
        <v>0</v>
      </c>
      <c r="X38" s="39">
        <f>IF(F38="","",IF(B38="","Add - which service?",IF(H38="","Add - how many minutes?",IF(AND(Q38&lt;&gt;"",P38&gt;Q38+0.25),"Check - checklist is longer than the service allows",IF(S38&gt;=3,"Check - often skipped","OK")))))</f>
        <v>0</v>
      </c>
    </row>
    <row r="39" spans="1:24">
      <c r="A39" s="43">
        <f>IF(F39="","","CHK-"&amp;TEXT(ROW()-4,"0000"))</f>
        <v>0</v>
      </c>
      <c r="B39" s="15" t="s">
        <v>821</v>
      </c>
      <c r="C39" s="49" t="s">
        <v>172</v>
      </c>
      <c r="D39" s="15" t="s">
        <v>1204</v>
      </c>
      <c r="E39" s="16">
        <v>10</v>
      </c>
      <c r="F39" s="15" t="s">
        <v>1292</v>
      </c>
      <c r="G39" s="44" t="s">
        <v>1293</v>
      </c>
      <c r="H39" s="16">
        <v>5</v>
      </c>
      <c r="I39" s="15" t="s">
        <v>1249</v>
      </c>
      <c r="J39" s="47" t="s">
        <v>454</v>
      </c>
      <c r="K39" s="47" t="s">
        <v>454</v>
      </c>
      <c r="L39" s="15" t="s">
        <v>172</v>
      </c>
      <c r="M39" s="47" t="s">
        <v>454</v>
      </c>
      <c r="N39" s="44" t="s">
        <v>172</v>
      </c>
      <c r="O39" s="34">
        <f>IF(F39="","",ROUND(IF(H39="",0,H39)/60,2))</f>
        <v>0</v>
      </c>
      <c r="P39" s="34">
        <f>IF(B39="","",ROUND(SUMIFS($H$5:$H$404,$B$5:$B$404,B39,$M$5:$M$404,"Yes")/60,2))</f>
        <v>0</v>
      </c>
      <c r="Q39" s="34">
        <f>IF(B39="","",IFERROR(INDEX(Services!$G$5:$G$64,MATCH(B39,Services!$B$5:$B$64,0)),""))</f>
        <v>0</v>
      </c>
      <c r="R39" s="31">
        <f>IF(F39="","",COUNTIFS('Job Tasks'!$G$5:$G$904,F39,'Job Tasks'!$H$5:$H$904,"Done"))</f>
        <v>0</v>
      </c>
      <c r="S39" s="31">
        <f>IF(F39="","",COUNTIFS('Job Tasks'!$G$5:$G$904,F39,'Job Tasks'!$H$5:$H$904,"Skipped"))</f>
        <v>0</v>
      </c>
      <c r="T39" s="31">
        <f>IF(F39="","",COUNTIFS('Job Tasks'!$G$5:$G$904,F39,'Job Tasks'!$H$5:$H$904,"Issue found"))</f>
        <v>0</v>
      </c>
      <c r="U39" s="39">
        <f>IF(F39="","",IF(R39+S39=0,"New",IF(S39/(R39+S39)&gt;0.25,"Often skipped","Working")))</f>
        <v>0</v>
      </c>
      <c r="V39" s="31">
        <f>IF(OR(B39="",F39=""),"",COUNTIFS($B$5:B39,B39))</f>
        <v>0</v>
      </c>
      <c r="W39" s="23">
        <f>IF(V39="","",B39&amp;"|"&amp;V39)</f>
        <v>0</v>
      </c>
      <c r="X39" s="39">
        <f>IF(F39="","",IF(B39="","Add - which service?",IF(H39="","Add - how many minutes?",IF(AND(Q39&lt;&gt;"",P39&gt;Q39+0.25),"Check - checklist is longer than the service allows",IF(S39&gt;=3,"Check - often skipped","OK")))))</f>
        <v>0</v>
      </c>
    </row>
    <row r="40" spans="1:24">
      <c r="A40" s="43">
        <f>IF(F40="","","CHK-"&amp;TEXT(ROW()-4,"0000"))</f>
        <v>0</v>
      </c>
      <c r="B40" s="15" t="s">
        <v>790</v>
      </c>
      <c r="C40" s="49" t="s">
        <v>172</v>
      </c>
      <c r="D40" s="15" t="s">
        <v>1183</v>
      </c>
      <c r="E40" s="16">
        <v>1</v>
      </c>
      <c r="F40" s="15" t="s">
        <v>1294</v>
      </c>
      <c r="G40" s="44" t="s">
        <v>1295</v>
      </c>
      <c r="H40" s="16">
        <v>60</v>
      </c>
      <c r="I40" s="15" t="s">
        <v>1249</v>
      </c>
      <c r="J40" s="47" t="s">
        <v>454</v>
      </c>
      <c r="K40" s="47" t="s">
        <v>454</v>
      </c>
      <c r="L40" s="15" t="s">
        <v>172</v>
      </c>
      <c r="M40" s="47" t="s">
        <v>454</v>
      </c>
      <c r="N40" s="44" t="s">
        <v>172</v>
      </c>
      <c r="O40" s="34">
        <f>IF(F40="","",ROUND(IF(H40="",0,H40)/60,2))</f>
        <v>0</v>
      </c>
      <c r="P40" s="34">
        <f>IF(B40="","",ROUND(SUMIFS($H$5:$H$404,$B$5:$B$404,B40,$M$5:$M$404,"Yes")/60,2))</f>
        <v>0</v>
      </c>
      <c r="Q40" s="34">
        <f>IF(B40="","",IFERROR(INDEX(Services!$G$5:$G$64,MATCH(B40,Services!$B$5:$B$64,0)),""))</f>
        <v>0</v>
      </c>
      <c r="R40" s="31">
        <f>IF(F40="","",COUNTIFS('Job Tasks'!$G$5:$G$904,F40,'Job Tasks'!$H$5:$H$904,"Done"))</f>
        <v>0</v>
      </c>
      <c r="S40" s="31">
        <f>IF(F40="","",COUNTIFS('Job Tasks'!$G$5:$G$904,F40,'Job Tasks'!$H$5:$H$904,"Skipped"))</f>
        <v>0</v>
      </c>
      <c r="T40" s="31">
        <f>IF(F40="","",COUNTIFS('Job Tasks'!$G$5:$G$904,F40,'Job Tasks'!$H$5:$H$904,"Issue found"))</f>
        <v>0</v>
      </c>
      <c r="U40" s="39">
        <f>IF(F40="","",IF(R40+S40=0,"New",IF(S40/(R40+S40)&gt;0.25,"Often skipped","Working")))</f>
        <v>0</v>
      </c>
      <c r="V40" s="31">
        <f>IF(OR(B40="",F40=""),"",COUNTIFS($B$5:B40,B40))</f>
        <v>0</v>
      </c>
      <c r="W40" s="23">
        <f>IF(V40="","",B40&amp;"|"&amp;V40)</f>
        <v>0</v>
      </c>
      <c r="X40" s="39">
        <f>IF(F40="","",IF(B40="","Add - which service?",IF(H40="","Add - how many minutes?",IF(AND(Q40&lt;&gt;"",P40&gt;Q40+0.25),"Check - checklist is longer than the service allows",IF(S40&gt;=3,"Check - often skipped","OK")))))</f>
        <v>0</v>
      </c>
    </row>
    <row r="41" spans="1:24">
      <c r="A41" s="43">
        <f>IF(F41="","","CHK-"&amp;TEXT(ROW()-4,"0000"))</f>
        <v>0</v>
      </c>
      <c r="B41" s="15" t="s">
        <v>790</v>
      </c>
      <c r="C41" s="49" t="s">
        <v>172</v>
      </c>
      <c r="D41" s="15" t="s">
        <v>1183</v>
      </c>
      <c r="E41" s="16">
        <v>2</v>
      </c>
      <c r="F41" s="15" t="s">
        <v>1296</v>
      </c>
      <c r="G41" s="44" t="s">
        <v>1297</v>
      </c>
      <c r="H41" s="16">
        <v>35</v>
      </c>
      <c r="I41" s="15" t="s">
        <v>1249</v>
      </c>
      <c r="J41" s="47" t="s">
        <v>454</v>
      </c>
      <c r="K41" s="47" t="s">
        <v>457</v>
      </c>
      <c r="L41" s="15" t="s">
        <v>172</v>
      </c>
      <c r="M41" s="47" t="s">
        <v>454</v>
      </c>
      <c r="N41" s="44" t="s">
        <v>172</v>
      </c>
      <c r="O41" s="34">
        <f>IF(F41="","",ROUND(IF(H41="",0,H41)/60,2))</f>
        <v>0</v>
      </c>
      <c r="P41" s="34">
        <f>IF(B41="","",ROUND(SUMIFS($H$5:$H$404,$B$5:$B$404,B41,$M$5:$M$404,"Yes")/60,2))</f>
        <v>0</v>
      </c>
      <c r="Q41" s="34">
        <f>IF(B41="","",IFERROR(INDEX(Services!$G$5:$G$64,MATCH(B41,Services!$B$5:$B$64,0)),""))</f>
        <v>0</v>
      </c>
      <c r="R41" s="31">
        <f>IF(F41="","",COUNTIFS('Job Tasks'!$G$5:$G$904,F41,'Job Tasks'!$H$5:$H$904,"Done"))</f>
        <v>0</v>
      </c>
      <c r="S41" s="31">
        <f>IF(F41="","",COUNTIFS('Job Tasks'!$G$5:$G$904,F41,'Job Tasks'!$H$5:$H$904,"Skipped"))</f>
        <v>0</v>
      </c>
      <c r="T41" s="31">
        <f>IF(F41="","",COUNTIFS('Job Tasks'!$G$5:$G$904,F41,'Job Tasks'!$H$5:$H$904,"Issue found"))</f>
        <v>0</v>
      </c>
      <c r="U41" s="39">
        <f>IF(F41="","",IF(R41+S41=0,"New",IF(S41/(R41+S41)&gt;0.25,"Often skipped","Working")))</f>
        <v>0</v>
      </c>
      <c r="V41" s="31">
        <f>IF(OR(B41="",F41=""),"",COUNTIFS($B$5:B41,B41))</f>
        <v>0</v>
      </c>
      <c r="W41" s="23">
        <f>IF(V41="","",B41&amp;"|"&amp;V41)</f>
        <v>0</v>
      </c>
      <c r="X41" s="39">
        <f>IF(F41="","",IF(B41="","Add - which service?",IF(H41="","Add - how many minutes?",IF(AND(Q41&lt;&gt;"",P41&gt;Q41+0.25),"Check - checklist is longer than the service allows",IF(S41&gt;=3,"Check - often skipped","OK")))))</f>
        <v>0</v>
      </c>
    </row>
    <row r="42" spans="1:24">
      <c r="A42" s="43">
        <f>IF(F42="","","CHK-"&amp;TEXT(ROW()-4,"0000"))</f>
        <v>0</v>
      </c>
      <c r="B42" s="15" t="s">
        <v>790</v>
      </c>
      <c r="C42" s="49" t="s">
        <v>172</v>
      </c>
      <c r="D42" s="15" t="s">
        <v>1183</v>
      </c>
      <c r="E42" s="16">
        <v>3</v>
      </c>
      <c r="F42" s="15" t="s">
        <v>1298</v>
      </c>
      <c r="G42" s="44" t="s">
        <v>1299</v>
      </c>
      <c r="H42" s="16">
        <v>30</v>
      </c>
      <c r="I42" s="15" t="s">
        <v>1249</v>
      </c>
      <c r="J42" s="47" t="s">
        <v>454</v>
      </c>
      <c r="K42" s="47" t="s">
        <v>454</v>
      </c>
      <c r="L42" s="15" t="s">
        <v>172</v>
      </c>
      <c r="M42" s="47" t="s">
        <v>454</v>
      </c>
      <c r="N42" s="44" t="s">
        <v>172</v>
      </c>
      <c r="O42" s="34">
        <f>IF(F42="","",ROUND(IF(H42="",0,H42)/60,2))</f>
        <v>0</v>
      </c>
      <c r="P42" s="34">
        <f>IF(B42="","",ROUND(SUMIFS($H$5:$H$404,$B$5:$B$404,B42,$M$5:$M$404,"Yes")/60,2))</f>
        <v>0</v>
      </c>
      <c r="Q42" s="34">
        <f>IF(B42="","",IFERROR(INDEX(Services!$G$5:$G$64,MATCH(B42,Services!$B$5:$B$64,0)),""))</f>
        <v>0</v>
      </c>
      <c r="R42" s="31">
        <f>IF(F42="","",COUNTIFS('Job Tasks'!$G$5:$G$904,F42,'Job Tasks'!$H$5:$H$904,"Done"))</f>
        <v>0</v>
      </c>
      <c r="S42" s="31">
        <f>IF(F42="","",COUNTIFS('Job Tasks'!$G$5:$G$904,F42,'Job Tasks'!$H$5:$H$904,"Skipped"))</f>
        <v>0</v>
      </c>
      <c r="T42" s="31">
        <f>IF(F42="","",COUNTIFS('Job Tasks'!$G$5:$G$904,F42,'Job Tasks'!$H$5:$H$904,"Issue found"))</f>
        <v>0</v>
      </c>
      <c r="U42" s="39">
        <f>IF(F42="","",IF(R42+S42=0,"New",IF(S42/(R42+S42)&gt;0.25,"Often skipped","Working")))</f>
        <v>0</v>
      </c>
      <c r="V42" s="31">
        <f>IF(OR(B42="",F42=""),"",COUNTIFS($B$5:B42,B42))</f>
        <v>0</v>
      </c>
      <c r="W42" s="23">
        <f>IF(V42="","",B42&amp;"|"&amp;V42)</f>
        <v>0</v>
      </c>
      <c r="X42" s="39">
        <f>IF(F42="","",IF(B42="","Add - which service?",IF(H42="","Add - how many minutes?",IF(AND(Q42&lt;&gt;"",P42&gt;Q42+0.25),"Check - checklist is longer than the service allows",IF(S42&gt;=3,"Check - often skipped","OK")))))</f>
        <v>0</v>
      </c>
    </row>
    <row r="43" spans="1:24">
      <c r="A43" s="43">
        <f>IF(F43="","","CHK-"&amp;TEXT(ROW()-4,"0000"))</f>
        <v>0</v>
      </c>
      <c r="B43" s="15" t="s">
        <v>790</v>
      </c>
      <c r="C43" s="49" t="s">
        <v>172</v>
      </c>
      <c r="D43" s="15" t="s">
        <v>1183</v>
      </c>
      <c r="E43" s="16">
        <v>4</v>
      </c>
      <c r="F43" s="15" t="s">
        <v>1300</v>
      </c>
      <c r="G43" s="44" t="s">
        <v>1301</v>
      </c>
      <c r="H43" s="16">
        <v>20</v>
      </c>
      <c r="I43" s="15" t="s">
        <v>1249</v>
      </c>
      <c r="J43" s="47" t="s">
        <v>454</v>
      </c>
      <c r="K43" s="47" t="s">
        <v>457</v>
      </c>
      <c r="L43" s="15" t="s">
        <v>172</v>
      </c>
      <c r="M43" s="47" t="s">
        <v>454</v>
      </c>
      <c r="N43" s="44" t="s">
        <v>172</v>
      </c>
      <c r="O43" s="34">
        <f>IF(F43="","",ROUND(IF(H43="",0,H43)/60,2))</f>
        <v>0</v>
      </c>
      <c r="P43" s="34">
        <f>IF(B43="","",ROUND(SUMIFS($H$5:$H$404,$B$5:$B$404,B43,$M$5:$M$404,"Yes")/60,2))</f>
        <v>0</v>
      </c>
      <c r="Q43" s="34">
        <f>IF(B43="","",IFERROR(INDEX(Services!$G$5:$G$64,MATCH(B43,Services!$B$5:$B$64,0)),""))</f>
        <v>0</v>
      </c>
      <c r="R43" s="31">
        <f>IF(F43="","",COUNTIFS('Job Tasks'!$G$5:$G$904,F43,'Job Tasks'!$H$5:$H$904,"Done"))</f>
        <v>0</v>
      </c>
      <c r="S43" s="31">
        <f>IF(F43="","",COUNTIFS('Job Tasks'!$G$5:$G$904,F43,'Job Tasks'!$H$5:$H$904,"Skipped"))</f>
        <v>0</v>
      </c>
      <c r="T43" s="31">
        <f>IF(F43="","",COUNTIFS('Job Tasks'!$G$5:$G$904,F43,'Job Tasks'!$H$5:$H$904,"Issue found"))</f>
        <v>0</v>
      </c>
      <c r="U43" s="39">
        <f>IF(F43="","",IF(R43+S43=0,"New",IF(S43/(R43+S43)&gt;0.25,"Often skipped","Working")))</f>
        <v>0</v>
      </c>
      <c r="V43" s="31">
        <f>IF(OR(B43="",F43=""),"",COUNTIFS($B$5:B43,B43))</f>
        <v>0</v>
      </c>
      <c r="W43" s="23">
        <f>IF(V43="","",B43&amp;"|"&amp;V43)</f>
        <v>0</v>
      </c>
      <c r="X43" s="39">
        <f>IF(F43="","",IF(B43="","Add - which service?",IF(H43="","Add - how many minutes?",IF(AND(Q43&lt;&gt;"",P43&gt;Q43+0.25),"Check - checklist is longer than the service allows",IF(S43&gt;=3,"Check - often skipped","OK")))))</f>
        <v>0</v>
      </c>
    </row>
    <row r="44" spans="1:24">
      <c r="A44" s="43">
        <f>IF(F44="","","CHK-"&amp;TEXT(ROW()-4,"0000"))</f>
        <v>0</v>
      </c>
      <c r="B44" s="15" t="s">
        <v>790</v>
      </c>
      <c r="C44" s="49" t="s">
        <v>172</v>
      </c>
      <c r="D44" s="15" t="s">
        <v>1191</v>
      </c>
      <c r="E44" s="16">
        <v>5</v>
      </c>
      <c r="F44" s="15" t="s">
        <v>1302</v>
      </c>
      <c r="G44" s="44" t="s">
        <v>1303</v>
      </c>
      <c r="H44" s="16">
        <v>35</v>
      </c>
      <c r="I44" s="15" t="s">
        <v>1249</v>
      </c>
      <c r="J44" s="47" t="s">
        <v>454</v>
      </c>
      <c r="K44" s="47" t="s">
        <v>454</v>
      </c>
      <c r="L44" s="15" t="s">
        <v>172</v>
      </c>
      <c r="M44" s="47" t="s">
        <v>454</v>
      </c>
      <c r="N44" s="44" t="s">
        <v>172</v>
      </c>
      <c r="O44" s="34">
        <f>IF(F44="","",ROUND(IF(H44="",0,H44)/60,2))</f>
        <v>0</v>
      </c>
      <c r="P44" s="34">
        <f>IF(B44="","",ROUND(SUMIFS($H$5:$H$404,$B$5:$B$404,B44,$M$5:$M$404,"Yes")/60,2))</f>
        <v>0</v>
      </c>
      <c r="Q44" s="34">
        <f>IF(B44="","",IFERROR(INDEX(Services!$G$5:$G$64,MATCH(B44,Services!$B$5:$B$64,0)),""))</f>
        <v>0</v>
      </c>
      <c r="R44" s="31">
        <f>IF(F44="","",COUNTIFS('Job Tasks'!$G$5:$G$904,F44,'Job Tasks'!$H$5:$H$904,"Done"))</f>
        <v>0</v>
      </c>
      <c r="S44" s="31">
        <f>IF(F44="","",COUNTIFS('Job Tasks'!$G$5:$G$904,F44,'Job Tasks'!$H$5:$H$904,"Skipped"))</f>
        <v>0</v>
      </c>
      <c r="T44" s="31">
        <f>IF(F44="","",COUNTIFS('Job Tasks'!$G$5:$G$904,F44,'Job Tasks'!$H$5:$H$904,"Issue found"))</f>
        <v>0</v>
      </c>
      <c r="U44" s="39">
        <f>IF(F44="","",IF(R44+S44=0,"New",IF(S44/(R44+S44)&gt;0.25,"Often skipped","Working")))</f>
        <v>0</v>
      </c>
      <c r="V44" s="31">
        <f>IF(OR(B44="",F44=""),"",COUNTIFS($B$5:B44,B44))</f>
        <v>0</v>
      </c>
      <c r="W44" s="23">
        <f>IF(V44="","",B44&amp;"|"&amp;V44)</f>
        <v>0</v>
      </c>
      <c r="X44" s="39">
        <f>IF(F44="","",IF(B44="","Add - which service?",IF(H44="","Add - how many minutes?",IF(AND(Q44&lt;&gt;"",P44&gt;Q44+0.25),"Check - checklist is longer than the service allows",IF(S44&gt;=3,"Check - often skipped","OK")))))</f>
        <v>0</v>
      </c>
    </row>
    <row r="45" spans="1:24">
      <c r="A45" s="43">
        <f>IF(F45="","","CHK-"&amp;TEXT(ROW()-4,"0000"))</f>
        <v>0</v>
      </c>
      <c r="B45" s="15" t="s">
        <v>790</v>
      </c>
      <c r="C45" s="49" t="s">
        <v>172</v>
      </c>
      <c r="D45" s="15" t="s">
        <v>1204</v>
      </c>
      <c r="E45" s="16">
        <v>6</v>
      </c>
      <c r="F45" s="15" t="s">
        <v>1304</v>
      </c>
      <c r="G45" s="44" t="s">
        <v>1305</v>
      </c>
      <c r="H45" s="16">
        <v>30</v>
      </c>
      <c r="I45" s="15" t="s">
        <v>1249</v>
      </c>
      <c r="J45" s="47" t="s">
        <v>454</v>
      </c>
      <c r="K45" s="47" t="s">
        <v>457</v>
      </c>
      <c r="L45" s="15" t="s">
        <v>172</v>
      </c>
      <c r="M45" s="47" t="s">
        <v>454</v>
      </c>
      <c r="N45" s="44" t="s">
        <v>172</v>
      </c>
      <c r="O45" s="34">
        <f>IF(F45="","",ROUND(IF(H45="",0,H45)/60,2))</f>
        <v>0</v>
      </c>
      <c r="P45" s="34">
        <f>IF(B45="","",ROUND(SUMIFS($H$5:$H$404,$B$5:$B$404,B45,$M$5:$M$404,"Yes")/60,2))</f>
        <v>0</v>
      </c>
      <c r="Q45" s="34">
        <f>IF(B45="","",IFERROR(INDEX(Services!$G$5:$G$64,MATCH(B45,Services!$B$5:$B$64,0)),""))</f>
        <v>0</v>
      </c>
      <c r="R45" s="31">
        <f>IF(F45="","",COUNTIFS('Job Tasks'!$G$5:$G$904,F45,'Job Tasks'!$H$5:$H$904,"Done"))</f>
        <v>0</v>
      </c>
      <c r="S45" s="31">
        <f>IF(F45="","",COUNTIFS('Job Tasks'!$G$5:$G$904,F45,'Job Tasks'!$H$5:$H$904,"Skipped"))</f>
        <v>0</v>
      </c>
      <c r="T45" s="31">
        <f>IF(F45="","",COUNTIFS('Job Tasks'!$G$5:$G$904,F45,'Job Tasks'!$H$5:$H$904,"Issue found"))</f>
        <v>0</v>
      </c>
      <c r="U45" s="39">
        <f>IF(F45="","",IF(R45+S45=0,"New",IF(S45/(R45+S45)&gt;0.25,"Often skipped","Working")))</f>
        <v>0</v>
      </c>
      <c r="V45" s="31">
        <f>IF(OR(B45="",F45=""),"",COUNTIFS($B$5:B45,B45))</f>
        <v>0</v>
      </c>
      <c r="W45" s="23">
        <f>IF(V45="","",B45&amp;"|"&amp;V45)</f>
        <v>0</v>
      </c>
      <c r="X45" s="39">
        <f>IF(F45="","",IF(B45="","Add - which service?",IF(H45="","Add - how many minutes?",IF(AND(Q45&lt;&gt;"",P45&gt;Q45+0.25),"Check - checklist is longer than the service allows",IF(S45&gt;=3,"Check - often skipped","OK")))))</f>
        <v>0</v>
      </c>
    </row>
    <row r="46" spans="1:24">
      <c r="A46" s="43">
        <f>IF(F46="","","CHK-"&amp;TEXT(ROW()-4,"0000"))</f>
        <v>0</v>
      </c>
      <c r="B46" s="15" t="s">
        <v>790</v>
      </c>
      <c r="C46" s="49" t="s">
        <v>172</v>
      </c>
      <c r="D46" s="15" t="s">
        <v>1204</v>
      </c>
      <c r="E46" s="16">
        <v>7</v>
      </c>
      <c r="F46" s="15" t="s">
        <v>1306</v>
      </c>
      <c r="G46" s="44" t="s">
        <v>1307</v>
      </c>
      <c r="H46" s="16">
        <v>30</v>
      </c>
      <c r="I46" s="15" t="s">
        <v>1249</v>
      </c>
      <c r="J46" s="47" t="s">
        <v>454</v>
      </c>
      <c r="K46" s="47" t="s">
        <v>457</v>
      </c>
      <c r="L46" s="15" t="s">
        <v>172</v>
      </c>
      <c r="M46" s="47" t="s">
        <v>454</v>
      </c>
      <c r="N46" s="44" t="s">
        <v>172</v>
      </c>
      <c r="O46" s="34">
        <f>IF(F46="","",ROUND(IF(H46="",0,H46)/60,2))</f>
        <v>0</v>
      </c>
      <c r="P46" s="34">
        <f>IF(B46="","",ROUND(SUMIFS($H$5:$H$404,$B$5:$B$404,B46,$M$5:$M$404,"Yes")/60,2))</f>
        <v>0</v>
      </c>
      <c r="Q46" s="34">
        <f>IF(B46="","",IFERROR(INDEX(Services!$G$5:$G$64,MATCH(B46,Services!$B$5:$B$64,0)),""))</f>
        <v>0</v>
      </c>
      <c r="R46" s="31">
        <f>IF(F46="","",COUNTIFS('Job Tasks'!$G$5:$G$904,F46,'Job Tasks'!$H$5:$H$904,"Done"))</f>
        <v>0</v>
      </c>
      <c r="S46" s="31">
        <f>IF(F46="","",COUNTIFS('Job Tasks'!$G$5:$G$904,F46,'Job Tasks'!$H$5:$H$904,"Skipped"))</f>
        <v>0</v>
      </c>
      <c r="T46" s="31">
        <f>IF(F46="","",COUNTIFS('Job Tasks'!$G$5:$G$904,F46,'Job Tasks'!$H$5:$H$904,"Issue found"))</f>
        <v>0</v>
      </c>
      <c r="U46" s="39">
        <f>IF(F46="","",IF(R46+S46=0,"New",IF(S46/(R46+S46)&gt;0.25,"Often skipped","Working")))</f>
        <v>0</v>
      </c>
      <c r="V46" s="31">
        <f>IF(OR(B46="",F46=""),"",COUNTIFS($B$5:B46,B46))</f>
        <v>0</v>
      </c>
      <c r="W46" s="23">
        <f>IF(V46="","",B46&amp;"|"&amp;V46)</f>
        <v>0</v>
      </c>
      <c r="X46" s="39">
        <f>IF(F46="","",IF(B46="","Add - which service?",IF(H46="","Add - how many minutes?",IF(AND(Q46&lt;&gt;"",P46&gt;Q46+0.25),"Check - checklist is longer than the service allows",IF(S46&gt;=3,"Check - often skipped","OK")))))</f>
        <v>0</v>
      </c>
    </row>
    <row r="47" spans="1:24">
      <c r="A47" s="43">
        <f>IF(F47="","","CHK-"&amp;TEXT(ROW()-4,"0000"))</f>
        <v>0</v>
      </c>
      <c r="B47" s="15" t="s">
        <v>790</v>
      </c>
      <c r="C47" s="49" t="s">
        <v>172</v>
      </c>
      <c r="D47" s="15" t="s">
        <v>1204</v>
      </c>
      <c r="E47" s="16">
        <v>8</v>
      </c>
      <c r="F47" s="15" t="s">
        <v>1308</v>
      </c>
      <c r="G47" s="44" t="s">
        <v>1309</v>
      </c>
      <c r="H47" s="16">
        <v>15</v>
      </c>
      <c r="I47" s="15" t="s">
        <v>1249</v>
      </c>
      <c r="J47" s="47" t="s">
        <v>454</v>
      </c>
      <c r="K47" s="47" t="s">
        <v>457</v>
      </c>
      <c r="L47" s="15" t="s">
        <v>172</v>
      </c>
      <c r="M47" s="47" t="s">
        <v>454</v>
      </c>
      <c r="N47" s="44" t="s">
        <v>172</v>
      </c>
      <c r="O47" s="34">
        <f>IF(F47="","",ROUND(IF(H47="",0,H47)/60,2))</f>
        <v>0</v>
      </c>
      <c r="P47" s="34">
        <f>IF(B47="","",ROUND(SUMIFS($H$5:$H$404,$B$5:$B$404,B47,$M$5:$M$404,"Yes")/60,2))</f>
        <v>0</v>
      </c>
      <c r="Q47" s="34">
        <f>IF(B47="","",IFERROR(INDEX(Services!$G$5:$G$64,MATCH(B47,Services!$B$5:$B$64,0)),""))</f>
        <v>0</v>
      </c>
      <c r="R47" s="31">
        <f>IF(F47="","",COUNTIFS('Job Tasks'!$G$5:$G$904,F47,'Job Tasks'!$H$5:$H$904,"Done"))</f>
        <v>0</v>
      </c>
      <c r="S47" s="31">
        <f>IF(F47="","",COUNTIFS('Job Tasks'!$G$5:$G$904,F47,'Job Tasks'!$H$5:$H$904,"Skipped"))</f>
        <v>0</v>
      </c>
      <c r="T47" s="31">
        <f>IF(F47="","",COUNTIFS('Job Tasks'!$G$5:$G$904,F47,'Job Tasks'!$H$5:$H$904,"Issue found"))</f>
        <v>0</v>
      </c>
      <c r="U47" s="39">
        <f>IF(F47="","",IF(R47+S47=0,"New",IF(S47/(R47+S47)&gt;0.25,"Often skipped","Working")))</f>
        <v>0</v>
      </c>
      <c r="V47" s="31">
        <f>IF(OR(B47="",F47=""),"",COUNTIFS($B$5:B47,B47))</f>
        <v>0</v>
      </c>
      <c r="W47" s="23">
        <f>IF(V47="","",B47&amp;"|"&amp;V47)</f>
        <v>0</v>
      </c>
      <c r="X47" s="39">
        <f>IF(F47="","",IF(B47="","Add - which service?",IF(H47="","Add - how many minutes?",IF(AND(Q47&lt;&gt;"",P47&gt;Q47+0.25),"Check - checklist is longer than the service allows",IF(S47&gt;=3,"Check - often skipped","OK")))))</f>
        <v>0</v>
      </c>
    </row>
    <row r="48" spans="1:24">
      <c r="A48" s="43">
        <f>IF(F48="","","CHK-"&amp;TEXT(ROW()-4,"0000"))</f>
        <v>0</v>
      </c>
      <c r="B48" s="15" t="s">
        <v>790</v>
      </c>
      <c r="C48" s="49" t="s">
        <v>172</v>
      </c>
      <c r="D48" s="15" t="s">
        <v>1204</v>
      </c>
      <c r="E48" s="16">
        <v>9</v>
      </c>
      <c r="F48" s="15" t="s">
        <v>1310</v>
      </c>
      <c r="G48" s="44" t="s">
        <v>1311</v>
      </c>
      <c r="H48" s="16">
        <v>25</v>
      </c>
      <c r="I48" s="15" t="s">
        <v>1249</v>
      </c>
      <c r="J48" s="47" t="s">
        <v>454</v>
      </c>
      <c r="K48" s="47" t="s">
        <v>454</v>
      </c>
      <c r="L48" s="15" t="s">
        <v>172</v>
      </c>
      <c r="M48" s="47" t="s">
        <v>454</v>
      </c>
      <c r="N48" s="44" t="s">
        <v>172</v>
      </c>
      <c r="O48" s="34">
        <f>IF(F48="","",ROUND(IF(H48="",0,H48)/60,2))</f>
        <v>0</v>
      </c>
      <c r="P48" s="34">
        <f>IF(B48="","",ROUND(SUMIFS($H$5:$H$404,$B$5:$B$404,B48,$M$5:$M$404,"Yes")/60,2))</f>
        <v>0</v>
      </c>
      <c r="Q48" s="34">
        <f>IF(B48="","",IFERROR(INDEX(Services!$G$5:$G$64,MATCH(B48,Services!$B$5:$B$64,0)),""))</f>
        <v>0</v>
      </c>
      <c r="R48" s="31">
        <f>IF(F48="","",COUNTIFS('Job Tasks'!$G$5:$G$904,F48,'Job Tasks'!$H$5:$H$904,"Done"))</f>
        <v>0</v>
      </c>
      <c r="S48" s="31">
        <f>IF(F48="","",COUNTIFS('Job Tasks'!$G$5:$G$904,F48,'Job Tasks'!$H$5:$H$904,"Skipped"))</f>
        <v>0</v>
      </c>
      <c r="T48" s="31">
        <f>IF(F48="","",COUNTIFS('Job Tasks'!$G$5:$G$904,F48,'Job Tasks'!$H$5:$H$904,"Issue found"))</f>
        <v>0</v>
      </c>
      <c r="U48" s="39">
        <f>IF(F48="","",IF(R48+S48=0,"New",IF(S48/(R48+S48)&gt;0.25,"Often skipped","Working")))</f>
        <v>0</v>
      </c>
      <c r="V48" s="31">
        <f>IF(OR(B48="",F48=""),"",COUNTIFS($B$5:B48,B48))</f>
        <v>0</v>
      </c>
      <c r="W48" s="23">
        <f>IF(V48="","",B48&amp;"|"&amp;V48)</f>
        <v>0</v>
      </c>
      <c r="X48" s="39">
        <f>IF(F48="","",IF(B48="","Add - which service?",IF(H48="","Add - how many minutes?",IF(AND(Q48&lt;&gt;"",P48&gt;Q48+0.25),"Check - checklist is longer than the service allows",IF(S48&gt;=3,"Check - often skipped","OK")))))</f>
        <v>0</v>
      </c>
    </row>
    <row r="49" spans="1:24">
      <c r="A49" s="43">
        <f>IF(F49="","","CHK-"&amp;TEXT(ROW()-4,"0000"))</f>
        <v>0</v>
      </c>
      <c r="B49" s="15" t="s">
        <v>790</v>
      </c>
      <c r="C49" s="49" t="s">
        <v>172</v>
      </c>
      <c r="D49" s="15" t="s">
        <v>1204</v>
      </c>
      <c r="E49" s="16">
        <v>10</v>
      </c>
      <c r="F49" s="15" t="s">
        <v>1312</v>
      </c>
      <c r="G49" s="44" t="s">
        <v>1313</v>
      </c>
      <c r="H49" s="16">
        <v>20</v>
      </c>
      <c r="I49" s="15" t="s">
        <v>1249</v>
      </c>
      <c r="J49" s="47" t="s">
        <v>454</v>
      </c>
      <c r="K49" s="47" t="s">
        <v>457</v>
      </c>
      <c r="L49" s="15" t="s">
        <v>172</v>
      </c>
      <c r="M49" s="47" t="s">
        <v>454</v>
      </c>
      <c r="N49" s="44" t="s">
        <v>172</v>
      </c>
      <c r="O49" s="34">
        <f>IF(F49="","",ROUND(IF(H49="",0,H49)/60,2))</f>
        <v>0</v>
      </c>
      <c r="P49" s="34">
        <f>IF(B49="","",ROUND(SUMIFS($H$5:$H$404,$B$5:$B$404,B49,$M$5:$M$404,"Yes")/60,2))</f>
        <v>0</v>
      </c>
      <c r="Q49" s="34">
        <f>IF(B49="","",IFERROR(INDEX(Services!$G$5:$G$64,MATCH(B49,Services!$B$5:$B$64,0)),""))</f>
        <v>0</v>
      </c>
      <c r="R49" s="31">
        <f>IF(F49="","",COUNTIFS('Job Tasks'!$G$5:$G$904,F49,'Job Tasks'!$H$5:$H$904,"Done"))</f>
        <v>0</v>
      </c>
      <c r="S49" s="31">
        <f>IF(F49="","",COUNTIFS('Job Tasks'!$G$5:$G$904,F49,'Job Tasks'!$H$5:$H$904,"Skipped"))</f>
        <v>0</v>
      </c>
      <c r="T49" s="31">
        <f>IF(F49="","",COUNTIFS('Job Tasks'!$G$5:$G$904,F49,'Job Tasks'!$H$5:$H$904,"Issue found"))</f>
        <v>0</v>
      </c>
      <c r="U49" s="39">
        <f>IF(F49="","",IF(R49+S49=0,"New",IF(S49/(R49+S49)&gt;0.25,"Often skipped","Working")))</f>
        <v>0</v>
      </c>
      <c r="V49" s="31">
        <f>IF(OR(B49="",F49=""),"",COUNTIFS($B$5:B49,B49))</f>
        <v>0</v>
      </c>
      <c r="W49" s="23">
        <f>IF(V49="","",B49&amp;"|"&amp;V49)</f>
        <v>0</v>
      </c>
      <c r="X49" s="39">
        <f>IF(F49="","",IF(B49="","Add - which service?",IF(H49="","Add - how many minutes?",IF(AND(Q49&lt;&gt;"",P49&gt;Q49+0.25),"Check - checklist is longer than the service allows",IF(S49&gt;=3,"Check - often skipped","OK")))))</f>
        <v>0</v>
      </c>
    </row>
    <row r="50" spans="1:24">
      <c r="A50" s="43">
        <f>IF(F50="","","CHK-"&amp;TEXT(ROW()-4,"0000"))</f>
        <v>0</v>
      </c>
      <c r="B50" s="15" t="s">
        <v>790</v>
      </c>
      <c r="C50" s="49" t="s">
        <v>172</v>
      </c>
      <c r="D50" s="15" t="s">
        <v>1204</v>
      </c>
      <c r="E50" s="16">
        <v>11</v>
      </c>
      <c r="F50" s="15" t="s">
        <v>1314</v>
      </c>
      <c r="G50" s="44" t="s">
        <v>1315</v>
      </c>
      <c r="H50" s="16">
        <v>15</v>
      </c>
      <c r="I50" s="15" t="s">
        <v>1249</v>
      </c>
      <c r="J50" s="47" t="s">
        <v>454</v>
      </c>
      <c r="K50" s="47" t="s">
        <v>457</v>
      </c>
      <c r="L50" s="15" t="s">
        <v>172</v>
      </c>
      <c r="M50" s="47" t="s">
        <v>454</v>
      </c>
      <c r="N50" s="44" t="s">
        <v>172</v>
      </c>
      <c r="O50" s="34">
        <f>IF(F50="","",ROUND(IF(H50="",0,H50)/60,2))</f>
        <v>0</v>
      </c>
      <c r="P50" s="34">
        <f>IF(B50="","",ROUND(SUMIFS($H$5:$H$404,$B$5:$B$404,B50,$M$5:$M$404,"Yes")/60,2))</f>
        <v>0</v>
      </c>
      <c r="Q50" s="34">
        <f>IF(B50="","",IFERROR(INDEX(Services!$G$5:$G$64,MATCH(B50,Services!$B$5:$B$64,0)),""))</f>
        <v>0</v>
      </c>
      <c r="R50" s="31">
        <f>IF(F50="","",COUNTIFS('Job Tasks'!$G$5:$G$904,F50,'Job Tasks'!$H$5:$H$904,"Done"))</f>
        <v>0</v>
      </c>
      <c r="S50" s="31">
        <f>IF(F50="","",COUNTIFS('Job Tasks'!$G$5:$G$904,F50,'Job Tasks'!$H$5:$H$904,"Skipped"))</f>
        <v>0</v>
      </c>
      <c r="T50" s="31">
        <f>IF(F50="","",COUNTIFS('Job Tasks'!$G$5:$G$904,F50,'Job Tasks'!$H$5:$H$904,"Issue found"))</f>
        <v>0</v>
      </c>
      <c r="U50" s="39">
        <f>IF(F50="","",IF(R50+S50=0,"New",IF(S50/(R50+S50)&gt;0.25,"Often skipped","Working")))</f>
        <v>0</v>
      </c>
      <c r="V50" s="31">
        <f>IF(OR(B50="",F50=""),"",COUNTIFS($B$5:B50,B50))</f>
        <v>0</v>
      </c>
      <c r="W50" s="23">
        <f>IF(V50="","",B50&amp;"|"&amp;V50)</f>
        <v>0</v>
      </c>
      <c r="X50" s="39">
        <f>IF(F50="","",IF(B50="","Add - which service?",IF(H50="","Add - how many minutes?",IF(AND(Q50&lt;&gt;"",P50&gt;Q50+0.25),"Check - checklist is longer than the service allows",IF(S50&gt;=3,"Check - often skipped","OK")))))</f>
        <v>0</v>
      </c>
    </row>
    <row r="51" spans="1:24">
      <c r="A51" s="43">
        <f>IF(F51="","","CHK-"&amp;TEXT(ROW()-4,"0000"))</f>
        <v>0</v>
      </c>
      <c r="B51" s="15" t="s">
        <v>790</v>
      </c>
      <c r="C51" s="49" t="s">
        <v>172</v>
      </c>
      <c r="D51" s="15" t="s">
        <v>1204</v>
      </c>
      <c r="E51" s="16">
        <v>12</v>
      </c>
      <c r="F51" s="15" t="s">
        <v>1316</v>
      </c>
      <c r="G51" s="44" t="s">
        <v>1317</v>
      </c>
      <c r="H51" s="16">
        <v>10</v>
      </c>
      <c r="I51" s="15" t="s">
        <v>1249</v>
      </c>
      <c r="J51" s="47" t="s">
        <v>454</v>
      </c>
      <c r="K51" s="47" t="s">
        <v>454</v>
      </c>
      <c r="L51" s="15" t="s">
        <v>172</v>
      </c>
      <c r="M51" s="47" t="s">
        <v>454</v>
      </c>
      <c r="N51" s="44" t="s">
        <v>172</v>
      </c>
      <c r="O51" s="34">
        <f>IF(F51="","",ROUND(IF(H51="",0,H51)/60,2))</f>
        <v>0</v>
      </c>
      <c r="P51" s="34">
        <f>IF(B51="","",ROUND(SUMIFS($H$5:$H$404,$B$5:$B$404,B51,$M$5:$M$404,"Yes")/60,2))</f>
        <v>0</v>
      </c>
      <c r="Q51" s="34">
        <f>IF(B51="","",IFERROR(INDEX(Services!$G$5:$G$64,MATCH(B51,Services!$B$5:$B$64,0)),""))</f>
        <v>0</v>
      </c>
      <c r="R51" s="31">
        <f>IF(F51="","",COUNTIFS('Job Tasks'!$G$5:$G$904,F51,'Job Tasks'!$H$5:$H$904,"Done"))</f>
        <v>0</v>
      </c>
      <c r="S51" s="31">
        <f>IF(F51="","",COUNTIFS('Job Tasks'!$G$5:$G$904,F51,'Job Tasks'!$H$5:$H$904,"Skipped"))</f>
        <v>0</v>
      </c>
      <c r="T51" s="31">
        <f>IF(F51="","",COUNTIFS('Job Tasks'!$G$5:$G$904,F51,'Job Tasks'!$H$5:$H$904,"Issue found"))</f>
        <v>0</v>
      </c>
      <c r="U51" s="39">
        <f>IF(F51="","",IF(R51+S51=0,"New",IF(S51/(R51+S51)&gt;0.25,"Often skipped","Working")))</f>
        <v>0</v>
      </c>
      <c r="V51" s="31">
        <f>IF(OR(B51="",F51=""),"",COUNTIFS($B$5:B51,B51))</f>
        <v>0</v>
      </c>
      <c r="W51" s="23">
        <f>IF(V51="","",B51&amp;"|"&amp;V51)</f>
        <v>0</v>
      </c>
      <c r="X51" s="39">
        <f>IF(F51="","",IF(B51="","Add - which service?",IF(H51="","Add - how many minutes?",IF(AND(Q51&lt;&gt;"",P51&gt;Q51+0.25),"Check - checklist is longer than the service allows",IF(S51&gt;=3,"Check - often skipped","OK")))))</f>
        <v>0</v>
      </c>
    </row>
    <row r="52" spans="1:24">
      <c r="A52" s="43">
        <f>IF(F52="","","CHK-"&amp;TEXT(ROW()-4,"0000"))</f>
        <v>0</v>
      </c>
      <c r="B52" s="15" t="s">
        <v>839</v>
      </c>
      <c r="C52" s="49" t="s">
        <v>172</v>
      </c>
      <c r="D52" s="15" t="s">
        <v>834</v>
      </c>
      <c r="E52" s="16">
        <v>1</v>
      </c>
      <c r="F52" s="15" t="s">
        <v>1318</v>
      </c>
      <c r="G52" s="44" t="s">
        <v>1319</v>
      </c>
      <c r="H52" s="16">
        <v>20</v>
      </c>
      <c r="I52" s="15" t="s">
        <v>1249</v>
      </c>
      <c r="J52" s="47" t="s">
        <v>454</v>
      </c>
      <c r="K52" s="47" t="s">
        <v>457</v>
      </c>
      <c r="L52" s="15" t="s">
        <v>172</v>
      </c>
      <c r="M52" s="47" t="s">
        <v>454</v>
      </c>
      <c r="N52" s="44" t="s">
        <v>172</v>
      </c>
      <c r="O52" s="34">
        <f>IF(F52="","",ROUND(IF(H52="",0,H52)/60,2))</f>
        <v>0</v>
      </c>
      <c r="P52" s="34">
        <f>IF(B52="","",ROUND(SUMIFS($H$5:$H$404,$B$5:$B$404,B52,$M$5:$M$404,"Yes")/60,2))</f>
        <v>0</v>
      </c>
      <c r="Q52" s="34">
        <f>IF(B52="","",IFERROR(INDEX(Services!$G$5:$G$64,MATCH(B52,Services!$B$5:$B$64,0)),""))</f>
        <v>0</v>
      </c>
      <c r="R52" s="31">
        <f>IF(F52="","",COUNTIFS('Job Tasks'!$G$5:$G$904,F52,'Job Tasks'!$H$5:$H$904,"Done"))</f>
        <v>0</v>
      </c>
      <c r="S52" s="31">
        <f>IF(F52="","",COUNTIFS('Job Tasks'!$G$5:$G$904,F52,'Job Tasks'!$H$5:$H$904,"Skipped"))</f>
        <v>0</v>
      </c>
      <c r="T52" s="31">
        <f>IF(F52="","",COUNTIFS('Job Tasks'!$G$5:$G$904,F52,'Job Tasks'!$H$5:$H$904,"Issue found"))</f>
        <v>0</v>
      </c>
      <c r="U52" s="39">
        <f>IF(F52="","",IF(R52+S52=0,"New",IF(S52/(R52+S52)&gt;0.25,"Often skipped","Working")))</f>
        <v>0</v>
      </c>
      <c r="V52" s="31">
        <f>IF(OR(B52="",F52=""),"",COUNTIFS($B$5:B52,B52))</f>
        <v>0</v>
      </c>
      <c r="W52" s="23">
        <f>IF(V52="","",B52&amp;"|"&amp;V52)</f>
        <v>0</v>
      </c>
      <c r="X52" s="39">
        <f>IF(F52="","",IF(B52="","Add - which service?",IF(H52="","Add - how many minutes?",IF(AND(Q52&lt;&gt;"",P52&gt;Q52+0.25),"Check - checklist is longer than the service allows",IF(S52&gt;=3,"Check - often skipped","OK")))))</f>
        <v>0</v>
      </c>
    </row>
    <row r="53" spans="1:24">
      <c r="A53" s="43">
        <f>IF(F53="","","CHK-"&amp;TEXT(ROW()-4,"0000"))</f>
        <v>0</v>
      </c>
      <c r="B53" s="15" t="s">
        <v>839</v>
      </c>
      <c r="C53" s="49" t="s">
        <v>172</v>
      </c>
      <c r="D53" s="15" t="s">
        <v>834</v>
      </c>
      <c r="E53" s="16">
        <v>2</v>
      </c>
      <c r="F53" s="15" t="s">
        <v>1320</v>
      </c>
      <c r="G53" s="44" t="s">
        <v>1321</v>
      </c>
      <c r="H53" s="16">
        <v>15</v>
      </c>
      <c r="I53" s="15" t="s">
        <v>1249</v>
      </c>
      <c r="J53" s="47" t="s">
        <v>454</v>
      </c>
      <c r="K53" s="47" t="s">
        <v>457</v>
      </c>
      <c r="L53" s="15" t="s">
        <v>172</v>
      </c>
      <c r="M53" s="47" t="s">
        <v>454</v>
      </c>
      <c r="N53" s="44" t="s">
        <v>172</v>
      </c>
      <c r="O53" s="34">
        <f>IF(F53="","",ROUND(IF(H53="",0,H53)/60,2))</f>
        <v>0</v>
      </c>
      <c r="P53" s="34">
        <f>IF(B53="","",ROUND(SUMIFS($H$5:$H$404,$B$5:$B$404,B53,$M$5:$M$404,"Yes")/60,2))</f>
        <v>0</v>
      </c>
      <c r="Q53" s="34">
        <f>IF(B53="","",IFERROR(INDEX(Services!$G$5:$G$64,MATCH(B53,Services!$B$5:$B$64,0)),""))</f>
        <v>0</v>
      </c>
      <c r="R53" s="31">
        <f>IF(F53="","",COUNTIFS('Job Tasks'!$G$5:$G$904,F53,'Job Tasks'!$H$5:$H$904,"Done"))</f>
        <v>0</v>
      </c>
      <c r="S53" s="31">
        <f>IF(F53="","",COUNTIFS('Job Tasks'!$G$5:$G$904,F53,'Job Tasks'!$H$5:$H$904,"Skipped"))</f>
        <v>0</v>
      </c>
      <c r="T53" s="31">
        <f>IF(F53="","",COUNTIFS('Job Tasks'!$G$5:$G$904,F53,'Job Tasks'!$H$5:$H$904,"Issue found"))</f>
        <v>0</v>
      </c>
      <c r="U53" s="39">
        <f>IF(F53="","",IF(R53+S53=0,"New",IF(S53/(R53+S53)&gt;0.25,"Often skipped","Working")))</f>
        <v>0</v>
      </c>
      <c r="V53" s="31">
        <f>IF(OR(B53="",F53=""),"",COUNTIFS($B$5:B53,B53))</f>
        <v>0</v>
      </c>
      <c r="W53" s="23">
        <f>IF(V53="","",B53&amp;"|"&amp;V53)</f>
        <v>0</v>
      </c>
      <c r="X53" s="39">
        <f>IF(F53="","",IF(B53="","Add - which service?",IF(H53="","Add - how many minutes?",IF(AND(Q53&lt;&gt;"",P53&gt;Q53+0.25),"Check - checklist is longer than the service allows",IF(S53&gt;=3,"Check - often skipped","OK")))))</f>
        <v>0</v>
      </c>
    </row>
    <row r="54" spans="1:24">
      <c r="A54" s="43">
        <f>IF(F54="","","CHK-"&amp;TEXT(ROW()-4,"0000"))</f>
        <v>0</v>
      </c>
      <c r="B54" s="15" t="s">
        <v>839</v>
      </c>
      <c r="C54" s="49" t="s">
        <v>172</v>
      </c>
      <c r="D54" s="15" t="s">
        <v>834</v>
      </c>
      <c r="E54" s="16">
        <v>3</v>
      </c>
      <c r="F54" s="15" t="s">
        <v>1322</v>
      </c>
      <c r="G54" s="44" t="s">
        <v>1323</v>
      </c>
      <c r="H54" s="16">
        <v>10</v>
      </c>
      <c r="I54" s="15" t="s">
        <v>1249</v>
      </c>
      <c r="J54" s="47" t="s">
        <v>454</v>
      </c>
      <c r="K54" s="47" t="s">
        <v>457</v>
      </c>
      <c r="L54" s="15" t="s">
        <v>172</v>
      </c>
      <c r="M54" s="47" t="s">
        <v>454</v>
      </c>
      <c r="N54" s="44" t="s">
        <v>172</v>
      </c>
      <c r="O54" s="34">
        <f>IF(F54="","",ROUND(IF(H54="",0,H54)/60,2))</f>
        <v>0</v>
      </c>
      <c r="P54" s="34">
        <f>IF(B54="","",ROUND(SUMIFS($H$5:$H$404,$B$5:$B$404,B54,$M$5:$M$404,"Yes")/60,2))</f>
        <v>0</v>
      </c>
      <c r="Q54" s="34">
        <f>IF(B54="","",IFERROR(INDEX(Services!$G$5:$G$64,MATCH(B54,Services!$B$5:$B$64,0)),""))</f>
        <v>0</v>
      </c>
      <c r="R54" s="31">
        <f>IF(F54="","",COUNTIFS('Job Tasks'!$G$5:$G$904,F54,'Job Tasks'!$H$5:$H$904,"Done"))</f>
        <v>0</v>
      </c>
      <c r="S54" s="31">
        <f>IF(F54="","",COUNTIFS('Job Tasks'!$G$5:$G$904,F54,'Job Tasks'!$H$5:$H$904,"Skipped"))</f>
        <v>0</v>
      </c>
      <c r="T54" s="31">
        <f>IF(F54="","",COUNTIFS('Job Tasks'!$G$5:$G$904,F54,'Job Tasks'!$H$5:$H$904,"Issue found"))</f>
        <v>0</v>
      </c>
      <c r="U54" s="39">
        <f>IF(F54="","",IF(R54+S54=0,"New",IF(S54/(R54+S54)&gt;0.25,"Often skipped","Working")))</f>
        <v>0</v>
      </c>
      <c r="V54" s="31">
        <f>IF(OR(B54="",F54=""),"",COUNTIFS($B$5:B54,B54))</f>
        <v>0</v>
      </c>
      <c r="W54" s="23">
        <f>IF(V54="","",B54&amp;"|"&amp;V54)</f>
        <v>0</v>
      </c>
      <c r="X54" s="39">
        <f>IF(F54="","",IF(B54="","Add - which service?",IF(H54="","Add - how many minutes?",IF(AND(Q54&lt;&gt;"",P54&gt;Q54+0.25),"Check - checklist is longer than the service allows",IF(S54&gt;=3,"Check - often skipped","OK")))))</f>
        <v>0</v>
      </c>
    </row>
    <row r="55" spans="1:24">
      <c r="A55" s="43">
        <f>IF(F55="","","CHK-"&amp;TEXT(ROW()-4,"0000"))</f>
        <v>0</v>
      </c>
      <c r="B55" s="15" t="s">
        <v>839</v>
      </c>
      <c r="C55" s="49" t="s">
        <v>172</v>
      </c>
      <c r="D55" s="15" t="s">
        <v>834</v>
      </c>
      <c r="E55" s="16">
        <v>4</v>
      </c>
      <c r="F55" s="15" t="s">
        <v>1324</v>
      </c>
      <c r="G55" s="44" t="s">
        <v>1325</v>
      </c>
      <c r="H55" s="16">
        <v>15</v>
      </c>
      <c r="I55" s="15" t="s">
        <v>1249</v>
      </c>
      <c r="J55" s="47" t="s">
        <v>454</v>
      </c>
      <c r="K55" s="47" t="s">
        <v>454</v>
      </c>
      <c r="L55" s="15" t="s">
        <v>172</v>
      </c>
      <c r="M55" s="47" t="s">
        <v>454</v>
      </c>
      <c r="N55" s="44" t="s">
        <v>172</v>
      </c>
      <c r="O55" s="34">
        <f>IF(F55="","",ROUND(IF(H55="",0,H55)/60,2))</f>
        <v>0</v>
      </c>
      <c r="P55" s="34">
        <f>IF(B55="","",ROUND(SUMIFS($H$5:$H$404,$B$5:$B$404,B55,$M$5:$M$404,"Yes")/60,2))</f>
        <v>0</v>
      </c>
      <c r="Q55" s="34">
        <f>IF(B55="","",IFERROR(INDEX(Services!$G$5:$G$64,MATCH(B55,Services!$B$5:$B$64,0)),""))</f>
        <v>0</v>
      </c>
      <c r="R55" s="31">
        <f>IF(F55="","",COUNTIFS('Job Tasks'!$G$5:$G$904,F55,'Job Tasks'!$H$5:$H$904,"Done"))</f>
        <v>0</v>
      </c>
      <c r="S55" s="31">
        <f>IF(F55="","",COUNTIFS('Job Tasks'!$G$5:$G$904,F55,'Job Tasks'!$H$5:$H$904,"Skipped"))</f>
        <v>0</v>
      </c>
      <c r="T55" s="31">
        <f>IF(F55="","",COUNTIFS('Job Tasks'!$G$5:$G$904,F55,'Job Tasks'!$H$5:$H$904,"Issue found"))</f>
        <v>0</v>
      </c>
      <c r="U55" s="39">
        <f>IF(F55="","",IF(R55+S55=0,"New",IF(S55/(R55+S55)&gt;0.25,"Often skipped","Working")))</f>
        <v>0</v>
      </c>
      <c r="V55" s="31">
        <f>IF(OR(B55="",F55=""),"",COUNTIFS($B$5:B55,B55))</f>
        <v>0</v>
      </c>
      <c r="W55" s="23">
        <f>IF(V55="","",B55&amp;"|"&amp;V55)</f>
        <v>0</v>
      </c>
      <c r="X55" s="39">
        <f>IF(F55="","",IF(B55="","Add - which service?",IF(H55="","Add - how many minutes?",IF(AND(Q55&lt;&gt;"",P55&gt;Q55+0.25),"Check - checklist is longer than the service allows",IF(S55&gt;=3,"Check - often skipped","OK")))))</f>
        <v>0</v>
      </c>
    </row>
    <row r="56" spans="1:24">
      <c r="A56" s="43">
        <f>IF(F56="","","CHK-"&amp;TEXT(ROW()-4,"0000"))</f>
        <v>0</v>
      </c>
      <c r="B56" s="15" t="s">
        <v>839</v>
      </c>
      <c r="C56" s="49" t="s">
        <v>172</v>
      </c>
      <c r="D56" s="15" t="s">
        <v>834</v>
      </c>
      <c r="E56" s="16">
        <v>5</v>
      </c>
      <c r="F56" s="15" t="s">
        <v>1326</v>
      </c>
      <c r="G56" s="44" t="s">
        <v>1327</v>
      </c>
      <c r="H56" s="16">
        <v>10</v>
      </c>
      <c r="I56" s="15" t="s">
        <v>1249</v>
      </c>
      <c r="J56" s="47" t="s">
        <v>454</v>
      </c>
      <c r="K56" s="47" t="s">
        <v>457</v>
      </c>
      <c r="L56" s="15" t="s">
        <v>172</v>
      </c>
      <c r="M56" s="47" t="s">
        <v>454</v>
      </c>
      <c r="N56" s="44" t="s">
        <v>172</v>
      </c>
      <c r="O56" s="34">
        <f>IF(F56="","",ROUND(IF(H56="",0,H56)/60,2))</f>
        <v>0</v>
      </c>
      <c r="P56" s="34">
        <f>IF(B56="","",ROUND(SUMIFS($H$5:$H$404,$B$5:$B$404,B56,$M$5:$M$404,"Yes")/60,2))</f>
        <v>0</v>
      </c>
      <c r="Q56" s="34">
        <f>IF(B56="","",IFERROR(INDEX(Services!$G$5:$G$64,MATCH(B56,Services!$B$5:$B$64,0)),""))</f>
        <v>0</v>
      </c>
      <c r="R56" s="31">
        <f>IF(F56="","",COUNTIFS('Job Tasks'!$G$5:$G$904,F56,'Job Tasks'!$H$5:$H$904,"Done"))</f>
        <v>0</v>
      </c>
      <c r="S56" s="31">
        <f>IF(F56="","",COUNTIFS('Job Tasks'!$G$5:$G$904,F56,'Job Tasks'!$H$5:$H$904,"Skipped"))</f>
        <v>0</v>
      </c>
      <c r="T56" s="31">
        <f>IF(F56="","",COUNTIFS('Job Tasks'!$G$5:$G$904,F56,'Job Tasks'!$H$5:$H$904,"Issue found"))</f>
        <v>0</v>
      </c>
      <c r="U56" s="39">
        <f>IF(F56="","",IF(R56+S56=0,"New",IF(S56/(R56+S56)&gt;0.25,"Often skipped","Working")))</f>
        <v>0</v>
      </c>
      <c r="V56" s="31">
        <f>IF(OR(B56="",F56=""),"",COUNTIFS($B$5:B56,B56))</f>
        <v>0</v>
      </c>
      <c r="W56" s="23">
        <f>IF(V56="","",B56&amp;"|"&amp;V56)</f>
        <v>0</v>
      </c>
      <c r="X56" s="39">
        <f>IF(F56="","",IF(B56="","Add - which service?",IF(H56="","Add - how many minutes?",IF(AND(Q56&lt;&gt;"",P56&gt;Q56+0.25),"Check - checklist is longer than the service allows",IF(S56&gt;=3,"Check - often skipped","OK")))))</f>
        <v>0</v>
      </c>
    </row>
    <row r="57" spans="1:24">
      <c r="A57" s="43">
        <f>IF(F57="","","CHK-"&amp;TEXT(ROW()-4,"0000"))</f>
        <v>0</v>
      </c>
      <c r="B57" s="15" t="s">
        <v>839</v>
      </c>
      <c r="C57" s="49" t="s">
        <v>172</v>
      </c>
      <c r="D57" s="15" t="s">
        <v>834</v>
      </c>
      <c r="E57" s="16">
        <v>6</v>
      </c>
      <c r="F57" s="15" t="s">
        <v>1328</v>
      </c>
      <c r="G57" s="44" t="s">
        <v>1329</v>
      </c>
      <c r="H57" s="16">
        <v>5</v>
      </c>
      <c r="I57" s="15" t="s">
        <v>1249</v>
      </c>
      <c r="J57" s="47" t="s">
        <v>454</v>
      </c>
      <c r="K57" s="47" t="s">
        <v>454</v>
      </c>
      <c r="L57" s="15" t="s">
        <v>172</v>
      </c>
      <c r="M57" s="47" t="s">
        <v>454</v>
      </c>
      <c r="N57" s="44" t="s">
        <v>172</v>
      </c>
      <c r="O57" s="34">
        <f>IF(F57="","",ROUND(IF(H57="",0,H57)/60,2))</f>
        <v>0</v>
      </c>
      <c r="P57" s="34">
        <f>IF(B57="","",ROUND(SUMIFS($H$5:$H$404,$B$5:$B$404,B57,$M$5:$M$404,"Yes")/60,2))</f>
        <v>0</v>
      </c>
      <c r="Q57" s="34">
        <f>IF(B57="","",IFERROR(INDEX(Services!$G$5:$G$64,MATCH(B57,Services!$B$5:$B$64,0)),""))</f>
        <v>0</v>
      </c>
      <c r="R57" s="31">
        <f>IF(F57="","",COUNTIFS('Job Tasks'!$G$5:$G$904,F57,'Job Tasks'!$H$5:$H$904,"Done"))</f>
        <v>0</v>
      </c>
      <c r="S57" s="31">
        <f>IF(F57="","",COUNTIFS('Job Tasks'!$G$5:$G$904,F57,'Job Tasks'!$H$5:$H$904,"Skipped"))</f>
        <v>0</v>
      </c>
      <c r="T57" s="31">
        <f>IF(F57="","",COUNTIFS('Job Tasks'!$G$5:$G$904,F57,'Job Tasks'!$H$5:$H$904,"Issue found"))</f>
        <v>0</v>
      </c>
      <c r="U57" s="39">
        <f>IF(F57="","",IF(R57+S57=0,"New",IF(S57/(R57+S57)&gt;0.25,"Often skipped","Working")))</f>
        <v>0</v>
      </c>
      <c r="V57" s="31">
        <f>IF(OR(B57="",F57=""),"",COUNTIFS($B$5:B57,B57))</f>
        <v>0</v>
      </c>
      <c r="W57" s="23">
        <f>IF(V57="","",B57&amp;"|"&amp;V57)</f>
        <v>0</v>
      </c>
      <c r="X57" s="39">
        <f>IF(F57="","",IF(B57="","Add - which service?",IF(H57="","Add - how many minutes?",IF(AND(Q57&lt;&gt;"",P57&gt;Q57+0.25),"Check - checklist is longer than the service allows",IF(S57&gt;=3,"Check - often skipped","OK")))))</f>
        <v>0</v>
      </c>
    </row>
    <row r="58" spans="1:24">
      <c r="A58" s="43">
        <f>IF(F58="","","CHK-"&amp;TEXT(ROW()-4,"0000"))</f>
        <v>0</v>
      </c>
      <c r="B58" s="15" t="s">
        <v>803</v>
      </c>
      <c r="C58" s="49" t="s">
        <v>172</v>
      </c>
      <c r="D58" s="15" t="s">
        <v>1204</v>
      </c>
      <c r="E58" s="16">
        <v>1</v>
      </c>
      <c r="F58" s="15" t="s">
        <v>1330</v>
      </c>
      <c r="G58" s="44" t="s">
        <v>1331</v>
      </c>
      <c r="H58" s="16">
        <v>20</v>
      </c>
      <c r="I58" s="15" t="s">
        <v>1249</v>
      </c>
      <c r="J58" s="47" t="s">
        <v>454</v>
      </c>
      <c r="K58" s="47" t="s">
        <v>457</v>
      </c>
      <c r="L58" s="15" t="s">
        <v>172</v>
      </c>
      <c r="M58" s="47" t="s">
        <v>454</v>
      </c>
      <c r="N58" s="44" t="s">
        <v>172</v>
      </c>
      <c r="O58" s="34">
        <f>IF(F58="","",ROUND(IF(H58="",0,H58)/60,2))</f>
        <v>0</v>
      </c>
      <c r="P58" s="34">
        <f>IF(B58="","",ROUND(SUMIFS($H$5:$H$404,$B$5:$B$404,B58,$M$5:$M$404,"Yes")/60,2))</f>
        <v>0</v>
      </c>
      <c r="Q58" s="34">
        <f>IF(B58="","",IFERROR(INDEX(Services!$G$5:$G$64,MATCH(B58,Services!$B$5:$B$64,0)),""))</f>
        <v>0</v>
      </c>
      <c r="R58" s="31">
        <f>IF(F58="","",COUNTIFS('Job Tasks'!$G$5:$G$904,F58,'Job Tasks'!$H$5:$H$904,"Done"))</f>
        <v>0</v>
      </c>
      <c r="S58" s="31">
        <f>IF(F58="","",COUNTIFS('Job Tasks'!$G$5:$G$904,F58,'Job Tasks'!$H$5:$H$904,"Skipped"))</f>
        <v>0</v>
      </c>
      <c r="T58" s="31">
        <f>IF(F58="","",COUNTIFS('Job Tasks'!$G$5:$G$904,F58,'Job Tasks'!$H$5:$H$904,"Issue found"))</f>
        <v>0</v>
      </c>
      <c r="U58" s="39">
        <f>IF(F58="","",IF(R58+S58=0,"New",IF(S58/(R58+S58)&gt;0.25,"Often skipped","Working")))</f>
        <v>0</v>
      </c>
      <c r="V58" s="31">
        <f>IF(OR(B58="",F58=""),"",COUNTIFS($B$5:B58,B58))</f>
        <v>0</v>
      </c>
      <c r="W58" s="23">
        <f>IF(V58="","",B58&amp;"|"&amp;V58)</f>
        <v>0</v>
      </c>
      <c r="X58" s="39">
        <f>IF(F58="","",IF(B58="","Add - which service?",IF(H58="","Add - how many minutes?",IF(AND(Q58&lt;&gt;"",P58&gt;Q58+0.25),"Check - checklist is longer than the service allows",IF(S58&gt;=3,"Check - often skipped","OK")))))</f>
        <v>0</v>
      </c>
    </row>
    <row r="59" spans="1:24">
      <c r="A59" s="43">
        <f>IF(F59="","","CHK-"&amp;TEXT(ROW()-4,"0000"))</f>
        <v>0</v>
      </c>
      <c r="B59" s="15" t="s">
        <v>803</v>
      </c>
      <c r="C59" s="49" t="s">
        <v>172</v>
      </c>
      <c r="D59" s="15" t="s">
        <v>1204</v>
      </c>
      <c r="E59" s="16">
        <v>2</v>
      </c>
      <c r="F59" s="15" t="s">
        <v>1332</v>
      </c>
      <c r="G59" s="44" t="s">
        <v>1333</v>
      </c>
      <c r="H59" s="16">
        <v>25</v>
      </c>
      <c r="I59" s="15" t="s">
        <v>1249</v>
      </c>
      <c r="J59" s="47" t="s">
        <v>454</v>
      </c>
      <c r="K59" s="47" t="s">
        <v>457</v>
      </c>
      <c r="L59" s="15" t="s">
        <v>172</v>
      </c>
      <c r="M59" s="47" t="s">
        <v>454</v>
      </c>
      <c r="N59" s="44" t="s">
        <v>172</v>
      </c>
      <c r="O59" s="34">
        <f>IF(F59="","",ROUND(IF(H59="",0,H59)/60,2))</f>
        <v>0</v>
      </c>
      <c r="P59" s="34">
        <f>IF(B59="","",ROUND(SUMIFS($H$5:$H$404,$B$5:$B$404,B59,$M$5:$M$404,"Yes")/60,2))</f>
        <v>0</v>
      </c>
      <c r="Q59" s="34">
        <f>IF(B59="","",IFERROR(INDEX(Services!$G$5:$G$64,MATCH(B59,Services!$B$5:$B$64,0)),""))</f>
        <v>0</v>
      </c>
      <c r="R59" s="31">
        <f>IF(F59="","",COUNTIFS('Job Tasks'!$G$5:$G$904,F59,'Job Tasks'!$H$5:$H$904,"Done"))</f>
        <v>0</v>
      </c>
      <c r="S59" s="31">
        <f>IF(F59="","",COUNTIFS('Job Tasks'!$G$5:$G$904,F59,'Job Tasks'!$H$5:$H$904,"Skipped"))</f>
        <v>0</v>
      </c>
      <c r="T59" s="31">
        <f>IF(F59="","",COUNTIFS('Job Tasks'!$G$5:$G$904,F59,'Job Tasks'!$H$5:$H$904,"Issue found"))</f>
        <v>0</v>
      </c>
      <c r="U59" s="39">
        <f>IF(F59="","",IF(R59+S59=0,"New",IF(S59/(R59+S59)&gt;0.25,"Often skipped","Working")))</f>
        <v>0</v>
      </c>
      <c r="V59" s="31">
        <f>IF(OR(B59="",F59=""),"",COUNTIFS($B$5:B59,B59))</f>
        <v>0</v>
      </c>
      <c r="W59" s="23">
        <f>IF(V59="","",B59&amp;"|"&amp;V59)</f>
        <v>0</v>
      </c>
      <c r="X59" s="39">
        <f>IF(F59="","",IF(B59="","Add - which service?",IF(H59="","Add - how many minutes?",IF(AND(Q59&lt;&gt;"",P59&gt;Q59+0.25),"Check - checklist is longer than the service allows",IF(S59&gt;=3,"Check - often skipped","OK")))))</f>
        <v>0</v>
      </c>
    </row>
    <row r="60" spans="1:24">
      <c r="A60" s="43">
        <f>IF(F60="","","CHK-"&amp;TEXT(ROW()-4,"0000"))</f>
        <v>0</v>
      </c>
      <c r="B60" s="15" t="s">
        <v>803</v>
      </c>
      <c r="C60" s="49" t="s">
        <v>172</v>
      </c>
      <c r="D60" s="15" t="s">
        <v>1217</v>
      </c>
      <c r="E60" s="16">
        <v>3</v>
      </c>
      <c r="F60" s="15" t="s">
        <v>1334</v>
      </c>
      <c r="G60" s="44" t="s">
        <v>1335</v>
      </c>
      <c r="H60" s="16">
        <v>25</v>
      </c>
      <c r="I60" s="15" t="s">
        <v>1249</v>
      </c>
      <c r="J60" s="47" t="s">
        <v>454</v>
      </c>
      <c r="K60" s="47" t="s">
        <v>457</v>
      </c>
      <c r="L60" s="15" t="s">
        <v>172</v>
      </c>
      <c r="M60" s="47" t="s">
        <v>454</v>
      </c>
      <c r="N60" s="44" t="s">
        <v>172</v>
      </c>
      <c r="O60" s="34">
        <f>IF(F60="","",ROUND(IF(H60="",0,H60)/60,2))</f>
        <v>0</v>
      </c>
      <c r="P60" s="34">
        <f>IF(B60="","",ROUND(SUMIFS($H$5:$H$404,$B$5:$B$404,B60,$M$5:$M$404,"Yes")/60,2))</f>
        <v>0</v>
      </c>
      <c r="Q60" s="34">
        <f>IF(B60="","",IFERROR(INDEX(Services!$G$5:$G$64,MATCH(B60,Services!$B$5:$B$64,0)),""))</f>
        <v>0</v>
      </c>
      <c r="R60" s="31">
        <f>IF(F60="","",COUNTIFS('Job Tasks'!$G$5:$G$904,F60,'Job Tasks'!$H$5:$H$904,"Done"))</f>
        <v>0</v>
      </c>
      <c r="S60" s="31">
        <f>IF(F60="","",COUNTIFS('Job Tasks'!$G$5:$G$904,F60,'Job Tasks'!$H$5:$H$904,"Skipped"))</f>
        <v>0</v>
      </c>
      <c r="T60" s="31">
        <f>IF(F60="","",COUNTIFS('Job Tasks'!$G$5:$G$904,F60,'Job Tasks'!$H$5:$H$904,"Issue found"))</f>
        <v>0</v>
      </c>
      <c r="U60" s="39">
        <f>IF(F60="","",IF(R60+S60=0,"New",IF(S60/(R60+S60)&gt;0.25,"Often skipped","Working")))</f>
        <v>0</v>
      </c>
      <c r="V60" s="31">
        <f>IF(OR(B60="",F60=""),"",COUNTIFS($B$5:B60,B60))</f>
        <v>0</v>
      </c>
      <c r="W60" s="23">
        <f>IF(V60="","",B60&amp;"|"&amp;V60)</f>
        <v>0</v>
      </c>
      <c r="X60" s="39">
        <f>IF(F60="","",IF(B60="","Add - which service?",IF(H60="","Add - how many minutes?",IF(AND(Q60&lt;&gt;"",P60&gt;Q60+0.25),"Check - checklist is longer than the service allows",IF(S60&gt;=3,"Check - often skipped","OK")))))</f>
        <v>0</v>
      </c>
    </row>
    <row r="61" spans="1:24">
      <c r="A61" s="43">
        <f>IF(F61="","","CHK-"&amp;TEXT(ROW()-4,"0000"))</f>
        <v>0</v>
      </c>
      <c r="B61" s="15" t="s">
        <v>803</v>
      </c>
      <c r="C61" s="49" t="s">
        <v>172</v>
      </c>
      <c r="D61" s="15" t="s">
        <v>1183</v>
      </c>
      <c r="E61" s="16">
        <v>4</v>
      </c>
      <c r="F61" s="15" t="s">
        <v>1336</v>
      </c>
      <c r="G61" s="44" t="s">
        <v>1337</v>
      </c>
      <c r="H61" s="16">
        <v>15</v>
      </c>
      <c r="I61" s="15" t="s">
        <v>1249</v>
      </c>
      <c r="J61" s="47" t="s">
        <v>454</v>
      </c>
      <c r="K61" s="47" t="s">
        <v>457</v>
      </c>
      <c r="L61" s="15" t="s">
        <v>172</v>
      </c>
      <c r="M61" s="47" t="s">
        <v>454</v>
      </c>
      <c r="N61" s="44" t="s">
        <v>172</v>
      </c>
      <c r="O61" s="34">
        <f>IF(F61="","",ROUND(IF(H61="",0,H61)/60,2))</f>
        <v>0</v>
      </c>
      <c r="P61" s="34">
        <f>IF(B61="","",ROUND(SUMIFS($H$5:$H$404,$B$5:$B$404,B61,$M$5:$M$404,"Yes")/60,2))</f>
        <v>0</v>
      </c>
      <c r="Q61" s="34">
        <f>IF(B61="","",IFERROR(INDEX(Services!$G$5:$G$64,MATCH(B61,Services!$B$5:$B$64,0)),""))</f>
        <v>0</v>
      </c>
      <c r="R61" s="31">
        <f>IF(F61="","",COUNTIFS('Job Tasks'!$G$5:$G$904,F61,'Job Tasks'!$H$5:$H$904,"Done"))</f>
        <v>0</v>
      </c>
      <c r="S61" s="31">
        <f>IF(F61="","",COUNTIFS('Job Tasks'!$G$5:$G$904,F61,'Job Tasks'!$H$5:$H$904,"Skipped"))</f>
        <v>0</v>
      </c>
      <c r="T61" s="31">
        <f>IF(F61="","",COUNTIFS('Job Tasks'!$G$5:$G$904,F61,'Job Tasks'!$H$5:$H$904,"Issue found"))</f>
        <v>0</v>
      </c>
      <c r="U61" s="39">
        <f>IF(F61="","",IF(R61+S61=0,"New",IF(S61/(R61+S61)&gt;0.25,"Often skipped","Working")))</f>
        <v>0</v>
      </c>
      <c r="V61" s="31">
        <f>IF(OR(B61="",F61=""),"",COUNTIFS($B$5:B61,B61))</f>
        <v>0</v>
      </c>
      <c r="W61" s="23">
        <f>IF(V61="","",B61&amp;"|"&amp;V61)</f>
        <v>0</v>
      </c>
      <c r="X61" s="39">
        <f>IF(F61="","",IF(B61="","Add - which service?",IF(H61="","Add - how many minutes?",IF(AND(Q61&lt;&gt;"",P61&gt;Q61+0.25),"Check - checklist is longer than the service allows",IF(S61&gt;=3,"Check - often skipped","OK")))))</f>
        <v>0</v>
      </c>
    </row>
    <row r="62" spans="1:24">
      <c r="A62" s="43">
        <f>IF(F62="","","CHK-"&amp;TEXT(ROW()-4,"0000"))</f>
        <v>0</v>
      </c>
      <c r="B62" s="15" t="s">
        <v>803</v>
      </c>
      <c r="C62" s="49" t="s">
        <v>172</v>
      </c>
      <c r="D62" s="15" t="s">
        <v>1204</v>
      </c>
      <c r="E62" s="16">
        <v>5</v>
      </c>
      <c r="F62" s="15" t="s">
        <v>1338</v>
      </c>
      <c r="G62" s="44" t="s">
        <v>1339</v>
      </c>
      <c r="H62" s="16">
        <v>30</v>
      </c>
      <c r="I62" s="15" t="s">
        <v>1249</v>
      </c>
      <c r="J62" s="47" t="s">
        <v>454</v>
      </c>
      <c r="K62" s="47" t="s">
        <v>457</v>
      </c>
      <c r="L62" s="15" t="s">
        <v>172</v>
      </c>
      <c r="M62" s="47" t="s">
        <v>454</v>
      </c>
      <c r="N62" s="44" t="s">
        <v>172</v>
      </c>
      <c r="O62" s="34">
        <f>IF(F62="","",ROUND(IF(H62="",0,H62)/60,2))</f>
        <v>0</v>
      </c>
      <c r="P62" s="34">
        <f>IF(B62="","",ROUND(SUMIFS($H$5:$H$404,$B$5:$B$404,B62,$M$5:$M$404,"Yes")/60,2))</f>
        <v>0</v>
      </c>
      <c r="Q62" s="34">
        <f>IF(B62="","",IFERROR(INDEX(Services!$G$5:$G$64,MATCH(B62,Services!$B$5:$B$64,0)),""))</f>
        <v>0</v>
      </c>
      <c r="R62" s="31">
        <f>IF(F62="","",COUNTIFS('Job Tasks'!$G$5:$G$904,F62,'Job Tasks'!$H$5:$H$904,"Done"))</f>
        <v>0</v>
      </c>
      <c r="S62" s="31">
        <f>IF(F62="","",COUNTIFS('Job Tasks'!$G$5:$G$904,F62,'Job Tasks'!$H$5:$H$904,"Skipped"))</f>
        <v>0</v>
      </c>
      <c r="T62" s="31">
        <f>IF(F62="","",COUNTIFS('Job Tasks'!$G$5:$G$904,F62,'Job Tasks'!$H$5:$H$904,"Issue found"))</f>
        <v>0</v>
      </c>
      <c r="U62" s="39">
        <f>IF(F62="","",IF(R62+S62=0,"New",IF(S62/(R62+S62)&gt;0.25,"Often skipped","Working")))</f>
        <v>0</v>
      </c>
      <c r="V62" s="31">
        <f>IF(OR(B62="",F62=""),"",COUNTIFS($B$5:B62,B62))</f>
        <v>0</v>
      </c>
      <c r="W62" s="23">
        <f>IF(V62="","",B62&amp;"|"&amp;V62)</f>
        <v>0</v>
      </c>
      <c r="X62" s="39">
        <f>IF(F62="","",IF(B62="","Add - which service?",IF(H62="","Add - how many minutes?",IF(AND(Q62&lt;&gt;"",P62&gt;Q62+0.25),"Check - checklist is longer than the service allows",IF(S62&gt;=3,"Check - often skipped","OK")))))</f>
        <v>0</v>
      </c>
    </row>
    <row r="63" spans="1:24">
      <c r="A63" s="43">
        <f>IF(F63="","","CHK-"&amp;TEXT(ROW()-4,"0000"))</f>
        <v>0</v>
      </c>
      <c r="B63" s="15" t="s">
        <v>803</v>
      </c>
      <c r="C63" s="49" t="s">
        <v>172</v>
      </c>
      <c r="D63" s="15" t="s">
        <v>1204</v>
      </c>
      <c r="E63" s="16">
        <v>6</v>
      </c>
      <c r="F63" s="15" t="s">
        <v>1340</v>
      </c>
      <c r="G63" s="44" t="s">
        <v>1341</v>
      </c>
      <c r="H63" s="16">
        <v>10</v>
      </c>
      <c r="I63" s="15" t="s">
        <v>1249</v>
      </c>
      <c r="J63" s="47" t="s">
        <v>454</v>
      </c>
      <c r="K63" s="47" t="s">
        <v>457</v>
      </c>
      <c r="L63" s="15" t="s">
        <v>172</v>
      </c>
      <c r="M63" s="47" t="s">
        <v>454</v>
      </c>
      <c r="N63" s="44" t="s">
        <v>172</v>
      </c>
      <c r="O63" s="34">
        <f>IF(F63="","",ROUND(IF(H63="",0,H63)/60,2))</f>
        <v>0</v>
      </c>
      <c r="P63" s="34">
        <f>IF(B63="","",ROUND(SUMIFS($H$5:$H$404,$B$5:$B$404,B63,$M$5:$M$404,"Yes")/60,2))</f>
        <v>0</v>
      </c>
      <c r="Q63" s="34">
        <f>IF(B63="","",IFERROR(INDEX(Services!$G$5:$G$64,MATCH(B63,Services!$B$5:$B$64,0)),""))</f>
        <v>0</v>
      </c>
      <c r="R63" s="31">
        <f>IF(F63="","",COUNTIFS('Job Tasks'!$G$5:$G$904,F63,'Job Tasks'!$H$5:$H$904,"Done"))</f>
        <v>0</v>
      </c>
      <c r="S63" s="31">
        <f>IF(F63="","",COUNTIFS('Job Tasks'!$G$5:$G$904,F63,'Job Tasks'!$H$5:$H$904,"Skipped"))</f>
        <v>0</v>
      </c>
      <c r="T63" s="31">
        <f>IF(F63="","",COUNTIFS('Job Tasks'!$G$5:$G$904,F63,'Job Tasks'!$H$5:$H$904,"Issue found"))</f>
        <v>0</v>
      </c>
      <c r="U63" s="39">
        <f>IF(F63="","",IF(R63+S63=0,"New",IF(S63/(R63+S63)&gt;0.25,"Often skipped","Working")))</f>
        <v>0</v>
      </c>
      <c r="V63" s="31">
        <f>IF(OR(B63="",F63=""),"",COUNTIFS($B$5:B63,B63))</f>
        <v>0</v>
      </c>
      <c r="W63" s="23">
        <f>IF(V63="","",B63&amp;"|"&amp;V63)</f>
        <v>0</v>
      </c>
      <c r="X63" s="39">
        <f>IF(F63="","",IF(B63="","Add - which service?",IF(H63="","Add - how many minutes?",IF(AND(Q63&lt;&gt;"",P63&gt;Q63+0.25),"Check - checklist is longer than the service allows",IF(S63&gt;=3,"Check - often skipped","OK")))))</f>
        <v>0</v>
      </c>
    </row>
    <row r="64" spans="1:24">
      <c r="A64" s="43">
        <f>IF(F64="","","CHK-"&amp;TEXT(ROW()-4,"0000"))</f>
        <v>0</v>
      </c>
      <c r="B64" s="15" t="s">
        <v>803</v>
      </c>
      <c r="C64" s="49" t="s">
        <v>172</v>
      </c>
      <c r="D64" s="15" t="s">
        <v>1204</v>
      </c>
      <c r="E64" s="16">
        <v>7</v>
      </c>
      <c r="F64" s="15" t="s">
        <v>1342</v>
      </c>
      <c r="G64" s="44" t="s">
        <v>1343</v>
      </c>
      <c r="H64" s="16">
        <v>5</v>
      </c>
      <c r="I64" s="15" t="s">
        <v>1249</v>
      </c>
      <c r="J64" s="47" t="s">
        <v>454</v>
      </c>
      <c r="K64" s="47" t="s">
        <v>457</v>
      </c>
      <c r="L64" s="15" t="s">
        <v>172</v>
      </c>
      <c r="M64" s="47" t="s">
        <v>454</v>
      </c>
      <c r="N64" s="44" t="s">
        <v>172</v>
      </c>
      <c r="O64" s="34">
        <f>IF(F64="","",ROUND(IF(H64="",0,H64)/60,2))</f>
        <v>0</v>
      </c>
      <c r="P64" s="34">
        <f>IF(B64="","",ROUND(SUMIFS($H$5:$H$404,$B$5:$B$404,B64,$M$5:$M$404,"Yes")/60,2))</f>
        <v>0</v>
      </c>
      <c r="Q64" s="34">
        <f>IF(B64="","",IFERROR(INDEX(Services!$G$5:$G$64,MATCH(B64,Services!$B$5:$B$64,0)),""))</f>
        <v>0</v>
      </c>
      <c r="R64" s="31">
        <f>IF(F64="","",COUNTIFS('Job Tasks'!$G$5:$G$904,F64,'Job Tasks'!$H$5:$H$904,"Done"))</f>
        <v>0</v>
      </c>
      <c r="S64" s="31">
        <f>IF(F64="","",COUNTIFS('Job Tasks'!$G$5:$G$904,F64,'Job Tasks'!$H$5:$H$904,"Skipped"))</f>
        <v>0</v>
      </c>
      <c r="T64" s="31">
        <f>IF(F64="","",COUNTIFS('Job Tasks'!$G$5:$G$904,F64,'Job Tasks'!$H$5:$H$904,"Issue found"))</f>
        <v>0</v>
      </c>
      <c r="U64" s="39">
        <f>IF(F64="","",IF(R64+S64=0,"New",IF(S64/(R64+S64)&gt;0.25,"Often skipped","Working")))</f>
        <v>0</v>
      </c>
      <c r="V64" s="31">
        <f>IF(OR(B64="",F64=""),"",COUNTIFS($B$5:B64,B64))</f>
        <v>0</v>
      </c>
      <c r="W64" s="23">
        <f>IF(V64="","",B64&amp;"|"&amp;V64)</f>
        <v>0</v>
      </c>
      <c r="X64" s="39">
        <f>IF(F64="","",IF(B64="","Add - which service?",IF(H64="","Add - how many minutes?",IF(AND(Q64&lt;&gt;"",P64&gt;Q64+0.25),"Check - checklist is longer than the service allows",IF(S64&gt;=3,"Check - often skipped","OK")))))</f>
        <v>0</v>
      </c>
    </row>
    <row r="65" spans="1:24">
      <c r="A65" s="43">
        <f>IF(F65="","","CHK-"&amp;TEXT(ROW()-4,"0000"))</f>
        <v>0</v>
      </c>
      <c r="B65" s="15" t="s">
        <v>797</v>
      </c>
      <c r="C65" s="49" t="s">
        <v>172</v>
      </c>
      <c r="D65" s="15" t="s">
        <v>1204</v>
      </c>
      <c r="E65" s="16">
        <v>1</v>
      </c>
      <c r="F65" s="15" t="s">
        <v>1344</v>
      </c>
      <c r="G65" s="44" t="s">
        <v>1345</v>
      </c>
      <c r="H65" s="16">
        <v>25</v>
      </c>
      <c r="I65" s="15" t="s">
        <v>1249</v>
      </c>
      <c r="J65" s="47" t="s">
        <v>454</v>
      </c>
      <c r="K65" s="47" t="s">
        <v>457</v>
      </c>
      <c r="L65" s="15" t="s">
        <v>172</v>
      </c>
      <c r="M65" s="47" t="s">
        <v>454</v>
      </c>
      <c r="N65" s="44" t="s">
        <v>172</v>
      </c>
      <c r="O65" s="34">
        <f>IF(F65="","",ROUND(IF(H65="",0,H65)/60,2))</f>
        <v>0</v>
      </c>
      <c r="P65" s="34">
        <f>IF(B65="","",ROUND(SUMIFS($H$5:$H$404,$B$5:$B$404,B65,$M$5:$M$404,"Yes")/60,2))</f>
        <v>0</v>
      </c>
      <c r="Q65" s="34">
        <f>IF(B65="","",IFERROR(INDEX(Services!$G$5:$G$64,MATCH(B65,Services!$B$5:$B$64,0)),""))</f>
        <v>0</v>
      </c>
      <c r="R65" s="31">
        <f>IF(F65="","",COUNTIFS('Job Tasks'!$G$5:$G$904,F65,'Job Tasks'!$H$5:$H$904,"Done"))</f>
        <v>0</v>
      </c>
      <c r="S65" s="31">
        <f>IF(F65="","",COUNTIFS('Job Tasks'!$G$5:$G$904,F65,'Job Tasks'!$H$5:$H$904,"Skipped"))</f>
        <v>0</v>
      </c>
      <c r="T65" s="31">
        <f>IF(F65="","",COUNTIFS('Job Tasks'!$G$5:$G$904,F65,'Job Tasks'!$H$5:$H$904,"Issue found"))</f>
        <v>0</v>
      </c>
      <c r="U65" s="39">
        <f>IF(F65="","",IF(R65+S65=0,"New",IF(S65/(R65+S65)&gt;0.25,"Often skipped","Working")))</f>
        <v>0</v>
      </c>
      <c r="V65" s="31">
        <f>IF(OR(B65="",F65=""),"",COUNTIFS($B$5:B65,B65))</f>
        <v>0</v>
      </c>
      <c r="W65" s="23">
        <f>IF(V65="","",B65&amp;"|"&amp;V65)</f>
        <v>0</v>
      </c>
      <c r="X65" s="39">
        <f>IF(F65="","",IF(B65="","Add - which service?",IF(H65="","Add - how many minutes?",IF(AND(Q65&lt;&gt;"",P65&gt;Q65+0.25),"Check - checklist is longer than the service allows",IF(S65&gt;=3,"Check - often skipped","OK")))))</f>
        <v>0</v>
      </c>
    </row>
    <row r="66" spans="1:24">
      <c r="A66" s="43">
        <f>IF(F66="","","CHK-"&amp;TEXT(ROW()-4,"0000"))</f>
        <v>0</v>
      </c>
      <c r="B66" s="15" t="s">
        <v>797</v>
      </c>
      <c r="C66" s="49" t="s">
        <v>172</v>
      </c>
      <c r="D66" s="15" t="s">
        <v>1204</v>
      </c>
      <c r="E66" s="16">
        <v>2</v>
      </c>
      <c r="F66" s="15" t="s">
        <v>1346</v>
      </c>
      <c r="G66" s="44" t="s">
        <v>1347</v>
      </c>
      <c r="H66" s="16">
        <v>15</v>
      </c>
      <c r="I66" s="15" t="s">
        <v>1249</v>
      </c>
      <c r="J66" s="47" t="s">
        <v>454</v>
      </c>
      <c r="K66" s="47" t="s">
        <v>457</v>
      </c>
      <c r="L66" s="15" t="s">
        <v>172</v>
      </c>
      <c r="M66" s="47" t="s">
        <v>454</v>
      </c>
      <c r="N66" s="44" t="s">
        <v>172</v>
      </c>
      <c r="O66" s="34">
        <f>IF(F66="","",ROUND(IF(H66="",0,H66)/60,2))</f>
        <v>0</v>
      </c>
      <c r="P66" s="34">
        <f>IF(B66="","",ROUND(SUMIFS($H$5:$H$404,$B$5:$B$404,B66,$M$5:$M$404,"Yes")/60,2))</f>
        <v>0</v>
      </c>
      <c r="Q66" s="34">
        <f>IF(B66="","",IFERROR(INDEX(Services!$G$5:$G$64,MATCH(B66,Services!$B$5:$B$64,0)),""))</f>
        <v>0</v>
      </c>
      <c r="R66" s="31">
        <f>IF(F66="","",COUNTIFS('Job Tasks'!$G$5:$G$904,F66,'Job Tasks'!$H$5:$H$904,"Done"))</f>
        <v>0</v>
      </c>
      <c r="S66" s="31">
        <f>IF(F66="","",COUNTIFS('Job Tasks'!$G$5:$G$904,F66,'Job Tasks'!$H$5:$H$904,"Skipped"))</f>
        <v>0</v>
      </c>
      <c r="T66" s="31">
        <f>IF(F66="","",COUNTIFS('Job Tasks'!$G$5:$G$904,F66,'Job Tasks'!$H$5:$H$904,"Issue found"))</f>
        <v>0</v>
      </c>
      <c r="U66" s="39">
        <f>IF(F66="","",IF(R66+S66=0,"New",IF(S66/(R66+S66)&gt;0.25,"Often skipped","Working")))</f>
        <v>0</v>
      </c>
      <c r="V66" s="31">
        <f>IF(OR(B66="",F66=""),"",COUNTIFS($B$5:B66,B66))</f>
        <v>0</v>
      </c>
      <c r="W66" s="23">
        <f>IF(V66="","",B66&amp;"|"&amp;V66)</f>
        <v>0</v>
      </c>
      <c r="X66" s="39">
        <f>IF(F66="","",IF(B66="","Add - which service?",IF(H66="","Add - how many minutes?",IF(AND(Q66&lt;&gt;"",P66&gt;Q66+0.25),"Check - checklist is longer than the service allows",IF(S66&gt;=3,"Check - often skipped","OK")))))</f>
        <v>0</v>
      </c>
    </row>
    <row r="67" spans="1:24">
      <c r="A67" s="43">
        <f>IF(F67="","","CHK-"&amp;TEXT(ROW()-4,"0000"))</f>
        <v>0</v>
      </c>
      <c r="B67" s="15" t="s">
        <v>797</v>
      </c>
      <c r="C67" s="49" t="s">
        <v>172</v>
      </c>
      <c r="D67" s="15" t="s">
        <v>1183</v>
      </c>
      <c r="E67" s="16">
        <v>3</v>
      </c>
      <c r="F67" s="15" t="s">
        <v>1348</v>
      </c>
      <c r="G67" s="44" t="s">
        <v>1349</v>
      </c>
      <c r="H67" s="16">
        <v>25</v>
      </c>
      <c r="I67" s="15" t="s">
        <v>1249</v>
      </c>
      <c r="J67" s="47" t="s">
        <v>454</v>
      </c>
      <c r="K67" s="47" t="s">
        <v>457</v>
      </c>
      <c r="L67" s="15" t="s">
        <v>172</v>
      </c>
      <c r="M67" s="47" t="s">
        <v>454</v>
      </c>
      <c r="N67" s="44" t="s">
        <v>172</v>
      </c>
      <c r="O67" s="34">
        <f>IF(F67="","",ROUND(IF(H67="",0,H67)/60,2))</f>
        <v>0</v>
      </c>
      <c r="P67" s="34">
        <f>IF(B67="","",ROUND(SUMIFS($H$5:$H$404,$B$5:$B$404,B67,$M$5:$M$404,"Yes")/60,2))</f>
        <v>0</v>
      </c>
      <c r="Q67" s="34">
        <f>IF(B67="","",IFERROR(INDEX(Services!$G$5:$G$64,MATCH(B67,Services!$B$5:$B$64,0)),""))</f>
        <v>0</v>
      </c>
      <c r="R67" s="31">
        <f>IF(F67="","",COUNTIFS('Job Tasks'!$G$5:$G$904,F67,'Job Tasks'!$H$5:$H$904,"Done"))</f>
        <v>0</v>
      </c>
      <c r="S67" s="31">
        <f>IF(F67="","",COUNTIFS('Job Tasks'!$G$5:$G$904,F67,'Job Tasks'!$H$5:$H$904,"Skipped"))</f>
        <v>0</v>
      </c>
      <c r="T67" s="31">
        <f>IF(F67="","",COUNTIFS('Job Tasks'!$G$5:$G$904,F67,'Job Tasks'!$H$5:$H$904,"Issue found"))</f>
        <v>0</v>
      </c>
      <c r="U67" s="39">
        <f>IF(F67="","",IF(R67+S67=0,"New",IF(S67/(R67+S67)&gt;0.25,"Often skipped","Working")))</f>
        <v>0</v>
      </c>
      <c r="V67" s="31">
        <f>IF(OR(B67="",F67=""),"",COUNTIFS($B$5:B67,B67))</f>
        <v>0</v>
      </c>
      <c r="W67" s="23">
        <f>IF(V67="","",B67&amp;"|"&amp;V67)</f>
        <v>0</v>
      </c>
      <c r="X67" s="39">
        <f>IF(F67="","",IF(B67="","Add - which service?",IF(H67="","Add - how many minutes?",IF(AND(Q67&lt;&gt;"",P67&gt;Q67+0.25),"Check - checklist is longer than the service allows",IF(S67&gt;=3,"Check - often skipped","OK")))))</f>
        <v>0</v>
      </c>
    </row>
    <row r="68" spans="1:24">
      <c r="A68" s="43">
        <f>IF(F68="","","CHK-"&amp;TEXT(ROW()-4,"0000"))</f>
        <v>0</v>
      </c>
      <c r="B68" s="15" t="s">
        <v>797</v>
      </c>
      <c r="C68" s="49" t="s">
        <v>172</v>
      </c>
      <c r="D68" s="15" t="s">
        <v>1183</v>
      </c>
      <c r="E68" s="16">
        <v>4</v>
      </c>
      <c r="F68" s="15" t="s">
        <v>1350</v>
      </c>
      <c r="G68" s="44" t="s">
        <v>1351</v>
      </c>
      <c r="H68" s="16">
        <v>15</v>
      </c>
      <c r="I68" s="15" t="s">
        <v>1249</v>
      </c>
      <c r="J68" s="47" t="s">
        <v>454</v>
      </c>
      <c r="K68" s="47" t="s">
        <v>457</v>
      </c>
      <c r="L68" s="15" t="s">
        <v>172</v>
      </c>
      <c r="M68" s="47" t="s">
        <v>454</v>
      </c>
      <c r="N68" s="44" t="s">
        <v>172</v>
      </c>
      <c r="O68" s="34">
        <f>IF(F68="","",ROUND(IF(H68="",0,H68)/60,2))</f>
        <v>0</v>
      </c>
      <c r="P68" s="34">
        <f>IF(B68="","",ROUND(SUMIFS($H$5:$H$404,$B$5:$B$404,B68,$M$5:$M$404,"Yes")/60,2))</f>
        <v>0</v>
      </c>
      <c r="Q68" s="34">
        <f>IF(B68="","",IFERROR(INDEX(Services!$G$5:$G$64,MATCH(B68,Services!$B$5:$B$64,0)),""))</f>
        <v>0</v>
      </c>
      <c r="R68" s="31">
        <f>IF(F68="","",COUNTIFS('Job Tasks'!$G$5:$G$904,F68,'Job Tasks'!$H$5:$H$904,"Done"))</f>
        <v>0</v>
      </c>
      <c r="S68" s="31">
        <f>IF(F68="","",COUNTIFS('Job Tasks'!$G$5:$G$904,F68,'Job Tasks'!$H$5:$H$904,"Skipped"))</f>
        <v>0</v>
      </c>
      <c r="T68" s="31">
        <f>IF(F68="","",COUNTIFS('Job Tasks'!$G$5:$G$904,F68,'Job Tasks'!$H$5:$H$904,"Issue found"))</f>
        <v>0</v>
      </c>
      <c r="U68" s="39">
        <f>IF(F68="","",IF(R68+S68=0,"New",IF(S68/(R68+S68)&gt;0.25,"Often skipped","Working")))</f>
        <v>0</v>
      </c>
      <c r="V68" s="31">
        <f>IF(OR(B68="",F68=""),"",COUNTIFS($B$5:B68,B68))</f>
        <v>0</v>
      </c>
      <c r="W68" s="23">
        <f>IF(V68="","",B68&amp;"|"&amp;V68)</f>
        <v>0</v>
      </c>
      <c r="X68" s="39">
        <f>IF(F68="","",IF(B68="","Add - which service?",IF(H68="","Add - how many minutes?",IF(AND(Q68&lt;&gt;"",P68&gt;Q68+0.25),"Check - checklist is longer than the service allows",IF(S68&gt;=3,"Check - often skipped","OK")))))</f>
        <v>0</v>
      </c>
    </row>
    <row r="69" spans="1:24">
      <c r="A69" s="43">
        <f>IF(F69="","","CHK-"&amp;TEXT(ROW()-4,"0000"))</f>
        <v>0</v>
      </c>
      <c r="B69" s="15" t="s">
        <v>797</v>
      </c>
      <c r="C69" s="49" t="s">
        <v>172</v>
      </c>
      <c r="D69" s="15" t="s">
        <v>1217</v>
      </c>
      <c r="E69" s="16">
        <v>5</v>
      </c>
      <c r="F69" s="15" t="s">
        <v>1352</v>
      </c>
      <c r="G69" s="44" t="s">
        <v>1353</v>
      </c>
      <c r="H69" s="16">
        <v>20</v>
      </c>
      <c r="I69" s="15" t="s">
        <v>1249</v>
      </c>
      <c r="J69" s="47" t="s">
        <v>454</v>
      </c>
      <c r="K69" s="47" t="s">
        <v>457</v>
      </c>
      <c r="L69" s="15" t="s">
        <v>172</v>
      </c>
      <c r="M69" s="47" t="s">
        <v>454</v>
      </c>
      <c r="N69" s="44" t="s">
        <v>172</v>
      </c>
      <c r="O69" s="34">
        <f>IF(F69="","",ROUND(IF(H69="",0,H69)/60,2))</f>
        <v>0</v>
      </c>
      <c r="P69" s="34">
        <f>IF(B69="","",ROUND(SUMIFS($H$5:$H$404,$B$5:$B$404,B69,$M$5:$M$404,"Yes")/60,2))</f>
        <v>0</v>
      </c>
      <c r="Q69" s="34">
        <f>IF(B69="","",IFERROR(INDEX(Services!$G$5:$G$64,MATCH(B69,Services!$B$5:$B$64,0)),""))</f>
        <v>0</v>
      </c>
      <c r="R69" s="31">
        <f>IF(F69="","",COUNTIFS('Job Tasks'!$G$5:$G$904,F69,'Job Tasks'!$H$5:$H$904,"Done"))</f>
        <v>0</v>
      </c>
      <c r="S69" s="31">
        <f>IF(F69="","",COUNTIFS('Job Tasks'!$G$5:$G$904,F69,'Job Tasks'!$H$5:$H$904,"Skipped"))</f>
        <v>0</v>
      </c>
      <c r="T69" s="31">
        <f>IF(F69="","",COUNTIFS('Job Tasks'!$G$5:$G$904,F69,'Job Tasks'!$H$5:$H$904,"Issue found"))</f>
        <v>0</v>
      </c>
      <c r="U69" s="39">
        <f>IF(F69="","",IF(R69+S69=0,"New",IF(S69/(R69+S69)&gt;0.25,"Often skipped","Working")))</f>
        <v>0</v>
      </c>
      <c r="V69" s="31">
        <f>IF(OR(B69="",F69=""),"",COUNTIFS($B$5:B69,B69))</f>
        <v>0</v>
      </c>
      <c r="W69" s="23">
        <f>IF(V69="","",B69&amp;"|"&amp;V69)</f>
        <v>0</v>
      </c>
      <c r="X69" s="39">
        <f>IF(F69="","",IF(B69="","Add - which service?",IF(H69="","Add - how many minutes?",IF(AND(Q69&lt;&gt;"",P69&gt;Q69+0.25),"Check - checklist is longer than the service allows",IF(S69&gt;=3,"Check - often skipped","OK")))))</f>
        <v>0</v>
      </c>
    </row>
    <row r="70" spans="1:24">
      <c r="A70" s="43">
        <f>IF(F70="","","CHK-"&amp;TEXT(ROW()-4,"0000"))</f>
        <v>0</v>
      </c>
      <c r="B70" s="15" t="s">
        <v>797</v>
      </c>
      <c r="C70" s="49" t="s">
        <v>172</v>
      </c>
      <c r="D70" s="15" t="s">
        <v>1204</v>
      </c>
      <c r="E70" s="16">
        <v>6</v>
      </c>
      <c r="F70" s="15" t="s">
        <v>1354</v>
      </c>
      <c r="G70" s="44" t="s">
        <v>1355</v>
      </c>
      <c r="H70" s="16">
        <v>10</v>
      </c>
      <c r="I70" s="15" t="s">
        <v>1249</v>
      </c>
      <c r="J70" s="47" t="s">
        <v>454</v>
      </c>
      <c r="K70" s="47" t="s">
        <v>457</v>
      </c>
      <c r="L70" s="15" t="s">
        <v>172</v>
      </c>
      <c r="M70" s="47" t="s">
        <v>454</v>
      </c>
      <c r="N70" s="44" t="s">
        <v>172</v>
      </c>
      <c r="O70" s="34">
        <f>IF(F70="","",ROUND(IF(H70="",0,H70)/60,2))</f>
        <v>0</v>
      </c>
      <c r="P70" s="34">
        <f>IF(B70="","",ROUND(SUMIFS($H$5:$H$404,$B$5:$B$404,B70,$M$5:$M$404,"Yes")/60,2))</f>
        <v>0</v>
      </c>
      <c r="Q70" s="34">
        <f>IF(B70="","",IFERROR(INDEX(Services!$G$5:$G$64,MATCH(B70,Services!$B$5:$B$64,0)),""))</f>
        <v>0</v>
      </c>
      <c r="R70" s="31">
        <f>IF(F70="","",COUNTIFS('Job Tasks'!$G$5:$G$904,F70,'Job Tasks'!$H$5:$H$904,"Done"))</f>
        <v>0</v>
      </c>
      <c r="S70" s="31">
        <f>IF(F70="","",COUNTIFS('Job Tasks'!$G$5:$G$904,F70,'Job Tasks'!$H$5:$H$904,"Skipped"))</f>
        <v>0</v>
      </c>
      <c r="T70" s="31">
        <f>IF(F70="","",COUNTIFS('Job Tasks'!$G$5:$G$904,F70,'Job Tasks'!$H$5:$H$904,"Issue found"))</f>
        <v>0</v>
      </c>
      <c r="U70" s="39">
        <f>IF(F70="","",IF(R70+S70=0,"New",IF(S70/(R70+S70)&gt;0.25,"Often skipped","Working")))</f>
        <v>0</v>
      </c>
      <c r="V70" s="31">
        <f>IF(OR(B70="",F70=""),"",COUNTIFS($B$5:B70,B70))</f>
        <v>0</v>
      </c>
      <c r="W70" s="23">
        <f>IF(V70="","",B70&amp;"|"&amp;V70)</f>
        <v>0</v>
      </c>
      <c r="X70" s="39">
        <f>IF(F70="","",IF(B70="","Add - which service?",IF(H70="","Add - how many minutes?",IF(AND(Q70&lt;&gt;"",P70&gt;Q70+0.25),"Check - checklist is longer than the service allows",IF(S70&gt;=3,"Check - often skipped","OK")))))</f>
        <v>0</v>
      </c>
    </row>
    <row r="71" spans="1:24">
      <c r="A71" s="43">
        <f>IF(F71="","","CHK-"&amp;TEXT(ROW()-4,"0000"))</f>
        <v>0</v>
      </c>
      <c r="B71" s="15" t="s">
        <v>797</v>
      </c>
      <c r="C71" s="49" t="s">
        <v>172</v>
      </c>
      <c r="D71" s="15" t="s">
        <v>1204</v>
      </c>
      <c r="E71" s="16">
        <v>7</v>
      </c>
      <c r="F71" s="15" t="s">
        <v>1356</v>
      </c>
      <c r="G71" s="44" t="s">
        <v>1357</v>
      </c>
      <c r="H71" s="16">
        <v>10</v>
      </c>
      <c r="I71" s="15" t="s">
        <v>1249</v>
      </c>
      <c r="J71" s="47" t="s">
        <v>454</v>
      </c>
      <c r="K71" s="47" t="s">
        <v>457</v>
      </c>
      <c r="L71" s="15" t="s">
        <v>172</v>
      </c>
      <c r="M71" s="47" t="s">
        <v>454</v>
      </c>
      <c r="N71" s="44" t="s">
        <v>172</v>
      </c>
      <c r="O71" s="34">
        <f>IF(F71="","",ROUND(IF(H71="",0,H71)/60,2))</f>
        <v>0</v>
      </c>
      <c r="P71" s="34">
        <f>IF(B71="","",ROUND(SUMIFS($H$5:$H$404,$B$5:$B$404,B71,$M$5:$M$404,"Yes")/60,2))</f>
        <v>0</v>
      </c>
      <c r="Q71" s="34">
        <f>IF(B71="","",IFERROR(INDEX(Services!$G$5:$G$64,MATCH(B71,Services!$B$5:$B$64,0)),""))</f>
        <v>0</v>
      </c>
      <c r="R71" s="31">
        <f>IF(F71="","",COUNTIFS('Job Tasks'!$G$5:$G$904,F71,'Job Tasks'!$H$5:$H$904,"Done"))</f>
        <v>0</v>
      </c>
      <c r="S71" s="31">
        <f>IF(F71="","",COUNTIFS('Job Tasks'!$G$5:$G$904,F71,'Job Tasks'!$H$5:$H$904,"Skipped"))</f>
        <v>0</v>
      </c>
      <c r="T71" s="31">
        <f>IF(F71="","",COUNTIFS('Job Tasks'!$G$5:$G$904,F71,'Job Tasks'!$H$5:$H$904,"Issue found"))</f>
        <v>0</v>
      </c>
      <c r="U71" s="39">
        <f>IF(F71="","",IF(R71+S71=0,"New",IF(S71/(R71+S71)&gt;0.25,"Often skipped","Working")))</f>
        <v>0</v>
      </c>
      <c r="V71" s="31">
        <f>IF(OR(B71="",F71=""),"",COUNTIFS($B$5:B71,B71))</f>
        <v>0</v>
      </c>
      <c r="W71" s="23">
        <f>IF(V71="","",B71&amp;"|"&amp;V71)</f>
        <v>0</v>
      </c>
      <c r="X71" s="39">
        <f>IF(F71="","",IF(B71="","Add - which service?",IF(H71="","Add - how many minutes?",IF(AND(Q71&lt;&gt;"",P71&gt;Q71+0.25),"Check - checklist is longer than the service allows",IF(S71&gt;=3,"Check - often skipped","OK")))))</f>
        <v>0</v>
      </c>
    </row>
    <row r="72" spans="1:24">
      <c r="A72" s="43">
        <f>IF(F72="","","CHK-"&amp;TEXT(ROW()-4,"0000"))</f>
        <v>0</v>
      </c>
      <c r="B72" s="15" t="s">
        <v>437</v>
      </c>
      <c r="C72" s="49" t="s">
        <v>1135</v>
      </c>
      <c r="D72" s="15" t="s">
        <v>1204</v>
      </c>
      <c r="E72" s="16">
        <v>17</v>
      </c>
      <c r="F72" s="15" t="s">
        <v>1358</v>
      </c>
      <c r="G72" s="44" t="s">
        <v>1359</v>
      </c>
      <c r="H72" s="16">
        <v>3</v>
      </c>
      <c r="I72" s="15" t="s">
        <v>451</v>
      </c>
      <c r="J72" s="47" t="s">
        <v>454</v>
      </c>
      <c r="K72" s="47" t="s">
        <v>457</v>
      </c>
      <c r="L72" s="15" t="s">
        <v>172</v>
      </c>
      <c r="M72" s="47" t="s">
        <v>454</v>
      </c>
      <c r="N72" s="44" t="s">
        <v>1360</v>
      </c>
      <c r="O72" s="34">
        <f>IF(F72="","",ROUND(IF(H72="",0,H72)/60,2))</f>
        <v>0</v>
      </c>
      <c r="P72" s="34">
        <f>IF(B72="","",ROUND(SUMIFS($H$5:$H$404,$B$5:$B$404,B72,$M$5:$M$404,"Yes")/60,2))</f>
        <v>0</v>
      </c>
      <c r="Q72" s="34">
        <f>IF(B72="","",IFERROR(INDEX(Services!$G$5:$G$64,MATCH(B72,Services!$B$5:$B$64,0)),""))</f>
        <v>0</v>
      </c>
      <c r="R72" s="31">
        <f>IF(F72="","",COUNTIFS('Job Tasks'!$G$5:$G$904,F72,'Job Tasks'!$H$5:$H$904,"Done"))</f>
        <v>0</v>
      </c>
      <c r="S72" s="31">
        <f>IF(F72="","",COUNTIFS('Job Tasks'!$G$5:$G$904,F72,'Job Tasks'!$H$5:$H$904,"Skipped"))</f>
        <v>0</v>
      </c>
      <c r="T72" s="31">
        <f>IF(F72="","",COUNTIFS('Job Tasks'!$G$5:$G$904,F72,'Job Tasks'!$H$5:$H$904,"Issue found"))</f>
        <v>0</v>
      </c>
      <c r="U72" s="39">
        <f>IF(F72="","",IF(R72+S72=0,"New",IF(S72/(R72+S72)&gt;0.25,"Often skipped","Working")))</f>
        <v>0</v>
      </c>
      <c r="V72" s="31">
        <f>IF(OR(B72="",F72=""),"",COUNTIFS($B$5:B72,B72))</f>
        <v>0</v>
      </c>
      <c r="W72" s="23">
        <f>IF(V72="","",B72&amp;"|"&amp;V72)</f>
        <v>0</v>
      </c>
      <c r="X72" s="39">
        <f>IF(F72="","",IF(B72="","Add - which service?",IF(H72="","Add - how many minutes?",IF(AND(Q72&lt;&gt;"",P72&gt;Q72+0.25),"Check - checklist is longer than the service allows",IF(S72&gt;=3,"Check - often skipped","OK")))))</f>
        <v>0</v>
      </c>
    </row>
    <row r="73" spans="1:24">
      <c r="A73" s="43">
        <f>IF(F73="","","CHK-"&amp;TEXT(ROW()-4,"0000"))</f>
        <v>0</v>
      </c>
      <c r="O73" s="34">
        <f>IF(F73="","",ROUND(IF(H73="",0,H73)/60,2))</f>
        <v>0</v>
      </c>
      <c r="P73" s="34">
        <f>IF(B73="","",ROUND(SUMIFS($H$5:$H$404,$B$5:$B$404,B73,$M$5:$M$404,"Yes")/60,2))</f>
        <v>0</v>
      </c>
      <c r="Q73" s="34">
        <f>IF(B73="","",IFERROR(INDEX(Services!$G$5:$G$64,MATCH(B73,Services!$B$5:$B$64,0)),""))</f>
        <v>0</v>
      </c>
      <c r="R73" s="31">
        <f>IF(F73="","",COUNTIFS('Job Tasks'!$G$5:$G$904,F73,'Job Tasks'!$H$5:$H$904,"Done"))</f>
        <v>0</v>
      </c>
      <c r="S73" s="31">
        <f>IF(F73="","",COUNTIFS('Job Tasks'!$G$5:$G$904,F73,'Job Tasks'!$H$5:$H$904,"Skipped"))</f>
        <v>0</v>
      </c>
      <c r="T73" s="31">
        <f>IF(F73="","",COUNTIFS('Job Tasks'!$G$5:$G$904,F73,'Job Tasks'!$H$5:$H$904,"Issue found"))</f>
        <v>0</v>
      </c>
      <c r="U73" s="39">
        <f>IF(F73="","",IF(R73+S73=0,"New",IF(S73/(R73+S73)&gt;0.25,"Often skipped","Working")))</f>
        <v>0</v>
      </c>
      <c r="V73" s="31">
        <f>IF(OR(B73="",F73=""),"",COUNTIFS($B$5:B73,B73))</f>
        <v>0</v>
      </c>
      <c r="W73" s="23">
        <f>IF(V73="","",B73&amp;"|"&amp;V73)</f>
        <v>0</v>
      </c>
      <c r="X73" s="39">
        <f>IF(F73="","",IF(B73="","Add - which service?",IF(H73="","Add - how many minutes?",IF(AND(Q73&lt;&gt;"",P73&gt;Q73+0.25),"Check - checklist is longer than the service allows",IF(S73&gt;=3,"Check - often skipped","OK")))))</f>
        <v>0</v>
      </c>
    </row>
    <row r="74" spans="1:24">
      <c r="A74" s="43">
        <f>IF(F74="","","CHK-"&amp;TEXT(ROW()-4,"0000"))</f>
        <v>0</v>
      </c>
      <c r="O74" s="34">
        <f>IF(F74="","",ROUND(IF(H74="",0,H74)/60,2))</f>
        <v>0</v>
      </c>
      <c r="P74" s="34">
        <f>IF(B74="","",ROUND(SUMIFS($H$5:$H$404,$B$5:$B$404,B74,$M$5:$M$404,"Yes")/60,2))</f>
        <v>0</v>
      </c>
      <c r="Q74" s="34">
        <f>IF(B74="","",IFERROR(INDEX(Services!$G$5:$G$64,MATCH(B74,Services!$B$5:$B$64,0)),""))</f>
        <v>0</v>
      </c>
      <c r="R74" s="31">
        <f>IF(F74="","",COUNTIFS('Job Tasks'!$G$5:$G$904,F74,'Job Tasks'!$H$5:$H$904,"Done"))</f>
        <v>0</v>
      </c>
      <c r="S74" s="31">
        <f>IF(F74="","",COUNTIFS('Job Tasks'!$G$5:$G$904,F74,'Job Tasks'!$H$5:$H$904,"Skipped"))</f>
        <v>0</v>
      </c>
      <c r="T74" s="31">
        <f>IF(F74="","",COUNTIFS('Job Tasks'!$G$5:$G$904,F74,'Job Tasks'!$H$5:$H$904,"Issue found"))</f>
        <v>0</v>
      </c>
      <c r="U74" s="39">
        <f>IF(F74="","",IF(R74+S74=0,"New",IF(S74/(R74+S74)&gt;0.25,"Often skipped","Working")))</f>
        <v>0</v>
      </c>
      <c r="V74" s="31">
        <f>IF(OR(B74="",F74=""),"",COUNTIFS($B$5:B74,B74))</f>
        <v>0</v>
      </c>
      <c r="W74" s="23">
        <f>IF(V74="","",B74&amp;"|"&amp;V74)</f>
        <v>0</v>
      </c>
      <c r="X74" s="39">
        <f>IF(F74="","",IF(B74="","Add - which service?",IF(H74="","Add - how many minutes?",IF(AND(Q74&lt;&gt;"",P74&gt;Q74+0.25),"Check - checklist is longer than the service allows",IF(S74&gt;=3,"Check - often skipped","OK")))))</f>
        <v>0</v>
      </c>
    </row>
    <row r="75" spans="1:24">
      <c r="A75" s="43">
        <f>IF(F75="","","CHK-"&amp;TEXT(ROW()-4,"0000"))</f>
        <v>0</v>
      </c>
      <c r="O75" s="34">
        <f>IF(F75="","",ROUND(IF(H75="",0,H75)/60,2))</f>
        <v>0</v>
      </c>
      <c r="P75" s="34">
        <f>IF(B75="","",ROUND(SUMIFS($H$5:$H$404,$B$5:$B$404,B75,$M$5:$M$404,"Yes")/60,2))</f>
        <v>0</v>
      </c>
      <c r="Q75" s="34">
        <f>IF(B75="","",IFERROR(INDEX(Services!$G$5:$G$64,MATCH(B75,Services!$B$5:$B$64,0)),""))</f>
        <v>0</v>
      </c>
      <c r="R75" s="31">
        <f>IF(F75="","",COUNTIFS('Job Tasks'!$G$5:$G$904,F75,'Job Tasks'!$H$5:$H$904,"Done"))</f>
        <v>0</v>
      </c>
      <c r="S75" s="31">
        <f>IF(F75="","",COUNTIFS('Job Tasks'!$G$5:$G$904,F75,'Job Tasks'!$H$5:$H$904,"Skipped"))</f>
        <v>0</v>
      </c>
      <c r="T75" s="31">
        <f>IF(F75="","",COUNTIFS('Job Tasks'!$G$5:$G$904,F75,'Job Tasks'!$H$5:$H$904,"Issue found"))</f>
        <v>0</v>
      </c>
      <c r="U75" s="39">
        <f>IF(F75="","",IF(R75+S75=0,"New",IF(S75/(R75+S75)&gt;0.25,"Often skipped","Working")))</f>
        <v>0</v>
      </c>
      <c r="V75" s="31">
        <f>IF(OR(B75="",F75=""),"",COUNTIFS($B$5:B75,B75))</f>
        <v>0</v>
      </c>
      <c r="W75" s="23">
        <f>IF(V75="","",B75&amp;"|"&amp;V75)</f>
        <v>0</v>
      </c>
      <c r="X75" s="39">
        <f>IF(F75="","",IF(B75="","Add - which service?",IF(H75="","Add - how many minutes?",IF(AND(Q75&lt;&gt;"",P75&gt;Q75+0.25),"Check - checklist is longer than the service allows",IF(S75&gt;=3,"Check - often skipped","OK")))))</f>
        <v>0</v>
      </c>
    </row>
    <row r="76" spans="1:24">
      <c r="A76" s="43">
        <f>IF(F76="","","CHK-"&amp;TEXT(ROW()-4,"0000"))</f>
        <v>0</v>
      </c>
      <c r="O76" s="34">
        <f>IF(F76="","",ROUND(IF(H76="",0,H76)/60,2))</f>
        <v>0</v>
      </c>
      <c r="P76" s="34">
        <f>IF(B76="","",ROUND(SUMIFS($H$5:$H$404,$B$5:$B$404,B76,$M$5:$M$404,"Yes")/60,2))</f>
        <v>0</v>
      </c>
      <c r="Q76" s="34">
        <f>IF(B76="","",IFERROR(INDEX(Services!$G$5:$G$64,MATCH(B76,Services!$B$5:$B$64,0)),""))</f>
        <v>0</v>
      </c>
      <c r="R76" s="31">
        <f>IF(F76="","",COUNTIFS('Job Tasks'!$G$5:$G$904,F76,'Job Tasks'!$H$5:$H$904,"Done"))</f>
        <v>0</v>
      </c>
      <c r="S76" s="31">
        <f>IF(F76="","",COUNTIFS('Job Tasks'!$G$5:$G$904,F76,'Job Tasks'!$H$5:$H$904,"Skipped"))</f>
        <v>0</v>
      </c>
      <c r="T76" s="31">
        <f>IF(F76="","",COUNTIFS('Job Tasks'!$G$5:$G$904,F76,'Job Tasks'!$H$5:$H$904,"Issue found"))</f>
        <v>0</v>
      </c>
      <c r="U76" s="39">
        <f>IF(F76="","",IF(R76+S76=0,"New",IF(S76/(R76+S76)&gt;0.25,"Often skipped","Working")))</f>
        <v>0</v>
      </c>
      <c r="V76" s="31">
        <f>IF(OR(B76="",F76=""),"",COUNTIFS($B$5:B76,B76))</f>
        <v>0</v>
      </c>
      <c r="W76" s="23">
        <f>IF(V76="","",B76&amp;"|"&amp;V76)</f>
        <v>0</v>
      </c>
      <c r="X76" s="39">
        <f>IF(F76="","",IF(B76="","Add - which service?",IF(H76="","Add - how many minutes?",IF(AND(Q76&lt;&gt;"",P76&gt;Q76+0.25),"Check - checklist is longer than the service allows",IF(S76&gt;=3,"Check - often skipped","OK")))))</f>
        <v>0</v>
      </c>
    </row>
    <row r="77" spans="1:24">
      <c r="A77" s="43">
        <f>IF(F77="","","CHK-"&amp;TEXT(ROW()-4,"0000"))</f>
        <v>0</v>
      </c>
      <c r="O77" s="34">
        <f>IF(F77="","",ROUND(IF(H77="",0,H77)/60,2))</f>
        <v>0</v>
      </c>
      <c r="P77" s="34">
        <f>IF(B77="","",ROUND(SUMIFS($H$5:$H$404,$B$5:$B$404,B77,$M$5:$M$404,"Yes")/60,2))</f>
        <v>0</v>
      </c>
      <c r="Q77" s="34">
        <f>IF(B77="","",IFERROR(INDEX(Services!$G$5:$G$64,MATCH(B77,Services!$B$5:$B$64,0)),""))</f>
        <v>0</v>
      </c>
      <c r="R77" s="31">
        <f>IF(F77="","",COUNTIFS('Job Tasks'!$G$5:$G$904,F77,'Job Tasks'!$H$5:$H$904,"Done"))</f>
        <v>0</v>
      </c>
      <c r="S77" s="31">
        <f>IF(F77="","",COUNTIFS('Job Tasks'!$G$5:$G$904,F77,'Job Tasks'!$H$5:$H$904,"Skipped"))</f>
        <v>0</v>
      </c>
      <c r="T77" s="31">
        <f>IF(F77="","",COUNTIFS('Job Tasks'!$G$5:$G$904,F77,'Job Tasks'!$H$5:$H$904,"Issue found"))</f>
        <v>0</v>
      </c>
      <c r="U77" s="39">
        <f>IF(F77="","",IF(R77+S77=0,"New",IF(S77/(R77+S77)&gt;0.25,"Often skipped","Working")))</f>
        <v>0</v>
      </c>
      <c r="V77" s="31">
        <f>IF(OR(B77="",F77=""),"",COUNTIFS($B$5:B77,B77))</f>
        <v>0</v>
      </c>
      <c r="W77" s="23">
        <f>IF(V77="","",B77&amp;"|"&amp;V77)</f>
        <v>0</v>
      </c>
      <c r="X77" s="39">
        <f>IF(F77="","",IF(B77="","Add - which service?",IF(H77="","Add - how many minutes?",IF(AND(Q77&lt;&gt;"",P77&gt;Q77+0.25),"Check - checklist is longer than the service allows",IF(S77&gt;=3,"Check - often skipped","OK")))))</f>
        <v>0</v>
      </c>
    </row>
    <row r="78" spans="1:24">
      <c r="A78" s="43">
        <f>IF(F78="","","CHK-"&amp;TEXT(ROW()-4,"0000"))</f>
        <v>0</v>
      </c>
      <c r="O78" s="34">
        <f>IF(F78="","",ROUND(IF(H78="",0,H78)/60,2))</f>
        <v>0</v>
      </c>
      <c r="P78" s="34">
        <f>IF(B78="","",ROUND(SUMIFS($H$5:$H$404,$B$5:$B$404,B78,$M$5:$M$404,"Yes")/60,2))</f>
        <v>0</v>
      </c>
      <c r="Q78" s="34">
        <f>IF(B78="","",IFERROR(INDEX(Services!$G$5:$G$64,MATCH(B78,Services!$B$5:$B$64,0)),""))</f>
        <v>0</v>
      </c>
      <c r="R78" s="31">
        <f>IF(F78="","",COUNTIFS('Job Tasks'!$G$5:$G$904,F78,'Job Tasks'!$H$5:$H$904,"Done"))</f>
        <v>0</v>
      </c>
      <c r="S78" s="31">
        <f>IF(F78="","",COUNTIFS('Job Tasks'!$G$5:$G$904,F78,'Job Tasks'!$H$5:$H$904,"Skipped"))</f>
        <v>0</v>
      </c>
      <c r="T78" s="31">
        <f>IF(F78="","",COUNTIFS('Job Tasks'!$G$5:$G$904,F78,'Job Tasks'!$H$5:$H$904,"Issue found"))</f>
        <v>0</v>
      </c>
      <c r="U78" s="39">
        <f>IF(F78="","",IF(R78+S78=0,"New",IF(S78/(R78+S78)&gt;0.25,"Often skipped","Working")))</f>
        <v>0</v>
      </c>
      <c r="V78" s="31">
        <f>IF(OR(B78="",F78=""),"",COUNTIFS($B$5:B78,B78))</f>
        <v>0</v>
      </c>
      <c r="W78" s="23">
        <f>IF(V78="","",B78&amp;"|"&amp;V78)</f>
        <v>0</v>
      </c>
      <c r="X78" s="39">
        <f>IF(F78="","",IF(B78="","Add - which service?",IF(H78="","Add - how many minutes?",IF(AND(Q78&lt;&gt;"",P78&gt;Q78+0.25),"Check - checklist is longer than the service allows",IF(S78&gt;=3,"Check - often skipped","OK")))))</f>
        <v>0</v>
      </c>
    </row>
    <row r="79" spans="1:24">
      <c r="A79" s="43">
        <f>IF(F79="","","CHK-"&amp;TEXT(ROW()-4,"0000"))</f>
        <v>0</v>
      </c>
      <c r="O79" s="34">
        <f>IF(F79="","",ROUND(IF(H79="",0,H79)/60,2))</f>
        <v>0</v>
      </c>
      <c r="P79" s="34">
        <f>IF(B79="","",ROUND(SUMIFS($H$5:$H$404,$B$5:$B$404,B79,$M$5:$M$404,"Yes")/60,2))</f>
        <v>0</v>
      </c>
      <c r="Q79" s="34">
        <f>IF(B79="","",IFERROR(INDEX(Services!$G$5:$G$64,MATCH(B79,Services!$B$5:$B$64,0)),""))</f>
        <v>0</v>
      </c>
      <c r="R79" s="31">
        <f>IF(F79="","",COUNTIFS('Job Tasks'!$G$5:$G$904,F79,'Job Tasks'!$H$5:$H$904,"Done"))</f>
        <v>0</v>
      </c>
      <c r="S79" s="31">
        <f>IF(F79="","",COUNTIFS('Job Tasks'!$G$5:$G$904,F79,'Job Tasks'!$H$5:$H$904,"Skipped"))</f>
        <v>0</v>
      </c>
      <c r="T79" s="31">
        <f>IF(F79="","",COUNTIFS('Job Tasks'!$G$5:$G$904,F79,'Job Tasks'!$H$5:$H$904,"Issue found"))</f>
        <v>0</v>
      </c>
      <c r="U79" s="39">
        <f>IF(F79="","",IF(R79+S79=0,"New",IF(S79/(R79+S79)&gt;0.25,"Often skipped","Working")))</f>
        <v>0</v>
      </c>
      <c r="V79" s="31">
        <f>IF(OR(B79="",F79=""),"",COUNTIFS($B$5:B79,B79))</f>
        <v>0</v>
      </c>
      <c r="W79" s="23">
        <f>IF(V79="","",B79&amp;"|"&amp;V79)</f>
        <v>0</v>
      </c>
      <c r="X79" s="39">
        <f>IF(F79="","",IF(B79="","Add - which service?",IF(H79="","Add - how many minutes?",IF(AND(Q79&lt;&gt;"",P79&gt;Q79+0.25),"Check - checklist is longer than the service allows",IF(S79&gt;=3,"Check - often skipped","OK")))))</f>
        <v>0</v>
      </c>
    </row>
    <row r="80" spans="1:24">
      <c r="A80" s="43">
        <f>IF(F80="","","CHK-"&amp;TEXT(ROW()-4,"0000"))</f>
        <v>0</v>
      </c>
      <c r="O80" s="34">
        <f>IF(F80="","",ROUND(IF(H80="",0,H80)/60,2))</f>
        <v>0</v>
      </c>
      <c r="P80" s="34">
        <f>IF(B80="","",ROUND(SUMIFS($H$5:$H$404,$B$5:$B$404,B80,$M$5:$M$404,"Yes")/60,2))</f>
        <v>0</v>
      </c>
      <c r="Q80" s="34">
        <f>IF(B80="","",IFERROR(INDEX(Services!$G$5:$G$64,MATCH(B80,Services!$B$5:$B$64,0)),""))</f>
        <v>0</v>
      </c>
      <c r="R80" s="31">
        <f>IF(F80="","",COUNTIFS('Job Tasks'!$G$5:$G$904,F80,'Job Tasks'!$H$5:$H$904,"Done"))</f>
        <v>0</v>
      </c>
      <c r="S80" s="31">
        <f>IF(F80="","",COUNTIFS('Job Tasks'!$G$5:$G$904,F80,'Job Tasks'!$H$5:$H$904,"Skipped"))</f>
        <v>0</v>
      </c>
      <c r="T80" s="31">
        <f>IF(F80="","",COUNTIFS('Job Tasks'!$G$5:$G$904,F80,'Job Tasks'!$H$5:$H$904,"Issue found"))</f>
        <v>0</v>
      </c>
      <c r="U80" s="39">
        <f>IF(F80="","",IF(R80+S80=0,"New",IF(S80/(R80+S80)&gt;0.25,"Often skipped","Working")))</f>
        <v>0</v>
      </c>
      <c r="V80" s="31">
        <f>IF(OR(B80="",F80=""),"",COUNTIFS($B$5:B80,B80))</f>
        <v>0</v>
      </c>
      <c r="W80" s="23">
        <f>IF(V80="","",B80&amp;"|"&amp;V80)</f>
        <v>0</v>
      </c>
      <c r="X80" s="39">
        <f>IF(F80="","",IF(B80="","Add - which service?",IF(H80="","Add - how many minutes?",IF(AND(Q80&lt;&gt;"",P80&gt;Q80+0.25),"Check - checklist is longer than the service allows",IF(S80&gt;=3,"Check - often skipped","OK")))))</f>
        <v>0</v>
      </c>
    </row>
    <row r="81" spans="1:24">
      <c r="A81" s="43">
        <f>IF(F81="","","CHK-"&amp;TEXT(ROW()-4,"0000"))</f>
        <v>0</v>
      </c>
      <c r="O81" s="34">
        <f>IF(F81="","",ROUND(IF(H81="",0,H81)/60,2))</f>
        <v>0</v>
      </c>
      <c r="P81" s="34">
        <f>IF(B81="","",ROUND(SUMIFS($H$5:$H$404,$B$5:$B$404,B81,$M$5:$M$404,"Yes")/60,2))</f>
        <v>0</v>
      </c>
      <c r="Q81" s="34">
        <f>IF(B81="","",IFERROR(INDEX(Services!$G$5:$G$64,MATCH(B81,Services!$B$5:$B$64,0)),""))</f>
        <v>0</v>
      </c>
      <c r="R81" s="31">
        <f>IF(F81="","",COUNTIFS('Job Tasks'!$G$5:$G$904,F81,'Job Tasks'!$H$5:$H$904,"Done"))</f>
        <v>0</v>
      </c>
      <c r="S81" s="31">
        <f>IF(F81="","",COUNTIFS('Job Tasks'!$G$5:$G$904,F81,'Job Tasks'!$H$5:$H$904,"Skipped"))</f>
        <v>0</v>
      </c>
      <c r="T81" s="31">
        <f>IF(F81="","",COUNTIFS('Job Tasks'!$G$5:$G$904,F81,'Job Tasks'!$H$5:$H$904,"Issue found"))</f>
        <v>0</v>
      </c>
      <c r="U81" s="39">
        <f>IF(F81="","",IF(R81+S81=0,"New",IF(S81/(R81+S81)&gt;0.25,"Often skipped","Working")))</f>
        <v>0</v>
      </c>
      <c r="V81" s="31">
        <f>IF(OR(B81="",F81=""),"",COUNTIFS($B$5:B81,B81))</f>
        <v>0</v>
      </c>
      <c r="W81" s="23">
        <f>IF(V81="","",B81&amp;"|"&amp;V81)</f>
        <v>0</v>
      </c>
      <c r="X81" s="39">
        <f>IF(F81="","",IF(B81="","Add - which service?",IF(H81="","Add - how many minutes?",IF(AND(Q81&lt;&gt;"",P81&gt;Q81+0.25),"Check - checklist is longer than the service allows",IF(S81&gt;=3,"Check - often skipped","OK")))))</f>
        <v>0</v>
      </c>
    </row>
    <row r="82" spans="1:24">
      <c r="A82" s="43">
        <f>IF(F82="","","CHK-"&amp;TEXT(ROW()-4,"0000"))</f>
        <v>0</v>
      </c>
      <c r="O82" s="34">
        <f>IF(F82="","",ROUND(IF(H82="",0,H82)/60,2))</f>
        <v>0</v>
      </c>
      <c r="P82" s="34">
        <f>IF(B82="","",ROUND(SUMIFS($H$5:$H$404,$B$5:$B$404,B82,$M$5:$M$404,"Yes")/60,2))</f>
        <v>0</v>
      </c>
      <c r="Q82" s="34">
        <f>IF(B82="","",IFERROR(INDEX(Services!$G$5:$G$64,MATCH(B82,Services!$B$5:$B$64,0)),""))</f>
        <v>0</v>
      </c>
      <c r="R82" s="31">
        <f>IF(F82="","",COUNTIFS('Job Tasks'!$G$5:$G$904,F82,'Job Tasks'!$H$5:$H$904,"Done"))</f>
        <v>0</v>
      </c>
      <c r="S82" s="31">
        <f>IF(F82="","",COUNTIFS('Job Tasks'!$G$5:$G$904,F82,'Job Tasks'!$H$5:$H$904,"Skipped"))</f>
        <v>0</v>
      </c>
      <c r="T82" s="31">
        <f>IF(F82="","",COUNTIFS('Job Tasks'!$G$5:$G$904,F82,'Job Tasks'!$H$5:$H$904,"Issue found"))</f>
        <v>0</v>
      </c>
      <c r="U82" s="39">
        <f>IF(F82="","",IF(R82+S82=0,"New",IF(S82/(R82+S82)&gt;0.25,"Often skipped","Working")))</f>
        <v>0</v>
      </c>
      <c r="V82" s="31">
        <f>IF(OR(B82="",F82=""),"",COUNTIFS($B$5:B82,B82))</f>
        <v>0</v>
      </c>
      <c r="W82" s="23">
        <f>IF(V82="","",B82&amp;"|"&amp;V82)</f>
        <v>0</v>
      </c>
      <c r="X82" s="39">
        <f>IF(F82="","",IF(B82="","Add - which service?",IF(H82="","Add - how many minutes?",IF(AND(Q82&lt;&gt;"",P82&gt;Q82+0.25),"Check - checklist is longer than the service allows",IF(S82&gt;=3,"Check - often skipped","OK")))))</f>
        <v>0</v>
      </c>
    </row>
    <row r="83" spans="1:24">
      <c r="A83" s="43">
        <f>IF(F83="","","CHK-"&amp;TEXT(ROW()-4,"0000"))</f>
        <v>0</v>
      </c>
      <c r="O83" s="34">
        <f>IF(F83="","",ROUND(IF(H83="",0,H83)/60,2))</f>
        <v>0</v>
      </c>
      <c r="P83" s="34">
        <f>IF(B83="","",ROUND(SUMIFS($H$5:$H$404,$B$5:$B$404,B83,$M$5:$M$404,"Yes")/60,2))</f>
        <v>0</v>
      </c>
      <c r="Q83" s="34">
        <f>IF(B83="","",IFERROR(INDEX(Services!$G$5:$G$64,MATCH(B83,Services!$B$5:$B$64,0)),""))</f>
        <v>0</v>
      </c>
      <c r="R83" s="31">
        <f>IF(F83="","",COUNTIFS('Job Tasks'!$G$5:$G$904,F83,'Job Tasks'!$H$5:$H$904,"Done"))</f>
        <v>0</v>
      </c>
      <c r="S83" s="31">
        <f>IF(F83="","",COUNTIFS('Job Tasks'!$G$5:$G$904,F83,'Job Tasks'!$H$5:$H$904,"Skipped"))</f>
        <v>0</v>
      </c>
      <c r="T83" s="31">
        <f>IF(F83="","",COUNTIFS('Job Tasks'!$G$5:$G$904,F83,'Job Tasks'!$H$5:$H$904,"Issue found"))</f>
        <v>0</v>
      </c>
      <c r="U83" s="39">
        <f>IF(F83="","",IF(R83+S83=0,"New",IF(S83/(R83+S83)&gt;0.25,"Often skipped","Working")))</f>
        <v>0</v>
      </c>
      <c r="V83" s="31">
        <f>IF(OR(B83="",F83=""),"",COUNTIFS($B$5:B83,B83))</f>
        <v>0</v>
      </c>
      <c r="W83" s="23">
        <f>IF(V83="","",B83&amp;"|"&amp;V83)</f>
        <v>0</v>
      </c>
      <c r="X83" s="39">
        <f>IF(F83="","",IF(B83="","Add - which service?",IF(H83="","Add - how many minutes?",IF(AND(Q83&lt;&gt;"",P83&gt;Q83+0.25),"Check - checklist is longer than the service allows",IF(S83&gt;=3,"Check - often skipped","OK")))))</f>
        <v>0</v>
      </c>
    </row>
    <row r="84" spans="1:24">
      <c r="A84" s="43">
        <f>IF(F84="","","CHK-"&amp;TEXT(ROW()-4,"0000"))</f>
        <v>0</v>
      </c>
      <c r="O84" s="34">
        <f>IF(F84="","",ROUND(IF(H84="",0,H84)/60,2))</f>
        <v>0</v>
      </c>
      <c r="P84" s="34">
        <f>IF(B84="","",ROUND(SUMIFS($H$5:$H$404,$B$5:$B$404,B84,$M$5:$M$404,"Yes")/60,2))</f>
        <v>0</v>
      </c>
      <c r="Q84" s="34">
        <f>IF(B84="","",IFERROR(INDEX(Services!$G$5:$G$64,MATCH(B84,Services!$B$5:$B$64,0)),""))</f>
        <v>0</v>
      </c>
      <c r="R84" s="31">
        <f>IF(F84="","",COUNTIFS('Job Tasks'!$G$5:$G$904,F84,'Job Tasks'!$H$5:$H$904,"Done"))</f>
        <v>0</v>
      </c>
      <c r="S84" s="31">
        <f>IF(F84="","",COUNTIFS('Job Tasks'!$G$5:$G$904,F84,'Job Tasks'!$H$5:$H$904,"Skipped"))</f>
        <v>0</v>
      </c>
      <c r="T84" s="31">
        <f>IF(F84="","",COUNTIFS('Job Tasks'!$G$5:$G$904,F84,'Job Tasks'!$H$5:$H$904,"Issue found"))</f>
        <v>0</v>
      </c>
      <c r="U84" s="39">
        <f>IF(F84="","",IF(R84+S84=0,"New",IF(S84/(R84+S84)&gt;0.25,"Often skipped","Working")))</f>
        <v>0</v>
      </c>
      <c r="V84" s="31">
        <f>IF(OR(B84="",F84=""),"",COUNTIFS($B$5:B84,B84))</f>
        <v>0</v>
      </c>
      <c r="W84" s="23">
        <f>IF(V84="","",B84&amp;"|"&amp;V84)</f>
        <v>0</v>
      </c>
      <c r="X84" s="39">
        <f>IF(F84="","",IF(B84="","Add - which service?",IF(H84="","Add - how many minutes?",IF(AND(Q84&lt;&gt;"",P84&gt;Q84+0.25),"Check - checklist is longer than the service allows",IF(S84&gt;=3,"Check - often skipped","OK")))))</f>
        <v>0</v>
      </c>
    </row>
    <row r="85" spans="1:24">
      <c r="A85" s="43">
        <f>IF(F85="","","CHK-"&amp;TEXT(ROW()-4,"0000"))</f>
        <v>0</v>
      </c>
      <c r="O85" s="34">
        <f>IF(F85="","",ROUND(IF(H85="",0,H85)/60,2))</f>
        <v>0</v>
      </c>
      <c r="P85" s="34">
        <f>IF(B85="","",ROUND(SUMIFS($H$5:$H$404,$B$5:$B$404,B85,$M$5:$M$404,"Yes")/60,2))</f>
        <v>0</v>
      </c>
      <c r="Q85" s="34">
        <f>IF(B85="","",IFERROR(INDEX(Services!$G$5:$G$64,MATCH(B85,Services!$B$5:$B$64,0)),""))</f>
        <v>0</v>
      </c>
      <c r="R85" s="31">
        <f>IF(F85="","",COUNTIFS('Job Tasks'!$G$5:$G$904,F85,'Job Tasks'!$H$5:$H$904,"Done"))</f>
        <v>0</v>
      </c>
      <c r="S85" s="31">
        <f>IF(F85="","",COUNTIFS('Job Tasks'!$G$5:$G$904,F85,'Job Tasks'!$H$5:$H$904,"Skipped"))</f>
        <v>0</v>
      </c>
      <c r="T85" s="31">
        <f>IF(F85="","",COUNTIFS('Job Tasks'!$G$5:$G$904,F85,'Job Tasks'!$H$5:$H$904,"Issue found"))</f>
        <v>0</v>
      </c>
      <c r="U85" s="39">
        <f>IF(F85="","",IF(R85+S85=0,"New",IF(S85/(R85+S85)&gt;0.25,"Often skipped","Working")))</f>
        <v>0</v>
      </c>
      <c r="V85" s="31">
        <f>IF(OR(B85="",F85=""),"",COUNTIFS($B$5:B85,B85))</f>
        <v>0</v>
      </c>
      <c r="W85" s="23">
        <f>IF(V85="","",B85&amp;"|"&amp;V85)</f>
        <v>0</v>
      </c>
      <c r="X85" s="39">
        <f>IF(F85="","",IF(B85="","Add - which service?",IF(H85="","Add - how many minutes?",IF(AND(Q85&lt;&gt;"",P85&gt;Q85+0.25),"Check - checklist is longer than the service allows",IF(S85&gt;=3,"Check - often skipped","OK")))))</f>
        <v>0</v>
      </c>
    </row>
    <row r="86" spans="1:24">
      <c r="A86" s="43">
        <f>IF(F86="","","CHK-"&amp;TEXT(ROW()-4,"0000"))</f>
        <v>0</v>
      </c>
      <c r="O86" s="34">
        <f>IF(F86="","",ROUND(IF(H86="",0,H86)/60,2))</f>
        <v>0</v>
      </c>
      <c r="P86" s="34">
        <f>IF(B86="","",ROUND(SUMIFS($H$5:$H$404,$B$5:$B$404,B86,$M$5:$M$404,"Yes")/60,2))</f>
        <v>0</v>
      </c>
      <c r="Q86" s="34">
        <f>IF(B86="","",IFERROR(INDEX(Services!$G$5:$G$64,MATCH(B86,Services!$B$5:$B$64,0)),""))</f>
        <v>0</v>
      </c>
      <c r="R86" s="31">
        <f>IF(F86="","",COUNTIFS('Job Tasks'!$G$5:$G$904,F86,'Job Tasks'!$H$5:$H$904,"Done"))</f>
        <v>0</v>
      </c>
      <c r="S86" s="31">
        <f>IF(F86="","",COUNTIFS('Job Tasks'!$G$5:$G$904,F86,'Job Tasks'!$H$5:$H$904,"Skipped"))</f>
        <v>0</v>
      </c>
      <c r="T86" s="31">
        <f>IF(F86="","",COUNTIFS('Job Tasks'!$G$5:$G$904,F86,'Job Tasks'!$H$5:$H$904,"Issue found"))</f>
        <v>0</v>
      </c>
      <c r="U86" s="39">
        <f>IF(F86="","",IF(R86+S86=0,"New",IF(S86/(R86+S86)&gt;0.25,"Often skipped","Working")))</f>
        <v>0</v>
      </c>
      <c r="V86" s="31">
        <f>IF(OR(B86="",F86=""),"",COUNTIFS($B$5:B86,B86))</f>
        <v>0</v>
      </c>
      <c r="W86" s="23">
        <f>IF(V86="","",B86&amp;"|"&amp;V86)</f>
        <v>0</v>
      </c>
      <c r="X86" s="39">
        <f>IF(F86="","",IF(B86="","Add - which service?",IF(H86="","Add - how many minutes?",IF(AND(Q86&lt;&gt;"",P86&gt;Q86+0.25),"Check - checklist is longer than the service allows",IF(S86&gt;=3,"Check - often skipped","OK")))))</f>
        <v>0</v>
      </c>
    </row>
    <row r="87" spans="1:24">
      <c r="A87" s="43">
        <f>IF(F87="","","CHK-"&amp;TEXT(ROW()-4,"0000"))</f>
        <v>0</v>
      </c>
      <c r="O87" s="34">
        <f>IF(F87="","",ROUND(IF(H87="",0,H87)/60,2))</f>
        <v>0</v>
      </c>
      <c r="P87" s="34">
        <f>IF(B87="","",ROUND(SUMIFS($H$5:$H$404,$B$5:$B$404,B87,$M$5:$M$404,"Yes")/60,2))</f>
        <v>0</v>
      </c>
      <c r="Q87" s="34">
        <f>IF(B87="","",IFERROR(INDEX(Services!$G$5:$G$64,MATCH(B87,Services!$B$5:$B$64,0)),""))</f>
        <v>0</v>
      </c>
      <c r="R87" s="31">
        <f>IF(F87="","",COUNTIFS('Job Tasks'!$G$5:$G$904,F87,'Job Tasks'!$H$5:$H$904,"Done"))</f>
        <v>0</v>
      </c>
      <c r="S87" s="31">
        <f>IF(F87="","",COUNTIFS('Job Tasks'!$G$5:$G$904,F87,'Job Tasks'!$H$5:$H$904,"Skipped"))</f>
        <v>0</v>
      </c>
      <c r="T87" s="31">
        <f>IF(F87="","",COUNTIFS('Job Tasks'!$G$5:$G$904,F87,'Job Tasks'!$H$5:$H$904,"Issue found"))</f>
        <v>0</v>
      </c>
      <c r="U87" s="39">
        <f>IF(F87="","",IF(R87+S87=0,"New",IF(S87/(R87+S87)&gt;0.25,"Often skipped","Working")))</f>
        <v>0</v>
      </c>
      <c r="V87" s="31">
        <f>IF(OR(B87="",F87=""),"",COUNTIFS($B$5:B87,B87))</f>
        <v>0</v>
      </c>
      <c r="W87" s="23">
        <f>IF(V87="","",B87&amp;"|"&amp;V87)</f>
        <v>0</v>
      </c>
      <c r="X87" s="39">
        <f>IF(F87="","",IF(B87="","Add - which service?",IF(H87="","Add - how many minutes?",IF(AND(Q87&lt;&gt;"",P87&gt;Q87+0.25),"Check - checklist is longer than the service allows",IF(S87&gt;=3,"Check - often skipped","OK")))))</f>
        <v>0</v>
      </c>
    </row>
    <row r="88" spans="1:24">
      <c r="A88" s="43">
        <f>IF(F88="","","CHK-"&amp;TEXT(ROW()-4,"0000"))</f>
        <v>0</v>
      </c>
      <c r="O88" s="34">
        <f>IF(F88="","",ROUND(IF(H88="",0,H88)/60,2))</f>
        <v>0</v>
      </c>
      <c r="P88" s="34">
        <f>IF(B88="","",ROUND(SUMIFS($H$5:$H$404,$B$5:$B$404,B88,$M$5:$M$404,"Yes")/60,2))</f>
        <v>0</v>
      </c>
      <c r="Q88" s="34">
        <f>IF(B88="","",IFERROR(INDEX(Services!$G$5:$G$64,MATCH(B88,Services!$B$5:$B$64,0)),""))</f>
        <v>0</v>
      </c>
      <c r="R88" s="31">
        <f>IF(F88="","",COUNTIFS('Job Tasks'!$G$5:$G$904,F88,'Job Tasks'!$H$5:$H$904,"Done"))</f>
        <v>0</v>
      </c>
      <c r="S88" s="31">
        <f>IF(F88="","",COUNTIFS('Job Tasks'!$G$5:$G$904,F88,'Job Tasks'!$H$5:$H$904,"Skipped"))</f>
        <v>0</v>
      </c>
      <c r="T88" s="31">
        <f>IF(F88="","",COUNTIFS('Job Tasks'!$G$5:$G$904,F88,'Job Tasks'!$H$5:$H$904,"Issue found"))</f>
        <v>0</v>
      </c>
      <c r="U88" s="39">
        <f>IF(F88="","",IF(R88+S88=0,"New",IF(S88/(R88+S88)&gt;0.25,"Often skipped","Working")))</f>
        <v>0</v>
      </c>
      <c r="V88" s="31">
        <f>IF(OR(B88="",F88=""),"",COUNTIFS($B$5:B88,B88))</f>
        <v>0</v>
      </c>
      <c r="W88" s="23">
        <f>IF(V88="","",B88&amp;"|"&amp;V88)</f>
        <v>0</v>
      </c>
      <c r="X88" s="39">
        <f>IF(F88="","",IF(B88="","Add - which service?",IF(H88="","Add - how many minutes?",IF(AND(Q88&lt;&gt;"",P88&gt;Q88+0.25),"Check - checklist is longer than the service allows",IF(S88&gt;=3,"Check - often skipped","OK")))))</f>
        <v>0</v>
      </c>
    </row>
    <row r="89" spans="1:24">
      <c r="A89" s="43">
        <f>IF(F89="","","CHK-"&amp;TEXT(ROW()-4,"0000"))</f>
        <v>0</v>
      </c>
      <c r="O89" s="34">
        <f>IF(F89="","",ROUND(IF(H89="",0,H89)/60,2))</f>
        <v>0</v>
      </c>
      <c r="P89" s="34">
        <f>IF(B89="","",ROUND(SUMIFS($H$5:$H$404,$B$5:$B$404,B89,$M$5:$M$404,"Yes")/60,2))</f>
        <v>0</v>
      </c>
      <c r="Q89" s="34">
        <f>IF(B89="","",IFERROR(INDEX(Services!$G$5:$G$64,MATCH(B89,Services!$B$5:$B$64,0)),""))</f>
        <v>0</v>
      </c>
      <c r="R89" s="31">
        <f>IF(F89="","",COUNTIFS('Job Tasks'!$G$5:$G$904,F89,'Job Tasks'!$H$5:$H$904,"Done"))</f>
        <v>0</v>
      </c>
      <c r="S89" s="31">
        <f>IF(F89="","",COUNTIFS('Job Tasks'!$G$5:$G$904,F89,'Job Tasks'!$H$5:$H$904,"Skipped"))</f>
        <v>0</v>
      </c>
      <c r="T89" s="31">
        <f>IF(F89="","",COUNTIFS('Job Tasks'!$G$5:$G$904,F89,'Job Tasks'!$H$5:$H$904,"Issue found"))</f>
        <v>0</v>
      </c>
      <c r="U89" s="39">
        <f>IF(F89="","",IF(R89+S89=0,"New",IF(S89/(R89+S89)&gt;0.25,"Often skipped","Working")))</f>
        <v>0</v>
      </c>
      <c r="V89" s="31">
        <f>IF(OR(B89="",F89=""),"",COUNTIFS($B$5:B89,B89))</f>
        <v>0</v>
      </c>
      <c r="W89" s="23">
        <f>IF(V89="","",B89&amp;"|"&amp;V89)</f>
        <v>0</v>
      </c>
      <c r="X89" s="39">
        <f>IF(F89="","",IF(B89="","Add - which service?",IF(H89="","Add - how many minutes?",IF(AND(Q89&lt;&gt;"",P89&gt;Q89+0.25),"Check - checklist is longer than the service allows",IF(S89&gt;=3,"Check - often skipped","OK")))))</f>
        <v>0</v>
      </c>
    </row>
    <row r="90" spans="1:24">
      <c r="A90" s="43">
        <f>IF(F90="","","CHK-"&amp;TEXT(ROW()-4,"0000"))</f>
        <v>0</v>
      </c>
      <c r="O90" s="34">
        <f>IF(F90="","",ROUND(IF(H90="",0,H90)/60,2))</f>
        <v>0</v>
      </c>
      <c r="P90" s="34">
        <f>IF(B90="","",ROUND(SUMIFS($H$5:$H$404,$B$5:$B$404,B90,$M$5:$M$404,"Yes")/60,2))</f>
        <v>0</v>
      </c>
      <c r="Q90" s="34">
        <f>IF(B90="","",IFERROR(INDEX(Services!$G$5:$G$64,MATCH(B90,Services!$B$5:$B$64,0)),""))</f>
        <v>0</v>
      </c>
      <c r="R90" s="31">
        <f>IF(F90="","",COUNTIFS('Job Tasks'!$G$5:$G$904,F90,'Job Tasks'!$H$5:$H$904,"Done"))</f>
        <v>0</v>
      </c>
      <c r="S90" s="31">
        <f>IF(F90="","",COUNTIFS('Job Tasks'!$G$5:$G$904,F90,'Job Tasks'!$H$5:$H$904,"Skipped"))</f>
        <v>0</v>
      </c>
      <c r="T90" s="31">
        <f>IF(F90="","",COUNTIFS('Job Tasks'!$G$5:$G$904,F90,'Job Tasks'!$H$5:$H$904,"Issue found"))</f>
        <v>0</v>
      </c>
      <c r="U90" s="39">
        <f>IF(F90="","",IF(R90+S90=0,"New",IF(S90/(R90+S90)&gt;0.25,"Often skipped","Working")))</f>
        <v>0</v>
      </c>
      <c r="V90" s="31">
        <f>IF(OR(B90="",F90=""),"",COUNTIFS($B$5:B90,B90))</f>
        <v>0</v>
      </c>
      <c r="W90" s="23">
        <f>IF(V90="","",B90&amp;"|"&amp;V90)</f>
        <v>0</v>
      </c>
      <c r="X90" s="39">
        <f>IF(F90="","",IF(B90="","Add - which service?",IF(H90="","Add - how many minutes?",IF(AND(Q90&lt;&gt;"",P90&gt;Q90+0.25),"Check - checklist is longer than the service allows",IF(S90&gt;=3,"Check - often skipped","OK")))))</f>
        <v>0</v>
      </c>
    </row>
    <row r="91" spans="1:24">
      <c r="A91" s="43">
        <f>IF(F91="","","CHK-"&amp;TEXT(ROW()-4,"0000"))</f>
        <v>0</v>
      </c>
      <c r="O91" s="34">
        <f>IF(F91="","",ROUND(IF(H91="",0,H91)/60,2))</f>
        <v>0</v>
      </c>
      <c r="P91" s="34">
        <f>IF(B91="","",ROUND(SUMIFS($H$5:$H$404,$B$5:$B$404,B91,$M$5:$M$404,"Yes")/60,2))</f>
        <v>0</v>
      </c>
      <c r="Q91" s="34">
        <f>IF(B91="","",IFERROR(INDEX(Services!$G$5:$G$64,MATCH(B91,Services!$B$5:$B$64,0)),""))</f>
        <v>0</v>
      </c>
      <c r="R91" s="31">
        <f>IF(F91="","",COUNTIFS('Job Tasks'!$G$5:$G$904,F91,'Job Tasks'!$H$5:$H$904,"Done"))</f>
        <v>0</v>
      </c>
      <c r="S91" s="31">
        <f>IF(F91="","",COUNTIFS('Job Tasks'!$G$5:$G$904,F91,'Job Tasks'!$H$5:$H$904,"Skipped"))</f>
        <v>0</v>
      </c>
      <c r="T91" s="31">
        <f>IF(F91="","",COUNTIFS('Job Tasks'!$G$5:$G$904,F91,'Job Tasks'!$H$5:$H$904,"Issue found"))</f>
        <v>0</v>
      </c>
      <c r="U91" s="39">
        <f>IF(F91="","",IF(R91+S91=0,"New",IF(S91/(R91+S91)&gt;0.25,"Often skipped","Working")))</f>
        <v>0</v>
      </c>
      <c r="V91" s="31">
        <f>IF(OR(B91="",F91=""),"",COUNTIFS($B$5:B91,B91))</f>
        <v>0</v>
      </c>
      <c r="W91" s="23">
        <f>IF(V91="","",B91&amp;"|"&amp;V91)</f>
        <v>0</v>
      </c>
      <c r="X91" s="39">
        <f>IF(F91="","",IF(B91="","Add - which service?",IF(H91="","Add - how many minutes?",IF(AND(Q91&lt;&gt;"",P91&gt;Q91+0.25),"Check - checklist is longer than the service allows",IF(S91&gt;=3,"Check - often skipped","OK")))))</f>
        <v>0</v>
      </c>
    </row>
    <row r="92" spans="1:24">
      <c r="A92" s="43">
        <f>IF(F92="","","CHK-"&amp;TEXT(ROW()-4,"0000"))</f>
        <v>0</v>
      </c>
      <c r="O92" s="34">
        <f>IF(F92="","",ROUND(IF(H92="",0,H92)/60,2))</f>
        <v>0</v>
      </c>
      <c r="P92" s="34">
        <f>IF(B92="","",ROUND(SUMIFS($H$5:$H$404,$B$5:$B$404,B92,$M$5:$M$404,"Yes")/60,2))</f>
        <v>0</v>
      </c>
      <c r="Q92" s="34">
        <f>IF(B92="","",IFERROR(INDEX(Services!$G$5:$G$64,MATCH(B92,Services!$B$5:$B$64,0)),""))</f>
        <v>0</v>
      </c>
      <c r="R92" s="31">
        <f>IF(F92="","",COUNTIFS('Job Tasks'!$G$5:$G$904,F92,'Job Tasks'!$H$5:$H$904,"Done"))</f>
        <v>0</v>
      </c>
      <c r="S92" s="31">
        <f>IF(F92="","",COUNTIFS('Job Tasks'!$G$5:$G$904,F92,'Job Tasks'!$H$5:$H$904,"Skipped"))</f>
        <v>0</v>
      </c>
      <c r="T92" s="31">
        <f>IF(F92="","",COUNTIFS('Job Tasks'!$G$5:$G$904,F92,'Job Tasks'!$H$5:$H$904,"Issue found"))</f>
        <v>0</v>
      </c>
      <c r="U92" s="39">
        <f>IF(F92="","",IF(R92+S92=0,"New",IF(S92/(R92+S92)&gt;0.25,"Often skipped","Working")))</f>
        <v>0</v>
      </c>
      <c r="V92" s="31">
        <f>IF(OR(B92="",F92=""),"",COUNTIFS($B$5:B92,B92))</f>
        <v>0</v>
      </c>
      <c r="W92" s="23">
        <f>IF(V92="","",B92&amp;"|"&amp;V92)</f>
        <v>0</v>
      </c>
      <c r="X92" s="39">
        <f>IF(F92="","",IF(B92="","Add - which service?",IF(H92="","Add - how many minutes?",IF(AND(Q92&lt;&gt;"",P92&gt;Q92+0.25),"Check - checklist is longer than the service allows",IF(S92&gt;=3,"Check - often skipped","OK")))))</f>
        <v>0</v>
      </c>
    </row>
    <row r="93" spans="1:24">
      <c r="A93" s="43">
        <f>IF(F93="","","CHK-"&amp;TEXT(ROW()-4,"0000"))</f>
        <v>0</v>
      </c>
      <c r="O93" s="34">
        <f>IF(F93="","",ROUND(IF(H93="",0,H93)/60,2))</f>
        <v>0</v>
      </c>
      <c r="P93" s="34">
        <f>IF(B93="","",ROUND(SUMIFS($H$5:$H$404,$B$5:$B$404,B93,$M$5:$M$404,"Yes")/60,2))</f>
        <v>0</v>
      </c>
      <c r="Q93" s="34">
        <f>IF(B93="","",IFERROR(INDEX(Services!$G$5:$G$64,MATCH(B93,Services!$B$5:$B$64,0)),""))</f>
        <v>0</v>
      </c>
      <c r="R93" s="31">
        <f>IF(F93="","",COUNTIFS('Job Tasks'!$G$5:$G$904,F93,'Job Tasks'!$H$5:$H$904,"Done"))</f>
        <v>0</v>
      </c>
      <c r="S93" s="31">
        <f>IF(F93="","",COUNTIFS('Job Tasks'!$G$5:$G$904,F93,'Job Tasks'!$H$5:$H$904,"Skipped"))</f>
        <v>0</v>
      </c>
      <c r="T93" s="31">
        <f>IF(F93="","",COUNTIFS('Job Tasks'!$G$5:$G$904,F93,'Job Tasks'!$H$5:$H$904,"Issue found"))</f>
        <v>0</v>
      </c>
      <c r="U93" s="39">
        <f>IF(F93="","",IF(R93+S93=0,"New",IF(S93/(R93+S93)&gt;0.25,"Often skipped","Working")))</f>
        <v>0</v>
      </c>
      <c r="V93" s="31">
        <f>IF(OR(B93="",F93=""),"",COUNTIFS($B$5:B93,B93))</f>
        <v>0</v>
      </c>
      <c r="W93" s="23">
        <f>IF(V93="","",B93&amp;"|"&amp;V93)</f>
        <v>0</v>
      </c>
      <c r="X93" s="39">
        <f>IF(F93="","",IF(B93="","Add - which service?",IF(H93="","Add - how many minutes?",IF(AND(Q93&lt;&gt;"",P93&gt;Q93+0.25),"Check - checklist is longer than the service allows",IF(S93&gt;=3,"Check - often skipped","OK")))))</f>
        <v>0</v>
      </c>
    </row>
    <row r="94" spans="1:24">
      <c r="A94" s="43">
        <f>IF(F94="","","CHK-"&amp;TEXT(ROW()-4,"0000"))</f>
        <v>0</v>
      </c>
      <c r="O94" s="34">
        <f>IF(F94="","",ROUND(IF(H94="",0,H94)/60,2))</f>
        <v>0</v>
      </c>
      <c r="P94" s="34">
        <f>IF(B94="","",ROUND(SUMIFS($H$5:$H$404,$B$5:$B$404,B94,$M$5:$M$404,"Yes")/60,2))</f>
        <v>0</v>
      </c>
      <c r="Q94" s="34">
        <f>IF(B94="","",IFERROR(INDEX(Services!$G$5:$G$64,MATCH(B94,Services!$B$5:$B$64,0)),""))</f>
        <v>0</v>
      </c>
      <c r="R94" s="31">
        <f>IF(F94="","",COUNTIFS('Job Tasks'!$G$5:$G$904,F94,'Job Tasks'!$H$5:$H$904,"Done"))</f>
        <v>0</v>
      </c>
      <c r="S94" s="31">
        <f>IF(F94="","",COUNTIFS('Job Tasks'!$G$5:$G$904,F94,'Job Tasks'!$H$5:$H$904,"Skipped"))</f>
        <v>0</v>
      </c>
      <c r="T94" s="31">
        <f>IF(F94="","",COUNTIFS('Job Tasks'!$G$5:$G$904,F94,'Job Tasks'!$H$5:$H$904,"Issue found"))</f>
        <v>0</v>
      </c>
      <c r="U94" s="39">
        <f>IF(F94="","",IF(R94+S94=0,"New",IF(S94/(R94+S94)&gt;0.25,"Often skipped","Working")))</f>
        <v>0</v>
      </c>
      <c r="V94" s="31">
        <f>IF(OR(B94="",F94=""),"",COUNTIFS($B$5:B94,B94))</f>
        <v>0</v>
      </c>
      <c r="W94" s="23">
        <f>IF(V94="","",B94&amp;"|"&amp;V94)</f>
        <v>0</v>
      </c>
      <c r="X94" s="39">
        <f>IF(F94="","",IF(B94="","Add - which service?",IF(H94="","Add - how many minutes?",IF(AND(Q94&lt;&gt;"",P94&gt;Q94+0.25),"Check - checklist is longer than the service allows",IF(S94&gt;=3,"Check - often skipped","OK")))))</f>
        <v>0</v>
      </c>
    </row>
    <row r="95" spans="1:24">
      <c r="A95" s="43">
        <f>IF(F95="","","CHK-"&amp;TEXT(ROW()-4,"0000"))</f>
        <v>0</v>
      </c>
      <c r="O95" s="34">
        <f>IF(F95="","",ROUND(IF(H95="",0,H95)/60,2))</f>
        <v>0</v>
      </c>
      <c r="P95" s="34">
        <f>IF(B95="","",ROUND(SUMIFS($H$5:$H$404,$B$5:$B$404,B95,$M$5:$M$404,"Yes")/60,2))</f>
        <v>0</v>
      </c>
      <c r="Q95" s="34">
        <f>IF(B95="","",IFERROR(INDEX(Services!$G$5:$G$64,MATCH(B95,Services!$B$5:$B$64,0)),""))</f>
        <v>0</v>
      </c>
      <c r="R95" s="31">
        <f>IF(F95="","",COUNTIFS('Job Tasks'!$G$5:$G$904,F95,'Job Tasks'!$H$5:$H$904,"Done"))</f>
        <v>0</v>
      </c>
      <c r="S95" s="31">
        <f>IF(F95="","",COUNTIFS('Job Tasks'!$G$5:$G$904,F95,'Job Tasks'!$H$5:$H$904,"Skipped"))</f>
        <v>0</v>
      </c>
      <c r="T95" s="31">
        <f>IF(F95="","",COUNTIFS('Job Tasks'!$G$5:$G$904,F95,'Job Tasks'!$H$5:$H$904,"Issue found"))</f>
        <v>0</v>
      </c>
      <c r="U95" s="39">
        <f>IF(F95="","",IF(R95+S95=0,"New",IF(S95/(R95+S95)&gt;0.25,"Often skipped","Working")))</f>
        <v>0</v>
      </c>
      <c r="V95" s="31">
        <f>IF(OR(B95="",F95=""),"",COUNTIFS($B$5:B95,B95))</f>
        <v>0</v>
      </c>
      <c r="W95" s="23">
        <f>IF(V95="","",B95&amp;"|"&amp;V95)</f>
        <v>0</v>
      </c>
      <c r="X95" s="39">
        <f>IF(F95="","",IF(B95="","Add - which service?",IF(H95="","Add - how many minutes?",IF(AND(Q95&lt;&gt;"",P95&gt;Q95+0.25),"Check - checklist is longer than the service allows",IF(S95&gt;=3,"Check - often skipped","OK")))))</f>
        <v>0</v>
      </c>
    </row>
    <row r="96" spans="1:24">
      <c r="A96" s="43">
        <f>IF(F96="","","CHK-"&amp;TEXT(ROW()-4,"0000"))</f>
        <v>0</v>
      </c>
      <c r="O96" s="34">
        <f>IF(F96="","",ROUND(IF(H96="",0,H96)/60,2))</f>
        <v>0</v>
      </c>
      <c r="P96" s="34">
        <f>IF(B96="","",ROUND(SUMIFS($H$5:$H$404,$B$5:$B$404,B96,$M$5:$M$404,"Yes")/60,2))</f>
        <v>0</v>
      </c>
      <c r="Q96" s="34">
        <f>IF(B96="","",IFERROR(INDEX(Services!$G$5:$G$64,MATCH(B96,Services!$B$5:$B$64,0)),""))</f>
        <v>0</v>
      </c>
      <c r="R96" s="31">
        <f>IF(F96="","",COUNTIFS('Job Tasks'!$G$5:$G$904,F96,'Job Tasks'!$H$5:$H$904,"Done"))</f>
        <v>0</v>
      </c>
      <c r="S96" s="31">
        <f>IF(F96="","",COUNTIFS('Job Tasks'!$G$5:$G$904,F96,'Job Tasks'!$H$5:$H$904,"Skipped"))</f>
        <v>0</v>
      </c>
      <c r="T96" s="31">
        <f>IF(F96="","",COUNTIFS('Job Tasks'!$G$5:$G$904,F96,'Job Tasks'!$H$5:$H$904,"Issue found"))</f>
        <v>0</v>
      </c>
      <c r="U96" s="39">
        <f>IF(F96="","",IF(R96+S96=0,"New",IF(S96/(R96+S96)&gt;0.25,"Often skipped","Working")))</f>
        <v>0</v>
      </c>
      <c r="V96" s="31">
        <f>IF(OR(B96="",F96=""),"",COUNTIFS($B$5:B96,B96))</f>
        <v>0</v>
      </c>
      <c r="W96" s="23">
        <f>IF(V96="","",B96&amp;"|"&amp;V96)</f>
        <v>0</v>
      </c>
      <c r="X96" s="39">
        <f>IF(F96="","",IF(B96="","Add - which service?",IF(H96="","Add - how many minutes?",IF(AND(Q96&lt;&gt;"",P96&gt;Q96+0.25),"Check - checklist is longer than the service allows",IF(S96&gt;=3,"Check - often skipped","OK")))))</f>
        <v>0</v>
      </c>
    </row>
    <row r="97" spans="1:24">
      <c r="A97" s="43">
        <f>IF(F97="","","CHK-"&amp;TEXT(ROW()-4,"0000"))</f>
        <v>0</v>
      </c>
      <c r="O97" s="34">
        <f>IF(F97="","",ROUND(IF(H97="",0,H97)/60,2))</f>
        <v>0</v>
      </c>
      <c r="P97" s="34">
        <f>IF(B97="","",ROUND(SUMIFS($H$5:$H$404,$B$5:$B$404,B97,$M$5:$M$404,"Yes")/60,2))</f>
        <v>0</v>
      </c>
      <c r="Q97" s="34">
        <f>IF(B97="","",IFERROR(INDEX(Services!$G$5:$G$64,MATCH(B97,Services!$B$5:$B$64,0)),""))</f>
        <v>0</v>
      </c>
      <c r="R97" s="31">
        <f>IF(F97="","",COUNTIFS('Job Tasks'!$G$5:$G$904,F97,'Job Tasks'!$H$5:$H$904,"Done"))</f>
        <v>0</v>
      </c>
      <c r="S97" s="31">
        <f>IF(F97="","",COUNTIFS('Job Tasks'!$G$5:$G$904,F97,'Job Tasks'!$H$5:$H$904,"Skipped"))</f>
        <v>0</v>
      </c>
      <c r="T97" s="31">
        <f>IF(F97="","",COUNTIFS('Job Tasks'!$G$5:$G$904,F97,'Job Tasks'!$H$5:$H$904,"Issue found"))</f>
        <v>0</v>
      </c>
      <c r="U97" s="39">
        <f>IF(F97="","",IF(R97+S97=0,"New",IF(S97/(R97+S97)&gt;0.25,"Often skipped","Working")))</f>
        <v>0</v>
      </c>
      <c r="V97" s="31">
        <f>IF(OR(B97="",F97=""),"",COUNTIFS($B$5:B97,B97))</f>
        <v>0</v>
      </c>
      <c r="W97" s="23">
        <f>IF(V97="","",B97&amp;"|"&amp;V97)</f>
        <v>0</v>
      </c>
      <c r="X97" s="39">
        <f>IF(F97="","",IF(B97="","Add - which service?",IF(H97="","Add - how many minutes?",IF(AND(Q97&lt;&gt;"",P97&gt;Q97+0.25),"Check - checklist is longer than the service allows",IF(S97&gt;=3,"Check - often skipped","OK")))))</f>
        <v>0</v>
      </c>
    </row>
    <row r="98" spans="1:24">
      <c r="A98" s="43">
        <f>IF(F98="","","CHK-"&amp;TEXT(ROW()-4,"0000"))</f>
        <v>0</v>
      </c>
      <c r="O98" s="34">
        <f>IF(F98="","",ROUND(IF(H98="",0,H98)/60,2))</f>
        <v>0</v>
      </c>
      <c r="P98" s="34">
        <f>IF(B98="","",ROUND(SUMIFS($H$5:$H$404,$B$5:$B$404,B98,$M$5:$M$404,"Yes")/60,2))</f>
        <v>0</v>
      </c>
      <c r="Q98" s="34">
        <f>IF(B98="","",IFERROR(INDEX(Services!$G$5:$G$64,MATCH(B98,Services!$B$5:$B$64,0)),""))</f>
        <v>0</v>
      </c>
      <c r="R98" s="31">
        <f>IF(F98="","",COUNTIFS('Job Tasks'!$G$5:$G$904,F98,'Job Tasks'!$H$5:$H$904,"Done"))</f>
        <v>0</v>
      </c>
      <c r="S98" s="31">
        <f>IF(F98="","",COUNTIFS('Job Tasks'!$G$5:$G$904,F98,'Job Tasks'!$H$5:$H$904,"Skipped"))</f>
        <v>0</v>
      </c>
      <c r="T98" s="31">
        <f>IF(F98="","",COUNTIFS('Job Tasks'!$G$5:$G$904,F98,'Job Tasks'!$H$5:$H$904,"Issue found"))</f>
        <v>0</v>
      </c>
      <c r="U98" s="39">
        <f>IF(F98="","",IF(R98+S98=0,"New",IF(S98/(R98+S98)&gt;0.25,"Often skipped","Working")))</f>
        <v>0</v>
      </c>
      <c r="V98" s="31">
        <f>IF(OR(B98="",F98=""),"",COUNTIFS($B$5:B98,B98))</f>
        <v>0</v>
      </c>
      <c r="W98" s="23">
        <f>IF(V98="","",B98&amp;"|"&amp;V98)</f>
        <v>0</v>
      </c>
      <c r="X98" s="39">
        <f>IF(F98="","",IF(B98="","Add - which service?",IF(H98="","Add - how many minutes?",IF(AND(Q98&lt;&gt;"",P98&gt;Q98+0.25),"Check - checklist is longer than the service allows",IF(S98&gt;=3,"Check - often skipped","OK")))))</f>
        <v>0</v>
      </c>
    </row>
    <row r="99" spans="1:24">
      <c r="A99" s="43">
        <f>IF(F99="","","CHK-"&amp;TEXT(ROW()-4,"0000"))</f>
        <v>0</v>
      </c>
      <c r="O99" s="34">
        <f>IF(F99="","",ROUND(IF(H99="",0,H99)/60,2))</f>
        <v>0</v>
      </c>
      <c r="P99" s="34">
        <f>IF(B99="","",ROUND(SUMIFS($H$5:$H$404,$B$5:$B$404,B99,$M$5:$M$404,"Yes")/60,2))</f>
        <v>0</v>
      </c>
      <c r="Q99" s="34">
        <f>IF(B99="","",IFERROR(INDEX(Services!$G$5:$G$64,MATCH(B99,Services!$B$5:$B$64,0)),""))</f>
        <v>0</v>
      </c>
      <c r="R99" s="31">
        <f>IF(F99="","",COUNTIFS('Job Tasks'!$G$5:$G$904,F99,'Job Tasks'!$H$5:$H$904,"Done"))</f>
        <v>0</v>
      </c>
      <c r="S99" s="31">
        <f>IF(F99="","",COUNTIFS('Job Tasks'!$G$5:$G$904,F99,'Job Tasks'!$H$5:$H$904,"Skipped"))</f>
        <v>0</v>
      </c>
      <c r="T99" s="31">
        <f>IF(F99="","",COUNTIFS('Job Tasks'!$G$5:$G$904,F99,'Job Tasks'!$H$5:$H$904,"Issue found"))</f>
        <v>0</v>
      </c>
      <c r="U99" s="39">
        <f>IF(F99="","",IF(R99+S99=0,"New",IF(S99/(R99+S99)&gt;0.25,"Often skipped","Working")))</f>
        <v>0</v>
      </c>
      <c r="V99" s="31">
        <f>IF(OR(B99="",F99=""),"",COUNTIFS($B$5:B99,B99))</f>
        <v>0</v>
      </c>
      <c r="W99" s="23">
        <f>IF(V99="","",B99&amp;"|"&amp;V99)</f>
        <v>0</v>
      </c>
      <c r="X99" s="39">
        <f>IF(F99="","",IF(B99="","Add - which service?",IF(H99="","Add - how many minutes?",IF(AND(Q99&lt;&gt;"",P99&gt;Q99+0.25),"Check - checklist is longer than the service allows",IF(S99&gt;=3,"Check - often skipped","OK")))))</f>
        <v>0</v>
      </c>
    </row>
    <row r="100" spans="1:24">
      <c r="A100" s="43">
        <f>IF(F100="","","CHK-"&amp;TEXT(ROW()-4,"0000"))</f>
        <v>0</v>
      </c>
      <c r="O100" s="34">
        <f>IF(F100="","",ROUND(IF(H100="",0,H100)/60,2))</f>
        <v>0</v>
      </c>
      <c r="P100" s="34">
        <f>IF(B100="","",ROUND(SUMIFS($H$5:$H$404,$B$5:$B$404,B100,$M$5:$M$404,"Yes")/60,2))</f>
        <v>0</v>
      </c>
      <c r="Q100" s="34">
        <f>IF(B100="","",IFERROR(INDEX(Services!$G$5:$G$64,MATCH(B100,Services!$B$5:$B$64,0)),""))</f>
        <v>0</v>
      </c>
      <c r="R100" s="31">
        <f>IF(F100="","",COUNTIFS('Job Tasks'!$G$5:$G$904,F100,'Job Tasks'!$H$5:$H$904,"Done"))</f>
        <v>0</v>
      </c>
      <c r="S100" s="31">
        <f>IF(F100="","",COUNTIFS('Job Tasks'!$G$5:$G$904,F100,'Job Tasks'!$H$5:$H$904,"Skipped"))</f>
        <v>0</v>
      </c>
      <c r="T100" s="31">
        <f>IF(F100="","",COUNTIFS('Job Tasks'!$G$5:$G$904,F100,'Job Tasks'!$H$5:$H$904,"Issue found"))</f>
        <v>0</v>
      </c>
      <c r="U100" s="39">
        <f>IF(F100="","",IF(R100+S100=0,"New",IF(S100/(R100+S100)&gt;0.25,"Often skipped","Working")))</f>
        <v>0</v>
      </c>
      <c r="V100" s="31">
        <f>IF(OR(B100="",F100=""),"",COUNTIFS($B$5:B100,B100))</f>
        <v>0</v>
      </c>
      <c r="W100" s="23">
        <f>IF(V100="","",B100&amp;"|"&amp;V100)</f>
        <v>0</v>
      </c>
      <c r="X100" s="39">
        <f>IF(F100="","",IF(B100="","Add - which service?",IF(H100="","Add - how many minutes?",IF(AND(Q100&lt;&gt;"",P100&gt;Q100+0.25),"Check - checklist is longer than the service allows",IF(S100&gt;=3,"Check - often skipped","OK")))))</f>
        <v>0</v>
      </c>
    </row>
    <row r="101" spans="1:24">
      <c r="A101" s="43">
        <f>IF(F101="","","CHK-"&amp;TEXT(ROW()-4,"0000"))</f>
        <v>0</v>
      </c>
      <c r="O101" s="34">
        <f>IF(F101="","",ROUND(IF(H101="",0,H101)/60,2))</f>
        <v>0</v>
      </c>
      <c r="P101" s="34">
        <f>IF(B101="","",ROUND(SUMIFS($H$5:$H$404,$B$5:$B$404,B101,$M$5:$M$404,"Yes")/60,2))</f>
        <v>0</v>
      </c>
      <c r="Q101" s="34">
        <f>IF(B101="","",IFERROR(INDEX(Services!$G$5:$G$64,MATCH(B101,Services!$B$5:$B$64,0)),""))</f>
        <v>0</v>
      </c>
      <c r="R101" s="31">
        <f>IF(F101="","",COUNTIFS('Job Tasks'!$G$5:$G$904,F101,'Job Tasks'!$H$5:$H$904,"Done"))</f>
        <v>0</v>
      </c>
      <c r="S101" s="31">
        <f>IF(F101="","",COUNTIFS('Job Tasks'!$G$5:$G$904,F101,'Job Tasks'!$H$5:$H$904,"Skipped"))</f>
        <v>0</v>
      </c>
      <c r="T101" s="31">
        <f>IF(F101="","",COUNTIFS('Job Tasks'!$G$5:$G$904,F101,'Job Tasks'!$H$5:$H$904,"Issue found"))</f>
        <v>0</v>
      </c>
      <c r="U101" s="39">
        <f>IF(F101="","",IF(R101+S101=0,"New",IF(S101/(R101+S101)&gt;0.25,"Often skipped","Working")))</f>
        <v>0</v>
      </c>
      <c r="V101" s="31">
        <f>IF(OR(B101="",F101=""),"",COUNTIFS($B$5:B101,B101))</f>
        <v>0</v>
      </c>
      <c r="W101" s="23">
        <f>IF(V101="","",B101&amp;"|"&amp;V101)</f>
        <v>0</v>
      </c>
      <c r="X101" s="39">
        <f>IF(F101="","",IF(B101="","Add - which service?",IF(H101="","Add - how many minutes?",IF(AND(Q101&lt;&gt;"",P101&gt;Q101+0.25),"Check - checklist is longer than the service allows",IF(S101&gt;=3,"Check - often skipped","OK")))))</f>
        <v>0</v>
      </c>
    </row>
    <row r="102" spans="1:24">
      <c r="A102" s="43">
        <f>IF(F102="","","CHK-"&amp;TEXT(ROW()-4,"0000"))</f>
        <v>0</v>
      </c>
      <c r="O102" s="34">
        <f>IF(F102="","",ROUND(IF(H102="",0,H102)/60,2))</f>
        <v>0</v>
      </c>
      <c r="P102" s="34">
        <f>IF(B102="","",ROUND(SUMIFS($H$5:$H$404,$B$5:$B$404,B102,$M$5:$M$404,"Yes")/60,2))</f>
        <v>0</v>
      </c>
      <c r="Q102" s="34">
        <f>IF(B102="","",IFERROR(INDEX(Services!$G$5:$G$64,MATCH(B102,Services!$B$5:$B$64,0)),""))</f>
        <v>0</v>
      </c>
      <c r="R102" s="31">
        <f>IF(F102="","",COUNTIFS('Job Tasks'!$G$5:$G$904,F102,'Job Tasks'!$H$5:$H$904,"Done"))</f>
        <v>0</v>
      </c>
      <c r="S102" s="31">
        <f>IF(F102="","",COUNTIFS('Job Tasks'!$G$5:$G$904,F102,'Job Tasks'!$H$5:$H$904,"Skipped"))</f>
        <v>0</v>
      </c>
      <c r="T102" s="31">
        <f>IF(F102="","",COUNTIFS('Job Tasks'!$G$5:$G$904,F102,'Job Tasks'!$H$5:$H$904,"Issue found"))</f>
        <v>0</v>
      </c>
      <c r="U102" s="39">
        <f>IF(F102="","",IF(R102+S102=0,"New",IF(S102/(R102+S102)&gt;0.25,"Often skipped","Working")))</f>
        <v>0</v>
      </c>
      <c r="V102" s="31">
        <f>IF(OR(B102="",F102=""),"",COUNTIFS($B$5:B102,B102))</f>
        <v>0</v>
      </c>
      <c r="W102" s="23">
        <f>IF(V102="","",B102&amp;"|"&amp;V102)</f>
        <v>0</v>
      </c>
      <c r="X102" s="39">
        <f>IF(F102="","",IF(B102="","Add - which service?",IF(H102="","Add - how many minutes?",IF(AND(Q102&lt;&gt;"",P102&gt;Q102+0.25),"Check - checklist is longer than the service allows",IF(S102&gt;=3,"Check - often skipped","OK")))))</f>
        <v>0</v>
      </c>
    </row>
    <row r="103" spans="1:24">
      <c r="A103" s="43">
        <f>IF(F103="","","CHK-"&amp;TEXT(ROW()-4,"0000"))</f>
        <v>0</v>
      </c>
      <c r="O103" s="34">
        <f>IF(F103="","",ROUND(IF(H103="",0,H103)/60,2))</f>
        <v>0</v>
      </c>
      <c r="P103" s="34">
        <f>IF(B103="","",ROUND(SUMIFS($H$5:$H$404,$B$5:$B$404,B103,$M$5:$M$404,"Yes")/60,2))</f>
        <v>0</v>
      </c>
      <c r="Q103" s="34">
        <f>IF(B103="","",IFERROR(INDEX(Services!$G$5:$G$64,MATCH(B103,Services!$B$5:$B$64,0)),""))</f>
        <v>0</v>
      </c>
      <c r="R103" s="31">
        <f>IF(F103="","",COUNTIFS('Job Tasks'!$G$5:$G$904,F103,'Job Tasks'!$H$5:$H$904,"Done"))</f>
        <v>0</v>
      </c>
      <c r="S103" s="31">
        <f>IF(F103="","",COUNTIFS('Job Tasks'!$G$5:$G$904,F103,'Job Tasks'!$H$5:$H$904,"Skipped"))</f>
        <v>0</v>
      </c>
      <c r="T103" s="31">
        <f>IF(F103="","",COUNTIFS('Job Tasks'!$G$5:$G$904,F103,'Job Tasks'!$H$5:$H$904,"Issue found"))</f>
        <v>0</v>
      </c>
      <c r="U103" s="39">
        <f>IF(F103="","",IF(R103+S103=0,"New",IF(S103/(R103+S103)&gt;0.25,"Often skipped","Working")))</f>
        <v>0</v>
      </c>
      <c r="V103" s="31">
        <f>IF(OR(B103="",F103=""),"",COUNTIFS($B$5:B103,B103))</f>
        <v>0</v>
      </c>
      <c r="W103" s="23">
        <f>IF(V103="","",B103&amp;"|"&amp;V103)</f>
        <v>0</v>
      </c>
      <c r="X103" s="39">
        <f>IF(F103="","",IF(B103="","Add - which service?",IF(H103="","Add - how many minutes?",IF(AND(Q103&lt;&gt;"",P103&gt;Q103+0.25),"Check - checklist is longer than the service allows",IF(S103&gt;=3,"Check - often skipped","OK")))))</f>
        <v>0</v>
      </c>
    </row>
    <row r="104" spans="1:24">
      <c r="A104" s="43">
        <f>IF(F104="","","CHK-"&amp;TEXT(ROW()-4,"0000"))</f>
        <v>0</v>
      </c>
      <c r="O104" s="34">
        <f>IF(F104="","",ROUND(IF(H104="",0,H104)/60,2))</f>
        <v>0</v>
      </c>
      <c r="P104" s="34">
        <f>IF(B104="","",ROUND(SUMIFS($H$5:$H$404,$B$5:$B$404,B104,$M$5:$M$404,"Yes")/60,2))</f>
        <v>0</v>
      </c>
      <c r="Q104" s="34">
        <f>IF(B104="","",IFERROR(INDEX(Services!$G$5:$G$64,MATCH(B104,Services!$B$5:$B$64,0)),""))</f>
        <v>0</v>
      </c>
      <c r="R104" s="31">
        <f>IF(F104="","",COUNTIFS('Job Tasks'!$G$5:$G$904,F104,'Job Tasks'!$H$5:$H$904,"Done"))</f>
        <v>0</v>
      </c>
      <c r="S104" s="31">
        <f>IF(F104="","",COUNTIFS('Job Tasks'!$G$5:$G$904,F104,'Job Tasks'!$H$5:$H$904,"Skipped"))</f>
        <v>0</v>
      </c>
      <c r="T104" s="31">
        <f>IF(F104="","",COUNTIFS('Job Tasks'!$G$5:$G$904,F104,'Job Tasks'!$H$5:$H$904,"Issue found"))</f>
        <v>0</v>
      </c>
      <c r="U104" s="39">
        <f>IF(F104="","",IF(R104+S104=0,"New",IF(S104/(R104+S104)&gt;0.25,"Often skipped","Working")))</f>
        <v>0</v>
      </c>
      <c r="V104" s="31">
        <f>IF(OR(B104="",F104=""),"",COUNTIFS($B$5:B104,B104))</f>
        <v>0</v>
      </c>
      <c r="W104" s="23">
        <f>IF(V104="","",B104&amp;"|"&amp;V104)</f>
        <v>0</v>
      </c>
      <c r="X104" s="39">
        <f>IF(F104="","",IF(B104="","Add - which service?",IF(H104="","Add - how many minutes?",IF(AND(Q104&lt;&gt;"",P104&gt;Q104+0.25),"Check - checklist is longer than the service allows",IF(S104&gt;=3,"Check - often skipped","OK")))))</f>
        <v>0</v>
      </c>
    </row>
    <row r="105" spans="1:24">
      <c r="A105" s="43">
        <f>IF(F105="","","CHK-"&amp;TEXT(ROW()-4,"0000"))</f>
        <v>0</v>
      </c>
      <c r="O105" s="34">
        <f>IF(F105="","",ROUND(IF(H105="",0,H105)/60,2))</f>
        <v>0</v>
      </c>
      <c r="P105" s="34">
        <f>IF(B105="","",ROUND(SUMIFS($H$5:$H$404,$B$5:$B$404,B105,$M$5:$M$404,"Yes")/60,2))</f>
        <v>0</v>
      </c>
      <c r="Q105" s="34">
        <f>IF(B105="","",IFERROR(INDEX(Services!$G$5:$G$64,MATCH(B105,Services!$B$5:$B$64,0)),""))</f>
        <v>0</v>
      </c>
      <c r="R105" s="31">
        <f>IF(F105="","",COUNTIFS('Job Tasks'!$G$5:$G$904,F105,'Job Tasks'!$H$5:$H$904,"Done"))</f>
        <v>0</v>
      </c>
      <c r="S105" s="31">
        <f>IF(F105="","",COUNTIFS('Job Tasks'!$G$5:$G$904,F105,'Job Tasks'!$H$5:$H$904,"Skipped"))</f>
        <v>0</v>
      </c>
      <c r="T105" s="31">
        <f>IF(F105="","",COUNTIFS('Job Tasks'!$G$5:$G$904,F105,'Job Tasks'!$H$5:$H$904,"Issue found"))</f>
        <v>0</v>
      </c>
      <c r="U105" s="39">
        <f>IF(F105="","",IF(R105+S105=0,"New",IF(S105/(R105+S105)&gt;0.25,"Often skipped","Working")))</f>
        <v>0</v>
      </c>
      <c r="V105" s="31">
        <f>IF(OR(B105="",F105=""),"",COUNTIFS($B$5:B105,B105))</f>
        <v>0</v>
      </c>
      <c r="W105" s="23">
        <f>IF(V105="","",B105&amp;"|"&amp;V105)</f>
        <v>0</v>
      </c>
      <c r="X105" s="39">
        <f>IF(F105="","",IF(B105="","Add - which service?",IF(H105="","Add - how many minutes?",IF(AND(Q105&lt;&gt;"",P105&gt;Q105+0.25),"Check - checklist is longer than the service allows",IF(S105&gt;=3,"Check - often skipped","OK")))))</f>
        <v>0</v>
      </c>
    </row>
    <row r="106" spans="1:24">
      <c r="A106" s="43">
        <f>IF(F106="","","CHK-"&amp;TEXT(ROW()-4,"0000"))</f>
        <v>0</v>
      </c>
      <c r="O106" s="34">
        <f>IF(F106="","",ROUND(IF(H106="",0,H106)/60,2))</f>
        <v>0</v>
      </c>
      <c r="P106" s="34">
        <f>IF(B106="","",ROUND(SUMIFS($H$5:$H$404,$B$5:$B$404,B106,$M$5:$M$404,"Yes")/60,2))</f>
        <v>0</v>
      </c>
      <c r="Q106" s="34">
        <f>IF(B106="","",IFERROR(INDEX(Services!$G$5:$G$64,MATCH(B106,Services!$B$5:$B$64,0)),""))</f>
        <v>0</v>
      </c>
      <c r="R106" s="31">
        <f>IF(F106="","",COUNTIFS('Job Tasks'!$G$5:$G$904,F106,'Job Tasks'!$H$5:$H$904,"Done"))</f>
        <v>0</v>
      </c>
      <c r="S106" s="31">
        <f>IF(F106="","",COUNTIFS('Job Tasks'!$G$5:$G$904,F106,'Job Tasks'!$H$5:$H$904,"Skipped"))</f>
        <v>0</v>
      </c>
      <c r="T106" s="31">
        <f>IF(F106="","",COUNTIFS('Job Tasks'!$G$5:$G$904,F106,'Job Tasks'!$H$5:$H$904,"Issue found"))</f>
        <v>0</v>
      </c>
      <c r="U106" s="39">
        <f>IF(F106="","",IF(R106+S106=0,"New",IF(S106/(R106+S106)&gt;0.25,"Often skipped","Working")))</f>
        <v>0</v>
      </c>
      <c r="V106" s="31">
        <f>IF(OR(B106="",F106=""),"",COUNTIFS($B$5:B106,B106))</f>
        <v>0</v>
      </c>
      <c r="W106" s="23">
        <f>IF(V106="","",B106&amp;"|"&amp;V106)</f>
        <v>0</v>
      </c>
      <c r="X106" s="39">
        <f>IF(F106="","",IF(B106="","Add - which service?",IF(H106="","Add - how many minutes?",IF(AND(Q106&lt;&gt;"",P106&gt;Q106+0.25),"Check - checklist is longer than the service allows",IF(S106&gt;=3,"Check - often skipped","OK")))))</f>
        <v>0</v>
      </c>
    </row>
    <row r="107" spans="1:24">
      <c r="A107" s="43">
        <f>IF(F107="","","CHK-"&amp;TEXT(ROW()-4,"0000"))</f>
        <v>0</v>
      </c>
      <c r="O107" s="34">
        <f>IF(F107="","",ROUND(IF(H107="",0,H107)/60,2))</f>
        <v>0</v>
      </c>
      <c r="P107" s="34">
        <f>IF(B107="","",ROUND(SUMIFS($H$5:$H$404,$B$5:$B$404,B107,$M$5:$M$404,"Yes")/60,2))</f>
        <v>0</v>
      </c>
      <c r="Q107" s="34">
        <f>IF(B107="","",IFERROR(INDEX(Services!$G$5:$G$64,MATCH(B107,Services!$B$5:$B$64,0)),""))</f>
        <v>0</v>
      </c>
      <c r="R107" s="31">
        <f>IF(F107="","",COUNTIFS('Job Tasks'!$G$5:$G$904,F107,'Job Tasks'!$H$5:$H$904,"Done"))</f>
        <v>0</v>
      </c>
      <c r="S107" s="31">
        <f>IF(F107="","",COUNTIFS('Job Tasks'!$G$5:$G$904,F107,'Job Tasks'!$H$5:$H$904,"Skipped"))</f>
        <v>0</v>
      </c>
      <c r="T107" s="31">
        <f>IF(F107="","",COUNTIFS('Job Tasks'!$G$5:$G$904,F107,'Job Tasks'!$H$5:$H$904,"Issue found"))</f>
        <v>0</v>
      </c>
      <c r="U107" s="39">
        <f>IF(F107="","",IF(R107+S107=0,"New",IF(S107/(R107+S107)&gt;0.25,"Often skipped","Working")))</f>
        <v>0</v>
      </c>
      <c r="V107" s="31">
        <f>IF(OR(B107="",F107=""),"",COUNTIFS($B$5:B107,B107))</f>
        <v>0</v>
      </c>
      <c r="W107" s="23">
        <f>IF(V107="","",B107&amp;"|"&amp;V107)</f>
        <v>0</v>
      </c>
      <c r="X107" s="39">
        <f>IF(F107="","",IF(B107="","Add - which service?",IF(H107="","Add - how many minutes?",IF(AND(Q107&lt;&gt;"",P107&gt;Q107+0.25),"Check - checklist is longer than the service allows",IF(S107&gt;=3,"Check - often skipped","OK")))))</f>
        <v>0</v>
      </c>
    </row>
    <row r="108" spans="1:24">
      <c r="A108" s="43">
        <f>IF(F108="","","CHK-"&amp;TEXT(ROW()-4,"0000"))</f>
        <v>0</v>
      </c>
      <c r="O108" s="34">
        <f>IF(F108="","",ROUND(IF(H108="",0,H108)/60,2))</f>
        <v>0</v>
      </c>
      <c r="P108" s="34">
        <f>IF(B108="","",ROUND(SUMIFS($H$5:$H$404,$B$5:$B$404,B108,$M$5:$M$404,"Yes")/60,2))</f>
        <v>0</v>
      </c>
      <c r="Q108" s="34">
        <f>IF(B108="","",IFERROR(INDEX(Services!$G$5:$G$64,MATCH(B108,Services!$B$5:$B$64,0)),""))</f>
        <v>0</v>
      </c>
      <c r="R108" s="31">
        <f>IF(F108="","",COUNTIFS('Job Tasks'!$G$5:$G$904,F108,'Job Tasks'!$H$5:$H$904,"Done"))</f>
        <v>0</v>
      </c>
      <c r="S108" s="31">
        <f>IF(F108="","",COUNTIFS('Job Tasks'!$G$5:$G$904,F108,'Job Tasks'!$H$5:$H$904,"Skipped"))</f>
        <v>0</v>
      </c>
      <c r="T108" s="31">
        <f>IF(F108="","",COUNTIFS('Job Tasks'!$G$5:$G$904,F108,'Job Tasks'!$H$5:$H$904,"Issue found"))</f>
        <v>0</v>
      </c>
      <c r="U108" s="39">
        <f>IF(F108="","",IF(R108+S108=0,"New",IF(S108/(R108+S108)&gt;0.25,"Often skipped","Working")))</f>
        <v>0</v>
      </c>
      <c r="V108" s="31">
        <f>IF(OR(B108="",F108=""),"",COUNTIFS($B$5:B108,B108))</f>
        <v>0</v>
      </c>
      <c r="W108" s="23">
        <f>IF(V108="","",B108&amp;"|"&amp;V108)</f>
        <v>0</v>
      </c>
      <c r="X108" s="39">
        <f>IF(F108="","",IF(B108="","Add - which service?",IF(H108="","Add - how many minutes?",IF(AND(Q108&lt;&gt;"",P108&gt;Q108+0.25),"Check - checklist is longer than the service allows",IF(S108&gt;=3,"Check - often skipped","OK")))))</f>
        <v>0</v>
      </c>
    </row>
    <row r="109" spans="1:24">
      <c r="A109" s="43">
        <f>IF(F109="","","CHK-"&amp;TEXT(ROW()-4,"0000"))</f>
        <v>0</v>
      </c>
      <c r="O109" s="34">
        <f>IF(F109="","",ROUND(IF(H109="",0,H109)/60,2))</f>
        <v>0</v>
      </c>
      <c r="P109" s="34">
        <f>IF(B109="","",ROUND(SUMIFS($H$5:$H$404,$B$5:$B$404,B109,$M$5:$M$404,"Yes")/60,2))</f>
        <v>0</v>
      </c>
      <c r="Q109" s="34">
        <f>IF(B109="","",IFERROR(INDEX(Services!$G$5:$G$64,MATCH(B109,Services!$B$5:$B$64,0)),""))</f>
        <v>0</v>
      </c>
      <c r="R109" s="31">
        <f>IF(F109="","",COUNTIFS('Job Tasks'!$G$5:$G$904,F109,'Job Tasks'!$H$5:$H$904,"Done"))</f>
        <v>0</v>
      </c>
      <c r="S109" s="31">
        <f>IF(F109="","",COUNTIFS('Job Tasks'!$G$5:$G$904,F109,'Job Tasks'!$H$5:$H$904,"Skipped"))</f>
        <v>0</v>
      </c>
      <c r="T109" s="31">
        <f>IF(F109="","",COUNTIFS('Job Tasks'!$G$5:$G$904,F109,'Job Tasks'!$H$5:$H$904,"Issue found"))</f>
        <v>0</v>
      </c>
      <c r="U109" s="39">
        <f>IF(F109="","",IF(R109+S109=0,"New",IF(S109/(R109+S109)&gt;0.25,"Often skipped","Working")))</f>
        <v>0</v>
      </c>
      <c r="V109" s="31">
        <f>IF(OR(B109="",F109=""),"",COUNTIFS($B$5:B109,B109))</f>
        <v>0</v>
      </c>
      <c r="W109" s="23">
        <f>IF(V109="","",B109&amp;"|"&amp;V109)</f>
        <v>0</v>
      </c>
      <c r="X109" s="39">
        <f>IF(F109="","",IF(B109="","Add - which service?",IF(H109="","Add - how many minutes?",IF(AND(Q109&lt;&gt;"",P109&gt;Q109+0.25),"Check - checklist is longer than the service allows",IF(S109&gt;=3,"Check - often skipped","OK")))))</f>
        <v>0</v>
      </c>
    </row>
    <row r="110" spans="1:24">
      <c r="A110" s="43">
        <f>IF(F110="","","CHK-"&amp;TEXT(ROW()-4,"0000"))</f>
        <v>0</v>
      </c>
      <c r="O110" s="34">
        <f>IF(F110="","",ROUND(IF(H110="",0,H110)/60,2))</f>
        <v>0</v>
      </c>
      <c r="P110" s="34">
        <f>IF(B110="","",ROUND(SUMIFS($H$5:$H$404,$B$5:$B$404,B110,$M$5:$M$404,"Yes")/60,2))</f>
        <v>0</v>
      </c>
      <c r="Q110" s="34">
        <f>IF(B110="","",IFERROR(INDEX(Services!$G$5:$G$64,MATCH(B110,Services!$B$5:$B$64,0)),""))</f>
        <v>0</v>
      </c>
      <c r="R110" s="31">
        <f>IF(F110="","",COUNTIFS('Job Tasks'!$G$5:$G$904,F110,'Job Tasks'!$H$5:$H$904,"Done"))</f>
        <v>0</v>
      </c>
      <c r="S110" s="31">
        <f>IF(F110="","",COUNTIFS('Job Tasks'!$G$5:$G$904,F110,'Job Tasks'!$H$5:$H$904,"Skipped"))</f>
        <v>0</v>
      </c>
      <c r="T110" s="31">
        <f>IF(F110="","",COUNTIFS('Job Tasks'!$G$5:$G$904,F110,'Job Tasks'!$H$5:$H$904,"Issue found"))</f>
        <v>0</v>
      </c>
      <c r="U110" s="39">
        <f>IF(F110="","",IF(R110+S110=0,"New",IF(S110/(R110+S110)&gt;0.25,"Often skipped","Working")))</f>
        <v>0</v>
      </c>
      <c r="V110" s="31">
        <f>IF(OR(B110="",F110=""),"",COUNTIFS($B$5:B110,B110))</f>
        <v>0</v>
      </c>
      <c r="W110" s="23">
        <f>IF(V110="","",B110&amp;"|"&amp;V110)</f>
        <v>0</v>
      </c>
      <c r="X110" s="39">
        <f>IF(F110="","",IF(B110="","Add - which service?",IF(H110="","Add - how many minutes?",IF(AND(Q110&lt;&gt;"",P110&gt;Q110+0.25),"Check - checklist is longer than the service allows",IF(S110&gt;=3,"Check - often skipped","OK")))))</f>
        <v>0</v>
      </c>
    </row>
    <row r="111" spans="1:24">
      <c r="A111" s="43">
        <f>IF(F111="","","CHK-"&amp;TEXT(ROW()-4,"0000"))</f>
        <v>0</v>
      </c>
      <c r="O111" s="34">
        <f>IF(F111="","",ROUND(IF(H111="",0,H111)/60,2))</f>
        <v>0</v>
      </c>
      <c r="P111" s="34">
        <f>IF(B111="","",ROUND(SUMIFS($H$5:$H$404,$B$5:$B$404,B111,$M$5:$M$404,"Yes")/60,2))</f>
        <v>0</v>
      </c>
      <c r="Q111" s="34">
        <f>IF(B111="","",IFERROR(INDEX(Services!$G$5:$G$64,MATCH(B111,Services!$B$5:$B$64,0)),""))</f>
        <v>0</v>
      </c>
      <c r="R111" s="31">
        <f>IF(F111="","",COUNTIFS('Job Tasks'!$G$5:$G$904,F111,'Job Tasks'!$H$5:$H$904,"Done"))</f>
        <v>0</v>
      </c>
      <c r="S111" s="31">
        <f>IF(F111="","",COUNTIFS('Job Tasks'!$G$5:$G$904,F111,'Job Tasks'!$H$5:$H$904,"Skipped"))</f>
        <v>0</v>
      </c>
      <c r="T111" s="31">
        <f>IF(F111="","",COUNTIFS('Job Tasks'!$G$5:$G$904,F111,'Job Tasks'!$H$5:$H$904,"Issue found"))</f>
        <v>0</v>
      </c>
      <c r="U111" s="39">
        <f>IF(F111="","",IF(R111+S111=0,"New",IF(S111/(R111+S111)&gt;0.25,"Often skipped","Working")))</f>
        <v>0</v>
      </c>
      <c r="V111" s="31">
        <f>IF(OR(B111="",F111=""),"",COUNTIFS($B$5:B111,B111))</f>
        <v>0</v>
      </c>
      <c r="W111" s="23">
        <f>IF(V111="","",B111&amp;"|"&amp;V111)</f>
        <v>0</v>
      </c>
      <c r="X111" s="39">
        <f>IF(F111="","",IF(B111="","Add - which service?",IF(H111="","Add - how many minutes?",IF(AND(Q111&lt;&gt;"",P111&gt;Q111+0.25),"Check - checklist is longer than the service allows",IF(S111&gt;=3,"Check - often skipped","OK")))))</f>
        <v>0</v>
      </c>
    </row>
    <row r="112" spans="1:24">
      <c r="A112" s="43">
        <f>IF(F112="","","CHK-"&amp;TEXT(ROW()-4,"0000"))</f>
        <v>0</v>
      </c>
      <c r="O112" s="34">
        <f>IF(F112="","",ROUND(IF(H112="",0,H112)/60,2))</f>
        <v>0</v>
      </c>
      <c r="P112" s="34">
        <f>IF(B112="","",ROUND(SUMIFS($H$5:$H$404,$B$5:$B$404,B112,$M$5:$M$404,"Yes")/60,2))</f>
        <v>0</v>
      </c>
      <c r="Q112" s="34">
        <f>IF(B112="","",IFERROR(INDEX(Services!$G$5:$G$64,MATCH(B112,Services!$B$5:$B$64,0)),""))</f>
        <v>0</v>
      </c>
      <c r="R112" s="31">
        <f>IF(F112="","",COUNTIFS('Job Tasks'!$G$5:$G$904,F112,'Job Tasks'!$H$5:$H$904,"Done"))</f>
        <v>0</v>
      </c>
      <c r="S112" s="31">
        <f>IF(F112="","",COUNTIFS('Job Tasks'!$G$5:$G$904,F112,'Job Tasks'!$H$5:$H$904,"Skipped"))</f>
        <v>0</v>
      </c>
      <c r="T112" s="31">
        <f>IF(F112="","",COUNTIFS('Job Tasks'!$G$5:$G$904,F112,'Job Tasks'!$H$5:$H$904,"Issue found"))</f>
        <v>0</v>
      </c>
      <c r="U112" s="39">
        <f>IF(F112="","",IF(R112+S112=0,"New",IF(S112/(R112+S112)&gt;0.25,"Often skipped","Working")))</f>
        <v>0</v>
      </c>
      <c r="V112" s="31">
        <f>IF(OR(B112="",F112=""),"",COUNTIFS($B$5:B112,B112))</f>
        <v>0</v>
      </c>
      <c r="W112" s="23">
        <f>IF(V112="","",B112&amp;"|"&amp;V112)</f>
        <v>0</v>
      </c>
      <c r="X112" s="39">
        <f>IF(F112="","",IF(B112="","Add - which service?",IF(H112="","Add - how many minutes?",IF(AND(Q112&lt;&gt;"",P112&gt;Q112+0.25),"Check - checklist is longer than the service allows",IF(S112&gt;=3,"Check - often skipped","OK")))))</f>
        <v>0</v>
      </c>
    </row>
    <row r="113" spans="1:24">
      <c r="A113" s="43">
        <f>IF(F113="","","CHK-"&amp;TEXT(ROW()-4,"0000"))</f>
        <v>0</v>
      </c>
      <c r="O113" s="34">
        <f>IF(F113="","",ROUND(IF(H113="",0,H113)/60,2))</f>
        <v>0</v>
      </c>
      <c r="P113" s="34">
        <f>IF(B113="","",ROUND(SUMIFS($H$5:$H$404,$B$5:$B$404,B113,$M$5:$M$404,"Yes")/60,2))</f>
        <v>0</v>
      </c>
      <c r="Q113" s="34">
        <f>IF(B113="","",IFERROR(INDEX(Services!$G$5:$G$64,MATCH(B113,Services!$B$5:$B$64,0)),""))</f>
        <v>0</v>
      </c>
      <c r="R113" s="31">
        <f>IF(F113="","",COUNTIFS('Job Tasks'!$G$5:$G$904,F113,'Job Tasks'!$H$5:$H$904,"Done"))</f>
        <v>0</v>
      </c>
      <c r="S113" s="31">
        <f>IF(F113="","",COUNTIFS('Job Tasks'!$G$5:$G$904,F113,'Job Tasks'!$H$5:$H$904,"Skipped"))</f>
        <v>0</v>
      </c>
      <c r="T113" s="31">
        <f>IF(F113="","",COUNTIFS('Job Tasks'!$G$5:$G$904,F113,'Job Tasks'!$H$5:$H$904,"Issue found"))</f>
        <v>0</v>
      </c>
      <c r="U113" s="39">
        <f>IF(F113="","",IF(R113+S113=0,"New",IF(S113/(R113+S113)&gt;0.25,"Often skipped","Working")))</f>
        <v>0</v>
      </c>
      <c r="V113" s="31">
        <f>IF(OR(B113="",F113=""),"",COUNTIFS($B$5:B113,B113))</f>
        <v>0</v>
      </c>
      <c r="W113" s="23">
        <f>IF(V113="","",B113&amp;"|"&amp;V113)</f>
        <v>0</v>
      </c>
      <c r="X113" s="39">
        <f>IF(F113="","",IF(B113="","Add - which service?",IF(H113="","Add - how many minutes?",IF(AND(Q113&lt;&gt;"",P113&gt;Q113+0.25),"Check - checklist is longer than the service allows",IF(S113&gt;=3,"Check - often skipped","OK")))))</f>
        <v>0</v>
      </c>
    </row>
    <row r="114" spans="1:24">
      <c r="A114" s="43">
        <f>IF(F114="","","CHK-"&amp;TEXT(ROW()-4,"0000"))</f>
        <v>0</v>
      </c>
      <c r="O114" s="34">
        <f>IF(F114="","",ROUND(IF(H114="",0,H114)/60,2))</f>
        <v>0</v>
      </c>
      <c r="P114" s="34">
        <f>IF(B114="","",ROUND(SUMIFS($H$5:$H$404,$B$5:$B$404,B114,$M$5:$M$404,"Yes")/60,2))</f>
        <v>0</v>
      </c>
      <c r="Q114" s="34">
        <f>IF(B114="","",IFERROR(INDEX(Services!$G$5:$G$64,MATCH(B114,Services!$B$5:$B$64,0)),""))</f>
        <v>0</v>
      </c>
      <c r="R114" s="31">
        <f>IF(F114="","",COUNTIFS('Job Tasks'!$G$5:$G$904,F114,'Job Tasks'!$H$5:$H$904,"Done"))</f>
        <v>0</v>
      </c>
      <c r="S114" s="31">
        <f>IF(F114="","",COUNTIFS('Job Tasks'!$G$5:$G$904,F114,'Job Tasks'!$H$5:$H$904,"Skipped"))</f>
        <v>0</v>
      </c>
      <c r="T114" s="31">
        <f>IF(F114="","",COUNTIFS('Job Tasks'!$G$5:$G$904,F114,'Job Tasks'!$H$5:$H$904,"Issue found"))</f>
        <v>0</v>
      </c>
      <c r="U114" s="39">
        <f>IF(F114="","",IF(R114+S114=0,"New",IF(S114/(R114+S114)&gt;0.25,"Often skipped","Working")))</f>
        <v>0</v>
      </c>
      <c r="V114" s="31">
        <f>IF(OR(B114="",F114=""),"",COUNTIFS($B$5:B114,B114))</f>
        <v>0</v>
      </c>
      <c r="W114" s="23">
        <f>IF(V114="","",B114&amp;"|"&amp;V114)</f>
        <v>0</v>
      </c>
      <c r="X114" s="39">
        <f>IF(F114="","",IF(B114="","Add - which service?",IF(H114="","Add - how many minutes?",IF(AND(Q114&lt;&gt;"",P114&gt;Q114+0.25),"Check - checklist is longer than the service allows",IF(S114&gt;=3,"Check - often skipped","OK")))))</f>
        <v>0</v>
      </c>
    </row>
    <row r="115" spans="1:24">
      <c r="A115" s="43">
        <f>IF(F115="","","CHK-"&amp;TEXT(ROW()-4,"0000"))</f>
        <v>0</v>
      </c>
      <c r="O115" s="34">
        <f>IF(F115="","",ROUND(IF(H115="",0,H115)/60,2))</f>
        <v>0</v>
      </c>
      <c r="P115" s="34">
        <f>IF(B115="","",ROUND(SUMIFS($H$5:$H$404,$B$5:$B$404,B115,$M$5:$M$404,"Yes")/60,2))</f>
        <v>0</v>
      </c>
      <c r="Q115" s="34">
        <f>IF(B115="","",IFERROR(INDEX(Services!$G$5:$G$64,MATCH(B115,Services!$B$5:$B$64,0)),""))</f>
        <v>0</v>
      </c>
      <c r="R115" s="31">
        <f>IF(F115="","",COUNTIFS('Job Tasks'!$G$5:$G$904,F115,'Job Tasks'!$H$5:$H$904,"Done"))</f>
        <v>0</v>
      </c>
      <c r="S115" s="31">
        <f>IF(F115="","",COUNTIFS('Job Tasks'!$G$5:$G$904,F115,'Job Tasks'!$H$5:$H$904,"Skipped"))</f>
        <v>0</v>
      </c>
      <c r="T115" s="31">
        <f>IF(F115="","",COUNTIFS('Job Tasks'!$G$5:$G$904,F115,'Job Tasks'!$H$5:$H$904,"Issue found"))</f>
        <v>0</v>
      </c>
      <c r="U115" s="39">
        <f>IF(F115="","",IF(R115+S115=0,"New",IF(S115/(R115+S115)&gt;0.25,"Often skipped","Working")))</f>
        <v>0</v>
      </c>
      <c r="V115" s="31">
        <f>IF(OR(B115="",F115=""),"",COUNTIFS($B$5:B115,B115))</f>
        <v>0</v>
      </c>
      <c r="W115" s="23">
        <f>IF(V115="","",B115&amp;"|"&amp;V115)</f>
        <v>0</v>
      </c>
      <c r="X115" s="39">
        <f>IF(F115="","",IF(B115="","Add - which service?",IF(H115="","Add - how many minutes?",IF(AND(Q115&lt;&gt;"",P115&gt;Q115+0.25),"Check - checklist is longer than the service allows",IF(S115&gt;=3,"Check - often skipped","OK")))))</f>
        <v>0</v>
      </c>
    </row>
    <row r="116" spans="1:24">
      <c r="A116" s="43">
        <f>IF(F116="","","CHK-"&amp;TEXT(ROW()-4,"0000"))</f>
        <v>0</v>
      </c>
      <c r="O116" s="34">
        <f>IF(F116="","",ROUND(IF(H116="",0,H116)/60,2))</f>
        <v>0</v>
      </c>
      <c r="P116" s="34">
        <f>IF(B116="","",ROUND(SUMIFS($H$5:$H$404,$B$5:$B$404,B116,$M$5:$M$404,"Yes")/60,2))</f>
        <v>0</v>
      </c>
      <c r="Q116" s="34">
        <f>IF(B116="","",IFERROR(INDEX(Services!$G$5:$G$64,MATCH(B116,Services!$B$5:$B$64,0)),""))</f>
        <v>0</v>
      </c>
      <c r="R116" s="31">
        <f>IF(F116="","",COUNTIFS('Job Tasks'!$G$5:$G$904,F116,'Job Tasks'!$H$5:$H$904,"Done"))</f>
        <v>0</v>
      </c>
      <c r="S116" s="31">
        <f>IF(F116="","",COUNTIFS('Job Tasks'!$G$5:$G$904,F116,'Job Tasks'!$H$5:$H$904,"Skipped"))</f>
        <v>0</v>
      </c>
      <c r="T116" s="31">
        <f>IF(F116="","",COUNTIFS('Job Tasks'!$G$5:$G$904,F116,'Job Tasks'!$H$5:$H$904,"Issue found"))</f>
        <v>0</v>
      </c>
      <c r="U116" s="39">
        <f>IF(F116="","",IF(R116+S116=0,"New",IF(S116/(R116+S116)&gt;0.25,"Often skipped","Working")))</f>
        <v>0</v>
      </c>
      <c r="V116" s="31">
        <f>IF(OR(B116="",F116=""),"",COUNTIFS($B$5:B116,B116))</f>
        <v>0</v>
      </c>
      <c r="W116" s="23">
        <f>IF(V116="","",B116&amp;"|"&amp;V116)</f>
        <v>0</v>
      </c>
      <c r="X116" s="39">
        <f>IF(F116="","",IF(B116="","Add - which service?",IF(H116="","Add - how many minutes?",IF(AND(Q116&lt;&gt;"",P116&gt;Q116+0.25),"Check - checklist is longer than the service allows",IF(S116&gt;=3,"Check - often skipped","OK")))))</f>
        <v>0</v>
      </c>
    </row>
    <row r="117" spans="1:24">
      <c r="A117" s="43">
        <f>IF(F117="","","CHK-"&amp;TEXT(ROW()-4,"0000"))</f>
        <v>0</v>
      </c>
      <c r="O117" s="34">
        <f>IF(F117="","",ROUND(IF(H117="",0,H117)/60,2))</f>
        <v>0</v>
      </c>
      <c r="P117" s="34">
        <f>IF(B117="","",ROUND(SUMIFS($H$5:$H$404,$B$5:$B$404,B117,$M$5:$M$404,"Yes")/60,2))</f>
        <v>0</v>
      </c>
      <c r="Q117" s="34">
        <f>IF(B117="","",IFERROR(INDEX(Services!$G$5:$G$64,MATCH(B117,Services!$B$5:$B$64,0)),""))</f>
        <v>0</v>
      </c>
      <c r="R117" s="31">
        <f>IF(F117="","",COUNTIFS('Job Tasks'!$G$5:$G$904,F117,'Job Tasks'!$H$5:$H$904,"Done"))</f>
        <v>0</v>
      </c>
      <c r="S117" s="31">
        <f>IF(F117="","",COUNTIFS('Job Tasks'!$G$5:$G$904,F117,'Job Tasks'!$H$5:$H$904,"Skipped"))</f>
        <v>0</v>
      </c>
      <c r="T117" s="31">
        <f>IF(F117="","",COUNTIFS('Job Tasks'!$G$5:$G$904,F117,'Job Tasks'!$H$5:$H$904,"Issue found"))</f>
        <v>0</v>
      </c>
      <c r="U117" s="39">
        <f>IF(F117="","",IF(R117+S117=0,"New",IF(S117/(R117+S117)&gt;0.25,"Often skipped","Working")))</f>
        <v>0</v>
      </c>
      <c r="V117" s="31">
        <f>IF(OR(B117="",F117=""),"",COUNTIFS($B$5:B117,B117))</f>
        <v>0</v>
      </c>
      <c r="W117" s="23">
        <f>IF(V117="","",B117&amp;"|"&amp;V117)</f>
        <v>0</v>
      </c>
      <c r="X117" s="39">
        <f>IF(F117="","",IF(B117="","Add - which service?",IF(H117="","Add - how many minutes?",IF(AND(Q117&lt;&gt;"",P117&gt;Q117+0.25),"Check - checklist is longer than the service allows",IF(S117&gt;=3,"Check - often skipped","OK")))))</f>
        <v>0</v>
      </c>
    </row>
    <row r="118" spans="1:24">
      <c r="A118" s="43">
        <f>IF(F118="","","CHK-"&amp;TEXT(ROW()-4,"0000"))</f>
        <v>0</v>
      </c>
      <c r="O118" s="34">
        <f>IF(F118="","",ROUND(IF(H118="",0,H118)/60,2))</f>
        <v>0</v>
      </c>
      <c r="P118" s="34">
        <f>IF(B118="","",ROUND(SUMIFS($H$5:$H$404,$B$5:$B$404,B118,$M$5:$M$404,"Yes")/60,2))</f>
        <v>0</v>
      </c>
      <c r="Q118" s="34">
        <f>IF(B118="","",IFERROR(INDEX(Services!$G$5:$G$64,MATCH(B118,Services!$B$5:$B$64,0)),""))</f>
        <v>0</v>
      </c>
      <c r="R118" s="31">
        <f>IF(F118="","",COUNTIFS('Job Tasks'!$G$5:$G$904,F118,'Job Tasks'!$H$5:$H$904,"Done"))</f>
        <v>0</v>
      </c>
      <c r="S118" s="31">
        <f>IF(F118="","",COUNTIFS('Job Tasks'!$G$5:$G$904,F118,'Job Tasks'!$H$5:$H$904,"Skipped"))</f>
        <v>0</v>
      </c>
      <c r="T118" s="31">
        <f>IF(F118="","",COUNTIFS('Job Tasks'!$G$5:$G$904,F118,'Job Tasks'!$H$5:$H$904,"Issue found"))</f>
        <v>0</v>
      </c>
      <c r="U118" s="39">
        <f>IF(F118="","",IF(R118+S118=0,"New",IF(S118/(R118+S118)&gt;0.25,"Often skipped","Working")))</f>
        <v>0</v>
      </c>
      <c r="V118" s="31">
        <f>IF(OR(B118="",F118=""),"",COUNTIFS($B$5:B118,B118))</f>
        <v>0</v>
      </c>
      <c r="W118" s="23">
        <f>IF(V118="","",B118&amp;"|"&amp;V118)</f>
        <v>0</v>
      </c>
      <c r="X118" s="39">
        <f>IF(F118="","",IF(B118="","Add - which service?",IF(H118="","Add - how many minutes?",IF(AND(Q118&lt;&gt;"",P118&gt;Q118+0.25),"Check - checklist is longer than the service allows",IF(S118&gt;=3,"Check - often skipped","OK")))))</f>
        <v>0</v>
      </c>
    </row>
    <row r="119" spans="1:24">
      <c r="A119" s="43">
        <f>IF(F119="","","CHK-"&amp;TEXT(ROW()-4,"0000"))</f>
        <v>0</v>
      </c>
      <c r="O119" s="34">
        <f>IF(F119="","",ROUND(IF(H119="",0,H119)/60,2))</f>
        <v>0</v>
      </c>
      <c r="P119" s="34">
        <f>IF(B119="","",ROUND(SUMIFS($H$5:$H$404,$B$5:$B$404,B119,$M$5:$M$404,"Yes")/60,2))</f>
        <v>0</v>
      </c>
      <c r="Q119" s="34">
        <f>IF(B119="","",IFERROR(INDEX(Services!$G$5:$G$64,MATCH(B119,Services!$B$5:$B$64,0)),""))</f>
        <v>0</v>
      </c>
      <c r="R119" s="31">
        <f>IF(F119="","",COUNTIFS('Job Tasks'!$G$5:$G$904,F119,'Job Tasks'!$H$5:$H$904,"Done"))</f>
        <v>0</v>
      </c>
      <c r="S119" s="31">
        <f>IF(F119="","",COUNTIFS('Job Tasks'!$G$5:$G$904,F119,'Job Tasks'!$H$5:$H$904,"Skipped"))</f>
        <v>0</v>
      </c>
      <c r="T119" s="31">
        <f>IF(F119="","",COUNTIFS('Job Tasks'!$G$5:$G$904,F119,'Job Tasks'!$H$5:$H$904,"Issue found"))</f>
        <v>0</v>
      </c>
      <c r="U119" s="39">
        <f>IF(F119="","",IF(R119+S119=0,"New",IF(S119/(R119+S119)&gt;0.25,"Often skipped","Working")))</f>
        <v>0</v>
      </c>
      <c r="V119" s="31">
        <f>IF(OR(B119="",F119=""),"",COUNTIFS($B$5:B119,B119))</f>
        <v>0</v>
      </c>
      <c r="W119" s="23">
        <f>IF(V119="","",B119&amp;"|"&amp;V119)</f>
        <v>0</v>
      </c>
      <c r="X119" s="39">
        <f>IF(F119="","",IF(B119="","Add - which service?",IF(H119="","Add - how many minutes?",IF(AND(Q119&lt;&gt;"",P119&gt;Q119+0.25),"Check - checklist is longer than the service allows",IF(S119&gt;=3,"Check - often skipped","OK")))))</f>
        <v>0</v>
      </c>
    </row>
    <row r="120" spans="1:24">
      <c r="A120" s="43">
        <f>IF(F120="","","CHK-"&amp;TEXT(ROW()-4,"0000"))</f>
        <v>0</v>
      </c>
      <c r="O120" s="34">
        <f>IF(F120="","",ROUND(IF(H120="",0,H120)/60,2))</f>
        <v>0</v>
      </c>
      <c r="P120" s="34">
        <f>IF(B120="","",ROUND(SUMIFS($H$5:$H$404,$B$5:$B$404,B120,$M$5:$M$404,"Yes")/60,2))</f>
        <v>0</v>
      </c>
      <c r="Q120" s="34">
        <f>IF(B120="","",IFERROR(INDEX(Services!$G$5:$G$64,MATCH(B120,Services!$B$5:$B$64,0)),""))</f>
        <v>0</v>
      </c>
      <c r="R120" s="31">
        <f>IF(F120="","",COUNTIFS('Job Tasks'!$G$5:$G$904,F120,'Job Tasks'!$H$5:$H$904,"Done"))</f>
        <v>0</v>
      </c>
      <c r="S120" s="31">
        <f>IF(F120="","",COUNTIFS('Job Tasks'!$G$5:$G$904,F120,'Job Tasks'!$H$5:$H$904,"Skipped"))</f>
        <v>0</v>
      </c>
      <c r="T120" s="31">
        <f>IF(F120="","",COUNTIFS('Job Tasks'!$G$5:$G$904,F120,'Job Tasks'!$H$5:$H$904,"Issue found"))</f>
        <v>0</v>
      </c>
      <c r="U120" s="39">
        <f>IF(F120="","",IF(R120+S120=0,"New",IF(S120/(R120+S120)&gt;0.25,"Often skipped","Working")))</f>
        <v>0</v>
      </c>
      <c r="V120" s="31">
        <f>IF(OR(B120="",F120=""),"",COUNTIFS($B$5:B120,B120))</f>
        <v>0</v>
      </c>
      <c r="W120" s="23">
        <f>IF(V120="","",B120&amp;"|"&amp;V120)</f>
        <v>0</v>
      </c>
      <c r="X120" s="39">
        <f>IF(F120="","",IF(B120="","Add - which service?",IF(H120="","Add - how many minutes?",IF(AND(Q120&lt;&gt;"",P120&gt;Q120+0.25),"Check - checklist is longer than the service allows",IF(S120&gt;=3,"Check - often skipped","OK")))))</f>
        <v>0</v>
      </c>
    </row>
    <row r="121" spans="1:24">
      <c r="A121" s="43">
        <f>IF(F121="","","CHK-"&amp;TEXT(ROW()-4,"0000"))</f>
        <v>0</v>
      </c>
      <c r="O121" s="34">
        <f>IF(F121="","",ROUND(IF(H121="",0,H121)/60,2))</f>
        <v>0</v>
      </c>
      <c r="P121" s="34">
        <f>IF(B121="","",ROUND(SUMIFS($H$5:$H$404,$B$5:$B$404,B121,$M$5:$M$404,"Yes")/60,2))</f>
        <v>0</v>
      </c>
      <c r="Q121" s="34">
        <f>IF(B121="","",IFERROR(INDEX(Services!$G$5:$G$64,MATCH(B121,Services!$B$5:$B$64,0)),""))</f>
        <v>0</v>
      </c>
      <c r="R121" s="31">
        <f>IF(F121="","",COUNTIFS('Job Tasks'!$G$5:$G$904,F121,'Job Tasks'!$H$5:$H$904,"Done"))</f>
        <v>0</v>
      </c>
      <c r="S121" s="31">
        <f>IF(F121="","",COUNTIFS('Job Tasks'!$G$5:$G$904,F121,'Job Tasks'!$H$5:$H$904,"Skipped"))</f>
        <v>0</v>
      </c>
      <c r="T121" s="31">
        <f>IF(F121="","",COUNTIFS('Job Tasks'!$G$5:$G$904,F121,'Job Tasks'!$H$5:$H$904,"Issue found"))</f>
        <v>0</v>
      </c>
      <c r="U121" s="39">
        <f>IF(F121="","",IF(R121+S121=0,"New",IF(S121/(R121+S121)&gt;0.25,"Often skipped","Working")))</f>
        <v>0</v>
      </c>
      <c r="V121" s="31">
        <f>IF(OR(B121="",F121=""),"",COUNTIFS($B$5:B121,B121))</f>
        <v>0</v>
      </c>
      <c r="W121" s="23">
        <f>IF(V121="","",B121&amp;"|"&amp;V121)</f>
        <v>0</v>
      </c>
      <c r="X121" s="39">
        <f>IF(F121="","",IF(B121="","Add - which service?",IF(H121="","Add - how many minutes?",IF(AND(Q121&lt;&gt;"",P121&gt;Q121+0.25),"Check - checklist is longer than the service allows",IF(S121&gt;=3,"Check - often skipped","OK")))))</f>
        <v>0</v>
      </c>
    </row>
    <row r="122" spans="1:24">
      <c r="A122" s="43">
        <f>IF(F122="","","CHK-"&amp;TEXT(ROW()-4,"0000"))</f>
        <v>0</v>
      </c>
      <c r="O122" s="34">
        <f>IF(F122="","",ROUND(IF(H122="",0,H122)/60,2))</f>
        <v>0</v>
      </c>
      <c r="P122" s="34">
        <f>IF(B122="","",ROUND(SUMIFS($H$5:$H$404,$B$5:$B$404,B122,$M$5:$M$404,"Yes")/60,2))</f>
        <v>0</v>
      </c>
      <c r="Q122" s="34">
        <f>IF(B122="","",IFERROR(INDEX(Services!$G$5:$G$64,MATCH(B122,Services!$B$5:$B$64,0)),""))</f>
        <v>0</v>
      </c>
      <c r="R122" s="31">
        <f>IF(F122="","",COUNTIFS('Job Tasks'!$G$5:$G$904,F122,'Job Tasks'!$H$5:$H$904,"Done"))</f>
        <v>0</v>
      </c>
      <c r="S122" s="31">
        <f>IF(F122="","",COUNTIFS('Job Tasks'!$G$5:$G$904,F122,'Job Tasks'!$H$5:$H$904,"Skipped"))</f>
        <v>0</v>
      </c>
      <c r="T122" s="31">
        <f>IF(F122="","",COUNTIFS('Job Tasks'!$G$5:$G$904,F122,'Job Tasks'!$H$5:$H$904,"Issue found"))</f>
        <v>0</v>
      </c>
      <c r="U122" s="39">
        <f>IF(F122="","",IF(R122+S122=0,"New",IF(S122/(R122+S122)&gt;0.25,"Often skipped","Working")))</f>
        <v>0</v>
      </c>
      <c r="V122" s="31">
        <f>IF(OR(B122="",F122=""),"",COUNTIFS($B$5:B122,B122))</f>
        <v>0</v>
      </c>
      <c r="W122" s="23">
        <f>IF(V122="","",B122&amp;"|"&amp;V122)</f>
        <v>0</v>
      </c>
      <c r="X122" s="39">
        <f>IF(F122="","",IF(B122="","Add - which service?",IF(H122="","Add - how many minutes?",IF(AND(Q122&lt;&gt;"",P122&gt;Q122+0.25),"Check - checklist is longer than the service allows",IF(S122&gt;=3,"Check - often skipped","OK")))))</f>
        <v>0</v>
      </c>
    </row>
    <row r="123" spans="1:24">
      <c r="A123" s="43">
        <f>IF(F123="","","CHK-"&amp;TEXT(ROW()-4,"0000"))</f>
        <v>0</v>
      </c>
      <c r="O123" s="34">
        <f>IF(F123="","",ROUND(IF(H123="",0,H123)/60,2))</f>
        <v>0</v>
      </c>
      <c r="P123" s="34">
        <f>IF(B123="","",ROUND(SUMIFS($H$5:$H$404,$B$5:$B$404,B123,$M$5:$M$404,"Yes")/60,2))</f>
        <v>0</v>
      </c>
      <c r="Q123" s="34">
        <f>IF(B123="","",IFERROR(INDEX(Services!$G$5:$G$64,MATCH(B123,Services!$B$5:$B$64,0)),""))</f>
        <v>0</v>
      </c>
      <c r="R123" s="31">
        <f>IF(F123="","",COUNTIFS('Job Tasks'!$G$5:$G$904,F123,'Job Tasks'!$H$5:$H$904,"Done"))</f>
        <v>0</v>
      </c>
      <c r="S123" s="31">
        <f>IF(F123="","",COUNTIFS('Job Tasks'!$G$5:$G$904,F123,'Job Tasks'!$H$5:$H$904,"Skipped"))</f>
        <v>0</v>
      </c>
      <c r="T123" s="31">
        <f>IF(F123="","",COUNTIFS('Job Tasks'!$G$5:$G$904,F123,'Job Tasks'!$H$5:$H$904,"Issue found"))</f>
        <v>0</v>
      </c>
      <c r="U123" s="39">
        <f>IF(F123="","",IF(R123+S123=0,"New",IF(S123/(R123+S123)&gt;0.25,"Often skipped","Working")))</f>
        <v>0</v>
      </c>
      <c r="V123" s="31">
        <f>IF(OR(B123="",F123=""),"",COUNTIFS($B$5:B123,B123))</f>
        <v>0</v>
      </c>
      <c r="W123" s="23">
        <f>IF(V123="","",B123&amp;"|"&amp;V123)</f>
        <v>0</v>
      </c>
      <c r="X123" s="39">
        <f>IF(F123="","",IF(B123="","Add - which service?",IF(H123="","Add - how many minutes?",IF(AND(Q123&lt;&gt;"",P123&gt;Q123+0.25),"Check - checklist is longer than the service allows",IF(S123&gt;=3,"Check - often skipped","OK")))))</f>
        <v>0</v>
      </c>
    </row>
    <row r="124" spans="1:24">
      <c r="A124" s="43">
        <f>IF(F124="","","CHK-"&amp;TEXT(ROW()-4,"0000"))</f>
        <v>0</v>
      </c>
      <c r="O124" s="34">
        <f>IF(F124="","",ROUND(IF(H124="",0,H124)/60,2))</f>
        <v>0</v>
      </c>
      <c r="P124" s="34">
        <f>IF(B124="","",ROUND(SUMIFS($H$5:$H$404,$B$5:$B$404,B124,$M$5:$M$404,"Yes")/60,2))</f>
        <v>0</v>
      </c>
      <c r="Q124" s="34">
        <f>IF(B124="","",IFERROR(INDEX(Services!$G$5:$G$64,MATCH(B124,Services!$B$5:$B$64,0)),""))</f>
        <v>0</v>
      </c>
      <c r="R124" s="31">
        <f>IF(F124="","",COUNTIFS('Job Tasks'!$G$5:$G$904,F124,'Job Tasks'!$H$5:$H$904,"Done"))</f>
        <v>0</v>
      </c>
      <c r="S124" s="31">
        <f>IF(F124="","",COUNTIFS('Job Tasks'!$G$5:$G$904,F124,'Job Tasks'!$H$5:$H$904,"Skipped"))</f>
        <v>0</v>
      </c>
      <c r="T124" s="31">
        <f>IF(F124="","",COUNTIFS('Job Tasks'!$G$5:$G$904,F124,'Job Tasks'!$H$5:$H$904,"Issue found"))</f>
        <v>0</v>
      </c>
      <c r="U124" s="39">
        <f>IF(F124="","",IF(R124+S124=0,"New",IF(S124/(R124+S124)&gt;0.25,"Often skipped","Working")))</f>
        <v>0</v>
      </c>
      <c r="V124" s="31">
        <f>IF(OR(B124="",F124=""),"",COUNTIFS($B$5:B124,B124))</f>
        <v>0</v>
      </c>
      <c r="W124" s="23">
        <f>IF(V124="","",B124&amp;"|"&amp;V124)</f>
        <v>0</v>
      </c>
      <c r="X124" s="39">
        <f>IF(F124="","",IF(B124="","Add - which service?",IF(H124="","Add - how many minutes?",IF(AND(Q124&lt;&gt;"",P124&gt;Q124+0.25),"Check - checklist is longer than the service allows",IF(S124&gt;=3,"Check - often skipped","OK")))))</f>
        <v>0</v>
      </c>
    </row>
    <row r="125" spans="1:24">
      <c r="A125" s="43">
        <f>IF(F125="","","CHK-"&amp;TEXT(ROW()-4,"0000"))</f>
        <v>0</v>
      </c>
      <c r="O125" s="34">
        <f>IF(F125="","",ROUND(IF(H125="",0,H125)/60,2))</f>
        <v>0</v>
      </c>
      <c r="P125" s="34">
        <f>IF(B125="","",ROUND(SUMIFS($H$5:$H$404,$B$5:$B$404,B125,$M$5:$M$404,"Yes")/60,2))</f>
        <v>0</v>
      </c>
      <c r="Q125" s="34">
        <f>IF(B125="","",IFERROR(INDEX(Services!$G$5:$G$64,MATCH(B125,Services!$B$5:$B$64,0)),""))</f>
        <v>0</v>
      </c>
      <c r="R125" s="31">
        <f>IF(F125="","",COUNTIFS('Job Tasks'!$G$5:$G$904,F125,'Job Tasks'!$H$5:$H$904,"Done"))</f>
        <v>0</v>
      </c>
      <c r="S125" s="31">
        <f>IF(F125="","",COUNTIFS('Job Tasks'!$G$5:$G$904,F125,'Job Tasks'!$H$5:$H$904,"Skipped"))</f>
        <v>0</v>
      </c>
      <c r="T125" s="31">
        <f>IF(F125="","",COUNTIFS('Job Tasks'!$G$5:$G$904,F125,'Job Tasks'!$H$5:$H$904,"Issue found"))</f>
        <v>0</v>
      </c>
      <c r="U125" s="39">
        <f>IF(F125="","",IF(R125+S125=0,"New",IF(S125/(R125+S125)&gt;0.25,"Often skipped","Working")))</f>
        <v>0</v>
      </c>
      <c r="V125" s="31">
        <f>IF(OR(B125="",F125=""),"",COUNTIFS($B$5:B125,B125))</f>
        <v>0</v>
      </c>
      <c r="W125" s="23">
        <f>IF(V125="","",B125&amp;"|"&amp;V125)</f>
        <v>0</v>
      </c>
      <c r="X125" s="39">
        <f>IF(F125="","",IF(B125="","Add - which service?",IF(H125="","Add - how many minutes?",IF(AND(Q125&lt;&gt;"",P125&gt;Q125+0.25),"Check - checklist is longer than the service allows",IF(S125&gt;=3,"Check - often skipped","OK")))))</f>
        <v>0</v>
      </c>
    </row>
    <row r="126" spans="1:24">
      <c r="A126" s="43">
        <f>IF(F126="","","CHK-"&amp;TEXT(ROW()-4,"0000"))</f>
        <v>0</v>
      </c>
      <c r="O126" s="34">
        <f>IF(F126="","",ROUND(IF(H126="",0,H126)/60,2))</f>
        <v>0</v>
      </c>
      <c r="P126" s="34">
        <f>IF(B126="","",ROUND(SUMIFS($H$5:$H$404,$B$5:$B$404,B126,$M$5:$M$404,"Yes")/60,2))</f>
        <v>0</v>
      </c>
      <c r="Q126" s="34">
        <f>IF(B126="","",IFERROR(INDEX(Services!$G$5:$G$64,MATCH(B126,Services!$B$5:$B$64,0)),""))</f>
        <v>0</v>
      </c>
      <c r="R126" s="31">
        <f>IF(F126="","",COUNTIFS('Job Tasks'!$G$5:$G$904,F126,'Job Tasks'!$H$5:$H$904,"Done"))</f>
        <v>0</v>
      </c>
      <c r="S126" s="31">
        <f>IF(F126="","",COUNTIFS('Job Tasks'!$G$5:$G$904,F126,'Job Tasks'!$H$5:$H$904,"Skipped"))</f>
        <v>0</v>
      </c>
      <c r="T126" s="31">
        <f>IF(F126="","",COUNTIFS('Job Tasks'!$G$5:$G$904,F126,'Job Tasks'!$H$5:$H$904,"Issue found"))</f>
        <v>0</v>
      </c>
      <c r="U126" s="39">
        <f>IF(F126="","",IF(R126+S126=0,"New",IF(S126/(R126+S126)&gt;0.25,"Often skipped","Working")))</f>
        <v>0</v>
      </c>
      <c r="V126" s="31">
        <f>IF(OR(B126="",F126=""),"",COUNTIFS($B$5:B126,B126))</f>
        <v>0</v>
      </c>
      <c r="W126" s="23">
        <f>IF(V126="","",B126&amp;"|"&amp;V126)</f>
        <v>0</v>
      </c>
      <c r="X126" s="39">
        <f>IF(F126="","",IF(B126="","Add - which service?",IF(H126="","Add - how many minutes?",IF(AND(Q126&lt;&gt;"",P126&gt;Q126+0.25),"Check - checklist is longer than the service allows",IF(S126&gt;=3,"Check - often skipped","OK")))))</f>
        <v>0</v>
      </c>
    </row>
    <row r="127" spans="1:24">
      <c r="A127" s="43">
        <f>IF(F127="","","CHK-"&amp;TEXT(ROW()-4,"0000"))</f>
        <v>0</v>
      </c>
      <c r="O127" s="34">
        <f>IF(F127="","",ROUND(IF(H127="",0,H127)/60,2))</f>
        <v>0</v>
      </c>
      <c r="P127" s="34">
        <f>IF(B127="","",ROUND(SUMIFS($H$5:$H$404,$B$5:$B$404,B127,$M$5:$M$404,"Yes")/60,2))</f>
        <v>0</v>
      </c>
      <c r="Q127" s="34">
        <f>IF(B127="","",IFERROR(INDEX(Services!$G$5:$G$64,MATCH(B127,Services!$B$5:$B$64,0)),""))</f>
        <v>0</v>
      </c>
      <c r="R127" s="31">
        <f>IF(F127="","",COUNTIFS('Job Tasks'!$G$5:$G$904,F127,'Job Tasks'!$H$5:$H$904,"Done"))</f>
        <v>0</v>
      </c>
      <c r="S127" s="31">
        <f>IF(F127="","",COUNTIFS('Job Tasks'!$G$5:$G$904,F127,'Job Tasks'!$H$5:$H$904,"Skipped"))</f>
        <v>0</v>
      </c>
      <c r="T127" s="31">
        <f>IF(F127="","",COUNTIFS('Job Tasks'!$G$5:$G$904,F127,'Job Tasks'!$H$5:$H$904,"Issue found"))</f>
        <v>0</v>
      </c>
      <c r="U127" s="39">
        <f>IF(F127="","",IF(R127+S127=0,"New",IF(S127/(R127+S127)&gt;0.25,"Often skipped","Working")))</f>
        <v>0</v>
      </c>
      <c r="V127" s="31">
        <f>IF(OR(B127="",F127=""),"",COUNTIFS($B$5:B127,B127))</f>
        <v>0</v>
      </c>
      <c r="W127" s="23">
        <f>IF(V127="","",B127&amp;"|"&amp;V127)</f>
        <v>0</v>
      </c>
      <c r="X127" s="39">
        <f>IF(F127="","",IF(B127="","Add - which service?",IF(H127="","Add - how many minutes?",IF(AND(Q127&lt;&gt;"",P127&gt;Q127+0.25),"Check - checklist is longer than the service allows",IF(S127&gt;=3,"Check - often skipped","OK")))))</f>
        <v>0</v>
      </c>
    </row>
    <row r="128" spans="1:24">
      <c r="A128" s="43">
        <f>IF(F128="","","CHK-"&amp;TEXT(ROW()-4,"0000"))</f>
        <v>0</v>
      </c>
      <c r="O128" s="34">
        <f>IF(F128="","",ROUND(IF(H128="",0,H128)/60,2))</f>
        <v>0</v>
      </c>
      <c r="P128" s="34">
        <f>IF(B128="","",ROUND(SUMIFS($H$5:$H$404,$B$5:$B$404,B128,$M$5:$M$404,"Yes")/60,2))</f>
        <v>0</v>
      </c>
      <c r="Q128" s="34">
        <f>IF(B128="","",IFERROR(INDEX(Services!$G$5:$G$64,MATCH(B128,Services!$B$5:$B$64,0)),""))</f>
        <v>0</v>
      </c>
      <c r="R128" s="31">
        <f>IF(F128="","",COUNTIFS('Job Tasks'!$G$5:$G$904,F128,'Job Tasks'!$H$5:$H$904,"Done"))</f>
        <v>0</v>
      </c>
      <c r="S128" s="31">
        <f>IF(F128="","",COUNTIFS('Job Tasks'!$G$5:$G$904,F128,'Job Tasks'!$H$5:$H$904,"Skipped"))</f>
        <v>0</v>
      </c>
      <c r="T128" s="31">
        <f>IF(F128="","",COUNTIFS('Job Tasks'!$G$5:$G$904,F128,'Job Tasks'!$H$5:$H$904,"Issue found"))</f>
        <v>0</v>
      </c>
      <c r="U128" s="39">
        <f>IF(F128="","",IF(R128+S128=0,"New",IF(S128/(R128+S128)&gt;0.25,"Often skipped","Working")))</f>
        <v>0</v>
      </c>
      <c r="V128" s="31">
        <f>IF(OR(B128="",F128=""),"",COUNTIFS($B$5:B128,B128))</f>
        <v>0</v>
      </c>
      <c r="W128" s="23">
        <f>IF(V128="","",B128&amp;"|"&amp;V128)</f>
        <v>0</v>
      </c>
      <c r="X128" s="39">
        <f>IF(F128="","",IF(B128="","Add - which service?",IF(H128="","Add - how many minutes?",IF(AND(Q128&lt;&gt;"",P128&gt;Q128+0.25),"Check - checklist is longer than the service allows",IF(S128&gt;=3,"Check - often skipped","OK")))))</f>
        <v>0</v>
      </c>
    </row>
    <row r="129" spans="1:24">
      <c r="A129" s="43">
        <f>IF(F129="","","CHK-"&amp;TEXT(ROW()-4,"0000"))</f>
        <v>0</v>
      </c>
      <c r="O129" s="34">
        <f>IF(F129="","",ROUND(IF(H129="",0,H129)/60,2))</f>
        <v>0</v>
      </c>
      <c r="P129" s="34">
        <f>IF(B129="","",ROUND(SUMIFS($H$5:$H$404,$B$5:$B$404,B129,$M$5:$M$404,"Yes")/60,2))</f>
        <v>0</v>
      </c>
      <c r="Q129" s="34">
        <f>IF(B129="","",IFERROR(INDEX(Services!$G$5:$G$64,MATCH(B129,Services!$B$5:$B$64,0)),""))</f>
        <v>0</v>
      </c>
      <c r="R129" s="31">
        <f>IF(F129="","",COUNTIFS('Job Tasks'!$G$5:$G$904,F129,'Job Tasks'!$H$5:$H$904,"Done"))</f>
        <v>0</v>
      </c>
      <c r="S129" s="31">
        <f>IF(F129="","",COUNTIFS('Job Tasks'!$G$5:$G$904,F129,'Job Tasks'!$H$5:$H$904,"Skipped"))</f>
        <v>0</v>
      </c>
      <c r="T129" s="31">
        <f>IF(F129="","",COUNTIFS('Job Tasks'!$G$5:$G$904,F129,'Job Tasks'!$H$5:$H$904,"Issue found"))</f>
        <v>0</v>
      </c>
      <c r="U129" s="39">
        <f>IF(F129="","",IF(R129+S129=0,"New",IF(S129/(R129+S129)&gt;0.25,"Often skipped","Working")))</f>
        <v>0</v>
      </c>
      <c r="V129" s="31">
        <f>IF(OR(B129="",F129=""),"",COUNTIFS($B$5:B129,B129))</f>
        <v>0</v>
      </c>
      <c r="W129" s="23">
        <f>IF(V129="","",B129&amp;"|"&amp;V129)</f>
        <v>0</v>
      </c>
      <c r="X129" s="39">
        <f>IF(F129="","",IF(B129="","Add - which service?",IF(H129="","Add - how many minutes?",IF(AND(Q129&lt;&gt;"",P129&gt;Q129+0.25),"Check - checklist is longer than the service allows",IF(S129&gt;=3,"Check - often skipped","OK")))))</f>
        <v>0</v>
      </c>
    </row>
    <row r="130" spans="1:24">
      <c r="A130" s="43">
        <f>IF(F130="","","CHK-"&amp;TEXT(ROW()-4,"0000"))</f>
        <v>0</v>
      </c>
      <c r="O130" s="34">
        <f>IF(F130="","",ROUND(IF(H130="",0,H130)/60,2))</f>
        <v>0</v>
      </c>
      <c r="P130" s="34">
        <f>IF(B130="","",ROUND(SUMIFS($H$5:$H$404,$B$5:$B$404,B130,$M$5:$M$404,"Yes")/60,2))</f>
        <v>0</v>
      </c>
      <c r="Q130" s="34">
        <f>IF(B130="","",IFERROR(INDEX(Services!$G$5:$G$64,MATCH(B130,Services!$B$5:$B$64,0)),""))</f>
        <v>0</v>
      </c>
      <c r="R130" s="31">
        <f>IF(F130="","",COUNTIFS('Job Tasks'!$G$5:$G$904,F130,'Job Tasks'!$H$5:$H$904,"Done"))</f>
        <v>0</v>
      </c>
      <c r="S130" s="31">
        <f>IF(F130="","",COUNTIFS('Job Tasks'!$G$5:$G$904,F130,'Job Tasks'!$H$5:$H$904,"Skipped"))</f>
        <v>0</v>
      </c>
      <c r="T130" s="31">
        <f>IF(F130="","",COUNTIFS('Job Tasks'!$G$5:$G$904,F130,'Job Tasks'!$H$5:$H$904,"Issue found"))</f>
        <v>0</v>
      </c>
      <c r="U130" s="39">
        <f>IF(F130="","",IF(R130+S130=0,"New",IF(S130/(R130+S130)&gt;0.25,"Often skipped","Working")))</f>
        <v>0</v>
      </c>
      <c r="V130" s="31">
        <f>IF(OR(B130="",F130=""),"",COUNTIFS($B$5:B130,B130))</f>
        <v>0</v>
      </c>
      <c r="W130" s="23">
        <f>IF(V130="","",B130&amp;"|"&amp;V130)</f>
        <v>0</v>
      </c>
      <c r="X130" s="39">
        <f>IF(F130="","",IF(B130="","Add - which service?",IF(H130="","Add - how many minutes?",IF(AND(Q130&lt;&gt;"",P130&gt;Q130+0.25),"Check - checklist is longer than the service allows",IF(S130&gt;=3,"Check - often skipped","OK")))))</f>
        <v>0</v>
      </c>
    </row>
    <row r="131" spans="1:24">
      <c r="A131" s="43">
        <f>IF(F131="","","CHK-"&amp;TEXT(ROW()-4,"0000"))</f>
        <v>0</v>
      </c>
      <c r="O131" s="34">
        <f>IF(F131="","",ROUND(IF(H131="",0,H131)/60,2))</f>
        <v>0</v>
      </c>
      <c r="P131" s="34">
        <f>IF(B131="","",ROUND(SUMIFS($H$5:$H$404,$B$5:$B$404,B131,$M$5:$M$404,"Yes")/60,2))</f>
        <v>0</v>
      </c>
      <c r="Q131" s="34">
        <f>IF(B131="","",IFERROR(INDEX(Services!$G$5:$G$64,MATCH(B131,Services!$B$5:$B$64,0)),""))</f>
        <v>0</v>
      </c>
      <c r="R131" s="31">
        <f>IF(F131="","",COUNTIFS('Job Tasks'!$G$5:$G$904,F131,'Job Tasks'!$H$5:$H$904,"Done"))</f>
        <v>0</v>
      </c>
      <c r="S131" s="31">
        <f>IF(F131="","",COUNTIFS('Job Tasks'!$G$5:$G$904,F131,'Job Tasks'!$H$5:$H$904,"Skipped"))</f>
        <v>0</v>
      </c>
      <c r="T131" s="31">
        <f>IF(F131="","",COUNTIFS('Job Tasks'!$G$5:$G$904,F131,'Job Tasks'!$H$5:$H$904,"Issue found"))</f>
        <v>0</v>
      </c>
      <c r="U131" s="39">
        <f>IF(F131="","",IF(R131+S131=0,"New",IF(S131/(R131+S131)&gt;0.25,"Often skipped","Working")))</f>
        <v>0</v>
      </c>
      <c r="V131" s="31">
        <f>IF(OR(B131="",F131=""),"",COUNTIFS($B$5:B131,B131))</f>
        <v>0</v>
      </c>
      <c r="W131" s="23">
        <f>IF(V131="","",B131&amp;"|"&amp;V131)</f>
        <v>0</v>
      </c>
      <c r="X131" s="39">
        <f>IF(F131="","",IF(B131="","Add - which service?",IF(H131="","Add - how many minutes?",IF(AND(Q131&lt;&gt;"",P131&gt;Q131+0.25),"Check - checklist is longer than the service allows",IF(S131&gt;=3,"Check - often skipped","OK")))))</f>
        <v>0</v>
      </c>
    </row>
    <row r="132" spans="1:24">
      <c r="A132" s="43">
        <f>IF(F132="","","CHK-"&amp;TEXT(ROW()-4,"0000"))</f>
        <v>0</v>
      </c>
      <c r="O132" s="34">
        <f>IF(F132="","",ROUND(IF(H132="",0,H132)/60,2))</f>
        <v>0</v>
      </c>
      <c r="P132" s="34">
        <f>IF(B132="","",ROUND(SUMIFS($H$5:$H$404,$B$5:$B$404,B132,$M$5:$M$404,"Yes")/60,2))</f>
        <v>0</v>
      </c>
      <c r="Q132" s="34">
        <f>IF(B132="","",IFERROR(INDEX(Services!$G$5:$G$64,MATCH(B132,Services!$B$5:$B$64,0)),""))</f>
        <v>0</v>
      </c>
      <c r="R132" s="31">
        <f>IF(F132="","",COUNTIFS('Job Tasks'!$G$5:$G$904,F132,'Job Tasks'!$H$5:$H$904,"Done"))</f>
        <v>0</v>
      </c>
      <c r="S132" s="31">
        <f>IF(F132="","",COUNTIFS('Job Tasks'!$G$5:$G$904,F132,'Job Tasks'!$H$5:$H$904,"Skipped"))</f>
        <v>0</v>
      </c>
      <c r="T132" s="31">
        <f>IF(F132="","",COUNTIFS('Job Tasks'!$G$5:$G$904,F132,'Job Tasks'!$H$5:$H$904,"Issue found"))</f>
        <v>0</v>
      </c>
      <c r="U132" s="39">
        <f>IF(F132="","",IF(R132+S132=0,"New",IF(S132/(R132+S132)&gt;0.25,"Often skipped","Working")))</f>
        <v>0</v>
      </c>
      <c r="V132" s="31">
        <f>IF(OR(B132="",F132=""),"",COUNTIFS($B$5:B132,B132))</f>
        <v>0</v>
      </c>
      <c r="W132" s="23">
        <f>IF(V132="","",B132&amp;"|"&amp;V132)</f>
        <v>0</v>
      </c>
      <c r="X132" s="39">
        <f>IF(F132="","",IF(B132="","Add - which service?",IF(H132="","Add - how many minutes?",IF(AND(Q132&lt;&gt;"",P132&gt;Q132+0.25),"Check - checklist is longer than the service allows",IF(S132&gt;=3,"Check - often skipped","OK")))))</f>
        <v>0</v>
      </c>
    </row>
    <row r="133" spans="1:24">
      <c r="A133" s="43">
        <f>IF(F133="","","CHK-"&amp;TEXT(ROW()-4,"0000"))</f>
        <v>0</v>
      </c>
      <c r="O133" s="34">
        <f>IF(F133="","",ROUND(IF(H133="",0,H133)/60,2))</f>
        <v>0</v>
      </c>
      <c r="P133" s="34">
        <f>IF(B133="","",ROUND(SUMIFS($H$5:$H$404,$B$5:$B$404,B133,$M$5:$M$404,"Yes")/60,2))</f>
        <v>0</v>
      </c>
      <c r="Q133" s="34">
        <f>IF(B133="","",IFERROR(INDEX(Services!$G$5:$G$64,MATCH(B133,Services!$B$5:$B$64,0)),""))</f>
        <v>0</v>
      </c>
      <c r="R133" s="31">
        <f>IF(F133="","",COUNTIFS('Job Tasks'!$G$5:$G$904,F133,'Job Tasks'!$H$5:$H$904,"Done"))</f>
        <v>0</v>
      </c>
      <c r="S133" s="31">
        <f>IF(F133="","",COUNTIFS('Job Tasks'!$G$5:$G$904,F133,'Job Tasks'!$H$5:$H$904,"Skipped"))</f>
        <v>0</v>
      </c>
      <c r="T133" s="31">
        <f>IF(F133="","",COUNTIFS('Job Tasks'!$G$5:$G$904,F133,'Job Tasks'!$H$5:$H$904,"Issue found"))</f>
        <v>0</v>
      </c>
      <c r="U133" s="39">
        <f>IF(F133="","",IF(R133+S133=0,"New",IF(S133/(R133+S133)&gt;0.25,"Often skipped","Working")))</f>
        <v>0</v>
      </c>
      <c r="V133" s="31">
        <f>IF(OR(B133="",F133=""),"",COUNTIFS($B$5:B133,B133))</f>
        <v>0</v>
      </c>
      <c r="W133" s="23">
        <f>IF(V133="","",B133&amp;"|"&amp;V133)</f>
        <v>0</v>
      </c>
      <c r="X133" s="39">
        <f>IF(F133="","",IF(B133="","Add - which service?",IF(H133="","Add - how many minutes?",IF(AND(Q133&lt;&gt;"",P133&gt;Q133+0.25),"Check - checklist is longer than the service allows",IF(S133&gt;=3,"Check - often skipped","OK")))))</f>
        <v>0</v>
      </c>
    </row>
    <row r="134" spans="1:24">
      <c r="A134" s="43">
        <f>IF(F134="","","CHK-"&amp;TEXT(ROW()-4,"0000"))</f>
        <v>0</v>
      </c>
      <c r="O134" s="34">
        <f>IF(F134="","",ROUND(IF(H134="",0,H134)/60,2))</f>
        <v>0</v>
      </c>
      <c r="P134" s="34">
        <f>IF(B134="","",ROUND(SUMIFS($H$5:$H$404,$B$5:$B$404,B134,$M$5:$M$404,"Yes")/60,2))</f>
        <v>0</v>
      </c>
      <c r="Q134" s="34">
        <f>IF(B134="","",IFERROR(INDEX(Services!$G$5:$G$64,MATCH(B134,Services!$B$5:$B$64,0)),""))</f>
        <v>0</v>
      </c>
      <c r="R134" s="31">
        <f>IF(F134="","",COUNTIFS('Job Tasks'!$G$5:$G$904,F134,'Job Tasks'!$H$5:$H$904,"Done"))</f>
        <v>0</v>
      </c>
      <c r="S134" s="31">
        <f>IF(F134="","",COUNTIFS('Job Tasks'!$G$5:$G$904,F134,'Job Tasks'!$H$5:$H$904,"Skipped"))</f>
        <v>0</v>
      </c>
      <c r="T134" s="31">
        <f>IF(F134="","",COUNTIFS('Job Tasks'!$G$5:$G$904,F134,'Job Tasks'!$H$5:$H$904,"Issue found"))</f>
        <v>0</v>
      </c>
      <c r="U134" s="39">
        <f>IF(F134="","",IF(R134+S134=0,"New",IF(S134/(R134+S134)&gt;0.25,"Often skipped","Working")))</f>
        <v>0</v>
      </c>
      <c r="V134" s="31">
        <f>IF(OR(B134="",F134=""),"",COUNTIFS($B$5:B134,B134))</f>
        <v>0</v>
      </c>
      <c r="W134" s="23">
        <f>IF(V134="","",B134&amp;"|"&amp;V134)</f>
        <v>0</v>
      </c>
      <c r="X134" s="39">
        <f>IF(F134="","",IF(B134="","Add - which service?",IF(H134="","Add - how many minutes?",IF(AND(Q134&lt;&gt;"",P134&gt;Q134+0.25),"Check - checklist is longer than the service allows",IF(S134&gt;=3,"Check - often skipped","OK")))))</f>
        <v>0</v>
      </c>
    </row>
    <row r="135" spans="1:24">
      <c r="A135" s="43">
        <f>IF(F135="","","CHK-"&amp;TEXT(ROW()-4,"0000"))</f>
        <v>0</v>
      </c>
      <c r="O135" s="34">
        <f>IF(F135="","",ROUND(IF(H135="",0,H135)/60,2))</f>
        <v>0</v>
      </c>
      <c r="P135" s="34">
        <f>IF(B135="","",ROUND(SUMIFS($H$5:$H$404,$B$5:$B$404,B135,$M$5:$M$404,"Yes")/60,2))</f>
        <v>0</v>
      </c>
      <c r="Q135" s="34">
        <f>IF(B135="","",IFERROR(INDEX(Services!$G$5:$G$64,MATCH(B135,Services!$B$5:$B$64,0)),""))</f>
        <v>0</v>
      </c>
      <c r="R135" s="31">
        <f>IF(F135="","",COUNTIFS('Job Tasks'!$G$5:$G$904,F135,'Job Tasks'!$H$5:$H$904,"Done"))</f>
        <v>0</v>
      </c>
      <c r="S135" s="31">
        <f>IF(F135="","",COUNTIFS('Job Tasks'!$G$5:$G$904,F135,'Job Tasks'!$H$5:$H$904,"Skipped"))</f>
        <v>0</v>
      </c>
      <c r="T135" s="31">
        <f>IF(F135="","",COUNTIFS('Job Tasks'!$G$5:$G$904,F135,'Job Tasks'!$H$5:$H$904,"Issue found"))</f>
        <v>0</v>
      </c>
      <c r="U135" s="39">
        <f>IF(F135="","",IF(R135+S135=0,"New",IF(S135/(R135+S135)&gt;0.25,"Often skipped","Working")))</f>
        <v>0</v>
      </c>
      <c r="V135" s="31">
        <f>IF(OR(B135="",F135=""),"",COUNTIFS($B$5:B135,B135))</f>
        <v>0</v>
      </c>
      <c r="W135" s="23">
        <f>IF(V135="","",B135&amp;"|"&amp;V135)</f>
        <v>0</v>
      </c>
      <c r="X135" s="39">
        <f>IF(F135="","",IF(B135="","Add - which service?",IF(H135="","Add - how many minutes?",IF(AND(Q135&lt;&gt;"",P135&gt;Q135+0.25),"Check - checklist is longer than the service allows",IF(S135&gt;=3,"Check - often skipped","OK")))))</f>
        <v>0</v>
      </c>
    </row>
    <row r="136" spans="1:24">
      <c r="A136" s="43">
        <f>IF(F136="","","CHK-"&amp;TEXT(ROW()-4,"0000"))</f>
        <v>0</v>
      </c>
      <c r="O136" s="34">
        <f>IF(F136="","",ROUND(IF(H136="",0,H136)/60,2))</f>
        <v>0</v>
      </c>
      <c r="P136" s="34">
        <f>IF(B136="","",ROUND(SUMIFS($H$5:$H$404,$B$5:$B$404,B136,$M$5:$M$404,"Yes")/60,2))</f>
        <v>0</v>
      </c>
      <c r="Q136" s="34">
        <f>IF(B136="","",IFERROR(INDEX(Services!$G$5:$G$64,MATCH(B136,Services!$B$5:$B$64,0)),""))</f>
        <v>0</v>
      </c>
      <c r="R136" s="31">
        <f>IF(F136="","",COUNTIFS('Job Tasks'!$G$5:$G$904,F136,'Job Tasks'!$H$5:$H$904,"Done"))</f>
        <v>0</v>
      </c>
      <c r="S136" s="31">
        <f>IF(F136="","",COUNTIFS('Job Tasks'!$G$5:$G$904,F136,'Job Tasks'!$H$5:$H$904,"Skipped"))</f>
        <v>0</v>
      </c>
      <c r="T136" s="31">
        <f>IF(F136="","",COUNTIFS('Job Tasks'!$G$5:$G$904,F136,'Job Tasks'!$H$5:$H$904,"Issue found"))</f>
        <v>0</v>
      </c>
      <c r="U136" s="39">
        <f>IF(F136="","",IF(R136+S136=0,"New",IF(S136/(R136+S136)&gt;0.25,"Often skipped","Working")))</f>
        <v>0</v>
      </c>
      <c r="V136" s="31">
        <f>IF(OR(B136="",F136=""),"",COUNTIFS($B$5:B136,B136))</f>
        <v>0</v>
      </c>
      <c r="W136" s="23">
        <f>IF(V136="","",B136&amp;"|"&amp;V136)</f>
        <v>0</v>
      </c>
      <c r="X136" s="39">
        <f>IF(F136="","",IF(B136="","Add - which service?",IF(H136="","Add - how many minutes?",IF(AND(Q136&lt;&gt;"",P136&gt;Q136+0.25),"Check - checklist is longer than the service allows",IF(S136&gt;=3,"Check - often skipped","OK")))))</f>
        <v>0</v>
      </c>
    </row>
    <row r="137" spans="1:24">
      <c r="A137" s="43">
        <f>IF(F137="","","CHK-"&amp;TEXT(ROW()-4,"0000"))</f>
        <v>0</v>
      </c>
      <c r="O137" s="34">
        <f>IF(F137="","",ROUND(IF(H137="",0,H137)/60,2))</f>
        <v>0</v>
      </c>
      <c r="P137" s="34">
        <f>IF(B137="","",ROUND(SUMIFS($H$5:$H$404,$B$5:$B$404,B137,$M$5:$M$404,"Yes")/60,2))</f>
        <v>0</v>
      </c>
      <c r="Q137" s="34">
        <f>IF(B137="","",IFERROR(INDEX(Services!$G$5:$G$64,MATCH(B137,Services!$B$5:$B$64,0)),""))</f>
        <v>0</v>
      </c>
      <c r="R137" s="31">
        <f>IF(F137="","",COUNTIFS('Job Tasks'!$G$5:$G$904,F137,'Job Tasks'!$H$5:$H$904,"Done"))</f>
        <v>0</v>
      </c>
      <c r="S137" s="31">
        <f>IF(F137="","",COUNTIFS('Job Tasks'!$G$5:$G$904,F137,'Job Tasks'!$H$5:$H$904,"Skipped"))</f>
        <v>0</v>
      </c>
      <c r="T137" s="31">
        <f>IF(F137="","",COUNTIFS('Job Tasks'!$G$5:$G$904,F137,'Job Tasks'!$H$5:$H$904,"Issue found"))</f>
        <v>0</v>
      </c>
      <c r="U137" s="39">
        <f>IF(F137="","",IF(R137+S137=0,"New",IF(S137/(R137+S137)&gt;0.25,"Often skipped","Working")))</f>
        <v>0</v>
      </c>
      <c r="V137" s="31">
        <f>IF(OR(B137="",F137=""),"",COUNTIFS($B$5:B137,B137))</f>
        <v>0</v>
      </c>
      <c r="W137" s="23">
        <f>IF(V137="","",B137&amp;"|"&amp;V137)</f>
        <v>0</v>
      </c>
      <c r="X137" s="39">
        <f>IF(F137="","",IF(B137="","Add - which service?",IF(H137="","Add - how many minutes?",IF(AND(Q137&lt;&gt;"",P137&gt;Q137+0.25),"Check - checklist is longer than the service allows",IF(S137&gt;=3,"Check - often skipped","OK")))))</f>
        <v>0</v>
      </c>
    </row>
    <row r="138" spans="1:24">
      <c r="A138" s="43">
        <f>IF(F138="","","CHK-"&amp;TEXT(ROW()-4,"0000"))</f>
        <v>0</v>
      </c>
      <c r="O138" s="34">
        <f>IF(F138="","",ROUND(IF(H138="",0,H138)/60,2))</f>
        <v>0</v>
      </c>
      <c r="P138" s="34">
        <f>IF(B138="","",ROUND(SUMIFS($H$5:$H$404,$B$5:$B$404,B138,$M$5:$M$404,"Yes")/60,2))</f>
        <v>0</v>
      </c>
      <c r="Q138" s="34">
        <f>IF(B138="","",IFERROR(INDEX(Services!$G$5:$G$64,MATCH(B138,Services!$B$5:$B$64,0)),""))</f>
        <v>0</v>
      </c>
      <c r="R138" s="31">
        <f>IF(F138="","",COUNTIFS('Job Tasks'!$G$5:$G$904,F138,'Job Tasks'!$H$5:$H$904,"Done"))</f>
        <v>0</v>
      </c>
      <c r="S138" s="31">
        <f>IF(F138="","",COUNTIFS('Job Tasks'!$G$5:$G$904,F138,'Job Tasks'!$H$5:$H$904,"Skipped"))</f>
        <v>0</v>
      </c>
      <c r="T138" s="31">
        <f>IF(F138="","",COUNTIFS('Job Tasks'!$G$5:$G$904,F138,'Job Tasks'!$H$5:$H$904,"Issue found"))</f>
        <v>0</v>
      </c>
      <c r="U138" s="39">
        <f>IF(F138="","",IF(R138+S138=0,"New",IF(S138/(R138+S138)&gt;0.25,"Often skipped","Working")))</f>
        <v>0</v>
      </c>
      <c r="V138" s="31">
        <f>IF(OR(B138="",F138=""),"",COUNTIFS($B$5:B138,B138))</f>
        <v>0</v>
      </c>
      <c r="W138" s="23">
        <f>IF(V138="","",B138&amp;"|"&amp;V138)</f>
        <v>0</v>
      </c>
      <c r="X138" s="39">
        <f>IF(F138="","",IF(B138="","Add - which service?",IF(H138="","Add - how many minutes?",IF(AND(Q138&lt;&gt;"",P138&gt;Q138+0.25),"Check - checklist is longer than the service allows",IF(S138&gt;=3,"Check - often skipped","OK")))))</f>
        <v>0</v>
      </c>
    </row>
    <row r="139" spans="1:24">
      <c r="A139" s="43">
        <f>IF(F139="","","CHK-"&amp;TEXT(ROW()-4,"0000"))</f>
        <v>0</v>
      </c>
      <c r="O139" s="34">
        <f>IF(F139="","",ROUND(IF(H139="",0,H139)/60,2))</f>
        <v>0</v>
      </c>
      <c r="P139" s="34">
        <f>IF(B139="","",ROUND(SUMIFS($H$5:$H$404,$B$5:$B$404,B139,$M$5:$M$404,"Yes")/60,2))</f>
        <v>0</v>
      </c>
      <c r="Q139" s="34">
        <f>IF(B139="","",IFERROR(INDEX(Services!$G$5:$G$64,MATCH(B139,Services!$B$5:$B$64,0)),""))</f>
        <v>0</v>
      </c>
      <c r="R139" s="31">
        <f>IF(F139="","",COUNTIFS('Job Tasks'!$G$5:$G$904,F139,'Job Tasks'!$H$5:$H$904,"Done"))</f>
        <v>0</v>
      </c>
      <c r="S139" s="31">
        <f>IF(F139="","",COUNTIFS('Job Tasks'!$G$5:$G$904,F139,'Job Tasks'!$H$5:$H$904,"Skipped"))</f>
        <v>0</v>
      </c>
      <c r="T139" s="31">
        <f>IF(F139="","",COUNTIFS('Job Tasks'!$G$5:$G$904,F139,'Job Tasks'!$H$5:$H$904,"Issue found"))</f>
        <v>0</v>
      </c>
      <c r="U139" s="39">
        <f>IF(F139="","",IF(R139+S139=0,"New",IF(S139/(R139+S139)&gt;0.25,"Often skipped","Working")))</f>
        <v>0</v>
      </c>
      <c r="V139" s="31">
        <f>IF(OR(B139="",F139=""),"",COUNTIFS($B$5:B139,B139))</f>
        <v>0</v>
      </c>
      <c r="W139" s="23">
        <f>IF(V139="","",B139&amp;"|"&amp;V139)</f>
        <v>0</v>
      </c>
      <c r="X139" s="39">
        <f>IF(F139="","",IF(B139="","Add - which service?",IF(H139="","Add - how many minutes?",IF(AND(Q139&lt;&gt;"",P139&gt;Q139+0.25),"Check - checklist is longer than the service allows",IF(S139&gt;=3,"Check - often skipped","OK")))))</f>
        <v>0</v>
      </c>
    </row>
    <row r="140" spans="1:24">
      <c r="A140" s="43">
        <f>IF(F140="","","CHK-"&amp;TEXT(ROW()-4,"0000"))</f>
        <v>0</v>
      </c>
      <c r="O140" s="34">
        <f>IF(F140="","",ROUND(IF(H140="",0,H140)/60,2))</f>
        <v>0</v>
      </c>
      <c r="P140" s="34">
        <f>IF(B140="","",ROUND(SUMIFS($H$5:$H$404,$B$5:$B$404,B140,$M$5:$M$404,"Yes")/60,2))</f>
        <v>0</v>
      </c>
      <c r="Q140" s="34">
        <f>IF(B140="","",IFERROR(INDEX(Services!$G$5:$G$64,MATCH(B140,Services!$B$5:$B$64,0)),""))</f>
        <v>0</v>
      </c>
      <c r="R140" s="31">
        <f>IF(F140="","",COUNTIFS('Job Tasks'!$G$5:$G$904,F140,'Job Tasks'!$H$5:$H$904,"Done"))</f>
        <v>0</v>
      </c>
      <c r="S140" s="31">
        <f>IF(F140="","",COUNTIFS('Job Tasks'!$G$5:$G$904,F140,'Job Tasks'!$H$5:$H$904,"Skipped"))</f>
        <v>0</v>
      </c>
      <c r="T140" s="31">
        <f>IF(F140="","",COUNTIFS('Job Tasks'!$G$5:$G$904,F140,'Job Tasks'!$H$5:$H$904,"Issue found"))</f>
        <v>0</v>
      </c>
      <c r="U140" s="39">
        <f>IF(F140="","",IF(R140+S140=0,"New",IF(S140/(R140+S140)&gt;0.25,"Often skipped","Working")))</f>
        <v>0</v>
      </c>
      <c r="V140" s="31">
        <f>IF(OR(B140="",F140=""),"",COUNTIFS($B$5:B140,B140))</f>
        <v>0</v>
      </c>
      <c r="W140" s="23">
        <f>IF(V140="","",B140&amp;"|"&amp;V140)</f>
        <v>0</v>
      </c>
      <c r="X140" s="39">
        <f>IF(F140="","",IF(B140="","Add - which service?",IF(H140="","Add - how many minutes?",IF(AND(Q140&lt;&gt;"",P140&gt;Q140+0.25),"Check - checklist is longer than the service allows",IF(S140&gt;=3,"Check - often skipped","OK")))))</f>
        <v>0</v>
      </c>
    </row>
    <row r="141" spans="1:24">
      <c r="A141" s="43">
        <f>IF(F141="","","CHK-"&amp;TEXT(ROW()-4,"0000"))</f>
        <v>0</v>
      </c>
      <c r="O141" s="34">
        <f>IF(F141="","",ROUND(IF(H141="",0,H141)/60,2))</f>
        <v>0</v>
      </c>
      <c r="P141" s="34">
        <f>IF(B141="","",ROUND(SUMIFS($H$5:$H$404,$B$5:$B$404,B141,$M$5:$M$404,"Yes")/60,2))</f>
        <v>0</v>
      </c>
      <c r="Q141" s="34">
        <f>IF(B141="","",IFERROR(INDEX(Services!$G$5:$G$64,MATCH(B141,Services!$B$5:$B$64,0)),""))</f>
        <v>0</v>
      </c>
      <c r="R141" s="31">
        <f>IF(F141="","",COUNTIFS('Job Tasks'!$G$5:$G$904,F141,'Job Tasks'!$H$5:$H$904,"Done"))</f>
        <v>0</v>
      </c>
      <c r="S141" s="31">
        <f>IF(F141="","",COUNTIFS('Job Tasks'!$G$5:$G$904,F141,'Job Tasks'!$H$5:$H$904,"Skipped"))</f>
        <v>0</v>
      </c>
      <c r="T141" s="31">
        <f>IF(F141="","",COUNTIFS('Job Tasks'!$G$5:$G$904,F141,'Job Tasks'!$H$5:$H$904,"Issue found"))</f>
        <v>0</v>
      </c>
      <c r="U141" s="39">
        <f>IF(F141="","",IF(R141+S141=0,"New",IF(S141/(R141+S141)&gt;0.25,"Often skipped","Working")))</f>
        <v>0</v>
      </c>
      <c r="V141" s="31">
        <f>IF(OR(B141="",F141=""),"",COUNTIFS($B$5:B141,B141))</f>
        <v>0</v>
      </c>
      <c r="W141" s="23">
        <f>IF(V141="","",B141&amp;"|"&amp;V141)</f>
        <v>0</v>
      </c>
      <c r="X141" s="39">
        <f>IF(F141="","",IF(B141="","Add - which service?",IF(H141="","Add - how many minutes?",IF(AND(Q141&lt;&gt;"",P141&gt;Q141+0.25),"Check - checklist is longer than the service allows",IF(S141&gt;=3,"Check - often skipped","OK")))))</f>
        <v>0</v>
      </c>
    </row>
    <row r="142" spans="1:24">
      <c r="A142" s="43">
        <f>IF(F142="","","CHK-"&amp;TEXT(ROW()-4,"0000"))</f>
        <v>0</v>
      </c>
      <c r="O142" s="34">
        <f>IF(F142="","",ROUND(IF(H142="",0,H142)/60,2))</f>
        <v>0</v>
      </c>
      <c r="P142" s="34">
        <f>IF(B142="","",ROUND(SUMIFS($H$5:$H$404,$B$5:$B$404,B142,$M$5:$M$404,"Yes")/60,2))</f>
        <v>0</v>
      </c>
      <c r="Q142" s="34">
        <f>IF(B142="","",IFERROR(INDEX(Services!$G$5:$G$64,MATCH(B142,Services!$B$5:$B$64,0)),""))</f>
        <v>0</v>
      </c>
      <c r="R142" s="31">
        <f>IF(F142="","",COUNTIFS('Job Tasks'!$G$5:$G$904,F142,'Job Tasks'!$H$5:$H$904,"Done"))</f>
        <v>0</v>
      </c>
      <c r="S142" s="31">
        <f>IF(F142="","",COUNTIFS('Job Tasks'!$G$5:$G$904,F142,'Job Tasks'!$H$5:$H$904,"Skipped"))</f>
        <v>0</v>
      </c>
      <c r="T142" s="31">
        <f>IF(F142="","",COUNTIFS('Job Tasks'!$G$5:$G$904,F142,'Job Tasks'!$H$5:$H$904,"Issue found"))</f>
        <v>0</v>
      </c>
      <c r="U142" s="39">
        <f>IF(F142="","",IF(R142+S142=0,"New",IF(S142/(R142+S142)&gt;0.25,"Often skipped","Working")))</f>
        <v>0</v>
      </c>
      <c r="V142" s="31">
        <f>IF(OR(B142="",F142=""),"",COUNTIFS($B$5:B142,B142))</f>
        <v>0</v>
      </c>
      <c r="W142" s="23">
        <f>IF(V142="","",B142&amp;"|"&amp;V142)</f>
        <v>0</v>
      </c>
      <c r="X142" s="39">
        <f>IF(F142="","",IF(B142="","Add - which service?",IF(H142="","Add - how many minutes?",IF(AND(Q142&lt;&gt;"",P142&gt;Q142+0.25),"Check - checklist is longer than the service allows",IF(S142&gt;=3,"Check - often skipped","OK")))))</f>
        <v>0</v>
      </c>
    </row>
    <row r="143" spans="1:24">
      <c r="A143" s="43">
        <f>IF(F143="","","CHK-"&amp;TEXT(ROW()-4,"0000"))</f>
        <v>0</v>
      </c>
      <c r="O143" s="34">
        <f>IF(F143="","",ROUND(IF(H143="",0,H143)/60,2))</f>
        <v>0</v>
      </c>
      <c r="P143" s="34">
        <f>IF(B143="","",ROUND(SUMIFS($H$5:$H$404,$B$5:$B$404,B143,$M$5:$M$404,"Yes")/60,2))</f>
        <v>0</v>
      </c>
      <c r="Q143" s="34">
        <f>IF(B143="","",IFERROR(INDEX(Services!$G$5:$G$64,MATCH(B143,Services!$B$5:$B$64,0)),""))</f>
        <v>0</v>
      </c>
      <c r="R143" s="31">
        <f>IF(F143="","",COUNTIFS('Job Tasks'!$G$5:$G$904,F143,'Job Tasks'!$H$5:$H$904,"Done"))</f>
        <v>0</v>
      </c>
      <c r="S143" s="31">
        <f>IF(F143="","",COUNTIFS('Job Tasks'!$G$5:$G$904,F143,'Job Tasks'!$H$5:$H$904,"Skipped"))</f>
        <v>0</v>
      </c>
      <c r="T143" s="31">
        <f>IF(F143="","",COUNTIFS('Job Tasks'!$G$5:$G$904,F143,'Job Tasks'!$H$5:$H$904,"Issue found"))</f>
        <v>0</v>
      </c>
      <c r="U143" s="39">
        <f>IF(F143="","",IF(R143+S143=0,"New",IF(S143/(R143+S143)&gt;0.25,"Often skipped","Working")))</f>
        <v>0</v>
      </c>
      <c r="V143" s="31">
        <f>IF(OR(B143="",F143=""),"",COUNTIFS($B$5:B143,B143))</f>
        <v>0</v>
      </c>
      <c r="W143" s="23">
        <f>IF(V143="","",B143&amp;"|"&amp;V143)</f>
        <v>0</v>
      </c>
      <c r="X143" s="39">
        <f>IF(F143="","",IF(B143="","Add - which service?",IF(H143="","Add - how many minutes?",IF(AND(Q143&lt;&gt;"",P143&gt;Q143+0.25),"Check - checklist is longer than the service allows",IF(S143&gt;=3,"Check - often skipped","OK")))))</f>
        <v>0</v>
      </c>
    </row>
    <row r="144" spans="1:24">
      <c r="A144" s="43">
        <f>IF(F144="","","CHK-"&amp;TEXT(ROW()-4,"0000"))</f>
        <v>0</v>
      </c>
      <c r="O144" s="34">
        <f>IF(F144="","",ROUND(IF(H144="",0,H144)/60,2))</f>
        <v>0</v>
      </c>
      <c r="P144" s="34">
        <f>IF(B144="","",ROUND(SUMIFS($H$5:$H$404,$B$5:$B$404,B144,$M$5:$M$404,"Yes")/60,2))</f>
        <v>0</v>
      </c>
      <c r="Q144" s="34">
        <f>IF(B144="","",IFERROR(INDEX(Services!$G$5:$G$64,MATCH(B144,Services!$B$5:$B$64,0)),""))</f>
        <v>0</v>
      </c>
      <c r="R144" s="31">
        <f>IF(F144="","",COUNTIFS('Job Tasks'!$G$5:$G$904,F144,'Job Tasks'!$H$5:$H$904,"Done"))</f>
        <v>0</v>
      </c>
      <c r="S144" s="31">
        <f>IF(F144="","",COUNTIFS('Job Tasks'!$G$5:$G$904,F144,'Job Tasks'!$H$5:$H$904,"Skipped"))</f>
        <v>0</v>
      </c>
      <c r="T144" s="31">
        <f>IF(F144="","",COUNTIFS('Job Tasks'!$G$5:$G$904,F144,'Job Tasks'!$H$5:$H$904,"Issue found"))</f>
        <v>0</v>
      </c>
      <c r="U144" s="39">
        <f>IF(F144="","",IF(R144+S144=0,"New",IF(S144/(R144+S144)&gt;0.25,"Often skipped","Working")))</f>
        <v>0</v>
      </c>
      <c r="V144" s="31">
        <f>IF(OR(B144="",F144=""),"",COUNTIFS($B$5:B144,B144))</f>
        <v>0</v>
      </c>
      <c r="W144" s="23">
        <f>IF(V144="","",B144&amp;"|"&amp;V144)</f>
        <v>0</v>
      </c>
      <c r="X144" s="39">
        <f>IF(F144="","",IF(B144="","Add - which service?",IF(H144="","Add - how many minutes?",IF(AND(Q144&lt;&gt;"",P144&gt;Q144+0.25),"Check - checklist is longer than the service allows",IF(S144&gt;=3,"Check - often skipped","OK")))))</f>
        <v>0</v>
      </c>
    </row>
    <row r="145" spans="1:24">
      <c r="A145" s="43">
        <f>IF(F145="","","CHK-"&amp;TEXT(ROW()-4,"0000"))</f>
        <v>0</v>
      </c>
      <c r="O145" s="34">
        <f>IF(F145="","",ROUND(IF(H145="",0,H145)/60,2))</f>
        <v>0</v>
      </c>
      <c r="P145" s="34">
        <f>IF(B145="","",ROUND(SUMIFS($H$5:$H$404,$B$5:$B$404,B145,$M$5:$M$404,"Yes")/60,2))</f>
        <v>0</v>
      </c>
      <c r="Q145" s="34">
        <f>IF(B145="","",IFERROR(INDEX(Services!$G$5:$G$64,MATCH(B145,Services!$B$5:$B$64,0)),""))</f>
        <v>0</v>
      </c>
      <c r="R145" s="31">
        <f>IF(F145="","",COUNTIFS('Job Tasks'!$G$5:$G$904,F145,'Job Tasks'!$H$5:$H$904,"Done"))</f>
        <v>0</v>
      </c>
      <c r="S145" s="31">
        <f>IF(F145="","",COUNTIFS('Job Tasks'!$G$5:$G$904,F145,'Job Tasks'!$H$5:$H$904,"Skipped"))</f>
        <v>0</v>
      </c>
      <c r="T145" s="31">
        <f>IF(F145="","",COUNTIFS('Job Tasks'!$G$5:$G$904,F145,'Job Tasks'!$H$5:$H$904,"Issue found"))</f>
        <v>0</v>
      </c>
      <c r="U145" s="39">
        <f>IF(F145="","",IF(R145+S145=0,"New",IF(S145/(R145+S145)&gt;0.25,"Often skipped","Working")))</f>
        <v>0</v>
      </c>
      <c r="V145" s="31">
        <f>IF(OR(B145="",F145=""),"",COUNTIFS($B$5:B145,B145))</f>
        <v>0</v>
      </c>
      <c r="W145" s="23">
        <f>IF(V145="","",B145&amp;"|"&amp;V145)</f>
        <v>0</v>
      </c>
      <c r="X145" s="39">
        <f>IF(F145="","",IF(B145="","Add - which service?",IF(H145="","Add - how many minutes?",IF(AND(Q145&lt;&gt;"",P145&gt;Q145+0.25),"Check - checklist is longer than the service allows",IF(S145&gt;=3,"Check - often skipped","OK")))))</f>
        <v>0</v>
      </c>
    </row>
    <row r="146" spans="1:24">
      <c r="A146" s="43">
        <f>IF(F146="","","CHK-"&amp;TEXT(ROW()-4,"0000"))</f>
        <v>0</v>
      </c>
      <c r="O146" s="34">
        <f>IF(F146="","",ROUND(IF(H146="",0,H146)/60,2))</f>
        <v>0</v>
      </c>
      <c r="P146" s="34">
        <f>IF(B146="","",ROUND(SUMIFS($H$5:$H$404,$B$5:$B$404,B146,$M$5:$M$404,"Yes")/60,2))</f>
        <v>0</v>
      </c>
      <c r="Q146" s="34">
        <f>IF(B146="","",IFERROR(INDEX(Services!$G$5:$G$64,MATCH(B146,Services!$B$5:$B$64,0)),""))</f>
        <v>0</v>
      </c>
      <c r="R146" s="31">
        <f>IF(F146="","",COUNTIFS('Job Tasks'!$G$5:$G$904,F146,'Job Tasks'!$H$5:$H$904,"Done"))</f>
        <v>0</v>
      </c>
      <c r="S146" s="31">
        <f>IF(F146="","",COUNTIFS('Job Tasks'!$G$5:$G$904,F146,'Job Tasks'!$H$5:$H$904,"Skipped"))</f>
        <v>0</v>
      </c>
      <c r="T146" s="31">
        <f>IF(F146="","",COUNTIFS('Job Tasks'!$G$5:$G$904,F146,'Job Tasks'!$H$5:$H$904,"Issue found"))</f>
        <v>0</v>
      </c>
      <c r="U146" s="39">
        <f>IF(F146="","",IF(R146+S146=0,"New",IF(S146/(R146+S146)&gt;0.25,"Often skipped","Working")))</f>
        <v>0</v>
      </c>
      <c r="V146" s="31">
        <f>IF(OR(B146="",F146=""),"",COUNTIFS($B$5:B146,B146))</f>
        <v>0</v>
      </c>
      <c r="W146" s="23">
        <f>IF(V146="","",B146&amp;"|"&amp;V146)</f>
        <v>0</v>
      </c>
      <c r="X146" s="39">
        <f>IF(F146="","",IF(B146="","Add - which service?",IF(H146="","Add - how many minutes?",IF(AND(Q146&lt;&gt;"",P146&gt;Q146+0.25),"Check - checklist is longer than the service allows",IF(S146&gt;=3,"Check - often skipped","OK")))))</f>
        <v>0</v>
      </c>
    </row>
    <row r="147" spans="1:24">
      <c r="A147" s="43">
        <f>IF(F147="","","CHK-"&amp;TEXT(ROW()-4,"0000"))</f>
        <v>0</v>
      </c>
      <c r="O147" s="34">
        <f>IF(F147="","",ROUND(IF(H147="",0,H147)/60,2))</f>
        <v>0</v>
      </c>
      <c r="P147" s="34">
        <f>IF(B147="","",ROUND(SUMIFS($H$5:$H$404,$B$5:$B$404,B147,$M$5:$M$404,"Yes")/60,2))</f>
        <v>0</v>
      </c>
      <c r="Q147" s="34">
        <f>IF(B147="","",IFERROR(INDEX(Services!$G$5:$G$64,MATCH(B147,Services!$B$5:$B$64,0)),""))</f>
        <v>0</v>
      </c>
      <c r="R147" s="31">
        <f>IF(F147="","",COUNTIFS('Job Tasks'!$G$5:$G$904,F147,'Job Tasks'!$H$5:$H$904,"Done"))</f>
        <v>0</v>
      </c>
      <c r="S147" s="31">
        <f>IF(F147="","",COUNTIFS('Job Tasks'!$G$5:$G$904,F147,'Job Tasks'!$H$5:$H$904,"Skipped"))</f>
        <v>0</v>
      </c>
      <c r="T147" s="31">
        <f>IF(F147="","",COUNTIFS('Job Tasks'!$G$5:$G$904,F147,'Job Tasks'!$H$5:$H$904,"Issue found"))</f>
        <v>0</v>
      </c>
      <c r="U147" s="39">
        <f>IF(F147="","",IF(R147+S147=0,"New",IF(S147/(R147+S147)&gt;0.25,"Often skipped","Working")))</f>
        <v>0</v>
      </c>
      <c r="V147" s="31">
        <f>IF(OR(B147="",F147=""),"",COUNTIFS($B$5:B147,B147))</f>
        <v>0</v>
      </c>
      <c r="W147" s="23">
        <f>IF(V147="","",B147&amp;"|"&amp;V147)</f>
        <v>0</v>
      </c>
      <c r="X147" s="39">
        <f>IF(F147="","",IF(B147="","Add - which service?",IF(H147="","Add - how many minutes?",IF(AND(Q147&lt;&gt;"",P147&gt;Q147+0.25),"Check - checklist is longer than the service allows",IF(S147&gt;=3,"Check - often skipped","OK")))))</f>
        <v>0</v>
      </c>
    </row>
    <row r="148" spans="1:24">
      <c r="A148" s="43">
        <f>IF(F148="","","CHK-"&amp;TEXT(ROW()-4,"0000"))</f>
        <v>0</v>
      </c>
      <c r="O148" s="34">
        <f>IF(F148="","",ROUND(IF(H148="",0,H148)/60,2))</f>
        <v>0</v>
      </c>
      <c r="P148" s="34">
        <f>IF(B148="","",ROUND(SUMIFS($H$5:$H$404,$B$5:$B$404,B148,$M$5:$M$404,"Yes")/60,2))</f>
        <v>0</v>
      </c>
      <c r="Q148" s="34">
        <f>IF(B148="","",IFERROR(INDEX(Services!$G$5:$G$64,MATCH(B148,Services!$B$5:$B$64,0)),""))</f>
        <v>0</v>
      </c>
      <c r="R148" s="31">
        <f>IF(F148="","",COUNTIFS('Job Tasks'!$G$5:$G$904,F148,'Job Tasks'!$H$5:$H$904,"Done"))</f>
        <v>0</v>
      </c>
      <c r="S148" s="31">
        <f>IF(F148="","",COUNTIFS('Job Tasks'!$G$5:$G$904,F148,'Job Tasks'!$H$5:$H$904,"Skipped"))</f>
        <v>0</v>
      </c>
      <c r="T148" s="31">
        <f>IF(F148="","",COUNTIFS('Job Tasks'!$G$5:$G$904,F148,'Job Tasks'!$H$5:$H$904,"Issue found"))</f>
        <v>0</v>
      </c>
      <c r="U148" s="39">
        <f>IF(F148="","",IF(R148+S148=0,"New",IF(S148/(R148+S148)&gt;0.25,"Often skipped","Working")))</f>
        <v>0</v>
      </c>
      <c r="V148" s="31">
        <f>IF(OR(B148="",F148=""),"",COUNTIFS($B$5:B148,B148))</f>
        <v>0</v>
      </c>
      <c r="W148" s="23">
        <f>IF(V148="","",B148&amp;"|"&amp;V148)</f>
        <v>0</v>
      </c>
      <c r="X148" s="39">
        <f>IF(F148="","",IF(B148="","Add - which service?",IF(H148="","Add - how many minutes?",IF(AND(Q148&lt;&gt;"",P148&gt;Q148+0.25),"Check - checklist is longer than the service allows",IF(S148&gt;=3,"Check - often skipped","OK")))))</f>
        <v>0</v>
      </c>
    </row>
    <row r="149" spans="1:24">
      <c r="A149" s="43">
        <f>IF(F149="","","CHK-"&amp;TEXT(ROW()-4,"0000"))</f>
        <v>0</v>
      </c>
      <c r="O149" s="34">
        <f>IF(F149="","",ROUND(IF(H149="",0,H149)/60,2))</f>
        <v>0</v>
      </c>
      <c r="P149" s="34">
        <f>IF(B149="","",ROUND(SUMIFS($H$5:$H$404,$B$5:$B$404,B149,$M$5:$M$404,"Yes")/60,2))</f>
        <v>0</v>
      </c>
      <c r="Q149" s="34">
        <f>IF(B149="","",IFERROR(INDEX(Services!$G$5:$G$64,MATCH(B149,Services!$B$5:$B$64,0)),""))</f>
        <v>0</v>
      </c>
      <c r="R149" s="31">
        <f>IF(F149="","",COUNTIFS('Job Tasks'!$G$5:$G$904,F149,'Job Tasks'!$H$5:$H$904,"Done"))</f>
        <v>0</v>
      </c>
      <c r="S149" s="31">
        <f>IF(F149="","",COUNTIFS('Job Tasks'!$G$5:$G$904,F149,'Job Tasks'!$H$5:$H$904,"Skipped"))</f>
        <v>0</v>
      </c>
      <c r="T149" s="31">
        <f>IF(F149="","",COUNTIFS('Job Tasks'!$G$5:$G$904,F149,'Job Tasks'!$H$5:$H$904,"Issue found"))</f>
        <v>0</v>
      </c>
      <c r="U149" s="39">
        <f>IF(F149="","",IF(R149+S149=0,"New",IF(S149/(R149+S149)&gt;0.25,"Often skipped","Working")))</f>
        <v>0</v>
      </c>
      <c r="V149" s="31">
        <f>IF(OR(B149="",F149=""),"",COUNTIFS($B$5:B149,B149))</f>
        <v>0</v>
      </c>
      <c r="W149" s="23">
        <f>IF(V149="","",B149&amp;"|"&amp;V149)</f>
        <v>0</v>
      </c>
      <c r="X149" s="39">
        <f>IF(F149="","",IF(B149="","Add - which service?",IF(H149="","Add - how many minutes?",IF(AND(Q149&lt;&gt;"",P149&gt;Q149+0.25),"Check - checklist is longer than the service allows",IF(S149&gt;=3,"Check - often skipped","OK")))))</f>
        <v>0</v>
      </c>
    </row>
    <row r="150" spans="1:24">
      <c r="A150" s="43">
        <f>IF(F150="","","CHK-"&amp;TEXT(ROW()-4,"0000"))</f>
        <v>0</v>
      </c>
      <c r="O150" s="34">
        <f>IF(F150="","",ROUND(IF(H150="",0,H150)/60,2))</f>
        <v>0</v>
      </c>
      <c r="P150" s="34">
        <f>IF(B150="","",ROUND(SUMIFS($H$5:$H$404,$B$5:$B$404,B150,$M$5:$M$404,"Yes")/60,2))</f>
        <v>0</v>
      </c>
      <c r="Q150" s="34">
        <f>IF(B150="","",IFERROR(INDEX(Services!$G$5:$G$64,MATCH(B150,Services!$B$5:$B$64,0)),""))</f>
        <v>0</v>
      </c>
      <c r="R150" s="31">
        <f>IF(F150="","",COUNTIFS('Job Tasks'!$G$5:$G$904,F150,'Job Tasks'!$H$5:$H$904,"Done"))</f>
        <v>0</v>
      </c>
      <c r="S150" s="31">
        <f>IF(F150="","",COUNTIFS('Job Tasks'!$G$5:$G$904,F150,'Job Tasks'!$H$5:$H$904,"Skipped"))</f>
        <v>0</v>
      </c>
      <c r="T150" s="31">
        <f>IF(F150="","",COUNTIFS('Job Tasks'!$G$5:$G$904,F150,'Job Tasks'!$H$5:$H$904,"Issue found"))</f>
        <v>0</v>
      </c>
      <c r="U150" s="39">
        <f>IF(F150="","",IF(R150+S150=0,"New",IF(S150/(R150+S150)&gt;0.25,"Often skipped","Working")))</f>
        <v>0</v>
      </c>
      <c r="V150" s="31">
        <f>IF(OR(B150="",F150=""),"",COUNTIFS($B$5:B150,B150))</f>
        <v>0</v>
      </c>
      <c r="W150" s="23">
        <f>IF(V150="","",B150&amp;"|"&amp;V150)</f>
        <v>0</v>
      </c>
      <c r="X150" s="39">
        <f>IF(F150="","",IF(B150="","Add - which service?",IF(H150="","Add - how many minutes?",IF(AND(Q150&lt;&gt;"",P150&gt;Q150+0.25),"Check - checklist is longer than the service allows",IF(S150&gt;=3,"Check - often skipped","OK")))))</f>
        <v>0</v>
      </c>
    </row>
    <row r="151" spans="1:24">
      <c r="A151" s="43">
        <f>IF(F151="","","CHK-"&amp;TEXT(ROW()-4,"0000"))</f>
        <v>0</v>
      </c>
      <c r="O151" s="34">
        <f>IF(F151="","",ROUND(IF(H151="",0,H151)/60,2))</f>
        <v>0</v>
      </c>
      <c r="P151" s="34">
        <f>IF(B151="","",ROUND(SUMIFS($H$5:$H$404,$B$5:$B$404,B151,$M$5:$M$404,"Yes")/60,2))</f>
        <v>0</v>
      </c>
      <c r="Q151" s="34">
        <f>IF(B151="","",IFERROR(INDEX(Services!$G$5:$G$64,MATCH(B151,Services!$B$5:$B$64,0)),""))</f>
        <v>0</v>
      </c>
      <c r="R151" s="31">
        <f>IF(F151="","",COUNTIFS('Job Tasks'!$G$5:$G$904,F151,'Job Tasks'!$H$5:$H$904,"Done"))</f>
        <v>0</v>
      </c>
      <c r="S151" s="31">
        <f>IF(F151="","",COUNTIFS('Job Tasks'!$G$5:$G$904,F151,'Job Tasks'!$H$5:$H$904,"Skipped"))</f>
        <v>0</v>
      </c>
      <c r="T151" s="31">
        <f>IF(F151="","",COUNTIFS('Job Tasks'!$G$5:$G$904,F151,'Job Tasks'!$H$5:$H$904,"Issue found"))</f>
        <v>0</v>
      </c>
      <c r="U151" s="39">
        <f>IF(F151="","",IF(R151+S151=0,"New",IF(S151/(R151+S151)&gt;0.25,"Often skipped","Working")))</f>
        <v>0</v>
      </c>
      <c r="V151" s="31">
        <f>IF(OR(B151="",F151=""),"",COUNTIFS($B$5:B151,B151))</f>
        <v>0</v>
      </c>
      <c r="W151" s="23">
        <f>IF(V151="","",B151&amp;"|"&amp;V151)</f>
        <v>0</v>
      </c>
      <c r="X151" s="39">
        <f>IF(F151="","",IF(B151="","Add - which service?",IF(H151="","Add - how many minutes?",IF(AND(Q151&lt;&gt;"",P151&gt;Q151+0.25),"Check - checklist is longer than the service allows",IF(S151&gt;=3,"Check - often skipped","OK")))))</f>
        <v>0</v>
      </c>
    </row>
    <row r="152" spans="1:24">
      <c r="A152" s="43">
        <f>IF(F152="","","CHK-"&amp;TEXT(ROW()-4,"0000"))</f>
        <v>0</v>
      </c>
      <c r="O152" s="34">
        <f>IF(F152="","",ROUND(IF(H152="",0,H152)/60,2))</f>
        <v>0</v>
      </c>
      <c r="P152" s="34">
        <f>IF(B152="","",ROUND(SUMIFS($H$5:$H$404,$B$5:$B$404,B152,$M$5:$M$404,"Yes")/60,2))</f>
        <v>0</v>
      </c>
      <c r="Q152" s="34">
        <f>IF(B152="","",IFERROR(INDEX(Services!$G$5:$G$64,MATCH(B152,Services!$B$5:$B$64,0)),""))</f>
        <v>0</v>
      </c>
      <c r="R152" s="31">
        <f>IF(F152="","",COUNTIFS('Job Tasks'!$G$5:$G$904,F152,'Job Tasks'!$H$5:$H$904,"Done"))</f>
        <v>0</v>
      </c>
      <c r="S152" s="31">
        <f>IF(F152="","",COUNTIFS('Job Tasks'!$G$5:$G$904,F152,'Job Tasks'!$H$5:$H$904,"Skipped"))</f>
        <v>0</v>
      </c>
      <c r="T152" s="31">
        <f>IF(F152="","",COUNTIFS('Job Tasks'!$G$5:$G$904,F152,'Job Tasks'!$H$5:$H$904,"Issue found"))</f>
        <v>0</v>
      </c>
      <c r="U152" s="39">
        <f>IF(F152="","",IF(R152+S152=0,"New",IF(S152/(R152+S152)&gt;0.25,"Often skipped","Working")))</f>
        <v>0</v>
      </c>
      <c r="V152" s="31">
        <f>IF(OR(B152="",F152=""),"",COUNTIFS($B$5:B152,B152))</f>
        <v>0</v>
      </c>
      <c r="W152" s="23">
        <f>IF(V152="","",B152&amp;"|"&amp;V152)</f>
        <v>0</v>
      </c>
      <c r="X152" s="39">
        <f>IF(F152="","",IF(B152="","Add - which service?",IF(H152="","Add - how many minutes?",IF(AND(Q152&lt;&gt;"",P152&gt;Q152+0.25),"Check - checklist is longer than the service allows",IF(S152&gt;=3,"Check - often skipped","OK")))))</f>
        <v>0</v>
      </c>
    </row>
    <row r="153" spans="1:24">
      <c r="A153" s="43">
        <f>IF(F153="","","CHK-"&amp;TEXT(ROW()-4,"0000"))</f>
        <v>0</v>
      </c>
      <c r="O153" s="34">
        <f>IF(F153="","",ROUND(IF(H153="",0,H153)/60,2))</f>
        <v>0</v>
      </c>
      <c r="P153" s="34">
        <f>IF(B153="","",ROUND(SUMIFS($H$5:$H$404,$B$5:$B$404,B153,$M$5:$M$404,"Yes")/60,2))</f>
        <v>0</v>
      </c>
      <c r="Q153" s="34">
        <f>IF(B153="","",IFERROR(INDEX(Services!$G$5:$G$64,MATCH(B153,Services!$B$5:$B$64,0)),""))</f>
        <v>0</v>
      </c>
      <c r="R153" s="31">
        <f>IF(F153="","",COUNTIFS('Job Tasks'!$G$5:$G$904,F153,'Job Tasks'!$H$5:$H$904,"Done"))</f>
        <v>0</v>
      </c>
      <c r="S153" s="31">
        <f>IF(F153="","",COUNTIFS('Job Tasks'!$G$5:$G$904,F153,'Job Tasks'!$H$5:$H$904,"Skipped"))</f>
        <v>0</v>
      </c>
      <c r="T153" s="31">
        <f>IF(F153="","",COUNTIFS('Job Tasks'!$G$5:$G$904,F153,'Job Tasks'!$H$5:$H$904,"Issue found"))</f>
        <v>0</v>
      </c>
      <c r="U153" s="39">
        <f>IF(F153="","",IF(R153+S153=0,"New",IF(S153/(R153+S153)&gt;0.25,"Often skipped","Working")))</f>
        <v>0</v>
      </c>
      <c r="V153" s="31">
        <f>IF(OR(B153="",F153=""),"",COUNTIFS($B$5:B153,B153))</f>
        <v>0</v>
      </c>
      <c r="W153" s="23">
        <f>IF(V153="","",B153&amp;"|"&amp;V153)</f>
        <v>0</v>
      </c>
      <c r="X153" s="39">
        <f>IF(F153="","",IF(B153="","Add - which service?",IF(H153="","Add - how many minutes?",IF(AND(Q153&lt;&gt;"",P153&gt;Q153+0.25),"Check - checklist is longer than the service allows",IF(S153&gt;=3,"Check - often skipped","OK")))))</f>
        <v>0</v>
      </c>
    </row>
    <row r="154" spans="1:24">
      <c r="A154" s="43">
        <f>IF(F154="","","CHK-"&amp;TEXT(ROW()-4,"0000"))</f>
        <v>0</v>
      </c>
      <c r="O154" s="34">
        <f>IF(F154="","",ROUND(IF(H154="",0,H154)/60,2))</f>
        <v>0</v>
      </c>
      <c r="P154" s="34">
        <f>IF(B154="","",ROUND(SUMIFS($H$5:$H$404,$B$5:$B$404,B154,$M$5:$M$404,"Yes")/60,2))</f>
        <v>0</v>
      </c>
      <c r="Q154" s="34">
        <f>IF(B154="","",IFERROR(INDEX(Services!$G$5:$G$64,MATCH(B154,Services!$B$5:$B$64,0)),""))</f>
        <v>0</v>
      </c>
      <c r="R154" s="31">
        <f>IF(F154="","",COUNTIFS('Job Tasks'!$G$5:$G$904,F154,'Job Tasks'!$H$5:$H$904,"Done"))</f>
        <v>0</v>
      </c>
      <c r="S154" s="31">
        <f>IF(F154="","",COUNTIFS('Job Tasks'!$G$5:$G$904,F154,'Job Tasks'!$H$5:$H$904,"Skipped"))</f>
        <v>0</v>
      </c>
      <c r="T154" s="31">
        <f>IF(F154="","",COUNTIFS('Job Tasks'!$G$5:$G$904,F154,'Job Tasks'!$H$5:$H$904,"Issue found"))</f>
        <v>0</v>
      </c>
      <c r="U154" s="39">
        <f>IF(F154="","",IF(R154+S154=0,"New",IF(S154/(R154+S154)&gt;0.25,"Often skipped","Working")))</f>
        <v>0</v>
      </c>
      <c r="V154" s="31">
        <f>IF(OR(B154="",F154=""),"",COUNTIFS($B$5:B154,B154))</f>
        <v>0</v>
      </c>
      <c r="W154" s="23">
        <f>IF(V154="","",B154&amp;"|"&amp;V154)</f>
        <v>0</v>
      </c>
      <c r="X154" s="39">
        <f>IF(F154="","",IF(B154="","Add - which service?",IF(H154="","Add - how many minutes?",IF(AND(Q154&lt;&gt;"",P154&gt;Q154+0.25),"Check - checklist is longer than the service allows",IF(S154&gt;=3,"Check - often skipped","OK")))))</f>
        <v>0</v>
      </c>
    </row>
    <row r="155" spans="1:24">
      <c r="A155" s="43">
        <f>IF(F155="","","CHK-"&amp;TEXT(ROW()-4,"0000"))</f>
        <v>0</v>
      </c>
      <c r="O155" s="34">
        <f>IF(F155="","",ROUND(IF(H155="",0,H155)/60,2))</f>
        <v>0</v>
      </c>
      <c r="P155" s="34">
        <f>IF(B155="","",ROUND(SUMIFS($H$5:$H$404,$B$5:$B$404,B155,$M$5:$M$404,"Yes")/60,2))</f>
        <v>0</v>
      </c>
      <c r="Q155" s="34">
        <f>IF(B155="","",IFERROR(INDEX(Services!$G$5:$G$64,MATCH(B155,Services!$B$5:$B$64,0)),""))</f>
        <v>0</v>
      </c>
      <c r="R155" s="31">
        <f>IF(F155="","",COUNTIFS('Job Tasks'!$G$5:$G$904,F155,'Job Tasks'!$H$5:$H$904,"Done"))</f>
        <v>0</v>
      </c>
      <c r="S155" s="31">
        <f>IF(F155="","",COUNTIFS('Job Tasks'!$G$5:$G$904,F155,'Job Tasks'!$H$5:$H$904,"Skipped"))</f>
        <v>0</v>
      </c>
      <c r="T155" s="31">
        <f>IF(F155="","",COUNTIFS('Job Tasks'!$G$5:$G$904,F155,'Job Tasks'!$H$5:$H$904,"Issue found"))</f>
        <v>0</v>
      </c>
      <c r="U155" s="39">
        <f>IF(F155="","",IF(R155+S155=0,"New",IF(S155/(R155+S155)&gt;0.25,"Often skipped","Working")))</f>
        <v>0</v>
      </c>
      <c r="V155" s="31">
        <f>IF(OR(B155="",F155=""),"",COUNTIFS($B$5:B155,B155))</f>
        <v>0</v>
      </c>
      <c r="W155" s="23">
        <f>IF(V155="","",B155&amp;"|"&amp;V155)</f>
        <v>0</v>
      </c>
      <c r="X155" s="39">
        <f>IF(F155="","",IF(B155="","Add - which service?",IF(H155="","Add - how many minutes?",IF(AND(Q155&lt;&gt;"",P155&gt;Q155+0.25),"Check - checklist is longer than the service allows",IF(S155&gt;=3,"Check - often skipped","OK")))))</f>
        <v>0</v>
      </c>
    </row>
    <row r="156" spans="1:24">
      <c r="A156" s="43">
        <f>IF(F156="","","CHK-"&amp;TEXT(ROW()-4,"0000"))</f>
        <v>0</v>
      </c>
      <c r="O156" s="34">
        <f>IF(F156="","",ROUND(IF(H156="",0,H156)/60,2))</f>
        <v>0</v>
      </c>
      <c r="P156" s="34">
        <f>IF(B156="","",ROUND(SUMIFS($H$5:$H$404,$B$5:$B$404,B156,$M$5:$M$404,"Yes")/60,2))</f>
        <v>0</v>
      </c>
      <c r="Q156" s="34">
        <f>IF(B156="","",IFERROR(INDEX(Services!$G$5:$G$64,MATCH(B156,Services!$B$5:$B$64,0)),""))</f>
        <v>0</v>
      </c>
      <c r="R156" s="31">
        <f>IF(F156="","",COUNTIFS('Job Tasks'!$G$5:$G$904,F156,'Job Tasks'!$H$5:$H$904,"Done"))</f>
        <v>0</v>
      </c>
      <c r="S156" s="31">
        <f>IF(F156="","",COUNTIFS('Job Tasks'!$G$5:$G$904,F156,'Job Tasks'!$H$5:$H$904,"Skipped"))</f>
        <v>0</v>
      </c>
      <c r="T156" s="31">
        <f>IF(F156="","",COUNTIFS('Job Tasks'!$G$5:$G$904,F156,'Job Tasks'!$H$5:$H$904,"Issue found"))</f>
        <v>0</v>
      </c>
      <c r="U156" s="39">
        <f>IF(F156="","",IF(R156+S156=0,"New",IF(S156/(R156+S156)&gt;0.25,"Often skipped","Working")))</f>
        <v>0</v>
      </c>
      <c r="V156" s="31">
        <f>IF(OR(B156="",F156=""),"",COUNTIFS($B$5:B156,B156))</f>
        <v>0</v>
      </c>
      <c r="W156" s="23">
        <f>IF(V156="","",B156&amp;"|"&amp;V156)</f>
        <v>0</v>
      </c>
      <c r="X156" s="39">
        <f>IF(F156="","",IF(B156="","Add - which service?",IF(H156="","Add - how many minutes?",IF(AND(Q156&lt;&gt;"",P156&gt;Q156+0.25),"Check - checklist is longer than the service allows",IF(S156&gt;=3,"Check - often skipped","OK")))))</f>
        <v>0</v>
      </c>
    </row>
    <row r="157" spans="1:24">
      <c r="A157" s="43">
        <f>IF(F157="","","CHK-"&amp;TEXT(ROW()-4,"0000"))</f>
        <v>0</v>
      </c>
      <c r="O157" s="34">
        <f>IF(F157="","",ROUND(IF(H157="",0,H157)/60,2))</f>
        <v>0</v>
      </c>
      <c r="P157" s="34">
        <f>IF(B157="","",ROUND(SUMIFS($H$5:$H$404,$B$5:$B$404,B157,$M$5:$M$404,"Yes")/60,2))</f>
        <v>0</v>
      </c>
      <c r="Q157" s="34">
        <f>IF(B157="","",IFERROR(INDEX(Services!$G$5:$G$64,MATCH(B157,Services!$B$5:$B$64,0)),""))</f>
        <v>0</v>
      </c>
      <c r="R157" s="31">
        <f>IF(F157="","",COUNTIFS('Job Tasks'!$G$5:$G$904,F157,'Job Tasks'!$H$5:$H$904,"Done"))</f>
        <v>0</v>
      </c>
      <c r="S157" s="31">
        <f>IF(F157="","",COUNTIFS('Job Tasks'!$G$5:$G$904,F157,'Job Tasks'!$H$5:$H$904,"Skipped"))</f>
        <v>0</v>
      </c>
      <c r="T157" s="31">
        <f>IF(F157="","",COUNTIFS('Job Tasks'!$G$5:$G$904,F157,'Job Tasks'!$H$5:$H$904,"Issue found"))</f>
        <v>0</v>
      </c>
      <c r="U157" s="39">
        <f>IF(F157="","",IF(R157+S157=0,"New",IF(S157/(R157+S157)&gt;0.25,"Often skipped","Working")))</f>
        <v>0</v>
      </c>
      <c r="V157" s="31">
        <f>IF(OR(B157="",F157=""),"",COUNTIFS($B$5:B157,B157))</f>
        <v>0</v>
      </c>
      <c r="W157" s="23">
        <f>IF(V157="","",B157&amp;"|"&amp;V157)</f>
        <v>0</v>
      </c>
      <c r="X157" s="39">
        <f>IF(F157="","",IF(B157="","Add - which service?",IF(H157="","Add - how many minutes?",IF(AND(Q157&lt;&gt;"",P157&gt;Q157+0.25),"Check - checklist is longer than the service allows",IF(S157&gt;=3,"Check - often skipped","OK")))))</f>
        <v>0</v>
      </c>
    </row>
    <row r="158" spans="1:24">
      <c r="A158" s="43">
        <f>IF(F158="","","CHK-"&amp;TEXT(ROW()-4,"0000"))</f>
        <v>0</v>
      </c>
      <c r="O158" s="34">
        <f>IF(F158="","",ROUND(IF(H158="",0,H158)/60,2))</f>
        <v>0</v>
      </c>
      <c r="P158" s="34">
        <f>IF(B158="","",ROUND(SUMIFS($H$5:$H$404,$B$5:$B$404,B158,$M$5:$M$404,"Yes")/60,2))</f>
        <v>0</v>
      </c>
      <c r="Q158" s="34">
        <f>IF(B158="","",IFERROR(INDEX(Services!$G$5:$G$64,MATCH(B158,Services!$B$5:$B$64,0)),""))</f>
        <v>0</v>
      </c>
      <c r="R158" s="31">
        <f>IF(F158="","",COUNTIFS('Job Tasks'!$G$5:$G$904,F158,'Job Tasks'!$H$5:$H$904,"Done"))</f>
        <v>0</v>
      </c>
      <c r="S158" s="31">
        <f>IF(F158="","",COUNTIFS('Job Tasks'!$G$5:$G$904,F158,'Job Tasks'!$H$5:$H$904,"Skipped"))</f>
        <v>0</v>
      </c>
      <c r="T158" s="31">
        <f>IF(F158="","",COUNTIFS('Job Tasks'!$G$5:$G$904,F158,'Job Tasks'!$H$5:$H$904,"Issue found"))</f>
        <v>0</v>
      </c>
      <c r="U158" s="39">
        <f>IF(F158="","",IF(R158+S158=0,"New",IF(S158/(R158+S158)&gt;0.25,"Often skipped","Working")))</f>
        <v>0</v>
      </c>
      <c r="V158" s="31">
        <f>IF(OR(B158="",F158=""),"",COUNTIFS($B$5:B158,B158))</f>
        <v>0</v>
      </c>
      <c r="W158" s="23">
        <f>IF(V158="","",B158&amp;"|"&amp;V158)</f>
        <v>0</v>
      </c>
      <c r="X158" s="39">
        <f>IF(F158="","",IF(B158="","Add - which service?",IF(H158="","Add - how many minutes?",IF(AND(Q158&lt;&gt;"",P158&gt;Q158+0.25),"Check - checklist is longer than the service allows",IF(S158&gt;=3,"Check - often skipped","OK")))))</f>
        <v>0</v>
      </c>
    </row>
    <row r="159" spans="1:24">
      <c r="A159" s="43">
        <f>IF(F159="","","CHK-"&amp;TEXT(ROW()-4,"0000"))</f>
        <v>0</v>
      </c>
      <c r="O159" s="34">
        <f>IF(F159="","",ROUND(IF(H159="",0,H159)/60,2))</f>
        <v>0</v>
      </c>
      <c r="P159" s="34">
        <f>IF(B159="","",ROUND(SUMIFS($H$5:$H$404,$B$5:$B$404,B159,$M$5:$M$404,"Yes")/60,2))</f>
        <v>0</v>
      </c>
      <c r="Q159" s="34">
        <f>IF(B159="","",IFERROR(INDEX(Services!$G$5:$G$64,MATCH(B159,Services!$B$5:$B$64,0)),""))</f>
        <v>0</v>
      </c>
      <c r="R159" s="31">
        <f>IF(F159="","",COUNTIFS('Job Tasks'!$G$5:$G$904,F159,'Job Tasks'!$H$5:$H$904,"Done"))</f>
        <v>0</v>
      </c>
      <c r="S159" s="31">
        <f>IF(F159="","",COUNTIFS('Job Tasks'!$G$5:$G$904,F159,'Job Tasks'!$H$5:$H$904,"Skipped"))</f>
        <v>0</v>
      </c>
      <c r="T159" s="31">
        <f>IF(F159="","",COUNTIFS('Job Tasks'!$G$5:$G$904,F159,'Job Tasks'!$H$5:$H$904,"Issue found"))</f>
        <v>0</v>
      </c>
      <c r="U159" s="39">
        <f>IF(F159="","",IF(R159+S159=0,"New",IF(S159/(R159+S159)&gt;0.25,"Often skipped","Working")))</f>
        <v>0</v>
      </c>
      <c r="V159" s="31">
        <f>IF(OR(B159="",F159=""),"",COUNTIFS($B$5:B159,B159))</f>
        <v>0</v>
      </c>
      <c r="W159" s="23">
        <f>IF(V159="","",B159&amp;"|"&amp;V159)</f>
        <v>0</v>
      </c>
      <c r="X159" s="39">
        <f>IF(F159="","",IF(B159="","Add - which service?",IF(H159="","Add - how many minutes?",IF(AND(Q159&lt;&gt;"",P159&gt;Q159+0.25),"Check - checklist is longer than the service allows",IF(S159&gt;=3,"Check - often skipped","OK")))))</f>
        <v>0</v>
      </c>
    </row>
    <row r="160" spans="1:24">
      <c r="A160" s="43">
        <f>IF(F160="","","CHK-"&amp;TEXT(ROW()-4,"0000"))</f>
        <v>0</v>
      </c>
      <c r="O160" s="34">
        <f>IF(F160="","",ROUND(IF(H160="",0,H160)/60,2))</f>
        <v>0</v>
      </c>
      <c r="P160" s="34">
        <f>IF(B160="","",ROUND(SUMIFS($H$5:$H$404,$B$5:$B$404,B160,$M$5:$M$404,"Yes")/60,2))</f>
        <v>0</v>
      </c>
      <c r="Q160" s="34">
        <f>IF(B160="","",IFERROR(INDEX(Services!$G$5:$G$64,MATCH(B160,Services!$B$5:$B$64,0)),""))</f>
        <v>0</v>
      </c>
      <c r="R160" s="31">
        <f>IF(F160="","",COUNTIFS('Job Tasks'!$G$5:$G$904,F160,'Job Tasks'!$H$5:$H$904,"Done"))</f>
        <v>0</v>
      </c>
      <c r="S160" s="31">
        <f>IF(F160="","",COUNTIFS('Job Tasks'!$G$5:$G$904,F160,'Job Tasks'!$H$5:$H$904,"Skipped"))</f>
        <v>0</v>
      </c>
      <c r="T160" s="31">
        <f>IF(F160="","",COUNTIFS('Job Tasks'!$G$5:$G$904,F160,'Job Tasks'!$H$5:$H$904,"Issue found"))</f>
        <v>0</v>
      </c>
      <c r="U160" s="39">
        <f>IF(F160="","",IF(R160+S160=0,"New",IF(S160/(R160+S160)&gt;0.25,"Often skipped","Working")))</f>
        <v>0</v>
      </c>
      <c r="V160" s="31">
        <f>IF(OR(B160="",F160=""),"",COUNTIFS($B$5:B160,B160))</f>
        <v>0</v>
      </c>
      <c r="W160" s="23">
        <f>IF(V160="","",B160&amp;"|"&amp;V160)</f>
        <v>0</v>
      </c>
      <c r="X160" s="39">
        <f>IF(F160="","",IF(B160="","Add - which service?",IF(H160="","Add - how many minutes?",IF(AND(Q160&lt;&gt;"",P160&gt;Q160+0.25),"Check - checklist is longer than the service allows",IF(S160&gt;=3,"Check - often skipped","OK")))))</f>
        <v>0</v>
      </c>
    </row>
    <row r="161" spans="1:24">
      <c r="A161" s="43">
        <f>IF(F161="","","CHK-"&amp;TEXT(ROW()-4,"0000"))</f>
        <v>0</v>
      </c>
      <c r="O161" s="34">
        <f>IF(F161="","",ROUND(IF(H161="",0,H161)/60,2))</f>
        <v>0</v>
      </c>
      <c r="P161" s="34">
        <f>IF(B161="","",ROUND(SUMIFS($H$5:$H$404,$B$5:$B$404,B161,$M$5:$M$404,"Yes")/60,2))</f>
        <v>0</v>
      </c>
      <c r="Q161" s="34">
        <f>IF(B161="","",IFERROR(INDEX(Services!$G$5:$G$64,MATCH(B161,Services!$B$5:$B$64,0)),""))</f>
        <v>0</v>
      </c>
      <c r="R161" s="31">
        <f>IF(F161="","",COUNTIFS('Job Tasks'!$G$5:$G$904,F161,'Job Tasks'!$H$5:$H$904,"Done"))</f>
        <v>0</v>
      </c>
      <c r="S161" s="31">
        <f>IF(F161="","",COUNTIFS('Job Tasks'!$G$5:$G$904,F161,'Job Tasks'!$H$5:$H$904,"Skipped"))</f>
        <v>0</v>
      </c>
      <c r="T161" s="31">
        <f>IF(F161="","",COUNTIFS('Job Tasks'!$G$5:$G$904,F161,'Job Tasks'!$H$5:$H$904,"Issue found"))</f>
        <v>0</v>
      </c>
      <c r="U161" s="39">
        <f>IF(F161="","",IF(R161+S161=0,"New",IF(S161/(R161+S161)&gt;0.25,"Often skipped","Working")))</f>
        <v>0</v>
      </c>
      <c r="V161" s="31">
        <f>IF(OR(B161="",F161=""),"",COUNTIFS($B$5:B161,B161))</f>
        <v>0</v>
      </c>
      <c r="W161" s="23">
        <f>IF(V161="","",B161&amp;"|"&amp;V161)</f>
        <v>0</v>
      </c>
      <c r="X161" s="39">
        <f>IF(F161="","",IF(B161="","Add - which service?",IF(H161="","Add - how many minutes?",IF(AND(Q161&lt;&gt;"",P161&gt;Q161+0.25),"Check - checklist is longer than the service allows",IF(S161&gt;=3,"Check - often skipped","OK")))))</f>
        <v>0</v>
      </c>
    </row>
    <row r="162" spans="1:24">
      <c r="A162" s="43">
        <f>IF(F162="","","CHK-"&amp;TEXT(ROW()-4,"0000"))</f>
        <v>0</v>
      </c>
      <c r="O162" s="34">
        <f>IF(F162="","",ROUND(IF(H162="",0,H162)/60,2))</f>
        <v>0</v>
      </c>
      <c r="P162" s="34">
        <f>IF(B162="","",ROUND(SUMIFS($H$5:$H$404,$B$5:$B$404,B162,$M$5:$M$404,"Yes")/60,2))</f>
        <v>0</v>
      </c>
      <c r="Q162" s="34">
        <f>IF(B162="","",IFERROR(INDEX(Services!$G$5:$G$64,MATCH(B162,Services!$B$5:$B$64,0)),""))</f>
        <v>0</v>
      </c>
      <c r="R162" s="31">
        <f>IF(F162="","",COUNTIFS('Job Tasks'!$G$5:$G$904,F162,'Job Tasks'!$H$5:$H$904,"Done"))</f>
        <v>0</v>
      </c>
      <c r="S162" s="31">
        <f>IF(F162="","",COUNTIFS('Job Tasks'!$G$5:$G$904,F162,'Job Tasks'!$H$5:$H$904,"Skipped"))</f>
        <v>0</v>
      </c>
      <c r="T162" s="31">
        <f>IF(F162="","",COUNTIFS('Job Tasks'!$G$5:$G$904,F162,'Job Tasks'!$H$5:$H$904,"Issue found"))</f>
        <v>0</v>
      </c>
      <c r="U162" s="39">
        <f>IF(F162="","",IF(R162+S162=0,"New",IF(S162/(R162+S162)&gt;0.25,"Often skipped","Working")))</f>
        <v>0</v>
      </c>
      <c r="V162" s="31">
        <f>IF(OR(B162="",F162=""),"",COUNTIFS($B$5:B162,B162))</f>
        <v>0</v>
      </c>
      <c r="W162" s="23">
        <f>IF(V162="","",B162&amp;"|"&amp;V162)</f>
        <v>0</v>
      </c>
      <c r="X162" s="39">
        <f>IF(F162="","",IF(B162="","Add - which service?",IF(H162="","Add - how many minutes?",IF(AND(Q162&lt;&gt;"",P162&gt;Q162+0.25),"Check - checklist is longer than the service allows",IF(S162&gt;=3,"Check - often skipped","OK")))))</f>
        <v>0</v>
      </c>
    </row>
    <row r="163" spans="1:24">
      <c r="A163" s="43">
        <f>IF(F163="","","CHK-"&amp;TEXT(ROW()-4,"0000"))</f>
        <v>0</v>
      </c>
      <c r="O163" s="34">
        <f>IF(F163="","",ROUND(IF(H163="",0,H163)/60,2))</f>
        <v>0</v>
      </c>
      <c r="P163" s="34">
        <f>IF(B163="","",ROUND(SUMIFS($H$5:$H$404,$B$5:$B$404,B163,$M$5:$M$404,"Yes")/60,2))</f>
        <v>0</v>
      </c>
      <c r="Q163" s="34">
        <f>IF(B163="","",IFERROR(INDEX(Services!$G$5:$G$64,MATCH(B163,Services!$B$5:$B$64,0)),""))</f>
        <v>0</v>
      </c>
      <c r="R163" s="31">
        <f>IF(F163="","",COUNTIFS('Job Tasks'!$G$5:$G$904,F163,'Job Tasks'!$H$5:$H$904,"Done"))</f>
        <v>0</v>
      </c>
      <c r="S163" s="31">
        <f>IF(F163="","",COUNTIFS('Job Tasks'!$G$5:$G$904,F163,'Job Tasks'!$H$5:$H$904,"Skipped"))</f>
        <v>0</v>
      </c>
      <c r="T163" s="31">
        <f>IF(F163="","",COUNTIFS('Job Tasks'!$G$5:$G$904,F163,'Job Tasks'!$H$5:$H$904,"Issue found"))</f>
        <v>0</v>
      </c>
      <c r="U163" s="39">
        <f>IF(F163="","",IF(R163+S163=0,"New",IF(S163/(R163+S163)&gt;0.25,"Often skipped","Working")))</f>
        <v>0</v>
      </c>
      <c r="V163" s="31">
        <f>IF(OR(B163="",F163=""),"",COUNTIFS($B$5:B163,B163))</f>
        <v>0</v>
      </c>
      <c r="W163" s="23">
        <f>IF(V163="","",B163&amp;"|"&amp;V163)</f>
        <v>0</v>
      </c>
      <c r="X163" s="39">
        <f>IF(F163="","",IF(B163="","Add - which service?",IF(H163="","Add - how many minutes?",IF(AND(Q163&lt;&gt;"",P163&gt;Q163+0.25),"Check - checklist is longer than the service allows",IF(S163&gt;=3,"Check - often skipped","OK")))))</f>
        <v>0</v>
      </c>
    </row>
    <row r="164" spans="1:24">
      <c r="A164" s="43">
        <f>IF(F164="","","CHK-"&amp;TEXT(ROW()-4,"0000"))</f>
        <v>0</v>
      </c>
      <c r="O164" s="34">
        <f>IF(F164="","",ROUND(IF(H164="",0,H164)/60,2))</f>
        <v>0</v>
      </c>
      <c r="P164" s="34">
        <f>IF(B164="","",ROUND(SUMIFS($H$5:$H$404,$B$5:$B$404,B164,$M$5:$M$404,"Yes")/60,2))</f>
        <v>0</v>
      </c>
      <c r="Q164" s="34">
        <f>IF(B164="","",IFERROR(INDEX(Services!$G$5:$G$64,MATCH(B164,Services!$B$5:$B$64,0)),""))</f>
        <v>0</v>
      </c>
      <c r="R164" s="31">
        <f>IF(F164="","",COUNTIFS('Job Tasks'!$G$5:$G$904,F164,'Job Tasks'!$H$5:$H$904,"Done"))</f>
        <v>0</v>
      </c>
      <c r="S164" s="31">
        <f>IF(F164="","",COUNTIFS('Job Tasks'!$G$5:$G$904,F164,'Job Tasks'!$H$5:$H$904,"Skipped"))</f>
        <v>0</v>
      </c>
      <c r="T164" s="31">
        <f>IF(F164="","",COUNTIFS('Job Tasks'!$G$5:$G$904,F164,'Job Tasks'!$H$5:$H$904,"Issue found"))</f>
        <v>0</v>
      </c>
      <c r="U164" s="39">
        <f>IF(F164="","",IF(R164+S164=0,"New",IF(S164/(R164+S164)&gt;0.25,"Often skipped","Working")))</f>
        <v>0</v>
      </c>
      <c r="V164" s="31">
        <f>IF(OR(B164="",F164=""),"",COUNTIFS($B$5:B164,B164))</f>
        <v>0</v>
      </c>
      <c r="W164" s="23">
        <f>IF(V164="","",B164&amp;"|"&amp;V164)</f>
        <v>0</v>
      </c>
      <c r="X164" s="39">
        <f>IF(F164="","",IF(B164="","Add - which service?",IF(H164="","Add - how many minutes?",IF(AND(Q164&lt;&gt;"",P164&gt;Q164+0.25),"Check - checklist is longer than the service allows",IF(S164&gt;=3,"Check - often skipped","OK")))))</f>
        <v>0</v>
      </c>
    </row>
    <row r="165" spans="1:24">
      <c r="A165" s="43">
        <f>IF(F165="","","CHK-"&amp;TEXT(ROW()-4,"0000"))</f>
        <v>0</v>
      </c>
      <c r="O165" s="34">
        <f>IF(F165="","",ROUND(IF(H165="",0,H165)/60,2))</f>
        <v>0</v>
      </c>
      <c r="P165" s="34">
        <f>IF(B165="","",ROUND(SUMIFS($H$5:$H$404,$B$5:$B$404,B165,$M$5:$M$404,"Yes")/60,2))</f>
        <v>0</v>
      </c>
      <c r="Q165" s="34">
        <f>IF(B165="","",IFERROR(INDEX(Services!$G$5:$G$64,MATCH(B165,Services!$B$5:$B$64,0)),""))</f>
        <v>0</v>
      </c>
      <c r="R165" s="31">
        <f>IF(F165="","",COUNTIFS('Job Tasks'!$G$5:$G$904,F165,'Job Tasks'!$H$5:$H$904,"Done"))</f>
        <v>0</v>
      </c>
      <c r="S165" s="31">
        <f>IF(F165="","",COUNTIFS('Job Tasks'!$G$5:$G$904,F165,'Job Tasks'!$H$5:$H$904,"Skipped"))</f>
        <v>0</v>
      </c>
      <c r="T165" s="31">
        <f>IF(F165="","",COUNTIFS('Job Tasks'!$G$5:$G$904,F165,'Job Tasks'!$H$5:$H$904,"Issue found"))</f>
        <v>0</v>
      </c>
      <c r="U165" s="39">
        <f>IF(F165="","",IF(R165+S165=0,"New",IF(S165/(R165+S165)&gt;0.25,"Often skipped","Working")))</f>
        <v>0</v>
      </c>
      <c r="V165" s="31">
        <f>IF(OR(B165="",F165=""),"",COUNTIFS($B$5:B165,B165))</f>
        <v>0</v>
      </c>
      <c r="W165" s="23">
        <f>IF(V165="","",B165&amp;"|"&amp;V165)</f>
        <v>0</v>
      </c>
      <c r="X165" s="39">
        <f>IF(F165="","",IF(B165="","Add - which service?",IF(H165="","Add - how many minutes?",IF(AND(Q165&lt;&gt;"",P165&gt;Q165+0.25),"Check - checklist is longer than the service allows",IF(S165&gt;=3,"Check - often skipped","OK")))))</f>
        <v>0</v>
      </c>
    </row>
    <row r="166" spans="1:24">
      <c r="A166" s="43">
        <f>IF(F166="","","CHK-"&amp;TEXT(ROW()-4,"0000"))</f>
        <v>0</v>
      </c>
      <c r="O166" s="34">
        <f>IF(F166="","",ROUND(IF(H166="",0,H166)/60,2))</f>
        <v>0</v>
      </c>
      <c r="P166" s="34">
        <f>IF(B166="","",ROUND(SUMIFS($H$5:$H$404,$B$5:$B$404,B166,$M$5:$M$404,"Yes")/60,2))</f>
        <v>0</v>
      </c>
      <c r="Q166" s="34">
        <f>IF(B166="","",IFERROR(INDEX(Services!$G$5:$G$64,MATCH(B166,Services!$B$5:$B$64,0)),""))</f>
        <v>0</v>
      </c>
      <c r="R166" s="31">
        <f>IF(F166="","",COUNTIFS('Job Tasks'!$G$5:$G$904,F166,'Job Tasks'!$H$5:$H$904,"Done"))</f>
        <v>0</v>
      </c>
      <c r="S166" s="31">
        <f>IF(F166="","",COUNTIFS('Job Tasks'!$G$5:$G$904,F166,'Job Tasks'!$H$5:$H$904,"Skipped"))</f>
        <v>0</v>
      </c>
      <c r="T166" s="31">
        <f>IF(F166="","",COUNTIFS('Job Tasks'!$G$5:$G$904,F166,'Job Tasks'!$H$5:$H$904,"Issue found"))</f>
        <v>0</v>
      </c>
      <c r="U166" s="39">
        <f>IF(F166="","",IF(R166+S166=0,"New",IF(S166/(R166+S166)&gt;0.25,"Often skipped","Working")))</f>
        <v>0</v>
      </c>
      <c r="V166" s="31">
        <f>IF(OR(B166="",F166=""),"",COUNTIFS($B$5:B166,B166))</f>
        <v>0</v>
      </c>
      <c r="W166" s="23">
        <f>IF(V166="","",B166&amp;"|"&amp;V166)</f>
        <v>0</v>
      </c>
      <c r="X166" s="39">
        <f>IF(F166="","",IF(B166="","Add - which service?",IF(H166="","Add - how many minutes?",IF(AND(Q166&lt;&gt;"",P166&gt;Q166+0.25),"Check - checklist is longer than the service allows",IF(S166&gt;=3,"Check - often skipped","OK")))))</f>
        <v>0</v>
      </c>
    </row>
    <row r="167" spans="1:24">
      <c r="A167" s="43">
        <f>IF(F167="","","CHK-"&amp;TEXT(ROW()-4,"0000"))</f>
        <v>0</v>
      </c>
      <c r="O167" s="34">
        <f>IF(F167="","",ROUND(IF(H167="",0,H167)/60,2))</f>
        <v>0</v>
      </c>
      <c r="P167" s="34">
        <f>IF(B167="","",ROUND(SUMIFS($H$5:$H$404,$B$5:$B$404,B167,$M$5:$M$404,"Yes")/60,2))</f>
        <v>0</v>
      </c>
      <c r="Q167" s="34">
        <f>IF(B167="","",IFERROR(INDEX(Services!$G$5:$G$64,MATCH(B167,Services!$B$5:$B$64,0)),""))</f>
        <v>0</v>
      </c>
      <c r="R167" s="31">
        <f>IF(F167="","",COUNTIFS('Job Tasks'!$G$5:$G$904,F167,'Job Tasks'!$H$5:$H$904,"Done"))</f>
        <v>0</v>
      </c>
      <c r="S167" s="31">
        <f>IF(F167="","",COUNTIFS('Job Tasks'!$G$5:$G$904,F167,'Job Tasks'!$H$5:$H$904,"Skipped"))</f>
        <v>0</v>
      </c>
      <c r="T167" s="31">
        <f>IF(F167="","",COUNTIFS('Job Tasks'!$G$5:$G$904,F167,'Job Tasks'!$H$5:$H$904,"Issue found"))</f>
        <v>0</v>
      </c>
      <c r="U167" s="39">
        <f>IF(F167="","",IF(R167+S167=0,"New",IF(S167/(R167+S167)&gt;0.25,"Often skipped","Working")))</f>
        <v>0</v>
      </c>
      <c r="V167" s="31">
        <f>IF(OR(B167="",F167=""),"",COUNTIFS($B$5:B167,B167))</f>
        <v>0</v>
      </c>
      <c r="W167" s="23">
        <f>IF(V167="","",B167&amp;"|"&amp;V167)</f>
        <v>0</v>
      </c>
      <c r="X167" s="39">
        <f>IF(F167="","",IF(B167="","Add - which service?",IF(H167="","Add - how many minutes?",IF(AND(Q167&lt;&gt;"",P167&gt;Q167+0.25),"Check - checklist is longer than the service allows",IF(S167&gt;=3,"Check - often skipped","OK")))))</f>
        <v>0</v>
      </c>
    </row>
    <row r="168" spans="1:24">
      <c r="A168" s="43">
        <f>IF(F168="","","CHK-"&amp;TEXT(ROW()-4,"0000"))</f>
        <v>0</v>
      </c>
      <c r="O168" s="34">
        <f>IF(F168="","",ROUND(IF(H168="",0,H168)/60,2))</f>
        <v>0</v>
      </c>
      <c r="P168" s="34">
        <f>IF(B168="","",ROUND(SUMIFS($H$5:$H$404,$B$5:$B$404,B168,$M$5:$M$404,"Yes")/60,2))</f>
        <v>0</v>
      </c>
      <c r="Q168" s="34">
        <f>IF(B168="","",IFERROR(INDEX(Services!$G$5:$G$64,MATCH(B168,Services!$B$5:$B$64,0)),""))</f>
        <v>0</v>
      </c>
      <c r="R168" s="31">
        <f>IF(F168="","",COUNTIFS('Job Tasks'!$G$5:$G$904,F168,'Job Tasks'!$H$5:$H$904,"Done"))</f>
        <v>0</v>
      </c>
      <c r="S168" s="31">
        <f>IF(F168="","",COUNTIFS('Job Tasks'!$G$5:$G$904,F168,'Job Tasks'!$H$5:$H$904,"Skipped"))</f>
        <v>0</v>
      </c>
      <c r="T168" s="31">
        <f>IF(F168="","",COUNTIFS('Job Tasks'!$G$5:$G$904,F168,'Job Tasks'!$H$5:$H$904,"Issue found"))</f>
        <v>0</v>
      </c>
      <c r="U168" s="39">
        <f>IF(F168="","",IF(R168+S168=0,"New",IF(S168/(R168+S168)&gt;0.25,"Often skipped","Working")))</f>
        <v>0</v>
      </c>
      <c r="V168" s="31">
        <f>IF(OR(B168="",F168=""),"",COUNTIFS($B$5:B168,B168))</f>
        <v>0</v>
      </c>
      <c r="W168" s="23">
        <f>IF(V168="","",B168&amp;"|"&amp;V168)</f>
        <v>0</v>
      </c>
      <c r="X168" s="39">
        <f>IF(F168="","",IF(B168="","Add - which service?",IF(H168="","Add - how many minutes?",IF(AND(Q168&lt;&gt;"",P168&gt;Q168+0.25),"Check - checklist is longer than the service allows",IF(S168&gt;=3,"Check - often skipped","OK")))))</f>
        <v>0</v>
      </c>
    </row>
    <row r="169" spans="1:24">
      <c r="A169" s="43">
        <f>IF(F169="","","CHK-"&amp;TEXT(ROW()-4,"0000"))</f>
        <v>0</v>
      </c>
      <c r="O169" s="34">
        <f>IF(F169="","",ROUND(IF(H169="",0,H169)/60,2))</f>
        <v>0</v>
      </c>
      <c r="P169" s="34">
        <f>IF(B169="","",ROUND(SUMIFS($H$5:$H$404,$B$5:$B$404,B169,$M$5:$M$404,"Yes")/60,2))</f>
        <v>0</v>
      </c>
      <c r="Q169" s="34">
        <f>IF(B169="","",IFERROR(INDEX(Services!$G$5:$G$64,MATCH(B169,Services!$B$5:$B$64,0)),""))</f>
        <v>0</v>
      </c>
      <c r="R169" s="31">
        <f>IF(F169="","",COUNTIFS('Job Tasks'!$G$5:$G$904,F169,'Job Tasks'!$H$5:$H$904,"Done"))</f>
        <v>0</v>
      </c>
      <c r="S169" s="31">
        <f>IF(F169="","",COUNTIFS('Job Tasks'!$G$5:$G$904,F169,'Job Tasks'!$H$5:$H$904,"Skipped"))</f>
        <v>0</v>
      </c>
      <c r="T169" s="31">
        <f>IF(F169="","",COUNTIFS('Job Tasks'!$G$5:$G$904,F169,'Job Tasks'!$H$5:$H$904,"Issue found"))</f>
        <v>0</v>
      </c>
      <c r="U169" s="39">
        <f>IF(F169="","",IF(R169+S169=0,"New",IF(S169/(R169+S169)&gt;0.25,"Often skipped","Working")))</f>
        <v>0</v>
      </c>
      <c r="V169" s="31">
        <f>IF(OR(B169="",F169=""),"",COUNTIFS($B$5:B169,B169))</f>
        <v>0</v>
      </c>
      <c r="W169" s="23">
        <f>IF(V169="","",B169&amp;"|"&amp;V169)</f>
        <v>0</v>
      </c>
      <c r="X169" s="39">
        <f>IF(F169="","",IF(B169="","Add - which service?",IF(H169="","Add - how many minutes?",IF(AND(Q169&lt;&gt;"",P169&gt;Q169+0.25),"Check - checklist is longer than the service allows",IF(S169&gt;=3,"Check - often skipped","OK")))))</f>
        <v>0</v>
      </c>
    </row>
    <row r="170" spans="1:24">
      <c r="A170" s="43">
        <f>IF(F170="","","CHK-"&amp;TEXT(ROW()-4,"0000"))</f>
        <v>0</v>
      </c>
      <c r="O170" s="34">
        <f>IF(F170="","",ROUND(IF(H170="",0,H170)/60,2))</f>
        <v>0</v>
      </c>
      <c r="P170" s="34">
        <f>IF(B170="","",ROUND(SUMIFS($H$5:$H$404,$B$5:$B$404,B170,$M$5:$M$404,"Yes")/60,2))</f>
        <v>0</v>
      </c>
      <c r="Q170" s="34">
        <f>IF(B170="","",IFERROR(INDEX(Services!$G$5:$G$64,MATCH(B170,Services!$B$5:$B$64,0)),""))</f>
        <v>0</v>
      </c>
      <c r="R170" s="31">
        <f>IF(F170="","",COUNTIFS('Job Tasks'!$G$5:$G$904,F170,'Job Tasks'!$H$5:$H$904,"Done"))</f>
        <v>0</v>
      </c>
      <c r="S170" s="31">
        <f>IF(F170="","",COUNTIFS('Job Tasks'!$G$5:$G$904,F170,'Job Tasks'!$H$5:$H$904,"Skipped"))</f>
        <v>0</v>
      </c>
      <c r="T170" s="31">
        <f>IF(F170="","",COUNTIFS('Job Tasks'!$G$5:$G$904,F170,'Job Tasks'!$H$5:$H$904,"Issue found"))</f>
        <v>0</v>
      </c>
      <c r="U170" s="39">
        <f>IF(F170="","",IF(R170+S170=0,"New",IF(S170/(R170+S170)&gt;0.25,"Often skipped","Working")))</f>
        <v>0</v>
      </c>
      <c r="V170" s="31">
        <f>IF(OR(B170="",F170=""),"",COUNTIFS($B$5:B170,B170))</f>
        <v>0</v>
      </c>
      <c r="W170" s="23">
        <f>IF(V170="","",B170&amp;"|"&amp;V170)</f>
        <v>0</v>
      </c>
      <c r="X170" s="39">
        <f>IF(F170="","",IF(B170="","Add - which service?",IF(H170="","Add - how many minutes?",IF(AND(Q170&lt;&gt;"",P170&gt;Q170+0.25),"Check - checklist is longer than the service allows",IF(S170&gt;=3,"Check - often skipped","OK")))))</f>
        <v>0</v>
      </c>
    </row>
    <row r="171" spans="1:24">
      <c r="A171" s="43">
        <f>IF(F171="","","CHK-"&amp;TEXT(ROW()-4,"0000"))</f>
        <v>0</v>
      </c>
      <c r="O171" s="34">
        <f>IF(F171="","",ROUND(IF(H171="",0,H171)/60,2))</f>
        <v>0</v>
      </c>
      <c r="P171" s="34">
        <f>IF(B171="","",ROUND(SUMIFS($H$5:$H$404,$B$5:$B$404,B171,$M$5:$M$404,"Yes")/60,2))</f>
        <v>0</v>
      </c>
      <c r="Q171" s="34">
        <f>IF(B171="","",IFERROR(INDEX(Services!$G$5:$G$64,MATCH(B171,Services!$B$5:$B$64,0)),""))</f>
        <v>0</v>
      </c>
      <c r="R171" s="31">
        <f>IF(F171="","",COUNTIFS('Job Tasks'!$G$5:$G$904,F171,'Job Tasks'!$H$5:$H$904,"Done"))</f>
        <v>0</v>
      </c>
      <c r="S171" s="31">
        <f>IF(F171="","",COUNTIFS('Job Tasks'!$G$5:$G$904,F171,'Job Tasks'!$H$5:$H$904,"Skipped"))</f>
        <v>0</v>
      </c>
      <c r="T171" s="31">
        <f>IF(F171="","",COUNTIFS('Job Tasks'!$G$5:$G$904,F171,'Job Tasks'!$H$5:$H$904,"Issue found"))</f>
        <v>0</v>
      </c>
      <c r="U171" s="39">
        <f>IF(F171="","",IF(R171+S171=0,"New",IF(S171/(R171+S171)&gt;0.25,"Often skipped","Working")))</f>
        <v>0</v>
      </c>
      <c r="V171" s="31">
        <f>IF(OR(B171="",F171=""),"",COUNTIFS($B$5:B171,B171))</f>
        <v>0</v>
      </c>
      <c r="W171" s="23">
        <f>IF(V171="","",B171&amp;"|"&amp;V171)</f>
        <v>0</v>
      </c>
      <c r="X171" s="39">
        <f>IF(F171="","",IF(B171="","Add - which service?",IF(H171="","Add - how many minutes?",IF(AND(Q171&lt;&gt;"",P171&gt;Q171+0.25),"Check - checklist is longer than the service allows",IF(S171&gt;=3,"Check - often skipped","OK")))))</f>
        <v>0</v>
      </c>
    </row>
    <row r="172" spans="1:24">
      <c r="A172" s="43">
        <f>IF(F172="","","CHK-"&amp;TEXT(ROW()-4,"0000"))</f>
        <v>0</v>
      </c>
      <c r="O172" s="34">
        <f>IF(F172="","",ROUND(IF(H172="",0,H172)/60,2))</f>
        <v>0</v>
      </c>
      <c r="P172" s="34">
        <f>IF(B172="","",ROUND(SUMIFS($H$5:$H$404,$B$5:$B$404,B172,$M$5:$M$404,"Yes")/60,2))</f>
        <v>0</v>
      </c>
      <c r="Q172" s="34">
        <f>IF(B172="","",IFERROR(INDEX(Services!$G$5:$G$64,MATCH(B172,Services!$B$5:$B$64,0)),""))</f>
        <v>0</v>
      </c>
      <c r="R172" s="31">
        <f>IF(F172="","",COUNTIFS('Job Tasks'!$G$5:$G$904,F172,'Job Tasks'!$H$5:$H$904,"Done"))</f>
        <v>0</v>
      </c>
      <c r="S172" s="31">
        <f>IF(F172="","",COUNTIFS('Job Tasks'!$G$5:$G$904,F172,'Job Tasks'!$H$5:$H$904,"Skipped"))</f>
        <v>0</v>
      </c>
      <c r="T172" s="31">
        <f>IF(F172="","",COUNTIFS('Job Tasks'!$G$5:$G$904,F172,'Job Tasks'!$H$5:$H$904,"Issue found"))</f>
        <v>0</v>
      </c>
      <c r="U172" s="39">
        <f>IF(F172="","",IF(R172+S172=0,"New",IF(S172/(R172+S172)&gt;0.25,"Often skipped","Working")))</f>
        <v>0</v>
      </c>
      <c r="V172" s="31">
        <f>IF(OR(B172="",F172=""),"",COUNTIFS($B$5:B172,B172))</f>
        <v>0</v>
      </c>
      <c r="W172" s="23">
        <f>IF(V172="","",B172&amp;"|"&amp;V172)</f>
        <v>0</v>
      </c>
      <c r="X172" s="39">
        <f>IF(F172="","",IF(B172="","Add - which service?",IF(H172="","Add - how many minutes?",IF(AND(Q172&lt;&gt;"",P172&gt;Q172+0.25),"Check - checklist is longer than the service allows",IF(S172&gt;=3,"Check - often skipped","OK")))))</f>
        <v>0</v>
      </c>
    </row>
    <row r="173" spans="1:24">
      <c r="A173" s="43">
        <f>IF(F173="","","CHK-"&amp;TEXT(ROW()-4,"0000"))</f>
        <v>0</v>
      </c>
      <c r="O173" s="34">
        <f>IF(F173="","",ROUND(IF(H173="",0,H173)/60,2))</f>
        <v>0</v>
      </c>
      <c r="P173" s="34">
        <f>IF(B173="","",ROUND(SUMIFS($H$5:$H$404,$B$5:$B$404,B173,$M$5:$M$404,"Yes")/60,2))</f>
        <v>0</v>
      </c>
      <c r="Q173" s="34">
        <f>IF(B173="","",IFERROR(INDEX(Services!$G$5:$G$64,MATCH(B173,Services!$B$5:$B$64,0)),""))</f>
        <v>0</v>
      </c>
      <c r="R173" s="31">
        <f>IF(F173="","",COUNTIFS('Job Tasks'!$G$5:$G$904,F173,'Job Tasks'!$H$5:$H$904,"Done"))</f>
        <v>0</v>
      </c>
      <c r="S173" s="31">
        <f>IF(F173="","",COUNTIFS('Job Tasks'!$G$5:$G$904,F173,'Job Tasks'!$H$5:$H$904,"Skipped"))</f>
        <v>0</v>
      </c>
      <c r="T173" s="31">
        <f>IF(F173="","",COUNTIFS('Job Tasks'!$G$5:$G$904,F173,'Job Tasks'!$H$5:$H$904,"Issue found"))</f>
        <v>0</v>
      </c>
      <c r="U173" s="39">
        <f>IF(F173="","",IF(R173+S173=0,"New",IF(S173/(R173+S173)&gt;0.25,"Often skipped","Working")))</f>
        <v>0</v>
      </c>
      <c r="V173" s="31">
        <f>IF(OR(B173="",F173=""),"",COUNTIFS($B$5:B173,B173))</f>
        <v>0</v>
      </c>
      <c r="W173" s="23">
        <f>IF(V173="","",B173&amp;"|"&amp;V173)</f>
        <v>0</v>
      </c>
      <c r="X173" s="39">
        <f>IF(F173="","",IF(B173="","Add - which service?",IF(H173="","Add - how many minutes?",IF(AND(Q173&lt;&gt;"",P173&gt;Q173+0.25),"Check - checklist is longer than the service allows",IF(S173&gt;=3,"Check - often skipped","OK")))))</f>
        <v>0</v>
      </c>
    </row>
    <row r="174" spans="1:24">
      <c r="A174" s="43">
        <f>IF(F174="","","CHK-"&amp;TEXT(ROW()-4,"0000"))</f>
        <v>0</v>
      </c>
      <c r="O174" s="34">
        <f>IF(F174="","",ROUND(IF(H174="",0,H174)/60,2))</f>
        <v>0</v>
      </c>
      <c r="P174" s="34">
        <f>IF(B174="","",ROUND(SUMIFS($H$5:$H$404,$B$5:$B$404,B174,$M$5:$M$404,"Yes")/60,2))</f>
        <v>0</v>
      </c>
      <c r="Q174" s="34">
        <f>IF(B174="","",IFERROR(INDEX(Services!$G$5:$G$64,MATCH(B174,Services!$B$5:$B$64,0)),""))</f>
        <v>0</v>
      </c>
      <c r="R174" s="31">
        <f>IF(F174="","",COUNTIFS('Job Tasks'!$G$5:$G$904,F174,'Job Tasks'!$H$5:$H$904,"Done"))</f>
        <v>0</v>
      </c>
      <c r="S174" s="31">
        <f>IF(F174="","",COUNTIFS('Job Tasks'!$G$5:$G$904,F174,'Job Tasks'!$H$5:$H$904,"Skipped"))</f>
        <v>0</v>
      </c>
      <c r="T174" s="31">
        <f>IF(F174="","",COUNTIFS('Job Tasks'!$G$5:$G$904,F174,'Job Tasks'!$H$5:$H$904,"Issue found"))</f>
        <v>0</v>
      </c>
      <c r="U174" s="39">
        <f>IF(F174="","",IF(R174+S174=0,"New",IF(S174/(R174+S174)&gt;0.25,"Often skipped","Working")))</f>
        <v>0</v>
      </c>
      <c r="V174" s="31">
        <f>IF(OR(B174="",F174=""),"",COUNTIFS($B$5:B174,B174))</f>
        <v>0</v>
      </c>
      <c r="W174" s="23">
        <f>IF(V174="","",B174&amp;"|"&amp;V174)</f>
        <v>0</v>
      </c>
      <c r="X174" s="39">
        <f>IF(F174="","",IF(B174="","Add - which service?",IF(H174="","Add - how many minutes?",IF(AND(Q174&lt;&gt;"",P174&gt;Q174+0.25),"Check - checklist is longer than the service allows",IF(S174&gt;=3,"Check - often skipped","OK")))))</f>
        <v>0</v>
      </c>
    </row>
    <row r="175" spans="1:24">
      <c r="A175" s="43">
        <f>IF(F175="","","CHK-"&amp;TEXT(ROW()-4,"0000"))</f>
        <v>0</v>
      </c>
      <c r="O175" s="34">
        <f>IF(F175="","",ROUND(IF(H175="",0,H175)/60,2))</f>
        <v>0</v>
      </c>
      <c r="P175" s="34">
        <f>IF(B175="","",ROUND(SUMIFS($H$5:$H$404,$B$5:$B$404,B175,$M$5:$M$404,"Yes")/60,2))</f>
        <v>0</v>
      </c>
      <c r="Q175" s="34">
        <f>IF(B175="","",IFERROR(INDEX(Services!$G$5:$G$64,MATCH(B175,Services!$B$5:$B$64,0)),""))</f>
        <v>0</v>
      </c>
      <c r="R175" s="31">
        <f>IF(F175="","",COUNTIFS('Job Tasks'!$G$5:$G$904,F175,'Job Tasks'!$H$5:$H$904,"Done"))</f>
        <v>0</v>
      </c>
      <c r="S175" s="31">
        <f>IF(F175="","",COUNTIFS('Job Tasks'!$G$5:$G$904,F175,'Job Tasks'!$H$5:$H$904,"Skipped"))</f>
        <v>0</v>
      </c>
      <c r="T175" s="31">
        <f>IF(F175="","",COUNTIFS('Job Tasks'!$G$5:$G$904,F175,'Job Tasks'!$H$5:$H$904,"Issue found"))</f>
        <v>0</v>
      </c>
      <c r="U175" s="39">
        <f>IF(F175="","",IF(R175+S175=0,"New",IF(S175/(R175+S175)&gt;0.25,"Often skipped","Working")))</f>
        <v>0</v>
      </c>
      <c r="V175" s="31">
        <f>IF(OR(B175="",F175=""),"",COUNTIFS($B$5:B175,B175))</f>
        <v>0</v>
      </c>
      <c r="W175" s="23">
        <f>IF(V175="","",B175&amp;"|"&amp;V175)</f>
        <v>0</v>
      </c>
      <c r="X175" s="39">
        <f>IF(F175="","",IF(B175="","Add - which service?",IF(H175="","Add - how many minutes?",IF(AND(Q175&lt;&gt;"",P175&gt;Q175+0.25),"Check - checklist is longer than the service allows",IF(S175&gt;=3,"Check - often skipped","OK")))))</f>
        <v>0</v>
      </c>
    </row>
    <row r="176" spans="1:24">
      <c r="A176" s="43">
        <f>IF(F176="","","CHK-"&amp;TEXT(ROW()-4,"0000"))</f>
        <v>0</v>
      </c>
      <c r="O176" s="34">
        <f>IF(F176="","",ROUND(IF(H176="",0,H176)/60,2))</f>
        <v>0</v>
      </c>
      <c r="P176" s="34">
        <f>IF(B176="","",ROUND(SUMIFS($H$5:$H$404,$B$5:$B$404,B176,$M$5:$M$404,"Yes")/60,2))</f>
        <v>0</v>
      </c>
      <c r="Q176" s="34">
        <f>IF(B176="","",IFERROR(INDEX(Services!$G$5:$G$64,MATCH(B176,Services!$B$5:$B$64,0)),""))</f>
        <v>0</v>
      </c>
      <c r="R176" s="31">
        <f>IF(F176="","",COUNTIFS('Job Tasks'!$G$5:$G$904,F176,'Job Tasks'!$H$5:$H$904,"Done"))</f>
        <v>0</v>
      </c>
      <c r="S176" s="31">
        <f>IF(F176="","",COUNTIFS('Job Tasks'!$G$5:$G$904,F176,'Job Tasks'!$H$5:$H$904,"Skipped"))</f>
        <v>0</v>
      </c>
      <c r="T176" s="31">
        <f>IF(F176="","",COUNTIFS('Job Tasks'!$G$5:$G$904,F176,'Job Tasks'!$H$5:$H$904,"Issue found"))</f>
        <v>0</v>
      </c>
      <c r="U176" s="39">
        <f>IF(F176="","",IF(R176+S176=0,"New",IF(S176/(R176+S176)&gt;0.25,"Often skipped","Working")))</f>
        <v>0</v>
      </c>
      <c r="V176" s="31">
        <f>IF(OR(B176="",F176=""),"",COUNTIFS($B$5:B176,B176))</f>
        <v>0</v>
      </c>
      <c r="W176" s="23">
        <f>IF(V176="","",B176&amp;"|"&amp;V176)</f>
        <v>0</v>
      </c>
      <c r="X176" s="39">
        <f>IF(F176="","",IF(B176="","Add - which service?",IF(H176="","Add - how many minutes?",IF(AND(Q176&lt;&gt;"",P176&gt;Q176+0.25),"Check - checklist is longer than the service allows",IF(S176&gt;=3,"Check - often skipped","OK")))))</f>
        <v>0</v>
      </c>
    </row>
    <row r="177" spans="1:24">
      <c r="A177" s="43">
        <f>IF(F177="","","CHK-"&amp;TEXT(ROW()-4,"0000"))</f>
        <v>0</v>
      </c>
      <c r="O177" s="34">
        <f>IF(F177="","",ROUND(IF(H177="",0,H177)/60,2))</f>
        <v>0</v>
      </c>
      <c r="P177" s="34">
        <f>IF(B177="","",ROUND(SUMIFS($H$5:$H$404,$B$5:$B$404,B177,$M$5:$M$404,"Yes")/60,2))</f>
        <v>0</v>
      </c>
      <c r="Q177" s="34">
        <f>IF(B177="","",IFERROR(INDEX(Services!$G$5:$G$64,MATCH(B177,Services!$B$5:$B$64,0)),""))</f>
        <v>0</v>
      </c>
      <c r="R177" s="31">
        <f>IF(F177="","",COUNTIFS('Job Tasks'!$G$5:$G$904,F177,'Job Tasks'!$H$5:$H$904,"Done"))</f>
        <v>0</v>
      </c>
      <c r="S177" s="31">
        <f>IF(F177="","",COUNTIFS('Job Tasks'!$G$5:$G$904,F177,'Job Tasks'!$H$5:$H$904,"Skipped"))</f>
        <v>0</v>
      </c>
      <c r="T177" s="31">
        <f>IF(F177="","",COUNTIFS('Job Tasks'!$G$5:$G$904,F177,'Job Tasks'!$H$5:$H$904,"Issue found"))</f>
        <v>0</v>
      </c>
      <c r="U177" s="39">
        <f>IF(F177="","",IF(R177+S177=0,"New",IF(S177/(R177+S177)&gt;0.25,"Often skipped","Working")))</f>
        <v>0</v>
      </c>
      <c r="V177" s="31">
        <f>IF(OR(B177="",F177=""),"",COUNTIFS($B$5:B177,B177))</f>
        <v>0</v>
      </c>
      <c r="W177" s="23">
        <f>IF(V177="","",B177&amp;"|"&amp;V177)</f>
        <v>0</v>
      </c>
      <c r="X177" s="39">
        <f>IF(F177="","",IF(B177="","Add - which service?",IF(H177="","Add - how many minutes?",IF(AND(Q177&lt;&gt;"",P177&gt;Q177+0.25),"Check - checklist is longer than the service allows",IF(S177&gt;=3,"Check - often skipped","OK")))))</f>
        <v>0</v>
      </c>
    </row>
    <row r="178" spans="1:24">
      <c r="A178" s="43">
        <f>IF(F178="","","CHK-"&amp;TEXT(ROW()-4,"0000"))</f>
        <v>0</v>
      </c>
      <c r="O178" s="34">
        <f>IF(F178="","",ROUND(IF(H178="",0,H178)/60,2))</f>
        <v>0</v>
      </c>
      <c r="P178" s="34">
        <f>IF(B178="","",ROUND(SUMIFS($H$5:$H$404,$B$5:$B$404,B178,$M$5:$M$404,"Yes")/60,2))</f>
        <v>0</v>
      </c>
      <c r="Q178" s="34">
        <f>IF(B178="","",IFERROR(INDEX(Services!$G$5:$G$64,MATCH(B178,Services!$B$5:$B$64,0)),""))</f>
        <v>0</v>
      </c>
      <c r="R178" s="31">
        <f>IF(F178="","",COUNTIFS('Job Tasks'!$G$5:$G$904,F178,'Job Tasks'!$H$5:$H$904,"Done"))</f>
        <v>0</v>
      </c>
      <c r="S178" s="31">
        <f>IF(F178="","",COUNTIFS('Job Tasks'!$G$5:$G$904,F178,'Job Tasks'!$H$5:$H$904,"Skipped"))</f>
        <v>0</v>
      </c>
      <c r="T178" s="31">
        <f>IF(F178="","",COUNTIFS('Job Tasks'!$G$5:$G$904,F178,'Job Tasks'!$H$5:$H$904,"Issue found"))</f>
        <v>0</v>
      </c>
      <c r="U178" s="39">
        <f>IF(F178="","",IF(R178+S178=0,"New",IF(S178/(R178+S178)&gt;0.25,"Often skipped","Working")))</f>
        <v>0</v>
      </c>
      <c r="V178" s="31">
        <f>IF(OR(B178="",F178=""),"",COUNTIFS($B$5:B178,B178))</f>
        <v>0</v>
      </c>
      <c r="W178" s="23">
        <f>IF(V178="","",B178&amp;"|"&amp;V178)</f>
        <v>0</v>
      </c>
      <c r="X178" s="39">
        <f>IF(F178="","",IF(B178="","Add - which service?",IF(H178="","Add - how many minutes?",IF(AND(Q178&lt;&gt;"",P178&gt;Q178+0.25),"Check - checklist is longer than the service allows",IF(S178&gt;=3,"Check - often skipped","OK")))))</f>
        <v>0</v>
      </c>
    </row>
    <row r="179" spans="1:24">
      <c r="A179" s="43">
        <f>IF(F179="","","CHK-"&amp;TEXT(ROW()-4,"0000"))</f>
        <v>0</v>
      </c>
      <c r="O179" s="34">
        <f>IF(F179="","",ROUND(IF(H179="",0,H179)/60,2))</f>
        <v>0</v>
      </c>
      <c r="P179" s="34">
        <f>IF(B179="","",ROUND(SUMIFS($H$5:$H$404,$B$5:$B$404,B179,$M$5:$M$404,"Yes")/60,2))</f>
        <v>0</v>
      </c>
      <c r="Q179" s="34">
        <f>IF(B179="","",IFERROR(INDEX(Services!$G$5:$G$64,MATCH(B179,Services!$B$5:$B$64,0)),""))</f>
        <v>0</v>
      </c>
      <c r="R179" s="31">
        <f>IF(F179="","",COUNTIFS('Job Tasks'!$G$5:$G$904,F179,'Job Tasks'!$H$5:$H$904,"Done"))</f>
        <v>0</v>
      </c>
      <c r="S179" s="31">
        <f>IF(F179="","",COUNTIFS('Job Tasks'!$G$5:$G$904,F179,'Job Tasks'!$H$5:$H$904,"Skipped"))</f>
        <v>0</v>
      </c>
      <c r="T179" s="31">
        <f>IF(F179="","",COUNTIFS('Job Tasks'!$G$5:$G$904,F179,'Job Tasks'!$H$5:$H$904,"Issue found"))</f>
        <v>0</v>
      </c>
      <c r="U179" s="39">
        <f>IF(F179="","",IF(R179+S179=0,"New",IF(S179/(R179+S179)&gt;0.25,"Often skipped","Working")))</f>
        <v>0</v>
      </c>
      <c r="V179" s="31">
        <f>IF(OR(B179="",F179=""),"",COUNTIFS($B$5:B179,B179))</f>
        <v>0</v>
      </c>
      <c r="W179" s="23">
        <f>IF(V179="","",B179&amp;"|"&amp;V179)</f>
        <v>0</v>
      </c>
      <c r="X179" s="39">
        <f>IF(F179="","",IF(B179="","Add - which service?",IF(H179="","Add - how many minutes?",IF(AND(Q179&lt;&gt;"",P179&gt;Q179+0.25),"Check - checklist is longer than the service allows",IF(S179&gt;=3,"Check - often skipped","OK")))))</f>
        <v>0</v>
      </c>
    </row>
    <row r="180" spans="1:24">
      <c r="A180" s="43">
        <f>IF(F180="","","CHK-"&amp;TEXT(ROW()-4,"0000"))</f>
        <v>0</v>
      </c>
      <c r="O180" s="34">
        <f>IF(F180="","",ROUND(IF(H180="",0,H180)/60,2))</f>
        <v>0</v>
      </c>
      <c r="P180" s="34">
        <f>IF(B180="","",ROUND(SUMIFS($H$5:$H$404,$B$5:$B$404,B180,$M$5:$M$404,"Yes")/60,2))</f>
        <v>0</v>
      </c>
      <c r="Q180" s="34">
        <f>IF(B180="","",IFERROR(INDEX(Services!$G$5:$G$64,MATCH(B180,Services!$B$5:$B$64,0)),""))</f>
        <v>0</v>
      </c>
      <c r="R180" s="31">
        <f>IF(F180="","",COUNTIFS('Job Tasks'!$G$5:$G$904,F180,'Job Tasks'!$H$5:$H$904,"Done"))</f>
        <v>0</v>
      </c>
      <c r="S180" s="31">
        <f>IF(F180="","",COUNTIFS('Job Tasks'!$G$5:$G$904,F180,'Job Tasks'!$H$5:$H$904,"Skipped"))</f>
        <v>0</v>
      </c>
      <c r="T180" s="31">
        <f>IF(F180="","",COUNTIFS('Job Tasks'!$G$5:$G$904,F180,'Job Tasks'!$H$5:$H$904,"Issue found"))</f>
        <v>0</v>
      </c>
      <c r="U180" s="39">
        <f>IF(F180="","",IF(R180+S180=0,"New",IF(S180/(R180+S180)&gt;0.25,"Often skipped","Working")))</f>
        <v>0</v>
      </c>
      <c r="V180" s="31">
        <f>IF(OR(B180="",F180=""),"",COUNTIFS($B$5:B180,B180))</f>
        <v>0</v>
      </c>
      <c r="W180" s="23">
        <f>IF(V180="","",B180&amp;"|"&amp;V180)</f>
        <v>0</v>
      </c>
      <c r="X180" s="39">
        <f>IF(F180="","",IF(B180="","Add - which service?",IF(H180="","Add - how many minutes?",IF(AND(Q180&lt;&gt;"",P180&gt;Q180+0.25),"Check - checklist is longer than the service allows",IF(S180&gt;=3,"Check - often skipped","OK")))))</f>
        <v>0</v>
      </c>
    </row>
    <row r="181" spans="1:24">
      <c r="A181" s="43">
        <f>IF(F181="","","CHK-"&amp;TEXT(ROW()-4,"0000"))</f>
        <v>0</v>
      </c>
      <c r="O181" s="34">
        <f>IF(F181="","",ROUND(IF(H181="",0,H181)/60,2))</f>
        <v>0</v>
      </c>
      <c r="P181" s="34">
        <f>IF(B181="","",ROUND(SUMIFS($H$5:$H$404,$B$5:$B$404,B181,$M$5:$M$404,"Yes")/60,2))</f>
        <v>0</v>
      </c>
      <c r="Q181" s="34">
        <f>IF(B181="","",IFERROR(INDEX(Services!$G$5:$G$64,MATCH(B181,Services!$B$5:$B$64,0)),""))</f>
        <v>0</v>
      </c>
      <c r="R181" s="31">
        <f>IF(F181="","",COUNTIFS('Job Tasks'!$G$5:$G$904,F181,'Job Tasks'!$H$5:$H$904,"Done"))</f>
        <v>0</v>
      </c>
      <c r="S181" s="31">
        <f>IF(F181="","",COUNTIFS('Job Tasks'!$G$5:$G$904,F181,'Job Tasks'!$H$5:$H$904,"Skipped"))</f>
        <v>0</v>
      </c>
      <c r="T181" s="31">
        <f>IF(F181="","",COUNTIFS('Job Tasks'!$G$5:$G$904,F181,'Job Tasks'!$H$5:$H$904,"Issue found"))</f>
        <v>0</v>
      </c>
      <c r="U181" s="39">
        <f>IF(F181="","",IF(R181+S181=0,"New",IF(S181/(R181+S181)&gt;0.25,"Often skipped","Working")))</f>
        <v>0</v>
      </c>
      <c r="V181" s="31">
        <f>IF(OR(B181="",F181=""),"",COUNTIFS($B$5:B181,B181))</f>
        <v>0</v>
      </c>
      <c r="W181" s="23">
        <f>IF(V181="","",B181&amp;"|"&amp;V181)</f>
        <v>0</v>
      </c>
      <c r="X181" s="39">
        <f>IF(F181="","",IF(B181="","Add - which service?",IF(H181="","Add - how many minutes?",IF(AND(Q181&lt;&gt;"",P181&gt;Q181+0.25),"Check - checklist is longer than the service allows",IF(S181&gt;=3,"Check - often skipped","OK")))))</f>
        <v>0</v>
      </c>
    </row>
    <row r="182" spans="1:24">
      <c r="A182" s="43">
        <f>IF(F182="","","CHK-"&amp;TEXT(ROW()-4,"0000"))</f>
        <v>0</v>
      </c>
      <c r="O182" s="34">
        <f>IF(F182="","",ROUND(IF(H182="",0,H182)/60,2))</f>
        <v>0</v>
      </c>
      <c r="P182" s="34">
        <f>IF(B182="","",ROUND(SUMIFS($H$5:$H$404,$B$5:$B$404,B182,$M$5:$M$404,"Yes")/60,2))</f>
        <v>0</v>
      </c>
      <c r="Q182" s="34">
        <f>IF(B182="","",IFERROR(INDEX(Services!$G$5:$G$64,MATCH(B182,Services!$B$5:$B$64,0)),""))</f>
        <v>0</v>
      </c>
      <c r="R182" s="31">
        <f>IF(F182="","",COUNTIFS('Job Tasks'!$G$5:$G$904,F182,'Job Tasks'!$H$5:$H$904,"Done"))</f>
        <v>0</v>
      </c>
      <c r="S182" s="31">
        <f>IF(F182="","",COUNTIFS('Job Tasks'!$G$5:$G$904,F182,'Job Tasks'!$H$5:$H$904,"Skipped"))</f>
        <v>0</v>
      </c>
      <c r="T182" s="31">
        <f>IF(F182="","",COUNTIFS('Job Tasks'!$G$5:$G$904,F182,'Job Tasks'!$H$5:$H$904,"Issue found"))</f>
        <v>0</v>
      </c>
      <c r="U182" s="39">
        <f>IF(F182="","",IF(R182+S182=0,"New",IF(S182/(R182+S182)&gt;0.25,"Often skipped","Working")))</f>
        <v>0</v>
      </c>
      <c r="V182" s="31">
        <f>IF(OR(B182="",F182=""),"",COUNTIFS($B$5:B182,B182))</f>
        <v>0</v>
      </c>
      <c r="W182" s="23">
        <f>IF(V182="","",B182&amp;"|"&amp;V182)</f>
        <v>0</v>
      </c>
      <c r="X182" s="39">
        <f>IF(F182="","",IF(B182="","Add - which service?",IF(H182="","Add - how many minutes?",IF(AND(Q182&lt;&gt;"",P182&gt;Q182+0.25),"Check - checklist is longer than the service allows",IF(S182&gt;=3,"Check - often skipped","OK")))))</f>
        <v>0</v>
      </c>
    </row>
    <row r="183" spans="1:24">
      <c r="A183" s="43">
        <f>IF(F183="","","CHK-"&amp;TEXT(ROW()-4,"0000"))</f>
        <v>0</v>
      </c>
      <c r="O183" s="34">
        <f>IF(F183="","",ROUND(IF(H183="",0,H183)/60,2))</f>
        <v>0</v>
      </c>
      <c r="P183" s="34">
        <f>IF(B183="","",ROUND(SUMIFS($H$5:$H$404,$B$5:$B$404,B183,$M$5:$M$404,"Yes")/60,2))</f>
        <v>0</v>
      </c>
      <c r="Q183" s="34">
        <f>IF(B183="","",IFERROR(INDEX(Services!$G$5:$G$64,MATCH(B183,Services!$B$5:$B$64,0)),""))</f>
        <v>0</v>
      </c>
      <c r="R183" s="31">
        <f>IF(F183="","",COUNTIFS('Job Tasks'!$G$5:$G$904,F183,'Job Tasks'!$H$5:$H$904,"Done"))</f>
        <v>0</v>
      </c>
      <c r="S183" s="31">
        <f>IF(F183="","",COUNTIFS('Job Tasks'!$G$5:$G$904,F183,'Job Tasks'!$H$5:$H$904,"Skipped"))</f>
        <v>0</v>
      </c>
      <c r="T183" s="31">
        <f>IF(F183="","",COUNTIFS('Job Tasks'!$G$5:$G$904,F183,'Job Tasks'!$H$5:$H$904,"Issue found"))</f>
        <v>0</v>
      </c>
      <c r="U183" s="39">
        <f>IF(F183="","",IF(R183+S183=0,"New",IF(S183/(R183+S183)&gt;0.25,"Often skipped","Working")))</f>
        <v>0</v>
      </c>
      <c r="V183" s="31">
        <f>IF(OR(B183="",F183=""),"",COUNTIFS($B$5:B183,B183))</f>
        <v>0</v>
      </c>
      <c r="W183" s="23">
        <f>IF(V183="","",B183&amp;"|"&amp;V183)</f>
        <v>0</v>
      </c>
      <c r="X183" s="39">
        <f>IF(F183="","",IF(B183="","Add - which service?",IF(H183="","Add - how many minutes?",IF(AND(Q183&lt;&gt;"",P183&gt;Q183+0.25),"Check - checklist is longer than the service allows",IF(S183&gt;=3,"Check - often skipped","OK")))))</f>
        <v>0</v>
      </c>
    </row>
    <row r="184" spans="1:24">
      <c r="A184" s="43">
        <f>IF(F184="","","CHK-"&amp;TEXT(ROW()-4,"0000"))</f>
        <v>0</v>
      </c>
      <c r="O184" s="34">
        <f>IF(F184="","",ROUND(IF(H184="",0,H184)/60,2))</f>
        <v>0</v>
      </c>
      <c r="P184" s="34">
        <f>IF(B184="","",ROUND(SUMIFS($H$5:$H$404,$B$5:$B$404,B184,$M$5:$M$404,"Yes")/60,2))</f>
        <v>0</v>
      </c>
      <c r="Q184" s="34">
        <f>IF(B184="","",IFERROR(INDEX(Services!$G$5:$G$64,MATCH(B184,Services!$B$5:$B$64,0)),""))</f>
        <v>0</v>
      </c>
      <c r="R184" s="31">
        <f>IF(F184="","",COUNTIFS('Job Tasks'!$G$5:$G$904,F184,'Job Tasks'!$H$5:$H$904,"Done"))</f>
        <v>0</v>
      </c>
      <c r="S184" s="31">
        <f>IF(F184="","",COUNTIFS('Job Tasks'!$G$5:$G$904,F184,'Job Tasks'!$H$5:$H$904,"Skipped"))</f>
        <v>0</v>
      </c>
      <c r="T184" s="31">
        <f>IF(F184="","",COUNTIFS('Job Tasks'!$G$5:$G$904,F184,'Job Tasks'!$H$5:$H$904,"Issue found"))</f>
        <v>0</v>
      </c>
      <c r="U184" s="39">
        <f>IF(F184="","",IF(R184+S184=0,"New",IF(S184/(R184+S184)&gt;0.25,"Often skipped","Working")))</f>
        <v>0</v>
      </c>
      <c r="V184" s="31">
        <f>IF(OR(B184="",F184=""),"",COUNTIFS($B$5:B184,B184))</f>
        <v>0</v>
      </c>
      <c r="W184" s="23">
        <f>IF(V184="","",B184&amp;"|"&amp;V184)</f>
        <v>0</v>
      </c>
      <c r="X184" s="39">
        <f>IF(F184="","",IF(B184="","Add - which service?",IF(H184="","Add - how many minutes?",IF(AND(Q184&lt;&gt;"",P184&gt;Q184+0.25),"Check - checklist is longer than the service allows",IF(S184&gt;=3,"Check - often skipped","OK")))))</f>
        <v>0</v>
      </c>
    </row>
    <row r="185" spans="1:24">
      <c r="A185" s="43">
        <f>IF(F185="","","CHK-"&amp;TEXT(ROW()-4,"0000"))</f>
        <v>0</v>
      </c>
      <c r="O185" s="34">
        <f>IF(F185="","",ROUND(IF(H185="",0,H185)/60,2))</f>
        <v>0</v>
      </c>
      <c r="P185" s="34">
        <f>IF(B185="","",ROUND(SUMIFS($H$5:$H$404,$B$5:$B$404,B185,$M$5:$M$404,"Yes")/60,2))</f>
        <v>0</v>
      </c>
      <c r="Q185" s="34">
        <f>IF(B185="","",IFERROR(INDEX(Services!$G$5:$G$64,MATCH(B185,Services!$B$5:$B$64,0)),""))</f>
        <v>0</v>
      </c>
      <c r="R185" s="31">
        <f>IF(F185="","",COUNTIFS('Job Tasks'!$G$5:$G$904,F185,'Job Tasks'!$H$5:$H$904,"Done"))</f>
        <v>0</v>
      </c>
      <c r="S185" s="31">
        <f>IF(F185="","",COUNTIFS('Job Tasks'!$G$5:$G$904,F185,'Job Tasks'!$H$5:$H$904,"Skipped"))</f>
        <v>0</v>
      </c>
      <c r="T185" s="31">
        <f>IF(F185="","",COUNTIFS('Job Tasks'!$G$5:$G$904,F185,'Job Tasks'!$H$5:$H$904,"Issue found"))</f>
        <v>0</v>
      </c>
      <c r="U185" s="39">
        <f>IF(F185="","",IF(R185+S185=0,"New",IF(S185/(R185+S185)&gt;0.25,"Often skipped","Working")))</f>
        <v>0</v>
      </c>
      <c r="V185" s="31">
        <f>IF(OR(B185="",F185=""),"",COUNTIFS($B$5:B185,B185))</f>
        <v>0</v>
      </c>
      <c r="W185" s="23">
        <f>IF(V185="","",B185&amp;"|"&amp;V185)</f>
        <v>0</v>
      </c>
      <c r="X185" s="39">
        <f>IF(F185="","",IF(B185="","Add - which service?",IF(H185="","Add - how many minutes?",IF(AND(Q185&lt;&gt;"",P185&gt;Q185+0.25),"Check - checklist is longer than the service allows",IF(S185&gt;=3,"Check - often skipped","OK")))))</f>
        <v>0</v>
      </c>
    </row>
    <row r="186" spans="1:24">
      <c r="A186" s="43">
        <f>IF(F186="","","CHK-"&amp;TEXT(ROW()-4,"0000"))</f>
        <v>0</v>
      </c>
      <c r="O186" s="34">
        <f>IF(F186="","",ROUND(IF(H186="",0,H186)/60,2))</f>
        <v>0</v>
      </c>
      <c r="P186" s="34">
        <f>IF(B186="","",ROUND(SUMIFS($H$5:$H$404,$B$5:$B$404,B186,$M$5:$M$404,"Yes")/60,2))</f>
        <v>0</v>
      </c>
      <c r="Q186" s="34">
        <f>IF(B186="","",IFERROR(INDEX(Services!$G$5:$G$64,MATCH(B186,Services!$B$5:$B$64,0)),""))</f>
        <v>0</v>
      </c>
      <c r="R186" s="31">
        <f>IF(F186="","",COUNTIFS('Job Tasks'!$G$5:$G$904,F186,'Job Tasks'!$H$5:$H$904,"Done"))</f>
        <v>0</v>
      </c>
      <c r="S186" s="31">
        <f>IF(F186="","",COUNTIFS('Job Tasks'!$G$5:$G$904,F186,'Job Tasks'!$H$5:$H$904,"Skipped"))</f>
        <v>0</v>
      </c>
      <c r="T186" s="31">
        <f>IF(F186="","",COUNTIFS('Job Tasks'!$G$5:$G$904,F186,'Job Tasks'!$H$5:$H$904,"Issue found"))</f>
        <v>0</v>
      </c>
      <c r="U186" s="39">
        <f>IF(F186="","",IF(R186+S186=0,"New",IF(S186/(R186+S186)&gt;0.25,"Often skipped","Working")))</f>
        <v>0</v>
      </c>
      <c r="V186" s="31">
        <f>IF(OR(B186="",F186=""),"",COUNTIFS($B$5:B186,B186))</f>
        <v>0</v>
      </c>
      <c r="W186" s="23">
        <f>IF(V186="","",B186&amp;"|"&amp;V186)</f>
        <v>0</v>
      </c>
      <c r="X186" s="39">
        <f>IF(F186="","",IF(B186="","Add - which service?",IF(H186="","Add - how many minutes?",IF(AND(Q186&lt;&gt;"",P186&gt;Q186+0.25),"Check - checklist is longer than the service allows",IF(S186&gt;=3,"Check - often skipped","OK")))))</f>
        <v>0</v>
      </c>
    </row>
    <row r="187" spans="1:24">
      <c r="A187" s="43">
        <f>IF(F187="","","CHK-"&amp;TEXT(ROW()-4,"0000"))</f>
        <v>0</v>
      </c>
      <c r="O187" s="34">
        <f>IF(F187="","",ROUND(IF(H187="",0,H187)/60,2))</f>
        <v>0</v>
      </c>
      <c r="P187" s="34">
        <f>IF(B187="","",ROUND(SUMIFS($H$5:$H$404,$B$5:$B$404,B187,$M$5:$M$404,"Yes")/60,2))</f>
        <v>0</v>
      </c>
      <c r="Q187" s="34">
        <f>IF(B187="","",IFERROR(INDEX(Services!$G$5:$G$64,MATCH(B187,Services!$B$5:$B$64,0)),""))</f>
        <v>0</v>
      </c>
      <c r="R187" s="31">
        <f>IF(F187="","",COUNTIFS('Job Tasks'!$G$5:$G$904,F187,'Job Tasks'!$H$5:$H$904,"Done"))</f>
        <v>0</v>
      </c>
      <c r="S187" s="31">
        <f>IF(F187="","",COUNTIFS('Job Tasks'!$G$5:$G$904,F187,'Job Tasks'!$H$5:$H$904,"Skipped"))</f>
        <v>0</v>
      </c>
      <c r="T187" s="31">
        <f>IF(F187="","",COUNTIFS('Job Tasks'!$G$5:$G$904,F187,'Job Tasks'!$H$5:$H$904,"Issue found"))</f>
        <v>0</v>
      </c>
      <c r="U187" s="39">
        <f>IF(F187="","",IF(R187+S187=0,"New",IF(S187/(R187+S187)&gt;0.25,"Often skipped","Working")))</f>
        <v>0</v>
      </c>
      <c r="V187" s="31">
        <f>IF(OR(B187="",F187=""),"",COUNTIFS($B$5:B187,B187))</f>
        <v>0</v>
      </c>
      <c r="W187" s="23">
        <f>IF(V187="","",B187&amp;"|"&amp;V187)</f>
        <v>0</v>
      </c>
      <c r="X187" s="39">
        <f>IF(F187="","",IF(B187="","Add - which service?",IF(H187="","Add - how many minutes?",IF(AND(Q187&lt;&gt;"",P187&gt;Q187+0.25),"Check - checklist is longer than the service allows",IF(S187&gt;=3,"Check - often skipped","OK")))))</f>
        <v>0</v>
      </c>
    </row>
    <row r="188" spans="1:24">
      <c r="A188" s="43">
        <f>IF(F188="","","CHK-"&amp;TEXT(ROW()-4,"0000"))</f>
        <v>0</v>
      </c>
      <c r="O188" s="34">
        <f>IF(F188="","",ROUND(IF(H188="",0,H188)/60,2))</f>
        <v>0</v>
      </c>
      <c r="P188" s="34">
        <f>IF(B188="","",ROUND(SUMIFS($H$5:$H$404,$B$5:$B$404,B188,$M$5:$M$404,"Yes")/60,2))</f>
        <v>0</v>
      </c>
      <c r="Q188" s="34">
        <f>IF(B188="","",IFERROR(INDEX(Services!$G$5:$G$64,MATCH(B188,Services!$B$5:$B$64,0)),""))</f>
        <v>0</v>
      </c>
      <c r="R188" s="31">
        <f>IF(F188="","",COUNTIFS('Job Tasks'!$G$5:$G$904,F188,'Job Tasks'!$H$5:$H$904,"Done"))</f>
        <v>0</v>
      </c>
      <c r="S188" s="31">
        <f>IF(F188="","",COUNTIFS('Job Tasks'!$G$5:$G$904,F188,'Job Tasks'!$H$5:$H$904,"Skipped"))</f>
        <v>0</v>
      </c>
      <c r="T188" s="31">
        <f>IF(F188="","",COUNTIFS('Job Tasks'!$G$5:$G$904,F188,'Job Tasks'!$H$5:$H$904,"Issue found"))</f>
        <v>0</v>
      </c>
      <c r="U188" s="39">
        <f>IF(F188="","",IF(R188+S188=0,"New",IF(S188/(R188+S188)&gt;0.25,"Often skipped","Working")))</f>
        <v>0</v>
      </c>
      <c r="V188" s="31">
        <f>IF(OR(B188="",F188=""),"",COUNTIFS($B$5:B188,B188))</f>
        <v>0</v>
      </c>
      <c r="W188" s="23">
        <f>IF(V188="","",B188&amp;"|"&amp;V188)</f>
        <v>0</v>
      </c>
      <c r="X188" s="39">
        <f>IF(F188="","",IF(B188="","Add - which service?",IF(H188="","Add - how many minutes?",IF(AND(Q188&lt;&gt;"",P188&gt;Q188+0.25),"Check - checklist is longer than the service allows",IF(S188&gt;=3,"Check - often skipped","OK")))))</f>
        <v>0</v>
      </c>
    </row>
    <row r="189" spans="1:24">
      <c r="A189" s="43">
        <f>IF(F189="","","CHK-"&amp;TEXT(ROW()-4,"0000"))</f>
        <v>0</v>
      </c>
      <c r="O189" s="34">
        <f>IF(F189="","",ROUND(IF(H189="",0,H189)/60,2))</f>
        <v>0</v>
      </c>
      <c r="P189" s="34">
        <f>IF(B189="","",ROUND(SUMIFS($H$5:$H$404,$B$5:$B$404,B189,$M$5:$M$404,"Yes")/60,2))</f>
        <v>0</v>
      </c>
      <c r="Q189" s="34">
        <f>IF(B189="","",IFERROR(INDEX(Services!$G$5:$G$64,MATCH(B189,Services!$B$5:$B$64,0)),""))</f>
        <v>0</v>
      </c>
      <c r="R189" s="31">
        <f>IF(F189="","",COUNTIFS('Job Tasks'!$G$5:$G$904,F189,'Job Tasks'!$H$5:$H$904,"Done"))</f>
        <v>0</v>
      </c>
      <c r="S189" s="31">
        <f>IF(F189="","",COUNTIFS('Job Tasks'!$G$5:$G$904,F189,'Job Tasks'!$H$5:$H$904,"Skipped"))</f>
        <v>0</v>
      </c>
      <c r="T189" s="31">
        <f>IF(F189="","",COUNTIFS('Job Tasks'!$G$5:$G$904,F189,'Job Tasks'!$H$5:$H$904,"Issue found"))</f>
        <v>0</v>
      </c>
      <c r="U189" s="39">
        <f>IF(F189="","",IF(R189+S189=0,"New",IF(S189/(R189+S189)&gt;0.25,"Often skipped","Working")))</f>
        <v>0</v>
      </c>
      <c r="V189" s="31">
        <f>IF(OR(B189="",F189=""),"",COUNTIFS($B$5:B189,B189))</f>
        <v>0</v>
      </c>
      <c r="W189" s="23">
        <f>IF(V189="","",B189&amp;"|"&amp;V189)</f>
        <v>0</v>
      </c>
      <c r="X189" s="39">
        <f>IF(F189="","",IF(B189="","Add - which service?",IF(H189="","Add - how many minutes?",IF(AND(Q189&lt;&gt;"",P189&gt;Q189+0.25),"Check - checklist is longer than the service allows",IF(S189&gt;=3,"Check - often skipped","OK")))))</f>
        <v>0</v>
      </c>
    </row>
    <row r="190" spans="1:24">
      <c r="A190" s="43">
        <f>IF(F190="","","CHK-"&amp;TEXT(ROW()-4,"0000"))</f>
        <v>0</v>
      </c>
      <c r="O190" s="34">
        <f>IF(F190="","",ROUND(IF(H190="",0,H190)/60,2))</f>
        <v>0</v>
      </c>
      <c r="P190" s="34">
        <f>IF(B190="","",ROUND(SUMIFS($H$5:$H$404,$B$5:$B$404,B190,$M$5:$M$404,"Yes")/60,2))</f>
        <v>0</v>
      </c>
      <c r="Q190" s="34">
        <f>IF(B190="","",IFERROR(INDEX(Services!$G$5:$G$64,MATCH(B190,Services!$B$5:$B$64,0)),""))</f>
        <v>0</v>
      </c>
      <c r="R190" s="31">
        <f>IF(F190="","",COUNTIFS('Job Tasks'!$G$5:$G$904,F190,'Job Tasks'!$H$5:$H$904,"Done"))</f>
        <v>0</v>
      </c>
      <c r="S190" s="31">
        <f>IF(F190="","",COUNTIFS('Job Tasks'!$G$5:$G$904,F190,'Job Tasks'!$H$5:$H$904,"Skipped"))</f>
        <v>0</v>
      </c>
      <c r="T190" s="31">
        <f>IF(F190="","",COUNTIFS('Job Tasks'!$G$5:$G$904,F190,'Job Tasks'!$H$5:$H$904,"Issue found"))</f>
        <v>0</v>
      </c>
      <c r="U190" s="39">
        <f>IF(F190="","",IF(R190+S190=0,"New",IF(S190/(R190+S190)&gt;0.25,"Often skipped","Working")))</f>
        <v>0</v>
      </c>
      <c r="V190" s="31">
        <f>IF(OR(B190="",F190=""),"",COUNTIFS($B$5:B190,B190))</f>
        <v>0</v>
      </c>
      <c r="W190" s="23">
        <f>IF(V190="","",B190&amp;"|"&amp;V190)</f>
        <v>0</v>
      </c>
      <c r="X190" s="39">
        <f>IF(F190="","",IF(B190="","Add - which service?",IF(H190="","Add - how many minutes?",IF(AND(Q190&lt;&gt;"",P190&gt;Q190+0.25),"Check - checklist is longer than the service allows",IF(S190&gt;=3,"Check - often skipped","OK")))))</f>
        <v>0</v>
      </c>
    </row>
    <row r="191" spans="1:24">
      <c r="A191" s="43">
        <f>IF(F191="","","CHK-"&amp;TEXT(ROW()-4,"0000"))</f>
        <v>0</v>
      </c>
      <c r="O191" s="34">
        <f>IF(F191="","",ROUND(IF(H191="",0,H191)/60,2))</f>
        <v>0</v>
      </c>
      <c r="P191" s="34">
        <f>IF(B191="","",ROUND(SUMIFS($H$5:$H$404,$B$5:$B$404,B191,$M$5:$M$404,"Yes")/60,2))</f>
        <v>0</v>
      </c>
      <c r="Q191" s="34">
        <f>IF(B191="","",IFERROR(INDEX(Services!$G$5:$G$64,MATCH(B191,Services!$B$5:$B$64,0)),""))</f>
        <v>0</v>
      </c>
      <c r="R191" s="31">
        <f>IF(F191="","",COUNTIFS('Job Tasks'!$G$5:$G$904,F191,'Job Tasks'!$H$5:$H$904,"Done"))</f>
        <v>0</v>
      </c>
      <c r="S191" s="31">
        <f>IF(F191="","",COUNTIFS('Job Tasks'!$G$5:$G$904,F191,'Job Tasks'!$H$5:$H$904,"Skipped"))</f>
        <v>0</v>
      </c>
      <c r="T191" s="31">
        <f>IF(F191="","",COUNTIFS('Job Tasks'!$G$5:$G$904,F191,'Job Tasks'!$H$5:$H$904,"Issue found"))</f>
        <v>0</v>
      </c>
      <c r="U191" s="39">
        <f>IF(F191="","",IF(R191+S191=0,"New",IF(S191/(R191+S191)&gt;0.25,"Often skipped","Working")))</f>
        <v>0</v>
      </c>
      <c r="V191" s="31">
        <f>IF(OR(B191="",F191=""),"",COUNTIFS($B$5:B191,B191))</f>
        <v>0</v>
      </c>
      <c r="W191" s="23">
        <f>IF(V191="","",B191&amp;"|"&amp;V191)</f>
        <v>0</v>
      </c>
      <c r="X191" s="39">
        <f>IF(F191="","",IF(B191="","Add - which service?",IF(H191="","Add - how many minutes?",IF(AND(Q191&lt;&gt;"",P191&gt;Q191+0.25),"Check - checklist is longer than the service allows",IF(S191&gt;=3,"Check - often skipped","OK")))))</f>
        <v>0</v>
      </c>
    </row>
    <row r="192" spans="1:24">
      <c r="A192" s="43">
        <f>IF(F192="","","CHK-"&amp;TEXT(ROW()-4,"0000"))</f>
        <v>0</v>
      </c>
      <c r="O192" s="34">
        <f>IF(F192="","",ROUND(IF(H192="",0,H192)/60,2))</f>
        <v>0</v>
      </c>
      <c r="P192" s="34">
        <f>IF(B192="","",ROUND(SUMIFS($H$5:$H$404,$B$5:$B$404,B192,$M$5:$M$404,"Yes")/60,2))</f>
        <v>0</v>
      </c>
      <c r="Q192" s="34">
        <f>IF(B192="","",IFERROR(INDEX(Services!$G$5:$G$64,MATCH(B192,Services!$B$5:$B$64,0)),""))</f>
        <v>0</v>
      </c>
      <c r="R192" s="31">
        <f>IF(F192="","",COUNTIFS('Job Tasks'!$G$5:$G$904,F192,'Job Tasks'!$H$5:$H$904,"Done"))</f>
        <v>0</v>
      </c>
      <c r="S192" s="31">
        <f>IF(F192="","",COUNTIFS('Job Tasks'!$G$5:$G$904,F192,'Job Tasks'!$H$5:$H$904,"Skipped"))</f>
        <v>0</v>
      </c>
      <c r="T192" s="31">
        <f>IF(F192="","",COUNTIFS('Job Tasks'!$G$5:$G$904,F192,'Job Tasks'!$H$5:$H$904,"Issue found"))</f>
        <v>0</v>
      </c>
      <c r="U192" s="39">
        <f>IF(F192="","",IF(R192+S192=0,"New",IF(S192/(R192+S192)&gt;0.25,"Often skipped","Working")))</f>
        <v>0</v>
      </c>
      <c r="V192" s="31">
        <f>IF(OR(B192="",F192=""),"",COUNTIFS($B$5:B192,B192))</f>
        <v>0</v>
      </c>
      <c r="W192" s="23">
        <f>IF(V192="","",B192&amp;"|"&amp;V192)</f>
        <v>0</v>
      </c>
      <c r="X192" s="39">
        <f>IF(F192="","",IF(B192="","Add - which service?",IF(H192="","Add - how many minutes?",IF(AND(Q192&lt;&gt;"",P192&gt;Q192+0.25),"Check - checklist is longer than the service allows",IF(S192&gt;=3,"Check - often skipped","OK")))))</f>
        <v>0</v>
      </c>
    </row>
    <row r="193" spans="1:24">
      <c r="A193" s="43">
        <f>IF(F193="","","CHK-"&amp;TEXT(ROW()-4,"0000"))</f>
        <v>0</v>
      </c>
      <c r="O193" s="34">
        <f>IF(F193="","",ROUND(IF(H193="",0,H193)/60,2))</f>
        <v>0</v>
      </c>
      <c r="P193" s="34">
        <f>IF(B193="","",ROUND(SUMIFS($H$5:$H$404,$B$5:$B$404,B193,$M$5:$M$404,"Yes")/60,2))</f>
        <v>0</v>
      </c>
      <c r="Q193" s="34">
        <f>IF(B193="","",IFERROR(INDEX(Services!$G$5:$G$64,MATCH(B193,Services!$B$5:$B$64,0)),""))</f>
        <v>0</v>
      </c>
      <c r="R193" s="31">
        <f>IF(F193="","",COUNTIFS('Job Tasks'!$G$5:$G$904,F193,'Job Tasks'!$H$5:$H$904,"Done"))</f>
        <v>0</v>
      </c>
      <c r="S193" s="31">
        <f>IF(F193="","",COUNTIFS('Job Tasks'!$G$5:$G$904,F193,'Job Tasks'!$H$5:$H$904,"Skipped"))</f>
        <v>0</v>
      </c>
      <c r="T193" s="31">
        <f>IF(F193="","",COUNTIFS('Job Tasks'!$G$5:$G$904,F193,'Job Tasks'!$H$5:$H$904,"Issue found"))</f>
        <v>0</v>
      </c>
      <c r="U193" s="39">
        <f>IF(F193="","",IF(R193+S193=0,"New",IF(S193/(R193+S193)&gt;0.25,"Often skipped","Working")))</f>
        <v>0</v>
      </c>
      <c r="V193" s="31">
        <f>IF(OR(B193="",F193=""),"",COUNTIFS($B$5:B193,B193))</f>
        <v>0</v>
      </c>
      <c r="W193" s="23">
        <f>IF(V193="","",B193&amp;"|"&amp;V193)</f>
        <v>0</v>
      </c>
      <c r="X193" s="39">
        <f>IF(F193="","",IF(B193="","Add - which service?",IF(H193="","Add - how many minutes?",IF(AND(Q193&lt;&gt;"",P193&gt;Q193+0.25),"Check - checklist is longer than the service allows",IF(S193&gt;=3,"Check - often skipped","OK")))))</f>
        <v>0</v>
      </c>
    </row>
    <row r="194" spans="1:24">
      <c r="A194" s="43">
        <f>IF(F194="","","CHK-"&amp;TEXT(ROW()-4,"0000"))</f>
        <v>0</v>
      </c>
      <c r="O194" s="34">
        <f>IF(F194="","",ROUND(IF(H194="",0,H194)/60,2))</f>
        <v>0</v>
      </c>
      <c r="P194" s="34">
        <f>IF(B194="","",ROUND(SUMIFS($H$5:$H$404,$B$5:$B$404,B194,$M$5:$M$404,"Yes")/60,2))</f>
        <v>0</v>
      </c>
      <c r="Q194" s="34">
        <f>IF(B194="","",IFERROR(INDEX(Services!$G$5:$G$64,MATCH(B194,Services!$B$5:$B$64,0)),""))</f>
        <v>0</v>
      </c>
      <c r="R194" s="31">
        <f>IF(F194="","",COUNTIFS('Job Tasks'!$G$5:$G$904,F194,'Job Tasks'!$H$5:$H$904,"Done"))</f>
        <v>0</v>
      </c>
      <c r="S194" s="31">
        <f>IF(F194="","",COUNTIFS('Job Tasks'!$G$5:$G$904,F194,'Job Tasks'!$H$5:$H$904,"Skipped"))</f>
        <v>0</v>
      </c>
      <c r="T194" s="31">
        <f>IF(F194="","",COUNTIFS('Job Tasks'!$G$5:$G$904,F194,'Job Tasks'!$H$5:$H$904,"Issue found"))</f>
        <v>0</v>
      </c>
      <c r="U194" s="39">
        <f>IF(F194="","",IF(R194+S194=0,"New",IF(S194/(R194+S194)&gt;0.25,"Often skipped","Working")))</f>
        <v>0</v>
      </c>
      <c r="V194" s="31">
        <f>IF(OR(B194="",F194=""),"",COUNTIFS($B$5:B194,B194))</f>
        <v>0</v>
      </c>
      <c r="W194" s="23">
        <f>IF(V194="","",B194&amp;"|"&amp;V194)</f>
        <v>0</v>
      </c>
      <c r="X194" s="39">
        <f>IF(F194="","",IF(B194="","Add - which service?",IF(H194="","Add - how many minutes?",IF(AND(Q194&lt;&gt;"",P194&gt;Q194+0.25),"Check - checklist is longer than the service allows",IF(S194&gt;=3,"Check - often skipped","OK")))))</f>
        <v>0</v>
      </c>
    </row>
    <row r="195" spans="1:24">
      <c r="A195" s="43">
        <f>IF(F195="","","CHK-"&amp;TEXT(ROW()-4,"0000"))</f>
        <v>0</v>
      </c>
      <c r="O195" s="34">
        <f>IF(F195="","",ROUND(IF(H195="",0,H195)/60,2))</f>
        <v>0</v>
      </c>
      <c r="P195" s="34">
        <f>IF(B195="","",ROUND(SUMIFS($H$5:$H$404,$B$5:$B$404,B195,$M$5:$M$404,"Yes")/60,2))</f>
        <v>0</v>
      </c>
      <c r="Q195" s="34">
        <f>IF(B195="","",IFERROR(INDEX(Services!$G$5:$G$64,MATCH(B195,Services!$B$5:$B$64,0)),""))</f>
        <v>0</v>
      </c>
      <c r="R195" s="31">
        <f>IF(F195="","",COUNTIFS('Job Tasks'!$G$5:$G$904,F195,'Job Tasks'!$H$5:$H$904,"Done"))</f>
        <v>0</v>
      </c>
      <c r="S195" s="31">
        <f>IF(F195="","",COUNTIFS('Job Tasks'!$G$5:$G$904,F195,'Job Tasks'!$H$5:$H$904,"Skipped"))</f>
        <v>0</v>
      </c>
      <c r="T195" s="31">
        <f>IF(F195="","",COUNTIFS('Job Tasks'!$G$5:$G$904,F195,'Job Tasks'!$H$5:$H$904,"Issue found"))</f>
        <v>0</v>
      </c>
      <c r="U195" s="39">
        <f>IF(F195="","",IF(R195+S195=0,"New",IF(S195/(R195+S195)&gt;0.25,"Often skipped","Working")))</f>
        <v>0</v>
      </c>
      <c r="V195" s="31">
        <f>IF(OR(B195="",F195=""),"",COUNTIFS($B$5:B195,B195))</f>
        <v>0</v>
      </c>
      <c r="W195" s="23">
        <f>IF(V195="","",B195&amp;"|"&amp;V195)</f>
        <v>0</v>
      </c>
      <c r="X195" s="39">
        <f>IF(F195="","",IF(B195="","Add - which service?",IF(H195="","Add - how many minutes?",IF(AND(Q195&lt;&gt;"",P195&gt;Q195+0.25),"Check - checklist is longer than the service allows",IF(S195&gt;=3,"Check - often skipped","OK")))))</f>
        <v>0</v>
      </c>
    </row>
    <row r="196" spans="1:24">
      <c r="A196" s="43">
        <f>IF(F196="","","CHK-"&amp;TEXT(ROW()-4,"0000"))</f>
        <v>0</v>
      </c>
      <c r="O196" s="34">
        <f>IF(F196="","",ROUND(IF(H196="",0,H196)/60,2))</f>
        <v>0</v>
      </c>
      <c r="P196" s="34">
        <f>IF(B196="","",ROUND(SUMIFS($H$5:$H$404,$B$5:$B$404,B196,$M$5:$M$404,"Yes")/60,2))</f>
        <v>0</v>
      </c>
      <c r="Q196" s="34">
        <f>IF(B196="","",IFERROR(INDEX(Services!$G$5:$G$64,MATCH(B196,Services!$B$5:$B$64,0)),""))</f>
        <v>0</v>
      </c>
      <c r="R196" s="31">
        <f>IF(F196="","",COUNTIFS('Job Tasks'!$G$5:$G$904,F196,'Job Tasks'!$H$5:$H$904,"Done"))</f>
        <v>0</v>
      </c>
      <c r="S196" s="31">
        <f>IF(F196="","",COUNTIFS('Job Tasks'!$G$5:$G$904,F196,'Job Tasks'!$H$5:$H$904,"Skipped"))</f>
        <v>0</v>
      </c>
      <c r="T196" s="31">
        <f>IF(F196="","",COUNTIFS('Job Tasks'!$G$5:$G$904,F196,'Job Tasks'!$H$5:$H$904,"Issue found"))</f>
        <v>0</v>
      </c>
      <c r="U196" s="39">
        <f>IF(F196="","",IF(R196+S196=0,"New",IF(S196/(R196+S196)&gt;0.25,"Often skipped","Working")))</f>
        <v>0</v>
      </c>
      <c r="V196" s="31">
        <f>IF(OR(B196="",F196=""),"",COUNTIFS($B$5:B196,B196))</f>
        <v>0</v>
      </c>
      <c r="W196" s="23">
        <f>IF(V196="","",B196&amp;"|"&amp;V196)</f>
        <v>0</v>
      </c>
      <c r="X196" s="39">
        <f>IF(F196="","",IF(B196="","Add - which service?",IF(H196="","Add - how many minutes?",IF(AND(Q196&lt;&gt;"",P196&gt;Q196+0.25),"Check - checklist is longer than the service allows",IF(S196&gt;=3,"Check - often skipped","OK")))))</f>
        <v>0</v>
      </c>
    </row>
    <row r="197" spans="1:24">
      <c r="A197" s="43">
        <f>IF(F197="","","CHK-"&amp;TEXT(ROW()-4,"0000"))</f>
        <v>0</v>
      </c>
      <c r="O197" s="34">
        <f>IF(F197="","",ROUND(IF(H197="",0,H197)/60,2))</f>
        <v>0</v>
      </c>
      <c r="P197" s="34">
        <f>IF(B197="","",ROUND(SUMIFS($H$5:$H$404,$B$5:$B$404,B197,$M$5:$M$404,"Yes")/60,2))</f>
        <v>0</v>
      </c>
      <c r="Q197" s="34">
        <f>IF(B197="","",IFERROR(INDEX(Services!$G$5:$G$64,MATCH(B197,Services!$B$5:$B$64,0)),""))</f>
        <v>0</v>
      </c>
      <c r="R197" s="31">
        <f>IF(F197="","",COUNTIFS('Job Tasks'!$G$5:$G$904,F197,'Job Tasks'!$H$5:$H$904,"Done"))</f>
        <v>0</v>
      </c>
      <c r="S197" s="31">
        <f>IF(F197="","",COUNTIFS('Job Tasks'!$G$5:$G$904,F197,'Job Tasks'!$H$5:$H$904,"Skipped"))</f>
        <v>0</v>
      </c>
      <c r="T197" s="31">
        <f>IF(F197="","",COUNTIFS('Job Tasks'!$G$5:$G$904,F197,'Job Tasks'!$H$5:$H$904,"Issue found"))</f>
        <v>0</v>
      </c>
      <c r="U197" s="39">
        <f>IF(F197="","",IF(R197+S197=0,"New",IF(S197/(R197+S197)&gt;0.25,"Often skipped","Working")))</f>
        <v>0</v>
      </c>
      <c r="V197" s="31">
        <f>IF(OR(B197="",F197=""),"",COUNTIFS($B$5:B197,B197))</f>
        <v>0</v>
      </c>
      <c r="W197" s="23">
        <f>IF(V197="","",B197&amp;"|"&amp;V197)</f>
        <v>0</v>
      </c>
      <c r="X197" s="39">
        <f>IF(F197="","",IF(B197="","Add - which service?",IF(H197="","Add - how many minutes?",IF(AND(Q197&lt;&gt;"",P197&gt;Q197+0.25),"Check - checklist is longer than the service allows",IF(S197&gt;=3,"Check - often skipped","OK")))))</f>
        <v>0</v>
      </c>
    </row>
    <row r="198" spans="1:24">
      <c r="A198" s="43">
        <f>IF(F198="","","CHK-"&amp;TEXT(ROW()-4,"0000"))</f>
        <v>0</v>
      </c>
      <c r="O198" s="34">
        <f>IF(F198="","",ROUND(IF(H198="",0,H198)/60,2))</f>
        <v>0</v>
      </c>
      <c r="P198" s="34">
        <f>IF(B198="","",ROUND(SUMIFS($H$5:$H$404,$B$5:$B$404,B198,$M$5:$M$404,"Yes")/60,2))</f>
        <v>0</v>
      </c>
      <c r="Q198" s="34">
        <f>IF(B198="","",IFERROR(INDEX(Services!$G$5:$G$64,MATCH(B198,Services!$B$5:$B$64,0)),""))</f>
        <v>0</v>
      </c>
      <c r="R198" s="31">
        <f>IF(F198="","",COUNTIFS('Job Tasks'!$G$5:$G$904,F198,'Job Tasks'!$H$5:$H$904,"Done"))</f>
        <v>0</v>
      </c>
      <c r="S198" s="31">
        <f>IF(F198="","",COUNTIFS('Job Tasks'!$G$5:$G$904,F198,'Job Tasks'!$H$5:$H$904,"Skipped"))</f>
        <v>0</v>
      </c>
      <c r="T198" s="31">
        <f>IF(F198="","",COUNTIFS('Job Tasks'!$G$5:$G$904,F198,'Job Tasks'!$H$5:$H$904,"Issue found"))</f>
        <v>0</v>
      </c>
      <c r="U198" s="39">
        <f>IF(F198="","",IF(R198+S198=0,"New",IF(S198/(R198+S198)&gt;0.25,"Often skipped","Working")))</f>
        <v>0</v>
      </c>
      <c r="V198" s="31">
        <f>IF(OR(B198="",F198=""),"",COUNTIFS($B$5:B198,B198))</f>
        <v>0</v>
      </c>
      <c r="W198" s="23">
        <f>IF(V198="","",B198&amp;"|"&amp;V198)</f>
        <v>0</v>
      </c>
      <c r="X198" s="39">
        <f>IF(F198="","",IF(B198="","Add - which service?",IF(H198="","Add - how many minutes?",IF(AND(Q198&lt;&gt;"",P198&gt;Q198+0.25),"Check - checklist is longer than the service allows",IF(S198&gt;=3,"Check - often skipped","OK")))))</f>
        <v>0</v>
      </c>
    </row>
    <row r="199" spans="1:24">
      <c r="A199" s="43">
        <f>IF(F199="","","CHK-"&amp;TEXT(ROW()-4,"0000"))</f>
        <v>0</v>
      </c>
      <c r="O199" s="34">
        <f>IF(F199="","",ROUND(IF(H199="",0,H199)/60,2))</f>
        <v>0</v>
      </c>
      <c r="P199" s="34">
        <f>IF(B199="","",ROUND(SUMIFS($H$5:$H$404,$B$5:$B$404,B199,$M$5:$M$404,"Yes")/60,2))</f>
        <v>0</v>
      </c>
      <c r="Q199" s="34">
        <f>IF(B199="","",IFERROR(INDEX(Services!$G$5:$G$64,MATCH(B199,Services!$B$5:$B$64,0)),""))</f>
        <v>0</v>
      </c>
      <c r="R199" s="31">
        <f>IF(F199="","",COUNTIFS('Job Tasks'!$G$5:$G$904,F199,'Job Tasks'!$H$5:$H$904,"Done"))</f>
        <v>0</v>
      </c>
      <c r="S199" s="31">
        <f>IF(F199="","",COUNTIFS('Job Tasks'!$G$5:$G$904,F199,'Job Tasks'!$H$5:$H$904,"Skipped"))</f>
        <v>0</v>
      </c>
      <c r="T199" s="31">
        <f>IF(F199="","",COUNTIFS('Job Tasks'!$G$5:$G$904,F199,'Job Tasks'!$H$5:$H$904,"Issue found"))</f>
        <v>0</v>
      </c>
      <c r="U199" s="39">
        <f>IF(F199="","",IF(R199+S199=0,"New",IF(S199/(R199+S199)&gt;0.25,"Often skipped","Working")))</f>
        <v>0</v>
      </c>
      <c r="V199" s="31">
        <f>IF(OR(B199="",F199=""),"",COUNTIFS($B$5:B199,B199))</f>
        <v>0</v>
      </c>
      <c r="W199" s="23">
        <f>IF(V199="","",B199&amp;"|"&amp;V199)</f>
        <v>0</v>
      </c>
      <c r="X199" s="39">
        <f>IF(F199="","",IF(B199="","Add - which service?",IF(H199="","Add - how many minutes?",IF(AND(Q199&lt;&gt;"",P199&gt;Q199+0.25),"Check - checklist is longer than the service allows",IF(S199&gt;=3,"Check - often skipped","OK")))))</f>
        <v>0</v>
      </c>
    </row>
    <row r="200" spans="1:24">
      <c r="A200" s="43">
        <f>IF(F200="","","CHK-"&amp;TEXT(ROW()-4,"0000"))</f>
        <v>0</v>
      </c>
      <c r="O200" s="34">
        <f>IF(F200="","",ROUND(IF(H200="",0,H200)/60,2))</f>
        <v>0</v>
      </c>
      <c r="P200" s="34">
        <f>IF(B200="","",ROUND(SUMIFS($H$5:$H$404,$B$5:$B$404,B200,$M$5:$M$404,"Yes")/60,2))</f>
        <v>0</v>
      </c>
      <c r="Q200" s="34">
        <f>IF(B200="","",IFERROR(INDEX(Services!$G$5:$G$64,MATCH(B200,Services!$B$5:$B$64,0)),""))</f>
        <v>0</v>
      </c>
      <c r="R200" s="31">
        <f>IF(F200="","",COUNTIFS('Job Tasks'!$G$5:$G$904,F200,'Job Tasks'!$H$5:$H$904,"Done"))</f>
        <v>0</v>
      </c>
      <c r="S200" s="31">
        <f>IF(F200="","",COUNTIFS('Job Tasks'!$G$5:$G$904,F200,'Job Tasks'!$H$5:$H$904,"Skipped"))</f>
        <v>0</v>
      </c>
      <c r="T200" s="31">
        <f>IF(F200="","",COUNTIFS('Job Tasks'!$G$5:$G$904,F200,'Job Tasks'!$H$5:$H$904,"Issue found"))</f>
        <v>0</v>
      </c>
      <c r="U200" s="39">
        <f>IF(F200="","",IF(R200+S200=0,"New",IF(S200/(R200+S200)&gt;0.25,"Often skipped","Working")))</f>
        <v>0</v>
      </c>
      <c r="V200" s="31">
        <f>IF(OR(B200="",F200=""),"",COUNTIFS($B$5:B200,B200))</f>
        <v>0</v>
      </c>
      <c r="W200" s="23">
        <f>IF(V200="","",B200&amp;"|"&amp;V200)</f>
        <v>0</v>
      </c>
      <c r="X200" s="39">
        <f>IF(F200="","",IF(B200="","Add - which service?",IF(H200="","Add - how many minutes?",IF(AND(Q200&lt;&gt;"",P200&gt;Q200+0.25),"Check - checklist is longer than the service allows",IF(S200&gt;=3,"Check - often skipped","OK")))))</f>
        <v>0</v>
      </c>
    </row>
    <row r="201" spans="1:24">
      <c r="A201" s="43">
        <f>IF(F201="","","CHK-"&amp;TEXT(ROW()-4,"0000"))</f>
        <v>0</v>
      </c>
      <c r="O201" s="34">
        <f>IF(F201="","",ROUND(IF(H201="",0,H201)/60,2))</f>
        <v>0</v>
      </c>
      <c r="P201" s="34">
        <f>IF(B201="","",ROUND(SUMIFS($H$5:$H$404,$B$5:$B$404,B201,$M$5:$M$404,"Yes")/60,2))</f>
        <v>0</v>
      </c>
      <c r="Q201" s="34">
        <f>IF(B201="","",IFERROR(INDEX(Services!$G$5:$G$64,MATCH(B201,Services!$B$5:$B$64,0)),""))</f>
        <v>0</v>
      </c>
      <c r="R201" s="31">
        <f>IF(F201="","",COUNTIFS('Job Tasks'!$G$5:$G$904,F201,'Job Tasks'!$H$5:$H$904,"Done"))</f>
        <v>0</v>
      </c>
      <c r="S201" s="31">
        <f>IF(F201="","",COUNTIFS('Job Tasks'!$G$5:$G$904,F201,'Job Tasks'!$H$5:$H$904,"Skipped"))</f>
        <v>0</v>
      </c>
      <c r="T201" s="31">
        <f>IF(F201="","",COUNTIFS('Job Tasks'!$G$5:$G$904,F201,'Job Tasks'!$H$5:$H$904,"Issue found"))</f>
        <v>0</v>
      </c>
      <c r="U201" s="39">
        <f>IF(F201="","",IF(R201+S201=0,"New",IF(S201/(R201+S201)&gt;0.25,"Often skipped","Working")))</f>
        <v>0</v>
      </c>
      <c r="V201" s="31">
        <f>IF(OR(B201="",F201=""),"",COUNTIFS($B$5:B201,B201))</f>
        <v>0</v>
      </c>
      <c r="W201" s="23">
        <f>IF(V201="","",B201&amp;"|"&amp;V201)</f>
        <v>0</v>
      </c>
      <c r="X201" s="39">
        <f>IF(F201="","",IF(B201="","Add - which service?",IF(H201="","Add - how many minutes?",IF(AND(Q201&lt;&gt;"",P201&gt;Q201+0.25),"Check - checklist is longer than the service allows",IF(S201&gt;=3,"Check - often skipped","OK")))))</f>
        <v>0</v>
      </c>
    </row>
    <row r="202" spans="1:24">
      <c r="A202" s="43">
        <f>IF(F202="","","CHK-"&amp;TEXT(ROW()-4,"0000"))</f>
        <v>0</v>
      </c>
      <c r="O202" s="34">
        <f>IF(F202="","",ROUND(IF(H202="",0,H202)/60,2))</f>
        <v>0</v>
      </c>
      <c r="P202" s="34">
        <f>IF(B202="","",ROUND(SUMIFS($H$5:$H$404,$B$5:$B$404,B202,$M$5:$M$404,"Yes")/60,2))</f>
        <v>0</v>
      </c>
      <c r="Q202" s="34">
        <f>IF(B202="","",IFERROR(INDEX(Services!$G$5:$G$64,MATCH(B202,Services!$B$5:$B$64,0)),""))</f>
        <v>0</v>
      </c>
      <c r="R202" s="31">
        <f>IF(F202="","",COUNTIFS('Job Tasks'!$G$5:$G$904,F202,'Job Tasks'!$H$5:$H$904,"Done"))</f>
        <v>0</v>
      </c>
      <c r="S202" s="31">
        <f>IF(F202="","",COUNTIFS('Job Tasks'!$G$5:$G$904,F202,'Job Tasks'!$H$5:$H$904,"Skipped"))</f>
        <v>0</v>
      </c>
      <c r="T202" s="31">
        <f>IF(F202="","",COUNTIFS('Job Tasks'!$G$5:$G$904,F202,'Job Tasks'!$H$5:$H$904,"Issue found"))</f>
        <v>0</v>
      </c>
      <c r="U202" s="39">
        <f>IF(F202="","",IF(R202+S202=0,"New",IF(S202/(R202+S202)&gt;0.25,"Often skipped","Working")))</f>
        <v>0</v>
      </c>
      <c r="V202" s="31">
        <f>IF(OR(B202="",F202=""),"",COUNTIFS($B$5:B202,B202))</f>
        <v>0</v>
      </c>
      <c r="W202" s="23">
        <f>IF(V202="","",B202&amp;"|"&amp;V202)</f>
        <v>0</v>
      </c>
      <c r="X202" s="39">
        <f>IF(F202="","",IF(B202="","Add - which service?",IF(H202="","Add - how many minutes?",IF(AND(Q202&lt;&gt;"",P202&gt;Q202+0.25),"Check - checklist is longer than the service allows",IF(S202&gt;=3,"Check - often skipped","OK")))))</f>
        <v>0</v>
      </c>
    </row>
    <row r="203" spans="1:24">
      <c r="A203" s="43">
        <f>IF(F203="","","CHK-"&amp;TEXT(ROW()-4,"0000"))</f>
        <v>0</v>
      </c>
      <c r="O203" s="34">
        <f>IF(F203="","",ROUND(IF(H203="",0,H203)/60,2))</f>
        <v>0</v>
      </c>
      <c r="P203" s="34">
        <f>IF(B203="","",ROUND(SUMIFS($H$5:$H$404,$B$5:$B$404,B203,$M$5:$M$404,"Yes")/60,2))</f>
        <v>0</v>
      </c>
      <c r="Q203" s="34">
        <f>IF(B203="","",IFERROR(INDEX(Services!$G$5:$G$64,MATCH(B203,Services!$B$5:$B$64,0)),""))</f>
        <v>0</v>
      </c>
      <c r="R203" s="31">
        <f>IF(F203="","",COUNTIFS('Job Tasks'!$G$5:$G$904,F203,'Job Tasks'!$H$5:$H$904,"Done"))</f>
        <v>0</v>
      </c>
      <c r="S203" s="31">
        <f>IF(F203="","",COUNTIFS('Job Tasks'!$G$5:$G$904,F203,'Job Tasks'!$H$5:$H$904,"Skipped"))</f>
        <v>0</v>
      </c>
      <c r="T203" s="31">
        <f>IF(F203="","",COUNTIFS('Job Tasks'!$G$5:$G$904,F203,'Job Tasks'!$H$5:$H$904,"Issue found"))</f>
        <v>0</v>
      </c>
      <c r="U203" s="39">
        <f>IF(F203="","",IF(R203+S203=0,"New",IF(S203/(R203+S203)&gt;0.25,"Often skipped","Working")))</f>
        <v>0</v>
      </c>
      <c r="V203" s="31">
        <f>IF(OR(B203="",F203=""),"",COUNTIFS($B$5:B203,B203))</f>
        <v>0</v>
      </c>
      <c r="W203" s="23">
        <f>IF(V203="","",B203&amp;"|"&amp;V203)</f>
        <v>0</v>
      </c>
      <c r="X203" s="39">
        <f>IF(F203="","",IF(B203="","Add - which service?",IF(H203="","Add - how many minutes?",IF(AND(Q203&lt;&gt;"",P203&gt;Q203+0.25),"Check - checklist is longer than the service allows",IF(S203&gt;=3,"Check - often skipped","OK")))))</f>
        <v>0</v>
      </c>
    </row>
    <row r="204" spans="1:24">
      <c r="A204" s="43">
        <f>IF(F204="","","CHK-"&amp;TEXT(ROW()-4,"0000"))</f>
        <v>0</v>
      </c>
      <c r="O204" s="34">
        <f>IF(F204="","",ROUND(IF(H204="",0,H204)/60,2))</f>
        <v>0</v>
      </c>
      <c r="P204" s="34">
        <f>IF(B204="","",ROUND(SUMIFS($H$5:$H$404,$B$5:$B$404,B204,$M$5:$M$404,"Yes")/60,2))</f>
        <v>0</v>
      </c>
      <c r="Q204" s="34">
        <f>IF(B204="","",IFERROR(INDEX(Services!$G$5:$G$64,MATCH(B204,Services!$B$5:$B$64,0)),""))</f>
        <v>0</v>
      </c>
      <c r="R204" s="31">
        <f>IF(F204="","",COUNTIFS('Job Tasks'!$G$5:$G$904,F204,'Job Tasks'!$H$5:$H$904,"Done"))</f>
        <v>0</v>
      </c>
      <c r="S204" s="31">
        <f>IF(F204="","",COUNTIFS('Job Tasks'!$G$5:$G$904,F204,'Job Tasks'!$H$5:$H$904,"Skipped"))</f>
        <v>0</v>
      </c>
      <c r="T204" s="31">
        <f>IF(F204="","",COUNTIFS('Job Tasks'!$G$5:$G$904,F204,'Job Tasks'!$H$5:$H$904,"Issue found"))</f>
        <v>0</v>
      </c>
      <c r="U204" s="39">
        <f>IF(F204="","",IF(R204+S204=0,"New",IF(S204/(R204+S204)&gt;0.25,"Often skipped","Working")))</f>
        <v>0</v>
      </c>
      <c r="V204" s="31">
        <f>IF(OR(B204="",F204=""),"",COUNTIFS($B$5:B204,B204))</f>
        <v>0</v>
      </c>
      <c r="W204" s="23">
        <f>IF(V204="","",B204&amp;"|"&amp;V204)</f>
        <v>0</v>
      </c>
      <c r="X204" s="39">
        <f>IF(F204="","",IF(B204="","Add - which service?",IF(H204="","Add - how many minutes?",IF(AND(Q204&lt;&gt;"",P204&gt;Q204+0.25),"Check - checklist is longer than the service allows",IF(S204&gt;=3,"Check - often skipped","OK")))))</f>
        <v>0</v>
      </c>
    </row>
    <row r="205" spans="1:24">
      <c r="A205" s="43">
        <f>IF(F205="","","CHK-"&amp;TEXT(ROW()-4,"0000"))</f>
        <v>0</v>
      </c>
      <c r="O205" s="34">
        <f>IF(F205="","",ROUND(IF(H205="",0,H205)/60,2))</f>
        <v>0</v>
      </c>
      <c r="P205" s="34">
        <f>IF(B205="","",ROUND(SUMIFS($H$5:$H$404,$B$5:$B$404,B205,$M$5:$M$404,"Yes")/60,2))</f>
        <v>0</v>
      </c>
      <c r="Q205" s="34">
        <f>IF(B205="","",IFERROR(INDEX(Services!$G$5:$G$64,MATCH(B205,Services!$B$5:$B$64,0)),""))</f>
        <v>0</v>
      </c>
      <c r="R205" s="31">
        <f>IF(F205="","",COUNTIFS('Job Tasks'!$G$5:$G$904,F205,'Job Tasks'!$H$5:$H$904,"Done"))</f>
        <v>0</v>
      </c>
      <c r="S205" s="31">
        <f>IF(F205="","",COUNTIFS('Job Tasks'!$G$5:$G$904,F205,'Job Tasks'!$H$5:$H$904,"Skipped"))</f>
        <v>0</v>
      </c>
      <c r="T205" s="31">
        <f>IF(F205="","",COUNTIFS('Job Tasks'!$G$5:$G$904,F205,'Job Tasks'!$H$5:$H$904,"Issue found"))</f>
        <v>0</v>
      </c>
      <c r="U205" s="39">
        <f>IF(F205="","",IF(R205+S205=0,"New",IF(S205/(R205+S205)&gt;0.25,"Often skipped","Working")))</f>
        <v>0</v>
      </c>
      <c r="V205" s="31">
        <f>IF(OR(B205="",F205=""),"",COUNTIFS($B$5:B205,B205))</f>
        <v>0</v>
      </c>
      <c r="W205" s="23">
        <f>IF(V205="","",B205&amp;"|"&amp;V205)</f>
        <v>0</v>
      </c>
      <c r="X205" s="39">
        <f>IF(F205="","",IF(B205="","Add - which service?",IF(H205="","Add - how many minutes?",IF(AND(Q205&lt;&gt;"",P205&gt;Q205+0.25),"Check - checklist is longer than the service allows",IF(S205&gt;=3,"Check - often skipped","OK")))))</f>
        <v>0</v>
      </c>
    </row>
    <row r="206" spans="1:24">
      <c r="A206" s="43">
        <f>IF(F206="","","CHK-"&amp;TEXT(ROW()-4,"0000"))</f>
        <v>0</v>
      </c>
      <c r="O206" s="34">
        <f>IF(F206="","",ROUND(IF(H206="",0,H206)/60,2))</f>
        <v>0</v>
      </c>
      <c r="P206" s="34">
        <f>IF(B206="","",ROUND(SUMIFS($H$5:$H$404,$B$5:$B$404,B206,$M$5:$M$404,"Yes")/60,2))</f>
        <v>0</v>
      </c>
      <c r="Q206" s="34">
        <f>IF(B206="","",IFERROR(INDEX(Services!$G$5:$G$64,MATCH(B206,Services!$B$5:$B$64,0)),""))</f>
        <v>0</v>
      </c>
      <c r="R206" s="31">
        <f>IF(F206="","",COUNTIFS('Job Tasks'!$G$5:$G$904,F206,'Job Tasks'!$H$5:$H$904,"Done"))</f>
        <v>0</v>
      </c>
      <c r="S206" s="31">
        <f>IF(F206="","",COUNTIFS('Job Tasks'!$G$5:$G$904,F206,'Job Tasks'!$H$5:$H$904,"Skipped"))</f>
        <v>0</v>
      </c>
      <c r="T206" s="31">
        <f>IF(F206="","",COUNTIFS('Job Tasks'!$G$5:$G$904,F206,'Job Tasks'!$H$5:$H$904,"Issue found"))</f>
        <v>0</v>
      </c>
      <c r="U206" s="39">
        <f>IF(F206="","",IF(R206+S206=0,"New",IF(S206/(R206+S206)&gt;0.25,"Often skipped","Working")))</f>
        <v>0</v>
      </c>
      <c r="V206" s="31">
        <f>IF(OR(B206="",F206=""),"",COUNTIFS($B$5:B206,B206))</f>
        <v>0</v>
      </c>
      <c r="W206" s="23">
        <f>IF(V206="","",B206&amp;"|"&amp;V206)</f>
        <v>0</v>
      </c>
      <c r="X206" s="39">
        <f>IF(F206="","",IF(B206="","Add - which service?",IF(H206="","Add - how many minutes?",IF(AND(Q206&lt;&gt;"",P206&gt;Q206+0.25),"Check - checklist is longer than the service allows",IF(S206&gt;=3,"Check - often skipped","OK")))))</f>
        <v>0</v>
      </c>
    </row>
    <row r="207" spans="1:24">
      <c r="A207" s="43">
        <f>IF(F207="","","CHK-"&amp;TEXT(ROW()-4,"0000"))</f>
        <v>0</v>
      </c>
      <c r="O207" s="34">
        <f>IF(F207="","",ROUND(IF(H207="",0,H207)/60,2))</f>
        <v>0</v>
      </c>
      <c r="P207" s="34">
        <f>IF(B207="","",ROUND(SUMIFS($H$5:$H$404,$B$5:$B$404,B207,$M$5:$M$404,"Yes")/60,2))</f>
        <v>0</v>
      </c>
      <c r="Q207" s="34">
        <f>IF(B207="","",IFERROR(INDEX(Services!$G$5:$G$64,MATCH(B207,Services!$B$5:$B$64,0)),""))</f>
        <v>0</v>
      </c>
      <c r="R207" s="31">
        <f>IF(F207="","",COUNTIFS('Job Tasks'!$G$5:$G$904,F207,'Job Tasks'!$H$5:$H$904,"Done"))</f>
        <v>0</v>
      </c>
      <c r="S207" s="31">
        <f>IF(F207="","",COUNTIFS('Job Tasks'!$G$5:$G$904,F207,'Job Tasks'!$H$5:$H$904,"Skipped"))</f>
        <v>0</v>
      </c>
      <c r="T207" s="31">
        <f>IF(F207="","",COUNTIFS('Job Tasks'!$G$5:$G$904,F207,'Job Tasks'!$H$5:$H$904,"Issue found"))</f>
        <v>0</v>
      </c>
      <c r="U207" s="39">
        <f>IF(F207="","",IF(R207+S207=0,"New",IF(S207/(R207+S207)&gt;0.25,"Often skipped","Working")))</f>
        <v>0</v>
      </c>
      <c r="V207" s="31">
        <f>IF(OR(B207="",F207=""),"",COUNTIFS($B$5:B207,B207))</f>
        <v>0</v>
      </c>
      <c r="W207" s="23">
        <f>IF(V207="","",B207&amp;"|"&amp;V207)</f>
        <v>0</v>
      </c>
      <c r="X207" s="39">
        <f>IF(F207="","",IF(B207="","Add - which service?",IF(H207="","Add - how many minutes?",IF(AND(Q207&lt;&gt;"",P207&gt;Q207+0.25),"Check - checklist is longer than the service allows",IF(S207&gt;=3,"Check - often skipped","OK")))))</f>
        <v>0</v>
      </c>
    </row>
    <row r="208" spans="1:24">
      <c r="A208" s="43">
        <f>IF(F208="","","CHK-"&amp;TEXT(ROW()-4,"0000"))</f>
        <v>0</v>
      </c>
      <c r="O208" s="34">
        <f>IF(F208="","",ROUND(IF(H208="",0,H208)/60,2))</f>
        <v>0</v>
      </c>
      <c r="P208" s="34">
        <f>IF(B208="","",ROUND(SUMIFS($H$5:$H$404,$B$5:$B$404,B208,$M$5:$M$404,"Yes")/60,2))</f>
        <v>0</v>
      </c>
      <c r="Q208" s="34">
        <f>IF(B208="","",IFERROR(INDEX(Services!$G$5:$G$64,MATCH(B208,Services!$B$5:$B$64,0)),""))</f>
        <v>0</v>
      </c>
      <c r="R208" s="31">
        <f>IF(F208="","",COUNTIFS('Job Tasks'!$G$5:$G$904,F208,'Job Tasks'!$H$5:$H$904,"Done"))</f>
        <v>0</v>
      </c>
      <c r="S208" s="31">
        <f>IF(F208="","",COUNTIFS('Job Tasks'!$G$5:$G$904,F208,'Job Tasks'!$H$5:$H$904,"Skipped"))</f>
        <v>0</v>
      </c>
      <c r="T208" s="31">
        <f>IF(F208="","",COUNTIFS('Job Tasks'!$G$5:$G$904,F208,'Job Tasks'!$H$5:$H$904,"Issue found"))</f>
        <v>0</v>
      </c>
      <c r="U208" s="39">
        <f>IF(F208="","",IF(R208+S208=0,"New",IF(S208/(R208+S208)&gt;0.25,"Often skipped","Working")))</f>
        <v>0</v>
      </c>
      <c r="V208" s="31">
        <f>IF(OR(B208="",F208=""),"",COUNTIFS($B$5:B208,B208))</f>
        <v>0</v>
      </c>
      <c r="W208" s="23">
        <f>IF(V208="","",B208&amp;"|"&amp;V208)</f>
        <v>0</v>
      </c>
      <c r="X208" s="39">
        <f>IF(F208="","",IF(B208="","Add - which service?",IF(H208="","Add - how many minutes?",IF(AND(Q208&lt;&gt;"",P208&gt;Q208+0.25),"Check - checklist is longer than the service allows",IF(S208&gt;=3,"Check - often skipped","OK")))))</f>
        <v>0</v>
      </c>
    </row>
    <row r="209" spans="1:24">
      <c r="A209" s="43">
        <f>IF(F209="","","CHK-"&amp;TEXT(ROW()-4,"0000"))</f>
        <v>0</v>
      </c>
      <c r="O209" s="34">
        <f>IF(F209="","",ROUND(IF(H209="",0,H209)/60,2))</f>
        <v>0</v>
      </c>
      <c r="P209" s="34">
        <f>IF(B209="","",ROUND(SUMIFS($H$5:$H$404,$B$5:$B$404,B209,$M$5:$M$404,"Yes")/60,2))</f>
        <v>0</v>
      </c>
      <c r="Q209" s="34">
        <f>IF(B209="","",IFERROR(INDEX(Services!$G$5:$G$64,MATCH(B209,Services!$B$5:$B$64,0)),""))</f>
        <v>0</v>
      </c>
      <c r="R209" s="31">
        <f>IF(F209="","",COUNTIFS('Job Tasks'!$G$5:$G$904,F209,'Job Tasks'!$H$5:$H$904,"Done"))</f>
        <v>0</v>
      </c>
      <c r="S209" s="31">
        <f>IF(F209="","",COUNTIFS('Job Tasks'!$G$5:$G$904,F209,'Job Tasks'!$H$5:$H$904,"Skipped"))</f>
        <v>0</v>
      </c>
      <c r="T209" s="31">
        <f>IF(F209="","",COUNTIFS('Job Tasks'!$G$5:$G$904,F209,'Job Tasks'!$H$5:$H$904,"Issue found"))</f>
        <v>0</v>
      </c>
      <c r="U209" s="39">
        <f>IF(F209="","",IF(R209+S209=0,"New",IF(S209/(R209+S209)&gt;0.25,"Often skipped","Working")))</f>
        <v>0</v>
      </c>
      <c r="V209" s="31">
        <f>IF(OR(B209="",F209=""),"",COUNTIFS($B$5:B209,B209))</f>
        <v>0</v>
      </c>
      <c r="W209" s="23">
        <f>IF(V209="","",B209&amp;"|"&amp;V209)</f>
        <v>0</v>
      </c>
      <c r="X209" s="39">
        <f>IF(F209="","",IF(B209="","Add - which service?",IF(H209="","Add - how many minutes?",IF(AND(Q209&lt;&gt;"",P209&gt;Q209+0.25),"Check - checklist is longer than the service allows",IF(S209&gt;=3,"Check - often skipped","OK")))))</f>
        <v>0</v>
      </c>
    </row>
    <row r="210" spans="1:24">
      <c r="A210" s="43">
        <f>IF(F210="","","CHK-"&amp;TEXT(ROW()-4,"0000"))</f>
        <v>0</v>
      </c>
      <c r="O210" s="34">
        <f>IF(F210="","",ROUND(IF(H210="",0,H210)/60,2))</f>
        <v>0</v>
      </c>
      <c r="P210" s="34">
        <f>IF(B210="","",ROUND(SUMIFS($H$5:$H$404,$B$5:$B$404,B210,$M$5:$M$404,"Yes")/60,2))</f>
        <v>0</v>
      </c>
      <c r="Q210" s="34">
        <f>IF(B210="","",IFERROR(INDEX(Services!$G$5:$G$64,MATCH(B210,Services!$B$5:$B$64,0)),""))</f>
        <v>0</v>
      </c>
      <c r="R210" s="31">
        <f>IF(F210="","",COUNTIFS('Job Tasks'!$G$5:$G$904,F210,'Job Tasks'!$H$5:$H$904,"Done"))</f>
        <v>0</v>
      </c>
      <c r="S210" s="31">
        <f>IF(F210="","",COUNTIFS('Job Tasks'!$G$5:$G$904,F210,'Job Tasks'!$H$5:$H$904,"Skipped"))</f>
        <v>0</v>
      </c>
      <c r="T210" s="31">
        <f>IF(F210="","",COUNTIFS('Job Tasks'!$G$5:$G$904,F210,'Job Tasks'!$H$5:$H$904,"Issue found"))</f>
        <v>0</v>
      </c>
      <c r="U210" s="39">
        <f>IF(F210="","",IF(R210+S210=0,"New",IF(S210/(R210+S210)&gt;0.25,"Often skipped","Working")))</f>
        <v>0</v>
      </c>
      <c r="V210" s="31">
        <f>IF(OR(B210="",F210=""),"",COUNTIFS($B$5:B210,B210))</f>
        <v>0</v>
      </c>
      <c r="W210" s="23">
        <f>IF(V210="","",B210&amp;"|"&amp;V210)</f>
        <v>0</v>
      </c>
      <c r="X210" s="39">
        <f>IF(F210="","",IF(B210="","Add - which service?",IF(H210="","Add - how many minutes?",IF(AND(Q210&lt;&gt;"",P210&gt;Q210+0.25),"Check - checklist is longer than the service allows",IF(S210&gt;=3,"Check - often skipped","OK")))))</f>
        <v>0</v>
      </c>
    </row>
    <row r="211" spans="1:24">
      <c r="A211" s="43">
        <f>IF(F211="","","CHK-"&amp;TEXT(ROW()-4,"0000"))</f>
        <v>0</v>
      </c>
      <c r="O211" s="34">
        <f>IF(F211="","",ROUND(IF(H211="",0,H211)/60,2))</f>
        <v>0</v>
      </c>
      <c r="P211" s="34">
        <f>IF(B211="","",ROUND(SUMIFS($H$5:$H$404,$B$5:$B$404,B211,$M$5:$M$404,"Yes")/60,2))</f>
        <v>0</v>
      </c>
      <c r="Q211" s="34">
        <f>IF(B211="","",IFERROR(INDEX(Services!$G$5:$G$64,MATCH(B211,Services!$B$5:$B$64,0)),""))</f>
        <v>0</v>
      </c>
      <c r="R211" s="31">
        <f>IF(F211="","",COUNTIFS('Job Tasks'!$G$5:$G$904,F211,'Job Tasks'!$H$5:$H$904,"Done"))</f>
        <v>0</v>
      </c>
      <c r="S211" s="31">
        <f>IF(F211="","",COUNTIFS('Job Tasks'!$G$5:$G$904,F211,'Job Tasks'!$H$5:$H$904,"Skipped"))</f>
        <v>0</v>
      </c>
      <c r="T211" s="31">
        <f>IF(F211="","",COUNTIFS('Job Tasks'!$G$5:$G$904,F211,'Job Tasks'!$H$5:$H$904,"Issue found"))</f>
        <v>0</v>
      </c>
      <c r="U211" s="39">
        <f>IF(F211="","",IF(R211+S211=0,"New",IF(S211/(R211+S211)&gt;0.25,"Often skipped","Working")))</f>
        <v>0</v>
      </c>
      <c r="V211" s="31">
        <f>IF(OR(B211="",F211=""),"",COUNTIFS($B$5:B211,B211))</f>
        <v>0</v>
      </c>
      <c r="W211" s="23">
        <f>IF(V211="","",B211&amp;"|"&amp;V211)</f>
        <v>0</v>
      </c>
      <c r="X211" s="39">
        <f>IF(F211="","",IF(B211="","Add - which service?",IF(H211="","Add - how many minutes?",IF(AND(Q211&lt;&gt;"",P211&gt;Q211+0.25),"Check - checklist is longer than the service allows",IF(S211&gt;=3,"Check - often skipped","OK")))))</f>
        <v>0</v>
      </c>
    </row>
    <row r="212" spans="1:24">
      <c r="A212" s="43">
        <f>IF(F212="","","CHK-"&amp;TEXT(ROW()-4,"0000"))</f>
        <v>0</v>
      </c>
      <c r="O212" s="34">
        <f>IF(F212="","",ROUND(IF(H212="",0,H212)/60,2))</f>
        <v>0</v>
      </c>
      <c r="P212" s="34">
        <f>IF(B212="","",ROUND(SUMIFS($H$5:$H$404,$B$5:$B$404,B212,$M$5:$M$404,"Yes")/60,2))</f>
        <v>0</v>
      </c>
      <c r="Q212" s="34">
        <f>IF(B212="","",IFERROR(INDEX(Services!$G$5:$G$64,MATCH(B212,Services!$B$5:$B$64,0)),""))</f>
        <v>0</v>
      </c>
      <c r="R212" s="31">
        <f>IF(F212="","",COUNTIFS('Job Tasks'!$G$5:$G$904,F212,'Job Tasks'!$H$5:$H$904,"Done"))</f>
        <v>0</v>
      </c>
      <c r="S212" s="31">
        <f>IF(F212="","",COUNTIFS('Job Tasks'!$G$5:$G$904,F212,'Job Tasks'!$H$5:$H$904,"Skipped"))</f>
        <v>0</v>
      </c>
      <c r="T212" s="31">
        <f>IF(F212="","",COUNTIFS('Job Tasks'!$G$5:$G$904,F212,'Job Tasks'!$H$5:$H$904,"Issue found"))</f>
        <v>0</v>
      </c>
      <c r="U212" s="39">
        <f>IF(F212="","",IF(R212+S212=0,"New",IF(S212/(R212+S212)&gt;0.25,"Often skipped","Working")))</f>
        <v>0</v>
      </c>
      <c r="V212" s="31">
        <f>IF(OR(B212="",F212=""),"",COUNTIFS($B$5:B212,B212))</f>
        <v>0</v>
      </c>
      <c r="W212" s="23">
        <f>IF(V212="","",B212&amp;"|"&amp;V212)</f>
        <v>0</v>
      </c>
      <c r="X212" s="39">
        <f>IF(F212="","",IF(B212="","Add - which service?",IF(H212="","Add - how many minutes?",IF(AND(Q212&lt;&gt;"",P212&gt;Q212+0.25),"Check - checklist is longer than the service allows",IF(S212&gt;=3,"Check - often skipped","OK")))))</f>
        <v>0</v>
      </c>
    </row>
    <row r="213" spans="1:24">
      <c r="A213" s="43">
        <f>IF(F213="","","CHK-"&amp;TEXT(ROW()-4,"0000"))</f>
        <v>0</v>
      </c>
      <c r="O213" s="34">
        <f>IF(F213="","",ROUND(IF(H213="",0,H213)/60,2))</f>
        <v>0</v>
      </c>
      <c r="P213" s="34">
        <f>IF(B213="","",ROUND(SUMIFS($H$5:$H$404,$B$5:$B$404,B213,$M$5:$M$404,"Yes")/60,2))</f>
        <v>0</v>
      </c>
      <c r="Q213" s="34">
        <f>IF(B213="","",IFERROR(INDEX(Services!$G$5:$G$64,MATCH(B213,Services!$B$5:$B$64,0)),""))</f>
        <v>0</v>
      </c>
      <c r="R213" s="31">
        <f>IF(F213="","",COUNTIFS('Job Tasks'!$G$5:$G$904,F213,'Job Tasks'!$H$5:$H$904,"Done"))</f>
        <v>0</v>
      </c>
      <c r="S213" s="31">
        <f>IF(F213="","",COUNTIFS('Job Tasks'!$G$5:$G$904,F213,'Job Tasks'!$H$5:$H$904,"Skipped"))</f>
        <v>0</v>
      </c>
      <c r="T213" s="31">
        <f>IF(F213="","",COUNTIFS('Job Tasks'!$G$5:$G$904,F213,'Job Tasks'!$H$5:$H$904,"Issue found"))</f>
        <v>0</v>
      </c>
      <c r="U213" s="39">
        <f>IF(F213="","",IF(R213+S213=0,"New",IF(S213/(R213+S213)&gt;0.25,"Often skipped","Working")))</f>
        <v>0</v>
      </c>
      <c r="V213" s="31">
        <f>IF(OR(B213="",F213=""),"",COUNTIFS($B$5:B213,B213))</f>
        <v>0</v>
      </c>
      <c r="W213" s="23">
        <f>IF(V213="","",B213&amp;"|"&amp;V213)</f>
        <v>0</v>
      </c>
      <c r="X213" s="39">
        <f>IF(F213="","",IF(B213="","Add - which service?",IF(H213="","Add - how many minutes?",IF(AND(Q213&lt;&gt;"",P213&gt;Q213+0.25),"Check - checklist is longer than the service allows",IF(S213&gt;=3,"Check - often skipped","OK")))))</f>
        <v>0</v>
      </c>
    </row>
    <row r="214" spans="1:24">
      <c r="A214" s="43">
        <f>IF(F214="","","CHK-"&amp;TEXT(ROW()-4,"0000"))</f>
        <v>0</v>
      </c>
      <c r="O214" s="34">
        <f>IF(F214="","",ROUND(IF(H214="",0,H214)/60,2))</f>
        <v>0</v>
      </c>
      <c r="P214" s="34">
        <f>IF(B214="","",ROUND(SUMIFS($H$5:$H$404,$B$5:$B$404,B214,$M$5:$M$404,"Yes")/60,2))</f>
        <v>0</v>
      </c>
      <c r="Q214" s="34">
        <f>IF(B214="","",IFERROR(INDEX(Services!$G$5:$G$64,MATCH(B214,Services!$B$5:$B$64,0)),""))</f>
        <v>0</v>
      </c>
      <c r="R214" s="31">
        <f>IF(F214="","",COUNTIFS('Job Tasks'!$G$5:$G$904,F214,'Job Tasks'!$H$5:$H$904,"Done"))</f>
        <v>0</v>
      </c>
      <c r="S214" s="31">
        <f>IF(F214="","",COUNTIFS('Job Tasks'!$G$5:$G$904,F214,'Job Tasks'!$H$5:$H$904,"Skipped"))</f>
        <v>0</v>
      </c>
      <c r="T214" s="31">
        <f>IF(F214="","",COUNTIFS('Job Tasks'!$G$5:$G$904,F214,'Job Tasks'!$H$5:$H$904,"Issue found"))</f>
        <v>0</v>
      </c>
      <c r="U214" s="39">
        <f>IF(F214="","",IF(R214+S214=0,"New",IF(S214/(R214+S214)&gt;0.25,"Often skipped","Working")))</f>
        <v>0</v>
      </c>
      <c r="V214" s="31">
        <f>IF(OR(B214="",F214=""),"",COUNTIFS($B$5:B214,B214))</f>
        <v>0</v>
      </c>
      <c r="W214" s="23">
        <f>IF(V214="","",B214&amp;"|"&amp;V214)</f>
        <v>0</v>
      </c>
      <c r="X214" s="39">
        <f>IF(F214="","",IF(B214="","Add - which service?",IF(H214="","Add - how many minutes?",IF(AND(Q214&lt;&gt;"",P214&gt;Q214+0.25),"Check - checklist is longer than the service allows",IF(S214&gt;=3,"Check - often skipped","OK")))))</f>
        <v>0</v>
      </c>
    </row>
    <row r="215" spans="1:24">
      <c r="A215" s="43">
        <f>IF(F215="","","CHK-"&amp;TEXT(ROW()-4,"0000"))</f>
        <v>0</v>
      </c>
      <c r="O215" s="34">
        <f>IF(F215="","",ROUND(IF(H215="",0,H215)/60,2))</f>
        <v>0</v>
      </c>
      <c r="P215" s="34">
        <f>IF(B215="","",ROUND(SUMIFS($H$5:$H$404,$B$5:$B$404,B215,$M$5:$M$404,"Yes")/60,2))</f>
        <v>0</v>
      </c>
      <c r="Q215" s="34">
        <f>IF(B215="","",IFERROR(INDEX(Services!$G$5:$G$64,MATCH(B215,Services!$B$5:$B$64,0)),""))</f>
        <v>0</v>
      </c>
      <c r="R215" s="31">
        <f>IF(F215="","",COUNTIFS('Job Tasks'!$G$5:$G$904,F215,'Job Tasks'!$H$5:$H$904,"Done"))</f>
        <v>0</v>
      </c>
      <c r="S215" s="31">
        <f>IF(F215="","",COUNTIFS('Job Tasks'!$G$5:$G$904,F215,'Job Tasks'!$H$5:$H$904,"Skipped"))</f>
        <v>0</v>
      </c>
      <c r="T215" s="31">
        <f>IF(F215="","",COUNTIFS('Job Tasks'!$G$5:$G$904,F215,'Job Tasks'!$H$5:$H$904,"Issue found"))</f>
        <v>0</v>
      </c>
      <c r="U215" s="39">
        <f>IF(F215="","",IF(R215+S215=0,"New",IF(S215/(R215+S215)&gt;0.25,"Often skipped","Working")))</f>
        <v>0</v>
      </c>
      <c r="V215" s="31">
        <f>IF(OR(B215="",F215=""),"",COUNTIFS($B$5:B215,B215))</f>
        <v>0</v>
      </c>
      <c r="W215" s="23">
        <f>IF(V215="","",B215&amp;"|"&amp;V215)</f>
        <v>0</v>
      </c>
      <c r="X215" s="39">
        <f>IF(F215="","",IF(B215="","Add - which service?",IF(H215="","Add - how many minutes?",IF(AND(Q215&lt;&gt;"",P215&gt;Q215+0.25),"Check - checklist is longer than the service allows",IF(S215&gt;=3,"Check - often skipped","OK")))))</f>
        <v>0</v>
      </c>
    </row>
    <row r="216" spans="1:24">
      <c r="A216" s="43">
        <f>IF(F216="","","CHK-"&amp;TEXT(ROW()-4,"0000"))</f>
        <v>0</v>
      </c>
      <c r="O216" s="34">
        <f>IF(F216="","",ROUND(IF(H216="",0,H216)/60,2))</f>
        <v>0</v>
      </c>
      <c r="P216" s="34">
        <f>IF(B216="","",ROUND(SUMIFS($H$5:$H$404,$B$5:$B$404,B216,$M$5:$M$404,"Yes")/60,2))</f>
        <v>0</v>
      </c>
      <c r="Q216" s="34">
        <f>IF(B216="","",IFERROR(INDEX(Services!$G$5:$G$64,MATCH(B216,Services!$B$5:$B$64,0)),""))</f>
        <v>0</v>
      </c>
      <c r="R216" s="31">
        <f>IF(F216="","",COUNTIFS('Job Tasks'!$G$5:$G$904,F216,'Job Tasks'!$H$5:$H$904,"Done"))</f>
        <v>0</v>
      </c>
      <c r="S216" s="31">
        <f>IF(F216="","",COUNTIFS('Job Tasks'!$G$5:$G$904,F216,'Job Tasks'!$H$5:$H$904,"Skipped"))</f>
        <v>0</v>
      </c>
      <c r="T216" s="31">
        <f>IF(F216="","",COUNTIFS('Job Tasks'!$G$5:$G$904,F216,'Job Tasks'!$H$5:$H$904,"Issue found"))</f>
        <v>0</v>
      </c>
      <c r="U216" s="39">
        <f>IF(F216="","",IF(R216+S216=0,"New",IF(S216/(R216+S216)&gt;0.25,"Often skipped","Working")))</f>
        <v>0</v>
      </c>
      <c r="V216" s="31">
        <f>IF(OR(B216="",F216=""),"",COUNTIFS($B$5:B216,B216))</f>
        <v>0</v>
      </c>
      <c r="W216" s="23">
        <f>IF(V216="","",B216&amp;"|"&amp;V216)</f>
        <v>0</v>
      </c>
      <c r="X216" s="39">
        <f>IF(F216="","",IF(B216="","Add - which service?",IF(H216="","Add - how many minutes?",IF(AND(Q216&lt;&gt;"",P216&gt;Q216+0.25),"Check - checklist is longer than the service allows",IF(S216&gt;=3,"Check - often skipped","OK")))))</f>
        <v>0</v>
      </c>
    </row>
    <row r="217" spans="1:24">
      <c r="A217" s="43">
        <f>IF(F217="","","CHK-"&amp;TEXT(ROW()-4,"0000"))</f>
        <v>0</v>
      </c>
      <c r="O217" s="34">
        <f>IF(F217="","",ROUND(IF(H217="",0,H217)/60,2))</f>
        <v>0</v>
      </c>
      <c r="P217" s="34">
        <f>IF(B217="","",ROUND(SUMIFS($H$5:$H$404,$B$5:$B$404,B217,$M$5:$M$404,"Yes")/60,2))</f>
        <v>0</v>
      </c>
      <c r="Q217" s="34">
        <f>IF(B217="","",IFERROR(INDEX(Services!$G$5:$G$64,MATCH(B217,Services!$B$5:$B$64,0)),""))</f>
        <v>0</v>
      </c>
      <c r="R217" s="31">
        <f>IF(F217="","",COUNTIFS('Job Tasks'!$G$5:$G$904,F217,'Job Tasks'!$H$5:$H$904,"Done"))</f>
        <v>0</v>
      </c>
      <c r="S217" s="31">
        <f>IF(F217="","",COUNTIFS('Job Tasks'!$G$5:$G$904,F217,'Job Tasks'!$H$5:$H$904,"Skipped"))</f>
        <v>0</v>
      </c>
      <c r="T217" s="31">
        <f>IF(F217="","",COUNTIFS('Job Tasks'!$G$5:$G$904,F217,'Job Tasks'!$H$5:$H$904,"Issue found"))</f>
        <v>0</v>
      </c>
      <c r="U217" s="39">
        <f>IF(F217="","",IF(R217+S217=0,"New",IF(S217/(R217+S217)&gt;0.25,"Often skipped","Working")))</f>
        <v>0</v>
      </c>
      <c r="V217" s="31">
        <f>IF(OR(B217="",F217=""),"",COUNTIFS($B$5:B217,B217))</f>
        <v>0</v>
      </c>
      <c r="W217" s="23">
        <f>IF(V217="","",B217&amp;"|"&amp;V217)</f>
        <v>0</v>
      </c>
      <c r="X217" s="39">
        <f>IF(F217="","",IF(B217="","Add - which service?",IF(H217="","Add - how many minutes?",IF(AND(Q217&lt;&gt;"",P217&gt;Q217+0.25),"Check - checklist is longer than the service allows",IF(S217&gt;=3,"Check - often skipped","OK")))))</f>
        <v>0</v>
      </c>
    </row>
    <row r="218" spans="1:24">
      <c r="A218" s="43">
        <f>IF(F218="","","CHK-"&amp;TEXT(ROW()-4,"0000"))</f>
        <v>0</v>
      </c>
      <c r="O218" s="34">
        <f>IF(F218="","",ROUND(IF(H218="",0,H218)/60,2))</f>
        <v>0</v>
      </c>
      <c r="P218" s="34">
        <f>IF(B218="","",ROUND(SUMIFS($H$5:$H$404,$B$5:$B$404,B218,$M$5:$M$404,"Yes")/60,2))</f>
        <v>0</v>
      </c>
      <c r="Q218" s="34">
        <f>IF(B218="","",IFERROR(INDEX(Services!$G$5:$G$64,MATCH(B218,Services!$B$5:$B$64,0)),""))</f>
        <v>0</v>
      </c>
      <c r="R218" s="31">
        <f>IF(F218="","",COUNTIFS('Job Tasks'!$G$5:$G$904,F218,'Job Tasks'!$H$5:$H$904,"Done"))</f>
        <v>0</v>
      </c>
      <c r="S218" s="31">
        <f>IF(F218="","",COUNTIFS('Job Tasks'!$G$5:$G$904,F218,'Job Tasks'!$H$5:$H$904,"Skipped"))</f>
        <v>0</v>
      </c>
      <c r="T218" s="31">
        <f>IF(F218="","",COUNTIFS('Job Tasks'!$G$5:$G$904,F218,'Job Tasks'!$H$5:$H$904,"Issue found"))</f>
        <v>0</v>
      </c>
      <c r="U218" s="39">
        <f>IF(F218="","",IF(R218+S218=0,"New",IF(S218/(R218+S218)&gt;0.25,"Often skipped","Working")))</f>
        <v>0</v>
      </c>
      <c r="V218" s="31">
        <f>IF(OR(B218="",F218=""),"",COUNTIFS($B$5:B218,B218))</f>
        <v>0</v>
      </c>
      <c r="W218" s="23">
        <f>IF(V218="","",B218&amp;"|"&amp;V218)</f>
        <v>0</v>
      </c>
      <c r="X218" s="39">
        <f>IF(F218="","",IF(B218="","Add - which service?",IF(H218="","Add - how many minutes?",IF(AND(Q218&lt;&gt;"",P218&gt;Q218+0.25),"Check - checklist is longer than the service allows",IF(S218&gt;=3,"Check - often skipped","OK")))))</f>
        <v>0</v>
      </c>
    </row>
    <row r="219" spans="1:24">
      <c r="A219" s="43">
        <f>IF(F219="","","CHK-"&amp;TEXT(ROW()-4,"0000"))</f>
        <v>0</v>
      </c>
      <c r="O219" s="34">
        <f>IF(F219="","",ROUND(IF(H219="",0,H219)/60,2))</f>
        <v>0</v>
      </c>
      <c r="P219" s="34">
        <f>IF(B219="","",ROUND(SUMIFS($H$5:$H$404,$B$5:$B$404,B219,$M$5:$M$404,"Yes")/60,2))</f>
        <v>0</v>
      </c>
      <c r="Q219" s="34">
        <f>IF(B219="","",IFERROR(INDEX(Services!$G$5:$G$64,MATCH(B219,Services!$B$5:$B$64,0)),""))</f>
        <v>0</v>
      </c>
      <c r="R219" s="31">
        <f>IF(F219="","",COUNTIFS('Job Tasks'!$G$5:$G$904,F219,'Job Tasks'!$H$5:$H$904,"Done"))</f>
        <v>0</v>
      </c>
      <c r="S219" s="31">
        <f>IF(F219="","",COUNTIFS('Job Tasks'!$G$5:$G$904,F219,'Job Tasks'!$H$5:$H$904,"Skipped"))</f>
        <v>0</v>
      </c>
      <c r="T219" s="31">
        <f>IF(F219="","",COUNTIFS('Job Tasks'!$G$5:$G$904,F219,'Job Tasks'!$H$5:$H$904,"Issue found"))</f>
        <v>0</v>
      </c>
      <c r="U219" s="39">
        <f>IF(F219="","",IF(R219+S219=0,"New",IF(S219/(R219+S219)&gt;0.25,"Often skipped","Working")))</f>
        <v>0</v>
      </c>
      <c r="V219" s="31">
        <f>IF(OR(B219="",F219=""),"",COUNTIFS($B$5:B219,B219))</f>
        <v>0</v>
      </c>
      <c r="W219" s="23">
        <f>IF(V219="","",B219&amp;"|"&amp;V219)</f>
        <v>0</v>
      </c>
      <c r="X219" s="39">
        <f>IF(F219="","",IF(B219="","Add - which service?",IF(H219="","Add - how many minutes?",IF(AND(Q219&lt;&gt;"",P219&gt;Q219+0.25),"Check - checklist is longer than the service allows",IF(S219&gt;=3,"Check - often skipped","OK")))))</f>
        <v>0</v>
      </c>
    </row>
    <row r="220" spans="1:24">
      <c r="A220" s="43">
        <f>IF(F220="","","CHK-"&amp;TEXT(ROW()-4,"0000"))</f>
        <v>0</v>
      </c>
      <c r="O220" s="34">
        <f>IF(F220="","",ROUND(IF(H220="",0,H220)/60,2))</f>
        <v>0</v>
      </c>
      <c r="P220" s="34">
        <f>IF(B220="","",ROUND(SUMIFS($H$5:$H$404,$B$5:$B$404,B220,$M$5:$M$404,"Yes")/60,2))</f>
        <v>0</v>
      </c>
      <c r="Q220" s="34">
        <f>IF(B220="","",IFERROR(INDEX(Services!$G$5:$G$64,MATCH(B220,Services!$B$5:$B$64,0)),""))</f>
        <v>0</v>
      </c>
      <c r="R220" s="31">
        <f>IF(F220="","",COUNTIFS('Job Tasks'!$G$5:$G$904,F220,'Job Tasks'!$H$5:$H$904,"Done"))</f>
        <v>0</v>
      </c>
      <c r="S220" s="31">
        <f>IF(F220="","",COUNTIFS('Job Tasks'!$G$5:$G$904,F220,'Job Tasks'!$H$5:$H$904,"Skipped"))</f>
        <v>0</v>
      </c>
      <c r="T220" s="31">
        <f>IF(F220="","",COUNTIFS('Job Tasks'!$G$5:$G$904,F220,'Job Tasks'!$H$5:$H$904,"Issue found"))</f>
        <v>0</v>
      </c>
      <c r="U220" s="39">
        <f>IF(F220="","",IF(R220+S220=0,"New",IF(S220/(R220+S220)&gt;0.25,"Often skipped","Working")))</f>
        <v>0</v>
      </c>
      <c r="V220" s="31">
        <f>IF(OR(B220="",F220=""),"",COUNTIFS($B$5:B220,B220))</f>
        <v>0</v>
      </c>
      <c r="W220" s="23">
        <f>IF(V220="","",B220&amp;"|"&amp;V220)</f>
        <v>0</v>
      </c>
      <c r="X220" s="39">
        <f>IF(F220="","",IF(B220="","Add - which service?",IF(H220="","Add - how many minutes?",IF(AND(Q220&lt;&gt;"",P220&gt;Q220+0.25),"Check - checklist is longer than the service allows",IF(S220&gt;=3,"Check - often skipped","OK")))))</f>
        <v>0</v>
      </c>
    </row>
    <row r="221" spans="1:24">
      <c r="A221" s="43">
        <f>IF(F221="","","CHK-"&amp;TEXT(ROW()-4,"0000"))</f>
        <v>0</v>
      </c>
      <c r="O221" s="34">
        <f>IF(F221="","",ROUND(IF(H221="",0,H221)/60,2))</f>
        <v>0</v>
      </c>
      <c r="P221" s="34">
        <f>IF(B221="","",ROUND(SUMIFS($H$5:$H$404,$B$5:$B$404,B221,$M$5:$M$404,"Yes")/60,2))</f>
        <v>0</v>
      </c>
      <c r="Q221" s="34">
        <f>IF(B221="","",IFERROR(INDEX(Services!$G$5:$G$64,MATCH(B221,Services!$B$5:$B$64,0)),""))</f>
        <v>0</v>
      </c>
      <c r="R221" s="31">
        <f>IF(F221="","",COUNTIFS('Job Tasks'!$G$5:$G$904,F221,'Job Tasks'!$H$5:$H$904,"Done"))</f>
        <v>0</v>
      </c>
      <c r="S221" s="31">
        <f>IF(F221="","",COUNTIFS('Job Tasks'!$G$5:$G$904,F221,'Job Tasks'!$H$5:$H$904,"Skipped"))</f>
        <v>0</v>
      </c>
      <c r="T221" s="31">
        <f>IF(F221="","",COUNTIFS('Job Tasks'!$G$5:$G$904,F221,'Job Tasks'!$H$5:$H$904,"Issue found"))</f>
        <v>0</v>
      </c>
      <c r="U221" s="39">
        <f>IF(F221="","",IF(R221+S221=0,"New",IF(S221/(R221+S221)&gt;0.25,"Often skipped","Working")))</f>
        <v>0</v>
      </c>
      <c r="V221" s="31">
        <f>IF(OR(B221="",F221=""),"",COUNTIFS($B$5:B221,B221))</f>
        <v>0</v>
      </c>
      <c r="W221" s="23">
        <f>IF(V221="","",B221&amp;"|"&amp;V221)</f>
        <v>0</v>
      </c>
      <c r="X221" s="39">
        <f>IF(F221="","",IF(B221="","Add - which service?",IF(H221="","Add - how many minutes?",IF(AND(Q221&lt;&gt;"",P221&gt;Q221+0.25),"Check - checklist is longer than the service allows",IF(S221&gt;=3,"Check - often skipped","OK")))))</f>
        <v>0</v>
      </c>
    </row>
    <row r="222" spans="1:24">
      <c r="A222" s="43">
        <f>IF(F222="","","CHK-"&amp;TEXT(ROW()-4,"0000"))</f>
        <v>0</v>
      </c>
      <c r="O222" s="34">
        <f>IF(F222="","",ROUND(IF(H222="",0,H222)/60,2))</f>
        <v>0</v>
      </c>
      <c r="P222" s="34">
        <f>IF(B222="","",ROUND(SUMIFS($H$5:$H$404,$B$5:$B$404,B222,$M$5:$M$404,"Yes")/60,2))</f>
        <v>0</v>
      </c>
      <c r="Q222" s="34">
        <f>IF(B222="","",IFERROR(INDEX(Services!$G$5:$G$64,MATCH(B222,Services!$B$5:$B$64,0)),""))</f>
        <v>0</v>
      </c>
      <c r="R222" s="31">
        <f>IF(F222="","",COUNTIFS('Job Tasks'!$G$5:$G$904,F222,'Job Tasks'!$H$5:$H$904,"Done"))</f>
        <v>0</v>
      </c>
      <c r="S222" s="31">
        <f>IF(F222="","",COUNTIFS('Job Tasks'!$G$5:$G$904,F222,'Job Tasks'!$H$5:$H$904,"Skipped"))</f>
        <v>0</v>
      </c>
      <c r="T222" s="31">
        <f>IF(F222="","",COUNTIFS('Job Tasks'!$G$5:$G$904,F222,'Job Tasks'!$H$5:$H$904,"Issue found"))</f>
        <v>0</v>
      </c>
      <c r="U222" s="39">
        <f>IF(F222="","",IF(R222+S222=0,"New",IF(S222/(R222+S222)&gt;0.25,"Often skipped","Working")))</f>
        <v>0</v>
      </c>
      <c r="V222" s="31">
        <f>IF(OR(B222="",F222=""),"",COUNTIFS($B$5:B222,B222))</f>
        <v>0</v>
      </c>
      <c r="W222" s="23">
        <f>IF(V222="","",B222&amp;"|"&amp;V222)</f>
        <v>0</v>
      </c>
      <c r="X222" s="39">
        <f>IF(F222="","",IF(B222="","Add - which service?",IF(H222="","Add - how many minutes?",IF(AND(Q222&lt;&gt;"",P222&gt;Q222+0.25),"Check - checklist is longer than the service allows",IF(S222&gt;=3,"Check - often skipped","OK")))))</f>
        <v>0</v>
      </c>
    </row>
    <row r="223" spans="1:24">
      <c r="A223" s="43">
        <f>IF(F223="","","CHK-"&amp;TEXT(ROW()-4,"0000"))</f>
        <v>0</v>
      </c>
      <c r="O223" s="34">
        <f>IF(F223="","",ROUND(IF(H223="",0,H223)/60,2))</f>
        <v>0</v>
      </c>
      <c r="P223" s="34">
        <f>IF(B223="","",ROUND(SUMIFS($H$5:$H$404,$B$5:$B$404,B223,$M$5:$M$404,"Yes")/60,2))</f>
        <v>0</v>
      </c>
      <c r="Q223" s="34">
        <f>IF(B223="","",IFERROR(INDEX(Services!$G$5:$G$64,MATCH(B223,Services!$B$5:$B$64,0)),""))</f>
        <v>0</v>
      </c>
      <c r="R223" s="31">
        <f>IF(F223="","",COUNTIFS('Job Tasks'!$G$5:$G$904,F223,'Job Tasks'!$H$5:$H$904,"Done"))</f>
        <v>0</v>
      </c>
      <c r="S223" s="31">
        <f>IF(F223="","",COUNTIFS('Job Tasks'!$G$5:$G$904,F223,'Job Tasks'!$H$5:$H$904,"Skipped"))</f>
        <v>0</v>
      </c>
      <c r="T223" s="31">
        <f>IF(F223="","",COUNTIFS('Job Tasks'!$G$5:$G$904,F223,'Job Tasks'!$H$5:$H$904,"Issue found"))</f>
        <v>0</v>
      </c>
      <c r="U223" s="39">
        <f>IF(F223="","",IF(R223+S223=0,"New",IF(S223/(R223+S223)&gt;0.25,"Often skipped","Working")))</f>
        <v>0</v>
      </c>
      <c r="V223" s="31">
        <f>IF(OR(B223="",F223=""),"",COUNTIFS($B$5:B223,B223))</f>
        <v>0</v>
      </c>
      <c r="W223" s="23">
        <f>IF(V223="","",B223&amp;"|"&amp;V223)</f>
        <v>0</v>
      </c>
      <c r="X223" s="39">
        <f>IF(F223="","",IF(B223="","Add - which service?",IF(H223="","Add - how many minutes?",IF(AND(Q223&lt;&gt;"",P223&gt;Q223+0.25),"Check - checklist is longer than the service allows",IF(S223&gt;=3,"Check - often skipped","OK")))))</f>
        <v>0</v>
      </c>
    </row>
    <row r="224" spans="1:24">
      <c r="A224" s="43">
        <f>IF(F224="","","CHK-"&amp;TEXT(ROW()-4,"0000"))</f>
        <v>0</v>
      </c>
      <c r="O224" s="34">
        <f>IF(F224="","",ROUND(IF(H224="",0,H224)/60,2))</f>
        <v>0</v>
      </c>
      <c r="P224" s="34">
        <f>IF(B224="","",ROUND(SUMIFS($H$5:$H$404,$B$5:$B$404,B224,$M$5:$M$404,"Yes")/60,2))</f>
        <v>0</v>
      </c>
      <c r="Q224" s="34">
        <f>IF(B224="","",IFERROR(INDEX(Services!$G$5:$G$64,MATCH(B224,Services!$B$5:$B$64,0)),""))</f>
        <v>0</v>
      </c>
      <c r="R224" s="31">
        <f>IF(F224="","",COUNTIFS('Job Tasks'!$G$5:$G$904,F224,'Job Tasks'!$H$5:$H$904,"Done"))</f>
        <v>0</v>
      </c>
      <c r="S224" s="31">
        <f>IF(F224="","",COUNTIFS('Job Tasks'!$G$5:$G$904,F224,'Job Tasks'!$H$5:$H$904,"Skipped"))</f>
        <v>0</v>
      </c>
      <c r="T224" s="31">
        <f>IF(F224="","",COUNTIFS('Job Tasks'!$G$5:$G$904,F224,'Job Tasks'!$H$5:$H$904,"Issue found"))</f>
        <v>0</v>
      </c>
      <c r="U224" s="39">
        <f>IF(F224="","",IF(R224+S224=0,"New",IF(S224/(R224+S224)&gt;0.25,"Often skipped","Working")))</f>
        <v>0</v>
      </c>
      <c r="V224" s="31">
        <f>IF(OR(B224="",F224=""),"",COUNTIFS($B$5:B224,B224))</f>
        <v>0</v>
      </c>
      <c r="W224" s="23">
        <f>IF(V224="","",B224&amp;"|"&amp;V224)</f>
        <v>0</v>
      </c>
      <c r="X224" s="39">
        <f>IF(F224="","",IF(B224="","Add - which service?",IF(H224="","Add - how many minutes?",IF(AND(Q224&lt;&gt;"",P224&gt;Q224+0.25),"Check - checklist is longer than the service allows",IF(S224&gt;=3,"Check - often skipped","OK")))))</f>
        <v>0</v>
      </c>
    </row>
    <row r="225" spans="1:24">
      <c r="A225" s="43">
        <f>IF(F225="","","CHK-"&amp;TEXT(ROW()-4,"0000"))</f>
        <v>0</v>
      </c>
      <c r="O225" s="34">
        <f>IF(F225="","",ROUND(IF(H225="",0,H225)/60,2))</f>
        <v>0</v>
      </c>
      <c r="P225" s="34">
        <f>IF(B225="","",ROUND(SUMIFS($H$5:$H$404,$B$5:$B$404,B225,$M$5:$M$404,"Yes")/60,2))</f>
        <v>0</v>
      </c>
      <c r="Q225" s="34">
        <f>IF(B225="","",IFERROR(INDEX(Services!$G$5:$G$64,MATCH(B225,Services!$B$5:$B$64,0)),""))</f>
        <v>0</v>
      </c>
      <c r="R225" s="31">
        <f>IF(F225="","",COUNTIFS('Job Tasks'!$G$5:$G$904,F225,'Job Tasks'!$H$5:$H$904,"Done"))</f>
        <v>0</v>
      </c>
      <c r="S225" s="31">
        <f>IF(F225="","",COUNTIFS('Job Tasks'!$G$5:$G$904,F225,'Job Tasks'!$H$5:$H$904,"Skipped"))</f>
        <v>0</v>
      </c>
      <c r="T225" s="31">
        <f>IF(F225="","",COUNTIFS('Job Tasks'!$G$5:$G$904,F225,'Job Tasks'!$H$5:$H$904,"Issue found"))</f>
        <v>0</v>
      </c>
      <c r="U225" s="39">
        <f>IF(F225="","",IF(R225+S225=0,"New",IF(S225/(R225+S225)&gt;0.25,"Often skipped","Working")))</f>
        <v>0</v>
      </c>
      <c r="V225" s="31">
        <f>IF(OR(B225="",F225=""),"",COUNTIFS($B$5:B225,B225))</f>
        <v>0</v>
      </c>
      <c r="W225" s="23">
        <f>IF(V225="","",B225&amp;"|"&amp;V225)</f>
        <v>0</v>
      </c>
      <c r="X225" s="39">
        <f>IF(F225="","",IF(B225="","Add - which service?",IF(H225="","Add - how many minutes?",IF(AND(Q225&lt;&gt;"",P225&gt;Q225+0.25),"Check - checklist is longer than the service allows",IF(S225&gt;=3,"Check - often skipped","OK")))))</f>
        <v>0</v>
      </c>
    </row>
    <row r="226" spans="1:24">
      <c r="A226" s="43">
        <f>IF(F226="","","CHK-"&amp;TEXT(ROW()-4,"0000"))</f>
        <v>0</v>
      </c>
      <c r="O226" s="34">
        <f>IF(F226="","",ROUND(IF(H226="",0,H226)/60,2))</f>
        <v>0</v>
      </c>
      <c r="P226" s="34">
        <f>IF(B226="","",ROUND(SUMIFS($H$5:$H$404,$B$5:$B$404,B226,$M$5:$M$404,"Yes")/60,2))</f>
        <v>0</v>
      </c>
      <c r="Q226" s="34">
        <f>IF(B226="","",IFERROR(INDEX(Services!$G$5:$G$64,MATCH(B226,Services!$B$5:$B$64,0)),""))</f>
        <v>0</v>
      </c>
      <c r="R226" s="31">
        <f>IF(F226="","",COUNTIFS('Job Tasks'!$G$5:$G$904,F226,'Job Tasks'!$H$5:$H$904,"Done"))</f>
        <v>0</v>
      </c>
      <c r="S226" s="31">
        <f>IF(F226="","",COUNTIFS('Job Tasks'!$G$5:$G$904,F226,'Job Tasks'!$H$5:$H$904,"Skipped"))</f>
        <v>0</v>
      </c>
      <c r="T226" s="31">
        <f>IF(F226="","",COUNTIFS('Job Tasks'!$G$5:$G$904,F226,'Job Tasks'!$H$5:$H$904,"Issue found"))</f>
        <v>0</v>
      </c>
      <c r="U226" s="39">
        <f>IF(F226="","",IF(R226+S226=0,"New",IF(S226/(R226+S226)&gt;0.25,"Often skipped","Working")))</f>
        <v>0</v>
      </c>
      <c r="V226" s="31">
        <f>IF(OR(B226="",F226=""),"",COUNTIFS($B$5:B226,B226))</f>
        <v>0</v>
      </c>
      <c r="W226" s="23">
        <f>IF(V226="","",B226&amp;"|"&amp;V226)</f>
        <v>0</v>
      </c>
      <c r="X226" s="39">
        <f>IF(F226="","",IF(B226="","Add - which service?",IF(H226="","Add - how many minutes?",IF(AND(Q226&lt;&gt;"",P226&gt;Q226+0.25),"Check - checklist is longer than the service allows",IF(S226&gt;=3,"Check - often skipped","OK")))))</f>
        <v>0</v>
      </c>
    </row>
    <row r="227" spans="1:24">
      <c r="A227" s="43">
        <f>IF(F227="","","CHK-"&amp;TEXT(ROW()-4,"0000"))</f>
        <v>0</v>
      </c>
      <c r="O227" s="34">
        <f>IF(F227="","",ROUND(IF(H227="",0,H227)/60,2))</f>
        <v>0</v>
      </c>
      <c r="P227" s="34">
        <f>IF(B227="","",ROUND(SUMIFS($H$5:$H$404,$B$5:$B$404,B227,$M$5:$M$404,"Yes")/60,2))</f>
        <v>0</v>
      </c>
      <c r="Q227" s="34">
        <f>IF(B227="","",IFERROR(INDEX(Services!$G$5:$G$64,MATCH(B227,Services!$B$5:$B$64,0)),""))</f>
        <v>0</v>
      </c>
      <c r="R227" s="31">
        <f>IF(F227="","",COUNTIFS('Job Tasks'!$G$5:$G$904,F227,'Job Tasks'!$H$5:$H$904,"Done"))</f>
        <v>0</v>
      </c>
      <c r="S227" s="31">
        <f>IF(F227="","",COUNTIFS('Job Tasks'!$G$5:$G$904,F227,'Job Tasks'!$H$5:$H$904,"Skipped"))</f>
        <v>0</v>
      </c>
      <c r="T227" s="31">
        <f>IF(F227="","",COUNTIFS('Job Tasks'!$G$5:$G$904,F227,'Job Tasks'!$H$5:$H$904,"Issue found"))</f>
        <v>0</v>
      </c>
      <c r="U227" s="39">
        <f>IF(F227="","",IF(R227+S227=0,"New",IF(S227/(R227+S227)&gt;0.25,"Often skipped","Working")))</f>
        <v>0</v>
      </c>
      <c r="V227" s="31">
        <f>IF(OR(B227="",F227=""),"",COUNTIFS($B$5:B227,B227))</f>
        <v>0</v>
      </c>
      <c r="W227" s="23">
        <f>IF(V227="","",B227&amp;"|"&amp;V227)</f>
        <v>0</v>
      </c>
      <c r="X227" s="39">
        <f>IF(F227="","",IF(B227="","Add - which service?",IF(H227="","Add - how many minutes?",IF(AND(Q227&lt;&gt;"",P227&gt;Q227+0.25),"Check - checklist is longer than the service allows",IF(S227&gt;=3,"Check - often skipped","OK")))))</f>
        <v>0</v>
      </c>
    </row>
    <row r="228" spans="1:24">
      <c r="A228" s="43">
        <f>IF(F228="","","CHK-"&amp;TEXT(ROW()-4,"0000"))</f>
        <v>0</v>
      </c>
      <c r="O228" s="34">
        <f>IF(F228="","",ROUND(IF(H228="",0,H228)/60,2))</f>
        <v>0</v>
      </c>
      <c r="P228" s="34">
        <f>IF(B228="","",ROUND(SUMIFS($H$5:$H$404,$B$5:$B$404,B228,$M$5:$M$404,"Yes")/60,2))</f>
        <v>0</v>
      </c>
      <c r="Q228" s="34">
        <f>IF(B228="","",IFERROR(INDEX(Services!$G$5:$G$64,MATCH(B228,Services!$B$5:$B$64,0)),""))</f>
        <v>0</v>
      </c>
      <c r="R228" s="31">
        <f>IF(F228="","",COUNTIFS('Job Tasks'!$G$5:$G$904,F228,'Job Tasks'!$H$5:$H$904,"Done"))</f>
        <v>0</v>
      </c>
      <c r="S228" s="31">
        <f>IF(F228="","",COUNTIFS('Job Tasks'!$G$5:$G$904,F228,'Job Tasks'!$H$5:$H$904,"Skipped"))</f>
        <v>0</v>
      </c>
      <c r="T228" s="31">
        <f>IF(F228="","",COUNTIFS('Job Tasks'!$G$5:$G$904,F228,'Job Tasks'!$H$5:$H$904,"Issue found"))</f>
        <v>0</v>
      </c>
      <c r="U228" s="39">
        <f>IF(F228="","",IF(R228+S228=0,"New",IF(S228/(R228+S228)&gt;0.25,"Often skipped","Working")))</f>
        <v>0</v>
      </c>
      <c r="V228" s="31">
        <f>IF(OR(B228="",F228=""),"",COUNTIFS($B$5:B228,B228))</f>
        <v>0</v>
      </c>
      <c r="W228" s="23">
        <f>IF(V228="","",B228&amp;"|"&amp;V228)</f>
        <v>0</v>
      </c>
      <c r="X228" s="39">
        <f>IF(F228="","",IF(B228="","Add - which service?",IF(H228="","Add - how many minutes?",IF(AND(Q228&lt;&gt;"",P228&gt;Q228+0.25),"Check - checklist is longer than the service allows",IF(S228&gt;=3,"Check - often skipped","OK")))))</f>
        <v>0</v>
      </c>
    </row>
    <row r="229" spans="1:24">
      <c r="A229" s="43">
        <f>IF(F229="","","CHK-"&amp;TEXT(ROW()-4,"0000"))</f>
        <v>0</v>
      </c>
      <c r="O229" s="34">
        <f>IF(F229="","",ROUND(IF(H229="",0,H229)/60,2))</f>
        <v>0</v>
      </c>
      <c r="P229" s="34">
        <f>IF(B229="","",ROUND(SUMIFS($H$5:$H$404,$B$5:$B$404,B229,$M$5:$M$404,"Yes")/60,2))</f>
        <v>0</v>
      </c>
      <c r="Q229" s="34">
        <f>IF(B229="","",IFERROR(INDEX(Services!$G$5:$G$64,MATCH(B229,Services!$B$5:$B$64,0)),""))</f>
        <v>0</v>
      </c>
      <c r="R229" s="31">
        <f>IF(F229="","",COUNTIFS('Job Tasks'!$G$5:$G$904,F229,'Job Tasks'!$H$5:$H$904,"Done"))</f>
        <v>0</v>
      </c>
      <c r="S229" s="31">
        <f>IF(F229="","",COUNTIFS('Job Tasks'!$G$5:$G$904,F229,'Job Tasks'!$H$5:$H$904,"Skipped"))</f>
        <v>0</v>
      </c>
      <c r="T229" s="31">
        <f>IF(F229="","",COUNTIFS('Job Tasks'!$G$5:$G$904,F229,'Job Tasks'!$H$5:$H$904,"Issue found"))</f>
        <v>0</v>
      </c>
      <c r="U229" s="39">
        <f>IF(F229="","",IF(R229+S229=0,"New",IF(S229/(R229+S229)&gt;0.25,"Often skipped","Working")))</f>
        <v>0</v>
      </c>
      <c r="V229" s="31">
        <f>IF(OR(B229="",F229=""),"",COUNTIFS($B$5:B229,B229))</f>
        <v>0</v>
      </c>
      <c r="W229" s="23">
        <f>IF(V229="","",B229&amp;"|"&amp;V229)</f>
        <v>0</v>
      </c>
      <c r="X229" s="39">
        <f>IF(F229="","",IF(B229="","Add - which service?",IF(H229="","Add - how many minutes?",IF(AND(Q229&lt;&gt;"",P229&gt;Q229+0.25),"Check - checklist is longer than the service allows",IF(S229&gt;=3,"Check - often skipped","OK")))))</f>
        <v>0</v>
      </c>
    </row>
    <row r="230" spans="1:24">
      <c r="A230" s="43">
        <f>IF(F230="","","CHK-"&amp;TEXT(ROW()-4,"0000"))</f>
        <v>0</v>
      </c>
      <c r="O230" s="34">
        <f>IF(F230="","",ROUND(IF(H230="",0,H230)/60,2))</f>
        <v>0</v>
      </c>
      <c r="P230" s="34">
        <f>IF(B230="","",ROUND(SUMIFS($H$5:$H$404,$B$5:$B$404,B230,$M$5:$M$404,"Yes")/60,2))</f>
        <v>0</v>
      </c>
      <c r="Q230" s="34">
        <f>IF(B230="","",IFERROR(INDEX(Services!$G$5:$G$64,MATCH(B230,Services!$B$5:$B$64,0)),""))</f>
        <v>0</v>
      </c>
      <c r="R230" s="31">
        <f>IF(F230="","",COUNTIFS('Job Tasks'!$G$5:$G$904,F230,'Job Tasks'!$H$5:$H$904,"Done"))</f>
        <v>0</v>
      </c>
      <c r="S230" s="31">
        <f>IF(F230="","",COUNTIFS('Job Tasks'!$G$5:$G$904,F230,'Job Tasks'!$H$5:$H$904,"Skipped"))</f>
        <v>0</v>
      </c>
      <c r="T230" s="31">
        <f>IF(F230="","",COUNTIFS('Job Tasks'!$G$5:$G$904,F230,'Job Tasks'!$H$5:$H$904,"Issue found"))</f>
        <v>0</v>
      </c>
      <c r="U230" s="39">
        <f>IF(F230="","",IF(R230+S230=0,"New",IF(S230/(R230+S230)&gt;0.25,"Often skipped","Working")))</f>
        <v>0</v>
      </c>
      <c r="V230" s="31">
        <f>IF(OR(B230="",F230=""),"",COUNTIFS($B$5:B230,B230))</f>
        <v>0</v>
      </c>
      <c r="W230" s="23">
        <f>IF(V230="","",B230&amp;"|"&amp;V230)</f>
        <v>0</v>
      </c>
      <c r="X230" s="39">
        <f>IF(F230="","",IF(B230="","Add - which service?",IF(H230="","Add - how many minutes?",IF(AND(Q230&lt;&gt;"",P230&gt;Q230+0.25),"Check - checklist is longer than the service allows",IF(S230&gt;=3,"Check - often skipped","OK")))))</f>
        <v>0</v>
      </c>
    </row>
    <row r="231" spans="1:24">
      <c r="A231" s="43">
        <f>IF(F231="","","CHK-"&amp;TEXT(ROW()-4,"0000"))</f>
        <v>0</v>
      </c>
      <c r="O231" s="34">
        <f>IF(F231="","",ROUND(IF(H231="",0,H231)/60,2))</f>
        <v>0</v>
      </c>
      <c r="P231" s="34">
        <f>IF(B231="","",ROUND(SUMIFS($H$5:$H$404,$B$5:$B$404,B231,$M$5:$M$404,"Yes")/60,2))</f>
        <v>0</v>
      </c>
      <c r="Q231" s="34">
        <f>IF(B231="","",IFERROR(INDEX(Services!$G$5:$G$64,MATCH(B231,Services!$B$5:$B$64,0)),""))</f>
        <v>0</v>
      </c>
      <c r="R231" s="31">
        <f>IF(F231="","",COUNTIFS('Job Tasks'!$G$5:$G$904,F231,'Job Tasks'!$H$5:$H$904,"Done"))</f>
        <v>0</v>
      </c>
      <c r="S231" s="31">
        <f>IF(F231="","",COUNTIFS('Job Tasks'!$G$5:$G$904,F231,'Job Tasks'!$H$5:$H$904,"Skipped"))</f>
        <v>0</v>
      </c>
      <c r="T231" s="31">
        <f>IF(F231="","",COUNTIFS('Job Tasks'!$G$5:$G$904,F231,'Job Tasks'!$H$5:$H$904,"Issue found"))</f>
        <v>0</v>
      </c>
      <c r="U231" s="39">
        <f>IF(F231="","",IF(R231+S231=0,"New",IF(S231/(R231+S231)&gt;0.25,"Often skipped","Working")))</f>
        <v>0</v>
      </c>
      <c r="V231" s="31">
        <f>IF(OR(B231="",F231=""),"",COUNTIFS($B$5:B231,B231))</f>
        <v>0</v>
      </c>
      <c r="W231" s="23">
        <f>IF(V231="","",B231&amp;"|"&amp;V231)</f>
        <v>0</v>
      </c>
      <c r="X231" s="39">
        <f>IF(F231="","",IF(B231="","Add - which service?",IF(H231="","Add - how many minutes?",IF(AND(Q231&lt;&gt;"",P231&gt;Q231+0.25),"Check - checklist is longer than the service allows",IF(S231&gt;=3,"Check - often skipped","OK")))))</f>
        <v>0</v>
      </c>
    </row>
    <row r="232" spans="1:24">
      <c r="A232" s="43">
        <f>IF(F232="","","CHK-"&amp;TEXT(ROW()-4,"0000"))</f>
        <v>0</v>
      </c>
      <c r="O232" s="34">
        <f>IF(F232="","",ROUND(IF(H232="",0,H232)/60,2))</f>
        <v>0</v>
      </c>
      <c r="P232" s="34">
        <f>IF(B232="","",ROUND(SUMIFS($H$5:$H$404,$B$5:$B$404,B232,$M$5:$M$404,"Yes")/60,2))</f>
        <v>0</v>
      </c>
      <c r="Q232" s="34">
        <f>IF(B232="","",IFERROR(INDEX(Services!$G$5:$G$64,MATCH(B232,Services!$B$5:$B$64,0)),""))</f>
        <v>0</v>
      </c>
      <c r="R232" s="31">
        <f>IF(F232="","",COUNTIFS('Job Tasks'!$G$5:$G$904,F232,'Job Tasks'!$H$5:$H$904,"Done"))</f>
        <v>0</v>
      </c>
      <c r="S232" s="31">
        <f>IF(F232="","",COUNTIFS('Job Tasks'!$G$5:$G$904,F232,'Job Tasks'!$H$5:$H$904,"Skipped"))</f>
        <v>0</v>
      </c>
      <c r="T232" s="31">
        <f>IF(F232="","",COUNTIFS('Job Tasks'!$G$5:$G$904,F232,'Job Tasks'!$H$5:$H$904,"Issue found"))</f>
        <v>0</v>
      </c>
      <c r="U232" s="39">
        <f>IF(F232="","",IF(R232+S232=0,"New",IF(S232/(R232+S232)&gt;0.25,"Often skipped","Working")))</f>
        <v>0</v>
      </c>
      <c r="V232" s="31">
        <f>IF(OR(B232="",F232=""),"",COUNTIFS($B$5:B232,B232))</f>
        <v>0</v>
      </c>
      <c r="W232" s="23">
        <f>IF(V232="","",B232&amp;"|"&amp;V232)</f>
        <v>0</v>
      </c>
      <c r="X232" s="39">
        <f>IF(F232="","",IF(B232="","Add - which service?",IF(H232="","Add - how many minutes?",IF(AND(Q232&lt;&gt;"",P232&gt;Q232+0.25),"Check - checklist is longer than the service allows",IF(S232&gt;=3,"Check - often skipped","OK")))))</f>
        <v>0</v>
      </c>
    </row>
    <row r="233" spans="1:24">
      <c r="A233" s="43">
        <f>IF(F233="","","CHK-"&amp;TEXT(ROW()-4,"0000"))</f>
        <v>0</v>
      </c>
      <c r="O233" s="34">
        <f>IF(F233="","",ROUND(IF(H233="",0,H233)/60,2))</f>
        <v>0</v>
      </c>
      <c r="P233" s="34">
        <f>IF(B233="","",ROUND(SUMIFS($H$5:$H$404,$B$5:$B$404,B233,$M$5:$M$404,"Yes")/60,2))</f>
        <v>0</v>
      </c>
      <c r="Q233" s="34">
        <f>IF(B233="","",IFERROR(INDEX(Services!$G$5:$G$64,MATCH(B233,Services!$B$5:$B$64,0)),""))</f>
        <v>0</v>
      </c>
      <c r="R233" s="31">
        <f>IF(F233="","",COUNTIFS('Job Tasks'!$G$5:$G$904,F233,'Job Tasks'!$H$5:$H$904,"Done"))</f>
        <v>0</v>
      </c>
      <c r="S233" s="31">
        <f>IF(F233="","",COUNTIFS('Job Tasks'!$G$5:$G$904,F233,'Job Tasks'!$H$5:$H$904,"Skipped"))</f>
        <v>0</v>
      </c>
      <c r="T233" s="31">
        <f>IF(F233="","",COUNTIFS('Job Tasks'!$G$5:$G$904,F233,'Job Tasks'!$H$5:$H$904,"Issue found"))</f>
        <v>0</v>
      </c>
      <c r="U233" s="39">
        <f>IF(F233="","",IF(R233+S233=0,"New",IF(S233/(R233+S233)&gt;0.25,"Often skipped","Working")))</f>
        <v>0</v>
      </c>
      <c r="V233" s="31">
        <f>IF(OR(B233="",F233=""),"",COUNTIFS($B$5:B233,B233))</f>
        <v>0</v>
      </c>
      <c r="W233" s="23">
        <f>IF(V233="","",B233&amp;"|"&amp;V233)</f>
        <v>0</v>
      </c>
      <c r="X233" s="39">
        <f>IF(F233="","",IF(B233="","Add - which service?",IF(H233="","Add - how many minutes?",IF(AND(Q233&lt;&gt;"",P233&gt;Q233+0.25),"Check - checklist is longer than the service allows",IF(S233&gt;=3,"Check - often skipped","OK")))))</f>
        <v>0</v>
      </c>
    </row>
    <row r="234" spans="1:24">
      <c r="A234" s="43">
        <f>IF(F234="","","CHK-"&amp;TEXT(ROW()-4,"0000"))</f>
        <v>0</v>
      </c>
      <c r="O234" s="34">
        <f>IF(F234="","",ROUND(IF(H234="",0,H234)/60,2))</f>
        <v>0</v>
      </c>
      <c r="P234" s="34">
        <f>IF(B234="","",ROUND(SUMIFS($H$5:$H$404,$B$5:$B$404,B234,$M$5:$M$404,"Yes")/60,2))</f>
        <v>0</v>
      </c>
      <c r="Q234" s="34">
        <f>IF(B234="","",IFERROR(INDEX(Services!$G$5:$G$64,MATCH(B234,Services!$B$5:$B$64,0)),""))</f>
        <v>0</v>
      </c>
      <c r="R234" s="31">
        <f>IF(F234="","",COUNTIFS('Job Tasks'!$G$5:$G$904,F234,'Job Tasks'!$H$5:$H$904,"Done"))</f>
        <v>0</v>
      </c>
      <c r="S234" s="31">
        <f>IF(F234="","",COUNTIFS('Job Tasks'!$G$5:$G$904,F234,'Job Tasks'!$H$5:$H$904,"Skipped"))</f>
        <v>0</v>
      </c>
      <c r="T234" s="31">
        <f>IF(F234="","",COUNTIFS('Job Tasks'!$G$5:$G$904,F234,'Job Tasks'!$H$5:$H$904,"Issue found"))</f>
        <v>0</v>
      </c>
      <c r="U234" s="39">
        <f>IF(F234="","",IF(R234+S234=0,"New",IF(S234/(R234+S234)&gt;0.25,"Often skipped","Working")))</f>
        <v>0</v>
      </c>
      <c r="V234" s="31">
        <f>IF(OR(B234="",F234=""),"",COUNTIFS($B$5:B234,B234))</f>
        <v>0</v>
      </c>
      <c r="W234" s="23">
        <f>IF(V234="","",B234&amp;"|"&amp;V234)</f>
        <v>0</v>
      </c>
      <c r="X234" s="39">
        <f>IF(F234="","",IF(B234="","Add - which service?",IF(H234="","Add - how many minutes?",IF(AND(Q234&lt;&gt;"",P234&gt;Q234+0.25),"Check - checklist is longer than the service allows",IF(S234&gt;=3,"Check - often skipped","OK")))))</f>
        <v>0</v>
      </c>
    </row>
    <row r="235" spans="1:24">
      <c r="A235" s="43">
        <f>IF(F235="","","CHK-"&amp;TEXT(ROW()-4,"0000"))</f>
        <v>0</v>
      </c>
      <c r="O235" s="34">
        <f>IF(F235="","",ROUND(IF(H235="",0,H235)/60,2))</f>
        <v>0</v>
      </c>
      <c r="P235" s="34">
        <f>IF(B235="","",ROUND(SUMIFS($H$5:$H$404,$B$5:$B$404,B235,$M$5:$M$404,"Yes")/60,2))</f>
        <v>0</v>
      </c>
      <c r="Q235" s="34">
        <f>IF(B235="","",IFERROR(INDEX(Services!$G$5:$G$64,MATCH(B235,Services!$B$5:$B$64,0)),""))</f>
        <v>0</v>
      </c>
      <c r="R235" s="31">
        <f>IF(F235="","",COUNTIFS('Job Tasks'!$G$5:$G$904,F235,'Job Tasks'!$H$5:$H$904,"Done"))</f>
        <v>0</v>
      </c>
      <c r="S235" s="31">
        <f>IF(F235="","",COUNTIFS('Job Tasks'!$G$5:$G$904,F235,'Job Tasks'!$H$5:$H$904,"Skipped"))</f>
        <v>0</v>
      </c>
      <c r="T235" s="31">
        <f>IF(F235="","",COUNTIFS('Job Tasks'!$G$5:$G$904,F235,'Job Tasks'!$H$5:$H$904,"Issue found"))</f>
        <v>0</v>
      </c>
      <c r="U235" s="39">
        <f>IF(F235="","",IF(R235+S235=0,"New",IF(S235/(R235+S235)&gt;0.25,"Often skipped","Working")))</f>
        <v>0</v>
      </c>
      <c r="V235" s="31">
        <f>IF(OR(B235="",F235=""),"",COUNTIFS($B$5:B235,B235))</f>
        <v>0</v>
      </c>
      <c r="W235" s="23">
        <f>IF(V235="","",B235&amp;"|"&amp;V235)</f>
        <v>0</v>
      </c>
      <c r="X235" s="39">
        <f>IF(F235="","",IF(B235="","Add - which service?",IF(H235="","Add - how many minutes?",IF(AND(Q235&lt;&gt;"",P235&gt;Q235+0.25),"Check - checklist is longer than the service allows",IF(S235&gt;=3,"Check - often skipped","OK")))))</f>
        <v>0</v>
      </c>
    </row>
    <row r="236" spans="1:24">
      <c r="A236" s="43">
        <f>IF(F236="","","CHK-"&amp;TEXT(ROW()-4,"0000"))</f>
        <v>0</v>
      </c>
      <c r="O236" s="34">
        <f>IF(F236="","",ROUND(IF(H236="",0,H236)/60,2))</f>
        <v>0</v>
      </c>
      <c r="P236" s="34">
        <f>IF(B236="","",ROUND(SUMIFS($H$5:$H$404,$B$5:$B$404,B236,$M$5:$M$404,"Yes")/60,2))</f>
        <v>0</v>
      </c>
      <c r="Q236" s="34">
        <f>IF(B236="","",IFERROR(INDEX(Services!$G$5:$G$64,MATCH(B236,Services!$B$5:$B$64,0)),""))</f>
        <v>0</v>
      </c>
      <c r="R236" s="31">
        <f>IF(F236="","",COUNTIFS('Job Tasks'!$G$5:$G$904,F236,'Job Tasks'!$H$5:$H$904,"Done"))</f>
        <v>0</v>
      </c>
      <c r="S236" s="31">
        <f>IF(F236="","",COUNTIFS('Job Tasks'!$G$5:$G$904,F236,'Job Tasks'!$H$5:$H$904,"Skipped"))</f>
        <v>0</v>
      </c>
      <c r="T236" s="31">
        <f>IF(F236="","",COUNTIFS('Job Tasks'!$G$5:$G$904,F236,'Job Tasks'!$H$5:$H$904,"Issue found"))</f>
        <v>0</v>
      </c>
      <c r="U236" s="39">
        <f>IF(F236="","",IF(R236+S236=0,"New",IF(S236/(R236+S236)&gt;0.25,"Often skipped","Working")))</f>
        <v>0</v>
      </c>
      <c r="V236" s="31">
        <f>IF(OR(B236="",F236=""),"",COUNTIFS($B$5:B236,B236))</f>
        <v>0</v>
      </c>
      <c r="W236" s="23">
        <f>IF(V236="","",B236&amp;"|"&amp;V236)</f>
        <v>0</v>
      </c>
      <c r="X236" s="39">
        <f>IF(F236="","",IF(B236="","Add - which service?",IF(H236="","Add - how many minutes?",IF(AND(Q236&lt;&gt;"",P236&gt;Q236+0.25),"Check - checklist is longer than the service allows",IF(S236&gt;=3,"Check - often skipped","OK")))))</f>
        <v>0</v>
      </c>
    </row>
    <row r="237" spans="1:24">
      <c r="A237" s="43">
        <f>IF(F237="","","CHK-"&amp;TEXT(ROW()-4,"0000"))</f>
        <v>0</v>
      </c>
      <c r="O237" s="34">
        <f>IF(F237="","",ROUND(IF(H237="",0,H237)/60,2))</f>
        <v>0</v>
      </c>
      <c r="P237" s="34">
        <f>IF(B237="","",ROUND(SUMIFS($H$5:$H$404,$B$5:$B$404,B237,$M$5:$M$404,"Yes")/60,2))</f>
        <v>0</v>
      </c>
      <c r="Q237" s="34">
        <f>IF(B237="","",IFERROR(INDEX(Services!$G$5:$G$64,MATCH(B237,Services!$B$5:$B$64,0)),""))</f>
        <v>0</v>
      </c>
      <c r="R237" s="31">
        <f>IF(F237="","",COUNTIFS('Job Tasks'!$G$5:$G$904,F237,'Job Tasks'!$H$5:$H$904,"Done"))</f>
        <v>0</v>
      </c>
      <c r="S237" s="31">
        <f>IF(F237="","",COUNTIFS('Job Tasks'!$G$5:$G$904,F237,'Job Tasks'!$H$5:$H$904,"Skipped"))</f>
        <v>0</v>
      </c>
      <c r="T237" s="31">
        <f>IF(F237="","",COUNTIFS('Job Tasks'!$G$5:$G$904,F237,'Job Tasks'!$H$5:$H$904,"Issue found"))</f>
        <v>0</v>
      </c>
      <c r="U237" s="39">
        <f>IF(F237="","",IF(R237+S237=0,"New",IF(S237/(R237+S237)&gt;0.25,"Often skipped","Working")))</f>
        <v>0</v>
      </c>
      <c r="V237" s="31">
        <f>IF(OR(B237="",F237=""),"",COUNTIFS($B$5:B237,B237))</f>
        <v>0</v>
      </c>
      <c r="W237" s="23">
        <f>IF(V237="","",B237&amp;"|"&amp;V237)</f>
        <v>0</v>
      </c>
      <c r="X237" s="39">
        <f>IF(F237="","",IF(B237="","Add - which service?",IF(H237="","Add - how many minutes?",IF(AND(Q237&lt;&gt;"",P237&gt;Q237+0.25),"Check - checklist is longer than the service allows",IF(S237&gt;=3,"Check - often skipped","OK")))))</f>
        <v>0</v>
      </c>
    </row>
    <row r="238" spans="1:24">
      <c r="A238" s="43">
        <f>IF(F238="","","CHK-"&amp;TEXT(ROW()-4,"0000"))</f>
        <v>0</v>
      </c>
      <c r="O238" s="34">
        <f>IF(F238="","",ROUND(IF(H238="",0,H238)/60,2))</f>
        <v>0</v>
      </c>
      <c r="P238" s="34">
        <f>IF(B238="","",ROUND(SUMIFS($H$5:$H$404,$B$5:$B$404,B238,$M$5:$M$404,"Yes")/60,2))</f>
        <v>0</v>
      </c>
      <c r="Q238" s="34">
        <f>IF(B238="","",IFERROR(INDEX(Services!$G$5:$G$64,MATCH(B238,Services!$B$5:$B$64,0)),""))</f>
        <v>0</v>
      </c>
      <c r="R238" s="31">
        <f>IF(F238="","",COUNTIFS('Job Tasks'!$G$5:$G$904,F238,'Job Tasks'!$H$5:$H$904,"Done"))</f>
        <v>0</v>
      </c>
      <c r="S238" s="31">
        <f>IF(F238="","",COUNTIFS('Job Tasks'!$G$5:$G$904,F238,'Job Tasks'!$H$5:$H$904,"Skipped"))</f>
        <v>0</v>
      </c>
      <c r="T238" s="31">
        <f>IF(F238="","",COUNTIFS('Job Tasks'!$G$5:$G$904,F238,'Job Tasks'!$H$5:$H$904,"Issue found"))</f>
        <v>0</v>
      </c>
      <c r="U238" s="39">
        <f>IF(F238="","",IF(R238+S238=0,"New",IF(S238/(R238+S238)&gt;0.25,"Often skipped","Working")))</f>
        <v>0</v>
      </c>
      <c r="V238" s="31">
        <f>IF(OR(B238="",F238=""),"",COUNTIFS($B$5:B238,B238))</f>
        <v>0</v>
      </c>
      <c r="W238" s="23">
        <f>IF(V238="","",B238&amp;"|"&amp;V238)</f>
        <v>0</v>
      </c>
      <c r="X238" s="39">
        <f>IF(F238="","",IF(B238="","Add - which service?",IF(H238="","Add - how many minutes?",IF(AND(Q238&lt;&gt;"",P238&gt;Q238+0.25),"Check - checklist is longer than the service allows",IF(S238&gt;=3,"Check - often skipped","OK")))))</f>
        <v>0</v>
      </c>
    </row>
    <row r="239" spans="1:24">
      <c r="A239" s="43">
        <f>IF(F239="","","CHK-"&amp;TEXT(ROW()-4,"0000"))</f>
        <v>0</v>
      </c>
      <c r="O239" s="34">
        <f>IF(F239="","",ROUND(IF(H239="",0,H239)/60,2))</f>
        <v>0</v>
      </c>
      <c r="P239" s="34">
        <f>IF(B239="","",ROUND(SUMIFS($H$5:$H$404,$B$5:$B$404,B239,$M$5:$M$404,"Yes")/60,2))</f>
        <v>0</v>
      </c>
      <c r="Q239" s="34">
        <f>IF(B239="","",IFERROR(INDEX(Services!$G$5:$G$64,MATCH(B239,Services!$B$5:$B$64,0)),""))</f>
        <v>0</v>
      </c>
      <c r="R239" s="31">
        <f>IF(F239="","",COUNTIFS('Job Tasks'!$G$5:$G$904,F239,'Job Tasks'!$H$5:$H$904,"Done"))</f>
        <v>0</v>
      </c>
      <c r="S239" s="31">
        <f>IF(F239="","",COUNTIFS('Job Tasks'!$G$5:$G$904,F239,'Job Tasks'!$H$5:$H$904,"Skipped"))</f>
        <v>0</v>
      </c>
      <c r="T239" s="31">
        <f>IF(F239="","",COUNTIFS('Job Tasks'!$G$5:$G$904,F239,'Job Tasks'!$H$5:$H$904,"Issue found"))</f>
        <v>0</v>
      </c>
      <c r="U239" s="39">
        <f>IF(F239="","",IF(R239+S239=0,"New",IF(S239/(R239+S239)&gt;0.25,"Often skipped","Working")))</f>
        <v>0</v>
      </c>
      <c r="V239" s="31">
        <f>IF(OR(B239="",F239=""),"",COUNTIFS($B$5:B239,B239))</f>
        <v>0</v>
      </c>
      <c r="W239" s="23">
        <f>IF(V239="","",B239&amp;"|"&amp;V239)</f>
        <v>0</v>
      </c>
      <c r="X239" s="39">
        <f>IF(F239="","",IF(B239="","Add - which service?",IF(H239="","Add - how many minutes?",IF(AND(Q239&lt;&gt;"",P239&gt;Q239+0.25),"Check - checklist is longer than the service allows",IF(S239&gt;=3,"Check - often skipped","OK")))))</f>
        <v>0</v>
      </c>
    </row>
    <row r="240" spans="1:24">
      <c r="A240" s="43">
        <f>IF(F240="","","CHK-"&amp;TEXT(ROW()-4,"0000"))</f>
        <v>0</v>
      </c>
      <c r="O240" s="34">
        <f>IF(F240="","",ROUND(IF(H240="",0,H240)/60,2))</f>
        <v>0</v>
      </c>
      <c r="P240" s="34">
        <f>IF(B240="","",ROUND(SUMIFS($H$5:$H$404,$B$5:$B$404,B240,$M$5:$M$404,"Yes")/60,2))</f>
        <v>0</v>
      </c>
      <c r="Q240" s="34">
        <f>IF(B240="","",IFERROR(INDEX(Services!$G$5:$G$64,MATCH(B240,Services!$B$5:$B$64,0)),""))</f>
        <v>0</v>
      </c>
      <c r="R240" s="31">
        <f>IF(F240="","",COUNTIFS('Job Tasks'!$G$5:$G$904,F240,'Job Tasks'!$H$5:$H$904,"Done"))</f>
        <v>0</v>
      </c>
      <c r="S240" s="31">
        <f>IF(F240="","",COUNTIFS('Job Tasks'!$G$5:$G$904,F240,'Job Tasks'!$H$5:$H$904,"Skipped"))</f>
        <v>0</v>
      </c>
      <c r="T240" s="31">
        <f>IF(F240="","",COUNTIFS('Job Tasks'!$G$5:$G$904,F240,'Job Tasks'!$H$5:$H$904,"Issue found"))</f>
        <v>0</v>
      </c>
      <c r="U240" s="39">
        <f>IF(F240="","",IF(R240+S240=0,"New",IF(S240/(R240+S240)&gt;0.25,"Often skipped","Working")))</f>
        <v>0</v>
      </c>
      <c r="V240" s="31">
        <f>IF(OR(B240="",F240=""),"",COUNTIFS($B$5:B240,B240))</f>
        <v>0</v>
      </c>
      <c r="W240" s="23">
        <f>IF(V240="","",B240&amp;"|"&amp;V240)</f>
        <v>0</v>
      </c>
      <c r="X240" s="39">
        <f>IF(F240="","",IF(B240="","Add - which service?",IF(H240="","Add - how many minutes?",IF(AND(Q240&lt;&gt;"",P240&gt;Q240+0.25),"Check - checklist is longer than the service allows",IF(S240&gt;=3,"Check - often skipped","OK")))))</f>
        <v>0</v>
      </c>
    </row>
    <row r="241" spans="1:24">
      <c r="A241" s="43">
        <f>IF(F241="","","CHK-"&amp;TEXT(ROW()-4,"0000"))</f>
        <v>0</v>
      </c>
      <c r="O241" s="34">
        <f>IF(F241="","",ROUND(IF(H241="",0,H241)/60,2))</f>
        <v>0</v>
      </c>
      <c r="P241" s="34">
        <f>IF(B241="","",ROUND(SUMIFS($H$5:$H$404,$B$5:$B$404,B241,$M$5:$M$404,"Yes")/60,2))</f>
        <v>0</v>
      </c>
      <c r="Q241" s="34">
        <f>IF(B241="","",IFERROR(INDEX(Services!$G$5:$G$64,MATCH(B241,Services!$B$5:$B$64,0)),""))</f>
        <v>0</v>
      </c>
      <c r="R241" s="31">
        <f>IF(F241="","",COUNTIFS('Job Tasks'!$G$5:$G$904,F241,'Job Tasks'!$H$5:$H$904,"Done"))</f>
        <v>0</v>
      </c>
      <c r="S241" s="31">
        <f>IF(F241="","",COUNTIFS('Job Tasks'!$G$5:$G$904,F241,'Job Tasks'!$H$5:$H$904,"Skipped"))</f>
        <v>0</v>
      </c>
      <c r="T241" s="31">
        <f>IF(F241="","",COUNTIFS('Job Tasks'!$G$5:$G$904,F241,'Job Tasks'!$H$5:$H$904,"Issue found"))</f>
        <v>0</v>
      </c>
      <c r="U241" s="39">
        <f>IF(F241="","",IF(R241+S241=0,"New",IF(S241/(R241+S241)&gt;0.25,"Often skipped","Working")))</f>
        <v>0</v>
      </c>
      <c r="V241" s="31">
        <f>IF(OR(B241="",F241=""),"",COUNTIFS($B$5:B241,B241))</f>
        <v>0</v>
      </c>
      <c r="W241" s="23">
        <f>IF(V241="","",B241&amp;"|"&amp;V241)</f>
        <v>0</v>
      </c>
      <c r="X241" s="39">
        <f>IF(F241="","",IF(B241="","Add - which service?",IF(H241="","Add - how many minutes?",IF(AND(Q241&lt;&gt;"",P241&gt;Q241+0.25),"Check - checklist is longer than the service allows",IF(S241&gt;=3,"Check - often skipped","OK")))))</f>
        <v>0</v>
      </c>
    </row>
    <row r="242" spans="1:24">
      <c r="A242" s="43">
        <f>IF(F242="","","CHK-"&amp;TEXT(ROW()-4,"0000"))</f>
        <v>0</v>
      </c>
      <c r="O242" s="34">
        <f>IF(F242="","",ROUND(IF(H242="",0,H242)/60,2))</f>
        <v>0</v>
      </c>
      <c r="P242" s="34">
        <f>IF(B242="","",ROUND(SUMIFS($H$5:$H$404,$B$5:$B$404,B242,$M$5:$M$404,"Yes")/60,2))</f>
        <v>0</v>
      </c>
      <c r="Q242" s="34">
        <f>IF(B242="","",IFERROR(INDEX(Services!$G$5:$G$64,MATCH(B242,Services!$B$5:$B$64,0)),""))</f>
        <v>0</v>
      </c>
      <c r="R242" s="31">
        <f>IF(F242="","",COUNTIFS('Job Tasks'!$G$5:$G$904,F242,'Job Tasks'!$H$5:$H$904,"Done"))</f>
        <v>0</v>
      </c>
      <c r="S242" s="31">
        <f>IF(F242="","",COUNTIFS('Job Tasks'!$G$5:$G$904,F242,'Job Tasks'!$H$5:$H$904,"Skipped"))</f>
        <v>0</v>
      </c>
      <c r="T242" s="31">
        <f>IF(F242="","",COUNTIFS('Job Tasks'!$G$5:$G$904,F242,'Job Tasks'!$H$5:$H$904,"Issue found"))</f>
        <v>0</v>
      </c>
      <c r="U242" s="39">
        <f>IF(F242="","",IF(R242+S242=0,"New",IF(S242/(R242+S242)&gt;0.25,"Often skipped","Working")))</f>
        <v>0</v>
      </c>
      <c r="V242" s="31">
        <f>IF(OR(B242="",F242=""),"",COUNTIFS($B$5:B242,B242))</f>
        <v>0</v>
      </c>
      <c r="W242" s="23">
        <f>IF(V242="","",B242&amp;"|"&amp;V242)</f>
        <v>0</v>
      </c>
      <c r="X242" s="39">
        <f>IF(F242="","",IF(B242="","Add - which service?",IF(H242="","Add - how many minutes?",IF(AND(Q242&lt;&gt;"",P242&gt;Q242+0.25),"Check - checklist is longer than the service allows",IF(S242&gt;=3,"Check - often skipped","OK")))))</f>
        <v>0</v>
      </c>
    </row>
    <row r="243" spans="1:24">
      <c r="A243" s="43">
        <f>IF(F243="","","CHK-"&amp;TEXT(ROW()-4,"0000"))</f>
        <v>0</v>
      </c>
      <c r="O243" s="34">
        <f>IF(F243="","",ROUND(IF(H243="",0,H243)/60,2))</f>
        <v>0</v>
      </c>
      <c r="P243" s="34">
        <f>IF(B243="","",ROUND(SUMIFS($H$5:$H$404,$B$5:$B$404,B243,$M$5:$M$404,"Yes")/60,2))</f>
        <v>0</v>
      </c>
      <c r="Q243" s="34">
        <f>IF(B243="","",IFERROR(INDEX(Services!$G$5:$G$64,MATCH(B243,Services!$B$5:$B$64,0)),""))</f>
        <v>0</v>
      </c>
      <c r="R243" s="31">
        <f>IF(F243="","",COUNTIFS('Job Tasks'!$G$5:$G$904,F243,'Job Tasks'!$H$5:$H$904,"Done"))</f>
        <v>0</v>
      </c>
      <c r="S243" s="31">
        <f>IF(F243="","",COUNTIFS('Job Tasks'!$G$5:$G$904,F243,'Job Tasks'!$H$5:$H$904,"Skipped"))</f>
        <v>0</v>
      </c>
      <c r="T243" s="31">
        <f>IF(F243="","",COUNTIFS('Job Tasks'!$G$5:$G$904,F243,'Job Tasks'!$H$5:$H$904,"Issue found"))</f>
        <v>0</v>
      </c>
      <c r="U243" s="39">
        <f>IF(F243="","",IF(R243+S243=0,"New",IF(S243/(R243+S243)&gt;0.25,"Often skipped","Working")))</f>
        <v>0</v>
      </c>
      <c r="V243" s="31">
        <f>IF(OR(B243="",F243=""),"",COUNTIFS($B$5:B243,B243))</f>
        <v>0</v>
      </c>
      <c r="W243" s="23">
        <f>IF(V243="","",B243&amp;"|"&amp;V243)</f>
        <v>0</v>
      </c>
      <c r="X243" s="39">
        <f>IF(F243="","",IF(B243="","Add - which service?",IF(H243="","Add - how many minutes?",IF(AND(Q243&lt;&gt;"",P243&gt;Q243+0.25),"Check - checklist is longer than the service allows",IF(S243&gt;=3,"Check - often skipped","OK")))))</f>
        <v>0</v>
      </c>
    </row>
    <row r="244" spans="1:24">
      <c r="A244" s="43">
        <f>IF(F244="","","CHK-"&amp;TEXT(ROW()-4,"0000"))</f>
        <v>0</v>
      </c>
      <c r="O244" s="34">
        <f>IF(F244="","",ROUND(IF(H244="",0,H244)/60,2))</f>
        <v>0</v>
      </c>
      <c r="P244" s="34">
        <f>IF(B244="","",ROUND(SUMIFS($H$5:$H$404,$B$5:$B$404,B244,$M$5:$M$404,"Yes")/60,2))</f>
        <v>0</v>
      </c>
      <c r="Q244" s="34">
        <f>IF(B244="","",IFERROR(INDEX(Services!$G$5:$G$64,MATCH(B244,Services!$B$5:$B$64,0)),""))</f>
        <v>0</v>
      </c>
      <c r="R244" s="31">
        <f>IF(F244="","",COUNTIFS('Job Tasks'!$G$5:$G$904,F244,'Job Tasks'!$H$5:$H$904,"Done"))</f>
        <v>0</v>
      </c>
      <c r="S244" s="31">
        <f>IF(F244="","",COUNTIFS('Job Tasks'!$G$5:$G$904,F244,'Job Tasks'!$H$5:$H$904,"Skipped"))</f>
        <v>0</v>
      </c>
      <c r="T244" s="31">
        <f>IF(F244="","",COUNTIFS('Job Tasks'!$G$5:$G$904,F244,'Job Tasks'!$H$5:$H$904,"Issue found"))</f>
        <v>0</v>
      </c>
      <c r="U244" s="39">
        <f>IF(F244="","",IF(R244+S244=0,"New",IF(S244/(R244+S244)&gt;0.25,"Often skipped","Working")))</f>
        <v>0</v>
      </c>
      <c r="V244" s="31">
        <f>IF(OR(B244="",F244=""),"",COUNTIFS($B$5:B244,B244))</f>
        <v>0</v>
      </c>
      <c r="W244" s="23">
        <f>IF(V244="","",B244&amp;"|"&amp;V244)</f>
        <v>0</v>
      </c>
      <c r="X244" s="39">
        <f>IF(F244="","",IF(B244="","Add - which service?",IF(H244="","Add - how many minutes?",IF(AND(Q244&lt;&gt;"",P244&gt;Q244+0.25),"Check - checklist is longer than the service allows",IF(S244&gt;=3,"Check - often skipped","OK")))))</f>
        <v>0</v>
      </c>
    </row>
    <row r="245" spans="1:24">
      <c r="A245" s="43">
        <f>IF(F245="","","CHK-"&amp;TEXT(ROW()-4,"0000"))</f>
        <v>0</v>
      </c>
      <c r="O245" s="34">
        <f>IF(F245="","",ROUND(IF(H245="",0,H245)/60,2))</f>
        <v>0</v>
      </c>
      <c r="P245" s="34">
        <f>IF(B245="","",ROUND(SUMIFS($H$5:$H$404,$B$5:$B$404,B245,$M$5:$M$404,"Yes")/60,2))</f>
        <v>0</v>
      </c>
      <c r="Q245" s="34">
        <f>IF(B245="","",IFERROR(INDEX(Services!$G$5:$G$64,MATCH(B245,Services!$B$5:$B$64,0)),""))</f>
        <v>0</v>
      </c>
      <c r="R245" s="31">
        <f>IF(F245="","",COUNTIFS('Job Tasks'!$G$5:$G$904,F245,'Job Tasks'!$H$5:$H$904,"Done"))</f>
        <v>0</v>
      </c>
      <c r="S245" s="31">
        <f>IF(F245="","",COUNTIFS('Job Tasks'!$G$5:$G$904,F245,'Job Tasks'!$H$5:$H$904,"Skipped"))</f>
        <v>0</v>
      </c>
      <c r="T245" s="31">
        <f>IF(F245="","",COUNTIFS('Job Tasks'!$G$5:$G$904,F245,'Job Tasks'!$H$5:$H$904,"Issue found"))</f>
        <v>0</v>
      </c>
      <c r="U245" s="39">
        <f>IF(F245="","",IF(R245+S245=0,"New",IF(S245/(R245+S245)&gt;0.25,"Often skipped","Working")))</f>
        <v>0</v>
      </c>
      <c r="V245" s="31">
        <f>IF(OR(B245="",F245=""),"",COUNTIFS($B$5:B245,B245))</f>
        <v>0</v>
      </c>
      <c r="W245" s="23">
        <f>IF(V245="","",B245&amp;"|"&amp;V245)</f>
        <v>0</v>
      </c>
      <c r="X245" s="39">
        <f>IF(F245="","",IF(B245="","Add - which service?",IF(H245="","Add - how many minutes?",IF(AND(Q245&lt;&gt;"",P245&gt;Q245+0.25),"Check - checklist is longer than the service allows",IF(S245&gt;=3,"Check - often skipped","OK")))))</f>
        <v>0</v>
      </c>
    </row>
    <row r="246" spans="1:24">
      <c r="A246" s="43">
        <f>IF(F246="","","CHK-"&amp;TEXT(ROW()-4,"0000"))</f>
        <v>0</v>
      </c>
      <c r="O246" s="34">
        <f>IF(F246="","",ROUND(IF(H246="",0,H246)/60,2))</f>
        <v>0</v>
      </c>
      <c r="P246" s="34">
        <f>IF(B246="","",ROUND(SUMIFS($H$5:$H$404,$B$5:$B$404,B246,$M$5:$M$404,"Yes")/60,2))</f>
        <v>0</v>
      </c>
      <c r="Q246" s="34">
        <f>IF(B246="","",IFERROR(INDEX(Services!$G$5:$G$64,MATCH(B246,Services!$B$5:$B$64,0)),""))</f>
        <v>0</v>
      </c>
      <c r="R246" s="31">
        <f>IF(F246="","",COUNTIFS('Job Tasks'!$G$5:$G$904,F246,'Job Tasks'!$H$5:$H$904,"Done"))</f>
        <v>0</v>
      </c>
      <c r="S246" s="31">
        <f>IF(F246="","",COUNTIFS('Job Tasks'!$G$5:$G$904,F246,'Job Tasks'!$H$5:$H$904,"Skipped"))</f>
        <v>0</v>
      </c>
      <c r="T246" s="31">
        <f>IF(F246="","",COUNTIFS('Job Tasks'!$G$5:$G$904,F246,'Job Tasks'!$H$5:$H$904,"Issue found"))</f>
        <v>0</v>
      </c>
      <c r="U246" s="39">
        <f>IF(F246="","",IF(R246+S246=0,"New",IF(S246/(R246+S246)&gt;0.25,"Often skipped","Working")))</f>
        <v>0</v>
      </c>
      <c r="V246" s="31">
        <f>IF(OR(B246="",F246=""),"",COUNTIFS($B$5:B246,B246))</f>
        <v>0</v>
      </c>
      <c r="W246" s="23">
        <f>IF(V246="","",B246&amp;"|"&amp;V246)</f>
        <v>0</v>
      </c>
      <c r="X246" s="39">
        <f>IF(F246="","",IF(B246="","Add - which service?",IF(H246="","Add - how many minutes?",IF(AND(Q246&lt;&gt;"",P246&gt;Q246+0.25),"Check - checklist is longer than the service allows",IF(S246&gt;=3,"Check - often skipped","OK")))))</f>
        <v>0</v>
      </c>
    </row>
    <row r="247" spans="1:24">
      <c r="A247" s="43">
        <f>IF(F247="","","CHK-"&amp;TEXT(ROW()-4,"0000"))</f>
        <v>0</v>
      </c>
      <c r="O247" s="34">
        <f>IF(F247="","",ROUND(IF(H247="",0,H247)/60,2))</f>
        <v>0</v>
      </c>
      <c r="P247" s="34">
        <f>IF(B247="","",ROUND(SUMIFS($H$5:$H$404,$B$5:$B$404,B247,$M$5:$M$404,"Yes")/60,2))</f>
        <v>0</v>
      </c>
      <c r="Q247" s="34">
        <f>IF(B247="","",IFERROR(INDEX(Services!$G$5:$G$64,MATCH(B247,Services!$B$5:$B$64,0)),""))</f>
        <v>0</v>
      </c>
      <c r="R247" s="31">
        <f>IF(F247="","",COUNTIFS('Job Tasks'!$G$5:$G$904,F247,'Job Tasks'!$H$5:$H$904,"Done"))</f>
        <v>0</v>
      </c>
      <c r="S247" s="31">
        <f>IF(F247="","",COUNTIFS('Job Tasks'!$G$5:$G$904,F247,'Job Tasks'!$H$5:$H$904,"Skipped"))</f>
        <v>0</v>
      </c>
      <c r="T247" s="31">
        <f>IF(F247="","",COUNTIFS('Job Tasks'!$G$5:$G$904,F247,'Job Tasks'!$H$5:$H$904,"Issue found"))</f>
        <v>0</v>
      </c>
      <c r="U247" s="39">
        <f>IF(F247="","",IF(R247+S247=0,"New",IF(S247/(R247+S247)&gt;0.25,"Often skipped","Working")))</f>
        <v>0</v>
      </c>
      <c r="V247" s="31">
        <f>IF(OR(B247="",F247=""),"",COUNTIFS($B$5:B247,B247))</f>
        <v>0</v>
      </c>
      <c r="W247" s="23">
        <f>IF(V247="","",B247&amp;"|"&amp;V247)</f>
        <v>0</v>
      </c>
      <c r="X247" s="39">
        <f>IF(F247="","",IF(B247="","Add - which service?",IF(H247="","Add - how many minutes?",IF(AND(Q247&lt;&gt;"",P247&gt;Q247+0.25),"Check - checklist is longer than the service allows",IF(S247&gt;=3,"Check - often skipped","OK")))))</f>
        <v>0</v>
      </c>
    </row>
    <row r="248" spans="1:24">
      <c r="A248" s="43">
        <f>IF(F248="","","CHK-"&amp;TEXT(ROW()-4,"0000"))</f>
        <v>0</v>
      </c>
      <c r="O248" s="34">
        <f>IF(F248="","",ROUND(IF(H248="",0,H248)/60,2))</f>
        <v>0</v>
      </c>
      <c r="P248" s="34">
        <f>IF(B248="","",ROUND(SUMIFS($H$5:$H$404,$B$5:$B$404,B248,$M$5:$M$404,"Yes")/60,2))</f>
        <v>0</v>
      </c>
      <c r="Q248" s="34">
        <f>IF(B248="","",IFERROR(INDEX(Services!$G$5:$G$64,MATCH(B248,Services!$B$5:$B$64,0)),""))</f>
        <v>0</v>
      </c>
      <c r="R248" s="31">
        <f>IF(F248="","",COUNTIFS('Job Tasks'!$G$5:$G$904,F248,'Job Tasks'!$H$5:$H$904,"Done"))</f>
        <v>0</v>
      </c>
      <c r="S248" s="31">
        <f>IF(F248="","",COUNTIFS('Job Tasks'!$G$5:$G$904,F248,'Job Tasks'!$H$5:$H$904,"Skipped"))</f>
        <v>0</v>
      </c>
      <c r="T248" s="31">
        <f>IF(F248="","",COUNTIFS('Job Tasks'!$G$5:$G$904,F248,'Job Tasks'!$H$5:$H$904,"Issue found"))</f>
        <v>0</v>
      </c>
      <c r="U248" s="39">
        <f>IF(F248="","",IF(R248+S248=0,"New",IF(S248/(R248+S248)&gt;0.25,"Often skipped","Working")))</f>
        <v>0</v>
      </c>
      <c r="V248" s="31">
        <f>IF(OR(B248="",F248=""),"",COUNTIFS($B$5:B248,B248))</f>
        <v>0</v>
      </c>
      <c r="W248" s="23">
        <f>IF(V248="","",B248&amp;"|"&amp;V248)</f>
        <v>0</v>
      </c>
      <c r="X248" s="39">
        <f>IF(F248="","",IF(B248="","Add - which service?",IF(H248="","Add - how many minutes?",IF(AND(Q248&lt;&gt;"",P248&gt;Q248+0.25),"Check - checklist is longer than the service allows",IF(S248&gt;=3,"Check - often skipped","OK")))))</f>
        <v>0</v>
      </c>
    </row>
    <row r="249" spans="1:24">
      <c r="A249" s="43">
        <f>IF(F249="","","CHK-"&amp;TEXT(ROW()-4,"0000"))</f>
        <v>0</v>
      </c>
      <c r="O249" s="34">
        <f>IF(F249="","",ROUND(IF(H249="",0,H249)/60,2))</f>
        <v>0</v>
      </c>
      <c r="P249" s="34">
        <f>IF(B249="","",ROUND(SUMIFS($H$5:$H$404,$B$5:$B$404,B249,$M$5:$M$404,"Yes")/60,2))</f>
        <v>0</v>
      </c>
      <c r="Q249" s="34">
        <f>IF(B249="","",IFERROR(INDEX(Services!$G$5:$G$64,MATCH(B249,Services!$B$5:$B$64,0)),""))</f>
        <v>0</v>
      </c>
      <c r="R249" s="31">
        <f>IF(F249="","",COUNTIFS('Job Tasks'!$G$5:$G$904,F249,'Job Tasks'!$H$5:$H$904,"Done"))</f>
        <v>0</v>
      </c>
      <c r="S249" s="31">
        <f>IF(F249="","",COUNTIFS('Job Tasks'!$G$5:$G$904,F249,'Job Tasks'!$H$5:$H$904,"Skipped"))</f>
        <v>0</v>
      </c>
      <c r="T249" s="31">
        <f>IF(F249="","",COUNTIFS('Job Tasks'!$G$5:$G$904,F249,'Job Tasks'!$H$5:$H$904,"Issue found"))</f>
        <v>0</v>
      </c>
      <c r="U249" s="39">
        <f>IF(F249="","",IF(R249+S249=0,"New",IF(S249/(R249+S249)&gt;0.25,"Often skipped","Working")))</f>
        <v>0</v>
      </c>
      <c r="V249" s="31">
        <f>IF(OR(B249="",F249=""),"",COUNTIFS($B$5:B249,B249))</f>
        <v>0</v>
      </c>
      <c r="W249" s="23">
        <f>IF(V249="","",B249&amp;"|"&amp;V249)</f>
        <v>0</v>
      </c>
      <c r="X249" s="39">
        <f>IF(F249="","",IF(B249="","Add - which service?",IF(H249="","Add - how many minutes?",IF(AND(Q249&lt;&gt;"",P249&gt;Q249+0.25),"Check - checklist is longer than the service allows",IF(S249&gt;=3,"Check - often skipped","OK")))))</f>
        <v>0</v>
      </c>
    </row>
    <row r="250" spans="1:24">
      <c r="A250" s="43">
        <f>IF(F250="","","CHK-"&amp;TEXT(ROW()-4,"0000"))</f>
        <v>0</v>
      </c>
      <c r="O250" s="34">
        <f>IF(F250="","",ROUND(IF(H250="",0,H250)/60,2))</f>
        <v>0</v>
      </c>
      <c r="P250" s="34">
        <f>IF(B250="","",ROUND(SUMIFS($H$5:$H$404,$B$5:$B$404,B250,$M$5:$M$404,"Yes")/60,2))</f>
        <v>0</v>
      </c>
      <c r="Q250" s="34">
        <f>IF(B250="","",IFERROR(INDEX(Services!$G$5:$G$64,MATCH(B250,Services!$B$5:$B$64,0)),""))</f>
        <v>0</v>
      </c>
      <c r="R250" s="31">
        <f>IF(F250="","",COUNTIFS('Job Tasks'!$G$5:$G$904,F250,'Job Tasks'!$H$5:$H$904,"Done"))</f>
        <v>0</v>
      </c>
      <c r="S250" s="31">
        <f>IF(F250="","",COUNTIFS('Job Tasks'!$G$5:$G$904,F250,'Job Tasks'!$H$5:$H$904,"Skipped"))</f>
        <v>0</v>
      </c>
      <c r="T250" s="31">
        <f>IF(F250="","",COUNTIFS('Job Tasks'!$G$5:$G$904,F250,'Job Tasks'!$H$5:$H$904,"Issue found"))</f>
        <v>0</v>
      </c>
      <c r="U250" s="39">
        <f>IF(F250="","",IF(R250+S250=0,"New",IF(S250/(R250+S250)&gt;0.25,"Often skipped","Working")))</f>
        <v>0</v>
      </c>
      <c r="V250" s="31">
        <f>IF(OR(B250="",F250=""),"",COUNTIFS($B$5:B250,B250))</f>
        <v>0</v>
      </c>
      <c r="W250" s="23">
        <f>IF(V250="","",B250&amp;"|"&amp;V250)</f>
        <v>0</v>
      </c>
      <c r="X250" s="39">
        <f>IF(F250="","",IF(B250="","Add - which service?",IF(H250="","Add - how many minutes?",IF(AND(Q250&lt;&gt;"",P250&gt;Q250+0.25),"Check - checklist is longer than the service allows",IF(S250&gt;=3,"Check - often skipped","OK")))))</f>
        <v>0</v>
      </c>
    </row>
    <row r="251" spans="1:24">
      <c r="A251" s="43">
        <f>IF(F251="","","CHK-"&amp;TEXT(ROW()-4,"0000"))</f>
        <v>0</v>
      </c>
      <c r="O251" s="34">
        <f>IF(F251="","",ROUND(IF(H251="",0,H251)/60,2))</f>
        <v>0</v>
      </c>
      <c r="P251" s="34">
        <f>IF(B251="","",ROUND(SUMIFS($H$5:$H$404,$B$5:$B$404,B251,$M$5:$M$404,"Yes")/60,2))</f>
        <v>0</v>
      </c>
      <c r="Q251" s="34">
        <f>IF(B251="","",IFERROR(INDEX(Services!$G$5:$G$64,MATCH(B251,Services!$B$5:$B$64,0)),""))</f>
        <v>0</v>
      </c>
      <c r="R251" s="31">
        <f>IF(F251="","",COUNTIFS('Job Tasks'!$G$5:$G$904,F251,'Job Tasks'!$H$5:$H$904,"Done"))</f>
        <v>0</v>
      </c>
      <c r="S251" s="31">
        <f>IF(F251="","",COUNTIFS('Job Tasks'!$G$5:$G$904,F251,'Job Tasks'!$H$5:$H$904,"Skipped"))</f>
        <v>0</v>
      </c>
      <c r="T251" s="31">
        <f>IF(F251="","",COUNTIFS('Job Tasks'!$G$5:$G$904,F251,'Job Tasks'!$H$5:$H$904,"Issue found"))</f>
        <v>0</v>
      </c>
      <c r="U251" s="39">
        <f>IF(F251="","",IF(R251+S251=0,"New",IF(S251/(R251+S251)&gt;0.25,"Often skipped","Working")))</f>
        <v>0</v>
      </c>
      <c r="V251" s="31">
        <f>IF(OR(B251="",F251=""),"",COUNTIFS($B$5:B251,B251))</f>
        <v>0</v>
      </c>
      <c r="W251" s="23">
        <f>IF(V251="","",B251&amp;"|"&amp;V251)</f>
        <v>0</v>
      </c>
      <c r="X251" s="39">
        <f>IF(F251="","",IF(B251="","Add - which service?",IF(H251="","Add - how many minutes?",IF(AND(Q251&lt;&gt;"",P251&gt;Q251+0.25),"Check - checklist is longer than the service allows",IF(S251&gt;=3,"Check - often skipped","OK")))))</f>
        <v>0</v>
      </c>
    </row>
    <row r="252" spans="1:24">
      <c r="A252" s="43">
        <f>IF(F252="","","CHK-"&amp;TEXT(ROW()-4,"0000"))</f>
        <v>0</v>
      </c>
      <c r="O252" s="34">
        <f>IF(F252="","",ROUND(IF(H252="",0,H252)/60,2))</f>
        <v>0</v>
      </c>
      <c r="P252" s="34">
        <f>IF(B252="","",ROUND(SUMIFS($H$5:$H$404,$B$5:$B$404,B252,$M$5:$M$404,"Yes")/60,2))</f>
        <v>0</v>
      </c>
      <c r="Q252" s="34">
        <f>IF(B252="","",IFERROR(INDEX(Services!$G$5:$G$64,MATCH(B252,Services!$B$5:$B$64,0)),""))</f>
        <v>0</v>
      </c>
      <c r="R252" s="31">
        <f>IF(F252="","",COUNTIFS('Job Tasks'!$G$5:$G$904,F252,'Job Tasks'!$H$5:$H$904,"Done"))</f>
        <v>0</v>
      </c>
      <c r="S252" s="31">
        <f>IF(F252="","",COUNTIFS('Job Tasks'!$G$5:$G$904,F252,'Job Tasks'!$H$5:$H$904,"Skipped"))</f>
        <v>0</v>
      </c>
      <c r="T252" s="31">
        <f>IF(F252="","",COUNTIFS('Job Tasks'!$G$5:$G$904,F252,'Job Tasks'!$H$5:$H$904,"Issue found"))</f>
        <v>0</v>
      </c>
      <c r="U252" s="39">
        <f>IF(F252="","",IF(R252+S252=0,"New",IF(S252/(R252+S252)&gt;0.25,"Often skipped","Working")))</f>
        <v>0</v>
      </c>
      <c r="V252" s="31">
        <f>IF(OR(B252="",F252=""),"",COUNTIFS($B$5:B252,B252))</f>
        <v>0</v>
      </c>
      <c r="W252" s="23">
        <f>IF(V252="","",B252&amp;"|"&amp;V252)</f>
        <v>0</v>
      </c>
      <c r="X252" s="39">
        <f>IF(F252="","",IF(B252="","Add - which service?",IF(H252="","Add - how many minutes?",IF(AND(Q252&lt;&gt;"",P252&gt;Q252+0.25),"Check - checklist is longer than the service allows",IF(S252&gt;=3,"Check - often skipped","OK")))))</f>
        <v>0</v>
      </c>
    </row>
    <row r="253" spans="1:24">
      <c r="A253" s="43">
        <f>IF(F253="","","CHK-"&amp;TEXT(ROW()-4,"0000"))</f>
        <v>0</v>
      </c>
      <c r="O253" s="34">
        <f>IF(F253="","",ROUND(IF(H253="",0,H253)/60,2))</f>
        <v>0</v>
      </c>
      <c r="P253" s="34">
        <f>IF(B253="","",ROUND(SUMIFS($H$5:$H$404,$B$5:$B$404,B253,$M$5:$M$404,"Yes")/60,2))</f>
        <v>0</v>
      </c>
      <c r="Q253" s="34">
        <f>IF(B253="","",IFERROR(INDEX(Services!$G$5:$G$64,MATCH(B253,Services!$B$5:$B$64,0)),""))</f>
        <v>0</v>
      </c>
      <c r="R253" s="31">
        <f>IF(F253="","",COUNTIFS('Job Tasks'!$G$5:$G$904,F253,'Job Tasks'!$H$5:$H$904,"Done"))</f>
        <v>0</v>
      </c>
      <c r="S253" s="31">
        <f>IF(F253="","",COUNTIFS('Job Tasks'!$G$5:$G$904,F253,'Job Tasks'!$H$5:$H$904,"Skipped"))</f>
        <v>0</v>
      </c>
      <c r="T253" s="31">
        <f>IF(F253="","",COUNTIFS('Job Tasks'!$G$5:$G$904,F253,'Job Tasks'!$H$5:$H$904,"Issue found"))</f>
        <v>0</v>
      </c>
      <c r="U253" s="39">
        <f>IF(F253="","",IF(R253+S253=0,"New",IF(S253/(R253+S253)&gt;0.25,"Often skipped","Working")))</f>
        <v>0</v>
      </c>
      <c r="V253" s="31">
        <f>IF(OR(B253="",F253=""),"",COUNTIFS($B$5:B253,B253))</f>
        <v>0</v>
      </c>
      <c r="W253" s="23">
        <f>IF(V253="","",B253&amp;"|"&amp;V253)</f>
        <v>0</v>
      </c>
      <c r="X253" s="39">
        <f>IF(F253="","",IF(B253="","Add - which service?",IF(H253="","Add - how many minutes?",IF(AND(Q253&lt;&gt;"",P253&gt;Q253+0.25),"Check - checklist is longer than the service allows",IF(S253&gt;=3,"Check - often skipped","OK")))))</f>
        <v>0</v>
      </c>
    </row>
    <row r="254" spans="1:24">
      <c r="A254" s="43">
        <f>IF(F254="","","CHK-"&amp;TEXT(ROW()-4,"0000"))</f>
        <v>0</v>
      </c>
      <c r="O254" s="34">
        <f>IF(F254="","",ROUND(IF(H254="",0,H254)/60,2))</f>
        <v>0</v>
      </c>
      <c r="P254" s="34">
        <f>IF(B254="","",ROUND(SUMIFS($H$5:$H$404,$B$5:$B$404,B254,$M$5:$M$404,"Yes")/60,2))</f>
        <v>0</v>
      </c>
      <c r="Q254" s="34">
        <f>IF(B254="","",IFERROR(INDEX(Services!$G$5:$G$64,MATCH(B254,Services!$B$5:$B$64,0)),""))</f>
        <v>0</v>
      </c>
      <c r="R254" s="31">
        <f>IF(F254="","",COUNTIFS('Job Tasks'!$G$5:$G$904,F254,'Job Tasks'!$H$5:$H$904,"Done"))</f>
        <v>0</v>
      </c>
      <c r="S254" s="31">
        <f>IF(F254="","",COUNTIFS('Job Tasks'!$G$5:$G$904,F254,'Job Tasks'!$H$5:$H$904,"Skipped"))</f>
        <v>0</v>
      </c>
      <c r="T254" s="31">
        <f>IF(F254="","",COUNTIFS('Job Tasks'!$G$5:$G$904,F254,'Job Tasks'!$H$5:$H$904,"Issue found"))</f>
        <v>0</v>
      </c>
      <c r="U254" s="39">
        <f>IF(F254="","",IF(R254+S254=0,"New",IF(S254/(R254+S254)&gt;0.25,"Often skipped","Working")))</f>
        <v>0</v>
      </c>
      <c r="V254" s="31">
        <f>IF(OR(B254="",F254=""),"",COUNTIFS($B$5:B254,B254))</f>
        <v>0</v>
      </c>
      <c r="W254" s="23">
        <f>IF(V254="","",B254&amp;"|"&amp;V254)</f>
        <v>0</v>
      </c>
      <c r="X254" s="39">
        <f>IF(F254="","",IF(B254="","Add - which service?",IF(H254="","Add - how many minutes?",IF(AND(Q254&lt;&gt;"",P254&gt;Q254+0.25),"Check - checklist is longer than the service allows",IF(S254&gt;=3,"Check - often skipped","OK")))))</f>
        <v>0</v>
      </c>
    </row>
    <row r="255" spans="1:24">
      <c r="A255" s="43">
        <f>IF(F255="","","CHK-"&amp;TEXT(ROW()-4,"0000"))</f>
        <v>0</v>
      </c>
      <c r="O255" s="34">
        <f>IF(F255="","",ROUND(IF(H255="",0,H255)/60,2))</f>
        <v>0</v>
      </c>
      <c r="P255" s="34">
        <f>IF(B255="","",ROUND(SUMIFS($H$5:$H$404,$B$5:$B$404,B255,$M$5:$M$404,"Yes")/60,2))</f>
        <v>0</v>
      </c>
      <c r="Q255" s="34">
        <f>IF(B255="","",IFERROR(INDEX(Services!$G$5:$G$64,MATCH(B255,Services!$B$5:$B$64,0)),""))</f>
        <v>0</v>
      </c>
      <c r="R255" s="31">
        <f>IF(F255="","",COUNTIFS('Job Tasks'!$G$5:$G$904,F255,'Job Tasks'!$H$5:$H$904,"Done"))</f>
        <v>0</v>
      </c>
      <c r="S255" s="31">
        <f>IF(F255="","",COUNTIFS('Job Tasks'!$G$5:$G$904,F255,'Job Tasks'!$H$5:$H$904,"Skipped"))</f>
        <v>0</v>
      </c>
      <c r="T255" s="31">
        <f>IF(F255="","",COUNTIFS('Job Tasks'!$G$5:$G$904,F255,'Job Tasks'!$H$5:$H$904,"Issue found"))</f>
        <v>0</v>
      </c>
      <c r="U255" s="39">
        <f>IF(F255="","",IF(R255+S255=0,"New",IF(S255/(R255+S255)&gt;0.25,"Often skipped","Working")))</f>
        <v>0</v>
      </c>
      <c r="V255" s="31">
        <f>IF(OR(B255="",F255=""),"",COUNTIFS($B$5:B255,B255))</f>
        <v>0</v>
      </c>
      <c r="W255" s="23">
        <f>IF(V255="","",B255&amp;"|"&amp;V255)</f>
        <v>0</v>
      </c>
      <c r="X255" s="39">
        <f>IF(F255="","",IF(B255="","Add - which service?",IF(H255="","Add - how many minutes?",IF(AND(Q255&lt;&gt;"",P255&gt;Q255+0.25),"Check - checklist is longer than the service allows",IF(S255&gt;=3,"Check - often skipped","OK")))))</f>
        <v>0</v>
      </c>
    </row>
    <row r="256" spans="1:24">
      <c r="A256" s="43">
        <f>IF(F256="","","CHK-"&amp;TEXT(ROW()-4,"0000"))</f>
        <v>0</v>
      </c>
      <c r="O256" s="34">
        <f>IF(F256="","",ROUND(IF(H256="",0,H256)/60,2))</f>
        <v>0</v>
      </c>
      <c r="P256" s="34">
        <f>IF(B256="","",ROUND(SUMIFS($H$5:$H$404,$B$5:$B$404,B256,$M$5:$M$404,"Yes")/60,2))</f>
        <v>0</v>
      </c>
      <c r="Q256" s="34">
        <f>IF(B256="","",IFERROR(INDEX(Services!$G$5:$G$64,MATCH(B256,Services!$B$5:$B$64,0)),""))</f>
        <v>0</v>
      </c>
      <c r="R256" s="31">
        <f>IF(F256="","",COUNTIFS('Job Tasks'!$G$5:$G$904,F256,'Job Tasks'!$H$5:$H$904,"Done"))</f>
        <v>0</v>
      </c>
      <c r="S256" s="31">
        <f>IF(F256="","",COUNTIFS('Job Tasks'!$G$5:$G$904,F256,'Job Tasks'!$H$5:$H$904,"Skipped"))</f>
        <v>0</v>
      </c>
      <c r="T256" s="31">
        <f>IF(F256="","",COUNTIFS('Job Tasks'!$G$5:$G$904,F256,'Job Tasks'!$H$5:$H$904,"Issue found"))</f>
        <v>0</v>
      </c>
      <c r="U256" s="39">
        <f>IF(F256="","",IF(R256+S256=0,"New",IF(S256/(R256+S256)&gt;0.25,"Often skipped","Working")))</f>
        <v>0</v>
      </c>
      <c r="V256" s="31">
        <f>IF(OR(B256="",F256=""),"",COUNTIFS($B$5:B256,B256))</f>
        <v>0</v>
      </c>
      <c r="W256" s="23">
        <f>IF(V256="","",B256&amp;"|"&amp;V256)</f>
        <v>0</v>
      </c>
      <c r="X256" s="39">
        <f>IF(F256="","",IF(B256="","Add - which service?",IF(H256="","Add - how many minutes?",IF(AND(Q256&lt;&gt;"",P256&gt;Q256+0.25),"Check - checklist is longer than the service allows",IF(S256&gt;=3,"Check - often skipped","OK")))))</f>
        <v>0</v>
      </c>
    </row>
    <row r="257" spans="1:24">
      <c r="A257" s="43">
        <f>IF(F257="","","CHK-"&amp;TEXT(ROW()-4,"0000"))</f>
        <v>0</v>
      </c>
      <c r="O257" s="34">
        <f>IF(F257="","",ROUND(IF(H257="",0,H257)/60,2))</f>
        <v>0</v>
      </c>
      <c r="P257" s="34">
        <f>IF(B257="","",ROUND(SUMIFS($H$5:$H$404,$B$5:$B$404,B257,$M$5:$M$404,"Yes")/60,2))</f>
        <v>0</v>
      </c>
      <c r="Q257" s="34">
        <f>IF(B257="","",IFERROR(INDEX(Services!$G$5:$G$64,MATCH(B257,Services!$B$5:$B$64,0)),""))</f>
        <v>0</v>
      </c>
      <c r="R257" s="31">
        <f>IF(F257="","",COUNTIFS('Job Tasks'!$G$5:$G$904,F257,'Job Tasks'!$H$5:$H$904,"Done"))</f>
        <v>0</v>
      </c>
      <c r="S257" s="31">
        <f>IF(F257="","",COUNTIFS('Job Tasks'!$G$5:$G$904,F257,'Job Tasks'!$H$5:$H$904,"Skipped"))</f>
        <v>0</v>
      </c>
      <c r="T257" s="31">
        <f>IF(F257="","",COUNTIFS('Job Tasks'!$G$5:$G$904,F257,'Job Tasks'!$H$5:$H$904,"Issue found"))</f>
        <v>0</v>
      </c>
      <c r="U257" s="39">
        <f>IF(F257="","",IF(R257+S257=0,"New",IF(S257/(R257+S257)&gt;0.25,"Often skipped","Working")))</f>
        <v>0</v>
      </c>
      <c r="V257" s="31">
        <f>IF(OR(B257="",F257=""),"",COUNTIFS($B$5:B257,B257))</f>
        <v>0</v>
      </c>
      <c r="W257" s="23">
        <f>IF(V257="","",B257&amp;"|"&amp;V257)</f>
        <v>0</v>
      </c>
      <c r="X257" s="39">
        <f>IF(F257="","",IF(B257="","Add - which service?",IF(H257="","Add - how many minutes?",IF(AND(Q257&lt;&gt;"",P257&gt;Q257+0.25),"Check - checklist is longer than the service allows",IF(S257&gt;=3,"Check - often skipped","OK")))))</f>
        <v>0</v>
      </c>
    </row>
    <row r="258" spans="1:24">
      <c r="A258" s="43">
        <f>IF(F258="","","CHK-"&amp;TEXT(ROW()-4,"0000"))</f>
        <v>0</v>
      </c>
      <c r="O258" s="34">
        <f>IF(F258="","",ROUND(IF(H258="",0,H258)/60,2))</f>
        <v>0</v>
      </c>
      <c r="P258" s="34">
        <f>IF(B258="","",ROUND(SUMIFS($H$5:$H$404,$B$5:$B$404,B258,$M$5:$M$404,"Yes")/60,2))</f>
        <v>0</v>
      </c>
      <c r="Q258" s="34">
        <f>IF(B258="","",IFERROR(INDEX(Services!$G$5:$G$64,MATCH(B258,Services!$B$5:$B$64,0)),""))</f>
        <v>0</v>
      </c>
      <c r="R258" s="31">
        <f>IF(F258="","",COUNTIFS('Job Tasks'!$G$5:$G$904,F258,'Job Tasks'!$H$5:$H$904,"Done"))</f>
        <v>0</v>
      </c>
      <c r="S258" s="31">
        <f>IF(F258="","",COUNTIFS('Job Tasks'!$G$5:$G$904,F258,'Job Tasks'!$H$5:$H$904,"Skipped"))</f>
        <v>0</v>
      </c>
      <c r="T258" s="31">
        <f>IF(F258="","",COUNTIFS('Job Tasks'!$G$5:$G$904,F258,'Job Tasks'!$H$5:$H$904,"Issue found"))</f>
        <v>0</v>
      </c>
      <c r="U258" s="39">
        <f>IF(F258="","",IF(R258+S258=0,"New",IF(S258/(R258+S258)&gt;0.25,"Often skipped","Working")))</f>
        <v>0</v>
      </c>
      <c r="V258" s="31">
        <f>IF(OR(B258="",F258=""),"",COUNTIFS($B$5:B258,B258))</f>
        <v>0</v>
      </c>
      <c r="W258" s="23">
        <f>IF(V258="","",B258&amp;"|"&amp;V258)</f>
        <v>0</v>
      </c>
      <c r="X258" s="39">
        <f>IF(F258="","",IF(B258="","Add - which service?",IF(H258="","Add - how many minutes?",IF(AND(Q258&lt;&gt;"",P258&gt;Q258+0.25),"Check - checklist is longer than the service allows",IF(S258&gt;=3,"Check - often skipped","OK")))))</f>
        <v>0</v>
      </c>
    </row>
    <row r="259" spans="1:24">
      <c r="A259" s="43">
        <f>IF(F259="","","CHK-"&amp;TEXT(ROW()-4,"0000"))</f>
        <v>0</v>
      </c>
      <c r="O259" s="34">
        <f>IF(F259="","",ROUND(IF(H259="",0,H259)/60,2))</f>
        <v>0</v>
      </c>
      <c r="P259" s="34">
        <f>IF(B259="","",ROUND(SUMIFS($H$5:$H$404,$B$5:$B$404,B259,$M$5:$M$404,"Yes")/60,2))</f>
        <v>0</v>
      </c>
      <c r="Q259" s="34">
        <f>IF(B259="","",IFERROR(INDEX(Services!$G$5:$G$64,MATCH(B259,Services!$B$5:$B$64,0)),""))</f>
        <v>0</v>
      </c>
      <c r="R259" s="31">
        <f>IF(F259="","",COUNTIFS('Job Tasks'!$G$5:$G$904,F259,'Job Tasks'!$H$5:$H$904,"Done"))</f>
        <v>0</v>
      </c>
      <c r="S259" s="31">
        <f>IF(F259="","",COUNTIFS('Job Tasks'!$G$5:$G$904,F259,'Job Tasks'!$H$5:$H$904,"Skipped"))</f>
        <v>0</v>
      </c>
      <c r="T259" s="31">
        <f>IF(F259="","",COUNTIFS('Job Tasks'!$G$5:$G$904,F259,'Job Tasks'!$H$5:$H$904,"Issue found"))</f>
        <v>0</v>
      </c>
      <c r="U259" s="39">
        <f>IF(F259="","",IF(R259+S259=0,"New",IF(S259/(R259+S259)&gt;0.25,"Often skipped","Working")))</f>
        <v>0</v>
      </c>
      <c r="V259" s="31">
        <f>IF(OR(B259="",F259=""),"",COUNTIFS($B$5:B259,B259))</f>
        <v>0</v>
      </c>
      <c r="W259" s="23">
        <f>IF(V259="","",B259&amp;"|"&amp;V259)</f>
        <v>0</v>
      </c>
      <c r="X259" s="39">
        <f>IF(F259="","",IF(B259="","Add - which service?",IF(H259="","Add - how many minutes?",IF(AND(Q259&lt;&gt;"",P259&gt;Q259+0.25),"Check - checklist is longer than the service allows",IF(S259&gt;=3,"Check - often skipped","OK")))))</f>
        <v>0</v>
      </c>
    </row>
    <row r="260" spans="1:24">
      <c r="A260" s="43">
        <f>IF(F260="","","CHK-"&amp;TEXT(ROW()-4,"0000"))</f>
        <v>0</v>
      </c>
      <c r="O260" s="34">
        <f>IF(F260="","",ROUND(IF(H260="",0,H260)/60,2))</f>
        <v>0</v>
      </c>
      <c r="P260" s="34">
        <f>IF(B260="","",ROUND(SUMIFS($H$5:$H$404,$B$5:$B$404,B260,$M$5:$M$404,"Yes")/60,2))</f>
        <v>0</v>
      </c>
      <c r="Q260" s="34">
        <f>IF(B260="","",IFERROR(INDEX(Services!$G$5:$G$64,MATCH(B260,Services!$B$5:$B$64,0)),""))</f>
        <v>0</v>
      </c>
      <c r="R260" s="31">
        <f>IF(F260="","",COUNTIFS('Job Tasks'!$G$5:$G$904,F260,'Job Tasks'!$H$5:$H$904,"Done"))</f>
        <v>0</v>
      </c>
      <c r="S260" s="31">
        <f>IF(F260="","",COUNTIFS('Job Tasks'!$G$5:$G$904,F260,'Job Tasks'!$H$5:$H$904,"Skipped"))</f>
        <v>0</v>
      </c>
      <c r="T260" s="31">
        <f>IF(F260="","",COUNTIFS('Job Tasks'!$G$5:$G$904,F260,'Job Tasks'!$H$5:$H$904,"Issue found"))</f>
        <v>0</v>
      </c>
      <c r="U260" s="39">
        <f>IF(F260="","",IF(R260+S260=0,"New",IF(S260/(R260+S260)&gt;0.25,"Often skipped","Working")))</f>
        <v>0</v>
      </c>
      <c r="V260" s="31">
        <f>IF(OR(B260="",F260=""),"",COUNTIFS($B$5:B260,B260))</f>
        <v>0</v>
      </c>
      <c r="W260" s="23">
        <f>IF(V260="","",B260&amp;"|"&amp;V260)</f>
        <v>0</v>
      </c>
      <c r="X260" s="39">
        <f>IF(F260="","",IF(B260="","Add - which service?",IF(H260="","Add - how many minutes?",IF(AND(Q260&lt;&gt;"",P260&gt;Q260+0.25),"Check - checklist is longer than the service allows",IF(S260&gt;=3,"Check - often skipped","OK")))))</f>
        <v>0</v>
      </c>
    </row>
    <row r="261" spans="1:24">
      <c r="A261" s="43">
        <f>IF(F261="","","CHK-"&amp;TEXT(ROW()-4,"0000"))</f>
        <v>0</v>
      </c>
      <c r="O261" s="34">
        <f>IF(F261="","",ROUND(IF(H261="",0,H261)/60,2))</f>
        <v>0</v>
      </c>
      <c r="P261" s="34">
        <f>IF(B261="","",ROUND(SUMIFS($H$5:$H$404,$B$5:$B$404,B261,$M$5:$M$404,"Yes")/60,2))</f>
        <v>0</v>
      </c>
      <c r="Q261" s="34">
        <f>IF(B261="","",IFERROR(INDEX(Services!$G$5:$G$64,MATCH(B261,Services!$B$5:$B$64,0)),""))</f>
        <v>0</v>
      </c>
      <c r="R261" s="31">
        <f>IF(F261="","",COUNTIFS('Job Tasks'!$G$5:$G$904,F261,'Job Tasks'!$H$5:$H$904,"Done"))</f>
        <v>0</v>
      </c>
      <c r="S261" s="31">
        <f>IF(F261="","",COUNTIFS('Job Tasks'!$G$5:$G$904,F261,'Job Tasks'!$H$5:$H$904,"Skipped"))</f>
        <v>0</v>
      </c>
      <c r="T261" s="31">
        <f>IF(F261="","",COUNTIFS('Job Tasks'!$G$5:$G$904,F261,'Job Tasks'!$H$5:$H$904,"Issue found"))</f>
        <v>0</v>
      </c>
      <c r="U261" s="39">
        <f>IF(F261="","",IF(R261+S261=0,"New",IF(S261/(R261+S261)&gt;0.25,"Often skipped","Working")))</f>
        <v>0</v>
      </c>
      <c r="V261" s="31">
        <f>IF(OR(B261="",F261=""),"",COUNTIFS($B$5:B261,B261))</f>
        <v>0</v>
      </c>
      <c r="W261" s="23">
        <f>IF(V261="","",B261&amp;"|"&amp;V261)</f>
        <v>0</v>
      </c>
      <c r="X261" s="39">
        <f>IF(F261="","",IF(B261="","Add - which service?",IF(H261="","Add - how many minutes?",IF(AND(Q261&lt;&gt;"",P261&gt;Q261+0.25),"Check - checklist is longer than the service allows",IF(S261&gt;=3,"Check - often skipped","OK")))))</f>
        <v>0</v>
      </c>
    </row>
    <row r="262" spans="1:24">
      <c r="A262" s="43">
        <f>IF(F262="","","CHK-"&amp;TEXT(ROW()-4,"0000"))</f>
        <v>0</v>
      </c>
      <c r="O262" s="34">
        <f>IF(F262="","",ROUND(IF(H262="",0,H262)/60,2))</f>
        <v>0</v>
      </c>
      <c r="P262" s="34">
        <f>IF(B262="","",ROUND(SUMIFS($H$5:$H$404,$B$5:$B$404,B262,$M$5:$M$404,"Yes")/60,2))</f>
        <v>0</v>
      </c>
      <c r="Q262" s="34">
        <f>IF(B262="","",IFERROR(INDEX(Services!$G$5:$G$64,MATCH(B262,Services!$B$5:$B$64,0)),""))</f>
        <v>0</v>
      </c>
      <c r="R262" s="31">
        <f>IF(F262="","",COUNTIFS('Job Tasks'!$G$5:$G$904,F262,'Job Tasks'!$H$5:$H$904,"Done"))</f>
        <v>0</v>
      </c>
      <c r="S262" s="31">
        <f>IF(F262="","",COUNTIFS('Job Tasks'!$G$5:$G$904,F262,'Job Tasks'!$H$5:$H$904,"Skipped"))</f>
        <v>0</v>
      </c>
      <c r="T262" s="31">
        <f>IF(F262="","",COUNTIFS('Job Tasks'!$G$5:$G$904,F262,'Job Tasks'!$H$5:$H$904,"Issue found"))</f>
        <v>0</v>
      </c>
      <c r="U262" s="39">
        <f>IF(F262="","",IF(R262+S262=0,"New",IF(S262/(R262+S262)&gt;0.25,"Often skipped","Working")))</f>
        <v>0</v>
      </c>
      <c r="V262" s="31">
        <f>IF(OR(B262="",F262=""),"",COUNTIFS($B$5:B262,B262))</f>
        <v>0</v>
      </c>
      <c r="W262" s="23">
        <f>IF(V262="","",B262&amp;"|"&amp;V262)</f>
        <v>0</v>
      </c>
      <c r="X262" s="39">
        <f>IF(F262="","",IF(B262="","Add - which service?",IF(H262="","Add - how many minutes?",IF(AND(Q262&lt;&gt;"",P262&gt;Q262+0.25),"Check - checklist is longer than the service allows",IF(S262&gt;=3,"Check - often skipped","OK")))))</f>
        <v>0</v>
      </c>
    </row>
    <row r="263" spans="1:24">
      <c r="A263" s="43">
        <f>IF(F263="","","CHK-"&amp;TEXT(ROW()-4,"0000"))</f>
        <v>0</v>
      </c>
      <c r="O263" s="34">
        <f>IF(F263="","",ROUND(IF(H263="",0,H263)/60,2))</f>
        <v>0</v>
      </c>
      <c r="P263" s="34">
        <f>IF(B263="","",ROUND(SUMIFS($H$5:$H$404,$B$5:$B$404,B263,$M$5:$M$404,"Yes")/60,2))</f>
        <v>0</v>
      </c>
      <c r="Q263" s="34">
        <f>IF(B263="","",IFERROR(INDEX(Services!$G$5:$G$64,MATCH(B263,Services!$B$5:$B$64,0)),""))</f>
        <v>0</v>
      </c>
      <c r="R263" s="31">
        <f>IF(F263="","",COUNTIFS('Job Tasks'!$G$5:$G$904,F263,'Job Tasks'!$H$5:$H$904,"Done"))</f>
        <v>0</v>
      </c>
      <c r="S263" s="31">
        <f>IF(F263="","",COUNTIFS('Job Tasks'!$G$5:$G$904,F263,'Job Tasks'!$H$5:$H$904,"Skipped"))</f>
        <v>0</v>
      </c>
      <c r="T263" s="31">
        <f>IF(F263="","",COUNTIFS('Job Tasks'!$G$5:$G$904,F263,'Job Tasks'!$H$5:$H$904,"Issue found"))</f>
        <v>0</v>
      </c>
      <c r="U263" s="39">
        <f>IF(F263="","",IF(R263+S263=0,"New",IF(S263/(R263+S263)&gt;0.25,"Often skipped","Working")))</f>
        <v>0</v>
      </c>
      <c r="V263" s="31">
        <f>IF(OR(B263="",F263=""),"",COUNTIFS($B$5:B263,B263))</f>
        <v>0</v>
      </c>
      <c r="W263" s="23">
        <f>IF(V263="","",B263&amp;"|"&amp;V263)</f>
        <v>0</v>
      </c>
      <c r="X263" s="39">
        <f>IF(F263="","",IF(B263="","Add - which service?",IF(H263="","Add - how many minutes?",IF(AND(Q263&lt;&gt;"",P263&gt;Q263+0.25),"Check - checklist is longer than the service allows",IF(S263&gt;=3,"Check - often skipped","OK")))))</f>
        <v>0</v>
      </c>
    </row>
    <row r="264" spans="1:24">
      <c r="A264" s="43">
        <f>IF(F264="","","CHK-"&amp;TEXT(ROW()-4,"0000"))</f>
        <v>0</v>
      </c>
      <c r="O264" s="34">
        <f>IF(F264="","",ROUND(IF(H264="",0,H264)/60,2))</f>
        <v>0</v>
      </c>
      <c r="P264" s="34">
        <f>IF(B264="","",ROUND(SUMIFS($H$5:$H$404,$B$5:$B$404,B264,$M$5:$M$404,"Yes")/60,2))</f>
        <v>0</v>
      </c>
      <c r="Q264" s="34">
        <f>IF(B264="","",IFERROR(INDEX(Services!$G$5:$G$64,MATCH(B264,Services!$B$5:$B$64,0)),""))</f>
        <v>0</v>
      </c>
      <c r="R264" s="31">
        <f>IF(F264="","",COUNTIFS('Job Tasks'!$G$5:$G$904,F264,'Job Tasks'!$H$5:$H$904,"Done"))</f>
        <v>0</v>
      </c>
      <c r="S264" s="31">
        <f>IF(F264="","",COUNTIFS('Job Tasks'!$G$5:$G$904,F264,'Job Tasks'!$H$5:$H$904,"Skipped"))</f>
        <v>0</v>
      </c>
      <c r="T264" s="31">
        <f>IF(F264="","",COUNTIFS('Job Tasks'!$G$5:$G$904,F264,'Job Tasks'!$H$5:$H$904,"Issue found"))</f>
        <v>0</v>
      </c>
      <c r="U264" s="39">
        <f>IF(F264="","",IF(R264+S264=0,"New",IF(S264/(R264+S264)&gt;0.25,"Often skipped","Working")))</f>
        <v>0</v>
      </c>
      <c r="V264" s="31">
        <f>IF(OR(B264="",F264=""),"",COUNTIFS($B$5:B264,B264))</f>
        <v>0</v>
      </c>
      <c r="W264" s="23">
        <f>IF(V264="","",B264&amp;"|"&amp;V264)</f>
        <v>0</v>
      </c>
      <c r="X264" s="39">
        <f>IF(F264="","",IF(B264="","Add - which service?",IF(H264="","Add - how many minutes?",IF(AND(Q264&lt;&gt;"",P264&gt;Q264+0.25),"Check - checklist is longer than the service allows",IF(S264&gt;=3,"Check - often skipped","OK")))))</f>
        <v>0</v>
      </c>
    </row>
    <row r="265" spans="1:24">
      <c r="A265" s="43">
        <f>IF(F265="","","CHK-"&amp;TEXT(ROW()-4,"0000"))</f>
        <v>0</v>
      </c>
      <c r="O265" s="34">
        <f>IF(F265="","",ROUND(IF(H265="",0,H265)/60,2))</f>
        <v>0</v>
      </c>
      <c r="P265" s="34">
        <f>IF(B265="","",ROUND(SUMIFS($H$5:$H$404,$B$5:$B$404,B265,$M$5:$M$404,"Yes")/60,2))</f>
        <v>0</v>
      </c>
      <c r="Q265" s="34">
        <f>IF(B265="","",IFERROR(INDEX(Services!$G$5:$G$64,MATCH(B265,Services!$B$5:$B$64,0)),""))</f>
        <v>0</v>
      </c>
      <c r="R265" s="31">
        <f>IF(F265="","",COUNTIFS('Job Tasks'!$G$5:$G$904,F265,'Job Tasks'!$H$5:$H$904,"Done"))</f>
        <v>0</v>
      </c>
      <c r="S265" s="31">
        <f>IF(F265="","",COUNTIFS('Job Tasks'!$G$5:$G$904,F265,'Job Tasks'!$H$5:$H$904,"Skipped"))</f>
        <v>0</v>
      </c>
      <c r="T265" s="31">
        <f>IF(F265="","",COUNTIFS('Job Tasks'!$G$5:$G$904,F265,'Job Tasks'!$H$5:$H$904,"Issue found"))</f>
        <v>0</v>
      </c>
      <c r="U265" s="39">
        <f>IF(F265="","",IF(R265+S265=0,"New",IF(S265/(R265+S265)&gt;0.25,"Often skipped","Working")))</f>
        <v>0</v>
      </c>
      <c r="V265" s="31">
        <f>IF(OR(B265="",F265=""),"",COUNTIFS($B$5:B265,B265))</f>
        <v>0</v>
      </c>
      <c r="W265" s="23">
        <f>IF(V265="","",B265&amp;"|"&amp;V265)</f>
        <v>0</v>
      </c>
      <c r="X265" s="39">
        <f>IF(F265="","",IF(B265="","Add - which service?",IF(H265="","Add - how many minutes?",IF(AND(Q265&lt;&gt;"",P265&gt;Q265+0.25),"Check - checklist is longer than the service allows",IF(S265&gt;=3,"Check - often skipped","OK")))))</f>
        <v>0</v>
      </c>
    </row>
    <row r="266" spans="1:24">
      <c r="A266" s="43">
        <f>IF(F266="","","CHK-"&amp;TEXT(ROW()-4,"0000"))</f>
        <v>0</v>
      </c>
      <c r="O266" s="34">
        <f>IF(F266="","",ROUND(IF(H266="",0,H266)/60,2))</f>
        <v>0</v>
      </c>
      <c r="P266" s="34">
        <f>IF(B266="","",ROUND(SUMIFS($H$5:$H$404,$B$5:$B$404,B266,$M$5:$M$404,"Yes")/60,2))</f>
        <v>0</v>
      </c>
      <c r="Q266" s="34">
        <f>IF(B266="","",IFERROR(INDEX(Services!$G$5:$G$64,MATCH(B266,Services!$B$5:$B$64,0)),""))</f>
        <v>0</v>
      </c>
      <c r="R266" s="31">
        <f>IF(F266="","",COUNTIFS('Job Tasks'!$G$5:$G$904,F266,'Job Tasks'!$H$5:$H$904,"Done"))</f>
        <v>0</v>
      </c>
      <c r="S266" s="31">
        <f>IF(F266="","",COUNTIFS('Job Tasks'!$G$5:$G$904,F266,'Job Tasks'!$H$5:$H$904,"Skipped"))</f>
        <v>0</v>
      </c>
      <c r="T266" s="31">
        <f>IF(F266="","",COUNTIFS('Job Tasks'!$G$5:$G$904,F266,'Job Tasks'!$H$5:$H$904,"Issue found"))</f>
        <v>0</v>
      </c>
      <c r="U266" s="39">
        <f>IF(F266="","",IF(R266+S266=0,"New",IF(S266/(R266+S266)&gt;0.25,"Often skipped","Working")))</f>
        <v>0</v>
      </c>
      <c r="V266" s="31">
        <f>IF(OR(B266="",F266=""),"",COUNTIFS($B$5:B266,B266))</f>
        <v>0</v>
      </c>
      <c r="W266" s="23">
        <f>IF(V266="","",B266&amp;"|"&amp;V266)</f>
        <v>0</v>
      </c>
      <c r="X266" s="39">
        <f>IF(F266="","",IF(B266="","Add - which service?",IF(H266="","Add - how many minutes?",IF(AND(Q266&lt;&gt;"",P266&gt;Q266+0.25),"Check - checklist is longer than the service allows",IF(S266&gt;=3,"Check - often skipped","OK")))))</f>
        <v>0</v>
      </c>
    </row>
    <row r="267" spans="1:24">
      <c r="A267" s="43">
        <f>IF(F267="","","CHK-"&amp;TEXT(ROW()-4,"0000"))</f>
        <v>0</v>
      </c>
      <c r="O267" s="34">
        <f>IF(F267="","",ROUND(IF(H267="",0,H267)/60,2))</f>
        <v>0</v>
      </c>
      <c r="P267" s="34">
        <f>IF(B267="","",ROUND(SUMIFS($H$5:$H$404,$B$5:$B$404,B267,$M$5:$M$404,"Yes")/60,2))</f>
        <v>0</v>
      </c>
      <c r="Q267" s="34">
        <f>IF(B267="","",IFERROR(INDEX(Services!$G$5:$G$64,MATCH(B267,Services!$B$5:$B$64,0)),""))</f>
        <v>0</v>
      </c>
      <c r="R267" s="31">
        <f>IF(F267="","",COUNTIFS('Job Tasks'!$G$5:$G$904,F267,'Job Tasks'!$H$5:$H$904,"Done"))</f>
        <v>0</v>
      </c>
      <c r="S267" s="31">
        <f>IF(F267="","",COUNTIFS('Job Tasks'!$G$5:$G$904,F267,'Job Tasks'!$H$5:$H$904,"Skipped"))</f>
        <v>0</v>
      </c>
      <c r="T267" s="31">
        <f>IF(F267="","",COUNTIFS('Job Tasks'!$G$5:$G$904,F267,'Job Tasks'!$H$5:$H$904,"Issue found"))</f>
        <v>0</v>
      </c>
      <c r="U267" s="39">
        <f>IF(F267="","",IF(R267+S267=0,"New",IF(S267/(R267+S267)&gt;0.25,"Often skipped","Working")))</f>
        <v>0</v>
      </c>
      <c r="V267" s="31">
        <f>IF(OR(B267="",F267=""),"",COUNTIFS($B$5:B267,B267))</f>
        <v>0</v>
      </c>
      <c r="W267" s="23">
        <f>IF(V267="","",B267&amp;"|"&amp;V267)</f>
        <v>0</v>
      </c>
      <c r="X267" s="39">
        <f>IF(F267="","",IF(B267="","Add - which service?",IF(H267="","Add - how many minutes?",IF(AND(Q267&lt;&gt;"",P267&gt;Q267+0.25),"Check - checklist is longer than the service allows",IF(S267&gt;=3,"Check - often skipped","OK")))))</f>
        <v>0</v>
      </c>
    </row>
    <row r="268" spans="1:24">
      <c r="A268" s="43">
        <f>IF(F268="","","CHK-"&amp;TEXT(ROW()-4,"0000"))</f>
        <v>0</v>
      </c>
      <c r="O268" s="34">
        <f>IF(F268="","",ROUND(IF(H268="",0,H268)/60,2))</f>
        <v>0</v>
      </c>
      <c r="P268" s="34">
        <f>IF(B268="","",ROUND(SUMIFS($H$5:$H$404,$B$5:$B$404,B268,$M$5:$M$404,"Yes")/60,2))</f>
        <v>0</v>
      </c>
      <c r="Q268" s="34">
        <f>IF(B268="","",IFERROR(INDEX(Services!$G$5:$G$64,MATCH(B268,Services!$B$5:$B$64,0)),""))</f>
        <v>0</v>
      </c>
      <c r="R268" s="31">
        <f>IF(F268="","",COUNTIFS('Job Tasks'!$G$5:$G$904,F268,'Job Tasks'!$H$5:$H$904,"Done"))</f>
        <v>0</v>
      </c>
      <c r="S268" s="31">
        <f>IF(F268="","",COUNTIFS('Job Tasks'!$G$5:$G$904,F268,'Job Tasks'!$H$5:$H$904,"Skipped"))</f>
        <v>0</v>
      </c>
      <c r="T268" s="31">
        <f>IF(F268="","",COUNTIFS('Job Tasks'!$G$5:$G$904,F268,'Job Tasks'!$H$5:$H$904,"Issue found"))</f>
        <v>0</v>
      </c>
      <c r="U268" s="39">
        <f>IF(F268="","",IF(R268+S268=0,"New",IF(S268/(R268+S268)&gt;0.25,"Often skipped","Working")))</f>
        <v>0</v>
      </c>
      <c r="V268" s="31">
        <f>IF(OR(B268="",F268=""),"",COUNTIFS($B$5:B268,B268))</f>
        <v>0</v>
      </c>
      <c r="W268" s="23">
        <f>IF(V268="","",B268&amp;"|"&amp;V268)</f>
        <v>0</v>
      </c>
      <c r="X268" s="39">
        <f>IF(F268="","",IF(B268="","Add - which service?",IF(H268="","Add - how many minutes?",IF(AND(Q268&lt;&gt;"",P268&gt;Q268+0.25),"Check - checklist is longer than the service allows",IF(S268&gt;=3,"Check - often skipped","OK")))))</f>
        <v>0</v>
      </c>
    </row>
    <row r="269" spans="1:24">
      <c r="A269" s="43">
        <f>IF(F269="","","CHK-"&amp;TEXT(ROW()-4,"0000"))</f>
        <v>0</v>
      </c>
      <c r="O269" s="34">
        <f>IF(F269="","",ROUND(IF(H269="",0,H269)/60,2))</f>
        <v>0</v>
      </c>
      <c r="P269" s="34">
        <f>IF(B269="","",ROUND(SUMIFS($H$5:$H$404,$B$5:$B$404,B269,$M$5:$M$404,"Yes")/60,2))</f>
        <v>0</v>
      </c>
      <c r="Q269" s="34">
        <f>IF(B269="","",IFERROR(INDEX(Services!$G$5:$G$64,MATCH(B269,Services!$B$5:$B$64,0)),""))</f>
        <v>0</v>
      </c>
      <c r="R269" s="31">
        <f>IF(F269="","",COUNTIFS('Job Tasks'!$G$5:$G$904,F269,'Job Tasks'!$H$5:$H$904,"Done"))</f>
        <v>0</v>
      </c>
      <c r="S269" s="31">
        <f>IF(F269="","",COUNTIFS('Job Tasks'!$G$5:$G$904,F269,'Job Tasks'!$H$5:$H$904,"Skipped"))</f>
        <v>0</v>
      </c>
      <c r="T269" s="31">
        <f>IF(F269="","",COUNTIFS('Job Tasks'!$G$5:$G$904,F269,'Job Tasks'!$H$5:$H$904,"Issue found"))</f>
        <v>0</v>
      </c>
      <c r="U269" s="39">
        <f>IF(F269="","",IF(R269+S269=0,"New",IF(S269/(R269+S269)&gt;0.25,"Often skipped","Working")))</f>
        <v>0</v>
      </c>
      <c r="V269" s="31">
        <f>IF(OR(B269="",F269=""),"",COUNTIFS($B$5:B269,B269))</f>
        <v>0</v>
      </c>
      <c r="W269" s="23">
        <f>IF(V269="","",B269&amp;"|"&amp;V269)</f>
        <v>0</v>
      </c>
      <c r="X269" s="39">
        <f>IF(F269="","",IF(B269="","Add - which service?",IF(H269="","Add - how many minutes?",IF(AND(Q269&lt;&gt;"",P269&gt;Q269+0.25),"Check - checklist is longer than the service allows",IF(S269&gt;=3,"Check - often skipped","OK")))))</f>
        <v>0</v>
      </c>
    </row>
    <row r="270" spans="1:24">
      <c r="A270" s="43">
        <f>IF(F270="","","CHK-"&amp;TEXT(ROW()-4,"0000"))</f>
        <v>0</v>
      </c>
      <c r="O270" s="34">
        <f>IF(F270="","",ROUND(IF(H270="",0,H270)/60,2))</f>
        <v>0</v>
      </c>
      <c r="P270" s="34">
        <f>IF(B270="","",ROUND(SUMIFS($H$5:$H$404,$B$5:$B$404,B270,$M$5:$M$404,"Yes")/60,2))</f>
        <v>0</v>
      </c>
      <c r="Q270" s="34">
        <f>IF(B270="","",IFERROR(INDEX(Services!$G$5:$G$64,MATCH(B270,Services!$B$5:$B$64,0)),""))</f>
        <v>0</v>
      </c>
      <c r="R270" s="31">
        <f>IF(F270="","",COUNTIFS('Job Tasks'!$G$5:$G$904,F270,'Job Tasks'!$H$5:$H$904,"Done"))</f>
        <v>0</v>
      </c>
      <c r="S270" s="31">
        <f>IF(F270="","",COUNTIFS('Job Tasks'!$G$5:$G$904,F270,'Job Tasks'!$H$5:$H$904,"Skipped"))</f>
        <v>0</v>
      </c>
      <c r="T270" s="31">
        <f>IF(F270="","",COUNTIFS('Job Tasks'!$G$5:$G$904,F270,'Job Tasks'!$H$5:$H$904,"Issue found"))</f>
        <v>0</v>
      </c>
      <c r="U270" s="39">
        <f>IF(F270="","",IF(R270+S270=0,"New",IF(S270/(R270+S270)&gt;0.25,"Often skipped","Working")))</f>
        <v>0</v>
      </c>
      <c r="V270" s="31">
        <f>IF(OR(B270="",F270=""),"",COUNTIFS($B$5:B270,B270))</f>
        <v>0</v>
      </c>
      <c r="W270" s="23">
        <f>IF(V270="","",B270&amp;"|"&amp;V270)</f>
        <v>0</v>
      </c>
      <c r="X270" s="39">
        <f>IF(F270="","",IF(B270="","Add - which service?",IF(H270="","Add - how many minutes?",IF(AND(Q270&lt;&gt;"",P270&gt;Q270+0.25),"Check - checklist is longer than the service allows",IF(S270&gt;=3,"Check - often skipped","OK")))))</f>
        <v>0</v>
      </c>
    </row>
    <row r="271" spans="1:24">
      <c r="A271" s="43">
        <f>IF(F271="","","CHK-"&amp;TEXT(ROW()-4,"0000"))</f>
        <v>0</v>
      </c>
      <c r="O271" s="34">
        <f>IF(F271="","",ROUND(IF(H271="",0,H271)/60,2))</f>
        <v>0</v>
      </c>
      <c r="P271" s="34">
        <f>IF(B271="","",ROUND(SUMIFS($H$5:$H$404,$B$5:$B$404,B271,$M$5:$M$404,"Yes")/60,2))</f>
        <v>0</v>
      </c>
      <c r="Q271" s="34">
        <f>IF(B271="","",IFERROR(INDEX(Services!$G$5:$G$64,MATCH(B271,Services!$B$5:$B$64,0)),""))</f>
        <v>0</v>
      </c>
      <c r="R271" s="31">
        <f>IF(F271="","",COUNTIFS('Job Tasks'!$G$5:$G$904,F271,'Job Tasks'!$H$5:$H$904,"Done"))</f>
        <v>0</v>
      </c>
      <c r="S271" s="31">
        <f>IF(F271="","",COUNTIFS('Job Tasks'!$G$5:$G$904,F271,'Job Tasks'!$H$5:$H$904,"Skipped"))</f>
        <v>0</v>
      </c>
      <c r="T271" s="31">
        <f>IF(F271="","",COUNTIFS('Job Tasks'!$G$5:$G$904,F271,'Job Tasks'!$H$5:$H$904,"Issue found"))</f>
        <v>0</v>
      </c>
      <c r="U271" s="39">
        <f>IF(F271="","",IF(R271+S271=0,"New",IF(S271/(R271+S271)&gt;0.25,"Often skipped","Working")))</f>
        <v>0</v>
      </c>
      <c r="V271" s="31">
        <f>IF(OR(B271="",F271=""),"",COUNTIFS($B$5:B271,B271))</f>
        <v>0</v>
      </c>
      <c r="W271" s="23">
        <f>IF(V271="","",B271&amp;"|"&amp;V271)</f>
        <v>0</v>
      </c>
      <c r="X271" s="39">
        <f>IF(F271="","",IF(B271="","Add - which service?",IF(H271="","Add - how many minutes?",IF(AND(Q271&lt;&gt;"",P271&gt;Q271+0.25),"Check - checklist is longer than the service allows",IF(S271&gt;=3,"Check - often skipped","OK")))))</f>
        <v>0</v>
      </c>
    </row>
    <row r="272" spans="1:24">
      <c r="A272" s="43">
        <f>IF(F272="","","CHK-"&amp;TEXT(ROW()-4,"0000"))</f>
        <v>0</v>
      </c>
      <c r="O272" s="34">
        <f>IF(F272="","",ROUND(IF(H272="",0,H272)/60,2))</f>
        <v>0</v>
      </c>
      <c r="P272" s="34">
        <f>IF(B272="","",ROUND(SUMIFS($H$5:$H$404,$B$5:$B$404,B272,$M$5:$M$404,"Yes")/60,2))</f>
        <v>0</v>
      </c>
      <c r="Q272" s="34">
        <f>IF(B272="","",IFERROR(INDEX(Services!$G$5:$G$64,MATCH(B272,Services!$B$5:$B$64,0)),""))</f>
        <v>0</v>
      </c>
      <c r="R272" s="31">
        <f>IF(F272="","",COUNTIFS('Job Tasks'!$G$5:$G$904,F272,'Job Tasks'!$H$5:$H$904,"Done"))</f>
        <v>0</v>
      </c>
      <c r="S272" s="31">
        <f>IF(F272="","",COUNTIFS('Job Tasks'!$G$5:$G$904,F272,'Job Tasks'!$H$5:$H$904,"Skipped"))</f>
        <v>0</v>
      </c>
      <c r="T272" s="31">
        <f>IF(F272="","",COUNTIFS('Job Tasks'!$G$5:$G$904,F272,'Job Tasks'!$H$5:$H$904,"Issue found"))</f>
        <v>0</v>
      </c>
      <c r="U272" s="39">
        <f>IF(F272="","",IF(R272+S272=0,"New",IF(S272/(R272+S272)&gt;0.25,"Often skipped","Working")))</f>
        <v>0</v>
      </c>
      <c r="V272" s="31">
        <f>IF(OR(B272="",F272=""),"",COUNTIFS($B$5:B272,B272))</f>
        <v>0</v>
      </c>
      <c r="W272" s="23">
        <f>IF(V272="","",B272&amp;"|"&amp;V272)</f>
        <v>0</v>
      </c>
      <c r="X272" s="39">
        <f>IF(F272="","",IF(B272="","Add - which service?",IF(H272="","Add - how many minutes?",IF(AND(Q272&lt;&gt;"",P272&gt;Q272+0.25),"Check - checklist is longer than the service allows",IF(S272&gt;=3,"Check - often skipped","OK")))))</f>
        <v>0</v>
      </c>
    </row>
    <row r="273" spans="1:24">
      <c r="A273" s="43">
        <f>IF(F273="","","CHK-"&amp;TEXT(ROW()-4,"0000"))</f>
        <v>0</v>
      </c>
      <c r="O273" s="34">
        <f>IF(F273="","",ROUND(IF(H273="",0,H273)/60,2))</f>
        <v>0</v>
      </c>
      <c r="P273" s="34">
        <f>IF(B273="","",ROUND(SUMIFS($H$5:$H$404,$B$5:$B$404,B273,$M$5:$M$404,"Yes")/60,2))</f>
        <v>0</v>
      </c>
      <c r="Q273" s="34">
        <f>IF(B273="","",IFERROR(INDEX(Services!$G$5:$G$64,MATCH(B273,Services!$B$5:$B$64,0)),""))</f>
        <v>0</v>
      </c>
      <c r="R273" s="31">
        <f>IF(F273="","",COUNTIFS('Job Tasks'!$G$5:$G$904,F273,'Job Tasks'!$H$5:$H$904,"Done"))</f>
        <v>0</v>
      </c>
      <c r="S273" s="31">
        <f>IF(F273="","",COUNTIFS('Job Tasks'!$G$5:$G$904,F273,'Job Tasks'!$H$5:$H$904,"Skipped"))</f>
        <v>0</v>
      </c>
      <c r="T273" s="31">
        <f>IF(F273="","",COUNTIFS('Job Tasks'!$G$5:$G$904,F273,'Job Tasks'!$H$5:$H$904,"Issue found"))</f>
        <v>0</v>
      </c>
      <c r="U273" s="39">
        <f>IF(F273="","",IF(R273+S273=0,"New",IF(S273/(R273+S273)&gt;0.25,"Often skipped","Working")))</f>
        <v>0</v>
      </c>
      <c r="V273" s="31">
        <f>IF(OR(B273="",F273=""),"",COUNTIFS($B$5:B273,B273))</f>
        <v>0</v>
      </c>
      <c r="W273" s="23">
        <f>IF(V273="","",B273&amp;"|"&amp;V273)</f>
        <v>0</v>
      </c>
      <c r="X273" s="39">
        <f>IF(F273="","",IF(B273="","Add - which service?",IF(H273="","Add - how many minutes?",IF(AND(Q273&lt;&gt;"",P273&gt;Q273+0.25),"Check - checklist is longer than the service allows",IF(S273&gt;=3,"Check - often skipped","OK")))))</f>
        <v>0</v>
      </c>
    </row>
    <row r="274" spans="1:24">
      <c r="A274" s="43">
        <f>IF(F274="","","CHK-"&amp;TEXT(ROW()-4,"0000"))</f>
        <v>0</v>
      </c>
      <c r="O274" s="34">
        <f>IF(F274="","",ROUND(IF(H274="",0,H274)/60,2))</f>
        <v>0</v>
      </c>
      <c r="P274" s="34">
        <f>IF(B274="","",ROUND(SUMIFS($H$5:$H$404,$B$5:$B$404,B274,$M$5:$M$404,"Yes")/60,2))</f>
        <v>0</v>
      </c>
      <c r="Q274" s="34">
        <f>IF(B274="","",IFERROR(INDEX(Services!$G$5:$G$64,MATCH(B274,Services!$B$5:$B$64,0)),""))</f>
        <v>0</v>
      </c>
      <c r="R274" s="31">
        <f>IF(F274="","",COUNTIFS('Job Tasks'!$G$5:$G$904,F274,'Job Tasks'!$H$5:$H$904,"Done"))</f>
        <v>0</v>
      </c>
      <c r="S274" s="31">
        <f>IF(F274="","",COUNTIFS('Job Tasks'!$G$5:$G$904,F274,'Job Tasks'!$H$5:$H$904,"Skipped"))</f>
        <v>0</v>
      </c>
      <c r="T274" s="31">
        <f>IF(F274="","",COUNTIFS('Job Tasks'!$G$5:$G$904,F274,'Job Tasks'!$H$5:$H$904,"Issue found"))</f>
        <v>0</v>
      </c>
      <c r="U274" s="39">
        <f>IF(F274="","",IF(R274+S274=0,"New",IF(S274/(R274+S274)&gt;0.25,"Often skipped","Working")))</f>
        <v>0</v>
      </c>
      <c r="V274" s="31">
        <f>IF(OR(B274="",F274=""),"",COUNTIFS($B$5:B274,B274))</f>
        <v>0</v>
      </c>
      <c r="W274" s="23">
        <f>IF(V274="","",B274&amp;"|"&amp;V274)</f>
        <v>0</v>
      </c>
      <c r="X274" s="39">
        <f>IF(F274="","",IF(B274="","Add - which service?",IF(H274="","Add - how many minutes?",IF(AND(Q274&lt;&gt;"",P274&gt;Q274+0.25),"Check - checklist is longer than the service allows",IF(S274&gt;=3,"Check - often skipped","OK")))))</f>
        <v>0</v>
      </c>
    </row>
    <row r="275" spans="1:24">
      <c r="A275" s="43">
        <f>IF(F275="","","CHK-"&amp;TEXT(ROW()-4,"0000"))</f>
        <v>0</v>
      </c>
      <c r="O275" s="34">
        <f>IF(F275="","",ROUND(IF(H275="",0,H275)/60,2))</f>
        <v>0</v>
      </c>
      <c r="P275" s="34">
        <f>IF(B275="","",ROUND(SUMIFS($H$5:$H$404,$B$5:$B$404,B275,$M$5:$M$404,"Yes")/60,2))</f>
        <v>0</v>
      </c>
      <c r="Q275" s="34">
        <f>IF(B275="","",IFERROR(INDEX(Services!$G$5:$G$64,MATCH(B275,Services!$B$5:$B$64,0)),""))</f>
        <v>0</v>
      </c>
      <c r="R275" s="31">
        <f>IF(F275="","",COUNTIFS('Job Tasks'!$G$5:$G$904,F275,'Job Tasks'!$H$5:$H$904,"Done"))</f>
        <v>0</v>
      </c>
      <c r="S275" s="31">
        <f>IF(F275="","",COUNTIFS('Job Tasks'!$G$5:$G$904,F275,'Job Tasks'!$H$5:$H$904,"Skipped"))</f>
        <v>0</v>
      </c>
      <c r="T275" s="31">
        <f>IF(F275="","",COUNTIFS('Job Tasks'!$G$5:$G$904,F275,'Job Tasks'!$H$5:$H$904,"Issue found"))</f>
        <v>0</v>
      </c>
      <c r="U275" s="39">
        <f>IF(F275="","",IF(R275+S275=0,"New",IF(S275/(R275+S275)&gt;0.25,"Often skipped","Working")))</f>
        <v>0</v>
      </c>
      <c r="V275" s="31">
        <f>IF(OR(B275="",F275=""),"",COUNTIFS($B$5:B275,B275))</f>
        <v>0</v>
      </c>
      <c r="W275" s="23">
        <f>IF(V275="","",B275&amp;"|"&amp;V275)</f>
        <v>0</v>
      </c>
      <c r="X275" s="39">
        <f>IF(F275="","",IF(B275="","Add - which service?",IF(H275="","Add - how many minutes?",IF(AND(Q275&lt;&gt;"",P275&gt;Q275+0.25),"Check - checklist is longer than the service allows",IF(S275&gt;=3,"Check - often skipped","OK")))))</f>
        <v>0</v>
      </c>
    </row>
    <row r="276" spans="1:24">
      <c r="A276" s="43">
        <f>IF(F276="","","CHK-"&amp;TEXT(ROW()-4,"0000"))</f>
        <v>0</v>
      </c>
      <c r="O276" s="34">
        <f>IF(F276="","",ROUND(IF(H276="",0,H276)/60,2))</f>
        <v>0</v>
      </c>
      <c r="P276" s="34">
        <f>IF(B276="","",ROUND(SUMIFS($H$5:$H$404,$B$5:$B$404,B276,$M$5:$M$404,"Yes")/60,2))</f>
        <v>0</v>
      </c>
      <c r="Q276" s="34">
        <f>IF(B276="","",IFERROR(INDEX(Services!$G$5:$G$64,MATCH(B276,Services!$B$5:$B$64,0)),""))</f>
        <v>0</v>
      </c>
      <c r="R276" s="31">
        <f>IF(F276="","",COUNTIFS('Job Tasks'!$G$5:$G$904,F276,'Job Tasks'!$H$5:$H$904,"Done"))</f>
        <v>0</v>
      </c>
      <c r="S276" s="31">
        <f>IF(F276="","",COUNTIFS('Job Tasks'!$G$5:$G$904,F276,'Job Tasks'!$H$5:$H$904,"Skipped"))</f>
        <v>0</v>
      </c>
      <c r="T276" s="31">
        <f>IF(F276="","",COUNTIFS('Job Tasks'!$G$5:$G$904,F276,'Job Tasks'!$H$5:$H$904,"Issue found"))</f>
        <v>0</v>
      </c>
      <c r="U276" s="39">
        <f>IF(F276="","",IF(R276+S276=0,"New",IF(S276/(R276+S276)&gt;0.25,"Often skipped","Working")))</f>
        <v>0</v>
      </c>
      <c r="V276" s="31">
        <f>IF(OR(B276="",F276=""),"",COUNTIFS($B$5:B276,B276))</f>
        <v>0</v>
      </c>
      <c r="W276" s="23">
        <f>IF(V276="","",B276&amp;"|"&amp;V276)</f>
        <v>0</v>
      </c>
      <c r="X276" s="39">
        <f>IF(F276="","",IF(B276="","Add - which service?",IF(H276="","Add - how many minutes?",IF(AND(Q276&lt;&gt;"",P276&gt;Q276+0.25),"Check - checklist is longer than the service allows",IF(S276&gt;=3,"Check - often skipped","OK")))))</f>
        <v>0</v>
      </c>
    </row>
    <row r="277" spans="1:24">
      <c r="A277" s="43">
        <f>IF(F277="","","CHK-"&amp;TEXT(ROW()-4,"0000"))</f>
        <v>0</v>
      </c>
      <c r="O277" s="34">
        <f>IF(F277="","",ROUND(IF(H277="",0,H277)/60,2))</f>
        <v>0</v>
      </c>
      <c r="P277" s="34">
        <f>IF(B277="","",ROUND(SUMIFS($H$5:$H$404,$B$5:$B$404,B277,$M$5:$M$404,"Yes")/60,2))</f>
        <v>0</v>
      </c>
      <c r="Q277" s="34">
        <f>IF(B277="","",IFERROR(INDEX(Services!$G$5:$G$64,MATCH(B277,Services!$B$5:$B$64,0)),""))</f>
        <v>0</v>
      </c>
      <c r="R277" s="31">
        <f>IF(F277="","",COUNTIFS('Job Tasks'!$G$5:$G$904,F277,'Job Tasks'!$H$5:$H$904,"Done"))</f>
        <v>0</v>
      </c>
      <c r="S277" s="31">
        <f>IF(F277="","",COUNTIFS('Job Tasks'!$G$5:$G$904,F277,'Job Tasks'!$H$5:$H$904,"Skipped"))</f>
        <v>0</v>
      </c>
      <c r="T277" s="31">
        <f>IF(F277="","",COUNTIFS('Job Tasks'!$G$5:$G$904,F277,'Job Tasks'!$H$5:$H$904,"Issue found"))</f>
        <v>0</v>
      </c>
      <c r="U277" s="39">
        <f>IF(F277="","",IF(R277+S277=0,"New",IF(S277/(R277+S277)&gt;0.25,"Often skipped","Working")))</f>
        <v>0</v>
      </c>
      <c r="V277" s="31">
        <f>IF(OR(B277="",F277=""),"",COUNTIFS($B$5:B277,B277))</f>
        <v>0</v>
      </c>
      <c r="W277" s="23">
        <f>IF(V277="","",B277&amp;"|"&amp;V277)</f>
        <v>0</v>
      </c>
      <c r="X277" s="39">
        <f>IF(F277="","",IF(B277="","Add - which service?",IF(H277="","Add - how many minutes?",IF(AND(Q277&lt;&gt;"",P277&gt;Q277+0.25),"Check - checklist is longer than the service allows",IF(S277&gt;=3,"Check - often skipped","OK")))))</f>
        <v>0</v>
      </c>
    </row>
    <row r="278" spans="1:24">
      <c r="A278" s="43">
        <f>IF(F278="","","CHK-"&amp;TEXT(ROW()-4,"0000"))</f>
        <v>0</v>
      </c>
      <c r="O278" s="34">
        <f>IF(F278="","",ROUND(IF(H278="",0,H278)/60,2))</f>
        <v>0</v>
      </c>
      <c r="P278" s="34">
        <f>IF(B278="","",ROUND(SUMIFS($H$5:$H$404,$B$5:$B$404,B278,$M$5:$M$404,"Yes")/60,2))</f>
        <v>0</v>
      </c>
      <c r="Q278" s="34">
        <f>IF(B278="","",IFERROR(INDEX(Services!$G$5:$G$64,MATCH(B278,Services!$B$5:$B$64,0)),""))</f>
        <v>0</v>
      </c>
      <c r="R278" s="31">
        <f>IF(F278="","",COUNTIFS('Job Tasks'!$G$5:$G$904,F278,'Job Tasks'!$H$5:$H$904,"Done"))</f>
        <v>0</v>
      </c>
      <c r="S278" s="31">
        <f>IF(F278="","",COUNTIFS('Job Tasks'!$G$5:$G$904,F278,'Job Tasks'!$H$5:$H$904,"Skipped"))</f>
        <v>0</v>
      </c>
      <c r="T278" s="31">
        <f>IF(F278="","",COUNTIFS('Job Tasks'!$G$5:$G$904,F278,'Job Tasks'!$H$5:$H$904,"Issue found"))</f>
        <v>0</v>
      </c>
      <c r="U278" s="39">
        <f>IF(F278="","",IF(R278+S278=0,"New",IF(S278/(R278+S278)&gt;0.25,"Often skipped","Working")))</f>
        <v>0</v>
      </c>
      <c r="V278" s="31">
        <f>IF(OR(B278="",F278=""),"",COUNTIFS($B$5:B278,B278))</f>
        <v>0</v>
      </c>
      <c r="W278" s="23">
        <f>IF(V278="","",B278&amp;"|"&amp;V278)</f>
        <v>0</v>
      </c>
      <c r="X278" s="39">
        <f>IF(F278="","",IF(B278="","Add - which service?",IF(H278="","Add - how many minutes?",IF(AND(Q278&lt;&gt;"",P278&gt;Q278+0.25),"Check - checklist is longer than the service allows",IF(S278&gt;=3,"Check - often skipped","OK")))))</f>
        <v>0</v>
      </c>
    </row>
    <row r="279" spans="1:24">
      <c r="A279" s="43">
        <f>IF(F279="","","CHK-"&amp;TEXT(ROW()-4,"0000"))</f>
        <v>0</v>
      </c>
      <c r="O279" s="34">
        <f>IF(F279="","",ROUND(IF(H279="",0,H279)/60,2))</f>
        <v>0</v>
      </c>
      <c r="P279" s="34">
        <f>IF(B279="","",ROUND(SUMIFS($H$5:$H$404,$B$5:$B$404,B279,$M$5:$M$404,"Yes")/60,2))</f>
        <v>0</v>
      </c>
      <c r="Q279" s="34">
        <f>IF(B279="","",IFERROR(INDEX(Services!$G$5:$G$64,MATCH(B279,Services!$B$5:$B$64,0)),""))</f>
        <v>0</v>
      </c>
      <c r="R279" s="31">
        <f>IF(F279="","",COUNTIFS('Job Tasks'!$G$5:$G$904,F279,'Job Tasks'!$H$5:$H$904,"Done"))</f>
        <v>0</v>
      </c>
      <c r="S279" s="31">
        <f>IF(F279="","",COUNTIFS('Job Tasks'!$G$5:$G$904,F279,'Job Tasks'!$H$5:$H$904,"Skipped"))</f>
        <v>0</v>
      </c>
      <c r="T279" s="31">
        <f>IF(F279="","",COUNTIFS('Job Tasks'!$G$5:$G$904,F279,'Job Tasks'!$H$5:$H$904,"Issue found"))</f>
        <v>0</v>
      </c>
      <c r="U279" s="39">
        <f>IF(F279="","",IF(R279+S279=0,"New",IF(S279/(R279+S279)&gt;0.25,"Often skipped","Working")))</f>
        <v>0</v>
      </c>
      <c r="V279" s="31">
        <f>IF(OR(B279="",F279=""),"",COUNTIFS($B$5:B279,B279))</f>
        <v>0</v>
      </c>
      <c r="W279" s="23">
        <f>IF(V279="","",B279&amp;"|"&amp;V279)</f>
        <v>0</v>
      </c>
      <c r="X279" s="39">
        <f>IF(F279="","",IF(B279="","Add - which service?",IF(H279="","Add - how many minutes?",IF(AND(Q279&lt;&gt;"",P279&gt;Q279+0.25),"Check - checklist is longer than the service allows",IF(S279&gt;=3,"Check - often skipped","OK")))))</f>
        <v>0</v>
      </c>
    </row>
    <row r="280" spans="1:24">
      <c r="A280" s="43">
        <f>IF(F280="","","CHK-"&amp;TEXT(ROW()-4,"0000"))</f>
        <v>0</v>
      </c>
      <c r="O280" s="34">
        <f>IF(F280="","",ROUND(IF(H280="",0,H280)/60,2))</f>
        <v>0</v>
      </c>
      <c r="P280" s="34">
        <f>IF(B280="","",ROUND(SUMIFS($H$5:$H$404,$B$5:$B$404,B280,$M$5:$M$404,"Yes")/60,2))</f>
        <v>0</v>
      </c>
      <c r="Q280" s="34">
        <f>IF(B280="","",IFERROR(INDEX(Services!$G$5:$G$64,MATCH(B280,Services!$B$5:$B$64,0)),""))</f>
        <v>0</v>
      </c>
      <c r="R280" s="31">
        <f>IF(F280="","",COUNTIFS('Job Tasks'!$G$5:$G$904,F280,'Job Tasks'!$H$5:$H$904,"Done"))</f>
        <v>0</v>
      </c>
      <c r="S280" s="31">
        <f>IF(F280="","",COUNTIFS('Job Tasks'!$G$5:$G$904,F280,'Job Tasks'!$H$5:$H$904,"Skipped"))</f>
        <v>0</v>
      </c>
      <c r="T280" s="31">
        <f>IF(F280="","",COUNTIFS('Job Tasks'!$G$5:$G$904,F280,'Job Tasks'!$H$5:$H$904,"Issue found"))</f>
        <v>0</v>
      </c>
      <c r="U280" s="39">
        <f>IF(F280="","",IF(R280+S280=0,"New",IF(S280/(R280+S280)&gt;0.25,"Often skipped","Working")))</f>
        <v>0</v>
      </c>
      <c r="V280" s="31">
        <f>IF(OR(B280="",F280=""),"",COUNTIFS($B$5:B280,B280))</f>
        <v>0</v>
      </c>
      <c r="W280" s="23">
        <f>IF(V280="","",B280&amp;"|"&amp;V280)</f>
        <v>0</v>
      </c>
      <c r="X280" s="39">
        <f>IF(F280="","",IF(B280="","Add - which service?",IF(H280="","Add - how many minutes?",IF(AND(Q280&lt;&gt;"",P280&gt;Q280+0.25),"Check - checklist is longer than the service allows",IF(S280&gt;=3,"Check - often skipped","OK")))))</f>
        <v>0</v>
      </c>
    </row>
    <row r="281" spans="1:24">
      <c r="A281" s="43">
        <f>IF(F281="","","CHK-"&amp;TEXT(ROW()-4,"0000"))</f>
        <v>0</v>
      </c>
      <c r="O281" s="34">
        <f>IF(F281="","",ROUND(IF(H281="",0,H281)/60,2))</f>
        <v>0</v>
      </c>
      <c r="P281" s="34">
        <f>IF(B281="","",ROUND(SUMIFS($H$5:$H$404,$B$5:$B$404,B281,$M$5:$M$404,"Yes")/60,2))</f>
        <v>0</v>
      </c>
      <c r="Q281" s="34">
        <f>IF(B281="","",IFERROR(INDEX(Services!$G$5:$G$64,MATCH(B281,Services!$B$5:$B$64,0)),""))</f>
        <v>0</v>
      </c>
      <c r="R281" s="31">
        <f>IF(F281="","",COUNTIFS('Job Tasks'!$G$5:$G$904,F281,'Job Tasks'!$H$5:$H$904,"Done"))</f>
        <v>0</v>
      </c>
      <c r="S281" s="31">
        <f>IF(F281="","",COUNTIFS('Job Tasks'!$G$5:$G$904,F281,'Job Tasks'!$H$5:$H$904,"Skipped"))</f>
        <v>0</v>
      </c>
      <c r="T281" s="31">
        <f>IF(F281="","",COUNTIFS('Job Tasks'!$G$5:$G$904,F281,'Job Tasks'!$H$5:$H$904,"Issue found"))</f>
        <v>0</v>
      </c>
      <c r="U281" s="39">
        <f>IF(F281="","",IF(R281+S281=0,"New",IF(S281/(R281+S281)&gt;0.25,"Often skipped","Working")))</f>
        <v>0</v>
      </c>
      <c r="V281" s="31">
        <f>IF(OR(B281="",F281=""),"",COUNTIFS($B$5:B281,B281))</f>
        <v>0</v>
      </c>
      <c r="W281" s="23">
        <f>IF(V281="","",B281&amp;"|"&amp;V281)</f>
        <v>0</v>
      </c>
      <c r="X281" s="39">
        <f>IF(F281="","",IF(B281="","Add - which service?",IF(H281="","Add - how many minutes?",IF(AND(Q281&lt;&gt;"",P281&gt;Q281+0.25),"Check - checklist is longer than the service allows",IF(S281&gt;=3,"Check - often skipped","OK")))))</f>
        <v>0</v>
      </c>
    </row>
    <row r="282" spans="1:24">
      <c r="A282" s="43">
        <f>IF(F282="","","CHK-"&amp;TEXT(ROW()-4,"0000"))</f>
        <v>0</v>
      </c>
      <c r="O282" s="34">
        <f>IF(F282="","",ROUND(IF(H282="",0,H282)/60,2))</f>
        <v>0</v>
      </c>
      <c r="P282" s="34">
        <f>IF(B282="","",ROUND(SUMIFS($H$5:$H$404,$B$5:$B$404,B282,$M$5:$M$404,"Yes")/60,2))</f>
        <v>0</v>
      </c>
      <c r="Q282" s="34">
        <f>IF(B282="","",IFERROR(INDEX(Services!$G$5:$G$64,MATCH(B282,Services!$B$5:$B$64,0)),""))</f>
        <v>0</v>
      </c>
      <c r="R282" s="31">
        <f>IF(F282="","",COUNTIFS('Job Tasks'!$G$5:$G$904,F282,'Job Tasks'!$H$5:$H$904,"Done"))</f>
        <v>0</v>
      </c>
      <c r="S282" s="31">
        <f>IF(F282="","",COUNTIFS('Job Tasks'!$G$5:$G$904,F282,'Job Tasks'!$H$5:$H$904,"Skipped"))</f>
        <v>0</v>
      </c>
      <c r="T282" s="31">
        <f>IF(F282="","",COUNTIFS('Job Tasks'!$G$5:$G$904,F282,'Job Tasks'!$H$5:$H$904,"Issue found"))</f>
        <v>0</v>
      </c>
      <c r="U282" s="39">
        <f>IF(F282="","",IF(R282+S282=0,"New",IF(S282/(R282+S282)&gt;0.25,"Often skipped","Working")))</f>
        <v>0</v>
      </c>
      <c r="V282" s="31">
        <f>IF(OR(B282="",F282=""),"",COUNTIFS($B$5:B282,B282))</f>
        <v>0</v>
      </c>
      <c r="W282" s="23">
        <f>IF(V282="","",B282&amp;"|"&amp;V282)</f>
        <v>0</v>
      </c>
      <c r="X282" s="39">
        <f>IF(F282="","",IF(B282="","Add - which service?",IF(H282="","Add - how many minutes?",IF(AND(Q282&lt;&gt;"",P282&gt;Q282+0.25),"Check - checklist is longer than the service allows",IF(S282&gt;=3,"Check - often skipped","OK")))))</f>
        <v>0</v>
      </c>
    </row>
    <row r="283" spans="1:24">
      <c r="A283" s="43">
        <f>IF(F283="","","CHK-"&amp;TEXT(ROW()-4,"0000"))</f>
        <v>0</v>
      </c>
      <c r="O283" s="34">
        <f>IF(F283="","",ROUND(IF(H283="",0,H283)/60,2))</f>
        <v>0</v>
      </c>
      <c r="P283" s="34">
        <f>IF(B283="","",ROUND(SUMIFS($H$5:$H$404,$B$5:$B$404,B283,$M$5:$M$404,"Yes")/60,2))</f>
        <v>0</v>
      </c>
      <c r="Q283" s="34">
        <f>IF(B283="","",IFERROR(INDEX(Services!$G$5:$G$64,MATCH(B283,Services!$B$5:$B$64,0)),""))</f>
        <v>0</v>
      </c>
      <c r="R283" s="31">
        <f>IF(F283="","",COUNTIFS('Job Tasks'!$G$5:$G$904,F283,'Job Tasks'!$H$5:$H$904,"Done"))</f>
        <v>0</v>
      </c>
      <c r="S283" s="31">
        <f>IF(F283="","",COUNTIFS('Job Tasks'!$G$5:$G$904,F283,'Job Tasks'!$H$5:$H$904,"Skipped"))</f>
        <v>0</v>
      </c>
      <c r="T283" s="31">
        <f>IF(F283="","",COUNTIFS('Job Tasks'!$G$5:$G$904,F283,'Job Tasks'!$H$5:$H$904,"Issue found"))</f>
        <v>0</v>
      </c>
      <c r="U283" s="39">
        <f>IF(F283="","",IF(R283+S283=0,"New",IF(S283/(R283+S283)&gt;0.25,"Often skipped","Working")))</f>
        <v>0</v>
      </c>
      <c r="V283" s="31">
        <f>IF(OR(B283="",F283=""),"",COUNTIFS($B$5:B283,B283))</f>
        <v>0</v>
      </c>
      <c r="W283" s="23">
        <f>IF(V283="","",B283&amp;"|"&amp;V283)</f>
        <v>0</v>
      </c>
      <c r="X283" s="39">
        <f>IF(F283="","",IF(B283="","Add - which service?",IF(H283="","Add - how many minutes?",IF(AND(Q283&lt;&gt;"",P283&gt;Q283+0.25),"Check - checklist is longer than the service allows",IF(S283&gt;=3,"Check - often skipped","OK")))))</f>
        <v>0</v>
      </c>
    </row>
    <row r="284" spans="1:24">
      <c r="A284" s="43">
        <f>IF(F284="","","CHK-"&amp;TEXT(ROW()-4,"0000"))</f>
        <v>0</v>
      </c>
      <c r="O284" s="34">
        <f>IF(F284="","",ROUND(IF(H284="",0,H284)/60,2))</f>
        <v>0</v>
      </c>
      <c r="P284" s="34">
        <f>IF(B284="","",ROUND(SUMIFS($H$5:$H$404,$B$5:$B$404,B284,$M$5:$M$404,"Yes")/60,2))</f>
        <v>0</v>
      </c>
      <c r="Q284" s="34">
        <f>IF(B284="","",IFERROR(INDEX(Services!$G$5:$G$64,MATCH(B284,Services!$B$5:$B$64,0)),""))</f>
        <v>0</v>
      </c>
      <c r="R284" s="31">
        <f>IF(F284="","",COUNTIFS('Job Tasks'!$G$5:$G$904,F284,'Job Tasks'!$H$5:$H$904,"Done"))</f>
        <v>0</v>
      </c>
      <c r="S284" s="31">
        <f>IF(F284="","",COUNTIFS('Job Tasks'!$G$5:$G$904,F284,'Job Tasks'!$H$5:$H$904,"Skipped"))</f>
        <v>0</v>
      </c>
      <c r="T284" s="31">
        <f>IF(F284="","",COUNTIFS('Job Tasks'!$G$5:$G$904,F284,'Job Tasks'!$H$5:$H$904,"Issue found"))</f>
        <v>0</v>
      </c>
      <c r="U284" s="39">
        <f>IF(F284="","",IF(R284+S284=0,"New",IF(S284/(R284+S284)&gt;0.25,"Often skipped","Working")))</f>
        <v>0</v>
      </c>
      <c r="V284" s="31">
        <f>IF(OR(B284="",F284=""),"",COUNTIFS($B$5:B284,B284))</f>
        <v>0</v>
      </c>
      <c r="W284" s="23">
        <f>IF(V284="","",B284&amp;"|"&amp;V284)</f>
        <v>0</v>
      </c>
      <c r="X284" s="39">
        <f>IF(F284="","",IF(B284="","Add - which service?",IF(H284="","Add - how many minutes?",IF(AND(Q284&lt;&gt;"",P284&gt;Q284+0.25),"Check - checklist is longer than the service allows",IF(S284&gt;=3,"Check - often skipped","OK")))))</f>
        <v>0</v>
      </c>
    </row>
    <row r="285" spans="1:24">
      <c r="A285" s="43">
        <f>IF(F285="","","CHK-"&amp;TEXT(ROW()-4,"0000"))</f>
        <v>0</v>
      </c>
      <c r="O285" s="34">
        <f>IF(F285="","",ROUND(IF(H285="",0,H285)/60,2))</f>
        <v>0</v>
      </c>
      <c r="P285" s="34">
        <f>IF(B285="","",ROUND(SUMIFS($H$5:$H$404,$B$5:$B$404,B285,$M$5:$M$404,"Yes")/60,2))</f>
        <v>0</v>
      </c>
      <c r="Q285" s="34">
        <f>IF(B285="","",IFERROR(INDEX(Services!$G$5:$G$64,MATCH(B285,Services!$B$5:$B$64,0)),""))</f>
        <v>0</v>
      </c>
      <c r="R285" s="31">
        <f>IF(F285="","",COUNTIFS('Job Tasks'!$G$5:$G$904,F285,'Job Tasks'!$H$5:$H$904,"Done"))</f>
        <v>0</v>
      </c>
      <c r="S285" s="31">
        <f>IF(F285="","",COUNTIFS('Job Tasks'!$G$5:$G$904,F285,'Job Tasks'!$H$5:$H$904,"Skipped"))</f>
        <v>0</v>
      </c>
      <c r="T285" s="31">
        <f>IF(F285="","",COUNTIFS('Job Tasks'!$G$5:$G$904,F285,'Job Tasks'!$H$5:$H$904,"Issue found"))</f>
        <v>0</v>
      </c>
      <c r="U285" s="39">
        <f>IF(F285="","",IF(R285+S285=0,"New",IF(S285/(R285+S285)&gt;0.25,"Often skipped","Working")))</f>
        <v>0</v>
      </c>
      <c r="V285" s="31">
        <f>IF(OR(B285="",F285=""),"",COUNTIFS($B$5:B285,B285))</f>
        <v>0</v>
      </c>
      <c r="W285" s="23">
        <f>IF(V285="","",B285&amp;"|"&amp;V285)</f>
        <v>0</v>
      </c>
      <c r="X285" s="39">
        <f>IF(F285="","",IF(B285="","Add - which service?",IF(H285="","Add - how many minutes?",IF(AND(Q285&lt;&gt;"",P285&gt;Q285+0.25),"Check - checklist is longer than the service allows",IF(S285&gt;=3,"Check - often skipped","OK")))))</f>
        <v>0</v>
      </c>
    </row>
    <row r="286" spans="1:24">
      <c r="A286" s="43">
        <f>IF(F286="","","CHK-"&amp;TEXT(ROW()-4,"0000"))</f>
        <v>0</v>
      </c>
      <c r="O286" s="34">
        <f>IF(F286="","",ROUND(IF(H286="",0,H286)/60,2))</f>
        <v>0</v>
      </c>
      <c r="P286" s="34">
        <f>IF(B286="","",ROUND(SUMIFS($H$5:$H$404,$B$5:$B$404,B286,$M$5:$M$404,"Yes")/60,2))</f>
        <v>0</v>
      </c>
      <c r="Q286" s="34">
        <f>IF(B286="","",IFERROR(INDEX(Services!$G$5:$G$64,MATCH(B286,Services!$B$5:$B$64,0)),""))</f>
        <v>0</v>
      </c>
      <c r="R286" s="31">
        <f>IF(F286="","",COUNTIFS('Job Tasks'!$G$5:$G$904,F286,'Job Tasks'!$H$5:$H$904,"Done"))</f>
        <v>0</v>
      </c>
      <c r="S286" s="31">
        <f>IF(F286="","",COUNTIFS('Job Tasks'!$G$5:$G$904,F286,'Job Tasks'!$H$5:$H$904,"Skipped"))</f>
        <v>0</v>
      </c>
      <c r="T286" s="31">
        <f>IF(F286="","",COUNTIFS('Job Tasks'!$G$5:$G$904,F286,'Job Tasks'!$H$5:$H$904,"Issue found"))</f>
        <v>0</v>
      </c>
      <c r="U286" s="39">
        <f>IF(F286="","",IF(R286+S286=0,"New",IF(S286/(R286+S286)&gt;0.25,"Often skipped","Working")))</f>
        <v>0</v>
      </c>
      <c r="V286" s="31">
        <f>IF(OR(B286="",F286=""),"",COUNTIFS($B$5:B286,B286))</f>
        <v>0</v>
      </c>
      <c r="W286" s="23">
        <f>IF(V286="","",B286&amp;"|"&amp;V286)</f>
        <v>0</v>
      </c>
      <c r="X286" s="39">
        <f>IF(F286="","",IF(B286="","Add - which service?",IF(H286="","Add - how many minutes?",IF(AND(Q286&lt;&gt;"",P286&gt;Q286+0.25),"Check - checklist is longer than the service allows",IF(S286&gt;=3,"Check - often skipped","OK")))))</f>
        <v>0</v>
      </c>
    </row>
    <row r="287" spans="1:24">
      <c r="A287" s="43">
        <f>IF(F287="","","CHK-"&amp;TEXT(ROW()-4,"0000"))</f>
        <v>0</v>
      </c>
      <c r="O287" s="34">
        <f>IF(F287="","",ROUND(IF(H287="",0,H287)/60,2))</f>
        <v>0</v>
      </c>
      <c r="P287" s="34">
        <f>IF(B287="","",ROUND(SUMIFS($H$5:$H$404,$B$5:$B$404,B287,$M$5:$M$404,"Yes")/60,2))</f>
        <v>0</v>
      </c>
      <c r="Q287" s="34">
        <f>IF(B287="","",IFERROR(INDEX(Services!$G$5:$G$64,MATCH(B287,Services!$B$5:$B$64,0)),""))</f>
        <v>0</v>
      </c>
      <c r="R287" s="31">
        <f>IF(F287="","",COUNTIFS('Job Tasks'!$G$5:$G$904,F287,'Job Tasks'!$H$5:$H$904,"Done"))</f>
        <v>0</v>
      </c>
      <c r="S287" s="31">
        <f>IF(F287="","",COUNTIFS('Job Tasks'!$G$5:$G$904,F287,'Job Tasks'!$H$5:$H$904,"Skipped"))</f>
        <v>0</v>
      </c>
      <c r="T287" s="31">
        <f>IF(F287="","",COUNTIFS('Job Tasks'!$G$5:$G$904,F287,'Job Tasks'!$H$5:$H$904,"Issue found"))</f>
        <v>0</v>
      </c>
      <c r="U287" s="39">
        <f>IF(F287="","",IF(R287+S287=0,"New",IF(S287/(R287+S287)&gt;0.25,"Often skipped","Working")))</f>
        <v>0</v>
      </c>
      <c r="V287" s="31">
        <f>IF(OR(B287="",F287=""),"",COUNTIFS($B$5:B287,B287))</f>
        <v>0</v>
      </c>
      <c r="W287" s="23">
        <f>IF(V287="","",B287&amp;"|"&amp;V287)</f>
        <v>0</v>
      </c>
      <c r="X287" s="39">
        <f>IF(F287="","",IF(B287="","Add - which service?",IF(H287="","Add - how many minutes?",IF(AND(Q287&lt;&gt;"",P287&gt;Q287+0.25),"Check - checklist is longer than the service allows",IF(S287&gt;=3,"Check - often skipped","OK")))))</f>
        <v>0</v>
      </c>
    </row>
    <row r="288" spans="1:24">
      <c r="A288" s="43">
        <f>IF(F288="","","CHK-"&amp;TEXT(ROW()-4,"0000"))</f>
        <v>0</v>
      </c>
      <c r="O288" s="34">
        <f>IF(F288="","",ROUND(IF(H288="",0,H288)/60,2))</f>
        <v>0</v>
      </c>
      <c r="P288" s="34">
        <f>IF(B288="","",ROUND(SUMIFS($H$5:$H$404,$B$5:$B$404,B288,$M$5:$M$404,"Yes")/60,2))</f>
        <v>0</v>
      </c>
      <c r="Q288" s="34">
        <f>IF(B288="","",IFERROR(INDEX(Services!$G$5:$G$64,MATCH(B288,Services!$B$5:$B$64,0)),""))</f>
        <v>0</v>
      </c>
      <c r="R288" s="31">
        <f>IF(F288="","",COUNTIFS('Job Tasks'!$G$5:$G$904,F288,'Job Tasks'!$H$5:$H$904,"Done"))</f>
        <v>0</v>
      </c>
      <c r="S288" s="31">
        <f>IF(F288="","",COUNTIFS('Job Tasks'!$G$5:$G$904,F288,'Job Tasks'!$H$5:$H$904,"Skipped"))</f>
        <v>0</v>
      </c>
      <c r="T288" s="31">
        <f>IF(F288="","",COUNTIFS('Job Tasks'!$G$5:$G$904,F288,'Job Tasks'!$H$5:$H$904,"Issue found"))</f>
        <v>0</v>
      </c>
      <c r="U288" s="39">
        <f>IF(F288="","",IF(R288+S288=0,"New",IF(S288/(R288+S288)&gt;0.25,"Often skipped","Working")))</f>
        <v>0</v>
      </c>
      <c r="V288" s="31">
        <f>IF(OR(B288="",F288=""),"",COUNTIFS($B$5:B288,B288))</f>
        <v>0</v>
      </c>
      <c r="W288" s="23">
        <f>IF(V288="","",B288&amp;"|"&amp;V288)</f>
        <v>0</v>
      </c>
      <c r="X288" s="39">
        <f>IF(F288="","",IF(B288="","Add - which service?",IF(H288="","Add - how many minutes?",IF(AND(Q288&lt;&gt;"",P288&gt;Q288+0.25),"Check - checklist is longer than the service allows",IF(S288&gt;=3,"Check - often skipped","OK")))))</f>
        <v>0</v>
      </c>
    </row>
    <row r="289" spans="1:24">
      <c r="A289" s="43">
        <f>IF(F289="","","CHK-"&amp;TEXT(ROW()-4,"0000"))</f>
        <v>0</v>
      </c>
      <c r="O289" s="34">
        <f>IF(F289="","",ROUND(IF(H289="",0,H289)/60,2))</f>
        <v>0</v>
      </c>
      <c r="P289" s="34">
        <f>IF(B289="","",ROUND(SUMIFS($H$5:$H$404,$B$5:$B$404,B289,$M$5:$M$404,"Yes")/60,2))</f>
        <v>0</v>
      </c>
      <c r="Q289" s="34">
        <f>IF(B289="","",IFERROR(INDEX(Services!$G$5:$G$64,MATCH(B289,Services!$B$5:$B$64,0)),""))</f>
        <v>0</v>
      </c>
      <c r="R289" s="31">
        <f>IF(F289="","",COUNTIFS('Job Tasks'!$G$5:$G$904,F289,'Job Tasks'!$H$5:$H$904,"Done"))</f>
        <v>0</v>
      </c>
      <c r="S289" s="31">
        <f>IF(F289="","",COUNTIFS('Job Tasks'!$G$5:$G$904,F289,'Job Tasks'!$H$5:$H$904,"Skipped"))</f>
        <v>0</v>
      </c>
      <c r="T289" s="31">
        <f>IF(F289="","",COUNTIFS('Job Tasks'!$G$5:$G$904,F289,'Job Tasks'!$H$5:$H$904,"Issue found"))</f>
        <v>0</v>
      </c>
      <c r="U289" s="39">
        <f>IF(F289="","",IF(R289+S289=0,"New",IF(S289/(R289+S289)&gt;0.25,"Often skipped","Working")))</f>
        <v>0</v>
      </c>
      <c r="V289" s="31">
        <f>IF(OR(B289="",F289=""),"",COUNTIFS($B$5:B289,B289))</f>
        <v>0</v>
      </c>
      <c r="W289" s="23">
        <f>IF(V289="","",B289&amp;"|"&amp;V289)</f>
        <v>0</v>
      </c>
      <c r="X289" s="39">
        <f>IF(F289="","",IF(B289="","Add - which service?",IF(H289="","Add - how many minutes?",IF(AND(Q289&lt;&gt;"",P289&gt;Q289+0.25),"Check - checklist is longer than the service allows",IF(S289&gt;=3,"Check - often skipped","OK")))))</f>
        <v>0</v>
      </c>
    </row>
    <row r="290" spans="1:24">
      <c r="A290" s="43">
        <f>IF(F290="","","CHK-"&amp;TEXT(ROW()-4,"0000"))</f>
        <v>0</v>
      </c>
      <c r="O290" s="34">
        <f>IF(F290="","",ROUND(IF(H290="",0,H290)/60,2))</f>
        <v>0</v>
      </c>
      <c r="P290" s="34">
        <f>IF(B290="","",ROUND(SUMIFS($H$5:$H$404,$B$5:$B$404,B290,$M$5:$M$404,"Yes")/60,2))</f>
        <v>0</v>
      </c>
      <c r="Q290" s="34">
        <f>IF(B290="","",IFERROR(INDEX(Services!$G$5:$G$64,MATCH(B290,Services!$B$5:$B$64,0)),""))</f>
        <v>0</v>
      </c>
      <c r="R290" s="31">
        <f>IF(F290="","",COUNTIFS('Job Tasks'!$G$5:$G$904,F290,'Job Tasks'!$H$5:$H$904,"Done"))</f>
        <v>0</v>
      </c>
      <c r="S290" s="31">
        <f>IF(F290="","",COUNTIFS('Job Tasks'!$G$5:$G$904,F290,'Job Tasks'!$H$5:$H$904,"Skipped"))</f>
        <v>0</v>
      </c>
      <c r="T290" s="31">
        <f>IF(F290="","",COUNTIFS('Job Tasks'!$G$5:$G$904,F290,'Job Tasks'!$H$5:$H$904,"Issue found"))</f>
        <v>0</v>
      </c>
      <c r="U290" s="39">
        <f>IF(F290="","",IF(R290+S290=0,"New",IF(S290/(R290+S290)&gt;0.25,"Often skipped","Working")))</f>
        <v>0</v>
      </c>
      <c r="V290" s="31">
        <f>IF(OR(B290="",F290=""),"",COUNTIFS($B$5:B290,B290))</f>
        <v>0</v>
      </c>
      <c r="W290" s="23">
        <f>IF(V290="","",B290&amp;"|"&amp;V290)</f>
        <v>0</v>
      </c>
      <c r="X290" s="39">
        <f>IF(F290="","",IF(B290="","Add - which service?",IF(H290="","Add - how many minutes?",IF(AND(Q290&lt;&gt;"",P290&gt;Q290+0.25),"Check - checklist is longer than the service allows",IF(S290&gt;=3,"Check - often skipped","OK")))))</f>
        <v>0</v>
      </c>
    </row>
    <row r="291" spans="1:24">
      <c r="A291" s="43">
        <f>IF(F291="","","CHK-"&amp;TEXT(ROW()-4,"0000"))</f>
        <v>0</v>
      </c>
      <c r="O291" s="34">
        <f>IF(F291="","",ROUND(IF(H291="",0,H291)/60,2))</f>
        <v>0</v>
      </c>
      <c r="P291" s="34">
        <f>IF(B291="","",ROUND(SUMIFS($H$5:$H$404,$B$5:$B$404,B291,$M$5:$M$404,"Yes")/60,2))</f>
        <v>0</v>
      </c>
      <c r="Q291" s="34">
        <f>IF(B291="","",IFERROR(INDEX(Services!$G$5:$G$64,MATCH(B291,Services!$B$5:$B$64,0)),""))</f>
        <v>0</v>
      </c>
      <c r="R291" s="31">
        <f>IF(F291="","",COUNTIFS('Job Tasks'!$G$5:$G$904,F291,'Job Tasks'!$H$5:$H$904,"Done"))</f>
        <v>0</v>
      </c>
      <c r="S291" s="31">
        <f>IF(F291="","",COUNTIFS('Job Tasks'!$G$5:$G$904,F291,'Job Tasks'!$H$5:$H$904,"Skipped"))</f>
        <v>0</v>
      </c>
      <c r="T291" s="31">
        <f>IF(F291="","",COUNTIFS('Job Tasks'!$G$5:$G$904,F291,'Job Tasks'!$H$5:$H$904,"Issue found"))</f>
        <v>0</v>
      </c>
      <c r="U291" s="39">
        <f>IF(F291="","",IF(R291+S291=0,"New",IF(S291/(R291+S291)&gt;0.25,"Often skipped","Working")))</f>
        <v>0</v>
      </c>
      <c r="V291" s="31">
        <f>IF(OR(B291="",F291=""),"",COUNTIFS($B$5:B291,B291))</f>
        <v>0</v>
      </c>
      <c r="W291" s="23">
        <f>IF(V291="","",B291&amp;"|"&amp;V291)</f>
        <v>0</v>
      </c>
      <c r="X291" s="39">
        <f>IF(F291="","",IF(B291="","Add - which service?",IF(H291="","Add - how many minutes?",IF(AND(Q291&lt;&gt;"",P291&gt;Q291+0.25),"Check - checklist is longer than the service allows",IF(S291&gt;=3,"Check - often skipped","OK")))))</f>
        <v>0</v>
      </c>
    </row>
    <row r="292" spans="1:24">
      <c r="A292" s="43">
        <f>IF(F292="","","CHK-"&amp;TEXT(ROW()-4,"0000"))</f>
        <v>0</v>
      </c>
      <c r="O292" s="34">
        <f>IF(F292="","",ROUND(IF(H292="",0,H292)/60,2))</f>
        <v>0</v>
      </c>
      <c r="P292" s="34">
        <f>IF(B292="","",ROUND(SUMIFS($H$5:$H$404,$B$5:$B$404,B292,$M$5:$M$404,"Yes")/60,2))</f>
        <v>0</v>
      </c>
      <c r="Q292" s="34">
        <f>IF(B292="","",IFERROR(INDEX(Services!$G$5:$G$64,MATCH(B292,Services!$B$5:$B$64,0)),""))</f>
        <v>0</v>
      </c>
      <c r="R292" s="31">
        <f>IF(F292="","",COUNTIFS('Job Tasks'!$G$5:$G$904,F292,'Job Tasks'!$H$5:$H$904,"Done"))</f>
        <v>0</v>
      </c>
      <c r="S292" s="31">
        <f>IF(F292="","",COUNTIFS('Job Tasks'!$G$5:$G$904,F292,'Job Tasks'!$H$5:$H$904,"Skipped"))</f>
        <v>0</v>
      </c>
      <c r="T292" s="31">
        <f>IF(F292="","",COUNTIFS('Job Tasks'!$G$5:$G$904,F292,'Job Tasks'!$H$5:$H$904,"Issue found"))</f>
        <v>0</v>
      </c>
      <c r="U292" s="39">
        <f>IF(F292="","",IF(R292+S292=0,"New",IF(S292/(R292+S292)&gt;0.25,"Often skipped","Working")))</f>
        <v>0</v>
      </c>
      <c r="V292" s="31">
        <f>IF(OR(B292="",F292=""),"",COUNTIFS($B$5:B292,B292))</f>
        <v>0</v>
      </c>
      <c r="W292" s="23">
        <f>IF(V292="","",B292&amp;"|"&amp;V292)</f>
        <v>0</v>
      </c>
      <c r="X292" s="39">
        <f>IF(F292="","",IF(B292="","Add - which service?",IF(H292="","Add - how many minutes?",IF(AND(Q292&lt;&gt;"",P292&gt;Q292+0.25),"Check - checklist is longer than the service allows",IF(S292&gt;=3,"Check - often skipped","OK")))))</f>
        <v>0</v>
      </c>
    </row>
    <row r="293" spans="1:24">
      <c r="A293" s="43">
        <f>IF(F293="","","CHK-"&amp;TEXT(ROW()-4,"0000"))</f>
        <v>0</v>
      </c>
      <c r="O293" s="34">
        <f>IF(F293="","",ROUND(IF(H293="",0,H293)/60,2))</f>
        <v>0</v>
      </c>
      <c r="P293" s="34">
        <f>IF(B293="","",ROUND(SUMIFS($H$5:$H$404,$B$5:$B$404,B293,$M$5:$M$404,"Yes")/60,2))</f>
        <v>0</v>
      </c>
      <c r="Q293" s="34">
        <f>IF(B293="","",IFERROR(INDEX(Services!$G$5:$G$64,MATCH(B293,Services!$B$5:$B$64,0)),""))</f>
        <v>0</v>
      </c>
      <c r="R293" s="31">
        <f>IF(F293="","",COUNTIFS('Job Tasks'!$G$5:$G$904,F293,'Job Tasks'!$H$5:$H$904,"Done"))</f>
        <v>0</v>
      </c>
      <c r="S293" s="31">
        <f>IF(F293="","",COUNTIFS('Job Tasks'!$G$5:$G$904,F293,'Job Tasks'!$H$5:$H$904,"Skipped"))</f>
        <v>0</v>
      </c>
      <c r="T293" s="31">
        <f>IF(F293="","",COUNTIFS('Job Tasks'!$G$5:$G$904,F293,'Job Tasks'!$H$5:$H$904,"Issue found"))</f>
        <v>0</v>
      </c>
      <c r="U293" s="39">
        <f>IF(F293="","",IF(R293+S293=0,"New",IF(S293/(R293+S293)&gt;0.25,"Often skipped","Working")))</f>
        <v>0</v>
      </c>
      <c r="V293" s="31">
        <f>IF(OR(B293="",F293=""),"",COUNTIFS($B$5:B293,B293))</f>
        <v>0</v>
      </c>
      <c r="W293" s="23">
        <f>IF(V293="","",B293&amp;"|"&amp;V293)</f>
        <v>0</v>
      </c>
      <c r="X293" s="39">
        <f>IF(F293="","",IF(B293="","Add - which service?",IF(H293="","Add - how many minutes?",IF(AND(Q293&lt;&gt;"",P293&gt;Q293+0.25),"Check - checklist is longer than the service allows",IF(S293&gt;=3,"Check - often skipped","OK")))))</f>
        <v>0</v>
      </c>
    </row>
    <row r="294" spans="1:24">
      <c r="A294" s="43">
        <f>IF(F294="","","CHK-"&amp;TEXT(ROW()-4,"0000"))</f>
        <v>0</v>
      </c>
      <c r="O294" s="34">
        <f>IF(F294="","",ROUND(IF(H294="",0,H294)/60,2))</f>
        <v>0</v>
      </c>
      <c r="P294" s="34">
        <f>IF(B294="","",ROUND(SUMIFS($H$5:$H$404,$B$5:$B$404,B294,$M$5:$M$404,"Yes")/60,2))</f>
        <v>0</v>
      </c>
      <c r="Q294" s="34">
        <f>IF(B294="","",IFERROR(INDEX(Services!$G$5:$G$64,MATCH(B294,Services!$B$5:$B$64,0)),""))</f>
        <v>0</v>
      </c>
      <c r="R294" s="31">
        <f>IF(F294="","",COUNTIFS('Job Tasks'!$G$5:$G$904,F294,'Job Tasks'!$H$5:$H$904,"Done"))</f>
        <v>0</v>
      </c>
      <c r="S294" s="31">
        <f>IF(F294="","",COUNTIFS('Job Tasks'!$G$5:$G$904,F294,'Job Tasks'!$H$5:$H$904,"Skipped"))</f>
        <v>0</v>
      </c>
      <c r="T294" s="31">
        <f>IF(F294="","",COUNTIFS('Job Tasks'!$G$5:$G$904,F294,'Job Tasks'!$H$5:$H$904,"Issue found"))</f>
        <v>0</v>
      </c>
      <c r="U294" s="39">
        <f>IF(F294="","",IF(R294+S294=0,"New",IF(S294/(R294+S294)&gt;0.25,"Often skipped","Working")))</f>
        <v>0</v>
      </c>
      <c r="V294" s="31">
        <f>IF(OR(B294="",F294=""),"",COUNTIFS($B$5:B294,B294))</f>
        <v>0</v>
      </c>
      <c r="W294" s="23">
        <f>IF(V294="","",B294&amp;"|"&amp;V294)</f>
        <v>0</v>
      </c>
      <c r="X294" s="39">
        <f>IF(F294="","",IF(B294="","Add - which service?",IF(H294="","Add - how many minutes?",IF(AND(Q294&lt;&gt;"",P294&gt;Q294+0.25),"Check - checklist is longer than the service allows",IF(S294&gt;=3,"Check - often skipped","OK")))))</f>
        <v>0</v>
      </c>
    </row>
    <row r="295" spans="1:24">
      <c r="A295" s="43">
        <f>IF(F295="","","CHK-"&amp;TEXT(ROW()-4,"0000"))</f>
        <v>0</v>
      </c>
      <c r="O295" s="34">
        <f>IF(F295="","",ROUND(IF(H295="",0,H295)/60,2))</f>
        <v>0</v>
      </c>
      <c r="P295" s="34">
        <f>IF(B295="","",ROUND(SUMIFS($H$5:$H$404,$B$5:$B$404,B295,$M$5:$M$404,"Yes")/60,2))</f>
        <v>0</v>
      </c>
      <c r="Q295" s="34">
        <f>IF(B295="","",IFERROR(INDEX(Services!$G$5:$G$64,MATCH(B295,Services!$B$5:$B$64,0)),""))</f>
        <v>0</v>
      </c>
      <c r="R295" s="31">
        <f>IF(F295="","",COUNTIFS('Job Tasks'!$G$5:$G$904,F295,'Job Tasks'!$H$5:$H$904,"Done"))</f>
        <v>0</v>
      </c>
      <c r="S295" s="31">
        <f>IF(F295="","",COUNTIFS('Job Tasks'!$G$5:$G$904,F295,'Job Tasks'!$H$5:$H$904,"Skipped"))</f>
        <v>0</v>
      </c>
      <c r="T295" s="31">
        <f>IF(F295="","",COUNTIFS('Job Tasks'!$G$5:$G$904,F295,'Job Tasks'!$H$5:$H$904,"Issue found"))</f>
        <v>0</v>
      </c>
      <c r="U295" s="39">
        <f>IF(F295="","",IF(R295+S295=0,"New",IF(S295/(R295+S295)&gt;0.25,"Often skipped","Working")))</f>
        <v>0</v>
      </c>
      <c r="V295" s="31">
        <f>IF(OR(B295="",F295=""),"",COUNTIFS($B$5:B295,B295))</f>
        <v>0</v>
      </c>
      <c r="W295" s="23">
        <f>IF(V295="","",B295&amp;"|"&amp;V295)</f>
        <v>0</v>
      </c>
      <c r="X295" s="39">
        <f>IF(F295="","",IF(B295="","Add - which service?",IF(H295="","Add - how many minutes?",IF(AND(Q295&lt;&gt;"",P295&gt;Q295+0.25),"Check - checklist is longer than the service allows",IF(S295&gt;=3,"Check - often skipped","OK")))))</f>
        <v>0</v>
      </c>
    </row>
    <row r="296" spans="1:24">
      <c r="A296" s="43">
        <f>IF(F296="","","CHK-"&amp;TEXT(ROW()-4,"0000"))</f>
        <v>0</v>
      </c>
      <c r="O296" s="34">
        <f>IF(F296="","",ROUND(IF(H296="",0,H296)/60,2))</f>
        <v>0</v>
      </c>
      <c r="P296" s="34">
        <f>IF(B296="","",ROUND(SUMIFS($H$5:$H$404,$B$5:$B$404,B296,$M$5:$M$404,"Yes")/60,2))</f>
        <v>0</v>
      </c>
      <c r="Q296" s="34">
        <f>IF(B296="","",IFERROR(INDEX(Services!$G$5:$G$64,MATCH(B296,Services!$B$5:$B$64,0)),""))</f>
        <v>0</v>
      </c>
      <c r="R296" s="31">
        <f>IF(F296="","",COUNTIFS('Job Tasks'!$G$5:$G$904,F296,'Job Tasks'!$H$5:$H$904,"Done"))</f>
        <v>0</v>
      </c>
      <c r="S296" s="31">
        <f>IF(F296="","",COUNTIFS('Job Tasks'!$G$5:$G$904,F296,'Job Tasks'!$H$5:$H$904,"Skipped"))</f>
        <v>0</v>
      </c>
      <c r="T296" s="31">
        <f>IF(F296="","",COUNTIFS('Job Tasks'!$G$5:$G$904,F296,'Job Tasks'!$H$5:$H$904,"Issue found"))</f>
        <v>0</v>
      </c>
      <c r="U296" s="39">
        <f>IF(F296="","",IF(R296+S296=0,"New",IF(S296/(R296+S296)&gt;0.25,"Often skipped","Working")))</f>
        <v>0</v>
      </c>
      <c r="V296" s="31">
        <f>IF(OR(B296="",F296=""),"",COUNTIFS($B$5:B296,B296))</f>
        <v>0</v>
      </c>
      <c r="W296" s="23">
        <f>IF(V296="","",B296&amp;"|"&amp;V296)</f>
        <v>0</v>
      </c>
      <c r="X296" s="39">
        <f>IF(F296="","",IF(B296="","Add - which service?",IF(H296="","Add - how many minutes?",IF(AND(Q296&lt;&gt;"",P296&gt;Q296+0.25),"Check - checklist is longer than the service allows",IF(S296&gt;=3,"Check - often skipped","OK")))))</f>
        <v>0</v>
      </c>
    </row>
    <row r="297" spans="1:24">
      <c r="A297" s="43">
        <f>IF(F297="","","CHK-"&amp;TEXT(ROW()-4,"0000"))</f>
        <v>0</v>
      </c>
      <c r="O297" s="34">
        <f>IF(F297="","",ROUND(IF(H297="",0,H297)/60,2))</f>
        <v>0</v>
      </c>
      <c r="P297" s="34">
        <f>IF(B297="","",ROUND(SUMIFS($H$5:$H$404,$B$5:$B$404,B297,$M$5:$M$404,"Yes")/60,2))</f>
        <v>0</v>
      </c>
      <c r="Q297" s="34">
        <f>IF(B297="","",IFERROR(INDEX(Services!$G$5:$G$64,MATCH(B297,Services!$B$5:$B$64,0)),""))</f>
        <v>0</v>
      </c>
      <c r="R297" s="31">
        <f>IF(F297="","",COUNTIFS('Job Tasks'!$G$5:$G$904,F297,'Job Tasks'!$H$5:$H$904,"Done"))</f>
        <v>0</v>
      </c>
      <c r="S297" s="31">
        <f>IF(F297="","",COUNTIFS('Job Tasks'!$G$5:$G$904,F297,'Job Tasks'!$H$5:$H$904,"Skipped"))</f>
        <v>0</v>
      </c>
      <c r="T297" s="31">
        <f>IF(F297="","",COUNTIFS('Job Tasks'!$G$5:$G$904,F297,'Job Tasks'!$H$5:$H$904,"Issue found"))</f>
        <v>0</v>
      </c>
      <c r="U297" s="39">
        <f>IF(F297="","",IF(R297+S297=0,"New",IF(S297/(R297+S297)&gt;0.25,"Often skipped","Working")))</f>
        <v>0</v>
      </c>
      <c r="V297" s="31">
        <f>IF(OR(B297="",F297=""),"",COUNTIFS($B$5:B297,B297))</f>
        <v>0</v>
      </c>
      <c r="W297" s="23">
        <f>IF(V297="","",B297&amp;"|"&amp;V297)</f>
        <v>0</v>
      </c>
      <c r="X297" s="39">
        <f>IF(F297="","",IF(B297="","Add - which service?",IF(H297="","Add - how many minutes?",IF(AND(Q297&lt;&gt;"",P297&gt;Q297+0.25),"Check - checklist is longer than the service allows",IF(S297&gt;=3,"Check - often skipped","OK")))))</f>
        <v>0</v>
      </c>
    </row>
    <row r="298" spans="1:24">
      <c r="A298" s="43">
        <f>IF(F298="","","CHK-"&amp;TEXT(ROW()-4,"0000"))</f>
        <v>0</v>
      </c>
      <c r="O298" s="34">
        <f>IF(F298="","",ROUND(IF(H298="",0,H298)/60,2))</f>
        <v>0</v>
      </c>
      <c r="P298" s="34">
        <f>IF(B298="","",ROUND(SUMIFS($H$5:$H$404,$B$5:$B$404,B298,$M$5:$M$404,"Yes")/60,2))</f>
        <v>0</v>
      </c>
      <c r="Q298" s="34">
        <f>IF(B298="","",IFERROR(INDEX(Services!$G$5:$G$64,MATCH(B298,Services!$B$5:$B$64,0)),""))</f>
        <v>0</v>
      </c>
      <c r="R298" s="31">
        <f>IF(F298="","",COUNTIFS('Job Tasks'!$G$5:$G$904,F298,'Job Tasks'!$H$5:$H$904,"Done"))</f>
        <v>0</v>
      </c>
      <c r="S298" s="31">
        <f>IF(F298="","",COUNTIFS('Job Tasks'!$G$5:$G$904,F298,'Job Tasks'!$H$5:$H$904,"Skipped"))</f>
        <v>0</v>
      </c>
      <c r="T298" s="31">
        <f>IF(F298="","",COUNTIFS('Job Tasks'!$G$5:$G$904,F298,'Job Tasks'!$H$5:$H$904,"Issue found"))</f>
        <v>0</v>
      </c>
      <c r="U298" s="39">
        <f>IF(F298="","",IF(R298+S298=0,"New",IF(S298/(R298+S298)&gt;0.25,"Often skipped","Working")))</f>
        <v>0</v>
      </c>
      <c r="V298" s="31">
        <f>IF(OR(B298="",F298=""),"",COUNTIFS($B$5:B298,B298))</f>
        <v>0</v>
      </c>
      <c r="W298" s="23">
        <f>IF(V298="","",B298&amp;"|"&amp;V298)</f>
        <v>0</v>
      </c>
      <c r="X298" s="39">
        <f>IF(F298="","",IF(B298="","Add - which service?",IF(H298="","Add - how many minutes?",IF(AND(Q298&lt;&gt;"",P298&gt;Q298+0.25),"Check - checklist is longer than the service allows",IF(S298&gt;=3,"Check - often skipped","OK")))))</f>
        <v>0</v>
      </c>
    </row>
    <row r="299" spans="1:24">
      <c r="A299" s="43">
        <f>IF(F299="","","CHK-"&amp;TEXT(ROW()-4,"0000"))</f>
        <v>0</v>
      </c>
      <c r="O299" s="34">
        <f>IF(F299="","",ROUND(IF(H299="",0,H299)/60,2))</f>
        <v>0</v>
      </c>
      <c r="P299" s="34">
        <f>IF(B299="","",ROUND(SUMIFS($H$5:$H$404,$B$5:$B$404,B299,$M$5:$M$404,"Yes")/60,2))</f>
        <v>0</v>
      </c>
      <c r="Q299" s="34">
        <f>IF(B299="","",IFERROR(INDEX(Services!$G$5:$G$64,MATCH(B299,Services!$B$5:$B$64,0)),""))</f>
        <v>0</v>
      </c>
      <c r="R299" s="31">
        <f>IF(F299="","",COUNTIFS('Job Tasks'!$G$5:$G$904,F299,'Job Tasks'!$H$5:$H$904,"Done"))</f>
        <v>0</v>
      </c>
      <c r="S299" s="31">
        <f>IF(F299="","",COUNTIFS('Job Tasks'!$G$5:$G$904,F299,'Job Tasks'!$H$5:$H$904,"Skipped"))</f>
        <v>0</v>
      </c>
      <c r="T299" s="31">
        <f>IF(F299="","",COUNTIFS('Job Tasks'!$G$5:$G$904,F299,'Job Tasks'!$H$5:$H$904,"Issue found"))</f>
        <v>0</v>
      </c>
      <c r="U299" s="39">
        <f>IF(F299="","",IF(R299+S299=0,"New",IF(S299/(R299+S299)&gt;0.25,"Often skipped","Working")))</f>
        <v>0</v>
      </c>
      <c r="V299" s="31">
        <f>IF(OR(B299="",F299=""),"",COUNTIFS($B$5:B299,B299))</f>
        <v>0</v>
      </c>
      <c r="W299" s="23">
        <f>IF(V299="","",B299&amp;"|"&amp;V299)</f>
        <v>0</v>
      </c>
      <c r="X299" s="39">
        <f>IF(F299="","",IF(B299="","Add - which service?",IF(H299="","Add - how many minutes?",IF(AND(Q299&lt;&gt;"",P299&gt;Q299+0.25),"Check - checklist is longer than the service allows",IF(S299&gt;=3,"Check - often skipped","OK")))))</f>
        <v>0</v>
      </c>
    </row>
    <row r="300" spans="1:24">
      <c r="A300" s="43">
        <f>IF(F300="","","CHK-"&amp;TEXT(ROW()-4,"0000"))</f>
        <v>0</v>
      </c>
      <c r="O300" s="34">
        <f>IF(F300="","",ROUND(IF(H300="",0,H300)/60,2))</f>
        <v>0</v>
      </c>
      <c r="P300" s="34">
        <f>IF(B300="","",ROUND(SUMIFS($H$5:$H$404,$B$5:$B$404,B300,$M$5:$M$404,"Yes")/60,2))</f>
        <v>0</v>
      </c>
      <c r="Q300" s="34">
        <f>IF(B300="","",IFERROR(INDEX(Services!$G$5:$G$64,MATCH(B300,Services!$B$5:$B$64,0)),""))</f>
        <v>0</v>
      </c>
      <c r="R300" s="31">
        <f>IF(F300="","",COUNTIFS('Job Tasks'!$G$5:$G$904,F300,'Job Tasks'!$H$5:$H$904,"Done"))</f>
        <v>0</v>
      </c>
      <c r="S300" s="31">
        <f>IF(F300="","",COUNTIFS('Job Tasks'!$G$5:$G$904,F300,'Job Tasks'!$H$5:$H$904,"Skipped"))</f>
        <v>0</v>
      </c>
      <c r="T300" s="31">
        <f>IF(F300="","",COUNTIFS('Job Tasks'!$G$5:$G$904,F300,'Job Tasks'!$H$5:$H$904,"Issue found"))</f>
        <v>0</v>
      </c>
      <c r="U300" s="39">
        <f>IF(F300="","",IF(R300+S300=0,"New",IF(S300/(R300+S300)&gt;0.25,"Often skipped","Working")))</f>
        <v>0</v>
      </c>
      <c r="V300" s="31">
        <f>IF(OR(B300="",F300=""),"",COUNTIFS($B$5:B300,B300))</f>
        <v>0</v>
      </c>
      <c r="W300" s="23">
        <f>IF(V300="","",B300&amp;"|"&amp;V300)</f>
        <v>0</v>
      </c>
      <c r="X300" s="39">
        <f>IF(F300="","",IF(B300="","Add - which service?",IF(H300="","Add - how many minutes?",IF(AND(Q300&lt;&gt;"",P300&gt;Q300+0.25),"Check - checklist is longer than the service allows",IF(S300&gt;=3,"Check - often skipped","OK")))))</f>
        <v>0</v>
      </c>
    </row>
    <row r="301" spans="1:24">
      <c r="A301" s="43">
        <f>IF(F301="","","CHK-"&amp;TEXT(ROW()-4,"0000"))</f>
        <v>0</v>
      </c>
      <c r="O301" s="34">
        <f>IF(F301="","",ROUND(IF(H301="",0,H301)/60,2))</f>
        <v>0</v>
      </c>
      <c r="P301" s="34">
        <f>IF(B301="","",ROUND(SUMIFS($H$5:$H$404,$B$5:$B$404,B301,$M$5:$M$404,"Yes")/60,2))</f>
        <v>0</v>
      </c>
      <c r="Q301" s="34">
        <f>IF(B301="","",IFERROR(INDEX(Services!$G$5:$G$64,MATCH(B301,Services!$B$5:$B$64,0)),""))</f>
        <v>0</v>
      </c>
      <c r="R301" s="31">
        <f>IF(F301="","",COUNTIFS('Job Tasks'!$G$5:$G$904,F301,'Job Tasks'!$H$5:$H$904,"Done"))</f>
        <v>0</v>
      </c>
      <c r="S301" s="31">
        <f>IF(F301="","",COUNTIFS('Job Tasks'!$G$5:$G$904,F301,'Job Tasks'!$H$5:$H$904,"Skipped"))</f>
        <v>0</v>
      </c>
      <c r="T301" s="31">
        <f>IF(F301="","",COUNTIFS('Job Tasks'!$G$5:$G$904,F301,'Job Tasks'!$H$5:$H$904,"Issue found"))</f>
        <v>0</v>
      </c>
      <c r="U301" s="39">
        <f>IF(F301="","",IF(R301+S301=0,"New",IF(S301/(R301+S301)&gt;0.25,"Often skipped","Working")))</f>
        <v>0</v>
      </c>
      <c r="V301" s="31">
        <f>IF(OR(B301="",F301=""),"",COUNTIFS($B$5:B301,B301))</f>
        <v>0</v>
      </c>
      <c r="W301" s="23">
        <f>IF(V301="","",B301&amp;"|"&amp;V301)</f>
        <v>0</v>
      </c>
      <c r="X301" s="39">
        <f>IF(F301="","",IF(B301="","Add - which service?",IF(H301="","Add - how many minutes?",IF(AND(Q301&lt;&gt;"",P301&gt;Q301+0.25),"Check - checklist is longer than the service allows",IF(S301&gt;=3,"Check - often skipped","OK")))))</f>
        <v>0</v>
      </c>
    </row>
    <row r="302" spans="1:24">
      <c r="A302" s="43">
        <f>IF(F302="","","CHK-"&amp;TEXT(ROW()-4,"0000"))</f>
        <v>0</v>
      </c>
      <c r="O302" s="34">
        <f>IF(F302="","",ROUND(IF(H302="",0,H302)/60,2))</f>
        <v>0</v>
      </c>
      <c r="P302" s="34">
        <f>IF(B302="","",ROUND(SUMIFS($H$5:$H$404,$B$5:$B$404,B302,$M$5:$M$404,"Yes")/60,2))</f>
        <v>0</v>
      </c>
      <c r="Q302" s="34">
        <f>IF(B302="","",IFERROR(INDEX(Services!$G$5:$G$64,MATCH(B302,Services!$B$5:$B$64,0)),""))</f>
        <v>0</v>
      </c>
      <c r="R302" s="31">
        <f>IF(F302="","",COUNTIFS('Job Tasks'!$G$5:$G$904,F302,'Job Tasks'!$H$5:$H$904,"Done"))</f>
        <v>0</v>
      </c>
      <c r="S302" s="31">
        <f>IF(F302="","",COUNTIFS('Job Tasks'!$G$5:$G$904,F302,'Job Tasks'!$H$5:$H$904,"Skipped"))</f>
        <v>0</v>
      </c>
      <c r="T302" s="31">
        <f>IF(F302="","",COUNTIFS('Job Tasks'!$G$5:$G$904,F302,'Job Tasks'!$H$5:$H$904,"Issue found"))</f>
        <v>0</v>
      </c>
      <c r="U302" s="39">
        <f>IF(F302="","",IF(R302+S302=0,"New",IF(S302/(R302+S302)&gt;0.25,"Often skipped","Working")))</f>
        <v>0</v>
      </c>
      <c r="V302" s="31">
        <f>IF(OR(B302="",F302=""),"",COUNTIFS($B$5:B302,B302))</f>
        <v>0</v>
      </c>
      <c r="W302" s="23">
        <f>IF(V302="","",B302&amp;"|"&amp;V302)</f>
        <v>0</v>
      </c>
      <c r="X302" s="39">
        <f>IF(F302="","",IF(B302="","Add - which service?",IF(H302="","Add - how many minutes?",IF(AND(Q302&lt;&gt;"",P302&gt;Q302+0.25),"Check - checklist is longer than the service allows",IF(S302&gt;=3,"Check - often skipped","OK")))))</f>
        <v>0</v>
      </c>
    </row>
    <row r="303" spans="1:24">
      <c r="A303" s="43">
        <f>IF(F303="","","CHK-"&amp;TEXT(ROW()-4,"0000"))</f>
        <v>0</v>
      </c>
      <c r="O303" s="34">
        <f>IF(F303="","",ROUND(IF(H303="",0,H303)/60,2))</f>
        <v>0</v>
      </c>
      <c r="P303" s="34">
        <f>IF(B303="","",ROUND(SUMIFS($H$5:$H$404,$B$5:$B$404,B303,$M$5:$M$404,"Yes")/60,2))</f>
        <v>0</v>
      </c>
      <c r="Q303" s="34">
        <f>IF(B303="","",IFERROR(INDEX(Services!$G$5:$G$64,MATCH(B303,Services!$B$5:$B$64,0)),""))</f>
        <v>0</v>
      </c>
      <c r="R303" s="31">
        <f>IF(F303="","",COUNTIFS('Job Tasks'!$G$5:$G$904,F303,'Job Tasks'!$H$5:$H$904,"Done"))</f>
        <v>0</v>
      </c>
      <c r="S303" s="31">
        <f>IF(F303="","",COUNTIFS('Job Tasks'!$G$5:$G$904,F303,'Job Tasks'!$H$5:$H$904,"Skipped"))</f>
        <v>0</v>
      </c>
      <c r="T303" s="31">
        <f>IF(F303="","",COUNTIFS('Job Tasks'!$G$5:$G$904,F303,'Job Tasks'!$H$5:$H$904,"Issue found"))</f>
        <v>0</v>
      </c>
      <c r="U303" s="39">
        <f>IF(F303="","",IF(R303+S303=0,"New",IF(S303/(R303+S303)&gt;0.25,"Often skipped","Working")))</f>
        <v>0</v>
      </c>
      <c r="V303" s="31">
        <f>IF(OR(B303="",F303=""),"",COUNTIFS($B$5:B303,B303))</f>
        <v>0</v>
      </c>
      <c r="W303" s="23">
        <f>IF(V303="","",B303&amp;"|"&amp;V303)</f>
        <v>0</v>
      </c>
      <c r="X303" s="39">
        <f>IF(F303="","",IF(B303="","Add - which service?",IF(H303="","Add - how many minutes?",IF(AND(Q303&lt;&gt;"",P303&gt;Q303+0.25),"Check - checklist is longer than the service allows",IF(S303&gt;=3,"Check - often skipped","OK")))))</f>
        <v>0</v>
      </c>
    </row>
    <row r="304" spans="1:24">
      <c r="A304" s="43">
        <f>IF(F304="","","CHK-"&amp;TEXT(ROW()-4,"0000"))</f>
        <v>0</v>
      </c>
      <c r="O304" s="34">
        <f>IF(F304="","",ROUND(IF(H304="",0,H304)/60,2))</f>
        <v>0</v>
      </c>
      <c r="P304" s="34">
        <f>IF(B304="","",ROUND(SUMIFS($H$5:$H$404,$B$5:$B$404,B304,$M$5:$M$404,"Yes")/60,2))</f>
        <v>0</v>
      </c>
      <c r="Q304" s="34">
        <f>IF(B304="","",IFERROR(INDEX(Services!$G$5:$G$64,MATCH(B304,Services!$B$5:$B$64,0)),""))</f>
        <v>0</v>
      </c>
      <c r="R304" s="31">
        <f>IF(F304="","",COUNTIFS('Job Tasks'!$G$5:$G$904,F304,'Job Tasks'!$H$5:$H$904,"Done"))</f>
        <v>0</v>
      </c>
      <c r="S304" s="31">
        <f>IF(F304="","",COUNTIFS('Job Tasks'!$G$5:$G$904,F304,'Job Tasks'!$H$5:$H$904,"Skipped"))</f>
        <v>0</v>
      </c>
      <c r="T304" s="31">
        <f>IF(F304="","",COUNTIFS('Job Tasks'!$G$5:$G$904,F304,'Job Tasks'!$H$5:$H$904,"Issue found"))</f>
        <v>0</v>
      </c>
      <c r="U304" s="39">
        <f>IF(F304="","",IF(R304+S304=0,"New",IF(S304/(R304+S304)&gt;0.25,"Often skipped","Working")))</f>
        <v>0</v>
      </c>
      <c r="V304" s="31">
        <f>IF(OR(B304="",F304=""),"",COUNTIFS($B$5:B304,B304))</f>
        <v>0</v>
      </c>
      <c r="W304" s="23">
        <f>IF(V304="","",B304&amp;"|"&amp;V304)</f>
        <v>0</v>
      </c>
      <c r="X304" s="39">
        <f>IF(F304="","",IF(B304="","Add - which service?",IF(H304="","Add - how many minutes?",IF(AND(Q304&lt;&gt;"",P304&gt;Q304+0.25),"Check - checklist is longer than the service allows",IF(S304&gt;=3,"Check - often skipped","OK")))))</f>
        <v>0</v>
      </c>
    </row>
    <row r="305" spans="1:24">
      <c r="A305" s="43">
        <f>IF(F305="","","CHK-"&amp;TEXT(ROW()-4,"0000"))</f>
        <v>0</v>
      </c>
      <c r="O305" s="34">
        <f>IF(F305="","",ROUND(IF(H305="",0,H305)/60,2))</f>
        <v>0</v>
      </c>
      <c r="P305" s="34">
        <f>IF(B305="","",ROUND(SUMIFS($H$5:$H$404,$B$5:$B$404,B305,$M$5:$M$404,"Yes")/60,2))</f>
        <v>0</v>
      </c>
      <c r="Q305" s="34">
        <f>IF(B305="","",IFERROR(INDEX(Services!$G$5:$G$64,MATCH(B305,Services!$B$5:$B$64,0)),""))</f>
        <v>0</v>
      </c>
      <c r="R305" s="31">
        <f>IF(F305="","",COUNTIFS('Job Tasks'!$G$5:$G$904,F305,'Job Tasks'!$H$5:$H$904,"Done"))</f>
        <v>0</v>
      </c>
      <c r="S305" s="31">
        <f>IF(F305="","",COUNTIFS('Job Tasks'!$G$5:$G$904,F305,'Job Tasks'!$H$5:$H$904,"Skipped"))</f>
        <v>0</v>
      </c>
      <c r="T305" s="31">
        <f>IF(F305="","",COUNTIFS('Job Tasks'!$G$5:$G$904,F305,'Job Tasks'!$H$5:$H$904,"Issue found"))</f>
        <v>0</v>
      </c>
      <c r="U305" s="39">
        <f>IF(F305="","",IF(R305+S305=0,"New",IF(S305/(R305+S305)&gt;0.25,"Often skipped","Working")))</f>
        <v>0</v>
      </c>
      <c r="V305" s="31">
        <f>IF(OR(B305="",F305=""),"",COUNTIFS($B$5:B305,B305))</f>
        <v>0</v>
      </c>
      <c r="W305" s="23">
        <f>IF(V305="","",B305&amp;"|"&amp;V305)</f>
        <v>0</v>
      </c>
      <c r="X305" s="39">
        <f>IF(F305="","",IF(B305="","Add - which service?",IF(H305="","Add - how many minutes?",IF(AND(Q305&lt;&gt;"",P305&gt;Q305+0.25),"Check - checklist is longer than the service allows",IF(S305&gt;=3,"Check - often skipped","OK")))))</f>
        <v>0</v>
      </c>
    </row>
    <row r="306" spans="1:24">
      <c r="A306" s="43">
        <f>IF(F306="","","CHK-"&amp;TEXT(ROW()-4,"0000"))</f>
        <v>0</v>
      </c>
      <c r="O306" s="34">
        <f>IF(F306="","",ROUND(IF(H306="",0,H306)/60,2))</f>
        <v>0</v>
      </c>
      <c r="P306" s="34">
        <f>IF(B306="","",ROUND(SUMIFS($H$5:$H$404,$B$5:$B$404,B306,$M$5:$M$404,"Yes")/60,2))</f>
        <v>0</v>
      </c>
      <c r="Q306" s="34">
        <f>IF(B306="","",IFERROR(INDEX(Services!$G$5:$G$64,MATCH(B306,Services!$B$5:$B$64,0)),""))</f>
        <v>0</v>
      </c>
      <c r="R306" s="31">
        <f>IF(F306="","",COUNTIFS('Job Tasks'!$G$5:$G$904,F306,'Job Tasks'!$H$5:$H$904,"Done"))</f>
        <v>0</v>
      </c>
      <c r="S306" s="31">
        <f>IF(F306="","",COUNTIFS('Job Tasks'!$G$5:$G$904,F306,'Job Tasks'!$H$5:$H$904,"Skipped"))</f>
        <v>0</v>
      </c>
      <c r="T306" s="31">
        <f>IF(F306="","",COUNTIFS('Job Tasks'!$G$5:$G$904,F306,'Job Tasks'!$H$5:$H$904,"Issue found"))</f>
        <v>0</v>
      </c>
      <c r="U306" s="39">
        <f>IF(F306="","",IF(R306+S306=0,"New",IF(S306/(R306+S306)&gt;0.25,"Often skipped","Working")))</f>
        <v>0</v>
      </c>
      <c r="V306" s="31">
        <f>IF(OR(B306="",F306=""),"",COUNTIFS($B$5:B306,B306))</f>
        <v>0</v>
      </c>
      <c r="W306" s="23">
        <f>IF(V306="","",B306&amp;"|"&amp;V306)</f>
        <v>0</v>
      </c>
      <c r="X306" s="39">
        <f>IF(F306="","",IF(B306="","Add - which service?",IF(H306="","Add - how many minutes?",IF(AND(Q306&lt;&gt;"",P306&gt;Q306+0.25),"Check - checklist is longer than the service allows",IF(S306&gt;=3,"Check - often skipped","OK")))))</f>
        <v>0</v>
      </c>
    </row>
    <row r="307" spans="1:24">
      <c r="A307" s="43">
        <f>IF(F307="","","CHK-"&amp;TEXT(ROW()-4,"0000"))</f>
        <v>0</v>
      </c>
      <c r="O307" s="34">
        <f>IF(F307="","",ROUND(IF(H307="",0,H307)/60,2))</f>
        <v>0</v>
      </c>
      <c r="P307" s="34">
        <f>IF(B307="","",ROUND(SUMIFS($H$5:$H$404,$B$5:$B$404,B307,$M$5:$M$404,"Yes")/60,2))</f>
        <v>0</v>
      </c>
      <c r="Q307" s="34">
        <f>IF(B307="","",IFERROR(INDEX(Services!$G$5:$G$64,MATCH(B307,Services!$B$5:$B$64,0)),""))</f>
        <v>0</v>
      </c>
      <c r="R307" s="31">
        <f>IF(F307="","",COUNTIFS('Job Tasks'!$G$5:$G$904,F307,'Job Tasks'!$H$5:$H$904,"Done"))</f>
        <v>0</v>
      </c>
      <c r="S307" s="31">
        <f>IF(F307="","",COUNTIFS('Job Tasks'!$G$5:$G$904,F307,'Job Tasks'!$H$5:$H$904,"Skipped"))</f>
        <v>0</v>
      </c>
      <c r="T307" s="31">
        <f>IF(F307="","",COUNTIFS('Job Tasks'!$G$5:$G$904,F307,'Job Tasks'!$H$5:$H$904,"Issue found"))</f>
        <v>0</v>
      </c>
      <c r="U307" s="39">
        <f>IF(F307="","",IF(R307+S307=0,"New",IF(S307/(R307+S307)&gt;0.25,"Often skipped","Working")))</f>
        <v>0</v>
      </c>
      <c r="V307" s="31">
        <f>IF(OR(B307="",F307=""),"",COUNTIFS($B$5:B307,B307))</f>
        <v>0</v>
      </c>
      <c r="W307" s="23">
        <f>IF(V307="","",B307&amp;"|"&amp;V307)</f>
        <v>0</v>
      </c>
      <c r="X307" s="39">
        <f>IF(F307="","",IF(B307="","Add - which service?",IF(H307="","Add - how many minutes?",IF(AND(Q307&lt;&gt;"",P307&gt;Q307+0.25),"Check - checklist is longer than the service allows",IF(S307&gt;=3,"Check - often skipped","OK")))))</f>
        <v>0</v>
      </c>
    </row>
    <row r="308" spans="1:24">
      <c r="A308" s="43">
        <f>IF(F308="","","CHK-"&amp;TEXT(ROW()-4,"0000"))</f>
        <v>0</v>
      </c>
      <c r="O308" s="34">
        <f>IF(F308="","",ROUND(IF(H308="",0,H308)/60,2))</f>
        <v>0</v>
      </c>
      <c r="P308" s="34">
        <f>IF(B308="","",ROUND(SUMIFS($H$5:$H$404,$B$5:$B$404,B308,$M$5:$M$404,"Yes")/60,2))</f>
        <v>0</v>
      </c>
      <c r="Q308" s="34">
        <f>IF(B308="","",IFERROR(INDEX(Services!$G$5:$G$64,MATCH(B308,Services!$B$5:$B$64,0)),""))</f>
        <v>0</v>
      </c>
      <c r="R308" s="31">
        <f>IF(F308="","",COUNTIFS('Job Tasks'!$G$5:$G$904,F308,'Job Tasks'!$H$5:$H$904,"Done"))</f>
        <v>0</v>
      </c>
      <c r="S308" s="31">
        <f>IF(F308="","",COUNTIFS('Job Tasks'!$G$5:$G$904,F308,'Job Tasks'!$H$5:$H$904,"Skipped"))</f>
        <v>0</v>
      </c>
      <c r="T308" s="31">
        <f>IF(F308="","",COUNTIFS('Job Tasks'!$G$5:$G$904,F308,'Job Tasks'!$H$5:$H$904,"Issue found"))</f>
        <v>0</v>
      </c>
      <c r="U308" s="39">
        <f>IF(F308="","",IF(R308+S308=0,"New",IF(S308/(R308+S308)&gt;0.25,"Often skipped","Working")))</f>
        <v>0</v>
      </c>
      <c r="V308" s="31">
        <f>IF(OR(B308="",F308=""),"",COUNTIFS($B$5:B308,B308))</f>
        <v>0</v>
      </c>
      <c r="W308" s="23">
        <f>IF(V308="","",B308&amp;"|"&amp;V308)</f>
        <v>0</v>
      </c>
      <c r="X308" s="39">
        <f>IF(F308="","",IF(B308="","Add - which service?",IF(H308="","Add - how many minutes?",IF(AND(Q308&lt;&gt;"",P308&gt;Q308+0.25),"Check - checklist is longer than the service allows",IF(S308&gt;=3,"Check - often skipped","OK")))))</f>
        <v>0</v>
      </c>
    </row>
    <row r="309" spans="1:24">
      <c r="A309" s="43">
        <f>IF(F309="","","CHK-"&amp;TEXT(ROW()-4,"0000"))</f>
        <v>0</v>
      </c>
      <c r="O309" s="34">
        <f>IF(F309="","",ROUND(IF(H309="",0,H309)/60,2))</f>
        <v>0</v>
      </c>
      <c r="P309" s="34">
        <f>IF(B309="","",ROUND(SUMIFS($H$5:$H$404,$B$5:$B$404,B309,$M$5:$M$404,"Yes")/60,2))</f>
        <v>0</v>
      </c>
      <c r="Q309" s="34">
        <f>IF(B309="","",IFERROR(INDEX(Services!$G$5:$G$64,MATCH(B309,Services!$B$5:$B$64,0)),""))</f>
        <v>0</v>
      </c>
      <c r="R309" s="31">
        <f>IF(F309="","",COUNTIFS('Job Tasks'!$G$5:$G$904,F309,'Job Tasks'!$H$5:$H$904,"Done"))</f>
        <v>0</v>
      </c>
      <c r="S309" s="31">
        <f>IF(F309="","",COUNTIFS('Job Tasks'!$G$5:$G$904,F309,'Job Tasks'!$H$5:$H$904,"Skipped"))</f>
        <v>0</v>
      </c>
      <c r="T309" s="31">
        <f>IF(F309="","",COUNTIFS('Job Tasks'!$G$5:$G$904,F309,'Job Tasks'!$H$5:$H$904,"Issue found"))</f>
        <v>0</v>
      </c>
      <c r="U309" s="39">
        <f>IF(F309="","",IF(R309+S309=0,"New",IF(S309/(R309+S309)&gt;0.25,"Often skipped","Working")))</f>
        <v>0</v>
      </c>
      <c r="V309" s="31">
        <f>IF(OR(B309="",F309=""),"",COUNTIFS($B$5:B309,B309))</f>
        <v>0</v>
      </c>
      <c r="W309" s="23">
        <f>IF(V309="","",B309&amp;"|"&amp;V309)</f>
        <v>0</v>
      </c>
      <c r="X309" s="39">
        <f>IF(F309="","",IF(B309="","Add - which service?",IF(H309="","Add - how many minutes?",IF(AND(Q309&lt;&gt;"",P309&gt;Q309+0.25),"Check - checklist is longer than the service allows",IF(S309&gt;=3,"Check - often skipped","OK")))))</f>
        <v>0</v>
      </c>
    </row>
    <row r="310" spans="1:24">
      <c r="A310" s="43">
        <f>IF(F310="","","CHK-"&amp;TEXT(ROW()-4,"0000"))</f>
        <v>0</v>
      </c>
      <c r="O310" s="34">
        <f>IF(F310="","",ROUND(IF(H310="",0,H310)/60,2))</f>
        <v>0</v>
      </c>
      <c r="P310" s="34">
        <f>IF(B310="","",ROUND(SUMIFS($H$5:$H$404,$B$5:$B$404,B310,$M$5:$M$404,"Yes")/60,2))</f>
        <v>0</v>
      </c>
      <c r="Q310" s="34">
        <f>IF(B310="","",IFERROR(INDEX(Services!$G$5:$G$64,MATCH(B310,Services!$B$5:$B$64,0)),""))</f>
        <v>0</v>
      </c>
      <c r="R310" s="31">
        <f>IF(F310="","",COUNTIFS('Job Tasks'!$G$5:$G$904,F310,'Job Tasks'!$H$5:$H$904,"Done"))</f>
        <v>0</v>
      </c>
      <c r="S310" s="31">
        <f>IF(F310="","",COUNTIFS('Job Tasks'!$G$5:$G$904,F310,'Job Tasks'!$H$5:$H$904,"Skipped"))</f>
        <v>0</v>
      </c>
      <c r="T310" s="31">
        <f>IF(F310="","",COUNTIFS('Job Tasks'!$G$5:$G$904,F310,'Job Tasks'!$H$5:$H$904,"Issue found"))</f>
        <v>0</v>
      </c>
      <c r="U310" s="39">
        <f>IF(F310="","",IF(R310+S310=0,"New",IF(S310/(R310+S310)&gt;0.25,"Often skipped","Working")))</f>
        <v>0</v>
      </c>
      <c r="V310" s="31">
        <f>IF(OR(B310="",F310=""),"",COUNTIFS($B$5:B310,B310))</f>
        <v>0</v>
      </c>
      <c r="W310" s="23">
        <f>IF(V310="","",B310&amp;"|"&amp;V310)</f>
        <v>0</v>
      </c>
      <c r="X310" s="39">
        <f>IF(F310="","",IF(B310="","Add - which service?",IF(H310="","Add - how many minutes?",IF(AND(Q310&lt;&gt;"",P310&gt;Q310+0.25),"Check - checklist is longer than the service allows",IF(S310&gt;=3,"Check - often skipped","OK")))))</f>
        <v>0</v>
      </c>
    </row>
    <row r="311" spans="1:24">
      <c r="A311" s="43">
        <f>IF(F311="","","CHK-"&amp;TEXT(ROW()-4,"0000"))</f>
        <v>0</v>
      </c>
      <c r="O311" s="34">
        <f>IF(F311="","",ROUND(IF(H311="",0,H311)/60,2))</f>
        <v>0</v>
      </c>
      <c r="P311" s="34">
        <f>IF(B311="","",ROUND(SUMIFS($H$5:$H$404,$B$5:$B$404,B311,$M$5:$M$404,"Yes")/60,2))</f>
        <v>0</v>
      </c>
      <c r="Q311" s="34">
        <f>IF(B311="","",IFERROR(INDEX(Services!$G$5:$G$64,MATCH(B311,Services!$B$5:$B$64,0)),""))</f>
        <v>0</v>
      </c>
      <c r="R311" s="31">
        <f>IF(F311="","",COUNTIFS('Job Tasks'!$G$5:$G$904,F311,'Job Tasks'!$H$5:$H$904,"Done"))</f>
        <v>0</v>
      </c>
      <c r="S311" s="31">
        <f>IF(F311="","",COUNTIFS('Job Tasks'!$G$5:$G$904,F311,'Job Tasks'!$H$5:$H$904,"Skipped"))</f>
        <v>0</v>
      </c>
      <c r="T311" s="31">
        <f>IF(F311="","",COUNTIFS('Job Tasks'!$G$5:$G$904,F311,'Job Tasks'!$H$5:$H$904,"Issue found"))</f>
        <v>0</v>
      </c>
      <c r="U311" s="39">
        <f>IF(F311="","",IF(R311+S311=0,"New",IF(S311/(R311+S311)&gt;0.25,"Often skipped","Working")))</f>
        <v>0</v>
      </c>
      <c r="V311" s="31">
        <f>IF(OR(B311="",F311=""),"",COUNTIFS($B$5:B311,B311))</f>
        <v>0</v>
      </c>
      <c r="W311" s="23">
        <f>IF(V311="","",B311&amp;"|"&amp;V311)</f>
        <v>0</v>
      </c>
      <c r="X311" s="39">
        <f>IF(F311="","",IF(B311="","Add - which service?",IF(H311="","Add - how many minutes?",IF(AND(Q311&lt;&gt;"",P311&gt;Q311+0.25),"Check - checklist is longer than the service allows",IF(S311&gt;=3,"Check - often skipped","OK")))))</f>
        <v>0</v>
      </c>
    </row>
    <row r="312" spans="1:24">
      <c r="A312" s="43">
        <f>IF(F312="","","CHK-"&amp;TEXT(ROW()-4,"0000"))</f>
        <v>0</v>
      </c>
      <c r="O312" s="34">
        <f>IF(F312="","",ROUND(IF(H312="",0,H312)/60,2))</f>
        <v>0</v>
      </c>
      <c r="P312" s="34">
        <f>IF(B312="","",ROUND(SUMIFS($H$5:$H$404,$B$5:$B$404,B312,$M$5:$M$404,"Yes")/60,2))</f>
        <v>0</v>
      </c>
      <c r="Q312" s="34">
        <f>IF(B312="","",IFERROR(INDEX(Services!$G$5:$G$64,MATCH(B312,Services!$B$5:$B$64,0)),""))</f>
        <v>0</v>
      </c>
      <c r="R312" s="31">
        <f>IF(F312="","",COUNTIFS('Job Tasks'!$G$5:$G$904,F312,'Job Tasks'!$H$5:$H$904,"Done"))</f>
        <v>0</v>
      </c>
      <c r="S312" s="31">
        <f>IF(F312="","",COUNTIFS('Job Tasks'!$G$5:$G$904,F312,'Job Tasks'!$H$5:$H$904,"Skipped"))</f>
        <v>0</v>
      </c>
      <c r="T312" s="31">
        <f>IF(F312="","",COUNTIFS('Job Tasks'!$G$5:$G$904,F312,'Job Tasks'!$H$5:$H$904,"Issue found"))</f>
        <v>0</v>
      </c>
      <c r="U312" s="39">
        <f>IF(F312="","",IF(R312+S312=0,"New",IF(S312/(R312+S312)&gt;0.25,"Often skipped","Working")))</f>
        <v>0</v>
      </c>
      <c r="V312" s="31">
        <f>IF(OR(B312="",F312=""),"",COUNTIFS($B$5:B312,B312))</f>
        <v>0</v>
      </c>
      <c r="W312" s="23">
        <f>IF(V312="","",B312&amp;"|"&amp;V312)</f>
        <v>0</v>
      </c>
      <c r="X312" s="39">
        <f>IF(F312="","",IF(B312="","Add - which service?",IF(H312="","Add - how many minutes?",IF(AND(Q312&lt;&gt;"",P312&gt;Q312+0.25),"Check - checklist is longer than the service allows",IF(S312&gt;=3,"Check - often skipped","OK")))))</f>
        <v>0</v>
      </c>
    </row>
    <row r="313" spans="1:24">
      <c r="A313" s="43">
        <f>IF(F313="","","CHK-"&amp;TEXT(ROW()-4,"0000"))</f>
        <v>0</v>
      </c>
      <c r="O313" s="34">
        <f>IF(F313="","",ROUND(IF(H313="",0,H313)/60,2))</f>
        <v>0</v>
      </c>
      <c r="P313" s="34">
        <f>IF(B313="","",ROUND(SUMIFS($H$5:$H$404,$B$5:$B$404,B313,$M$5:$M$404,"Yes")/60,2))</f>
        <v>0</v>
      </c>
      <c r="Q313" s="34">
        <f>IF(B313="","",IFERROR(INDEX(Services!$G$5:$G$64,MATCH(B313,Services!$B$5:$B$64,0)),""))</f>
        <v>0</v>
      </c>
      <c r="R313" s="31">
        <f>IF(F313="","",COUNTIFS('Job Tasks'!$G$5:$G$904,F313,'Job Tasks'!$H$5:$H$904,"Done"))</f>
        <v>0</v>
      </c>
      <c r="S313" s="31">
        <f>IF(F313="","",COUNTIFS('Job Tasks'!$G$5:$G$904,F313,'Job Tasks'!$H$5:$H$904,"Skipped"))</f>
        <v>0</v>
      </c>
      <c r="T313" s="31">
        <f>IF(F313="","",COUNTIFS('Job Tasks'!$G$5:$G$904,F313,'Job Tasks'!$H$5:$H$904,"Issue found"))</f>
        <v>0</v>
      </c>
      <c r="U313" s="39">
        <f>IF(F313="","",IF(R313+S313=0,"New",IF(S313/(R313+S313)&gt;0.25,"Often skipped","Working")))</f>
        <v>0</v>
      </c>
      <c r="V313" s="31">
        <f>IF(OR(B313="",F313=""),"",COUNTIFS($B$5:B313,B313))</f>
        <v>0</v>
      </c>
      <c r="W313" s="23">
        <f>IF(V313="","",B313&amp;"|"&amp;V313)</f>
        <v>0</v>
      </c>
      <c r="X313" s="39">
        <f>IF(F313="","",IF(B313="","Add - which service?",IF(H313="","Add - how many minutes?",IF(AND(Q313&lt;&gt;"",P313&gt;Q313+0.25),"Check - checklist is longer than the service allows",IF(S313&gt;=3,"Check - often skipped","OK")))))</f>
        <v>0</v>
      </c>
    </row>
    <row r="314" spans="1:24">
      <c r="A314" s="43">
        <f>IF(F314="","","CHK-"&amp;TEXT(ROW()-4,"0000"))</f>
        <v>0</v>
      </c>
      <c r="O314" s="34">
        <f>IF(F314="","",ROUND(IF(H314="",0,H314)/60,2))</f>
        <v>0</v>
      </c>
      <c r="P314" s="34">
        <f>IF(B314="","",ROUND(SUMIFS($H$5:$H$404,$B$5:$B$404,B314,$M$5:$M$404,"Yes")/60,2))</f>
        <v>0</v>
      </c>
      <c r="Q314" s="34">
        <f>IF(B314="","",IFERROR(INDEX(Services!$G$5:$G$64,MATCH(B314,Services!$B$5:$B$64,0)),""))</f>
        <v>0</v>
      </c>
      <c r="R314" s="31">
        <f>IF(F314="","",COUNTIFS('Job Tasks'!$G$5:$G$904,F314,'Job Tasks'!$H$5:$H$904,"Done"))</f>
        <v>0</v>
      </c>
      <c r="S314" s="31">
        <f>IF(F314="","",COUNTIFS('Job Tasks'!$G$5:$G$904,F314,'Job Tasks'!$H$5:$H$904,"Skipped"))</f>
        <v>0</v>
      </c>
      <c r="T314" s="31">
        <f>IF(F314="","",COUNTIFS('Job Tasks'!$G$5:$G$904,F314,'Job Tasks'!$H$5:$H$904,"Issue found"))</f>
        <v>0</v>
      </c>
      <c r="U314" s="39">
        <f>IF(F314="","",IF(R314+S314=0,"New",IF(S314/(R314+S314)&gt;0.25,"Often skipped","Working")))</f>
        <v>0</v>
      </c>
      <c r="V314" s="31">
        <f>IF(OR(B314="",F314=""),"",COUNTIFS($B$5:B314,B314))</f>
        <v>0</v>
      </c>
      <c r="W314" s="23">
        <f>IF(V314="","",B314&amp;"|"&amp;V314)</f>
        <v>0</v>
      </c>
      <c r="X314" s="39">
        <f>IF(F314="","",IF(B314="","Add - which service?",IF(H314="","Add - how many minutes?",IF(AND(Q314&lt;&gt;"",P314&gt;Q314+0.25),"Check - checklist is longer than the service allows",IF(S314&gt;=3,"Check - often skipped","OK")))))</f>
        <v>0</v>
      </c>
    </row>
    <row r="315" spans="1:24">
      <c r="A315" s="43">
        <f>IF(F315="","","CHK-"&amp;TEXT(ROW()-4,"0000"))</f>
        <v>0</v>
      </c>
      <c r="O315" s="34">
        <f>IF(F315="","",ROUND(IF(H315="",0,H315)/60,2))</f>
        <v>0</v>
      </c>
      <c r="P315" s="34">
        <f>IF(B315="","",ROUND(SUMIFS($H$5:$H$404,$B$5:$B$404,B315,$M$5:$M$404,"Yes")/60,2))</f>
        <v>0</v>
      </c>
      <c r="Q315" s="34">
        <f>IF(B315="","",IFERROR(INDEX(Services!$G$5:$G$64,MATCH(B315,Services!$B$5:$B$64,0)),""))</f>
        <v>0</v>
      </c>
      <c r="R315" s="31">
        <f>IF(F315="","",COUNTIFS('Job Tasks'!$G$5:$G$904,F315,'Job Tasks'!$H$5:$H$904,"Done"))</f>
        <v>0</v>
      </c>
      <c r="S315" s="31">
        <f>IF(F315="","",COUNTIFS('Job Tasks'!$G$5:$G$904,F315,'Job Tasks'!$H$5:$H$904,"Skipped"))</f>
        <v>0</v>
      </c>
      <c r="T315" s="31">
        <f>IF(F315="","",COUNTIFS('Job Tasks'!$G$5:$G$904,F315,'Job Tasks'!$H$5:$H$904,"Issue found"))</f>
        <v>0</v>
      </c>
      <c r="U315" s="39">
        <f>IF(F315="","",IF(R315+S315=0,"New",IF(S315/(R315+S315)&gt;0.25,"Often skipped","Working")))</f>
        <v>0</v>
      </c>
      <c r="V315" s="31">
        <f>IF(OR(B315="",F315=""),"",COUNTIFS($B$5:B315,B315))</f>
        <v>0</v>
      </c>
      <c r="W315" s="23">
        <f>IF(V315="","",B315&amp;"|"&amp;V315)</f>
        <v>0</v>
      </c>
      <c r="X315" s="39">
        <f>IF(F315="","",IF(B315="","Add - which service?",IF(H315="","Add - how many minutes?",IF(AND(Q315&lt;&gt;"",P315&gt;Q315+0.25),"Check - checklist is longer than the service allows",IF(S315&gt;=3,"Check - often skipped","OK")))))</f>
        <v>0</v>
      </c>
    </row>
    <row r="316" spans="1:24">
      <c r="A316" s="43">
        <f>IF(F316="","","CHK-"&amp;TEXT(ROW()-4,"0000"))</f>
        <v>0</v>
      </c>
      <c r="O316" s="34">
        <f>IF(F316="","",ROUND(IF(H316="",0,H316)/60,2))</f>
        <v>0</v>
      </c>
      <c r="P316" s="34">
        <f>IF(B316="","",ROUND(SUMIFS($H$5:$H$404,$B$5:$B$404,B316,$M$5:$M$404,"Yes")/60,2))</f>
        <v>0</v>
      </c>
      <c r="Q316" s="34">
        <f>IF(B316="","",IFERROR(INDEX(Services!$G$5:$G$64,MATCH(B316,Services!$B$5:$B$64,0)),""))</f>
        <v>0</v>
      </c>
      <c r="R316" s="31">
        <f>IF(F316="","",COUNTIFS('Job Tasks'!$G$5:$G$904,F316,'Job Tasks'!$H$5:$H$904,"Done"))</f>
        <v>0</v>
      </c>
      <c r="S316" s="31">
        <f>IF(F316="","",COUNTIFS('Job Tasks'!$G$5:$G$904,F316,'Job Tasks'!$H$5:$H$904,"Skipped"))</f>
        <v>0</v>
      </c>
      <c r="T316" s="31">
        <f>IF(F316="","",COUNTIFS('Job Tasks'!$G$5:$G$904,F316,'Job Tasks'!$H$5:$H$904,"Issue found"))</f>
        <v>0</v>
      </c>
      <c r="U316" s="39">
        <f>IF(F316="","",IF(R316+S316=0,"New",IF(S316/(R316+S316)&gt;0.25,"Often skipped","Working")))</f>
        <v>0</v>
      </c>
      <c r="V316" s="31">
        <f>IF(OR(B316="",F316=""),"",COUNTIFS($B$5:B316,B316))</f>
        <v>0</v>
      </c>
      <c r="W316" s="23">
        <f>IF(V316="","",B316&amp;"|"&amp;V316)</f>
        <v>0</v>
      </c>
      <c r="X316" s="39">
        <f>IF(F316="","",IF(B316="","Add - which service?",IF(H316="","Add - how many minutes?",IF(AND(Q316&lt;&gt;"",P316&gt;Q316+0.25),"Check - checklist is longer than the service allows",IF(S316&gt;=3,"Check - often skipped","OK")))))</f>
        <v>0</v>
      </c>
    </row>
    <row r="317" spans="1:24">
      <c r="A317" s="43">
        <f>IF(F317="","","CHK-"&amp;TEXT(ROW()-4,"0000"))</f>
        <v>0</v>
      </c>
      <c r="O317" s="34">
        <f>IF(F317="","",ROUND(IF(H317="",0,H317)/60,2))</f>
        <v>0</v>
      </c>
      <c r="P317" s="34">
        <f>IF(B317="","",ROUND(SUMIFS($H$5:$H$404,$B$5:$B$404,B317,$M$5:$M$404,"Yes")/60,2))</f>
        <v>0</v>
      </c>
      <c r="Q317" s="34">
        <f>IF(B317="","",IFERROR(INDEX(Services!$G$5:$G$64,MATCH(B317,Services!$B$5:$B$64,0)),""))</f>
        <v>0</v>
      </c>
      <c r="R317" s="31">
        <f>IF(F317="","",COUNTIFS('Job Tasks'!$G$5:$G$904,F317,'Job Tasks'!$H$5:$H$904,"Done"))</f>
        <v>0</v>
      </c>
      <c r="S317" s="31">
        <f>IF(F317="","",COUNTIFS('Job Tasks'!$G$5:$G$904,F317,'Job Tasks'!$H$5:$H$904,"Skipped"))</f>
        <v>0</v>
      </c>
      <c r="T317" s="31">
        <f>IF(F317="","",COUNTIFS('Job Tasks'!$G$5:$G$904,F317,'Job Tasks'!$H$5:$H$904,"Issue found"))</f>
        <v>0</v>
      </c>
      <c r="U317" s="39">
        <f>IF(F317="","",IF(R317+S317=0,"New",IF(S317/(R317+S317)&gt;0.25,"Often skipped","Working")))</f>
        <v>0</v>
      </c>
      <c r="V317" s="31">
        <f>IF(OR(B317="",F317=""),"",COUNTIFS($B$5:B317,B317))</f>
        <v>0</v>
      </c>
      <c r="W317" s="23">
        <f>IF(V317="","",B317&amp;"|"&amp;V317)</f>
        <v>0</v>
      </c>
      <c r="X317" s="39">
        <f>IF(F317="","",IF(B317="","Add - which service?",IF(H317="","Add - how many minutes?",IF(AND(Q317&lt;&gt;"",P317&gt;Q317+0.25),"Check - checklist is longer than the service allows",IF(S317&gt;=3,"Check - often skipped","OK")))))</f>
        <v>0</v>
      </c>
    </row>
    <row r="318" spans="1:24">
      <c r="A318" s="43">
        <f>IF(F318="","","CHK-"&amp;TEXT(ROW()-4,"0000"))</f>
        <v>0</v>
      </c>
      <c r="O318" s="34">
        <f>IF(F318="","",ROUND(IF(H318="",0,H318)/60,2))</f>
        <v>0</v>
      </c>
      <c r="P318" s="34">
        <f>IF(B318="","",ROUND(SUMIFS($H$5:$H$404,$B$5:$B$404,B318,$M$5:$M$404,"Yes")/60,2))</f>
        <v>0</v>
      </c>
      <c r="Q318" s="34">
        <f>IF(B318="","",IFERROR(INDEX(Services!$G$5:$G$64,MATCH(B318,Services!$B$5:$B$64,0)),""))</f>
        <v>0</v>
      </c>
      <c r="R318" s="31">
        <f>IF(F318="","",COUNTIFS('Job Tasks'!$G$5:$G$904,F318,'Job Tasks'!$H$5:$H$904,"Done"))</f>
        <v>0</v>
      </c>
      <c r="S318" s="31">
        <f>IF(F318="","",COUNTIFS('Job Tasks'!$G$5:$G$904,F318,'Job Tasks'!$H$5:$H$904,"Skipped"))</f>
        <v>0</v>
      </c>
      <c r="T318" s="31">
        <f>IF(F318="","",COUNTIFS('Job Tasks'!$G$5:$G$904,F318,'Job Tasks'!$H$5:$H$904,"Issue found"))</f>
        <v>0</v>
      </c>
      <c r="U318" s="39">
        <f>IF(F318="","",IF(R318+S318=0,"New",IF(S318/(R318+S318)&gt;0.25,"Often skipped","Working")))</f>
        <v>0</v>
      </c>
      <c r="V318" s="31">
        <f>IF(OR(B318="",F318=""),"",COUNTIFS($B$5:B318,B318))</f>
        <v>0</v>
      </c>
      <c r="W318" s="23">
        <f>IF(V318="","",B318&amp;"|"&amp;V318)</f>
        <v>0</v>
      </c>
      <c r="X318" s="39">
        <f>IF(F318="","",IF(B318="","Add - which service?",IF(H318="","Add - how many minutes?",IF(AND(Q318&lt;&gt;"",P318&gt;Q318+0.25),"Check - checklist is longer than the service allows",IF(S318&gt;=3,"Check - often skipped","OK")))))</f>
        <v>0</v>
      </c>
    </row>
    <row r="319" spans="1:24">
      <c r="A319" s="43">
        <f>IF(F319="","","CHK-"&amp;TEXT(ROW()-4,"0000"))</f>
        <v>0</v>
      </c>
      <c r="O319" s="34">
        <f>IF(F319="","",ROUND(IF(H319="",0,H319)/60,2))</f>
        <v>0</v>
      </c>
      <c r="P319" s="34">
        <f>IF(B319="","",ROUND(SUMIFS($H$5:$H$404,$B$5:$B$404,B319,$M$5:$M$404,"Yes")/60,2))</f>
        <v>0</v>
      </c>
      <c r="Q319" s="34">
        <f>IF(B319="","",IFERROR(INDEX(Services!$G$5:$G$64,MATCH(B319,Services!$B$5:$B$64,0)),""))</f>
        <v>0</v>
      </c>
      <c r="R319" s="31">
        <f>IF(F319="","",COUNTIFS('Job Tasks'!$G$5:$G$904,F319,'Job Tasks'!$H$5:$H$904,"Done"))</f>
        <v>0</v>
      </c>
      <c r="S319" s="31">
        <f>IF(F319="","",COUNTIFS('Job Tasks'!$G$5:$G$904,F319,'Job Tasks'!$H$5:$H$904,"Skipped"))</f>
        <v>0</v>
      </c>
      <c r="T319" s="31">
        <f>IF(F319="","",COUNTIFS('Job Tasks'!$G$5:$G$904,F319,'Job Tasks'!$H$5:$H$904,"Issue found"))</f>
        <v>0</v>
      </c>
      <c r="U319" s="39">
        <f>IF(F319="","",IF(R319+S319=0,"New",IF(S319/(R319+S319)&gt;0.25,"Often skipped","Working")))</f>
        <v>0</v>
      </c>
      <c r="V319" s="31">
        <f>IF(OR(B319="",F319=""),"",COUNTIFS($B$5:B319,B319))</f>
        <v>0</v>
      </c>
      <c r="W319" s="23">
        <f>IF(V319="","",B319&amp;"|"&amp;V319)</f>
        <v>0</v>
      </c>
      <c r="X319" s="39">
        <f>IF(F319="","",IF(B319="","Add - which service?",IF(H319="","Add - how many minutes?",IF(AND(Q319&lt;&gt;"",P319&gt;Q319+0.25),"Check - checklist is longer than the service allows",IF(S319&gt;=3,"Check - often skipped","OK")))))</f>
        <v>0</v>
      </c>
    </row>
    <row r="320" spans="1:24">
      <c r="A320" s="43">
        <f>IF(F320="","","CHK-"&amp;TEXT(ROW()-4,"0000"))</f>
        <v>0</v>
      </c>
      <c r="O320" s="34">
        <f>IF(F320="","",ROUND(IF(H320="",0,H320)/60,2))</f>
        <v>0</v>
      </c>
      <c r="P320" s="34">
        <f>IF(B320="","",ROUND(SUMIFS($H$5:$H$404,$B$5:$B$404,B320,$M$5:$M$404,"Yes")/60,2))</f>
        <v>0</v>
      </c>
      <c r="Q320" s="34">
        <f>IF(B320="","",IFERROR(INDEX(Services!$G$5:$G$64,MATCH(B320,Services!$B$5:$B$64,0)),""))</f>
        <v>0</v>
      </c>
      <c r="R320" s="31">
        <f>IF(F320="","",COUNTIFS('Job Tasks'!$G$5:$G$904,F320,'Job Tasks'!$H$5:$H$904,"Done"))</f>
        <v>0</v>
      </c>
      <c r="S320" s="31">
        <f>IF(F320="","",COUNTIFS('Job Tasks'!$G$5:$G$904,F320,'Job Tasks'!$H$5:$H$904,"Skipped"))</f>
        <v>0</v>
      </c>
      <c r="T320" s="31">
        <f>IF(F320="","",COUNTIFS('Job Tasks'!$G$5:$G$904,F320,'Job Tasks'!$H$5:$H$904,"Issue found"))</f>
        <v>0</v>
      </c>
      <c r="U320" s="39">
        <f>IF(F320="","",IF(R320+S320=0,"New",IF(S320/(R320+S320)&gt;0.25,"Often skipped","Working")))</f>
        <v>0</v>
      </c>
      <c r="V320" s="31">
        <f>IF(OR(B320="",F320=""),"",COUNTIFS($B$5:B320,B320))</f>
        <v>0</v>
      </c>
      <c r="W320" s="23">
        <f>IF(V320="","",B320&amp;"|"&amp;V320)</f>
        <v>0</v>
      </c>
      <c r="X320" s="39">
        <f>IF(F320="","",IF(B320="","Add - which service?",IF(H320="","Add - how many minutes?",IF(AND(Q320&lt;&gt;"",P320&gt;Q320+0.25),"Check - checklist is longer than the service allows",IF(S320&gt;=3,"Check - often skipped","OK")))))</f>
        <v>0</v>
      </c>
    </row>
    <row r="321" spans="1:24">
      <c r="A321" s="43">
        <f>IF(F321="","","CHK-"&amp;TEXT(ROW()-4,"0000"))</f>
        <v>0</v>
      </c>
      <c r="O321" s="34">
        <f>IF(F321="","",ROUND(IF(H321="",0,H321)/60,2))</f>
        <v>0</v>
      </c>
      <c r="P321" s="34">
        <f>IF(B321="","",ROUND(SUMIFS($H$5:$H$404,$B$5:$B$404,B321,$M$5:$M$404,"Yes")/60,2))</f>
        <v>0</v>
      </c>
      <c r="Q321" s="34">
        <f>IF(B321="","",IFERROR(INDEX(Services!$G$5:$G$64,MATCH(B321,Services!$B$5:$B$64,0)),""))</f>
        <v>0</v>
      </c>
      <c r="R321" s="31">
        <f>IF(F321="","",COUNTIFS('Job Tasks'!$G$5:$G$904,F321,'Job Tasks'!$H$5:$H$904,"Done"))</f>
        <v>0</v>
      </c>
      <c r="S321" s="31">
        <f>IF(F321="","",COUNTIFS('Job Tasks'!$G$5:$G$904,F321,'Job Tasks'!$H$5:$H$904,"Skipped"))</f>
        <v>0</v>
      </c>
      <c r="T321" s="31">
        <f>IF(F321="","",COUNTIFS('Job Tasks'!$G$5:$G$904,F321,'Job Tasks'!$H$5:$H$904,"Issue found"))</f>
        <v>0</v>
      </c>
      <c r="U321" s="39">
        <f>IF(F321="","",IF(R321+S321=0,"New",IF(S321/(R321+S321)&gt;0.25,"Often skipped","Working")))</f>
        <v>0</v>
      </c>
      <c r="V321" s="31">
        <f>IF(OR(B321="",F321=""),"",COUNTIFS($B$5:B321,B321))</f>
        <v>0</v>
      </c>
      <c r="W321" s="23">
        <f>IF(V321="","",B321&amp;"|"&amp;V321)</f>
        <v>0</v>
      </c>
      <c r="X321" s="39">
        <f>IF(F321="","",IF(B321="","Add - which service?",IF(H321="","Add - how many minutes?",IF(AND(Q321&lt;&gt;"",P321&gt;Q321+0.25),"Check - checklist is longer than the service allows",IF(S321&gt;=3,"Check - often skipped","OK")))))</f>
        <v>0</v>
      </c>
    </row>
    <row r="322" spans="1:24">
      <c r="A322" s="43">
        <f>IF(F322="","","CHK-"&amp;TEXT(ROW()-4,"0000"))</f>
        <v>0</v>
      </c>
      <c r="O322" s="34">
        <f>IF(F322="","",ROUND(IF(H322="",0,H322)/60,2))</f>
        <v>0</v>
      </c>
      <c r="P322" s="34">
        <f>IF(B322="","",ROUND(SUMIFS($H$5:$H$404,$B$5:$B$404,B322,$M$5:$M$404,"Yes")/60,2))</f>
        <v>0</v>
      </c>
      <c r="Q322" s="34">
        <f>IF(B322="","",IFERROR(INDEX(Services!$G$5:$G$64,MATCH(B322,Services!$B$5:$B$64,0)),""))</f>
        <v>0</v>
      </c>
      <c r="R322" s="31">
        <f>IF(F322="","",COUNTIFS('Job Tasks'!$G$5:$G$904,F322,'Job Tasks'!$H$5:$H$904,"Done"))</f>
        <v>0</v>
      </c>
      <c r="S322" s="31">
        <f>IF(F322="","",COUNTIFS('Job Tasks'!$G$5:$G$904,F322,'Job Tasks'!$H$5:$H$904,"Skipped"))</f>
        <v>0</v>
      </c>
      <c r="T322" s="31">
        <f>IF(F322="","",COUNTIFS('Job Tasks'!$G$5:$G$904,F322,'Job Tasks'!$H$5:$H$904,"Issue found"))</f>
        <v>0</v>
      </c>
      <c r="U322" s="39">
        <f>IF(F322="","",IF(R322+S322=0,"New",IF(S322/(R322+S322)&gt;0.25,"Often skipped","Working")))</f>
        <v>0</v>
      </c>
      <c r="V322" s="31">
        <f>IF(OR(B322="",F322=""),"",COUNTIFS($B$5:B322,B322))</f>
        <v>0</v>
      </c>
      <c r="W322" s="23">
        <f>IF(V322="","",B322&amp;"|"&amp;V322)</f>
        <v>0</v>
      </c>
      <c r="X322" s="39">
        <f>IF(F322="","",IF(B322="","Add - which service?",IF(H322="","Add - how many minutes?",IF(AND(Q322&lt;&gt;"",P322&gt;Q322+0.25),"Check - checklist is longer than the service allows",IF(S322&gt;=3,"Check - often skipped","OK")))))</f>
        <v>0</v>
      </c>
    </row>
    <row r="323" spans="1:24">
      <c r="A323" s="43">
        <f>IF(F323="","","CHK-"&amp;TEXT(ROW()-4,"0000"))</f>
        <v>0</v>
      </c>
      <c r="O323" s="34">
        <f>IF(F323="","",ROUND(IF(H323="",0,H323)/60,2))</f>
        <v>0</v>
      </c>
      <c r="P323" s="34">
        <f>IF(B323="","",ROUND(SUMIFS($H$5:$H$404,$B$5:$B$404,B323,$M$5:$M$404,"Yes")/60,2))</f>
        <v>0</v>
      </c>
      <c r="Q323" s="34">
        <f>IF(B323="","",IFERROR(INDEX(Services!$G$5:$G$64,MATCH(B323,Services!$B$5:$B$64,0)),""))</f>
        <v>0</v>
      </c>
      <c r="R323" s="31">
        <f>IF(F323="","",COUNTIFS('Job Tasks'!$G$5:$G$904,F323,'Job Tasks'!$H$5:$H$904,"Done"))</f>
        <v>0</v>
      </c>
      <c r="S323" s="31">
        <f>IF(F323="","",COUNTIFS('Job Tasks'!$G$5:$G$904,F323,'Job Tasks'!$H$5:$H$904,"Skipped"))</f>
        <v>0</v>
      </c>
      <c r="T323" s="31">
        <f>IF(F323="","",COUNTIFS('Job Tasks'!$G$5:$G$904,F323,'Job Tasks'!$H$5:$H$904,"Issue found"))</f>
        <v>0</v>
      </c>
      <c r="U323" s="39">
        <f>IF(F323="","",IF(R323+S323=0,"New",IF(S323/(R323+S323)&gt;0.25,"Often skipped","Working")))</f>
        <v>0</v>
      </c>
      <c r="V323" s="31">
        <f>IF(OR(B323="",F323=""),"",COUNTIFS($B$5:B323,B323))</f>
        <v>0</v>
      </c>
      <c r="W323" s="23">
        <f>IF(V323="","",B323&amp;"|"&amp;V323)</f>
        <v>0</v>
      </c>
      <c r="X323" s="39">
        <f>IF(F323="","",IF(B323="","Add - which service?",IF(H323="","Add - how many minutes?",IF(AND(Q323&lt;&gt;"",P323&gt;Q323+0.25),"Check - checklist is longer than the service allows",IF(S323&gt;=3,"Check - often skipped","OK")))))</f>
        <v>0</v>
      </c>
    </row>
    <row r="324" spans="1:24">
      <c r="A324" s="43">
        <f>IF(F324="","","CHK-"&amp;TEXT(ROW()-4,"0000"))</f>
        <v>0</v>
      </c>
      <c r="O324" s="34">
        <f>IF(F324="","",ROUND(IF(H324="",0,H324)/60,2))</f>
        <v>0</v>
      </c>
      <c r="P324" s="34">
        <f>IF(B324="","",ROUND(SUMIFS($H$5:$H$404,$B$5:$B$404,B324,$M$5:$M$404,"Yes")/60,2))</f>
        <v>0</v>
      </c>
      <c r="Q324" s="34">
        <f>IF(B324="","",IFERROR(INDEX(Services!$G$5:$G$64,MATCH(B324,Services!$B$5:$B$64,0)),""))</f>
        <v>0</v>
      </c>
      <c r="R324" s="31">
        <f>IF(F324="","",COUNTIFS('Job Tasks'!$G$5:$G$904,F324,'Job Tasks'!$H$5:$H$904,"Done"))</f>
        <v>0</v>
      </c>
      <c r="S324" s="31">
        <f>IF(F324="","",COUNTIFS('Job Tasks'!$G$5:$G$904,F324,'Job Tasks'!$H$5:$H$904,"Skipped"))</f>
        <v>0</v>
      </c>
      <c r="T324" s="31">
        <f>IF(F324="","",COUNTIFS('Job Tasks'!$G$5:$G$904,F324,'Job Tasks'!$H$5:$H$904,"Issue found"))</f>
        <v>0</v>
      </c>
      <c r="U324" s="39">
        <f>IF(F324="","",IF(R324+S324=0,"New",IF(S324/(R324+S324)&gt;0.25,"Often skipped","Working")))</f>
        <v>0</v>
      </c>
      <c r="V324" s="31">
        <f>IF(OR(B324="",F324=""),"",COUNTIFS($B$5:B324,B324))</f>
        <v>0</v>
      </c>
      <c r="W324" s="23">
        <f>IF(V324="","",B324&amp;"|"&amp;V324)</f>
        <v>0</v>
      </c>
      <c r="X324" s="39">
        <f>IF(F324="","",IF(B324="","Add - which service?",IF(H324="","Add - how many minutes?",IF(AND(Q324&lt;&gt;"",P324&gt;Q324+0.25),"Check - checklist is longer than the service allows",IF(S324&gt;=3,"Check - often skipped","OK")))))</f>
        <v>0</v>
      </c>
    </row>
    <row r="325" spans="1:24">
      <c r="A325" s="43">
        <f>IF(F325="","","CHK-"&amp;TEXT(ROW()-4,"0000"))</f>
        <v>0</v>
      </c>
      <c r="O325" s="34">
        <f>IF(F325="","",ROUND(IF(H325="",0,H325)/60,2))</f>
        <v>0</v>
      </c>
      <c r="P325" s="34">
        <f>IF(B325="","",ROUND(SUMIFS($H$5:$H$404,$B$5:$B$404,B325,$M$5:$M$404,"Yes")/60,2))</f>
        <v>0</v>
      </c>
      <c r="Q325" s="34">
        <f>IF(B325="","",IFERROR(INDEX(Services!$G$5:$G$64,MATCH(B325,Services!$B$5:$B$64,0)),""))</f>
        <v>0</v>
      </c>
      <c r="R325" s="31">
        <f>IF(F325="","",COUNTIFS('Job Tasks'!$G$5:$G$904,F325,'Job Tasks'!$H$5:$H$904,"Done"))</f>
        <v>0</v>
      </c>
      <c r="S325" s="31">
        <f>IF(F325="","",COUNTIFS('Job Tasks'!$G$5:$G$904,F325,'Job Tasks'!$H$5:$H$904,"Skipped"))</f>
        <v>0</v>
      </c>
      <c r="T325" s="31">
        <f>IF(F325="","",COUNTIFS('Job Tasks'!$G$5:$G$904,F325,'Job Tasks'!$H$5:$H$904,"Issue found"))</f>
        <v>0</v>
      </c>
      <c r="U325" s="39">
        <f>IF(F325="","",IF(R325+S325=0,"New",IF(S325/(R325+S325)&gt;0.25,"Often skipped","Working")))</f>
        <v>0</v>
      </c>
      <c r="V325" s="31">
        <f>IF(OR(B325="",F325=""),"",COUNTIFS($B$5:B325,B325))</f>
        <v>0</v>
      </c>
      <c r="W325" s="23">
        <f>IF(V325="","",B325&amp;"|"&amp;V325)</f>
        <v>0</v>
      </c>
      <c r="X325" s="39">
        <f>IF(F325="","",IF(B325="","Add - which service?",IF(H325="","Add - how many minutes?",IF(AND(Q325&lt;&gt;"",P325&gt;Q325+0.25),"Check - checklist is longer than the service allows",IF(S325&gt;=3,"Check - often skipped","OK")))))</f>
        <v>0</v>
      </c>
    </row>
    <row r="326" spans="1:24">
      <c r="A326" s="43">
        <f>IF(F326="","","CHK-"&amp;TEXT(ROW()-4,"0000"))</f>
        <v>0</v>
      </c>
      <c r="O326" s="34">
        <f>IF(F326="","",ROUND(IF(H326="",0,H326)/60,2))</f>
        <v>0</v>
      </c>
      <c r="P326" s="34">
        <f>IF(B326="","",ROUND(SUMIFS($H$5:$H$404,$B$5:$B$404,B326,$M$5:$M$404,"Yes")/60,2))</f>
        <v>0</v>
      </c>
      <c r="Q326" s="34">
        <f>IF(B326="","",IFERROR(INDEX(Services!$G$5:$G$64,MATCH(B326,Services!$B$5:$B$64,0)),""))</f>
        <v>0</v>
      </c>
      <c r="R326" s="31">
        <f>IF(F326="","",COUNTIFS('Job Tasks'!$G$5:$G$904,F326,'Job Tasks'!$H$5:$H$904,"Done"))</f>
        <v>0</v>
      </c>
      <c r="S326" s="31">
        <f>IF(F326="","",COUNTIFS('Job Tasks'!$G$5:$G$904,F326,'Job Tasks'!$H$5:$H$904,"Skipped"))</f>
        <v>0</v>
      </c>
      <c r="T326" s="31">
        <f>IF(F326="","",COUNTIFS('Job Tasks'!$G$5:$G$904,F326,'Job Tasks'!$H$5:$H$904,"Issue found"))</f>
        <v>0</v>
      </c>
      <c r="U326" s="39">
        <f>IF(F326="","",IF(R326+S326=0,"New",IF(S326/(R326+S326)&gt;0.25,"Often skipped","Working")))</f>
        <v>0</v>
      </c>
      <c r="V326" s="31">
        <f>IF(OR(B326="",F326=""),"",COUNTIFS($B$5:B326,B326))</f>
        <v>0</v>
      </c>
      <c r="W326" s="23">
        <f>IF(V326="","",B326&amp;"|"&amp;V326)</f>
        <v>0</v>
      </c>
      <c r="X326" s="39">
        <f>IF(F326="","",IF(B326="","Add - which service?",IF(H326="","Add - how many minutes?",IF(AND(Q326&lt;&gt;"",P326&gt;Q326+0.25),"Check - checklist is longer than the service allows",IF(S326&gt;=3,"Check - often skipped","OK")))))</f>
        <v>0</v>
      </c>
    </row>
    <row r="327" spans="1:24">
      <c r="A327" s="43">
        <f>IF(F327="","","CHK-"&amp;TEXT(ROW()-4,"0000"))</f>
        <v>0</v>
      </c>
      <c r="O327" s="34">
        <f>IF(F327="","",ROUND(IF(H327="",0,H327)/60,2))</f>
        <v>0</v>
      </c>
      <c r="P327" s="34">
        <f>IF(B327="","",ROUND(SUMIFS($H$5:$H$404,$B$5:$B$404,B327,$M$5:$M$404,"Yes")/60,2))</f>
        <v>0</v>
      </c>
      <c r="Q327" s="34">
        <f>IF(B327="","",IFERROR(INDEX(Services!$G$5:$G$64,MATCH(B327,Services!$B$5:$B$64,0)),""))</f>
        <v>0</v>
      </c>
      <c r="R327" s="31">
        <f>IF(F327="","",COUNTIFS('Job Tasks'!$G$5:$G$904,F327,'Job Tasks'!$H$5:$H$904,"Done"))</f>
        <v>0</v>
      </c>
      <c r="S327" s="31">
        <f>IF(F327="","",COUNTIFS('Job Tasks'!$G$5:$G$904,F327,'Job Tasks'!$H$5:$H$904,"Skipped"))</f>
        <v>0</v>
      </c>
      <c r="T327" s="31">
        <f>IF(F327="","",COUNTIFS('Job Tasks'!$G$5:$G$904,F327,'Job Tasks'!$H$5:$H$904,"Issue found"))</f>
        <v>0</v>
      </c>
      <c r="U327" s="39">
        <f>IF(F327="","",IF(R327+S327=0,"New",IF(S327/(R327+S327)&gt;0.25,"Often skipped","Working")))</f>
        <v>0</v>
      </c>
      <c r="V327" s="31">
        <f>IF(OR(B327="",F327=""),"",COUNTIFS($B$5:B327,B327))</f>
        <v>0</v>
      </c>
      <c r="W327" s="23">
        <f>IF(V327="","",B327&amp;"|"&amp;V327)</f>
        <v>0</v>
      </c>
      <c r="X327" s="39">
        <f>IF(F327="","",IF(B327="","Add - which service?",IF(H327="","Add - how many minutes?",IF(AND(Q327&lt;&gt;"",P327&gt;Q327+0.25),"Check - checklist is longer than the service allows",IF(S327&gt;=3,"Check - often skipped","OK")))))</f>
        <v>0</v>
      </c>
    </row>
    <row r="328" spans="1:24">
      <c r="A328" s="43">
        <f>IF(F328="","","CHK-"&amp;TEXT(ROW()-4,"0000"))</f>
        <v>0</v>
      </c>
      <c r="O328" s="34">
        <f>IF(F328="","",ROUND(IF(H328="",0,H328)/60,2))</f>
        <v>0</v>
      </c>
      <c r="P328" s="34">
        <f>IF(B328="","",ROUND(SUMIFS($H$5:$H$404,$B$5:$B$404,B328,$M$5:$M$404,"Yes")/60,2))</f>
        <v>0</v>
      </c>
      <c r="Q328" s="34">
        <f>IF(B328="","",IFERROR(INDEX(Services!$G$5:$G$64,MATCH(B328,Services!$B$5:$B$64,0)),""))</f>
        <v>0</v>
      </c>
      <c r="R328" s="31">
        <f>IF(F328="","",COUNTIFS('Job Tasks'!$G$5:$G$904,F328,'Job Tasks'!$H$5:$H$904,"Done"))</f>
        <v>0</v>
      </c>
      <c r="S328" s="31">
        <f>IF(F328="","",COUNTIFS('Job Tasks'!$G$5:$G$904,F328,'Job Tasks'!$H$5:$H$904,"Skipped"))</f>
        <v>0</v>
      </c>
      <c r="T328" s="31">
        <f>IF(F328="","",COUNTIFS('Job Tasks'!$G$5:$G$904,F328,'Job Tasks'!$H$5:$H$904,"Issue found"))</f>
        <v>0</v>
      </c>
      <c r="U328" s="39">
        <f>IF(F328="","",IF(R328+S328=0,"New",IF(S328/(R328+S328)&gt;0.25,"Often skipped","Working")))</f>
        <v>0</v>
      </c>
      <c r="V328" s="31">
        <f>IF(OR(B328="",F328=""),"",COUNTIFS($B$5:B328,B328))</f>
        <v>0</v>
      </c>
      <c r="W328" s="23">
        <f>IF(V328="","",B328&amp;"|"&amp;V328)</f>
        <v>0</v>
      </c>
      <c r="X328" s="39">
        <f>IF(F328="","",IF(B328="","Add - which service?",IF(H328="","Add - how many minutes?",IF(AND(Q328&lt;&gt;"",P328&gt;Q328+0.25),"Check - checklist is longer than the service allows",IF(S328&gt;=3,"Check - often skipped","OK")))))</f>
        <v>0</v>
      </c>
    </row>
    <row r="329" spans="1:24">
      <c r="A329" s="43">
        <f>IF(F329="","","CHK-"&amp;TEXT(ROW()-4,"0000"))</f>
        <v>0</v>
      </c>
      <c r="O329" s="34">
        <f>IF(F329="","",ROUND(IF(H329="",0,H329)/60,2))</f>
        <v>0</v>
      </c>
      <c r="P329" s="34">
        <f>IF(B329="","",ROUND(SUMIFS($H$5:$H$404,$B$5:$B$404,B329,$M$5:$M$404,"Yes")/60,2))</f>
        <v>0</v>
      </c>
      <c r="Q329" s="34">
        <f>IF(B329="","",IFERROR(INDEX(Services!$G$5:$G$64,MATCH(B329,Services!$B$5:$B$64,0)),""))</f>
        <v>0</v>
      </c>
      <c r="R329" s="31">
        <f>IF(F329="","",COUNTIFS('Job Tasks'!$G$5:$G$904,F329,'Job Tasks'!$H$5:$H$904,"Done"))</f>
        <v>0</v>
      </c>
      <c r="S329" s="31">
        <f>IF(F329="","",COUNTIFS('Job Tasks'!$G$5:$G$904,F329,'Job Tasks'!$H$5:$H$904,"Skipped"))</f>
        <v>0</v>
      </c>
      <c r="T329" s="31">
        <f>IF(F329="","",COUNTIFS('Job Tasks'!$G$5:$G$904,F329,'Job Tasks'!$H$5:$H$904,"Issue found"))</f>
        <v>0</v>
      </c>
      <c r="U329" s="39">
        <f>IF(F329="","",IF(R329+S329=0,"New",IF(S329/(R329+S329)&gt;0.25,"Often skipped","Working")))</f>
        <v>0</v>
      </c>
      <c r="V329" s="31">
        <f>IF(OR(B329="",F329=""),"",COUNTIFS($B$5:B329,B329))</f>
        <v>0</v>
      </c>
      <c r="W329" s="23">
        <f>IF(V329="","",B329&amp;"|"&amp;V329)</f>
        <v>0</v>
      </c>
      <c r="X329" s="39">
        <f>IF(F329="","",IF(B329="","Add - which service?",IF(H329="","Add - how many minutes?",IF(AND(Q329&lt;&gt;"",P329&gt;Q329+0.25),"Check - checklist is longer than the service allows",IF(S329&gt;=3,"Check - often skipped","OK")))))</f>
        <v>0</v>
      </c>
    </row>
    <row r="330" spans="1:24">
      <c r="A330" s="43">
        <f>IF(F330="","","CHK-"&amp;TEXT(ROW()-4,"0000"))</f>
        <v>0</v>
      </c>
      <c r="O330" s="34">
        <f>IF(F330="","",ROUND(IF(H330="",0,H330)/60,2))</f>
        <v>0</v>
      </c>
      <c r="P330" s="34">
        <f>IF(B330="","",ROUND(SUMIFS($H$5:$H$404,$B$5:$B$404,B330,$M$5:$M$404,"Yes")/60,2))</f>
        <v>0</v>
      </c>
      <c r="Q330" s="34">
        <f>IF(B330="","",IFERROR(INDEX(Services!$G$5:$G$64,MATCH(B330,Services!$B$5:$B$64,0)),""))</f>
        <v>0</v>
      </c>
      <c r="R330" s="31">
        <f>IF(F330="","",COUNTIFS('Job Tasks'!$G$5:$G$904,F330,'Job Tasks'!$H$5:$H$904,"Done"))</f>
        <v>0</v>
      </c>
      <c r="S330" s="31">
        <f>IF(F330="","",COUNTIFS('Job Tasks'!$G$5:$G$904,F330,'Job Tasks'!$H$5:$H$904,"Skipped"))</f>
        <v>0</v>
      </c>
      <c r="T330" s="31">
        <f>IF(F330="","",COUNTIFS('Job Tasks'!$G$5:$G$904,F330,'Job Tasks'!$H$5:$H$904,"Issue found"))</f>
        <v>0</v>
      </c>
      <c r="U330" s="39">
        <f>IF(F330="","",IF(R330+S330=0,"New",IF(S330/(R330+S330)&gt;0.25,"Often skipped","Working")))</f>
        <v>0</v>
      </c>
      <c r="V330" s="31">
        <f>IF(OR(B330="",F330=""),"",COUNTIFS($B$5:B330,B330))</f>
        <v>0</v>
      </c>
      <c r="W330" s="23">
        <f>IF(V330="","",B330&amp;"|"&amp;V330)</f>
        <v>0</v>
      </c>
      <c r="X330" s="39">
        <f>IF(F330="","",IF(B330="","Add - which service?",IF(H330="","Add - how many minutes?",IF(AND(Q330&lt;&gt;"",P330&gt;Q330+0.25),"Check - checklist is longer than the service allows",IF(S330&gt;=3,"Check - often skipped","OK")))))</f>
        <v>0</v>
      </c>
    </row>
    <row r="331" spans="1:24">
      <c r="A331" s="43">
        <f>IF(F331="","","CHK-"&amp;TEXT(ROW()-4,"0000"))</f>
        <v>0</v>
      </c>
      <c r="O331" s="34">
        <f>IF(F331="","",ROUND(IF(H331="",0,H331)/60,2))</f>
        <v>0</v>
      </c>
      <c r="P331" s="34">
        <f>IF(B331="","",ROUND(SUMIFS($H$5:$H$404,$B$5:$B$404,B331,$M$5:$M$404,"Yes")/60,2))</f>
        <v>0</v>
      </c>
      <c r="Q331" s="34">
        <f>IF(B331="","",IFERROR(INDEX(Services!$G$5:$G$64,MATCH(B331,Services!$B$5:$B$64,0)),""))</f>
        <v>0</v>
      </c>
      <c r="R331" s="31">
        <f>IF(F331="","",COUNTIFS('Job Tasks'!$G$5:$G$904,F331,'Job Tasks'!$H$5:$H$904,"Done"))</f>
        <v>0</v>
      </c>
      <c r="S331" s="31">
        <f>IF(F331="","",COUNTIFS('Job Tasks'!$G$5:$G$904,F331,'Job Tasks'!$H$5:$H$904,"Skipped"))</f>
        <v>0</v>
      </c>
      <c r="T331" s="31">
        <f>IF(F331="","",COUNTIFS('Job Tasks'!$G$5:$G$904,F331,'Job Tasks'!$H$5:$H$904,"Issue found"))</f>
        <v>0</v>
      </c>
      <c r="U331" s="39">
        <f>IF(F331="","",IF(R331+S331=0,"New",IF(S331/(R331+S331)&gt;0.25,"Often skipped","Working")))</f>
        <v>0</v>
      </c>
      <c r="V331" s="31">
        <f>IF(OR(B331="",F331=""),"",COUNTIFS($B$5:B331,B331))</f>
        <v>0</v>
      </c>
      <c r="W331" s="23">
        <f>IF(V331="","",B331&amp;"|"&amp;V331)</f>
        <v>0</v>
      </c>
      <c r="X331" s="39">
        <f>IF(F331="","",IF(B331="","Add - which service?",IF(H331="","Add - how many minutes?",IF(AND(Q331&lt;&gt;"",P331&gt;Q331+0.25),"Check - checklist is longer than the service allows",IF(S331&gt;=3,"Check - often skipped","OK")))))</f>
        <v>0</v>
      </c>
    </row>
    <row r="332" spans="1:24">
      <c r="A332" s="43">
        <f>IF(F332="","","CHK-"&amp;TEXT(ROW()-4,"0000"))</f>
        <v>0</v>
      </c>
      <c r="O332" s="34">
        <f>IF(F332="","",ROUND(IF(H332="",0,H332)/60,2))</f>
        <v>0</v>
      </c>
      <c r="P332" s="34">
        <f>IF(B332="","",ROUND(SUMIFS($H$5:$H$404,$B$5:$B$404,B332,$M$5:$M$404,"Yes")/60,2))</f>
        <v>0</v>
      </c>
      <c r="Q332" s="34">
        <f>IF(B332="","",IFERROR(INDEX(Services!$G$5:$G$64,MATCH(B332,Services!$B$5:$B$64,0)),""))</f>
        <v>0</v>
      </c>
      <c r="R332" s="31">
        <f>IF(F332="","",COUNTIFS('Job Tasks'!$G$5:$G$904,F332,'Job Tasks'!$H$5:$H$904,"Done"))</f>
        <v>0</v>
      </c>
      <c r="S332" s="31">
        <f>IF(F332="","",COUNTIFS('Job Tasks'!$G$5:$G$904,F332,'Job Tasks'!$H$5:$H$904,"Skipped"))</f>
        <v>0</v>
      </c>
      <c r="T332" s="31">
        <f>IF(F332="","",COUNTIFS('Job Tasks'!$G$5:$G$904,F332,'Job Tasks'!$H$5:$H$904,"Issue found"))</f>
        <v>0</v>
      </c>
      <c r="U332" s="39">
        <f>IF(F332="","",IF(R332+S332=0,"New",IF(S332/(R332+S332)&gt;0.25,"Often skipped","Working")))</f>
        <v>0</v>
      </c>
      <c r="V332" s="31">
        <f>IF(OR(B332="",F332=""),"",COUNTIFS($B$5:B332,B332))</f>
        <v>0</v>
      </c>
      <c r="W332" s="23">
        <f>IF(V332="","",B332&amp;"|"&amp;V332)</f>
        <v>0</v>
      </c>
      <c r="X332" s="39">
        <f>IF(F332="","",IF(B332="","Add - which service?",IF(H332="","Add - how many minutes?",IF(AND(Q332&lt;&gt;"",P332&gt;Q332+0.25),"Check - checklist is longer than the service allows",IF(S332&gt;=3,"Check - often skipped","OK")))))</f>
        <v>0</v>
      </c>
    </row>
    <row r="333" spans="1:24">
      <c r="A333" s="43">
        <f>IF(F333="","","CHK-"&amp;TEXT(ROW()-4,"0000"))</f>
        <v>0</v>
      </c>
      <c r="O333" s="34">
        <f>IF(F333="","",ROUND(IF(H333="",0,H333)/60,2))</f>
        <v>0</v>
      </c>
      <c r="P333" s="34">
        <f>IF(B333="","",ROUND(SUMIFS($H$5:$H$404,$B$5:$B$404,B333,$M$5:$M$404,"Yes")/60,2))</f>
        <v>0</v>
      </c>
      <c r="Q333" s="34">
        <f>IF(B333="","",IFERROR(INDEX(Services!$G$5:$G$64,MATCH(B333,Services!$B$5:$B$64,0)),""))</f>
        <v>0</v>
      </c>
      <c r="R333" s="31">
        <f>IF(F333="","",COUNTIFS('Job Tasks'!$G$5:$G$904,F333,'Job Tasks'!$H$5:$H$904,"Done"))</f>
        <v>0</v>
      </c>
      <c r="S333" s="31">
        <f>IF(F333="","",COUNTIFS('Job Tasks'!$G$5:$G$904,F333,'Job Tasks'!$H$5:$H$904,"Skipped"))</f>
        <v>0</v>
      </c>
      <c r="T333" s="31">
        <f>IF(F333="","",COUNTIFS('Job Tasks'!$G$5:$G$904,F333,'Job Tasks'!$H$5:$H$904,"Issue found"))</f>
        <v>0</v>
      </c>
      <c r="U333" s="39">
        <f>IF(F333="","",IF(R333+S333=0,"New",IF(S333/(R333+S333)&gt;0.25,"Often skipped","Working")))</f>
        <v>0</v>
      </c>
      <c r="V333" s="31">
        <f>IF(OR(B333="",F333=""),"",COUNTIFS($B$5:B333,B333))</f>
        <v>0</v>
      </c>
      <c r="W333" s="23">
        <f>IF(V333="","",B333&amp;"|"&amp;V333)</f>
        <v>0</v>
      </c>
      <c r="X333" s="39">
        <f>IF(F333="","",IF(B333="","Add - which service?",IF(H333="","Add - how many minutes?",IF(AND(Q333&lt;&gt;"",P333&gt;Q333+0.25),"Check - checklist is longer than the service allows",IF(S333&gt;=3,"Check - often skipped","OK")))))</f>
        <v>0</v>
      </c>
    </row>
    <row r="334" spans="1:24">
      <c r="A334" s="43">
        <f>IF(F334="","","CHK-"&amp;TEXT(ROW()-4,"0000"))</f>
        <v>0</v>
      </c>
      <c r="O334" s="34">
        <f>IF(F334="","",ROUND(IF(H334="",0,H334)/60,2))</f>
        <v>0</v>
      </c>
      <c r="P334" s="34">
        <f>IF(B334="","",ROUND(SUMIFS($H$5:$H$404,$B$5:$B$404,B334,$M$5:$M$404,"Yes")/60,2))</f>
        <v>0</v>
      </c>
      <c r="Q334" s="34">
        <f>IF(B334="","",IFERROR(INDEX(Services!$G$5:$G$64,MATCH(B334,Services!$B$5:$B$64,0)),""))</f>
        <v>0</v>
      </c>
      <c r="R334" s="31">
        <f>IF(F334="","",COUNTIFS('Job Tasks'!$G$5:$G$904,F334,'Job Tasks'!$H$5:$H$904,"Done"))</f>
        <v>0</v>
      </c>
      <c r="S334" s="31">
        <f>IF(F334="","",COUNTIFS('Job Tasks'!$G$5:$G$904,F334,'Job Tasks'!$H$5:$H$904,"Skipped"))</f>
        <v>0</v>
      </c>
      <c r="T334" s="31">
        <f>IF(F334="","",COUNTIFS('Job Tasks'!$G$5:$G$904,F334,'Job Tasks'!$H$5:$H$904,"Issue found"))</f>
        <v>0</v>
      </c>
      <c r="U334" s="39">
        <f>IF(F334="","",IF(R334+S334=0,"New",IF(S334/(R334+S334)&gt;0.25,"Often skipped","Working")))</f>
        <v>0</v>
      </c>
      <c r="V334" s="31">
        <f>IF(OR(B334="",F334=""),"",COUNTIFS($B$5:B334,B334))</f>
        <v>0</v>
      </c>
      <c r="W334" s="23">
        <f>IF(V334="","",B334&amp;"|"&amp;V334)</f>
        <v>0</v>
      </c>
      <c r="X334" s="39">
        <f>IF(F334="","",IF(B334="","Add - which service?",IF(H334="","Add - how many minutes?",IF(AND(Q334&lt;&gt;"",P334&gt;Q334+0.25),"Check - checklist is longer than the service allows",IF(S334&gt;=3,"Check - often skipped","OK")))))</f>
        <v>0</v>
      </c>
    </row>
    <row r="335" spans="1:24">
      <c r="A335" s="43">
        <f>IF(F335="","","CHK-"&amp;TEXT(ROW()-4,"0000"))</f>
        <v>0</v>
      </c>
      <c r="O335" s="34">
        <f>IF(F335="","",ROUND(IF(H335="",0,H335)/60,2))</f>
        <v>0</v>
      </c>
      <c r="P335" s="34">
        <f>IF(B335="","",ROUND(SUMIFS($H$5:$H$404,$B$5:$B$404,B335,$M$5:$M$404,"Yes")/60,2))</f>
        <v>0</v>
      </c>
      <c r="Q335" s="34">
        <f>IF(B335="","",IFERROR(INDEX(Services!$G$5:$G$64,MATCH(B335,Services!$B$5:$B$64,0)),""))</f>
        <v>0</v>
      </c>
      <c r="R335" s="31">
        <f>IF(F335="","",COUNTIFS('Job Tasks'!$G$5:$G$904,F335,'Job Tasks'!$H$5:$H$904,"Done"))</f>
        <v>0</v>
      </c>
      <c r="S335" s="31">
        <f>IF(F335="","",COUNTIFS('Job Tasks'!$G$5:$G$904,F335,'Job Tasks'!$H$5:$H$904,"Skipped"))</f>
        <v>0</v>
      </c>
      <c r="T335" s="31">
        <f>IF(F335="","",COUNTIFS('Job Tasks'!$G$5:$G$904,F335,'Job Tasks'!$H$5:$H$904,"Issue found"))</f>
        <v>0</v>
      </c>
      <c r="U335" s="39">
        <f>IF(F335="","",IF(R335+S335=0,"New",IF(S335/(R335+S335)&gt;0.25,"Often skipped","Working")))</f>
        <v>0</v>
      </c>
      <c r="V335" s="31">
        <f>IF(OR(B335="",F335=""),"",COUNTIFS($B$5:B335,B335))</f>
        <v>0</v>
      </c>
      <c r="W335" s="23">
        <f>IF(V335="","",B335&amp;"|"&amp;V335)</f>
        <v>0</v>
      </c>
      <c r="X335" s="39">
        <f>IF(F335="","",IF(B335="","Add - which service?",IF(H335="","Add - how many minutes?",IF(AND(Q335&lt;&gt;"",P335&gt;Q335+0.25),"Check - checklist is longer than the service allows",IF(S335&gt;=3,"Check - often skipped","OK")))))</f>
        <v>0</v>
      </c>
    </row>
    <row r="336" spans="1:24">
      <c r="A336" s="43">
        <f>IF(F336="","","CHK-"&amp;TEXT(ROW()-4,"0000"))</f>
        <v>0</v>
      </c>
      <c r="O336" s="34">
        <f>IF(F336="","",ROUND(IF(H336="",0,H336)/60,2))</f>
        <v>0</v>
      </c>
      <c r="P336" s="34">
        <f>IF(B336="","",ROUND(SUMIFS($H$5:$H$404,$B$5:$B$404,B336,$M$5:$M$404,"Yes")/60,2))</f>
        <v>0</v>
      </c>
      <c r="Q336" s="34">
        <f>IF(B336="","",IFERROR(INDEX(Services!$G$5:$G$64,MATCH(B336,Services!$B$5:$B$64,0)),""))</f>
        <v>0</v>
      </c>
      <c r="R336" s="31">
        <f>IF(F336="","",COUNTIFS('Job Tasks'!$G$5:$G$904,F336,'Job Tasks'!$H$5:$H$904,"Done"))</f>
        <v>0</v>
      </c>
      <c r="S336" s="31">
        <f>IF(F336="","",COUNTIFS('Job Tasks'!$G$5:$G$904,F336,'Job Tasks'!$H$5:$H$904,"Skipped"))</f>
        <v>0</v>
      </c>
      <c r="T336" s="31">
        <f>IF(F336="","",COUNTIFS('Job Tasks'!$G$5:$G$904,F336,'Job Tasks'!$H$5:$H$904,"Issue found"))</f>
        <v>0</v>
      </c>
      <c r="U336" s="39">
        <f>IF(F336="","",IF(R336+S336=0,"New",IF(S336/(R336+S336)&gt;0.25,"Often skipped","Working")))</f>
        <v>0</v>
      </c>
      <c r="V336" s="31">
        <f>IF(OR(B336="",F336=""),"",COUNTIFS($B$5:B336,B336))</f>
        <v>0</v>
      </c>
      <c r="W336" s="23">
        <f>IF(V336="","",B336&amp;"|"&amp;V336)</f>
        <v>0</v>
      </c>
      <c r="X336" s="39">
        <f>IF(F336="","",IF(B336="","Add - which service?",IF(H336="","Add - how many minutes?",IF(AND(Q336&lt;&gt;"",P336&gt;Q336+0.25),"Check - checklist is longer than the service allows",IF(S336&gt;=3,"Check - often skipped","OK")))))</f>
        <v>0</v>
      </c>
    </row>
    <row r="337" spans="1:24">
      <c r="A337" s="43">
        <f>IF(F337="","","CHK-"&amp;TEXT(ROW()-4,"0000"))</f>
        <v>0</v>
      </c>
      <c r="O337" s="34">
        <f>IF(F337="","",ROUND(IF(H337="",0,H337)/60,2))</f>
        <v>0</v>
      </c>
      <c r="P337" s="34">
        <f>IF(B337="","",ROUND(SUMIFS($H$5:$H$404,$B$5:$B$404,B337,$M$5:$M$404,"Yes")/60,2))</f>
        <v>0</v>
      </c>
      <c r="Q337" s="34">
        <f>IF(B337="","",IFERROR(INDEX(Services!$G$5:$G$64,MATCH(B337,Services!$B$5:$B$64,0)),""))</f>
        <v>0</v>
      </c>
      <c r="R337" s="31">
        <f>IF(F337="","",COUNTIFS('Job Tasks'!$G$5:$G$904,F337,'Job Tasks'!$H$5:$H$904,"Done"))</f>
        <v>0</v>
      </c>
      <c r="S337" s="31">
        <f>IF(F337="","",COUNTIFS('Job Tasks'!$G$5:$G$904,F337,'Job Tasks'!$H$5:$H$904,"Skipped"))</f>
        <v>0</v>
      </c>
      <c r="T337" s="31">
        <f>IF(F337="","",COUNTIFS('Job Tasks'!$G$5:$G$904,F337,'Job Tasks'!$H$5:$H$904,"Issue found"))</f>
        <v>0</v>
      </c>
      <c r="U337" s="39">
        <f>IF(F337="","",IF(R337+S337=0,"New",IF(S337/(R337+S337)&gt;0.25,"Often skipped","Working")))</f>
        <v>0</v>
      </c>
      <c r="V337" s="31">
        <f>IF(OR(B337="",F337=""),"",COUNTIFS($B$5:B337,B337))</f>
        <v>0</v>
      </c>
      <c r="W337" s="23">
        <f>IF(V337="","",B337&amp;"|"&amp;V337)</f>
        <v>0</v>
      </c>
      <c r="X337" s="39">
        <f>IF(F337="","",IF(B337="","Add - which service?",IF(H337="","Add - how many minutes?",IF(AND(Q337&lt;&gt;"",P337&gt;Q337+0.25),"Check - checklist is longer than the service allows",IF(S337&gt;=3,"Check - often skipped","OK")))))</f>
        <v>0</v>
      </c>
    </row>
    <row r="338" spans="1:24">
      <c r="A338" s="43">
        <f>IF(F338="","","CHK-"&amp;TEXT(ROW()-4,"0000"))</f>
        <v>0</v>
      </c>
      <c r="O338" s="34">
        <f>IF(F338="","",ROUND(IF(H338="",0,H338)/60,2))</f>
        <v>0</v>
      </c>
      <c r="P338" s="34">
        <f>IF(B338="","",ROUND(SUMIFS($H$5:$H$404,$B$5:$B$404,B338,$M$5:$M$404,"Yes")/60,2))</f>
        <v>0</v>
      </c>
      <c r="Q338" s="34">
        <f>IF(B338="","",IFERROR(INDEX(Services!$G$5:$G$64,MATCH(B338,Services!$B$5:$B$64,0)),""))</f>
        <v>0</v>
      </c>
      <c r="R338" s="31">
        <f>IF(F338="","",COUNTIFS('Job Tasks'!$G$5:$G$904,F338,'Job Tasks'!$H$5:$H$904,"Done"))</f>
        <v>0</v>
      </c>
      <c r="S338" s="31">
        <f>IF(F338="","",COUNTIFS('Job Tasks'!$G$5:$G$904,F338,'Job Tasks'!$H$5:$H$904,"Skipped"))</f>
        <v>0</v>
      </c>
      <c r="T338" s="31">
        <f>IF(F338="","",COUNTIFS('Job Tasks'!$G$5:$G$904,F338,'Job Tasks'!$H$5:$H$904,"Issue found"))</f>
        <v>0</v>
      </c>
      <c r="U338" s="39">
        <f>IF(F338="","",IF(R338+S338=0,"New",IF(S338/(R338+S338)&gt;0.25,"Often skipped","Working")))</f>
        <v>0</v>
      </c>
      <c r="V338" s="31">
        <f>IF(OR(B338="",F338=""),"",COUNTIFS($B$5:B338,B338))</f>
        <v>0</v>
      </c>
      <c r="W338" s="23">
        <f>IF(V338="","",B338&amp;"|"&amp;V338)</f>
        <v>0</v>
      </c>
      <c r="X338" s="39">
        <f>IF(F338="","",IF(B338="","Add - which service?",IF(H338="","Add - how many minutes?",IF(AND(Q338&lt;&gt;"",P338&gt;Q338+0.25),"Check - checklist is longer than the service allows",IF(S338&gt;=3,"Check - often skipped","OK")))))</f>
        <v>0</v>
      </c>
    </row>
    <row r="339" spans="1:24">
      <c r="A339" s="43">
        <f>IF(F339="","","CHK-"&amp;TEXT(ROW()-4,"0000"))</f>
        <v>0</v>
      </c>
      <c r="O339" s="34">
        <f>IF(F339="","",ROUND(IF(H339="",0,H339)/60,2))</f>
        <v>0</v>
      </c>
      <c r="P339" s="34">
        <f>IF(B339="","",ROUND(SUMIFS($H$5:$H$404,$B$5:$B$404,B339,$M$5:$M$404,"Yes")/60,2))</f>
        <v>0</v>
      </c>
      <c r="Q339" s="34">
        <f>IF(B339="","",IFERROR(INDEX(Services!$G$5:$G$64,MATCH(B339,Services!$B$5:$B$64,0)),""))</f>
        <v>0</v>
      </c>
      <c r="R339" s="31">
        <f>IF(F339="","",COUNTIFS('Job Tasks'!$G$5:$G$904,F339,'Job Tasks'!$H$5:$H$904,"Done"))</f>
        <v>0</v>
      </c>
      <c r="S339" s="31">
        <f>IF(F339="","",COUNTIFS('Job Tasks'!$G$5:$G$904,F339,'Job Tasks'!$H$5:$H$904,"Skipped"))</f>
        <v>0</v>
      </c>
      <c r="T339" s="31">
        <f>IF(F339="","",COUNTIFS('Job Tasks'!$G$5:$G$904,F339,'Job Tasks'!$H$5:$H$904,"Issue found"))</f>
        <v>0</v>
      </c>
      <c r="U339" s="39">
        <f>IF(F339="","",IF(R339+S339=0,"New",IF(S339/(R339+S339)&gt;0.25,"Often skipped","Working")))</f>
        <v>0</v>
      </c>
      <c r="V339" s="31">
        <f>IF(OR(B339="",F339=""),"",COUNTIFS($B$5:B339,B339))</f>
        <v>0</v>
      </c>
      <c r="W339" s="23">
        <f>IF(V339="","",B339&amp;"|"&amp;V339)</f>
        <v>0</v>
      </c>
      <c r="X339" s="39">
        <f>IF(F339="","",IF(B339="","Add - which service?",IF(H339="","Add - how many minutes?",IF(AND(Q339&lt;&gt;"",P339&gt;Q339+0.25),"Check - checklist is longer than the service allows",IF(S339&gt;=3,"Check - often skipped","OK")))))</f>
        <v>0</v>
      </c>
    </row>
    <row r="340" spans="1:24">
      <c r="A340" s="43">
        <f>IF(F340="","","CHK-"&amp;TEXT(ROW()-4,"0000"))</f>
        <v>0</v>
      </c>
      <c r="O340" s="34">
        <f>IF(F340="","",ROUND(IF(H340="",0,H340)/60,2))</f>
        <v>0</v>
      </c>
      <c r="P340" s="34">
        <f>IF(B340="","",ROUND(SUMIFS($H$5:$H$404,$B$5:$B$404,B340,$M$5:$M$404,"Yes")/60,2))</f>
        <v>0</v>
      </c>
      <c r="Q340" s="34">
        <f>IF(B340="","",IFERROR(INDEX(Services!$G$5:$G$64,MATCH(B340,Services!$B$5:$B$64,0)),""))</f>
        <v>0</v>
      </c>
      <c r="R340" s="31">
        <f>IF(F340="","",COUNTIFS('Job Tasks'!$G$5:$G$904,F340,'Job Tasks'!$H$5:$H$904,"Done"))</f>
        <v>0</v>
      </c>
      <c r="S340" s="31">
        <f>IF(F340="","",COUNTIFS('Job Tasks'!$G$5:$G$904,F340,'Job Tasks'!$H$5:$H$904,"Skipped"))</f>
        <v>0</v>
      </c>
      <c r="T340" s="31">
        <f>IF(F340="","",COUNTIFS('Job Tasks'!$G$5:$G$904,F340,'Job Tasks'!$H$5:$H$904,"Issue found"))</f>
        <v>0</v>
      </c>
      <c r="U340" s="39">
        <f>IF(F340="","",IF(R340+S340=0,"New",IF(S340/(R340+S340)&gt;0.25,"Often skipped","Working")))</f>
        <v>0</v>
      </c>
      <c r="V340" s="31">
        <f>IF(OR(B340="",F340=""),"",COUNTIFS($B$5:B340,B340))</f>
        <v>0</v>
      </c>
      <c r="W340" s="23">
        <f>IF(V340="","",B340&amp;"|"&amp;V340)</f>
        <v>0</v>
      </c>
      <c r="X340" s="39">
        <f>IF(F340="","",IF(B340="","Add - which service?",IF(H340="","Add - how many minutes?",IF(AND(Q340&lt;&gt;"",P340&gt;Q340+0.25),"Check - checklist is longer than the service allows",IF(S340&gt;=3,"Check - often skipped","OK")))))</f>
        <v>0</v>
      </c>
    </row>
    <row r="341" spans="1:24">
      <c r="A341" s="43">
        <f>IF(F341="","","CHK-"&amp;TEXT(ROW()-4,"0000"))</f>
        <v>0</v>
      </c>
      <c r="O341" s="34">
        <f>IF(F341="","",ROUND(IF(H341="",0,H341)/60,2))</f>
        <v>0</v>
      </c>
      <c r="P341" s="34">
        <f>IF(B341="","",ROUND(SUMIFS($H$5:$H$404,$B$5:$B$404,B341,$M$5:$M$404,"Yes")/60,2))</f>
        <v>0</v>
      </c>
      <c r="Q341" s="34">
        <f>IF(B341="","",IFERROR(INDEX(Services!$G$5:$G$64,MATCH(B341,Services!$B$5:$B$64,0)),""))</f>
        <v>0</v>
      </c>
      <c r="R341" s="31">
        <f>IF(F341="","",COUNTIFS('Job Tasks'!$G$5:$G$904,F341,'Job Tasks'!$H$5:$H$904,"Done"))</f>
        <v>0</v>
      </c>
      <c r="S341" s="31">
        <f>IF(F341="","",COUNTIFS('Job Tasks'!$G$5:$G$904,F341,'Job Tasks'!$H$5:$H$904,"Skipped"))</f>
        <v>0</v>
      </c>
      <c r="T341" s="31">
        <f>IF(F341="","",COUNTIFS('Job Tasks'!$G$5:$G$904,F341,'Job Tasks'!$H$5:$H$904,"Issue found"))</f>
        <v>0</v>
      </c>
      <c r="U341" s="39">
        <f>IF(F341="","",IF(R341+S341=0,"New",IF(S341/(R341+S341)&gt;0.25,"Often skipped","Working")))</f>
        <v>0</v>
      </c>
      <c r="V341" s="31">
        <f>IF(OR(B341="",F341=""),"",COUNTIFS($B$5:B341,B341))</f>
        <v>0</v>
      </c>
      <c r="W341" s="23">
        <f>IF(V341="","",B341&amp;"|"&amp;V341)</f>
        <v>0</v>
      </c>
      <c r="X341" s="39">
        <f>IF(F341="","",IF(B341="","Add - which service?",IF(H341="","Add - how many minutes?",IF(AND(Q341&lt;&gt;"",P341&gt;Q341+0.25),"Check - checklist is longer than the service allows",IF(S341&gt;=3,"Check - often skipped","OK")))))</f>
        <v>0</v>
      </c>
    </row>
    <row r="342" spans="1:24">
      <c r="A342" s="43">
        <f>IF(F342="","","CHK-"&amp;TEXT(ROW()-4,"0000"))</f>
        <v>0</v>
      </c>
      <c r="O342" s="34">
        <f>IF(F342="","",ROUND(IF(H342="",0,H342)/60,2))</f>
        <v>0</v>
      </c>
      <c r="P342" s="34">
        <f>IF(B342="","",ROUND(SUMIFS($H$5:$H$404,$B$5:$B$404,B342,$M$5:$M$404,"Yes")/60,2))</f>
        <v>0</v>
      </c>
      <c r="Q342" s="34">
        <f>IF(B342="","",IFERROR(INDEX(Services!$G$5:$G$64,MATCH(B342,Services!$B$5:$B$64,0)),""))</f>
        <v>0</v>
      </c>
      <c r="R342" s="31">
        <f>IF(F342="","",COUNTIFS('Job Tasks'!$G$5:$G$904,F342,'Job Tasks'!$H$5:$H$904,"Done"))</f>
        <v>0</v>
      </c>
      <c r="S342" s="31">
        <f>IF(F342="","",COUNTIFS('Job Tasks'!$G$5:$G$904,F342,'Job Tasks'!$H$5:$H$904,"Skipped"))</f>
        <v>0</v>
      </c>
      <c r="T342" s="31">
        <f>IF(F342="","",COUNTIFS('Job Tasks'!$G$5:$G$904,F342,'Job Tasks'!$H$5:$H$904,"Issue found"))</f>
        <v>0</v>
      </c>
      <c r="U342" s="39">
        <f>IF(F342="","",IF(R342+S342=0,"New",IF(S342/(R342+S342)&gt;0.25,"Often skipped","Working")))</f>
        <v>0</v>
      </c>
      <c r="V342" s="31">
        <f>IF(OR(B342="",F342=""),"",COUNTIFS($B$5:B342,B342))</f>
        <v>0</v>
      </c>
      <c r="W342" s="23">
        <f>IF(V342="","",B342&amp;"|"&amp;V342)</f>
        <v>0</v>
      </c>
      <c r="X342" s="39">
        <f>IF(F342="","",IF(B342="","Add - which service?",IF(H342="","Add - how many minutes?",IF(AND(Q342&lt;&gt;"",P342&gt;Q342+0.25),"Check - checklist is longer than the service allows",IF(S342&gt;=3,"Check - often skipped","OK")))))</f>
        <v>0</v>
      </c>
    </row>
    <row r="343" spans="1:24">
      <c r="A343" s="43">
        <f>IF(F343="","","CHK-"&amp;TEXT(ROW()-4,"0000"))</f>
        <v>0</v>
      </c>
      <c r="O343" s="34">
        <f>IF(F343="","",ROUND(IF(H343="",0,H343)/60,2))</f>
        <v>0</v>
      </c>
      <c r="P343" s="34">
        <f>IF(B343="","",ROUND(SUMIFS($H$5:$H$404,$B$5:$B$404,B343,$M$5:$M$404,"Yes")/60,2))</f>
        <v>0</v>
      </c>
      <c r="Q343" s="34">
        <f>IF(B343="","",IFERROR(INDEX(Services!$G$5:$G$64,MATCH(B343,Services!$B$5:$B$64,0)),""))</f>
        <v>0</v>
      </c>
      <c r="R343" s="31">
        <f>IF(F343="","",COUNTIFS('Job Tasks'!$G$5:$G$904,F343,'Job Tasks'!$H$5:$H$904,"Done"))</f>
        <v>0</v>
      </c>
      <c r="S343" s="31">
        <f>IF(F343="","",COUNTIFS('Job Tasks'!$G$5:$G$904,F343,'Job Tasks'!$H$5:$H$904,"Skipped"))</f>
        <v>0</v>
      </c>
      <c r="T343" s="31">
        <f>IF(F343="","",COUNTIFS('Job Tasks'!$G$5:$G$904,F343,'Job Tasks'!$H$5:$H$904,"Issue found"))</f>
        <v>0</v>
      </c>
      <c r="U343" s="39">
        <f>IF(F343="","",IF(R343+S343=0,"New",IF(S343/(R343+S343)&gt;0.25,"Often skipped","Working")))</f>
        <v>0</v>
      </c>
      <c r="V343" s="31">
        <f>IF(OR(B343="",F343=""),"",COUNTIFS($B$5:B343,B343))</f>
        <v>0</v>
      </c>
      <c r="W343" s="23">
        <f>IF(V343="","",B343&amp;"|"&amp;V343)</f>
        <v>0</v>
      </c>
      <c r="X343" s="39">
        <f>IF(F343="","",IF(B343="","Add - which service?",IF(H343="","Add - how many minutes?",IF(AND(Q343&lt;&gt;"",P343&gt;Q343+0.25),"Check - checklist is longer than the service allows",IF(S343&gt;=3,"Check - often skipped","OK")))))</f>
        <v>0</v>
      </c>
    </row>
    <row r="344" spans="1:24">
      <c r="A344" s="43">
        <f>IF(F344="","","CHK-"&amp;TEXT(ROW()-4,"0000"))</f>
        <v>0</v>
      </c>
      <c r="O344" s="34">
        <f>IF(F344="","",ROUND(IF(H344="",0,H344)/60,2))</f>
        <v>0</v>
      </c>
      <c r="P344" s="34">
        <f>IF(B344="","",ROUND(SUMIFS($H$5:$H$404,$B$5:$B$404,B344,$M$5:$M$404,"Yes")/60,2))</f>
        <v>0</v>
      </c>
      <c r="Q344" s="34">
        <f>IF(B344="","",IFERROR(INDEX(Services!$G$5:$G$64,MATCH(B344,Services!$B$5:$B$64,0)),""))</f>
        <v>0</v>
      </c>
      <c r="R344" s="31">
        <f>IF(F344="","",COUNTIFS('Job Tasks'!$G$5:$G$904,F344,'Job Tasks'!$H$5:$H$904,"Done"))</f>
        <v>0</v>
      </c>
      <c r="S344" s="31">
        <f>IF(F344="","",COUNTIFS('Job Tasks'!$G$5:$G$904,F344,'Job Tasks'!$H$5:$H$904,"Skipped"))</f>
        <v>0</v>
      </c>
      <c r="T344" s="31">
        <f>IF(F344="","",COUNTIFS('Job Tasks'!$G$5:$G$904,F344,'Job Tasks'!$H$5:$H$904,"Issue found"))</f>
        <v>0</v>
      </c>
      <c r="U344" s="39">
        <f>IF(F344="","",IF(R344+S344=0,"New",IF(S344/(R344+S344)&gt;0.25,"Often skipped","Working")))</f>
        <v>0</v>
      </c>
      <c r="V344" s="31">
        <f>IF(OR(B344="",F344=""),"",COUNTIFS($B$5:B344,B344))</f>
        <v>0</v>
      </c>
      <c r="W344" s="23">
        <f>IF(V344="","",B344&amp;"|"&amp;V344)</f>
        <v>0</v>
      </c>
      <c r="X344" s="39">
        <f>IF(F344="","",IF(B344="","Add - which service?",IF(H344="","Add - how many minutes?",IF(AND(Q344&lt;&gt;"",P344&gt;Q344+0.25),"Check - checklist is longer than the service allows",IF(S344&gt;=3,"Check - often skipped","OK")))))</f>
        <v>0</v>
      </c>
    </row>
    <row r="345" spans="1:24">
      <c r="A345" s="43">
        <f>IF(F345="","","CHK-"&amp;TEXT(ROW()-4,"0000"))</f>
        <v>0</v>
      </c>
      <c r="O345" s="34">
        <f>IF(F345="","",ROUND(IF(H345="",0,H345)/60,2))</f>
        <v>0</v>
      </c>
      <c r="P345" s="34">
        <f>IF(B345="","",ROUND(SUMIFS($H$5:$H$404,$B$5:$B$404,B345,$M$5:$M$404,"Yes")/60,2))</f>
        <v>0</v>
      </c>
      <c r="Q345" s="34">
        <f>IF(B345="","",IFERROR(INDEX(Services!$G$5:$G$64,MATCH(B345,Services!$B$5:$B$64,0)),""))</f>
        <v>0</v>
      </c>
      <c r="R345" s="31">
        <f>IF(F345="","",COUNTIFS('Job Tasks'!$G$5:$G$904,F345,'Job Tasks'!$H$5:$H$904,"Done"))</f>
        <v>0</v>
      </c>
      <c r="S345" s="31">
        <f>IF(F345="","",COUNTIFS('Job Tasks'!$G$5:$G$904,F345,'Job Tasks'!$H$5:$H$904,"Skipped"))</f>
        <v>0</v>
      </c>
      <c r="T345" s="31">
        <f>IF(F345="","",COUNTIFS('Job Tasks'!$G$5:$G$904,F345,'Job Tasks'!$H$5:$H$904,"Issue found"))</f>
        <v>0</v>
      </c>
      <c r="U345" s="39">
        <f>IF(F345="","",IF(R345+S345=0,"New",IF(S345/(R345+S345)&gt;0.25,"Often skipped","Working")))</f>
        <v>0</v>
      </c>
      <c r="V345" s="31">
        <f>IF(OR(B345="",F345=""),"",COUNTIFS($B$5:B345,B345))</f>
        <v>0</v>
      </c>
      <c r="W345" s="23">
        <f>IF(V345="","",B345&amp;"|"&amp;V345)</f>
        <v>0</v>
      </c>
      <c r="X345" s="39">
        <f>IF(F345="","",IF(B345="","Add - which service?",IF(H345="","Add - how many minutes?",IF(AND(Q345&lt;&gt;"",P345&gt;Q345+0.25),"Check - checklist is longer than the service allows",IF(S345&gt;=3,"Check - often skipped","OK")))))</f>
        <v>0</v>
      </c>
    </row>
    <row r="346" spans="1:24">
      <c r="A346" s="43">
        <f>IF(F346="","","CHK-"&amp;TEXT(ROW()-4,"0000"))</f>
        <v>0</v>
      </c>
      <c r="O346" s="34">
        <f>IF(F346="","",ROUND(IF(H346="",0,H346)/60,2))</f>
        <v>0</v>
      </c>
      <c r="P346" s="34">
        <f>IF(B346="","",ROUND(SUMIFS($H$5:$H$404,$B$5:$B$404,B346,$M$5:$M$404,"Yes")/60,2))</f>
        <v>0</v>
      </c>
      <c r="Q346" s="34">
        <f>IF(B346="","",IFERROR(INDEX(Services!$G$5:$G$64,MATCH(B346,Services!$B$5:$B$64,0)),""))</f>
        <v>0</v>
      </c>
      <c r="R346" s="31">
        <f>IF(F346="","",COUNTIFS('Job Tasks'!$G$5:$G$904,F346,'Job Tasks'!$H$5:$H$904,"Done"))</f>
        <v>0</v>
      </c>
      <c r="S346" s="31">
        <f>IF(F346="","",COUNTIFS('Job Tasks'!$G$5:$G$904,F346,'Job Tasks'!$H$5:$H$904,"Skipped"))</f>
        <v>0</v>
      </c>
      <c r="T346" s="31">
        <f>IF(F346="","",COUNTIFS('Job Tasks'!$G$5:$G$904,F346,'Job Tasks'!$H$5:$H$904,"Issue found"))</f>
        <v>0</v>
      </c>
      <c r="U346" s="39">
        <f>IF(F346="","",IF(R346+S346=0,"New",IF(S346/(R346+S346)&gt;0.25,"Often skipped","Working")))</f>
        <v>0</v>
      </c>
      <c r="V346" s="31">
        <f>IF(OR(B346="",F346=""),"",COUNTIFS($B$5:B346,B346))</f>
        <v>0</v>
      </c>
      <c r="W346" s="23">
        <f>IF(V346="","",B346&amp;"|"&amp;V346)</f>
        <v>0</v>
      </c>
      <c r="X346" s="39">
        <f>IF(F346="","",IF(B346="","Add - which service?",IF(H346="","Add - how many minutes?",IF(AND(Q346&lt;&gt;"",P346&gt;Q346+0.25),"Check - checklist is longer than the service allows",IF(S346&gt;=3,"Check - often skipped","OK")))))</f>
        <v>0</v>
      </c>
    </row>
    <row r="347" spans="1:24">
      <c r="A347" s="43">
        <f>IF(F347="","","CHK-"&amp;TEXT(ROW()-4,"0000"))</f>
        <v>0</v>
      </c>
      <c r="O347" s="34">
        <f>IF(F347="","",ROUND(IF(H347="",0,H347)/60,2))</f>
        <v>0</v>
      </c>
      <c r="P347" s="34">
        <f>IF(B347="","",ROUND(SUMIFS($H$5:$H$404,$B$5:$B$404,B347,$M$5:$M$404,"Yes")/60,2))</f>
        <v>0</v>
      </c>
      <c r="Q347" s="34">
        <f>IF(B347="","",IFERROR(INDEX(Services!$G$5:$G$64,MATCH(B347,Services!$B$5:$B$64,0)),""))</f>
        <v>0</v>
      </c>
      <c r="R347" s="31">
        <f>IF(F347="","",COUNTIFS('Job Tasks'!$G$5:$G$904,F347,'Job Tasks'!$H$5:$H$904,"Done"))</f>
        <v>0</v>
      </c>
      <c r="S347" s="31">
        <f>IF(F347="","",COUNTIFS('Job Tasks'!$G$5:$G$904,F347,'Job Tasks'!$H$5:$H$904,"Skipped"))</f>
        <v>0</v>
      </c>
      <c r="T347" s="31">
        <f>IF(F347="","",COUNTIFS('Job Tasks'!$G$5:$G$904,F347,'Job Tasks'!$H$5:$H$904,"Issue found"))</f>
        <v>0</v>
      </c>
      <c r="U347" s="39">
        <f>IF(F347="","",IF(R347+S347=0,"New",IF(S347/(R347+S347)&gt;0.25,"Often skipped","Working")))</f>
        <v>0</v>
      </c>
      <c r="V347" s="31">
        <f>IF(OR(B347="",F347=""),"",COUNTIFS($B$5:B347,B347))</f>
        <v>0</v>
      </c>
      <c r="W347" s="23">
        <f>IF(V347="","",B347&amp;"|"&amp;V347)</f>
        <v>0</v>
      </c>
      <c r="X347" s="39">
        <f>IF(F347="","",IF(B347="","Add - which service?",IF(H347="","Add - how many minutes?",IF(AND(Q347&lt;&gt;"",P347&gt;Q347+0.25),"Check - checklist is longer than the service allows",IF(S347&gt;=3,"Check - often skipped","OK")))))</f>
        <v>0</v>
      </c>
    </row>
    <row r="348" spans="1:24">
      <c r="A348" s="43">
        <f>IF(F348="","","CHK-"&amp;TEXT(ROW()-4,"0000"))</f>
        <v>0</v>
      </c>
      <c r="O348" s="34">
        <f>IF(F348="","",ROUND(IF(H348="",0,H348)/60,2))</f>
        <v>0</v>
      </c>
      <c r="P348" s="34">
        <f>IF(B348="","",ROUND(SUMIFS($H$5:$H$404,$B$5:$B$404,B348,$M$5:$M$404,"Yes")/60,2))</f>
        <v>0</v>
      </c>
      <c r="Q348" s="34">
        <f>IF(B348="","",IFERROR(INDEX(Services!$G$5:$G$64,MATCH(B348,Services!$B$5:$B$64,0)),""))</f>
        <v>0</v>
      </c>
      <c r="R348" s="31">
        <f>IF(F348="","",COUNTIFS('Job Tasks'!$G$5:$G$904,F348,'Job Tasks'!$H$5:$H$904,"Done"))</f>
        <v>0</v>
      </c>
      <c r="S348" s="31">
        <f>IF(F348="","",COUNTIFS('Job Tasks'!$G$5:$G$904,F348,'Job Tasks'!$H$5:$H$904,"Skipped"))</f>
        <v>0</v>
      </c>
      <c r="T348" s="31">
        <f>IF(F348="","",COUNTIFS('Job Tasks'!$G$5:$G$904,F348,'Job Tasks'!$H$5:$H$904,"Issue found"))</f>
        <v>0</v>
      </c>
      <c r="U348" s="39">
        <f>IF(F348="","",IF(R348+S348=0,"New",IF(S348/(R348+S348)&gt;0.25,"Often skipped","Working")))</f>
        <v>0</v>
      </c>
      <c r="V348" s="31">
        <f>IF(OR(B348="",F348=""),"",COUNTIFS($B$5:B348,B348))</f>
        <v>0</v>
      </c>
      <c r="W348" s="23">
        <f>IF(V348="","",B348&amp;"|"&amp;V348)</f>
        <v>0</v>
      </c>
      <c r="X348" s="39">
        <f>IF(F348="","",IF(B348="","Add - which service?",IF(H348="","Add - how many minutes?",IF(AND(Q348&lt;&gt;"",P348&gt;Q348+0.25),"Check - checklist is longer than the service allows",IF(S348&gt;=3,"Check - often skipped","OK")))))</f>
        <v>0</v>
      </c>
    </row>
    <row r="349" spans="1:24">
      <c r="A349" s="43">
        <f>IF(F349="","","CHK-"&amp;TEXT(ROW()-4,"0000"))</f>
        <v>0</v>
      </c>
      <c r="O349" s="34">
        <f>IF(F349="","",ROUND(IF(H349="",0,H349)/60,2))</f>
        <v>0</v>
      </c>
      <c r="P349" s="34">
        <f>IF(B349="","",ROUND(SUMIFS($H$5:$H$404,$B$5:$B$404,B349,$M$5:$M$404,"Yes")/60,2))</f>
        <v>0</v>
      </c>
      <c r="Q349" s="34">
        <f>IF(B349="","",IFERROR(INDEX(Services!$G$5:$G$64,MATCH(B349,Services!$B$5:$B$64,0)),""))</f>
        <v>0</v>
      </c>
      <c r="R349" s="31">
        <f>IF(F349="","",COUNTIFS('Job Tasks'!$G$5:$G$904,F349,'Job Tasks'!$H$5:$H$904,"Done"))</f>
        <v>0</v>
      </c>
      <c r="S349" s="31">
        <f>IF(F349="","",COUNTIFS('Job Tasks'!$G$5:$G$904,F349,'Job Tasks'!$H$5:$H$904,"Skipped"))</f>
        <v>0</v>
      </c>
      <c r="T349" s="31">
        <f>IF(F349="","",COUNTIFS('Job Tasks'!$G$5:$G$904,F349,'Job Tasks'!$H$5:$H$904,"Issue found"))</f>
        <v>0</v>
      </c>
      <c r="U349" s="39">
        <f>IF(F349="","",IF(R349+S349=0,"New",IF(S349/(R349+S349)&gt;0.25,"Often skipped","Working")))</f>
        <v>0</v>
      </c>
      <c r="V349" s="31">
        <f>IF(OR(B349="",F349=""),"",COUNTIFS($B$5:B349,B349))</f>
        <v>0</v>
      </c>
      <c r="W349" s="23">
        <f>IF(V349="","",B349&amp;"|"&amp;V349)</f>
        <v>0</v>
      </c>
      <c r="X349" s="39">
        <f>IF(F349="","",IF(B349="","Add - which service?",IF(H349="","Add - how many minutes?",IF(AND(Q349&lt;&gt;"",P349&gt;Q349+0.25),"Check - checklist is longer than the service allows",IF(S349&gt;=3,"Check - often skipped","OK")))))</f>
        <v>0</v>
      </c>
    </row>
    <row r="350" spans="1:24">
      <c r="A350" s="43">
        <f>IF(F350="","","CHK-"&amp;TEXT(ROW()-4,"0000"))</f>
        <v>0</v>
      </c>
      <c r="O350" s="34">
        <f>IF(F350="","",ROUND(IF(H350="",0,H350)/60,2))</f>
        <v>0</v>
      </c>
      <c r="P350" s="34">
        <f>IF(B350="","",ROUND(SUMIFS($H$5:$H$404,$B$5:$B$404,B350,$M$5:$M$404,"Yes")/60,2))</f>
        <v>0</v>
      </c>
      <c r="Q350" s="34">
        <f>IF(B350="","",IFERROR(INDEX(Services!$G$5:$G$64,MATCH(B350,Services!$B$5:$B$64,0)),""))</f>
        <v>0</v>
      </c>
      <c r="R350" s="31">
        <f>IF(F350="","",COUNTIFS('Job Tasks'!$G$5:$G$904,F350,'Job Tasks'!$H$5:$H$904,"Done"))</f>
        <v>0</v>
      </c>
      <c r="S350" s="31">
        <f>IF(F350="","",COUNTIFS('Job Tasks'!$G$5:$G$904,F350,'Job Tasks'!$H$5:$H$904,"Skipped"))</f>
        <v>0</v>
      </c>
      <c r="T350" s="31">
        <f>IF(F350="","",COUNTIFS('Job Tasks'!$G$5:$G$904,F350,'Job Tasks'!$H$5:$H$904,"Issue found"))</f>
        <v>0</v>
      </c>
      <c r="U350" s="39">
        <f>IF(F350="","",IF(R350+S350=0,"New",IF(S350/(R350+S350)&gt;0.25,"Often skipped","Working")))</f>
        <v>0</v>
      </c>
      <c r="V350" s="31">
        <f>IF(OR(B350="",F350=""),"",COUNTIFS($B$5:B350,B350))</f>
        <v>0</v>
      </c>
      <c r="W350" s="23">
        <f>IF(V350="","",B350&amp;"|"&amp;V350)</f>
        <v>0</v>
      </c>
      <c r="X350" s="39">
        <f>IF(F350="","",IF(B350="","Add - which service?",IF(H350="","Add - how many minutes?",IF(AND(Q350&lt;&gt;"",P350&gt;Q350+0.25),"Check - checklist is longer than the service allows",IF(S350&gt;=3,"Check - often skipped","OK")))))</f>
        <v>0</v>
      </c>
    </row>
    <row r="351" spans="1:24">
      <c r="A351" s="43">
        <f>IF(F351="","","CHK-"&amp;TEXT(ROW()-4,"0000"))</f>
        <v>0</v>
      </c>
      <c r="O351" s="34">
        <f>IF(F351="","",ROUND(IF(H351="",0,H351)/60,2))</f>
        <v>0</v>
      </c>
      <c r="P351" s="34">
        <f>IF(B351="","",ROUND(SUMIFS($H$5:$H$404,$B$5:$B$404,B351,$M$5:$M$404,"Yes")/60,2))</f>
        <v>0</v>
      </c>
      <c r="Q351" s="34">
        <f>IF(B351="","",IFERROR(INDEX(Services!$G$5:$G$64,MATCH(B351,Services!$B$5:$B$64,0)),""))</f>
        <v>0</v>
      </c>
      <c r="R351" s="31">
        <f>IF(F351="","",COUNTIFS('Job Tasks'!$G$5:$G$904,F351,'Job Tasks'!$H$5:$H$904,"Done"))</f>
        <v>0</v>
      </c>
      <c r="S351" s="31">
        <f>IF(F351="","",COUNTIFS('Job Tasks'!$G$5:$G$904,F351,'Job Tasks'!$H$5:$H$904,"Skipped"))</f>
        <v>0</v>
      </c>
      <c r="T351" s="31">
        <f>IF(F351="","",COUNTIFS('Job Tasks'!$G$5:$G$904,F351,'Job Tasks'!$H$5:$H$904,"Issue found"))</f>
        <v>0</v>
      </c>
      <c r="U351" s="39">
        <f>IF(F351="","",IF(R351+S351=0,"New",IF(S351/(R351+S351)&gt;0.25,"Often skipped","Working")))</f>
        <v>0</v>
      </c>
      <c r="V351" s="31">
        <f>IF(OR(B351="",F351=""),"",COUNTIFS($B$5:B351,B351))</f>
        <v>0</v>
      </c>
      <c r="W351" s="23">
        <f>IF(V351="","",B351&amp;"|"&amp;V351)</f>
        <v>0</v>
      </c>
      <c r="X351" s="39">
        <f>IF(F351="","",IF(B351="","Add - which service?",IF(H351="","Add - how many minutes?",IF(AND(Q351&lt;&gt;"",P351&gt;Q351+0.25),"Check - checklist is longer than the service allows",IF(S351&gt;=3,"Check - often skipped","OK")))))</f>
        <v>0</v>
      </c>
    </row>
    <row r="352" spans="1:24">
      <c r="A352" s="43">
        <f>IF(F352="","","CHK-"&amp;TEXT(ROW()-4,"0000"))</f>
        <v>0</v>
      </c>
      <c r="O352" s="34">
        <f>IF(F352="","",ROUND(IF(H352="",0,H352)/60,2))</f>
        <v>0</v>
      </c>
      <c r="P352" s="34">
        <f>IF(B352="","",ROUND(SUMIFS($H$5:$H$404,$B$5:$B$404,B352,$M$5:$M$404,"Yes")/60,2))</f>
        <v>0</v>
      </c>
      <c r="Q352" s="34">
        <f>IF(B352="","",IFERROR(INDEX(Services!$G$5:$G$64,MATCH(B352,Services!$B$5:$B$64,0)),""))</f>
        <v>0</v>
      </c>
      <c r="R352" s="31">
        <f>IF(F352="","",COUNTIFS('Job Tasks'!$G$5:$G$904,F352,'Job Tasks'!$H$5:$H$904,"Done"))</f>
        <v>0</v>
      </c>
      <c r="S352" s="31">
        <f>IF(F352="","",COUNTIFS('Job Tasks'!$G$5:$G$904,F352,'Job Tasks'!$H$5:$H$904,"Skipped"))</f>
        <v>0</v>
      </c>
      <c r="T352" s="31">
        <f>IF(F352="","",COUNTIFS('Job Tasks'!$G$5:$G$904,F352,'Job Tasks'!$H$5:$H$904,"Issue found"))</f>
        <v>0</v>
      </c>
      <c r="U352" s="39">
        <f>IF(F352="","",IF(R352+S352=0,"New",IF(S352/(R352+S352)&gt;0.25,"Often skipped","Working")))</f>
        <v>0</v>
      </c>
      <c r="V352" s="31">
        <f>IF(OR(B352="",F352=""),"",COUNTIFS($B$5:B352,B352))</f>
        <v>0</v>
      </c>
      <c r="W352" s="23">
        <f>IF(V352="","",B352&amp;"|"&amp;V352)</f>
        <v>0</v>
      </c>
      <c r="X352" s="39">
        <f>IF(F352="","",IF(B352="","Add - which service?",IF(H352="","Add - how many minutes?",IF(AND(Q352&lt;&gt;"",P352&gt;Q352+0.25),"Check - checklist is longer than the service allows",IF(S352&gt;=3,"Check - often skipped","OK")))))</f>
        <v>0</v>
      </c>
    </row>
    <row r="353" spans="1:24">
      <c r="A353" s="43">
        <f>IF(F353="","","CHK-"&amp;TEXT(ROW()-4,"0000"))</f>
        <v>0</v>
      </c>
      <c r="O353" s="34">
        <f>IF(F353="","",ROUND(IF(H353="",0,H353)/60,2))</f>
        <v>0</v>
      </c>
      <c r="P353" s="34">
        <f>IF(B353="","",ROUND(SUMIFS($H$5:$H$404,$B$5:$B$404,B353,$M$5:$M$404,"Yes")/60,2))</f>
        <v>0</v>
      </c>
      <c r="Q353" s="34">
        <f>IF(B353="","",IFERROR(INDEX(Services!$G$5:$G$64,MATCH(B353,Services!$B$5:$B$64,0)),""))</f>
        <v>0</v>
      </c>
      <c r="R353" s="31">
        <f>IF(F353="","",COUNTIFS('Job Tasks'!$G$5:$G$904,F353,'Job Tasks'!$H$5:$H$904,"Done"))</f>
        <v>0</v>
      </c>
      <c r="S353" s="31">
        <f>IF(F353="","",COUNTIFS('Job Tasks'!$G$5:$G$904,F353,'Job Tasks'!$H$5:$H$904,"Skipped"))</f>
        <v>0</v>
      </c>
      <c r="T353" s="31">
        <f>IF(F353="","",COUNTIFS('Job Tasks'!$G$5:$G$904,F353,'Job Tasks'!$H$5:$H$904,"Issue found"))</f>
        <v>0</v>
      </c>
      <c r="U353" s="39">
        <f>IF(F353="","",IF(R353+S353=0,"New",IF(S353/(R353+S353)&gt;0.25,"Often skipped","Working")))</f>
        <v>0</v>
      </c>
      <c r="V353" s="31">
        <f>IF(OR(B353="",F353=""),"",COUNTIFS($B$5:B353,B353))</f>
        <v>0</v>
      </c>
      <c r="W353" s="23">
        <f>IF(V353="","",B353&amp;"|"&amp;V353)</f>
        <v>0</v>
      </c>
      <c r="X353" s="39">
        <f>IF(F353="","",IF(B353="","Add - which service?",IF(H353="","Add - how many minutes?",IF(AND(Q353&lt;&gt;"",P353&gt;Q353+0.25),"Check - checklist is longer than the service allows",IF(S353&gt;=3,"Check - often skipped","OK")))))</f>
        <v>0</v>
      </c>
    </row>
    <row r="354" spans="1:24">
      <c r="A354" s="43">
        <f>IF(F354="","","CHK-"&amp;TEXT(ROW()-4,"0000"))</f>
        <v>0</v>
      </c>
      <c r="O354" s="34">
        <f>IF(F354="","",ROUND(IF(H354="",0,H354)/60,2))</f>
        <v>0</v>
      </c>
      <c r="P354" s="34">
        <f>IF(B354="","",ROUND(SUMIFS($H$5:$H$404,$B$5:$B$404,B354,$M$5:$M$404,"Yes")/60,2))</f>
        <v>0</v>
      </c>
      <c r="Q354" s="34">
        <f>IF(B354="","",IFERROR(INDEX(Services!$G$5:$G$64,MATCH(B354,Services!$B$5:$B$64,0)),""))</f>
        <v>0</v>
      </c>
      <c r="R354" s="31">
        <f>IF(F354="","",COUNTIFS('Job Tasks'!$G$5:$G$904,F354,'Job Tasks'!$H$5:$H$904,"Done"))</f>
        <v>0</v>
      </c>
      <c r="S354" s="31">
        <f>IF(F354="","",COUNTIFS('Job Tasks'!$G$5:$G$904,F354,'Job Tasks'!$H$5:$H$904,"Skipped"))</f>
        <v>0</v>
      </c>
      <c r="T354" s="31">
        <f>IF(F354="","",COUNTIFS('Job Tasks'!$G$5:$G$904,F354,'Job Tasks'!$H$5:$H$904,"Issue found"))</f>
        <v>0</v>
      </c>
      <c r="U354" s="39">
        <f>IF(F354="","",IF(R354+S354=0,"New",IF(S354/(R354+S354)&gt;0.25,"Often skipped","Working")))</f>
        <v>0</v>
      </c>
      <c r="V354" s="31">
        <f>IF(OR(B354="",F354=""),"",COUNTIFS($B$5:B354,B354))</f>
        <v>0</v>
      </c>
      <c r="W354" s="23">
        <f>IF(V354="","",B354&amp;"|"&amp;V354)</f>
        <v>0</v>
      </c>
      <c r="X354" s="39">
        <f>IF(F354="","",IF(B354="","Add - which service?",IF(H354="","Add - how many minutes?",IF(AND(Q354&lt;&gt;"",P354&gt;Q354+0.25),"Check - checklist is longer than the service allows",IF(S354&gt;=3,"Check - often skipped","OK")))))</f>
        <v>0</v>
      </c>
    </row>
    <row r="355" spans="1:24">
      <c r="A355" s="43">
        <f>IF(F355="","","CHK-"&amp;TEXT(ROW()-4,"0000"))</f>
        <v>0</v>
      </c>
      <c r="O355" s="34">
        <f>IF(F355="","",ROUND(IF(H355="",0,H355)/60,2))</f>
        <v>0</v>
      </c>
      <c r="P355" s="34">
        <f>IF(B355="","",ROUND(SUMIFS($H$5:$H$404,$B$5:$B$404,B355,$M$5:$M$404,"Yes")/60,2))</f>
        <v>0</v>
      </c>
      <c r="Q355" s="34">
        <f>IF(B355="","",IFERROR(INDEX(Services!$G$5:$G$64,MATCH(B355,Services!$B$5:$B$64,0)),""))</f>
        <v>0</v>
      </c>
      <c r="R355" s="31">
        <f>IF(F355="","",COUNTIFS('Job Tasks'!$G$5:$G$904,F355,'Job Tasks'!$H$5:$H$904,"Done"))</f>
        <v>0</v>
      </c>
      <c r="S355" s="31">
        <f>IF(F355="","",COUNTIFS('Job Tasks'!$G$5:$G$904,F355,'Job Tasks'!$H$5:$H$904,"Skipped"))</f>
        <v>0</v>
      </c>
      <c r="T355" s="31">
        <f>IF(F355="","",COUNTIFS('Job Tasks'!$G$5:$G$904,F355,'Job Tasks'!$H$5:$H$904,"Issue found"))</f>
        <v>0</v>
      </c>
      <c r="U355" s="39">
        <f>IF(F355="","",IF(R355+S355=0,"New",IF(S355/(R355+S355)&gt;0.25,"Often skipped","Working")))</f>
        <v>0</v>
      </c>
      <c r="V355" s="31">
        <f>IF(OR(B355="",F355=""),"",COUNTIFS($B$5:B355,B355))</f>
        <v>0</v>
      </c>
      <c r="W355" s="23">
        <f>IF(V355="","",B355&amp;"|"&amp;V355)</f>
        <v>0</v>
      </c>
      <c r="X355" s="39">
        <f>IF(F355="","",IF(B355="","Add - which service?",IF(H355="","Add - how many minutes?",IF(AND(Q355&lt;&gt;"",P355&gt;Q355+0.25),"Check - checklist is longer than the service allows",IF(S355&gt;=3,"Check - often skipped","OK")))))</f>
        <v>0</v>
      </c>
    </row>
    <row r="356" spans="1:24">
      <c r="A356" s="43">
        <f>IF(F356="","","CHK-"&amp;TEXT(ROW()-4,"0000"))</f>
        <v>0</v>
      </c>
      <c r="O356" s="34">
        <f>IF(F356="","",ROUND(IF(H356="",0,H356)/60,2))</f>
        <v>0</v>
      </c>
      <c r="P356" s="34">
        <f>IF(B356="","",ROUND(SUMIFS($H$5:$H$404,$B$5:$B$404,B356,$M$5:$M$404,"Yes")/60,2))</f>
        <v>0</v>
      </c>
      <c r="Q356" s="34">
        <f>IF(B356="","",IFERROR(INDEX(Services!$G$5:$G$64,MATCH(B356,Services!$B$5:$B$64,0)),""))</f>
        <v>0</v>
      </c>
      <c r="R356" s="31">
        <f>IF(F356="","",COUNTIFS('Job Tasks'!$G$5:$G$904,F356,'Job Tasks'!$H$5:$H$904,"Done"))</f>
        <v>0</v>
      </c>
      <c r="S356" s="31">
        <f>IF(F356="","",COUNTIFS('Job Tasks'!$G$5:$G$904,F356,'Job Tasks'!$H$5:$H$904,"Skipped"))</f>
        <v>0</v>
      </c>
      <c r="T356" s="31">
        <f>IF(F356="","",COUNTIFS('Job Tasks'!$G$5:$G$904,F356,'Job Tasks'!$H$5:$H$904,"Issue found"))</f>
        <v>0</v>
      </c>
      <c r="U356" s="39">
        <f>IF(F356="","",IF(R356+S356=0,"New",IF(S356/(R356+S356)&gt;0.25,"Often skipped","Working")))</f>
        <v>0</v>
      </c>
      <c r="V356" s="31">
        <f>IF(OR(B356="",F356=""),"",COUNTIFS($B$5:B356,B356))</f>
        <v>0</v>
      </c>
      <c r="W356" s="23">
        <f>IF(V356="","",B356&amp;"|"&amp;V356)</f>
        <v>0</v>
      </c>
      <c r="X356" s="39">
        <f>IF(F356="","",IF(B356="","Add - which service?",IF(H356="","Add - how many minutes?",IF(AND(Q356&lt;&gt;"",P356&gt;Q356+0.25),"Check - checklist is longer than the service allows",IF(S356&gt;=3,"Check - often skipped","OK")))))</f>
        <v>0</v>
      </c>
    </row>
    <row r="357" spans="1:24">
      <c r="A357" s="43">
        <f>IF(F357="","","CHK-"&amp;TEXT(ROW()-4,"0000"))</f>
        <v>0</v>
      </c>
      <c r="O357" s="34">
        <f>IF(F357="","",ROUND(IF(H357="",0,H357)/60,2))</f>
        <v>0</v>
      </c>
      <c r="P357" s="34">
        <f>IF(B357="","",ROUND(SUMIFS($H$5:$H$404,$B$5:$B$404,B357,$M$5:$M$404,"Yes")/60,2))</f>
        <v>0</v>
      </c>
      <c r="Q357" s="34">
        <f>IF(B357="","",IFERROR(INDEX(Services!$G$5:$G$64,MATCH(B357,Services!$B$5:$B$64,0)),""))</f>
        <v>0</v>
      </c>
      <c r="R357" s="31">
        <f>IF(F357="","",COUNTIFS('Job Tasks'!$G$5:$G$904,F357,'Job Tasks'!$H$5:$H$904,"Done"))</f>
        <v>0</v>
      </c>
      <c r="S357" s="31">
        <f>IF(F357="","",COUNTIFS('Job Tasks'!$G$5:$G$904,F357,'Job Tasks'!$H$5:$H$904,"Skipped"))</f>
        <v>0</v>
      </c>
      <c r="T357" s="31">
        <f>IF(F357="","",COUNTIFS('Job Tasks'!$G$5:$G$904,F357,'Job Tasks'!$H$5:$H$904,"Issue found"))</f>
        <v>0</v>
      </c>
      <c r="U357" s="39">
        <f>IF(F357="","",IF(R357+S357=0,"New",IF(S357/(R357+S357)&gt;0.25,"Often skipped","Working")))</f>
        <v>0</v>
      </c>
      <c r="V357" s="31">
        <f>IF(OR(B357="",F357=""),"",COUNTIFS($B$5:B357,B357))</f>
        <v>0</v>
      </c>
      <c r="W357" s="23">
        <f>IF(V357="","",B357&amp;"|"&amp;V357)</f>
        <v>0</v>
      </c>
      <c r="X357" s="39">
        <f>IF(F357="","",IF(B357="","Add - which service?",IF(H357="","Add - how many minutes?",IF(AND(Q357&lt;&gt;"",P357&gt;Q357+0.25),"Check - checklist is longer than the service allows",IF(S357&gt;=3,"Check - often skipped","OK")))))</f>
        <v>0</v>
      </c>
    </row>
    <row r="358" spans="1:24">
      <c r="A358" s="43">
        <f>IF(F358="","","CHK-"&amp;TEXT(ROW()-4,"0000"))</f>
        <v>0</v>
      </c>
      <c r="O358" s="34">
        <f>IF(F358="","",ROUND(IF(H358="",0,H358)/60,2))</f>
        <v>0</v>
      </c>
      <c r="P358" s="34">
        <f>IF(B358="","",ROUND(SUMIFS($H$5:$H$404,$B$5:$B$404,B358,$M$5:$M$404,"Yes")/60,2))</f>
        <v>0</v>
      </c>
      <c r="Q358" s="34">
        <f>IF(B358="","",IFERROR(INDEX(Services!$G$5:$G$64,MATCH(B358,Services!$B$5:$B$64,0)),""))</f>
        <v>0</v>
      </c>
      <c r="R358" s="31">
        <f>IF(F358="","",COUNTIFS('Job Tasks'!$G$5:$G$904,F358,'Job Tasks'!$H$5:$H$904,"Done"))</f>
        <v>0</v>
      </c>
      <c r="S358" s="31">
        <f>IF(F358="","",COUNTIFS('Job Tasks'!$G$5:$G$904,F358,'Job Tasks'!$H$5:$H$904,"Skipped"))</f>
        <v>0</v>
      </c>
      <c r="T358" s="31">
        <f>IF(F358="","",COUNTIFS('Job Tasks'!$G$5:$G$904,F358,'Job Tasks'!$H$5:$H$904,"Issue found"))</f>
        <v>0</v>
      </c>
      <c r="U358" s="39">
        <f>IF(F358="","",IF(R358+S358=0,"New",IF(S358/(R358+S358)&gt;0.25,"Often skipped","Working")))</f>
        <v>0</v>
      </c>
      <c r="V358" s="31">
        <f>IF(OR(B358="",F358=""),"",COUNTIFS($B$5:B358,B358))</f>
        <v>0</v>
      </c>
      <c r="W358" s="23">
        <f>IF(V358="","",B358&amp;"|"&amp;V358)</f>
        <v>0</v>
      </c>
      <c r="X358" s="39">
        <f>IF(F358="","",IF(B358="","Add - which service?",IF(H358="","Add - how many minutes?",IF(AND(Q358&lt;&gt;"",P358&gt;Q358+0.25),"Check - checklist is longer than the service allows",IF(S358&gt;=3,"Check - often skipped","OK")))))</f>
        <v>0</v>
      </c>
    </row>
    <row r="359" spans="1:24">
      <c r="A359" s="43">
        <f>IF(F359="","","CHK-"&amp;TEXT(ROW()-4,"0000"))</f>
        <v>0</v>
      </c>
      <c r="O359" s="34">
        <f>IF(F359="","",ROUND(IF(H359="",0,H359)/60,2))</f>
        <v>0</v>
      </c>
      <c r="P359" s="34">
        <f>IF(B359="","",ROUND(SUMIFS($H$5:$H$404,$B$5:$B$404,B359,$M$5:$M$404,"Yes")/60,2))</f>
        <v>0</v>
      </c>
      <c r="Q359" s="34">
        <f>IF(B359="","",IFERROR(INDEX(Services!$G$5:$G$64,MATCH(B359,Services!$B$5:$B$64,0)),""))</f>
        <v>0</v>
      </c>
      <c r="R359" s="31">
        <f>IF(F359="","",COUNTIFS('Job Tasks'!$G$5:$G$904,F359,'Job Tasks'!$H$5:$H$904,"Done"))</f>
        <v>0</v>
      </c>
      <c r="S359" s="31">
        <f>IF(F359="","",COUNTIFS('Job Tasks'!$G$5:$G$904,F359,'Job Tasks'!$H$5:$H$904,"Skipped"))</f>
        <v>0</v>
      </c>
      <c r="T359" s="31">
        <f>IF(F359="","",COUNTIFS('Job Tasks'!$G$5:$G$904,F359,'Job Tasks'!$H$5:$H$904,"Issue found"))</f>
        <v>0</v>
      </c>
      <c r="U359" s="39">
        <f>IF(F359="","",IF(R359+S359=0,"New",IF(S359/(R359+S359)&gt;0.25,"Often skipped","Working")))</f>
        <v>0</v>
      </c>
      <c r="V359" s="31">
        <f>IF(OR(B359="",F359=""),"",COUNTIFS($B$5:B359,B359))</f>
        <v>0</v>
      </c>
      <c r="W359" s="23">
        <f>IF(V359="","",B359&amp;"|"&amp;V359)</f>
        <v>0</v>
      </c>
      <c r="X359" s="39">
        <f>IF(F359="","",IF(B359="","Add - which service?",IF(H359="","Add - how many minutes?",IF(AND(Q359&lt;&gt;"",P359&gt;Q359+0.25),"Check - checklist is longer than the service allows",IF(S359&gt;=3,"Check - often skipped","OK")))))</f>
        <v>0</v>
      </c>
    </row>
    <row r="360" spans="1:24">
      <c r="A360" s="43">
        <f>IF(F360="","","CHK-"&amp;TEXT(ROW()-4,"0000"))</f>
        <v>0</v>
      </c>
      <c r="O360" s="34">
        <f>IF(F360="","",ROUND(IF(H360="",0,H360)/60,2))</f>
        <v>0</v>
      </c>
      <c r="P360" s="34">
        <f>IF(B360="","",ROUND(SUMIFS($H$5:$H$404,$B$5:$B$404,B360,$M$5:$M$404,"Yes")/60,2))</f>
        <v>0</v>
      </c>
      <c r="Q360" s="34">
        <f>IF(B360="","",IFERROR(INDEX(Services!$G$5:$G$64,MATCH(B360,Services!$B$5:$B$64,0)),""))</f>
        <v>0</v>
      </c>
      <c r="R360" s="31">
        <f>IF(F360="","",COUNTIFS('Job Tasks'!$G$5:$G$904,F360,'Job Tasks'!$H$5:$H$904,"Done"))</f>
        <v>0</v>
      </c>
      <c r="S360" s="31">
        <f>IF(F360="","",COUNTIFS('Job Tasks'!$G$5:$G$904,F360,'Job Tasks'!$H$5:$H$904,"Skipped"))</f>
        <v>0</v>
      </c>
      <c r="T360" s="31">
        <f>IF(F360="","",COUNTIFS('Job Tasks'!$G$5:$G$904,F360,'Job Tasks'!$H$5:$H$904,"Issue found"))</f>
        <v>0</v>
      </c>
      <c r="U360" s="39">
        <f>IF(F360="","",IF(R360+S360=0,"New",IF(S360/(R360+S360)&gt;0.25,"Often skipped","Working")))</f>
        <v>0</v>
      </c>
      <c r="V360" s="31">
        <f>IF(OR(B360="",F360=""),"",COUNTIFS($B$5:B360,B360))</f>
        <v>0</v>
      </c>
      <c r="W360" s="23">
        <f>IF(V360="","",B360&amp;"|"&amp;V360)</f>
        <v>0</v>
      </c>
      <c r="X360" s="39">
        <f>IF(F360="","",IF(B360="","Add - which service?",IF(H360="","Add - how many minutes?",IF(AND(Q360&lt;&gt;"",P360&gt;Q360+0.25),"Check - checklist is longer than the service allows",IF(S360&gt;=3,"Check - often skipped","OK")))))</f>
        <v>0</v>
      </c>
    </row>
    <row r="361" spans="1:24">
      <c r="A361" s="43">
        <f>IF(F361="","","CHK-"&amp;TEXT(ROW()-4,"0000"))</f>
        <v>0</v>
      </c>
      <c r="O361" s="34">
        <f>IF(F361="","",ROUND(IF(H361="",0,H361)/60,2))</f>
        <v>0</v>
      </c>
      <c r="P361" s="34">
        <f>IF(B361="","",ROUND(SUMIFS($H$5:$H$404,$B$5:$B$404,B361,$M$5:$M$404,"Yes")/60,2))</f>
        <v>0</v>
      </c>
      <c r="Q361" s="34">
        <f>IF(B361="","",IFERROR(INDEX(Services!$G$5:$G$64,MATCH(B361,Services!$B$5:$B$64,0)),""))</f>
        <v>0</v>
      </c>
      <c r="R361" s="31">
        <f>IF(F361="","",COUNTIFS('Job Tasks'!$G$5:$G$904,F361,'Job Tasks'!$H$5:$H$904,"Done"))</f>
        <v>0</v>
      </c>
      <c r="S361" s="31">
        <f>IF(F361="","",COUNTIFS('Job Tasks'!$G$5:$G$904,F361,'Job Tasks'!$H$5:$H$904,"Skipped"))</f>
        <v>0</v>
      </c>
      <c r="T361" s="31">
        <f>IF(F361="","",COUNTIFS('Job Tasks'!$G$5:$G$904,F361,'Job Tasks'!$H$5:$H$904,"Issue found"))</f>
        <v>0</v>
      </c>
      <c r="U361" s="39">
        <f>IF(F361="","",IF(R361+S361=0,"New",IF(S361/(R361+S361)&gt;0.25,"Often skipped","Working")))</f>
        <v>0</v>
      </c>
      <c r="V361" s="31">
        <f>IF(OR(B361="",F361=""),"",COUNTIFS($B$5:B361,B361))</f>
        <v>0</v>
      </c>
      <c r="W361" s="23">
        <f>IF(V361="","",B361&amp;"|"&amp;V361)</f>
        <v>0</v>
      </c>
      <c r="X361" s="39">
        <f>IF(F361="","",IF(B361="","Add - which service?",IF(H361="","Add - how many minutes?",IF(AND(Q361&lt;&gt;"",P361&gt;Q361+0.25),"Check - checklist is longer than the service allows",IF(S361&gt;=3,"Check - often skipped","OK")))))</f>
        <v>0</v>
      </c>
    </row>
    <row r="362" spans="1:24">
      <c r="A362" s="43">
        <f>IF(F362="","","CHK-"&amp;TEXT(ROW()-4,"0000"))</f>
        <v>0</v>
      </c>
      <c r="O362" s="34">
        <f>IF(F362="","",ROUND(IF(H362="",0,H362)/60,2))</f>
        <v>0</v>
      </c>
      <c r="P362" s="34">
        <f>IF(B362="","",ROUND(SUMIFS($H$5:$H$404,$B$5:$B$404,B362,$M$5:$M$404,"Yes")/60,2))</f>
        <v>0</v>
      </c>
      <c r="Q362" s="34">
        <f>IF(B362="","",IFERROR(INDEX(Services!$G$5:$G$64,MATCH(B362,Services!$B$5:$B$64,0)),""))</f>
        <v>0</v>
      </c>
      <c r="R362" s="31">
        <f>IF(F362="","",COUNTIFS('Job Tasks'!$G$5:$G$904,F362,'Job Tasks'!$H$5:$H$904,"Done"))</f>
        <v>0</v>
      </c>
      <c r="S362" s="31">
        <f>IF(F362="","",COUNTIFS('Job Tasks'!$G$5:$G$904,F362,'Job Tasks'!$H$5:$H$904,"Skipped"))</f>
        <v>0</v>
      </c>
      <c r="T362" s="31">
        <f>IF(F362="","",COUNTIFS('Job Tasks'!$G$5:$G$904,F362,'Job Tasks'!$H$5:$H$904,"Issue found"))</f>
        <v>0</v>
      </c>
      <c r="U362" s="39">
        <f>IF(F362="","",IF(R362+S362=0,"New",IF(S362/(R362+S362)&gt;0.25,"Often skipped","Working")))</f>
        <v>0</v>
      </c>
      <c r="V362" s="31">
        <f>IF(OR(B362="",F362=""),"",COUNTIFS($B$5:B362,B362))</f>
        <v>0</v>
      </c>
      <c r="W362" s="23">
        <f>IF(V362="","",B362&amp;"|"&amp;V362)</f>
        <v>0</v>
      </c>
      <c r="X362" s="39">
        <f>IF(F362="","",IF(B362="","Add - which service?",IF(H362="","Add - how many minutes?",IF(AND(Q362&lt;&gt;"",P362&gt;Q362+0.25),"Check - checklist is longer than the service allows",IF(S362&gt;=3,"Check - often skipped","OK")))))</f>
        <v>0</v>
      </c>
    </row>
    <row r="363" spans="1:24">
      <c r="A363" s="43">
        <f>IF(F363="","","CHK-"&amp;TEXT(ROW()-4,"0000"))</f>
        <v>0</v>
      </c>
      <c r="O363" s="34">
        <f>IF(F363="","",ROUND(IF(H363="",0,H363)/60,2))</f>
        <v>0</v>
      </c>
      <c r="P363" s="34">
        <f>IF(B363="","",ROUND(SUMIFS($H$5:$H$404,$B$5:$B$404,B363,$M$5:$M$404,"Yes")/60,2))</f>
        <v>0</v>
      </c>
      <c r="Q363" s="34">
        <f>IF(B363="","",IFERROR(INDEX(Services!$G$5:$G$64,MATCH(B363,Services!$B$5:$B$64,0)),""))</f>
        <v>0</v>
      </c>
      <c r="R363" s="31">
        <f>IF(F363="","",COUNTIFS('Job Tasks'!$G$5:$G$904,F363,'Job Tasks'!$H$5:$H$904,"Done"))</f>
        <v>0</v>
      </c>
      <c r="S363" s="31">
        <f>IF(F363="","",COUNTIFS('Job Tasks'!$G$5:$G$904,F363,'Job Tasks'!$H$5:$H$904,"Skipped"))</f>
        <v>0</v>
      </c>
      <c r="T363" s="31">
        <f>IF(F363="","",COUNTIFS('Job Tasks'!$G$5:$G$904,F363,'Job Tasks'!$H$5:$H$904,"Issue found"))</f>
        <v>0</v>
      </c>
      <c r="U363" s="39">
        <f>IF(F363="","",IF(R363+S363=0,"New",IF(S363/(R363+S363)&gt;0.25,"Often skipped","Working")))</f>
        <v>0</v>
      </c>
      <c r="V363" s="31">
        <f>IF(OR(B363="",F363=""),"",COUNTIFS($B$5:B363,B363))</f>
        <v>0</v>
      </c>
      <c r="W363" s="23">
        <f>IF(V363="","",B363&amp;"|"&amp;V363)</f>
        <v>0</v>
      </c>
      <c r="X363" s="39">
        <f>IF(F363="","",IF(B363="","Add - which service?",IF(H363="","Add - how many minutes?",IF(AND(Q363&lt;&gt;"",P363&gt;Q363+0.25),"Check - checklist is longer than the service allows",IF(S363&gt;=3,"Check - often skipped","OK")))))</f>
        <v>0</v>
      </c>
    </row>
    <row r="364" spans="1:24">
      <c r="A364" s="43">
        <f>IF(F364="","","CHK-"&amp;TEXT(ROW()-4,"0000"))</f>
        <v>0</v>
      </c>
      <c r="O364" s="34">
        <f>IF(F364="","",ROUND(IF(H364="",0,H364)/60,2))</f>
        <v>0</v>
      </c>
      <c r="P364" s="34">
        <f>IF(B364="","",ROUND(SUMIFS($H$5:$H$404,$B$5:$B$404,B364,$M$5:$M$404,"Yes")/60,2))</f>
        <v>0</v>
      </c>
      <c r="Q364" s="34">
        <f>IF(B364="","",IFERROR(INDEX(Services!$G$5:$G$64,MATCH(B364,Services!$B$5:$B$64,0)),""))</f>
        <v>0</v>
      </c>
      <c r="R364" s="31">
        <f>IF(F364="","",COUNTIFS('Job Tasks'!$G$5:$G$904,F364,'Job Tasks'!$H$5:$H$904,"Done"))</f>
        <v>0</v>
      </c>
      <c r="S364" s="31">
        <f>IF(F364="","",COUNTIFS('Job Tasks'!$G$5:$G$904,F364,'Job Tasks'!$H$5:$H$904,"Skipped"))</f>
        <v>0</v>
      </c>
      <c r="T364" s="31">
        <f>IF(F364="","",COUNTIFS('Job Tasks'!$G$5:$G$904,F364,'Job Tasks'!$H$5:$H$904,"Issue found"))</f>
        <v>0</v>
      </c>
      <c r="U364" s="39">
        <f>IF(F364="","",IF(R364+S364=0,"New",IF(S364/(R364+S364)&gt;0.25,"Often skipped","Working")))</f>
        <v>0</v>
      </c>
      <c r="V364" s="31">
        <f>IF(OR(B364="",F364=""),"",COUNTIFS($B$5:B364,B364))</f>
        <v>0</v>
      </c>
      <c r="W364" s="23">
        <f>IF(V364="","",B364&amp;"|"&amp;V364)</f>
        <v>0</v>
      </c>
      <c r="X364" s="39">
        <f>IF(F364="","",IF(B364="","Add - which service?",IF(H364="","Add - how many minutes?",IF(AND(Q364&lt;&gt;"",P364&gt;Q364+0.25),"Check - checklist is longer than the service allows",IF(S364&gt;=3,"Check - often skipped","OK")))))</f>
        <v>0</v>
      </c>
    </row>
    <row r="365" spans="1:24">
      <c r="A365" s="43">
        <f>IF(F365="","","CHK-"&amp;TEXT(ROW()-4,"0000"))</f>
        <v>0</v>
      </c>
      <c r="O365" s="34">
        <f>IF(F365="","",ROUND(IF(H365="",0,H365)/60,2))</f>
        <v>0</v>
      </c>
      <c r="P365" s="34">
        <f>IF(B365="","",ROUND(SUMIFS($H$5:$H$404,$B$5:$B$404,B365,$M$5:$M$404,"Yes")/60,2))</f>
        <v>0</v>
      </c>
      <c r="Q365" s="34">
        <f>IF(B365="","",IFERROR(INDEX(Services!$G$5:$G$64,MATCH(B365,Services!$B$5:$B$64,0)),""))</f>
        <v>0</v>
      </c>
      <c r="R365" s="31">
        <f>IF(F365="","",COUNTIFS('Job Tasks'!$G$5:$G$904,F365,'Job Tasks'!$H$5:$H$904,"Done"))</f>
        <v>0</v>
      </c>
      <c r="S365" s="31">
        <f>IF(F365="","",COUNTIFS('Job Tasks'!$G$5:$G$904,F365,'Job Tasks'!$H$5:$H$904,"Skipped"))</f>
        <v>0</v>
      </c>
      <c r="T365" s="31">
        <f>IF(F365="","",COUNTIFS('Job Tasks'!$G$5:$G$904,F365,'Job Tasks'!$H$5:$H$904,"Issue found"))</f>
        <v>0</v>
      </c>
      <c r="U365" s="39">
        <f>IF(F365="","",IF(R365+S365=0,"New",IF(S365/(R365+S365)&gt;0.25,"Often skipped","Working")))</f>
        <v>0</v>
      </c>
      <c r="V365" s="31">
        <f>IF(OR(B365="",F365=""),"",COUNTIFS($B$5:B365,B365))</f>
        <v>0</v>
      </c>
      <c r="W365" s="23">
        <f>IF(V365="","",B365&amp;"|"&amp;V365)</f>
        <v>0</v>
      </c>
      <c r="X365" s="39">
        <f>IF(F365="","",IF(B365="","Add - which service?",IF(H365="","Add - how many minutes?",IF(AND(Q365&lt;&gt;"",P365&gt;Q365+0.25),"Check - checklist is longer than the service allows",IF(S365&gt;=3,"Check - often skipped","OK")))))</f>
        <v>0</v>
      </c>
    </row>
    <row r="366" spans="1:24">
      <c r="A366" s="43">
        <f>IF(F366="","","CHK-"&amp;TEXT(ROW()-4,"0000"))</f>
        <v>0</v>
      </c>
      <c r="O366" s="34">
        <f>IF(F366="","",ROUND(IF(H366="",0,H366)/60,2))</f>
        <v>0</v>
      </c>
      <c r="P366" s="34">
        <f>IF(B366="","",ROUND(SUMIFS($H$5:$H$404,$B$5:$B$404,B366,$M$5:$M$404,"Yes")/60,2))</f>
        <v>0</v>
      </c>
      <c r="Q366" s="34">
        <f>IF(B366="","",IFERROR(INDEX(Services!$G$5:$G$64,MATCH(B366,Services!$B$5:$B$64,0)),""))</f>
        <v>0</v>
      </c>
      <c r="R366" s="31">
        <f>IF(F366="","",COUNTIFS('Job Tasks'!$G$5:$G$904,F366,'Job Tasks'!$H$5:$H$904,"Done"))</f>
        <v>0</v>
      </c>
      <c r="S366" s="31">
        <f>IF(F366="","",COUNTIFS('Job Tasks'!$G$5:$G$904,F366,'Job Tasks'!$H$5:$H$904,"Skipped"))</f>
        <v>0</v>
      </c>
      <c r="T366" s="31">
        <f>IF(F366="","",COUNTIFS('Job Tasks'!$G$5:$G$904,F366,'Job Tasks'!$H$5:$H$904,"Issue found"))</f>
        <v>0</v>
      </c>
      <c r="U366" s="39">
        <f>IF(F366="","",IF(R366+S366=0,"New",IF(S366/(R366+S366)&gt;0.25,"Often skipped","Working")))</f>
        <v>0</v>
      </c>
      <c r="V366" s="31">
        <f>IF(OR(B366="",F366=""),"",COUNTIFS($B$5:B366,B366))</f>
        <v>0</v>
      </c>
      <c r="W366" s="23">
        <f>IF(V366="","",B366&amp;"|"&amp;V366)</f>
        <v>0</v>
      </c>
      <c r="X366" s="39">
        <f>IF(F366="","",IF(B366="","Add - which service?",IF(H366="","Add - how many minutes?",IF(AND(Q366&lt;&gt;"",P366&gt;Q366+0.25),"Check - checklist is longer than the service allows",IF(S366&gt;=3,"Check - often skipped","OK")))))</f>
        <v>0</v>
      </c>
    </row>
    <row r="367" spans="1:24">
      <c r="A367" s="43">
        <f>IF(F367="","","CHK-"&amp;TEXT(ROW()-4,"0000"))</f>
        <v>0</v>
      </c>
      <c r="O367" s="34">
        <f>IF(F367="","",ROUND(IF(H367="",0,H367)/60,2))</f>
        <v>0</v>
      </c>
      <c r="P367" s="34">
        <f>IF(B367="","",ROUND(SUMIFS($H$5:$H$404,$B$5:$B$404,B367,$M$5:$M$404,"Yes")/60,2))</f>
        <v>0</v>
      </c>
      <c r="Q367" s="34">
        <f>IF(B367="","",IFERROR(INDEX(Services!$G$5:$G$64,MATCH(B367,Services!$B$5:$B$64,0)),""))</f>
        <v>0</v>
      </c>
      <c r="R367" s="31">
        <f>IF(F367="","",COUNTIFS('Job Tasks'!$G$5:$G$904,F367,'Job Tasks'!$H$5:$H$904,"Done"))</f>
        <v>0</v>
      </c>
      <c r="S367" s="31">
        <f>IF(F367="","",COUNTIFS('Job Tasks'!$G$5:$G$904,F367,'Job Tasks'!$H$5:$H$904,"Skipped"))</f>
        <v>0</v>
      </c>
      <c r="T367" s="31">
        <f>IF(F367="","",COUNTIFS('Job Tasks'!$G$5:$G$904,F367,'Job Tasks'!$H$5:$H$904,"Issue found"))</f>
        <v>0</v>
      </c>
      <c r="U367" s="39">
        <f>IF(F367="","",IF(R367+S367=0,"New",IF(S367/(R367+S367)&gt;0.25,"Often skipped","Working")))</f>
        <v>0</v>
      </c>
      <c r="V367" s="31">
        <f>IF(OR(B367="",F367=""),"",COUNTIFS($B$5:B367,B367))</f>
        <v>0</v>
      </c>
      <c r="W367" s="23">
        <f>IF(V367="","",B367&amp;"|"&amp;V367)</f>
        <v>0</v>
      </c>
      <c r="X367" s="39">
        <f>IF(F367="","",IF(B367="","Add - which service?",IF(H367="","Add - how many minutes?",IF(AND(Q367&lt;&gt;"",P367&gt;Q367+0.25),"Check - checklist is longer than the service allows",IF(S367&gt;=3,"Check - often skipped","OK")))))</f>
        <v>0</v>
      </c>
    </row>
    <row r="368" spans="1:24">
      <c r="A368" s="43">
        <f>IF(F368="","","CHK-"&amp;TEXT(ROW()-4,"0000"))</f>
        <v>0</v>
      </c>
      <c r="O368" s="34">
        <f>IF(F368="","",ROUND(IF(H368="",0,H368)/60,2))</f>
        <v>0</v>
      </c>
      <c r="P368" s="34">
        <f>IF(B368="","",ROUND(SUMIFS($H$5:$H$404,$B$5:$B$404,B368,$M$5:$M$404,"Yes")/60,2))</f>
        <v>0</v>
      </c>
      <c r="Q368" s="34">
        <f>IF(B368="","",IFERROR(INDEX(Services!$G$5:$G$64,MATCH(B368,Services!$B$5:$B$64,0)),""))</f>
        <v>0</v>
      </c>
      <c r="R368" s="31">
        <f>IF(F368="","",COUNTIFS('Job Tasks'!$G$5:$G$904,F368,'Job Tasks'!$H$5:$H$904,"Done"))</f>
        <v>0</v>
      </c>
      <c r="S368" s="31">
        <f>IF(F368="","",COUNTIFS('Job Tasks'!$G$5:$G$904,F368,'Job Tasks'!$H$5:$H$904,"Skipped"))</f>
        <v>0</v>
      </c>
      <c r="T368" s="31">
        <f>IF(F368="","",COUNTIFS('Job Tasks'!$G$5:$G$904,F368,'Job Tasks'!$H$5:$H$904,"Issue found"))</f>
        <v>0</v>
      </c>
      <c r="U368" s="39">
        <f>IF(F368="","",IF(R368+S368=0,"New",IF(S368/(R368+S368)&gt;0.25,"Often skipped","Working")))</f>
        <v>0</v>
      </c>
      <c r="V368" s="31">
        <f>IF(OR(B368="",F368=""),"",COUNTIFS($B$5:B368,B368))</f>
        <v>0</v>
      </c>
      <c r="W368" s="23">
        <f>IF(V368="","",B368&amp;"|"&amp;V368)</f>
        <v>0</v>
      </c>
      <c r="X368" s="39">
        <f>IF(F368="","",IF(B368="","Add - which service?",IF(H368="","Add - how many minutes?",IF(AND(Q368&lt;&gt;"",P368&gt;Q368+0.25),"Check - checklist is longer than the service allows",IF(S368&gt;=3,"Check - often skipped","OK")))))</f>
        <v>0</v>
      </c>
    </row>
    <row r="369" spans="1:24">
      <c r="A369" s="43">
        <f>IF(F369="","","CHK-"&amp;TEXT(ROW()-4,"0000"))</f>
        <v>0</v>
      </c>
      <c r="O369" s="34">
        <f>IF(F369="","",ROUND(IF(H369="",0,H369)/60,2))</f>
        <v>0</v>
      </c>
      <c r="P369" s="34">
        <f>IF(B369="","",ROUND(SUMIFS($H$5:$H$404,$B$5:$B$404,B369,$M$5:$M$404,"Yes")/60,2))</f>
        <v>0</v>
      </c>
      <c r="Q369" s="34">
        <f>IF(B369="","",IFERROR(INDEX(Services!$G$5:$G$64,MATCH(B369,Services!$B$5:$B$64,0)),""))</f>
        <v>0</v>
      </c>
      <c r="R369" s="31">
        <f>IF(F369="","",COUNTIFS('Job Tasks'!$G$5:$G$904,F369,'Job Tasks'!$H$5:$H$904,"Done"))</f>
        <v>0</v>
      </c>
      <c r="S369" s="31">
        <f>IF(F369="","",COUNTIFS('Job Tasks'!$G$5:$G$904,F369,'Job Tasks'!$H$5:$H$904,"Skipped"))</f>
        <v>0</v>
      </c>
      <c r="T369" s="31">
        <f>IF(F369="","",COUNTIFS('Job Tasks'!$G$5:$G$904,F369,'Job Tasks'!$H$5:$H$904,"Issue found"))</f>
        <v>0</v>
      </c>
      <c r="U369" s="39">
        <f>IF(F369="","",IF(R369+S369=0,"New",IF(S369/(R369+S369)&gt;0.25,"Often skipped","Working")))</f>
        <v>0</v>
      </c>
      <c r="V369" s="31">
        <f>IF(OR(B369="",F369=""),"",COUNTIFS($B$5:B369,B369))</f>
        <v>0</v>
      </c>
      <c r="W369" s="23">
        <f>IF(V369="","",B369&amp;"|"&amp;V369)</f>
        <v>0</v>
      </c>
      <c r="X369" s="39">
        <f>IF(F369="","",IF(B369="","Add - which service?",IF(H369="","Add - how many minutes?",IF(AND(Q369&lt;&gt;"",P369&gt;Q369+0.25),"Check - checklist is longer than the service allows",IF(S369&gt;=3,"Check - often skipped","OK")))))</f>
        <v>0</v>
      </c>
    </row>
    <row r="370" spans="1:24">
      <c r="A370" s="43">
        <f>IF(F370="","","CHK-"&amp;TEXT(ROW()-4,"0000"))</f>
        <v>0</v>
      </c>
      <c r="O370" s="34">
        <f>IF(F370="","",ROUND(IF(H370="",0,H370)/60,2))</f>
        <v>0</v>
      </c>
      <c r="P370" s="34">
        <f>IF(B370="","",ROUND(SUMIFS($H$5:$H$404,$B$5:$B$404,B370,$M$5:$M$404,"Yes")/60,2))</f>
        <v>0</v>
      </c>
      <c r="Q370" s="34">
        <f>IF(B370="","",IFERROR(INDEX(Services!$G$5:$G$64,MATCH(B370,Services!$B$5:$B$64,0)),""))</f>
        <v>0</v>
      </c>
      <c r="R370" s="31">
        <f>IF(F370="","",COUNTIFS('Job Tasks'!$G$5:$G$904,F370,'Job Tasks'!$H$5:$H$904,"Done"))</f>
        <v>0</v>
      </c>
      <c r="S370" s="31">
        <f>IF(F370="","",COUNTIFS('Job Tasks'!$G$5:$G$904,F370,'Job Tasks'!$H$5:$H$904,"Skipped"))</f>
        <v>0</v>
      </c>
      <c r="T370" s="31">
        <f>IF(F370="","",COUNTIFS('Job Tasks'!$G$5:$G$904,F370,'Job Tasks'!$H$5:$H$904,"Issue found"))</f>
        <v>0</v>
      </c>
      <c r="U370" s="39">
        <f>IF(F370="","",IF(R370+S370=0,"New",IF(S370/(R370+S370)&gt;0.25,"Often skipped","Working")))</f>
        <v>0</v>
      </c>
      <c r="V370" s="31">
        <f>IF(OR(B370="",F370=""),"",COUNTIFS($B$5:B370,B370))</f>
        <v>0</v>
      </c>
      <c r="W370" s="23">
        <f>IF(V370="","",B370&amp;"|"&amp;V370)</f>
        <v>0</v>
      </c>
      <c r="X370" s="39">
        <f>IF(F370="","",IF(B370="","Add - which service?",IF(H370="","Add - how many minutes?",IF(AND(Q370&lt;&gt;"",P370&gt;Q370+0.25),"Check - checklist is longer than the service allows",IF(S370&gt;=3,"Check - often skipped","OK")))))</f>
        <v>0</v>
      </c>
    </row>
    <row r="371" spans="1:24">
      <c r="A371" s="43">
        <f>IF(F371="","","CHK-"&amp;TEXT(ROW()-4,"0000"))</f>
        <v>0</v>
      </c>
      <c r="O371" s="34">
        <f>IF(F371="","",ROUND(IF(H371="",0,H371)/60,2))</f>
        <v>0</v>
      </c>
      <c r="P371" s="34">
        <f>IF(B371="","",ROUND(SUMIFS($H$5:$H$404,$B$5:$B$404,B371,$M$5:$M$404,"Yes")/60,2))</f>
        <v>0</v>
      </c>
      <c r="Q371" s="34">
        <f>IF(B371="","",IFERROR(INDEX(Services!$G$5:$G$64,MATCH(B371,Services!$B$5:$B$64,0)),""))</f>
        <v>0</v>
      </c>
      <c r="R371" s="31">
        <f>IF(F371="","",COUNTIFS('Job Tasks'!$G$5:$G$904,F371,'Job Tasks'!$H$5:$H$904,"Done"))</f>
        <v>0</v>
      </c>
      <c r="S371" s="31">
        <f>IF(F371="","",COUNTIFS('Job Tasks'!$G$5:$G$904,F371,'Job Tasks'!$H$5:$H$904,"Skipped"))</f>
        <v>0</v>
      </c>
      <c r="T371" s="31">
        <f>IF(F371="","",COUNTIFS('Job Tasks'!$G$5:$G$904,F371,'Job Tasks'!$H$5:$H$904,"Issue found"))</f>
        <v>0</v>
      </c>
      <c r="U371" s="39">
        <f>IF(F371="","",IF(R371+S371=0,"New",IF(S371/(R371+S371)&gt;0.25,"Often skipped","Working")))</f>
        <v>0</v>
      </c>
      <c r="V371" s="31">
        <f>IF(OR(B371="",F371=""),"",COUNTIFS($B$5:B371,B371))</f>
        <v>0</v>
      </c>
      <c r="W371" s="23">
        <f>IF(V371="","",B371&amp;"|"&amp;V371)</f>
        <v>0</v>
      </c>
      <c r="X371" s="39">
        <f>IF(F371="","",IF(B371="","Add - which service?",IF(H371="","Add - how many minutes?",IF(AND(Q371&lt;&gt;"",P371&gt;Q371+0.25),"Check - checklist is longer than the service allows",IF(S371&gt;=3,"Check - often skipped","OK")))))</f>
        <v>0</v>
      </c>
    </row>
    <row r="372" spans="1:24">
      <c r="A372" s="43">
        <f>IF(F372="","","CHK-"&amp;TEXT(ROW()-4,"0000"))</f>
        <v>0</v>
      </c>
      <c r="O372" s="34">
        <f>IF(F372="","",ROUND(IF(H372="",0,H372)/60,2))</f>
        <v>0</v>
      </c>
      <c r="P372" s="34">
        <f>IF(B372="","",ROUND(SUMIFS($H$5:$H$404,$B$5:$B$404,B372,$M$5:$M$404,"Yes")/60,2))</f>
        <v>0</v>
      </c>
      <c r="Q372" s="34">
        <f>IF(B372="","",IFERROR(INDEX(Services!$G$5:$G$64,MATCH(B372,Services!$B$5:$B$64,0)),""))</f>
        <v>0</v>
      </c>
      <c r="R372" s="31">
        <f>IF(F372="","",COUNTIFS('Job Tasks'!$G$5:$G$904,F372,'Job Tasks'!$H$5:$H$904,"Done"))</f>
        <v>0</v>
      </c>
      <c r="S372" s="31">
        <f>IF(F372="","",COUNTIFS('Job Tasks'!$G$5:$G$904,F372,'Job Tasks'!$H$5:$H$904,"Skipped"))</f>
        <v>0</v>
      </c>
      <c r="T372" s="31">
        <f>IF(F372="","",COUNTIFS('Job Tasks'!$G$5:$G$904,F372,'Job Tasks'!$H$5:$H$904,"Issue found"))</f>
        <v>0</v>
      </c>
      <c r="U372" s="39">
        <f>IF(F372="","",IF(R372+S372=0,"New",IF(S372/(R372+S372)&gt;0.25,"Often skipped","Working")))</f>
        <v>0</v>
      </c>
      <c r="V372" s="31">
        <f>IF(OR(B372="",F372=""),"",COUNTIFS($B$5:B372,B372))</f>
        <v>0</v>
      </c>
      <c r="W372" s="23">
        <f>IF(V372="","",B372&amp;"|"&amp;V372)</f>
        <v>0</v>
      </c>
      <c r="X372" s="39">
        <f>IF(F372="","",IF(B372="","Add - which service?",IF(H372="","Add - how many minutes?",IF(AND(Q372&lt;&gt;"",P372&gt;Q372+0.25),"Check - checklist is longer than the service allows",IF(S372&gt;=3,"Check - often skipped","OK")))))</f>
        <v>0</v>
      </c>
    </row>
    <row r="373" spans="1:24">
      <c r="A373" s="43">
        <f>IF(F373="","","CHK-"&amp;TEXT(ROW()-4,"0000"))</f>
        <v>0</v>
      </c>
      <c r="O373" s="34">
        <f>IF(F373="","",ROUND(IF(H373="",0,H373)/60,2))</f>
        <v>0</v>
      </c>
      <c r="P373" s="34">
        <f>IF(B373="","",ROUND(SUMIFS($H$5:$H$404,$B$5:$B$404,B373,$M$5:$M$404,"Yes")/60,2))</f>
        <v>0</v>
      </c>
      <c r="Q373" s="34">
        <f>IF(B373="","",IFERROR(INDEX(Services!$G$5:$G$64,MATCH(B373,Services!$B$5:$B$64,0)),""))</f>
        <v>0</v>
      </c>
      <c r="R373" s="31">
        <f>IF(F373="","",COUNTIFS('Job Tasks'!$G$5:$G$904,F373,'Job Tasks'!$H$5:$H$904,"Done"))</f>
        <v>0</v>
      </c>
      <c r="S373" s="31">
        <f>IF(F373="","",COUNTIFS('Job Tasks'!$G$5:$G$904,F373,'Job Tasks'!$H$5:$H$904,"Skipped"))</f>
        <v>0</v>
      </c>
      <c r="T373" s="31">
        <f>IF(F373="","",COUNTIFS('Job Tasks'!$G$5:$G$904,F373,'Job Tasks'!$H$5:$H$904,"Issue found"))</f>
        <v>0</v>
      </c>
      <c r="U373" s="39">
        <f>IF(F373="","",IF(R373+S373=0,"New",IF(S373/(R373+S373)&gt;0.25,"Often skipped","Working")))</f>
        <v>0</v>
      </c>
      <c r="V373" s="31">
        <f>IF(OR(B373="",F373=""),"",COUNTIFS($B$5:B373,B373))</f>
        <v>0</v>
      </c>
      <c r="W373" s="23">
        <f>IF(V373="","",B373&amp;"|"&amp;V373)</f>
        <v>0</v>
      </c>
      <c r="X373" s="39">
        <f>IF(F373="","",IF(B373="","Add - which service?",IF(H373="","Add - how many minutes?",IF(AND(Q373&lt;&gt;"",P373&gt;Q373+0.25),"Check - checklist is longer than the service allows",IF(S373&gt;=3,"Check - often skipped","OK")))))</f>
        <v>0</v>
      </c>
    </row>
    <row r="374" spans="1:24">
      <c r="A374" s="43">
        <f>IF(F374="","","CHK-"&amp;TEXT(ROW()-4,"0000"))</f>
        <v>0</v>
      </c>
      <c r="O374" s="34">
        <f>IF(F374="","",ROUND(IF(H374="",0,H374)/60,2))</f>
        <v>0</v>
      </c>
      <c r="P374" s="34">
        <f>IF(B374="","",ROUND(SUMIFS($H$5:$H$404,$B$5:$B$404,B374,$M$5:$M$404,"Yes")/60,2))</f>
        <v>0</v>
      </c>
      <c r="Q374" s="34">
        <f>IF(B374="","",IFERROR(INDEX(Services!$G$5:$G$64,MATCH(B374,Services!$B$5:$B$64,0)),""))</f>
        <v>0</v>
      </c>
      <c r="R374" s="31">
        <f>IF(F374="","",COUNTIFS('Job Tasks'!$G$5:$G$904,F374,'Job Tasks'!$H$5:$H$904,"Done"))</f>
        <v>0</v>
      </c>
      <c r="S374" s="31">
        <f>IF(F374="","",COUNTIFS('Job Tasks'!$G$5:$G$904,F374,'Job Tasks'!$H$5:$H$904,"Skipped"))</f>
        <v>0</v>
      </c>
      <c r="T374" s="31">
        <f>IF(F374="","",COUNTIFS('Job Tasks'!$G$5:$G$904,F374,'Job Tasks'!$H$5:$H$904,"Issue found"))</f>
        <v>0</v>
      </c>
      <c r="U374" s="39">
        <f>IF(F374="","",IF(R374+S374=0,"New",IF(S374/(R374+S374)&gt;0.25,"Often skipped","Working")))</f>
        <v>0</v>
      </c>
      <c r="V374" s="31">
        <f>IF(OR(B374="",F374=""),"",COUNTIFS($B$5:B374,B374))</f>
        <v>0</v>
      </c>
      <c r="W374" s="23">
        <f>IF(V374="","",B374&amp;"|"&amp;V374)</f>
        <v>0</v>
      </c>
      <c r="X374" s="39">
        <f>IF(F374="","",IF(B374="","Add - which service?",IF(H374="","Add - how many minutes?",IF(AND(Q374&lt;&gt;"",P374&gt;Q374+0.25),"Check - checklist is longer than the service allows",IF(S374&gt;=3,"Check - often skipped","OK")))))</f>
        <v>0</v>
      </c>
    </row>
    <row r="375" spans="1:24">
      <c r="A375" s="43">
        <f>IF(F375="","","CHK-"&amp;TEXT(ROW()-4,"0000"))</f>
        <v>0</v>
      </c>
      <c r="O375" s="34">
        <f>IF(F375="","",ROUND(IF(H375="",0,H375)/60,2))</f>
        <v>0</v>
      </c>
      <c r="P375" s="34">
        <f>IF(B375="","",ROUND(SUMIFS($H$5:$H$404,$B$5:$B$404,B375,$M$5:$M$404,"Yes")/60,2))</f>
        <v>0</v>
      </c>
      <c r="Q375" s="34">
        <f>IF(B375="","",IFERROR(INDEX(Services!$G$5:$G$64,MATCH(B375,Services!$B$5:$B$64,0)),""))</f>
        <v>0</v>
      </c>
      <c r="R375" s="31">
        <f>IF(F375="","",COUNTIFS('Job Tasks'!$G$5:$G$904,F375,'Job Tasks'!$H$5:$H$904,"Done"))</f>
        <v>0</v>
      </c>
      <c r="S375" s="31">
        <f>IF(F375="","",COUNTIFS('Job Tasks'!$G$5:$G$904,F375,'Job Tasks'!$H$5:$H$904,"Skipped"))</f>
        <v>0</v>
      </c>
      <c r="T375" s="31">
        <f>IF(F375="","",COUNTIFS('Job Tasks'!$G$5:$G$904,F375,'Job Tasks'!$H$5:$H$904,"Issue found"))</f>
        <v>0</v>
      </c>
      <c r="U375" s="39">
        <f>IF(F375="","",IF(R375+S375=0,"New",IF(S375/(R375+S375)&gt;0.25,"Often skipped","Working")))</f>
        <v>0</v>
      </c>
      <c r="V375" s="31">
        <f>IF(OR(B375="",F375=""),"",COUNTIFS($B$5:B375,B375))</f>
        <v>0</v>
      </c>
      <c r="W375" s="23">
        <f>IF(V375="","",B375&amp;"|"&amp;V375)</f>
        <v>0</v>
      </c>
      <c r="X375" s="39">
        <f>IF(F375="","",IF(B375="","Add - which service?",IF(H375="","Add - how many minutes?",IF(AND(Q375&lt;&gt;"",P375&gt;Q375+0.25),"Check - checklist is longer than the service allows",IF(S375&gt;=3,"Check - often skipped","OK")))))</f>
        <v>0</v>
      </c>
    </row>
    <row r="376" spans="1:24">
      <c r="A376" s="43">
        <f>IF(F376="","","CHK-"&amp;TEXT(ROW()-4,"0000"))</f>
        <v>0</v>
      </c>
      <c r="O376" s="34">
        <f>IF(F376="","",ROUND(IF(H376="",0,H376)/60,2))</f>
        <v>0</v>
      </c>
      <c r="P376" s="34">
        <f>IF(B376="","",ROUND(SUMIFS($H$5:$H$404,$B$5:$B$404,B376,$M$5:$M$404,"Yes")/60,2))</f>
        <v>0</v>
      </c>
      <c r="Q376" s="34">
        <f>IF(B376="","",IFERROR(INDEX(Services!$G$5:$G$64,MATCH(B376,Services!$B$5:$B$64,0)),""))</f>
        <v>0</v>
      </c>
      <c r="R376" s="31">
        <f>IF(F376="","",COUNTIFS('Job Tasks'!$G$5:$G$904,F376,'Job Tasks'!$H$5:$H$904,"Done"))</f>
        <v>0</v>
      </c>
      <c r="S376" s="31">
        <f>IF(F376="","",COUNTIFS('Job Tasks'!$G$5:$G$904,F376,'Job Tasks'!$H$5:$H$904,"Skipped"))</f>
        <v>0</v>
      </c>
      <c r="T376" s="31">
        <f>IF(F376="","",COUNTIFS('Job Tasks'!$G$5:$G$904,F376,'Job Tasks'!$H$5:$H$904,"Issue found"))</f>
        <v>0</v>
      </c>
      <c r="U376" s="39">
        <f>IF(F376="","",IF(R376+S376=0,"New",IF(S376/(R376+S376)&gt;0.25,"Often skipped","Working")))</f>
        <v>0</v>
      </c>
      <c r="V376" s="31">
        <f>IF(OR(B376="",F376=""),"",COUNTIFS($B$5:B376,B376))</f>
        <v>0</v>
      </c>
      <c r="W376" s="23">
        <f>IF(V376="","",B376&amp;"|"&amp;V376)</f>
        <v>0</v>
      </c>
      <c r="X376" s="39">
        <f>IF(F376="","",IF(B376="","Add - which service?",IF(H376="","Add - how many minutes?",IF(AND(Q376&lt;&gt;"",P376&gt;Q376+0.25),"Check - checklist is longer than the service allows",IF(S376&gt;=3,"Check - often skipped","OK")))))</f>
        <v>0</v>
      </c>
    </row>
    <row r="377" spans="1:24">
      <c r="A377" s="43">
        <f>IF(F377="","","CHK-"&amp;TEXT(ROW()-4,"0000"))</f>
        <v>0</v>
      </c>
      <c r="O377" s="34">
        <f>IF(F377="","",ROUND(IF(H377="",0,H377)/60,2))</f>
        <v>0</v>
      </c>
      <c r="P377" s="34">
        <f>IF(B377="","",ROUND(SUMIFS($H$5:$H$404,$B$5:$B$404,B377,$M$5:$M$404,"Yes")/60,2))</f>
        <v>0</v>
      </c>
      <c r="Q377" s="34">
        <f>IF(B377="","",IFERROR(INDEX(Services!$G$5:$G$64,MATCH(B377,Services!$B$5:$B$64,0)),""))</f>
        <v>0</v>
      </c>
      <c r="R377" s="31">
        <f>IF(F377="","",COUNTIFS('Job Tasks'!$G$5:$G$904,F377,'Job Tasks'!$H$5:$H$904,"Done"))</f>
        <v>0</v>
      </c>
      <c r="S377" s="31">
        <f>IF(F377="","",COUNTIFS('Job Tasks'!$G$5:$G$904,F377,'Job Tasks'!$H$5:$H$904,"Skipped"))</f>
        <v>0</v>
      </c>
      <c r="T377" s="31">
        <f>IF(F377="","",COUNTIFS('Job Tasks'!$G$5:$G$904,F377,'Job Tasks'!$H$5:$H$904,"Issue found"))</f>
        <v>0</v>
      </c>
      <c r="U377" s="39">
        <f>IF(F377="","",IF(R377+S377=0,"New",IF(S377/(R377+S377)&gt;0.25,"Often skipped","Working")))</f>
        <v>0</v>
      </c>
      <c r="V377" s="31">
        <f>IF(OR(B377="",F377=""),"",COUNTIFS($B$5:B377,B377))</f>
        <v>0</v>
      </c>
      <c r="W377" s="23">
        <f>IF(V377="","",B377&amp;"|"&amp;V377)</f>
        <v>0</v>
      </c>
      <c r="X377" s="39">
        <f>IF(F377="","",IF(B377="","Add - which service?",IF(H377="","Add - how many minutes?",IF(AND(Q377&lt;&gt;"",P377&gt;Q377+0.25),"Check - checklist is longer than the service allows",IF(S377&gt;=3,"Check - often skipped","OK")))))</f>
        <v>0</v>
      </c>
    </row>
    <row r="378" spans="1:24">
      <c r="A378" s="43">
        <f>IF(F378="","","CHK-"&amp;TEXT(ROW()-4,"0000"))</f>
        <v>0</v>
      </c>
      <c r="O378" s="34">
        <f>IF(F378="","",ROUND(IF(H378="",0,H378)/60,2))</f>
        <v>0</v>
      </c>
      <c r="P378" s="34">
        <f>IF(B378="","",ROUND(SUMIFS($H$5:$H$404,$B$5:$B$404,B378,$M$5:$M$404,"Yes")/60,2))</f>
        <v>0</v>
      </c>
      <c r="Q378" s="34">
        <f>IF(B378="","",IFERROR(INDEX(Services!$G$5:$G$64,MATCH(B378,Services!$B$5:$B$64,0)),""))</f>
        <v>0</v>
      </c>
      <c r="R378" s="31">
        <f>IF(F378="","",COUNTIFS('Job Tasks'!$G$5:$G$904,F378,'Job Tasks'!$H$5:$H$904,"Done"))</f>
        <v>0</v>
      </c>
      <c r="S378" s="31">
        <f>IF(F378="","",COUNTIFS('Job Tasks'!$G$5:$G$904,F378,'Job Tasks'!$H$5:$H$904,"Skipped"))</f>
        <v>0</v>
      </c>
      <c r="T378" s="31">
        <f>IF(F378="","",COUNTIFS('Job Tasks'!$G$5:$G$904,F378,'Job Tasks'!$H$5:$H$904,"Issue found"))</f>
        <v>0</v>
      </c>
      <c r="U378" s="39">
        <f>IF(F378="","",IF(R378+S378=0,"New",IF(S378/(R378+S378)&gt;0.25,"Often skipped","Working")))</f>
        <v>0</v>
      </c>
      <c r="V378" s="31">
        <f>IF(OR(B378="",F378=""),"",COUNTIFS($B$5:B378,B378))</f>
        <v>0</v>
      </c>
      <c r="W378" s="23">
        <f>IF(V378="","",B378&amp;"|"&amp;V378)</f>
        <v>0</v>
      </c>
      <c r="X378" s="39">
        <f>IF(F378="","",IF(B378="","Add - which service?",IF(H378="","Add - how many minutes?",IF(AND(Q378&lt;&gt;"",P378&gt;Q378+0.25),"Check - checklist is longer than the service allows",IF(S378&gt;=3,"Check - often skipped","OK")))))</f>
        <v>0</v>
      </c>
    </row>
    <row r="379" spans="1:24">
      <c r="A379" s="43">
        <f>IF(F379="","","CHK-"&amp;TEXT(ROW()-4,"0000"))</f>
        <v>0</v>
      </c>
      <c r="O379" s="34">
        <f>IF(F379="","",ROUND(IF(H379="",0,H379)/60,2))</f>
        <v>0</v>
      </c>
      <c r="P379" s="34">
        <f>IF(B379="","",ROUND(SUMIFS($H$5:$H$404,$B$5:$B$404,B379,$M$5:$M$404,"Yes")/60,2))</f>
        <v>0</v>
      </c>
      <c r="Q379" s="34">
        <f>IF(B379="","",IFERROR(INDEX(Services!$G$5:$G$64,MATCH(B379,Services!$B$5:$B$64,0)),""))</f>
        <v>0</v>
      </c>
      <c r="R379" s="31">
        <f>IF(F379="","",COUNTIFS('Job Tasks'!$G$5:$G$904,F379,'Job Tasks'!$H$5:$H$904,"Done"))</f>
        <v>0</v>
      </c>
      <c r="S379" s="31">
        <f>IF(F379="","",COUNTIFS('Job Tasks'!$G$5:$G$904,F379,'Job Tasks'!$H$5:$H$904,"Skipped"))</f>
        <v>0</v>
      </c>
      <c r="T379" s="31">
        <f>IF(F379="","",COUNTIFS('Job Tasks'!$G$5:$G$904,F379,'Job Tasks'!$H$5:$H$904,"Issue found"))</f>
        <v>0</v>
      </c>
      <c r="U379" s="39">
        <f>IF(F379="","",IF(R379+S379=0,"New",IF(S379/(R379+S379)&gt;0.25,"Often skipped","Working")))</f>
        <v>0</v>
      </c>
      <c r="V379" s="31">
        <f>IF(OR(B379="",F379=""),"",COUNTIFS($B$5:B379,B379))</f>
        <v>0</v>
      </c>
      <c r="W379" s="23">
        <f>IF(V379="","",B379&amp;"|"&amp;V379)</f>
        <v>0</v>
      </c>
      <c r="X379" s="39">
        <f>IF(F379="","",IF(B379="","Add - which service?",IF(H379="","Add - how many minutes?",IF(AND(Q379&lt;&gt;"",P379&gt;Q379+0.25),"Check - checklist is longer than the service allows",IF(S379&gt;=3,"Check - often skipped","OK")))))</f>
        <v>0</v>
      </c>
    </row>
    <row r="380" spans="1:24">
      <c r="A380" s="43">
        <f>IF(F380="","","CHK-"&amp;TEXT(ROW()-4,"0000"))</f>
        <v>0</v>
      </c>
      <c r="O380" s="34">
        <f>IF(F380="","",ROUND(IF(H380="",0,H380)/60,2))</f>
        <v>0</v>
      </c>
      <c r="P380" s="34">
        <f>IF(B380="","",ROUND(SUMIFS($H$5:$H$404,$B$5:$B$404,B380,$M$5:$M$404,"Yes")/60,2))</f>
        <v>0</v>
      </c>
      <c r="Q380" s="34">
        <f>IF(B380="","",IFERROR(INDEX(Services!$G$5:$G$64,MATCH(B380,Services!$B$5:$B$64,0)),""))</f>
        <v>0</v>
      </c>
      <c r="R380" s="31">
        <f>IF(F380="","",COUNTIFS('Job Tasks'!$G$5:$G$904,F380,'Job Tasks'!$H$5:$H$904,"Done"))</f>
        <v>0</v>
      </c>
      <c r="S380" s="31">
        <f>IF(F380="","",COUNTIFS('Job Tasks'!$G$5:$G$904,F380,'Job Tasks'!$H$5:$H$904,"Skipped"))</f>
        <v>0</v>
      </c>
      <c r="T380" s="31">
        <f>IF(F380="","",COUNTIFS('Job Tasks'!$G$5:$G$904,F380,'Job Tasks'!$H$5:$H$904,"Issue found"))</f>
        <v>0</v>
      </c>
      <c r="U380" s="39">
        <f>IF(F380="","",IF(R380+S380=0,"New",IF(S380/(R380+S380)&gt;0.25,"Often skipped","Working")))</f>
        <v>0</v>
      </c>
      <c r="V380" s="31">
        <f>IF(OR(B380="",F380=""),"",COUNTIFS($B$5:B380,B380))</f>
        <v>0</v>
      </c>
      <c r="W380" s="23">
        <f>IF(V380="","",B380&amp;"|"&amp;V380)</f>
        <v>0</v>
      </c>
      <c r="X380" s="39">
        <f>IF(F380="","",IF(B380="","Add - which service?",IF(H380="","Add - how many minutes?",IF(AND(Q380&lt;&gt;"",P380&gt;Q380+0.25),"Check - checklist is longer than the service allows",IF(S380&gt;=3,"Check - often skipped","OK")))))</f>
        <v>0</v>
      </c>
    </row>
    <row r="381" spans="1:24">
      <c r="A381" s="43">
        <f>IF(F381="","","CHK-"&amp;TEXT(ROW()-4,"0000"))</f>
        <v>0</v>
      </c>
      <c r="O381" s="34">
        <f>IF(F381="","",ROUND(IF(H381="",0,H381)/60,2))</f>
        <v>0</v>
      </c>
      <c r="P381" s="34">
        <f>IF(B381="","",ROUND(SUMIFS($H$5:$H$404,$B$5:$B$404,B381,$M$5:$M$404,"Yes")/60,2))</f>
        <v>0</v>
      </c>
      <c r="Q381" s="34">
        <f>IF(B381="","",IFERROR(INDEX(Services!$G$5:$G$64,MATCH(B381,Services!$B$5:$B$64,0)),""))</f>
        <v>0</v>
      </c>
      <c r="R381" s="31">
        <f>IF(F381="","",COUNTIFS('Job Tasks'!$G$5:$G$904,F381,'Job Tasks'!$H$5:$H$904,"Done"))</f>
        <v>0</v>
      </c>
      <c r="S381" s="31">
        <f>IF(F381="","",COUNTIFS('Job Tasks'!$G$5:$G$904,F381,'Job Tasks'!$H$5:$H$904,"Skipped"))</f>
        <v>0</v>
      </c>
      <c r="T381" s="31">
        <f>IF(F381="","",COUNTIFS('Job Tasks'!$G$5:$G$904,F381,'Job Tasks'!$H$5:$H$904,"Issue found"))</f>
        <v>0</v>
      </c>
      <c r="U381" s="39">
        <f>IF(F381="","",IF(R381+S381=0,"New",IF(S381/(R381+S381)&gt;0.25,"Often skipped","Working")))</f>
        <v>0</v>
      </c>
      <c r="V381" s="31">
        <f>IF(OR(B381="",F381=""),"",COUNTIFS($B$5:B381,B381))</f>
        <v>0</v>
      </c>
      <c r="W381" s="23">
        <f>IF(V381="","",B381&amp;"|"&amp;V381)</f>
        <v>0</v>
      </c>
      <c r="X381" s="39">
        <f>IF(F381="","",IF(B381="","Add - which service?",IF(H381="","Add - how many minutes?",IF(AND(Q381&lt;&gt;"",P381&gt;Q381+0.25),"Check - checklist is longer than the service allows",IF(S381&gt;=3,"Check - often skipped","OK")))))</f>
        <v>0</v>
      </c>
    </row>
    <row r="382" spans="1:24">
      <c r="A382" s="43">
        <f>IF(F382="","","CHK-"&amp;TEXT(ROW()-4,"0000"))</f>
        <v>0</v>
      </c>
      <c r="O382" s="34">
        <f>IF(F382="","",ROUND(IF(H382="",0,H382)/60,2))</f>
        <v>0</v>
      </c>
      <c r="P382" s="34">
        <f>IF(B382="","",ROUND(SUMIFS($H$5:$H$404,$B$5:$B$404,B382,$M$5:$M$404,"Yes")/60,2))</f>
        <v>0</v>
      </c>
      <c r="Q382" s="34">
        <f>IF(B382="","",IFERROR(INDEX(Services!$G$5:$G$64,MATCH(B382,Services!$B$5:$B$64,0)),""))</f>
        <v>0</v>
      </c>
      <c r="R382" s="31">
        <f>IF(F382="","",COUNTIFS('Job Tasks'!$G$5:$G$904,F382,'Job Tasks'!$H$5:$H$904,"Done"))</f>
        <v>0</v>
      </c>
      <c r="S382" s="31">
        <f>IF(F382="","",COUNTIFS('Job Tasks'!$G$5:$G$904,F382,'Job Tasks'!$H$5:$H$904,"Skipped"))</f>
        <v>0</v>
      </c>
      <c r="T382" s="31">
        <f>IF(F382="","",COUNTIFS('Job Tasks'!$G$5:$G$904,F382,'Job Tasks'!$H$5:$H$904,"Issue found"))</f>
        <v>0</v>
      </c>
      <c r="U382" s="39">
        <f>IF(F382="","",IF(R382+S382=0,"New",IF(S382/(R382+S382)&gt;0.25,"Often skipped","Working")))</f>
        <v>0</v>
      </c>
      <c r="V382" s="31">
        <f>IF(OR(B382="",F382=""),"",COUNTIFS($B$5:B382,B382))</f>
        <v>0</v>
      </c>
      <c r="W382" s="23">
        <f>IF(V382="","",B382&amp;"|"&amp;V382)</f>
        <v>0</v>
      </c>
      <c r="X382" s="39">
        <f>IF(F382="","",IF(B382="","Add - which service?",IF(H382="","Add - how many minutes?",IF(AND(Q382&lt;&gt;"",P382&gt;Q382+0.25),"Check - checklist is longer than the service allows",IF(S382&gt;=3,"Check - often skipped","OK")))))</f>
        <v>0</v>
      </c>
    </row>
    <row r="383" spans="1:24">
      <c r="A383" s="43">
        <f>IF(F383="","","CHK-"&amp;TEXT(ROW()-4,"0000"))</f>
        <v>0</v>
      </c>
      <c r="O383" s="34">
        <f>IF(F383="","",ROUND(IF(H383="",0,H383)/60,2))</f>
        <v>0</v>
      </c>
      <c r="P383" s="34">
        <f>IF(B383="","",ROUND(SUMIFS($H$5:$H$404,$B$5:$B$404,B383,$M$5:$M$404,"Yes")/60,2))</f>
        <v>0</v>
      </c>
      <c r="Q383" s="34">
        <f>IF(B383="","",IFERROR(INDEX(Services!$G$5:$G$64,MATCH(B383,Services!$B$5:$B$64,0)),""))</f>
        <v>0</v>
      </c>
      <c r="R383" s="31">
        <f>IF(F383="","",COUNTIFS('Job Tasks'!$G$5:$G$904,F383,'Job Tasks'!$H$5:$H$904,"Done"))</f>
        <v>0</v>
      </c>
      <c r="S383" s="31">
        <f>IF(F383="","",COUNTIFS('Job Tasks'!$G$5:$G$904,F383,'Job Tasks'!$H$5:$H$904,"Skipped"))</f>
        <v>0</v>
      </c>
      <c r="T383" s="31">
        <f>IF(F383="","",COUNTIFS('Job Tasks'!$G$5:$G$904,F383,'Job Tasks'!$H$5:$H$904,"Issue found"))</f>
        <v>0</v>
      </c>
      <c r="U383" s="39">
        <f>IF(F383="","",IF(R383+S383=0,"New",IF(S383/(R383+S383)&gt;0.25,"Often skipped","Working")))</f>
        <v>0</v>
      </c>
      <c r="V383" s="31">
        <f>IF(OR(B383="",F383=""),"",COUNTIFS($B$5:B383,B383))</f>
        <v>0</v>
      </c>
      <c r="W383" s="23">
        <f>IF(V383="","",B383&amp;"|"&amp;V383)</f>
        <v>0</v>
      </c>
      <c r="X383" s="39">
        <f>IF(F383="","",IF(B383="","Add - which service?",IF(H383="","Add - how many minutes?",IF(AND(Q383&lt;&gt;"",P383&gt;Q383+0.25),"Check - checklist is longer than the service allows",IF(S383&gt;=3,"Check - often skipped","OK")))))</f>
        <v>0</v>
      </c>
    </row>
    <row r="384" spans="1:24">
      <c r="A384" s="43">
        <f>IF(F384="","","CHK-"&amp;TEXT(ROW()-4,"0000"))</f>
        <v>0</v>
      </c>
      <c r="O384" s="34">
        <f>IF(F384="","",ROUND(IF(H384="",0,H384)/60,2))</f>
        <v>0</v>
      </c>
      <c r="P384" s="34">
        <f>IF(B384="","",ROUND(SUMIFS($H$5:$H$404,$B$5:$B$404,B384,$M$5:$M$404,"Yes")/60,2))</f>
        <v>0</v>
      </c>
      <c r="Q384" s="34">
        <f>IF(B384="","",IFERROR(INDEX(Services!$G$5:$G$64,MATCH(B384,Services!$B$5:$B$64,0)),""))</f>
        <v>0</v>
      </c>
      <c r="R384" s="31">
        <f>IF(F384="","",COUNTIFS('Job Tasks'!$G$5:$G$904,F384,'Job Tasks'!$H$5:$H$904,"Done"))</f>
        <v>0</v>
      </c>
      <c r="S384" s="31">
        <f>IF(F384="","",COUNTIFS('Job Tasks'!$G$5:$G$904,F384,'Job Tasks'!$H$5:$H$904,"Skipped"))</f>
        <v>0</v>
      </c>
      <c r="T384" s="31">
        <f>IF(F384="","",COUNTIFS('Job Tasks'!$G$5:$G$904,F384,'Job Tasks'!$H$5:$H$904,"Issue found"))</f>
        <v>0</v>
      </c>
      <c r="U384" s="39">
        <f>IF(F384="","",IF(R384+S384=0,"New",IF(S384/(R384+S384)&gt;0.25,"Often skipped","Working")))</f>
        <v>0</v>
      </c>
      <c r="V384" s="31">
        <f>IF(OR(B384="",F384=""),"",COUNTIFS($B$5:B384,B384))</f>
        <v>0</v>
      </c>
      <c r="W384" s="23">
        <f>IF(V384="","",B384&amp;"|"&amp;V384)</f>
        <v>0</v>
      </c>
      <c r="X384" s="39">
        <f>IF(F384="","",IF(B384="","Add - which service?",IF(H384="","Add - how many minutes?",IF(AND(Q384&lt;&gt;"",P384&gt;Q384+0.25),"Check - checklist is longer than the service allows",IF(S384&gt;=3,"Check - often skipped","OK")))))</f>
        <v>0</v>
      </c>
    </row>
    <row r="385" spans="1:24">
      <c r="A385" s="43">
        <f>IF(F385="","","CHK-"&amp;TEXT(ROW()-4,"0000"))</f>
        <v>0</v>
      </c>
      <c r="O385" s="34">
        <f>IF(F385="","",ROUND(IF(H385="",0,H385)/60,2))</f>
        <v>0</v>
      </c>
      <c r="P385" s="34">
        <f>IF(B385="","",ROUND(SUMIFS($H$5:$H$404,$B$5:$B$404,B385,$M$5:$M$404,"Yes")/60,2))</f>
        <v>0</v>
      </c>
      <c r="Q385" s="34">
        <f>IF(B385="","",IFERROR(INDEX(Services!$G$5:$G$64,MATCH(B385,Services!$B$5:$B$64,0)),""))</f>
        <v>0</v>
      </c>
      <c r="R385" s="31">
        <f>IF(F385="","",COUNTIFS('Job Tasks'!$G$5:$G$904,F385,'Job Tasks'!$H$5:$H$904,"Done"))</f>
        <v>0</v>
      </c>
      <c r="S385" s="31">
        <f>IF(F385="","",COUNTIFS('Job Tasks'!$G$5:$G$904,F385,'Job Tasks'!$H$5:$H$904,"Skipped"))</f>
        <v>0</v>
      </c>
      <c r="T385" s="31">
        <f>IF(F385="","",COUNTIFS('Job Tasks'!$G$5:$G$904,F385,'Job Tasks'!$H$5:$H$904,"Issue found"))</f>
        <v>0</v>
      </c>
      <c r="U385" s="39">
        <f>IF(F385="","",IF(R385+S385=0,"New",IF(S385/(R385+S385)&gt;0.25,"Often skipped","Working")))</f>
        <v>0</v>
      </c>
      <c r="V385" s="31">
        <f>IF(OR(B385="",F385=""),"",COUNTIFS($B$5:B385,B385))</f>
        <v>0</v>
      </c>
      <c r="W385" s="23">
        <f>IF(V385="","",B385&amp;"|"&amp;V385)</f>
        <v>0</v>
      </c>
      <c r="X385" s="39">
        <f>IF(F385="","",IF(B385="","Add - which service?",IF(H385="","Add - how many minutes?",IF(AND(Q385&lt;&gt;"",P385&gt;Q385+0.25),"Check - checklist is longer than the service allows",IF(S385&gt;=3,"Check - often skipped","OK")))))</f>
        <v>0</v>
      </c>
    </row>
    <row r="386" spans="1:24">
      <c r="A386" s="43">
        <f>IF(F386="","","CHK-"&amp;TEXT(ROW()-4,"0000"))</f>
        <v>0</v>
      </c>
      <c r="O386" s="34">
        <f>IF(F386="","",ROUND(IF(H386="",0,H386)/60,2))</f>
        <v>0</v>
      </c>
      <c r="P386" s="34">
        <f>IF(B386="","",ROUND(SUMIFS($H$5:$H$404,$B$5:$B$404,B386,$M$5:$M$404,"Yes")/60,2))</f>
        <v>0</v>
      </c>
      <c r="Q386" s="34">
        <f>IF(B386="","",IFERROR(INDEX(Services!$G$5:$G$64,MATCH(B386,Services!$B$5:$B$64,0)),""))</f>
        <v>0</v>
      </c>
      <c r="R386" s="31">
        <f>IF(F386="","",COUNTIFS('Job Tasks'!$G$5:$G$904,F386,'Job Tasks'!$H$5:$H$904,"Done"))</f>
        <v>0</v>
      </c>
      <c r="S386" s="31">
        <f>IF(F386="","",COUNTIFS('Job Tasks'!$G$5:$G$904,F386,'Job Tasks'!$H$5:$H$904,"Skipped"))</f>
        <v>0</v>
      </c>
      <c r="T386" s="31">
        <f>IF(F386="","",COUNTIFS('Job Tasks'!$G$5:$G$904,F386,'Job Tasks'!$H$5:$H$904,"Issue found"))</f>
        <v>0</v>
      </c>
      <c r="U386" s="39">
        <f>IF(F386="","",IF(R386+S386=0,"New",IF(S386/(R386+S386)&gt;0.25,"Often skipped","Working")))</f>
        <v>0</v>
      </c>
      <c r="V386" s="31">
        <f>IF(OR(B386="",F386=""),"",COUNTIFS($B$5:B386,B386))</f>
        <v>0</v>
      </c>
      <c r="W386" s="23">
        <f>IF(V386="","",B386&amp;"|"&amp;V386)</f>
        <v>0</v>
      </c>
      <c r="X386" s="39">
        <f>IF(F386="","",IF(B386="","Add - which service?",IF(H386="","Add - how many minutes?",IF(AND(Q386&lt;&gt;"",P386&gt;Q386+0.25),"Check - checklist is longer than the service allows",IF(S386&gt;=3,"Check - often skipped","OK")))))</f>
        <v>0</v>
      </c>
    </row>
    <row r="387" spans="1:24">
      <c r="A387" s="43">
        <f>IF(F387="","","CHK-"&amp;TEXT(ROW()-4,"0000"))</f>
        <v>0</v>
      </c>
      <c r="O387" s="34">
        <f>IF(F387="","",ROUND(IF(H387="",0,H387)/60,2))</f>
        <v>0</v>
      </c>
      <c r="P387" s="34">
        <f>IF(B387="","",ROUND(SUMIFS($H$5:$H$404,$B$5:$B$404,B387,$M$5:$M$404,"Yes")/60,2))</f>
        <v>0</v>
      </c>
      <c r="Q387" s="34">
        <f>IF(B387="","",IFERROR(INDEX(Services!$G$5:$G$64,MATCH(B387,Services!$B$5:$B$64,0)),""))</f>
        <v>0</v>
      </c>
      <c r="R387" s="31">
        <f>IF(F387="","",COUNTIFS('Job Tasks'!$G$5:$G$904,F387,'Job Tasks'!$H$5:$H$904,"Done"))</f>
        <v>0</v>
      </c>
      <c r="S387" s="31">
        <f>IF(F387="","",COUNTIFS('Job Tasks'!$G$5:$G$904,F387,'Job Tasks'!$H$5:$H$904,"Skipped"))</f>
        <v>0</v>
      </c>
      <c r="T387" s="31">
        <f>IF(F387="","",COUNTIFS('Job Tasks'!$G$5:$G$904,F387,'Job Tasks'!$H$5:$H$904,"Issue found"))</f>
        <v>0</v>
      </c>
      <c r="U387" s="39">
        <f>IF(F387="","",IF(R387+S387=0,"New",IF(S387/(R387+S387)&gt;0.25,"Often skipped","Working")))</f>
        <v>0</v>
      </c>
      <c r="V387" s="31">
        <f>IF(OR(B387="",F387=""),"",COUNTIFS($B$5:B387,B387))</f>
        <v>0</v>
      </c>
      <c r="W387" s="23">
        <f>IF(V387="","",B387&amp;"|"&amp;V387)</f>
        <v>0</v>
      </c>
      <c r="X387" s="39">
        <f>IF(F387="","",IF(B387="","Add - which service?",IF(H387="","Add - how many minutes?",IF(AND(Q387&lt;&gt;"",P387&gt;Q387+0.25),"Check - checklist is longer than the service allows",IF(S387&gt;=3,"Check - often skipped","OK")))))</f>
        <v>0</v>
      </c>
    </row>
    <row r="388" spans="1:24">
      <c r="A388" s="43">
        <f>IF(F388="","","CHK-"&amp;TEXT(ROW()-4,"0000"))</f>
        <v>0</v>
      </c>
      <c r="O388" s="34">
        <f>IF(F388="","",ROUND(IF(H388="",0,H388)/60,2))</f>
        <v>0</v>
      </c>
      <c r="P388" s="34">
        <f>IF(B388="","",ROUND(SUMIFS($H$5:$H$404,$B$5:$B$404,B388,$M$5:$M$404,"Yes")/60,2))</f>
        <v>0</v>
      </c>
      <c r="Q388" s="34">
        <f>IF(B388="","",IFERROR(INDEX(Services!$G$5:$G$64,MATCH(B388,Services!$B$5:$B$64,0)),""))</f>
        <v>0</v>
      </c>
      <c r="R388" s="31">
        <f>IF(F388="","",COUNTIFS('Job Tasks'!$G$5:$G$904,F388,'Job Tasks'!$H$5:$H$904,"Done"))</f>
        <v>0</v>
      </c>
      <c r="S388" s="31">
        <f>IF(F388="","",COUNTIFS('Job Tasks'!$G$5:$G$904,F388,'Job Tasks'!$H$5:$H$904,"Skipped"))</f>
        <v>0</v>
      </c>
      <c r="T388" s="31">
        <f>IF(F388="","",COUNTIFS('Job Tasks'!$G$5:$G$904,F388,'Job Tasks'!$H$5:$H$904,"Issue found"))</f>
        <v>0</v>
      </c>
      <c r="U388" s="39">
        <f>IF(F388="","",IF(R388+S388=0,"New",IF(S388/(R388+S388)&gt;0.25,"Often skipped","Working")))</f>
        <v>0</v>
      </c>
      <c r="V388" s="31">
        <f>IF(OR(B388="",F388=""),"",COUNTIFS($B$5:B388,B388))</f>
        <v>0</v>
      </c>
      <c r="W388" s="23">
        <f>IF(V388="","",B388&amp;"|"&amp;V388)</f>
        <v>0</v>
      </c>
      <c r="X388" s="39">
        <f>IF(F388="","",IF(B388="","Add - which service?",IF(H388="","Add - how many minutes?",IF(AND(Q388&lt;&gt;"",P388&gt;Q388+0.25),"Check - checklist is longer than the service allows",IF(S388&gt;=3,"Check - often skipped","OK")))))</f>
        <v>0</v>
      </c>
    </row>
    <row r="389" spans="1:24">
      <c r="A389" s="43">
        <f>IF(F389="","","CHK-"&amp;TEXT(ROW()-4,"0000"))</f>
        <v>0</v>
      </c>
      <c r="O389" s="34">
        <f>IF(F389="","",ROUND(IF(H389="",0,H389)/60,2))</f>
        <v>0</v>
      </c>
      <c r="P389" s="34">
        <f>IF(B389="","",ROUND(SUMIFS($H$5:$H$404,$B$5:$B$404,B389,$M$5:$M$404,"Yes")/60,2))</f>
        <v>0</v>
      </c>
      <c r="Q389" s="34">
        <f>IF(B389="","",IFERROR(INDEX(Services!$G$5:$G$64,MATCH(B389,Services!$B$5:$B$64,0)),""))</f>
        <v>0</v>
      </c>
      <c r="R389" s="31">
        <f>IF(F389="","",COUNTIFS('Job Tasks'!$G$5:$G$904,F389,'Job Tasks'!$H$5:$H$904,"Done"))</f>
        <v>0</v>
      </c>
      <c r="S389" s="31">
        <f>IF(F389="","",COUNTIFS('Job Tasks'!$G$5:$G$904,F389,'Job Tasks'!$H$5:$H$904,"Skipped"))</f>
        <v>0</v>
      </c>
      <c r="T389" s="31">
        <f>IF(F389="","",COUNTIFS('Job Tasks'!$G$5:$G$904,F389,'Job Tasks'!$H$5:$H$904,"Issue found"))</f>
        <v>0</v>
      </c>
      <c r="U389" s="39">
        <f>IF(F389="","",IF(R389+S389=0,"New",IF(S389/(R389+S389)&gt;0.25,"Often skipped","Working")))</f>
        <v>0</v>
      </c>
      <c r="V389" s="31">
        <f>IF(OR(B389="",F389=""),"",COUNTIFS($B$5:B389,B389))</f>
        <v>0</v>
      </c>
      <c r="W389" s="23">
        <f>IF(V389="","",B389&amp;"|"&amp;V389)</f>
        <v>0</v>
      </c>
      <c r="X389" s="39">
        <f>IF(F389="","",IF(B389="","Add - which service?",IF(H389="","Add - how many minutes?",IF(AND(Q389&lt;&gt;"",P389&gt;Q389+0.25),"Check - checklist is longer than the service allows",IF(S389&gt;=3,"Check - often skipped","OK")))))</f>
        <v>0</v>
      </c>
    </row>
    <row r="390" spans="1:24">
      <c r="A390" s="43">
        <f>IF(F390="","","CHK-"&amp;TEXT(ROW()-4,"0000"))</f>
        <v>0</v>
      </c>
      <c r="O390" s="34">
        <f>IF(F390="","",ROUND(IF(H390="",0,H390)/60,2))</f>
        <v>0</v>
      </c>
      <c r="P390" s="34">
        <f>IF(B390="","",ROUND(SUMIFS($H$5:$H$404,$B$5:$B$404,B390,$M$5:$M$404,"Yes")/60,2))</f>
        <v>0</v>
      </c>
      <c r="Q390" s="34">
        <f>IF(B390="","",IFERROR(INDEX(Services!$G$5:$G$64,MATCH(B390,Services!$B$5:$B$64,0)),""))</f>
        <v>0</v>
      </c>
      <c r="R390" s="31">
        <f>IF(F390="","",COUNTIFS('Job Tasks'!$G$5:$G$904,F390,'Job Tasks'!$H$5:$H$904,"Done"))</f>
        <v>0</v>
      </c>
      <c r="S390" s="31">
        <f>IF(F390="","",COUNTIFS('Job Tasks'!$G$5:$G$904,F390,'Job Tasks'!$H$5:$H$904,"Skipped"))</f>
        <v>0</v>
      </c>
      <c r="T390" s="31">
        <f>IF(F390="","",COUNTIFS('Job Tasks'!$G$5:$G$904,F390,'Job Tasks'!$H$5:$H$904,"Issue found"))</f>
        <v>0</v>
      </c>
      <c r="U390" s="39">
        <f>IF(F390="","",IF(R390+S390=0,"New",IF(S390/(R390+S390)&gt;0.25,"Often skipped","Working")))</f>
        <v>0</v>
      </c>
      <c r="V390" s="31">
        <f>IF(OR(B390="",F390=""),"",COUNTIFS($B$5:B390,B390))</f>
        <v>0</v>
      </c>
      <c r="W390" s="23">
        <f>IF(V390="","",B390&amp;"|"&amp;V390)</f>
        <v>0</v>
      </c>
      <c r="X390" s="39">
        <f>IF(F390="","",IF(B390="","Add - which service?",IF(H390="","Add - how many minutes?",IF(AND(Q390&lt;&gt;"",P390&gt;Q390+0.25),"Check - checklist is longer than the service allows",IF(S390&gt;=3,"Check - often skipped","OK")))))</f>
        <v>0</v>
      </c>
    </row>
    <row r="391" spans="1:24">
      <c r="A391" s="43">
        <f>IF(F391="","","CHK-"&amp;TEXT(ROW()-4,"0000"))</f>
        <v>0</v>
      </c>
      <c r="O391" s="34">
        <f>IF(F391="","",ROUND(IF(H391="",0,H391)/60,2))</f>
        <v>0</v>
      </c>
      <c r="P391" s="34">
        <f>IF(B391="","",ROUND(SUMIFS($H$5:$H$404,$B$5:$B$404,B391,$M$5:$M$404,"Yes")/60,2))</f>
        <v>0</v>
      </c>
      <c r="Q391" s="34">
        <f>IF(B391="","",IFERROR(INDEX(Services!$G$5:$G$64,MATCH(B391,Services!$B$5:$B$64,0)),""))</f>
        <v>0</v>
      </c>
      <c r="R391" s="31">
        <f>IF(F391="","",COUNTIFS('Job Tasks'!$G$5:$G$904,F391,'Job Tasks'!$H$5:$H$904,"Done"))</f>
        <v>0</v>
      </c>
      <c r="S391" s="31">
        <f>IF(F391="","",COUNTIFS('Job Tasks'!$G$5:$G$904,F391,'Job Tasks'!$H$5:$H$904,"Skipped"))</f>
        <v>0</v>
      </c>
      <c r="T391" s="31">
        <f>IF(F391="","",COUNTIFS('Job Tasks'!$G$5:$G$904,F391,'Job Tasks'!$H$5:$H$904,"Issue found"))</f>
        <v>0</v>
      </c>
      <c r="U391" s="39">
        <f>IF(F391="","",IF(R391+S391=0,"New",IF(S391/(R391+S391)&gt;0.25,"Often skipped","Working")))</f>
        <v>0</v>
      </c>
      <c r="V391" s="31">
        <f>IF(OR(B391="",F391=""),"",COUNTIFS($B$5:B391,B391))</f>
        <v>0</v>
      </c>
      <c r="W391" s="23">
        <f>IF(V391="","",B391&amp;"|"&amp;V391)</f>
        <v>0</v>
      </c>
      <c r="X391" s="39">
        <f>IF(F391="","",IF(B391="","Add - which service?",IF(H391="","Add - how many minutes?",IF(AND(Q391&lt;&gt;"",P391&gt;Q391+0.25),"Check - checklist is longer than the service allows",IF(S391&gt;=3,"Check - often skipped","OK")))))</f>
        <v>0</v>
      </c>
    </row>
    <row r="392" spans="1:24">
      <c r="A392" s="43">
        <f>IF(F392="","","CHK-"&amp;TEXT(ROW()-4,"0000"))</f>
        <v>0</v>
      </c>
      <c r="O392" s="34">
        <f>IF(F392="","",ROUND(IF(H392="",0,H392)/60,2))</f>
        <v>0</v>
      </c>
      <c r="P392" s="34">
        <f>IF(B392="","",ROUND(SUMIFS($H$5:$H$404,$B$5:$B$404,B392,$M$5:$M$404,"Yes")/60,2))</f>
        <v>0</v>
      </c>
      <c r="Q392" s="34">
        <f>IF(B392="","",IFERROR(INDEX(Services!$G$5:$G$64,MATCH(B392,Services!$B$5:$B$64,0)),""))</f>
        <v>0</v>
      </c>
      <c r="R392" s="31">
        <f>IF(F392="","",COUNTIFS('Job Tasks'!$G$5:$G$904,F392,'Job Tasks'!$H$5:$H$904,"Done"))</f>
        <v>0</v>
      </c>
      <c r="S392" s="31">
        <f>IF(F392="","",COUNTIFS('Job Tasks'!$G$5:$G$904,F392,'Job Tasks'!$H$5:$H$904,"Skipped"))</f>
        <v>0</v>
      </c>
      <c r="T392" s="31">
        <f>IF(F392="","",COUNTIFS('Job Tasks'!$G$5:$G$904,F392,'Job Tasks'!$H$5:$H$904,"Issue found"))</f>
        <v>0</v>
      </c>
      <c r="U392" s="39">
        <f>IF(F392="","",IF(R392+S392=0,"New",IF(S392/(R392+S392)&gt;0.25,"Often skipped","Working")))</f>
        <v>0</v>
      </c>
      <c r="V392" s="31">
        <f>IF(OR(B392="",F392=""),"",COUNTIFS($B$5:B392,B392))</f>
        <v>0</v>
      </c>
      <c r="W392" s="23">
        <f>IF(V392="","",B392&amp;"|"&amp;V392)</f>
        <v>0</v>
      </c>
      <c r="X392" s="39">
        <f>IF(F392="","",IF(B392="","Add - which service?",IF(H392="","Add - how many minutes?",IF(AND(Q392&lt;&gt;"",P392&gt;Q392+0.25),"Check - checklist is longer than the service allows",IF(S392&gt;=3,"Check - often skipped","OK")))))</f>
        <v>0</v>
      </c>
    </row>
    <row r="393" spans="1:24">
      <c r="A393" s="43">
        <f>IF(F393="","","CHK-"&amp;TEXT(ROW()-4,"0000"))</f>
        <v>0</v>
      </c>
      <c r="O393" s="34">
        <f>IF(F393="","",ROUND(IF(H393="",0,H393)/60,2))</f>
        <v>0</v>
      </c>
      <c r="P393" s="34">
        <f>IF(B393="","",ROUND(SUMIFS($H$5:$H$404,$B$5:$B$404,B393,$M$5:$M$404,"Yes")/60,2))</f>
        <v>0</v>
      </c>
      <c r="Q393" s="34">
        <f>IF(B393="","",IFERROR(INDEX(Services!$G$5:$G$64,MATCH(B393,Services!$B$5:$B$64,0)),""))</f>
        <v>0</v>
      </c>
      <c r="R393" s="31">
        <f>IF(F393="","",COUNTIFS('Job Tasks'!$G$5:$G$904,F393,'Job Tasks'!$H$5:$H$904,"Done"))</f>
        <v>0</v>
      </c>
      <c r="S393" s="31">
        <f>IF(F393="","",COUNTIFS('Job Tasks'!$G$5:$G$904,F393,'Job Tasks'!$H$5:$H$904,"Skipped"))</f>
        <v>0</v>
      </c>
      <c r="T393" s="31">
        <f>IF(F393="","",COUNTIFS('Job Tasks'!$G$5:$G$904,F393,'Job Tasks'!$H$5:$H$904,"Issue found"))</f>
        <v>0</v>
      </c>
      <c r="U393" s="39">
        <f>IF(F393="","",IF(R393+S393=0,"New",IF(S393/(R393+S393)&gt;0.25,"Often skipped","Working")))</f>
        <v>0</v>
      </c>
      <c r="V393" s="31">
        <f>IF(OR(B393="",F393=""),"",COUNTIFS($B$5:B393,B393))</f>
        <v>0</v>
      </c>
      <c r="W393" s="23">
        <f>IF(V393="","",B393&amp;"|"&amp;V393)</f>
        <v>0</v>
      </c>
      <c r="X393" s="39">
        <f>IF(F393="","",IF(B393="","Add - which service?",IF(H393="","Add - how many minutes?",IF(AND(Q393&lt;&gt;"",P393&gt;Q393+0.25),"Check - checklist is longer than the service allows",IF(S393&gt;=3,"Check - often skipped","OK")))))</f>
        <v>0</v>
      </c>
    </row>
    <row r="394" spans="1:24">
      <c r="A394" s="43">
        <f>IF(F394="","","CHK-"&amp;TEXT(ROW()-4,"0000"))</f>
        <v>0</v>
      </c>
      <c r="O394" s="34">
        <f>IF(F394="","",ROUND(IF(H394="",0,H394)/60,2))</f>
        <v>0</v>
      </c>
      <c r="P394" s="34">
        <f>IF(B394="","",ROUND(SUMIFS($H$5:$H$404,$B$5:$B$404,B394,$M$5:$M$404,"Yes")/60,2))</f>
        <v>0</v>
      </c>
      <c r="Q394" s="34">
        <f>IF(B394="","",IFERROR(INDEX(Services!$G$5:$G$64,MATCH(B394,Services!$B$5:$B$64,0)),""))</f>
        <v>0</v>
      </c>
      <c r="R394" s="31">
        <f>IF(F394="","",COUNTIFS('Job Tasks'!$G$5:$G$904,F394,'Job Tasks'!$H$5:$H$904,"Done"))</f>
        <v>0</v>
      </c>
      <c r="S394" s="31">
        <f>IF(F394="","",COUNTIFS('Job Tasks'!$G$5:$G$904,F394,'Job Tasks'!$H$5:$H$904,"Skipped"))</f>
        <v>0</v>
      </c>
      <c r="T394" s="31">
        <f>IF(F394="","",COUNTIFS('Job Tasks'!$G$5:$G$904,F394,'Job Tasks'!$H$5:$H$904,"Issue found"))</f>
        <v>0</v>
      </c>
      <c r="U394" s="39">
        <f>IF(F394="","",IF(R394+S394=0,"New",IF(S394/(R394+S394)&gt;0.25,"Often skipped","Working")))</f>
        <v>0</v>
      </c>
      <c r="V394" s="31">
        <f>IF(OR(B394="",F394=""),"",COUNTIFS($B$5:B394,B394))</f>
        <v>0</v>
      </c>
      <c r="W394" s="23">
        <f>IF(V394="","",B394&amp;"|"&amp;V394)</f>
        <v>0</v>
      </c>
      <c r="X394" s="39">
        <f>IF(F394="","",IF(B394="","Add - which service?",IF(H394="","Add - how many minutes?",IF(AND(Q394&lt;&gt;"",P394&gt;Q394+0.25),"Check - checklist is longer than the service allows",IF(S394&gt;=3,"Check - often skipped","OK")))))</f>
        <v>0</v>
      </c>
    </row>
    <row r="395" spans="1:24">
      <c r="A395" s="43">
        <f>IF(F395="","","CHK-"&amp;TEXT(ROW()-4,"0000"))</f>
        <v>0</v>
      </c>
      <c r="O395" s="34">
        <f>IF(F395="","",ROUND(IF(H395="",0,H395)/60,2))</f>
        <v>0</v>
      </c>
      <c r="P395" s="34">
        <f>IF(B395="","",ROUND(SUMIFS($H$5:$H$404,$B$5:$B$404,B395,$M$5:$M$404,"Yes")/60,2))</f>
        <v>0</v>
      </c>
      <c r="Q395" s="34">
        <f>IF(B395="","",IFERROR(INDEX(Services!$G$5:$G$64,MATCH(B395,Services!$B$5:$B$64,0)),""))</f>
        <v>0</v>
      </c>
      <c r="R395" s="31">
        <f>IF(F395="","",COUNTIFS('Job Tasks'!$G$5:$G$904,F395,'Job Tasks'!$H$5:$H$904,"Done"))</f>
        <v>0</v>
      </c>
      <c r="S395" s="31">
        <f>IF(F395="","",COUNTIFS('Job Tasks'!$G$5:$G$904,F395,'Job Tasks'!$H$5:$H$904,"Skipped"))</f>
        <v>0</v>
      </c>
      <c r="T395" s="31">
        <f>IF(F395="","",COUNTIFS('Job Tasks'!$G$5:$G$904,F395,'Job Tasks'!$H$5:$H$904,"Issue found"))</f>
        <v>0</v>
      </c>
      <c r="U395" s="39">
        <f>IF(F395="","",IF(R395+S395=0,"New",IF(S395/(R395+S395)&gt;0.25,"Often skipped","Working")))</f>
        <v>0</v>
      </c>
      <c r="V395" s="31">
        <f>IF(OR(B395="",F395=""),"",COUNTIFS($B$5:B395,B395))</f>
        <v>0</v>
      </c>
      <c r="W395" s="23">
        <f>IF(V395="","",B395&amp;"|"&amp;V395)</f>
        <v>0</v>
      </c>
      <c r="X395" s="39">
        <f>IF(F395="","",IF(B395="","Add - which service?",IF(H395="","Add - how many minutes?",IF(AND(Q395&lt;&gt;"",P395&gt;Q395+0.25),"Check - checklist is longer than the service allows",IF(S395&gt;=3,"Check - often skipped","OK")))))</f>
        <v>0</v>
      </c>
    </row>
    <row r="396" spans="1:24">
      <c r="A396" s="43">
        <f>IF(F396="","","CHK-"&amp;TEXT(ROW()-4,"0000"))</f>
        <v>0</v>
      </c>
      <c r="O396" s="34">
        <f>IF(F396="","",ROUND(IF(H396="",0,H396)/60,2))</f>
        <v>0</v>
      </c>
      <c r="P396" s="34">
        <f>IF(B396="","",ROUND(SUMIFS($H$5:$H$404,$B$5:$B$404,B396,$M$5:$M$404,"Yes")/60,2))</f>
        <v>0</v>
      </c>
      <c r="Q396" s="34">
        <f>IF(B396="","",IFERROR(INDEX(Services!$G$5:$G$64,MATCH(B396,Services!$B$5:$B$64,0)),""))</f>
        <v>0</v>
      </c>
      <c r="R396" s="31">
        <f>IF(F396="","",COUNTIFS('Job Tasks'!$G$5:$G$904,F396,'Job Tasks'!$H$5:$H$904,"Done"))</f>
        <v>0</v>
      </c>
      <c r="S396" s="31">
        <f>IF(F396="","",COUNTIFS('Job Tasks'!$G$5:$G$904,F396,'Job Tasks'!$H$5:$H$904,"Skipped"))</f>
        <v>0</v>
      </c>
      <c r="T396" s="31">
        <f>IF(F396="","",COUNTIFS('Job Tasks'!$G$5:$G$904,F396,'Job Tasks'!$H$5:$H$904,"Issue found"))</f>
        <v>0</v>
      </c>
      <c r="U396" s="39">
        <f>IF(F396="","",IF(R396+S396=0,"New",IF(S396/(R396+S396)&gt;0.25,"Often skipped","Working")))</f>
        <v>0</v>
      </c>
      <c r="V396" s="31">
        <f>IF(OR(B396="",F396=""),"",COUNTIFS($B$5:B396,B396))</f>
        <v>0</v>
      </c>
      <c r="W396" s="23">
        <f>IF(V396="","",B396&amp;"|"&amp;V396)</f>
        <v>0</v>
      </c>
      <c r="X396" s="39">
        <f>IF(F396="","",IF(B396="","Add - which service?",IF(H396="","Add - how many minutes?",IF(AND(Q396&lt;&gt;"",P396&gt;Q396+0.25),"Check - checklist is longer than the service allows",IF(S396&gt;=3,"Check - often skipped","OK")))))</f>
        <v>0</v>
      </c>
    </row>
    <row r="397" spans="1:24">
      <c r="A397" s="43">
        <f>IF(F397="","","CHK-"&amp;TEXT(ROW()-4,"0000"))</f>
        <v>0</v>
      </c>
      <c r="O397" s="34">
        <f>IF(F397="","",ROUND(IF(H397="",0,H397)/60,2))</f>
        <v>0</v>
      </c>
      <c r="P397" s="34">
        <f>IF(B397="","",ROUND(SUMIFS($H$5:$H$404,$B$5:$B$404,B397,$M$5:$M$404,"Yes")/60,2))</f>
        <v>0</v>
      </c>
      <c r="Q397" s="34">
        <f>IF(B397="","",IFERROR(INDEX(Services!$G$5:$G$64,MATCH(B397,Services!$B$5:$B$64,0)),""))</f>
        <v>0</v>
      </c>
      <c r="R397" s="31">
        <f>IF(F397="","",COUNTIFS('Job Tasks'!$G$5:$G$904,F397,'Job Tasks'!$H$5:$H$904,"Done"))</f>
        <v>0</v>
      </c>
      <c r="S397" s="31">
        <f>IF(F397="","",COUNTIFS('Job Tasks'!$G$5:$G$904,F397,'Job Tasks'!$H$5:$H$904,"Skipped"))</f>
        <v>0</v>
      </c>
      <c r="T397" s="31">
        <f>IF(F397="","",COUNTIFS('Job Tasks'!$G$5:$G$904,F397,'Job Tasks'!$H$5:$H$904,"Issue found"))</f>
        <v>0</v>
      </c>
      <c r="U397" s="39">
        <f>IF(F397="","",IF(R397+S397=0,"New",IF(S397/(R397+S397)&gt;0.25,"Often skipped","Working")))</f>
        <v>0</v>
      </c>
      <c r="V397" s="31">
        <f>IF(OR(B397="",F397=""),"",COUNTIFS($B$5:B397,B397))</f>
        <v>0</v>
      </c>
      <c r="W397" s="23">
        <f>IF(V397="","",B397&amp;"|"&amp;V397)</f>
        <v>0</v>
      </c>
      <c r="X397" s="39">
        <f>IF(F397="","",IF(B397="","Add - which service?",IF(H397="","Add - how many minutes?",IF(AND(Q397&lt;&gt;"",P397&gt;Q397+0.25),"Check - checklist is longer than the service allows",IF(S397&gt;=3,"Check - often skipped","OK")))))</f>
        <v>0</v>
      </c>
    </row>
    <row r="398" spans="1:24">
      <c r="A398" s="43">
        <f>IF(F398="","","CHK-"&amp;TEXT(ROW()-4,"0000"))</f>
        <v>0</v>
      </c>
      <c r="O398" s="34">
        <f>IF(F398="","",ROUND(IF(H398="",0,H398)/60,2))</f>
        <v>0</v>
      </c>
      <c r="P398" s="34">
        <f>IF(B398="","",ROUND(SUMIFS($H$5:$H$404,$B$5:$B$404,B398,$M$5:$M$404,"Yes")/60,2))</f>
        <v>0</v>
      </c>
      <c r="Q398" s="34">
        <f>IF(B398="","",IFERROR(INDEX(Services!$G$5:$G$64,MATCH(B398,Services!$B$5:$B$64,0)),""))</f>
        <v>0</v>
      </c>
      <c r="R398" s="31">
        <f>IF(F398="","",COUNTIFS('Job Tasks'!$G$5:$G$904,F398,'Job Tasks'!$H$5:$H$904,"Done"))</f>
        <v>0</v>
      </c>
      <c r="S398" s="31">
        <f>IF(F398="","",COUNTIFS('Job Tasks'!$G$5:$G$904,F398,'Job Tasks'!$H$5:$H$904,"Skipped"))</f>
        <v>0</v>
      </c>
      <c r="T398" s="31">
        <f>IF(F398="","",COUNTIFS('Job Tasks'!$G$5:$G$904,F398,'Job Tasks'!$H$5:$H$904,"Issue found"))</f>
        <v>0</v>
      </c>
      <c r="U398" s="39">
        <f>IF(F398="","",IF(R398+S398=0,"New",IF(S398/(R398+S398)&gt;0.25,"Often skipped","Working")))</f>
        <v>0</v>
      </c>
      <c r="V398" s="31">
        <f>IF(OR(B398="",F398=""),"",COUNTIFS($B$5:B398,B398))</f>
        <v>0</v>
      </c>
      <c r="W398" s="23">
        <f>IF(V398="","",B398&amp;"|"&amp;V398)</f>
        <v>0</v>
      </c>
      <c r="X398" s="39">
        <f>IF(F398="","",IF(B398="","Add - which service?",IF(H398="","Add - how many minutes?",IF(AND(Q398&lt;&gt;"",P398&gt;Q398+0.25),"Check - checklist is longer than the service allows",IF(S398&gt;=3,"Check - often skipped","OK")))))</f>
        <v>0</v>
      </c>
    </row>
    <row r="399" spans="1:24">
      <c r="A399" s="43">
        <f>IF(F399="","","CHK-"&amp;TEXT(ROW()-4,"0000"))</f>
        <v>0</v>
      </c>
      <c r="O399" s="34">
        <f>IF(F399="","",ROUND(IF(H399="",0,H399)/60,2))</f>
        <v>0</v>
      </c>
      <c r="P399" s="34">
        <f>IF(B399="","",ROUND(SUMIFS($H$5:$H$404,$B$5:$B$404,B399,$M$5:$M$404,"Yes")/60,2))</f>
        <v>0</v>
      </c>
      <c r="Q399" s="34">
        <f>IF(B399="","",IFERROR(INDEX(Services!$G$5:$G$64,MATCH(B399,Services!$B$5:$B$64,0)),""))</f>
        <v>0</v>
      </c>
      <c r="R399" s="31">
        <f>IF(F399="","",COUNTIFS('Job Tasks'!$G$5:$G$904,F399,'Job Tasks'!$H$5:$H$904,"Done"))</f>
        <v>0</v>
      </c>
      <c r="S399" s="31">
        <f>IF(F399="","",COUNTIFS('Job Tasks'!$G$5:$G$904,F399,'Job Tasks'!$H$5:$H$904,"Skipped"))</f>
        <v>0</v>
      </c>
      <c r="T399" s="31">
        <f>IF(F399="","",COUNTIFS('Job Tasks'!$G$5:$G$904,F399,'Job Tasks'!$H$5:$H$904,"Issue found"))</f>
        <v>0</v>
      </c>
      <c r="U399" s="39">
        <f>IF(F399="","",IF(R399+S399=0,"New",IF(S399/(R399+S399)&gt;0.25,"Often skipped","Working")))</f>
        <v>0</v>
      </c>
      <c r="V399" s="31">
        <f>IF(OR(B399="",F399=""),"",COUNTIFS($B$5:B399,B399))</f>
        <v>0</v>
      </c>
      <c r="W399" s="23">
        <f>IF(V399="","",B399&amp;"|"&amp;V399)</f>
        <v>0</v>
      </c>
      <c r="X399" s="39">
        <f>IF(F399="","",IF(B399="","Add - which service?",IF(H399="","Add - how many minutes?",IF(AND(Q399&lt;&gt;"",P399&gt;Q399+0.25),"Check - checklist is longer than the service allows",IF(S399&gt;=3,"Check - often skipped","OK")))))</f>
        <v>0</v>
      </c>
    </row>
    <row r="400" spans="1:24">
      <c r="A400" s="43">
        <f>IF(F400="","","CHK-"&amp;TEXT(ROW()-4,"0000"))</f>
        <v>0</v>
      </c>
      <c r="O400" s="34">
        <f>IF(F400="","",ROUND(IF(H400="",0,H400)/60,2))</f>
        <v>0</v>
      </c>
      <c r="P400" s="34">
        <f>IF(B400="","",ROUND(SUMIFS($H$5:$H$404,$B$5:$B$404,B400,$M$5:$M$404,"Yes")/60,2))</f>
        <v>0</v>
      </c>
      <c r="Q400" s="34">
        <f>IF(B400="","",IFERROR(INDEX(Services!$G$5:$G$64,MATCH(B400,Services!$B$5:$B$64,0)),""))</f>
        <v>0</v>
      </c>
      <c r="R400" s="31">
        <f>IF(F400="","",COUNTIFS('Job Tasks'!$G$5:$G$904,F400,'Job Tasks'!$H$5:$H$904,"Done"))</f>
        <v>0</v>
      </c>
      <c r="S400" s="31">
        <f>IF(F400="","",COUNTIFS('Job Tasks'!$G$5:$G$904,F400,'Job Tasks'!$H$5:$H$904,"Skipped"))</f>
        <v>0</v>
      </c>
      <c r="T400" s="31">
        <f>IF(F400="","",COUNTIFS('Job Tasks'!$G$5:$G$904,F400,'Job Tasks'!$H$5:$H$904,"Issue found"))</f>
        <v>0</v>
      </c>
      <c r="U400" s="39">
        <f>IF(F400="","",IF(R400+S400=0,"New",IF(S400/(R400+S400)&gt;0.25,"Often skipped","Working")))</f>
        <v>0</v>
      </c>
      <c r="V400" s="31">
        <f>IF(OR(B400="",F400=""),"",COUNTIFS($B$5:B400,B400))</f>
        <v>0</v>
      </c>
      <c r="W400" s="23">
        <f>IF(V400="","",B400&amp;"|"&amp;V400)</f>
        <v>0</v>
      </c>
      <c r="X400" s="39">
        <f>IF(F400="","",IF(B400="","Add - which service?",IF(H400="","Add - how many minutes?",IF(AND(Q400&lt;&gt;"",P400&gt;Q400+0.25),"Check - checklist is longer than the service allows",IF(S400&gt;=3,"Check - often skipped","OK")))))</f>
        <v>0</v>
      </c>
    </row>
    <row r="401" spans="1:24">
      <c r="A401" s="43">
        <f>IF(F401="","","CHK-"&amp;TEXT(ROW()-4,"0000"))</f>
        <v>0</v>
      </c>
      <c r="O401" s="34">
        <f>IF(F401="","",ROUND(IF(H401="",0,H401)/60,2))</f>
        <v>0</v>
      </c>
      <c r="P401" s="34">
        <f>IF(B401="","",ROUND(SUMIFS($H$5:$H$404,$B$5:$B$404,B401,$M$5:$M$404,"Yes")/60,2))</f>
        <v>0</v>
      </c>
      <c r="Q401" s="34">
        <f>IF(B401="","",IFERROR(INDEX(Services!$G$5:$G$64,MATCH(B401,Services!$B$5:$B$64,0)),""))</f>
        <v>0</v>
      </c>
      <c r="R401" s="31">
        <f>IF(F401="","",COUNTIFS('Job Tasks'!$G$5:$G$904,F401,'Job Tasks'!$H$5:$H$904,"Done"))</f>
        <v>0</v>
      </c>
      <c r="S401" s="31">
        <f>IF(F401="","",COUNTIFS('Job Tasks'!$G$5:$G$904,F401,'Job Tasks'!$H$5:$H$904,"Skipped"))</f>
        <v>0</v>
      </c>
      <c r="T401" s="31">
        <f>IF(F401="","",COUNTIFS('Job Tasks'!$G$5:$G$904,F401,'Job Tasks'!$H$5:$H$904,"Issue found"))</f>
        <v>0</v>
      </c>
      <c r="U401" s="39">
        <f>IF(F401="","",IF(R401+S401=0,"New",IF(S401/(R401+S401)&gt;0.25,"Often skipped","Working")))</f>
        <v>0</v>
      </c>
      <c r="V401" s="31">
        <f>IF(OR(B401="",F401=""),"",COUNTIFS($B$5:B401,B401))</f>
        <v>0</v>
      </c>
      <c r="W401" s="23">
        <f>IF(V401="","",B401&amp;"|"&amp;V401)</f>
        <v>0</v>
      </c>
      <c r="X401" s="39">
        <f>IF(F401="","",IF(B401="","Add - which service?",IF(H401="","Add - how many minutes?",IF(AND(Q401&lt;&gt;"",P401&gt;Q401+0.25),"Check - checklist is longer than the service allows",IF(S401&gt;=3,"Check - often skipped","OK")))))</f>
        <v>0</v>
      </c>
    </row>
    <row r="402" spans="1:24">
      <c r="A402" s="43">
        <f>IF(F402="","","CHK-"&amp;TEXT(ROW()-4,"0000"))</f>
        <v>0</v>
      </c>
      <c r="O402" s="34">
        <f>IF(F402="","",ROUND(IF(H402="",0,H402)/60,2))</f>
        <v>0</v>
      </c>
      <c r="P402" s="34">
        <f>IF(B402="","",ROUND(SUMIFS($H$5:$H$404,$B$5:$B$404,B402,$M$5:$M$404,"Yes")/60,2))</f>
        <v>0</v>
      </c>
      <c r="Q402" s="34">
        <f>IF(B402="","",IFERROR(INDEX(Services!$G$5:$G$64,MATCH(B402,Services!$B$5:$B$64,0)),""))</f>
        <v>0</v>
      </c>
      <c r="R402" s="31">
        <f>IF(F402="","",COUNTIFS('Job Tasks'!$G$5:$G$904,F402,'Job Tasks'!$H$5:$H$904,"Done"))</f>
        <v>0</v>
      </c>
      <c r="S402" s="31">
        <f>IF(F402="","",COUNTIFS('Job Tasks'!$G$5:$G$904,F402,'Job Tasks'!$H$5:$H$904,"Skipped"))</f>
        <v>0</v>
      </c>
      <c r="T402" s="31">
        <f>IF(F402="","",COUNTIFS('Job Tasks'!$G$5:$G$904,F402,'Job Tasks'!$H$5:$H$904,"Issue found"))</f>
        <v>0</v>
      </c>
      <c r="U402" s="39">
        <f>IF(F402="","",IF(R402+S402=0,"New",IF(S402/(R402+S402)&gt;0.25,"Often skipped","Working")))</f>
        <v>0</v>
      </c>
      <c r="V402" s="31">
        <f>IF(OR(B402="",F402=""),"",COUNTIFS($B$5:B402,B402))</f>
        <v>0</v>
      </c>
      <c r="W402" s="23">
        <f>IF(V402="","",B402&amp;"|"&amp;V402)</f>
        <v>0</v>
      </c>
      <c r="X402" s="39">
        <f>IF(F402="","",IF(B402="","Add - which service?",IF(H402="","Add - how many minutes?",IF(AND(Q402&lt;&gt;"",P402&gt;Q402+0.25),"Check - checklist is longer than the service allows",IF(S402&gt;=3,"Check - often skipped","OK")))))</f>
        <v>0</v>
      </c>
    </row>
    <row r="403" spans="1:24">
      <c r="A403" s="43">
        <f>IF(F403="","","CHK-"&amp;TEXT(ROW()-4,"0000"))</f>
        <v>0</v>
      </c>
      <c r="O403" s="34">
        <f>IF(F403="","",ROUND(IF(H403="",0,H403)/60,2))</f>
        <v>0</v>
      </c>
      <c r="P403" s="34">
        <f>IF(B403="","",ROUND(SUMIFS($H$5:$H$404,$B$5:$B$404,B403,$M$5:$M$404,"Yes")/60,2))</f>
        <v>0</v>
      </c>
      <c r="Q403" s="34">
        <f>IF(B403="","",IFERROR(INDEX(Services!$G$5:$G$64,MATCH(B403,Services!$B$5:$B$64,0)),""))</f>
        <v>0</v>
      </c>
      <c r="R403" s="31">
        <f>IF(F403="","",COUNTIFS('Job Tasks'!$G$5:$G$904,F403,'Job Tasks'!$H$5:$H$904,"Done"))</f>
        <v>0</v>
      </c>
      <c r="S403" s="31">
        <f>IF(F403="","",COUNTIFS('Job Tasks'!$G$5:$G$904,F403,'Job Tasks'!$H$5:$H$904,"Skipped"))</f>
        <v>0</v>
      </c>
      <c r="T403" s="31">
        <f>IF(F403="","",COUNTIFS('Job Tasks'!$G$5:$G$904,F403,'Job Tasks'!$H$5:$H$904,"Issue found"))</f>
        <v>0</v>
      </c>
      <c r="U403" s="39">
        <f>IF(F403="","",IF(R403+S403=0,"New",IF(S403/(R403+S403)&gt;0.25,"Often skipped","Working")))</f>
        <v>0</v>
      </c>
      <c r="V403" s="31">
        <f>IF(OR(B403="",F403=""),"",COUNTIFS($B$5:B403,B403))</f>
        <v>0</v>
      </c>
      <c r="W403" s="23">
        <f>IF(V403="","",B403&amp;"|"&amp;V403)</f>
        <v>0</v>
      </c>
      <c r="X403" s="39">
        <f>IF(F403="","",IF(B403="","Add - which service?",IF(H403="","Add - how many minutes?",IF(AND(Q403&lt;&gt;"",P403&gt;Q403+0.25),"Check - checklist is longer than the service allows",IF(S403&gt;=3,"Check - often skipped","OK")))))</f>
        <v>0</v>
      </c>
    </row>
    <row r="404" spans="1:24">
      <c r="A404" s="43">
        <f>IF(F404="","","CHK-"&amp;TEXT(ROW()-4,"0000"))</f>
        <v>0</v>
      </c>
      <c r="O404" s="34">
        <f>IF(F404="","",ROUND(IF(H404="",0,H404)/60,2))</f>
        <v>0</v>
      </c>
      <c r="P404" s="34">
        <f>IF(B404="","",ROUND(SUMIFS($H$5:$H$404,$B$5:$B$404,B404,$M$5:$M$404,"Yes")/60,2))</f>
        <v>0</v>
      </c>
      <c r="Q404" s="34">
        <f>IF(B404="","",IFERROR(INDEX(Services!$G$5:$G$64,MATCH(B404,Services!$B$5:$B$64,0)),""))</f>
        <v>0</v>
      </c>
      <c r="R404" s="31">
        <f>IF(F404="","",COUNTIFS('Job Tasks'!$G$5:$G$904,F404,'Job Tasks'!$H$5:$H$904,"Done"))</f>
        <v>0</v>
      </c>
      <c r="S404" s="31">
        <f>IF(F404="","",COUNTIFS('Job Tasks'!$G$5:$G$904,F404,'Job Tasks'!$H$5:$H$904,"Skipped"))</f>
        <v>0</v>
      </c>
      <c r="T404" s="31">
        <f>IF(F404="","",COUNTIFS('Job Tasks'!$G$5:$G$904,F404,'Job Tasks'!$H$5:$H$904,"Issue found"))</f>
        <v>0</v>
      </c>
      <c r="U404" s="39">
        <f>IF(F404="","",IF(R404+S404=0,"New",IF(S404/(R404+S404)&gt;0.25,"Often skipped","Working")))</f>
        <v>0</v>
      </c>
      <c r="V404" s="31">
        <f>IF(OR(B404="",F404=""),"",COUNTIFS($B$5:B404,B404))</f>
        <v>0</v>
      </c>
      <c r="W404" s="23">
        <f>IF(V404="","",B404&amp;"|"&amp;V404)</f>
        <v>0</v>
      </c>
      <c r="X404" s="39">
        <f>IF(F404="","",IF(B404="","Add - which service?",IF(H404="","Add - how many minutes?",IF(AND(Q404&lt;&gt;"",P404&gt;Q404+0.25),"Check - checklist is longer than the service allows",IF(S404&gt;=3,"Check - often skipped","OK")))))</f>
        <v>0</v>
      </c>
    </row>
  </sheetData>
  <sheetProtection password="EC7C" sheet="1" objects="1" scenarios="1" formatCells="0" formatColumns="0" formatRows="0" insertRows="0" insertHyperlinks="0" deleteRows="0" autoFilter="0"/>
  <autoFilter ref="A4:X404"/>
  <mergeCells count="13">
    <mergeCell ref="A1:U1"/>
    <mergeCell ref="V1:X1"/>
    <mergeCell ref="A2:X2"/>
    <mergeCell ref="A3:B3"/>
    <mergeCell ref="C3:D3"/>
    <mergeCell ref="E3:F3"/>
    <mergeCell ref="G3:H3"/>
    <mergeCell ref="I3:J3"/>
    <mergeCell ref="K3:L3"/>
    <mergeCell ref="M3:N3"/>
    <mergeCell ref="O3:P3"/>
    <mergeCell ref="Q3:R3"/>
    <mergeCell ref="S3:X3"/>
  </mergeCells>
  <conditionalFormatting sqref="J5:J404">
    <cfRule type="containsText" dxfId="0" priority="1" operator="containsText" text="No">
      <formula>NOT(ISERROR(SEARCH("No",J5)))</formula>
    </cfRule>
    <cfRule type="containsText" dxfId="1" priority="2" operator="containsText" text="Yes">
      <formula>NOT(ISERROR(SEARCH("Yes",J5)))</formula>
    </cfRule>
  </conditionalFormatting>
  <conditionalFormatting sqref="K5:K404">
    <cfRule type="containsText" dxfId="0" priority="3" operator="containsText" text="No">
      <formula>NOT(ISERROR(SEARCH("No",K5)))</formula>
    </cfRule>
    <cfRule type="containsText" dxfId="1" priority="4" operator="containsText" text="Yes">
      <formula>NOT(ISERROR(SEARCH("Yes",K5)))</formula>
    </cfRule>
  </conditionalFormatting>
  <conditionalFormatting sqref="M5:M404">
    <cfRule type="containsText" dxfId="0" priority="5" operator="containsText" text="No">
      <formula>NOT(ISERROR(SEARCH("No",M5)))</formula>
    </cfRule>
    <cfRule type="containsText" dxfId="1" priority="6" operator="containsText" text="Yes">
      <formula>NOT(ISERROR(SEARCH("Yes",M5)))</formula>
    </cfRule>
  </conditionalFormatting>
  <conditionalFormatting sqref="P5:P404">
    <cfRule type="dataBar" priority="7">
      <dataBar>
        <cfvo type="min" val="0"/>
        <cfvo type="max" val="0"/>
        <color rgb="FF2F8F9D"/>
      </dataBar>
    </cfRule>
  </conditionalFormatting>
  <conditionalFormatting sqref="S5:S404">
    <cfRule type="cellIs" dxfId="0" priority="8" operator="greaterThanOrEqual">
      <formula>3</formula>
    </cfRule>
  </conditionalFormatting>
  <conditionalFormatting sqref="U5:U404">
    <cfRule type="containsText" dxfId="1" priority="9" operator="containsText" text="Completed">
      <formula>NOT(ISERROR(SEARCH("Completed",U5)))</formula>
    </cfRule>
    <cfRule type="containsText" dxfId="1" priority="10" operator="containsText" text="Complete">
      <formula>NOT(ISERROR(SEARCH("Complete",U5)))</formula>
    </cfRule>
    <cfRule type="containsText" dxfId="1" priority="11" operator="containsText" text="Done">
      <formula>NOT(ISERROR(SEARCH("Done",U5)))</formula>
    </cfRule>
    <cfRule type="containsText" dxfId="1" priority="12" operator="containsText" text="Paid">
      <formula>NOT(ISERROR(SEARCH("Paid",U5)))</formula>
    </cfRule>
    <cfRule type="containsText" dxfId="1" priority="13" operator="containsText" text="Accepted">
      <formula>NOT(ISERROR(SEARCH("Accepted",U5)))</formula>
    </cfRule>
    <cfRule type="containsText" dxfId="1" priority="14" operator="containsText" text="Won">
      <formula>NOT(ISERROR(SEARCH("Won",U5)))</formula>
    </cfRule>
    <cfRule type="containsText" dxfId="1" priority="15" operator="containsText" text="Active">
      <formula>NOT(ISERROR(SEARCH("Active",U5)))</formula>
    </cfRule>
    <cfRule type="containsText" dxfId="1" priority="16" operator="containsText" text="In stock">
      <formula>NOT(ISERROR(SEARCH("In stock",U5)))</formula>
    </cfRule>
    <cfRule type="containsText" dxfId="1" priority="17" operator="containsText" text="Resolved">
      <formula>NOT(ISERROR(SEARCH("Resolved",U5)))</formula>
    </cfRule>
    <cfRule type="containsText" dxfId="1" priority="18" operator="containsText" text="Signed">
      <formula>NOT(ISERROR(SEARCH("Signed",U5)))</formula>
    </cfRule>
    <cfRule type="containsText" dxfId="1" priority="19" operator="containsText" text="Yes">
      <formula>NOT(ISERROR(SEARCH("Yes",U5)))</formula>
    </cfRule>
    <cfRule type="containsText" dxfId="3" priority="20" operator="containsText" text="Booked">
      <formula>NOT(ISERROR(SEARCH("Booked",U5)))</formula>
    </cfRule>
    <cfRule type="containsText" dxfId="3" priority="21" operator="containsText" text="Confirmed">
      <formula>NOT(ISERROR(SEARCH("Confirmed",U5)))</formula>
    </cfRule>
    <cfRule type="containsText" dxfId="3" priority="22" operator="containsText" text="Scheduled">
      <formula>NOT(ISERROR(SEARCH("Scheduled",U5)))</formula>
    </cfRule>
    <cfRule type="containsText" dxfId="3" priority="23" operator="containsText" text="In progress">
      <formula>NOT(ISERROR(SEARCH("In progress",U5)))</formula>
    </cfRule>
    <cfRule type="containsText" dxfId="3" priority="24" operator="containsText" text="Sent">
      <formula>NOT(ISERROR(SEARCH("Sent",U5)))</formula>
    </cfRule>
    <cfRule type="containsText" dxfId="3" priority="25" operator="containsText" text="Invoiced">
      <formula>NOT(ISERROR(SEARCH("Invoiced",U5)))</formula>
    </cfRule>
    <cfRule type="containsText" dxfId="3" priority="26" operator="containsText" text="Quoted">
      <formula>NOT(ISERROR(SEARCH("Quoted",U5)))</formula>
    </cfRule>
    <cfRule type="containsText" dxfId="3" priority="27" operator="containsText" text="Prospect">
      <formula>NOT(ISERROR(SEARCH("Prospect",U5)))</formula>
    </cfRule>
    <cfRule type="containsText" dxfId="0" priority="28" operator="containsText" text="Draft">
      <formula>NOT(ISERROR(SEARCH("Draft",U5)))</formula>
    </cfRule>
    <cfRule type="containsText" dxfId="0" priority="29" operator="containsText" text="Enquiry">
      <formula>NOT(ISERROR(SEARCH("Enquiry",U5)))</formula>
    </cfRule>
    <cfRule type="containsText" dxfId="0" priority="30" operator="containsText" text="Pending">
      <formula>NOT(ISERROR(SEARCH("Pending",U5)))</formula>
    </cfRule>
    <cfRule type="containsText" dxfId="0" priority="31" operator="containsText" text="Part paid">
      <formula>NOT(ISERROR(SEARCH("Part paid",U5)))</formula>
    </cfRule>
    <cfRule type="containsText" dxfId="0" priority="32" operator="containsText" text="Followed up">
      <formula>NOT(ISERROR(SEARCH("Followed up",U5)))</formula>
    </cfRule>
    <cfRule type="containsText" dxfId="0" priority="33" operator="containsText" text="Low stock">
      <formula>NOT(ISERROR(SEARCH("Low stock",U5)))</formula>
    </cfRule>
    <cfRule type="containsText" dxfId="0" priority="34" operator="containsText" text="Due soon">
      <formula>NOT(ISERROR(SEARCH("Due soon",U5)))</formula>
    </cfRule>
    <cfRule type="containsText" dxfId="0" priority="35" operator="containsText" text="On hold">
      <formula>NOT(ISERROR(SEARCH("On hold",U5)))</formula>
    </cfRule>
    <cfRule type="containsText" dxfId="0" priority="36" operator="containsText" text="Unassigned">
      <formula>NOT(ISERROR(SEARCH("Unassigned",U5)))</formula>
    </cfRule>
    <cfRule type="containsText" dxfId="2" priority="37" operator="containsText" text="Overdue">
      <formula>NOT(ISERROR(SEARCH("Overdue",U5)))</formula>
    </cfRule>
    <cfRule type="containsText" dxfId="2" priority="38" operator="containsText" text="Cancelled">
      <formula>NOT(ISERROR(SEARCH("Cancelled",U5)))</formula>
    </cfRule>
    <cfRule type="containsText" dxfId="2" priority="39" operator="containsText" text="Declined">
      <formula>NOT(ISERROR(SEARCH("Declined",U5)))</formula>
    </cfRule>
    <cfRule type="containsText" dxfId="2" priority="40" operator="containsText" text="Lost">
      <formula>NOT(ISERROR(SEARCH("Lost",U5)))</formula>
    </cfRule>
    <cfRule type="containsText" dxfId="2" priority="41" operator="containsText" text="No access">
      <formula>NOT(ISERROR(SEARCH("No access",U5)))</formula>
    </cfRule>
    <cfRule type="containsText" dxfId="2" priority="42" operator="containsText" text="Out of stock">
      <formula>NOT(ISERROR(SEARCH("Out of stock",U5)))</formula>
    </cfRule>
    <cfRule type="containsText" dxfId="2" priority="43" operator="containsText" text="Written off">
      <formula>NOT(ISERROR(SEARCH("Written off",U5)))</formula>
    </cfRule>
    <cfRule type="containsText" dxfId="2" priority="44" operator="containsText" text="Expired">
      <formula>NOT(ISERROR(SEARCH("Expired",U5)))</formula>
    </cfRule>
    <cfRule type="containsText" dxfId="4" priority="45" operator="containsText" text="Inactive">
      <formula>NOT(ISERROR(SEARCH("Inactive",U5)))</formula>
    </cfRule>
    <cfRule type="containsText" dxfId="4" priority="46" operator="containsText" text="Archived">
      <formula>NOT(ISERROR(SEARCH("Archived",U5)))</formula>
    </cfRule>
    <cfRule type="containsText" dxfId="4" priority="47" operator="containsText" text="Not needed">
      <formula>NOT(ISERROR(SEARCH("Not needed",U5)))</formula>
    </cfRule>
  </conditionalFormatting>
  <conditionalFormatting sqref="X5:X404">
    <cfRule type="beginsWith" dxfId="1" priority="48" operator="beginsWith" text="OK">
      <formula>LEFT(X5,2)="OK"</formula>
    </cfRule>
    <cfRule type="containsText" dxfId="2" priority="49" operator="containsText" text="Overdue">
      <formula>NOT(ISERROR(SEARCH("Overdue",X5)))</formula>
    </cfRule>
    <cfRule type="containsText" dxfId="2" priority="50" operator="containsText" text="Late">
      <formula>NOT(ISERROR(SEARCH("Late",X5)))</formula>
    </cfRule>
    <cfRule type="containsText" dxfId="2" priority="51" operator="containsText" text="Missing">
      <formula>NOT(ISERROR(SEARCH("Missing",X5)))</formula>
    </cfRule>
    <cfRule type="containsText" dxfId="2" priority="52" operator="containsText" text="Conflict">
      <formula>NOT(ISERROR(SEARCH("Conflict",X5)))</formula>
    </cfRule>
    <cfRule type="containsText" dxfId="2" priority="53" operator="containsText" text="Clash">
      <formula>NOT(ISERROR(SEARCH("Clash",X5)))</formula>
    </cfRule>
    <cfRule type="containsText" dxfId="2" priority="54" operator="containsText" text="Expired">
      <formula>NOT(ISERROR(SEARCH("Expired",X5)))</formula>
    </cfRule>
    <cfRule type="containsText" dxfId="2" priority="55" operator="containsText" text="Duplicate">
      <formula>NOT(ISERROR(SEARCH("Duplicate",X5)))</formula>
    </cfRule>
    <cfRule type="containsText" dxfId="2" priority="56" operator="containsText" text="Unpaid">
      <formula>NOT(ISERROR(SEARCH("Unpaid",X5)))</formula>
    </cfRule>
    <cfRule type="containsText" dxfId="2" priority="57" operator="containsText" text="Loss">
      <formula>NOT(ISERROR(SEARCH("Loss",X5)))</formula>
    </cfRule>
    <cfRule type="containsText" dxfId="2" priority="58" operator="containsText" text="Below">
      <formula>NOT(ISERROR(SEARCH("Below",X5)))</formula>
    </cfRule>
    <cfRule type="containsText" dxfId="0" priority="59" operator="containsText" text="Action">
      <formula>NOT(ISERROR(SEARCH("Action",X5)))</formula>
    </cfRule>
    <cfRule type="containsText" dxfId="0" priority="60" operator="containsText" text="Due">
      <formula>NOT(ISERROR(SEARCH("Due",X5)))</formula>
    </cfRule>
    <cfRule type="containsText" dxfId="0" priority="61" operator="containsText" text="Check">
      <formula>NOT(ISERROR(SEARCH("Check",X5)))</formula>
    </cfRule>
    <cfRule type="containsText" dxfId="0" priority="62" operator="containsText" text="Chase">
      <formula>NOT(ISERROR(SEARCH("Chase",X5)))</formula>
    </cfRule>
    <cfRule type="containsText" dxfId="0" priority="63" operator="containsText" text="Assign">
      <formula>NOT(ISERROR(SEARCH("Assign",X5)))</formula>
    </cfRule>
    <cfRule type="containsText" dxfId="0" priority="64" operator="containsText" text="Confirm">
      <formula>NOT(ISERROR(SEARCH("Confirm",X5)))</formula>
    </cfRule>
    <cfRule type="containsText" dxfId="0" priority="65" operator="containsText" text="Order">
      <formula>NOT(ISERROR(SEARCH("Order",X5)))</formula>
    </cfRule>
    <cfRule type="containsText" dxfId="3" priority="66" operator="containsText" text="Today">
      <formula>NOT(ISERROR(SEARCH("Today",X5)))</formula>
    </cfRule>
    <cfRule type="containsText" dxfId="3" priority="67" operator="containsText" text="Upcoming">
      <formula>NOT(ISERROR(SEARCH("Upcoming",X5)))</formula>
    </cfRule>
    <cfRule type="containsText" dxfId="3" priority="68" operator="containsText" text="Tomorrow">
      <formula>NOT(ISERROR(SEARCH("Tomorrow",X5)))</formula>
    </cfRule>
  </conditionalFormatting>
  <dataValidations count="9">
    <dataValidation type="list" allowBlank="1" showInputMessage="1" showErrorMessage="1" promptTitle="Checklist for" prompt="Which service this task belongs to. The job sheet prints every task for the service you booked." sqref="B5:B404">
      <formula1>ServiceNames</formula1>
    </dataValidation>
    <dataValidation type="list" allowBlank="1" showInputMessage="1" showErrorMessage="1" promptTitle="Only at this property" prompt="Leave blank for a task that applies everywhere. Fill it in for the one client who wants the bins put out." sqref="C5:C404">
      <formula1>PropertyIDs</formula1>
    </dataValidation>
    <dataValidation type="list" allowBlank="1" showInputMessage="1" showErrorMessage="1" promptTitle="Area" prompt="Group the tasks by room so the cleaner works through the property in a sensible order." sqref="D5:D404">
      <formula1>TaskAreaList</formula1>
    </dataValidation>
    <dataValidation type="whole" allowBlank="1" showInputMessage="1" showErrorMessage="1" errorTitle="Check the value" error="Enter a number between 1 and 999." promptTitle="Order" prompt="Sort on Area then Order to print the checklist in the order you want it done." sqref="E5:E404">
      <formula1>1</formula1>
      <formula2>999</formula2>
    </dataValidation>
    <dataValidation type="whole" allowBlank="1" showInputMessage="1" showErrorMessage="1" errorTitle="Check the value" error="Enter a number between 0 and 600." promptTitle="Minutes" prompt="Honest minutes for one cleaner. The total at the bottom of this tab is how long the service really takes." sqref="H5:H404">
      <formula1>0</formula1>
      <formula2>600</formula2>
    </dataValidation>
    <dataValidation type="list" allowBlank="1" showInputMessage="1" showErrorMessage="1" promptTitle="How often" prompt="Every visit, or only weekly / monthly / quarterly. Deep tasks do not need doing every time." sqref="I5:I404">
      <formula1>FrequencyList</formula1>
    </dataValidation>
    <dataValidation type="list" allowBlank="1" showInputMessage="1" showErrorMessage="1" promptTitle="Required?" prompt="Required tasks are the ones that make the job 'complete'. Extras are nice to have." sqref="J5:J404">
      <formula1>YesNoList</formula1>
    </dataValidation>
    <dataValidation type="list" allowBlank="1" showInputMessage="1" showErrorMessage="1" promptTitle="Photo needed?" prompt="Useful for end of tenancy and changeover work - proof is cheaper than an argument." sqref="K5:K404">
      <formula1>YesNoList</formula1>
    </dataValidation>
    <dataValidation type="list" allowBlank="1" showInputMessage="1" showErrorMessage="1" sqref="M5:M404">
      <formula1>YesNoList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&amp;L&amp;"Calibri,Bold"&amp;12&amp;C&amp;"Calibri,Bold"&amp;11Checklists&amp;R&amp;"Calibri,Italic"&amp;9Cleaning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15.xml><?xml version="1.0" encoding="utf-8"?>
<worksheet xmlns="http://schemas.openxmlformats.org/spreadsheetml/2006/main" xmlns:r="http://schemas.openxmlformats.org/officeDocument/2006/relationships">
  <sheetPr>
    <tabColor rgb="FF2F8F9D"/>
    <pageSetUpPr fitToPage="1"/>
  </sheetPr>
  <dimension ref="A1:AM4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3" customWidth="1"/>
    <col min="2" max="2" width="20.7109375" style="15" customWidth="1"/>
    <col min="3" max="3" width="18.7109375" style="15" customWidth="1"/>
    <col min="4" max="4" width="14.7109375" style="15" customWidth="1"/>
    <col min="5" max="5" width="12.7109375" style="45" customWidth="1"/>
    <col min="6" max="6" width="15.7109375" style="15" customWidth="1"/>
    <col min="7" max="7" width="26.7109375" style="15" customWidth="1"/>
    <col min="8" max="8" width="22.7109375" style="15" customWidth="1"/>
    <col min="9" max="9" width="11.7109375" style="46" customWidth="1"/>
    <col min="10" max="10" width="11.7109375" style="19" customWidth="1"/>
    <col min="11" max="11" width="12.7109375" style="17" customWidth="1"/>
    <col min="12" max="12" width="24.7109375" style="15" customWidth="1"/>
    <col min="13" max="13" width="18.7109375" style="15" customWidth="1"/>
    <col min="14" max="14" width="12.7109375" style="15" customWidth="1"/>
    <col min="15" max="15" width="8.7109375" style="47" customWidth="1"/>
    <col min="16" max="16" width="11.7109375" style="47" customWidth="1"/>
    <col min="17" max="17" width="11.7109375" style="47" customWidth="1"/>
    <col min="18" max="18" width="11.7109375" style="15" customWidth="1"/>
    <col min="19" max="19" width="34.7109375" style="44" customWidth="1"/>
    <col min="20" max="20" width="11.7109375" style="21" hidden="1" customWidth="1"/>
    <col min="21" max="21" width="12.7109375" style="21" customWidth="1"/>
    <col min="22" max="22" width="11.7109375" style="31" customWidth="1"/>
    <col min="23" max="23" width="10.7109375" style="31" customWidth="1"/>
    <col min="24" max="24" width="10.7109375" style="31" customWidth="1"/>
    <col min="25" max="25" width="12.7109375" style="34" customWidth="1"/>
    <col min="26" max="26" width="9.7109375" style="38" customWidth="1"/>
    <col min="27" max="27" width="12.7109375" style="34" customWidth="1"/>
    <col min="28" max="28" width="11.7109375" style="34" customWidth="1"/>
    <col min="29" max="29" width="10.7109375" style="38" customWidth="1"/>
    <col min="30" max="30" width="12.7109375" style="21" customWidth="1"/>
    <col min="31" max="31" width="13.7109375" style="21" customWidth="1"/>
    <col min="32" max="32" width="12.7109375" style="21" customWidth="1"/>
    <col min="33" max="33" width="11.7109375" style="34" customWidth="1"/>
    <col min="34" max="34" width="10.7109375" style="31" customWidth="1"/>
    <col min="35" max="35" width="11.7109375" style="31" customWidth="1"/>
    <col min="36" max="36" width="8.7109375" style="31" hidden="1" customWidth="1"/>
    <col min="37" max="37" width="9.7109375" style="31" hidden="1" customWidth="1"/>
    <col min="38" max="38" width="9.7109375" style="31" hidden="1" customWidth="1"/>
    <col min="39" max="39" width="26.7109375" style="39" customWidth="1"/>
  </cols>
  <sheetData>
    <row r="1" spans="1:39" ht="34" customHeight="1">
      <c r="A1" s="2" t="s">
        <v>46</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3" t="s">
        <v>1</v>
      </c>
      <c r="AL1" s="3"/>
      <c r="AM1" s="3"/>
    </row>
    <row r="2" spans="1:39" ht="18" customHeight="1">
      <c r="A2" s="4" t="s">
        <v>1361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row>
    <row r="3" spans="1:39"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1362</v>
      </c>
      <c r="T3" s="48"/>
      <c r="U3" s="48"/>
      <c r="V3" s="48"/>
      <c r="W3" s="48"/>
      <c r="X3" s="48"/>
      <c r="Y3" s="48"/>
      <c r="Z3" s="48"/>
      <c r="AA3" s="48"/>
      <c r="AB3" s="48"/>
      <c r="AC3" s="48"/>
      <c r="AD3" s="48"/>
      <c r="AE3" s="48"/>
      <c r="AF3" s="48"/>
      <c r="AG3" s="48"/>
      <c r="AH3" s="48"/>
      <c r="AI3" s="48"/>
      <c r="AJ3" s="48"/>
      <c r="AK3" s="48"/>
      <c r="AL3" s="48"/>
      <c r="AM3" s="48"/>
    </row>
    <row r="4" spans="1:39" ht="30" customHeight="1">
      <c r="A4" s="8" t="s">
        <v>545</v>
      </c>
      <c r="B4" s="8" t="s">
        <v>1363</v>
      </c>
      <c r="C4" s="9" t="s">
        <v>1364</v>
      </c>
      <c r="D4" s="9" t="s">
        <v>1365</v>
      </c>
      <c r="E4" s="9" t="s">
        <v>548</v>
      </c>
      <c r="F4" s="9" t="s">
        <v>181</v>
      </c>
      <c r="G4" s="9" t="s">
        <v>179</v>
      </c>
      <c r="H4" s="9" t="s">
        <v>1366</v>
      </c>
      <c r="I4" s="9" t="s">
        <v>1367</v>
      </c>
      <c r="J4" s="9" t="s">
        <v>1368</v>
      </c>
      <c r="K4" s="9" t="s">
        <v>1369</v>
      </c>
      <c r="L4" s="9" t="s">
        <v>1370</v>
      </c>
      <c r="M4" s="9" t="s">
        <v>1371</v>
      </c>
      <c r="N4" s="9" t="s">
        <v>1372</v>
      </c>
      <c r="O4" s="9" t="s">
        <v>1373</v>
      </c>
      <c r="P4" s="9" t="s">
        <v>1374</v>
      </c>
      <c r="Q4" s="9" t="s">
        <v>1375</v>
      </c>
      <c r="R4" s="9" t="s">
        <v>1376</v>
      </c>
      <c r="S4" s="9" t="s">
        <v>421</v>
      </c>
      <c r="T4" s="9" t="s">
        <v>1377</v>
      </c>
      <c r="U4" s="9" t="s">
        <v>1378</v>
      </c>
      <c r="V4" s="9" t="s">
        <v>1379</v>
      </c>
      <c r="W4" s="9" t="s">
        <v>405</v>
      </c>
      <c r="X4" s="9" t="s">
        <v>1380</v>
      </c>
      <c r="Y4" s="9" t="s">
        <v>360</v>
      </c>
      <c r="Z4" s="9" t="s">
        <v>1381</v>
      </c>
      <c r="AA4" s="9" t="s">
        <v>1382</v>
      </c>
      <c r="AB4" s="9" t="s">
        <v>1383</v>
      </c>
      <c r="AC4" s="9" t="s">
        <v>1384</v>
      </c>
      <c r="AD4" s="9" t="s">
        <v>1385</v>
      </c>
      <c r="AE4" s="9" t="s">
        <v>1386</v>
      </c>
      <c r="AF4" s="9" t="s">
        <v>1387</v>
      </c>
      <c r="AG4" s="9" t="s">
        <v>570</v>
      </c>
      <c r="AH4" s="9" t="s">
        <v>389</v>
      </c>
      <c r="AI4" s="9" t="s">
        <v>1388</v>
      </c>
      <c r="AJ4" s="9" t="s">
        <v>1389</v>
      </c>
      <c r="AK4" s="9" t="s">
        <v>571</v>
      </c>
      <c r="AL4" s="9" t="s">
        <v>571</v>
      </c>
      <c r="AM4" s="9" t="s">
        <v>970</v>
      </c>
    </row>
    <row r="5" spans="1:39">
      <c r="A5" s="43">
        <f>IF(B5="","",EmployeePrefix&amp;TEXT(ROW()-4,"000"))</f>
        <v>0</v>
      </c>
      <c r="B5" s="15" t="s">
        <v>178</v>
      </c>
      <c r="C5" s="15" t="s">
        <v>1390</v>
      </c>
      <c r="D5" s="15" t="s">
        <v>1390</v>
      </c>
      <c r="E5" s="45" t="s">
        <v>604</v>
      </c>
      <c r="F5" s="15" t="s">
        <v>182</v>
      </c>
      <c r="G5" s="15" t="s">
        <v>1391</v>
      </c>
      <c r="I5" s="46">
        <v>44123</v>
      </c>
      <c r="J5" s="19">
        <v>25</v>
      </c>
      <c r="K5" s="17">
        <v>20</v>
      </c>
      <c r="L5" s="15" t="s">
        <v>1392</v>
      </c>
      <c r="O5" s="47" t="s">
        <v>454</v>
      </c>
      <c r="P5" s="47" t="s">
        <v>454</v>
      </c>
      <c r="Q5" s="47" t="s">
        <v>1393</v>
      </c>
      <c r="S5" s="44" t="s">
        <v>1394</v>
      </c>
      <c r="T5" s="21">
        <f>IF(B5="","",IF(J5="",PayRate,J5))</f>
        <v>0</v>
      </c>
      <c r="U5" s="21">
        <f>IF(B5="","",ROUND(T5*IF(D5="Subcontractor",1,1+EmployerOncost),2))</f>
        <v>0</v>
      </c>
      <c r="V5" s="31">
        <f>IF(B5="","",COUNTIFS(Jobs!$R$5:$R$604,B5))</f>
        <v>0</v>
      </c>
      <c r="W5" s="31">
        <f>IF(B5="","",COUNTIFS(Jobs!$R$5:$R$604,B5,Jobs!$P$5:$P$604,"Completed")+COUNTIFS(Jobs!$R$5:$R$604,B5,Jobs!$P$5:$P$604,"Invoiced"))</f>
        <v>0</v>
      </c>
      <c r="X5" s="31">
        <f>IF(B5="","",COUNTIFS(Jobs!$R$5:$R$604,B5,Jobs!$B$5:$B$604,"&gt;="&amp;TodayDate,Jobs!$P$5:$P$604,"&lt;&gt;Cancelled"))</f>
        <v>0</v>
      </c>
      <c r="Y5" s="34">
        <f>IF(B5="","",SUMIFS(Jobs!$AF$5:$AF$604,Jobs!$R$5:$R$604,B5,Jobs!$B$5:$B$604,"&gt;="&amp;WeekStartDate,Jobs!$B$5:$B$604,"&lt;="&amp;WeekStartDate+6,Jobs!$P$5:$P$604,"&lt;&gt;Cancelled"))</f>
        <v>0</v>
      </c>
      <c r="Z5" s="38">
        <f>IF(OR(B5="",K5="",K5=0),"",Y5/K5)</f>
        <v>0</v>
      </c>
      <c r="AA5" s="34">
        <f>IF(B5="","",SUMIFS(Timesheets!$U$5:$U$804,Timesheets!$F$5:$F$804,B5))</f>
        <v>0</v>
      </c>
      <c r="AB5" s="34">
        <f>IF(B5="","",SUMIFS(Timesheets!$U$5:$U$804,Timesheets!$F$5:$F$804,B5,Timesheets!$P$5:$P$804,"Yes"))</f>
        <v>0</v>
      </c>
      <c r="AC5" s="38">
        <f>IF(OR(B5="",AA5=0),"",AB5/AA5)</f>
        <v>0</v>
      </c>
      <c r="AD5" s="21">
        <f>IF(B5="","",SUMIFS(Timesheets!$X$5:$X$804,Timesheets!$F$5:$F$804,B5))</f>
        <v>0</v>
      </c>
      <c r="AE5" s="21">
        <f>IF(B5="","",SUMIFS(Jobs!$AJ$5:$AJ$604,Jobs!$R$5:$R$604,B5,Jobs!$P$5:$P$604,"Completed")+SUMIFS(Jobs!$AJ$5:$AJ$604,Jobs!$R$5:$R$604,B5,Jobs!$P$5:$P$604,"Invoiced"))</f>
        <v>0</v>
      </c>
      <c r="AF5" s="21">
        <f>IF(B5="","",AE5-AD5)</f>
        <v>0</v>
      </c>
      <c r="AG5" s="34">
        <f>IF(B5="","",IFERROR(AVERAGEIFS(Jobs!$AA$5:$AA$604,Jobs!$R$5:$R$604,B5,Jobs!$AA$5:$AA$604,"&gt;0"),""))</f>
        <v>0</v>
      </c>
      <c r="AH5" s="31">
        <f>IF(B5="","",COUNTIFS(Complaints!$G$5:$G$84,B5))</f>
        <v>0</v>
      </c>
      <c r="AI5" s="31">
        <f>IF(B5="","",COUNTIFS(Timesheets!$O$5:$O$804,"Late",Timesheets!$F$5:$F$804,B5)+COUNTIFS(Timesheets!$O$5:$O$804,"Absent - no show",Timesheets!$F$5:$F$804,B5))</f>
        <v>0</v>
      </c>
      <c r="AJ5" s="31">
        <f>IF(B5="","",COUNTIF($B$5:B5,"?*"))</f>
        <v>0</v>
      </c>
      <c r="AK5" s="31">
        <f>IF(B5="","",COUNTIFS($AE$5:$AE$44,"&gt;"&amp;AE5)+COUNTIFS($AE$5:AE5,AE5))</f>
        <v>0</v>
      </c>
      <c r="AL5" s="31">
        <f>IF(B5="","",COUNTIFS($Y$5:$Y$44,"&gt;"&amp;Y5)+COUNTIFS($Y$5:Y5,Y5))</f>
        <v>0</v>
      </c>
      <c r="AM5" s="39">
        <f>IF(B5="","",IF(E5="Left","Archived",IF(AND(Z5&lt;&gt;"",Z5&gt;1),"Overloaded - over contracted hours",IF(AH5&gt;=2,"Check - complaints logged",IF(AND(AG5&lt;&gt;"",AG5&lt;3.5),"Check - low client ratings",IF(P5="No","Action - no background check",IF(AND(X5=0,E5="Active"),"Idle - nothing booked","OK")))))))</f>
        <v>0</v>
      </c>
    </row>
    <row r="6" spans="1:39">
      <c r="A6" s="43">
        <f>IF(B6="","",EmployeePrefix&amp;TEXT(ROW()-4,"000"))</f>
        <v>0</v>
      </c>
      <c r="B6" s="15" t="s">
        <v>584</v>
      </c>
      <c r="C6" s="15" t="s">
        <v>1395</v>
      </c>
      <c r="D6" s="15" t="s">
        <v>1396</v>
      </c>
      <c r="E6" s="45" t="s">
        <v>604</v>
      </c>
      <c r="F6" s="15" t="s">
        <v>1397</v>
      </c>
      <c r="G6" s="15" t="s">
        <v>1398</v>
      </c>
      <c r="I6" s="46">
        <v>44853</v>
      </c>
      <c r="J6" s="19">
        <v>21</v>
      </c>
      <c r="K6" s="17">
        <v>38</v>
      </c>
      <c r="L6" s="15" t="s">
        <v>1399</v>
      </c>
      <c r="O6" s="47" t="s">
        <v>454</v>
      </c>
      <c r="P6" s="47" t="s">
        <v>454</v>
      </c>
      <c r="Q6" s="47" t="s">
        <v>1393</v>
      </c>
      <c r="S6" s="44" t="s">
        <v>1400</v>
      </c>
      <c r="T6" s="21">
        <f>IF(B6="","",IF(J6="",PayRate,J6))</f>
        <v>0</v>
      </c>
      <c r="U6" s="21">
        <f>IF(B6="","",ROUND(T6*IF(D6="Subcontractor",1,1+EmployerOncost),2))</f>
        <v>0</v>
      </c>
      <c r="V6" s="31">
        <f>IF(B6="","",COUNTIFS(Jobs!$R$5:$R$604,B6))</f>
        <v>0</v>
      </c>
      <c r="W6" s="31">
        <f>IF(B6="","",COUNTIFS(Jobs!$R$5:$R$604,B6,Jobs!$P$5:$P$604,"Completed")+COUNTIFS(Jobs!$R$5:$R$604,B6,Jobs!$P$5:$P$604,"Invoiced"))</f>
        <v>0</v>
      </c>
      <c r="X6" s="31">
        <f>IF(B6="","",COUNTIFS(Jobs!$R$5:$R$604,B6,Jobs!$B$5:$B$604,"&gt;="&amp;TodayDate,Jobs!$P$5:$P$604,"&lt;&gt;Cancelled"))</f>
        <v>0</v>
      </c>
      <c r="Y6" s="34">
        <f>IF(B6="","",SUMIFS(Jobs!$AF$5:$AF$604,Jobs!$R$5:$R$604,B6,Jobs!$B$5:$B$604,"&gt;="&amp;WeekStartDate,Jobs!$B$5:$B$604,"&lt;="&amp;WeekStartDate+6,Jobs!$P$5:$P$604,"&lt;&gt;Cancelled"))</f>
        <v>0</v>
      </c>
      <c r="Z6" s="38">
        <f>IF(OR(B6="",K6="",K6=0),"",Y6/K6)</f>
        <v>0</v>
      </c>
      <c r="AA6" s="34">
        <f>IF(B6="","",SUMIFS(Timesheets!$U$5:$U$804,Timesheets!$F$5:$F$804,B6))</f>
        <v>0</v>
      </c>
      <c r="AB6" s="34">
        <f>IF(B6="","",SUMIFS(Timesheets!$U$5:$U$804,Timesheets!$F$5:$F$804,B6,Timesheets!$P$5:$P$804,"Yes"))</f>
        <v>0</v>
      </c>
      <c r="AC6" s="38">
        <f>IF(OR(B6="",AA6=0),"",AB6/AA6)</f>
        <v>0</v>
      </c>
      <c r="AD6" s="21">
        <f>IF(B6="","",SUMIFS(Timesheets!$X$5:$X$804,Timesheets!$F$5:$F$804,B6))</f>
        <v>0</v>
      </c>
      <c r="AE6" s="21">
        <f>IF(B6="","",SUMIFS(Jobs!$AJ$5:$AJ$604,Jobs!$R$5:$R$604,B6,Jobs!$P$5:$P$604,"Completed")+SUMIFS(Jobs!$AJ$5:$AJ$604,Jobs!$R$5:$R$604,B6,Jobs!$P$5:$P$604,"Invoiced"))</f>
        <v>0</v>
      </c>
      <c r="AF6" s="21">
        <f>IF(B6="","",AE6-AD6)</f>
        <v>0</v>
      </c>
      <c r="AG6" s="34">
        <f>IF(B6="","",IFERROR(AVERAGEIFS(Jobs!$AA$5:$AA$604,Jobs!$R$5:$R$604,B6,Jobs!$AA$5:$AA$604,"&gt;0"),""))</f>
        <v>0</v>
      </c>
      <c r="AH6" s="31">
        <f>IF(B6="","",COUNTIFS(Complaints!$G$5:$G$84,B6))</f>
        <v>0</v>
      </c>
      <c r="AI6" s="31">
        <f>IF(B6="","",COUNTIFS(Timesheets!$O$5:$O$804,"Late",Timesheets!$F$5:$F$804,B6)+COUNTIFS(Timesheets!$O$5:$O$804,"Absent - no show",Timesheets!$F$5:$F$804,B6))</f>
        <v>0</v>
      </c>
      <c r="AJ6" s="31">
        <f>IF(B6="","",COUNTIF($B$5:B6,"?*"))</f>
        <v>0</v>
      </c>
      <c r="AK6" s="31">
        <f>IF(B6="","",COUNTIFS($AE$5:$AE$44,"&gt;"&amp;AE6)+COUNTIFS($AE$5:AE6,AE6))</f>
        <v>0</v>
      </c>
      <c r="AL6" s="31">
        <f>IF(B6="","",COUNTIFS($Y$5:$Y$44,"&gt;"&amp;Y6)+COUNTIFS($Y$5:Y6,Y6))</f>
        <v>0</v>
      </c>
      <c r="AM6" s="39">
        <f>IF(B6="","",IF(E6="Left","Archived",IF(AND(Z6&lt;&gt;"",Z6&gt;1),"Overloaded - over contracted hours",IF(AH6&gt;=2,"Check - complaints logged",IF(AND(AG6&lt;&gt;"",AG6&lt;3.5),"Check - low client ratings",IF(P6="No","Action - no background check",IF(AND(X6=0,E6="Active"),"Idle - nothing booked","OK")))))))</f>
        <v>0</v>
      </c>
    </row>
    <row r="7" spans="1:39">
      <c r="A7" s="43">
        <f>IF(B7="","",EmployeePrefix&amp;TEXT(ROW()-4,"000"))</f>
        <v>0</v>
      </c>
      <c r="B7" s="15" t="s">
        <v>596</v>
      </c>
      <c r="C7" s="15" t="s">
        <v>1104</v>
      </c>
      <c r="D7" s="15" t="s">
        <v>1396</v>
      </c>
      <c r="E7" s="45" t="s">
        <v>604</v>
      </c>
      <c r="F7" s="15" t="s">
        <v>1401</v>
      </c>
      <c r="G7" s="15" t="s">
        <v>1402</v>
      </c>
      <c r="I7" s="46">
        <v>45333</v>
      </c>
      <c r="J7" s="19">
        <v>18.5</v>
      </c>
      <c r="K7" s="17">
        <v>37</v>
      </c>
      <c r="L7" s="15" t="s">
        <v>1403</v>
      </c>
      <c r="O7" s="47" t="s">
        <v>457</v>
      </c>
      <c r="P7" s="47" t="s">
        <v>454</v>
      </c>
      <c r="Q7" s="47" t="s">
        <v>1393</v>
      </c>
      <c r="S7" s="44" t="s">
        <v>1404</v>
      </c>
      <c r="T7" s="21">
        <f>IF(B7="","",IF(J7="",PayRate,J7))</f>
        <v>0</v>
      </c>
      <c r="U7" s="21">
        <f>IF(B7="","",ROUND(T7*IF(D7="Subcontractor",1,1+EmployerOncost),2))</f>
        <v>0</v>
      </c>
      <c r="V7" s="31">
        <f>IF(B7="","",COUNTIFS(Jobs!$R$5:$R$604,B7))</f>
        <v>0</v>
      </c>
      <c r="W7" s="31">
        <f>IF(B7="","",COUNTIFS(Jobs!$R$5:$R$604,B7,Jobs!$P$5:$P$604,"Completed")+COUNTIFS(Jobs!$R$5:$R$604,B7,Jobs!$P$5:$P$604,"Invoiced"))</f>
        <v>0</v>
      </c>
      <c r="X7" s="31">
        <f>IF(B7="","",COUNTIFS(Jobs!$R$5:$R$604,B7,Jobs!$B$5:$B$604,"&gt;="&amp;TodayDate,Jobs!$P$5:$P$604,"&lt;&gt;Cancelled"))</f>
        <v>0</v>
      </c>
      <c r="Y7" s="34">
        <f>IF(B7="","",SUMIFS(Jobs!$AF$5:$AF$604,Jobs!$R$5:$R$604,B7,Jobs!$B$5:$B$604,"&gt;="&amp;WeekStartDate,Jobs!$B$5:$B$604,"&lt;="&amp;WeekStartDate+6,Jobs!$P$5:$P$604,"&lt;&gt;Cancelled"))</f>
        <v>0</v>
      </c>
      <c r="Z7" s="38">
        <f>IF(OR(B7="",K7="",K7=0),"",Y7/K7)</f>
        <v>0</v>
      </c>
      <c r="AA7" s="34">
        <f>IF(B7="","",SUMIFS(Timesheets!$U$5:$U$804,Timesheets!$F$5:$F$804,B7))</f>
        <v>0</v>
      </c>
      <c r="AB7" s="34">
        <f>IF(B7="","",SUMIFS(Timesheets!$U$5:$U$804,Timesheets!$F$5:$F$804,B7,Timesheets!$P$5:$P$804,"Yes"))</f>
        <v>0</v>
      </c>
      <c r="AC7" s="38">
        <f>IF(OR(B7="",AA7=0),"",AB7/AA7)</f>
        <v>0</v>
      </c>
      <c r="AD7" s="21">
        <f>IF(B7="","",SUMIFS(Timesheets!$X$5:$X$804,Timesheets!$F$5:$F$804,B7))</f>
        <v>0</v>
      </c>
      <c r="AE7" s="21">
        <f>IF(B7="","",SUMIFS(Jobs!$AJ$5:$AJ$604,Jobs!$R$5:$R$604,B7,Jobs!$P$5:$P$604,"Completed")+SUMIFS(Jobs!$AJ$5:$AJ$604,Jobs!$R$5:$R$604,B7,Jobs!$P$5:$P$604,"Invoiced"))</f>
        <v>0</v>
      </c>
      <c r="AF7" s="21">
        <f>IF(B7="","",AE7-AD7)</f>
        <v>0</v>
      </c>
      <c r="AG7" s="34">
        <f>IF(B7="","",IFERROR(AVERAGEIFS(Jobs!$AA$5:$AA$604,Jobs!$R$5:$R$604,B7,Jobs!$AA$5:$AA$604,"&gt;0"),""))</f>
        <v>0</v>
      </c>
      <c r="AH7" s="31">
        <f>IF(B7="","",COUNTIFS(Complaints!$G$5:$G$84,B7))</f>
        <v>0</v>
      </c>
      <c r="AI7" s="31">
        <f>IF(B7="","",COUNTIFS(Timesheets!$O$5:$O$804,"Late",Timesheets!$F$5:$F$804,B7)+COUNTIFS(Timesheets!$O$5:$O$804,"Absent - no show",Timesheets!$F$5:$F$804,B7))</f>
        <v>0</v>
      </c>
      <c r="AJ7" s="31">
        <f>IF(B7="","",COUNTIF($B$5:B7,"?*"))</f>
        <v>0</v>
      </c>
      <c r="AK7" s="31">
        <f>IF(B7="","",COUNTIFS($AE$5:$AE$44,"&gt;"&amp;AE7)+COUNTIFS($AE$5:AE7,AE7))</f>
        <v>0</v>
      </c>
      <c r="AL7" s="31">
        <f>IF(B7="","",COUNTIFS($Y$5:$Y$44,"&gt;"&amp;Y7)+COUNTIFS($Y$5:Y7,Y7))</f>
        <v>0</v>
      </c>
      <c r="AM7" s="39">
        <f>IF(B7="","",IF(E7="Left","Archived",IF(AND(Z7&lt;&gt;"",Z7&gt;1),"Overloaded - over contracted hours",IF(AH7&gt;=2,"Check - complaints logged",IF(AND(AG7&lt;&gt;"",AG7&lt;3.5),"Check - low client ratings",IF(P7="No","Action - no background check",IF(AND(X7=0,E7="Active"),"Idle - nothing booked","OK")))))))</f>
        <v>0</v>
      </c>
    </row>
    <row r="8" spans="1:39">
      <c r="A8" s="43">
        <f>IF(B8="","",EmployeePrefix&amp;TEXT(ROW()-4,"000"))</f>
        <v>0</v>
      </c>
      <c r="B8" s="15" t="s">
        <v>608</v>
      </c>
      <c r="C8" s="15" t="s">
        <v>1104</v>
      </c>
      <c r="D8" s="15" t="s">
        <v>1396</v>
      </c>
      <c r="E8" s="45" t="s">
        <v>604</v>
      </c>
      <c r="F8" s="15" t="s">
        <v>1405</v>
      </c>
      <c r="G8" s="15" t="s">
        <v>1406</v>
      </c>
      <c r="I8" s="46">
        <v>45573</v>
      </c>
      <c r="J8" s="19">
        <v>18.5</v>
      </c>
      <c r="K8" s="17">
        <v>36</v>
      </c>
      <c r="L8" s="15" t="s">
        <v>1407</v>
      </c>
      <c r="O8" s="47" t="s">
        <v>457</v>
      </c>
      <c r="P8" s="47" t="s">
        <v>454</v>
      </c>
      <c r="Q8" s="47" t="s">
        <v>1393</v>
      </c>
      <c r="S8" s="44" t="s">
        <v>1408</v>
      </c>
      <c r="T8" s="21">
        <f>IF(B8="","",IF(J8="",PayRate,J8))</f>
        <v>0</v>
      </c>
      <c r="U8" s="21">
        <f>IF(B8="","",ROUND(T8*IF(D8="Subcontractor",1,1+EmployerOncost),2))</f>
        <v>0</v>
      </c>
      <c r="V8" s="31">
        <f>IF(B8="","",COUNTIFS(Jobs!$R$5:$R$604,B8))</f>
        <v>0</v>
      </c>
      <c r="W8" s="31">
        <f>IF(B8="","",COUNTIFS(Jobs!$R$5:$R$604,B8,Jobs!$P$5:$P$604,"Completed")+COUNTIFS(Jobs!$R$5:$R$604,B8,Jobs!$P$5:$P$604,"Invoiced"))</f>
        <v>0</v>
      </c>
      <c r="X8" s="31">
        <f>IF(B8="","",COUNTIFS(Jobs!$R$5:$R$604,B8,Jobs!$B$5:$B$604,"&gt;="&amp;TodayDate,Jobs!$P$5:$P$604,"&lt;&gt;Cancelled"))</f>
        <v>0</v>
      </c>
      <c r="Y8" s="34">
        <f>IF(B8="","",SUMIFS(Jobs!$AF$5:$AF$604,Jobs!$R$5:$R$604,B8,Jobs!$B$5:$B$604,"&gt;="&amp;WeekStartDate,Jobs!$B$5:$B$604,"&lt;="&amp;WeekStartDate+6,Jobs!$P$5:$P$604,"&lt;&gt;Cancelled"))</f>
        <v>0</v>
      </c>
      <c r="Z8" s="38">
        <f>IF(OR(B8="",K8="",K8=0),"",Y8/K8)</f>
        <v>0</v>
      </c>
      <c r="AA8" s="34">
        <f>IF(B8="","",SUMIFS(Timesheets!$U$5:$U$804,Timesheets!$F$5:$F$804,B8))</f>
        <v>0</v>
      </c>
      <c r="AB8" s="34">
        <f>IF(B8="","",SUMIFS(Timesheets!$U$5:$U$804,Timesheets!$F$5:$F$804,B8,Timesheets!$P$5:$P$804,"Yes"))</f>
        <v>0</v>
      </c>
      <c r="AC8" s="38">
        <f>IF(OR(B8="",AA8=0),"",AB8/AA8)</f>
        <v>0</v>
      </c>
      <c r="AD8" s="21">
        <f>IF(B8="","",SUMIFS(Timesheets!$X$5:$X$804,Timesheets!$F$5:$F$804,B8))</f>
        <v>0</v>
      </c>
      <c r="AE8" s="21">
        <f>IF(B8="","",SUMIFS(Jobs!$AJ$5:$AJ$604,Jobs!$R$5:$R$604,B8,Jobs!$P$5:$P$604,"Completed")+SUMIFS(Jobs!$AJ$5:$AJ$604,Jobs!$R$5:$R$604,B8,Jobs!$P$5:$P$604,"Invoiced"))</f>
        <v>0</v>
      </c>
      <c r="AF8" s="21">
        <f>IF(B8="","",AE8-AD8)</f>
        <v>0</v>
      </c>
      <c r="AG8" s="34">
        <f>IF(B8="","",IFERROR(AVERAGEIFS(Jobs!$AA$5:$AA$604,Jobs!$R$5:$R$604,B8,Jobs!$AA$5:$AA$604,"&gt;0"),""))</f>
        <v>0</v>
      </c>
      <c r="AH8" s="31">
        <f>IF(B8="","",COUNTIFS(Complaints!$G$5:$G$84,B8))</f>
        <v>0</v>
      </c>
      <c r="AI8" s="31">
        <f>IF(B8="","",COUNTIFS(Timesheets!$O$5:$O$804,"Late",Timesheets!$F$5:$F$804,B8)+COUNTIFS(Timesheets!$O$5:$O$804,"Absent - no show",Timesheets!$F$5:$F$804,B8))</f>
        <v>0</v>
      </c>
      <c r="AJ8" s="31">
        <f>IF(B8="","",COUNTIF($B$5:B8,"?*"))</f>
        <v>0</v>
      </c>
      <c r="AK8" s="31">
        <f>IF(B8="","",COUNTIFS($AE$5:$AE$44,"&gt;"&amp;AE8)+COUNTIFS($AE$5:AE8,AE8))</f>
        <v>0</v>
      </c>
      <c r="AL8" s="31">
        <f>IF(B8="","",COUNTIFS($Y$5:$Y$44,"&gt;"&amp;Y8)+COUNTIFS($Y$5:Y8,Y8))</f>
        <v>0</v>
      </c>
      <c r="AM8" s="39">
        <f>IF(B8="","",IF(E8="Left","Archived",IF(AND(Z8&lt;&gt;"",Z8&gt;1),"Overloaded - over contracted hours",IF(AH8&gt;=2,"Check - complaints logged",IF(AND(AG8&lt;&gt;"",AG8&lt;3.5),"Check - low client ratings",IF(P8="No","Action - no background check",IF(AND(X8=0,E8="Active"),"Idle - nothing booked","OK")))))))</f>
        <v>0</v>
      </c>
    </row>
    <row r="9" spans="1:39">
      <c r="A9" s="43">
        <f>IF(B9="","",EmployeePrefix&amp;TEXT(ROW()-4,"000"))</f>
        <v>0</v>
      </c>
      <c r="B9" s="15" t="s">
        <v>627</v>
      </c>
      <c r="C9" s="15" t="s">
        <v>1409</v>
      </c>
      <c r="D9" s="15" t="s">
        <v>1396</v>
      </c>
      <c r="E9" s="45" t="s">
        <v>604</v>
      </c>
      <c r="F9" s="15" t="s">
        <v>1410</v>
      </c>
      <c r="G9" s="15" t="s">
        <v>1411</v>
      </c>
      <c r="I9" s="46">
        <v>45703</v>
      </c>
      <c r="J9" s="19">
        <v>20</v>
      </c>
      <c r="K9" s="17">
        <v>35</v>
      </c>
      <c r="L9" s="15" t="s">
        <v>1412</v>
      </c>
      <c r="O9" s="47" t="s">
        <v>454</v>
      </c>
      <c r="P9" s="47" t="s">
        <v>454</v>
      </c>
      <c r="Q9" s="47" t="s">
        <v>1393</v>
      </c>
      <c r="S9" s="44" t="s">
        <v>1413</v>
      </c>
      <c r="T9" s="21">
        <f>IF(B9="","",IF(J9="",PayRate,J9))</f>
        <v>0</v>
      </c>
      <c r="U9" s="21">
        <f>IF(B9="","",ROUND(T9*IF(D9="Subcontractor",1,1+EmployerOncost),2))</f>
        <v>0</v>
      </c>
      <c r="V9" s="31">
        <f>IF(B9="","",COUNTIFS(Jobs!$R$5:$R$604,B9))</f>
        <v>0</v>
      </c>
      <c r="W9" s="31">
        <f>IF(B9="","",COUNTIFS(Jobs!$R$5:$R$604,B9,Jobs!$P$5:$P$604,"Completed")+COUNTIFS(Jobs!$R$5:$R$604,B9,Jobs!$P$5:$P$604,"Invoiced"))</f>
        <v>0</v>
      </c>
      <c r="X9" s="31">
        <f>IF(B9="","",COUNTIFS(Jobs!$R$5:$R$604,B9,Jobs!$B$5:$B$604,"&gt;="&amp;TodayDate,Jobs!$P$5:$P$604,"&lt;&gt;Cancelled"))</f>
        <v>0</v>
      </c>
      <c r="Y9" s="34">
        <f>IF(B9="","",SUMIFS(Jobs!$AF$5:$AF$604,Jobs!$R$5:$R$604,B9,Jobs!$B$5:$B$604,"&gt;="&amp;WeekStartDate,Jobs!$B$5:$B$604,"&lt;="&amp;WeekStartDate+6,Jobs!$P$5:$P$604,"&lt;&gt;Cancelled"))</f>
        <v>0</v>
      </c>
      <c r="Z9" s="38">
        <f>IF(OR(B9="",K9="",K9=0),"",Y9/K9)</f>
        <v>0</v>
      </c>
      <c r="AA9" s="34">
        <f>IF(B9="","",SUMIFS(Timesheets!$U$5:$U$804,Timesheets!$F$5:$F$804,B9))</f>
        <v>0</v>
      </c>
      <c r="AB9" s="34">
        <f>IF(B9="","",SUMIFS(Timesheets!$U$5:$U$804,Timesheets!$F$5:$F$804,B9,Timesheets!$P$5:$P$804,"Yes"))</f>
        <v>0</v>
      </c>
      <c r="AC9" s="38">
        <f>IF(OR(B9="",AA9=0),"",AB9/AA9)</f>
        <v>0</v>
      </c>
      <c r="AD9" s="21">
        <f>IF(B9="","",SUMIFS(Timesheets!$X$5:$X$804,Timesheets!$F$5:$F$804,B9))</f>
        <v>0</v>
      </c>
      <c r="AE9" s="21">
        <f>IF(B9="","",SUMIFS(Jobs!$AJ$5:$AJ$604,Jobs!$R$5:$R$604,B9,Jobs!$P$5:$P$604,"Completed")+SUMIFS(Jobs!$AJ$5:$AJ$604,Jobs!$R$5:$R$604,B9,Jobs!$P$5:$P$604,"Invoiced"))</f>
        <v>0</v>
      </c>
      <c r="AF9" s="21">
        <f>IF(B9="","",AE9-AD9)</f>
        <v>0</v>
      </c>
      <c r="AG9" s="34">
        <f>IF(B9="","",IFERROR(AVERAGEIFS(Jobs!$AA$5:$AA$604,Jobs!$R$5:$R$604,B9,Jobs!$AA$5:$AA$604,"&gt;0"),""))</f>
        <v>0</v>
      </c>
      <c r="AH9" s="31">
        <f>IF(B9="","",COUNTIFS(Complaints!$G$5:$G$84,B9))</f>
        <v>0</v>
      </c>
      <c r="AI9" s="31">
        <f>IF(B9="","",COUNTIFS(Timesheets!$O$5:$O$804,"Late",Timesheets!$F$5:$F$804,B9)+COUNTIFS(Timesheets!$O$5:$O$804,"Absent - no show",Timesheets!$F$5:$F$804,B9))</f>
        <v>0</v>
      </c>
      <c r="AJ9" s="31">
        <f>IF(B9="","",COUNTIF($B$5:B9,"?*"))</f>
        <v>0</v>
      </c>
      <c r="AK9" s="31">
        <f>IF(B9="","",COUNTIFS($AE$5:$AE$44,"&gt;"&amp;AE9)+COUNTIFS($AE$5:AE9,AE9))</f>
        <v>0</v>
      </c>
      <c r="AL9" s="31">
        <f>IF(B9="","",COUNTIFS($Y$5:$Y$44,"&gt;"&amp;Y9)+COUNTIFS($Y$5:Y9,Y9))</f>
        <v>0</v>
      </c>
      <c r="AM9" s="39">
        <f>IF(B9="","",IF(E9="Left","Archived",IF(AND(Z9&lt;&gt;"",Z9&gt;1),"Overloaded - over contracted hours",IF(AH9&gt;=2,"Check - complaints logged",IF(AND(AG9&lt;&gt;"",AG9&lt;3.5),"Check - low client ratings",IF(P9="No","Action - no background check",IF(AND(X9=0,E9="Active"),"Idle - nothing booked","OK")))))))</f>
        <v>0</v>
      </c>
    </row>
    <row r="10" spans="1:39">
      <c r="A10" s="43">
        <f>IF(B10="","",EmployeePrefix&amp;TEXT(ROW()-4,"000"))</f>
        <v>0</v>
      </c>
      <c r="B10" s="15" t="s">
        <v>664</v>
      </c>
      <c r="C10" s="15" t="s">
        <v>1104</v>
      </c>
      <c r="D10" s="15" t="s">
        <v>1414</v>
      </c>
      <c r="E10" s="45" t="s">
        <v>604</v>
      </c>
      <c r="F10" s="15" t="s">
        <v>1415</v>
      </c>
      <c r="G10" s="15" t="s">
        <v>1416</v>
      </c>
      <c r="I10" s="46">
        <v>46013</v>
      </c>
      <c r="J10" s="19">
        <v>17.5</v>
      </c>
      <c r="K10" s="17">
        <v>20</v>
      </c>
      <c r="L10" s="15" t="s">
        <v>1417</v>
      </c>
      <c r="O10" s="47" t="s">
        <v>457</v>
      </c>
      <c r="P10" s="47" t="s">
        <v>454</v>
      </c>
      <c r="Q10" s="47" t="s">
        <v>1393</v>
      </c>
      <c r="S10" s="44" t="s">
        <v>1418</v>
      </c>
      <c r="T10" s="21">
        <f>IF(B10="","",IF(J10="",PayRate,J10))</f>
        <v>0</v>
      </c>
      <c r="U10" s="21">
        <f>IF(B10="","",ROUND(T10*IF(D10="Subcontractor",1,1+EmployerOncost),2))</f>
        <v>0</v>
      </c>
      <c r="V10" s="31">
        <f>IF(B10="","",COUNTIFS(Jobs!$R$5:$R$604,B10))</f>
        <v>0</v>
      </c>
      <c r="W10" s="31">
        <f>IF(B10="","",COUNTIFS(Jobs!$R$5:$R$604,B10,Jobs!$P$5:$P$604,"Completed")+COUNTIFS(Jobs!$R$5:$R$604,B10,Jobs!$P$5:$P$604,"Invoiced"))</f>
        <v>0</v>
      </c>
      <c r="X10" s="31">
        <f>IF(B10="","",COUNTIFS(Jobs!$R$5:$R$604,B10,Jobs!$B$5:$B$604,"&gt;="&amp;TodayDate,Jobs!$P$5:$P$604,"&lt;&gt;Cancelled"))</f>
        <v>0</v>
      </c>
      <c r="Y10" s="34">
        <f>IF(B10="","",SUMIFS(Jobs!$AF$5:$AF$604,Jobs!$R$5:$R$604,B10,Jobs!$B$5:$B$604,"&gt;="&amp;WeekStartDate,Jobs!$B$5:$B$604,"&lt;="&amp;WeekStartDate+6,Jobs!$P$5:$P$604,"&lt;&gt;Cancelled"))</f>
        <v>0</v>
      </c>
      <c r="Z10" s="38">
        <f>IF(OR(B10="",K10="",K10=0),"",Y10/K10)</f>
        <v>0</v>
      </c>
      <c r="AA10" s="34">
        <f>IF(B10="","",SUMIFS(Timesheets!$U$5:$U$804,Timesheets!$F$5:$F$804,B10))</f>
        <v>0</v>
      </c>
      <c r="AB10" s="34">
        <f>IF(B10="","",SUMIFS(Timesheets!$U$5:$U$804,Timesheets!$F$5:$F$804,B10,Timesheets!$P$5:$P$804,"Yes"))</f>
        <v>0</v>
      </c>
      <c r="AC10" s="38">
        <f>IF(OR(B10="",AA10=0),"",AB10/AA10)</f>
        <v>0</v>
      </c>
      <c r="AD10" s="21">
        <f>IF(B10="","",SUMIFS(Timesheets!$X$5:$X$804,Timesheets!$F$5:$F$804,B10))</f>
        <v>0</v>
      </c>
      <c r="AE10" s="21">
        <f>IF(B10="","",SUMIFS(Jobs!$AJ$5:$AJ$604,Jobs!$R$5:$R$604,B10,Jobs!$P$5:$P$604,"Completed")+SUMIFS(Jobs!$AJ$5:$AJ$604,Jobs!$R$5:$R$604,B10,Jobs!$P$5:$P$604,"Invoiced"))</f>
        <v>0</v>
      </c>
      <c r="AF10" s="21">
        <f>IF(B10="","",AE10-AD10)</f>
        <v>0</v>
      </c>
      <c r="AG10" s="34">
        <f>IF(B10="","",IFERROR(AVERAGEIFS(Jobs!$AA$5:$AA$604,Jobs!$R$5:$R$604,B10,Jobs!$AA$5:$AA$604,"&gt;0"),""))</f>
        <v>0</v>
      </c>
      <c r="AH10" s="31">
        <f>IF(B10="","",COUNTIFS(Complaints!$G$5:$G$84,B10))</f>
        <v>0</v>
      </c>
      <c r="AI10" s="31">
        <f>IF(B10="","",COUNTIFS(Timesheets!$O$5:$O$804,"Late",Timesheets!$F$5:$F$804,B10)+COUNTIFS(Timesheets!$O$5:$O$804,"Absent - no show",Timesheets!$F$5:$F$804,B10))</f>
        <v>0</v>
      </c>
      <c r="AJ10" s="31">
        <f>IF(B10="","",COUNTIF($B$5:B10,"?*"))</f>
        <v>0</v>
      </c>
      <c r="AK10" s="31">
        <f>IF(B10="","",COUNTIFS($AE$5:$AE$44,"&gt;"&amp;AE10)+COUNTIFS($AE$5:AE10,AE10))</f>
        <v>0</v>
      </c>
      <c r="AL10" s="31">
        <f>IF(B10="","",COUNTIFS($Y$5:$Y$44,"&gt;"&amp;Y10)+COUNTIFS($Y$5:Y10,Y10))</f>
        <v>0</v>
      </c>
      <c r="AM10" s="39">
        <f>IF(B10="","",IF(E10="Left","Archived",IF(AND(Z10&lt;&gt;"",Z10&gt;1),"Overloaded - over contracted hours",IF(AH10&gt;=2,"Check - complaints logged",IF(AND(AG10&lt;&gt;"",AG10&lt;3.5),"Check - low client ratings",IF(P10="No","Action - no background check",IF(AND(X10=0,E10="Active"),"Idle - nothing booked","OK")))))))</f>
        <v>0</v>
      </c>
    </row>
    <row r="11" spans="1:39">
      <c r="A11" s="43">
        <f>IF(B11="","",EmployeePrefix&amp;TEXT(ROW()-4,"000"))</f>
        <v>0</v>
      </c>
      <c r="B11" s="15" t="s">
        <v>639</v>
      </c>
      <c r="C11" s="15" t="s">
        <v>1104</v>
      </c>
      <c r="D11" s="15" t="s">
        <v>1396</v>
      </c>
      <c r="E11" s="45" t="s">
        <v>1419</v>
      </c>
      <c r="F11" s="15" t="s">
        <v>1420</v>
      </c>
      <c r="G11" s="15" t="s">
        <v>1421</v>
      </c>
      <c r="I11" s="46">
        <v>46113</v>
      </c>
      <c r="J11" s="19">
        <v>18.5</v>
      </c>
      <c r="K11" s="17">
        <v>35</v>
      </c>
      <c r="L11" s="15" t="s">
        <v>1422</v>
      </c>
      <c r="O11" s="47" t="s">
        <v>457</v>
      </c>
      <c r="P11" s="47" t="s">
        <v>454</v>
      </c>
      <c r="Q11" s="47" t="s">
        <v>1393</v>
      </c>
      <c r="S11" s="44" t="s">
        <v>1423</v>
      </c>
      <c r="T11" s="21">
        <f>IF(B11="","",IF(J11="",PayRate,J11))</f>
        <v>0</v>
      </c>
      <c r="U11" s="21">
        <f>IF(B11="","",ROUND(T11*IF(D11="Subcontractor",1,1+EmployerOncost),2))</f>
        <v>0</v>
      </c>
      <c r="V11" s="31">
        <f>IF(B11="","",COUNTIFS(Jobs!$R$5:$R$604,B11))</f>
        <v>0</v>
      </c>
      <c r="W11" s="31">
        <f>IF(B11="","",COUNTIFS(Jobs!$R$5:$R$604,B11,Jobs!$P$5:$P$604,"Completed")+COUNTIFS(Jobs!$R$5:$R$604,B11,Jobs!$P$5:$P$604,"Invoiced"))</f>
        <v>0</v>
      </c>
      <c r="X11" s="31">
        <f>IF(B11="","",COUNTIFS(Jobs!$R$5:$R$604,B11,Jobs!$B$5:$B$604,"&gt;="&amp;TodayDate,Jobs!$P$5:$P$604,"&lt;&gt;Cancelled"))</f>
        <v>0</v>
      </c>
      <c r="Y11" s="34">
        <f>IF(B11="","",SUMIFS(Jobs!$AF$5:$AF$604,Jobs!$R$5:$R$604,B11,Jobs!$B$5:$B$604,"&gt;="&amp;WeekStartDate,Jobs!$B$5:$B$604,"&lt;="&amp;WeekStartDate+6,Jobs!$P$5:$P$604,"&lt;&gt;Cancelled"))</f>
        <v>0</v>
      </c>
      <c r="Z11" s="38">
        <f>IF(OR(B11="",K11="",K11=0),"",Y11/K11)</f>
        <v>0</v>
      </c>
      <c r="AA11" s="34">
        <f>IF(B11="","",SUMIFS(Timesheets!$U$5:$U$804,Timesheets!$F$5:$F$804,B11))</f>
        <v>0</v>
      </c>
      <c r="AB11" s="34">
        <f>IF(B11="","",SUMIFS(Timesheets!$U$5:$U$804,Timesheets!$F$5:$F$804,B11,Timesheets!$P$5:$P$804,"Yes"))</f>
        <v>0</v>
      </c>
      <c r="AC11" s="38">
        <f>IF(OR(B11="",AA11=0),"",AB11/AA11)</f>
        <v>0</v>
      </c>
      <c r="AD11" s="21">
        <f>IF(B11="","",SUMIFS(Timesheets!$X$5:$X$804,Timesheets!$F$5:$F$804,B11))</f>
        <v>0</v>
      </c>
      <c r="AE11" s="21">
        <f>IF(B11="","",SUMIFS(Jobs!$AJ$5:$AJ$604,Jobs!$R$5:$R$604,B11,Jobs!$P$5:$P$604,"Completed")+SUMIFS(Jobs!$AJ$5:$AJ$604,Jobs!$R$5:$R$604,B11,Jobs!$P$5:$P$604,"Invoiced"))</f>
        <v>0</v>
      </c>
      <c r="AF11" s="21">
        <f>IF(B11="","",AE11-AD11)</f>
        <v>0</v>
      </c>
      <c r="AG11" s="34">
        <f>IF(B11="","",IFERROR(AVERAGEIFS(Jobs!$AA$5:$AA$604,Jobs!$R$5:$R$604,B11,Jobs!$AA$5:$AA$604,"&gt;0"),""))</f>
        <v>0</v>
      </c>
      <c r="AH11" s="31">
        <f>IF(B11="","",COUNTIFS(Complaints!$G$5:$G$84,B11))</f>
        <v>0</v>
      </c>
      <c r="AI11" s="31">
        <f>IF(B11="","",COUNTIFS(Timesheets!$O$5:$O$804,"Late",Timesheets!$F$5:$F$804,B11)+COUNTIFS(Timesheets!$O$5:$O$804,"Absent - no show",Timesheets!$F$5:$F$804,B11))</f>
        <v>0</v>
      </c>
      <c r="AJ11" s="31">
        <f>IF(B11="","",COUNTIF($B$5:B11,"?*"))</f>
        <v>0</v>
      </c>
      <c r="AK11" s="31">
        <f>IF(B11="","",COUNTIFS($AE$5:$AE$44,"&gt;"&amp;AE11)+COUNTIFS($AE$5:AE11,AE11))</f>
        <v>0</v>
      </c>
      <c r="AL11" s="31">
        <f>IF(B11="","",COUNTIFS($Y$5:$Y$44,"&gt;"&amp;Y11)+COUNTIFS($Y$5:Y11,Y11))</f>
        <v>0</v>
      </c>
      <c r="AM11" s="39">
        <f>IF(B11="","",IF(E11="Left","Archived",IF(AND(Z11&lt;&gt;"",Z11&gt;1),"Overloaded - over contracted hours",IF(AH11&gt;=2,"Check - complaints logged",IF(AND(AG11&lt;&gt;"",AG11&lt;3.5),"Check - low client ratings",IF(P11="No","Action - no background check",IF(AND(X11=0,E11="Active"),"Idle - nothing booked","OK")))))))</f>
        <v>0</v>
      </c>
    </row>
    <row r="12" spans="1:39">
      <c r="A12" s="43">
        <f>IF(B12="","",EmployeePrefix&amp;TEXT(ROW()-4,"000"))</f>
        <v>0</v>
      </c>
      <c r="B12" s="15" t="s">
        <v>1424</v>
      </c>
      <c r="C12" s="15" t="s">
        <v>1425</v>
      </c>
      <c r="D12" s="15" t="s">
        <v>1426</v>
      </c>
      <c r="E12" s="45" t="s">
        <v>604</v>
      </c>
      <c r="F12" s="15" t="s">
        <v>1427</v>
      </c>
      <c r="G12" s="15" t="s">
        <v>1428</v>
      </c>
      <c r="I12" s="46">
        <v>45793</v>
      </c>
      <c r="J12" s="19">
        <v>28</v>
      </c>
      <c r="K12" s="17">
        <v>8</v>
      </c>
      <c r="L12" s="15" t="s">
        <v>1429</v>
      </c>
      <c r="O12" s="47" t="s">
        <v>454</v>
      </c>
      <c r="P12" s="47" t="s">
        <v>454</v>
      </c>
      <c r="Q12" s="47" t="s">
        <v>454</v>
      </c>
      <c r="S12" s="44" t="s">
        <v>1430</v>
      </c>
      <c r="T12" s="21">
        <f>IF(B12="","",IF(J12="",PayRate,J12))</f>
        <v>0</v>
      </c>
      <c r="U12" s="21">
        <f>IF(B12="","",ROUND(T12*IF(D12="Subcontractor",1,1+EmployerOncost),2))</f>
        <v>0</v>
      </c>
      <c r="V12" s="31">
        <f>IF(B12="","",COUNTIFS(Jobs!$R$5:$R$604,B12))</f>
        <v>0</v>
      </c>
      <c r="W12" s="31">
        <f>IF(B12="","",COUNTIFS(Jobs!$R$5:$R$604,B12,Jobs!$P$5:$P$604,"Completed")+COUNTIFS(Jobs!$R$5:$R$604,B12,Jobs!$P$5:$P$604,"Invoiced"))</f>
        <v>0</v>
      </c>
      <c r="X12" s="31">
        <f>IF(B12="","",COUNTIFS(Jobs!$R$5:$R$604,B12,Jobs!$B$5:$B$604,"&gt;="&amp;TodayDate,Jobs!$P$5:$P$604,"&lt;&gt;Cancelled"))</f>
        <v>0</v>
      </c>
      <c r="Y12" s="34">
        <f>IF(B12="","",SUMIFS(Jobs!$AF$5:$AF$604,Jobs!$R$5:$R$604,B12,Jobs!$B$5:$B$604,"&gt;="&amp;WeekStartDate,Jobs!$B$5:$B$604,"&lt;="&amp;WeekStartDate+6,Jobs!$P$5:$P$604,"&lt;&gt;Cancelled"))</f>
        <v>0</v>
      </c>
      <c r="Z12" s="38">
        <f>IF(OR(B12="",K12="",K12=0),"",Y12/K12)</f>
        <v>0</v>
      </c>
      <c r="AA12" s="34">
        <f>IF(B12="","",SUMIFS(Timesheets!$U$5:$U$804,Timesheets!$F$5:$F$804,B12))</f>
        <v>0</v>
      </c>
      <c r="AB12" s="34">
        <f>IF(B12="","",SUMIFS(Timesheets!$U$5:$U$804,Timesheets!$F$5:$F$804,B12,Timesheets!$P$5:$P$804,"Yes"))</f>
        <v>0</v>
      </c>
      <c r="AC12" s="38">
        <f>IF(OR(B12="",AA12=0),"",AB12/AA12)</f>
        <v>0</v>
      </c>
      <c r="AD12" s="21">
        <f>IF(B12="","",SUMIFS(Timesheets!$X$5:$X$804,Timesheets!$F$5:$F$804,B12))</f>
        <v>0</v>
      </c>
      <c r="AE12" s="21">
        <f>IF(B12="","",SUMIFS(Jobs!$AJ$5:$AJ$604,Jobs!$R$5:$R$604,B12,Jobs!$P$5:$P$604,"Completed")+SUMIFS(Jobs!$AJ$5:$AJ$604,Jobs!$R$5:$R$604,B12,Jobs!$P$5:$P$604,"Invoiced"))</f>
        <v>0</v>
      </c>
      <c r="AF12" s="21">
        <f>IF(B12="","",AE12-AD12)</f>
        <v>0</v>
      </c>
      <c r="AG12" s="34">
        <f>IF(B12="","",IFERROR(AVERAGEIFS(Jobs!$AA$5:$AA$604,Jobs!$R$5:$R$604,B12,Jobs!$AA$5:$AA$604,"&gt;0"),""))</f>
        <v>0</v>
      </c>
      <c r="AH12" s="31">
        <f>IF(B12="","",COUNTIFS(Complaints!$G$5:$G$84,B12))</f>
        <v>0</v>
      </c>
      <c r="AI12" s="31">
        <f>IF(B12="","",COUNTIFS(Timesheets!$O$5:$O$804,"Late",Timesheets!$F$5:$F$804,B12)+COUNTIFS(Timesheets!$O$5:$O$804,"Absent - no show",Timesheets!$F$5:$F$804,B12))</f>
        <v>0</v>
      </c>
      <c r="AJ12" s="31">
        <f>IF(B12="","",COUNTIF($B$5:B12,"?*"))</f>
        <v>0</v>
      </c>
      <c r="AK12" s="31">
        <f>IF(B12="","",COUNTIFS($AE$5:$AE$44,"&gt;"&amp;AE12)+COUNTIFS($AE$5:AE12,AE12))</f>
        <v>0</v>
      </c>
      <c r="AL12" s="31">
        <f>IF(B12="","",COUNTIFS($Y$5:$Y$44,"&gt;"&amp;Y12)+COUNTIFS($Y$5:Y12,Y12))</f>
        <v>0</v>
      </c>
      <c r="AM12" s="39">
        <f>IF(B12="","",IF(E12="Left","Archived",IF(AND(Z12&lt;&gt;"",Z12&gt;1),"Overloaded - over contracted hours",IF(AH12&gt;=2,"Check - complaints logged",IF(AND(AG12&lt;&gt;"",AG12&lt;3.5),"Check - low client ratings",IF(P12="No","Action - no background check",IF(AND(X12=0,E12="Active"),"Idle - nothing booked","OK")))))))</f>
        <v>0</v>
      </c>
    </row>
    <row r="13" spans="1:39">
      <c r="A13" s="43">
        <f>IF(B13="","",EmployeePrefix&amp;TEXT(ROW()-4,"000"))</f>
        <v>0</v>
      </c>
      <c r="T13" s="21">
        <f>IF(B13="","",IF(J13="",PayRate,J13))</f>
        <v>0</v>
      </c>
      <c r="U13" s="21">
        <f>IF(B13="","",ROUND(T13*IF(D13="Subcontractor",1,1+EmployerOncost),2))</f>
        <v>0</v>
      </c>
      <c r="V13" s="31">
        <f>IF(B13="","",COUNTIFS(Jobs!$R$5:$R$604,B13))</f>
        <v>0</v>
      </c>
      <c r="W13" s="31">
        <f>IF(B13="","",COUNTIFS(Jobs!$R$5:$R$604,B13,Jobs!$P$5:$P$604,"Completed")+COUNTIFS(Jobs!$R$5:$R$604,B13,Jobs!$P$5:$P$604,"Invoiced"))</f>
        <v>0</v>
      </c>
      <c r="X13" s="31">
        <f>IF(B13="","",COUNTIFS(Jobs!$R$5:$R$604,B13,Jobs!$B$5:$B$604,"&gt;="&amp;TodayDate,Jobs!$P$5:$P$604,"&lt;&gt;Cancelled"))</f>
        <v>0</v>
      </c>
      <c r="Y13" s="34">
        <f>IF(B13="","",SUMIFS(Jobs!$AF$5:$AF$604,Jobs!$R$5:$R$604,B13,Jobs!$B$5:$B$604,"&gt;="&amp;WeekStartDate,Jobs!$B$5:$B$604,"&lt;="&amp;WeekStartDate+6,Jobs!$P$5:$P$604,"&lt;&gt;Cancelled"))</f>
        <v>0</v>
      </c>
      <c r="Z13" s="38">
        <f>IF(OR(B13="",K13="",K13=0),"",Y13/K13)</f>
        <v>0</v>
      </c>
      <c r="AA13" s="34">
        <f>IF(B13="","",SUMIFS(Timesheets!$U$5:$U$804,Timesheets!$F$5:$F$804,B13))</f>
        <v>0</v>
      </c>
      <c r="AB13" s="34">
        <f>IF(B13="","",SUMIFS(Timesheets!$U$5:$U$804,Timesheets!$F$5:$F$804,B13,Timesheets!$P$5:$P$804,"Yes"))</f>
        <v>0</v>
      </c>
      <c r="AC13" s="38">
        <f>IF(OR(B13="",AA13=0),"",AB13/AA13)</f>
        <v>0</v>
      </c>
      <c r="AD13" s="21">
        <f>IF(B13="","",SUMIFS(Timesheets!$X$5:$X$804,Timesheets!$F$5:$F$804,B13))</f>
        <v>0</v>
      </c>
      <c r="AE13" s="21">
        <f>IF(B13="","",SUMIFS(Jobs!$AJ$5:$AJ$604,Jobs!$R$5:$R$604,B13,Jobs!$P$5:$P$604,"Completed")+SUMIFS(Jobs!$AJ$5:$AJ$604,Jobs!$R$5:$R$604,B13,Jobs!$P$5:$P$604,"Invoiced"))</f>
        <v>0</v>
      </c>
      <c r="AF13" s="21">
        <f>IF(B13="","",AE13-AD13)</f>
        <v>0</v>
      </c>
      <c r="AG13" s="34">
        <f>IF(B13="","",IFERROR(AVERAGEIFS(Jobs!$AA$5:$AA$604,Jobs!$R$5:$R$604,B13,Jobs!$AA$5:$AA$604,"&gt;0"),""))</f>
        <v>0</v>
      </c>
      <c r="AH13" s="31">
        <f>IF(B13="","",COUNTIFS(Complaints!$G$5:$G$84,B13))</f>
        <v>0</v>
      </c>
      <c r="AI13" s="31">
        <f>IF(B13="","",COUNTIFS(Timesheets!$O$5:$O$804,"Late",Timesheets!$F$5:$F$804,B13)+COUNTIFS(Timesheets!$O$5:$O$804,"Absent - no show",Timesheets!$F$5:$F$804,B13))</f>
        <v>0</v>
      </c>
      <c r="AJ13" s="31">
        <f>IF(B13="","",COUNTIF($B$5:B13,"?*"))</f>
        <v>0</v>
      </c>
      <c r="AK13" s="31">
        <f>IF(B13="","",COUNTIFS($AE$5:$AE$44,"&gt;"&amp;AE13)+COUNTIFS($AE$5:AE13,AE13))</f>
        <v>0</v>
      </c>
      <c r="AL13" s="31">
        <f>IF(B13="","",COUNTIFS($Y$5:$Y$44,"&gt;"&amp;Y13)+COUNTIFS($Y$5:Y13,Y13))</f>
        <v>0</v>
      </c>
      <c r="AM13" s="39">
        <f>IF(B13="","",IF(E13="Left","Archived",IF(AND(Z13&lt;&gt;"",Z13&gt;1),"Overloaded - over contracted hours",IF(AH13&gt;=2,"Check - complaints logged",IF(AND(AG13&lt;&gt;"",AG13&lt;3.5),"Check - low client ratings",IF(P13="No","Action - no background check",IF(AND(X13=0,E13="Active"),"Idle - nothing booked","OK")))))))</f>
        <v>0</v>
      </c>
    </row>
    <row r="14" spans="1:39">
      <c r="A14" s="43">
        <f>IF(B14="","",EmployeePrefix&amp;TEXT(ROW()-4,"000"))</f>
        <v>0</v>
      </c>
      <c r="T14" s="21">
        <f>IF(B14="","",IF(J14="",PayRate,J14))</f>
        <v>0</v>
      </c>
      <c r="U14" s="21">
        <f>IF(B14="","",ROUND(T14*IF(D14="Subcontractor",1,1+EmployerOncost),2))</f>
        <v>0</v>
      </c>
      <c r="V14" s="31">
        <f>IF(B14="","",COUNTIFS(Jobs!$R$5:$R$604,B14))</f>
        <v>0</v>
      </c>
      <c r="W14" s="31">
        <f>IF(B14="","",COUNTIFS(Jobs!$R$5:$R$604,B14,Jobs!$P$5:$P$604,"Completed")+COUNTIFS(Jobs!$R$5:$R$604,B14,Jobs!$P$5:$P$604,"Invoiced"))</f>
        <v>0</v>
      </c>
      <c r="X14" s="31">
        <f>IF(B14="","",COUNTIFS(Jobs!$R$5:$R$604,B14,Jobs!$B$5:$B$604,"&gt;="&amp;TodayDate,Jobs!$P$5:$P$604,"&lt;&gt;Cancelled"))</f>
        <v>0</v>
      </c>
      <c r="Y14" s="34">
        <f>IF(B14="","",SUMIFS(Jobs!$AF$5:$AF$604,Jobs!$R$5:$R$604,B14,Jobs!$B$5:$B$604,"&gt;="&amp;WeekStartDate,Jobs!$B$5:$B$604,"&lt;="&amp;WeekStartDate+6,Jobs!$P$5:$P$604,"&lt;&gt;Cancelled"))</f>
        <v>0</v>
      </c>
      <c r="Z14" s="38">
        <f>IF(OR(B14="",K14="",K14=0),"",Y14/K14)</f>
        <v>0</v>
      </c>
      <c r="AA14" s="34">
        <f>IF(B14="","",SUMIFS(Timesheets!$U$5:$U$804,Timesheets!$F$5:$F$804,B14))</f>
        <v>0</v>
      </c>
      <c r="AB14" s="34">
        <f>IF(B14="","",SUMIFS(Timesheets!$U$5:$U$804,Timesheets!$F$5:$F$804,B14,Timesheets!$P$5:$P$804,"Yes"))</f>
        <v>0</v>
      </c>
      <c r="AC14" s="38">
        <f>IF(OR(B14="",AA14=0),"",AB14/AA14)</f>
        <v>0</v>
      </c>
      <c r="AD14" s="21">
        <f>IF(B14="","",SUMIFS(Timesheets!$X$5:$X$804,Timesheets!$F$5:$F$804,B14))</f>
        <v>0</v>
      </c>
      <c r="AE14" s="21">
        <f>IF(B14="","",SUMIFS(Jobs!$AJ$5:$AJ$604,Jobs!$R$5:$R$604,B14,Jobs!$P$5:$P$604,"Completed")+SUMIFS(Jobs!$AJ$5:$AJ$604,Jobs!$R$5:$R$604,B14,Jobs!$P$5:$P$604,"Invoiced"))</f>
        <v>0</v>
      </c>
      <c r="AF14" s="21">
        <f>IF(B14="","",AE14-AD14)</f>
        <v>0</v>
      </c>
      <c r="AG14" s="34">
        <f>IF(B14="","",IFERROR(AVERAGEIFS(Jobs!$AA$5:$AA$604,Jobs!$R$5:$R$604,B14,Jobs!$AA$5:$AA$604,"&gt;0"),""))</f>
        <v>0</v>
      </c>
      <c r="AH14" s="31">
        <f>IF(B14="","",COUNTIFS(Complaints!$G$5:$G$84,B14))</f>
        <v>0</v>
      </c>
      <c r="AI14" s="31">
        <f>IF(B14="","",COUNTIFS(Timesheets!$O$5:$O$804,"Late",Timesheets!$F$5:$F$804,B14)+COUNTIFS(Timesheets!$O$5:$O$804,"Absent - no show",Timesheets!$F$5:$F$804,B14))</f>
        <v>0</v>
      </c>
      <c r="AJ14" s="31">
        <f>IF(B14="","",COUNTIF($B$5:B14,"?*"))</f>
        <v>0</v>
      </c>
      <c r="AK14" s="31">
        <f>IF(B14="","",COUNTIFS($AE$5:$AE$44,"&gt;"&amp;AE14)+COUNTIFS($AE$5:AE14,AE14))</f>
        <v>0</v>
      </c>
      <c r="AL14" s="31">
        <f>IF(B14="","",COUNTIFS($Y$5:$Y$44,"&gt;"&amp;Y14)+COUNTIFS($Y$5:Y14,Y14))</f>
        <v>0</v>
      </c>
      <c r="AM14" s="39">
        <f>IF(B14="","",IF(E14="Left","Archived",IF(AND(Z14&lt;&gt;"",Z14&gt;1),"Overloaded - over contracted hours",IF(AH14&gt;=2,"Check - complaints logged",IF(AND(AG14&lt;&gt;"",AG14&lt;3.5),"Check - low client ratings",IF(P14="No","Action - no background check",IF(AND(X14=0,E14="Active"),"Idle - nothing booked","OK")))))))</f>
        <v>0</v>
      </c>
    </row>
    <row r="15" spans="1:39">
      <c r="A15" s="43">
        <f>IF(B15="","",EmployeePrefix&amp;TEXT(ROW()-4,"000"))</f>
        <v>0</v>
      </c>
      <c r="T15" s="21">
        <f>IF(B15="","",IF(J15="",PayRate,J15))</f>
        <v>0</v>
      </c>
      <c r="U15" s="21">
        <f>IF(B15="","",ROUND(T15*IF(D15="Subcontractor",1,1+EmployerOncost),2))</f>
        <v>0</v>
      </c>
      <c r="V15" s="31">
        <f>IF(B15="","",COUNTIFS(Jobs!$R$5:$R$604,B15))</f>
        <v>0</v>
      </c>
      <c r="W15" s="31">
        <f>IF(B15="","",COUNTIFS(Jobs!$R$5:$R$604,B15,Jobs!$P$5:$P$604,"Completed")+COUNTIFS(Jobs!$R$5:$R$604,B15,Jobs!$P$5:$P$604,"Invoiced"))</f>
        <v>0</v>
      </c>
      <c r="X15" s="31">
        <f>IF(B15="","",COUNTIFS(Jobs!$R$5:$R$604,B15,Jobs!$B$5:$B$604,"&gt;="&amp;TodayDate,Jobs!$P$5:$P$604,"&lt;&gt;Cancelled"))</f>
        <v>0</v>
      </c>
      <c r="Y15" s="34">
        <f>IF(B15="","",SUMIFS(Jobs!$AF$5:$AF$604,Jobs!$R$5:$R$604,B15,Jobs!$B$5:$B$604,"&gt;="&amp;WeekStartDate,Jobs!$B$5:$B$604,"&lt;="&amp;WeekStartDate+6,Jobs!$P$5:$P$604,"&lt;&gt;Cancelled"))</f>
        <v>0</v>
      </c>
      <c r="Z15" s="38">
        <f>IF(OR(B15="",K15="",K15=0),"",Y15/K15)</f>
        <v>0</v>
      </c>
      <c r="AA15" s="34">
        <f>IF(B15="","",SUMIFS(Timesheets!$U$5:$U$804,Timesheets!$F$5:$F$804,B15))</f>
        <v>0</v>
      </c>
      <c r="AB15" s="34">
        <f>IF(B15="","",SUMIFS(Timesheets!$U$5:$U$804,Timesheets!$F$5:$F$804,B15,Timesheets!$P$5:$P$804,"Yes"))</f>
        <v>0</v>
      </c>
      <c r="AC15" s="38">
        <f>IF(OR(B15="",AA15=0),"",AB15/AA15)</f>
        <v>0</v>
      </c>
      <c r="AD15" s="21">
        <f>IF(B15="","",SUMIFS(Timesheets!$X$5:$X$804,Timesheets!$F$5:$F$804,B15))</f>
        <v>0</v>
      </c>
      <c r="AE15" s="21">
        <f>IF(B15="","",SUMIFS(Jobs!$AJ$5:$AJ$604,Jobs!$R$5:$R$604,B15,Jobs!$P$5:$P$604,"Completed")+SUMIFS(Jobs!$AJ$5:$AJ$604,Jobs!$R$5:$R$604,B15,Jobs!$P$5:$P$604,"Invoiced"))</f>
        <v>0</v>
      </c>
      <c r="AF15" s="21">
        <f>IF(B15="","",AE15-AD15)</f>
        <v>0</v>
      </c>
      <c r="AG15" s="34">
        <f>IF(B15="","",IFERROR(AVERAGEIFS(Jobs!$AA$5:$AA$604,Jobs!$R$5:$R$604,B15,Jobs!$AA$5:$AA$604,"&gt;0"),""))</f>
        <v>0</v>
      </c>
      <c r="AH15" s="31">
        <f>IF(B15="","",COUNTIFS(Complaints!$G$5:$G$84,B15))</f>
        <v>0</v>
      </c>
      <c r="AI15" s="31">
        <f>IF(B15="","",COUNTIFS(Timesheets!$O$5:$O$804,"Late",Timesheets!$F$5:$F$804,B15)+COUNTIFS(Timesheets!$O$5:$O$804,"Absent - no show",Timesheets!$F$5:$F$804,B15))</f>
        <v>0</v>
      </c>
      <c r="AJ15" s="31">
        <f>IF(B15="","",COUNTIF($B$5:B15,"?*"))</f>
        <v>0</v>
      </c>
      <c r="AK15" s="31">
        <f>IF(B15="","",COUNTIFS($AE$5:$AE$44,"&gt;"&amp;AE15)+COUNTIFS($AE$5:AE15,AE15))</f>
        <v>0</v>
      </c>
      <c r="AL15" s="31">
        <f>IF(B15="","",COUNTIFS($Y$5:$Y$44,"&gt;"&amp;Y15)+COUNTIFS($Y$5:Y15,Y15))</f>
        <v>0</v>
      </c>
      <c r="AM15" s="39">
        <f>IF(B15="","",IF(E15="Left","Archived",IF(AND(Z15&lt;&gt;"",Z15&gt;1),"Overloaded - over contracted hours",IF(AH15&gt;=2,"Check - complaints logged",IF(AND(AG15&lt;&gt;"",AG15&lt;3.5),"Check - low client ratings",IF(P15="No","Action - no background check",IF(AND(X15=0,E15="Active"),"Idle - nothing booked","OK")))))))</f>
        <v>0</v>
      </c>
    </row>
    <row r="16" spans="1:39">
      <c r="A16" s="43">
        <f>IF(B16="","",EmployeePrefix&amp;TEXT(ROW()-4,"000"))</f>
        <v>0</v>
      </c>
      <c r="T16" s="21">
        <f>IF(B16="","",IF(J16="",PayRate,J16))</f>
        <v>0</v>
      </c>
      <c r="U16" s="21">
        <f>IF(B16="","",ROUND(T16*IF(D16="Subcontractor",1,1+EmployerOncost),2))</f>
        <v>0</v>
      </c>
      <c r="V16" s="31">
        <f>IF(B16="","",COUNTIFS(Jobs!$R$5:$R$604,B16))</f>
        <v>0</v>
      </c>
      <c r="W16" s="31">
        <f>IF(B16="","",COUNTIFS(Jobs!$R$5:$R$604,B16,Jobs!$P$5:$P$604,"Completed")+COUNTIFS(Jobs!$R$5:$R$604,B16,Jobs!$P$5:$P$604,"Invoiced"))</f>
        <v>0</v>
      </c>
      <c r="X16" s="31">
        <f>IF(B16="","",COUNTIFS(Jobs!$R$5:$R$604,B16,Jobs!$B$5:$B$604,"&gt;="&amp;TodayDate,Jobs!$P$5:$P$604,"&lt;&gt;Cancelled"))</f>
        <v>0</v>
      </c>
      <c r="Y16" s="34">
        <f>IF(B16="","",SUMIFS(Jobs!$AF$5:$AF$604,Jobs!$R$5:$R$604,B16,Jobs!$B$5:$B$604,"&gt;="&amp;WeekStartDate,Jobs!$B$5:$B$604,"&lt;="&amp;WeekStartDate+6,Jobs!$P$5:$P$604,"&lt;&gt;Cancelled"))</f>
        <v>0</v>
      </c>
      <c r="Z16" s="38">
        <f>IF(OR(B16="",K16="",K16=0),"",Y16/K16)</f>
        <v>0</v>
      </c>
      <c r="AA16" s="34">
        <f>IF(B16="","",SUMIFS(Timesheets!$U$5:$U$804,Timesheets!$F$5:$F$804,B16))</f>
        <v>0</v>
      </c>
      <c r="AB16" s="34">
        <f>IF(B16="","",SUMIFS(Timesheets!$U$5:$U$804,Timesheets!$F$5:$F$804,B16,Timesheets!$P$5:$P$804,"Yes"))</f>
        <v>0</v>
      </c>
      <c r="AC16" s="38">
        <f>IF(OR(B16="",AA16=0),"",AB16/AA16)</f>
        <v>0</v>
      </c>
      <c r="AD16" s="21">
        <f>IF(B16="","",SUMIFS(Timesheets!$X$5:$X$804,Timesheets!$F$5:$F$804,B16))</f>
        <v>0</v>
      </c>
      <c r="AE16" s="21">
        <f>IF(B16="","",SUMIFS(Jobs!$AJ$5:$AJ$604,Jobs!$R$5:$R$604,B16,Jobs!$P$5:$P$604,"Completed")+SUMIFS(Jobs!$AJ$5:$AJ$604,Jobs!$R$5:$R$604,B16,Jobs!$P$5:$P$604,"Invoiced"))</f>
        <v>0</v>
      </c>
      <c r="AF16" s="21">
        <f>IF(B16="","",AE16-AD16)</f>
        <v>0</v>
      </c>
      <c r="AG16" s="34">
        <f>IF(B16="","",IFERROR(AVERAGEIFS(Jobs!$AA$5:$AA$604,Jobs!$R$5:$R$604,B16,Jobs!$AA$5:$AA$604,"&gt;0"),""))</f>
        <v>0</v>
      </c>
      <c r="AH16" s="31">
        <f>IF(B16="","",COUNTIFS(Complaints!$G$5:$G$84,B16))</f>
        <v>0</v>
      </c>
      <c r="AI16" s="31">
        <f>IF(B16="","",COUNTIFS(Timesheets!$O$5:$O$804,"Late",Timesheets!$F$5:$F$804,B16)+COUNTIFS(Timesheets!$O$5:$O$804,"Absent - no show",Timesheets!$F$5:$F$804,B16))</f>
        <v>0</v>
      </c>
      <c r="AJ16" s="31">
        <f>IF(B16="","",COUNTIF($B$5:B16,"?*"))</f>
        <v>0</v>
      </c>
      <c r="AK16" s="31">
        <f>IF(B16="","",COUNTIFS($AE$5:$AE$44,"&gt;"&amp;AE16)+COUNTIFS($AE$5:AE16,AE16))</f>
        <v>0</v>
      </c>
      <c r="AL16" s="31">
        <f>IF(B16="","",COUNTIFS($Y$5:$Y$44,"&gt;"&amp;Y16)+COUNTIFS($Y$5:Y16,Y16))</f>
        <v>0</v>
      </c>
      <c r="AM16" s="39">
        <f>IF(B16="","",IF(E16="Left","Archived",IF(AND(Z16&lt;&gt;"",Z16&gt;1),"Overloaded - over contracted hours",IF(AH16&gt;=2,"Check - complaints logged",IF(AND(AG16&lt;&gt;"",AG16&lt;3.5),"Check - low client ratings",IF(P16="No","Action - no background check",IF(AND(X16=0,E16="Active"),"Idle - nothing booked","OK")))))))</f>
        <v>0</v>
      </c>
    </row>
    <row r="17" spans="1:39">
      <c r="A17" s="43">
        <f>IF(B17="","",EmployeePrefix&amp;TEXT(ROW()-4,"000"))</f>
        <v>0</v>
      </c>
      <c r="T17" s="21">
        <f>IF(B17="","",IF(J17="",PayRate,J17))</f>
        <v>0</v>
      </c>
      <c r="U17" s="21">
        <f>IF(B17="","",ROUND(T17*IF(D17="Subcontractor",1,1+EmployerOncost),2))</f>
        <v>0</v>
      </c>
      <c r="V17" s="31">
        <f>IF(B17="","",COUNTIFS(Jobs!$R$5:$R$604,B17))</f>
        <v>0</v>
      </c>
      <c r="W17" s="31">
        <f>IF(B17="","",COUNTIFS(Jobs!$R$5:$R$604,B17,Jobs!$P$5:$P$604,"Completed")+COUNTIFS(Jobs!$R$5:$R$604,B17,Jobs!$P$5:$P$604,"Invoiced"))</f>
        <v>0</v>
      </c>
      <c r="X17" s="31">
        <f>IF(B17="","",COUNTIFS(Jobs!$R$5:$R$604,B17,Jobs!$B$5:$B$604,"&gt;="&amp;TodayDate,Jobs!$P$5:$P$604,"&lt;&gt;Cancelled"))</f>
        <v>0</v>
      </c>
      <c r="Y17" s="34">
        <f>IF(B17="","",SUMIFS(Jobs!$AF$5:$AF$604,Jobs!$R$5:$R$604,B17,Jobs!$B$5:$B$604,"&gt;="&amp;WeekStartDate,Jobs!$B$5:$B$604,"&lt;="&amp;WeekStartDate+6,Jobs!$P$5:$P$604,"&lt;&gt;Cancelled"))</f>
        <v>0</v>
      </c>
      <c r="Z17" s="38">
        <f>IF(OR(B17="",K17="",K17=0),"",Y17/K17)</f>
        <v>0</v>
      </c>
      <c r="AA17" s="34">
        <f>IF(B17="","",SUMIFS(Timesheets!$U$5:$U$804,Timesheets!$F$5:$F$804,B17))</f>
        <v>0</v>
      </c>
      <c r="AB17" s="34">
        <f>IF(B17="","",SUMIFS(Timesheets!$U$5:$U$804,Timesheets!$F$5:$F$804,B17,Timesheets!$P$5:$P$804,"Yes"))</f>
        <v>0</v>
      </c>
      <c r="AC17" s="38">
        <f>IF(OR(B17="",AA17=0),"",AB17/AA17)</f>
        <v>0</v>
      </c>
      <c r="AD17" s="21">
        <f>IF(B17="","",SUMIFS(Timesheets!$X$5:$X$804,Timesheets!$F$5:$F$804,B17))</f>
        <v>0</v>
      </c>
      <c r="AE17" s="21">
        <f>IF(B17="","",SUMIFS(Jobs!$AJ$5:$AJ$604,Jobs!$R$5:$R$604,B17,Jobs!$P$5:$P$604,"Completed")+SUMIFS(Jobs!$AJ$5:$AJ$604,Jobs!$R$5:$R$604,B17,Jobs!$P$5:$P$604,"Invoiced"))</f>
        <v>0</v>
      </c>
      <c r="AF17" s="21">
        <f>IF(B17="","",AE17-AD17)</f>
        <v>0</v>
      </c>
      <c r="AG17" s="34">
        <f>IF(B17="","",IFERROR(AVERAGEIFS(Jobs!$AA$5:$AA$604,Jobs!$R$5:$R$604,B17,Jobs!$AA$5:$AA$604,"&gt;0"),""))</f>
        <v>0</v>
      </c>
      <c r="AH17" s="31">
        <f>IF(B17="","",COUNTIFS(Complaints!$G$5:$G$84,B17))</f>
        <v>0</v>
      </c>
      <c r="AI17" s="31">
        <f>IF(B17="","",COUNTIFS(Timesheets!$O$5:$O$804,"Late",Timesheets!$F$5:$F$804,B17)+COUNTIFS(Timesheets!$O$5:$O$804,"Absent - no show",Timesheets!$F$5:$F$804,B17))</f>
        <v>0</v>
      </c>
      <c r="AJ17" s="31">
        <f>IF(B17="","",COUNTIF($B$5:B17,"?*"))</f>
        <v>0</v>
      </c>
      <c r="AK17" s="31">
        <f>IF(B17="","",COUNTIFS($AE$5:$AE$44,"&gt;"&amp;AE17)+COUNTIFS($AE$5:AE17,AE17))</f>
        <v>0</v>
      </c>
      <c r="AL17" s="31">
        <f>IF(B17="","",COUNTIFS($Y$5:$Y$44,"&gt;"&amp;Y17)+COUNTIFS($Y$5:Y17,Y17))</f>
        <v>0</v>
      </c>
      <c r="AM17" s="39">
        <f>IF(B17="","",IF(E17="Left","Archived",IF(AND(Z17&lt;&gt;"",Z17&gt;1),"Overloaded - over contracted hours",IF(AH17&gt;=2,"Check - complaints logged",IF(AND(AG17&lt;&gt;"",AG17&lt;3.5),"Check - low client ratings",IF(P17="No","Action - no background check",IF(AND(X17=0,E17="Active"),"Idle - nothing booked","OK")))))))</f>
        <v>0</v>
      </c>
    </row>
    <row r="18" spans="1:39">
      <c r="A18" s="43">
        <f>IF(B18="","",EmployeePrefix&amp;TEXT(ROW()-4,"000"))</f>
        <v>0</v>
      </c>
      <c r="T18" s="21">
        <f>IF(B18="","",IF(J18="",PayRate,J18))</f>
        <v>0</v>
      </c>
      <c r="U18" s="21">
        <f>IF(B18="","",ROUND(T18*IF(D18="Subcontractor",1,1+EmployerOncost),2))</f>
        <v>0</v>
      </c>
      <c r="V18" s="31">
        <f>IF(B18="","",COUNTIFS(Jobs!$R$5:$R$604,B18))</f>
        <v>0</v>
      </c>
      <c r="W18" s="31">
        <f>IF(B18="","",COUNTIFS(Jobs!$R$5:$R$604,B18,Jobs!$P$5:$P$604,"Completed")+COUNTIFS(Jobs!$R$5:$R$604,B18,Jobs!$P$5:$P$604,"Invoiced"))</f>
        <v>0</v>
      </c>
      <c r="X18" s="31">
        <f>IF(B18="","",COUNTIFS(Jobs!$R$5:$R$604,B18,Jobs!$B$5:$B$604,"&gt;="&amp;TodayDate,Jobs!$P$5:$P$604,"&lt;&gt;Cancelled"))</f>
        <v>0</v>
      </c>
      <c r="Y18" s="34">
        <f>IF(B18="","",SUMIFS(Jobs!$AF$5:$AF$604,Jobs!$R$5:$R$604,B18,Jobs!$B$5:$B$604,"&gt;="&amp;WeekStartDate,Jobs!$B$5:$B$604,"&lt;="&amp;WeekStartDate+6,Jobs!$P$5:$P$604,"&lt;&gt;Cancelled"))</f>
        <v>0</v>
      </c>
      <c r="Z18" s="38">
        <f>IF(OR(B18="",K18="",K18=0),"",Y18/K18)</f>
        <v>0</v>
      </c>
      <c r="AA18" s="34">
        <f>IF(B18="","",SUMIFS(Timesheets!$U$5:$U$804,Timesheets!$F$5:$F$804,B18))</f>
        <v>0</v>
      </c>
      <c r="AB18" s="34">
        <f>IF(B18="","",SUMIFS(Timesheets!$U$5:$U$804,Timesheets!$F$5:$F$804,B18,Timesheets!$P$5:$P$804,"Yes"))</f>
        <v>0</v>
      </c>
      <c r="AC18" s="38">
        <f>IF(OR(B18="",AA18=0),"",AB18/AA18)</f>
        <v>0</v>
      </c>
      <c r="AD18" s="21">
        <f>IF(B18="","",SUMIFS(Timesheets!$X$5:$X$804,Timesheets!$F$5:$F$804,B18))</f>
        <v>0</v>
      </c>
      <c r="AE18" s="21">
        <f>IF(B18="","",SUMIFS(Jobs!$AJ$5:$AJ$604,Jobs!$R$5:$R$604,B18,Jobs!$P$5:$P$604,"Completed")+SUMIFS(Jobs!$AJ$5:$AJ$604,Jobs!$R$5:$R$604,B18,Jobs!$P$5:$P$604,"Invoiced"))</f>
        <v>0</v>
      </c>
      <c r="AF18" s="21">
        <f>IF(B18="","",AE18-AD18)</f>
        <v>0</v>
      </c>
      <c r="AG18" s="34">
        <f>IF(B18="","",IFERROR(AVERAGEIFS(Jobs!$AA$5:$AA$604,Jobs!$R$5:$R$604,B18,Jobs!$AA$5:$AA$604,"&gt;0"),""))</f>
        <v>0</v>
      </c>
      <c r="AH18" s="31">
        <f>IF(B18="","",COUNTIFS(Complaints!$G$5:$G$84,B18))</f>
        <v>0</v>
      </c>
      <c r="AI18" s="31">
        <f>IF(B18="","",COUNTIFS(Timesheets!$O$5:$O$804,"Late",Timesheets!$F$5:$F$804,B18)+COUNTIFS(Timesheets!$O$5:$O$804,"Absent - no show",Timesheets!$F$5:$F$804,B18))</f>
        <v>0</v>
      </c>
      <c r="AJ18" s="31">
        <f>IF(B18="","",COUNTIF($B$5:B18,"?*"))</f>
        <v>0</v>
      </c>
      <c r="AK18" s="31">
        <f>IF(B18="","",COUNTIFS($AE$5:$AE$44,"&gt;"&amp;AE18)+COUNTIFS($AE$5:AE18,AE18))</f>
        <v>0</v>
      </c>
      <c r="AL18" s="31">
        <f>IF(B18="","",COUNTIFS($Y$5:$Y$44,"&gt;"&amp;Y18)+COUNTIFS($Y$5:Y18,Y18))</f>
        <v>0</v>
      </c>
      <c r="AM18" s="39">
        <f>IF(B18="","",IF(E18="Left","Archived",IF(AND(Z18&lt;&gt;"",Z18&gt;1),"Overloaded - over contracted hours",IF(AH18&gt;=2,"Check - complaints logged",IF(AND(AG18&lt;&gt;"",AG18&lt;3.5),"Check - low client ratings",IF(P18="No","Action - no background check",IF(AND(X18=0,E18="Active"),"Idle - nothing booked","OK")))))))</f>
        <v>0</v>
      </c>
    </row>
    <row r="19" spans="1:39">
      <c r="A19" s="43">
        <f>IF(B19="","",EmployeePrefix&amp;TEXT(ROW()-4,"000"))</f>
        <v>0</v>
      </c>
      <c r="T19" s="21">
        <f>IF(B19="","",IF(J19="",PayRate,J19))</f>
        <v>0</v>
      </c>
      <c r="U19" s="21">
        <f>IF(B19="","",ROUND(T19*IF(D19="Subcontractor",1,1+EmployerOncost),2))</f>
        <v>0</v>
      </c>
      <c r="V19" s="31">
        <f>IF(B19="","",COUNTIFS(Jobs!$R$5:$R$604,B19))</f>
        <v>0</v>
      </c>
      <c r="W19" s="31">
        <f>IF(B19="","",COUNTIFS(Jobs!$R$5:$R$604,B19,Jobs!$P$5:$P$604,"Completed")+COUNTIFS(Jobs!$R$5:$R$604,B19,Jobs!$P$5:$P$604,"Invoiced"))</f>
        <v>0</v>
      </c>
      <c r="X19" s="31">
        <f>IF(B19="","",COUNTIFS(Jobs!$R$5:$R$604,B19,Jobs!$B$5:$B$604,"&gt;="&amp;TodayDate,Jobs!$P$5:$P$604,"&lt;&gt;Cancelled"))</f>
        <v>0</v>
      </c>
      <c r="Y19" s="34">
        <f>IF(B19="","",SUMIFS(Jobs!$AF$5:$AF$604,Jobs!$R$5:$R$604,B19,Jobs!$B$5:$B$604,"&gt;="&amp;WeekStartDate,Jobs!$B$5:$B$604,"&lt;="&amp;WeekStartDate+6,Jobs!$P$5:$P$604,"&lt;&gt;Cancelled"))</f>
        <v>0</v>
      </c>
      <c r="Z19" s="38">
        <f>IF(OR(B19="",K19="",K19=0),"",Y19/K19)</f>
        <v>0</v>
      </c>
      <c r="AA19" s="34">
        <f>IF(B19="","",SUMIFS(Timesheets!$U$5:$U$804,Timesheets!$F$5:$F$804,B19))</f>
        <v>0</v>
      </c>
      <c r="AB19" s="34">
        <f>IF(B19="","",SUMIFS(Timesheets!$U$5:$U$804,Timesheets!$F$5:$F$804,B19,Timesheets!$P$5:$P$804,"Yes"))</f>
        <v>0</v>
      </c>
      <c r="AC19" s="38">
        <f>IF(OR(B19="",AA19=0),"",AB19/AA19)</f>
        <v>0</v>
      </c>
      <c r="AD19" s="21">
        <f>IF(B19="","",SUMIFS(Timesheets!$X$5:$X$804,Timesheets!$F$5:$F$804,B19))</f>
        <v>0</v>
      </c>
      <c r="AE19" s="21">
        <f>IF(B19="","",SUMIFS(Jobs!$AJ$5:$AJ$604,Jobs!$R$5:$R$604,B19,Jobs!$P$5:$P$604,"Completed")+SUMIFS(Jobs!$AJ$5:$AJ$604,Jobs!$R$5:$R$604,B19,Jobs!$P$5:$P$604,"Invoiced"))</f>
        <v>0</v>
      </c>
      <c r="AF19" s="21">
        <f>IF(B19="","",AE19-AD19)</f>
        <v>0</v>
      </c>
      <c r="AG19" s="34">
        <f>IF(B19="","",IFERROR(AVERAGEIFS(Jobs!$AA$5:$AA$604,Jobs!$R$5:$R$604,B19,Jobs!$AA$5:$AA$604,"&gt;0"),""))</f>
        <v>0</v>
      </c>
      <c r="AH19" s="31">
        <f>IF(B19="","",COUNTIFS(Complaints!$G$5:$G$84,B19))</f>
        <v>0</v>
      </c>
      <c r="AI19" s="31">
        <f>IF(B19="","",COUNTIFS(Timesheets!$O$5:$O$804,"Late",Timesheets!$F$5:$F$804,B19)+COUNTIFS(Timesheets!$O$5:$O$804,"Absent - no show",Timesheets!$F$5:$F$804,B19))</f>
        <v>0</v>
      </c>
      <c r="AJ19" s="31">
        <f>IF(B19="","",COUNTIF($B$5:B19,"?*"))</f>
        <v>0</v>
      </c>
      <c r="AK19" s="31">
        <f>IF(B19="","",COUNTIFS($AE$5:$AE$44,"&gt;"&amp;AE19)+COUNTIFS($AE$5:AE19,AE19))</f>
        <v>0</v>
      </c>
      <c r="AL19" s="31">
        <f>IF(B19="","",COUNTIFS($Y$5:$Y$44,"&gt;"&amp;Y19)+COUNTIFS($Y$5:Y19,Y19))</f>
        <v>0</v>
      </c>
      <c r="AM19" s="39">
        <f>IF(B19="","",IF(E19="Left","Archived",IF(AND(Z19&lt;&gt;"",Z19&gt;1),"Overloaded - over contracted hours",IF(AH19&gt;=2,"Check - complaints logged",IF(AND(AG19&lt;&gt;"",AG19&lt;3.5),"Check - low client ratings",IF(P19="No","Action - no background check",IF(AND(X19=0,E19="Active"),"Idle - nothing booked","OK")))))))</f>
        <v>0</v>
      </c>
    </row>
    <row r="20" spans="1:39">
      <c r="A20" s="43">
        <f>IF(B20="","",EmployeePrefix&amp;TEXT(ROW()-4,"000"))</f>
        <v>0</v>
      </c>
      <c r="T20" s="21">
        <f>IF(B20="","",IF(J20="",PayRate,J20))</f>
        <v>0</v>
      </c>
      <c r="U20" s="21">
        <f>IF(B20="","",ROUND(T20*IF(D20="Subcontractor",1,1+EmployerOncost),2))</f>
        <v>0</v>
      </c>
      <c r="V20" s="31">
        <f>IF(B20="","",COUNTIFS(Jobs!$R$5:$R$604,B20))</f>
        <v>0</v>
      </c>
      <c r="W20" s="31">
        <f>IF(B20="","",COUNTIFS(Jobs!$R$5:$R$604,B20,Jobs!$P$5:$P$604,"Completed")+COUNTIFS(Jobs!$R$5:$R$604,B20,Jobs!$P$5:$P$604,"Invoiced"))</f>
        <v>0</v>
      </c>
      <c r="X20" s="31">
        <f>IF(B20="","",COUNTIFS(Jobs!$R$5:$R$604,B20,Jobs!$B$5:$B$604,"&gt;="&amp;TodayDate,Jobs!$P$5:$P$604,"&lt;&gt;Cancelled"))</f>
        <v>0</v>
      </c>
      <c r="Y20" s="34">
        <f>IF(B20="","",SUMIFS(Jobs!$AF$5:$AF$604,Jobs!$R$5:$R$604,B20,Jobs!$B$5:$B$604,"&gt;="&amp;WeekStartDate,Jobs!$B$5:$B$604,"&lt;="&amp;WeekStartDate+6,Jobs!$P$5:$P$604,"&lt;&gt;Cancelled"))</f>
        <v>0</v>
      </c>
      <c r="Z20" s="38">
        <f>IF(OR(B20="",K20="",K20=0),"",Y20/K20)</f>
        <v>0</v>
      </c>
      <c r="AA20" s="34">
        <f>IF(B20="","",SUMIFS(Timesheets!$U$5:$U$804,Timesheets!$F$5:$F$804,B20))</f>
        <v>0</v>
      </c>
      <c r="AB20" s="34">
        <f>IF(B20="","",SUMIFS(Timesheets!$U$5:$U$804,Timesheets!$F$5:$F$804,B20,Timesheets!$P$5:$P$804,"Yes"))</f>
        <v>0</v>
      </c>
      <c r="AC20" s="38">
        <f>IF(OR(B20="",AA20=0),"",AB20/AA20)</f>
        <v>0</v>
      </c>
      <c r="AD20" s="21">
        <f>IF(B20="","",SUMIFS(Timesheets!$X$5:$X$804,Timesheets!$F$5:$F$804,B20))</f>
        <v>0</v>
      </c>
      <c r="AE20" s="21">
        <f>IF(B20="","",SUMIFS(Jobs!$AJ$5:$AJ$604,Jobs!$R$5:$R$604,B20,Jobs!$P$5:$P$604,"Completed")+SUMIFS(Jobs!$AJ$5:$AJ$604,Jobs!$R$5:$R$604,B20,Jobs!$P$5:$P$604,"Invoiced"))</f>
        <v>0</v>
      </c>
      <c r="AF20" s="21">
        <f>IF(B20="","",AE20-AD20)</f>
        <v>0</v>
      </c>
      <c r="AG20" s="34">
        <f>IF(B20="","",IFERROR(AVERAGEIFS(Jobs!$AA$5:$AA$604,Jobs!$R$5:$R$604,B20,Jobs!$AA$5:$AA$604,"&gt;0"),""))</f>
        <v>0</v>
      </c>
      <c r="AH20" s="31">
        <f>IF(B20="","",COUNTIFS(Complaints!$G$5:$G$84,B20))</f>
        <v>0</v>
      </c>
      <c r="AI20" s="31">
        <f>IF(B20="","",COUNTIFS(Timesheets!$O$5:$O$804,"Late",Timesheets!$F$5:$F$804,B20)+COUNTIFS(Timesheets!$O$5:$O$804,"Absent - no show",Timesheets!$F$5:$F$804,B20))</f>
        <v>0</v>
      </c>
      <c r="AJ20" s="31">
        <f>IF(B20="","",COUNTIF($B$5:B20,"?*"))</f>
        <v>0</v>
      </c>
      <c r="AK20" s="31">
        <f>IF(B20="","",COUNTIFS($AE$5:$AE$44,"&gt;"&amp;AE20)+COUNTIFS($AE$5:AE20,AE20))</f>
        <v>0</v>
      </c>
      <c r="AL20" s="31">
        <f>IF(B20="","",COUNTIFS($Y$5:$Y$44,"&gt;"&amp;Y20)+COUNTIFS($Y$5:Y20,Y20))</f>
        <v>0</v>
      </c>
      <c r="AM20" s="39">
        <f>IF(B20="","",IF(E20="Left","Archived",IF(AND(Z20&lt;&gt;"",Z20&gt;1),"Overloaded - over contracted hours",IF(AH20&gt;=2,"Check - complaints logged",IF(AND(AG20&lt;&gt;"",AG20&lt;3.5),"Check - low client ratings",IF(P20="No","Action - no background check",IF(AND(X20=0,E20="Active"),"Idle - nothing booked","OK")))))))</f>
        <v>0</v>
      </c>
    </row>
    <row r="21" spans="1:39">
      <c r="A21" s="43">
        <f>IF(B21="","",EmployeePrefix&amp;TEXT(ROW()-4,"000"))</f>
        <v>0</v>
      </c>
      <c r="T21" s="21">
        <f>IF(B21="","",IF(J21="",PayRate,J21))</f>
        <v>0</v>
      </c>
      <c r="U21" s="21">
        <f>IF(B21="","",ROUND(T21*IF(D21="Subcontractor",1,1+EmployerOncost),2))</f>
        <v>0</v>
      </c>
      <c r="V21" s="31">
        <f>IF(B21="","",COUNTIFS(Jobs!$R$5:$R$604,B21))</f>
        <v>0</v>
      </c>
      <c r="W21" s="31">
        <f>IF(B21="","",COUNTIFS(Jobs!$R$5:$R$604,B21,Jobs!$P$5:$P$604,"Completed")+COUNTIFS(Jobs!$R$5:$R$604,B21,Jobs!$P$5:$P$604,"Invoiced"))</f>
        <v>0</v>
      </c>
      <c r="X21" s="31">
        <f>IF(B21="","",COUNTIFS(Jobs!$R$5:$R$604,B21,Jobs!$B$5:$B$604,"&gt;="&amp;TodayDate,Jobs!$P$5:$P$604,"&lt;&gt;Cancelled"))</f>
        <v>0</v>
      </c>
      <c r="Y21" s="34">
        <f>IF(B21="","",SUMIFS(Jobs!$AF$5:$AF$604,Jobs!$R$5:$R$604,B21,Jobs!$B$5:$B$604,"&gt;="&amp;WeekStartDate,Jobs!$B$5:$B$604,"&lt;="&amp;WeekStartDate+6,Jobs!$P$5:$P$604,"&lt;&gt;Cancelled"))</f>
        <v>0</v>
      </c>
      <c r="Z21" s="38">
        <f>IF(OR(B21="",K21="",K21=0),"",Y21/K21)</f>
        <v>0</v>
      </c>
      <c r="AA21" s="34">
        <f>IF(B21="","",SUMIFS(Timesheets!$U$5:$U$804,Timesheets!$F$5:$F$804,B21))</f>
        <v>0</v>
      </c>
      <c r="AB21" s="34">
        <f>IF(B21="","",SUMIFS(Timesheets!$U$5:$U$804,Timesheets!$F$5:$F$804,B21,Timesheets!$P$5:$P$804,"Yes"))</f>
        <v>0</v>
      </c>
      <c r="AC21" s="38">
        <f>IF(OR(B21="",AA21=0),"",AB21/AA21)</f>
        <v>0</v>
      </c>
      <c r="AD21" s="21">
        <f>IF(B21="","",SUMIFS(Timesheets!$X$5:$X$804,Timesheets!$F$5:$F$804,B21))</f>
        <v>0</v>
      </c>
      <c r="AE21" s="21">
        <f>IF(B21="","",SUMIFS(Jobs!$AJ$5:$AJ$604,Jobs!$R$5:$R$604,B21,Jobs!$P$5:$P$604,"Completed")+SUMIFS(Jobs!$AJ$5:$AJ$604,Jobs!$R$5:$R$604,B21,Jobs!$P$5:$P$604,"Invoiced"))</f>
        <v>0</v>
      </c>
      <c r="AF21" s="21">
        <f>IF(B21="","",AE21-AD21)</f>
        <v>0</v>
      </c>
      <c r="AG21" s="34">
        <f>IF(B21="","",IFERROR(AVERAGEIFS(Jobs!$AA$5:$AA$604,Jobs!$R$5:$R$604,B21,Jobs!$AA$5:$AA$604,"&gt;0"),""))</f>
        <v>0</v>
      </c>
      <c r="AH21" s="31">
        <f>IF(B21="","",COUNTIFS(Complaints!$G$5:$G$84,B21))</f>
        <v>0</v>
      </c>
      <c r="AI21" s="31">
        <f>IF(B21="","",COUNTIFS(Timesheets!$O$5:$O$804,"Late",Timesheets!$F$5:$F$804,B21)+COUNTIFS(Timesheets!$O$5:$O$804,"Absent - no show",Timesheets!$F$5:$F$804,B21))</f>
        <v>0</v>
      </c>
      <c r="AJ21" s="31">
        <f>IF(B21="","",COUNTIF($B$5:B21,"?*"))</f>
        <v>0</v>
      </c>
      <c r="AK21" s="31">
        <f>IF(B21="","",COUNTIFS($AE$5:$AE$44,"&gt;"&amp;AE21)+COUNTIFS($AE$5:AE21,AE21))</f>
        <v>0</v>
      </c>
      <c r="AL21" s="31">
        <f>IF(B21="","",COUNTIFS($Y$5:$Y$44,"&gt;"&amp;Y21)+COUNTIFS($Y$5:Y21,Y21))</f>
        <v>0</v>
      </c>
      <c r="AM21" s="39">
        <f>IF(B21="","",IF(E21="Left","Archived",IF(AND(Z21&lt;&gt;"",Z21&gt;1),"Overloaded - over contracted hours",IF(AH21&gt;=2,"Check - complaints logged",IF(AND(AG21&lt;&gt;"",AG21&lt;3.5),"Check - low client ratings",IF(P21="No","Action - no background check",IF(AND(X21=0,E21="Active"),"Idle - nothing booked","OK")))))))</f>
        <v>0</v>
      </c>
    </row>
    <row r="22" spans="1:39">
      <c r="A22" s="43">
        <f>IF(B22="","",EmployeePrefix&amp;TEXT(ROW()-4,"000"))</f>
        <v>0</v>
      </c>
      <c r="T22" s="21">
        <f>IF(B22="","",IF(J22="",PayRate,J22))</f>
        <v>0</v>
      </c>
      <c r="U22" s="21">
        <f>IF(B22="","",ROUND(T22*IF(D22="Subcontractor",1,1+EmployerOncost),2))</f>
        <v>0</v>
      </c>
      <c r="V22" s="31">
        <f>IF(B22="","",COUNTIFS(Jobs!$R$5:$R$604,B22))</f>
        <v>0</v>
      </c>
      <c r="W22" s="31">
        <f>IF(B22="","",COUNTIFS(Jobs!$R$5:$R$604,B22,Jobs!$P$5:$P$604,"Completed")+COUNTIFS(Jobs!$R$5:$R$604,B22,Jobs!$P$5:$P$604,"Invoiced"))</f>
        <v>0</v>
      </c>
      <c r="X22" s="31">
        <f>IF(B22="","",COUNTIFS(Jobs!$R$5:$R$604,B22,Jobs!$B$5:$B$604,"&gt;="&amp;TodayDate,Jobs!$P$5:$P$604,"&lt;&gt;Cancelled"))</f>
        <v>0</v>
      </c>
      <c r="Y22" s="34">
        <f>IF(B22="","",SUMIFS(Jobs!$AF$5:$AF$604,Jobs!$R$5:$R$604,B22,Jobs!$B$5:$B$604,"&gt;="&amp;WeekStartDate,Jobs!$B$5:$B$604,"&lt;="&amp;WeekStartDate+6,Jobs!$P$5:$P$604,"&lt;&gt;Cancelled"))</f>
        <v>0</v>
      </c>
      <c r="Z22" s="38">
        <f>IF(OR(B22="",K22="",K22=0),"",Y22/K22)</f>
        <v>0</v>
      </c>
      <c r="AA22" s="34">
        <f>IF(B22="","",SUMIFS(Timesheets!$U$5:$U$804,Timesheets!$F$5:$F$804,B22))</f>
        <v>0</v>
      </c>
      <c r="AB22" s="34">
        <f>IF(B22="","",SUMIFS(Timesheets!$U$5:$U$804,Timesheets!$F$5:$F$804,B22,Timesheets!$P$5:$P$804,"Yes"))</f>
        <v>0</v>
      </c>
      <c r="AC22" s="38">
        <f>IF(OR(B22="",AA22=0),"",AB22/AA22)</f>
        <v>0</v>
      </c>
      <c r="AD22" s="21">
        <f>IF(B22="","",SUMIFS(Timesheets!$X$5:$X$804,Timesheets!$F$5:$F$804,B22))</f>
        <v>0</v>
      </c>
      <c r="AE22" s="21">
        <f>IF(B22="","",SUMIFS(Jobs!$AJ$5:$AJ$604,Jobs!$R$5:$R$604,B22,Jobs!$P$5:$P$604,"Completed")+SUMIFS(Jobs!$AJ$5:$AJ$604,Jobs!$R$5:$R$604,B22,Jobs!$P$5:$P$604,"Invoiced"))</f>
        <v>0</v>
      </c>
      <c r="AF22" s="21">
        <f>IF(B22="","",AE22-AD22)</f>
        <v>0</v>
      </c>
      <c r="AG22" s="34">
        <f>IF(B22="","",IFERROR(AVERAGEIFS(Jobs!$AA$5:$AA$604,Jobs!$R$5:$R$604,B22,Jobs!$AA$5:$AA$604,"&gt;0"),""))</f>
        <v>0</v>
      </c>
      <c r="AH22" s="31">
        <f>IF(B22="","",COUNTIFS(Complaints!$G$5:$G$84,B22))</f>
        <v>0</v>
      </c>
      <c r="AI22" s="31">
        <f>IF(B22="","",COUNTIFS(Timesheets!$O$5:$O$804,"Late",Timesheets!$F$5:$F$804,B22)+COUNTIFS(Timesheets!$O$5:$O$804,"Absent - no show",Timesheets!$F$5:$F$804,B22))</f>
        <v>0</v>
      </c>
      <c r="AJ22" s="31">
        <f>IF(B22="","",COUNTIF($B$5:B22,"?*"))</f>
        <v>0</v>
      </c>
      <c r="AK22" s="31">
        <f>IF(B22="","",COUNTIFS($AE$5:$AE$44,"&gt;"&amp;AE22)+COUNTIFS($AE$5:AE22,AE22))</f>
        <v>0</v>
      </c>
      <c r="AL22" s="31">
        <f>IF(B22="","",COUNTIFS($Y$5:$Y$44,"&gt;"&amp;Y22)+COUNTIFS($Y$5:Y22,Y22))</f>
        <v>0</v>
      </c>
      <c r="AM22" s="39">
        <f>IF(B22="","",IF(E22="Left","Archived",IF(AND(Z22&lt;&gt;"",Z22&gt;1),"Overloaded - over contracted hours",IF(AH22&gt;=2,"Check - complaints logged",IF(AND(AG22&lt;&gt;"",AG22&lt;3.5),"Check - low client ratings",IF(P22="No","Action - no background check",IF(AND(X22=0,E22="Active"),"Idle - nothing booked","OK")))))))</f>
        <v>0</v>
      </c>
    </row>
    <row r="23" spans="1:39">
      <c r="A23" s="43">
        <f>IF(B23="","",EmployeePrefix&amp;TEXT(ROW()-4,"000"))</f>
        <v>0</v>
      </c>
      <c r="T23" s="21">
        <f>IF(B23="","",IF(J23="",PayRate,J23))</f>
        <v>0</v>
      </c>
      <c r="U23" s="21">
        <f>IF(B23="","",ROUND(T23*IF(D23="Subcontractor",1,1+EmployerOncost),2))</f>
        <v>0</v>
      </c>
      <c r="V23" s="31">
        <f>IF(B23="","",COUNTIFS(Jobs!$R$5:$R$604,B23))</f>
        <v>0</v>
      </c>
      <c r="W23" s="31">
        <f>IF(B23="","",COUNTIFS(Jobs!$R$5:$R$604,B23,Jobs!$P$5:$P$604,"Completed")+COUNTIFS(Jobs!$R$5:$R$604,B23,Jobs!$P$5:$P$604,"Invoiced"))</f>
        <v>0</v>
      </c>
      <c r="X23" s="31">
        <f>IF(B23="","",COUNTIFS(Jobs!$R$5:$R$604,B23,Jobs!$B$5:$B$604,"&gt;="&amp;TodayDate,Jobs!$P$5:$P$604,"&lt;&gt;Cancelled"))</f>
        <v>0</v>
      </c>
      <c r="Y23" s="34">
        <f>IF(B23="","",SUMIFS(Jobs!$AF$5:$AF$604,Jobs!$R$5:$R$604,B23,Jobs!$B$5:$B$604,"&gt;="&amp;WeekStartDate,Jobs!$B$5:$B$604,"&lt;="&amp;WeekStartDate+6,Jobs!$P$5:$P$604,"&lt;&gt;Cancelled"))</f>
        <v>0</v>
      </c>
      <c r="Z23" s="38">
        <f>IF(OR(B23="",K23="",K23=0),"",Y23/K23)</f>
        <v>0</v>
      </c>
      <c r="AA23" s="34">
        <f>IF(B23="","",SUMIFS(Timesheets!$U$5:$U$804,Timesheets!$F$5:$F$804,B23))</f>
        <v>0</v>
      </c>
      <c r="AB23" s="34">
        <f>IF(B23="","",SUMIFS(Timesheets!$U$5:$U$804,Timesheets!$F$5:$F$804,B23,Timesheets!$P$5:$P$804,"Yes"))</f>
        <v>0</v>
      </c>
      <c r="AC23" s="38">
        <f>IF(OR(B23="",AA23=0),"",AB23/AA23)</f>
        <v>0</v>
      </c>
      <c r="AD23" s="21">
        <f>IF(B23="","",SUMIFS(Timesheets!$X$5:$X$804,Timesheets!$F$5:$F$804,B23))</f>
        <v>0</v>
      </c>
      <c r="AE23" s="21">
        <f>IF(B23="","",SUMIFS(Jobs!$AJ$5:$AJ$604,Jobs!$R$5:$R$604,B23,Jobs!$P$5:$P$604,"Completed")+SUMIFS(Jobs!$AJ$5:$AJ$604,Jobs!$R$5:$R$604,B23,Jobs!$P$5:$P$604,"Invoiced"))</f>
        <v>0</v>
      </c>
      <c r="AF23" s="21">
        <f>IF(B23="","",AE23-AD23)</f>
        <v>0</v>
      </c>
      <c r="AG23" s="34">
        <f>IF(B23="","",IFERROR(AVERAGEIFS(Jobs!$AA$5:$AA$604,Jobs!$R$5:$R$604,B23,Jobs!$AA$5:$AA$604,"&gt;0"),""))</f>
        <v>0</v>
      </c>
      <c r="AH23" s="31">
        <f>IF(B23="","",COUNTIFS(Complaints!$G$5:$G$84,B23))</f>
        <v>0</v>
      </c>
      <c r="AI23" s="31">
        <f>IF(B23="","",COUNTIFS(Timesheets!$O$5:$O$804,"Late",Timesheets!$F$5:$F$804,B23)+COUNTIFS(Timesheets!$O$5:$O$804,"Absent - no show",Timesheets!$F$5:$F$804,B23))</f>
        <v>0</v>
      </c>
      <c r="AJ23" s="31">
        <f>IF(B23="","",COUNTIF($B$5:B23,"?*"))</f>
        <v>0</v>
      </c>
      <c r="AK23" s="31">
        <f>IF(B23="","",COUNTIFS($AE$5:$AE$44,"&gt;"&amp;AE23)+COUNTIFS($AE$5:AE23,AE23))</f>
        <v>0</v>
      </c>
      <c r="AL23" s="31">
        <f>IF(B23="","",COUNTIFS($Y$5:$Y$44,"&gt;"&amp;Y23)+COUNTIFS($Y$5:Y23,Y23))</f>
        <v>0</v>
      </c>
      <c r="AM23" s="39">
        <f>IF(B23="","",IF(E23="Left","Archived",IF(AND(Z23&lt;&gt;"",Z23&gt;1),"Overloaded - over contracted hours",IF(AH23&gt;=2,"Check - complaints logged",IF(AND(AG23&lt;&gt;"",AG23&lt;3.5),"Check - low client ratings",IF(P23="No","Action - no background check",IF(AND(X23=0,E23="Active"),"Idle - nothing booked","OK")))))))</f>
        <v>0</v>
      </c>
    </row>
    <row r="24" spans="1:39">
      <c r="A24" s="43">
        <f>IF(B24="","",EmployeePrefix&amp;TEXT(ROW()-4,"000"))</f>
        <v>0</v>
      </c>
      <c r="T24" s="21">
        <f>IF(B24="","",IF(J24="",PayRate,J24))</f>
        <v>0</v>
      </c>
      <c r="U24" s="21">
        <f>IF(B24="","",ROUND(T24*IF(D24="Subcontractor",1,1+EmployerOncost),2))</f>
        <v>0</v>
      </c>
      <c r="V24" s="31">
        <f>IF(B24="","",COUNTIFS(Jobs!$R$5:$R$604,B24))</f>
        <v>0</v>
      </c>
      <c r="W24" s="31">
        <f>IF(B24="","",COUNTIFS(Jobs!$R$5:$R$604,B24,Jobs!$P$5:$P$604,"Completed")+COUNTIFS(Jobs!$R$5:$R$604,B24,Jobs!$P$5:$P$604,"Invoiced"))</f>
        <v>0</v>
      </c>
      <c r="X24" s="31">
        <f>IF(B24="","",COUNTIFS(Jobs!$R$5:$R$604,B24,Jobs!$B$5:$B$604,"&gt;="&amp;TodayDate,Jobs!$P$5:$P$604,"&lt;&gt;Cancelled"))</f>
        <v>0</v>
      </c>
      <c r="Y24" s="34">
        <f>IF(B24="","",SUMIFS(Jobs!$AF$5:$AF$604,Jobs!$R$5:$R$604,B24,Jobs!$B$5:$B$604,"&gt;="&amp;WeekStartDate,Jobs!$B$5:$B$604,"&lt;="&amp;WeekStartDate+6,Jobs!$P$5:$P$604,"&lt;&gt;Cancelled"))</f>
        <v>0</v>
      </c>
      <c r="Z24" s="38">
        <f>IF(OR(B24="",K24="",K24=0),"",Y24/K24)</f>
        <v>0</v>
      </c>
      <c r="AA24" s="34">
        <f>IF(B24="","",SUMIFS(Timesheets!$U$5:$U$804,Timesheets!$F$5:$F$804,B24))</f>
        <v>0</v>
      </c>
      <c r="AB24" s="34">
        <f>IF(B24="","",SUMIFS(Timesheets!$U$5:$U$804,Timesheets!$F$5:$F$804,B24,Timesheets!$P$5:$P$804,"Yes"))</f>
        <v>0</v>
      </c>
      <c r="AC24" s="38">
        <f>IF(OR(B24="",AA24=0),"",AB24/AA24)</f>
        <v>0</v>
      </c>
      <c r="AD24" s="21">
        <f>IF(B24="","",SUMIFS(Timesheets!$X$5:$X$804,Timesheets!$F$5:$F$804,B24))</f>
        <v>0</v>
      </c>
      <c r="AE24" s="21">
        <f>IF(B24="","",SUMIFS(Jobs!$AJ$5:$AJ$604,Jobs!$R$5:$R$604,B24,Jobs!$P$5:$P$604,"Completed")+SUMIFS(Jobs!$AJ$5:$AJ$604,Jobs!$R$5:$R$604,B24,Jobs!$P$5:$P$604,"Invoiced"))</f>
        <v>0</v>
      </c>
      <c r="AF24" s="21">
        <f>IF(B24="","",AE24-AD24)</f>
        <v>0</v>
      </c>
      <c r="AG24" s="34">
        <f>IF(B24="","",IFERROR(AVERAGEIFS(Jobs!$AA$5:$AA$604,Jobs!$R$5:$R$604,B24,Jobs!$AA$5:$AA$604,"&gt;0"),""))</f>
        <v>0</v>
      </c>
      <c r="AH24" s="31">
        <f>IF(B24="","",COUNTIFS(Complaints!$G$5:$G$84,B24))</f>
        <v>0</v>
      </c>
      <c r="AI24" s="31">
        <f>IF(B24="","",COUNTIFS(Timesheets!$O$5:$O$804,"Late",Timesheets!$F$5:$F$804,B24)+COUNTIFS(Timesheets!$O$5:$O$804,"Absent - no show",Timesheets!$F$5:$F$804,B24))</f>
        <v>0</v>
      </c>
      <c r="AJ24" s="31">
        <f>IF(B24="","",COUNTIF($B$5:B24,"?*"))</f>
        <v>0</v>
      </c>
      <c r="AK24" s="31">
        <f>IF(B24="","",COUNTIFS($AE$5:$AE$44,"&gt;"&amp;AE24)+COUNTIFS($AE$5:AE24,AE24))</f>
        <v>0</v>
      </c>
      <c r="AL24" s="31">
        <f>IF(B24="","",COUNTIFS($Y$5:$Y$44,"&gt;"&amp;Y24)+COUNTIFS($Y$5:Y24,Y24))</f>
        <v>0</v>
      </c>
      <c r="AM24" s="39">
        <f>IF(B24="","",IF(E24="Left","Archived",IF(AND(Z24&lt;&gt;"",Z24&gt;1),"Overloaded - over contracted hours",IF(AH24&gt;=2,"Check - complaints logged",IF(AND(AG24&lt;&gt;"",AG24&lt;3.5),"Check - low client ratings",IF(P24="No","Action - no background check",IF(AND(X24=0,E24="Active"),"Idle - nothing booked","OK")))))))</f>
        <v>0</v>
      </c>
    </row>
    <row r="25" spans="1:39">
      <c r="A25" s="43">
        <f>IF(B25="","",EmployeePrefix&amp;TEXT(ROW()-4,"000"))</f>
        <v>0</v>
      </c>
      <c r="T25" s="21">
        <f>IF(B25="","",IF(J25="",PayRate,J25))</f>
        <v>0</v>
      </c>
      <c r="U25" s="21">
        <f>IF(B25="","",ROUND(T25*IF(D25="Subcontractor",1,1+EmployerOncost),2))</f>
        <v>0</v>
      </c>
      <c r="V25" s="31">
        <f>IF(B25="","",COUNTIFS(Jobs!$R$5:$R$604,B25))</f>
        <v>0</v>
      </c>
      <c r="W25" s="31">
        <f>IF(B25="","",COUNTIFS(Jobs!$R$5:$R$604,B25,Jobs!$P$5:$P$604,"Completed")+COUNTIFS(Jobs!$R$5:$R$604,B25,Jobs!$P$5:$P$604,"Invoiced"))</f>
        <v>0</v>
      </c>
      <c r="X25" s="31">
        <f>IF(B25="","",COUNTIFS(Jobs!$R$5:$R$604,B25,Jobs!$B$5:$B$604,"&gt;="&amp;TodayDate,Jobs!$P$5:$P$604,"&lt;&gt;Cancelled"))</f>
        <v>0</v>
      </c>
      <c r="Y25" s="34">
        <f>IF(B25="","",SUMIFS(Jobs!$AF$5:$AF$604,Jobs!$R$5:$R$604,B25,Jobs!$B$5:$B$604,"&gt;="&amp;WeekStartDate,Jobs!$B$5:$B$604,"&lt;="&amp;WeekStartDate+6,Jobs!$P$5:$P$604,"&lt;&gt;Cancelled"))</f>
        <v>0</v>
      </c>
      <c r="Z25" s="38">
        <f>IF(OR(B25="",K25="",K25=0),"",Y25/K25)</f>
        <v>0</v>
      </c>
      <c r="AA25" s="34">
        <f>IF(B25="","",SUMIFS(Timesheets!$U$5:$U$804,Timesheets!$F$5:$F$804,B25))</f>
        <v>0</v>
      </c>
      <c r="AB25" s="34">
        <f>IF(B25="","",SUMIFS(Timesheets!$U$5:$U$804,Timesheets!$F$5:$F$804,B25,Timesheets!$P$5:$P$804,"Yes"))</f>
        <v>0</v>
      </c>
      <c r="AC25" s="38">
        <f>IF(OR(B25="",AA25=0),"",AB25/AA25)</f>
        <v>0</v>
      </c>
      <c r="AD25" s="21">
        <f>IF(B25="","",SUMIFS(Timesheets!$X$5:$X$804,Timesheets!$F$5:$F$804,B25))</f>
        <v>0</v>
      </c>
      <c r="AE25" s="21">
        <f>IF(B25="","",SUMIFS(Jobs!$AJ$5:$AJ$604,Jobs!$R$5:$R$604,B25,Jobs!$P$5:$P$604,"Completed")+SUMIFS(Jobs!$AJ$5:$AJ$604,Jobs!$R$5:$R$604,B25,Jobs!$P$5:$P$604,"Invoiced"))</f>
        <v>0</v>
      </c>
      <c r="AF25" s="21">
        <f>IF(B25="","",AE25-AD25)</f>
        <v>0</v>
      </c>
      <c r="AG25" s="34">
        <f>IF(B25="","",IFERROR(AVERAGEIFS(Jobs!$AA$5:$AA$604,Jobs!$R$5:$R$604,B25,Jobs!$AA$5:$AA$604,"&gt;0"),""))</f>
        <v>0</v>
      </c>
      <c r="AH25" s="31">
        <f>IF(B25="","",COUNTIFS(Complaints!$G$5:$G$84,B25))</f>
        <v>0</v>
      </c>
      <c r="AI25" s="31">
        <f>IF(B25="","",COUNTIFS(Timesheets!$O$5:$O$804,"Late",Timesheets!$F$5:$F$804,B25)+COUNTIFS(Timesheets!$O$5:$O$804,"Absent - no show",Timesheets!$F$5:$F$804,B25))</f>
        <v>0</v>
      </c>
      <c r="AJ25" s="31">
        <f>IF(B25="","",COUNTIF($B$5:B25,"?*"))</f>
        <v>0</v>
      </c>
      <c r="AK25" s="31">
        <f>IF(B25="","",COUNTIFS($AE$5:$AE$44,"&gt;"&amp;AE25)+COUNTIFS($AE$5:AE25,AE25))</f>
        <v>0</v>
      </c>
      <c r="AL25" s="31">
        <f>IF(B25="","",COUNTIFS($Y$5:$Y$44,"&gt;"&amp;Y25)+COUNTIFS($Y$5:Y25,Y25))</f>
        <v>0</v>
      </c>
      <c r="AM25" s="39">
        <f>IF(B25="","",IF(E25="Left","Archived",IF(AND(Z25&lt;&gt;"",Z25&gt;1),"Overloaded - over contracted hours",IF(AH25&gt;=2,"Check - complaints logged",IF(AND(AG25&lt;&gt;"",AG25&lt;3.5),"Check - low client ratings",IF(P25="No","Action - no background check",IF(AND(X25=0,E25="Active"),"Idle - nothing booked","OK")))))))</f>
        <v>0</v>
      </c>
    </row>
    <row r="26" spans="1:39">
      <c r="A26" s="43">
        <f>IF(B26="","",EmployeePrefix&amp;TEXT(ROW()-4,"000"))</f>
        <v>0</v>
      </c>
      <c r="T26" s="21">
        <f>IF(B26="","",IF(J26="",PayRate,J26))</f>
        <v>0</v>
      </c>
      <c r="U26" s="21">
        <f>IF(B26="","",ROUND(T26*IF(D26="Subcontractor",1,1+EmployerOncost),2))</f>
        <v>0</v>
      </c>
      <c r="V26" s="31">
        <f>IF(B26="","",COUNTIFS(Jobs!$R$5:$R$604,B26))</f>
        <v>0</v>
      </c>
      <c r="W26" s="31">
        <f>IF(B26="","",COUNTIFS(Jobs!$R$5:$R$604,B26,Jobs!$P$5:$P$604,"Completed")+COUNTIFS(Jobs!$R$5:$R$604,B26,Jobs!$P$5:$P$604,"Invoiced"))</f>
        <v>0</v>
      </c>
      <c r="X26" s="31">
        <f>IF(B26="","",COUNTIFS(Jobs!$R$5:$R$604,B26,Jobs!$B$5:$B$604,"&gt;="&amp;TodayDate,Jobs!$P$5:$P$604,"&lt;&gt;Cancelled"))</f>
        <v>0</v>
      </c>
      <c r="Y26" s="34">
        <f>IF(B26="","",SUMIFS(Jobs!$AF$5:$AF$604,Jobs!$R$5:$R$604,B26,Jobs!$B$5:$B$604,"&gt;="&amp;WeekStartDate,Jobs!$B$5:$B$604,"&lt;="&amp;WeekStartDate+6,Jobs!$P$5:$P$604,"&lt;&gt;Cancelled"))</f>
        <v>0</v>
      </c>
      <c r="Z26" s="38">
        <f>IF(OR(B26="",K26="",K26=0),"",Y26/K26)</f>
        <v>0</v>
      </c>
      <c r="AA26" s="34">
        <f>IF(B26="","",SUMIFS(Timesheets!$U$5:$U$804,Timesheets!$F$5:$F$804,B26))</f>
        <v>0</v>
      </c>
      <c r="AB26" s="34">
        <f>IF(B26="","",SUMIFS(Timesheets!$U$5:$U$804,Timesheets!$F$5:$F$804,B26,Timesheets!$P$5:$P$804,"Yes"))</f>
        <v>0</v>
      </c>
      <c r="AC26" s="38">
        <f>IF(OR(B26="",AA26=0),"",AB26/AA26)</f>
        <v>0</v>
      </c>
      <c r="AD26" s="21">
        <f>IF(B26="","",SUMIFS(Timesheets!$X$5:$X$804,Timesheets!$F$5:$F$804,B26))</f>
        <v>0</v>
      </c>
      <c r="AE26" s="21">
        <f>IF(B26="","",SUMIFS(Jobs!$AJ$5:$AJ$604,Jobs!$R$5:$R$604,B26,Jobs!$P$5:$P$604,"Completed")+SUMIFS(Jobs!$AJ$5:$AJ$604,Jobs!$R$5:$R$604,B26,Jobs!$P$5:$P$604,"Invoiced"))</f>
        <v>0</v>
      </c>
      <c r="AF26" s="21">
        <f>IF(B26="","",AE26-AD26)</f>
        <v>0</v>
      </c>
      <c r="AG26" s="34">
        <f>IF(B26="","",IFERROR(AVERAGEIFS(Jobs!$AA$5:$AA$604,Jobs!$R$5:$R$604,B26,Jobs!$AA$5:$AA$604,"&gt;0"),""))</f>
        <v>0</v>
      </c>
      <c r="AH26" s="31">
        <f>IF(B26="","",COUNTIFS(Complaints!$G$5:$G$84,B26))</f>
        <v>0</v>
      </c>
      <c r="AI26" s="31">
        <f>IF(B26="","",COUNTIFS(Timesheets!$O$5:$O$804,"Late",Timesheets!$F$5:$F$804,B26)+COUNTIFS(Timesheets!$O$5:$O$804,"Absent - no show",Timesheets!$F$5:$F$804,B26))</f>
        <v>0</v>
      </c>
      <c r="AJ26" s="31">
        <f>IF(B26="","",COUNTIF($B$5:B26,"?*"))</f>
        <v>0</v>
      </c>
      <c r="AK26" s="31">
        <f>IF(B26="","",COUNTIFS($AE$5:$AE$44,"&gt;"&amp;AE26)+COUNTIFS($AE$5:AE26,AE26))</f>
        <v>0</v>
      </c>
      <c r="AL26" s="31">
        <f>IF(B26="","",COUNTIFS($Y$5:$Y$44,"&gt;"&amp;Y26)+COUNTIFS($Y$5:Y26,Y26))</f>
        <v>0</v>
      </c>
      <c r="AM26" s="39">
        <f>IF(B26="","",IF(E26="Left","Archived",IF(AND(Z26&lt;&gt;"",Z26&gt;1),"Overloaded - over contracted hours",IF(AH26&gt;=2,"Check - complaints logged",IF(AND(AG26&lt;&gt;"",AG26&lt;3.5),"Check - low client ratings",IF(P26="No","Action - no background check",IF(AND(X26=0,E26="Active"),"Idle - nothing booked","OK")))))))</f>
        <v>0</v>
      </c>
    </row>
    <row r="27" spans="1:39">
      <c r="A27" s="43">
        <f>IF(B27="","",EmployeePrefix&amp;TEXT(ROW()-4,"000"))</f>
        <v>0</v>
      </c>
      <c r="T27" s="21">
        <f>IF(B27="","",IF(J27="",PayRate,J27))</f>
        <v>0</v>
      </c>
      <c r="U27" s="21">
        <f>IF(B27="","",ROUND(T27*IF(D27="Subcontractor",1,1+EmployerOncost),2))</f>
        <v>0</v>
      </c>
      <c r="V27" s="31">
        <f>IF(B27="","",COUNTIFS(Jobs!$R$5:$R$604,B27))</f>
        <v>0</v>
      </c>
      <c r="W27" s="31">
        <f>IF(B27="","",COUNTIFS(Jobs!$R$5:$R$604,B27,Jobs!$P$5:$P$604,"Completed")+COUNTIFS(Jobs!$R$5:$R$604,B27,Jobs!$P$5:$P$604,"Invoiced"))</f>
        <v>0</v>
      </c>
      <c r="X27" s="31">
        <f>IF(B27="","",COUNTIFS(Jobs!$R$5:$R$604,B27,Jobs!$B$5:$B$604,"&gt;="&amp;TodayDate,Jobs!$P$5:$P$604,"&lt;&gt;Cancelled"))</f>
        <v>0</v>
      </c>
      <c r="Y27" s="34">
        <f>IF(B27="","",SUMIFS(Jobs!$AF$5:$AF$604,Jobs!$R$5:$R$604,B27,Jobs!$B$5:$B$604,"&gt;="&amp;WeekStartDate,Jobs!$B$5:$B$604,"&lt;="&amp;WeekStartDate+6,Jobs!$P$5:$P$604,"&lt;&gt;Cancelled"))</f>
        <v>0</v>
      </c>
      <c r="Z27" s="38">
        <f>IF(OR(B27="",K27="",K27=0),"",Y27/K27)</f>
        <v>0</v>
      </c>
      <c r="AA27" s="34">
        <f>IF(B27="","",SUMIFS(Timesheets!$U$5:$U$804,Timesheets!$F$5:$F$804,B27))</f>
        <v>0</v>
      </c>
      <c r="AB27" s="34">
        <f>IF(B27="","",SUMIFS(Timesheets!$U$5:$U$804,Timesheets!$F$5:$F$804,B27,Timesheets!$P$5:$P$804,"Yes"))</f>
        <v>0</v>
      </c>
      <c r="AC27" s="38">
        <f>IF(OR(B27="",AA27=0),"",AB27/AA27)</f>
        <v>0</v>
      </c>
      <c r="AD27" s="21">
        <f>IF(B27="","",SUMIFS(Timesheets!$X$5:$X$804,Timesheets!$F$5:$F$804,B27))</f>
        <v>0</v>
      </c>
      <c r="AE27" s="21">
        <f>IF(B27="","",SUMIFS(Jobs!$AJ$5:$AJ$604,Jobs!$R$5:$R$604,B27,Jobs!$P$5:$P$604,"Completed")+SUMIFS(Jobs!$AJ$5:$AJ$604,Jobs!$R$5:$R$604,B27,Jobs!$P$5:$P$604,"Invoiced"))</f>
        <v>0</v>
      </c>
      <c r="AF27" s="21">
        <f>IF(B27="","",AE27-AD27)</f>
        <v>0</v>
      </c>
      <c r="AG27" s="34">
        <f>IF(B27="","",IFERROR(AVERAGEIFS(Jobs!$AA$5:$AA$604,Jobs!$R$5:$R$604,B27,Jobs!$AA$5:$AA$604,"&gt;0"),""))</f>
        <v>0</v>
      </c>
      <c r="AH27" s="31">
        <f>IF(B27="","",COUNTIFS(Complaints!$G$5:$G$84,B27))</f>
        <v>0</v>
      </c>
      <c r="AI27" s="31">
        <f>IF(B27="","",COUNTIFS(Timesheets!$O$5:$O$804,"Late",Timesheets!$F$5:$F$804,B27)+COUNTIFS(Timesheets!$O$5:$O$804,"Absent - no show",Timesheets!$F$5:$F$804,B27))</f>
        <v>0</v>
      </c>
      <c r="AJ27" s="31">
        <f>IF(B27="","",COUNTIF($B$5:B27,"?*"))</f>
        <v>0</v>
      </c>
      <c r="AK27" s="31">
        <f>IF(B27="","",COUNTIFS($AE$5:$AE$44,"&gt;"&amp;AE27)+COUNTIFS($AE$5:AE27,AE27))</f>
        <v>0</v>
      </c>
      <c r="AL27" s="31">
        <f>IF(B27="","",COUNTIFS($Y$5:$Y$44,"&gt;"&amp;Y27)+COUNTIFS($Y$5:Y27,Y27))</f>
        <v>0</v>
      </c>
      <c r="AM27" s="39">
        <f>IF(B27="","",IF(E27="Left","Archived",IF(AND(Z27&lt;&gt;"",Z27&gt;1),"Overloaded - over contracted hours",IF(AH27&gt;=2,"Check - complaints logged",IF(AND(AG27&lt;&gt;"",AG27&lt;3.5),"Check - low client ratings",IF(P27="No","Action - no background check",IF(AND(X27=0,E27="Active"),"Idle - nothing booked","OK")))))))</f>
        <v>0</v>
      </c>
    </row>
    <row r="28" spans="1:39">
      <c r="A28" s="43">
        <f>IF(B28="","",EmployeePrefix&amp;TEXT(ROW()-4,"000"))</f>
        <v>0</v>
      </c>
      <c r="T28" s="21">
        <f>IF(B28="","",IF(J28="",PayRate,J28))</f>
        <v>0</v>
      </c>
      <c r="U28" s="21">
        <f>IF(B28="","",ROUND(T28*IF(D28="Subcontractor",1,1+EmployerOncost),2))</f>
        <v>0</v>
      </c>
      <c r="V28" s="31">
        <f>IF(B28="","",COUNTIFS(Jobs!$R$5:$R$604,B28))</f>
        <v>0</v>
      </c>
      <c r="W28" s="31">
        <f>IF(B28="","",COUNTIFS(Jobs!$R$5:$R$604,B28,Jobs!$P$5:$P$604,"Completed")+COUNTIFS(Jobs!$R$5:$R$604,B28,Jobs!$P$5:$P$604,"Invoiced"))</f>
        <v>0</v>
      </c>
      <c r="X28" s="31">
        <f>IF(B28="","",COUNTIFS(Jobs!$R$5:$R$604,B28,Jobs!$B$5:$B$604,"&gt;="&amp;TodayDate,Jobs!$P$5:$P$604,"&lt;&gt;Cancelled"))</f>
        <v>0</v>
      </c>
      <c r="Y28" s="34">
        <f>IF(B28="","",SUMIFS(Jobs!$AF$5:$AF$604,Jobs!$R$5:$R$604,B28,Jobs!$B$5:$B$604,"&gt;="&amp;WeekStartDate,Jobs!$B$5:$B$604,"&lt;="&amp;WeekStartDate+6,Jobs!$P$5:$P$604,"&lt;&gt;Cancelled"))</f>
        <v>0</v>
      </c>
      <c r="Z28" s="38">
        <f>IF(OR(B28="",K28="",K28=0),"",Y28/K28)</f>
        <v>0</v>
      </c>
      <c r="AA28" s="34">
        <f>IF(B28="","",SUMIFS(Timesheets!$U$5:$U$804,Timesheets!$F$5:$F$804,B28))</f>
        <v>0</v>
      </c>
      <c r="AB28" s="34">
        <f>IF(B28="","",SUMIFS(Timesheets!$U$5:$U$804,Timesheets!$F$5:$F$804,B28,Timesheets!$P$5:$P$804,"Yes"))</f>
        <v>0</v>
      </c>
      <c r="AC28" s="38">
        <f>IF(OR(B28="",AA28=0),"",AB28/AA28)</f>
        <v>0</v>
      </c>
      <c r="AD28" s="21">
        <f>IF(B28="","",SUMIFS(Timesheets!$X$5:$X$804,Timesheets!$F$5:$F$804,B28))</f>
        <v>0</v>
      </c>
      <c r="AE28" s="21">
        <f>IF(B28="","",SUMIFS(Jobs!$AJ$5:$AJ$604,Jobs!$R$5:$R$604,B28,Jobs!$P$5:$P$604,"Completed")+SUMIFS(Jobs!$AJ$5:$AJ$604,Jobs!$R$5:$R$604,B28,Jobs!$P$5:$P$604,"Invoiced"))</f>
        <v>0</v>
      </c>
      <c r="AF28" s="21">
        <f>IF(B28="","",AE28-AD28)</f>
        <v>0</v>
      </c>
      <c r="AG28" s="34">
        <f>IF(B28="","",IFERROR(AVERAGEIFS(Jobs!$AA$5:$AA$604,Jobs!$R$5:$R$604,B28,Jobs!$AA$5:$AA$604,"&gt;0"),""))</f>
        <v>0</v>
      </c>
      <c r="AH28" s="31">
        <f>IF(B28="","",COUNTIFS(Complaints!$G$5:$G$84,B28))</f>
        <v>0</v>
      </c>
      <c r="AI28" s="31">
        <f>IF(B28="","",COUNTIFS(Timesheets!$O$5:$O$804,"Late",Timesheets!$F$5:$F$804,B28)+COUNTIFS(Timesheets!$O$5:$O$804,"Absent - no show",Timesheets!$F$5:$F$804,B28))</f>
        <v>0</v>
      </c>
      <c r="AJ28" s="31">
        <f>IF(B28="","",COUNTIF($B$5:B28,"?*"))</f>
        <v>0</v>
      </c>
      <c r="AK28" s="31">
        <f>IF(B28="","",COUNTIFS($AE$5:$AE$44,"&gt;"&amp;AE28)+COUNTIFS($AE$5:AE28,AE28))</f>
        <v>0</v>
      </c>
      <c r="AL28" s="31">
        <f>IF(B28="","",COUNTIFS($Y$5:$Y$44,"&gt;"&amp;Y28)+COUNTIFS($Y$5:Y28,Y28))</f>
        <v>0</v>
      </c>
      <c r="AM28" s="39">
        <f>IF(B28="","",IF(E28="Left","Archived",IF(AND(Z28&lt;&gt;"",Z28&gt;1),"Overloaded - over contracted hours",IF(AH28&gt;=2,"Check - complaints logged",IF(AND(AG28&lt;&gt;"",AG28&lt;3.5),"Check - low client ratings",IF(P28="No","Action - no background check",IF(AND(X28=0,E28="Active"),"Idle - nothing booked","OK")))))))</f>
        <v>0</v>
      </c>
    </row>
    <row r="29" spans="1:39">
      <c r="A29" s="43">
        <f>IF(B29="","",EmployeePrefix&amp;TEXT(ROW()-4,"000"))</f>
        <v>0</v>
      </c>
      <c r="T29" s="21">
        <f>IF(B29="","",IF(J29="",PayRate,J29))</f>
        <v>0</v>
      </c>
      <c r="U29" s="21">
        <f>IF(B29="","",ROUND(T29*IF(D29="Subcontractor",1,1+EmployerOncost),2))</f>
        <v>0</v>
      </c>
      <c r="V29" s="31">
        <f>IF(B29="","",COUNTIFS(Jobs!$R$5:$R$604,B29))</f>
        <v>0</v>
      </c>
      <c r="W29" s="31">
        <f>IF(B29="","",COUNTIFS(Jobs!$R$5:$R$604,B29,Jobs!$P$5:$P$604,"Completed")+COUNTIFS(Jobs!$R$5:$R$604,B29,Jobs!$P$5:$P$604,"Invoiced"))</f>
        <v>0</v>
      </c>
      <c r="X29" s="31">
        <f>IF(B29="","",COUNTIFS(Jobs!$R$5:$R$604,B29,Jobs!$B$5:$B$604,"&gt;="&amp;TodayDate,Jobs!$P$5:$P$604,"&lt;&gt;Cancelled"))</f>
        <v>0</v>
      </c>
      <c r="Y29" s="34">
        <f>IF(B29="","",SUMIFS(Jobs!$AF$5:$AF$604,Jobs!$R$5:$R$604,B29,Jobs!$B$5:$B$604,"&gt;="&amp;WeekStartDate,Jobs!$B$5:$B$604,"&lt;="&amp;WeekStartDate+6,Jobs!$P$5:$P$604,"&lt;&gt;Cancelled"))</f>
        <v>0</v>
      </c>
      <c r="Z29" s="38">
        <f>IF(OR(B29="",K29="",K29=0),"",Y29/K29)</f>
        <v>0</v>
      </c>
      <c r="AA29" s="34">
        <f>IF(B29="","",SUMIFS(Timesheets!$U$5:$U$804,Timesheets!$F$5:$F$804,B29))</f>
        <v>0</v>
      </c>
      <c r="AB29" s="34">
        <f>IF(B29="","",SUMIFS(Timesheets!$U$5:$U$804,Timesheets!$F$5:$F$804,B29,Timesheets!$P$5:$P$804,"Yes"))</f>
        <v>0</v>
      </c>
      <c r="AC29" s="38">
        <f>IF(OR(B29="",AA29=0),"",AB29/AA29)</f>
        <v>0</v>
      </c>
      <c r="AD29" s="21">
        <f>IF(B29="","",SUMIFS(Timesheets!$X$5:$X$804,Timesheets!$F$5:$F$804,B29))</f>
        <v>0</v>
      </c>
      <c r="AE29" s="21">
        <f>IF(B29="","",SUMIFS(Jobs!$AJ$5:$AJ$604,Jobs!$R$5:$R$604,B29,Jobs!$P$5:$P$604,"Completed")+SUMIFS(Jobs!$AJ$5:$AJ$604,Jobs!$R$5:$R$604,B29,Jobs!$P$5:$P$604,"Invoiced"))</f>
        <v>0</v>
      </c>
      <c r="AF29" s="21">
        <f>IF(B29="","",AE29-AD29)</f>
        <v>0</v>
      </c>
      <c r="AG29" s="34">
        <f>IF(B29="","",IFERROR(AVERAGEIFS(Jobs!$AA$5:$AA$604,Jobs!$R$5:$R$604,B29,Jobs!$AA$5:$AA$604,"&gt;0"),""))</f>
        <v>0</v>
      </c>
      <c r="AH29" s="31">
        <f>IF(B29="","",COUNTIFS(Complaints!$G$5:$G$84,B29))</f>
        <v>0</v>
      </c>
      <c r="AI29" s="31">
        <f>IF(B29="","",COUNTIFS(Timesheets!$O$5:$O$804,"Late",Timesheets!$F$5:$F$804,B29)+COUNTIFS(Timesheets!$O$5:$O$804,"Absent - no show",Timesheets!$F$5:$F$804,B29))</f>
        <v>0</v>
      </c>
      <c r="AJ29" s="31">
        <f>IF(B29="","",COUNTIF($B$5:B29,"?*"))</f>
        <v>0</v>
      </c>
      <c r="AK29" s="31">
        <f>IF(B29="","",COUNTIFS($AE$5:$AE$44,"&gt;"&amp;AE29)+COUNTIFS($AE$5:AE29,AE29))</f>
        <v>0</v>
      </c>
      <c r="AL29" s="31">
        <f>IF(B29="","",COUNTIFS($Y$5:$Y$44,"&gt;"&amp;Y29)+COUNTIFS($Y$5:Y29,Y29))</f>
        <v>0</v>
      </c>
      <c r="AM29" s="39">
        <f>IF(B29="","",IF(E29="Left","Archived",IF(AND(Z29&lt;&gt;"",Z29&gt;1),"Overloaded - over contracted hours",IF(AH29&gt;=2,"Check - complaints logged",IF(AND(AG29&lt;&gt;"",AG29&lt;3.5),"Check - low client ratings",IF(P29="No","Action - no background check",IF(AND(X29=0,E29="Active"),"Idle - nothing booked","OK")))))))</f>
        <v>0</v>
      </c>
    </row>
    <row r="30" spans="1:39">
      <c r="A30" s="43">
        <f>IF(B30="","",EmployeePrefix&amp;TEXT(ROW()-4,"000"))</f>
        <v>0</v>
      </c>
      <c r="T30" s="21">
        <f>IF(B30="","",IF(J30="",PayRate,J30))</f>
        <v>0</v>
      </c>
      <c r="U30" s="21">
        <f>IF(B30="","",ROUND(T30*IF(D30="Subcontractor",1,1+EmployerOncost),2))</f>
        <v>0</v>
      </c>
      <c r="V30" s="31">
        <f>IF(B30="","",COUNTIFS(Jobs!$R$5:$R$604,B30))</f>
        <v>0</v>
      </c>
      <c r="W30" s="31">
        <f>IF(B30="","",COUNTIFS(Jobs!$R$5:$R$604,B30,Jobs!$P$5:$P$604,"Completed")+COUNTIFS(Jobs!$R$5:$R$604,B30,Jobs!$P$5:$P$604,"Invoiced"))</f>
        <v>0</v>
      </c>
      <c r="X30" s="31">
        <f>IF(B30="","",COUNTIFS(Jobs!$R$5:$R$604,B30,Jobs!$B$5:$B$604,"&gt;="&amp;TodayDate,Jobs!$P$5:$P$604,"&lt;&gt;Cancelled"))</f>
        <v>0</v>
      </c>
      <c r="Y30" s="34">
        <f>IF(B30="","",SUMIFS(Jobs!$AF$5:$AF$604,Jobs!$R$5:$R$604,B30,Jobs!$B$5:$B$604,"&gt;="&amp;WeekStartDate,Jobs!$B$5:$B$604,"&lt;="&amp;WeekStartDate+6,Jobs!$P$5:$P$604,"&lt;&gt;Cancelled"))</f>
        <v>0</v>
      </c>
      <c r="Z30" s="38">
        <f>IF(OR(B30="",K30="",K30=0),"",Y30/K30)</f>
        <v>0</v>
      </c>
      <c r="AA30" s="34">
        <f>IF(B30="","",SUMIFS(Timesheets!$U$5:$U$804,Timesheets!$F$5:$F$804,B30))</f>
        <v>0</v>
      </c>
      <c r="AB30" s="34">
        <f>IF(B30="","",SUMIFS(Timesheets!$U$5:$U$804,Timesheets!$F$5:$F$804,B30,Timesheets!$P$5:$P$804,"Yes"))</f>
        <v>0</v>
      </c>
      <c r="AC30" s="38">
        <f>IF(OR(B30="",AA30=0),"",AB30/AA30)</f>
        <v>0</v>
      </c>
      <c r="AD30" s="21">
        <f>IF(B30="","",SUMIFS(Timesheets!$X$5:$X$804,Timesheets!$F$5:$F$804,B30))</f>
        <v>0</v>
      </c>
      <c r="AE30" s="21">
        <f>IF(B30="","",SUMIFS(Jobs!$AJ$5:$AJ$604,Jobs!$R$5:$R$604,B30,Jobs!$P$5:$P$604,"Completed")+SUMIFS(Jobs!$AJ$5:$AJ$604,Jobs!$R$5:$R$604,B30,Jobs!$P$5:$P$604,"Invoiced"))</f>
        <v>0</v>
      </c>
      <c r="AF30" s="21">
        <f>IF(B30="","",AE30-AD30)</f>
        <v>0</v>
      </c>
      <c r="AG30" s="34">
        <f>IF(B30="","",IFERROR(AVERAGEIFS(Jobs!$AA$5:$AA$604,Jobs!$R$5:$R$604,B30,Jobs!$AA$5:$AA$604,"&gt;0"),""))</f>
        <v>0</v>
      </c>
      <c r="AH30" s="31">
        <f>IF(B30="","",COUNTIFS(Complaints!$G$5:$G$84,B30))</f>
        <v>0</v>
      </c>
      <c r="AI30" s="31">
        <f>IF(B30="","",COUNTIFS(Timesheets!$O$5:$O$804,"Late",Timesheets!$F$5:$F$804,B30)+COUNTIFS(Timesheets!$O$5:$O$804,"Absent - no show",Timesheets!$F$5:$F$804,B30))</f>
        <v>0</v>
      </c>
      <c r="AJ30" s="31">
        <f>IF(B30="","",COUNTIF($B$5:B30,"?*"))</f>
        <v>0</v>
      </c>
      <c r="AK30" s="31">
        <f>IF(B30="","",COUNTIFS($AE$5:$AE$44,"&gt;"&amp;AE30)+COUNTIFS($AE$5:AE30,AE30))</f>
        <v>0</v>
      </c>
      <c r="AL30" s="31">
        <f>IF(B30="","",COUNTIFS($Y$5:$Y$44,"&gt;"&amp;Y30)+COUNTIFS($Y$5:Y30,Y30))</f>
        <v>0</v>
      </c>
      <c r="AM30" s="39">
        <f>IF(B30="","",IF(E30="Left","Archived",IF(AND(Z30&lt;&gt;"",Z30&gt;1),"Overloaded - over contracted hours",IF(AH30&gt;=2,"Check - complaints logged",IF(AND(AG30&lt;&gt;"",AG30&lt;3.5),"Check - low client ratings",IF(P30="No","Action - no background check",IF(AND(X30=0,E30="Active"),"Idle - nothing booked","OK")))))))</f>
        <v>0</v>
      </c>
    </row>
    <row r="31" spans="1:39">
      <c r="A31" s="43">
        <f>IF(B31="","",EmployeePrefix&amp;TEXT(ROW()-4,"000"))</f>
        <v>0</v>
      </c>
      <c r="T31" s="21">
        <f>IF(B31="","",IF(J31="",PayRate,J31))</f>
        <v>0</v>
      </c>
      <c r="U31" s="21">
        <f>IF(B31="","",ROUND(T31*IF(D31="Subcontractor",1,1+EmployerOncost),2))</f>
        <v>0</v>
      </c>
      <c r="V31" s="31">
        <f>IF(B31="","",COUNTIFS(Jobs!$R$5:$R$604,B31))</f>
        <v>0</v>
      </c>
      <c r="W31" s="31">
        <f>IF(B31="","",COUNTIFS(Jobs!$R$5:$R$604,B31,Jobs!$P$5:$P$604,"Completed")+COUNTIFS(Jobs!$R$5:$R$604,B31,Jobs!$P$5:$P$604,"Invoiced"))</f>
        <v>0</v>
      </c>
      <c r="X31" s="31">
        <f>IF(B31="","",COUNTIFS(Jobs!$R$5:$R$604,B31,Jobs!$B$5:$B$604,"&gt;="&amp;TodayDate,Jobs!$P$5:$P$604,"&lt;&gt;Cancelled"))</f>
        <v>0</v>
      </c>
      <c r="Y31" s="34">
        <f>IF(B31="","",SUMIFS(Jobs!$AF$5:$AF$604,Jobs!$R$5:$R$604,B31,Jobs!$B$5:$B$604,"&gt;="&amp;WeekStartDate,Jobs!$B$5:$B$604,"&lt;="&amp;WeekStartDate+6,Jobs!$P$5:$P$604,"&lt;&gt;Cancelled"))</f>
        <v>0</v>
      </c>
      <c r="Z31" s="38">
        <f>IF(OR(B31="",K31="",K31=0),"",Y31/K31)</f>
        <v>0</v>
      </c>
      <c r="AA31" s="34">
        <f>IF(B31="","",SUMIFS(Timesheets!$U$5:$U$804,Timesheets!$F$5:$F$804,B31))</f>
        <v>0</v>
      </c>
      <c r="AB31" s="34">
        <f>IF(B31="","",SUMIFS(Timesheets!$U$5:$U$804,Timesheets!$F$5:$F$804,B31,Timesheets!$P$5:$P$804,"Yes"))</f>
        <v>0</v>
      </c>
      <c r="AC31" s="38">
        <f>IF(OR(B31="",AA31=0),"",AB31/AA31)</f>
        <v>0</v>
      </c>
      <c r="AD31" s="21">
        <f>IF(B31="","",SUMIFS(Timesheets!$X$5:$X$804,Timesheets!$F$5:$F$804,B31))</f>
        <v>0</v>
      </c>
      <c r="AE31" s="21">
        <f>IF(B31="","",SUMIFS(Jobs!$AJ$5:$AJ$604,Jobs!$R$5:$R$604,B31,Jobs!$P$5:$P$604,"Completed")+SUMIFS(Jobs!$AJ$5:$AJ$604,Jobs!$R$5:$R$604,B31,Jobs!$P$5:$P$604,"Invoiced"))</f>
        <v>0</v>
      </c>
      <c r="AF31" s="21">
        <f>IF(B31="","",AE31-AD31)</f>
        <v>0</v>
      </c>
      <c r="AG31" s="34">
        <f>IF(B31="","",IFERROR(AVERAGEIFS(Jobs!$AA$5:$AA$604,Jobs!$R$5:$R$604,B31,Jobs!$AA$5:$AA$604,"&gt;0"),""))</f>
        <v>0</v>
      </c>
      <c r="AH31" s="31">
        <f>IF(B31="","",COUNTIFS(Complaints!$G$5:$G$84,B31))</f>
        <v>0</v>
      </c>
      <c r="AI31" s="31">
        <f>IF(B31="","",COUNTIFS(Timesheets!$O$5:$O$804,"Late",Timesheets!$F$5:$F$804,B31)+COUNTIFS(Timesheets!$O$5:$O$804,"Absent - no show",Timesheets!$F$5:$F$804,B31))</f>
        <v>0</v>
      </c>
      <c r="AJ31" s="31">
        <f>IF(B31="","",COUNTIF($B$5:B31,"?*"))</f>
        <v>0</v>
      </c>
      <c r="AK31" s="31">
        <f>IF(B31="","",COUNTIFS($AE$5:$AE$44,"&gt;"&amp;AE31)+COUNTIFS($AE$5:AE31,AE31))</f>
        <v>0</v>
      </c>
      <c r="AL31" s="31">
        <f>IF(B31="","",COUNTIFS($Y$5:$Y$44,"&gt;"&amp;Y31)+COUNTIFS($Y$5:Y31,Y31))</f>
        <v>0</v>
      </c>
      <c r="AM31" s="39">
        <f>IF(B31="","",IF(E31="Left","Archived",IF(AND(Z31&lt;&gt;"",Z31&gt;1),"Overloaded - over contracted hours",IF(AH31&gt;=2,"Check - complaints logged",IF(AND(AG31&lt;&gt;"",AG31&lt;3.5),"Check - low client ratings",IF(P31="No","Action - no background check",IF(AND(X31=0,E31="Active"),"Idle - nothing booked","OK")))))))</f>
        <v>0</v>
      </c>
    </row>
    <row r="32" spans="1:39">
      <c r="A32" s="43">
        <f>IF(B32="","",EmployeePrefix&amp;TEXT(ROW()-4,"000"))</f>
        <v>0</v>
      </c>
      <c r="T32" s="21">
        <f>IF(B32="","",IF(J32="",PayRate,J32))</f>
        <v>0</v>
      </c>
      <c r="U32" s="21">
        <f>IF(B32="","",ROUND(T32*IF(D32="Subcontractor",1,1+EmployerOncost),2))</f>
        <v>0</v>
      </c>
      <c r="V32" s="31">
        <f>IF(B32="","",COUNTIFS(Jobs!$R$5:$R$604,B32))</f>
        <v>0</v>
      </c>
      <c r="W32" s="31">
        <f>IF(B32="","",COUNTIFS(Jobs!$R$5:$R$604,B32,Jobs!$P$5:$P$604,"Completed")+COUNTIFS(Jobs!$R$5:$R$604,B32,Jobs!$P$5:$P$604,"Invoiced"))</f>
        <v>0</v>
      </c>
      <c r="X32" s="31">
        <f>IF(B32="","",COUNTIFS(Jobs!$R$5:$R$604,B32,Jobs!$B$5:$B$604,"&gt;="&amp;TodayDate,Jobs!$P$5:$P$604,"&lt;&gt;Cancelled"))</f>
        <v>0</v>
      </c>
      <c r="Y32" s="34">
        <f>IF(B32="","",SUMIFS(Jobs!$AF$5:$AF$604,Jobs!$R$5:$R$604,B32,Jobs!$B$5:$B$604,"&gt;="&amp;WeekStartDate,Jobs!$B$5:$B$604,"&lt;="&amp;WeekStartDate+6,Jobs!$P$5:$P$604,"&lt;&gt;Cancelled"))</f>
        <v>0</v>
      </c>
      <c r="Z32" s="38">
        <f>IF(OR(B32="",K32="",K32=0),"",Y32/K32)</f>
        <v>0</v>
      </c>
      <c r="AA32" s="34">
        <f>IF(B32="","",SUMIFS(Timesheets!$U$5:$U$804,Timesheets!$F$5:$F$804,B32))</f>
        <v>0</v>
      </c>
      <c r="AB32" s="34">
        <f>IF(B32="","",SUMIFS(Timesheets!$U$5:$U$804,Timesheets!$F$5:$F$804,B32,Timesheets!$P$5:$P$804,"Yes"))</f>
        <v>0</v>
      </c>
      <c r="AC32" s="38">
        <f>IF(OR(B32="",AA32=0),"",AB32/AA32)</f>
        <v>0</v>
      </c>
      <c r="AD32" s="21">
        <f>IF(B32="","",SUMIFS(Timesheets!$X$5:$X$804,Timesheets!$F$5:$F$804,B32))</f>
        <v>0</v>
      </c>
      <c r="AE32" s="21">
        <f>IF(B32="","",SUMIFS(Jobs!$AJ$5:$AJ$604,Jobs!$R$5:$R$604,B32,Jobs!$P$5:$P$604,"Completed")+SUMIFS(Jobs!$AJ$5:$AJ$604,Jobs!$R$5:$R$604,B32,Jobs!$P$5:$P$604,"Invoiced"))</f>
        <v>0</v>
      </c>
      <c r="AF32" s="21">
        <f>IF(B32="","",AE32-AD32)</f>
        <v>0</v>
      </c>
      <c r="AG32" s="34">
        <f>IF(B32="","",IFERROR(AVERAGEIFS(Jobs!$AA$5:$AA$604,Jobs!$R$5:$R$604,B32,Jobs!$AA$5:$AA$604,"&gt;0"),""))</f>
        <v>0</v>
      </c>
      <c r="AH32" s="31">
        <f>IF(B32="","",COUNTIFS(Complaints!$G$5:$G$84,B32))</f>
        <v>0</v>
      </c>
      <c r="AI32" s="31">
        <f>IF(B32="","",COUNTIFS(Timesheets!$O$5:$O$804,"Late",Timesheets!$F$5:$F$804,B32)+COUNTIFS(Timesheets!$O$5:$O$804,"Absent - no show",Timesheets!$F$5:$F$804,B32))</f>
        <v>0</v>
      </c>
      <c r="AJ32" s="31">
        <f>IF(B32="","",COUNTIF($B$5:B32,"?*"))</f>
        <v>0</v>
      </c>
      <c r="AK32" s="31">
        <f>IF(B32="","",COUNTIFS($AE$5:$AE$44,"&gt;"&amp;AE32)+COUNTIFS($AE$5:AE32,AE32))</f>
        <v>0</v>
      </c>
      <c r="AL32" s="31">
        <f>IF(B32="","",COUNTIFS($Y$5:$Y$44,"&gt;"&amp;Y32)+COUNTIFS($Y$5:Y32,Y32))</f>
        <v>0</v>
      </c>
      <c r="AM32" s="39">
        <f>IF(B32="","",IF(E32="Left","Archived",IF(AND(Z32&lt;&gt;"",Z32&gt;1),"Overloaded - over contracted hours",IF(AH32&gt;=2,"Check - complaints logged",IF(AND(AG32&lt;&gt;"",AG32&lt;3.5),"Check - low client ratings",IF(P32="No","Action - no background check",IF(AND(X32=0,E32="Active"),"Idle - nothing booked","OK")))))))</f>
        <v>0</v>
      </c>
    </row>
    <row r="33" spans="1:39">
      <c r="A33" s="43">
        <f>IF(B33="","",EmployeePrefix&amp;TEXT(ROW()-4,"000"))</f>
        <v>0</v>
      </c>
      <c r="T33" s="21">
        <f>IF(B33="","",IF(J33="",PayRate,J33))</f>
        <v>0</v>
      </c>
      <c r="U33" s="21">
        <f>IF(B33="","",ROUND(T33*IF(D33="Subcontractor",1,1+EmployerOncost),2))</f>
        <v>0</v>
      </c>
      <c r="V33" s="31">
        <f>IF(B33="","",COUNTIFS(Jobs!$R$5:$R$604,B33))</f>
        <v>0</v>
      </c>
      <c r="W33" s="31">
        <f>IF(B33="","",COUNTIFS(Jobs!$R$5:$R$604,B33,Jobs!$P$5:$P$604,"Completed")+COUNTIFS(Jobs!$R$5:$R$604,B33,Jobs!$P$5:$P$604,"Invoiced"))</f>
        <v>0</v>
      </c>
      <c r="X33" s="31">
        <f>IF(B33="","",COUNTIFS(Jobs!$R$5:$R$604,B33,Jobs!$B$5:$B$604,"&gt;="&amp;TodayDate,Jobs!$P$5:$P$604,"&lt;&gt;Cancelled"))</f>
        <v>0</v>
      </c>
      <c r="Y33" s="34">
        <f>IF(B33="","",SUMIFS(Jobs!$AF$5:$AF$604,Jobs!$R$5:$R$604,B33,Jobs!$B$5:$B$604,"&gt;="&amp;WeekStartDate,Jobs!$B$5:$B$604,"&lt;="&amp;WeekStartDate+6,Jobs!$P$5:$P$604,"&lt;&gt;Cancelled"))</f>
        <v>0</v>
      </c>
      <c r="Z33" s="38">
        <f>IF(OR(B33="",K33="",K33=0),"",Y33/K33)</f>
        <v>0</v>
      </c>
      <c r="AA33" s="34">
        <f>IF(B33="","",SUMIFS(Timesheets!$U$5:$U$804,Timesheets!$F$5:$F$804,B33))</f>
        <v>0</v>
      </c>
      <c r="AB33" s="34">
        <f>IF(B33="","",SUMIFS(Timesheets!$U$5:$U$804,Timesheets!$F$5:$F$804,B33,Timesheets!$P$5:$P$804,"Yes"))</f>
        <v>0</v>
      </c>
      <c r="AC33" s="38">
        <f>IF(OR(B33="",AA33=0),"",AB33/AA33)</f>
        <v>0</v>
      </c>
      <c r="AD33" s="21">
        <f>IF(B33="","",SUMIFS(Timesheets!$X$5:$X$804,Timesheets!$F$5:$F$804,B33))</f>
        <v>0</v>
      </c>
      <c r="AE33" s="21">
        <f>IF(B33="","",SUMIFS(Jobs!$AJ$5:$AJ$604,Jobs!$R$5:$R$604,B33,Jobs!$P$5:$P$604,"Completed")+SUMIFS(Jobs!$AJ$5:$AJ$604,Jobs!$R$5:$R$604,B33,Jobs!$P$5:$P$604,"Invoiced"))</f>
        <v>0</v>
      </c>
      <c r="AF33" s="21">
        <f>IF(B33="","",AE33-AD33)</f>
        <v>0</v>
      </c>
      <c r="AG33" s="34">
        <f>IF(B33="","",IFERROR(AVERAGEIFS(Jobs!$AA$5:$AA$604,Jobs!$R$5:$R$604,B33,Jobs!$AA$5:$AA$604,"&gt;0"),""))</f>
        <v>0</v>
      </c>
      <c r="AH33" s="31">
        <f>IF(B33="","",COUNTIFS(Complaints!$G$5:$G$84,B33))</f>
        <v>0</v>
      </c>
      <c r="AI33" s="31">
        <f>IF(B33="","",COUNTIFS(Timesheets!$O$5:$O$804,"Late",Timesheets!$F$5:$F$804,B33)+COUNTIFS(Timesheets!$O$5:$O$804,"Absent - no show",Timesheets!$F$5:$F$804,B33))</f>
        <v>0</v>
      </c>
      <c r="AJ33" s="31">
        <f>IF(B33="","",COUNTIF($B$5:B33,"?*"))</f>
        <v>0</v>
      </c>
      <c r="AK33" s="31">
        <f>IF(B33="","",COUNTIFS($AE$5:$AE$44,"&gt;"&amp;AE33)+COUNTIFS($AE$5:AE33,AE33))</f>
        <v>0</v>
      </c>
      <c r="AL33" s="31">
        <f>IF(B33="","",COUNTIFS($Y$5:$Y$44,"&gt;"&amp;Y33)+COUNTIFS($Y$5:Y33,Y33))</f>
        <v>0</v>
      </c>
      <c r="AM33" s="39">
        <f>IF(B33="","",IF(E33="Left","Archived",IF(AND(Z33&lt;&gt;"",Z33&gt;1),"Overloaded - over contracted hours",IF(AH33&gt;=2,"Check - complaints logged",IF(AND(AG33&lt;&gt;"",AG33&lt;3.5),"Check - low client ratings",IF(P33="No","Action - no background check",IF(AND(X33=0,E33="Active"),"Idle - nothing booked","OK")))))))</f>
        <v>0</v>
      </c>
    </row>
    <row r="34" spans="1:39">
      <c r="A34" s="43">
        <f>IF(B34="","",EmployeePrefix&amp;TEXT(ROW()-4,"000"))</f>
        <v>0</v>
      </c>
      <c r="T34" s="21">
        <f>IF(B34="","",IF(J34="",PayRate,J34))</f>
        <v>0</v>
      </c>
      <c r="U34" s="21">
        <f>IF(B34="","",ROUND(T34*IF(D34="Subcontractor",1,1+EmployerOncost),2))</f>
        <v>0</v>
      </c>
      <c r="V34" s="31">
        <f>IF(B34="","",COUNTIFS(Jobs!$R$5:$R$604,B34))</f>
        <v>0</v>
      </c>
      <c r="W34" s="31">
        <f>IF(B34="","",COUNTIFS(Jobs!$R$5:$R$604,B34,Jobs!$P$5:$P$604,"Completed")+COUNTIFS(Jobs!$R$5:$R$604,B34,Jobs!$P$5:$P$604,"Invoiced"))</f>
        <v>0</v>
      </c>
      <c r="X34" s="31">
        <f>IF(B34="","",COUNTIFS(Jobs!$R$5:$R$604,B34,Jobs!$B$5:$B$604,"&gt;="&amp;TodayDate,Jobs!$P$5:$P$604,"&lt;&gt;Cancelled"))</f>
        <v>0</v>
      </c>
      <c r="Y34" s="34">
        <f>IF(B34="","",SUMIFS(Jobs!$AF$5:$AF$604,Jobs!$R$5:$R$604,B34,Jobs!$B$5:$B$604,"&gt;="&amp;WeekStartDate,Jobs!$B$5:$B$604,"&lt;="&amp;WeekStartDate+6,Jobs!$P$5:$P$604,"&lt;&gt;Cancelled"))</f>
        <v>0</v>
      </c>
      <c r="Z34" s="38">
        <f>IF(OR(B34="",K34="",K34=0),"",Y34/K34)</f>
        <v>0</v>
      </c>
      <c r="AA34" s="34">
        <f>IF(B34="","",SUMIFS(Timesheets!$U$5:$U$804,Timesheets!$F$5:$F$804,B34))</f>
        <v>0</v>
      </c>
      <c r="AB34" s="34">
        <f>IF(B34="","",SUMIFS(Timesheets!$U$5:$U$804,Timesheets!$F$5:$F$804,B34,Timesheets!$P$5:$P$804,"Yes"))</f>
        <v>0</v>
      </c>
      <c r="AC34" s="38">
        <f>IF(OR(B34="",AA34=0),"",AB34/AA34)</f>
        <v>0</v>
      </c>
      <c r="AD34" s="21">
        <f>IF(B34="","",SUMIFS(Timesheets!$X$5:$X$804,Timesheets!$F$5:$F$804,B34))</f>
        <v>0</v>
      </c>
      <c r="AE34" s="21">
        <f>IF(B34="","",SUMIFS(Jobs!$AJ$5:$AJ$604,Jobs!$R$5:$R$604,B34,Jobs!$P$5:$P$604,"Completed")+SUMIFS(Jobs!$AJ$5:$AJ$604,Jobs!$R$5:$R$604,B34,Jobs!$P$5:$P$604,"Invoiced"))</f>
        <v>0</v>
      </c>
      <c r="AF34" s="21">
        <f>IF(B34="","",AE34-AD34)</f>
        <v>0</v>
      </c>
      <c r="AG34" s="34">
        <f>IF(B34="","",IFERROR(AVERAGEIFS(Jobs!$AA$5:$AA$604,Jobs!$R$5:$R$604,B34,Jobs!$AA$5:$AA$604,"&gt;0"),""))</f>
        <v>0</v>
      </c>
      <c r="AH34" s="31">
        <f>IF(B34="","",COUNTIFS(Complaints!$G$5:$G$84,B34))</f>
        <v>0</v>
      </c>
      <c r="AI34" s="31">
        <f>IF(B34="","",COUNTIFS(Timesheets!$O$5:$O$804,"Late",Timesheets!$F$5:$F$804,B34)+COUNTIFS(Timesheets!$O$5:$O$804,"Absent - no show",Timesheets!$F$5:$F$804,B34))</f>
        <v>0</v>
      </c>
      <c r="AJ34" s="31">
        <f>IF(B34="","",COUNTIF($B$5:B34,"?*"))</f>
        <v>0</v>
      </c>
      <c r="AK34" s="31">
        <f>IF(B34="","",COUNTIFS($AE$5:$AE$44,"&gt;"&amp;AE34)+COUNTIFS($AE$5:AE34,AE34))</f>
        <v>0</v>
      </c>
      <c r="AL34" s="31">
        <f>IF(B34="","",COUNTIFS($Y$5:$Y$44,"&gt;"&amp;Y34)+COUNTIFS($Y$5:Y34,Y34))</f>
        <v>0</v>
      </c>
      <c r="AM34" s="39">
        <f>IF(B34="","",IF(E34="Left","Archived",IF(AND(Z34&lt;&gt;"",Z34&gt;1),"Overloaded - over contracted hours",IF(AH34&gt;=2,"Check - complaints logged",IF(AND(AG34&lt;&gt;"",AG34&lt;3.5),"Check - low client ratings",IF(P34="No","Action - no background check",IF(AND(X34=0,E34="Active"),"Idle - nothing booked","OK")))))))</f>
        <v>0</v>
      </c>
    </row>
    <row r="35" spans="1:39">
      <c r="A35" s="43">
        <f>IF(B35="","",EmployeePrefix&amp;TEXT(ROW()-4,"000"))</f>
        <v>0</v>
      </c>
      <c r="T35" s="21">
        <f>IF(B35="","",IF(J35="",PayRate,J35))</f>
        <v>0</v>
      </c>
      <c r="U35" s="21">
        <f>IF(B35="","",ROUND(T35*IF(D35="Subcontractor",1,1+EmployerOncost),2))</f>
        <v>0</v>
      </c>
      <c r="V35" s="31">
        <f>IF(B35="","",COUNTIFS(Jobs!$R$5:$R$604,B35))</f>
        <v>0</v>
      </c>
      <c r="W35" s="31">
        <f>IF(B35="","",COUNTIFS(Jobs!$R$5:$R$604,B35,Jobs!$P$5:$P$604,"Completed")+COUNTIFS(Jobs!$R$5:$R$604,B35,Jobs!$P$5:$P$604,"Invoiced"))</f>
        <v>0</v>
      </c>
      <c r="X35" s="31">
        <f>IF(B35="","",COUNTIFS(Jobs!$R$5:$R$604,B35,Jobs!$B$5:$B$604,"&gt;="&amp;TodayDate,Jobs!$P$5:$P$604,"&lt;&gt;Cancelled"))</f>
        <v>0</v>
      </c>
      <c r="Y35" s="34">
        <f>IF(B35="","",SUMIFS(Jobs!$AF$5:$AF$604,Jobs!$R$5:$R$604,B35,Jobs!$B$5:$B$604,"&gt;="&amp;WeekStartDate,Jobs!$B$5:$B$604,"&lt;="&amp;WeekStartDate+6,Jobs!$P$5:$P$604,"&lt;&gt;Cancelled"))</f>
        <v>0</v>
      </c>
      <c r="Z35" s="38">
        <f>IF(OR(B35="",K35="",K35=0),"",Y35/K35)</f>
        <v>0</v>
      </c>
      <c r="AA35" s="34">
        <f>IF(B35="","",SUMIFS(Timesheets!$U$5:$U$804,Timesheets!$F$5:$F$804,B35))</f>
        <v>0</v>
      </c>
      <c r="AB35" s="34">
        <f>IF(B35="","",SUMIFS(Timesheets!$U$5:$U$804,Timesheets!$F$5:$F$804,B35,Timesheets!$P$5:$P$804,"Yes"))</f>
        <v>0</v>
      </c>
      <c r="AC35" s="38">
        <f>IF(OR(B35="",AA35=0),"",AB35/AA35)</f>
        <v>0</v>
      </c>
      <c r="AD35" s="21">
        <f>IF(B35="","",SUMIFS(Timesheets!$X$5:$X$804,Timesheets!$F$5:$F$804,B35))</f>
        <v>0</v>
      </c>
      <c r="AE35" s="21">
        <f>IF(B35="","",SUMIFS(Jobs!$AJ$5:$AJ$604,Jobs!$R$5:$R$604,B35,Jobs!$P$5:$P$604,"Completed")+SUMIFS(Jobs!$AJ$5:$AJ$604,Jobs!$R$5:$R$604,B35,Jobs!$P$5:$P$604,"Invoiced"))</f>
        <v>0</v>
      </c>
      <c r="AF35" s="21">
        <f>IF(B35="","",AE35-AD35)</f>
        <v>0</v>
      </c>
      <c r="AG35" s="34">
        <f>IF(B35="","",IFERROR(AVERAGEIFS(Jobs!$AA$5:$AA$604,Jobs!$R$5:$R$604,B35,Jobs!$AA$5:$AA$604,"&gt;0"),""))</f>
        <v>0</v>
      </c>
      <c r="AH35" s="31">
        <f>IF(B35="","",COUNTIFS(Complaints!$G$5:$G$84,B35))</f>
        <v>0</v>
      </c>
      <c r="AI35" s="31">
        <f>IF(B35="","",COUNTIFS(Timesheets!$O$5:$O$804,"Late",Timesheets!$F$5:$F$804,B35)+COUNTIFS(Timesheets!$O$5:$O$804,"Absent - no show",Timesheets!$F$5:$F$804,B35))</f>
        <v>0</v>
      </c>
      <c r="AJ35" s="31">
        <f>IF(B35="","",COUNTIF($B$5:B35,"?*"))</f>
        <v>0</v>
      </c>
      <c r="AK35" s="31">
        <f>IF(B35="","",COUNTIFS($AE$5:$AE$44,"&gt;"&amp;AE35)+COUNTIFS($AE$5:AE35,AE35))</f>
        <v>0</v>
      </c>
      <c r="AL35" s="31">
        <f>IF(B35="","",COUNTIFS($Y$5:$Y$44,"&gt;"&amp;Y35)+COUNTIFS($Y$5:Y35,Y35))</f>
        <v>0</v>
      </c>
      <c r="AM35" s="39">
        <f>IF(B35="","",IF(E35="Left","Archived",IF(AND(Z35&lt;&gt;"",Z35&gt;1),"Overloaded - over contracted hours",IF(AH35&gt;=2,"Check - complaints logged",IF(AND(AG35&lt;&gt;"",AG35&lt;3.5),"Check - low client ratings",IF(P35="No","Action - no background check",IF(AND(X35=0,E35="Active"),"Idle - nothing booked","OK")))))))</f>
        <v>0</v>
      </c>
    </row>
    <row r="36" spans="1:39">
      <c r="A36" s="43">
        <f>IF(B36="","",EmployeePrefix&amp;TEXT(ROW()-4,"000"))</f>
        <v>0</v>
      </c>
      <c r="T36" s="21">
        <f>IF(B36="","",IF(J36="",PayRate,J36))</f>
        <v>0</v>
      </c>
      <c r="U36" s="21">
        <f>IF(B36="","",ROUND(T36*IF(D36="Subcontractor",1,1+EmployerOncost),2))</f>
        <v>0</v>
      </c>
      <c r="V36" s="31">
        <f>IF(B36="","",COUNTIFS(Jobs!$R$5:$R$604,B36))</f>
        <v>0</v>
      </c>
      <c r="W36" s="31">
        <f>IF(B36="","",COUNTIFS(Jobs!$R$5:$R$604,B36,Jobs!$P$5:$P$604,"Completed")+COUNTIFS(Jobs!$R$5:$R$604,B36,Jobs!$P$5:$P$604,"Invoiced"))</f>
        <v>0</v>
      </c>
      <c r="X36" s="31">
        <f>IF(B36="","",COUNTIFS(Jobs!$R$5:$R$604,B36,Jobs!$B$5:$B$604,"&gt;="&amp;TodayDate,Jobs!$P$5:$P$604,"&lt;&gt;Cancelled"))</f>
        <v>0</v>
      </c>
      <c r="Y36" s="34">
        <f>IF(B36="","",SUMIFS(Jobs!$AF$5:$AF$604,Jobs!$R$5:$R$604,B36,Jobs!$B$5:$B$604,"&gt;="&amp;WeekStartDate,Jobs!$B$5:$B$604,"&lt;="&amp;WeekStartDate+6,Jobs!$P$5:$P$604,"&lt;&gt;Cancelled"))</f>
        <v>0</v>
      </c>
      <c r="Z36" s="38">
        <f>IF(OR(B36="",K36="",K36=0),"",Y36/K36)</f>
        <v>0</v>
      </c>
      <c r="AA36" s="34">
        <f>IF(B36="","",SUMIFS(Timesheets!$U$5:$U$804,Timesheets!$F$5:$F$804,B36))</f>
        <v>0</v>
      </c>
      <c r="AB36" s="34">
        <f>IF(B36="","",SUMIFS(Timesheets!$U$5:$U$804,Timesheets!$F$5:$F$804,B36,Timesheets!$P$5:$P$804,"Yes"))</f>
        <v>0</v>
      </c>
      <c r="AC36" s="38">
        <f>IF(OR(B36="",AA36=0),"",AB36/AA36)</f>
        <v>0</v>
      </c>
      <c r="AD36" s="21">
        <f>IF(B36="","",SUMIFS(Timesheets!$X$5:$X$804,Timesheets!$F$5:$F$804,B36))</f>
        <v>0</v>
      </c>
      <c r="AE36" s="21">
        <f>IF(B36="","",SUMIFS(Jobs!$AJ$5:$AJ$604,Jobs!$R$5:$R$604,B36,Jobs!$P$5:$P$604,"Completed")+SUMIFS(Jobs!$AJ$5:$AJ$604,Jobs!$R$5:$R$604,B36,Jobs!$P$5:$P$604,"Invoiced"))</f>
        <v>0</v>
      </c>
      <c r="AF36" s="21">
        <f>IF(B36="","",AE36-AD36)</f>
        <v>0</v>
      </c>
      <c r="AG36" s="34">
        <f>IF(B36="","",IFERROR(AVERAGEIFS(Jobs!$AA$5:$AA$604,Jobs!$R$5:$R$604,B36,Jobs!$AA$5:$AA$604,"&gt;0"),""))</f>
        <v>0</v>
      </c>
      <c r="AH36" s="31">
        <f>IF(B36="","",COUNTIFS(Complaints!$G$5:$G$84,B36))</f>
        <v>0</v>
      </c>
      <c r="AI36" s="31">
        <f>IF(B36="","",COUNTIFS(Timesheets!$O$5:$O$804,"Late",Timesheets!$F$5:$F$804,B36)+COUNTIFS(Timesheets!$O$5:$O$804,"Absent - no show",Timesheets!$F$5:$F$804,B36))</f>
        <v>0</v>
      </c>
      <c r="AJ36" s="31">
        <f>IF(B36="","",COUNTIF($B$5:B36,"?*"))</f>
        <v>0</v>
      </c>
      <c r="AK36" s="31">
        <f>IF(B36="","",COUNTIFS($AE$5:$AE$44,"&gt;"&amp;AE36)+COUNTIFS($AE$5:AE36,AE36))</f>
        <v>0</v>
      </c>
      <c r="AL36" s="31">
        <f>IF(B36="","",COUNTIFS($Y$5:$Y$44,"&gt;"&amp;Y36)+COUNTIFS($Y$5:Y36,Y36))</f>
        <v>0</v>
      </c>
      <c r="AM36" s="39">
        <f>IF(B36="","",IF(E36="Left","Archived",IF(AND(Z36&lt;&gt;"",Z36&gt;1),"Overloaded - over contracted hours",IF(AH36&gt;=2,"Check - complaints logged",IF(AND(AG36&lt;&gt;"",AG36&lt;3.5),"Check - low client ratings",IF(P36="No","Action - no background check",IF(AND(X36=0,E36="Active"),"Idle - nothing booked","OK")))))))</f>
        <v>0</v>
      </c>
    </row>
    <row r="37" spans="1:39">
      <c r="A37" s="43">
        <f>IF(B37="","",EmployeePrefix&amp;TEXT(ROW()-4,"000"))</f>
        <v>0</v>
      </c>
      <c r="T37" s="21">
        <f>IF(B37="","",IF(J37="",PayRate,J37))</f>
        <v>0</v>
      </c>
      <c r="U37" s="21">
        <f>IF(B37="","",ROUND(T37*IF(D37="Subcontractor",1,1+EmployerOncost),2))</f>
        <v>0</v>
      </c>
      <c r="V37" s="31">
        <f>IF(B37="","",COUNTIFS(Jobs!$R$5:$R$604,B37))</f>
        <v>0</v>
      </c>
      <c r="W37" s="31">
        <f>IF(B37="","",COUNTIFS(Jobs!$R$5:$R$604,B37,Jobs!$P$5:$P$604,"Completed")+COUNTIFS(Jobs!$R$5:$R$604,B37,Jobs!$P$5:$P$604,"Invoiced"))</f>
        <v>0</v>
      </c>
      <c r="X37" s="31">
        <f>IF(B37="","",COUNTIFS(Jobs!$R$5:$R$604,B37,Jobs!$B$5:$B$604,"&gt;="&amp;TodayDate,Jobs!$P$5:$P$604,"&lt;&gt;Cancelled"))</f>
        <v>0</v>
      </c>
      <c r="Y37" s="34">
        <f>IF(B37="","",SUMIFS(Jobs!$AF$5:$AF$604,Jobs!$R$5:$R$604,B37,Jobs!$B$5:$B$604,"&gt;="&amp;WeekStartDate,Jobs!$B$5:$B$604,"&lt;="&amp;WeekStartDate+6,Jobs!$P$5:$P$604,"&lt;&gt;Cancelled"))</f>
        <v>0</v>
      </c>
      <c r="Z37" s="38">
        <f>IF(OR(B37="",K37="",K37=0),"",Y37/K37)</f>
        <v>0</v>
      </c>
      <c r="AA37" s="34">
        <f>IF(B37="","",SUMIFS(Timesheets!$U$5:$U$804,Timesheets!$F$5:$F$804,B37))</f>
        <v>0</v>
      </c>
      <c r="AB37" s="34">
        <f>IF(B37="","",SUMIFS(Timesheets!$U$5:$U$804,Timesheets!$F$5:$F$804,B37,Timesheets!$P$5:$P$804,"Yes"))</f>
        <v>0</v>
      </c>
      <c r="AC37" s="38">
        <f>IF(OR(B37="",AA37=0),"",AB37/AA37)</f>
        <v>0</v>
      </c>
      <c r="AD37" s="21">
        <f>IF(B37="","",SUMIFS(Timesheets!$X$5:$X$804,Timesheets!$F$5:$F$804,B37))</f>
        <v>0</v>
      </c>
      <c r="AE37" s="21">
        <f>IF(B37="","",SUMIFS(Jobs!$AJ$5:$AJ$604,Jobs!$R$5:$R$604,B37,Jobs!$P$5:$P$604,"Completed")+SUMIFS(Jobs!$AJ$5:$AJ$604,Jobs!$R$5:$R$604,B37,Jobs!$P$5:$P$604,"Invoiced"))</f>
        <v>0</v>
      </c>
      <c r="AF37" s="21">
        <f>IF(B37="","",AE37-AD37)</f>
        <v>0</v>
      </c>
      <c r="AG37" s="34">
        <f>IF(B37="","",IFERROR(AVERAGEIFS(Jobs!$AA$5:$AA$604,Jobs!$R$5:$R$604,B37,Jobs!$AA$5:$AA$604,"&gt;0"),""))</f>
        <v>0</v>
      </c>
      <c r="AH37" s="31">
        <f>IF(B37="","",COUNTIFS(Complaints!$G$5:$G$84,B37))</f>
        <v>0</v>
      </c>
      <c r="AI37" s="31">
        <f>IF(B37="","",COUNTIFS(Timesheets!$O$5:$O$804,"Late",Timesheets!$F$5:$F$804,B37)+COUNTIFS(Timesheets!$O$5:$O$804,"Absent - no show",Timesheets!$F$5:$F$804,B37))</f>
        <v>0</v>
      </c>
      <c r="AJ37" s="31">
        <f>IF(B37="","",COUNTIF($B$5:B37,"?*"))</f>
        <v>0</v>
      </c>
      <c r="AK37" s="31">
        <f>IF(B37="","",COUNTIFS($AE$5:$AE$44,"&gt;"&amp;AE37)+COUNTIFS($AE$5:AE37,AE37))</f>
        <v>0</v>
      </c>
      <c r="AL37" s="31">
        <f>IF(B37="","",COUNTIFS($Y$5:$Y$44,"&gt;"&amp;Y37)+COUNTIFS($Y$5:Y37,Y37))</f>
        <v>0</v>
      </c>
      <c r="AM37" s="39">
        <f>IF(B37="","",IF(E37="Left","Archived",IF(AND(Z37&lt;&gt;"",Z37&gt;1),"Overloaded - over contracted hours",IF(AH37&gt;=2,"Check - complaints logged",IF(AND(AG37&lt;&gt;"",AG37&lt;3.5),"Check - low client ratings",IF(P37="No","Action - no background check",IF(AND(X37=0,E37="Active"),"Idle - nothing booked","OK")))))))</f>
        <v>0</v>
      </c>
    </row>
    <row r="38" spans="1:39">
      <c r="A38" s="43">
        <f>IF(B38="","",EmployeePrefix&amp;TEXT(ROW()-4,"000"))</f>
        <v>0</v>
      </c>
      <c r="T38" s="21">
        <f>IF(B38="","",IF(J38="",PayRate,J38))</f>
        <v>0</v>
      </c>
      <c r="U38" s="21">
        <f>IF(B38="","",ROUND(T38*IF(D38="Subcontractor",1,1+EmployerOncost),2))</f>
        <v>0</v>
      </c>
      <c r="V38" s="31">
        <f>IF(B38="","",COUNTIFS(Jobs!$R$5:$R$604,B38))</f>
        <v>0</v>
      </c>
      <c r="W38" s="31">
        <f>IF(B38="","",COUNTIFS(Jobs!$R$5:$R$604,B38,Jobs!$P$5:$P$604,"Completed")+COUNTIFS(Jobs!$R$5:$R$604,B38,Jobs!$P$5:$P$604,"Invoiced"))</f>
        <v>0</v>
      </c>
      <c r="X38" s="31">
        <f>IF(B38="","",COUNTIFS(Jobs!$R$5:$R$604,B38,Jobs!$B$5:$B$604,"&gt;="&amp;TodayDate,Jobs!$P$5:$P$604,"&lt;&gt;Cancelled"))</f>
        <v>0</v>
      </c>
      <c r="Y38" s="34">
        <f>IF(B38="","",SUMIFS(Jobs!$AF$5:$AF$604,Jobs!$R$5:$R$604,B38,Jobs!$B$5:$B$604,"&gt;="&amp;WeekStartDate,Jobs!$B$5:$B$604,"&lt;="&amp;WeekStartDate+6,Jobs!$P$5:$P$604,"&lt;&gt;Cancelled"))</f>
        <v>0</v>
      </c>
      <c r="Z38" s="38">
        <f>IF(OR(B38="",K38="",K38=0),"",Y38/K38)</f>
        <v>0</v>
      </c>
      <c r="AA38" s="34">
        <f>IF(B38="","",SUMIFS(Timesheets!$U$5:$U$804,Timesheets!$F$5:$F$804,B38))</f>
        <v>0</v>
      </c>
      <c r="AB38" s="34">
        <f>IF(B38="","",SUMIFS(Timesheets!$U$5:$U$804,Timesheets!$F$5:$F$804,B38,Timesheets!$P$5:$P$804,"Yes"))</f>
        <v>0</v>
      </c>
      <c r="AC38" s="38">
        <f>IF(OR(B38="",AA38=0),"",AB38/AA38)</f>
        <v>0</v>
      </c>
      <c r="AD38" s="21">
        <f>IF(B38="","",SUMIFS(Timesheets!$X$5:$X$804,Timesheets!$F$5:$F$804,B38))</f>
        <v>0</v>
      </c>
      <c r="AE38" s="21">
        <f>IF(B38="","",SUMIFS(Jobs!$AJ$5:$AJ$604,Jobs!$R$5:$R$604,B38,Jobs!$P$5:$P$604,"Completed")+SUMIFS(Jobs!$AJ$5:$AJ$604,Jobs!$R$5:$R$604,B38,Jobs!$P$5:$P$604,"Invoiced"))</f>
        <v>0</v>
      </c>
      <c r="AF38" s="21">
        <f>IF(B38="","",AE38-AD38)</f>
        <v>0</v>
      </c>
      <c r="AG38" s="34">
        <f>IF(B38="","",IFERROR(AVERAGEIFS(Jobs!$AA$5:$AA$604,Jobs!$R$5:$R$604,B38,Jobs!$AA$5:$AA$604,"&gt;0"),""))</f>
        <v>0</v>
      </c>
      <c r="AH38" s="31">
        <f>IF(B38="","",COUNTIFS(Complaints!$G$5:$G$84,B38))</f>
        <v>0</v>
      </c>
      <c r="AI38" s="31">
        <f>IF(B38="","",COUNTIFS(Timesheets!$O$5:$O$804,"Late",Timesheets!$F$5:$F$804,B38)+COUNTIFS(Timesheets!$O$5:$O$804,"Absent - no show",Timesheets!$F$5:$F$804,B38))</f>
        <v>0</v>
      </c>
      <c r="AJ38" s="31">
        <f>IF(B38="","",COUNTIF($B$5:B38,"?*"))</f>
        <v>0</v>
      </c>
      <c r="AK38" s="31">
        <f>IF(B38="","",COUNTIFS($AE$5:$AE$44,"&gt;"&amp;AE38)+COUNTIFS($AE$5:AE38,AE38))</f>
        <v>0</v>
      </c>
      <c r="AL38" s="31">
        <f>IF(B38="","",COUNTIFS($Y$5:$Y$44,"&gt;"&amp;Y38)+COUNTIFS($Y$5:Y38,Y38))</f>
        <v>0</v>
      </c>
      <c r="AM38" s="39">
        <f>IF(B38="","",IF(E38="Left","Archived",IF(AND(Z38&lt;&gt;"",Z38&gt;1),"Overloaded - over contracted hours",IF(AH38&gt;=2,"Check - complaints logged",IF(AND(AG38&lt;&gt;"",AG38&lt;3.5),"Check - low client ratings",IF(P38="No","Action - no background check",IF(AND(X38=0,E38="Active"),"Idle - nothing booked","OK")))))))</f>
        <v>0</v>
      </c>
    </row>
    <row r="39" spans="1:39">
      <c r="A39" s="43">
        <f>IF(B39="","",EmployeePrefix&amp;TEXT(ROW()-4,"000"))</f>
        <v>0</v>
      </c>
      <c r="T39" s="21">
        <f>IF(B39="","",IF(J39="",PayRate,J39))</f>
        <v>0</v>
      </c>
      <c r="U39" s="21">
        <f>IF(B39="","",ROUND(T39*IF(D39="Subcontractor",1,1+EmployerOncost),2))</f>
        <v>0</v>
      </c>
      <c r="V39" s="31">
        <f>IF(B39="","",COUNTIFS(Jobs!$R$5:$R$604,B39))</f>
        <v>0</v>
      </c>
      <c r="W39" s="31">
        <f>IF(B39="","",COUNTIFS(Jobs!$R$5:$R$604,B39,Jobs!$P$5:$P$604,"Completed")+COUNTIFS(Jobs!$R$5:$R$604,B39,Jobs!$P$5:$P$604,"Invoiced"))</f>
        <v>0</v>
      </c>
      <c r="X39" s="31">
        <f>IF(B39="","",COUNTIFS(Jobs!$R$5:$R$604,B39,Jobs!$B$5:$B$604,"&gt;="&amp;TodayDate,Jobs!$P$5:$P$604,"&lt;&gt;Cancelled"))</f>
        <v>0</v>
      </c>
      <c r="Y39" s="34">
        <f>IF(B39="","",SUMIFS(Jobs!$AF$5:$AF$604,Jobs!$R$5:$R$604,B39,Jobs!$B$5:$B$604,"&gt;="&amp;WeekStartDate,Jobs!$B$5:$B$604,"&lt;="&amp;WeekStartDate+6,Jobs!$P$5:$P$604,"&lt;&gt;Cancelled"))</f>
        <v>0</v>
      </c>
      <c r="Z39" s="38">
        <f>IF(OR(B39="",K39="",K39=0),"",Y39/K39)</f>
        <v>0</v>
      </c>
      <c r="AA39" s="34">
        <f>IF(B39="","",SUMIFS(Timesheets!$U$5:$U$804,Timesheets!$F$5:$F$804,B39))</f>
        <v>0</v>
      </c>
      <c r="AB39" s="34">
        <f>IF(B39="","",SUMIFS(Timesheets!$U$5:$U$804,Timesheets!$F$5:$F$804,B39,Timesheets!$P$5:$P$804,"Yes"))</f>
        <v>0</v>
      </c>
      <c r="AC39" s="38">
        <f>IF(OR(B39="",AA39=0),"",AB39/AA39)</f>
        <v>0</v>
      </c>
      <c r="AD39" s="21">
        <f>IF(B39="","",SUMIFS(Timesheets!$X$5:$X$804,Timesheets!$F$5:$F$804,B39))</f>
        <v>0</v>
      </c>
      <c r="AE39" s="21">
        <f>IF(B39="","",SUMIFS(Jobs!$AJ$5:$AJ$604,Jobs!$R$5:$R$604,B39,Jobs!$P$5:$P$604,"Completed")+SUMIFS(Jobs!$AJ$5:$AJ$604,Jobs!$R$5:$R$604,B39,Jobs!$P$5:$P$604,"Invoiced"))</f>
        <v>0</v>
      </c>
      <c r="AF39" s="21">
        <f>IF(B39="","",AE39-AD39)</f>
        <v>0</v>
      </c>
      <c r="AG39" s="34">
        <f>IF(B39="","",IFERROR(AVERAGEIFS(Jobs!$AA$5:$AA$604,Jobs!$R$5:$R$604,B39,Jobs!$AA$5:$AA$604,"&gt;0"),""))</f>
        <v>0</v>
      </c>
      <c r="AH39" s="31">
        <f>IF(B39="","",COUNTIFS(Complaints!$G$5:$G$84,B39))</f>
        <v>0</v>
      </c>
      <c r="AI39" s="31">
        <f>IF(B39="","",COUNTIFS(Timesheets!$O$5:$O$804,"Late",Timesheets!$F$5:$F$804,B39)+COUNTIFS(Timesheets!$O$5:$O$804,"Absent - no show",Timesheets!$F$5:$F$804,B39))</f>
        <v>0</v>
      </c>
      <c r="AJ39" s="31">
        <f>IF(B39="","",COUNTIF($B$5:B39,"?*"))</f>
        <v>0</v>
      </c>
      <c r="AK39" s="31">
        <f>IF(B39="","",COUNTIFS($AE$5:$AE$44,"&gt;"&amp;AE39)+COUNTIFS($AE$5:AE39,AE39))</f>
        <v>0</v>
      </c>
      <c r="AL39" s="31">
        <f>IF(B39="","",COUNTIFS($Y$5:$Y$44,"&gt;"&amp;Y39)+COUNTIFS($Y$5:Y39,Y39))</f>
        <v>0</v>
      </c>
      <c r="AM39" s="39">
        <f>IF(B39="","",IF(E39="Left","Archived",IF(AND(Z39&lt;&gt;"",Z39&gt;1),"Overloaded - over contracted hours",IF(AH39&gt;=2,"Check - complaints logged",IF(AND(AG39&lt;&gt;"",AG39&lt;3.5),"Check - low client ratings",IF(P39="No","Action - no background check",IF(AND(X39=0,E39="Active"),"Idle - nothing booked","OK")))))))</f>
        <v>0</v>
      </c>
    </row>
    <row r="40" spans="1:39">
      <c r="A40" s="43">
        <f>IF(B40="","",EmployeePrefix&amp;TEXT(ROW()-4,"000"))</f>
        <v>0</v>
      </c>
      <c r="T40" s="21">
        <f>IF(B40="","",IF(J40="",PayRate,J40))</f>
        <v>0</v>
      </c>
      <c r="U40" s="21">
        <f>IF(B40="","",ROUND(T40*IF(D40="Subcontractor",1,1+EmployerOncost),2))</f>
        <v>0</v>
      </c>
      <c r="V40" s="31">
        <f>IF(B40="","",COUNTIFS(Jobs!$R$5:$R$604,B40))</f>
        <v>0</v>
      </c>
      <c r="W40" s="31">
        <f>IF(B40="","",COUNTIFS(Jobs!$R$5:$R$604,B40,Jobs!$P$5:$P$604,"Completed")+COUNTIFS(Jobs!$R$5:$R$604,B40,Jobs!$P$5:$P$604,"Invoiced"))</f>
        <v>0</v>
      </c>
      <c r="X40" s="31">
        <f>IF(B40="","",COUNTIFS(Jobs!$R$5:$R$604,B40,Jobs!$B$5:$B$604,"&gt;="&amp;TodayDate,Jobs!$P$5:$P$604,"&lt;&gt;Cancelled"))</f>
        <v>0</v>
      </c>
      <c r="Y40" s="34">
        <f>IF(B40="","",SUMIFS(Jobs!$AF$5:$AF$604,Jobs!$R$5:$R$604,B40,Jobs!$B$5:$B$604,"&gt;="&amp;WeekStartDate,Jobs!$B$5:$B$604,"&lt;="&amp;WeekStartDate+6,Jobs!$P$5:$P$604,"&lt;&gt;Cancelled"))</f>
        <v>0</v>
      </c>
      <c r="Z40" s="38">
        <f>IF(OR(B40="",K40="",K40=0),"",Y40/K40)</f>
        <v>0</v>
      </c>
      <c r="AA40" s="34">
        <f>IF(B40="","",SUMIFS(Timesheets!$U$5:$U$804,Timesheets!$F$5:$F$804,B40))</f>
        <v>0</v>
      </c>
      <c r="AB40" s="34">
        <f>IF(B40="","",SUMIFS(Timesheets!$U$5:$U$804,Timesheets!$F$5:$F$804,B40,Timesheets!$P$5:$P$804,"Yes"))</f>
        <v>0</v>
      </c>
      <c r="AC40" s="38">
        <f>IF(OR(B40="",AA40=0),"",AB40/AA40)</f>
        <v>0</v>
      </c>
      <c r="AD40" s="21">
        <f>IF(B40="","",SUMIFS(Timesheets!$X$5:$X$804,Timesheets!$F$5:$F$804,B40))</f>
        <v>0</v>
      </c>
      <c r="AE40" s="21">
        <f>IF(B40="","",SUMIFS(Jobs!$AJ$5:$AJ$604,Jobs!$R$5:$R$604,B40,Jobs!$P$5:$P$604,"Completed")+SUMIFS(Jobs!$AJ$5:$AJ$604,Jobs!$R$5:$R$604,B40,Jobs!$P$5:$P$604,"Invoiced"))</f>
        <v>0</v>
      </c>
      <c r="AF40" s="21">
        <f>IF(B40="","",AE40-AD40)</f>
        <v>0</v>
      </c>
      <c r="AG40" s="34">
        <f>IF(B40="","",IFERROR(AVERAGEIFS(Jobs!$AA$5:$AA$604,Jobs!$R$5:$R$604,B40,Jobs!$AA$5:$AA$604,"&gt;0"),""))</f>
        <v>0</v>
      </c>
      <c r="AH40" s="31">
        <f>IF(B40="","",COUNTIFS(Complaints!$G$5:$G$84,B40))</f>
        <v>0</v>
      </c>
      <c r="AI40" s="31">
        <f>IF(B40="","",COUNTIFS(Timesheets!$O$5:$O$804,"Late",Timesheets!$F$5:$F$804,B40)+COUNTIFS(Timesheets!$O$5:$O$804,"Absent - no show",Timesheets!$F$5:$F$804,B40))</f>
        <v>0</v>
      </c>
      <c r="AJ40" s="31">
        <f>IF(B40="","",COUNTIF($B$5:B40,"?*"))</f>
        <v>0</v>
      </c>
      <c r="AK40" s="31">
        <f>IF(B40="","",COUNTIFS($AE$5:$AE$44,"&gt;"&amp;AE40)+COUNTIFS($AE$5:AE40,AE40))</f>
        <v>0</v>
      </c>
      <c r="AL40" s="31">
        <f>IF(B40="","",COUNTIFS($Y$5:$Y$44,"&gt;"&amp;Y40)+COUNTIFS($Y$5:Y40,Y40))</f>
        <v>0</v>
      </c>
      <c r="AM40" s="39">
        <f>IF(B40="","",IF(E40="Left","Archived",IF(AND(Z40&lt;&gt;"",Z40&gt;1),"Overloaded - over contracted hours",IF(AH40&gt;=2,"Check - complaints logged",IF(AND(AG40&lt;&gt;"",AG40&lt;3.5),"Check - low client ratings",IF(P40="No","Action - no background check",IF(AND(X40=0,E40="Active"),"Idle - nothing booked","OK")))))))</f>
        <v>0</v>
      </c>
    </row>
    <row r="41" spans="1:39">
      <c r="A41" s="43">
        <f>IF(B41="","",EmployeePrefix&amp;TEXT(ROW()-4,"000"))</f>
        <v>0</v>
      </c>
      <c r="T41" s="21">
        <f>IF(B41="","",IF(J41="",PayRate,J41))</f>
        <v>0</v>
      </c>
      <c r="U41" s="21">
        <f>IF(B41="","",ROUND(T41*IF(D41="Subcontractor",1,1+EmployerOncost),2))</f>
        <v>0</v>
      </c>
      <c r="V41" s="31">
        <f>IF(B41="","",COUNTIFS(Jobs!$R$5:$R$604,B41))</f>
        <v>0</v>
      </c>
      <c r="W41" s="31">
        <f>IF(B41="","",COUNTIFS(Jobs!$R$5:$R$604,B41,Jobs!$P$5:$P$604,"Completed")+COUNTIFS(Jobs!$R$5:$R$604,B41,Jobs!$P$5:$P$604,"Invoiced"))</f>
        <v>0</v>
      </c>
      <c r="X41" s="31">
        <f>IF(B41="","",COUNTIFS(Jobs!$R$5:$R$604,B41,Jobs!$B$5:$B$604,"&gt;="&amp;TodayDate,Jobs!$P$5:$P$604,"&lt;&gt;Cancelled"))</f>
        <v>0</v>
      </c>
      <c r="Y41" s="34">
        <f>IF(B41="","",SUMIFS(Jobs!$AF$5:$AF$604,Jobs!$R$5:$R$604,B41,Jobs!$B$5:$B$604,"&gt;="&amp;WeekStartDate,Jobs!$B$5:$B$604,"&lt;="&amp;WeekStartDate+6,Jobs!$P$5:$P$604,"&lt;&gt;Cancelled"))</f>
        <v>0</v>
      </c>
      <c r="Z41" s="38">
        <f>IF(OR(B41="",K41="",K41=0),"",Y41/K41)</f>
        <v>0</v>
      </c>
      <c r="AA41" s="34">
        <f>IF(B41="","",SUMIFS(Timesheets!$U$5:$U$804,Timesheets!$F$5:$F$804,B41))</f>
        <v>0</v>
      </c>
      <c r="AB41" s="34">
        <f>IF(B41="","",SUMIFS(Timesheets!$U$5:$U$804,Timesheets!$F$5:$F$804,B41,Timesheets!$P$5:$P$804,"Yes"))</f>
        <v>0</v>
      </c>
      <c r="AC41" s="38">
        <f>IF(OR(B41="",AA41=0),"",AB41/AA41)</f>
        <v>0</v>
      </c>
      <c r="AD41" s="21">
        <f>IF(B41="","",SUMIFS(Timesheets!$X$5:$X$804,Timesheets!$F$5:$F$804,B41))</f>
        <v>0</v>
      </c>
      <c r="AE41" s="21">
        <f>IF(B41="","",SUMIFS(Jobs!$AJ$5:$AJ$604,Jobs!$R$5:$R$604,B41,Jobs!$P$5:$P$604,"Completed")+SUMIFS(Jobs!$AJ$5:$AJ$604,Jobs!$R$5:$R$604,B41,Jobs!$P$5:$P$604,"Invoiced"))</f>
        <v>0</v>
      </c>
      <c r="AF41" s="21">
        <f>IF(B41="","",AE41-AD41)</f>
        <v>0</v>
      </c>
      <c r="AG41" s="34">
        <f>IF(B41="","",IFERROR(AVERAGEIFS(Jobs!$AA$5:$AA$604,Jobs!$R$5:$R$604,B41,Jobs!$AA$5:$AA$604,"&gt;0"),""))</f>
        <v>0</v>
      </c>
      <c r="AH41" s="31">
        <f>IF(B41="","",COUNTIFS(Complaints!$G$5:$G$84,B41))</f>
        <v>0</v>
      </c>
      <c r="AI41" s="31">
        <f>IF(B41="","",COUNTIFS(Timesheets!$O$5:$O$804,"Late",Timesheets!$F$5:$F$804,B41)+COUNTIFS(Timesheets!$O$5:$O$804,"Absent - no show",Timesheets!$F$5:$F$804,B41))</f>
        <v>0</v>
      </c>
      <c r="AJ41" s="31">
        <f>IF(B41="","",COUNTIF($B$5:B41,"?*"))</f>
        <v>0</v>
      </c>
      <c r="AK41" s="31">
        <f>IF(B41="","",COUNTIFS($AE$5:$AE$44,"&gt;"&amp;AE41)+COUNTIFS($AE$5:AE41,AE41))</f>
        <v>0</v>
      </c>
      <c r="AL41" s="31">
        <f>IF(B41="","",COUNTIFS($Y$5:$Y$44,"&gt;"&amp;Y41)+COUNTIFS($Y$5:Y41,Y41))</f>
        <v>0</v>
      </c>
      <c r="AM41" s="39">
        <f>IF(B41="","",IF(E41="Left","Archived",IF(AND(Z41&lt;&gt;"",Z41&gt;1),"Overloaded - over contracted hours",IF(AH41&gt;=2,"Check - complaints logged",IF(AND(AG41&lt;&gt;"",AG41&lt;3.5),"Check - low client ratings",IF(P41="No","Action - no background check",IF(AND(X41=0,E41="Active"),"Idle - nothing booked","OK")))))))</f>
        <v>0</v>
      </c>
    </row>
    <row r="42" spans="1:39">
      <c r="A42" s="43">
        <f>IF(B42="","",EmployeePrefix&amp;TEXT(ROW()-4,"000"))</f>
        <v>0</v>
      </c>
      <c r="T42" s="21">
        <f>IF(B42="","",IF(J42="",PayRate,J42))</f>
        <v>0</v>
      </c>
      <c r="U42" s="21">
        <f>IF(B42="","",ROUND(T42*IF(D42="Subcontractor",1,1+EmployerOncost),2))</f>
        <v>0</v>
      </c>
      <c r="V42" s="31">
        <f>IF(B42="","",COUNTIFS(Jobs!$R$5:$R$604,B42))</f>
        <v>0</v>
      </c>
      <c r="W42" s="31">
        <f>IF(B42="","",COUNTIFS(Jobs!$R$5:$R$604,B42,Jobs!$P$5:$P$604,"Completed")+COUNTIFS(Jobs!$R$5:$R$604,B42,Jobs!$P$5:$P$604,"Invoiced"))</f>
        <v>0</v>
      </c>
      <c r="X42" s="31">
        <f>IF(B42="","",COUNTIFS(Jobs!$R$5:$R$604,B42,Jobs!$B$5:$B$604,"&gt;="&amp;TodayDate,Jobs!$P$5:$P$604,"&lt;&gt;Cancelled"))</f>
        <v>0</v>
      </c>
      <c r="Y42" s="34">
        <f>IF(B42="","",SUMIFS(Jobs!$AF$5:$AF$604,Jobs!$R$5:$R$604,B42,Jobs!$B$5:$B$604,"&gt;="&amp;WeekStartDate,Jobs!$B$5:$B$604,"&lt;="&amp;WeekStartDate+6,Jobs!$P$5:$P$604,"&lt;&gt;Cancelled"))</f>
        <v>0</v>
      </c>
      <c r="Z42" s="38">
        <f>IF(OR(B42="",K42="",K42=0),"",Y42/K42)</f>
        <v>0</v>
      </c>
      <c r="AA42" s="34">
        <f>IF(B42="","",SUMIFS(Timesheets!$U$5:$U$804,Timesheets!$F$5:$F$804,B42))</f>
        <v>0</v>
      </c>
      <c r="AB42" s="34">
        <f>IF(B42="","",SUMIFS(Timesheets!$U$5:$U$804,Timesheets!$F$5:$F$804,B42,Timesheets!$P$5:$P$804,"Yes"))</f>
        <v>0</v>
      </c>
      <c r="AC42" s="38">
        <f>IF(OR(B42="",AA42=0),"",AB42/AA42)</f>
        <v>0</v>
      </c>
      <c r="AD42" s="21">
        <f>IF(B42="","",SUMIFS(Timesheets!$X$5:$X$804,Timesheets!$F$5:$F$804,B42))</f>
        <v>0</v>
      </c>
      <c r="AE42" s="21">
        <f>IF(B42="","",SUMIFS(Jobs!$AJ$5:$AJ$604,Jobs!$R$5:$R$604,B42,Jobs!$P$5:$P$604,"Completed")+SUMIFS(Jobs!$AJ$5:$AJ$604,Jobs!$R$5:$R$604,B42,Jobs!$P$5:$P$604,"Invoiced"))</f>
        <v>0</v>
      </c>
      <c r="AF42" s="21">
        <f>IF(B42="","",AE42-AD42)</f>
        <v>0</v>
      </c>
      <c r="AG42" s="34">
        <f>IF(B42="","",IFERROR(AVERAGEIFS(Jobs!$AA$5:$AA$604,Jobs!$R$5:$R$604,B42,Jobs!$AA$5:$AA$604,"&gt;0"),""))</f>
        <v>0</v>
      </c>
      <c r="AH42" s="31">
        <f>IF(B42="","",COUNTIFS(Complaints!$G$5:$G$84,B42))</f>
        <v>0</v>
      </c>
      <c r="AI42" s="31">
        <f>IF(B42="","",COUNTIFS(Timesheets!$O$5:$O$804,"Late",Timesheets!$F$5:$F$804,B42)+COUNTIFS(Timesheets!$O$5:$O$804,"Absent - no show",Timesheets!$F$5:$F$804,B42))</f>
        <v>0</v>
      </c>
      <c r="AJ42" s="31">
        <f>IF(B42="","",COUNTIF($B$5:B42,"?*"))</f>
        <v>0</v>
      </c>
      <c r="AK42" s="31">
        <f>IF(B42="","",COUNTIFS($AE$5:$AE$44,"&gt;"&amp;AE42)+COUNTIFS($AE$5:AE42,AE42))</f>
        <v>0</v>
      </c>
      <c r="AL42" s="31">
        <f>IF(B42="","",COUNTIFS($Y$5:$Y$44,"&gt;"&amp;Y42)+COUNTIFS($Y$5:Y42,Y42))</f>
        <v>0</v>
      </c>
      <c r="AM42" s="39">
        <f>IF(B42="","",IF(E42="Left","Archived",IF(AND(Z42&lt;&gt;"",Z42&gt;1),"Overloaded - over contracted hours",IF(AH42&gt;=2,"Check - complaints logged",IF(AND(AG42&lt;&gt;"",AG42&lt;3.5),"Check - low client ratings",IF(P42="No","Action - no background check",IF(AND(X42=0,E42="Active"),"Idle - nothing booked","OK")))))))</f>
        <v>0</v>
      </c>
    </row>
    <row r="43" spans="1:39">
      <c r="A43" s="43">
        <f>IF(B43="","",EmployeePrefix&amp;TEXT(ROW()-4,"000"))</f>
        <v>0</v>
      </c>
      <c r="T43" s="21">
        <f>IF(B43="","",IF(J43="",PayRate,J43))</f>
        <v>0</v>
      </c>
      <c r="U43" s="21">
        <f>IF(B43="","",ROUND(T43*IF(D43="Subcontractor",1,1+EmployerOncost),2))</f>
        <v>0</v>
      </c>
      <c r="V43" s="31">
        <f>IF(B43="","",COUNTIFS(Jobs!$R$5:$R$604,B43))</f>
        <v>0</v>
      </c>
      <c r="W43" s="31">
        <f>IF(B43="","",COUNTIFS(Jobs!$R$5:$R$604,B43,Jobs!$P$5:$P$604,"Completed")+COUNTIFS(Jobs!$R$5:$R$604,B43,Jobs!$P$5:$P$604,"Invoiced"))</f>
        <v>0</v>
      </c>
      <c r="X43" s="31">
        <f>IF(B43="","",COUNTIFS(Jobs!$R$5:$R$604,B43,Jobs!$B$5:$B$604,"&gt;="&amp;TodayDate,Jobs!$P$5:$P$604,"&lt;&gt;Cancelled"))</f>
        <v>0</v>
      </c>
      <c r="Y43" s="34">
        <f>IF(B43="","",SUMIFS(Jobs!$AF$5:$AF$604,Jobs!$R$5:$R$604,B43,Jobs!$B$5:$B$604,"&gt;="&amp;WeekStartDate,Jobs!$B$5:$B$604,"&lt;="&amp;WeekStartDate+6,Jobs!$P$5:$P$604,"&lt;&gt;Cancelled"))</f>
        <v>0</v>
      </c>
      <c r="Z43" s="38">
        <f>IF(OR(B43="",K43="",K43=0),"",Y43/K43)</f>
        <v>0</v>
      </c>
      <c r="AA43" s="34">
        <f>IF(B43="","",SUMIFS(Timesheets!$U$5:$U$804,Timesheets!$F$5:$F$804,B43))</f>
        <v>0</v>
      </c>
      <c r="AB43" s="34">
        <f>IF(B43="","",SUMIFS(Timesheets!$U$5:$U$804,Timesheets!$F$5:$F$804,B43,Timesheets!$P$5:$P$804,"Yes"))</f>
        <v>0</v>
      </c>
      <c r="AC43" s="38">
        <f>IF(OR(B43="",AA43=0),"",AB43/AA43)</f>
        <v>0</v>
      </c>
      <c r="AD43" s="21">
        <f>IF(B43="","",SUMIFS(Timesheets!$X$5:$X$804,Timesheets!$F$5:$F$804,B43))</f>
        <v>0</v>
      </c>
      <c r="AE43" s="21">
        <f>IF(B43="","",SUMIFS(Jobs!$AJ$5:$AJ$604,Jobs!$R$5:$R$604,B43,Jobs!$P$5:$P$604,"Completed")+SUMIFS(Jobs!$AJ$5:$AJ$604,Jobs!$R$5:$R$604,B43,Jobs!$P$5:$P$604,"Invoiced"))</f>
        <v>0</v>
      </c>
      <c r="AF43" s="21">
        <f>IF(B43="","",AE43-AD43)</f>
        <v>0</v>
      </c>
      <c r="AG43" s="34">
        <f>IF(B43="","",IFERROR(AVERAGEIFS(Jobs!$AA$5:$AA$604,Jobs!$R$5:$R$604,B43,Jobs!$AA$5:$AA$604,"&gt;0"),""))</f>
        <v>0</v>
      </c>
      <c r="AH43" s="31">
        <f>IF(B43="","",COUNTIFS(Complaints!$G$5:$G$84,B43))</f>
        <v>0</v>
      </c>
      <c r="AI43" s="31">
        <f>IF(B43="","",COUNTIFS(Timesheets!$O$5:$O$804,"Late",Timesheets!$F$5:$F$804,B43)+COUNTIFS(Timesheets!$O$5:$O$804,"Absent - no show",Timesheets!$F$5:$F$804,B43))</f>
        <v>0</v>
      </c>
      <c r="AJ43" s="31">
        <f>IF(B43="","",COUNTIF($B$5:B43,"?*"))</f>
        <v>0</v>
      </c>
      <c r="AK43" s="31">
        <f>IF(B43="","",COUNTIFS($AE$5:$AE$44,"&gt;"&amp;AE43)+COUNTIFS($AE$5:AE43,AE43))</f>
        <v>0</v>
      </c>
      <c r="AL43" s="31">
        <f>IF(B43="","",COUNTIFS($Y$5:$Y$44,"&gt;"&amp;Y43)+COUNTIFS($Y$5:Y43,Y43))</f>
        <v>0</v>
      </c>
      <c r="AM43" s="39">
        <f>IF(B43="","",IF(E43="Left","Archived",IF(AND(Z43&lt;&gt;"",Z43&gt;1),"Overloaded - over contracted hours",IF(AH43&gt;=2,"Check - complaints logged",IF(AND(AG43&lt;&gt;"",AG43&lt;3.5),"Check - low client ratings",IF(P43="No","Action - no background check",IF(AND(X43=0,E43="Active"),"Idle - nothing booked","OK")))))))</f>
        <v>0</v>
      </c>
    </row>
    <row r="44" spans="1:39">
      <c r="A44" s="43">
        <f>IF(B44="","",EmployeePrefix&amp;TEXT(ROW()-4,"000"))</f>
        <v>0</v>
      </c>
      <c r="T44" s="21">
        <f>IF(B44="","",IF(J44="",PayRate,J44))</f>
        <v>0</v>
      </c>
      <c r="U44" s="21">
        <f>IF(B44="","",ROUND(T44*IF(D44="Subcontractor",1,1+EmployerOncost),2))</f>
        <v>0</v>
      </c>
      <c r="V44" s="31">
        <f>IF(B44="","",COUNTIFS(Jobs!$R$5:$R$604,B44))</f>
        <v>0</v>
      </c>
      <c r="W44" s="31">
        <f>IF(B44="","",COUNTIFS(Jobs!$R$5:$R$604,B44,Jobs!$P$5:$P$604,"Completed")+COUNTIFS(Jobs!$R$5:$R$604,B44,Jobs!$P$5:$P$604,"Invoiced"))</f>
        <v>0</v>
      </c>
      <c r="X44" s="31">
        <f>IF(B44="","",COUNTIFS(Jobs!$R$5:$R$604,B44,Jobs!$B$5:$B$604,"&gt;="&amp;TodayDate,Jobs!$P$5:$P$604,"&lt;&gt;Cancelled"))</f>
        <v>0</v>
      </c>
      <c r="Y44" s="34">
        <f>IF(B44="","",SUMIFS(Jobs!$AF$5:$AF$604,Jobs!$R$5:$R$604,B44,Jobs!$B$5:$B$604,"&gt;="&amp;WeekStartDate,Jobs!$B$5:$B$604,"&lt;="&amp;WeekStartDate+6,Jobs!$P$5:$P$604,"&lt;&gt;Cancelled"))</f>
        <v>0</v>
      </c>
      <c r="Z44" s="38">
        <f>IF(OR(B44="",K44="",K44=0),"",Y44/K44)</f>
        <v>0</v>
      </c>
      <c r="AA44" s="34">
        <f>IF(B44="","",SUMIFS(Timesheets!$U$5:$U$804,Timesheets!$F$5:$F$804,B44))</f>
        <v>0</v>
      </c>
      <c r="AB44" s="34">
        <f>IF(B44="","",SUMIFS(Timesheets!$U$5:$U$804,Timesheets!$F$5:$F$804,B44,Timesheets!$P$5:$P$804,"Yes"))</f>
        <v>0</v>
      </c>
      <c r="AC44" s="38">
        <f>IF(OR(B44="",AA44=0),"",AB44/AA44)</f>
        <v>0</v>
      </c>
      <c r="AD44" s="21">
        <f>IF(B44="","",SUMIFS(Timesheets!$X$5:$X$804,Timesheets!$F$5:$F$804,B44))</f>
        <v>0</v>
      </c>
      <c r="AE44" s="21">
        <f>IF(B44="","",SUMIFS(Jobs!$AJ$5:$AJ$604,Jobs!$R$5:$R$604,B44,Jobs!$P$5:$P$604,"Completed")+SUMIFS(Jobs!$AJ$5:$AJ$604,Jobs!$R$5:$R$604,B44,Jobs!$P$5:$P$604,"Invoiced"))</f>
        <v>0</v>
      </c>
      <c r="AF44" s="21">
        <f>IF(B44="","",AE44-AD44)</f>
        <v>0</v>
      </c>
      <c r="AG44" s="34">
        <f>IF(B44="","",IFERROR(AVERAGEIFS(Jobs!$AA$5:$AA$604,Jobs!$R$5:$R$604,B44,Jobs!$AA$5:$AA$604,"&gt;0"),""))</f>
        <v>0</v>
      </c>
      <c r="AH44" s="31">
        <f>IF(B44="","",COUNTIFS(Complaints!$G$5:$G$84,B44))</f>
        <v>0</v>
      </c>
      <c r="AI44" s="31">
        <f>IF(B44="","",COUNTIFS(Timesheets!$O$5:$O$804,"Late",Timesheets!$F$5:$F$804,B44)+COUNTIFS(Timesheets!$O$5:$O$804,"Absent - no show",Timesheets!$F$5:$F$804,B44))</f>
        <v>0</v>
      </c>
      <c r="AJ44" s="31">
        <f>IF(B44="","",COUNTIF($B$5:B44,"?*"))</f>
        <v>0</v>
      </c>
      <c r="AK44" s="31">
        <f>IF(B44="","",COUNTIFS($AE$5:$AE$44,"&gt;"&amp;AE44)+COUNTIFS($AE$5:AE44,AE44))</f>
        <v>0</v>
      </c>
      <c r="AL44" s="31">
        <f>IF(B44="","",COUNTIFS($Y$5:$Y$44,"&gt;"&amp;Y44)+COUNTIFS($Y$5:Y44,Y44))</f>
        <v>0</v>
      </c>
      <c r="AM44" s="39">
        <f>IF(B44="","",IF(E44="Left","Archived",IF(AND(Z44&lt;&gt;"",Z44&gt;1),"Overloaded - over contracted hours",IF(AH44&gt;=2,"Check - complaints logged",IF(AND(AG44&lt;&gt;"",AG44&lt;3.5),"Check - low client ratings",IF(P44="No","Action - no background check",IF(AND(X44=0,E44="Active"),"Idle - nothing booked","OK")))))))</f>
        <v>0</v>
      </c>
    </row>
  </sheetData>
  <sheetProtection password="EC7C" sheet="1" objects="1" scenarios="1" formatCells="0" formatColumns="0" formatRows="0" insertRows="0" insertHyperlinks="0" deleteRows="0" autoFilter="0"/>
  <autoFilter ref="A4:AM44"/>
  <mergeCells count="13">
    <mergeCell ref="A1:AJ1"/>
    <mergeCell ref="AK1:AM1"/>
    <mergeCell ref="A2:AM2"/>
    <mergeCell ref="A3:B3"/>
    <mergeCell ref="C3:D3"/>
    <mergeCell ref="E3:F3"/>
    <mergeCell ref="G3:H3"/>
    <mergeCell ref="I3:J3"/>
    <mergeCell ref="K3:L3"/>
    <mergeCell ref="M3:N3"/>
    <mergeCell ref="O3:P3"/>
    <mergeCell ref="Q3:R3"/>
    <mergeCell ref="S3:AM3"/>
  </mergeCells>
  <conditionalFormatting sqref="AC5:AC44">
    <cfRule type="cellIs" dxfId="1" priority="50" operator="greaterThanOrEqual">
      <formula>UtilisationTarget</formula>
    </cfRule>
    <cfRule type="cellIs" dxfId="0" priority="51" operator="lessThan">
      <formula>UtilisationTarget</formula>
    </cfRule>
  </conditionalFormatting>
  <conditionalFormatting sqref="AF5:AF44">
    <cfRule type="cellIs" dxfId="2" priority="52" operator="lessThan">
      <formula>0</formula>
    </cfRule>
  </conditionalFormatting>
  <conditionalFormatting sqref="AG5:AG44">
    <cfRule type="cellIs" dxfId="2" priority="53" operator="lessThan">
      <formula>3.5</formula>
    </cfRule>
    <cfRule type="cellIs" dxfId="1" priority="54" operator="greaterThanOrEqual">
      <formula>4.5</formula>
    </cfRule>
  </conditionalFormatting>
  <conditionalFormatting sqref="AH5:AH44">
    <cfRule type="cellIs" dxfId="0" priority="55" operator="greaterThanOrEqual">
      <formula>2</formula>
    </cfRule>
  </conditionalFormatting>
  <conditionalFormatting sqref="AI5:AI44">
    <cfRule type="cellIs" dxfId="0" priority="56" operator="greaterThanOrEqual">
      <formula>3</formula>
    </cfRule>
  </conditionalFormatting>
  <conditionalFormatting sqref="AM5:AM44">
    <cfRule type="beginsWith" dxfId="1" priority="57" operator="beginsWith" text="OK">
      <formula>LEFT(AM5,2)="OK"</formula>
    </cfRule>
    <cfRule type="containsText" dxfId="2" priority="58" operator="containsText" text="Overdue">
      <formula>NOT(ISERROR(SEARCH("Overdue",AM5)))</formula>
    </cfRule>
    <cfRule type="containsText" dxfId="2" priority="59" operator="containsText" text="Late">
      <formula>NOT(ISERROR(SEARCH("Late",AM5)))</formula>
    </cfRule>
    <cfRule type="containsText" dxfId="2" priority="60" operator="containsText" text="Missing">
      <formula>NOT(ISERROR(SEARCH("Missing",AM5)))</formula>
    </cfRule>
    <cfRule type="containsText" dxfId="2" priority="61" operator="containsText" text="Conflict">
      <formula>NOT(ISERROR(SEARCH("Conflict",AM5)))</formula>
    </cfRule>
    <cfRule type="containsText" dxfId="2" priority="62" operator="containsText" text="Clash">
      <formula>NOT(ISERROR(SEARCH("Clash",AM5)))</formula>
    </cfRule>
    <cfRule type="containsText" dxfId="2" priority="63" operator="containsText" text="Expired">
      <formula>NOT(ISERROR(SEARCH("Expired",AM5)))</formula>
    </cfRule>
    <cfRule type="containsText" dxfId="2" priority="64" operator="containsText" text="Duplicate">
      <formula>NOT(ISERROR(SEARCH("Duplicate",AM5)))</formula>
    </cfRule>
    <cfRule type="containsText" dxfId="2" priority="65" operator="containsText" text="Unpaid">
      <formula>NOT(ISERROR(SEARCH("Unpaid",AM5)))</formula>
    </cfRule>
    <cfRule type="containsText" dxfId="2" priority="66" operator="containsText" text="Loss">
      <formula>NOT(ISERROR(SEARCH("Loss",AM5)))</formula>
    </cfRule>
    <cfRule type="containsText" dxfId="2" priority="67" operator="containsText" text="Below">
      <formula>NOT(ISERROR(SEARCH("Below",AM5)))</formula>
    </cfRule>
    <cfRule type="containsText" dxfId="0" priority="68" operator="containsText" text="Action">
      <formula>NOT(ISERROR(SEARCH("Action",AM5)))</formula>
    </cfRule>
    <cfRule type="containsText" dxfId="0" priority="69" operator="containsText" text="Due">
      <formula>NOT(ISERROR(SEARCH("Due",AM5)))</formula>
    </cfRule>
    <cfRule type="containsText" dxfId="0" priority="70" operator="containsText" text="Check">
      <formula>NOT(ISERROR(SEARCH("Check",AM5)))</formula>
    </cfRule>
    <cfRule type="containsText" dxfId="0" priority="71" operator="containsText" text="Chase">
      <formula>NOT(ISERROR(SEARCH("Chase",AM5)))</formula>
    </cfRule>
    <cfRule type="containsText" dxfId="0" priority="72" operator="containsText" text="Assign">
      <formula>NOT(ISERROR(SEARCH("Assign",AM5)))</formula>
    </cfRule>
    <cfRule type="containsText" dxfId="0" priority="73" operator="containsText" text="Confirm">
      <formula>NOT(ISERROR(SEARCH("Confirm",AM5)))</formula>
    </cfRule>
    <cfRule type="containsText" dxfId="0" priority="74" operator="containsText" text="Order">
      <formula>NOT(ISERROR(SEARCH("Order",AM5)))</formula>
    </cfRule>
    <cfRule type="containsText" dxfId="3" priority="75" operator="containsText" text="Today">
      <formula>NOT(ISERROR(SEARCH("Today",AM5)))</formula>
    </cfRule>
    <cfRule type="containsText" dxfId="3" priority="76" operator="containsText" text="Upcoming">
      <formula>NOT(ISERROR(SEARCH("Upcoming",AM5)))</formula>
    </cfRule>
    <cfRule type="containsText" dxfId="3" priority="77" operator="containsText" text="Tomorrow">
      <formula>NOT(ISERROR(SEARCH("Tomorrow",AM5)))</formula>
    </cfRule>
  </conditionalFormatting>
  <conditionalFormatting sqref="E5:E44">
    <cfRule type="containsText" dxfId="1" priority="1" operator="containsText" text="Completed">
      <formula>NOT(ISERROR(SEARCH("Completed",E5)))</formula>
    </cfRule>
    <cfRule type="containsText" dxfId="1" priority="2" operator="containsText" text="Complete">
      <formula>NOT(ISERROR(SEARCH("Complete",E5)))</formula>
    </cfRule>
    <cfRule type="containsText" dxfId="1" priority="3" operator="containsText" text="Done">
      <formula>NOT(ISERROR(SEARCH("Done",E5)))</formula>
    </cfRule>
    <cfRule type="containsText" dxfId="1" priority="4" operator="containsText" text="Paid">
      <formula>NOT(ISERROR(SEARCH("Paid",E5)))</formula>
    </cfRule>
    <cfRule type="containsText" dxfId="1" priority="5" operator="containsText" text="Accepted">
      <formula>NOT(ISERROR(SEARCH("Accepted",E5)))</formula>
    </cfRule>
    <cfRule type="containsText" dxfId="1" priority="6" operator="containsText" text="Won">
      <formula>NOT(ISERROR(SEARCH("Won",E5)))</formula>
    </cfRule>
    <cfRule type="containsText" dxfId="1" priority="7" operator="containsText" text="Active">
      <formula>NOT(ISERROR(SEARCH("Active",E5)))</formula>
    </cfRule>
    <cfRule type="containsText" dxfId="1" priority="8" operator="containsText" text="In stock">
      <formula>NOT(ISERROR(SEARCH("In stock",E5)))</formula>
    </cfRule>
    <cfRule type="containsText" dxfId="1" priority="9" operator="containsText" text="Resolved">
      <formula>NOT(ISERROR(SEARCH("Resolved",E5)))</formula>
    </cfRule>
    <cfRule type="containsText" dxfId="1" priority="10" operator="containsText" text="Signed">
      <formula>NOT(ISERROR(SEARCH("Signed",E5)))</formula>
    </cfRule>
    <cfRule type="containsText" dxfId="1" priority="11" operator="containsText" text="Yes">
      <formula>NOT(ISERROR(SEARCH("Yes",E5)))</formula>
    </cfRule>
    <cfRule type="containsText" dxfId="3" priority="12" operator="containsText" text="Booked">
      <formula>NOT(ISERROR(SEARCH("Booked",E5)))</formula>
    </cfRule>
    <cfRule type="containsText" dxfId="3" priority="13" operator="containsText" text="Confirmed">
      <formula>NOT(ISERROR(SEARCH("Confirmed",E5)))</formula>
    </cfRule>
    <cfRule type="containsText" dxfId="3" priority="14" operator="containsText" text="Scheduled">
      <formula>NOT(ISERROR(SEARCH("Scheduled",E5)))</formula>
    </cfRule>
    <cfRule type="containsText" dxfId="3" priority="15" operator="containsText" text="In progress">
      <formula>NOT(ISERROR(SEARCH("In progress",E5)))</formula>
    </cfRule>
    <cfRule type="containsText" dxfId="3" priority="16" operator="containsText" text="Sent">
      <formula>NOT(ISERROR(SEARCH("Sent",E5)))</formula>
    </cfRule>
    <cfRule type="containsText" dxfId="3" priority="17" operator="containsText" text="Invoiced">
      <formula>NOT(ISERROR(SEARCH("Invoiced",E5)))</formula>
    </cfRule>
    <cfRule type="containsText" dxfId="3" priority="18" operator="containsText" text="Quoted">
      <formula>NOT(ISERROR(SEARCH("Quoted",E5)))</formula>
    </cfRule>
    <cfRule type="containsText" dxfId="3" priority="19" operator="containsText" text="Prospect">
      <formula>NOT(ISERROR(SEARCH("Prospect",E5)))</formula>
    </cfRule>
    <cfRule type="containsText" dxfId="0" priority="20" operator="containsText" text="Draft">
      <formula>NOT(ISERROR(SEARCH("Draft",E5)))</formula>
    </cfRule>
    <cfRule type="containsText" dxfId="0" priority="21" operator="containsText" text="Enquiry">
      <formula>NOT(ISERROR(SEARCH("Enquiry",E5)))</formula>
    </cfRule>
    <cfRule type="containsText" dxfId="0" priority="22" operator="containsText" text="Pending">
      <formula>NOT(ISERROR(SEARCH("Pending",E5)))</formula>
    </cfRule>
    <cfRule type="containsText" dxfId="0" priority="23" operator="containsText" text="Part paid">
      <formula>NOT(ISERROR(SEARCH("Part paid",E5)))</formula>
    </cfRule>
    <cfRule type="containsText" dxfId="0" priority="24" operator="containsText" text="Followed up">
      <formula>NOT(ISERROR(SEARCH("Followed up",E5)))</formula>
    </cfRule>
    <cfRule type="containsText" dxfId="0" priority="25" operator="containsText" text="Low stock">
      <formula>NOT(ISERROR(SEARCH("Low stock",E5)))</formula>
    </cfRule>
    <cfRule type="containsText" dxfId="0" priority="26" operator="containsText" text="Due soon">
      <formula>NOT(ISERROR(SEARCH("Due soon",E5)))</formula>
    </cfRule>
    <cfRule type="containsText" dxfId="0" priority="27" operator="containsText" text="On hold">
      <formula>NOT(ISERROR(SEARCH("On hold",E5)))</formula>
    </cfRule>
    <cfRule type="containsText" dxfId="0" priority="28" operator="containsText" text="Unassigned">
      <formula>NOT(ISERROR(SEARCH("Unassigned",E5)))</formula>
    </cfRule>
    <cfRule type="containsText" dxfId="2" priority="29" operator="containsText" text="Overdue">
      <formula>NOT(ISERROR(SEARCH("Overdue",E5)))</formula>
    </cfRule>
    <cfRule type="containsText" dxfId="2" priority="30" operator="containsText" text="Cancelled">
      <formula>NOT(ISERROR(SEARCH("Cancelled",E5)))</formula>
    </cfRule>
    <cfRule type="containsText" dxfId="2" priority="31" operator="containsText" text="Declined">
      <formula>NOT(ISERROR(SEARCH("Declined",E5)))</formula>
    </cfRule>
    <cfRule type="containsText" dxfId="2" priority="32" operator="containsText" text="Lost">
      <formula>NOT(ISERROR(SEARCH("Lost",E5)))</formula>
    </cfRule>
    <cfRule type="containsText" dxfId="2" priority="33" operator="containsText" text="No access">
      <formula>NOT(ISERROR(SEARCH("No access",E5)))</formula>
    </cfRule>
    <cfRule type="containsText" dxfId="2" priority="34" operator="containsText" text="Out of stock">
      <formula>NOT(ISERROR(SEARCH("Out of stock",E5)))</formula>
    </cfRule>
    <cfRule type="containsText" dxfId="2" priority="35" operator="containsText" text="Written off">
      <formula>NOT(ISERROR(SEARCH("Written off",E5)))</formula>
    </cfRule>
    <cfRule type="containsText" dxfId="2" priority="36" operator="containsText" text="Expired">
      <formula>NOT(ISERROR(SEARCH("Expired",E5)))</formula>
    </cfRule>
    <cfRule type="containsText" dxfId="4" priority="37" operator="containsText" text="Inactive">
      <formula>NOT(ISERROR(SEARCH("Inactive",E5)))</formula>
    </cfRule>
    <cfRule type="containsText" dxfId="4" priority="38" operator="containsText" text="Archived">
      <formula>NOT(ISERROR(SEARCH("Archived",E5)))</formula>
    </cfRule>
    <cfRule type="containsText" dxfId="4" priority="39" operator="containsText" text="Not needed">
      <formula>NOT(ISERROR(SEARCH("Not needed",E5)))</formula>
    </cfRule>
  </conditionalFormatting>
  <conditionalFormatting sqref="O5:O44">
    <cfRule type="containsText" dxfId="0" priority="40" operator="containsText" text="No">
      <formula>NOT(ISERROR(SEARCH("No",O5)))</formula>
    </cfRule>
    <cfRule type="containsText" dxfId="1" priority="41" operator="containsText" text="Yes">
      <formula>NOT(ISERROR(SEARCH("Yes",O5)))</formula>
    </cfRule>
  </conditionalFormatting>
  <conditionalFormatting sqref="P5:P44">
    <cfRule type="containsText" dxfId="0" priority="42" operator="containsText" text="No">
      <formula>NOT(ISERROR(SEARCH("No",P5)))</formula>
    </cfRule>
    <cfRule type="containsText" dxfId="1" priority="43" operator="containsText" text="Yes">
      <formula>NOT(ISERROR(SEARCH("Yes",P5)))</formula>
    </cfRule>
  </conditionalFormatting>
  <conditionalFormatting sqref="Q5:Q44">
    <cfRule type="containsText" dxfId="0" priority="44" operator="containsText" text="No">
      <formula>NOT(ISERROR(SEARCH("No",Q5)))</formula>
    </cfRule>
    <cfRule type="containsText" dxfId="1" priority="45" operator="containsText" text="Yes">
      <formula>NOT(ISERROR(SEARCH("Yes",Q5)))</formula>
    </cfRule>
  </conditionalFormatting>
  <conditionalFormatting sqref="X5:X44">
    <cfRule type="dataBar" priority="46">
      <dataBar>
        <cfvo type="min" val="0"/>
        <cfvo type="max" val="0"/>
        <color rgb="FF2F8F9D"/>
      </dataBar>
    </cfRule>
  </conditionalFormatting>
  <conditionalFormatting sqref="Y5:Y44">
    <cfRule type="dataBar" priority="47">
      <dataBar>
        <cfvo type="min" val="0"/>
        <cfvo type="max" val="0"/>
        <color rgb="FFE8A33D"/>
      </dataBar>
    </cfRule>
  </conditionalFormatting>
  <conditionalFormatting sqref="Z5:Z44">
    <cfRule type="cellIs" dxfId="2" priority="48" operator="greaterThan">
      <formula>1</formula>
    </cfRule>
    <cfRule type="cellIs" dxfId="0" priority="49" operator="lessThan">
      <formula>0.5</formula>
    </cfRule>
  </conditionalFormatting>
  <dataValidations count="10">
    <dataValidation type="list" allowBlank="1" showInputMessage="1" showErrorMessage="1" sqref="C5:C44">
      <formula1>EmployeeRoleList</formula1>
    </dataValidation>
    <dataValidation type="list" allowBlank="1" showInputMessage="1" showErrorMessage="1" promptTitle="Employment" prompt="Subcontractors are costed differently - they invoice you rather than appearing on payroll." sqref="D5:D44">
      <formula1>EmploymentTypeList</formula1>
    </dataValidation>
    <dataValidation type="list" allowBlank="1" showInputMessage="1" showErrorMessage="1" sqref="E5:E44">
      <formula1>EmployeeStatusList</formula1>
    </dataValidation>
    <dataValidation type="date" allowBlank="1" showInputMessage="1" showErrorMessage="1" errorTitle="Check the date" error="Enter a real date between 2000 and 2100." sqref="I5:I44">
      <formula1>36526</formula1>
      <formula2>73415</formula2>
    </dataValidation>
    <dataValidation type="decimal" allowBlank="1" showInputMessage="1" showErrorMessage="1" errorTitle="Check the value" error="Enter a number between 0 and 1000." promptTitle="Pay an hour" prompt="Blank uses the standard pay rate from Settings. The true cost adds your on-costs on top." sqref="J5:J44">
      <formula1>0</formula1>
      <formula2>1000</formula2>
    </dataValidation>
    <dataValidation type="decimal" allowBlank="1" showInputMessage="1" showErrorMessage="1" errorTitle="Check the value" error="Enter a number between 0 and 100." promptTitle="Contracted hours a week" prompt="Used to work out how full their week is." sqref="K5:K44">
      <formula1>0</formula1>
      <formula2>100</formula2>
    </dataValidation>
    <dataValidation type="list" allowBlank="1" showInputMessage="1" showErrorMessage="1" sqref="N5:N44">
      <formula1>VehicleList</formula1>
    </dataValidation>
    <dataValidation type="list" allowBlank="1" showInputMessage="1" showErrorMessage="1" sqref="O5:O44">
      <formula1>YesNoList</formula1>
    </dataValidation>
    <dataValidation type="list" allowBlank="1" showInputMessage="1" showErrorMessage="1" promptTitle="Background check?" prompt="Essential for schools, nurseries and vulnerable clients. The expiry goes on the Safety tab." sqref="P5:P44">
      <formula1>YesNoNAList</formula1>
    </dataValidation>
    <dataValidation type="list" allowBlank="1" showInputMessage="1" showErrorMessage="1" promptTitle="Own insurance?" prompt="Subcontractors should have their own. Keep a copy." sqref="Q5:Q44">
      <formula1>YesNoNAList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&amp;L&amp;"Calibri,Bold"&amp;12&amp;C&amp;"Calibri,Bold"&amp;11Employees&amp;R&amp;"Calibri,Italic"&amp;9Cleaning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16.xml><?xml version="1.0" encoding="utf-8"?>
<worksheet xmlns="http://schemas.openxmlformats.org/spreadsheetml/2006/main" xmlns:r="http://schemas.openxmlformats.org/officeDocument/2006/relationships">
  <sheetPr>
    <tabColor rgb="FF2F8F9D"/>
    <pageSetUpPr fitToPage="1"/>
  </sheetPr>
  <dimension ref="A1:M59"/>
  <sheetViews>
    <sheetView showGridLines="0" workbookViewId="0">
      <pane ySplit="4" topLeftCell="A5" activePane="bottomLeft" state="frozen"/>
      <selection pane="bottomLeft"/>
    </sheetView>
  </sheetViews>
  <sheetFormatPr defaultRowHeight="15"/>
  <cols>
    <col min="1" max="1" width="20.7109375" customWidth="1"/>
    <col min="2" max="2" width="11.7109375" customWidth="1"/>
    <col min="3" max="3" width="11.7109375" customWidth="1"/>
    <col min="4" max="4" width="11.7109375" customWidth="1"/>
    <col min="5" max="5" width="11.7109375" customWidth="1"/>
    <col min="6" max="6" width="11.7109375" customWidth="1"/>
    <col min="7" max="7" width="11.7109375" customWidth="1"/>
    <col min="8" max="8" width="11.7109375" customWidth="1"/>
    <col min="9" max="9" width="13.7109375" customWidth="1"/>
    <col min="10" max="10" width="13.7109375" customWidth="1"/>
    <col min="11" max="11" width="13.7109375" customWidth="1"/>
    <col min="12" max="12" width="13.7109375" customWidth="1"/>
    <col min="13" max="13" width="13.7109375" customWidth="1"/>
    <col min="1" max="1" width="26.7109375" customWidth="1"/>
    <col min="2" max="2" width="14.7109375" customWidth="1"/>
    <col min="3" max="3" width="60.7109375" customWidth="1"/>
    <col min="1" max="1" width="12.7109375" customWidth="1"/>
    <col min="2" max="2" width="22.7109375" customWidth="1"/>
    <col min="3" max="3" width="24.7109375" customWidth="1"/>
    <col min="4" max="4" width="20.7109375" customWidth="1"/>
    <col min="5" max="5" width="9.7109375" customWidth="1"/>
    <col min="6" max="6" width="11.7109375" customWidth="1"/>
    <col min="7" max="7" width="12.7109375" customWidth="1"/>
    <col min="1" max="1" width="20.7109375" customWidth="1"/>
    <col min="2" max="2" width="12.7109375" customWidth="1"/>
    <col min="3" max="3" width="12.7109375" customWidth="1"/>
    <col min="4" max="4" width="12.7109375" customWidth="1"/>
    <col min="5" max="5" width="9.7109375" customWidth="1"/>
    <col min="6" max="6" width="9.7109375" customWidth="1"/>
    <col min="7" max="7" width="12.7109375" customWidth="1"/>
    <col min="8" max="8" width="11.7109375" customWidth="1"/>
  </cols>
  <sheetData>
    <row r="1" spans="1:13" ht="34" customHeight="1">
      <c r="A1" s="2" t="s">
        <v>49</v>
      </c>
      <c r="B1" s="2"/>
      <c r="C1" s="2"/>
      <c r="D1" s="2"/>
      <c r="E1" s="2"/>
      <c r="F1" s="2"/>
      <c r="G1" s="2"/>
      <c r="H1" s="2"/>
      <c r="I1" s="2"/>
      <c r="J1" s="2"/>
      <c r="K1" s="3" t="s">
        <v>1</v>
      </c>
      <c r="L1" s="3"/>
      <c r="M1" s="3"/>
    </row>
    <row r="2" spans="1:13" ht="18" customHeight="1">
      <c r="A2" s="4" t="s">
        <v>1431</v>
      </c>
      <c r="B2" s="4"/>
      <c r="C2" s="4"/>
      <c r="D2" s="4"/>
      <c r="E2" s="4"/>
      <c r="F2" s="4"/>
      <c r="G2" s="4"/>
      <c r="H2" s="4"/>
      <c r="I2" s="4"/>
      <c r="J2" s="4"/>
      <c r="K2" s="4"/>
      <c r="L2" s="4"/>
      <c r="M2" s="4"/>
    </row>
    <row r="3" spans="1:13" ht="16" customHeight="1">
      <c r="A3" s="5" t="s">
        <v>3</v>
      </c>
      <c r="B3" s="5"/>
      <c r="C3" s="5" t="s">
        <v>4</v>
      </c>
      <c r="D3" s="5"/>
      <c r="E3" s="5" t="s">
        <v>5</v>
      </c>
      <c r="F3" s="5"/>
      <c r="G3" s="5" t="s">
        <v>6</v>
      </c>
      <c r="H3" s="5"/>
      <c r="I3" s="5" t="s">
        <v>7</v>
      </c>
      <c r="J3" s="5"/>
      <c r="K3" s="5" t="s">
        <v>338</v>
      </c>
      <c r="L3" s="5"/>
      <c r="M3" s="14" t="s">
        <v>172</v>
      </c>
    </row>
    <row r="5" spans="1:13">
      <c r="A5" s="10" t="s">
        <v>1432</v>
      </c>
      <c r="B5" s="46">
        <f>WeekStartDate</f>
        <v>0</v>
      </c>
      <c r="C5" s="23">
        <f>"Week "&amp;TEXT(RotaStart,"d mmm")&amp;" to "&amp;TEXT(RotaStart+6,"d mmm yyyy")</f>
        <v>0</v>
      </c>
      <c r="D5" s="23"/>
      <c r="E5" s="24" t="s">
        <v>371</v>
      </c>
      <c r="F5" s="31">
        <f>COUNTIFS(Jobs!$B$5:$B$604,"&gt;="&amp;RotaStart,Jobs!$B$5:$B$604,"&lt;="&amp;RotaStart+6,Jobs!$P$5:$P$604,"&lt;&gt;Cancelled")</f>
        <v>0</v>
      </c>
      <c r="G5" s="24" t="s">
        <v>1077</v>
      </c>
      <c r="H5" s="34">
        <f>SUMIFS(Jobs!$AF$5:$AF$604,Jobs!$B$5:$B$604,"&gt;="&amp;RotaStart,Jobs!$B$5:$B$604,"&lt;="&amp;RotaStart+6,Jobs!$P$5:$P$604,"&lt;&gt;Cancelled")</f>
        <v>0</v>
      </c>
      <c r="I5" s="24" t="s">
        <v>1433</v>
      </c>
      <c r="J5" s="24"/>
      <c r="K5" s="36">
        <f>SUMIFS(Jobs!$AJ$5:$AJ$604,Jobs!$B$5:$B$604,"&gt;="&amp;RotaStart,Jobs!$B$5:$B$604,"&lt;="&amp;RotaStart+6,Jobs!$P$5:$P$604,"&lt;&gt;Cancelled")</f>
        <v>0</v>
      </c>
    </row>
    <row r="7" spans="1:13" ht="20" customHeight="1">
      <c r="A7" s="7" t="s">
        <v>1434</v>
      </c>
      <c r="B7" s="7"/>
      <c r="C7" s="7"/>
      <c r="D7" s="7"/>
      <c r="E7" s="7"/>
      <c r="F7" s="7"/>
      <c r="G7" s="7"/>
      <c r="H7" s="7"/>
      <c r="I7" s="7"/>
      <c r="J7" s="7"/>
      <c r="K7" s="7"/>
      <c r="L7" s="7"/>
      <c r="M7" s="7"/>
    </row>
    <row r="8" spans="1:13">
      <c r="A8" s="8" t="s">
        <v>1104</v>
      </c>
      <c r="B8" s="57">
        <f>RotaStart+0</f>
        <v>0</v>
      </c>
      <c r="C8" s="57">
        <f>RotaStart+1</f>
        <v>0</v>
      </c>
      <c r="D8" s="57">
        <f>RotaStart+2</f>
        <v>0</v>
      </c>
      <c r="E8" s="57">
        <f>RotaStart+3</f>
        <v>0</v>
      </c>
      <c r="F8" s="57">
        <f>RotaStart+4</f>
        <v>0</v>
      </c>
      <c r="G8" s="57">
        <f>RotaStart+5</f>
        <v>0</v>
      </c>
      <c r="H8" s="57">
        <f>RotaStart+6</f>
        <v>0</v>
      </c>
      <c r="I8" s="9" t="s">
        <v>1435</v>
      </c>
      <c r="J8" s="9" t="s">
        <v>1436</v>
      </c>
      <c r="K8" s="9" t="s">
        <v>1437</v>
      </c>
      <c r="L8" s="9" t="s">
        <v>371</v>
      </c>
      <c r="M8" s="9" t="s">
        <v>970</v>
      </c>
    </row>
    <row r="9" spans="1:13">
      <c r="A9" s="10">
        <f>IFERROR(INDEX(Employees!$B$5:$B$44,MATCH(1,Employees!$AJ$5:$AJ$44,0)),"")</f>
        <v>0</v>
      </c>
      <c r="B9" s="34">
        <f>IF($A$9="","",IF(SUMIFS(Jobs!$AF$5:$AF$604,Jobs!$R$5:$R$604,$A$9,Jobs!$B$5:$B$604,B$8,Jobs!$P$5:$P$604,"&lt;&gt;Cancelled")=0,"",SUMIFS(Jobs!$AF$5:$AF$604,Jobs!$R$5:$R$604,$A$9,Jobs!$B$5:$B$604,B$8,Jobs!$P$5:$P$604,"&lt;&gt;Cancelled")))</f>
        <v>0</v>
      </c>
      <c r="C9" s="34">
        <f>IF($A$9="","",IF(SUMIFS(Jobs!$AF$5:$AF$604,Jobs!$R$5:$R$604,$A$9,Jobs!$B$5:$B$604,C$8,Jobs!$P$5:$P$604,"&lt;&gt;Cancelled")=0,"",SUMIFS(Jobs!$AF$5:$AF$604,Jobs!$R$5:$R$604,$A$9,Jobs!$B$5:$B$604,C$8,Jobs!$P$5:$P$604,"&lt;&gt;Cancelled")))</f>
        <v>0</v>
      </c>
      <c r="D9" s="34">
        <f>IF($A$9="","",IF(SUMIFS(Jobs!$AF$5:$AF$604,Jobs!$R$5:$R$604,$A$9,Jobs!$B$5:$B$604,D$8,Jobs!$P$5:$P$604,"&lt;&gt;Cancelled")=0,"",SUMIFS(Jobs!$AF$5:$AF$604,Jobs!$R$5:$R$604,$A$9,Jobs!$B$5:$B$604,D$8,Jobs!$P$5:$P$604,"&lt;&gt;Cancelled")))</f>
        <v>0</v>
      </c>
      <c r="E9" s="34">
        <f>IF($A$9="","",IF(SUMIFS(Jobs!$AF$5:$AF$604,Jobs!$R$5:$R$604,$A$9,Jobs!$B$5:$B$604,E$8,Jobs!$P$5:$P$604,"&lt;&gt;Cancelled")=0,"",SUMIFS(Jobs!$AF$5:$AF$604,Jobs!$R$5:$R$604,$A$9,Jobs!$B$5:$B$604,E$8,Jobs!$P$5:$P$604,"&lt;&gt;Cancelled")))</f>
        <v>0</v>
      </c>
      <c r="F9" s="34">
        <f>IF($A$9="","",IF(SUMIFS(Jobs!$AF$5:$AF$604,Jobs!$R$5:$R$604,$A$9,Jobs!$B$5:$B$604,F$8,Jobs!$P$5:$P$604,"&lt;&gt;Cancelled")=0,"",SUMIFS(Jobs!$AF$5:$AF$604,Jobs!$R$5:$R$604,$A$9,Jobs!$B$5:$B$604,F$8,Jobs!$P$5:$P$604,"&lt;&gt;Cancelled")))</f>
        <v>0</v>
      </c>
      <c r="G9" s="34">
        <f>IF($A$9="","",IF(SUMIFS(Jobs!$AF$5:$AF$604,Jobs!$R$5:$R$604,$A$9,Jobs!$B$5:$B$604,G$8,Jobs!$P$5:$P$604,"&lt;&gt;Cancelled")=0,"",SUMIFS(Jobs!$AF$5:$AF$604,Jobs!$R$5:$R$604,$A$9,Jobs!$B$5:$B$604,G$8,Jobs!$P$5:$P$604,"&lt;&gt;Cancelled")))</f>
        <v>0</v>
      </c>
      <c r="H9" s="34">
        <f>IF($A$9="","",IF(SUMIFS(Jobs!$AF$5:$AF$604,Jobs!$R$5:$R$604,$A$9,Jobs!$B$5:$B$604,H$8,Jobs!$P$5:$P$604,"&lt;&gt;Cancelled")=0,"",SUMIFS(Jobs!$AF$5:$AF$604,Jobs!$R$5:$R$604,$A$9,Jobs!$B$5:$B$604,H$8,Jobs!$P$5:$P$604,"&lt;&gt;Cancelled")))</f>
        <v>0</v>
      </c>
      <c r="I9" s="34">
        <f>IF($A$9="","",SUMIFS(Jobs!$AF$5:$AF$604,Jobs!$R$5:$R$604,$A$9,Jobs!$B$5:$B$604,"&gt;="&amp;RotaStart,Jobs!$B$5:$B$604,"&lt;="&amp;RotaStart+6,Jobs!$P$5:$P$604,"&lt;&gt;Cancelled"))</f>
        <v>0</v>
      </c>
      <c r="J9" s="34">
        <f>IF($A$9="","",IFERROR(INDEX(Employees!$K$5:$K$44,MATCH($A$9,Employees!$B$5:$B$44,0)),""))</f>
        <v>0</v>
      </c>
      <c r="K9" s="38">
        <f>IF(OR($A$9="",J9="",J9=0),"",I9/J9)</f>
        <v>0</v>
      </c>
      <c r="L9" s="31">
        <f>IF($A$9="","",COUNTIFS(Jobs!$R$5:$R$604,$A$9,Jobs!$B$5:$B$604,"&gt;="&amp;RotaStart,Jobs!$B$5:$B$604,"&lt;="&amp;RotaStart+6,Jobs!$P$5:$P$604,"&lt;&gt;Cancelled"))</f>
        <v>0</v>
      </c>
      <c r="M9" s="39">
        <f>IF($A$9="","",IF(COUNTIFS(Jobs!$AR$5:$AR$604,"Clash",Jobs!$R$5:$R$604,$A$9,Jobs!$B$5:$B$604,"&gt;="&amp;RotaStart,Jobs!$B$5:$B$604,"&lt;="&amp;RotaStart+6)&gt;0,"Clash",IF(K9="","",IF(K9&gt;1,"Overloaded",IF(K9&lt;0.6,"Has room","OK")))))</f>
        <v>0</v>
      </c>
    </row>
    <row r="10" spans="1:13">
      <c r="A10" s="10">
        <f>IFERROR(INDEX(Employees!$B$5:$B$44,MATCH(2,Employees!$AJ$5:$AJ$44,0)),"")</f>
        <v>0</v>
      </c>
      <c r="B10" s="34">
        <f>IF($A$10="","",IF(SUMIFS(Jobs!$AF$5:$AF$604,Jobs!$R$5:$R$604,$A$10,Jobs!$B$5:$B$604,B$8,Jobs!$P$5:$P$604,"&lt;&gt;Cancelled")=0,"",SUMIFS(Jobs!$AF$5:$AF$604,Jobs!$R$5:$R$604,$A$10,Jobs!$B$5:$B$604,B$8,Jobs!$P$5:$P$604,"&lt;&gt;Cancelled")))</f>
        <v>0</v>
      </c>
      <c r="C10" s="34">
        <f>IF($A$10="","",IF(SUMIFS(Jobs!$AF$5:$AF$604,Jobs!$R$5:$R$604,$A$10,Jobs!$B$5:$B$604,C$8,Jobs!$P$5:$P$604,"&lt;&gt;Cancelled")=0,"",SUMIFS(Jobs!$AF$5:$AF$604,Jobs!$R$5:$R$604,$A$10,Jobs!$B$5:$B$604,C$8,Jobs!$P$5:$P$604,"&lt;&gt;Cancelled")))</f>
        <v>0</v>
      </c>
      <c r="D10" s="34">
        <f>IF($A$10="","",IF(SUMIFS(Jobs!$AF$5:$AF$604,Jobs!$R$5:$R$604,$A$10,Jobs!$B$5:$B$604,D$8,Jobs!$P$5:$P$604,"&lt;&gt;Cancelled")=0,"",SUMIFS(Jobs!$AF$5:$AF$604,Jobs!$R$5:$R$604,$A$10,Jobs!$B$5:$B$604,D$8,Jobs!$P$5:$P$604,"&lt;&gt;Cancelled")))</f>
        <v>0</v>
      </c>
      <c r="E10" s="34">
        <f>IF($A$10="","",IF(SUMIFS(Jobs!$AF$5:$AF$604,Jobs!$R$5:$R$604,$A$10,Jobs!$B$5:$B$604,E$8,Jobs!$P$5:$P$604,"&lt;&gt;Cancelled")=0,"",SUMIFS(Jobs!$AF$5:$AF$604,Jobs!$R$5:$R$604,$A$10,Jobs!$B$5:$B$604,E$8,Jobs!$P$5:$P$604,"&lt;&gt;Cancelled")))</f>
        <v>0</v>
      </c>
      <c r="F10" s="34">
        <f>IF($A$10="","",IF(SUMIFS(Jobs!$AF$5:$AF$604,Jobs!$R$5:$R$604,$A$10,Jobs!$B$5:$B$604,F$8,Jobs!$P$5:$P$604,"&lt;&gt;Cancelled")=0,"",SUMIFS(Jobs!$AF$5:$AF$604,Jobs!$R$5:$R$604,$A$10,Jobs!$B$5:$B$604,F$8,Jobs!$P$5:$P$604,"&lt;&gt;Cancelled")))</f>
        <v>0</v>
      </c>
      <c r="G10" s="34">
        <f>IF($A$10="","",IF(SUMIFS(Jobs!$AF$5:$AF$604,Jobs!$R$5:$R$604,$A$10,Jobs!$B$5:$B$604,G$8,Jobs!$P$5:$P$604,"&lt;&gt;Cancelled")=0,"",SUMIFS(Jobs!$AF$5:$AF$604,Jobs!$R$5:$R$604,$A$10,Jobs!$B$5:$B$604,G$8,Jobs!$P$5:$P$604,"&lt;&gt;Cancelled")))</f>
        <v>0</v>
      </c>
      <c r="H10" s="34">
        <f>IF($A$10="","",IF(SUMIFS(Jobs!$AF$5:$AF$604,Jobs!$R$5:$R$604,$A$10,Jobs!$B$5:$B$604,H$8,Jobs!$P$5:$P$604,"&lt;&gt;Cancelled")=0,"",SUMIFS(Jobs!$AF$5:$AF$604,Jobs!$R$5:$R$604,$A$10,Jobs!$B$5:$B$604,H$8,Jobs!$P$5:$P$604,"&lt;&gt;Cancelled")))</f>
        <v>0</v>
      </c>
      <c r="I10" s="34">
        <f>IF($A$10="","",SUMIFS(Jobs!$AF$5:$AF$604,Jobs!$R$5:$R$604,$A$10,Jobs!$B$5:$B$604,"&gt;="&amp;RotaStart,Jobs!$B$5:$B$604,"&lt;="&amp;RotaStart+6,Jobs!$P$5:$P$604,"&lt;&gt;Cancelled"))</f>
        <v>0</v>
      </c>
      <c r="J10" s="34">
        <f>IF($A$10="","",IFERROR(INDEX(Employees!$K$5:$K$44,MATCH($A$10,Employees!$B$5:$B$44,0)),""))</f>
        <v>0</v>
      </c>
      <c r="K10" s="38">
        <f>IF(OR($A$10="",J10="",J10=0),"",I10/J10)</f>
        <v>0</v>
      </c>
      <c r="L10" s="31">
        <f>IF($A$10="","",COUNTIFS(Jobs!$R$5:$R$604,$A$10,Jobs!$B$5:$B$604,"&gt;="&amp;RotaStart,Jobs!$B$5:$B$604,"&lt;="&amp;RotaStart+6,Jobs!$P$5:$P$604,"&lt;&gt;Cancelled"))</f>
        <v>0</v>
      </c>
      <c r="M10" s="39">
        <f>IF($A$10="","",IF(COUNTIFS(Jobs!$AR$5:$AR$604,"Clash",Jobs!$R$5:$R$604,$A$10,Jobs!$B$5:$B$604,"&gt;="&amp;RotaStart,Jobs!$B$5:$B$604,"&lt;="&amp;RotaStart+6)&gt;0,"Clash",IF(K10="","",IF(K10&gt;1,"Overloaded",IF(K10&lt;0.6,"Has room","OK")))))</f>
        <v>0</v>
      </c>
    </row>
    <row r="11" spans="1:13">
      <c r="A11" s="10">
        <f>IFERROR(INDEX(Employees!$B$5:$B$44,MATCH(3,Employees!$AJ$5:$AJ$44,0)),"")</f>
        <v>0</v>
      </c>
      <c r="B11" s="34">
        <f>IF($A$11="","",IF(SUMIFS(Jobs!$AF$5:$AF$604,Jobs!$R$5:$R$604,$A$11,Jobs!$B$5:$B$604,B$8,Jobs!$P$5:$P$604,"&lt;&gt;Cancelled")=0,"",SUMIFS(Jobs!$AF$5:$AF$604,Jobs!$R$5:$R$604,$A$11,Jobs!$B$5:$B$604,B$8,Jobs!$P$5:$P$604,"&lt;&gt;Cancelled")))</f>
        <v>0</v>
      </c>
      <c r="C11" s="34">
        <f>IF($A$11="","",IF(SUMIFS(Jobs!$AF$5:$AF$604,Jobs!$R$5:$R$604,$A$11,Jobs!$B$5:$B$604,C$8,Jobs!$P$5:$P$604,"&lt;&gt;Cancelled")=0,"",SUMIFS(Jobs!$AF$5:$AF$604,Jobs!$R$5:$R$604,$A$11,Jobs!$B$5:$B$604,C$8,Jobs!$P$5:$P$604,"&lt;&gt;Cancelled")))</f>
        <v>0</v>
      </c>
      <c r="D11" s="34">
        <f>IF($A$11="","",IF(SUMIFS(Jobs!$AF$5:$AF$604,Jobs!$R$5:$R$604,$A$11,Jobs!$B$5:$B$604,D$8,Jobs!$P$5:$P$604,"&lt;&gt;Cancelled")=0,"",SUMIFS(Jobs!$AF$5:$AF$604,Jobs!$R$5:$R$604,$A$11,Jobs!$B$5:$B$604,D$8,Jobs!$P$5:$P$604,"&lt;&gt;Cancelled")))</f>
        <v>0</v>
      </c>
      <c r="E11" s="34">
        <f>IF($A$11="","",IF(SUMIFS(Jobs!$AF$5:$AF$604,Jobs!$R$5:$R$604,$A$11,Jobs!$B$5:$B$604,E$8,Jobs!$P$5:$P$604,"&lt;&gt;Cancelled")=0,"",SUMIFS(Jobs!$AF$5:$AF$604,Jobs!$R$5:$R$604,$A$11,Jobs!$B$5:$B$604,E$8,Jobs!$P$5:$P$604,"&lt;&gt;Cancelled")))</f>
        <v>0</v>
      </c>
      <c r="F11" s="34">
        <f>IF($A$11="","",IF(SUMIFS(Jobs!$AF$5:$AF$604,Jobs!$R$5:$R$604,$A$11,Jobs!$B$5:$B$604,F$8,Jobs!$P$5:$P$604,"&lt;&gt;Cancelled")=0,"",SUMIFS(Jobs!$AF$5:$AF$604,Jobs!$R$5:$R$604,$A$11,Jobs!$B$5:$B$604,F$8,Jobs!$P$5:$P$604,"&lt;&gt;Cancelled")))</f>
        <v>0</v>
      </c>
      <c r="G11" s="34">
        <f>IF($A$11="","",IF(SUMIFS(Jobs!$AF$5:$AF$604,Jobs!$R$5:$R$604,$A$11,Jobs!$B$5:$B$604,G$8,Jobs!$P$5:$P$604,"&lt;&gt;Cancelled")=0,"",SUMIFS(Jobs!$AF$5:$AF$604,Jobs!$R$5:$R$604,$A$11,Jobs!$B$5:$B$604,G$8,Jobs!$P$5:$P$604,"&lt;&gt;Cancelled")))</f>
        <v>0</v>
      </c>
      <c r="H11" s="34">
        <f>IF($A$11="","",IF(SUMIFS(Jobs!$AF$5:$AF$604,Jobs!$R$5:$R$604,$A$11,Jobs!$B$5:$B$604,H$8,Jobs!$P$5:$P$604,"&lt;&gt;Cancelled")=0,"",SUMIFS(Jobs!$AF$5:$AF$604,Jobs!$R$5:$R$604,$A$11,Jobs!$B$5:$B$604,H$8,Jobs!$P$5:$P$604,"&lt;&gt;Cancelled")))</f>
        <v>0</v>
      </c>
      <c r="I11" s="34">
        <f>IF($A$11="","",SUMIFS(Jobs!$AF$5:$AF$604,Jobs!$R$5:$R$604,$A$11,Jobs!$B$5:$B$604,"&gt;="&amp;RotaStart,Jobs!$B$5:$B$604,"&lt;="&amp;RotaStart+6,Jobs!$P$5:$P$604,"&lt;&gt;Cancelled"))</f>
        <v>0</v>
      </c>
      <c r="J11" s="34">
        <f>IF($A$11="","",IFERROR(INDEX(Employees!$K$5:$K$44,MATCH($A$11,Employees!$B$5:$B$44,0)),""))</f>
        <v>0</v>
      </c>
      <c r="K11" s="38">
        <f>IF(OR($A$11="",J11="",J11=0),"",I11/J11)</f>
        <v>0</v>
      </c>
      <c r="L11" s="31">
        <f>IF($A$11="","",COUNTIFS(Jobs!$R$5:$R$604,$A$11,Jobs!$B$5:$B$604,"&gt;="&amp;RotaStart,Jobs!$B$5:$B$604,"&lt;="&amp;RotaStart+6,Jobs!$P$5:$P$604,"&lt;&gt;Cancelled"))</f>
        <v>0</v>
      </c>
      <c r="M11" s="39">
        <f>IF($A$11="","",IF(COUNTIFS(Jobs!$AR$5:$AR$604,"Clash",Jobs!$R$5:$R$604,$A$11,Jobs!$B$5:$B$604,"&gt;="&amp;RotaStart,Jobs!$B$5:$B$604,"&lt;="&amp;RotaStart+6)&gt;0,"Clash",IF(K11="","",IF(K11&gt;1,"Overloaded",IF(K11&lt;0.6,"Has room","OK")))))</f>
        <v>0</v>
      </c>
    </row>
    <row r="12" spans="1:13">
      <c r="A12" s="10">
        <f>IFERROR(INDEX(Employees!$B$5:$B$44,MATCH(4,Employees!$AJ$5:$AJ$44,0)),"")</f>
        <v>0</v>
      </c>
      <c r="B12" s="34">
        <f>IF($A$12="","",IF(SUMIFS(Jobs!$AF$5:$AF$604,Jobs!$R$5:$R$604,$A$12,Jobs!$B$5:$B$604,B$8,Jobs!$P$5:$P$604,"&lt;&gt;Cancelled")=0,"",SUMIFS(Jobs!$AF$5:$AF$604,Jobs!$R$5:$R$604,$A$12,Jobs!$B$5:$B$604,B$8,Jobs!$P$5:$P$604,"&lt;&gt;Cancelled")))</f>
        <v>0</v>
      </c>
      <c r="C12" s="34">
        <f>IF($A$12="","",IF(SUMIFS(Jobs!$AF$5:$AF$604,Jobs!$R$5:$R$604,$A$12,Jobs!$B$5:$B$604,C$8,Jobs!$P$5:$P$604,"&lt;&gt;Cancelled")=0,"",SUMIFS(Jobs!$AF$5:$AF$604,Jobs!$R$5:$R$604,$A$12,Jobs!$B$5:$B$604,C$8,Jobs!$P$5:$P$604,"&lt;&gt;Cancelled")))</f>
        <v>0</v>
      </c>
      <c r="D12" s="34">
        <f>IF($A$12="","",IF(SUMIFS(Jobs!$AF$5:$AF$604,Jobs!$R$5:$R$604,$A$12,Jobs!$B$5:$B$604,D$8,Jobs!$P$5:$P$604,"&lt;&gt;Cancelled")=0,"",SUMIFS(Jobs!$AF$5:$AF$604,Jobs!$R$5:$R$604,$A$12,Jobs!$B$5:$B$604,D$8,Jobs!$P$5:$P$604,"&lt;&gt;Cancelled")))</f>
        <v>0</v>
      </c>
      <c r="E12" s="34">
        <f>IF($A$12="","",IF(SUMIFS(Jobs!$AF$5:$AF$604,Jobs!$R$5:$R$604,$A$12,Jobs!$B$5:$B$604,E$8,Jobs!$P$5:$P$604,"&lt;&gt;Cancelled")=0,"",SUMIFS(Jobs!$AF$5:$AF$604,Jobs!$R$5:$R$604,$A$12,Jobs!$B$5:$B$604,E$8,Jobs!$P$5:$P$604,"&lt;&gt;Cancelled")))</f>
        <v>0</v>
      </c>
      <c r="F12" s="34">
        <f>IF($A$12="","",IF(SUMIFS(Jobs!$AF$5:$AF$604,Jobs!$R$5:$R$604,$A$12,Jobs!$B$5:$B$604,F$8,Jobs!$P$5:$P$604,"&lt;&gt;Cancelled")=0,"",SUMIFS(Jobs!$AF$5:$AF$604,Jobs!$R$5:$R$604,$A$12,Jobs!$B$5:$B$604,F$8,Jobs!$P$5:$P$604,"&lt;&gt;Cancelled")))</f>
        <v>0</v>
      </c>
      <c r="G12" s="34">
        <f>IF($A$12="","",IF(SUMIFS(Jobs!$AF$5:$AF$604,Jobs!$R$5:$R$604,$A$12,Jobs!$B$5:$B$604,G$8,Jobs!$P$5:$P$604,"&lt;&gt;Cancelled")=0,"",SUMIFS(Jobs!$AF$5:$AF$604,Jobs!$R$5:$R$604,$A$12,Jobs!$B$5:$B$604,G$8,Jobs!$P$5:$P$604,"&lt;&gt;Cancelled")))</f>
        <v>0</v>
      </c>
      <c r="H12" s="34">
        <f>IF($A$12="","",IF(SUMIFS(Jobs!$AF$5:$AF$604,Jobs!$R$5:$R$604,$A$12,Jobs!$B$5:$B$604,H$8,Jobs!$P$5:$P$604,"&lt;&gt;Cancelled")=0,"",SUMIFS(Jobs!$AF$5:$AF$604,Jobs!$R$5:$R$604,$A$12,Jobs!$B$5:$B$604,H$8,Jobs!$P$5:$P$604,"&lt;&gt;Cancelled")))</f>
        <v>0</v>
      </c>
      <c r="I12" s="34">
        <f>IF($A$12="","",SUMIFS(Jobs!$AF$5:$AF$604,Jobs!$R$5:$R$604,$A$12,Jobs!$B$5:$B$604,"&gt;="&amp;RotaStart,Jobs!$B$5:$B$604,"&lt;="&amp;RotaStart+6,Jobs!$P$5:$P$604,"&lt;&gt;Cancelled"))</f>
        <v>0</v>
      </c>
      <c r="J12" s="34">
        <f>IF($A$12="","",IFERROR(INDEX(Employees!$K$5:$K$44,MATCH($A$12,Employees!$B$5:$B$44,0)),""))</f>
        <v>0</v>
      </c>
      <c r="K12" s="38">
        <f>IF(OR($A$12="",J12="",J12=0),"",I12/J12)</f>
        <v>0</v>
      </c>
      <c r="L12" s="31">
        <f>IF($A$12="","",COUNTIFS(Jobs!$R$5:$R$604,$A$12,Jobs!$B$5:$B$604,"&gt;="&amp;RotaStart,Jobs!$B$5:$B$604,"&lt;="&amp;RotaStart+6,Jobs!$P$5:$P$604,"&lt;&gt;Cancelled"))</f>
        <v>0</v>
      </c>
      <c r="M12" s="39">
        <f>IF($A$12="","",IF(COUNTIFS(Jobs!$AR$5:$AR$604,"Clash",Jobs!$R$5:$R$604,$A$12,Jobs!$B$5:$B$604,"&gt;="&amp;RotaStart,Jobs!$B$5:$B$604,"&lt;="&amp;RotaStart+6)&gt;0,"Clash",IF(K12="","",IF(K12&gt;1,"Overloaded",IF(K12&lt;0.6,"Has room","OK")))))</f>
        <v>0</v>
      </c>
    </row>
    <row r="13" spans="1:13">
      <c r="A13" s="10">
        <f>IFERROR(INDEX(Employees!$B$5:$B$44,MATCH(5,Employees!$AJ$5:$AJ$44,0)),"")</f>
        <v>0</v>
      </c>
      <c r="B13" s="34">
        <f>IF($A$13="","",IF(SUMIFS(Jobs!$AF$5:$AF$604,Jobs!$R$5:$R$604,$A$13,Jobs!$B$5:$B$604,B$8,Jobs!$P$5:$P$604,"&lt;&gt;Cancelled")=0,"",SUMIFS(Jobs!$AF$5:$AF$604,Jobs!$R$5:$R$604,$A$13,Jobs!$B$5:$B$604,B$8,Jobs!$P$5:$P$604,"&lt;&gt;Cancelled")))</f>
        <v>0</v>
      </c>
      <c r="C13" s="34">
        <f>IF($A$13="","",IF(SUMIFS(Jobs!$AF$5:$AF$604,Jobs!$R$5:$R$604,$A$13,Jobs!$B$5:$B$604,C$8,Jobs!$P$5:$P$604,"&lt;&gt;Cancelled")=0,"",SUMIFS(Jobs!$AF$5:$AF$604,Jobs!$R$5:$R$604,$A$13,Jobs!$B$5:$B$604,C$8,Jobs!$P$5:$P$604,"&lt;&gt;Cancelled")))</f>
        <v>0</v>
      </c>
      <c r="D13" s="34">
        <f>IF($A$13="","",IF(SUMIFS(Jobs!$AF$5:$AF$604,Jobs!$R$5:$R$604,$A$13,Jobs!$B$5:$B$604,D$8,Jobs!$P$5:$P$604,"&lt;&gt;Cancelled")=0,"",SUMIFS(Jobs!$AF$5:$AF$604,Jobs!$R$5:$R$604,$A$13,Jobs!$B$5:$B$604,D$8,Jobs!$P$5:$P$604,"&lt;&gt;Cancelled")))</f>
        <v>0</v>
      </c>
      <c r="E13" s="34">
        <f>IF($A$13="","",IF(SUMIFS(Jobs!$AF$5:$AF$604,Jobs!$R$5:$R$604,$A$13,Jobs!$B$5:$B$604,E$8,Jobs!$P$5:$P$604,"&lt;&gt;Cancelled")=0,"",SUMIFS(Jobs!$AF$5:$AF$604,Jobs!$R$5:$R$604,$A$13,Jobs!$B$5:$B$604,E$8,Jobs!$P$5:$P$604,"&lt;&gt;Cancelled")))</f>
        <v>0</v>
      </c>
      <c r="F13" s="34">
        <f>IF($A$13="","",IF(SUMIFS(Jobs!$AF$5:$AF$604,Jobs!$R$5:$R$604,$A$13,Jobs!$B$5:$B$604,F$8,Jobs!$P$5:$P$604,"&lt;&gt;Cancelled")=0,"",SUMIFS(Jobs!$AF$5:$AF$604,Jobs!$R$5:$R$604,$A$13,Jobs!$B$5:$B$604,F$8,Jobs!$P$5:$P$604,"&lt;&gt;Cancelled")))</f>
        <v>0</v>
      </c>
      <c r="G13" s="34">
        <f>IF($A$13="","",IF(SUMIFS(Jobs!$AF$5:$AF$604,Jobs!$R$5:$R$604,$A$13,Jobs!$B$5:$B$604,G$8,Jobs!$P$5:$P$604,"&lt;&gt;Cancelled")=0,"",SUMIFS(Jobs!$AF$5:$AF$604,Jobs!$R$5:$R$604,$A$13,Jobs!$B$5:$B$604,G$8,Jobs!$P$5:$P$604,"&lt;&gt;Cancelled")))</f>
        <v>0</v>
      </c>
      <c r="H13" s="34">
        <f>IF($A$13="","",IF(SUMIFS(Jobs!$AF$5:$AF$604,Jobs!$R$5:$R$604,$A$13,Jobs!$B$5:$B$604,H$8,Jobs!$P$5:$P$604,"&lt;&gt;Cancelled")=0,"",SUMIFS(Jobs!$AF$5:$AF$604,Jobs!$R$5:$R$604,$A$13,Jobs!$B$5:$B$604,H$8,Jobs!$P$5:$P$604,"&lt;&gt;Cancelled")))</f>
        <v>0</v>
      </c>
      <c r="I13" s="34">
        <f>IF($A$13="","",SUMIFS(Jobs!$AF$5:$AF$604,Jobs!$R$5:$R$604,$A$13,Jobs!$B$5:$B$604,"&gt;="&amp;RotaStart,Jobs!$B$5:$B$604,"&lt;="&amp;RotaStart+6,Jobs!$P$5:$P$604,"&lt;&gt;Cancelled"))</f>
        <v>0</v>
      </c>
      <c r="J13" s="34">
        <f>IF($A$13="","",IFERROR(INDEX(Employees!$K$5:$K$44,MATCH($A$13,Employees!$B$5:$B$44,0)),""))</f>
        <v>0</v>
      </c>
      <c r="K13" s="38">
        <f>IF(OR($A$13="",J13="",J13=0),"",I13/J13)</f>
        <v>0</v>
      </c>
      <c r="L13" s="31">
        <f>IF($A$13="","",COUNTIFS(Jobs!$R$5:$R$604,$A$13,Jobs!$B$5:$B$604,"&gt;="&amp;RotaStart,Jobs!$B$5:$B$604,"&lt;="&amp;RotaStart+6,Jobs!$P$5:$P$604,"&lt;&gt;Cancelled"))</f>
        <v>0</v>
      </c>
      <c r="M13" s="39">
        <f>IF($A$13="","",IF(COUNTIFS(Jobs!$AR$5:$AR$604,"Clash",Jobs!$R$5:$R$604,$A$13,Jobs!$B$5:$B$604,"&gt;="&amp;RotaStart,Jobs!$B$5:$B$604,"&lt;="&amp;RotaStart+6)&gt;0,"Clash",IF(K13="","",IF(K13&gt;1,"Overloaded",IF(K13&lt;0.6,"Has room","OK")))))</f>
        <v>0</v>
      </c>
    </row>
    <row r="14" spans="1:13">
      <c r="A14" s="10">
        <f>IFERROR(INDEX(Employees!$B$5:$B$44,MATCH(6,Employees!$AJ$5:$AJ$44,0)),"")</f>
        <v>0</v>
      </c>
      <c r="B14" s="34">
        <f>IF($A$14="","",IF(SUMIFS(Jobs!$AF$5:$AF$604,Jobs!$R$5:$R$604,$A$14,Jobs!$B$5:$B$604,B$8,Jobs!$P$5:$P$604,"&lt;&gt;Cancelled")=0,"",SUMIFS(Jobs!$AF$5:$AF$604,Jobs!$R$5:$R$604,$A$14,Jobs!$B$5:$B$604,B$8,Jobs!$P$5:$P$604,"&lt;&gt;Cancelled")))</f>
        <v>0</v>
      </c>
      <c r="C14" s="34">
        <f>IF($A$14="","",IF(SUMIFS(Jobs!$AF$5:$AF$604,Jobs!$R$5:$R$604,$A$14,Jobs!$B$5:$B$604,C$8,Jobs!$P$5:$P$604,"&lt;&gt;Cancelled")=0,"",SUMIFS(Jobs!$AF$5:$AF$604,Jobs!$R$5:$R$604,$A$14,Jobs!$B$5:$B$604,C$8,Jobs!$P$5:$P$604,"&lt;&gt;Cancelled")))</f>
        <v>0</v>
      </c>
      <c r="D14" s="34">
        <f>IF($A$14="","",IF(SUMIFS(Jobs!$AF$5:$AF$604,Jobs!$R$5:$R$604,$A$14,Jobs!$B$5:$B$604,D$8,Jobs!$P$5:$P$604,"&lt;&gt;Cancelled")=0,"",SUMIFS(Jobs!$AF$5:$AF$604,Jobs!$R$5:$R$604,$A$14,Jobs!$B$5:$B$604,D$8,Jobs!$P$5:$P$604,"&lt;&gt;Cancelled")))</f>
        <v>0</v>
      </c>
      <c r="E14" s="34">
        <f>IF($A$14="","",IF(SUMIFS(Jobs!$AF$5:$AF$604,Jobs!$R$5:$R$604,$A$14,Jobs!$B$5:$B$604,E$8,Jobs!$P$5:$P$604,"&lt;&gt;Cancelled")=0,"",SUMIFS(Jobs!$AF$5:$AF$604,Jobs!$R$5:$R$604,$A$14,Jobs!$B$5:$B$604,E$8,Jobs!$P$5:$P$604,"&lt;&gt;Cancelled")))</f>
        <v>0</v>
      </c>
      <c r="F14" s="34">
        <f>IF($A$14="","",IF(SUMIFS(Jobs!$AF$5:$AF$604,Jobs!$R$5:$R$604,$A$14,Jobs!$B$5:$B$604,F$8,Jobs!$P$5:$P$604,"&lt;&gt;Cancelled")=0,"",SUMIFS(Jobs!$AF$5:$AF$604,Jobs!$R$5:$R$604,$A$14,Jobs!$B$5:$B$604,F$8,Jobs!$P$5:$P$604,"&lt;&gt;Cancelled")))</f>
        <v>0</v>
      </c>
      <c r="G14" s="34">
        <f>IF($A$14="","",IF(SUMIFS(Jobs!$AF$5:$AF$604,Jobs!$R$5:$R$604,$A$14,Jobs!$B$5:$B$604,G$8,Jobs!$P$5:$P$604,"&lt;&gt;Cancelled")=0,"",SUMIFS(Jobs!$AF$5:$AF$604,Jobs!$R$5:$R$604,$A$14,Jobs!$B$5:$B$604,G$8,Jobs!$P$5:$P$604,"&lt;&gt;Cancelled")))</f>
        <v>0</v>
      </c>
      <c r="H14" s="34">
        <f>IF($A$14="","",IF(SUMIFS(Jobs!$AF$5:$AF$604,Jobs!$R$5:$R$604,$A$14,Jobs!$B$5:$B$604,H$8,Jobs!$P$5:$P$604,"&lt;&gt;Cancelled")=0,"",SUMIFS(Jobs!$AF$5:$AF$604,Jobs!$R$5:$R$604,$A$14,Jobs!$B$5:$B$604,H$8,Jobs!$P$5:$P$604,"&lt;&gt;Cancelled")))</f>
        <v>0</v>
      </c>
      <c r="I14" s="34">
        <f>IF($A$14="","",SUMIFS(Jobs!$AF$5:$AF$604,Jobs!$R$5:$R$604,$A$14,Jobs!$B$5:$B$604,"&gt;="&amp;RotaStart,Jobs!$B$5:$B$604,"&lt;="&amp;RotaStart+6,Jobs!$P$5:$P$604,"&lt;&gt;Cancelled"))</f>
        <v>0</v>
      </c>
      <c r="J14" s="34">
        <f>IF($A$14="","",IFERROR(INDEX(Employees!$K$5:$K$44,MATCH($A$14,Employees!$B$5:$B$44,0)),""))</f>
        <v>0</v>
      </c>
      <c r="K14" s="38">
        <f>IF(OR($A$14="",J14="",J14=0),"",I14/J14)</f>
        <v>0</v>
      </c>
      <c r="L14" s="31">
        <f>IF($A$14="","",COUNTIFS(Jobs!$R$5:$R$604,$A$14,Jobs!$B$5:$B$604,"&gt;="&amp;RotaStart,Jobs!$B$5:$B$604,"&lt;="&amp;RotaStart+6,Jobs!$P$5:$P$604,"&lt;&gt;Cancelled"))</f>
        <v>0</v>
      </c>
      <c r="M14" s="39">
        <f>IF($A$14="","",IF(COUNTIFS(Jobs!$AR$5:$AR$604,"Clash",Jobs!$R$5:$R$604,$A$14,Jobs!$B$5:$B$604,"&gt;="&amp;RotaStart,Jobs!$B$5:$B$604,"&lt;="&amp;RotaStart+6)&gt;0,"Clash",IF(K14="","",IF(K14&gt;1,"Overloaded",IF(K14&lt;0.6,"Has room","OK")))))</f>
        <v>0</v>
      </c>
    </row>
    <row r="15" spans="1:13">
      <c r="A15" s="10">
        <f>IFERROR(INDEX(Employees!$B$5:$B$44,MATCH(7,Employees!$AJ$5:$AJ$44,0)),"")</f>
        <v>0</v>
      </c>
      <c r="B15" s="34">
        <f>IF($A$15="","",IF(SUMIFS(Jobs!$AF$5:$AF$604,Jobs!$R$5:$R$604,$A$15,Jobs!$B$5:$B$604,B$8,Jobs!$P$5:$P$604,"&lt;&gt;Cancelled")=0,"",SUMIFS(Jobs!$AF$5:$AF$604,Jobs!$R$5:$R$604,$A$15,Jobs!$B$5:$B$604,B$8,Jobs!$P$5:$P$604,"&lt;&gt;Cancelled")))</f>
        <v>0</v>
      </c>
      <c r="C15" s="34">
        <f>IF($A$15="","",IF(SUMIFS(Jobs!$AF$5:$AF$604,Jobs!$R$5:$R$604,$A$15,Jobs!$B$5:$B$604,C$8,Jobs!$P$5:$P$604,"&lt;&gt;Cancelled")=0,"",SUMIFS(Jobs!$AF$5:$AF$604,Jobs!$R$5:$R$604,$A$15,Jobs!$B$5:$B$604,C$8,Jobs!$P$5:$P$604,"&lt;&gt;Cancelled")))</f>
        <v>0</v>
      </c>
      <c r="D15" s="34">
        <f>IF($A$15="","",IF(SUMIFS(Jobs!$AF$5:$AF$604,Jobs!$R$5:$R$604,$A$15,Jobs!$B$5:$B$604,D$8,Jobs!$P$5:$P$604,"&lt;&gt;Cancelled")=0,"",SUMIFS(Jobs!$AF$5:$AF$604,Jobs!$R$5:$R$604,$A$15,Jobs!$B$5:$B$604,D$8,Jobs!$P$5:$P$604,"&lt;&gt;Cancelled")))</f>
        <v>0</v>
      </c>
      <c r="E15" s="34">
        <f>IF($A$15="","",IF(SUMIFS(Jobs!$AF$5:$AF$604,Jobs!$R$5:$R$604,$A$15,Jobs!$B$5:$B$604,E$8,Jobs!$P$5:$P$604,"&lt;&gt;Cancelled")=0,"",SUMIFS(Jobs!$AF$5:$AF$604,Jobs!$R$5:$R$604,$A$15,Jobs!$B$5:$B$604,E$8,Jobs!$P$5:$P$604,"&lt;&gt;Cancelled")))</f>
        <v>0</v>
      </c>
      <c r="F15" s="34">
        <f>IF($A$15="","",IF(SUMIFS(Jobs!$AF$5:$AF$604,Jobs!$R$5:$R$604,$A$15,Jobs!$B$5:$B$604,F$8,Jobs!$P$5:$P$604,"&lt;&gt;Cancelled")=0,"",SUMIFS(Jobs!$AF$5:$AF$604,Jobs!$R$5:$R$604,$A$15,Jobs!$B$5:$B$604,F$8,Jobs!$P$5:$P$604,"&lt;&gt;Cancelled")))</f>
        <v>0</v>
      </c>
      <c r="G15" s="34">
        <f>IF($A$15="","",IF(SUMIFS(Jobs!$AF$5:$AF$604,Jobs!$R$5:$R$604,$A$15,Jobs!$B$5:$B$604,G$8,Jobs!$P$5:$P$604,"&lt;&gt;Cancelled")=0,"",SUMIFS(Jobs!$AF$5:$AF$604,Jobs!$R$5:$R$604,$A$15,Jobs!$B$5:$B$604,G$8,Jobs!$P$5:$P$604,"&lt;&gt;Cancelled")))</f>
        <v>0</v>
      </c>
      <c r="H15" s="34">
        <f>IF($A$15="","",IF(SUMIFS(Jobs!$AF$5:$AF$604,Jobs!$R$5:$R$604,$A$15,Jobs!$B$5:$B$604,H$8,Jobs!$P$5:$P$604,"&lt;&gt;Cancelled")=0,"",SUMIFS(Jobs!$AF$5:$AF$604,Jobs!$R$5:$R$604,$A$15,Jobs!$B$5:$B$604,H$8,Jobs!$P$5:$P$604,"&lt;&gt;Cancelled")))</f>
        <v>0</v>
      </c>
      <c r="I15" s="34">
        <f>IF($A$15="","",SUMIFS(Jobs!$AF$5:$AF$604,Jobs!$R$5:$R$604,$A$15,Jobs!$B$5:$B$604,"&gt;="&amp;RotaStart,Jobs!$B$5:$B$604,"&lt;="&amp;RotaStart+6,Jobs!$P$5:$P$604,"&lt;&gt;Cancelled"))</f>
        <v>0</v>
      </c>
      <c r="J15" s="34">
        <f>IF($A$15="","",IFERROR(INDEX(Employees!$K$5:$K$44,MATCH($A$15,Employees!$B$5:$B$44,0)),""))</f>
        <v>0</v>
      </c>
      <c r="K15" s="38">
        <f>IF(OR($A$15="",J15="",J15=0),"",I15/J15)</f>
        <v>0</v>
      </c>
      <c r="L15" s="31">
        <f>IF($A$15="","",COUNTIFS(Jobs!$R$5:$R$604,$A$15,Jobs!$B$5:$B$604,"&gt;="&amp;RotaStart,Jobs!$B$5:$B$604,"&lt;="&amp;RotaStart+6,Jobs!$P$5:$P$604,"&lt;&gt;Cancelled"))</f>
        <v>0</v>
      </c>
      <c r="M15" s="39">
        <f>IF($A$15="","",IF(COUNTIFS(Jobs!$AR$5:$AR$604,"Clash",Jobs!$R$5:$R$604,$A$15,Jobs!$B$5:$B$604,"&gt;="&amp;RotaStart,Jobs!$B$5:$B$604,"&lt;="&amp;RotaStart+6)&gt;0,"Clash",IF(K15="","",IF(K15&gt;1,"Overloaded",IF(K15&lt;0.6,"Has room","OK")))))</f>
        <v>0</v>
      </c>
    </row>
    <row r="16" spans="1:13">
      <c r="A16" s="10">
        <f>IFERROR(INDEX(Employees!$B$5:$B$44,MATCH(8,Employees!$AJ$5:$AJ$44,0)),"")</f>
        <v>0</v>
      </c>
      <c r="B16" s="34">
        <f>IF($A$16="","",IF(SUMIFS(Jobs!$AF$5:$AF$604,Jobs!$R$5:$R$604,$A$16,Jobs!$B$5:$B$604,B$8,Jobs!$P$5:$P$604,"&lt;&gt;Cancelled")=0,"",SUMIFS(Jobs!$AF$5:$AF$604,Jobs!$R$5:$R$604,$A$16,Jobs!$B$5:$B$604,B$8,Jobs!$P$5:$P$604,"&lt;&gt;Cancelled")))</f>
        <v>0</v>
      </c>
      <c r="C16" s="34">
        <f>IF($A$16="","",IF(SUMIFS(Jobs!$AF$5:$AF$604,Jobs!$R$5:$R$604,$A$16,Jobs!$B$5:$B$604,C$8,Jobs!$P$5:$P$604,"&lt;&gt;Cancelled")=0,"",SUMIFS(Jobs!$AF$5:$AF$604,Jobs!$R$5:$R$604,$A$16,Jobs!$B$5:$B$604,C$8,Jobs!$P$5:$P$604,"&lt;&gt;Cancelled")))</f>
        <v>0</v>
      </c>
      <c r="D16" s="34">
        <f>IF($A$16="","",IF(SUMIFS(Jobs!$AF$5:$AF$604,Jobs!$R$5:$R$604,$A$16,Jobs!$B$5:$B$604,D$8,Jobs!$P$5:$P$604,"&lt;&gt;Cancelled")=0,"",SUMIFS(Jobs!$AF$5:$AF$604,Jobs!$R$5:$R$604,$A$16,Jobs!$B$5:$B$604,D$8,Jobs!$P$5:$P$604,"&lt;&gt;Cancelled")))</f>
        <v>0</v>
      </c>
      <c r="E16" s="34">
        <f>IF($A$16="","",IF(SUMIFS(Jobs!$AF$5:$AF$604,Jobs!$R$5:$R$604,$A$16,Jobs!$B$5:$B$604,E$8,Jobs!$P$5:$P$604,"&lt;&gt;Cancelled")=0,"",SUMIFS(Jobs!$AF$5:$AF$604,Jobs!$R$5:$R$604,$A$16,Jobs!$B$5:$B$604,E$8,Jobs!$P$5:$P$604,"&lt;&gt;Cancelled")))</f>
        <v>0</v>
      </c>
      <c r="F16" s="34">
        <f>IF($A$16="","",IF(SUMIFS(Jobs!$AF$5:$AF$604,Jobs!$R$5:$R$604,$A$16,Jobs!$B$5:$B$604,F$8,Jobs!$P$5:$P$604,"&lt;&gt;Cancelled")=0,"",SUMIFS(Jobs!$AF$5:$AF$604,Jobs!$R$5:$R$604,$A$16,Jobs!$B$5:$B$604,F$8,Jobs!$P$5:$P$604,"&lt;&gt;Cancelled")))</f>
        <v>0</v>
      </c>
      <c r="G16" s="34">
        <f>IF($A$16="","",IF(SUMIFS(Jobs!$AF$5:$AF$604,Jobs!$R$5:$R$604,$A$16,Jobs!$B$5:$B$604,G$8,Jobs!$P$5:$P$604,"&lt;&gt;Cancelled")=0,"",SUMIFS(Jobs!$AF$5:$AF$604,Jobs!$R$5:$R$604,$A$16,Jobs!$B$5:$B$604,G$8,Jobs!$P$5:$P$604,"&lt;&gt;Cancelled")))</f>
        <v>0</v>
      </c>
      <c r="H16" s="34">
        <f>IF($A$16="","",IF(SUMIFS(Jobs!$AF$5:$AF$604,Jobs!$R$5:$R$604,$A$16,Jobs!$B$5:$B$604,H$8,Jobs!$P$5:$P$604,"&lt;&gt;Cancelled")=0,"",SUMIFS(Jobs!$AF$5:$AF$604,Jobs!$R$5:$R$604,$A$16,Jobs!$B$5:$B$604,H$8,Jobs!$P$5:$P$604,"&lt;&gt;Cancelled")))</f>
        <v>0</v>
      </c>
      <c r="I16" s="34">
        <f>IF($A$16="","",SUMIFS(Jobs!$AF$5:$AF$604,Jobs!$R$5:$R$604,$A$16,Jobs!$B$5:$B$604,"&gt;="&amp;RotaStart,Jobs!$B$5:$B$604,"&lt;="&amp;RotaStart+6,Jobs!$P$5:$P$604,"&lt;&gt;Cancelled"))</f>
        <v>0</v>
      </c>
      <c r="J16" s="34">
        <f>IF($A$16="","",IFERROR(INDEX(Employees!$K$5:$K$44,MATCH($A$16,Employees!$B$5:$B$44,0)),""))</f>
        <v>0</v>
      </c>
      <c r="K16" s="38">
        <f>IF(OR($A$16="",J16="",J16=0),"",I16/J16)</f>
        <v>0</v>
      </c>
      <c r="L16" s="31">
        <f>IF($A$16="","",COUNTIFS(Jobs!$R$5:$R$604,$A$16,Jobs!$B$5:$B$604,"&gt;="&amp;RotaStart,Jobs!$B$5:$B$604,"&lt;="&amp;RotaStart+6,Jobs!$P$5:$P$604,"&lt;&gt;Cancelled"))</f>
        <v>0</v>
      </c>
      <c r="M16" s="39">
        <f>IF($A$16="","",IF(COUNTIFS(Jobs!$AR$5:$AR$604,"Clash",Jobs!$R$5:$R$604,$A$16,Jobs!$B$5:$B$604,"&gt;="&amp;RotaStart,Jobs!$B$5:$B$604,"&lt;="&amp;RotaStart+6)&gt;0,"Clash",IF(K16="","",IF(K16&gt;1,"Overloaded",IF(K16&lt;0.6,"Has room","OK")))))</f>
        <v>0</v>
      </c>
    </row>
    <row r="17" spans="1:13">
      <c r="A17" s="10">
        <f>IFERROR(INDEX(Employees!$B$5:$B$44,MATCH(9,Employees!$AJ$5:$AJ$44,0)),"")</f>
        <v>0</v>
      </c>
      <c r="B17" s="34">
        <f>IF($A$17="","",IF(SUMIFS(Jobs!$AF$5:$AF$604,Jobs!$R$5:$R$604,$A$17,Jobs!$B$5:$B$604,B$8,Jobs!$P$5:$P$604,"&lt;&gt;Cancelled")=0,"",SUMIFS(Jobs!$AF$5:$AF$604,Jobs!$R$5:$R$604,$A$17,Jobs!$B$5:$B$604,B$8,Jobs!$P$5:$P$604,"&lt;&gt;Cancelled")))</f>
        <v>0</v>
      </c>
      <c r="C17" s="34">
        <f>IF($A$17="","",IF(SUMIFS(Jobs!$AF$5:$AF$604,Jobs!$R$5:$R$604,$A$17,Jobs!$B$5:$B$604,C$8,Jobs!$P$5:$P$604,"&lt;&gt;Cancelled")=0,"",SUMIFS(Jobs!$AF$5:$AF$604,Jobs!$R$5:$R$604,$A$17,Jobs!$B$5:$B$604,C$8,Jobs!$P$5:$P$604,"&lt;&gt;Cancelled")))</f>
        <v>0</v>
      </c>
      <c r="D17" s="34">
        <f>IF($A$17="","",IF(SUMIFS(Jobs!$AF$5:$AF$604,Jobs!$R$5:$R$604,$A$17,Jobs!$B$5:$B$604,D$8,Jobs!$P$5:$P$604,"&lt;&gt;Cancelled")=0,"",SUMIFS(Jobs!$AF$5:$AF$604,Jobs!$R$5:$R$604,$A$17,Jobs!$B$5:$B$604,D$8,Jobs!$P$5:$P$604,"&lt;&gt;Cancelled")))</f>
        <v>0</v>
      </c>
      <c r="E17" s="34">
        <f>IF($A$17="","",IF(SUMIFS(Jobs!$AF$5:$AF$604,Jobs!$R$5:$R$604,$A$17,Jobs!$B$5:$B$604,E$8,Jobs!$P$5:$P$604,"&lt;&gt;Cancelled")=0,"",SUMIFS(Jobs!$AF$5:$AF$604,Jobs!$R$5:$R$604,$A$17,Jobs!$B$5:$B$604,E$8,Jobs!$P$5:$P$604,"&lt;&gt;Cancelled")))</f>
        <v>0</v>
      </c>
      <c r="F17" s="34">
        <f>IF($A$17="","",IF(SUMIFS(Jobs!$AF$5:$AF$604,Jobs!$R$5:$R$604,$A$17,Jobs!$B$5:$B$604,F$8,Jobs!$P$5:$P$604,"&lt;&gt;Cancelled")=0,"",SUMIFS(Jobs!$AF$5:$AF$604,Jobs!$R$5:$R$604,$A$17,Jobs!$B$5:$B$604,F$8,Jobs!$P$5:$P$604,"&lt;&gt;Cancelled")))</f>
        <v>0</v>
      </c>
      <c r="G17" s="34">
        <f>IF($A$17="","",IF(SUMIFS(Jobs!$AF$5:$AF$604,Jobs!$R$5:$R$604,$A$17,Jobs!$B$5:$B$604,G$8,Jobs!$P$5:$P$604,"&lt;&gt;Cancelled")=0,"",SUMIFS(Jobs!$AF$5:$AF$604,Jobs!$R$5:$R$604,$A$17,Jobs!$B$5:$B$604,G$8,Jobs!$P$5:$P$604,"&lt;&gt;Cancelled")))</f>
        <v>0</v>
      </c>
      <c r="H17" s="34">
        <f>IF($A$17="","",IF(SUMIFS(Jobs!$AF$5:$AF$604,Jobs!$R$5:$R$604,$A$17,Jobs!$B$5:$B$604,H$8,Jobs!$P$5:$P$604,"&lt;&gt;Cancelled")=0,"",SUMIFS(Jobs!$AF$5:$AF$604,Jobs!$R$5:$R$604,$A$17,Jobs!$B$5:$B$604,H$8,Jobs!$P$5:$P$604,"&lt;&gt;Cancelled")))</f>
        <v>0</v>
      </c>
      <c r="I17" s="34">
        <f>IF($A$17="","",SUMIFS(Jobs!$AF$5:$AF$604,Jobs!$R$5:$R$604,$A$17,Jobs!$B$5:$B$604,"&gt;="&amp;RotaStart,Jobs!$B$5:$B$604,"&lt;="&amp;RotaStart+6,Jobs!$P$5:$P$604,"&lt;&gt;Cancelled"))</f>
        <v>0</v>
      </c>
      <c r="J17" s="34">
        <f>IF($A$17="","",IFERROR(INDEX(Employees!$K$5:$K$44,MATCH($A$17,Employees!$B$5:$B$44,0)),""))</f>
        <v>0</v>
      </c>
      <c r="K17" s="38">
        <f>IF(OR($A$17="",J17="",J17=0),"",I17/J17)</f>
        <v>0</v>
      </c>
      <c r="L17" s="31">
        <f>IF($A$17="","",COUNTIFS(Jobs!$R$5:$R$604,$A$17,Jobs!$B$5:$B$604,"&gt;="&amp;RotaStart,Jobs!$B$5:$B$604,"&lt;="&amp;RotaStart+6,Jobs!$P$5:$P$604,"&lt;&gt;Cancelled"))</f>
        <v>0</v>
      </c>
      <c r="M17" s="39">
        <f>IF($A$17="","",IF(COUNTIFS(Jobs!$AR$5:$AR$604,"Clash",Jobs!$R$5:$R$604,$A$17,Jobs!$B$5:$B$604,"&gt;="&amp;RotaStart,Jobs!$B$5:$B$604,"&lt;="&amp;RotaStart+6)&gt;0,"Clash",IF(K17="","",IF(K17&gt;1,"Overloaded",IF(K17&lt;0.6,"Has room","OK")))))</f>
        <v>0</v>
      </c>
    </row>
    <row r="18" spans="1:13">
      <c r="A18" s="10">
        <f>IFERROR(INDEX(Employees!$B$5:$B$44,MATCH(10,Employees!$AJ$5:$AJ$44,0)),"")</f>
        <v>0</v>
      </c>
      <c r="B18" s="34">
        <f>IF($A$18="","",IF(SUMIFS(Jobs!$AF$5:$AF$604,Jobs!$R$5:$R$604,$A$18,Jobs!$B$5:$B$604,B$8,Jobs!$P$5:$P$604,"&lt;&gt;Cancelled")=0,"",SUMIFS(Jobs!$AF$5:$AF$604,Jobs!$R$5:$R$604,$A$18,Jobs!$B$5:$B$604,B$8,Jobs!$P$5:$P$604,"&lt;&gt;Cancelled")))</f>
        <v>0</v>
      </c>
      <c r="C18" s="34">
        <f>IF($A$18="","",IF(SUMIFS(Jobs!$AF$5:$AF$604,Jobs!$R$5:$R$604,$A$18,Jobs!$B$5:$B$604,C$8,Jobs!$P$5:$P$604,"&lt;&gt;Cancelled")=0,"",SUMIFS(Jobs!$AF$5:$AF$604,Jobs!$R$5:$R$604,$A$18,Jobs!$B$5:$B$604,C$8,Jobs!$P$5:$P$604,"&lt;&gt;Cancelled")))</f>
        <v>0</v>
      </c>
      <c r="D18" s="34">
        <f>IF($A$18="","",IF(SUMIFS(Jobs!$AF$5:$AF$604,Jobs!$R$5:$R$604,$A$18,Jobs!$B$5:$B$604,D$8,Jobs!$P$5:$P$604,"&lt;&gt;Cancelled")=0,"",SUMIFS(Jobs!$AF$5:$AF$604,Jobs!$R$5:$R$604,$A$18,Jobs!$B$5:$B$604,D$8,Jobs!$P$5:$P$604,"&lt;&gt;Cancelled")))</f>
        <v>0</v>
      </c>
      <c r="E18" s="34">
        <f>IF($A$18="","",IF(SUMIFS(Jobs!$AF$5:$AF$604,Jobs!$R$5:$R$604,$A$18,Jobs!$B$5:$B$604,E$8,Jobs!$P$5:$P$604,"&lt;&gt;Cancelled")=0,"",SUMIFS(Jobs!$AF$5:$AF$604,Jobs!$R$5:$R$604,$A$18,Jobs!$B$5:$B$604,E$8,Jobs!$P$5:$P$604,"&lt;&gt;Cancelled")))</f>
        <v>0</v>
      </c>
      <c r="F18" s="34">
        <f>IF($A$18="","",IF(SUMIFS(Jobs!$AF$5:$AF$604,Jobs!$R$5:$R$604,$A$18,Jobs!$B$5:$B$604,F$8,Jobs!$P$5:$P$604,"&lt;&gt;Cancelled")=0,"",SUMIFS(Jobs!$AF$5:$AF$604,Jobs!$R$5:$R$604,$A$18,Jobs!$B$5:$B$604,F$8,Jobs!$P$5:$P$604,"&lt;&gt;Cancelled")))</f>
        <v>0</v>
      </c>
      <c r="G18" s="34">
        <f>IF($A$18="","",IF(SUMIFS(Jobs!$AF$5:$AF$604,Jobs!$R$5:$R$604,$A$18,Jobs!$B$5:$B$604,G$8,Jobs!$P$5:$P$604,"&lt;&gt;Cancelled")=0,"",SUMIFS(Jobs!$AF$5:$AF$604,Jobs!$R$5:$R$604,$A$18,Jobs!$B$5:$B$604,G$8,Jobs!$P$5:$P$604,"&lt;&gt;Cancelled")))</f>
        <v>0</v>
      </c>
      <c r="H18" s="34">
        <f>IF($A$18="","",IF(SUMIFS(Jobs!$AF$5:$AF$604,Jobs!$R$5:$R$604,$A$18,Jobs!$B$5:$B$604,H$8,Jobs!$P$5:$P$604,"&lt;&gt;Cancelled")=0,"",SUMIFS(Jobs!$AF$5:$AF$604,Jobs!$R$5:$R$604,$A$18,Jobs!$B$5:$B$604,H$8,Jobs!$P$5:$P$604,"&lt;&gt;Cancelled")))</f>
        <v>0</v>
      </c>
      <c r="I18" s="34">
        <f>IF($A$18="","",SUMIFS(Jobs!$AF$5:$AF$604,Jobs!$R$5:$R$604,$A$18,Jobs!$B$5:$B$604,"&gt;="&amp;RotaStart,Jobs!$B$5:$B$604,"&lt;="&amp;RotaStart+6,Jobs!$P$5:$P$604,"&lt;&gt;Cancelled"))</f>
        <v>0</v>
      </c>
      <c r="J18" s="34">
        <f>IF($A$18="","",IFERROR(INDEX(Employees!$K$5:$K$44,MATCH($A$18,Employees!$B$5:$B$44,0)),""))</f>
        <v>0</v>
      </c>
      <c r="K18" s="38">
        <f>IF(OR($A$18="",J18="",J18=0),"",I18/J18)</f>
        <v>0</v>
      </c>
      <c r="L18" s="31">
        <f>IF($A$18="","",COUNTIFS(Jobs!$R$5:$R$604,$A$18,Jobs!$B$5:$B$604,"&gt;="&amp;RotaStart,Jobs!$B$5:$B$604,"&lt;="&amp;RotaStart+6,Jobs!$P$5:$P$604,"&lt;&gt;Cancelled"))</f>
        <v>0</v>
      </c>
      <c r="M18" s="39">
        <f>IF($A$18="","",IF(COUNTIFS(Jobs!$AR$5:$AR$604,"Clash",Jobs!$R$5:$R$604,$A$18,Jobs!$B$5:$B$604,"&gt;="&amp;RotaStart,Jobs!$B$5:$B$604,"&lt;="&amp;RotaStart+6)&gt;0,"Clash",IF(K18="","",IF(K18&gt;1,"Overloaded",IF(K18&lt;0.6,"Has room","OK")))))</f>
        <v>0</v>
      </c>
    </row>
    <row r="19" spans="1:13">
      <c r="A19" s="10">
        <f>IFERROR(INDEX(Employees!$B$5:$B$44,MATCH(11,Employees!$AJ$5:$AJ$44,0)),"")</f>
        <v>0</v>
      </c>
      <c r="B19" s="34">
        <f>IF($A$19="","",IF(SUMIFS(Jobs!$AF$5:$AF$604,Jobs!$R$5:$R$604,$A$19,Jobs!$B$5:$B$604,B$8,Jobs!$P$5:$P$604,"&lt;&gt;Cancelled")=0,"",SUMIFS(Jobs!$AF$5:$AF$604,Jobs!$R$5:$R$604,$A$19,Jobs!$B$5:$B$604,B$8,Jobs!$P$5:$P$604,"&lt;&gt;Cancelled")))</f>
        <v>0</v>
      </c>
      <c r="C19" s="34">
        <f>IF($A$19="","",IF(SUMIFS(Jobs!$AF$5:$AF$604,Jobs!$R$5:$R$604,$A$19,Jobs!$B$5:$B$604,C$8,Jobs!$P$5:$P$604,"&lt;&gt;Cancelled")=0,"",SUMIFS(Jobs!$AF$5:$AF$604,Jobs!$R$5:$R$604,$A$19,Jobs!$B$5:$B$604,C$8,Jobs!$P$5:$P$604,"&lt;&gt;Cancelled")))</f>
        <v>0</v>
      </c>
      <c r="D19" s="34">
        <f>IF($A$19="","",IF(SUMIFS(Jobs!$AF$5:$AF$604,Jobs!$R$5:$R$604,$A$19,Jobs!$B$5:$B$604,D$8,Jobs!$P$5:$P$604,"&lt;&gt;Cancelled")=0,"",SUMIFS(Jobs!$AF$5:$AF$604,Jobs!$R$5:$R$604,$A$19,Jobs!$B$5:$B$604,D$8,Jobs!$P$5:$P$604,"&lt;&gt;Cancelled")))</f>
        <v>0</v>
      </c>
      <c r="E19" s="34">
        <f>IF($A$19="","",IF(SUMIFS(Jobs!$AF$5:$AF$604,Jobs!$R$5:$R$604,$A$19,Jobs!$B$5:$B$604,E$8,Jobs!$P$5:$P$604,"&lt;&gt;Cancelled")=0,"",SUMIFS(Jobs!$AF$5:$AF$604,Jobs!$R$5:$R$604,$A$19,Jobs!$B$5:$B$604,E$8,Jobs!$P$5:$P$604,"&lt;&gt;Cancelled")))</f>
        <v>0</v>
      </c>
      <c r="F19" s="34">
        <f>IF($A$19="","",IF(SUMIFS(Jobs!$AF$5:$AF$604,Jobs!$R$5:$R$604,$A$19,Jobs!$B$5:$B$604,F$8,Jobs!$P$5:$P$604,"&lt;&gt;Cancelled")=0,"",SUMIFS(Jobs!$AF$5:$AF$604,Jobs!$R$5:$R$604,$A$19,Jobs!$B$5:$B$604,F$8,Jobs!$P$5:$P$604,"&lt;&gt;Cancelled")))</f>
        <v>0</v>
      </c>
      <c r="G19" s="34">
        <f>IF($A$19="","",IF(SUMIFS(Jobs!$AF$5:$AF$604,Jobs!$R$5:$R$604,$A$19,Jobs!$B$5:$B$604,G$8,Jobs!$P$5:$P$604,"&lt;&gt;Cancelled")=0,"",SUMIFS(Jobs!$AF$5:$AF$604,Jobs!$R$5:$R$604,$A$19,Jobs!$B$5:$B$604,G$8,Jobs!$P$5:$P$604,"&lt;&gt;Cancelled")))</f>
        <v>0</v>
      </c>
      <c r="H19" s="34">
        <f>IF($A$19="","",IF(SUMIFS(Jobs!$AF$5:$AF$604,Jobs!$R$5:$R$604,$A$19,Jobs!$B$5:$B$604,H$8,Jobs!$P$5:$P$604,"&lt;&gt;Cancelled")=0,"",SUMIFS(Jobs!$AF$5:$AF$604,Jobs!$R$5:$R$604,$A$19,Jobs!$B$5:$B$604,H$8,Jobs!$P$5:$P$604,"&lt;&gt;Cancelled")))</f>
        <v>0</v>
      </c>
      <c r="I19" s="34">
        <f>IF($A$19="","",SUMIFS(Jobs!$AF$5:$AF$604,Jobs!$R$5:$R$604,$A$19,Jobs!$B$5:$B$604,"&gt;="&amp;RotaStart,Jobs!$B$5:$B$604,"&lt;="&amp;RotaStart+6,Jobs!$P$5:$P$604,"&lt;&gt;Cancelled"))</f>
        <v>0</v>
      </c>
      <c r="J19" s="34">
        <f>IF($A$19="","",IFERROR(INDEX(Employees!$K$5:$K$44,MATCH($A$19,Employees!$B$5:$B$44,0)),""))</f>
        <v>0</v>
      </c>
      <c r="K19" s="38">
        <f>IF(OR($A$19="",J19="",J19=0),"",I19/J19)</f>
        <v>0</v>
      </c>
      <c r="L19" s="31">
        <f>IF($A$19="","",COUNTIFS(Jobs!$R$5:$R$604,$A$19,Jobs!$B$5:$B$604,"&gt;="&amp;RotaStart,Jobs!$B$5:$B$604,"&lt;="&amp;RotaStart+6,Jobs!$P$5:$P$604,"&lt;&gt;Cancelled"))</f>
        <v>0</v>
      </c>
      <c r="M19" s="39">
        <f>IF($A$19="","",IF(COUNTIFS(Jobs!$AR$5:$AR$604,"Clash",Jobs!$R$5:$R$604,$A$19,Jobs!$B$5:$B$604,"&gt;="&amp;RotaStart,Jobs!$B$5:$B$604,"&lt;="&amp;RotaStart+6)&gt;0,"Clash",IF(K19="","",IF(K19&gt;1,"Overloaded",IF(K19&lt;0.6,"Has room","OK")))))</f>
        <v>0</v>
      </c>
    </row>
    <row r="20" spans="1:13">
      <c r="A20" s="10">
        <f>IFERROR(INDEX(Employees!$B$5:$B$44,MATCH(12,Employees!$AJ$5:$AJ$44,0)),"")</f>
        <v>0</v>
      </c>
      <c r="B20" s="34">
        <f>IF($A$20="","",IF(SUMIFS(Jobs!$AF$5:$AF$604,Jobs!$R$5:$R$604,$A$20,Jobs!$B$5:$B$604,B$8,Jobs!$P$5:$P$604,"&lt;&gt;Cancelled")=0,"",SUMIFS(Jobs!$AF$5:$AF$604,Jobs!$R$5:$R$604,$A$20,Jobs!$B$5:$B$604,B$8,Jobs!$P$5:$P$604,"&lt;&gt;Cancelled")))</f>
        <v>0</v>
      </c>
      <c r="C20" s="34">
        <f>IF($A$20="","",IF(SUMIFS(Jobs!$AF$5:$AF$604,Jobs!$R$5:$R$604,$A$20,Jobs!$B$5:$B$604,C$8,Jobs!$P$5:$P$604,"&lt;&gt;Cancelled")=0,"",SUMIFS(Jobs!$AF$5:$AF$604,Jobs!$R$5:$R$604,$A$20,Jobs!$B$5:$B$604,C$8,Jobs!$P$5:$P$604,"&lt;&gt;Cancelled")))</f>
        <v>0</v>
      </c>
      <c r="D20" s="34">
        <f>IF($A$20="","",IF(SUMIFS(Jobs!$AF$5:$AF$604,Jobs!$R$5:$R$604,$A$20,Jobs!$B$5:$B$604,D$8,Jobs!$P$5:$P$604,"&lt;&gt;Cancelled")=0,"",SUMIFS(Jobs!$AF$5:$AF$604,Jobs!$R$5:$R$604,$A$20,Jobs!$B$5:$B$604,D$8,Jobs!$P$5:$P$604,"&lt;&gt;Cancelled")))</f>
        <v>0</v>
      </c>
      <c r="E20" s="34">
        <f>IF($A$20="","",IF(SUMIFS(Jobs!$AF$5:$AF$604,Jobs!$R$5:$R$604,$A$20,Jobs!$B$5:$B$604,E$8,Jobs!$P$5:$P$604,"&lt;&gt;Cancelled")=0,"",SUMIFS(Jobs!$AF$5:$AF$604,Jobs!$R$5:$R$604,$A$20,Jobs!$B$5:$B$604,E$8,Jobs!$P$5:$P$604,"&lt;&gt;Cancelled")))</f>
        <v>0</v>
      </c>
      <c r="F20" s="34">
        <f>IF($A$20="","",IF(SUMIFS(Jobs!$AF$5:$AF$604,Jobs!$R$5:$R$604,$A$20,Jobs!$B$5:$B$604,F$8,Jobs!$P$5:$P$604,"&lt;&gt;Cancelled")=0,"",SUMIFS(Jobs!$AF$5:$AF$604,Jobs!$R$5:$R$604,$A$20,Jobs!$B$5:$B$604,F$8,Jobs!$P$5:$P$604,"&lt;&gt;Cancelled")))</f>
        <v>0</v>
      </c>
      <c r="G20" s="34">
        <f>IF($A$20="","",IF(SUMIFS(Jobs!$AF$5:$AF$604,Jobs!$R$5:$R$604,$A$20,Jobs!$B$5:$B$604,G$8,Jobs!$P$5:$P$604,"&lt;&gt;Cancelled")=0,"",SUMIFS(Jobs!$AF$5:$AF$604,Jobs!$R$5:$R$604,$A$20,Jobs!$B$5:$B$604,G$8,Jobs!$P$5:$P$604,"&lt;&gt;Cancelled")))</f>
        <v>0</v>
      </c>
      <c r="H20" s="34">
        <f>IF($A$20="","",IF(SUMIFS(Jobs!$AF$5:$AF$604,Jobs!$R$5:$R$604,$A$20,Jobs!$B$5:$B$604,H$8,Jobs!$P$5:$P$604,"&lt;&gt;Cancelled")=0,"",SUMIFS(Jobs!$AF$5:$AF$604,Jobs!$R$5:$R$604,$A$20,Jobs!$B$5:$B$604,H$8,Jobs!$P$5:$P$604,"&lt;&gt;Cancelled")))</f>
        <v>0</v>
      </c>
      <c r="I20" s="34">
        <f>IF($A$20="","",SUMIFS(Jobs!$AF$5:$AF$604,Jobs!$R$5:$R$604,$A$20,Jobs!$B$5:$B$604,"&gt;="&amp;RotaStart,Jobs!$B$5:$B$604,"&lt;="&amp;RotaStart+6,Jobs!$P$5:$P$604,"&lt;&gt;Cancelled"))</f>
        <v>0</v>
      </c>
      <c r="J20" s="34">
        <f>IF($A$20="","",IFERROR(INDEX(Employees!$K$5:$K$44,MATCH($A$20,Employees!$B$5:$B$44,0)),""))</f>
        <v>0</v>
      </c>
      <c r="K20" s="38">
        <f>IF(OR($A$20="",J20="",J20=0),"",I20/J20)</f>
        <v>0</v>
      </c>
      <c r="L20" s="31">
        <f>IF($A$20="","",COUNTIFS(Jobs!$R$5:$R$604,$A$20,Jobs!$B$5:$B$604,"&gt;="&amp;RotaStart,Jobs!$B$5:$B$604,"&lt;="&amp;RotaStart+6,Jobs!$P$5:$P$604,"&lt;&gt;Cancelled"))</f>
        <v>0</v>
      </c>
      <c r="M20" s="39">
        <f>IF($A$20="","",IF(COUNTIFS(Jobs!$AR$5:$AR$604,"Clash",Jobs!$R$5:$R$604,$A$20,Jobs!$B$5:$B$604,"&gt;="&amp;RotaStart,Jobs!$B$5:$B$604,"&lt;="&amp;RotaStart+6)&gt;0,"Clash",IF(K20="","",IF(K20&gt;1,"Overloaded",IF(K20&lt;0.6,"Has room","OK")))))</f>
        <v>0</v>
      </c>
    </row>
    <row r="22" spans="1:13">
      <c r="A22" s="10" t="s">
        <v>1438</v>
      </c>
      <c r="B22" s="42">
        <f>SUMIFS(Jobs!$AF$5:$AF$604,Jobs!$B$5:$B$604,B$8,Jobs!$P$5:$P$604,"&lt;&gt;Cancelled")</f>
        <v>0</v>
      </c>
      <c r="C22" s="42">
        <f>SUMIFS(Jobs!$AF$5:$AF$604,Jobs!$B$5:$B$604,C$8,Jobs!$P$5:$P$604,"&lt;&gt;Cancelled")</f>
        <v>0</v>
      </c>
      <c r="D22" s="42">
        <f>SUMIFS(Jobs!$AF$5:$AF$604,Jobs!$B$5:$B$604,D$8,Jobs!$P$5:$P$604,"&lt;&gt;Cancelled")</f>
        <v>0</v>
      </c>
      <c r="E22" s="42">
        <f>SUMIFS(Jobs!$AF$5:$AF$604,Jobs!$B$5:$B$604,E$8,Jobs!$P$5:$P$604,"&lt;&gt;Cancelled")</f>
        <v>0</v>
      </c>
      <c r="F22" s="42">
        <f>SUMIFS(Jobs!$AF$5:$AF$604,Jobs!$B$5:$B$604,F$8,Jobs!$P$5:$P$604,"&lt;&gt;Cancelled")</f>
        <v>0</v>
      </c>
      <c r="G22" s="42">
        <f>SUMIFS(Jobs!$AF$5:$AF$604,Jobs!$B$5:$B$604,G$8,Jobs!$P$5:$P$604,"&lt;&gt;Cancelled")</f>
        <v>0</v>
      </c>
      <c r="H22" s="42">
        <f>SUMIFS(Jobs!$AF$5:$AF$604,Jobs!$B$5:$B$604,H$8,Jobs!$P$5:$P$604,"&lt;&gt;Cancelled")</f>
        <v>0</v>
      </c>
      <c r="I22" s="42">
        <f>SUMIFS(Jobs!$AF$5:$AF$604,Jobs!$B$5:$B$604,"&gt;="&amp;RotaStart,Jobs!$B$5:$B$604,"&lt;="&amp;RotaStart+6,Jobs!$P$5:$P$604,"&lt;&gt;Cancelled")</f>
        <v>0</v>
      </c>
      <c r="J22" s="12" t="s">
        <v>1439</v>
      </c>
      <c r="K22" s="12"/>
      <c r="L22" s="12"/>
      <c r="M22" s="12"/>
    </row>
    <row r="24" spans="1:13" ht="20" customHeight="1">
      <c r="A24" s="7" t="s">
        <v>1440</v>
      </c>
      <c r="B24" s="7"/>
      <c r="C24" s="7"/>
      <c r="D24" s="7"/>
      <c r="E24" s="7"/>
      <c r="F24" s="7"/>
      <c r="G24" s="7"/>
      <c r="H24" s="7"/>
      <c r="I24" s="7"/>
      <c r="J24" s="7"/>
      <c r="K24" s="7"/>
      <c r="L24" s="7"/>
      <c r="M24" s="7"/>
    </row>
    <row r="25" spans="1:13" ht="26" customHeight="1">
      <c r="A25" s="8" t="s">
        <v>1441</v>
      </c>
      <c r="B25" s="9" t="s">
        <v>1442</v>
      </c>
      <c r="C25" s="9" t="s">
        <v>368</v>
      </c>
    </row>
    <row r="26" spans="1:13">
      <c r="A26" s="10" t="s">
        <v>1443</v>
      </c>
      <c r="B26" s="34">
        <f>COUNTIF(Employees!$E$5:$E$44,"Active")</f>
        <v>0</v>
      </c>
      <c r="C26" s="23">
        <f>"Everyone not on leave or off sick"</f>
        <v>0</v>
      </c>
      <c r="D26" s="23"/>
      <c r="E26" s="23"/>
      <c r="F26" s="23"/>
      <c r="G26" s="23"/>
      <c r="H26" s="23"/>
      <c r="I26" s="23"/>
      <c r="J26" s="23"/>
      <c r="K26" s="23"/>
      <c r="L26" s="23"/>
      <c r="M26" s="23"/>
    </row>
    <row r="27" spans="1:13">
      <c r="A27" s="10" t="s">
        <v>1444</v>
      </c>
      <c r="B27" s="34">
        <f>COUNTIF(Employees!$E$5:$E$44,"Active")*ProductiveHours*5</f>
        <v>0</v>
      </c>
      <c r="C27" s="23">
        <f>"Active cleaners times "&amp;TEXT(ProductiveHours,"0.0")&amp;" billable hours over five days"</f>
        <v>0</v>
      </c>
      <c r="D27" s="23"/>
      <c r="E27" s="23"/>
      <c r="F27" s="23"/>
      <c r="G27" s="23"/>
      <c r="H27" s="23"/>
      <c r="I27" s="23"/>
      <c r="J27" s="23"/>
      <c r="K27" s="23"/>
      <c r="L27" s="23"/>
      <c r="M27" s="23"/>
    </row>
    <row r="28" spans="1:13">
      <c r="A28" s="10" t="s">
        <v>1445</v>
      </c>
      <c r="B28" s="34">
        <f>SUMIFS(Jobs!$AF$5:$AF$604,Jobs!$B$5:$B$604,"&gt;="&amp;RotaStart,Jobs!$B$5:$B$604,"&lt;="&amp;RotaStart+6,Jobs!$P$5:$P$604,"&lt;&gt;Cancelled")</f>
        <v>0</v>
      </c>
      <c r="C28" s="23">
        <f>"What is in the diary"</f>
        <v>0</v>
      </c>
      <c r="D28" s="23"/>
      <c r="E28" s="23"/>
      <c r="F28" s="23"/>
      <c r="G28" s="23"/>
      <c r="H28" s="23"/>
      <c r="I28" s="23"/>
      <c r="J28" s="23"/>
      <c r="K28" s="23"/>
      <c r="L28" s="23"/>
      <c r="M28" s="23"/>
    </row>
    <row r="29" spans="1:13">
      <c r="A29" s="10" t="s">
        <v>1446</v>
      </c>
      <c r="B29" s="34">
        <f>COUNTIF(Employees!$E$5:$E$44,"Active")*ProductiveHours*5-SUMIFS(Jobs!$AF$5:$AF$604,Jobs!$B$5:$B$604,"&gt;="&amp;RotaStart,Jobs!$B$5:$B$604,"&lt;="&amp;RotaStart+6,Jobs!$P$5:$P$604,"&lt;&gt;Cancelled")</f>
        <v>0</v>
      </c>
      <c r="C29" s="23">
        <f>"Hours you could still sell this week. Negative means you need help"</f>
        <v>0</v>
      </c>
      <c r="D29" s="23"/>
      <c r="E29" s="23"/>
      <c r="F29" s="23"/>
      <c r="G29" s="23"/>
      <c r="H29" s="23"/>
      <c r="I29" s="23"/>
      <c r="J29" s="23"/>
      <c r="K29" s="23"/>
      <c r="L29" s="23"/>
      <c r="M29" s="23"/>
    </row>
    <row r="30" spans="1:13">
      <c r="A30" s="10" t="s">
        <v>1447</v>
      </c>
      <c r="B30" s="34">
        <f>COUNTIFS(Jobs!$R$5:$R$604,"",Jobs!$G$5:$G$604,"&lt;&gt;",Jobs!$B$5:$B$604,"&gt;="&amp;RotaStart,Jobs!$B$5:$B$604,"&lt;="&amp;RotaStart+6)</f>
        <v>0</v>
      </c>
      <c r="C30" s="23">
        <f>"Assign these before the week starts"</f>
        <v>0</v>
      </c>
      <c r="D30" s="23"/>
      <c r="E30" s="23"/>
      <c r="F30" s="23"/>
      <c r="G30" s="23"/>
      <c r="H30" s="23"/>
      <c r="I30" s="23"/>
      <c r="J30" s="23"/>
      <c r="K30" s="23"/>
      <c r="L30" s="23"/>
      <c r="M30" s="23"/>
    </row>
    <row r="31" spans="1:13">
      <c r="A31" s="10" t="s">
        <v>373</v>
      </c>
      <c r="B31" s="34">
        <f>COUNTIFS(Jobs!$AR$5:$AR$604,"Clash",Jobs!$B$5:$B$604,"&gt;="&amp;RotaStart,Jobs!$B$5:$B$604,"&lt;="&amp;RotaStart+6)</f>
        <v>0</v>
      </c>
      <c r="C31" s="23">
        <f>"Same cleaner, same time, two places"</f>
        <v>0</v>
      </c>
      <c r="D31" s="23"/>
      <c r="E31" s="23"/>
      <c r="F31" s="23"/>
      <c r="G31" s="23"/>
      <c r="H31" s="23"/>
      <c r="I31" s="23"/>
      <c r="J31" s="23"/>
      <c r="K31" s="23"/>
      <c r="L31" s="23"/>
      <c r="M31" s="23"/>
    </row>
    <row r="33" spans="1:13" ht="20" customHeight="1">
      <c r="A33" s="7" t="s">
        <v>1448</v>
      </c>
      <c r="B33" s="7"/>
      <c r="C33" s="7"/>
      <c r="D33" s="7"/>
      <c r="E33" s="7"/>
      <c r="F33" s="7"/>
      <c r="G33" s="7"/>
      <c r="H33" s="7"/>
      <c r="I33" s="7"/>
      <c r="J33" s="7"/>
      <c r="K33" s="7"/>
      <c r="L33" s="7"/>
      <c r="M33" s="7"/>
    </row>
    <row r="34" spans="1:13" ht="26" customHeight="1">
      <c r="A34" s="8" t="s">
        <v>1100</v>
      </c>
      <c r="B34" s="9" t="s">
        <v>403</v>
      </c>
      <c r="C34" s="9" t="s">
        <v>718</v>
      </c>
      <c r="D34" s="9" t="s">
        <v>436</v>
      </c>
      <c r="E34" s="9" t="s">
        <v>1077</v>
      </c>
      <c r="F34" s="9" t="s">
        <v>1120</v>
      </c>
      <c r="G34" s="9" t="s">
        <v>1103</v>
      </c>
    </row>
    <row r="35" spans="1:13">
      <c r="A35" s="18">
        <f>IFERROR(INDEX(Jobs!$B$5:$B$604,MATCH(1,Jobs!$AV$5:$AV$604,0)),"")</f>
        <v>0</v>
      </c>
      <c r="B35" s="23">
        <f>IFERROR(INDEX(Jobs!$H$5:$H$604,MATCH(1,Jobs!$AV$5:$AV$604,0)),"")</f>
        <v>0</v>
      </c>
      <c r="C35" s="23">
        <f>IFERROR(INDEX(Jobs!$K$5:$K$604,MATCH(1,Jobs!$AV$5:$AV$604,0)),"")</f>
        <v>0</v>
      </c>
      <c r="D35" s="23">
        <f>IFERROR(INDEX(Jobs!$M$5:$M$604,MATCH(1,Jobs!$AV$5:$AV$604,0)),"")</f>
        <v>0</v>
      </c>
      <c r="E35" s="34">
        <f>IFERROR(INDEX(Jobs!$AF$5:$AF$604,MATCH(1,Jobs!$AV$5:$AV$604,0)),"")</f>
        <v>0</v>
      </c>
      <c r="F35" s="21">
        <f>IFERROR(INDEX(Jobs!$AJ$5:$AJ$604,MATCH(1,Jobs!$AV$5:$AV$604,0)),"")</f>
        <v>0</v>
      </c>
      <c r="G35" s="23">
        <f>IFERROR(INDEX(Jobs!$Q$5:$Q$604,MATCH(1,Jobs!$AV$5:$AV$604,0)),"")</f>
        <v>0</v>
      </c>
    </row>
    <row r="36" spans="1:13">
      <c r="A36" s="18">
        <f>IFERROR(INDEX(Jobs!$B$5:$B$604,MATCH(2,Jobs!$AV$5:$AV$604,0)),"")</f>
        <v>0</v>
      </c>
      <c r="B36" s="23">
        <f>IFERROR(INDEX(Jobs!$H$5:$H$604,MATCH(2,Jobs!$AV$5:$AV$604,0)),"")</f>
        <v>0</v>
      </c>
      <c r="C36" s="23">
        <f>IFERROR(INDEX(Jobs!$K$5:$K$604,MATCH(2,Jobs!$AV$5:$AV$604,0)),"")</f>
        <v>0</v>
      </c>
      <c r="D36" s="23">
        <f>IFERROR(INDEX(Jobs!$M$5:$M$604,MATCH(2,Jobs!$AV$5:$AV$604,0)),"")</f>
        <v>0</v>
      </c>
      <c r="E36" s="34">
        <f>IFERROR(INDEX(Jobs!$AF$5:$AF$604,MATCH(2,Jobs!$AV$5:$AV$604,0)),"")</f>
        <v>0</v>
      </c>
      <c r="F36" s="21">
        <f>IFERROR(INDEX(Jobs!$AJ$5:$AJ$604,MATCH(2,Jobs!$AV$5:$AV$604,0)),"")</f>
        <v>0</v>
      </c>
      <c r="G36" s="23">
        <f>IFERROR(INDEX(Jobs!$Q$5:$Q$604,MATCH(2,Jobs!$AV$5:$AV$604,0)),"")</f>
        <v>0</v>
      </c>
    </row>
    <row r="37" spans="1:13">
      <c r="A37" s="18">
        <f>IFERROR(INDEX(Jobs!$B$5:$B$604,MATCH(3,Jobs!$AV$5:$AV$604,0)),"")</f>
        <v>0</v>
      </c>
      <c r="B37" s="23">
        <f>IFERROR(INDEX(Jobs!$H$5:$H$604,MATCH(3,Jobs!$AV$5:$AV$604,0)),"")</f>
        <v>0</v>
      </c>
      <c r="C37" s="23">
        <f>IFERROR(INDEX(Jobs!$K$5:$K$604,MATCH(3,Jobs!$AV$5:$AV$604,0)),"")</f>
        <v>0</v>
      </c>
      <c r="D37" s="23">
        <f>IFERROR(INDEX(Jobs!$M$5:$M$604,MATCH(3,Jobs!$AV$5:$AV$604,0)),"")</f>
        <v>0</v>
      </c>
      <c r="E37" s="34">
        <f>IFERROR(INDEX(Jobs!$AF$5:$AF$604,MATCH(3,Jobs!$AV$5:$AV$604,0)),"")</f>
        <v>0</v>
      </c>
      <c r="F37" s="21">
        <f>IFERROR(INDEX(Jobs!$AJ$5:$AJ$604,MATCH(3,Jobs!$AV$5:$AV$604,0)),"")</f>
        <v>0</v>
      </c>
      <c r="G37" s="23">
        <f>IFERROR(INDEX(Jobs!$Q$5:$Q$604,MATCH(3,Jobs!$AV$5:$AV$604,0)),"")</f>
        <v>0</v>
      </c>
    </row>
    <row r="38" spans="1:13">
      <c r="A38" s="18">
        <f>IFERROR(INDEX(Jobs!$B$5:$B$604,MATCH(4,Jobs!$AV$5:$AV$604,0)),"")</f>
        <v>0</v>
      </c>
      <c r="B38" s="23">
        <f>IFERROR(INDEX(Jobs!$H$5:$H$604,MATCH(4,Jobs!$AV$5:$AV$604,0)),"")</f>
        <v>0</v>
      </c>
      <c r="C38" s="23">
        <f>IFERROR(INDEX(Jobs!$K$5:$K$604,MATCH(4,Jobs!$AV$5:$AV$604,0)),"")</f>
        <v>0</v>
      </c>
      <c r="D38" s="23">
        <f>IFERROR(INDEX(Jobs!$M$5:$M$604,MATCH(4,Jobs!$AV$5:$AV$604,0)),"")</f>
        <v>0</v>
      </c>
      <c r="E38" s="34">
        <f>IFERROR(INDEX(Jobs!$AF$5:$AF$604,MATCH(4,Jobs!$AV$5:$AV$604,0)),"")</f>
        <v>0</v>
      </c>
      <c r="F38" s="21">
        <f>IFERROR(INDEX(Jobs!$AJ$5:$AJ$604,MATCH(4,Jobs!$AV$5:$AV$604,0)),"")</f>
        <v>0</v>
      </c>
      <c r="G38" s="23">
        <f>IFERROR(INDEX(Jobs!$Q$5:$Q$604,MATCH(4,Jobs!$AV$5:$AV$604,0)),"")</f>
        <v>0</v>
      </c>
    </row>
    <row r="39" spans="1:13">
      <c r="A39" s="18">
        <f>IFERROR(INDEX(Jobs!$B$5:$B$604,MATCH(5,Jobs!$AV$5:$AV$604,0)),"")</f>
        <v>0</v>
      </c>
      <c r="B39" s="23">
        <f>IFERROR(INDEX(Jobs!$H$5:$H$604,MATCH(5,Jobs!$AV$5:$AV$604,0)),"")</f>
        <v>0</v>
      </c>
      <c r="C39" s="23">
        <f>IFERROR(INDEX(Jobs!$K$5:$K$604,MATCH(5,Jobs!$AV$5:$AV$604,0)),"")</f>
        <v>0</v>
      </c>
      <c r="D39" s="23">
        <f>IFERROR(INDEX(Jobs!$M$5:$M$604,MATCH(5,Jobs!$AV$5:$AV$604,0)),"")</f>
        <v>0</v>
      </c>
      <c r="E39" s="34">
        <f>IFERROR(INDEX(Jobs!$AF$5:$AF$604,MATCH(5,Jobs!$AV$5:$AV$604,0)),"")</f>
        <v>0</v>
      </c>
      <c r="F39" s="21">
        <f>IFERROR(INDEX(Jobs!$AJ$5:$AJ$604,MATCH(5,Jobs!$AV$5:$AV$604,0)),"")</f>
        <v>0</v>
      </c>
      <c r="G39" s="23">
        <f>IFERROR(INDEX(Jobs!$Q$5:$Q$604,MATCH(5,Jobs!$AV$5:$AV$604,0)),"")</f>
        <v>0</v>
      </c>
    </row>
    <row r="40" spans="1:13">
      <c r="A40" s="18">
        <f>IFERROR(INDEX(Jobs!$B$5:$B$604,MATCH(6,Jobs!$AV$5:$AV$604,0)),"")</f>
        <v>0</v>
      </c>
      <c r="B40" s="23">
        <f>IFERROR(INDEX(Jobs!$H$5:$H$604,MATCH(6,Jobs!$AV$5:$AV$604,0)),"")</f>
        <v>0</v>
      </c>
      <c r="C40" s="23">
        <f>IFERROR(INDEX(Jobs!$K$5:$K$604,MATCH(6,Jobs!$AV$5:$AV$604,0)),"")</f>
        <v>0</v>
      </c>
      <c r="D40" s="23">
        <f>IFERROR(INDEX(Jobs!$M$5:$M$604,MATCH(6,Jobs!$AV$5:$AV$604,0)),"")</f>
        <v>0</v>
      </c>
      <c r="E40" s="34">
        <f>IFERROR(INDEX(Jobs!$AF$5:$AF$604,MATCH(6,Jobs!$AV$5:$AV$604,0)),"")</f>
        <v>0</v>
      </c>
      <c r="F40" s="21">
        <f>IFERROR(INDEX(Jobs!$AJ$5:$AJ$604,MATCH(6,Jobs!$AV$5:$AV$604,0)),"")</f>
        <v>0</v>
      </c>
      <c r="G40" s="23">
        <f>IFERROR(INDEX(Jobs!$Q$5:$Q$604,MATCH(6,Jobs!$AV$5:$AV$604,0)),"")</f>
        <v>0</v>
      </c>
    </row>
    <row r="41" spans="1:13">
      <c r="A41" s="18">
        <f>IFERROR(INDEX(Jobs!$B$5:$B$604,MATCH(7,Jobs!$AV$5:$AV$604,0)),"")</f>
        <v>0</v>
      </c>
      <c r="B41" s="23">
        <f>IFERROR(INDEX(Jobs!$H$5:$H$604,MATCH(7,Jobs!$AV$5:$AV$604,0)),"")</f>
        <v>0</v>
      </c>
      <c r="C41" s="23">
        <f>IFERROR(INDEX(Jobs!$K$5:$K$604,MATCH(7,Jobs!$AV$5:$AV$604,0)),"")</f>
        <v>0</v>
      </c>
      <c r="D41" s="23">
        <f>IFERROR(INDEX(Jobs!$M$5:$M$604,MATCH(7,Jobs!$AV$5:$AV$604,0)),"")</f>
        <v>0</v>
      </c>
      <c r="E41" s="34">
        <f>IFERROR(INDEX(Jobs!$AF$5:$AF$604,MATCH(7,Jobs!$AV$5:$AV$604,0)),"")</f>
        <v>0</v>
      </c>
      <c r="F41" s="21">
        <f>IFERROR(INDEX(Jobs!$AJ$5:$AJ$604,MATCH(7,Jobs!$AV$5:$AV$604,0)),"")</f>
        <v>0</v>
      </c>
      <c r="G41" s="23">
        <f>IFERROR(INDEX(Jobs!$Q$5:$Q$604,MATCH(7,Jobs!$AV$5:$AV$604,0)),"")</f>
        <v>0</v>
      </c>
    </row>
    <row r="42" spans="1:13">
      <c r="A42" s="18">
        <f>IFERROR(INDEX(Jobs!$B$5:$B$604,MATCH(8,Jobs!$AV$5:$AV$604,0)),"")</f>
        <v>0</v>
      </c>
      <c r="B42" s="23">
        <f>IFERROR(INDEX(Jobs!$H$5:$H$604,MATCH(8,Jobs!$AV$5:$AV$604,0)),"")</f>
        <v>0</v>
      </c>
      <c r="C42" s="23">
        <f>IFERROR(INDEX(Jobs!$K$5:$K$604,MATCH(8,Jobs!$AV$5:$AV$604,0)),"")</f>
        <v>0</v>
      </c>
      <c r="D42" s="23">
        <f>IFERROR(INDEX(Jobs!$M$5:$M$604,MATCH(8,Jobs!$AV$5:$AV$604,0)),"")</f>
        <v>0</v>
      </c>
      <c r="E42" s="34">
        <f>IFERROR(INDEX(Jobs!$AF$5:$AF$604,MATCH(8,Jobs!$AV$5:$AV$604,0)),"")</f>
        <v>0</v>
      </c>
      <c r="F42" s="21">
        <f>IFERROR(INDEX(Jobs!$AJ$5:$AJ$604,MATCH(8,Jobs!$AV$5:$AV$604,0)),"")</f>
        <v>0</v>
      </c>
      <c r="G42" s="23">
        <f>IFERROR(INDEX(Jobs!$Q$5:$Q$604,MATCH(8,Jobs!$AV$5:$AV$604,0)),"")</f>
        <v>0</v>
      </c>
    </row>
    <row r="44" spans="1:13" ht="20" customHeight="1">
      <c r="A44" s="7" t="s">
        <v>1449</v>
      </c>
      <c r="B44" s="7"/>
      <c r="C44" s="7"/>
      <c r="D44" s="7"/>
      <c r="E44" s="7"/>
      <c r="F44" s="7"/>
      <c r="G44" s="7"/>
      <c r="H44" s="7"/>
      <c r="I44" s="7"/>
      <c r="J44" s="7"/>
      <c r="K44" s="7"/>
      <c r="L44" s="7"/>
      <c r="M44" s="7"/>
    </row>
    <row r="45" spans="1:13" ht="26" customHeight="1">
      <c r="A45" s="8" t="s">
        <v>1104</v>
      </c>
      <c r="B45" s="9" t="s">
        <v>1450</v>
      </c>
      <c r="C45" s="9" t="s">
        <v>1383</v>
      </c>
      <c r="D45" s="9" t="s">
        <v>1384</v>
      </c>
      <c r="E45" s="9" t="s">
        <v>1451</v>
      </c>
      <c r="F45" s="9" t="s">
        <v>1452</v>
      </c>
      <c r="G45" s="9" t="s">
        <v>1080</v>
      </c>
      <c r="H45" s="9" t="s">
        <v>1453</v>
      </c>
    </row>
    <row r="46" spans="1:13">
      <c r="A46" s="10">
        <f>IFERROR(INDEX(Employees!$B$5:$B$44,MATCH(1,Employees!$AJ$5:$AJ$44,0)),"")</f>
        <v>0</v>
      </c>
      <c r="B46" s="34">
        <f>IF($A$46="","",SUMIFS(Timesheets!$U$5:$U$804,Timesheets!$F$5:$F$804,$A$46,Timesheets!$B$5:$B$804,"&gt;="&amp;RotaStart,Timesheets!$B$5:$B$804,"&lt;="&amp;RotaStart+6))</f>
        <v>0</v>
      </c>
      <c r="C46" s="34">
        <f>IF($A$46="","",SUMIFS(Timesheets!$U$5:$U$804,Timesheets!$F$5:$F$804,$A$46,Timesheets!$B$5:$B$804,"&gt;="&amp;RotaStart,Timesheets!$B$5:$B$804,"&lt;="&amp;RotaStart+6,Timesheets!$P$5:$P$804,"Yes"))</f>
        <v>0</v>
      </c>
      <c r="D46" s="38">
        <f>IF(OR($A$46="",B46=0),"",C46/B46)</f>
        <v>0</v>
      </c>
      <c r="E46" s="31">
        <f>IF($A$46="","",COUNTIFS(Timesheets!$O$5:$O$804,"Late",Timesheets!$F$5:$F$804,$A$46,Timesheets!$B$5:$B$804,"&gt;="&amp;RotaStart,Timesheets!$B$5:$B$804,"&lt;="&amp;RotaStart+6))</f>
        <v>0</v>
      </c>
      <c r="F46" s="31">
        <f>IF($A$46="","",COUNTIFS(Timesheets!$O$5:$O$804,"Absent - no show",Timesheets!$F$5:$F$804,$A$46,Timesheets!$B$5:$B$804,"&gt;="&amp;RotaStart,Timesheets!$B$5:$B$804,"&lt;="&amp;RotaStart+6)+COUNTIFS(Timesheets!$O$5:$O$804,"Absent - told us",Timesheets!$F$5:$F$804,$A$46,Timesheets!$B$5:$B$804,"&gt;="&amp;RotaStart,Timesheets!$B$5:$B$804,"&lt;="&amp;RotaStart+6))</f>
        <v>0</v>
      </c>
      <c r="G46" s="21">
        <f>IF($A$46="","",SUMIFS(Timesheets!$X$5:$X$804,Timesheets!$F$5:$F$804,$A$46,Timesheets!$B$5:$B$804,"&gt;="&amp;RotaStart,Timesheets!$B$5:$B$804,"&lt;="&amp;RotaStart+6))</f>
        <v>0</v>
      </c>
      <c r="H46" s="23">
        <f>IF($A$46="","",COUNTIFS(Timesheets!$Q$5:$Q$804,"Yes",Timesheets!$F$5:$F$804,$A$46,Timesheets!$B$5:$B$804,"&gt;="&amp;RotaStart,Timesheets!$B$5:$B$804,"&lt;="&amp;RotaStart+6)&amp;" of "&amp;COUNTIFS(Timesheets!$F$5:$F$804,$A$46,Timesheets!$B$5:$B$804,"&gt;="&amp;RotaStart,Timesheets!$B$5:$B$804,"&lt;="&amp;RotaStart+6))</f>
        <v>0</v>
      </c>
    </row>
    <row r="47" spans="1:13">
      <c r="A47" s="10">
        <f>IFERROR(INDEX(Employees!$B$5:$B$44,MATCH(2,Employees!$AJ$5:$AJ$44,0)),"")</f>
        <v>0</v>
      </c>
      <c r="B47" s="34">
        <f>IF($A$47="","",SUMIFS(Timesheets!$U$5:$U$804,Timesheets!$F$5:$F$804,$A$47,Timesheets!$B$5:$B$804,"&gt;="&amp;RotaStart,Timesheets!$B$5:$B$804,"&lt;="&amp;RotaStart+6))</f>
        <v>0</v>
      </c>
      <c r="C47" s="34">
        <f>IF($A$47="","",SUMIFS(Timesheets!$U$5:$U$804,Timesheets!$F$5:$F$804,$A$47,Timesheets!$B$5:$B$804,"&gt;="&amp;RotaStart,Timesheets!$B$5:$B$804,"&lt;="&amp;RotaStart+6,Timesheets!$P$5:$P$804,"Yes"))</f>
        <v>0</v>
      </c>
      <c r="D47" s="38">
        <f>IF(OR($A$47="",B47=0),"",C47/B47)</f>
        <v>0</v>
      </c>
      <c r="E47" s="31">
        <f>IF($A$47="","",COUNTIFS(Timesheets!$O$5:$O$804,"Late",Timesheets!$F$5:$F$804,$A$47,Timesheets!$B$5:$B$804,"&gt;="&amp;RotaStart,Timesheets!$B$5:$B$804,"&lt;="&amp;RotaStart+6))</f>
        <v>0</v>
      </c>
      <c r="F47" s="31">
        <f>IF($A$47="","",COUNTIFS(Timesheets!$O$5:$O$804,"Absent - no show",Timesheets!$F$5:$F$804,$A$47,Timesheets!$B$5:$B$804,"&gt;="&amp;RotaStart,Timesheets!$B$5:$B$804,"&lt;="&amp;RotaStart+6)+COUNTIFS(Timesheets!$O$5:$O$804,"Absent - told us",Timesheets!$F$5:$F$804,$A$47,Timesheets!$B$5:$B$804,"&gt;="&amp;RotaStart,Timesheets!$B$5:$B$804,"&lt;="&amp;RotaStart+6))</f>
        <v>0</v>
      </c>
      <c r="G47" s="21">
        <f>IF($A$47="","",SUMIFS(Timesheets!$X$5:$X$804,Timesheets!$F$5:$F$804,$A$47,Timesheets!$B$5:$B$804,"&gt;="&amp;RotaStart,Timesheets!$B$5:$B$804,"&lt;="&amp;RotaStart+6))</f>
        <v>0</v>
      </c>
      <c r="H47" s="23">
        <f>IF($A$47="","",COUNTIFS(Timesheets!$Q$5:$Q$804,"Yes",Timesheets!$F$5:$F$804,$A$47,Timesheets!$B$5:$B$804,"&gt;="&amp;RotaStart,Timesheets!$B$5:$B$804,"&lt;="&amp;RotaStart+6)&amp;" of "&amp;COUNTIFS(Timesheets!$F$5:$F$804,$A$47,Timesheets!$B$5:$B$804,"&gt;="&amp;RotaStart,Timesheets!$B$5:$B$804,"&lt;="&amp;RotaStart+6))</f>
        <v>0</v>
      </c>
    </row>
    <row r="48" spans="1:13">
      <c r="A48" s="10">
        <f>IFERROR(INDEX(Employees!$B$5:$B$44,MATCH(3,Employees!$AJ$5:$AJ$44,0)),"")</f>
        <v>0</v>
      </c>
      <c r="B48" s="34">
        <f>IF($A$48="","",SUMIFS(Timesheets!$U$5:$U$804,Timesheets!$F$5:$F$804,$A$48,Timesheets!$B$5:$B$804,"&gt;="&amp;RotaStart,Timesheets!$B$5:$B$804,"&lt;="&amp;RotaStart+6))</f>
        <v>0</v>
      </c>
      <c r="C48" s="34">
        <f>IF($A$48="","",SUMIFS(Timesheets!$U$5:$U$804,Timesheets!$F$5:$F$804,$A$48,Timesheets!$B$5:$B$804,"&gt;="&amp;RotaStart,Timesheets!$B$5:$B$804,"&lt;="&amp;RotaStart+6,Timesheets!$P$5:$P$804,"Yes"))</f>
        <v>0</v>
      </c>
      <c r="D48" s="38">
        <f>IF(OR($A$48="",B48=0),"",C48/B48)</f>
        <v>0</v>
      </c>
      <c r="E48" s="31">
        <f>IF($A$48="","",COUNTIFS(Timesheets!$O$5:$O$804,"Late",Timesheets!$F$5:$F$804,$A$48,Timesheets!$B$5:$B$804,"&gt;="&amp;RotaStart,Timesheets!$B$5:$B$804,"&lt;="&amp;RotaStart+6))</f>
        <v>0</v>
      </c>
      <c r="F48" s="31">
        <f>IF($A$48="","",COUNTIFS(Timesheets!$O$5:$O$804,"Absent - no show",Timesheets!$F$5:$F$804,$A$48,Timesheets!$B$5:$B$804,"&gt;="&amp;RotaStart,Timesheets!$B$5:$B$804,"&lt;="&amp;RotaStart+6)+COUNTIFS(Timesheets!$O$5:$O$804,"Absent - told us",Timesheets!$F$5:$F$804,$A$48,Timesheets!$B$5:$B$804,"&gt;="&amp;RotaStart,Timesheets!$B$5:$B$804,"&lt;="&amp;RotaStart+6))</f>
        <v>0</v>
      </c>
      <c r="G48" s="21">
        <f>IF($A$48="","",SUMIFS(Timesheets!$X$5:$X$804,Timesheets!$F$5:$F$804,$A$48,Timesheets!$B$5:$B$804,"&gt;="&amp;RotaStart,Timesheets!$B$5:$B$804,"&lt;="&amp;RotaStart+6))</f>
        <v>0</v>
      </c>
      <c r="H48" s="23">
        <f>IF($A$48="","",COUNTIFS(Timesheets!$Q$5:$Q$804,"Yes",Timesheets!$F$5:$F$804,$A$48,Timesheets!$B$5:$B$804,"&gt;="&amp;RotaStart,Timesheets!$B$5:$B$804,"&lt;="&amp;RotaStart+6)&amp;" of "&amp;COUNTIFS(Timesheets!$F$5:$F$804,$A$48,Timesheets!$B$5:$B$804,"&gt;="&amp;RotaStart,Timesheets!$B$5:$B$804,"&lt;="&amp;RotaStart+6))</f>
        <v>0</v>
      </c>
    </row>
    <row r="49" spans="1:13">
      <c r="A49" s="10">
        <f>IFERROR(INDEX(Employees!$B$5:$B$44,MATCH(4,Employees!$AJ$5:$AJ$44,0)),"")</f>
        <v>0</v>
      </c>
      <c r="B49" s="34">
        <f>IF($A$49="","",SUMIFS(Timesheets!$U$5:$U$804,Timesheets!$F$5:$F$804,$A$49,Timesheets!$B$5:$B$804,"&gt;="&amp;RotaStart,Timesheets!$B$5:$B$804,"&lt;="&amp;RotaStart+6))</f>
        <v>0</v>
      </c>
      <c r="C49" s="34">
        <f>IF($A$49="","",SUMIFS(Timesheets!$U$5:$U$804,Timesheets!$F$5:$F$804,$A$49,Timesheets!$B$5:$B$804,"&gt;="&amp;RotaStart,Timesheets!$B$5:$B$804,"&lt;="&amp;RotaStart+6,Timesheets!$P$5:$P$804,"Yes"))</f>
        <v>0</v>
      </c>
      <c r="D49" s="38">
        <f>IF(OR($A$49="",B49=0),"",C49/B49)</f>
        <v>0</v>
      </c>
      <c r="E49" s="31">
        <f>IF($A$49="","",COUNTIFS(Timesheets!$O$5:$O$804,"Late",Timesheets!$F$5:$F$804,$A$49,Timesheets!$B$5:$B$804,"&gt;="&amp;RotaStart,Timesheets!$B$5:$B$804,"&lt;="&amp;RotaStart+6))</f>
        <v>0</v>
      </c>
      <c r="F49" s="31">
        <f>IF($A$49="","",COUNTIFS(Timesheets!$O$5:$O$804,"Absent - no show",Timesheets!$F$5:$F$804,$A$49,Timesheets!$B$5:$B$804,"&gt;="&amp;RotaStart,Timesheets!$B$5:$B$804,"&lt;="&amp;RotaStart+6)+COUNTIFS(Timesheets!$O$5:$O$804,"Absent - told us",Timesheets!$F$5:$F$804,$A$49,Timesheets!$B$5:$B$804,"&gt;="&amp;RotaStart,Timesheets!$B$5:$B$804,"&lt;="&amp;RotaStart+6))</f>
        <v>0</v>
      </c>
      <c r="G49" s="21">
        <f>IF($A$49="","",SUMIFS(Timesheets!$X$5:$X$804,Timesheets!$F$5:$F$804,$A$49,Timesheets!$B$5:$B$804,"&gt;="&amp;RotaStart,Timesheets!$B$5:$B$804,"&lt;="&amp;RotaStart+6))</f>
        <v>0</v>
      </c>
      <c r="H49" s="23">
        <f>IF($A$49="","",COUNTIFS(Timesheets!$Q$5:$Q$804,"Yes",Timesheets!$F$5:$F$804,$A$49,Timesheets!$B$5:$B$804,"&gt;="&amp;RotaStart,Timesheets!$B$5:$B$804,"&lt;="&amp;RotaStart+6)&amp;" of "&amp;COUNTIFS(Timesheets!$F$5:$F$804,$A$49,Timesheets!$B$5:$B$804,"&gt;="&amp;RotaStart,Timesheets!$B$5:$B$804,"&lt;="&amp;RotaStart+6))</f>
        <v>0</v>
      </c>
    </row>
    <row r="50" spans="1:13">
      <c r="A50" s="10">
        <f>IFERROR(INDEX(Employees!$B$5:$B$44,MATCH(5,Employees!$AJ$5:$AJ$44,0)),"")</f>
        <v>0</v>
      </c>
      <c r="B50" s="34">
        <f>IF($A$50="","",SUMIFS(Timesheets!$U$5:$U$804,Timesheets!$F$5:$F$804,$A$50,Timesheets!$B$5:$B$804,"&gt;="&amp;RotaStart,Timesheets!$B$5:$B$804,"&lt;="&amp;RotaStart+6))</f>
        <v>0</v>
      </c>
      <c r="C50" s="34">
        <f>IF($A$50="","",SUMIFS(Timesheets!$U$5:$U$804,Timesheets!$F$5:$F$804,$A$50,Timesheets!$B$5:$B$804,"&gt;="&amp;RotaStart,Timesheets!$B$5:$B$804,"&lt;="&amp;RotaStart+6,Timesheets!$P$5:$P$804,"Yes"))</f>
        <v>0</v>
      </c>
      <c r="D50" s="38">
        <f>IF(OR($A$50="",B50=0),"",C50/B50)</f>
        <v>0</v>
      </c>
      <c r="E50" s="31">
        <f>IF($A$50="","",COUNTIFS(Timesheets!$O$5:$O$804,"Late",Timesheets!$F$5:$F$804,$A$50,Timesheets!$B$5:$B$804,"&gt;="&amp;RotaStart,Timesheets!$B$5:$B$804,"&lt;="&amp;RotaStart+6))</f>
        <v>0</v>
      </c>
      <c r="F50" s="31">
        <f>IF($A$50="","",COUNTIFS(Timesheets!$O$5:$O$804,"Absent - no show",Timesheets!$F$5:$F$804,$A$50,Timesheets!$B$5:$B$804,"&gt;="&amp;RotaStart,Timesheets!$B$5:$B$804,"&lt;="&amp;RotaStart+6)+COUNTIFS(Timesheets!$O$5:$O$804,"Absent - told us",Timesheets!$F$5:$F$804,$A$50,Timesheets!$B$5:$B$804,"&gt;="&amp;RotaStart,Timesheets!$B$5:$B$804,"&lt;="&amp;RotaStart+6))</f>
        <v>0</v>
      </c>
      <c r="G50" s="21">
        <f>IF($A$50="","",SUMIFS(Timesheets!$X$5:$X$804,Timesheets!$F$5:$F$804,$A$50,Timesheets!$B$5:$B$804,"&gt;="&amp;RotaStart,Timesheets!$B$5:$B$804,"&lt;="&amp;RotaStart+6))</f>
        <v>0</v>
      </c>
      <c r="H50" s="23">
        <f>IF($A$50="","",COUNTIFS(Timesheets!$Q$5:$Q$804,"Yes",Timesheets!$F$5:$F$804,$A$50,Timesheets!$B$5:$B$804,"&gt;="&amp;RotaStart,Timesheets!$B$5:$B$804,"&lt;="&amp;RotaStart+6)&amp;" of "&amp;COUNTIFS(Timesheets!$F$5:$F$804,$A$50,Timesheets!$B$5:$B$804,"&gt;="&amp;RotaStart,Timesheets!$B$5:$B$804,"&lt;="&amp;RotaStart+6))</f>
        <v>0</v>
      </c>
    </row>
    <row r="51" spans="1:13">
      <c r="A51" s="10">
        <f>IFERROR(INDEX(Employees!$B$5:$B$44,MATCH(6,Employees!$AJ$5:$AJ$44,0)),"")</f>
        <v>0</v>
      </c>
      <c r="B51" s="34">
        <f>IF($A$51="","",SUMIFS(Timesheets!$U$5:$U$804,Timesheets!$F$5:$F$804,$A$51,Timesheets!$B$5:$B$804,"&gt;="&amp;RotaStart,Timesheets!$B$5:$B$804,"&lt;="&amp;RotaStart+6))</f>
        <v>0</v>
      </c>
      <c r="C51" s="34">
        <f>IF($A$51="","",SUMIFS(Timesheets!$U$5:$U$804,Timesheets!$F$5:$F$804,$A$51,Timesheets!$B$5:$B$804,"&gt;="&amp;RotaStart,Timesheets!$B$5:$B$804,"&lt;="&amp;RotaStart+6,Timesheets!$P$5:$P$804,"Yes"))</f>
        <v>0</v>
      </c>
      <c r="D51" s="38">
        <f>IF(OR($A$51="",B51=0),"",C51/B51)</f>
        <v>0</v>
      </c>
      <c r="E51" s="31">
        <f>IF($A$51="","",COUNTIFS(Timesheets!$O$5:$O$804,"Late",Timesheets!$F$5:$F$804,$A$51,Timesheets!$B$5:$B$804,"&gt;="&amp;RotaStart,Timesheets!$B$5:$B$804,"&lt;="&amp;RotaStart+6))</f>
        <v>0</v>
      </c>
      <c r="F51" s="31">
        <f>IF($A$51="","",COUNTIFS(Timesheets!$O$5:$O$804,"Absent - no show",Timesheets!$F$5:$F$804,$A$51,Timesheets!$B$5:$B$804,"&gt;="&amp;RotaStart,Timesheets!$B$5:$B$804,"&lt;="&amp;RotaStart+6)+COUNTIFS(Timesheets!$O$5:$O$804,"Absent - told us",Timesheets!$F$5:$F$804,$A$51,Timesheets!$B$5:$B$804,"&gt;="&amp;RotaStart,Timesheets!$B$5:$B$804,"&lt;="&amp;RotaStart+6))</f>
        <v>0</v>
      </c>
      <c r="G51" s="21">
        <f>IF($A$51="","",SUMIFS(Timesheets!$X$5:$X$804,Timesheets!$F$5:$F$804,$A$51,Timesheets!$B$5:$B$804,"&gt;="&amp;RotaStart,Timesheets!$B$5:$B$804,"&lt;="&amp;RotaStart+6))</f>
        <v>0</v>
      </c>
      <c r="H51" s="23">
        <f>IF($A$51="","",COUNTIFS(Timesheets!$Q$5:$Q$804,"Yes",Timesheets!$F$5:$F$804,$A$51,Timesheets!$B$5:$B$804,"&gt;="&amp;RotaStart,Timesheets!$B$5:$B$804,"&lt;="&amp;RotaStart+6)&amp;" of "&amp;COUNTIFS(Timesheets!$F$5:$F$804,$A$51,Timesheets!$B$5:$B$804,"&gt;="&amp;RotaStart,Timesheets!$B$5:$B$804,"&lt;="&amp;RotaStart+6))</f>
        <v>0</v>
      </c>
    </row>
    <row r="52" spans="1:13">
      <c r="A52" s="10">
        <f>IFERROR(INDEX(Employees!$B$5:$B$44,MATCH(7,Employees!$AJ$5:$AJ$44,0)),"")</f>
        <v>0</v>
      </c>
      <c r="B52" s="34">
        <f>IF($A$52="","",SUMIFS(Timesheets!$U$5:$U$804,Timesheets!$F$5:$F$804,$A$52,Timesheets!$B$5:$B$804,"&gt;="&amp;RotaStart,Timesheets!$B$5:$B$804,"&lt;="&amp;RotaStart+6))</f>
        <v>0</v>
      </c>
      <c r="C52" s="34">
        <f>IF($A$52="","",SUMIFS(Timesheets!$U$5:$U$804,Timesheets!$F$5:$F$804,$A$52,Timesheets!$B$5:$B$804,"&gt;="&amp;RotaStart,Timesheets!$B$5:$B$804,"&lt;="&amp;RotaStart+6,Timesheets!$P$5:$P$804,"Yes"))</f>
        <v>0</v>
      </c>
      <c r="D52" s="38">
        <f>IF(OR($A$52="",B52=0),"",C52/B52)</f>
        <v>0</v>
      </c>
      <c r="E52" s="31">
        <f>IF($A$52="","",COUNTIFS(Timesheets!$O$5:$O$804,"Late",Timesheets!$F$5:$F$804,$A$52,Timesheets!$B$5:$B$804,"&gt;="&amp;RotaStart,Timesheets!$B$5:$B$804,"&lt;="&amp;RotaStart+6))</f>
        <v>0</v>
      </c>
      <c r="F52" s="31">
        <f>IF($A$52="","",COUNTIFS(Timesheets!$O$5:$O$804,"Absent - no show",Timesheets!$F$5:$F$804,$A$52,Timesheets!$B$5:$B$804,"&gt;="&amp;RotaStart,Timesheets!$B$5:$B$804,"&lt;="&amp;RotaStart+6)+COUNTIFS(Timesheets!$O$5:$O$804,"Absent - told us",Timesheets!$F$5:$F$804,$A$52,Timesheets!$B$5:$B$804,"&gt;="&amp;RotaStart,Timesheets!$B$5:$B$804,"&lt;="&amp;RotaStart+6))</f>
        <v>0</v>
      </c>
      <c r="G52" s="21">
        <f>IF($A$52="","",SUMIFS(Timesheets!$X$5:$X$804,Timesheets!$F$5:$F$804,$A$52,Timesheets!$B$5:$B$804,"&gt;="&amp;RotaStart,Timesheets!$B$5:$B$804,"&lt;="&amp;RotaStart+6))</f>
        <v>0</v>
      </c>
      <c r="H52" s="23">
        <f>IF($A$52="","",COUNTIFS(Timesheets!$Q$5:$Q$804,"Yes",Timesheets!$F$5:$F$804,$A$52,Timesheets!$B$5:$B$804,"&gt;="&amp;RotaStart,Timesheets!$B$5:$B$804,"&lt;="&amp;RotaStart+6)&amp;" of "&amp;COUNTIFS(Timesheets!$F$5:$F$804,$A$52,Timesheets!$B$5:$B$804,"&gt;="&amp;RotaStart,Timesheets!$B$5:$B$804,"&lt;="&amp;RotaStart+6))</f>
        <v>0</v>
      </c>
    </row>
    <row r="53" spans="1:13">
      <c r="A53" s="10">
        <f>IFERROR(INDEX(Employees!$B$5:$B$44,MATCH(8,Employees!$AJ$5:$AJ$44,0)),"")</f>
        <v>0</v>
      </c>
      <c r="B53" s="34">
        <f>IF($A$53="","",SUMIFS(Timesheets!$U$5:$U$804,Timesheets!$F$5:$F$804,$A$53,Timesheets!$B$5:$B$804,"&gt;="&amp;RotaStart,Timesheets!$B$5:$B$804,"&lt;="&amp;RotaStart+6))</f>
        <v>0</v>
      </c>
      <c r="C53" s="34">
        <f>IF($A$53="","",SUMIFS(Timesheets!$U$5:$U$804,Timesheets!$F$5:$F$804,$A$53,Timesheets!$B$5:$B$804,"&gt;="&amp;RotaStart,Timesheets!$B$5:$B$804,"&lt;="&amp;RotaStart+6,Timesheets!$P$5:$P$804,"Yes"))</f>
        <v>0</v>
      </c>
      <c r="D53" s="38">
        <f>IF(OR($A$53="",B53=0),"",C53/B53)</f>
        <v>0</v>
      </c>
      <c r="E53" s="31">
        <f>IF($A$53="","",COUNTIFS(Timesheets!$O$5:$O$804,"Late",Timesheets!$F$5:$F$804,$A$53,Timesheets!$B$5:$B$804,"&gt;="&amp;RotaStart,Timesheets!$B$5:$B$804,"&lt;="&amp;RotaStart+6))</f>
        <v>0</v>
      </c>
      <c r="F53" s="31">
        <f>IF($A$53="","",COUNTIFS(Timesheets!$O$5:$O$804,"Absent - no show",Timesheets!$F$5:$F$804,$A$53,Timesheets!$B$5:$B$804,"&gt;="&amp;RotaStart,Timesheets!$B$5:$B$804,"&lt;="&amp;RotaStart+6)+COUNTIFS(Timesheets!$O$5:$O$804,"Absent - told us",Timesheets!$F$5:$F$804,$A$53,Timesheets!$B$5:$B$804,"&gt;="&amp;RotaStart,Timesheets!$B$5:$B$804,"&lt;="&amp;RotaStart+6))</f>
        <v>0</v>
      </c>
      <c r="G53" s="21">
        <f>IF($A$53="","",SUMIFS(Timesheets!$X$5:$X$804,Timesheets!$F$5:$F$804,$A$53,Timesheets!$B$5:$B$804,"&gt;="&amp;RotaStart,Timesheets!$B$5:$B$804,"&lt;="&amp;RotaStart+6))</f>
        <v>0</v>
      </c>
      <c r="H53" s="23">
        <f>IF($A$53="","",COUNTIFS(Timesheets!$Q$5:$Q$804,"Yes",Timesheets!$F$5:$F$804,$A$53,Timesheets!$B$5:$B$804,"&gt;="&amp;RotaStart,Timesheets!$B$5:$B$804,"&lt;="&amp;RotaStart+6)&amp;" of "&amp;COUNTIFS(Timesheets!$F$5:$F$804,$A$53,Timesheets!$B$5:$B$804,"&gt;="&amp;RotaStart,Timesheets!$B$5:$B$804,"&lt;="&amp;RotaStart+6))</f>
        <v>0</v>
      </c>
    </row>
    <row r="54" spans="1:13">
      <c r="A54" s="10">
        <f>IFERROR(INDEX(Employees!$B$5:$B$44,MATCH(9,Employees!$AJ$5:$AJ$44,0)),"")</f>
        <v>0</v>
      </c>
      <c r="B54" s="34">
        <f>IF($A$54="","",SUMIFS(Timesheets!$U$5:$U$804,Timesheets!$F$5:$F$804,$A$54,Timesheets!$B$5:$B$804,"&gt;="&amp;RotaStart,Timesheets!$B$5:$B$804,"&lt;="&amp;RotaStart+6))</f>
        <v>0</v>
      </c>
      <c r="C54" s="34">
        <f>IF($A$54="","",SUMIFS(Timesheets!$U$5:$U$804,Timesheets!$F$5:$F$804,$A$54,Timesheets!$B$5:$B$804,"&gt;="&amp;RotaStart,Timesheets!$B$5:$B$804,"&lt;="&amp;RotaStart+6,Timesheets!$P$5:$P$804,"Yes"))</f>
        <v>0</v>
      </c>
      <c r="D54" s="38">
        <f>IF(OR($A$54="",B54=0),"",C54/B54)</f>
        <v>0</v>
      </c>
      <c r="E54" s="31">
        <f>IF($A$54="","",COUNTIFS(Timesheets!$O$5:$O$804,"Late",Timesheets!$F$5:$F$804,$A$54,Timesheets!$B$5:$B$804,"&gt;="&amp;RotaStart,Timesheets!$B$5:$B$804,"&lt;="&amp;RotaStart+6))</f>
        <v>0</v>
      </c>
      <c r="F54" s="31">
        <f>IF($A$54="","",COUNTIFS(Timesheets!$O$5:$O$804,"Absent - no show",Timesheets!$F$5:$F$804,$A$54,Timesheets!$B$5:$B$804,"&gt;="&amp;RotaStart,Timesheets!$B$5:$B$804,"&lt;="&amp;RotaStart+6)+COUNTIFS(Timesheets!$O$5:$O$804,"Absent - told us",Timesheets!$F$5:$F$804,$A$54,Timesheets!$B$5:$B$804,"&gt;="&amp;RotaStart,Timesheets!$B$5:$B$804,"&lt;="&amp;RotaStart+6))</f>
        <v>0</v>
      </c>
      <c r="G54" s="21">
        <f>IF($A$54="","",SUMIFS(Timesheets!$X$5:$X$804,Timesheets!$F$5:$F$804,$A$54,Timesheets!$B$5:$B$804,"&gt;="&amp;RotaStart,Timesheets!$B$5:$B$804,"&lt;="&amp;RotaStart+6))</f>
        <v>0</v>
      </c>
      <c r="H54" s="23">
        <f>IF($A$54="","",COUNTIFS(Timesheets!$Q$5:$Q$804,"Yes",Timesheets!$F$5:$F$804,$A$54,Timesheets!$B$5:$B$804,"&gt;="&amp;RotaStart,Timesheets!$B$5:$B$804,"&lt;="&amp;RotaStart+6)&amp;" of "&amp;COUNTIFS(Timesheets!$F$5:$F$804,$A$54,Timesheets!$B$5:$B$804,"&gt;="&amp;RotaStart,Timesheets!$B$5:$B$804,"&lt;="&amp;RotaStart+6))</f>
        <v>0</v>
      </c>
    </row>
    <row r="55" spans="1:13">
      <c r="A55" s="10">
        <f>IFERROR(INDEX(Employees!$B$5:$B$44,MATCH(10,Employees!$AJ$5:$AJ$44,0)),"")</f>
        <v>0</v>
      </c>
      <c r="B55" s="34">
        <f>IF($A$55="","",SUMIFS(Timesheets!$U$5:$U$804,Timesheets!$F$5:$F$804,$A$55,Timesheets!$B$5:$B$804,"&gt;="&amp;RotaStart,Timesheets!$B$5:$B$804,"&lt;="&amp;RotaStart+6))</f>
        <v>0</v>
      </c>
      <c r="C55" s="34">
        <f>IF($A$55="","",SUMIFS(Timesheets!$U$5:$U$804,Timesheets!$F$5:$F$804,$A$55,Timesheets!$B$5:$B$804,"&gt;="&amp;RotaStart,Timesheets!$B$5:$B$804,"&lt;="&amp;RotaStart+6,Timesheets!$P$5:$P$804,"Yes"))</f>
        <v>0</v>
      </c>
      <c r="D55" s="38">
        <f>IF(OR($A$55="",B55=0),"",C55/B55)</f>
        <v>0</v>
      </c>
      <c r="E55" s="31">
        <f>IF($A$55="","",COUNTIFS(Timesheets!$O$5:$O$804,"Late",Timesheets!$F$5:$F$804,$A$55,Timesheets!$B$5:$B$804,"&gt;="&amp;RotaStart,Timesheets!$B$5:$B$804,"&lt;="&amp;RotaStart+6))</f>
        <v>0</v>
      </c>
      <c r="F55" s="31">
        <f>IF($A$55="","",COUNTIFS(Timesheets!$O$5:$O$804,"Absent - no show",Timesheets!$F$5:$F$804,$A$55,Timesheets!$B$5:$B$804,"&gt;="&amp;RotaStart,Timesheets!$B$5:$B$804,"&lt;="&amp;RotaStart+6)+COUNTIFS(Timesheets!$O$5:$O$804,"Absent - told us",Timesheets!$F$5:$F$804,$A$55,Timesheets!$B$5:$B$804,"&gt;="&amp;RotaStart,Timesheets!$B$5:$B$804,"&lt;="&amp;RotaStart+6))</f>
        <v>0</v>
      </c>
      <c r="G55" s="21">
        <f>IF($A$55="","",SUMIFS(Timesheets!$X$5:$X$804,Timesheets!$F$5:$F$804,$A$55,Timesheets!$B$5:$B$804,"&gt;="&amp;RotaStart,Timesheets!$B$5:$B$804,"&lt;="&amp;RotaStart+6))</f>
        <v>0</v>
      </c>
      <c r="H55" s="23">
        <f>IF($A$55="","",COUNTIFS(Timesheets!$Q$5:$Q$804,"Yes",Timesheets!$F$5:$F$804,$A$55,Timesheets!$B$5:$B$804,"&gt;="&amp;RotaStart,Timesheets!$B$5:$B$804,"&lt;="&amp;RotaStart+6)&amp;" of "&amp;COUNTIFS(Timesheets!$F$5:$F$804,$A$55,Timesheets!$B$5:$B$804,"&gt;="&amp;RotaStart,Timesheets!$B$5:$B$804,"&lt;="&amp;RotaStart+6))</f>
        <v>0</v>
      </c>
    </row>
    <row r="56" spans="1:13">
      <c r="A56" s="10">
        <f>IFERROR(INDEX(Employees!$B$5:$B$44,MATCH(11,Employees!$AJ$5:$AJ$44,0)),"")</f>
        <v>0</v>
      </c>
      <c r="B56" s="34">
        <f>IF($A$56="","",SUMIFS(Timesheets!$U$5:$U$804,Timesheets!$F$5:$F$804,$A$56,Timesheets!$B$5:$B$804,"&gt;="&amp;RotaStart,Timesheets!$B$5:$B$804,"&lt;="&amp;RotaStart+6))</f>
        <v>0</v>
      </c>
      <c r="C56" s="34">
        <f>IF($A$56="","",SUMIFS(Timesheets!$U$5:$U$804,Timesheets!$F$5:$F$804,$A$56,Timesheets!$B$5:$B$804,"&gt;="&amp;RotaStart,Timesheets!$B$5:$B$804,"&lt;="&amp;RotaStart+6,Timesheets!$P$5:$P$804,"Yes"))</f>
        <v>0</v>
      </c>
      <c r="D56" s="38">
        <f>IF(OR($A$56="",B56=0),"",C56/B56)</f>
        <v>0</v>
      </c>
      <c r="E56" s="31">
        <f>IF($A$56="","",COUNTIFS(Timesheets!$O$5:$O$804,"Late",Timesheets!$F$5:$F$804,$A$56,Timesheets!$B$5:$B$804,"&gt;="&amp;RotaStart,Timesheets!$B$5:$B$804,"&lt;="&amp;RotaStart+6))</f>
        <v>0</v>
      </c>
      <c r="F56" s="31">
        <f>IF($A$56="","",COUNTIFS(Timesheets!$O$5:$O$804,"Absent - no show",Timesheets!$F$5:$F$804,$A$56,Timesheets!$B$5:$B$804,"&gt;="&amp;RotaStart,Timesheets!$B$5:$B$804,"&lt;="&amp;RotaStart+6)+COUNTIFS(Timesheets!$O$5:$O$804,"Absent - told us",Timesheets!$F$5:$F$804,$A$56,Timesheets!$B$5:$B$804,"&gt;="&amp;RotaStart,Timesheets!$B$5:$B$804,"&lt;="&amp;RotaStart+6))</f>
        <v>0</v>
      </c>
      <c r="G56" s="21">
        <f>IF($A$56="","",SUMIFS(Timesheets!$X$5:$X$804,Timesheets!$F$5:$F$804,$A$56,Timesheets!$B$5:$B$804,"&gt;="&amp;RotaStart,Timesheets!$B$5:$B$804,"&lt;="&amp;RotaStart+6))</f>
        <v>0</v>
      </c>
      <c r="H56" s="23">
        <f>IF($A$56="","",COUNTIFS(Timesheets!$Q$5:$Q$804,"Yes",Timesheets!$F$5:$F$804,$A$56,Timesheets!$B$5:$B$804,"&gt;="&amp;RotaStart,Timesheets!$B$5:$B$804,"&lt;="&amp;RotaStart+6)&amp;" of "&amp;COUNTIFS(Timesheets!$F$5:$F$804,$A$56,Timesheets!$B$5:$B$804,"&gt;="&amp;RotaStart,Timesheets!$B$5:$B$804,"&lt;="&amp;RotaStart+6))</f>
        <v>0</v>
      </c>
    </row>
    <row r="57" spans="1:13">
      <c r="A57" s="10">
        <f>IFERROR(INDEX(Employees!$B$5:$B$44,MATCH(12,Employees!$AJ$5:$AJ$44,0)),"")</f>
        <v>0</v>
      </c>
      <c r="B57" s="34">
        <f>IF($A$57="","",SUMIFS(Timesheets!$U$5:$U$804,Timesheets!$F$5:$F$804,$A$57,Timesheets!$B$5:$B$804,"&gt;="&amp;RotaStart,Timesheets!$B$5:$B$804,"&lt;="&amp;RotaStart+6))</f>
        <v>0</v>
      </c>
      <c r="C57" s="34">
        <f>IF($A$57="","",SUMIFS(Timesheets!$U$5:$U$804,Timesheets!$F$5:$F$804,$A$57,Timesheets!$B$5:$B$804,"&gt;="&amp;RotaStart,Timesheets!$B$5:$B$804,"&lt;="&amp;RotaStart+6,Timesheets!$P$5:$P$804,"Yes"))</f>
        <v>0</v>
      </c>
      <c r="D57" s="38">
        <f>IF(OR($A$57="",B57=0),"",C57/B57)</f>
        <v>0</v>
      </c>
      <c r="E57" s="31">
        <f>IF($A$57="","",COUNTIFS(Timesheets!$O$5:$O$804,"Late",Timesheets!$F$5:$F$804,$A$57,Timesheets!$B$5:$B$804,"&gt;="&amp;RotaStart,Timesheets!$B$5:$B$804,"&lt;="&amp;RotaStart+6))</f>
        <v>0</v>
      </c>
      <c r="F57" s="31">
        <f>IF($A$57="","",COUNTIFS(Timesheets!$O$5:$O$804,"Absent - no show",Timesheets!$F$5:$F$804,$A$57,Timesheets!$B$5:$B$804,"&gt;="&amp;RotaStart,Timesheets!$B$5:$B$804,"&lt;="&amp;RotaStart+6)+COUNTIFS(Timesheets!$O$5:$O$804,"Absent - told us",Timesheets!$F$5:$F$804,$A$57,Timesheets!$B$5:$B$804,"&gt;="&amp;RotaStart,Timesheets!$B$5:$B$804,"&lt;="&amp;RotaStart+6))</f>
        <v>0</v>
      </c>
      <c r="G57" s="21">
        <f>IF($A$57="","",SUMIFS(Timesheets!$X$5:$X$804,Timesheets!$F$5:$F$804,$A$57,Timesheets!$B$5:$B$804,"&gt;="&amp;RotaStart,Timesheets!$B$5:$B$804,"&lt;="&amp;RotaStart+6))</f>
        <v>0</v>
      </c>
      <c r="H57" s="23">
        <f>IF($A$57="","",COUNTIFS(Timesheets!$Q$5:$Q$804,"Yes",Timesheets!$F$5:$F$804,$A$57,Timesheets!$B$5:$B$804,"&gt;="&amp;RotaStart,Timesheets!$B$5:$B$804,"&lt;="&amp;RotaStart+6)&amp;" of "&amp;COUNTIFS(Timesheets!$F$5:$F$804,$A$57,Timesheets!$B$5:$B$804,"&gt;="&amp;RotaStart,Timesheets!$B$5:$B$804,"&lt;="&amp;RotaStart+6))</f>
        <v>0</v>
      </c>
    </row>
    <row r="59" spans="1:13" ht="30" customHeight="1">
      <c r="A59" s="6" t="s">
        <v>1454</v>
      </c>
      <c r="B59" s="6"/>
      <c r="C59" s="6"/>
      <c r="D59" s="6"/>
      <c r="E59" s="6"/>
      <c r="F59" s="6"/>
      <c r="G59" s="6"/>
      <c r="H59" s="6"/>
      <c r="I59" s="6"/>
      <c r="J59" s="6"/>
      <c r="K59" s="6"/>
      <c r="L59" s="6"/>
      <c r="M59" s="6"/>
    </row>
  </sheetData>
  <sheetProtection password="EC7C" sheet="1" objects="1" scenarios="1" formatCells="0" formatColumns="0" formatRows="0" insertRows="0" insertHyperlinks="0" deleteRows="0" autoFilter="0"/>
  <mergeCells count="23">
    <mergeCell ref="A1:J1"/>
    <mergeCell ref="K1:M1"/>
    <mergeCell ref="A2:M2"/>
    <mergeCell ref="A3:B3"/>
    <mergeCell ref="C3:D3"/>
    <mergeCell ref="E3:F3"/>
    <mergeCell ref="G3:H3"/>
    <mergeCell ref="I3:J3"/>
    <mergeCell ref="K3:L3"/>
    <mergeCell ref="C5:D5"/>
    <mergeCell ref="I5:J5"/>
    <mergeCell ref="A7:M7"/>
    <mergeCell ref="J22:M22"/>
    <mergeCell ref="A24:M24"/>
    <mergeCell ref="C26:M26"/>
    <mergeCell ref="C27:M27"/>
    <mergeCell ref="C28:M28"/>
    <mergeCell ref="C29:M29"/>
    <mergeCell ref="C30:M30"/>
    <mergeCell ref="C31:M31"/>
    <mergeCell ref="A33:M33"/>
    <mergeCell ref="A44:M44"/>
    <mergeCell ref="A59:M59"/>
  </mergeCells>
  <conditionalFormatting sqref="B29">
    <cfRule type="cellIs" dxfId="2" priority="8" operator="lessThan">
      <formula>0</formula>
    </cfRule>
  </conditionalFormatting>
  <conditionalFormatting sqref="B30:B31">
    <cfRule type="cellIs" dxfId="0" priority="9" operator="greaterThan">
      <formula>0</formula>
    </cfRule>
  </conditionalFormatting>
  <conditionalFormatting sqref="B9:H20">
    <cfRule type="colorScale" priority="1">
      <colorScale>
        <cfvo type="min" val="0"/>
        <cfvo type="percentile" val="50"/>
        <cfvo type="max" val="0"/>
        <color rgb="FFFFFFFF"/>
        <color rgb="FFDCEEF0"/>
        <color rgb="FF2F8F9D"/>
      </colorScale>
    </cfRule>
  </conditionalFormatting>
  <conditionalFormatting sqref="D46:D57">
    <cfRule type="cellIs" dxfId="1" priority="10" operator="greaterThanOrEqual">
      <formula>UtilisationTarget</formula>
    </cfRule>
    <cfRule type="cellIs" dxfId="0" priority="11" operator="lessThan">
      <formula>UtilisationTarget</formula>
    </cfRule>
  </conditionalFormatting>
  <conditionalFormatting sqref="E46:F57">
    <cfRule type="cellIs" dxfId="0" priority="12" operator="greaterThan">
      <formula>0</formula>
    </cfRule>
  </conditionalFormatting>
  <conditionalFormatting sqref="K9:K20">
    <cfRule type="cellIs" dxfId="2" priority="2" operator="greaterThan">
      <formula>1</formula>
    </cfRule>
    <cfRule type="cellIs" dxfId="0" priority="3" operator="lessThan">
      <formula>0.6</formula>
    </cfRule>
  </conditionalFormatting>
  <conditionalFormatting sqref="M9:M20">
    <cfRule type="containsText" dxfId="2" priority="4" operator="containsText" text="Clash">
      <formula>NOT(ISERROR(SEARCH("Clash",M9)))</formula>
    </cfRule>
    <cfRule type="containsText" dxfId="2" priority="5" operator="containsText" text="Overloaded">
      <formula>NOT(ISERROR(SEARCH("Overloaded",M9)))</formula>
    </cfRule>
    <cfRule type="containsText" dxfId="3" priority="6" operator="containsText" text="Has room">
      <formula>NOT(ISERROR(SEARCH("Has room",M9)))</formula>
    </cfRule>
    <cfRule type="containsText" dxfId="1" priority="7" operator="containsText" text="OK">
      <formula>NOT(ISERROR(SEARCH("OK",M9)))</formula>
    </cfRule>
  </conditionalFormatting>
  <dataValidations count="1">
    <dataValidation type="date" allowBlank="1" showInputMessage="1" showErrorMessage="1" errorTitle="Check the date" error="Enter a real date between 2000 and 2100." sqref="B5">
      <formula1>36526</formula1>
      <formula2>73415</formula2>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s>
  <pageMargins left="0.4" right="0.4" top="0.6" bottom="0.5" header="0.3" footer="0.3"/>
  <pageSetup paperSize="9" fitToHeight="0" orientation="landscape"/>
  <headerFooter>
    <oddHeader>&amp;L&amp;"Calibri,Bold"&amp;12&amp;C&amp;"Calibri,Bold"&amp;11Staff Schedule&amp;R&amp;"Calibri,Italic"&amp;9Cleaning Business CRM &amp; Pricing Calculator</oddHeader>
    <oddFooter>&amp;L&amp;"Calibri,Italic"&amp;8Novality Store - v1.0.0&amp;C&amp;"Calibri,Italic"&amp;8Page &amp;P of &amp;N&amp;R&amp;"Calibri,Italic"&amp;8&amp;D</oddFooter>
  </headerFooter>
</worksheet>
</file>

<file path=xl/worksheets/sheet17.xml><?xml version="1.0" encoding="utf-8"?>
<worksheet xmlns="http://schemas.openxmlformats.org/spreadsheetml/2006/main" xmlns:r="http://schemas.openxmlformats.org/officeDocument/2006/relationships">
  <sheetPr>
    <tabColor rgb="FF2F8F9D"/>
    <pageSetUpPr fitToPage="1"/>
  </sheetPr>
  <dimension ref="A1:Z8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11.7109375" style="46" customWidth="1"/>
    <col min="3" max="3" width="9.7109375" style="23" customWidth="1"/>
    <col min="4" max="4" width="7.7109375" style="31" customWidth="1"/>
    <col min="5" max="5" width="10.7109375" style="23" customWidth="1"/>
    <col min="6" max="6" width="18.7109375" style="15" customWidth="1"/>
    <col min="7" max="7" width="11.7109375" style="49" customWidth="1"/>
    <col min="8" max="8" width="20.7109375" style="23" customWidth="1"/>
    <col min="9" max="9" width="16.7109375" style="15" customWidth="1"/>
    <col min="10" max="10" width="9.7109375" style="52" customWidth="1"/>
    <col min="11" max="11" width="9.7109375" style="52" customWidth="1"/>
    <col min="12" max="12" width="10.7109375" style="16" customWidth="1"/>
    <col min="13" max="13" width="11.7109375" style="17" customWidth="1"/>
    <col min="14" max="14" width="10.7109375" style="17" customWidth="1"/>
    <col min="15" max="15" width="16.7109375" style="45" customWidth="1"/>
    <col min="16" max="16" width="9.7109375" style="47" customWidth="1"/>
    <col min="17" max="17" width="9.7109375" style="47" customWidth="1"/>
    <col min="18" max="18" width="8.7109375" style="47" customWidth="1"/>
    <col min="19" max="19" width="30.7109375" style="44" customWidth="1"/>
    <col min="20" max="20" width="9.7109375" style="34" hidden="1" customWidth="1"/>
    <col min="21" max="21" width="9.7109375" style="34" customWidth="1"/>
    <col min="22" max="22" width="10.7109375" style="21" hidden="1" customWidth="1"/>
    <col min="23" max="23" width="9.7109375" style="34" hidden="1" customWidth="1"/>
    <col min="24" max="24" width="11.7109375" style="21" customWidth="1"/>
    <col min="25" max="25" width="11.7109375" style="21" hidden="1" customWidth="1"/>
    <col min="26" max="26" width="26.7109375" style="39" customWidth="1"/>
  </cols>
  <sheetData>
    <row r="1" spans="1:26" ht="34" customHeight="1">
      <c r="A1" s="2" t="s">
        <v>1455</v>
      </c>
      <c r="B1" s="2"/>
      <c r="C1" s="2"/>
      <c r="D1" s="2"/>
      <c r="E1" s="2"/>
      <c r="F1" s="2"/>
      <c r="G1" s="2"/>
      <c r="H1" s="2"/>
      <c r="I1" s="2"/>
      <c r="J1" s="2"/>
      <c r="K1" s="2"/>
      <c r="L1" s="2"/>
      <c r="M1" s="2"/>
      <c r="N1" s="2"/>
      <c r="O1" s="2"/>
      <c r="P1" s="2"/>
      <c r="Q1" s="2"/>
      <c r="R1" s="2"/>
      <c r="S1" s="2"/>
      <c r="T1" s="2"/>
      <c r="U1" s="2"/>
      <c r="V1" s="2"/>
      <c r="W1" s="2"/>
      <c r="X1" s="3" t="s">
        <v>1</v>
      </c>
      <c r="Y1" s="3"/>
      <c r="Z1" s="3"/>
    </row>
    <row r="2" spans="1:26" ht="18" customHeight="1">
      <c r="A2" s="4" t="s">
        <v>1456</v>
      </c>
      <c r="B2" s="4"/>
      <c r="C2" s="4"/>
      <c r="D2" s="4"/>
      <c r="E2" s="4"/>
      <c r="F2" s="4"/>
      <c r="G2" s="4"/>
      <c r="H2" s="4"/>
      <c r="I2" s="4"/>
      <c r="J2" s="4"/>
      <c r="K2" s="4"/>
      <c r="L2" s="4"/>
      <c r="M2" s="4"/>
      <c r="N2" s="4"/>
      <c r="O2" s="4"/>
      <c r="P2" s="4"/>
      <c r="Q2" s="4"/>
      <c r="R2" s="4"/>
      <c r="S2" s="4"/>
      <c r="T2" s="4"/>
      <c r="U2" s="4"/>
      <c r="V2" s="4"/>
      <c r="W2" s="4"/>
      <c r="X2" s="4"/>
      <c r="Y2" s="4"/>
      <c r="Z2" s="4"/>
    </row>
    <row r="3" spans="1:26"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1457</v>
      </c>
      <c r="T3" s="48"/>
      <c r="U3" s="48"/>
      <c r="V3" s="48"/>
      <c r="W3" s="48"/>
      <c r="X3" s="48"/>
      <c r="Y3" s="48"/>
      <c r="Z3" s="48"/>
    </row>
    <row r="4" spans="1:26" ht="30" customHeight="1">
      <c r="A4" s="8" t="s">
        <v>545</v>
      </c>
      <c r="B4" s="8" t="s">
        <v>1100</v>
      </c>
      <c r="C4" s="9" t="s">
        <v>395</v>
      </c>
      <c r="D4" s="9" t="s">
        <v>396</v>
      </c>
      <c r="E4" s="9" t="s">
        <v>340</v>
      </c>
      <c r="F4" s="9" t="s">
        <v>1104</v>
      </c>
      <c r="G4" s="9" t="s">
        <v>1169</v>
      </c>
      <c r="H4" s="9" t="s">
        <v>403</v>
      </c>
      <c r="I4" s="9" t="s">
        <v>1458</v>
      </c>
      <c r="J4" s="9" t="s">
        <v>1101</v>
      </c>
      <c r="K4" s="9" t="s">
        <v>1118</v>
      </c>
      <c r="L4" s="9" t="s">
        <v>1459</v>
      </c>
      <c r="M4" s="9" t="s">
        <v>1460</v>
      </c>
      <c r="N4" s="9" t="s">
        <v>1461</v>
      </c>
      <c r="O4" s="9" t="s">
        <v>1462</v>
      </c>
      <c r="P4" s="9" t="s">
        <v>1463</v>
      </c>
      <c r="Q4" s="9" t="s">
        <v>1453</v>
      </c>
      <c r="R4" s="9" t="s">
        <v>1464</v>
      </c>
      <c r="S4" s="9" t="s">
        <v>421</v>
      </c>
      <c r="T4" s="9" t="s">
        <v>1465</v>
      </c>
      <c r="U4" s="9" t="s">
        <v>1077</v>
      </c>
      <c r="V4" s="9" t="s">
        <v>1466</v>
      </c>
      <c r="W4" s="9" t="s">
        <v>1467</v>
      </c>
      <c r="X4" s="9" t="s">
        <v>1468</v>
      </c>
      <c r="Y4" s="9" t="s">
        <v>1469</v>
      </c>
      <c r="Z4" s="9" t="s">
        <v>970</v>
      </c>
    </row>
    <row r="5" spans="1:26">
      <c r="A5" s="43">
        <f>IF(F5="","","TS-"&amp;TEXT(ROW()-4,"0000"))</f>
        <v>0</v>
      </c>
      <c r="B5" s="46">
        <v>46272</v>
      </c>
      <c r="C5" s="23">
        <f>IF(B5="","",TEXT(B5,"ddd"))</f>
        <v>0</v>
      </c>
      <c r="D5" s="31">
        <f>IF(B5="","",WEEKNUM(B5,IF(WeekStart="Sunday",1,2)))</f>
        <v>0</v>
      </c>
      <c r="E5" s="23">
        <f>IF(B5="","",TEXT(B5,"yyyy-mm"))</f>
        <v>0</v>
      </c>
      <c r="F5" s="15" t="s">
        <v>664</v>
      </c>
      <c r="G5" s="49" t="s">
        <v>1470</v>
      </c>
      <c r="H5" s="23">
        <f>IF(G5="","",IFERROR(INDEX(Jobs!$H$5:$H$604,MATCH(G5,Jobs!$A$5:$A$604,0)),""))</f>
        <v>0</v>
      </c>
      <c r="I5" s="15" t="s">
        <v>172</v>
      </c>
      <c r="J5" s="52">
        <v>0.291666666666667</v>
      </c>
      <c r="K5" s="52">
        <v>0.37</v>
      </c>
      <c r="L5" s="16">
        <v>0</v>
      </c>
      <c r="O5" s="45" t="s">
        <v>1471</v>
      </c>
      <c r="P5" s="47" t="s">
        <v>454</v>
      </c>
      <c r="Q5" s="47" t="s">
        <v>454</v>
      </c>
      <c r="R5" s="47" t="s">
        <v>454</v>
      </c>
      <c r="S5" s="44" t="s">
        <v>172</v>
      </c>
      <c r="T5" s="34">
        <f>IF(OR(J5="",K5=""),"",ROUND((K5-J5)*24-IF(L5="",0,L5)/60,2))</f>
        <v>0</v>
      </c>
      <c r="U5" s="34">
        <f>IF(F5="","",IF(M5&lt;&gt;"",M5,IF(T5="",0,T5)))</f>
        <v>0</v>
      </c>
      <c r="V5" s="21">
        <f>IF(F5="","",IFERROR(INDEX(Employees!$U$5:$U$44,MATCH(F5,Employees!$B$5:$B$44,0)),PayRate*(1+EmployerOncost)))</f>
        <v>0</v>
      </c>
      <c r="W5" s="34">
        <f>IF(F5="","",MAX(0,U5-IF(N5="",0,N5)))</f>
        <v>0</v>
      </c>
      <c r="X5" s="21">
        <f>IF(F5="","",ROUND(W5*V5+IF(N5="",0,N5)*V5*OvertimeRate,2))</f>
        <v>0</v>
      </c>
      <c r="Y5" s="21">
        <f>IF(F5="","",IF(P5&lt;&gt;"Yes",0,ROUND(U5*IF(IFERROR(INDEX(Clients!$O$5:$O$204,MATCH(IFERROR(INDEX(Jobs!$G$5:$G$604,MATCH(G5,Jobs!$A$5:$A$604,0)),""),Clients!$A$5:$A$204,0)),0)&gt;0,INDEX(Clients!$O$5:$O$204,MATCH(INDEX(Jobs!$G$5:$G$604,MATCH(G5,Jobs!$A$5:$A$604,0)),Clients!$A$5:$A$204,0)),HourlyRate),2)))</f>
        <v>0</v>
      </c>
      <c r="Z5" s="39">
        <f>IF(F5="","",IF(U5=0,"Add - no hours recorded",IF(O5="Absent - no show","Action - no show",IF(U5&gt;10,"Check - over ten hours in a day",IF(Q5&lt;&gt;"Yes","Due - needs approving",IF(R5&lt;&gt;"Yes","Due - not paid yet","OK"))))))</f>
        <v>0</v>
      </c>
    </row>
    <row r="6" spans="1:26">
      <c r="A6" s="43">
        <f>IF(F6="","","TS-"&amp;TEXT(ROW()-4,"0000"))</f>
        <v>0</v>
      </c>
      <c r="B6" s="46">
        <v>46272</v>
      </c>
      <c r="C6" s="23">
        <f>IF(B6="","",TEXT(B6,"ddd"))</f>
        <v>0</v>
      </c>
      <c r="D6" s="31">
        <f>IF(B6="","",WEEKNUM(B6,IF(WeekStart="Sunday",1,2)))</f>
        <v>0</v>
      </c>
      <c r="E6" s="23">
        <f>IF(B6="","",TEXT(B6,"yyyy-mm"))</f>
        <v>0</v>
      </c>
      <c r="F6" s="15" t="s">
        <v>608</v>
      </c>
      <c r="G6" s="49" t="s">
        <v>1472</v>
      </c>
      <c r="H6" s="23">
        <f>IF(G6="","",IFERROR(INDEX(Jobs!$H$5:$H$604,MATCH(G6,Jobs!$A$5:$A$604,0)),""))</f>
        <v>0</v>
      </c>
      <c r="I6" s="15" t="s">
        <v>172</v>
      </c>
      <c r="J6" s="52">
        <v>0.770833333333333</v>
      </c>
      <c r="K6" s="52">
        <v>0.849166666666667</v>
      </c>
      <c r="L6" s="16">
        <v>0</v>
      </c>
      <c r="O6" s="45" t="s">
        <v>1471</v>
      </c>
      <c r="P6" s="47" t="s">
        <v>454</v>
      </c>
      <c r="Q6" s="47" t="s">
        <v>454</v>
      </c>
      <c r="R6" s="47" t="s">
        <v>454</v>
      </c>
      <c r="S6" s="44" t="s">
        <v>172</v>
      </c>
      <c r="T6" s="34">
        <f>IF(OR(J6="",K6=""),"",ROUND((K6-J6)*24-IF(L6="",0,L6)/60,2))</f>
        <v>0</v>
      </c>
      <c r="U6" s="34">
        <f>IF(F6="","",IF(M6&lt;&gt;"",M6,IF(T6="",0,T6)))</f>
        <v>0</v>
      </c>
      <c r="V6" s="21">
        <f>IF(F6="","",IFERROR(INDEX(Employees!$U$5:$U$44,MATCH(F6,Employees!$B$5:$B$44,0)),PayRate*(1+EmployerOncost)))</f>
        <v>0</v>
      </c>
      <c r="W6" s="34">
        <f>IF(F6="","",MAX(0,U6-IF(N6="",0,N6)))</f>
        <v>0</v>
      </c>
      <c r="X6" s="21">
        <f>IF(F6="","",ROUND(W6*V6+IF(N6="",0,N6)*V6*OvertimeRate,2))</f>
        <v>0</v>
      </c>
      <c r="Y6" s="21">
        <f>IF(F6="","",IF(P6&lt;&gt;"Yes",0,ROUND(U6*IF(IFERROR(INDEX(Clients!$O$5:$O$204,MATCH(IFERROR(INDEX(Jobs!$G$5:$G$604,MATCH(G6,Jobs!$A$5:$A$604,0)),""),Clients!$A$5:$A$204,0)),0)&gt;0,INDEX(Clients!$O$5:$O$204,MATCH(INDEX(Jobs!$G$5:$G$604,MATCH(G6,Jobs!$A$5:$A$604,0)),Clients!$A$5:$A$204,0)),HourlyRate),2)))</f>
        <v>0</v>
      </c>
      <c r="Z6" s="39">
        <f>IF(F6="","",IF(U6=0,"Add - no hours recorded",IF(O6="Absent - no show","Action - no show",IF(U6&gt;10,"Check - over ten hours in a day",IF(Q6&lt;&gt;"Yes","Due - needs approving",IF(R6&lt;&gt;"Yes","Due - not paid yet","OK"))))))</f>
        <v>0</v>
      </c>
    </row>
    <row r="7" spans="1:26">
      <c r="A7" s="43">
        <f>IF(F7="","","TS-"&amp;TEXT(ROW()-4,"0000"))</f>
        <v>0</v>
      </c>
      <c r="B7" s="46">
        <v>46273</v>
      </c>
      <c r="C7" s="23">
        <f>IF(B7="","",TEXT(B7,"ddd"))</f>
        <v>0</v>
      </c>
      <c r="D7" s="31">
        <f>IF(B7="","",WEEKNUM(B7,IF(WeekStart="Sunday",1,2)))</f>
        <v>0</v>
      </c>
      <c r="E7" s="23">
        <f>IF(B7="","",TEXT(B7,"yyyy-mm"))</f>
        <v>0</v>
      </c>
      <c r="F7" s="15" t="s">
        <v>584</v>
      </c>
      <c r="G7" s="49" t="s">
        <v>1473</v>
      </c>
      <c r="H7" s="23">
        <f>IF(G7="","",IFERROR(INDEX(Jobs!$H$5:$H$604,MATCH(G7,Jobs!$A$5:$A$604,0)),""))</f>
        <v>0</v>
      </c>
      <c r="I7" s="15" t="s">
        <v>172</v>
      </c>
      <c r="J7" s="52">
        <v>0.375</v>
      </c>
      <c r="K7" s="52">
        <v>0.494583333333333</v>
      </c>
      <c r="L7" s="16">
        <v>0</v>
      </c>
      <c r="O7" s="45" t="s">
        <v>1471</v>
      </c>
      <c r="P7" s="47" t="s">
        <v>454</v>
      </c>
      <c r="Q7" s="47" t="s">
        <v>454</v>
      </c>
      <c r="R7" s="47" t="s">
        <v>454</v>
      </c>
      <c r="S7" s="44" t="s">
        <v>172</v>
      </c>
      <c r="T7" s="34">
        <f>IF(OR(J7="",K7=""),"",ROUND((K7-J7)*24-IF(L7="",0,L7)/60,2))</f>
        <v>0</v>
      </c>
      <c r="U7" s="34">
        <f>IF(F7="","",IF(M7&lt;&gt;"",M7,IF(T7="",0,T7)))</f>
        <v>0</v>
      </c>
      <c r="V7" s="21">
        <f>IF(F7="","",IFERROR(INDEX(Employees!$U$5:$U$44,MATCH(F7,Employees!$B$5:$B$44,0)),PayRate*(1+EmployerOncost)))</f>
        <v>0</v>
      </c>
      <c r="W7" s="34">
        <f>IF(F7="","",MAX(0,U7-IF(N7="",0,N7)))</f>
        <v>0</v>
      </c>
      <c r="X7" s="21">
        <f>IF(F7="","",ROUND(W7*V7+IF(N7="",0,N7)*V7*OvertimeRate,2))</f>
        <v>0</v>
      </c>
      <c r="Y7" s="21">
        <f>IF(F7="","",IF(P7&lt;&gt;"Yes",0,ROUND(U7*IF(IFERROR(INDEX(Clients!$O$5:$O$204,MATCH(IFERROR(INDEX(Jobs!$G$5:$G$604,MATCH(G7,Jobs!$A$5:$A$604,0)),""),Clients!$A$5:$A$204,0)),0)&gt;0,INDEX(Clients!$O$5:$O$204,MATCH(INDEX(Jobs!$G$5:$G$604,MATCH(G7,Jobs!$A$5:$A$604,0)),Clients!$A$5:$A$204,0)),HourlyRate),2)))</f>
        <v>0</v>
      </c>
      <c r="Z7" s="39">
        <f>IF(F7="","",IF(U7=0,"Add - no hours recorded",IF(O7="Absent - no show","Action - no show",IF(U7&gt;10,"Check - over ten hours in a day",IF(Q7&lt;&gt;"Yes","Due - needs approving",IF(R7&lt;&gt;"Yes","Due - not paid yet","OK"))))))</f>
        <v>0</v>
      </c>
    </row>
    <row r="8" spans="1:26">
      <c r="A8" s="43">
        <f>IF(F8="","","TS-"&amp;TEXT(ROW()-4,"0000"))</f>
        <v>0</v>
      </c>
      <c r="B8" s="46">
        <v>46273</v>
      </c>
      <c r="C8" s="23">
        <f>IF(B8="","",TEXT(B8,"ddd"))</f>
        <v>0</v>
      </c>
      <c r="D8" s="31">
        <f>IF(B8="","",WEEKNUM(B8,IF(WeekStart="Sunday",1,2)))</f>
        <v>0</v>
      </c>
      <c r="E8" s="23">
        <f>IF(B8="","",TEXT(B8,"yyyy-mm"))</f>
        <v>0</v>
      </c>
      <c r="F8" s="15" t="s">
        <v>584</v>
      </c>
      <c r="G8" s="49" t="s">
        <v>1474</v>
      </c>
      <c r="H8" s="23">
        <f>IF(G8="","",IFERROR(INDEX(Jobs!$H$5:$H$604,MATCH(G8,Jobs!$A$5:$A$604,0)),""))</f>
        <v>0</v>
      </c>
      <c r="I8" s="15" t="s">
        <v>172</v>
      </c>
      <c r="J8" s="52">
        <v>0.583333333333333</v>
      </c>
      <c r="K8" s="52">
        <v>0.73625</v>
      </c>
      <c r="L8" s="16">
        <v>0</v>
      </c>
      <c r="O8" s="45" t="s">
        <v>1471</v>
      </c>
      <c r="P8" s="47" t="s">
        <v>454</v>
      </c>
      <c r="Q8" s="47" t="s">
        <v>454</v>
      </c>
      <c r="R8" s="47" t="s">
        <v>454</v>
      </c>
      <c r="S8" s="44" t="s">
        <v>172</v>
      </c>
      <c r="T8" s="34">
        <f>IF(OR(J8="",K8=""),"",ROUND((K8-J8)*24-IF(L8="",0,L8)/60,2))</f>
        <v>0</v>
      </c>
      <c r="U8" s="34">
        <f>IF(F8="","",IF(M8&lt;&gt;"",M8,IF(T8="",0,T8)))</f>
        <v>0</v>
      </c>
      <c r="V8" s="21">
        <f>IF(F8="","",IFERROR(INDEX(Employees!$U$5:$U$44,MATCH(F8,Employees!$B$5:$B$44,0)),PayRate*(1+EmployerOncost)))</f>
        <v>0</v>
      </c>
      <c r="W8" s="34">
        <f>IF(F8="","",MAX(0,U8-IF(N8="",0,N8)))</f>
        <v>0</v>
      </c>
      <c r="X8" s="21">
        <f>IF(F8="","",ROUND(W8*V8+IF(N8="",0,N8)*V8*OvertimeRate,2))</f>
        <v>0</v>
      </c>
      <c r="Y8" s="21">
        <f>IF(F8="","",IF(P8&lt;&gt;"Yes",0,ROUND(U8*IF(IFERROR(INDEX(Clients!$O$5:$O$204,MATCH(IFERROR(INDEX(Jobs!$G$5:$G$604,MATCH(G8,Jobs!$A$5:$A$604,0)),""),Clients!$A$5:$A$204,0)),0)&gt;0,INDEX(Clients!$O$5:$O$204,MATCH(INDEX(Jobs!$G$5:$G$604,MATCH(G8,Jobs!$A$5:$A$604,0)),Clients!$A$5:$A$204,0)),HourlyRate),2)))</f>
        <v>0</v>
      </c>
      <c r="Z8" s="39">
        <f>IF(F8="","",IF(U8=0,"Add - no hours recorded",IF(O8="Absent - no show","Action - no show",IF(U8&gt;10,"Check - over ten hours in a day",IF(Q8&lt;&gt;"Yes","Due - needs approving",IF(R8&lt;&gt;"Yes","Due - not paid yet","OK"))))))</f>
        <v>0</v>
      </c>
    </row>
    <row r="9" spans="1:26">
      <c r="A9" s="43">
        <f>IF(F9="","","TS-"&amp;TEXT(ROW()-4,"0000"))</f>
        <v>0</v>
      </c>
      <c r="B9" s="46">
        <v>46274</v>
      </c>
      <c r="C9" s="23">
        <f>IF(B9="","",TEXT(B9,"ddd"))</f>
        <v>0</v>
      </c>
      <c r="D9" s="31">
        <f>IF(B9="","",WEEKNUM(B9,IF(WeekStart="Sunday",1,2)))</f>
        <v>0</v>
      </c>
      <c r="E9" s="23">
        <f>IF(B9="","",TEXT(B9,"yyyy-mm"))</f>
        <v>0</v>
      </c>
      <c r="F9" s="15" t="s">
        <v>596</v>
      </c>
      <c r="G9" s="49" t="s">
        <v>1475</v>
      </c>
      <c r="H9" s="23">
        <f>IF(G9="","",IFERROR(INDEX(Jobs!$H$5:$H$604,MATCH(G9,Jobs!$A$5:$A$604,0)),""))</f>
        <v>0</v>
      </c>
      <c r="I9" s="15" t="s">
        <v>172</v>
      </c>
      <c r="J9" s="52">
        <v>0.395833333333333</v>
      </c>
      <c r="K9" s="52">
        <v>0.53</v>
      </c>
      <c r="L9" s="16">
        <v>0</v>
      </c>
      <c r="O9" s="45" t="s">
        <v>1471</v>
      </c>
      <c r="P9" s="47" t="s">
        <v>454</v>
      </c>
      <c r="Q9" s="47" t="s">
        <v>454</v>
      </c>
      <c r="R9" s="47" t="s">
        <v>454</v>
      </c>
      <c r="S9" s="44" t="s">
        <v>172</v>
      </c>
      <c r="T9" s="34">
        <f>IF(OR(J9="",K9=""),"",ROUND((K9-J9)*24-IF(L9="",0,L9)/60,2))</f>
        <v>0</v>
      </c>
      <c r="U9" s="34">
        <f>IF(F9="","",IF(M9&lt;&gt;"",M9,IF(T9="",0,T9)))</f>
        <v>0</v>
      </c>
      <c r="V9" s="21">
        <f>IF(F9="","",IFERROR(INDEX(Employees!$U$5:$U$44,MATCH(F9,Employees!$B$5:$B$44,0)),PayRate*(1+EmployerOncost)))</f>
        <v>0</v>
      </c>
      <c r="W9" s="34">
        <f>IF(F9="","",MAX(0,U9-IF(N9="",0,N9)))</f>
        <v>0</v>
      </c>
      <c r="X9" s="21">
        <f>IF(F9="","",ROUND(W9*V9+IF(N9="",0,N9)*V9*OvertimeRate,2))</f>
        <v>0</v>
      </c>
      <c r="Y9" s="21">
        <f>IF(F9="","",IF(P9&lt;&gt;"Yes",0,ROUND(U9*IF(IFERROR(INDEX(Clients!$O$5:$O$204,MATCH(IFERROR(INDEX(Jobs!$G$5:$G$604,MATCH(G9,Jobs!$A$5:$A$604,0)),""),Clients!$A$5:$A$204,0)),0)&gt;0,INDEX(Clients!$O$5:$O$204,MATCH(INDEX(Jobs!$G$5:$G$604,MATCH(G9,Jobs!$A$5:$A$604,0)),Clients!$A$5:$A$204,0)),HourlyRate),2)))</f>
        <v>0</v>
      </c>
      <c r="Z9" s="39">
        <f>IF(F9="","",IF(U9=0,"Add - no hours recorded",IF(O9="Absent - no show","Action - no show",IF(U9&gt;10,"Check - over ten hours in a day",IF(Q9&lt;&gt;"Yes","Due - needs approving",IF(R9&lt;&gt;"Yes","Due - not paid yet","OK"))))))</f>
        <v>0</v>
      </c>
    </row>
    <row r="10" spans="1:26">
      <c r="A10" s="43">
        <f>IF(F10="","","TS-"&amp;TEXT(ROW()-4,"0000"))</f>
        <v>0</v>
      </c>
      <c r="B10" s="46">
        <v>46274</v>
      </c>
      <c r="C10" s="23">
        <f>IF(B10="","",TEXT(B10,"ddd"))</f>
        <v>0</v>
      </c>
      <c r="D10" s="31">
        <f>IF(B10="","",WEEKNUM(B10,IF(WeekStart="Sunday",1,2)))</f>
        <v>0</v>
      </c>
      <c r="E10" s="23">
        <f>IF(B10="","",TEXT(B10,"yyyy-mm"))</f>
        <v>0</v>
      </c>
      <c r="F10" s="15" t="s">
        <v>664</v>
      </c>
      <c r="G10" s="49" t="s">
        <v>1476</v>
      </c>
      <c r="H10" s="23">
        <f>IF(G10="","",IFERROR(INDEX(Jobs!$H$5:$H$604,MATCH(G10,Jobs!$A$5:$A$604,0)),""))</f>
        <v>0</v>
      </c>
      <c r="I10" s="15" t="s">
        <v>172</v>
      </c>
      <c r="J10" s="52">
        <v>0.583333333333333</v>
      </c>
      <c r="K10" s="52">
        <v>0.66375</v>
      </c>
      <c r="L10" s="16">
        <v>0</v>
      </c>
      <c r="O10" s="45" t="s">
        <v>1471</v>
      </c>
      <c r="P10" s="47" t="s">
        <v>454</v>
      </c>
      <c r="Q10" s="47" t="s">
        <v>454</v>
      </c>
      <c r="R10" s="47" t="s">
        <v>454</v>
      </c>
      <c r="S10" s="44" t="s">
        <v>172</v>
      </c>
      <c r="T10" s="34">
        <f>IF(OR(J10="",K10=""),"",ROUND((K10-J10)*24-IF(L10="",0,L10)/60,2))</f>
        <v>0</v>
      </c>
      <c r="U10" s="34">
        <f>IF(F10="","",IF(M10&lt;&gt;"",M10,IF(T10="",0,T10)))</f>
        <v>0</v>
      </c>
      <c r="V10" s="21">
        <f>IF(F10="","",IFERROR(INDEX(Employees!$U$5:$U$44,MATCH(F10,Employees!$B$5:$B$44,0)),PayRate*(1+EmployerOncost)))</f>
        <v>0</v>
      </c>
      <c r="W10" s="34">
        <f>IF(F10="","",MAX(0,U10-IF(N10="",0,N10)))</f>
        <v>0</v>
      </c>
      <c r="X10" s="21">
        <f>IF(F10="","",ROUND(W10*V10+IF(N10="",0,N10)*V10*OvertimeRate,2))</f>
        <v>0</v>
      </c>
      <c r="Y10" s="21">
        <f>IF(F10="","",IF(P10&lt;&gt;"Yes",0,ROUND(U10*IF(IFERROR(INDEX(Clients!$O$5:$O$204,MATCH(IFERROR(INDEX(Jobs!$G$5:$G$604,MATCH(G10,Jobs!$A$5:$A$604,0)),""),Clients!$A$5:$A$204,0)),0)&gt;0,INDEX(Clients!$O$5:$O$204,MATCH(INDEX(Jobs!$G$5:$G$604,MATCH(G10,Jobs!$A$5:$A$604,0)),Clients!$A$5:$A$204,0)),HourlyRate),2)))</f>
        <v>0</v>
      </c>
      <c r="Z10" s="39">
        <f>IF(F10="","",IF(U10=0,"Add - no hours recorded",IF(O10="Absent - no show","Action - no show",IF(U10&gt;10,"Check - over ten hours in a day",IF(Q10&lt;&gt;"Yes","Due - needs approving",IF(R10&lt;&gt;"Yes","Due - not paid yet","OK"))))))</f>
        <v>0</v>
      </c>
    </row>
    <row r="11" spans="1:26">
      <c r="A11" s="43">
        <f>IF(F11="","","TS-"&amp;TEXT(ROW()-4,"0000"))</f>
        <v>0</v>
      </c>
      <c r="B11" s="46">
        <v>46274</v>
      </c>
      <c r="C11" s="23">
        <f>IF(B11="","",TEXT(B11,"ddd"))</f>
        <v>0</v>
      </c>
      <c r="D11" s="31">
        <f>IF(B11="","",WEEKNUM(B11,IF(WeekStart="Sunday",1,2)))</f>
        <v>0</v>
      </c>
      <c r="E11" s="23">
        <f>IF(B11="","",TEXT(B11,"yyyy-mm"))</f>
        <v>0</v>
      </c>
      <c r="F11" s="15" t="s">
        <v>664</v>
      </c>
      <c r="G11" s="49" t="s">
        <v>1477</v>
      </c>
      <c r="H11" s="23">
        <f>IF(G11="","",IFERROR(INDEX(Jobs!$H$5:$H$604,MATCH(G11,Jobs!$A$5:$A$604,0)),""))</f>
        <v>0</v>
      </c>
      <c r="I11" s="15" t="s">
        <v>172</v>
      </c>
      <c r="J11" s="52">
        <v>0.645833333333333</v>
      </c>
      <c r="K11" s="52">
        <v>0.730416666666667</v>
      </c>
      <c r="L11" s="16">
        <v>0</v>
      </c>
      <c r="O11" s="45" t="s">
        <v>1471</v>
      </c>
      <c r="P11" s="47" t="s">
        <v>454</v>
      </c>
      <c r="Q11" s="47" t="s">
        <v>454</v>
      </c>
      <c r="R11" s="47" t="s">
        <v>454</v>
      </c>
      <c r="S11" s="44" t="s">
        <v>172</v>
      </c>
      <c r="T11" s="34">
        <f>IF(OR(J11="",K11=""),"",ROUND((K11-J11)*24-IF(L11="",0,L11)/60,2))</f>
        <v>0</v>
      </c>
      <c r="U11" s="34">
        <f>IF(F11="","",IF(M11&lt;&gt;"",M11,IF(T11="",0,T11)))</f>
        <v>0</v>
      </c>
      <c r="V11" s="21">
        <f>IF(F11="","",IFERROR(INDEX(Employees!$U$5:$U$44,MATCH(F11,Employees!$B$5:$B$44,0)),PayRate*(1+EmployerOncost)))</f>
        <v>0</v>
      </c>
      <c r="W11" s="34">
        <f>IF(F11="","",MAX(0,U11-IF(N11="",0,N11)))</f>
        <v>0</v>
      </c>
      <c r="X11" s="21">
        <f>IF(F11="","",ROUND(W11*V11+IF(N11="",0,N11)*V11*OvertimeRate,2))</f>
        <v>0</v>
      </c>
      <c r="Y11" s="21">
        <f>IF(F11="","",IF(P11&lt;&gt;"Yes",0,ROUND(U11*IF(IFERROR(INDEX(Clients!$O$5:$O$204,MATCH(IFERROR(INDEX(Jobs!$G$5:$G$604,MATCH(G11,Jobs!$A$5:$A$604,0)),""),Clients!$A$5:$A$204,0)),0)&gt;0,INDEX(Clients!$O$5:$O$204,MATCH(INDEX(Jobs!$G$5:$G$604,MATCH(G11,Jobs!$A$5:$A$604,0)),Clients!$A$5:$A$204,0)),HourlyRate),2)))</f>
        <v>0</v>
      </c>
      <c r="Z11" s="39">
        <f>IF(F11="","",IF(U11=0,"Add - no hours recorded",IF(O11="Absent - no show","Action - no show",IF(U11&gt;10,"Check - over ten hours in a day",IF(Q11&lt;&gt;"Yes","Due - needs approving",IF(R11&lt;&gt;"Yes","Due - not paid yet","OK"))))))</f>
        <v>0</v>
      </c>
    </row>
    <row r="12" spans="1:26">
      <c r="A12" s="43">
        <f>IF(F12="","","TS-"&amp;TEXT(ROW()-4,"0000"))</f>
        <v>0</v>
      </c>
      <c r="B12" s="46">
        <v>46275</v>
      </c>
      <c r="C12" s="23">
        <f>IF(B12="","",TEXT(B12,"ddd"))</f>
        <v>0</v>
      </c>
      <c r="D12" s="31">
        <f>IF(B12="","",WEEKNUM(B12,IF(WeekStart="Sunday",1,2)))</f>
        <v>0</v>
      </c>
      <c r="E12" s="23">
        <f>IF(B12="","",TEXT(B12,"yyyy-mm"))</f>
        <v>0</v>
      </c>
      <c r="F12" s="15" t="s">
        <v>664</v>
      </c>
      <c r="G12" s="49" t="s">
        <v>1478</v>
      </c>
      <c r="H12" s="23">
        <f>IF(G12="","",IFERROR(INDEX(Jobs!$H$5:$H$604,MATCH(G12,Jobs!$A$5:$A$604,0)),""))</f>
        <v>0</v>
      </c>
      <c r="I12" s="15" t="s">
        <v>172</v>
      </c>
      <c r="J12" s="52">
        <v>0.291666666666667</v>
      </c>
      <c r="K12" s="52">
        <v>0.382916666666667</v>
      </c>
      <c r="L12" s="16">
        <v>0</v>
      </c>
      <c r="O12" s="45" t="s">
        <v>1471</v>
      </c>
      <c r="P12" s="47" t="s">
        <v>454</v>
      </c>
      <c r="Q12" s="47" t="s">
        <v>454</v>
      </c>
      <c r="R12" s="47" t="s">
        <v>454</v>
      </c>
      <c r="S12" s="44" t="s">
        <v>172</v>
      </c>
      <c r="T12" s="34">
        <f>IF(OR(J12="",K12=""),"",ROUND((K12-J12)*24-IF(L12="",0,L12)/60,2))</f>
        <v>0</v>
      </c>
      <c r="U12" s="34">
        <f>IF(F12="","",IF(M12&lt;&gt;"",M12,IF(T12="",0,T12)))</f>
        <v>0</v>
      </c>
      <c r="V12" s="21">
        <f>IF(F12="","",IFERROR(INDEX(Employees!$U$5:$U$44,MATCH(F12,Employees!$B$5:$B$44,0)),PayRate*(1+EmployerOncost)))</f>
        <v>0</v>
      </c>
      <c r="W12" s="34">
        <f>IF(F12="","",MAX(0,U12-IF(N12="",0,N12)))</f>
        <v>0</v>
      </c>
      <c r="X12" s="21">
        <f>IF(F12="","",ROUND(W12*V12+IF(N12="",0,N12)*V12*OvertimeRate,2))</f>
        <v>0</v>
      </c>
      <c r="Y12" s="21">
        <f>IF(F12="","",IF(P12&lt;&gt;"Yes",0,ROUND(U12*IF(IFERROR(INDEX(Clients!$O$5:$O$204,MATCH(IFERROR(INDEX(Jobs!$G$5:$G$604,MATCH(G12,Jobs!$A$5:$A$604,0)),""),Clients!$A$5:$A$204,0)),0)&gt;0,INDEX(Clients!$O$5:$O$204,MATCH(INDEX(Jobs!$G$5:$G$604,MATCH(G12,Jobs!$A$5:$A$604,0)),Clients!$A$5:$A$204,0)),HourlyRate),2)))</f>
        <v>0</v>
      </c>
      <c r="Z12" s="39">
        <f>IF(F12="","",IF(U12=0,"Add - no hours recorded",IF(O12="Absent - no show","Action - no show",IF(U12&gt;10,"Check - over ten hours in a day",IF(Q12&lt;&gt;"Yes","Due - needs approving",IF(R12&lt;&gt;"Yes","Due - not paid yet","OK"))))))</f>
        <v>0</v>
      </c>
    </row>
    <row r="13" spans="1:26">
      <c r="A13" s="43">
        <f>IF(F13="","","TS-"&amp;TEXT(ROW()-4,"0000"))</f>
        <v>0</v>
      </c>
      <c r="B13" s="46">
        <v>46275</v>
      </c>
      <c r="C13" s="23">
        <f>IF(B13="","",TEXT(B13,"ddd"))</f>
        <v>0</v>
      </c>
      <c r="D13" s="31">
        <f>IF(B13="","",WEEKNUM(B13,IF(WeekStart="Sunday",1,2)))</f>
        <v>0</v>
      </c>
      <c r="E13" s="23">
        <f>IF(B13="","",TEXT(B13,"yyyy-mm"))</f>
        <v>0</v>
      </c>
      <c r="F13" s="15" t="s">
        <v>596</v>
      </c>
      <c r="G13" s="49" t="s">
        <v>1479</v>
      </c>
      <c r="H13" s="23">
        <f>IF(G13="","",IFERROR(INDEX(Jobs!$H$5:$H$604,MATCH(G13,Jobs!$A$5:$A$604,0)),""))</f>
        <v>0</v>
      </c>
      <c r="I13" s="15" t="s">
        <v>172</v>
      </c>
      <c r="J13" s="52">
        <v>0.583333333333333</v>
      </c>
      <c r="K13" s="52">
        <v>0.7125</v>
      </c>
      <c r="L13" s="16">
        <v>0</v>
      </c>
      <c r="O13" s="45" t="s">
        <v>1471</v>
      </c>
      <c r="P13" s="47" t="s">
        <v>454</v>
      </c>
      <c r="Q13" s="47" t="s">
        <v>454</v>
      </c>
      <c r="R13" s="47" t="s">
        <v>454</v>
      </c>
      <c r="S13" s="44" t="s">
        <v>172</v>
      </c>
      <c r="T13" s="34">
        <f>IF(OR(J13="",K13=""),"",ROUND((K13-J13)*24-IF(L13="",0,L13)/60,2))</f>
        <v>0</v>
      </c>
      <c r="U13" s="34">
        <f>IF(F13="","",IF(M13&lt;&gt;"",M13,IF(T13="",0,T13)))</f>
        <v>0</v>
      </c>
      <c r="V13" s="21">
        <f>IF(F13="","",IFERROR(INDEX(Employees!$U$5:$U$44,MATCH(F13,Employees!$B$5:$B$44,0)),PayRate*(1+EmployerOncost)))</f>
        <v>0</v>
      </c>
      <c r="W13" s="34">
        <f>IF(F13="","",MAX(0,U13-IF(N13="",0,N13)))</f>
        <v>0</v>
      </c>
      <c r="X13" s="21">
        <f>IF(F13="","",ROUND(W13*V13+IF(N13="",0,N13)*V13*OvertimeRate,2))</f>
        <v>0</v>
      </c>
      <c r="Y13" s="21">
        <f>IF(F13="","",IF(P13&lt;&gt;"Yes",0,ROUND(U13*IF(IFERROR(INDEX(Clients!$O$5:$O$204,MATCH(IFERROR(INDEX(Jobs!$G$5:$G$604,MATCH(G13,Jobs!$A$5:$A$604,0)),""),Clients!$A$5:$A$204,0)),0)&gt;0,INDEX(Clients!$O$5:$O$204,MATCH(INDEX(Jobs!$G$5:$G$604,MATCH(G13,Jobs!$A$5:$A$604,0)),Clients!$A$5:$A$204,0)),HourlyRate),2)))</f>
        <v>0</v>
      </c>
      <c r="Z13" s="39">
        <f>IF(F13="","",IF(U13=0,"Add - no hours recorded",IF(O13="Absent - no show","Action - no show",IF(U13&gt;10,"Check - over ten hours in a day",IF(Q13&lt;&gt;"Yes","Due - needs approving",IF(R13&lt;&gt;"Yes","Due - not paid yet","OK"))))))</f>
        <v>0</v>
      </c>
    </row>
    <row r="14" spans="1:26">
      <c r="A14" s="43">
        <f>IF(F14="","","TS-"&amp;TEXT(ROW()-4,"0000"))</f>
        <v>0</v>
      </c>
      <c r="B14" s="46">
        <v>46275</v>
      </c>
      <c r="C14" s="23">
        <f>IF(B14="","",TEXT(B14,"ddd"))</f>
        <v>0</v>
      </c>
      <c r="D14" s="31">
        <f>IF(B14="","",WEEKNUM(B14,IF(WeekStart="Sunday",1,2)))</f>
        <v>0</v>
      </c>
      <c r="E14" s="23">
        <f>IF(B14="","",TEXT(B14,"yyyy-mm"))</f>
        <v>0</v>
      </c>
      <c r="F14" s="15" t="s">
        <v>608</v>
      </c>
      <c r="G14" s="49" t="s">
        <v>1480</v>
      </c>
      <c r="H14" s="23">
        <f>IF(G14="","",IFERROR(INDEX(Jobs!$H$5:$H$604,MATCH(G14,Jobs!$A$5:$A$604,0)),""))</f>
        <v>0</v>
      </c>
      <c r="I14" s="15" t="s">
        <v>172</v>
      </c>
      <c r="J14" s="52">
        <v>0.770833333333333</v>
      </c>
      <c r="K14" s="52">
        <v>0.872083333333333</v>
      </c>
      <c r="L14" s="16">
        <v>0</v>
      </c>
      <c r="O14" s="45" t="s">
        <v>1451</v>
      </c>
      <c r="P14" s="47" t="s">
        <v>454</v>
      </c>
      <c r="Q14" s="47" t="s">
        <v>454</v>
      </c>
      <c r="R14" s="47" t="s">
        <v>454</v>
      </c>
      <c r="S14" s="44" t="s">
        <v>1481</v>
      </c>
      <c r="T14" s="34">
        <f>IF(OR(J14="",K14=""),"",ROUND((K14-J14)*24-IF(L14="",0,L14)/60,2))</f>
        <v>0</v>
      </c>
      <c r="U14" s="34">
        <f>IF(F14="","",IF(M14&lt;&gt;"",M14,IF(T14="",0,T14)))</f>
        <v>0</v>
      </c>
      <c r="V14" s="21">
        <f>IF(F14="","",IFERROR(INDEX(Employees!$U$5:$U$44,MATCH(F14,Employees!$B$5:$B$44,0)),PayRate*(1+EmployerOncost)))</f>
        <v>0</v>
      </c>
      <c r="W14" s="34">
        <f>IF(F14="","",MAX(0,U14-IF(N14="",0,N14)))</f>
        <v>0</v>
      </c>
      <c r="X14" s="21">
        <f>IF(F14="","",ROUND(W14*V14+IF(N14="",0,N14)*V14*OvertimeRate,2))</f>
        <v>0</v>
      </c>
      <c r="Y14" s="21">
        <f>IF(F14="","",IF(P14&lt;&gt;"Yes",0,ROUND(U14*IF(IFERROR(INDEX(Clients!$O$5:$O$204,MATCH(IFERROR(INDEX(Jobs!$G$5:$G$604,MATCH(G14,Jobs!$A$5:$A$604,0)),""),Clients!$A$5:$A$204,0)),0)&gt;0,INDEX(Clients!$O$5:$O$204,MATCH(INDEX(Jobs!$G$5:$G$604,MATCH(G14,Jobs!$A$5:$A$604,0)),Clients!$A$5:$A$204,0)),HourlyRate),2)))</f>
        <v>0</v>
      </c>
      <c r="Z14" s="39">
        <f>IF(F14="","",IF(U14=0,"Add - no hours recorded",IF(O14="Absent - no show","Action - no show",IF(U14&gt;10,"Check - over ten hours in a day",IF(Q14&lt;&gt;"Yes","Due - needs approving",IF(R14&lt;&gt;"Yes","Due - not paid yet","OK"))))))</f>
        <v>0</v>
      </c>
    </row>
    <row r="15" spans="1:26">
      <c r="A15" s="43">
        <f>IF(F15="","","TS-"&amp;TEXT(ROW()-4,"0000"))</f>
        <v>0</v>
      </c>
      <c r="B15" s="46">
        <v>46276</v>
      </c>
      <c r="C15" s="23">
        <f>IF(B15="","",TEXT(B15,"ddd"))</f>
        <v>0</v>
      </c>
      <c r="D15" s="31">
        <f>IF(B15="","",WEEKNUM(B15,IF(WeekStart="Sunday",1,2)))</f>
        <v>0</v>
      </c>
      <c r="E15" s="23">
        <f>IF(B15="","",TEXT(B15,"yyyy-mm"))</f>
        <v>0</v>
      </c>
      <c r="F15" s="15" t="s">
        <v>639</v>
      </c>
      <c r="G15" s="49" t="s">
        <v>1482</v>
      </c>
      <c r="H15" s="23">
        <f>IF(G15="","",IFERROR(INDEX(Jobs!$H$5:$H$604,MATCH(G15,Jobs!$A$5:$A$604,0)),""))</f>
        <v>0</v>
      </c>
      <c r="I15" s="15" t="s">
        <v>172</v>
      </c>
      <c r="J15" s="52">
        <v>0.729166666666667</v>
      </c>
      <c r="K15" s="52">
        <v>0.792916666666667</v>
      </c>
      <c r="L15" s="16">
        <v>0</v>
      </c>
      <c r="O15" s="45" t="s">
        <v>1471</v>
      </c>
      <c r="P15" s="47" t="s">
        <v>454</v>
      </c>
      <c r="Q15" s="47" t="s">
        <v>454</v>
      </c>
      <c r="R15" s="47" t="s">
        <v>454</v>
      </c>
      <c r="S15" s="44" t="s">
        <v>172</v>
      </c>
      <c r="T15" s="34">
        <f>IF(OR(J15="",K15=""),"",ROUND((K15-J15)*24-IF(L15="",0,L15)/60,2))</f>
        <v>0</v>
      </c>
      <c r="U15" s="34">
        <f>IF(F15="","",IF(M15&lt;&gt;"",M15,IF(T15="",0,T15)))</f>
        <v>0</v>
      </c>
      <c r="V15" s="21">
        <f>IF(F15="","",IFERROR(INDEX(Employees!$U$5:$U$44,MATCH(F15,Employees!$B$5:$B$44,0)),PayRate*(1+EmployerOncost)))</f>
        <v>0</v>
      </c>
      <c r="W15" s="34">
        <f>IF(F15="","",MAX(0,U15-IF(N15="",0,N15)))</f>
        <v>0</v>
      </c>
      <c r="X15" s="21">
        <f>IF(F15="","",ROUND(W15*V15+IF(N15="",0,N15)*V15*OvertimeRate,2))</f>
        <v>0</v>
      </c>
      <c r="Y15" s="21">
        <f>IF(F15="","",IF(P15&lt;&gt;"Yes",0,ROUND(U15*IF(IFERROR(INDEX(Clients!$O$5:$O$204,MATCH(IFERROR(INDEX(Jobs!$G$5:$G$604,MATCH(G15,Jobs!$A$5:$A$604,0)),""),Clients!$A$5:$A$204,0)),0)&gt;0,INDEX(Clients!$O$5:$O$204,MATCH(INDEX(Jobs!$G$5:$G$604,MATCH(G15,Jobs!$A$5:$A$604,0)),Clients!$A$5:$A$204,0)),HourlyRate),2)))</f>
        <v>0</v>
      </c>
      <c r="Z15" s="39">
        <f>IF(F15="","",IF(U15=0,"Add - no hours recorded",IF(O15="Absent - no show","Action - no show",IF(U15&gt;10,"Check - over ten hours in a day",IF(Q15&lt;&gt;"Yes","Due - needs approving",IF(R15&lt;&gt;"Yes","Due - not paid yet","OK"))))))</f>
        <v>0</v>
      </c>
    </row>
    <row r="16" spans="1:26">
      <c r="A16" s="43">
        <f>IF(F16="","","TS-"&amp;TEXT(ROW()-4,"0000"))</f>
        <v>0</v>
      </c>
      <c r="B16" s="46">
        <v>46276</v>
      </c>
      <c r="C16" s="23">
        <f>IF(B16="","",TEXT(B16,"ddd"))</f>
        <v>0</v>
      </c>
      <c r="D16" s="31">
        <f>IF(B16="","",WEEKNUM(B16,IF(WeekStart="Sunday",1,2)))</f>
        <v>0</v>
      </c>
      <c r="E16" s="23">
        <f>IF(B16="","",TEXT(B16,"yyyy-mm"))</f>
        <v>0</v>
      </c>
      <c r="F16" s="15" t="s">
        <v>664</v>
      </c>
      <c r="G16" s="49" t="s">
        <v>1482</v>
      </c>
      <c r="H16" s="23">
        <f>IF(G16="","",IFERROR(INDEX(Jobs!$H$5:$H$604,MATCH(G16,Jobs!$A$5:$A$604,0)),""))</f>
        <v>0</v>
      </c>
      <c r="I16" s="15" t="s">
        <v>172</v>
      </c>
      <c r="J16" s="52">
        <v>0.729166666666667</v>
      </c>
      <c r="K16" s="52">
        <v>0.792916666666667</v>
      </c>
      <c r="L16" s="16">
        <v>0</v>
      </c>
      <c r="O16" s="45" t="s">
        <v>1471</v>
      </c>
      <c r="P16" s="47" t="s">
        <v>454</v>
      </c>
      <c r="Q16" s="47" t="s">
        <v>454</v>
      </c>
      <c r="R16" s="47" t="s">
        <v>454</v>
      </c>
      <c r="S16" s="44" t="s">
        <v>172</v>
      </c>
      <c r="T16" s="34">
        <f>IF(OR(J16="",K16=""),"",ROUND((K16-J16)*24-IF(L16="",0,L16)/60,2))</f>
        <v>0</v>
      </c>
      <c r="U16" s="34">
        <f>IF(F16="","",IF(M16&lt;&gt;"",M16,IF(T16="",0,T16)))</f>
        <v>0</v>
      </c>
      <c r="V16" s="21">
        <f>IF(F16="","",IFERROR(INDEX(Employees!$U$5:$U$44,MATCH(F16,Employees!$B$5:$B$44,0)),PayRate*(1+EmployerOncost)))</f>
        <v>0</v>
      </c>
      <c r="W16" s="34">
        <f>IF(F16="","",MAX(0,U16-IF(N16="",0,N16)))</f>
        <v>0</v>
      </c>
      <c r="X16" s="21">
        <f>IF(F16="","",ROUND(W16*V16+IF(N16="",0,N16)*V16*OvertimeRate,2))</f>
        <v>0</v>
      </c>
      <c r="Y16" s="21">
        <f>IF(F16="","",IF(P16&lt;&gt;"Yes",0,ROUND(U16*IF(IFERROR(INDEX(Clients!$O$5:$O$204,MATCH(IFERROR(INDEX(Jobs!$G$5:$G$604,MATCH(G16,Jobs!$A$5:$A$604,0)),""),Clients!$A$5:$A$204,0)),0)&gt;0,INDEX(Clients!$O$5:$O$204,MATCH(INDEX(Jobs!$G$5:$G$604,MATCH(G16,Jobs!$A$5:$A$604,0)),Clients!$A$5:$A$204,0)),HourlyRate),2)))</f>
        <v>0</v>
      </c>
      <c r="Z16" s="39">
        <f>IF(F16="","",IF(U16=0,"Add - no hours recorded",IF(O16="Absent - no show","Action - no show",IF(U16&gt;10,"Check - over ten hours in a day",IF(Q16&lt;&gt;"Yes","Due - needs approving",IF(R16&lt;&gt;"Yes","Due - not paid yet","OK"))))))</f>
        <v>0</v>
      </c>
    </row>
    <row r="17" spans="1:26">
      <c r="A17" s="43">
        <f>IF(F17="","","TS-"&amp;TEXT(ROW()-4,"0000"))</f>
        <v>0</v>
      </c>
      <c r="B17" s="46">
        <v>46276</v>
      </c>
      <c r="C17" s="23">
        <f>IF(B17="","",TEXT(B17,"ddd"))</f>
        <v>0</v>
      </c>
      <c r="D17" s="31">
        <f>IF(B17="","",WEEKNUM(B17,IF(WeekStart="Sunday",1,2)))</f>
        <v>0</v>
      </c>
      <c r="E17" s="23">
        <f>IF(B17="","",TEXT(B17,"yyyy-mm"))</f>
        <v>0</v>
      </c>
      <c r="F17" s="15" t="s">
        <v>608</v>
      </c>
      <c r="G17" s="49" t="s">
        <v>1483</v>
      </c>
      <c r="H17" s="23">
        <f>IF(G17="","",IFERROR(INDEX(Jobs!$H$5:$H$604,MATCH(G17,Jobs!$A$5:$A$604,0)),""))</f>
        <v>0</v>
      </c>
      <c r="I17" s="15" t="s">
        <v>172</v>
      </c>
      <c r="J17" s="52">
        <v>0.75</v>
      </c>
      <c r="K17" s="52">
        <v>0.83875</v>
      </c>
      <c r="L17" s="16">
        <v>0</v>
      </c>
      <c r="O17" s="45" t="s">
        <v>1471</v>
      </c>
      <c r="P17" s="47" t="s">
        <v>454</v>
      </c>
      <c r="Q17" s="47" t="s">
        <v>454</v>
      </c>
      <c r="R17" s="47" t="s">
        <v>454</v>
      </c>
      <c r="S17" s="44" t="s">
        <v>172</v>
      </c>
      <c r="T17" s="34">
        <f>IF(OR(J17="",K17=""),"",ROUND((K17-J17)*24-IF(L17="",0,L17)/60,2))</f>
        <v>0</v>
      </c>
      <c r="U17" s="34">
        <f>IF(F17="","",IF(M17&lt;&gt;"",M17,IF(T17="",0,T17)))</f>
        <v>0</v>
      </c>
      <c r="V17" s="21">
        <f>IF(F17="","",IFERROR(INDEX(Employees!$U$5:$U$44,MATCH(F17,Employees!$B$5:$B$44,0)),PayRate*(1+EmployerOncost)))</f>
        <v>0</v>
      </c>
      <c r="W17" s="34">
        <f>IF(F17="","",MAX(0,U17-IF(N17="",0,N17)))</f>
        <v>0</v>
      </c>
      <c r="X17" s="21">
        <f>IF(F17="","",ROUND(W17*V17+IF(N17="",0,N17)*V17*OvertimeRate,2))</f>
        <v>0</v>
      </c>
      <c r="Y17" s="21">
        <f>IF(F17="","",IF(P17&lt;&gt;"Yes",0,ROUND(U17*IF(IFERROR(INDEX(Clients!$O$5:$O$204,MATCH(IFERROR(INDEX(Jobs!$G$5:$G$604,MATCH(G17,Jobs!$A$5:$A$604,0)),""),Clients!$A$5:$A$204,0)),0)&gt;0,INDEX(Clients!$O$5:$O$204,MATCH(INDEX(Jobs!$G$5:$G$604,MATCH(G17,Jobs!$A$5:$A$604,0)),Clients!$A$5:$A$204,0)),HourlyRate),2)))</f>
        <v>0</v>
      </c>
      <c r="Z17" s="39">
        <f>IF(F17="","",IF(U17=0,"Add - no hours recorded",IF(O17="Absent - no show","Action - no show",IF(U17&gt;10,"Check - over ten hours in a day",IF(Q17&lt;&gt;"Yes","Due - needs approving",IF(R17&lt;&gt;"Yes","Due - not paid yet","OK"))))))</f>
        <v>0</v>
      </c>
    </row>
    <row r="18" spans="1:26">
      <c r="A18" s="43">
        <f>IF(F18="","","TS-"&amp;TEXT(ROW()-4,"0000"))</f>
        <v>0</v>
      </c>
      <c r="B18" s="46">
        <v>46276</v>
      </c>
      <c r="C18" s="23">
        <f>IF(B18="","",TEXT(B18,"ddd"))</f>
        <v>0</v>
      </c>
      <c r="D18" s="31">
        <f>IF(B18="","",WEEKNUM(B18,IF(WeekStart="Sunday",1,2)))</f>
        <v>0</v>
      </c>
      <c r="E18" s="23">
        <f>IF(B18="","",TEXT(B18,"yyyy-mm"))</f>
        <v>0</v>
      </c>
      <c r="F18" s="15" t="s">
        <v>608</v>
      </c>
      <c r="G18" s="49" t="s">
        <v>1484</v>
      </c>
      <c r="H18" s="23">
        <f>IF(G18="","",IFERROR(INDEX(Jobs!$H$5:$H$604,MATCH(G18,Jobs!$A$5:$A$604,0)),""))</f>
        <v>0</v>
      </c>
      <c r="I18" s="15" t="s">
        <v>172</v>
      </c>
      <c r="J18" s="52">
        <v>0.833333333333333</v>
      </c>
      <c r="K18" s="52">
        <v>0.92</v>
      </c>
      <c r="L18" s="16">
        <v>0</v>
      </c>
      <c r="O18" s="45" t="s">
        <v>1471</v>
      </c>
      <c r="P18" s="47" t="s">
        <v>454</v>
      </c>
      <c r="Q18" s="47" t="s">
        <v>454</v>
      </c>
      <c r="R18" s="47" t="s">
        <v>454</v>
      </c>
      <c r="S18" s="44" t="s">
        <v>172</v>
      </c>
      <c r="T18" s="34">
        <f>IF(OR(J18="",K18=""),"",ROUND((K18-J18)*24-IF(L18="",0,L18)/60,2))</f>
        <v>0</v>
      </c>
      <c r="U18" s="34">
        <f>IF(F18="","",IF(M18&lt;&gt;"",M18,IF(T18="",0,T18)))</f>
        <v>0</v>
      </c>
      <c r="V18" s="21">
        <f>IF(F18="","",IFERROR(INDEX(Employees!$U$5:$U$44,MATCH(F18,Employees!$B$5:$B$44,0)),PayRate*(1+EmployerOncost)))</f>
        <v>0</v>
      </c>
      <c r="W18" s="34">
        <f>IF(F18="","",MAX(0,U18-IF(N18="",0,N18)))</f>
        <v>0</v>
      </c>
      <c r="X18" s="21">
        <f>IF(F18="","",ROUND(W18*V18+IF(N18="",0,N18)*V18*OvertimeRate,2))</f>
        <v>0</v>
      </c>
      <c r="Y18" s="21">
        <f>IF(F18="","",IF(P18&lt;&gt;"Yes",0,ROUND(U18*IF(IFERROR(INDEX(Clients!$O$5:$O$204,MATCH(IFERROR(INDEX(Jobs!$G$5:$G$604,MATCH(G18,Jobs!$A$5:$A$604,0)),""),Clients!$A$5:$A$204,0)),0)&gt;0,INDEX(Clients!$O$5:$O$204,MATCH(INDEX(Jobs!$G$5:$G$604,MATCH(G18,Jobs!$A$5:$A$604,0)),Clients!$A$5:$A$204,0)),HourlyRate),2)))</f>
        <v>0</v>
      </c>
      <c r="Z18" s="39">
        <f>IF(F18="","",IF(U18=0,"Add - no hours recorded",IF(O18="Absent - no show","Action - no show",IF(U18&gt;10,"Check - over ten hours in a day",IF(Q18&lt;&gt;"Yes","Due - needs approving",IF(R18&lt;&gt;"Yes","Due - not paid yet","OK"))))))</f>
        <v>0</v>
      </c>
    </row>
    <row r="19" spans="1:26">
      <c r="A19" s="43">
        <f>IF(F19="","","TS-"&amp;TEXT(ROW()-4,"0000"))</f>
        <v>0</v>
      </c>
      <c r="B19" s="46">
        <v>46277</v>
      </c>
      <c r="C19" s="23">
        <f>IF(B19="","",TEXT(B19,"ddd"))</f>
        <v>0</v>
      </c>
      <c r="D19" s="31">
        <f>IF(B19="","",WEEKNUM(B19,IF(WeekStart="Sunday",1,2)))</f>
        <v>0</v>
      </c>
      <c r="E19" s="23">
        <f>IF(B19="","",TEXT(B19,"yyyy-mm"))</f>
        <v>0</v>
      </c>
      <c r="F19" s="15" t="s">
        <v>596</v>
      </c>
      <c r="G19" s="49" t="s">
        <v>1485</v>
      </c>
      <c r="H19" s="23">
        <f>IF(G19="","",IFERROR(INDEX(Jobs!$H$5:$H$604,MATCH(G19,Jobs!$A$5:$A$604,0)),""))</f>
        <v>0</v>
      </c>
      <c r="I19" s="15" t="s">
        <v>172</v>
      </c>
      <c r="J19" s="52">
        <v>0.458333333333333</v>
      </c>
      <c r="K19" s="52">
        <v>0.5425</v>
      </c>
      <c r="L19" s="16">
        <v>0</v>
      </c>
      <c r="O19" s="45" t="s">
        <v>1471</v>
      </c>
      <c r="P19" s="47" t="s">
        <v>454</v>
      </c>
      <c r="Q19" s="47" t="s">
        <v>454</v>
      </c>
      <c r="R19" s="47" t="s">
        <v>454</v>
      </c>
      <c r="S19" s="44" t="s">
        <v>172</v>
      </c>
      <c r="T19" s="34">
        <f>IF(OR(J19="",K19=""),"",ROUND((K19-J19)*24-IF(L19="",0,L19)/60,2))</f>
        <v>0</v>
      </c>
      <c r="U19" s="34">
        <f>IF(F19="","",IF(M19&lt;&gt;"",M19,IF(T19="",0,T19)))</f>
        <v>0</v>
      </c>
      <c r="V19" s="21">
        <f>IF(F19="","",IFERROR(INDEX(Employees!$U$5:$U$44,MATCH(F19,Employees!$B$5:$B$44,0)),PayRate*(1+EmployerOncost)))</f>
        <v>0</v>
      </c>
      <c r="W19" s="34">
        <f>IF(F19="","",MAX(0,U19-IF(N19="",0,N19)))</f>
        <v>0</v>
      </c>
      <c r="X19" s="21">
        <f>IF(F19="","",ROUND(W19*V19+IF(N19="",0,N19)*V19*OvertimeRate,2))</f>
        <v>0</v>
      </c>
      <c r="Y19" s="21">
        <f>IF(F19="","",IF(P19&lt;&gt;"Yes",0,ROUND(U19*IF(IFERROR(INDEX(Clients!$O$5:$O$204,MATCH(IFERROR(INDEX(Jobs!$G$5:$G$604,MATCH(G19,Jobs!$A$5:$A$604,0)),""),Clients!$A$5:$A$204,0)),0)&gt;0,INDEX(Clients!$O$5:$O$204,MATCH(INDEX(Jobs!$G$5:$G$604,MATCH(G19,Jobs!$A$5:$A$604,0)),Clients!$A$5:$A$204,0)),HourlyRate),2)))</f>
        <v>0</v>
      </c>
      <c r="Z19" s="39">
        <f>IF(F19="","",IF(U19=0,"Add - no hours recorded",IF(O19="Absent - no show","Action - no show",IF(U19&gt;10,"Check - over ten hours in a day",IF(Q19&lt;&gt;"Yes","Due - needs approving",IF(R19&lt;&gt;"Yes","Due - not paid yet","OK"))))))</f>
        <v>0</v>
      </c>
    </row>
    <row r="20" spans="1:26">
      <c r="A20" s="43">
        <f>IF(F20="","","TS-"&amp;TEXT(ROW()-4,"0000"))</f>
        <v>0</v>
      </c>
      <c r="B20" s="46">
        <v>46277</v>
      </c>
      <c r="C20" s="23">
        <f>IF(B20="","",TEXT(B20,"ddd"))</f>
        <v>0</v>
      </c>
      <c r="D20" s="31">
        <f>IF(B20="","",WEEKNUM(B20,IF(WeekStart="Sunday",1,2)))</f>
        <v>0</v>
      </c>
      <c r="E20" s="23">
        <f>IF(B20="","",TEXT(B20,"yyyy-mm"))</f>
        <v>0</v>
      </c>
      <c r="F20" s="15" t="s">
        <v>596</v>
      </c>
      <c r="G20" s="49" t="s">
        <v>1486</v>
      </c>
      <c r="H20" s="23">
        <f>IF(G20="","",IFERROR(INDEX(Jobs!$H$5:$H$604,MATCH(G20,Jobs!$A$5:$A$604,0)),""))</f>
        <v>0</v>
      </c>
      <c r="I20" s="15" t="s">
        <v>172</v>
      </c>
      <c r="J20" s="52">
        <v>0.583333333333333</v>
      </c>
      <c r="K20" s="52">
        <v>0.675833333333333</v>
      </c>
      <c r="L20" s="16">
        <v>0</v>
      </c>
      <c r="O20" s="45" t="s">
        <v>1471</v>
      </c>
      <c r="P20" s="47" t="s">
        <v>454</v>
      </c>
      <c r="Q20" s="47" t="s">
        <v>454</v>
      </c>
      <c r="R20" s="47" t="s">
        <v>454</v>
      </c>
      <c r="S20" s="44" t="s">
        <v>172</v>
      </c>
      <c r="T20" s="34">
        <f>IF(OR(J20="",K20=""),"",ROUND((K20-J20)*24-IF(L20="",0,L20)/60,2))</f>
        <v>0</v>
      </c>
      <c r="U20" s="34">
        <f>IF(F20="","",IF(M20&lt;&gt;"",M20,IF(T20="",0,T20)))</f>
        <v>0</v>
      </c>
      <c r="V20" s="21">
        <f>IF(F20="","",IFERROR(INDEX(Employees!$U$5:$U$44,MATCH(F20,Employees!$B$5:$B$44,0)),PayRate*(1+EmployerOncost)))</f>
        <v>0</v>
      </c>
      <c r="W20" s="34">
        <f>IF(F20="","",MAX(0,U20-IF(N20="",0,N20)))</f>
        <v>0</v>
      </c>
      <c r="X20" s="21">
        <f>IF(F20="","",ROUND(W20*V20+IF(N20="",0,N20)*V20*OvertimeRate,2))</f>
        <v>0</v>
      </c>
      <c r="Y20" s="21">
        <f>IF(F20="","",IF(P20&lt;&gt;"Yes",0,ROUND(U20*IF(IFERROR(INDEX(Clients!$O$5:$O$204,MATCH(IFERROR(INDEX(Jobs!$G$5:$G$604,MATCH(G20,Jobs!$A$5:$A$604,0)),""),Clients!$A$5:$A$204,0)),0)&gt;0,INDEX(Clients!$O$5:$O$204,MATCH(INDEX(Jobs!$G$5:$G$604,MATCH(G20,Jobs!$A$5:$A$604,0)),Clients!$A$5:$A$204,0)),HourlyRate),2)))</f>
        <v>0</v>
      </c>
      <c r="Z20" s="39">
        <f>IF(F20="","",IF(U20=0,"Add - no hours recorded",IF(O20="Absent - no show","Action - no show",IF(U20&gt;10,"Check - over ten hours in a day",IF(Q20&lt;&gt;"Yes","Due - needs approving",IF(R20&lt;&gt;"Yes","Due - not paid yet","OK"))))))</f>
        <v>0</v>
      </c>
    </row>
    <row r="21" spans="1:26">
      <c r="A21" s="43">
        <f>IF(F21="","","TS-"&amp;TEXT(ROW()-4,"0000"))</f>
        <v>0</v>
      </c>
      <c r="B21" s="46">
        <v>46278</v>
      </c>
      <c r="C21" s="23">
        <f>IF(B21="","",TEXT(B21,"ddd"))</f>
        <v>0</v>
      </c>
      <c r="D21" s="31">
        <f>IF(B21="","",WEEKNUM(B21,IF(WeekStart="Sunday",1,2)))</f>
        <v>0</v>
      </c>
      <c r="E21" s="23">
        <f>IF(B21="","",TEXT(B21,"yyyy-mm"))</f>
        <v>0</v>
      </c>
      <c r="F21" s="15" t="s">
        <v>639</v>
      </c>
      <c r="G21" s="49" t="s">
        <v>1487</v>
      </c>
      <c r="H21" s="23">
        <f>IF(G21="","",IFERROR(INDEX(Jobs!$H$5:$H$604,MATCH(G21,Jobs!$A$5:$A$604,0)),""))</f>
        <v>0</v>
      </c>
      <c r="I21" s="15" t="s">
        <v>172</v>
      </c>
      <c r="J21" s="52">
        <v>0.291666666666667</v>
      </c>
      <c r="K21" s="52">
        <v>0.39625</v>
      </c>
      <c r="L21" s="16">
        <v>0</v>
      </c>
      <c r="O21" s="45" t="s">
        <v>1471</v>
      </c>
      <c r="P21" s="47" t="s">
        <v>454</v>
      </c>
      <c r="Q21" s="47" t="s">
        <v>454</v>
      </c>
      <c r="R21" s="47" t="s">
        <v>454</v>
      </c>
      <c r="S21" s="44" t="s">
        <v>172</v>
      </c>
      <c r="T21" s="34">
        <f>IF(OR(J21="",K21=""),"",ROUND((K21-J21)*24-IF(L21="",0,L21)/60,2))</f>
        <v>0</v>
      </c>
      <c r="U21" s="34">
        <f>IF(F21="","",IF(M21&lt;&gt;"",M21,IF(T21="",0,T21)))</f>
        <v>0</v>
      </c>
      <c r="V21" s="21">
        <f>IF(F21="","",IFERROR(INDEX(Employees!$U$5:$U$44,MATCH(F21,Employees!$B$5:$B$44,0)),PayRate*(1+EmployerOncost)))</f>
        <v>0</v>
      </c>
      <c r="W21" s="34">
        <f>IF(F21="","",MAX(0,U21-IF(N21="",0,N21)))</f>
        <v>0</v>
      </c>
      <c r="X21" s="21">
        <f>IF(F21="","",ROUND(W21*V21+IF(N21="",0,N21)*V21*OvertimeRate,2))</f>
        <v>0</v>
      </c>
      <c r="Y21" s="21">
        <f>IF(F21="","",IF(P21&lt;&gt;"Yes",0,ROUND(U21*IF(IFERROR(INDEX(Clients!$O$5:$O$204,MATCH(IFERROR(INDEX(Jobs!$G$5:$G$604,MATCH(G21,Jobs!$A$5:$A$604,0)),""),Clients!$A$5:$A$204,0)),0)&gt;0,INDEX(Clients!$O$5:$O$204,MATCH(INDEX(Jobs!$G$5:$G$604,MATCH(G21,Jobs!$A$5:$A$604,0)),Clients!$A$5:$A$204,0)),HourlyRate),2)))</f>
        <v>0</v>
      </c>
      <c r="Z21" s="39">
        <f>IF(F21="","",IF(U21=0,"Add - no hours recorded",IF(O21="Absent - no show","Action - no show",IF(U21&gt;10,"Check - over ten hours in a day",IF(Q21&lt;&gt;"Yes","Due - needs approving",IF(R21&lt;&gt;"Yes","Due - not paid yet","OK"))))))</f>
        <v>0</v>
      </c>
    </row>
    <row r="22" spans="1:26">
      <c r="A22" s="43">
        <f>IF(F22="","","TS-"&amp;TEXT(ROW()-4,"0000"))</f>
        <v>0</v>
      </c>
      <c r="B22" s="46">
        <v>46279</v>
      </c>
      <c r="C22" s="23">
        <f>IF(B22="","",TEXT(B22,"ddd"))</f>
        <v>0</v>
      </c>
      <c r="D22" s="31">
        <f>IF(B22="","",WEEKNUM(B22,IF(WeekStart="Sunday",1,2)))</f>
        <v>0</v>
      </c>
      <c r="E22" s="23">
        <f>IF(B22="","",TEXT(B22,"yyyy-mm"))</f>
        <v>0</v>
      </c>
      <c r="F22" s="15" t="s">
        <v>664</v>
      </c>
      <c r="G22" s="49" t="s">
        <v>1488</v>
      </c>
      <c r="H22" s="23">
        <f>IF(G22="","",IFERROR(INDEX(Jobs!$H$5:$H$604,MATCH(G22,Jobs!$A$5:$A$604,0)),""))</f>
        <v>0</v>
      </c>
      <c r="I22" s="15" t="s">
        <v>172</v>
      </c>
      <c r="J22" s="52">
        <v>0.291666666666667</v>
      </c>
      <c r="K22" s="52">
        <v>0.37375</v>
      </c>
      <c r="L22" s="16">
        <v>0</v>
      </c>
      <c r="O22" s="45" t="s">
        <v>1471</v>
      </c>
      <c r="P22" s="47" t="s">
        <v>454</v>
      </c>
      <c r="Q22" s="47" t="s">
        <v>454</v>
      </c>
      <c r="R22" s="47" t="s">
        <v>454</v>
      </c>
      <c r="S22" s="44" t="s">
        <v>172</v>
      </c>
      <c r="T22" s="34">
        <f>IF(OR(J22="",K22=""),"",ROUND((K22-J22)*24-IF(L22="",0,L22)/60,2))</f>
        <v>0</v>
      </c>
      <c r="U22" s="34">
        <f>IF(F22="","",IF(M22&lt;&gt;"",M22,IF(T22="",0,T22)))</f>
        <v>0</v>
      </c>
      <c r="V22" s="21">
        <f>IF(F22="","",IFERROR(INDEX(Employees!$U$5:$U$44,MATCH(F22,Employees!$B$5:$B$44,0)),PayRate*(1+EmployerOncost)))</f>
        <v>0</v>
      </c>
      <c r="W22" s="34">
        <f>IF(F22="","",MAX(0,U22-IF(N22="",0,N22)))</f>
        <v>0</v>
      </c>
      <c r="X22" s="21">
        <f>IF(F22="","",ROUND(W22*V22+IF(N22="",0,N22)*V22*OvertimeRate,2))</f>
        <v>0</v>
      </c>
      <c r="Y22" s="21">
        <f>IF(F22="","",IF(P22&lt;&gt;"Yes",0,ROUND(U22*IF(IFERROR(INDEX(Clients!$O$5:$O$204,MATCH(IFERROR(INDEX(Jobs!$G$5:$G$604,MATCH(G22,Jobs!$A$5:$A$604,0)),""),Clients!$A$5:$A$204,0)),0)&gt;0,INDEX(Clients!$O$5:$O$204,MATCH(INDEX(Jobs!$G$5:$G$604,MATCH(G22,Jobs!$A$5:$A$604,0)),Clients!$A$5:$A$204,0)),HourlyRate),2)))</f>
        <v>0</v>
      </c>
      <c r="Z22" s="39">
        <f>IF(F22="","",IF(U22=0,"Add - no hours recorded",IF(O22="Absent - no show","Action - no show",IF(U22&gt;10,"Check - over ten hours in a day",IF(Q22&lt;&gt;"Yes","Due - needs approving",IF(R22&lt;&gt;"Yes","Due - not paid yet","OK"))))))</f>
        <v>0</v>
      </c>
    </row>
    <row r="23" spans="1:26">
      <c r="A23" s="43">
        <f>IF(F23="","","TS-"&amp;TEXT(ROW()-4,"0000"))</f>
        <v>0</v>
      </c>
      <c r="B23" s="46">
        <v>46279</v>
      </c>
      <c r="C23" s="23">
        <f>IF(B23="","",TEXT(B23,"ddd"))</f>
        <v>0</v>
      </c>
      <c r="D23" s="31">
        <f>IF(B23="","",WEEKNUM(B23,IF(WeekStart="Sunday",1,2)))</f>
        <v>0</v>
      </c>
      <c r="E23" s="23">
        <f>IF(B23="","",TEXT(B23,"yyyy-mm"))</f>
        <v>0</v>
      </c>
      <c r="F23" s="15" t="s">
        <v>608</v>
      </c>
      <c r="G23" s="49" t="s">
        <v>1489</v>
      </c>
      <c r="H23" s="23">
        <f>IF(G23="","",IFERROR(INDEX(Jobs!$H$5:$H$604,MATCH(G23,Jobs!$A$5:$A$604,0)),""))</f>
        <v>0</v>
      </c>
      <c r="I23" s="15" t="s">
        <v>172</v>
      </c>
      <c r="J23" s="52">
        <v>0.770833333333333</v>
      </c>
      <c r="K23" s="52">
        <v>0.86375</v>
      </c>
      <c r="L23" s="16">
        <v>0</v>
      </c>
      <c r="O23" s="45" t="s">
        <v>1471</v>
      </c>
      <c r="P23" s="47" t="s">
        <v>454</v>
      </c>
      <c r="Q23" s="47" t="s">
        <v>454</v>
      </c>
      <c r="R23" s="47" t="s">
        <v>454</v>
      </c>
      <c r="S23" s="44" t="s">
        <v>172</v>
      </c>
      <c r="T23" s="34">
        <f>IF(OR(J23="",K23=""),"",ROUND((K23-J23)*24-IF(L23="",0,L23)/60,2))</f>
        <v>0</v>
      </c>
      <c r="U23" s="34">
        <f>IF(F23="","",IF(M23&lt;&gt;"",M23,IF(T23="",0,T23)))</f>
        <v>0</v>
      </c>
      <c r="V23" s="21">
        <f>IF(F23="","",IFERROR(INDEX(Employees!$U$5:$U$44,MATCH(F23,Employees!$B$5:$B$44,0)),PayRate*(1+EmployerOncost)))</f>
        <v>0</v>
      </c>
      <c r="W23" s="34">
        <f>IF(F23="","",MAX(0,U23-IF(N23="",0,N23)))</f>
        <v>0</v>
      </c>
      <c r="X23" s="21">
        <f>IF(F23="","",ROUND(W23*V23+IF(N23="",0,N23)*V23*OvertimeRate,2))</f>
        <v>0</v>
      </c>
      <c r="Y23" s="21">
        <f>IF(F23="","",IF(P23&lt;&gt;"Yes",0,ROUND(U23*IF(IFERROR(INDEX(Clients!$O$5:$O$204,MATCH(IFERROR(INDEX(Jobs!$G$5:$G$604,MATCH(G23,Jobs!$A$5:$A$604,0)),""),Clients!$A$5:$A$204,0)),0)&gt;0,INDEX(Clients!$O$5:$O$204,MATCH(INDEX(Jobs!$G$5:$G$604,MATCH(G23,Jobs!$A$5:$A$604,0)),Clients!$A$5:$A$204,0)),HourlyRate),2)))</f>
        <v>0</v>
      </c>
      <c r="Z23" s="39">
        <f>IF(F23="","",IF(U23=0,"Add - no hours recorded",IF(O23="Absent - no show","Action - no show",IF(U23&gt;10,"Check - over ten hours in a day",IF(Q23&lt;&gt;"Yes","Due - needs approving",IF(R23&lt;&gt;"Yes","Due - not paid yet","OK"))))))</f>
        <v>0</v>
      </c>
    </row>
    <row r="24" spans="1:26">
      <c r="A24" s="43">
        <f>IF(F24="","","TS-"&amp;TEXT(ROW()-4,"0000"))</f>
        <v>0</v>
      </c>
      <c r="B24" s="46">
        <v>46280</v>
      </c>
      <c r="C24" s="23">
        <f>IF(B24="","",TEXT(B24,"ddd"))</f>
        <v>0</v>
      </c>
      <c r="D24" s="31">
        <f>IF(B24="","",WEEKNUM(B24,IF(WeekStart="Sunday",1,2)))</f>
        <v>0</v>
      </c>
      <c r="E24" s="23">
        <f>IF(B24="","",TEXT(B24,"yyyy-mm"))</f>
        <v>0</v>
      </c>
      <c r="F24" s="15" t="s">
        <v>584</v>
      </c>
      <c r="G24" s="49" t="s">
        <v>1490</v>
      </c>
      <c r="H24" s="23">
        <f>IF(G24="","",IFERROR(INDEX(Jobs!$H$5:$H$604,MATCH(G24,Jobs!$A$5:$A$604,0)),""))</f>
        <v>0</v>
      </c>
      <c r="I24" s="15" t="s">
        <v>172</v>
      </c>
      <c r="J24" s="52">
        <v>0.375</v>
      </c>
      <c r="K24" s="52">
        <v>0.49</v>
      </c>
      <c r="L24" s="16">
        <v>0</v>
      </c>
      <c r="O24" s="45" t="s">
        <v>1471</v>
      </c>
      <c r="P24" s="47" t="s">
        <v>454</v>
      </c>
      <c r="Q24" s="47" t="s">
        <v>454</v>
      </c>
      <c r="R24" s="47" t="s">
        <v>454</v>
      </c>
      <c r="S24" s="44" t="s">
        <v>172</v>
      </c>
      <c r="T24" s="34">
        <f>IF(OR(J24="",K24=""),"",ROUND((K24-J24)*24-IF(L24="",0,L24)/60,2))</f>
        <v>0</v>
      </c>
      <c r="U24" s="34">
        <f>IF(F24="","",IF(M24&lt;&gt;"",M24,IF(T24="",0,T24)))</f>
        <v>0</v>
      </c>
      <c r="V24" s="21">
        <f>IF(F24="","",IFERROR(INDEX(Employees!$U$5:$U$44,MATCH(F24,Employees!$B$5:$B$44,0)),PayRate*(1+EmployerOncost)))</f>
        <v>0</v>
      </c>
      <c r="W24" s="34">
        <f>IF(F24="","",MAX(0,U24-IF(N24="",0,N24)))</f>
        <v>0</v>
      </c>
      <c r="X24" s="21">
        <f>IF(F24="","",ROUND(W24*V24+IF(N24="",0,N24)*V24*OvertimeRate,2))</f>
        <v>0</v>
      </c>
      <c r="Y24" s="21">
        <f>IF(F24="","",IF(P24&lt;&gt;"Yes",0,ROUND(U24*IF(IFERROR(INDEX(Clients!$O$5:$O$204,MATCH(IFERROR(INDEX(Jobs!$G$5:$G$604,MATCH(G24,Jobs!$A$5:$A$604,0)),""),Clients!$A$5:$A$204,0)),0)&gt;0,INDEX(Clients!$O$5:$O$204,MATCH(INDEX(Jobs!$G$5:$G$604,MATCH(G24,Jobs!$A$5:$A$604,0)),Clients!$A$5:$A$204,0)),HourlyRate),2)))</f>
        <v>0</v>
      </c>
      <c r="Z24" s="39">
        <f>IF(F24="","",IF(U24=0,"Add - no hours recorded",IF(O24="Absent - no show","Action - no show",IF(U24&gt;10,"Check - over ten hours in a day",IF(Q24&lt;&gt;"Yes","Due - needs approving",IF(R24&lt;&gt;"Yes","Due - not paid yet","OK"))))))</f>
        <v>0</v>
      </c>
    </row>
    <row r="25" spans="1:26">
      <c r="A25" s="43">
        <f>IF(F25="","","TS-"&amp;TEXT(ROW()-4,"0000"))</f>
        <v>0</v>
      </c>
      <c r="B25" s="46">
        <v>46282</v>
      </c>
      <c r="C25" s="23">
        <f>IF(B25="","",TEXT(B25,"ddd"))</f>
        <v>0</v>
      </c>
      <c r="D25" s="31">
        <f>IF(B25="","",WEEKNUM(B25,IF(WeekStart="Sunday",1,2)))</f>
        <v>0</v>
      </c>
      <c r="E25" s="23">
        <f>IF(B25="","",TEXT(B25,"yyyy-mm"))</f>
        <v>0</v>
      </c>
      <c r="F25" s="15" t="s">
        <v>664</v>
      </c>
      <c r="G25" s="49" t="s">
        <v>1491</v>
      </c>
      <c r="H25" s="23">
        <f>IF(G25="","",IFERROR(INDEX(Jobs!$H$5:$H$604,MATCH(G25,Jobs!$A$5:$A$604,0)),""))</f>
        <v>0</v>
      </c>
      <c r="I25" s="15" t="s">
        <v>172</v>
      </c>
      <c r="J25" s="52">
        <v>0.291666666666667</v>
      </c>
      <c r="K25" s="52">
        <v>0.385833333333333</v>
      </c>
      <c r="L25" s="16">
        <v>0</v>
      </c>
      <c r="O25" s="45" t="s">
        <v>1471</v>
      </c>
      <c r="P25" s="47" t="s">
        <v>454</v>
      </c>
      <c r="Q25" s="47" t="s">
        <v>454</v>
      </c>
      <c r="R25" s="47" t="s">
        <v>454</v>
      </c>
      <c r="S25" s="44" t="s">
        <v>172</v>
      </c>
      <c r="T25" s="34">
        <f>IF(OR(J25="",K25=""),"",ROUND((K25-J25)*24-IF(L25="",0,L25)/60,2))</f>
        <v>0</v>
      </c>
      <c r="U25" s="34">
        <f>IF(F25="","",IF(M25&lt;&gt;"",M25,IF(T25="",0,T25)))</f>
        <v>0</v>
      </c>
      <c r="V25" s="21">
        <f>IF(F25="","",IFERROR(INDEX(Employees!$U$5:$U$44,MATCH(F25,Employees!$B$5:$B$44,0)),PayRate*(1+EmployerOncost)))</f>
        <v>0</v>
      </c>
      <c r="W25" s="34">
        <f>IF(F25="","",MAX(0,U25-IF(N25="",0,N25)))</f>
        <v>0</v>
      </c>
      <c r="X25" s="21">
        <f>IF(F25="","",ROUND(W25*V25+IF(N25="",0,N25)*V25*OvertimeRate,2))</f>
        <v>0</v>
      </c>
      <c r="Y25" s="21">
        <f>IF(F25="","",IF(P25&lt;&gt;"Yes",0,ROUND(U25*IF(IFERROR(INDEX(Clients!$O$5:$O$204,MATCH(IFERROR(INDEX(Jobs!$G$5:$G$604,MATCH(G25,Jobs!$A$5:$A$604,0)),""),Clients!$A$5:$A$204,0)),0)&gt;0,INDEX(Clients!$O$5:$O$204,MATCH(INDEX(Jobs!$G$5:$G$604,MATCH(G25,Jobs!$A$5:$A$604,0)),Clients!$A$5:$A$204,0)),HourlyRate),2)))</f>
        <v>0</v>
      </c>
      <c r="Z25" s="39">
        <f>IF(F25="","",IF(U25=0,"Add - no hours recorded",IF(O25="Absent - no show","Action - no show",IF(U25&gt;10,"Check - over ten hours in a day",IF(Q25&lt;&gt;"Yes","Due - needs approving",IF(R25&lt;&gt;"Yes","Due - not paid yet","OK"))))))</f>
        <v>0</v>
      </c>
    </row>
    <row r="26" spans="1:26">
      <c r="A26" s="43">
        <f>IF(F26="","","TS-"&amp;TEXT(ROW()-4,"0000"))</f>
        <v>0</v>
      </c>
      <c r="B26" s="46">
        <v>46282</v>
      </c>
      <c r="C26" s="23">
        <f>IF(B26="","",TEXT(B26,"ddd"))</f>
        <v>0</v>
      </c>
      <c r="D26" s="31">
        <f>IF(B26="","",WEEKNUM(B26,IF(WeekStart="Sunday",1,2)))</f>
        <v>0</v>
      </c>
      <c r="E26" s="23">
        <f>IF(B26="","",TEXT(B26,"yyyy-mm"))</f>
        <v>0</v>
      </c>
      <c r="F26" s="15" t="s">
        <v>608</v>
      </c>
      <c r="G26" s="49" t="s">
        <v>1492</v>
      </c>
      <c r="H26" s="23">
        <f>IF(G26="","",IFERROR(INDEX(Jobs!$H$5:$H$604,MATCH(G26,Jobs!$A$5:$A$604,0)),""))</f>
        <v>0</v>
      </c>
      <c r="I26" s="15" t="s">
        <v>172</v>
      </c>
      <c r="J26" s="52">
        <v>0.770833333333333</v>
      </c>
      <c r="K26" s="52">
        <v>0.865416666666667</v>
      </c>
      <c r="L26" s="16">
        <v>0</v>
      </c>
      <c r="O26" s="45" t="s">
        <v>1471</v>
      </c>
      <c r="P26" s="47" t="s">
        <v>454</v>
      </c>
      <c r="Q26" s="47" t="s">
        <v>454</v>
      </c>
      <c r="R26" s="47" t="s">
        <v>454</v>
      </c>
      <c r="S26" s="44" t="s">
        <v>172</v>
      </c>
      <c r="T26" s="34">
        <f>IF(OR(J26="",K26=""),"",ROUND((K26-J26)*24-IF(L26="",0,L26)/60,2))</f>
        <v>0</v>
      </c>
      <c r="U26" s="34">
        <f>IF(F26="","",IF(M26&lt;&gt;"",M26,IF(T26="",0,T26)))</f>
        <v>0</v>
      </c>
      <c r="V26" s="21">
        <f>IF(F26="","",IFERROR(INDEX(Employees!$U$5:$U$44,MATCH(F26,Employees!$B$5:$B$44,0)),PayRate*(1+EmployerOncost)))</f>
        <v>0</v>
      </c>
      <c r="W26" s="34">
        <f>IF(F26="","",MAX(0,U26-IF(N26="",0,N26)))</f>
        <v>0</v>
      </c>
      <c r="X26" s="21">
        <f>IF(F26="","",ROUND(W26*V26+IF(N26="",0,N26)*V26*OvertimeRate,2))</f>
        <v>0</v>
      </c>
      <c r="Y26" s="21">
        <f>IF(F26="","",IF(P26&lt;&gt;"Yes",0,ROUND(U26*IF(IFERROR(INDEX(Clients!$O$5:$O$204,MATCH(IFERROR(INDEX(Jobs!$G$5:$G$604,MATCH(G26,Jobs!$A$5:$A$604,0)),""),Clients!$A$5:$A$204,0)),0)&gt;0,INDEX(Clients!$O$5:$O$204,MATCH(INDEX(Jobs!$G$5:$G$604,MATCH(G26,Jobs!$A$5:$A$604,0)),Clients!$A$5:$A$204,0)),HourlyRate),2)))</f>
        <v>0</v>
      </c>
      <c r="Z26" s="39">
        <f>IF(F26="","",IF(U26=0,"Add - no hours recorded",IF(O26="Absent - no show","Action - no show",IF(U26&gt;10,"Check - over ten hours in a day",IF(Q26&lt;&gt;"Yes","Due - needs approving",IF(R26&lt;&gt;"Yes","Due - not paid yet","OK"))))))</f>
        <v>0</v>
      </c>
    </row>
    <row r="27" spans="1:26">
      <c r="A27" s="43">
        <f>IF(F27="","","TS-"&amp;TEXT(ROW()-4,"0000"))</f>
        <v>0</v>
      </c>
      <c r="B27" s="46">
        <v>46283</v>
      </c>
      <c r="C27" s="23">
        <f>IF(B27="","",TEXT(B27,"ddd"))</f>
        <v>0</v>
      </c>
      <c r="D27" s="31">
        <f>IF(B27="","",WEEKNUM(B27,IF(WeekStart="Sunday",1,2)))</f>
        <v>0</v>
      </c>
      <c r="E27" s="23">
        <f>IF(B27="","",TEXT(B27,"yyyy-mm"))</f>
        <v>0</v>
      </c>
      <c r="F27" s="15" t="s">
        <v>639</v>
      </c>
      <c r="G27" s="49" t="s">
        <v>1493</v>
      </c>
      <c r="H27" s="23">
        <f>IF(G27="","",IFERROR(INDEX(Jobs!$H$5:$H$604,MATCH(G27,Jobs!$A$5:$A$604,0)),""))</f>
        <v>0</v>
      </c>
      <c r="I27" s="15" t="s">
        <v>172</v>
      </c>
      <c r="J27" s="52">
        <v>0.729166666666667</v>
      </c>
      <c r="K27" s="52">
        <v>0.831666666666667</v>
      </c>
      <c r="L27" s="16">
        <v>0</v>
      </c>
      <c r="O27" s="45" t="s">
        <v>1471</v>
      </c>
      <c r="P27" s="47" t="s">
        <v>454</v>
      </c>
      <c r="Q27" s="47" t="s">
        <v>454</v>
      </c>
      <c r="R27" s="47" t="s">
        <v>454</v>
      </c>
      <c r="S27" s="44" t="s">
        <v>172</v>
      </c>
      <c r="T27" s="34">
        <f>IF(OR(J27="",K27=""),"",ROUND((K27-J27)*24-IF(L27="",0,L27)/60,2))</f>
        <v>0</v>
      </c>
      <c r="U27" s="34">
        <f>IF(F27="","",IF(M27&lt;&gt;"",M27,IF(T27="",0,T27)))</f>
        <v>0</v>
      </c>
      <c r="V27" s="21">
        <f>IF(F27="","",IFERROR(INDEX(Employees!$U$5:$U$44,MATCH(F27,Employees!$B$5:$B$44,0)),PayRate*(1+EmployerOncost)))</f>
        <v>0</v>
      </c>
      <c r="W27" s="34">
        <f>IF(F27="","",MAX(0,U27-IF(N27="",0,N27)))</f>
        <v>0</v>
      </c>
      <c r="X27" s="21">
        <f>IF(F27="","",ROUND(W27*V27+IF(N27="",0,N27)*V27*OvertimeRate,2))</f>
        <v>0</v>
      </c>
      <c r="Y27" s="21">
        <f>IF(F27="","",IF(P27&lt;&gt;"Yes",0,ROUND(U27*IF(IFERROR(INDEX(Clients!$O$5:$O$204,MATCH(IFERROR(INDEX(Jobs!$G$5:$G$604,MATCH(G27,Jobs!$A$5:$A$604,0)),""),Clients!$A$5:$A$204,0)),0)&gt;0,INDEX(Clients!$O$5:$O$204,MATCH(INDEX(Jobs!$G$5:$G$604,MATCH(G27,Jobs!$A$5:$A$604,0)),Clients!$A$5:$A$204,0)),HourlyRate),2)))</f>
        <v>0</v>
      </c>
      <c r="Z27" s="39">
        <f>IF(F27="","",IF(U27=0,"Add - no hours recorded",IF(O27="Absent - no show","Action - no show",IF(U27&gt;10,"Check - over ten hours in a day",IF(Q27&lt;&gt;"Yes","Due - needs approving",IF(R27&lt;&gt;"Yes","Due - not paid yet","OK"))))))</f>
        <v>0</v>
      </c>
    </row>
    <row r="28" spans="1:26">
      <c r="A28" s="43">
        <f>IF(F28="","","TS-"&amp;TEXT(ROW()-4,"0000"))</f>
        <v>0</v>
      </c>
      <c r="B28" s="46">
        <v>46283</v>
      </c>
      <c r="C28" s="23">
        <f>IF(B28="","",TEXT(B28,"ddd"))</f>
        <v>0</v>
      </c>
      <c r="D28" s="31">
        <f>IF(B28="","",WEEKNUM(B28,IF(WeekStart="Sunday",1,2)))</f>
        <v>0</v>
      </c>
      <c r="E28" s="23">
        <f>IF(B28="","",TEXT(B28,"yyyy-mm"))</f>
        <v>0</v>
      </c>
      <c r="F28" s="15" t="s">
        <v>664</v>
      </c>
      <c r="G28" s="49" t="s">
        <v>1493</v>
      </c>
      <c r="H28" s="23">
        <f>IF(G28="","",IFERROR(INDEX(Jobs!$H$5:$H$604,MATCH(G28,Jobs!$A$5:$A$604,0)),""))</f>
        <v>0</v>
      </c>
      <c r="I28" s="15" t="s">
        <v>172</v>
      </c>
      <c r="J28" s="52">
        <v>0.729166666666667</v>
      </c>
      <c r="K28" s="52">
        <v>0.831666666666667</v>
      </c>
      <c r="L28" s="16">
        <v>0</v>
      </c>
      <c r="O28" s="45" t="s">
        <v>1471</v>
      </c>
      <c r="P28" s="47" t="s">
        <v>454</v>
      </c>
      <c r="Q28" s="47" t="s">
        <v>454</v>
      </c>
      <c r="R28" s="47" t="s">
        <v>454</v>
      </c>
      <c r="S28" s="44" t="s">
        <v>172</v>
      </c>
      <c r="T28" s="34">
        <f>IF(OR(J28="",K28=""),"",ROUND((K28-J28)*24-IF(L28="",0,L28)/60,2))</f>
        <v>0</v>
      </c>
      <c r="U28" s="34">
        <f>IF(F28="","",IF(M28&lt;&gt;"",M28,IF(T28="",0,T28)))</f>
        <v>0</v>
      </c>
      <c r="V28" s="21">
        <f>IF(F28="","",IFERROR(INDEX(Employees!$U$5:$U$44,MATCH(F28,Employees!$B$5:$B$44,0)),PayRate*(1+EmployerOncost)))</f>
        <v>0</v>
      </c>
      <c r="W28" s="34">
        <f>IF(F28="","",MAX(0,U28-IF(N28="",0,N28)))</f>
        <v>0</v>
      </c>
      <c r="X28" s="21">
        <f>IF(F28="","",ROUND(W28*V28+IF(N28="",0,N28)*V28*OvertimeRate,2))</f>
        <v>0</v>
      </c>
      <c r="Y28" s="21">
        <f>IF(F28="","",IF(P28&lt;&gt;"Yes",0,ROUND(U28*IF(IFERROR(INDEX(Clients!$O$5:$O$204,MATCH(IFERROR(INDEX(Jobs!$G$5:$G$604,MATCH(G28,Jobs!$A$5:$A$604,0)),""),Clients!$A$5:$A$204,0)),0)&gt;0,INDEX(Clients!$O$5:$O$204,MATCH(INDEX(Jobs!$G$5:$G$604,MATCH(G28,Jobs!$A$5:$A$604,0)),Clients!$A$5:$A$204,0)),HourlyRate),2)))</f>
        <v>0</v>
      </c>
      <c r="Z28" s="39">
        <f>IF(F28="","",IF(U28=0,"Add - no hours recorded",IF(O28="Absent - no show","Action - no show",IF(U28&gt;10,"Check - over ten hours in a day",IF(Q28&lt;&gt;"Yes","Due - needs approving",IF(R28&lt;&gt;"Yes","Due - not paid yet","OK"))))))</f>
        <v>0</v>
      </c>
    </row>
    <row r="29" spans="1:26">
      <c r="A29" s="43">
        <f>IF(F29="","","TS-"&amp;TEXT(ROW()-4,"0000"))</f>
        <v>0</v>
      </c>
      <c r="B29" s="46">
        <v>46283</v>
      </c>
      <c r="C29" s="23">
        <f>IF(B29="","",TEXT(B29,"ddd"))</f>
        <v>0</v>
      </c>
      <c r="D29" s="31">
        <f>IF(B29="","",WEEKNUM(B29,IF(WeekStart="Sunday",1,2)))</f>
        <v>0</v>
      </c>
      <c r="E29" s="23">
        <f>IF(B29="","",TEXT(B29,"yyyy-mm"))</f>
        <v>0</v>
      </c>
      <c r="F29" s="15" t="s">
        <v>608</v>
      </c>
      <c r="G29" s="49" t="s">
        <v>1494</v>
      </c>
      <c r="H29" s="23">
        <f>IF(G29="","",IFERROR(INDEX(Jobs!$H$5:$H$604,MATCH(G29,Jobs!$A$5:$A$604,0)),""))</f>
        <v>0</v>
      </c>
      <c r="I29" s="15" t="s">
        <v>172</v>
      </c>
      <c r="J29" s="52">
        <v>0.75</v>
      </c>
      <c r="K29" s="52">
        <v>0.820416666666667</v>
      </c>
      <c r="L29" s="16">
        <v>0</v>
      </c>
      <c r="O29" s="45" t="s">
        <v>1471</v>
      </c>
      <c r="P29" s="47" t="s">
        <v>454</v>
      </c>
      <c r="Q29" s="47" t="s">
        <v>454</v>
      </c>
      <c r="R29" s="47" t="s">
        <v>454</v>
      </c>
      <c r="S29" s="44" t="s">
        <v>172</v>
      </c>
      <c r="T29" s="34">
        <f>IF(OR(J29="",K29=""),"",ROUND((K29-J29)*24-IF(L29="",0,L29)/60,2))</f>
        <v>0</v>
      </c>
      <c r="U29" s="34">
        <f>IF(F29="","",IF(M29&lt;&gt;"",M29,IF(T29="",0,T29)))</f>
        <v>0</v>
      </c>
      <c r="V29" s="21">
        <f>IF(F29="","",IFERROR(INDEX(Employees!$U$5:$U$44,MATCH(F29,Employees!$B$5:$B$44,0)),PayRate*(1+EmployerOncost)))</f>
        <v>0</v>
      </c>
      <c r="W29" s="34">
        <f>IF(F29="","",MAX(0,U29-IF(N29="",0,N29)))</f>
        <v>0</v>
      </c>
      <c r="X29" s="21">
        <f>IF(F29="","",ROUND(W29*V29+IF(N29="",0,N29)*V29*OvertimeRate,2))</f>
        <v>0</v>
      </c>
      <c r="Y29" s="21">
        <f>IF(F29="","",IF(P29&lt;&gt;"Yes",0,ROUND(U29*IF(IFERROR(INDEX(Clients!$O$5:$O$204,MATCH(IFERROR(INDEX(Jobs!$G$5:$G$604,MATCH(G29,Jobs!$A$5:$A$604,0)),""),Clients!$A$5:$A$204,0)),0)&gt;0,INDEX(Clients!$O$5:$O$204,MATCH(INDEX(Jobs!$G$5:$G$604,MATCH(G29,Jobs!$A$5:$A$604,0)),Clients!$A$5:$A$204,0)),HourlyRate),2)))</f>
        <v>0</v>
      </c>
      <c r="Z29" s="39">
        <f>IF(F29="","",IF(U29=0,"Add - no hours recorded",IF(O29="Absent - no show","Action - no show",IF(U29&gt;10,"Check - over ten hours in a day",IF(Q29&lt;&gt;"Yes","Due - needs approving",IF(R29&lt;&gt;"Yes","Due - not paid yet","OK"))))))</f>
        <v>0</v>
      </c>
    </row>
    <row r="30" spans="1:26">
      <c r="A30" s="43">
        <f>IF(F30="","","TS-"&amp;TEXT(ROW()-4,"0000"))</f>
        <v>0</v>
      </c>
      <c r="B30" s="46">
        <v>46283</v>
      </c>
      <c r="C30" s="23">
        <f>IF(B30="","",TEXT(B30,"ddd"))</f>
        <v>0</v>
      </c>
      <c r="D30" s="31">
        <f>IF(B30="","",WEEKNUM(B30,IF(WeekStart="Sunday",1,2)))</f>
        <v>0</v>
      </c>
      <c r="E30" s="23">
        <f>IF(B30="","",TEXT(B30,"yyyy-mm"))</f>
        <v>0</v>
      </c>
      <c r="F30" s="15" t="s">
        <v>608</v>
      </c>
      <c r="G30" s="49" t="s">
        <v>1495</v>
      </c>
      <c r="H30" s="23">
        <f>IF(G30="","",IFERROR(INDEX(Jobs!$H$5:$H$604,MATCH(G30,Jobs!$A$5:$A$604,0)),""))</f>
        <v>0</v>
      </c>
      <c r="I30" s="15" t="s">
        <v>172</v>
      </c>
      <c r="J30" s="52">
        <v>0.833333333333333</v>
      </c>
      <c r="K30" s="52">
        <v>0.92125</v>
      </c>
      <c r="L30" s="16">
        <v>0</v>
      </c>
      <c r="O30" s="45" t="s">
        <v>1451</v>
      </c>
      <c r="P30" s="47" t="s">
        <v>454</v>
      </c>
      <c r="Q30" s="47" t="s">
        <v>454</v>
      </c>
      <c r="R30" s="47" t="s">
        <v>454</v>
      </c>
      <c r="S30" s="44" t="s">
        <v>1481</v>
      </c>
      <c r="T30" s="34">
        <f>IF(OR(J30="",K30=""),"",ROUND((K30-J30)*24-IF(L30="",0,L30)/60,2))</f>
        <v>0</v>
      </c>
      <c r="U30" s="34">
        <f>IF(F30="","",IF(M30&lt;&gt;"",M30,IF(T30="",0,T30)))</f>
        <v>0</v>
      </c>
      <c r="V30" s="21">
        <f>IF(F30="","",IFERROR(INDEX(Employees!$U$5:$U$44,MATCH(F30,Employees!$B$5:$B$44,0)),PayRate*(1+EmployerOncost)))</f>
        <v>0</v>
      </c>
      <c r="W30" s="34">
        <f>IF(F30="","",MAX(0,U30-IF(N30="",0,N30)))</f>
        <v>0</v>
      </c>
      <c r="X30" s="21">
        <f>IF(F30="","",ROUND(W30*V30+IF(N30="",0,N30)*V30*OvertimeRate,2))</f>
        <v>0</v>
      </c>
      <c r="Y30" s="21">
        <f>IF(F30="","",IF(P30&lt;&gt;"Yes",0,ROUND(U30*IF(IFERROR(INDEX(Clients!$O$5:$O$204,MATCH(IFERROR(INDEX(Jobs!$G$5:$G$604,MATCH(G30,Jobs!$A$5:$A$604,0)),""),Clients!$A$5:$A$204,0)),0)&gt;0,INDEX(Clients!$O$5:$O$204,MATCH(INDEX(Jobs!$G$5:$G$604,MATCH(G30,Jobs!$A$5:$A$604,0)),Clients!$A$5:$A$204,0)),HourlyRate),2)))</f>
        <v>0</v>
      </c>
      <c r="Z30" s="39">
        <f>IF(F30="","",IF(U30=0,"Add - no hours recorded",IF(O30="Absent - no show","Action - no show",IF(U30&gt;10,"Check - over ten hours in a day",IF(Q30&lt;&gt;"Yes","Due - needs approving",IF(R30&lt;&gt;"Yes","Due - not paid yet","OK"))))))</f>
        <v>0</v>
      </c>
    </row>
    <row r="31" spans="1:26">
      <c r="A31" s="43">
        <f>IF(F31="","","TS-"&amp;TEXT(ROW()-4,"0000"))</f>
        <v>0</v>
      </c>
      <c r="B31" s="46">
        <v>46284</v>
      </c>
      <c r="C31" s="23">
        <f>IF(B31="","",TEXT(B31,"ddd"))</f>
        <v>0</v>
      </c>
      <c r="D31" s="31">
        <f>IF(B31="","",WEEKNUM(B31,IF(WeekStart="Sunday",1,2)))</f>
        <v>0</v>
      </c>
      <c r="E31" s="23">
        <f>IF(B31="","",TEXT(B31,"yyyy-mm"))</f>
        <v>0</v>
      </c>
      <c r="F31" s="15" t="s">
        <v>596</v>
      </c>
      <c r="G31" s="49" t="s">
        <v>1496</v>
      </c>
      <c r="H31" s="23">
        <f>IF(G31="","",IFERROR(INDEX(Jobs!$H$5:$H$604,MATCH(G31,Jobs!$A$5:$A$604,0)),""))</f>
        <v>0</v>
      </c>
      <c r="I31" s="15" t="s">
        <v>172</v>
      </c>
      <c r="J31" s="52">
        <v>0.458333333333333</v>
      </c>
      <c r="K31" s="52">
        <v>0.542083333333333</v>
      </c>
      <c r="L31" s="16">
        <v>0</v>
      </c>
      <c r="O31" s="45" t="s">
        <v>1471</v>
      </c>
      <c r="P31" s="47" t="s">
        <v>454</v>
      </c>
      <c r="Q31" s="47" t="s">
        <v>454</v>
      </c>
      <c r="R31" s="47" t="s">
        <v>454</v>
      </c>
      <c r="S31" s="44" t="s">
        <v>172</v>
      </c>
      <c r="T31" s="34">
        <f>IF(OR(J31="",K31=""),"",ROUND((K31-J31)*24-IF(L31="",0,L31)/60,2))</f>
        <v>0</v>
      </c>
      <c r="U31" s="34">
        <f>IF(F31="","",IF(M31&lt;&gt;"",M31,IF(T31="",0,T31)))</f>
        <v>0</v>
      </c>
      <c r="V31" s="21">
        <f>IF(F31="","",IFERROR(INDEX(Employees!$U$5:$U$44,MATCH(F31,Employees!$B$5:$B$44,0)),PayRate*(1+EmployerOncost)))</f>
        <v>0</v>
      </c>
      <c r="W31" s="34">
        <f>IF(F31="","",MAX(0,U31-IF(N31="",0,N31)))</f>
        <v>0</v>
      </c>
      <c r="X31" s="21">
        <f>IF(F31="","",ROUND(W31*V31+IF(N31="",0,N31)*V31*OvertimeRate,2))</f>
        <v>0</v>
      </c>
      <c r="Y31" s="21">
        <f>IF(F31="","",IF(P31&lt;&gt;"Yes",0,ROUND(U31*IF(IFERROR(INDEX(Clients!$O$5:$O$204,MATCH(IFERROR(INDEX(Jobs!$G$5:$G$604,MATCH(G31,Jobs!$A$5:$A$604,0)),""),Clients!$A$5:$A$204,0)),0)&gt;0,INDEX(Clients!$O$5:$O$204,MATCH(INDEX(Jobs!$G$5:$G$604,MATCH(G31,Jobs!$A$5:$A$604,0)),Clients!$A$5:$A$204,0)),HourlyRate),2)))</f>
        <v>0</v>
      </c>
      <c r="Z31" s="39">
        <f>IF(F31="","",IF(U31=0,"Add - no hours recorded",IF(O31="Absent - no show","Action - no show",IF(U31&gt;10,"Check - over ten hours in a day",IF(Q31&lt;&gt;"Yes","Due - needs approving",IF(R31&lt;&gt;"Yes","Due - not paid yet","OK"))))))</f>
        <v>0</v>
      </c>
    </row>
    <row r="32" spans="1:26">
      <c r="A32" s="43">
        <f>IF(F32="","","TS-"&amp;TEXT(ROW()-4,"0000"))</f>
        <v>0</v>
      </c>
      <c r="B32" s="46">
        <v>46284</v>
      </c>
      <c r="C32" s="23">
        <f>IF(B32="","",TEXT(B32,"ddd"))</f>
        <v>0</v>
      </c>
      <c r="D32" s="31">
        <f>IF(B32="","",WEEKNUM(B32,IF(WeekStart="Sunday",1,2)))</f>
        <v>0</v>
      </c>
      <c r="E32" s="23">
        <f>IF(B32="","",TEXT(B32,"yyyy-mm"))</f>
        <v>0</v>
      </c>
      <c r="F32" s="15" t="s">
        <v>596</v>
      </c>
      <c r="G32" s="49" t="s">
        <v>1497</v>
      </c>
      <c r="H32" s="23">
        <f>IF(G32="","",IFERROR(INDEX(Jobs!$H$5:$H$604,MATCH(G32,Jobs!$A$5:$A$604,0)),""))</f>
        <v>0</v>
      </c>
      <c r="I32" s="15" t="s">
        <v>172</v>
      </c>
      <c r="J32" s="52">
        <v>0.583333333333333</v>
      </c>
      <c r="K32" s="52">
        <v>0.681666666666667</v>
      </c>
      <c r="L32" s="16">
        <v>0</v>
      </c>
      <c r="O32" s="45" t="s">
        <v>1471</v>
      </c>
      <c r="P32" s="47" t="s">
        <v>454</v>
      </c>
      <c r="Q32" s="47" t="s">
        <v>454</v>
      </c>
      <c r="R32" s="47" t="s">
        <v>454</v>
      </c>
      <c r="S32" s="44" t="s">
        <v>172</v>
      </c>
      <c r="T32" s="34">
        <f>IF(OR(J32="",K32=""),"",ROUND((K32-J32)*24-IF(L32="",0,L32)/60,2))</f>
        <v>0</v>
      </c>
      <c r="U32" s="34">
        <f>IF(F32="","",IF(M32&lt;&gt;"",M32,IF(T32="",0,T32)))</f>
        <v>0</v>
      </c>
      <c r="V32" s="21">
        <f>IF(F32="","",IFERROR(INDEX(Employees!$U$5:$U$44,MATCH(F32,Employees!$B$5:$B$44,0)),PayRate*(1+EmployerOncost)))</f>
        <v>0</v>
      </c>
      <c r="W32" s="34">
        <f>IF(F32="","",MAX(0,U32-IF(N32="",0,N32)))</f>
        <v>0</v>
      </c>
      <c r="X32" s="21">
        <f>IF(F32="","",ROUND(W32*V32+IF(N32="",0,N32)*V32*OvertimeRate,2))</f>
        <v>0</v>
      </c>
      <c r="Y32" s="21">
        <f>IF(F32="","",IF(P32&lt;&gt;"Yes",0,ROUND(U32*IF(IFERROR(INDEX(Clients!$O$5:$O$204,MATCH(IFERROR(INDEX(Jobs!$G$5:$G$604,MATCH(G32,Jobs!$A$5:$A$604,0)),""),Clients!$A$5:$A$204,0)),0)&gt;0,INDEX(Clients!$O$5:$O$204,MATCH(INDEX(Jobs!$G$5:$G$604,MATCH(G32,Jobs!$A$5:$A$604,0)),Clients!$A$5:$A$204,0)),HourlyRate),2)))</f>
        <v>0</v>
      </c>
      <c r="Z32" s="39">
        <f>IF(F32="","",IF(U32=0,"Add - no hours recorded",IF(O32="Absent - no show","Action - no show",IF(U32&gt;10,"Check - over ten hours in a day",IF(Q32&lt;&gt;"Yes","Due - needs approving",IF(R32&lt;&gt;"Yes","Due - not paid yet","OK"))))))</f>
        <v>0</v>
      </c>
    </row>
    <row r="33" spans="1:26">
      <c r="A33" s="43">
        <f>IF(F33="","","TS-"&amp;TEXT(ROW()-4,"0000"))</f>
        <v>0</v>
      </c>
      <c r="B33" s="46">
        <v>46285</v>
      </c>
      <c r="C33" s="23">
        <f>IF(B33="","",TEXT(B33,"ddd"))</f>
        <v>0</v>
      </c>
      <c r="D33" s="31">
        <f>IF(B33="","",WEEKNUM(B33,IF(WeekStart="Sunday",1,2)))</f>
        <v>0</v>
      </c>
      <c r="E33" s="23">
        <f>IF(B33="","",TEXT(B33,"yyyy-mm"))</f>
        <v>0</v>
      </c>
      <c r="F33" s="15" t="s">
        <v>639</v>
      </c>
      <c r="G33" s="49" t="s">
        <v>1498</v>
      </c>
      <c r="H33" s="23">
        <f>IF(G33="","",IFERROR(INDEX(Jobs!$H$5:$H$604,MATCH(G33,Jobs!$A$5:$A$604,0)),""))</f>
        <v>0</v>
      </c>
      <c r="I33" s="15" t="s">
        <v>172</v>
      </c>
      <c r="J33" s="52">
        <v>0.291666666666667</v>
      </c>
      <c r="K33" s="52">
        <v>0.360416666666667</v>
      </c>
      <c r="L33" s="16">
        <v>0</v>
      </c>
      <c r="O33" s="45" t="s">
        <v>1471</v>
      </c>
      <c r="P33" s="47" t="s">
        <v>454</v>
      </c>
      <c r="Q33" s="47" t="s">
        <v>454</v>
      </c>
      <c r="R33" s="47" t="s">
        <v>454</v>
      </c>
      <c r="S33" s="44" t="s">
        <v>172</v>
      </c>
      <c r="T33" s="34">
        <f>IF(OR(J33="",K33=""),"",ROUND((K33-J33)*24-IF(L33="",0,L33)/60,2))</f>
        <v>0</v>
      </c>
      <c r="U33" s="34">
        <f>IF(F33="","",IF(M33&lt;&gt;"",M33,IF(T33="",0,T33)))</f>
        <v>0</v>
      </c>
      <c r="V33" s="21">
        <f>IF(F33="","",IFERROR(INDEX(Employees!$U$5:$U$44,MATCH(F33,Employees!$B$5:$B$44,0)),PayRate*(1+EmployerOncost)))</f>
        <v>0</v>
      </c>
      <c r="W33" s="34">
        <f>IF(F33="","",MAX(0,U33-IF(N33="",0,N33)))</f>
        <v>0</v>
      </c>
      <c r="X33" s="21">
        <f>IF(F33="","",ROUND(W33*V33+IF(N33="",0,N33)*V33*OvertimeRate,2))</f>
        <v>0</v>
      </c>
      <c r="Y33" s="21">
        <f>IF(F33="","",IF(P33&lt;&gt;"Yes",0,ROUND(U33*IF(IFERROR(INDEX(Clients!$O$5:$O$204,MATCH(IFERROR(INDEX(Jobs!$G$5:$G$604,MATCH(G33,Jobs!$A$5:$A$604,0)),""),Clients!$A$5:$A$204,0)),0)&gt;0,INDEX(Clients!$O$5:$O$204,MATCH(INDEX(Jobs!$G$5:$G$604,MATCH(G33,Jobs!$A$5:$A$604,0)),Clients!$A$5:$A$204,0)),HourlyRate),2)))</f>
        <v>0</v>
      </c>
      <c r="Z33" s="39">
        <f>IF(F33="","",IF(U33=0,"Add - no hours recorded",IF(O33="Absent - no show","Action - no show",IF(U33&gt;10,"Check - over ten hours in a day",IF(Q33&lt;&gt;"Yes","Due - needs approving",IF(R33&lt;&gt;"Yes","Due - not paid yet","OK"))))))</f>
        <v>0</v>
      </c>
    </row>
    <row r="34" spans="1:26">
      <c r="A34" s="43">
        <f>IF(F34="","","TS-"&amp;TEXT(ROW()-4,"0000"))</f>
        <v>0</v>
      </c>
      <c r="B34" s="46">
        <v>46286</v>
      </c>
      <c r="C34" s="23">
        <f>IF(B34="","",TEXT(B34,"ddd"))</f>
        <v>0</v>
      </c>
      <c r="D34" s="31">
        <f>IF(B34="","",WEEKNUM(B34,IF(WeekStart="Sunday",1,2)))</f>
        <v>0</v>
      </c>
      <c r="E34" s="23">
        <f>IF(B34="","",TEXT(B34,"yyyy-mm"))</f>
        <v>0</v>
      </c>
      <c r="F34" s="15" t="s">
        <v>664</v>
      </c>
      <c r="G34" s="49" t="s">
        <v>1499</v>
      </c>
      <c r="H34" s="23">
        <f>IF(G34="","",IFERROR(INDEX(Jobs!$H$5:$H$604,MATCH(G34,Jobs!$A$5:$A$604,0)),""))</f>
        <v>0</v>
      </c>
      <c r="I34" s="15" t="s">
        <v>172</v>
      </c>
      <c r="J34" s="52">
        <v>0.291666666666667</v>
      </c>
      <c r="K34" s="52">
        <v>0.382916666666667</v>
      </c>
      <c r="L34" s="16">
        <v>0</v>
      </c>
      <c r="O34" s="45" t="s">
        <v>1471</v>
      </c>
      <c r="P34" s="47" t="s">
        <v>454</v>
      </c>
      <c r="Q34" s="47" t="s">
        <v>454</v>
      </c>
      <c r="R34" s="47" t="s">
        <v>454</v>
      </c>
      <c r="S34" s="44" t="s">
        <v>172</v>
      </c>
      <c r="T34" s="34">
        <f>IF(OR(J34="",K34=""),"",ROUND((K34-J34)*24-IF(L34="",0,L34)/60,2))</f>
        <v>0</v>
      </c>
      <c r="U34" s="34">
        <f>IF(F34="","",IF(M34&lt;&gt;"",M34,IF(T34="",0,T34)))</f>
        <v>0</v>
      </c>
      <c r="V34" s="21">
        <f>IF(F34="","",IFERROR(INDEX(Employees!$U$5:$U$44,MATCH(F34,Employees!$B$5:$B$44,0)),PayRate*(1+EmployerOncost)))</f>
        <v>0</v>
      </c>
      <c r="W34" s="34">
        <f>IF(F34="","",MAX(0,U34-IF(N34="",0,N34)))</f>
        <v>0</v>
      </c>
      <c r="X34" s="21">
        <f>IF(F34="","",ROUND(W34*V34+IF(N34="",0,N34)*V34*OvertimeRate,2))</f>
        <v>0</v>
      </c>
      <c r="Y34" s="21">
        <f>IF(F34="","",IF(P34&lt;&gt;"Yes",0,ROUND(U34*IF(IFERROR(INDEX(Clients!$O$5:$O$204,MATCH(IFERROR(INDEX(Jobs!$G$5:$G$604,MATCH(G34,Jobs!$A$5:$A$604,0)),""),Clients!$A$5:$A$204,0)),0)&gt;0,INDEX(Clients!$O$5:$O$204,MATCH(INDEX(Jobs!$G$5:$G$604,MATCH(G34,Jobs!$A$5:$A$604,0)),Clients!$A$5:$A$204,0)),HourlyRate),2)))</f>
        <v>0</v>
      </c>
      <c r="Z34" s="39">
        <f>IF(F34="","",IF(U34=0,"Add - no hours recorded",IF(O34="Absent - no show","Action - no show",IF(U34&gt;10,"Check - over ten hours in a day",IF(Q34&lt;&gt;"Yes","Due - needs approving",IF(R34&lt;&gt;"Yes","Due - not paid yet","OK"))))))</f>
        <v>0</v>
      </c>
    </row>
    <row r="35" spans="1:26">
      <c r="A35" s="43">
        <f>IF(F35="","","TS-"&amp;TEXT(ROW()-4,"0000"))</f>
        <v>0</v>
      </c>
      <c r="B35" s="46">
        <v>46286</v>
      </c>
      <c r="C35" s="23">
        <f>IF(B35="","",TEXT(B35,"ddd"))</f>
        <v>0</v>
      </c>
      <c r="D35" s="31">
        <f>IF(B35="","",WEEKNUM(B35,IF(WeekStart="Sunday",1,2)))</f>
        <v>0</v>
      </c>
      <c r="E35" s="23">
        <f>IF(B35="","",TEXT(B35,"yyyy-mm"))</f>
        <v>0</v>
      </c>
      <c r="F35" s="15" t="s">
        <v>608</v>
      </c>
      <c r="G35" s="49" t="s">
        <v>1500</v>
      </c>
      <c r="H35" s="23">
        <f>IF(G35="","",IFERROR(INDEX(Jobs!$H$5:$H$604,MATCH(G35,Jobs!$A$5:$A$604,0)),""))</f>
        <v>0</v>
      </c>
      <c r="I35" s="15" t="s">
        <v>172</v>
      </c>
      <c r="J35" s="52">
        <v>0.770833333333333</v>
      </c>
      <c r="K35" s="52">
        <v>0.854166666666667</v>
      </c>
      <c r="L35" s="16">
        <v>0</v>
      </c>
      <c r="O35" s="45" t="s">
        <v>1451</v>
      </c>
      <c r="P35" s="47" t="s">
        <v>454</v>
      </c>
      <c r="Q35" s="47" t="s">
        <v>454</v>
      </c>
      <c r="R35" s="47" t="s">
        <v>454</v>
      </c>
      <c r="S35" s="44" t="s">
        <v>1481</v>
      </c>
      <c r="T35" s="34">
        <f>IF(OR(J35="",K35=""),"",ROUND((K35-J35)*24-IF(L35="",0,L35)/60,2))</f>
        <v>0</v>
      </c>
      <c r="U35" s="34">
        <f>IF(F35="","",IF(M35&lt;&gt;"",M35,IF(T35="",0,T35)))</f>
        <v>0</v>
      </c>
      <c r="V35" s="21">
        <f>IF(F35="","",IFERROR(INDEX(Employees!$U$5:$U$44,MATCH(F35,Employees!$B$5:$B$44,0)),PayRate*(1+EmployerOncost)))</f>
        <v>0</v>
      </c>
      <c r="W35" s="34">
        <f>IF(F35="","",MAX(0,U35-IF(N35="",0,N35)))</f>
        <v>0</v>
      </c>
      <c r="X35" s="21">
        <f>IF(F35="","",ROUND(W35*V35+IF(N35="",0,N35)*V35*OvertimeRate,2))</f>
        <v>0</v>
      </c>
      <c r="Y35" s="21">
        <f>IF(F35="","",IF(P35&lt;&gt;"Yes",0,ROUND(U35*IF(IFERROR(INDEX(Clients!$O$5:$O$204,MATCH(IFERROR(INDEX(Jobs!$G$5:$G$604,MATCH(G35,Jobs!$A$5:$A$604,0)),""),Clients!$A$5:$A$204,0)),0)&gt;0,INDEX(Clients!$O$5:$O$204,MATCH(INDEX(Jobs!$G$5:$G$604,MATCH(G35,Jobs!$A$5:$A$604,0)),Clients!$A$5:$A$204,0)),HourlyRate),2)))</f>
        <v>0</v>
      </c>
      <c r="Z35" s="39">
        <f>IF(F35="","",IF(U35=0,"Add - no hours recorded",IF(O35="Absent - no show","Action - no show",IF(U35&gt;10,"Check - over ten hours in a day",IF(Q35&lt;&gt;"Yes","Due - needs approving",IF(R35&lt;&gt;"Yes","Due - not paid yet","OK"))))))</f>
        <v>0</v>
      </c>
    </row>
    <row r="36" spans="1:26">
      <c r="A36" s="43">
        <f>IF(F36="","","TS-"&amp;TEXT(ROW()-4,"0000"))</f>
        <v>0</v>
      </c>
      <c r="B36" s="46">
        <v>46287</v>
      </c>
      <c r="C36" s="23">
        <f>IF(B36="","",TEXT(B36,"ddd"))</f>
        <v>0</v>
      </c>
      <c r="D36" s="31">
        <f>IF(B36="","",WEEKNUM(B36,IF(WeekStart="Sunday",1,2)))</f>
        <v>0</v>
      </c>
      <c r="E36" s="23">
        <f>IF(B36="","",TEXT(B36,"yyyy-mm"))</f>
        <v>0</v>
      </c>
      <c r="F36" s="15" t="s">
        <v>584</v>
      </c>
      <c r="G36" s="49" t="s">
        <v>1501</v>
      </c>
      <c r="H36" s="23">
        <f>IF(G36="","",IFERROR(INDEX(Jobs!$H$5:$H$604,MATCH(G36,Jobs!$A$5:$A$604,0)),""))</f>
        <v>0</v>
      </c>
      <c r="I36" s="15" t="s">
        <v>172</v>
      </c>
      <c r="J36" s="52">
        <v>0.375</v>
      </c>
      <c r="K36" s="52">
        <v>0.511666666666667</v>
      </c>
      <c r="L36" s="16">
        <v>0</v>
      </c>
      <c r="O36" s="45" t="s">
        <v>1471</v>
      </c>
      <c r="P36" s="47" t="s">
        <v>454</v>
      </c>
      <c r="Q36" s="47" t="s">
        <v>454</v>
      </c>
      <c r="R36" s="47" t="s">
        <v>454</v>
      </c>
      <c r="S36" s="44" t="s">
        <v>172</v>
      </c>
      <c r="T36" s="34">
        <f>IF(OR(J36="",K36=""),"",ROUND((K36-J36)*24-IF(L36="",0,L36)/60,2))</f>
        <v>0</v>
      </c>
      <c r="U36" s="34">
        <f>IF(F36="","",IF(M36&lt;&gt;"",M36,IF(T36="",0,T36)))</f>
        <v>0</v>
      </c>
      <c r="V36" s="21">
        <f>IF(F36="","",IFERROR(INDEX(Employees!$U$5:$U$44,MATCH(F36,Employees!$B$5:$B$44,0)),PayRate*(1+EmployerOncost)))</f>
        <v>0</v>
      </c>
      <c r="W36" s="34">
        <f>IF(F36="","",MAX(0,U36-IF(N36="",0,N36)))</f>
        <v>0</v>
      </c>
      <c r="X36" s="21">
        <f>IF(F36="","",ROUND(W36*V36+IF(N36="",0,N36)*V36*OvertimeRate,2))</f>
        <v>0</v>
      </c>
      <c r="Y36" s="21">
        <f>IF(F36="","",IF(P36&lt;&gt;"Yes",0,ROUND(U36*IF(IFERROR(INDEX(Clients!$O$5:$O$204,MATCH(IFERROR(INDEX(Jobs!$G$5:$G$604,MATCH(G36,Jobs!$A$5:$A$604,0)),""),Clients!$A$5:$A$204,0)),0)&gt;0,INDEX(Clients!$O$5:$O$204,MATCH(INDEX(Jobs!$G$5:$G$604,MATCH(G36,Jobs!$A$5:$A$604,0)),Clients!$A$5:$A$204,0)),HourlyRate),2)))</f>
        <v>0</v>
      </c>
      <c r="Z36" s="39">
        <f>IF(F36="","",IF(U36=0,"Add - no hours recorded",IF(O36="Absent - no show","Action - no show",IF(U36&gt;10,"Check - over ten hours in a day",IF(Q36&lt;&gt;"Yes","Due - needs approving",IF(R36&lt;&gt;"Yes","Due - not paid yet","OK"))))))</f>
        <v>0</v>
      </c>
    </row>
    <row r="37" spans="1:26">
      <c r="A37" s="43">
        <f>IF(F37="","","TS-"&amp;TEXT(ROW()-4,"0000"))</f>
        <v>0</v>
      </c>
      <c r="B37" s="46">
        <v>46287</v>
      </c>
      <c r="C37" s="23">
        <f>IF(B37="","",TEXT(B37,"ddd"))</f>
        <v>0</v>
      </c>
      <c r="D37" s="31">
        <f>IF(B37="","",WEEKNUM(B37,IF(WeekStart="Sunday",1,2)))</f>
        <v>0</v>
      </c>
      <c r="E37" s="23">
        <f>IF(B37="","",TEXT(B37,"yyyy-mm"))</f>
        <v>0</v>
      </c>
      <c r="F37" s="15" t="s">
        <v>584</v>
      </c>
      <c r="G37" s="49" t="s">
        <v>1502</v>
      </c>
      <c r="H37" s="23">
        <f>IF(G37="","",IFERROR(INDEX(Jobs!$H$5:$H$604,MATCH(G37,Jobs!$A$5:$A$604,0)),""))</f>
        <v>0</v>
      </c>
      <c r="I37" s="15" t="s">
        <v>172</v>
      </c>
      <c r="J37" s="52">
        <v>0.583333333333333</v>
      </c>
      <c r="K37" s="52">
        <v>0.709166666666667</v>
      </c>
      <c r="L37" s="16">
        <v>0</v>
      </c>
      <c r="O37" s="45" t="s">
        <v>1471</v>
      </c>
      <c r="P37" s="47" t="s">
        <v>454</v>
      </c>
      <c r="Q37" s="47" t="s">
        <v>454</v>
      </c>
      <c r="R37" s="47" t="s">
        <v>454</v>
      </c>
      <c r="S37" s="44" t="s">
        <v>172</v>
      </c>
      <c r="T37" s="34">
        <f>IF(OR(J37="",K37=""),"",ROUND((K37-J37)*24-IF(L37="",0,L37)/60,2))</f>
        <v>0</v>
      </c>
      <c r="U37" s="34">
        <f>IF(F37="","",IF(M37&lt;&gt;"",M37,IF(T37="",0,T37)))</f>
        <v>0</v>
      </c>
      <c r="V37" s="21">
        <f>IF(F37="","",IFERROR(INDEX(Employees!$U$5:$U$44,MATCH(F37,Employees!$B$5:$B$44,0)),PayRate*(1+EmployerOncost)))</f>
        <v>0</v>
      </c>
      <c r="W37" s="34">
        <f>IF(F37="","",MAX(0,U37-IF(N37="",0,N37)))</f>
        <v>0</v>
      </c>
      <c r="X37" s="21">
        <f>IF(F37="","",ROUND(W37*V37+IF(N37="",0,N37)*V37*OvertimeRate,2))</f>
        <v>0</v>
      </c>
      <c r="Y37" s="21">
        <f>IF(F37="","",IF(P37&lt;&gt;"Yes",0,ROUND(U37*IF(IFERROR(INDEX(Clients!$O$5:$O$204,MATCH(IFERROR(INDEX(Jobs!$G$5:$G$604,MATCH(G37,Jobs!$A$5:$A$604,0)),""),Clients!$A$5:$A$204,0)),0)&gt;0,INDEX(Clients!$O$5:$O$204,MATCH(INDEX(Jobs!$G$5:$G$604,MATCH(G37,Jobs!$A$5:$A$604,0)),Clients!$A$5:$A$204,0)),HourlyRate),2)))</f>
        <v>0</v>
      </c>
      <c r="Z37" s="39">
        <f>IF(F37="","",IF(U37=0,"Add - no hours recorded",IF(O37="Absent - no show","Action - no show",IF(U37&gt;10,"Check - over ten hours in a day",IF(Q37&lt;&gt;"Yes","Due - needs approving",IF(R37&lt;&gt;"Yes","Due - not paid yet","OK"))))))</f>
        <v>0</v>
      </c>
    </row>
    <row r="38" spans="1:26">
      <c r="A38" s="43">
        <f>IF(F38="","","TS-"&amp;TEXT(ROW()-4,"0000"))</f>
        <v>0</v>
      </c>
      <c r="B38" s="46">
        <v>46289</v>
      </c>
      <c r="C38" s="23">
        <f>IF(B38="","",TEXT(B38,"ddd"))</f>
        <v>0</v>
      </c>
      <c r="D38" s="31">
        <f>IF(B38="","",WEEKNUM(B38,IF(WeekStart="Sunday",1,2)))</f>
        <v>0</v>
      </c>
      <c r="E38" s="23">
        <f>IF(B38="","",TEXT(B38,"yyyy-mm"))</f>
        <v>0</v>
      </c>
      <c r="F38" s="15" t="s">
        <v>664</v>
      </c>
      <c r="G38" s="49" t="s">
        <v>1503</v>
      </c>
      <c r="H38" s="23">
        <f>IF(G38="","",IFERROR(INDEX(Jobs!$H$5:$H$604,MATCH(G38,Jobs!$A$5:$A$604,0)),""))</f>
        <v>0</v>
      </c>
      <c r="I38" s="15" t="s">
        <v>172</v>
      </c>
      <c r="J38" s="52">
        <v>0.291666666666667</v>
      </c>
      <c r="K38" s="52">
        <v>0.367083333333333</v>
      </c>
      <c r="L38" s="16">
        <v>0</v>
      </c>
      <c r="O38" s="45" t="s">
        <v>1451</v>
      </c>
      <c r="P38" s="47" t="s">
        <v>454</v>
      </c>
      <c r="Q38" s="47" t="s">
        <v>454</v>
      </c>
      <c r="R38" s="47" t="s">
        <v>454</v>
      </c>
      <c r="S38" s="44" t="s">
        <v>1481</v>
      </c>
      <c r="T38" s="34">
        <f>IF(OR(J38="",K38=""),"",ROUND((K38-J38)*24-IF(L38="",0,L38)/60,2))</f>
        <v>0</v>
      </c>
      <c r="U38" s="34">
        <f>IF(F38="","",IF(M38&lt;&gt;"",M38,IF(T38="",0,T38)))</f>
        <v>0</v>
      </c>
      <c r="V38" s="21">
        <f>IF(F38="","",IFERROR(INDEX(Employees!$U$5:$U$44,MATCH(F38,Employees!$B$5:$B$44,0)),PayRate*(1+EmployerOncost)))</f>
        <v>0</v>
      </c>
      <c r="W38" s="34">
        <f>IF(F38="","",MAX(0,U38-IF(N38="",0,N38)))</f>
        <v>0</v>
      </c>
      <c r="X38" s="21">
        <f>IF(F38="","",ROUND(W38*V38+IF(N38="",0,N38)*V38*OvertimeRate,2))</f>
        <v>0</v>
      </c>
      <c r="Y38" s="21">
        <f>IF(F38="","",IF(P38&lt;&gt;"Yes",0,ROUND(U38*IF(IFERROR(INDEX(Clients!$O$5:$O$204,MATCH(IFERROR(INDEX(Jobs!$G$5:$G$604,MATCH(G38,Jobs!$A$5:$A$604,0)),""),Clients!$A$5:$A$204,0)),0)&gt;0,INDEX(Clients!$O$5:$O$204,MATCH(INDEX(Jobs!$G$5:$G$604,MATCH(G38,Jobs!$A$5:$A$604,0)),Clients!$A$5:$A$204,0)),HourlyRate),2)))</f>
        <v>0</v>
      </c>
      <c r="Z38" s="39">
        <f>IF(F38="","",IF(U38=0,"Add - no hours recorded",IF(O38="Absent - no show","Action - no show",IF(U38&gt;10,"Check - over ten hours in a day",IF(Q38&lt;&gt;"Yes","Due - needs approving",IF(R38&lt;&gt;"Yes","Due - not paid yet","OK"))))))</f>
        <v>0</v>
      </c>
    </row>
    <row r="39" spans="1:26">
      <c r="A39" s="43">
        <f>IF(F39="","","TS-"&amp;TEXT(ROW()-4,"0000"))</f>
        <v>0</v>
      </c>
      <c r="B39" s="46">
        <v>46289</v>
      </c>
      <c r="C39" s="23">
        <f>IF(B39="","",TEXT(B39,"ddd"))</f>
        <v>0</v>
      </c>
      <c r="D39" s="31">
        <f>IF(B39="","",WEEKNUM(B39,IF(WeekStart="Sunday",1,2)))</f>
        <v>0</v>
      </c>
      <c r="E39" s="23">
        <f>IF(B39="","",TEXT(B39,"yyyy-mm"))</f>
        <v>0</v>
      </c>
      <c r="F39" s="15" t="s">
        <v>596</v>
      </c>
      <c r="G39" s="49" t="s">
        <v>1504</v>
      </c>
      <c r="H39" s="23">
        <f>IF(G39="","",IFERROR(INDEX(Jobs!$H$5:$H$604,MATCH(G39,Jobs!$A$5:$A$604,0)),""))</f>
        <v>0</v>
      </c>
      <c r="I39" s="15" t="s">
        <v>172</v>
      </c>
      <c r="J39" s="52">
        <v>0.583333333333333</v>
      </c>
      <c r="K39" s="52">
        <v>0.722083333333333</v>
      </c>
      <c r="L39" s="16">
        <v>0</v>
      </c>
      <c r="O39" s="45" t="s">
        <v>1471</v>
      </c>
      <c r="P39" s="47" t="s">
        <v>454</v>
      </c>
      <c r="Q39" s="47" t="s">
        <v>454</v>
      </c>
      <c r="R39" s="47" t="s">
        <v>454</v>
      </c>
      <c r="S39" s="44" t="s">
        <v>172</v>
      </c>
      <c r="T39" s="34">
        <f>IF(OR(J39="",K39=""),"",ROUND((K39-J39)*24-IF(L39="",0,L39)/60,2))</f>
        <v>0</v>
      </c>
      <c r="U39" s="34">
        <f>IF(F39="","",IF(M39&lt;&gt;"",M39,IF(T39="",0,T39)))</f>
        <v>0</v>
      </c>
      <c r="V39" s="21">
        <f>IF(F39="","",IFERROR(INDEX(Employees!$U$5:$U$44,MATCH(F39,Employees!$B$5:$B$44,0)),PayRate*(1+EmployerOncost)))</f>
        <v>0</v>
      </c>
      <c r="W39" s="34">
        <f>IF(F39="","",MAX(0,U39-IF(N39="",0,N39)))</f>
        <v>0</v>
      </c>
      <c r="X39" s="21">
        <f>IF(F39="","",ROUND(W39*V39+IF(N39="",0,N39)*V39*OvertimeRate,2))</f>
        <v>0</v>
      </c>
      <c r="Y39" s="21">
        <f>IF(F39="","",IF(P39&lt;&gt;"Yes",0,ROUND(U39*IF(IFERROR(INDEX(Clients!$O$5:$O$204,MATCH(IFERROR(INDEX(Jobs!$G$5:$G$604,MATCH(G39,Jobs!$A$5:$A$604,0)),""),Clients!$A$5:$A$204,0)),0)&gt;0,INDEX(Clients!$O$5:$O$204,MATCH(INDEX(Jobs!$G$5:$G$604,MATCH(G39,Jobs!$A$5:$A$604,0)),Clients!$A$5:$A$204,0)),HourlyRate),2)))</f>
        <v>0</v>
      </c>
      <c r="Z39" s="39">
        <f>IF(F39="","",IF(U39=0,"Add - no hours recorded",IF(O39="Absent - no show","Action - no show",IF(U39&gt;10,"Check - over ten hours in a day",IF(Q39&lt;&gt;"Yes","Due - needs approving",IF(R39&lt;&gt;"Yes","Due - not paid yet","OK"))))))</f>
        <v>0</v>
      </c>
    </row>
    <row r="40" spans="1:26">
      <c r="A40" s="43">
        <f>IF(F40="","","TS-"&amp;TEXT(ROW()-4,"0000"))</f>
        <v>0</v>
      </c>
      <c r="B40" s="46">
        <v>46289</v>
      </c>
      <c r="C40" s="23">
        <f>IF(B40="","",TEXT(B40,"ddd"))</f>
        <v>0</v>
      </c>
      <c r="D40" s="31">
        <f>IF(B40="","",WEEKNUM(B40,IF(WeekStart="Sunday",1,2)))</f>
        <v>0</v>
      </c>
      <c r="E40" s="23">
        <f>IF(B40="","",TEXT(B40,"yyyy-mm"))</f>
        <v>0</v>
      </c>
      <c r="F40" s="15" t="s">
        <v>608</v>
      </c>
      <c r="G40" s="49" t="s">
        <v>1505</v>
      </c>
      <c r="H40" s="23">
        <f>IF(G40="","",IFERROR(INDEX(Jobs!$H$5:$H$604,MATCH(G40,Jobs!$A$5:$A$604,0)),""))</f>
        <v>0</v>
      </c>
      <c r="I40" s="15" t="s">
        <v>172</v>
      </c>
      <c r="J40" s="52">
        <v>0.770833333333333</v>
      </c>
      <c r="K40" s="52">
        <v>0.872916666666667</v>
      </c>
      <c r="L40" s="16">
        <v>0</v>
      </c>
      <c r="O40" s="45" t="s">
        <v>1471</v>
      </c>
      <c r="P40" s="47" t="s">
        <v>454</v>
      </c>
      <c r="Q40" s="47" t="s">
        <v>454</v>
      </c>
      <c r="R40" s="47" t="s">
        <v>454</v>
      </c>
      <c r="S40" s="44" t="s">
        <v>172</v>
      </c>
      <c r="T40" s="34">
        <f>IF(OR(J40="",K40=""),"",ROUND((K40-J40)*24-IF(L40="",0,L40)/60,2))</f>
        <v>0</v>
      </c>
      <c r="U40" s="34">
        <f>IF(F40="","",IF(M40&lt;&gt;"",M40,IF(T40="",0,T40)))</f>
        <v>0</v>
      </c>
      <c r="V40" s="21">
        <f>IF(F40="","",IFERROR(INDEX(Employees!$U$5:$U$44,MATCH(F40,Employees!$B$5:$B$44,0)),PayRate*(1+EmployerOncost)))</f>
        <v>0</v>
      </c>
      <c r="W40" s="34">
        <f>IF(F40="","",MAX(0,U40-IF(N40="",0,N40)))</f>
        <v>0</v>
      </c>
      <c r="X40" s="21">
        <f>IF(F40="","",ROUND(W40*V40+IF(N40="",0,N40)*V40*OvertimeRate,2))</f>
        <v>0</v>
      </c>
      <c r="Y40" s="21">
        <f>IF(F40="","",IF(P40&lt;&gt;"Yes",0,ROUND(U40*IF(IFERROR(INDEX(Clients!$O$5:$O$204,MATCH(IFERROR(INDEX(Jobs!$G$5:$G$604,MATCH(G40,Jobs!$A$5:$A$604,0)),""),Clients!$A$5:$A$204,0)),0)&gt;0,INDEX(Clients!$O$5:$O$204,MATCH(INDEX(Jobs!$G$5:$G$604,MATCH(G40,Jobs!$A$5:$A$604,0)),Clients!$A$5:$A$204,0)),HourlyRate),2)))</f>
        <v>0</v>
      </c>
      <c r="Z40" s="39">
        <f>IF(F40="","",IF(U40=0,"Add - no hours recorded",IF(O40="Absent - no show","Action - no show",IF(U40&gt;10,"Check - over ten hours in a day",IF(Q40&lt;&gt;"Yes","Due - needs approving",IF(R40&lt;&gt;"Yes","Due - not paid yet","OK"))))))</f>
        <v>0</v>
      </c>
    </row>
    <row r="41" spans="1:26">
      <c r="A41" s="43">
        <f>IF(F41="","","TS-"&amp;TEXT(ROW()-4,"0000"))</f>
        <v>0</v>
      </c>
      <c r="B41" s="46">
        <v>46290</v>
      </c>
      <c r="C41" s="23">
        <f>IF(B41="","",TEXT(B41,"ddd"))</f>
        <v>0</v>
      </c>
      <c r="D41" s="31">
        <f>IF(B41="","",WEEKNUM(B41,IF(WeekStart="Sunday",1,2)))</f>
        <v>0</v>
      </c>
      <c r="E41" s="23">
        <f>IF(B41="","",TEXT(B41,"yyyy-mm"))</f>
        <v>0</v>
      </c>
      <c r="F41" s="15" t="s">
        <v>639</v>
      </c>
      <c r="G41" s="49" t="s">
        <v>1506</v>
      </c>
      <c r="H41" s="23">
        <f>IF(G41="","",IFERROR(INDEX(Jobs!$H$5:$H$604,MATCH(G41,Jobs!$A$5:$A$604,0)),""))</f>
        <v>0</v>
      </c>
      <c r="I41" s="15" t="s">
        <v>172</v>
      </c>
      <c r="J41" s="52">
        <v>0.729166666666667</v>
      </c>
      <c r="K41" s="52">
        <v>0.81</v>
      </c>
      <c r="L41" s="16">
        <v>0</v>
      </c>
      <c r="O41" s="45" t="s">
        <v>1471</v>
      </c>
      <c r="P41" s="47" t="s">
        <v>454</v>
      </c>
      <c r="Q41" s="47" t="s">
        <v>454</v>
      </c>
      <c r="R41" s="47" t="s">
        <v>454</v>
      </c>
      <c r="S41" s="44" t="s">
        <v>172</v>
      </c>
      <c r="T41" s="34">
        <f>IF(OR(J41="",K41=""),"",ROUND((K41-J41)*24-IF(L41="",0,L41)/60,2))</f>
        <v>0</v>
      </c>
      <c r="U41" s="34">
        <f>IF(F41="","",IF(M41&lt;&gt;"",M41,IF(T41="",0,T41)))</f>
        <v>0</v>
      </c>
      <c r="V41" s="21">
        <f>IF(F41="","",IFERROR(INDEX(Employees!$U$5:$U$44,MATCH(F41,Employees!$B$5:$B$44,0)),PayRate*(1+EmployerOncost)))</f>
        <v>0</v>
      </c>
      <c r="W41" s="34">
        <f>IF(F41="","",MAX(0,U41-IF(N41="",0,N41)))</f>
        <v>0</v>
      </c>
      <c r="X41" s="21">
        <f>IF(F41="","",ROUND(W41*V41+IF(N41="",0,N41)*V41*OvertimeRate,2))</f>
        <v>0</v>
      </c>
      <c r="Y41" s="21">
        <f>IF(F41="","",IF(P41&lt;&gt;"Yes",0,ROUND(U41*IF(IFERROR(INDEX(Clients!$O$5:$O$204,MATCH(IFERROR(INDEX(Jobs!$G$5:$G$604,MATCH(G41,Jobs!$A$5:$A$604,0)),""),Clients!$A$5:$A$204,0)),0)&gt;0,INDEX(Clients!$O$5:$O$204,MATCH(INDEX(Jobs!$G$5:$G$604,MATCH(G41,Jobs!$A$5:$A$604,0)),Clients!$A$5:$A$204,0)),HourlyRate),2)))</f>
        <v>0</v>
      </c>
      <c r="Z41" s="39">
        <f>IF(F41="","",IF(U41=0,"Add - no hours recorded",IF(O41="Absent - no show","Action - no show",IF(U41&gt;10,"Check - over ten hours in a day",IF(Q41&lt;&gt;"Yes","Due - needs approving",IF(R41&lt;&gt;"Yes","Due - not paid yet","OK"))))))</f>
        <v>0</v>
      </c>
    </row>
    <row r="42" spans="1:26">
      <c r="A42" s="43">
        <f>IF(F42="","","TS-"&amp;TEXT(ROW()-4,"0000"))</f>
        <v>0</v>
      </c>
      <c r="B42" s="46">
        <v>46290</v>
      </c>
      <c r="C42" s="23">
        <f>IF(B42="","",TEXT(B42,"ddd"))</f>
        <v>0</v>
      </c>
      <c r="D42" s="31">
        <f>IF(B42="","",WEEKNUM(B42,IF(WeekStart="Sunday",1,2)))</f>
        <v>0</v>
      </c>
      <c r="E42" s="23">
        <f>IF(B42="","",TEXT(B42,"yyyy-mm"))</f>
        <v>0</v>
      </c>
      <c r="F42" s="15" t="s">
        <v>664</v>
      </c>
      <c r="G42" s="49" t="s">
        <v>1506</v>
      </c>
      <c r="H42" s="23">
        <f>IF(G42="","",IFERROR(INDEX(Jobs!$H$5:$H$604,MATCH(G42,Jobs!$A$5:$A$604,0)),""))</f>
        <v>0</v>
      </c>
      <c r="I42" s="15" t="s">
        <v>172</v>
      </c>
      <c r="J42" s="52">
        <v>0.729166666666667</v>
      </c>
      <c r="K42" s="52">
        <v>0.81</v>
      </c>
      <c r="L42" s="16">
        <v>0</v>
      </c>
      <c r="O42" s="45" t="s">
        <v>1471</v>
      </c>
      <c r="P42" s="47" t="s">
        <v>454</v>
      </c>
      <c r="Q42" s="47" t="s">
        <v>454</v>
      </c>
      <c r="R42" s="47" t="s">
        <v>454</v>
      </c>
      <c r="S42" s="44" t="s">
        <v>172</v>
      </c>
      <c r="T42" s="34">
        <f>IF(OR(J42="",K42=""),"",ROUND((K42-J42)*24-IF(L42="",0,L42)/60,2))</f>
        <v>0</v>
      </c>
      <c r="U42" s="34">
        <f>IF(F42="","",IF(M42&lt;&gt;"",M42,IF(T42="",0,T42)))</f>
        <v>0</v>
      </c>
      <c r="V42" s="21">
        <f>IF(F42="","",IFERROR(INDEX(Employees!$U$5:$U$44,MATCH(F42,Employees!$B$5:$B$44,0)),PayRate*(1+EmployerOncost)))</f>
        <v>0</v>
      </c>
      <c r="W42" s="34">
        <f>IF(F42="","",MAX(0,U42-IF(N42="",0,N42)))</f>
        <v>0</v>
      </c>
      <c r="X42" s="21">
        <f>IF(F42="","",ROUND(W42*V42+IF(N42="",0,N42)*V42*OvertimeRate,2))</f>
        <v>0</v>
      </c>
      <c r="Y42" s="21">
        <f>IF(F42="","",IF(P42&lt;&gt;"Yes",0,ROUND(U42*IF(IFERROR(INDEX(Clients!$O$5:$O$204,MATCH(IFERROR(INDEX(Jobs!$G$5:$G$604,MATCH(G42,Jobs!$A$5:$A$604,0)),""),Clients!$A$5:$A$204,0)),0)&gt;0,INDEX(Clients!$O$5:$O$204,MATCH(INDEX(Jobs!$G$5:$G$604,MATCH(G42,Jobs!$A$5:$A$604,0)),Clients!$A$5:$A$204,0)),HourlyRate),2)))</f>
        <v>0</v>
      </c>
      <c r="Z42" s="39">
        <f>IF(F42="","",IF(U42=0,"Add - no hours recorded",IF(O42="Absent - no show","Action - no show",IF(U42&gt;10,"Check - over ten hours in a day",IF(Q42&lt;&gt;"Yes","Due - needs approving",IF(R42&lt;&gt;"Yes","Due - not paid yet","OK"))))))</f>
        <v>0</v>
      </c>
    </row>
    <row r="43" spans="1:26">
      <c r="A43" s="43">
        <f>IF(F43="","","TS-"&amp;TEXT(ROW()-4,"0000"))</f>
        <v>0</v>
      </c>
      <c r="B43" s="46">
        <v>46290</v>
      </c>
      <c r="C43" s="23">
        <f>IF(B43="","",TEXT(B43,"ddd"))</f>
        <v>0</v>
      </c>
      <c r="D43" s="31">
        <f>IF(B43="","",WEEKNUM(B43,IF(WeekStart="Sunday",1,2)))</f>
        <v>0</v>
      </c>
      <c r="E43" s="23">
        <f>IF(B43="","",TEXT(B43,"yyyy-mm"))</f>
        <v>0</v>
      </c>
      <c r="F43" s="15" t="s">
        <v>608</v>
      </c>
      <c r="G43" s="49" t="s">
        <v>1507</v>
      </c>
      <c r="H43" s="23">
        <f>IF(G43="","",IFERROR(INDEX(Jobs!$H$5:$H$604,MATCH(G43,Jobs!$A$5:$A$604,0)),""))</f>
        <v>0</v>
      </c>
      <c r="I43" s="15" t="s">
        <v>172</v>
      </c>
      <c r="J43" s="52">
        <v>0.75</v>
      </c>
      <c r="K43" s="52">
        <v>0.838333333333333</v>
      </c>
      <c r="L43" s="16">
        <v>0</v>
      </c>
      <c r="O43" s="45" t="s">
        <v>1471</v>
      </c>
      <c r="P43" s="47" t="s">
        <v>454</v>
      </c>
      <c r="Q43" s="47" t="s">
        <v>454</v>
      </c>
      <c r="R43" s="47" t="s">
        <v>454</v>
      </c>
      <c r="S43" s="44" t="s">
        <v>172</v>
      </c>
      <c r="T43" s="34">
        <f>IF(OR(J43="",K43=""),"",ROUND((K43-J43)*24-IF(L43="",0,L43)/60,2))</f>
        <v>0</v>
      </c>
      <c r="U43" s="34">
        <f>IF(F43="","",IF(M43&lt;&gt;"",M43,IF(T43="",0,T43)))</f>
        <v>0</v>
      </c>
      <c r="V43" s="21">
        <f>IF(F43="","",IFERROR(INDEX(Employees!$U$5:$U$44,MATCH(F43,Employees!$B$5:$B$44,0)),PayRate*(1+EmployerOncost)))</f>
        <v>0</v>
      </c>
      <c r="W43" s="34">
        <f>IF(F43="","",MAX(0,U43-IF(N43="",0,N43)))</f>
        <v>0</v>
      </c>
      <c r="X43" s="21">
        <f>IF(F43="","",ROUND(W43*V43+IF(N43="",0,N43)*V43*OvertimeRate,2))</f>
        <v>0</v>
      </c>
      <c r="Y43" s="21">
        <f>IF(F43="","",IF(P43&lt;&gt;"Yes",0,ROUND(U43*IF(IFERROR(INDEX(Clients!$O$5:$O$204,MATCH(IFERROR(INDEX(Jobs!$G$5:$G$604,MATCH(G43,Jobs!$A$5:$A$604,0)),""),Clients!$A$5:$A$204,0)),0)&gt;0,INDEX(Clients!$O$5:$O$204,MATCH(INDEX(Jobs!$G$5:$G$604,MATCH(G43,Jobs!$A$5:$A$604,0)),Clients!$A$5:$A$204,0)),HourlyRate),2)))</f>
        <v>0</v>
      </c>
      <c r="Z43" s="39">
        <f>IF(F43="","",IF(U43=0,"Add - no hours recorded",IF(O43="Absent - no show","Action - no show",IF(U43&gt;10,"Check - over ten hours in a day",IF(Q43&lt;&gt;"Yes","Due - needs approving",IF(R43&lt;&gt;"Yes","Due - not paid yet","OK"))))))</f>
        <v>0</v>
      </c>
    </row>
    <row r="44" spans="1:26">
      <c r="A44" s="43">
        <f>IF(F44="","","TS-"&amp;TEXT(ROW()-4,"0000"))</f>
        <v>0</v>
      </c>
      <c r="B44" s="46">
        <v>46290</v>
      </c>
      <c r="C44" s="23">
        <f>IF(B44="","",TEXT(B44,"ddd"))</f>
        <v>0</v>
      </c>
      <c r="D44" s="31">
        <f>IF(B44="","",WEEKNUM(B44,IF(WeekStart="Sunday",1,2)))</f>
        <v>0</v>
      </c>
      <c r="E44" s="23">
        <f>IF(B44="","",TEXT(B44,"yyyy-mm"))</f>
        <v>0</v>
      </c>
      <c r="F44" s="15" t="s">
        <v>608</v>
      </c>
      <c r="G44" s="49" t="s">
        <v>1508</v>
      </c>
      <c r="H44" s="23">
        <f>IF(G44="","",IFERROR(INDEX(Jobs!$H$5:$H$604,MATCH(G44,Jobs!$A$5:$A$604,0)),""))</f>
        <v>0</v>
      </c>
      <c r="I44" s="15" t="s">
        <v>172</v>
      </c>
      <c r="J44" s="52">
        <v>0.833333333333333</v>
      </c>
      <c r="K44" s="52">
        <v>0.91625</v>
      </c>
      <c r="L44" s="16">
        <v>0</v>
      </c>
      <c r="O44" s="45" t="s">
        <v>1471</v>
      </c>
      <c r="P44" s="47" t="s">
        <v>454</v>
      </c>
      <c r="Q44" s="47" t="s">
        <v>454</v>
      </c>
      <c r="R44" s="47" t="s">
        <v>454</v>
      </c>
      <c r="S44" s="44" t="s">
        <v>172</v>
      </c>
      <c r="T44" s="34">
        <f>IF(OR(J44="",K44=""),"",ROUND((K44-J44)*24-IF(L44="",0,L44)/60,2))</f>
        <v>0</v>
      </c>
      <c r="U44" s="34">
        <f>IF(F44="","",IF(M44&lt;&gt;"",M44,IF(T44="",0,T44)))</f>
        <v>0</v>
      </c>
      <c r="V44" s="21">
        <f>IF(F44="","",IFERROR(INDEX(Employees!$U$5:$U$44,MATCH(F44,Employees!$B$5:$B$44,0)),PayRate*(1+EmployerOncost)))</f>
        <v>0</v>
      </c>
      <c r="W44" s="34">
        <f>IF(F44="","",MAX(0,U44-IF(N44="",0,N44)))</f>
        <v>0</v>
      </c>
      <c r="X44" s="21">
        <f>IF(F44="","",ROUND(W44*V44+IF(N44="",0,N44)*V44*OvertimeRate,2))</f>
        <v>0</v>
      </c>
      <c r="Y44" s="21">
        <f>IF(F44="","",IF(P44&lt;&gt;"Yes",0,ROUND(U44*IF(IFERROR(INDEX(Clients!$O$5:$O$204,MATCH(IFERROR(INDEX(Jobs!$G$5:$G$604,MATCH(G44,Jobs!$A$5:$A$604,0)),""),Clients!$A$5:$A$204,0)),0)&gt;0,INDEX(Clients!$O$5:$O$204,MATCH(INDEX(Jobs!$G$5:$G$604,MATCH(G44,Jobs!$A$5:$A$604,0)),Clients!$A$5:$A$204,0)),HourlyRate),2)))</f>
        <v>0</v>
      </c>
      <c r="Z44" s="39">
        <f>IF(F44="","",IF(U44=0,"Add - no hours recorded",IF(O44="Absent - no show","Action - no show",IF(U44&gt;10,"Check - over ten hours in a day",IF(Q44&lt;&gt;"Yes","Due - needs approving",IF(R44&lt;&gt;"Yes","Due - not paid yet","OK"))))))</f>
        <v>0</v>
      </c>
    </row>
    <row r="45" spans="1:26">
      <c r="A45" s="43">
        <f>IF(F45="","","TS-"&amp;TEXT(ROW()-4,"0000"))</f>
        <v>0</v>
      </c>
      <c r="B45" s="46">
        <v>46291</v>
      </c>
      <c r="C45" s="23">
        <f>IF(B45="","",TEXT(B45,"ddd"))</f>
        <v>0</v>
      </c>
      <c r="D45" s="31">
        <f>IF(B45="","",WEEKNUM(B45,IF(WeekStart="Sunday",1,2)))</f>
        <v>0</v>
      </c>
      <c r="E45" s="23">
        <f>IF(B45="","",TEXT(B45,"yyyy-mm"))</f>
        <v>0</v>
      </c>
      <c r="F45" s="15" t="s">
        <v>596</v>
      </c>
      <c r="G45" s="49" t="s">
        <v>1509</v>
      </c>
      <c r="H45" s="23">
        <f>IF(G45="","",IFERROR(INDEX(Jobs!$H$5:$H$604,MATCH(G45,Jobs!$A$5:$A$604,0)),""))</f>
        <v>0</v>
      </c>
      <c r="I45" s="15" t="s">
        <v>172</v>
      </c>
      <c r="J45" s="52">
        <v>0.458333333333333</v>
      </c>
      <c r="K45" s="52">
        <v>0.535416666666667</v>
      </c>
      <c r="L45" s="16">
        <v>0</v>
      </c>
      <c r="O45" s="45" t="s">
        <v>1471</v>
      </c>
      <c r="P45" s="47" t="s">
        <v>454</v>
      </c>
      <c r="Q45" s="47" t="s">
        <v>454</v>
      </c>
      <c r="R45" s="47" t="s">
        <v>454</v>
      </c>
      <c r="S45" s="44" t="s">
        <v>172</v>
      </c>
      <c r="T45" s="34">
        <f>IF(OR(J45="",K45=""),"",ROUND((K45-J45)*24-IF(L45="",0,L45)/60,2))</f>
        <v>0</v>
      </c>
      <c r="U45" s="34">
        <f>IF(F45="","",IF(M45&lt;&gt;"",M45,IF(T45="",0,T45)))</f>
        <v>0</v>
      </c>
      <c r="V45" s="21">
        <f>IF(F45="","",IFERROR(INDEX(Employees!$U$5:$U$44,MATCH(F45,Employees!$B$5:$B$44,0)),PayRate*(1+EmployerOncost)))</f>
        <v>0</v>
      </c>
      <c r="W45" s="34">
        <f>IF(F45="","",MAX(0,U45-IF(N45="",0,N45)))</f>
        <v>0</v>
      </c>
      <c r="X45" s="21">
        <f>IF(F45="","",ROUND(W45*V45+IF(N45="",0,N45)*V45*OvertimeRate,2))</f>
        <v>0</v>
      </c>
      <c r="Y45" s="21">
        <f>IF(F45="","",IF(P45&lt;&gt;"Yes",0,ROUND(U45*IF(IFERROR(INDEX(Clients!$O$5:$O$204,MATCH(IFERROR(INDEX(Jobs!$G$5:$G$604,MATCH(G45,Jobs!$A$5:$A$604,0)),""),Clients!$A$5:$A$204,0)),0)&gt;0,INDEX(Clients!$O$5:$O$204,MATCH(INDEX(Jobs!$G$5:$G$604,MATCH(G45,Jobs!$A$5:$A$604,0)),Clients!$A$5:$A$204,0)),HourlyRate),2)))</f>
        <v>0</v>
      </c>
      <c r="Z45" s="39">
        <f>IF(F45="","",IF(U45=0,"Add - no hours recorded",IF(O45="Absent - no show","Action - no show",IF(U45&gt;10,"Check - over ten hours in a day",IF(Q45&lt;&gt;"Yes","Due - needs approving",IF(R45&lt;&gt;"Yes","Due - not paid yet","OK"))))))</f>
        <v>0</v>
      </c>
    </row>
    <row r="46" spans="1:26">
      <c r="A46" s="43">
        <f>IF(F46="","","TS-"&amp;TEXT(ROW()-4,"0000"))</f>
        <v>0</v>
      </c>
      <c r="B46" s="46">
        <v>46291</v>
      </c>
      <c r="C46" s="23">
        <f>IF(B46="","",TEXT(B46,"ddd"))</f>
        <v>0</v>
      </c>
      <c r="D46" s="31">
        <f>IF(B46="","",WEEKNUM(B46,IF(WeekStart="Sunday",1,2)))</f>
        <v>0</v>
      </c>
      <c r="E46" s="23">
        <f>IF(B46="","",TEXT(B46,"yyyy-mm"))</f>
        <v>0</v>
      </c>
      <c r="F46" s="15" t="s">
        <v>596</v>
      </c>
      <c r="G46" s="49" t="s">
        <v>1510</v>
      </c>
      <c r="H46" s="23">
        <f>IF(G46="","",IFERROR(INDEX(Jobs!$H$5:$H$604,MATCH(G46,Jobs!$A$5:$A$604,0)),""))</f>
        <v>0</v>
      </c>
      <c r="I46" s="15" t="s">
        <v>172</v>
      </c>
      <c r="J46" s="52">
        <v>0.583333333333333</v>
      </c>
      <c r="K46" s="52">
        <v>0.660416666666667</v>
      </c>
      <c r="L46" s="16">
        <v>0</v>
      </c>
      <c r="O46" s="45" t="s">
        <v>1471</v>
      </c>
      <c r="P46" s="47" t="s">
        <v>454</v>
      </c>
      <c r="Q46" s="47" t="s">
        <v>454</v>
      </c>
      <c r="R46" s="47" t="s">
        <v>454</v>
      </c>
      <c r="S46" s="44" t="s">
        <v>172</v>
      </c>
      <c r="T46" s="34">
        <f>IF(OR(J46="",K46=""),"",ROUND((K46-J46)*24-IF(L46="",0,L46)/60,2))</f>
        <v>0</v>
      </c>
      <c r="U46" s="34">
        <f>IF(F46="","",IF(M46&lt;&gt;"",M46,IF(T46="",0,T46)))</f>
        <v>0</v>
      </c>
      <c r="V46" s="21">
        <f>IF(F46="","",IFERROR(INDEX(Employees!$U$5:$U$44,MATCH(F46,Employees!$B$5:$B$44,0)),PayRate*(1+EmployerOncost)))</f>
        <v>0</v>
      </c>
      <c r="W46" s="34">
        <f>IF(F46="","",MAX(0,U46-IF(N46="",0,N46)))</f>
        <v>0</v>
      </c>
      <c r="X46" s="21">
        <f>IF(F46="","",ROUND(W46*V46+IF(N46="",0,N46)*V46*OvertimeRate,2))</f>
        <v>0</v>
      </c>
      <c r="Y46" s="21">
        <f>IF(F46="","",IF(P46&lt;&gt;"Yes",0,ROUND(U46*IF(IFERROR(INDEX(Clients!$O$5:$O$204,MATCH(IFERROR(INDEX(Jobs!$G$5:$G$604,MATCH(G46,Jobs!$A$5:$A$604,0)),""),Clients!$A$5:$A$204,0)),0)&gt;0,INDEX(Clients!$O$5:$O$204,MATCH(INDEX(Jobs!$G$5:$G$604,MATCH(G46,Jobs!$A$5:$A$604,0)),Clients!$A$5:$A$204,0)),HourlyRate),2)))</f>
        <v>0</v>
      </c>
      <c r="Z46" s="39">
        <f>IF(F46="","",IF(U46=0,"Add - no hours recorded",IF(O46="Absent - no show","Action - no show",IF(U46&gt;10,"Check - over ten hours in a day",IF(Q46&lt;&gt;"Yes","Due - needs approving",IF(R46&lt;&gt;"Yes","Due - not paid yet","OK"))))))</f>
        <v>0</v>
      </c>
    </row>
    <row r="47" spans="1:26">
      <c r="A47" s="43">
        <f>IF(F47="","","TS-"&amp;TEXT(ROW()-4,"0000"))</f>
        <v>0</v>
      </c>
      <c r="B47" s="46">
        <v>46292</v>
      </c>
      <c r="C47" s="23">
        <f>IF(B47="","",TEXT(B47,"ddd"))</f>
        <v>0</v>
      </c>
      <c r="D47" s="31">
        <f>IF(B47="","",WEEKNUM(B47,IF(WeekStart="Sunday",1,2)))</f>
        <v>0</v>
      </c>
      <c r="E47" s="23">
        <f>IF(B47="","",TEXT(B47,"yyyy-mm"))</f>
        <v>0</v>
      </c>
      <c r="F47" s="15" t="s">
        <v>639</v>
      </c>
      <c r="G47" s="49" t="s">
        <v>1511</v>
      </c>
      <c r="H47" s="23">
        <f>IF(G47="","",IFERROR(INDEX(Jobs!$H$5:$H$604,MATCH(G47,Jobs!$A$5:$A$604,0)),""))</f>
        <v>0</v>
      </c>
      <c r="I47" s="15" t="s">
        <v>172</v>
      </c>
      <c r="J47" s="52">
        <v>0.291666666666667</v>
      </c>
      <c r="K47" s="52">
        <v>0.394166666666667</v>
      </c>
      <c r="L47" s="16">
        <v>0</v>
      </c>
      <c r="O47" s="45" t="s">
        <v>1471</v>
      </c>
      <c r="P47" s="47" t="s">
        <v>454</v>
      </c>
      <c r="Q47" s="47" t="s">
        <v>454</v>
      </c>
      <c r="R47" s="47" t="s">
        <v>454</v>
      </c>
      <c r="S47" s="44" t="s">
        <v>172</v>
      </c>
      <c r="T47" s="34">
        <f>IF(OR(J47="",K47=""),"",ROUND((K47-J47)*24-IF(L47="",0,L47)/60,2))</f>
        <v>0</v>
      </c>
      <c r="U47" s="34">
        <f>IF(F47="","",IF(M47&lt;&gt;"",M47,IF(T47="",0,T47)))</f>
        <v>0</v>
      </c>
      <c r="V47" s="21">
        <f>IF(F47="","",IFERROR(INDEX(Employees!$U$5:$U$44,MATCH(F47,Employees!$B$5:$B$44,0)),PayRate*(1+EmployerOncost)))</f>
        <v>0</v>
      </c>
      <c r="W47" s="34">
        <f>IF(F47="","",MAX(0,U47-IF(N47="",0,N47)))</f>
        <v>0</v>
      </c>
      <c r="X47" s="21">
        <f>IF(F47="","",ROUND(W47*V47+IF(N47="",0,N47)*V47*OvertimeRate,2))</f>
        <v>0</v>
      </c>
      <c r="Y47" s="21">
        <f>IF(F47="","",IF(P47&lt;&gt;"Yes",0,ROUND(U47*IF(IFERROR(INDEX(Clients!$O$5:$O$204,MATCH(IFERROR(INDEX(Jobs!$G$5:$G$604,MATCH(G47,Jobs!$A$5:$A$604,0)),""),Clients!$A$5:$A$204,0)),0)&gt;0,INDEX(Clients!$O$5:$O$204,MATCH(INDEX(Jobs!$G$5:$G$604,MATCH(G47,Jobs!$A$5:$A$604,0)),Clients!$A$5:$A$204,0)),HourlyRate),2)))</f>
        <v>0</v>
      </c>
      <c r="Z47" s="39">
        <f>IF(F47="","",IF(U47=0,"Add - no hours recorded",IF(O47="Absent - no show","Action - no show",IF(U47&gt;10,"Check - over ten hours in a day",IF(Q47&lt;&gt;"Yes","Due - needs approving",IF(R47&lt;&gt;"Yes","Due - not paid yet","OK"))))))</f>
        <v>0</v>
      </c>
    </row>
    <row r="48" spans="1:26">
      <c r="A48" s="43">
        <f>IF(F48="","","TS-"&amp;TEXT(ROW()-4,"0000"))</f>
        <v>0</v>
      </c>
      <c r="B48" s="46">
        <v>46293</v>
      </c>
      <c r="C48" s="23">
        <f>IF(B48="","",TEXT(B48,"ddd"))</f>
        <v>0</v>
      </c>
      <c r="D48" s="31">
        <f>IF(B48="","",WEEKNUM(B48,IF(WeekStart="Sunday",1,2)))</f>
        <v>0</v>
      </c>
      <c r="E48" s="23">
        <f>IF(B48="","",TEXT(B48,"yyyy-mm"))</f>
        <v>0</v>
      </c>
      <c r="F48" s="15" t="s">
        <v>664</v>
      </c>
      <c r="G48" s="49" t="s">
        <v>1512</v>
      </c>
      <c r="H48" s="23">
        <f>IF(G48="","",IFERROR(INDEX(Jobs!$H$5:$H$604,MATCH(G48,Jobs!$A$5:$A$604,0)),""))</f>
        <v>0</v>
      </c>
      <c r="I48" s="15" t="s">
        <v>172</v>
      </c>
      <c r="J48" s="52">
        <v>0.291666666666667</v>
      </c>
      <c r="K48" s="52">
        <v>0.395</v>
      </c>
      <c r="L48" s="16">
        <v>0</v>
      </c>
      <c r="O48" s="45" t="s">
        <v>1471</v>
      </c>
      <c r="P48" s="47" t="s">
        <v>454</v>
      </c>
      <c r="Q48" s="47" t="s">
        <v>454</v>
      </c>
      <c r="R48" s="47" t="s">
        <v>454</v>
      </c>
      <c r="S48" s="44" t="s">
        <v>172</v>
      </c>
      <c r="T48" s="34">
        <f>IF(OR(J48="",K48=""),"",ROUND((K48-J48)*24-IF(L48="",0,L48)/60,2))</f>
        <v>0</v>
      </c>
      <c r="U48" s="34">
        <f>IF(F48="","",IF(M48&lt;&gt;"",M48,IF(T48="",0,T48)))</f>
        <v>0</v>
      </c>
      <c r="V48" s="21">
        <f>IF(F48="","",IFERROR(INDEX(Employees!$U$5:$U$44,MATCH(F48,Employees!$B$5:$B$44,0)),PayRate*(1+EmployerOncost)))</f>
        <v>0</v>
      </c>
      <c r="W48" s="34">
        <f>IF(F48="","",MAX(0,U48-IF(N48="",0,N48)))</f>
        <v>0</v>
      </c>
      <c r="X48" s="21">
        <f>IF(F48="","",ROUND(W48*V48+IF(N48="",0,N48)*V48*OvertimeRate,2))</f>
        <v>0</v>
      </c>
      <c r="Y48" s="21">
        <f>IF(F48="","",IF(P48&lt;&gt;"Yes",0,ROUND(U48*IF(IFERROR(INDEX(Clients!$O$5:$O$204,MATCH(IFERROR(INDEX(Jobs!$G$5:$G$604,MATCH(G48,Jobs!$A$5:$A$604,0)),""),Clients!$A$5:$A$204,0)),0)&gt;0,INDEX(Clients!$O$5:$O$204,MATCH(INDEX(Jobs!$G$5:$G$604,MATCH(G48,Jobs!$A$5:$A$604,0)),Clients!$A$5:$A$204,0)),HourlyRate),2)))</f>
        <v>0</v>
      </c>
      <c r="Z48" s="39">
        <f>IF(F48="","",IF(U48=0,"Add - no hours recorded",IF(O48="Absent - no show","Action - no show",IF(U48&gt;10,"Check - over ten hours in a day",IF(Q48&lt;&gt;"Yes","Due - needs approving",IF(R48&lt;&gt;"Yes","Due - not paid yet","OK"))))))</f>
        <v>0</v>
      </c>
    </row>
    <row r="49" spans="1:26">
      <c r="A49" s="43">
        <f>IF(F49="","","TS-"&amp;TEXT(ROW()-4,"0000"))</f>
        <v>0</v>
      </c>
      <c r="B49" s="46">
        <v>46293</v>
      </c>
      <c r="C49" s="23">
        <f>IF(B49="","",TEXT(B49,"ddd"))</f>
        <v>0</v>
      </c>
      <c r="D49" s="31">
        <f>IF(B49="","",WEEKNUM(B49,IF(WeekStart="Sunday",1,2)))</f>
        <v>0</v>
      </c>
      <c r="E49" s="23">
        <f>IF(B49="","",TEXT(B49,"yyyy-mm"))</f>
        <v>0</v>
      </c>
      <c r="F49" s="15" t="s">
        <v>608</v>
      </c>
      <c r="G49" s="49" t="s">
        <v>1513</v>
      </c>
      <c r="H49" s="23">
        <f>IF(G49="","",IFERROR(INDEX(Jobs!$H$5:$H$604,MATCH(G49,Jobs!$A$5:$A$604,0)),""))</f>
        <v>0</v>
      </c>
      <c r="I49" s="15" t="s">
        <v>172</v>
      </c>
      <c r="J49" s="52">
        <v>0.770833333333333</v>
      </c>
      <c r="K49" s="52">
        <v>0.854166666666667</v>
      </c>
      <c r="L49" s="16">
        <v>0</v>
      </c>
      <c r="O49" s="45" t="s">
        <v>1471</v>
      </c>
      <c r="P49" s="47" t="s">
        <v>454</v>
      </c>
      <c r="Q49" s="47" t="s">
        <v>454</v>
      </c>
      <c r="R49" s="47" t="s">
        <v>454</v>
      </c>
      <c r="S49" s="44" t="s">
        <v>172</v>
      </c>
      <c r="T49" s="34">
        <f>IF(OR(J49="",K49=""),"",ROUND((K49-J49)*24-IF(L49="",0,L49)/60,2))</f>
        <v>0</v>
      </c>
      <c r="U49" s="34">
        <f>IF(F49="","",IF(M49&lt;&gt;"",M49,IF(T49="",0,T49)))</f>
        <v>0</v>
      </c>
      <c r="V49" s="21">
        <f>IF(F49="","",IFERROR(INDEX(Employees!$U$5:$U$44,MATCH(F49,Employees!$B$5:$B$44,0)),PayRate*(1+EmployerOncost)))</f>
        <v>0</v>
      </c>
      <c r="W49" s="34">
        <f>IF(F49="","",MAX(0,U49-IF(N49="",0,N49)))</f>
        <v>0</v>
      </c>
      <c r="X49" s="21">
        <f>IF(F49="","",ROUND(W49*V49+IF(N49="",0,N49)*V49*OvertimeRate,2))</f>
        <v>0</v>
      </c>
      <c r="Y49" s="21">
        <f>IF(F49="","",IF(P49&lt;&gt;"Yes",0,ROUND(U49*IF(IFERROR(INDEX(Clients!$O$5:$O$204,MATCH(IFERROR(INDEX(Jobs!$G$5:$G$604,MATCH(G49,Jobs!$A$5:$A$604,0)),""),Clients!$A$5:$A$204,0)),0)&gt;0,INDEX(Clients!$O$5:$O$204,MATCH(INDEX(Jobs!$G$5:$G$604,MATCH(G49,Jobs!$A$5:$A$604,0)),Clients!$A$5:$A$204,0)),HourlyRate),2)))</f>
        <v>0</v>
      </c>
      <c r="Z49" s="39">
        <f>IF(F49="","",IF(U49=0,"Add - no hours recorded",IF(O49="Absent - no show","Action - no show",IF(U49&gt;10,"Check - over ten hours in a day",IF(Q49&lt;&gt;"Yes","Due - needs approving",IF(R49&lt;&gt;"Yes","Due - not paid yet","OK"))))))</f>
        <v>0</v>
      </c>
    </row>
    <row r="50" spans="1:26">
      <c r="A50" s="43">
        <f>IF(F50="","","TS-"&amp;TEXT(ROW()-4,"0000"))</f>
        <v>0</v>
      </c>
      <c r="B50" s="46">
        <v>46294</v>
      </c>
      <c r="C50" s="23">
        <f>IF(B50="","",TEXT(B50,"ddd"))</f>
        <v>0</v>
      </c>
      <c r="D50" s="31">
        <f>IF(B50="","",WEEKNUM(B50,IF(WeekStart="Sunday",1,2)))</f>
        <v>0</v>
      </c>
      <c r="E50" s="23">
        <f>IF(B50="","",TEXT(B50,"yyyy-mm"))</f>
        <v>0</v>
      </c>
      <c r="F50" s="15" t="s">
        <v>584</v>
      </c>
      <c r="G50" s="49" t="s">
        <v>1514</v>
      </c>
      <c r="H50" s="23">
        <f>IF(G50="","",IFERROR(INDEX(Jobs!$H$5:$H$604,MATCH(G50,Jobs!$A$5:$A$604,0)),""))</f>
        <v>0</v>
      </c>
      <c r="I50" s="15" t="s">
        <v>172</v>
      </c>
      <c r="J50" s="52">
        <v>0.375</v>
      </c>
      <c r="K50" s="52">
        <v>0.502083333333333</v>
      </c>
      <c r="L50" s="16">
        <v>0</v>
      </c>
      <c r="O50" s="45" t="s">
        <v>1471</v>
      </c>
      <c r="P50" s="47" t="s">
        <v>454</v>
      </c>
      <c r="Q50" s="47" t="s">
        <v>454</v>
      </c>
      <c r="R50" s="47" t="s">
        <v>454</v>
      </c>
      <c r="S50" s="44" t="s">
        <v>172</v>
      </c>
      <c r="T50" s="34">
        <f>IF(OR(J50="",K50=""),"",ROUND((K50-J50)*24-IF(L50="",0,L50)/60,2))</f>
        <v>0</v>
      </c>
      <c r="U50" s="34">
        <f>IF(F50="","",IF(M50&lt;&gt;"",M50,IF(T50="",0,T50)))</f>
        <v>0</v>
      </c>
      <c r="V50" s="21">
        <f>IF(F50="","",IFERROR(INDEX(Employees!$U$5:$U$44,MATCH(F50,Employees!$B$5:$B$44,0)),PayRate*(1+EmployerOncost)))</f>
        <v>0</v>
      </c>
      <c r="W50" s="34">
        <f>IF(F50="","",MAX(0,U50-IF(N50="",0,N50)))</f>
        <v>0</v>
      </c>
      <c r="X50" s="21">
        <f>IF(F50="","",ROUND(W50*V50+IF(N50="",0,N50)*V50*OvertimeRate,2))</f>
        <v>0</v>
      </c>
      <c r="Y50" s="21">
        <f>IF(F50="","",IF(P50&lt;&gt;"Yes",0,ROUND(U50*IF(IFERROR(INDEX(Clients!$O$5:$O$204,MATCH(IFERROR(INDEX(Jobs!$G$5:$G$604,MATCH(G50,Jobs!$A$5:$A$604,0)),""),Clients!$A$5:$A$204,0)),0)&gt;0,INDEX(Clients!$O$5:$O$204,MATCH(INDEX(Jobs!$G$5:$G$604,MATCH(G50,Jobs!$A$5:$A$604,0)),Clients!$A$5:$A$204,0)),HourlyRate),2)))</f>
        <v>0</v>
      </c>
      <c r="Z50" s="39">
        <f>IF(F50="","",IF(U50=0,"Add - no hours recorded",IF(O50="Absent - no show","Action - no show",IF(U50&gt;10,"Check - over ten hours in a day",IF(Q50&lt;&gt;"Yes","Due - needs approving",IF(R50&lt;&gt;"Yes","Due - not paid yet","OK"))))))</f>
        <v>0</v>
      </c>
    </row>
    <row r="51" spans="1:26">
      <c r="A51" s="43">
        <f>IF(F51="","","TS-"&amp;TEXT(ROW()-4,"0000"))</f>
        <v>0</v>
      </c>
      <c r="B51" s="46">
        <v>46295</v>
      </c>
      <c r="C51" s="23">
        <f>IF(B51="","",TEXT(B51,"ddd"))</f>
        <v>0</v>
      </c>
      <c r="D51" s="31">
        <f>IF(B51="","",WEEKNUM(B51,IF(WeekStart="Sunday",1,2)))</f>
        <v>0</v>
      </c>
      <c r="E51" s="23">
        <f>IF(B51="","",TEXT(B51,"yyyy-mm"))</f>
        <v>0</v>
      </c>
      <c r="F51" s="15" t="s">
        <v>627</v>
      </c>
      <c r="G51" s="49" t="s">
        <v>1515</v>
      </c>
      <c r="H51" s="23">
        <f>IF(G51="","",IFERROR(INDEX(Jobs!$H$5:$H$604,MATCH(G51,Jobs!$A$5:$A$604,0)),""))</f>
        <v>0</v>
      </c>
      <c r="I51" s="15" t="s">
        <v>172</v>
      </c>
      <c r="J51" s="52">
        <v>0.375</v>
      </c>
      <c r="K51" s="52">
        <v>0.500416666666667</v>
      </c>
      <c r="L51" s="16">
        <v>0</v>
      </c>
      <c r="O51" s="45" t="s">
        <v>1471</v>
      </c>
      <c r="P51" s="47" t="s">
        <v>454</v>
      </c>
      <c r="Q51" s="47" t="s">
        <v>454</v>
      </c>
      <c r="R51" s="47" t="s">
        <v>454</v>
      </c>
      <c r="S51" s="44" t="s">
        <v>172</v>
      </c>
      <c r="T51" s="34">
        <f>IF(OR(J51="",K51=""),"",ROUND((K51-J51)*24-IF(L51="",0,L51)/60,2))</f>
        <v>0</v>
      </c>
      <c r="U51" s="34">
        <f>IF(F51="","",IF(M51&lt;&gt;"",M51,IF(T51="",0,T51)))</f>
        <v>0</v>
      </c>
      <c r="V51" s="21">
        <f>IF(F51="","",IFERROR(INDEX(Employees!$U$5:$U$44,MATCH(F51,Employees!$B$5:$B$44,0)),PayRate*(1+EmployerOncost)))</f>
        <v>0</v>
      </c>
      <c r="W51" s="34">
        <f>IF(F51="","",MAX(0,U51-IF(N51="",0,N51)))</f>
        <v>0</v>
      </c>
      <c r="X51" s="21">
        <f>IF(F51="","",ROUND(W51*V51+IF(N51="",0,N51)*V51*OvertimeRate,2))</f>
        <v>0</v>
      </c>
      <c r="Y51" s="21">
        <f>IF(F51="","",IF(P51&lt;&gt;"Yes",0,ROUND(U51*IF(IFERROR(INDEX(Clients!$O$5:$O$204,MATCH(IFERROR(INDEX(Jobs!$G$5:$G$604,MATCH(G51,Jobs!$A$5:$A$604,0)),""),Clients!$A$5:$A$204,0)),0)&gt;0,INDEX(Clients!$O$5:$O$204,MATCH(INDEX(Jobs!$G$5:$G$604,MATCH(G51,Jobs!$A$5:$A$604,0)),Clients!$A$5:$A$204,0)),HourlyRate),2)))</f>
        <v>0</v>
      </c>
      <c r="Z51" s="39">
        <f>IF(F51="","",IF(U51=0,"Add - no hours recorded",IF(O51="Absent - no show","Action - no show",IF(U51&gt;10,"Check - over ten hours in a day",IF(Q51&lt;&gt;"Yes","Due - needs approving",IF(R51&lt;&gt;"Yes","Due - not paid yet","OK"))))))</f>
        <v>0</v>
      </c>
    </row>
    <row r="52" spans="1:26">
      <c r="A52" s="43">
        <f>IF(F52="","","TS-"&amp;TEXT(ROW()-4,"0000"))</f>
        <v>0</v>
      </c>
      <c r="B52" s="46">
        <v>46295</v>
      </c>
      <c r="C52" s="23">
        <f>IF(B52="","",TEXT(B52,"ddd"))</f>
        <v>0</v>
      </c>
      <c r="D52" s="31">
        <f>IF(B52="","",WEEKNUM(B52,IF(WeekStart="Sunday",1,2)))</f>
        <v>0</v>
      </c>
      <c r="E52" s="23">
        <f>IF(B52="","",TEXT(B52,"yyyy-mm"))</f>
        <v>0</v>
      </c>
      <c r="F52" s="15" t="s">
        <v>584</v>
      </c>
      <c r="G52" s="49" t="s">
        <v>1515</v>
      </c>
      <c r="H52" s="23">
        <f>IF(G52="","",IFERROR(INDEX(Jobs!$H$5:$H$604,MATCH(G52,Jobs!$A$5:$A$604,0)),""))</f>
        <v>0</v>
      </c>
      <c r="I52" s="15" t="s">
        <v>172</v>
      </c>
      <c r="J52" s="52">
        <v>0.375</v>
      </c>
      <c r="K52" s="52">
        <v>0.500416666666667</v>
      </c>
      <c r="L52" s="16">
        <v>0</v>
      </c>
      <c r="O52" s="45" t="s">
        <v>1471</v>
      </c>
      <c r="P52" s="47" t="s">
        <v>454</v>
      </c>
      <c r="Q52" s="47" t="s">
        <v>454</v>
      </c>
      <c r="R52" s="47" t="s">
        <v>454</v>
      </c>
      <c r="S52" s="44" t="s">
        <v>172</v>
      </c>
      <c r="T52" s="34">
        <f>IF(OR(J52="",K52=""),"",ROUND((K52-J52)*24-IF(L52="",0,L52)/60,2))</f>
        <v>0</v>
      </c>
      <c r="U52" s="34">
        <f>IF(F52="","",IF(M52&lt;&gt;"",M52,IF(T52="",0,T52)))</f>
        <v>0</v>
      </c>
      <c r="V52" s="21">
        <f>IF(F52="","",IFERROR(INDEX(Employees!$U$5:$U$44,MATCH(F52,Employees!$B$5:$B$44,0)),PayRate*(1+EmployerOncost)))</f>
        <v>0</v>
      </c>
      <c r="W52" s="34">
        <f>IF(F52="","",MAX(0,U52-IF(N52="",0,N52)))</f>
        <v>0</v>
      </c>
      <c r="X52" s="21">
        <f>IF(F52="","",ROUND(W52*V52+IF(N52="",0,N52)*V52*OvertimeRate,2))</f>
        <v>0</v>
      </c>
      <c r="Y52" s="21">
        <f>IF(F52="","",IF(P52&lt;&gt;"Yes",0,ROUND(U52*IF(IFERROR(INDEX(Clients!$O$5:$O$204,MATCH(IFERROR(INDEX(Jobs!$G$5:$G$604,MATCH(G52,Jobs!$A$5:$A$604,0)),""),Clients!$A$5:$A$204,0)),0)&gt;0,INDEX(Clients!$O$5:$O$204,MATCH(INDEX(Jobs!$G$5:$G$604,MATCH(G52,Jobs!$A$5:$A$604,0)),Clients!$A$5:$A$204,0)),HourlyRate),2)))</f>
        <v>0</v>
      </c>
      <c r="Z52" s="39">
        <f>IF(F52="","",IF(U52=0,"Add - no hours recorded",IF(O52="Absent - no show","Action - no show",IF(U52&gt;10,"Check - over ten hours in a day",IF(Q52&lt;&gt;"Yes","Due - needs approving",IF(R52&lt;&gt;"Yes","Due - not paid yet","OK"))))))</f>
        <v>0</v>
      </c>
    </row>
    <row r="53" spans="1:26">
      <c r="A53" s="43">
        <f>IF(F53="","","TS-"&amp;TEXT(ROW()-4,"0000"))</f>
        <v>0</v>
      </c>
      <c r="B53" s="46">
        <v>46296</v>
      </c>
      <c r="C53" s="23">
        <f>IF(B53="","",TEXT(B53,"ddd"))</f>
        <v>0</v>
      </c>
      <c r="D53" s="31">
        <f>IF(B53="","",WEEKNUM(B53,IF(WeekStart="Sunday",1,2)))</f>
        <v>0</v>
      </c>
      <c r="E53" s="23">
        <f>IF(B53="","",TEXT(B53,"yyyy-mm"))</f>
        <v>0</v>
      </c>
      <c r="F53" s="15" t="s">
        <v>664</v>
      </c>
      <c r="G53" s="49" t="s">
        <v>1516</v>
      </c>
      <c r="H53" s="23">
        <f>IF(G53="","",IFERROR(INDEX(Jobs!$H$5:$H$604,MATCH(G53,Jobs!$A$5:$A$604,0)),""))</f>
        <v>0</v>
      </c>
      <c r="I53" s="15" t="s">
        <v>172</v>
      </c>
      <c r="J53" s="52">
        <v>0.291666666666667</v>
      </c>
      <c r="K53" s="52">
        <v>0.370416666666667</v>
      </c>
      <c r="L53" s="16">
        <v>0</v>
      </c>
      <c r="O53" s="45" t="s">
        <v>1471</v>
      </c>
      <c r="P53" s="47" t="s">
        <v>454</v>
      </c>
      <c r="Q53" s="47" t="s">
        <v>454</v>
      </c>
      <c r="R53" s="47" t="s">
        <v>454</v>
      </c>
      <c r="S53" s="44" t="s">
        <v>172</v>
      </c>
      <c r="T53" s="34">
        <f>IF(OR(J53="",K53=""),"",ROUND((K53-J53)*24-IF(L53="",0,L53)/60,2))</f>
        <v>0</v>
      </c>
      <c r="U53" s="34">
        <f>IF(F53="","",IF(M53&lt;&gt;"",M53,IF(T53="",0,T53)))</f>
        <v>0</v>
      </c>
      <c r="V53" s="21">
        <f>IF(F53="","",IFERROR(INDEX(Employees!$U$5:$U$44,MATCH(F53,Employees!$B$5:$B$44,0)),PayRate*(1+EmployerOncost)))</f>
        <v>0</v>
      </c>
      <c r="W53" s="34">
        <f>IF(F53="","",MAX(0,U53-IF(N53="",0,N53)))</f>
        <v>0</v>
      </c>
      <c r="X53" s="21">
        <f>IF(F53="","",ROUND(W53*V53+IF(N53="",0,N53)*V53*OvertimeRate,2))</f>
        <v>0</v>
      </c>
      <c r="Y53" s="21">
        <f>IF(F53="","",IF(P53&lt;&gt;"Yes",0,ROUND(U53*IF(IFERROR(INDEX(Clients!$O$5:$O$204,MATCH(IFERROR(INDEX(Jobs!$G$5:$G$604,MATCH(G53,Jobs!$A$5:$A$604,0)),""),Clients!$A$5:$A$204,0)),0)&gt;0,INDEX(Clients!$O$5:$O$204,MATCH(INDEX(Jobs!$G$5:$G$604,MATCH(G53,Jobs!$A$5:$A$604,0)),Clients!$A$5:$A$204,0)),HourlyRate),2)))</f>
        <v>0</v>
      </c>
      <c r="Z53" s="39">
        <f>IF(F53="","",IF(U53=0,"Add - no hours recorded",IF(O53="Absent - no show","Action - no show",IF(U53&gt;10,"Check - over ten hours in a day",IF(Q53&lt;&gt;"Yes","Due - needs approving",IF(R53&lt;&gt;"Yes","Due - not paid yet","OK"))))))</f>
        <v>0</v>
      </c>
    </row>
    <row r="54" spans="1:26">
      <c r="A54" s="43">
        <f>IF(F54="","","TS-"&amp;TEXT(ROW()-4,"0000"))</f>
        <v>0</v>
      </c>
      <c r="B54" s="46">
        <v>46296</v>
      </c>
      <c r="C54" s="23">
        <f>IF(B54="","",TEXT(B54,"ddd"))</f>
        <v>0</v>
      </c>
      <c r="D54" s="31">
        <f>IF(B54="","",WEEKNUM(B54,IF(WeekStart="Sunday",1,2)))</f>
        <v>0</v>
      </c>
      <c r="E54" s="23">
        <f>IF(B54="","",TEXT(B54,"yyyy-mm"))</f>
        <v>0</v>
      </c>
      <c r="F54" s="15" t="s">
        <v>608</v>
      </c>
      <c r="G54" s="49" t="s">
        <v>1517</v>
      </c>
      <c r="H54" s="23">
        <f>IF(G54="","",IFERROR(INDEX(Jobs!$H$5:$H$604,MATCH(G54,Jobs!$A$5:$A$604,0)),""))</f>
        <v>0</v>
      </c>
      <c r="I54" s="15" t="s">
        <v>172</v>
      </c>
      <c r="J54" s="52">
        <v>0.770833333333333</v>
      </c>
      <c r="K54" s="52">
        <v>0.868333333333333</v>
      </c>
      <c r="L54" s="16">
        <v>0</v>
      </c>
      <c r="O54" s="45" t="s">
        <v>1471</v>
      </c>
      <c r="P54" s="47" t="s">
        <v>454</v>
      </c>
      <c r="Q54" s="47" t="s">
        <v>454</v>
      </c>
      <c r="R54" s="47" t="s">
        <v>454</v>
      </c>
      <c r="S54" s="44" t="s">
        <v>172</v>
      </c>
      <c r="T54" s="34">
        <f>IF(OR(J54="",K54=""),"",ROUND((K54-J54)*24-IF(L54="",0,L54)/60,2))</f>
        <v>0</v>
      </c>
      <c r="U54" s="34">
        <f>IF(F54="","",IF(M54&lt;&gt;"",M54,IF(T54="",0,T54)))</f>
        <v>0</v>
      </c>
      <c r="V54" s="21">
        <f>IF(F54="","",IFERROR(INDEX(Employees!$U$5:$U$44,MATCH(F54,Employees!$B$5:$B$44,0)),PayRate*(1+EmployerOncost)))</f>
        <v>0</v>
      </c>
      <c r="W54" s="34">
        <f>IF(F54="","",MAX(0,U54-IF(N54="",0,N54)))</f>
        <v>0</v>
      </c>
      <c r="X54" s="21">
        <f>IF(F54="","",ROUND(W54*V54+IF(N54="",0,N54)*V54*OvertimeRate,2))</f>
        <v>0</v>
      </c>
      <c r="Y54" s="21">
        <f>IF(F54="","",IF(P54&lt;&gt;"Yes",0,ROUND(U54*IF(IFERROR(INDEX(Clients!$O$5:$O$204,MATCH(IFERROR(INDEX(Jobs!$G$5:$G$604,MATCH(G54,Jobs!$A$5:$A$604,0)),""),Clients!$A$5:$A$204,0)),0)&gt;0,INDEX(Clients!$O$5:$O$204,MATCH(INDEX(Jobs!$G$5:$G$604,MATCH(G54,Jobs!$A$5:$A$604,0)),Clients!$A$5:$A$204,0)),HourlyRate),2)))</f>
        <v>0</v>
      </c>
      <c r="Z54" s="39">
        <f>IF(F54="","",IF(U54=0,"Add - no hours recorded",IF(O54="Absent - no show","Action - no show",IF(U54&gt;10,"Check - over ten hours in a day",IF(Q54&lt;&gt;"Yes","Due - needs approving",IF(R54&lt;&gt;"Yes","Due - not paid yet","OK"))))))</f>
        <v>0</v>
      </c>
    </row>
    <row r="55" spans="1:26">
      <c r="A55" s="43">
        <f>IF(F55="","","TS-"&amp;TEXT(ROW()-4,"0000"))</f>
        <v>0</v>
      </c>
      <c r="B55" s="46">
        <v>46297</v>
      </c>
      <c r="C55" s="23">
        <f>IF(B55="","",TEXT(B55,"ddd"))</f>
        <v>0</v>
      </c>
      <c r="D55" s="31">
        <f>IF(B55="","",WEEKNUM(B55,IF(WeekStart="Sunday",1,2)))</f>
        <v>0</v>
      </c>
      <c r="E55" s="23">
        <f>IF(B55="","",TEXT(B55,"yyyy-mm"))</f>
        <v>0</v>
      </c>
      <c r="F55" s="15" t="s">
        <v>639</v>
      </c>
      <c r="G55" s="49" t="s">
        <v>1518</v>
      </c>
      <c r="H55" s="23">
        <f>IF(G55="","",IFERROR(INDEX(Jobs!$H$5:$H$604,MATCH(G55,Jobs!$A$5:$A$604,0)),""))</f>
        <v>0</v>
      </c>
      <c r="I55" s="15" t="s">
        <v>172</v>
      </c>
      <c r="J55" s="52">
        <v>0.729166666666667</v>
      </c>
      <c r="K55" s="52">
        <v>0.790833333333333</v>
      </c>
      <c r="L55" s="16">
        <v>0</v>
      </c>
      <c r="O55" s="45" t="s">
        <v>1471</v>
      </c>
      <c r="P55" s="47" t="s">
        <v>454</v>
      </c>
      <c r="Q55" s="47" t="s">
        <v>454</v>
      </c>
      <c r="R55" s="47" t="s">
        <v>454</v>
      </c>
      <c r="S55" s="44" t="s">
        <v>172</v>
      </c>
      <c r="T55" s="34">
        <f>IF(OR(J55="",K55=""),"",ROUND((K55-J55)*24-IF(L55="",0,L55)/60,2))</f>
        <v>0</v>
      </c>
      <c r="U55" s="34">
        <f>IF(F55="","",IF(M55&lt;&gt;"",M55,IF(T55="",0,T55)))</f>
        <v>0</v>
      </c>
      <c r="V55" s="21">
        <f>IF(F55="","",IFERROR(INDEX(Employees!$U$5:$U$44,MATCH(F55,Employees!$B$5:$B$44,0)),PayRate*(1+EmployerOncost)))</f>
        <v>0</v>
      </c>
      <c r="W55" s="34">
        <f>IF(F55="","",MAX(0,U55-IF(N55="",0,N55)))</f>
        <v>0</v>
      </c>
      <c r="X55" s="21">
        <f>IF(F55="","",ROUND(W55*V55+IF(N55="",0,N55)*V55*OvertimeRate,2))</f>
        <v>0</v>
      </c>
      <c r="Y55" s="21">
        <f>IF(F55="","",IF(P55&lt;&gt;"Yes",0,ROUND(U55*IF(IFERROR(INDEX(Clients!$O$5:$O$204,MATCH(IFERROR(INDEX(Jobs!$G$5:$G$604,MATCH(G55,Jobs!$A$5:$A$604,0)),""),Clients!$A$5:$A$204,0)),0)&gt;0,INDEX(Clients!$O$5:$O$204,MATCH(INDEX(Jobs!$G$5:$G$604,MATCH(G55,Jobs!$A$5:$A$604,0)),Clients!$A$5:$A$204,0)),HourlyRate),2)))</f>
        <v>0</v>
      </c>
      <c r="Z55" s="39">
        <f>IF(F55="","",IF(U55=0,"Add - no hours recorded",IF(O55="Absent - no show","Action - no show",IF(U55&gt;10,"Check - over ten hours in a day",IF(Q55&lt;&gt;"Yes","Due - needs approving",IF(R55&lt;&gt;"Yes","Due - not paid yet","OK"))))))</f>
        <v>0</v>
      </c>
    </row>
    <row r="56" spans="1:26">
      <c r="A56" s="43">
        <f>IF(F56="","","TS-"&amp;TEXT(ROW()-4,"0000"))</f>
        <v>0</v>
      </c>
      <c r="B56" s="46">
        <v>46297</v>
      </c>
      <c r="C56" s="23">
        <f>IF(B56="","",TEXT(B56,"ddd"))</f>
        <v>0</v>
      </c>
      <c r="D56" s="31">
        <f>IF(B56="","",WEEKNUM(B56,IF(WeekStart="Sunday",1,2)))</f>
        <v>0</v>
      </c>
      <c r="E56" s="23">
        <f>IF(B56="","",TEXT(B56,"yyyy-mm"))</f>
        <v>0</v>
      </c>
      <c r="F56" s="15" t="s">
        <v>664</v>
      </c>
      <c r="G56" s="49" t="s">
        <v>1518</v>
      </c>
      <c r="H56" s="23">
        <f>IF(G56="","",IFERROR(INDEX(Jobs!$H$5:$H$604,MATCH(G56,Jobs!$A$5:$A$604,0)),""))</f>
        <v>0</v>
      </c>
      <c r="I56" s="15" t="s">
        <v>172</v>
      </c>
      <c r="J56" s="52">
        <v>0.729166666666667</v>
      </c>
      <c r="K56" s="52">
        <v>0.790833333333333</v>
      </c>
      <c r="L56" s="16">
        <v>0</v>
      </c>
      <c r="O56" s="45" t="s">
        <v>1471</v>
      </c>
      <c r="P56" s="47" t="s">
        <v>454</v>
      </c>
      <c r="Q56" s="47" t="s">
        <v>454</v>
      </c>
      <c r="R56" s="47" t="s">
        <v>454</v>
      </c>
      <c r="S56" s="44" t="s">
        <v>172</v>
      </c>
      <c r="T56" s="34">
        <f>IF(OR(J56="",K56=""),"",ROUND((K56-J56)*24-IF(L56="",0,L56)/60,2))</f>
        <v>0</v>
      </c>
      <c r="U56" s="34">
        <f>IF(F56="","",IF(M56&lt;&gt;"",M56,IF(T56="",0,T56)))</f>
        <v>0</v>
      </c>
      <c r="V56" s="21">
        <f>IF(F56="","",IFERROR(INDEX(Employees!$U$5:$U$44,MATCH(F56,Employees!$B$5:$B$44,0)),PayRate*(1+EmployerOncost)))</f>
        <v>0</v>
      </c>
      <c r="W56" s="34">
        <f>IF(F56="","",MAX(0,U56-IF(N56="",0,N56)))</f>
        <v>0</v>
      </c>
      <c r="X56" s="21">
        <f>IF(F56="","",ROUND(W56*V56+IF(N56="",0,N56)*V56*OvertimeRate,2))</f>
        <v>0</v>
      </c>
      <c r="Y56" s="21">
        <f>IF(F56="","",IF(P56&lt;&gt;"Yes",0,ROUND(U56*IF(IFERROR(INDEX(Clients!$O$5:$O$204,MATCH(IFERROR(INDEX(Jobs!$G$5:$G$604,MATCH(G56,Jobs!$A$5:$A$604,0)),""),Clients!$A$5:$A$204,0)),0)&gt;0,INDEX(Clients!$O$5:$O$204,MATCH(INDEX(Jobs!$G$5:$G$604,MATCH(G56,Jobs!$A$5:$A$604,0)),Clients!$A$5:$A$204,0)),HourlyRate),2)))</f>
        <v>0</v>
      </c>
      <c r="Z56" s="39">
        <f>IF(F56="","",IF(U56=0,"Add - no hours recorded",IF(O56="Absent - no show","Action - no show",IF(U56&gt;10,"Check - over ten hours in a day",IF(Q56&lt;&gt;"Yes","Due - needs approving",IF(R56&lt;&gt;"Yes","Due - not paid yet","OK"))))))</f>
        <v>0</v>
      </c>
    </row>
    <row r="57" spans="1:26">
      <c r="A57" s="43">
        <f>IF(F57="","","TS-"&amp;TEXT(ROW()-4,"0000"))</f>
        <v>0</v>
      </c>
      <c r="B57" s="46">
        <v>46297</v>
      </c>
      <c r="C57" s="23">
        <f>IF(B57="","",TEXT(B57,"ddd"))</f>
        <v>0</v>
      </c>
      <c r="D57" s="31">
        <f>IF(B57="","",WEEKNUM(B57,IF(WeekStart="Sunday",1,2)))</f>
        <v>0</v>
      </c>
      <c r="E57" s="23">
        <f>IF(B57="","",TEXT(B57,"yyyy-mm"))</f>
        <v>0</v>
      </c>
      <c r="F57" s="15" t="s">
        <v>608</v>
      </c>
      <c r="G57" s="49" t="s">
        <v>1519</v>
      </c>
      <c r="H57" s="23">
        <f>IF(G57="","",IFERROR(INDEX(Jobs!$H$5:$H$604,MATCH(G57,Jobs!$A$5:$A$604,0)),""))</f>
        <v>0</v>
      </c>
      <c r="I57" s="15" t="s">
        <v>172</v>
      </c>
      <c r="J57" s="52">
        <v>0.75</v>
      </c>
      <c r="K57" s="52">
        <v>0.859583333333333</v>
      </c>
      <c r="L57" s="16">
        <v>0</v>
      </c>
      <c r="O57" s="45" t="s">
        <v>1471</v>
      </c>
      <c r="P57" s="47" t="s">
        <v>454</v>
      </c>
      <c r="Q57" s="47" t="s">
        <v>454</v>
      </c>
      <c r="R57" s="47" t="s">
        <v>454</v>
      </c>
      <c r="S57" s="44" t="s">
        <v>172</v>
      </c>
      <c r="T57" s="34">
        <f>IF(OR(J57="",K57=""),"",ROUND((K57-J57)*24-IF(L57="",0,L57)/60,2))</f>
        <v>0</v>
      </c>
      <c r="U57" s="34">
        <f>IF(F57="","",IF(M57&lt;&gt;"",M57,IF(T57="",0,T57)))</f>
        <v>0</v>
      </c>
      <c r="V57" s="21">
        <f>IF(F57="","",IFERROR(INDEX(Employees!$U$5:$U$44,MATCH(F57,Employees!$B$5:$B$44,0)),PayRate*(1+EmployerOncost)))</f>
        <v>0</v>
      </c>
      <c r="W57" s="34">
        <f>IF(F57="","",MAX(0,U57-IF(N57="",0,N57)))</f>
        <v>0</v>
      </c>
      <c r="X57" s="21">
        <f>IF(F57="","",ROUND(W57*V57+IF(N57="",0,N57)*V57*OvertimeRate,2))</f>
        <v>0</v>
      </c>
      <c r="Y57" s="21">
        <f>IF(F57="","",IF(P57&lt;&gt;"Yes",0,ROUND(U57*IF(IFERROR(INDEX(Clients!$O$5:$O$204,MATCH(IFERROR(INDEX(Jobs!$G$5:$G$604,MATCH(G57,Jobs!$A$5:$A$604,0)),""),Clients!$A$5:$A$204,0)),0)&gt;0,INDEX(Clients!$O$5:$O$204,MATCH(INDEX(Jobs!$G$5:$G$604,MATCH(G57,Jobs!$A$5:$A$604,0)),Clients!$A$5:$A$204,0)),HourlyRate),2)))</f>
        <v>0</v>
      </c>
      <c r="Z57" s="39">
        <f>IF(F57="","",IF(U57=0,"Add - no hours recorded",IF(O57="Absent - no show","Action - no show",IF(U57&gt;10,"Check - over ten hours in a day",IF(Q57&lt;&gt;"Yes","Due - needs approving",IF(R57&lt;&gt;"Yes","Due - not paid yet","OK"))))))</f>
        <v>0</v>
      </c>
    </row>
    <row r="58" spans="1:26">
      <c r="A58" s="43">
        <f>IF(F58="","","TS-"&amp;TEXT(ROW()-4,"0000"))</f>
        <v>0</v>
      </c>
      <c r="B58" s="46">
        <v>46297</v>
      </c>
      <c r="C58" s="23">
        <f>IF(B58="","",TEXT(B58,"ddd"))</f>
        <v>0</v>
      </c>
      <c r="D58" s="31">
        <f>IF(B58="","",WEEKNUM(B58,IF(WeekStart="Sunday",1,2)))</f>
        <v>0</v>
      </c>
      <c r="E58" s="23">
        <f>IF(B58="","",TEXT(B58,"yyyy-mm"))</f>
        <v>0</v>
      </c>
      <c r="F58" s="15" t="s">
        <v>608</v>
      </c>
      <c r="G58" s="49" t="s">
        <v>1520</v>
      </c>
      <c r="H58" s="23">
        <f>IF(G58="","",IFERROR(INDEX(Jobs!$H$5:$H$604,MATCH(G58,Jobs!$A$5:$A$604,0)),""))</f>
        <v>0</v>
      </c>
      <c r="I58" s="15" t="s">
        <v>172</v>
      </c>
      <c r="J58" s="52">
        <v>0.833333333333333</v>
      </c>
      <c r="K58" s="52">
        <v>0.930833333333333</v>
      </c>
      <c r="L58" s="16">
        <v>0</v>
      </c>
      <c r="O58" s="45" t="s">
        <v>1471</v>
      </c>
      <c r="P58" s="47" t="s">
        <v>454</v>
      </c>
      <c r="Q58" s="47" t="s">
        <v>454</v>
      </c>
      <c r="R58" s="47" t="s">
        <v>454</v>
      </c>
      <c r="S58" s="44" t="s">
        <v>172</v>
      </c>
      <c r="T58" s="34">
        <f>IF(OR(J58="",K58=""),"",ROUND((K58-J58)*24-IF(L58="",0,L58)/60,2))</f>
        <v>0</v>
      </c>
      <c r="U58" s="34">
        <f>IF(F58="","",IF(M58&lt;&gt;"",M58,IF(T58="",0,T58)))</f>
        <v>0</v>
      </c>
      <c r="V58" s="21">
        <f>IF(F58="","",IFERROR(INDEX(Employees!$U$5:$U$44,MATCH(F58,Employees!$B$5:$B$44,0)),PayRate*(1+EmployerOncost)))</f>
        <v>0</v>
      </c>
      <c r="W58" s="34">
        <f>IF(F58="","",MAX(0,U58-IF(N58="",0,N58)))</f>
        <v>0</v>
      </c>
      <c r="X58" s="21">
        <f>IF(F58="","",ROUND(W58*V58+IF(N58="",0,N58)*V58*OvertimeRate,2))</f>
        <v>0</v>
      </c>
      <c r="Y58" s="21">
        <f>IF(F58="","",IF(P58&lt;&gt;"Yes",0,ROUND(U58*IF(IFERROR(INDEX(Clients!$O$5:$O$204,MATCH(IFERROR(INDEX(Jobs!$G$5:$G$604,MATCH(G58,Jobs!$A$5:$A$604,0)),""),Clients!$A$5:$A$204,0)),0)&gt;0,INDEX(Clients!$O$5:$O$204,MATCH(INDEX(Jobs!$G$5:$G$604,MATCH(G58,Jobs!$A$5:$A$604,0)),Clients!$A$5:$A$204,0)),HourlyRate),2)))</f>
        <v>0</v>
      </c>
      <c r="Z58" s="39">
        <f>IF(F58="","",IF(U58=0,"Add - no hours recorded",IF(O58="Absent - no show","Action - no show",IF(U58&gt;10,"Check - over ten hours in a day",IF(Q58&lt;&gt;"Yes","Due - needs approving",IF(R58&lt;&gt;"Yes","Due - not paid yet","OK"))))))</f>
        <v>0</v>
      </c>
    </row>
    <row r="59" spans="1:26">
      <c r="A59" s="43">
        <f>IF(F59="","","TS-"&amp;TEXT(ROW()-4,"0000"))</f>
        <v>0</v>
      </c>
      <c r="B59" s="46">
        <v>46298</v>
      </c>
      <c r="C59" s="23">
        <f>IF(B59="","",TEXT(B59,"ddd"))</f>
        <v>0</v>
      </c>
      <c r="D59" s="31">
        <f>IF(B59="","",WEEKNUM(B59,IF(WeekStart="Sunday",1,2)))</f>
        <v>0</v>
      </c>
      <c r="E59" s="23">
        <f>IF(B59="","",TEXT(B59,"yyyy-mm"))</f>
        <v>0</v>
      </c>
      <c r="F59" s="15" t="s">
        <v>596</v>
      </c>
      <c r="G59" s="49" t="s">
        <v>1521</v>
      </c>
      <c r="H59" s="23">
        <f>IF(G59="","",IFERROR(INDEX(Jobs!$H$5:$H$604,MATCH(G59,Jobs!$A$5:$A$604,0)),""))</f>
        <v>0</v>
      </c>
      <c r="I59" s="15" t="s">
        <v>172</v>
      </c>
      <c r="J59" s="52">
        <v>0.458333333333333</v>
      </c>
      <c r="K59" s="52">
        <v>0.54625</v>
      </c>
      <c r="L59" s="16">
        <v>0</v>
      </c>
      <c r="O59" s="45" t="s">
        <v>1471</v>
      </c>
      <c r="P59" s="47" t="s">
        <v>454</v>
      </c>
      <c r="Q59" s="47" t="s">
        <v>454</v>
      </c>
      <c r="R59" s="47" t="s">
        <v>454</v>
      </c>
      <c r="S59" s="44" t="s">
        <v>172</v>
      </c>
      <c r="T59" s="34">
        <f>IF(OR(J59="",K59=""),"",ROUND((K59-J59)*24-IF(L59="",0,L59)/60,2))</f>
        <v>0</v>
      </c>
      <c r="U59" s="34">
        <f>IF(F59="","",IF(M59&lt;&gt;"",M59,IF(T59="",0,T59)))</f>
        <v>0</v>
      </c>
      <c r="V59" s="21">
        <f>IF(F59="","",IFERROR(INDEX(Employees!$U$5:$U$44,MATCH(F59,Employees!$B$5:$B$44,0)),PayRate*(1+EmployerOncost)))</f>
        <v>0</v>
      </c>
      <c r="W59" s="34">
        <f>IF(F59="","",MAX(0,U59-IF(N59="",0,N59)))</f>
        <v>0</v>
      </c>
      <c r="X59" s="21">
        <f>IF(F59="","",ROUND(W59*V59+IF(N59="",0,N59)*V59*OvertimeRate,2))</f>
        <v>0</v>
      </c>
      <c r="Y59" s="21">
        <f>IF(F59="","",IF(P59&lt;&gt;"Yes",0,ROUND(U59*IF(IFERROR(INDEX(Clients!$O$5:$O$204,MATCH(IFERROR(INDEX(Jobs!$G$5:$G$604,MATCH(G59,Jobs!$A$5:$A$604,0)),""),Clients!$A$5:$A$204,0)),0)&gt;0,INDEX(Clients!$O$5:$O$204,MATCH(INDEX(Jobs!$G$5:$G$604,MATCH(G59,Jobs!$A$5:$A$604,0)),Clients!$A$5:$A$204,0)),HourlyRate),2)))</f>
        <v>0</v>
      </c>
      <c r="Z59" s="39">
        <f>IF(F59="","",IF(U59=0,"Add - no hours recorded",IF(O59="Absent - no show","Action - no show",IF(U59&gt;10,"Check - over ten hours in a day",IF(Q59&lt;&gt;"Yes","Due - needs approving",IF(R59&lt;&gt;"Yes","Due - not paid yet","OK"))))))</f>
        <v>0</v>
      </c>
    </row>
    <row r="60" spans="1:26">
      <c r="A60" s="43">
        <f>IF(F60="","","TS-"&amp;TEXT(ROW()-4,"0000"))</f>
        <v>0</v>
      </c>
      <c r="B60" s="46">
        <v>46298</v>
      </c>
      <c r="C60" s="23">
        <f>IF(B60="","",TEXT(B60,"ddd"))</f>
        <v>0</v>
      </c>
      <c r="D60" s="31">
        <f>IF(B60="","",WEEKNUM(B60,IF(WeekStart="Sunday",1,2)))</f>
        <v>0</v>
      </c>
      <c r="E60" s="23">
        <f>IF(B60="","",TEXT(B60,"yyyy-mm"))</f>
        <v>0</v>
      </c>
      <c r="F60" s="15" t="s">
        <v>596</v>
      </c>
      <c r="G60" s="49" t="s">
        <v>1522</v>
      </c>
      <c r="H60" s="23">
        <f>IF(G60="","",IFERROR(INDEX(Jobs!$H$5:$H$604,MATCH(G60,Jobs!$A$5:$A$604,0)),""))</f>
        <v>0</v>
      </c>
      <c r="I60" s="15" t="s">
        <v>172</v>
      </c>
      <c r="J60" s="52">
        <v>0.583333333333333</v>
      </c>
      <c r="K60" s="52">
        <v>0.66</v>
      </c>
      <c r="L60" s="16">
        <v>0</v>
      </c>
      <c r="O60" s="45" t="s">
        <v>1471</v>
      </c>
      <c r="P60" s="47" t="s">
        <v>454</v>
      </c>
      <c r="Q60" s="47" t="s">
        <v>454</v>
      </c>
      <c r="R60" s="47" t="s">
        <v>454</v>
      </c>
      <c r="S60" s="44" t="s">
        <v>172</v>
      </c>
      <c r="T60" s="34">
        <f>IF(OR(J60="",K60=""),"",ROUND((K60-J60)*24-IF(L60="",0,L60)/60,2))</f>
        <v>0</v>
      </c>
      <c r="U60" s="34">
        <f>IF(F60="","",IF(M60&lt;&gt;"",M60,IF(T60="",0,T60)))</f>
        <v>0</v>
      </c>
      <c r="V60" s="21">
        <f>IF(F60="","",IFERROR(INDEX(Employees!$U$5:$U$44,MATCH(F60,Employees!$B$5:$B$44,0)),PayRate*(1+EmployerOncost)))</f>
        <v>0</v>
      </c>
      <c r="W60" s="34">
        <f>IF(F60="","",MAX(0,U60-IF(N60="",0,N60)))</f>
        <v>0</v>
      </c>
      <c r="X60" s="21">
        <f>IF(F60="","",ROUND(W60*V60+IF(N60="",0,N60)*V60*OvertimeRate,2))</f>
        <v>0</v>
      </c>
      <c r="Y60" s="21">
        <f>IF(F60="","",IF(P60&lt;&gt;"Yes",0,ROUND(U60*IF(IFERROR(INDEX(Clients!$O$5:$O$204,MATCH(IFERROR(INDEX(Jobs!$G$5:$G$604,MATCH(G60,Jobs!$A$5:$A$604,0)),""),Clients!$A$5:$A$204,0)),0)&gt;0,INDEX(Clients!$O$5:$O$204,MATCH(INDEX(Jobs!$G$5:$G$604,MATCH(G60,Jobs!$A$5:$A$604,0)),Clients!$A$5:$A$204,0)),HourlyRate),2)))</f>
        <v>0</v>
      </c>
      <c r="Z60" s="39">
        <f>IF(F60="","",IF(U60=0,"Add - no hours recorded",IF(O60="Absent - no show","Action - no show",IF(U60&gt;10,"Check - over ten hours in a day",IF(Q60&lt;&gt;"Yes","Due - needs approving",IF(R60&lt;&gt;"Yes","Due - not paid yet","OK"))))))</f>
        <v>0</v>
      </c>
    </row>
    <row r="61" spans="1:26">
      <c r="A61" s="43">
        <f>IF(F61="","","TS-"&amp;TEXT(ROW()-4,"0000"))</f>
        <v>0</v>
      </c>
      <c r="B61" s="46">
        <v>46299</v>
      </c>
      <c r="C61" s="23">
        <f>IF(B61="","",TEXT(B61,"ddd"))</f>
        <v>0</v>
      </c>
      <c r="D61" s="31">
        <f>IF(B61="","",WEEKNUM(B61,IF(WeekStart="Sunday",1,2)))</f>
        <v>0</v>
      </c>
      <c r="E61" s="23">
        <f>IF(B61="","",TEXT(B61,"yyyy-mm"))</f>
        <v>0</v>
      </c>
      <c r="F61" s="15" t="s">
        <v>639</v>
      </c>
      <c r="G61" s="49" t="s">
        <v>1523</v>
      </c>
      <c r="H61" s="23">
        <f>IF(G61="","",IFERROR(INDEX(Jobs!$H$5:$H$604,MATCH(G61,Jobs!$A$5:$A$604,0)),""))</f>
        <v>0</v>
      </c>
      <c r="I61" s="15" t="s">
        <v>172</v>
      </c>
      <c r="J61" s="52">
        <v>0.291666666666667</v>
      </c>
      <c r="K61" s="52">
        <v>0.37625</v>
      </c>
      <c r="L61" s="16">
        <v>0</v>
      </c>
      <c r="O61" s="45" t="s">
        <v>1471</v>
      </c>
      <c r="P61" s="47" t="s">
        <v>454</v>
      </c>
      <c r="Q61" s="47" t="s">
        <v>454</v>
      </c>
      <c r="R61" s="47" t="s">
        <v>457</v>
      </c>
      <c r="S61" s="44" t="s">
        <v>172</v>
      </c>
      <c r="T61" s="34">
        <f>IF(OR(J61="",K61=""),"",ROUND((K61-J61)*24-IF(L61="",0,L61)/60,2))</f>
        <v>0</v>
      </c>
      <c r="U61" s="34">
        <f>IF(F61="","",IF(M61&lt;&gt;"",M61,IF(T61="",0,T61)))</f>
        <v>0</v>
      </c>
      <c r="V61" s="21">
        <f>IF(F61="","",IFERROR(INDEX(Employees!$U$5:$U$44,MATCH(F61,Employees!$B$5:$B$44,0)),PayRate*(1+EmployerOncost)))</f>
        <v>0</v>
      </c>
      <c r="W61" s="34">
        <f>IF(F61="","",MAX(0,U61-IF(N61="",0,N61)))</f>
        <v>0</v>
      </c>
      <c r="X61" s="21">
        <f>IF(F61="","",ROUND(W61*V61+IF(N61="",0,N61)*V61*OvertimeRate,2))</f>
        <v>0</v>
      </c>
      <c r="Y61" s="21">
        <f>IF(F61="","",IF(P61&lt;&gt;"Yes",0,ROUND(U61*IF(IFERROR(INDEX(Clients!$O$5:$O$204,MATCH(IFERROR(INDEX(Jobs!$G$5:$G$604,MATCH(G61,Jobs!$A$5:$A$604,0)),""),Clients!$A$5:$A$204,0)),0)&gt;0,INDEX(Clients!$O$5:$O$204,MATCH(INDEX(Jobs!$G$5:$G$604,MATCH(G61,Jobs!$A$5:$A$604,0)),Clients!$A$5:$A$204,0)),HourlyRate),2)))</f>
        <v>0</v>
      </c>
      <c r="Z61" s="39">
        <f>IF(F61="","",IF(U61=0,"Add - no hours recorded",IF(O61="Absent - no show","Action - no show",IF(U61&gt;10,"Check - over ten hours in a day",IF(Q61&lt;&gt;"Yes","Due - needs approving",IF(R61&lt;&gt;"Yes","Due - not paid yet","OK"))))))</f>
        <v>0</v>
      </c>
    </row>
    <row r="62" spans="1:26">
      <c r="A62" s="43">
        <f>IF(F62="","","TS-"&amp;TEXT(ROW()-4,"0000"))</f>
        <v>0</v>
      </c>
      <c r="B62" s="46">
        <v>46300</v>
      </c>
      <c r="C62" s="23">
        <f>IF(B62="","",TEXT(B62,"ddd"))</f>
        <v>0</v>
      </c>
      <c r="D62" s="31">
        <f>IF(B62="","",WEEKNUM(B62,IF(WeekStart="Sunday",1,2)))</f>
        <v>0</v>
      </c>
      <c r="E62" s="23">
        <f>IF(B62="","",TEXT(B62,"yyyy-mm"))</f>
        <v>0</v>
      </c>
      <c r="F62" s="15" t="s">
        <v>664</v>
      </c>
      <c r="G62" s="49" t="s">
        <v>1524</v>
      </c>
      <c r="H62" s="23">
        <f>IF(G62="","",IFERROR(INDEX(Jobs!$H$5:$H$604,MATCH(G62,Jobs!$A$5:$A$604,0)),""))</f>
        <v>0</v>
      </c>
      <c r="I62" s="15" t="s">
        <v>172</v>
      </c>
      <c r="J62" s="52">
        <v>0.291666666666667</v>
      </c>
      <c r="K62" s="52">
        <v>0.35875</v>
      </c>
      <c r="L62" s="16">
        <v>0</v>
      </c>
      <c r="O62" s="45" t="s">
        <v>1471</v>
      </c>
      <c r="P62" s="47" t="s">
        <v>454</v>
      </c>
      <c r="Q62" s="47" t="s">
        <v>454</v>
      </c>
      <c r="R62" s="47" t="s">
        <v>457</v>
      </c>
      <c r="S62" s="44" t="s">
        <v>172</v>
      </c>
      <c r="T62" s="34">
        <f>IF(OR(J62="",K62=""),"",ROUND((K62-J62)*24-IF(L62="",0,L62)/60,2))</f>
        <v>0</v>
      </c>
      <c r="U62" s="34">
        <f>IF(F62="","",IF(M62&lt;&gt;"",M62,IF(T62="",0,T62)))</f>
        <v>0</v>
      </c>
      <c r="V62" s="21">
        <f>IF(F62="","",IFERROR(INDEX(Employees!$U$5:$U$44,MATCH(F62,Employees!$B$5:$B$44,0)),PayRate*(1+EmployerOncost)))</f>
        <v>0</v>
      </c>
      <c r="W62" s="34">
        <f>IF(F62="","",MAX(0,U62-IF(N62="",0,N62)))</f>
        <v>0</v>
      </c>
      <c r="X62" s="21">
        <f>IF(F62="","",ROUND(W62*V62+IF(N62="",0,N62)*V62*OvertimeRate,2))</f>
        <v>0</v>
      </c>
      <c r="Y62" s="21">
        <f>IF(F62="","",IF(P62&lt;&gt;"Yes",0,ROUND(U62*IF(IFERROR(INDEX(Clients!$O$5:$O$204,MATCH(IFERROR(INDEX(Jobs!$G$5:$G$604,MATCH(G62,Jobs!$A$5:$A$604,0)),""),Clients!$A$5:$A$204,0)),0)&gt;0,INDEX(Clients!$O$5:$O$204,MATCH(INDEX(Jobs!$G$5:$G$604,MATCH(G62,Jobs!$A$5:$A$604,0)),Clients!$A$5:$A$204,0)),HourlyRate),2)))</f>
        <v>0</v>
      </c>
      <c r="Z62" s="39">
        <f>IF(F62="","",IF(U62=0,"Add - no hours recorded",IF(O62="Absent - no show","Action - no show",IF(U62&gt;10,"Check - over ten hours in a day",IF(Q62&lt;&gt;"Yes","Due - needs approving",IF(R62&lt;&gt;"Yes","Due - not paid yet","OK"))))))</f>
        <v>0</v>
      </c>
    </row>
    <row r="63" spans="1:26">
      <c r="A63" s="43">
        <f>IF(F63="","","TS-"&amp;TEXT(ROW()-4,"0000"))</f>
        <v>0</v>
      </c>
      <c r="B63" s="46">
        <v>46300</v>
      </c>
      <c r="C63" s="23">
        <f>IF(B63="","",TEXT(B63,"ddd"))</f>
        <v>0</v>
      </c>
      <c r="D63" s="31">
        <f>IF(B63="","",WEEKNUM(B63,IF(WeekStart="Sunday",1,2)))</f>
        <v>0</v>
      </c>
      <c r="E63" s="23">
        <f>IF(B63="","",TEXT(B63,"yyyy-mm"))</f>
        <v>0</v>
      </c>
      <c r="F63" s="15" t="s">
        <v>608</v>
      </c>
      <c r="G63" s="49" t="s">
        <v>1525</v>
      </c>
      <c r="H63" s="23">
        <f>IF(G63="","",IFERROR(INDEX(Jobs!$H$5:$H$604,MATCH(G63,Jobs!$A$5:$A$604,0)),""))</f>
        <v>0</v>
      </c>
      <c r="I63" s="15" t="s">
        <v>172</v>
      </c>
      <c r="J63" s="52">
        <v>0.770833333333333</v>
      </c>
      <c r="K63" s="52">
        <v>0.883333333333333</v>
      </c>
      <c r="L63" s="16">
        <v>0</v>
      </c>
      <c r="O63" s="45" t="s">
        <v>1471</v>
      </c>
      <c r="P63" s="47" t="s">
        <v>454</v>
      </c>
      <c r="Q63" s="47" t="s">
        <v>454</v>
      </c>
      <c r="R63" s="47" t="s">
        <v>457</v>
      </c>
      <c r="S63" s="44" t="s">
        <v>172</v>
      </c>
      <c r="T63" s="34">
        <f>IF(OR(J63="",K63=""),"",ROUND((K63-J63)*24-IF(L63="",0,L63)/60,2))</f>
        <v>0</v>
      </c>
      <c r="U63" s="34">
        <f>IF(F63="","",IF(M63&lt;&gt;"",M63,IF(T63="",0,T63)))</f>
        <v>0</v>
      </c>
      <c r="V63" s="21">
        <f>IF(F63="","",IFERROR(INDEX(Employees!$U$5:$U$44,MATCH(F63,Employees!$B$5:$B$44,0)),PayRate*(1+EmployerOncost)))</f>
        <v>0</v>
      </c>
      <c r="W63" s="34">
        <f>IF(F63="","",MAX(0,U63-IF(N63="",0,N63)))</f>
        <v>0</v>
      </c>
      <c r="X63" s="21">
        <f>IF(F63="","",ROUND(W63*V63+IF(N63="",0,N63)*V63*OvertimeRate,2))</f>
        <v>0</v>
      </c>
      <c r="Y63" s="21">
        <f>IF(F63="","",IF(P63&lt;&gt;"Yes",0,ROUND(U63*IF(IFERROR(INDEX(Clients!$O$5:$O$204,MATCH(IFERROR(INDEX(Jobs!$G$5:$G$604,MATCH(G63,Jobs!$A$5:$A$604,0)),""),Clients!$A$5:$A$204,0)),0)&gt;0,INDEX(Clients!$O$5:$O$204,MATCH(INDEX(Jobs!$G$5:$G$604,MATCH(G63,Jobs!$A$5:$A$604,0)),Clients!$A$5:$A$204,0)),HourlyRate),2)))</f>
        <v>0</v>
      </c>
      <c r="Z63" s="39">
        <f>IF(F63="","",IF(U63=0,"Add - no hours recorded",IF(O63="Absent - no show","Action - no show",IF(U63&gt;10,"Check - over ten hours in a day",IF(Q63&lt;&gt;"Yes","Due - needs approving",IF(R63&lt;&gt;"Yes","Due - not paid yet","OK"))))))</f>
        <v>0</v>
      </c>
    </row>
    <row r="64" spans="1:26">
      <c r="A64" s="43">
        <f>IF(F64="","","TS-"&amp;TEXT(ROW()-4,"0000"))</f>
        <v>0</v>
      </c>
      <c r="B64" s="46">
        <v>46301</v>
      </c>
      <c r="C64" s="23">
        <f>IF(B64="","",TEXT(B64,"ddd"))</f>
        <v>0</v>
      </c>
      <c r="D64" s="31">
        <f>IF(B64="","",WEEKNUM(B64,IF(WeekStart="Sunday",1,2)))</f>
        <v>0</v>
      </c>
      <c r="E64" s="23">
        <f>IF(B64="","",TEXT(B64,"yyyy-mm"))</f>
        <v>0</v>
      </c>
      <c r="F64" s="15" t="s">
        <v>584</v>
      </c>
      <c r="G64" s="49" t="s">
        <v>1526</v>
      </c>
      <c r="H64" s="23">
        <f>IF(G64="","",IFERROR(INDEX(Jobs!$H$5:$H$604,MATCH(G64,Jobs!$A$5:$A$604,0)),""))</f>
        <v>0</v>
      </c>
      <c r="I64" s="15" t="s">
        <v>172</v>
      </c>
      <c r="J64" s="52">
        <v>0.375</v>
      </c>
      <c r="K64" s="52">
        <v>0.505</v>
      </c>
      <c r="L64" s="16">
        <v>0</v>
      </c>
      <c r="O64" s="45" t="s">
        <v>1471</v>
      </c>
      <c r="P64" s="47" t="s">
        <v>454</v>
      </c>
      <c r="Q64" s="47" t="s">
        <v>454</v>
      </c>
      <c r="R64" s="47" t="s">
        <v>457</v>
      </c>
      <c r="S64" s="44" t="s">
        <v>172</v>
      </c>
      <c r="T64" s="34">
        <f>IF(OR(J64="",K64=""),"",ROUND((K64-J64)*24-IF(L64="",0,L64)/60,2))</f>
        <v>0</v>
      </c>
      <c r="U64" s="34">
        <f>IF(F64="","",IF(M64&lt;&gt;"",M64,IF(T64="",0,T64)))</f>
        <v>0</v>
      </c>
      <c r="V64" s="21">
        <f>IF(F64="","",IFERROR(INDEX(Employees!$U$5:$U$44,MATCH(F64,Employees!$B$5:$B$44,0)),PayRate*(1+EmployerOncost)))</f>
        <v>0</v>
      </c>
      <c r="W64" s="34">
        <f>IF(F64="","",MAX(0,U64-IF(N64="",0,N64)))</f>
        <v>0</v>
      </c>
      <c r="X64" s="21">
        <f>IF(F64="","",ROUND(W64*V64+IF(N64="",0,N64)*V64*OvertimeRate,2))</f>
        <v>0</v>
      </c>
      <c r="Y64" s="21">
        <f>IF(F64="","",IF(P64&lt;&gt;"Yes",0,ROUND(U64*IF(IFERROR(INDEX(Clients!$O$5:$O$204,MATCH(IFERROR(INDEX(Jobs!$G$5:$G$604,MATCH(G64,Jobs!$A$5:$A$604,0)),""),Clients!$A$5:$A$204,0)),0)&gt;0,INDEX(Clients!$O$5:$O$204,MATCH(INDEX(Jobs!$G$5:$G$604,MATCH(G64,Jobs!$A$5:$A$604,0)),Clients!$A$5:$A$204,0)),HourlyRate),2)))</f>
        <v>0</v>
      </c>
      <c r="Z64" s="39">
        <f>IF(F64="","",IF(U64=0,"Add - no hours recorded",IF(O64="Absent - no show","Action - no show",IF(U64&gt;10,"Check - over ten hours in a day",IF(Q64&lt;&gt;"Yes","Due - needs approving",IF(R64&lt;&gt;"Yes","Due - not paid yet","OK"))))))</f>
        <v>0</v>
      </c>
    </row>
    <row r="65" spans="1:26">
      <c r="A65" s="43">
        <f>IF(F65="","","TS-"&amp;TEXT(ROW()-4,"0000"))</f>
        <v>0</v>
      </c>
      <c r="B65" s="46">
        <v>46301</v>
      </c>
      <c r="C65" s="23">
        <f>IF(B65="","",TEXT(B65,"ddd"))</f>
        <v>0</v>
      </c>
      <c r="D65" s="31">
        <f>IF(B65="","",WEEKNUM(B65,IF(WeekStart="Sunday",1,2)))</f>
        <v>0</v>
      </c>
      <c r="E65" s="23">
        <f>IF(B65="","",TEXT(B65,"yyyy-mm"))</f>
        <v>0</v>
      </c>
      <c r="F65" s="15" t="s">
        <v>584</v>
      </c>
      <c r="G65" s="49" t="s">
        <v>1527</v>
      </c>
      <c r="H65" s="23">
        <f>IF(G65="","",IFERROR(INDEX(Jobs!$H$5:$H$604,MATCH(G65,Jobs!$A$5:$A$604,0)),""))</f>
        <v>0</v>
      </c>
      <c r="I65" s="15" t="s">
        <v>172</v>
      </c>
      <c r="J65" s="52">
        <v>0.583333333333333</v>
      </c>
      <c r="K65" s="52">
        <v>0.71625</v>
      </c>
      <c r="L65" s="16">
        <v>0</v>
      </c>
      <c r="O65" s="45" t="s">
        <v>1471</v>
      </c>
      <c r="P65" s="47" t="s">
        <v>454</v>
      </c>
      <c r="Q65" s="47" t="s">
        <v>454</v>
      </c>
      <c r="R65" s="47" t="s">
        <v>457</v>
      </c>
      <c r="S65" s="44" t="s">
        <v>172</v>
      </c>
      <c r="T65" s="34">
        <f>IF(OR(J65="",K65=""),"",ROUND((K65-J65)*24-IF(L65="",0,L65)/60,2))</f>
        <v>0</v>
      </c>
      <c r="U65" s="34">
        <f>IF(F65="","",IF(M65&lt;&gt;"",M65,IF(T65="",0,T65)))</f>
        <v>0</v>
      </c>
      <c r="V65" s="21">
        <f>IF(F65="","",IFERROR(INDEX(Employees!$U$5:$U$44,MATCH(F65,Employees!$B$5:$B$44,0)),PayRate*(1+EmployerOncost)))</f>
        <v>0</v>
      </c>
      <c r="W65" s="34">
        <f>IF(F65="","",MAX(0,U65-IF(N65="",0,N65)))</f>
        <v>0</v>
      </c>
      <c r="X65" s="21">
        <f>IF(F65="","",ROUND(W65*V65+IF(N65="",0,N65)*V65*OvertimeRate,2))</f>
        <v>0</v>
      </c>
      <c r="Y65" s="21">
        <f>IF(F65="","",IF(P65&lt;&gt;"Yes",0,ROUND(U65*IF(IFERROR(INDEX(Clients!$O$5:$O$204,MATCH(IFERROR(INDEX(Jobs!$G$5:$G$604,MATCH(G65,Jobs!$A$5:$A$604,0)),""),Clients!$A$5:$A$204,0)),0)&gt;0,INDEX(Clients!$O$5:$O$204,MATCH(INDEX(Jobs!$G$5:$G$604,MATCH(G65,Jobs!$A$5:$A$604,0)),Clients!$A$5:$A$204,0)),HourlyRate),2)))</f>
        <v>0</v>
      </c>
      <c r="Z65" s="39">
        <f>IF(F65="","",IF(U65=0,"Add - no hours recorded",IF(O65="Absent - no show","Action - no show",IF(U65&gt;10,"Check - over ten hours in a day",IF(Q65&lt;&gt;"Yes","Due - needs approving",IF(R65&lt;&gt;"Yes","Due - not paid yet","OK"))))))</f>
        <v>0</v>
      </c>
    </row>
    <row r="66" spans="1:26">
      <c r="A66" s="43">
        <f>IF(F66="","","TS-"&amp;TEXT(ROW()-4,"0000"))</f>
        <v>0</v>
      </c>
      <c r="B66" s="46">
        <v>46302</v>
      </c>
      <c r="C66" s="23">
        <f>IF(B66="","",TEXT(B66,"ddd"))</f>
        <v>0</v>
      </c>
      <c r="D66" s="31">
        <f>IF(B66="","",WEEKNUM(B66,IF(WeekStart="Sunday",1,2)))</f>
        <v>0</v>
      </c>
      <c r="E66" s="23">
        <f>IF(B66="","",TEXT(B66,"yyyy-mm"))</f>
        <v>0</v>
      </c>
      <c r="F66" s="15" t="s">
        <v>596</v>
      </c>
      <c r="G66" s="49" t="s">
        <v>1528</v>
      </c>
      <c r="H66" s="23">
        <f>IF(G66="","",IFERROR(INDEX(Jobs!$H$5:$H$604,MATCH(G66,Jobs!$A$5:$A$604,0)),""))</f>
        <v>0</v>
      </c>
      <c r="I66" s="15" t="s">
        <v>172</v>
      </c>
      <c r="J66" s="52">
        <v>0.395833333333333</v>
      </c>
      <c r="K66" s="52">
        <v>0.511666666666667</v>
      </c>
      <c r="L66" s="16">
        <v>0</v>
      </c>
      <c r="O66" s="45" t="s">
        <v>1471</v>
      </c>
      <c r="P66" s="47" t="s">
        <v>454</v>
      </c>
      <c r="Q66" s="47" t="s">
        <v>454</v>
      </c>
      <c r="R66" s="47" t="s">
        <v>457</v>
      </c>
      <c r="S66" s="44" t="s">
        <v>172</v>
      </c>
      <c r="T66" s="34">
        <f>IF(OR(J66="",K66=""),"",ROUND((K66-J66)*24-IF(L66="",0,L66)/60,2))</f>
        <v>0</v>
      </c>
      <c r="U66" s="34">
        <f>IF(F66="","",IF(M66&lt;&gt;"",M66,IF(T66="",0,T66)))</f>
        <v>0</v>
      </c>
      <c r="V66" s="21">
        <f>IF(F66="","",IFERROR(INDEX(Employees!$U$5:$U$44,MATCH(F66,Employees!$B$5:$B$44,0)),PayRate*(1+EmployerOncost)))</f>
        <v>0</v>
      </c>
      <c r="W66" s="34">
        <f>IF(F66="","",MAX(0,U66-IF(N66="",0,N66)))</f>
        <v>0</v>
      </c>
      <c r="X66" s="21">
        <f>IF(F66="","",ROUND(W66*V66+IF(N66="",0,N66)*V66*OvertimeRate,2))</f>
        <v>0</v>
      </c>
      <c r="Y66" s="21">
        <f>IF(F66="","",IF(P66&lt;&gt;"Yes",0,ROUND(U66*IF(IFERROR(INDEX(Clients!$O$5:$O$204,MATCH(IFERROR(INDEX(Jobs!$G$5:$G$604,MATCH(G66,Jobs!$A$5:$A$604,0)),""),Clients!$A$5:$A$204,0)),0)&gt;0,INDEX(Clients!$O$5:$O$204,MATCH(INDEX(Jobs!$G$5:$G$604,MATCH(G66,Jobs!$A$5:$A$604,0)),Clients!$A$5:$A$204,0)),HourlyRate),2)))</f>
        <v>0</v>
      </c>
      <c r="Z66" s="39">
        <f>IF(F66="","",IF(U66=0,"Add - no hours recorded",IF(O66="Absent - no show","Action - no show",IF(U66&gt;10,"Check - over ten hours in a day",IF(Q66&lt;&gt;"Yes","Due - needs approving",IF(R66&lt;&gt;"Yes","Due - not paid yet","OK"))))))</f>
        <v>0</v>
      </c>
    </row>
    <row r="67" spans="1:26">
      <c r="A67" s="43">
        <f>IF(F67="","","TS-"&amp;TEXT(ROW()-4,"0000"))</f>
        <v>0</v>
      </c>
      <c r="B67" s="46">
        <v>46302</v>
      </c>
      <c r="C67" s="23">
        <f>IF(B67="","",TEXT(B67,"ddd"))</f>
        <v>0</v>
      </c>
      <c r="D67" s="31">
        <f>IF(B67="","",WEEKNUM(B67,IF(WeekStart="Sunday",1,2)))</f>
        <v>0</v>
      </c>
      <c r="E67" s="23">
        <f>IF(B67="","",TEXT(B67,"yyyy-mm"))</f>
        <v>0</v>
      </c>
      <c r="F67" s="15" t="s">
        <v>664</v>
      </c>
      <c r="G67" s="49" t="s">
        <v>1529</v>
      </c>
      <c r="H67" s="23">
        <f>IF(G67="","",IFERROR(INDEX(Jobs!$H$5:$H$604,MATCH(G67,Jobs!$A$5:$A$604,0)),""))</f>
        <v>0</v>
      </c>
      <c r="I67" s="15" t="s">
        <v>172</v>
      </c>
      <c r="J67" s="52">
        <v>0.583333333333333</v>
      </c>
      <c r="K67" s="52">
        <v>0.64375</v>
      </c>
      <c r="L67" s="16">
        <v>0</v>
      </c>
      <c r="O67" s="45" t="s">
        <v>1471</v>
      </c>
      <c r="P67" s="47" t="s">
        <v>454</v>
      </c>
      <c r="Q67" s="47" t="s">
        <v>454</v>
      </c>
      <c r="R67" s="47" t="s">
        <v>457</v>
      </c>
      <c r="S67" s="44" t="s">
        <v>172</v>
      </c>
      <c r="T67" s="34">
        <f>IF(OR(J67="",K67=""),"",ROUND((K67-J67)*24-IF(L67="",0,L67)/60,2))</f>
        <v>0</v>
      </c>
      <c r="U67" s="34">
        <f>IF(F67="","",IF(M67&lt;&gt;"",M67,IF(T67="",0,T67)))</f>
        <v>0</v>
      </c>
      <c r="V67" s="21">
        <f>IF(F67="","",IFERROR(INDEX(Employees!$U$5:$U$44,MATCH(F67,Employees!$B$5:$B$44,0)),PayRate*(1+EmployerOncost)))</f>
        <v>0</v>
      </c>
      <c r="W67" s="34">
        <f>IF(F67="","",MAX(0,U67-IF(N67="",0,N67)))</f>
        <v>0</v>
      </c>
      <c r="X67" s="21">
        <f>IF(F67="","",ROUND(W67*V67+IF(N67="",0,N67)*V67*OvertimeRate,2))</f>
        <v>0</v>
      </c>
      <c r="Y67" s="21">
        <f>IF(F67="","",IF(P67&lt;&gt;"Yes",0,ROUND(U67*IF(IFERROR(INDEX(Clients!$O$5:$O$204,MATCH(IFERROR(INDEX(Jobs!$G$5:$G$604,MATCH(G67,Jobs!$A$5:$A$604,0)),""),Clients!$A$5:$A$204,0)),0)&gt;0,INDEX(Clients!$O$5:$O$204,MATCH(INDEX(Jobs!$G$5:$G$604,MATCH(G67,Jobs!$A$5:$A$604,0)),Clients!$A$5:$A$204,0)),HourlyRate),2)))</f>
        <v>0</v>
      </c>
      <c r="Z67" s="39">
        <f>IF(F67="","",IF(U67=0,"Add - no hours recorded",IF(O67="Absent - no show","Action - no show",IF(U67&gt;10,"Check - over ten hours in a day",IF(Q67&lt;&gt;"Yes","Due - needs approving",IF(R67&lt;&gt;"Yes","Due - not paid yet","OK"))))))</f>
        <v>0</v>
      </c>
    </row>
    <row r="68" spans="1:26">
      <c r="A68" s="43">
        <f>IF(F68="","","TS-"&amp;TEXT(ROW()-4,"0000"))</f>
        <v>0</v>
      </c>
      <c r="B68" s="46">
        <v>46302</v>
      </c>
      <c r="C68" s="23">
        <f>IF(B68="","",TEXT(B68,"ddd"))</f>
        <v>0</v>
      </c>
      <c r="D68" s="31">
        <f>IF(B68="","",WEEKNUM(B68,IF(WeekStart="Sunday",1,2)))</f>
        <v>0</v>
      </c>
      <c r="E68" s="23">
        <f>IF(B68="","",TEXT(B68,"yyyy-mm"))</f>
        <v>0</v>
      </c>
      <c r="F68" s="15" t="s">
        <v>664</v>
      </c>
      <c r="G68" s="49" t="s">
        <v>1530</v>
      </c>
      <c r="H68" s="23">
        <f>IF(G68="","",IFERROR(INDEX(Jobs!$H$5:$H$604,MATCH(G68,Jobs!$A$5:$A$604,0)),""))</f>
        <v>0</v>
      </c>
      <c r="I68" s="15" t="s">
        <v>172</v>
      </c>
      <c r="J68" s="52">
        <v>0.645833333333333</v>
      </c>
      <c r="K68" s="52">
        <v>0.72</v>
      </c>
      <c r="L68" s="16">
        <v>0</v>
      </c>
      <c r="O68" s="45" t="s">
        <v>1471</v>
      </c>
      <c r="P68" s="47" t="s">
        <v>454</v>
      </c>
      <c r="Q68" s="47" t="s">
        <v>454</v>
      </c>
      <c r="R68" s="47" t="s">
        <v>457</v>
      </c>
      <c r="S68" s="44" t="s">
        <v>172</v>
      </c>
      <c r="T68" s="34">
        <f>IF(OR(J68="",K68=""),"",ROUND((K68-J68)*24-IF(L68="",0,L68)/60,2))</f>
        <v>0</v>
      </c>
      <c r="U68" s="34">
        <f>IF(F68="","",IF(M68&lt;&gt;"",M68,IF(T68="",0,T68)))</f>
        <v>0</v>
      </c>
      <c r="V68" s="21">
        <f>IF(F68="","",IFERROR(INDEX(Employees!$U$5:$U$44,MATCH(F68,Employees!$B$5:$B$44,0)),PayRate*(1+EmployerOncost)))</f>
        <v>0</v>
      </c>
      <c r="W68" s="34">
        <f>IF(F68="","",MAX(0,U68-IF(N68="",0,N68)))</f>
        <v>0</v>
      </c>
      <c r="X68" s="21">
        <f>IF(F68="","",ROUND(W68*V68+IF(N68="",0,N68)*V68*OvertimeRate,2))</f>
        <v>0</v>
      </c>
      <c r="Y68" s="21">
        <f>IF(F68="","",IF(P68&lt;&gt;"Yes",0,ROUND(U68*IF(IFERROR(INDEX(Clients!$O$5:$O$204,MATCH(IFERROR(INDEX(Jobs!$G$5:$G$604,MATCH(G68,Jobs!$A$5:$A$604,0)),""),Clients!$A$5:$A$204,0)),0)&gt;0,INDEX(Clients!$O$5:$O$204,MATCH(INDEX(Jobs!$G$5:$G$604,MATCH(G68,Jobs!$A$5:$A$604,0)),Clients!$A$5:$A$204,0)),HourlyRate),2)))</f>
        <v>0</v>
      </c>
      <c r="Z68" s="39">
        <f>IF(F68="","",IF(U68=0,"Add - no hours recorded",IF(O68="Absent - no show","Action - no show",IF(U68&gt;10,"Check - over ten hours in a day",IF(Q68&lt;&gt;"Yes","Due - needs approving",IF(R68&lt;&gt;"Yes","Due - not paid yet","OK"))))))</f>
        <v>0</v>
      </c>
    </row>
    <row r="69" spans="1:26">
      <c r="A69" s="43">
        <f>IF(F69="","","TS-"&amp;TEXT(ROW()-4,"0000"))</f>
        <v>0</v>
      </c>
      <c r="B69" s="46">
        <v>46303</v>
      </c>
      <c r="C69" s="23">
        <f>IF(B69="","",TEXT(B69,"ddd"))</f>
        <v>0</v>
      </c>
      <c r="D69" s="31">
        <f>IF(B69="","",WEEKNUM(B69,IF(WeekStart="Sunday",1,2)))</f>
        <v>0</v>
      </c>
      <c r="E69" s="23">
        <f>IF(B69="","",TEXT(B69,"yyyy-mm"))</f>
        <v>0</v>
      </c>
      <c r="F69" s="15" t="s">
        <v>664</v>
      </c>
      <c r="G69" s="49" t="s">
        <v>1531</v>
      </c>
      <c r="H69" s="23">
        <f>IF(G69="","",IFERROR(INDEX(Jobs!$H$5:$H$604,MATCH(G69,Jobs!$A$5:$A$604,0)),""))</f>
        <v>0</v>
      </c>
      <c r="I69" s="15" t="s">
        <v>172</v>
      </c>
      <c r="J69" s="52">
        <v>0.291666666666667</v>
      </c>
      <c r="K69" s="52">
        <v>0.369166666666667</v>
      </c>
      <c r="L69" s="16">
        <v>0</v>
      </c>
      <c r="O69" s="45" t="s">
        <v>1471</v>
      </c>
      <c r="P69" s="47" t="s">
        <v>454</v>
      </c>
      <c r="Q69" s="47" t="s">
        <v>454</v>
      </c>
      <c r="R69" s="47" t="s">
        <v>457</v>
      </c>
      <c r="S69" s="44" t="s">
        <v>172</v>
      </c>
      <c r="T69" s="34">
        <f>IF(OR(J69="",K69=""),"",ROUND((K69-J69)*24-IF(L69="",0,L69)/60,2))</f>
        <v>0</v>
      </c>
      <c r="U69" s="34">
        <f>IF(F69="","",IF(M69&lt;&gt;"",M69,IF(T69="",0,T69)))</f>
        <v>0</v>
      </c>
      <c r="V69" s="21">
        <f>IF(F69="","",IFERROR(INDEX(Employees!$U$5:$U$44,MATCH(F69,Employees!$B$5:$B$44,0)),PayRate*(1+EmployerOncost)))</f>
        <v>0</v>
      </c>
      <c r="W69" s="34">
        <f>IF(F69="","",MAX(0,U69-IF(N69="",0,N69)))</f>
        <v>0</v>
      </c>
      <c r="X69" s="21">
        <f>IF(F69="","",ROUND(W69*V69+IF(N69="",0,N69)*V69*OvertimeRate,2))</f>
        <v>0</v>
      </c>
      <c r="Y69" s="21">
        <f>IF(F69="","",IF(P69&lt;&gt;"Yes",0,ROUND(U69*IF(IFERROR(INDEX(Clients!$O$5:$O$204,MATCH(IFERROR(INDEX(Jobs!$G$5:$G$604,MATCH(G69,Jobs!$A$5:$A$604,0)),""),Clients!$A$5:$A$204,0)),0)&gt;0,INDEX(Clients!$O$5:$O$204,MATCH(INDEX(Jobs!$G$5:$G$604,MATCH(G69,Jobs!$A$5:$A$604,0)),Clients!$A$5:$A$204,0)),HourlyRate),2)))</f>
        <v>0</v>
      </c>
      <c r="Z69" s="39">
        <f>IF(F69="","",IF(U69=0,"Add - no hours recorded",IF(O69="Absent - no show","Action - no show",IF(U69&gt;10,"Check - over ten hours in a day",IF(Q69&lt;&gt;"Yes","Due - needs approving",IF(R69&lt;&gt;"Yes","Due - not paid yet","OK"))))))</f>
        <v>0</v>
      </c>
    </row>
    <row r="70" spans="1:26">
      <c r="A70" s="43">
        <f>IF(F70="","","TS-"&amp;TEXT(ROW()-4,"0000"))</f>
        <v>0</v>
      </c>
      <c r="B70" s="46">
        <v>46303</v>
      </c>
      <c r="C70" s="23">
        <f>IF(B70="","",TEXT(B70,"ddd"))</f>
        <v>0</v>
      </c>
      <c r="D70" s="31">
        <f>IF(B70="","",WEEKNUM(B70,IF(WeekStart="Sunday",1,2)))</f>
        <v>0</v>
      </c>
      <c r="E70" s="23">
        <f>IF(B70="","",TEXT(B70,"yyyy-mm"))</f>
        <v>0</v>
      </c>
      <c r="F70" s="15" t="s">
        <v>627</v>
      </c>
      <c r="G70" s="49" t="s">
        <v>1532</v>
      </c>
      <c r="H70" s="23">
        <f>IF(G70="","",IFERROR(INDEX(Jobs!$H$5:$H$604,MATCH(G70,Jobs!$A$5:$A$604,0)),""))</f>
        <v>0</v>
      </c>
      <c r="I70" s="15" t="s">
        <v>172</v>
      </c>
      <c r="J70" s="52">
        <v>0.541666666666667</v>
      </c>
      <c r="K70" s="52">
        <v>0.596666666666667</v>
      </c>
      <c r="L70" s="16">
        <v>0</v>
      </c>
      <c r="O70" s="45" t="s">
        <v>1471</v>
      </c>
      <c r="P70" s="47" t="s">
        <v>454</v>
      </c>
      <c r="Q70" s="47" t="s">
        <v>454</v>
      </c>
      <c r="R70" s="47" t="s">
        <v>457</v>
      </c>
      <c r="S70" s="44" t="s">
        <v>172</v>
      </c>
      <c r="T70" s="34">
        <f>IF(OR(J70="",K70=""),"",ROUND((K70-J70)*24-IF(L70="",0,L70)/60,2))</f>
        <v>0</v>
      </c>
      <c r="U70" s="34">
        <f>IF(F70="","",IF(M70&lt;&gt;"",M70,IF(T70="",0,T70)))</f>
        <v>0</v>
      </c>
      <c r="V70" s="21">
        <f>IF(F70="","",IFERROR(INDEX(Employees!$U$5:$U$44,MATCH(F70,Employees!$B$5:$B$44,0)),PayRate*(1+EmployerOncost)))</f>
        <v>0</v>
      </c>
      <c r="W70" s="34">
        <f>IF(F70="","",MAX(0,U70-IF(N70="",0,N70)))</f>
        <v>0</v>
      </c>
      <c r="X70" s="21">
        <f>IF(F70="","",ROUND(W70*V70+IF(N70="",0,N70)*V70*OvertimeRate,2))</f>
        <v>0</v>
      </c>
      <c r="Y70" s="21">
        <f>IF(F70="","",IF(P70&lt;&gt;"Yes",0,ROUND(U70*IF(IFERROR(INDEX(Clients!$O$5:$O$204,MATCH(IFERROR(INDEX(Jobs!$G$5:$G$604,MATCH(G70,Jobs!$A$5:$A$604,0)),""),Clients!$A$5:$A$204,0)),0)&gt;0,INDEX(Clients!$O$5:$O$204,MATCH(INDEX(Jobs!$G$5:$G$604,MATCH(G70,Jobs!$A$5:$A$604,0)),Clients!$A$5:$A$204,0)),HourlyRate),2)))</f>
        <v>0</v>
      </c>
      <c r="Z70" s="39">
        <f>IF(F70="","",IF(U70=0,"Add - no hours recorded",IF(O70="Absent - no show","Action - no show",IF(U70&gt;10,"Check - over ten hours in a day",IF(Q70&lt;&gt;"Yes","Due - needs approving",IF(R70&lt;&gt;"Yes","Due - not paid yet","OK"))))))</f>
        <v>0</v>
      </c>
    </row>
    <row r="71" spans="1:26">
      <c r="A71" s="43">
        <f>IF(F71="","","TS-"&amp;TEXT(ROW()-4,"0000"))</f>
        <v>0</v>
      </c>
      <c r="B71" s="46">
        <v>46303</v>
      </c>
      <c r="C71" s="23">
        <f>IF(B71="","",TEXT(B71,"ddd"))</f>
        <v>0</v>
      </c>
      <c r="D71" s="31">
        <f>IF(B71="","",WEEKNUM(B71,IF(WeekStart="Sunday",1,2)))</f>
        <v>0</v>
      </c>
      <c r="E71" s="23">
        <f>IF(B71="","",TEXT(B71,"yyyy-mm"))</f>
        <v>0</v>
      </c>
      <c r="F71" s="15" t="s">
        <v>596</v>
      </c>
      <c r="G71" s="49" t="s">
        <v>1533</v>
      </c>
      <c r="H71" s="23">
        <f>IF(G71="","",IFERROR(INDEX(Jobs!$H$5:$H$604,MATCH(G71,Jobs!$A$5:$A$604,0)),""))</f>
        <v>0</v>
      </c>
      <c r="I71" s="15" t="s">
        <v>172</v>
      </c>
      <c r="J71" s="52">
        <v>0.583333333333333</v>
      </c>
      <c r="K71" s="52">
        <v>0.726666666666667</v>
      </c>
      <c r="L71" s="16">
        <v>0</v>
      </c>
      <c r="O71" s="45" t="s">
        <v>1471</v>
      </c>
      <c r="P71" s="47" t="s">
        <v>454</v>
      </c>
      <c r="Q71" s="47" t="s">
        <v>454</v>
      </c>
      <c r="R71" s="47" t="s">
        <v>457</v>
      </c>
      <c r="S71" s="44" t="s">
        <v>172</v>
      </c>
      <c r="T71" s="34">
        <f>IF(OR(J71="",K71=""),"",ROUND((K71-J71)*24-IF(L71="",0,L71)/60,2))</f>
        <v>0</v>
      </c>
      <c r="U71" s="34">
        <f>IF(F71="","",IF(M71&lt;&gt;"",M71,IF(T71="",0,T71)))</f>
        <v>0</v>
      </c>
      <c r="V71" s="21">
        <f>IF(F71="","",IFERROR(INDEX(Employees!$U$5:$U$44,MATCH(F71,Employees!$B$5:$B$44,0)),PayRate*(1+EmployerOncost)))</f>
        <v>0</v>
      </c>
      <c r="W71" s="34">
        <f>IF(F71="","",MAX(0,U71-IF(N71="",0,N71)))</f>
        <v>0</v>
      </c>
      <c r="X71" s="21">
        <f>IF(F71="","",ROUND(W71*V71+IF(N71="",0,N71)*V71*OvertimeRate,2))</f>
        <v>0</v>
      </c>
      <c r="Y71" s="21">
        <f>IF(F71="","",IF(P71&lt;&gt;"Yes",0,ROUND(U71*IF(IFERROR(INDEX(Clients!$O$5:$O$204,MATCH(IFERROR(INDEX(Jobs!$G$5:$G$604,MATCH(G71,Jobs!$A$5:$A$604,0)),""),Clients!$A$5:$A$204,0)),0)&gt;0,INDEX(Clients!$O$5:$O$204,MATCH(INDEX(Jobs!$G$5:$G$604,MATCH(G71,Jobs!$A$5:$A$604,0)),Clients!$A$5:$A$204,0)),HourlyRate),2)))</f>
        <v>0</v>
      </c>
      <c r="Z71" s="39">
        <f>IF(F71="","",IF(U71=0,"Add - no hours recorded",IF(O71="Absent - no show","Action - no show",IF(U71&gt;10,"Check - over ten hours in a day",IF(Q71&lt;&gt;"Yes","Due - needs approving",IF(R71&lt;&gt;"Yes","Due - not paid yet","OK"))))))</f>
        <v>0</v>
      </c>
    </row>
    <row r="72" spans="1:26">
      <c r="A72" s="43">
        <f>IF(F72="","","TS-"&amp;TEXT(ROW()-4,"0000"))</f>
        <v>0</v>
      </c>
      <c r="B72" s="46">
        <v>46303</v>
      </c>
      <c r="C72" s="23">
        <f>IF(B72="","",TEXT(B72,"ddd"))</f>
        <v>0</v>
      </c>
      <c r="D72" s="31">
        <f>IF(B72="","",WEEKNUM(B72,IF(WeekStart="Sunday",1,2)))</f>
        <v>0</v>
      </c>
      <c r="E72" s="23">
        <f>IF(B72="","",TEXT(B72,"yyyy-mm"))</f>
        <v>0</v>
      </c>
      <c r="F72" s="15" t="s">
        <v>608</v>
      </c>
      <c r="G72" s="49" t="s">
        <v>1534</v>
      </c>
      <c r="H72" s="23">
        <f>IF(G72="","",IFERROR(INDEX(Jobs!$H$5:$H$604,MATCH(G72,Jobs!$A$5:$A$604,0)),""))</f>
        <v>0</v>
      </c>
      <c r="I72" s="15" t="s">
        <v>172</v>
      </c>
      <c r="J72" s="52">
        <v>0.770833333333333</v>
      </c>
      <c r="K72" s="52">
        <v>0.877916666666667</v>
      </c>
      <c r="L72" s="16">
        <v>0</v>
      </c>
      <c r="O72" s="45" t="s">
        <v>1471</v>
      </c>
      <c r="P72" s="47" t="s">
        <v>454</v>
      </c>
      <c r="Q72" s="47" t="s">
        <v>454</v>
      </c>
      <c r="R72" s="47" t="s">
        <v>457</v>
      </c>
      <c r="S72" s="44" t="s">
        <v>172</v>
      </c>
      <c r="T72" s="34">
        <f>IF(OR(J72="",K72=""),"",ROUND((K72-J72)*24-IF(L72="",0,L72)/60,2))</f>
        <v>0</v>
      </c>
      <c r="U72" s="34">
        <f>IF(F72="","",IF(M72&lt;&gt;"",M72,IF(T72="",0,T72)))</f>
        <v>0</v>
      </c>
      <c r="V72" s="21">
        <f>IF(F72="","",IFERROR(INDEX(Employees!$U$5:$U$44,MATCH(F72,Employees!$B$5:$B$44,0)),PayRate*(1+EmployerOncost)))</f>
        <v>0</v>
      </c>
      <c r="W72" s="34">
        <f>IF(F72="","",MAX(0,U72-IF(N72="",0,N72)))</f>
        <v>0</v>
      </c>
      <c r="X72" s="21">
        <f>IF(F72="","",ROUND(W72*V72+IF(N72="",0,N72)*V72*OvertimeRate,2))</f>
        <v>0</v>
      </c>
      <c r="Y72" s="21">
        <f>IF(F72="","",IF(P72&lt;&gt;"Yes",0,ROUND(U72*IF(IFERROR(INDEX(Clients!$O$5:$O$204,MATCH(IFERROR(INDEX(Jobs!$G$5:$G$604,MATCH(G72,Jobs!$A$5:$A$604,0)),""),Clients!$A$5:$A$204,0)),0)&gt;0,INDEX(Clients!$O$5:$O$204,MATCH(INDEX(Jobs!$G$5:$G$604,MATCH(G72,Jobs!$A$5:$A$604,0)),Clients!$A$5:$A$204,0)),HourlyRate),2)))</f>
        <v>0</v>
      </c>
      <c r="Z72" s="39">
        <f>IF(F72="","",IF(U72=0,"Add - no hours recorded",IF(O72="Absent - no show","Action - no show",IF(U72&gt;10,"Check - over ten hours in a day",IF(Q72&lt;&gt;"Yes","Due - needs approving",IF(R72&lt;&gt;"Yes","Due - not paid yet","OK"))))))</f>
        <v>0</v>
      </c>
    </row>
    <row r="73" spans="1:26">
      <c r="A73" s="43">
        <f>IF(F73="","","TS-"&amp;TEXT(ROW()-4,"0000"))</f>
        <v>0</v>
      </c>
      <c r="B73" s="46">
        <v>46304</v>
      </c>
      <c r="C73" s="23">
        <f>IF(B73="","",TEXT(B73,"ddd"))</f>
        <v>0</v>
      </c>
      <c r="D73" s="31">
        <f>IF(B73="","",WEEKNUM(B73,IF(WeekStart="Sunday",1,2)))</f>
        <v>0</v>
      </c>
      <c r="E73" s="23">
        <f>IF(B73="","",TEXT(B73,"yyyy-mm"))</f>
        <v>0</v>
      </c>
      <c r="F73" s="15" t="s">
        <v>639</v>
      </c>
      <c r="G73" s="49" t="s">
        <v>1535</v>
      </c>
      <c r="H73" s="23">
        <f>IF(G73="","",IFERROR(INDEX(Jobs!$H$5:$H$604,MATCH(G73,Jobs!$A$5:$A$604,0)),""))</f>
        <v>0</v>
      </c>
      <c r="I73" s="15" t="s">
        <v>172</v>
      </c>
      <c r="J73" s="52">
        <v>0.729166666666667</v>
      </c>
      <c r="K73" s="52">
        <v>0.8025</v>
      </c>
      <c r="L73" s="16">
        <v>0</v>
      </c>
      <c r="O73" s="45" t="s">
        <v>1471</v>
      </c>
      <c r="P73" s="47" t="s">
        <v>454</v>
      </c>
      <c r="Q73" s="47" t="s">
        <v>454</v>
      </c>
      <c r="R73" s="47" t="s">
        <v>457</v>
      </c>
      <c r="S73" s="44" t="s">
        <v>172</v>
      </c>
      <c r="T73" s="34">
        <f>IF(OR(J73="",K73=""),"",ROUND((K73-J73)*24-IF(L73="",0,L73)/60,2))</f>
        <v>0</v>
      </c>
      <c r="U73" s="34">
        <f>IF(F73="","",IF(M73&lt;&gt;"",M73,IF(T73="",0,T73)))</f>
        <v>0</v>
      </c>
      <c r="V73" s="21">
        <f>IF(F73="","",IFERROR(INDEX(Employees!$U$5:$U$44,MATCH(F73,Employees!$B$5:$B$44,0)),PayRate*(1+EmployerOncost)))</f>
        <v>0</v>
      </c>
      <c r="W73" s="34">
        <f>IF(F73="","",MAX(0,U73-IF(N73="",0,N73)))</f>
        <v>0</v>
      </c>
      <c r="X73" s="21">
        <f>IF(F73="","",ROUND(W73*V73+IF(N73="",0,N73)*V73*OvertimeRate,2))</f>
        <v>0</v>
      </c>
      <c r="Y73" s="21">
        <f>IF(F73="","",IF(P73&lt;&gt;"Yes",0,ROUND(U73*IF(IFERROR(INDEX(Clients!$O$5:$O$204,MATCH(IFERROR(INDEX(Jobs!$G$5:$G$604,MATCH(G73,Jobs!$A$5:$A$604,0)),""),Clients!$A$5:$A$204,0)),0)&gt;0,INDEX(Clients!$O$5:$O$204,MATCH(INDEX(Jobs!$G$5:$G$604,MATCH(G73,Jobs!$A$5:$A$604,0)),Clients!$A$5:$A$204,0)),HourlyRate),2)))</f>
        <v>0</v>
      </c>
      <c r="Z73" s="39">
        <f>IF(F73="","",IF(U73=0,"Add - no hours recorded",IF(O73="Absent - no show","Action - no show",IF(U73&gt;10,"Check - over ten hours in a day",IF(Q73&lt;&gt;"Yes","Due - needs approving",IF(R73&lt;&gt;"Yes","Due - not paid yet","OK"))))))</f>
        <v>0</v>
      </c>
    </row>
    <row r="74" spans="1:26">
      <c r="A74" s="43">
        <f>IF(F74="","","TS-"&amp;TEXT(ROW()-4,"0000"))</f>
        <v>0</v>
      </c>
      <c r="B74" s="46">
        <v>46304</v>
      </c>
      <c r="C74" s="23">
        <f>IF(B74="","",TEXT(B74,"ddd"))</f>
        <v>0</v>
      </c>
      <c r="D74" s="31">
        <f>IF(B74="","",WEEKNUM(B74,IF(WeekStart="Sunday",1,2)))</f>
        <v>0</v>
      </c>
      <c r="E74" s="23">
        <f>IF(B74="","",TEXT(B74,"yyyy-mm"))</f>
        <v>0</v>
      </c>
      <c r="F74" s="15" t="s">
        <v>664</v>
      </c>
      <c r="G74" s="49" t="s">
        <v>1535</v>
      </c>
      <c r="H74" s="23">
        <f>IF(G74="","",IFERROR(INDEX(Jobs!$H$5:$H$604,MATCH(G74,Jobs!$A$5:$A$604,0)),""))</f>
        <v>0</v>
      </c>
      <c r="I74" s="15" t="s">
        <v>172</v>
      </c>
      <c r="J74" s="52">
        <v>0.729166666666667</v>
      </c>
      <c r="K74" s="52">
        <v>0.8025</v>
      </c>
      <c r="L74" s="16">
        <v>0</v>
      </c>
      <c r="O74" s="45" t="s">
        <v>1471</v>
      </c>
      <c r="P74" s="47" t="s">
        <v>454</v>
      </c>
      <c r="Q74" s="47" t="s">
        <v>454</v>
      </c>
      <c r="R74" s="47" t="s">
        <v>457</v>
      </c>
      <c r="S74" s="44" t="s">
        <v>172</v>
      </c>
      <c r="T74" s="34">
        <f>IF(OR(J74="",K74=""),"",ROUND((K74-J74)*24-IF(L74="",0,L74)/60,2))</f>
        <v>0</v>
      </c>
      <c r="U74" s="34">
        <f>IF(F74="","",IF(M74&lt;&gt;"",M74,IF(T74="",0,T74)))</f>
        <v>0</v>
      </c>
      <c r="V74" s="21">
        <f>IF(F74="","",IFERROR(INDEX(Employees!$U$5:$U$44,MATCH(F74,Employees!$B$5:$B$44,0)),PayRate*(1+EmployerOncost)))</f>
        <v>0</v>
      </c>
      <c r="W74" s="34">
        <f>IF(F74="","",MAX(0,U74-IF(N74="",0,N74)))</f>
        <v>0</v>
      </c>
      <c r="X74" s="21">
        <f>IF(F74="","",ROUND(W74*V74+IF(N74="",0,N74)*V74*OvertimeRate,2))</f>
        <v>0</v>
      </c>
      <c r="Y74" s="21">
        <f>IF(F74="","",IF(P74&lt;&gt;"Yes",0,ROUND(U74*IF(IFERROR(INDEX(Clients!$O$5:$O$204,MATCH(IFERROR(INDEX(Jobs!$G$5:$G$604,MATCH(G74,Jobs!$A$5:$A$604,0)),""),Clients!$A$5:$A$204,0)),0)&gt;0,INDEX(Clients!$O$5:$O$204,MATCH(INDEX(Jobs!$G$5:$G$604,MATCH(G74,Jobs!$A$5:$A$604,0)),Clients!$A$5:$A$204,0)),HourlyRate),2)))</f>
        <v>0</v>
      </c>
      <c r="Z74" s="39">
        <f>IF(F74="","",IF(U74=0,"Add - no hours recorded",IF(O74="Absent - no show","Action - no show",IF(U74&gt;10,"Check - over ten hours in a day",IF(Q74&lt;&gt;"Yes","Due - needs approving",IF(R74&lt;&gt;"Yes","Due - not paid yet","OK"))))))</f>
        <v>0</v>
      </c>
    </row>
    <row r="75" spans="1:26">
      <c r="A75" s="43">
        <f>IF(F75="","","TS-"&amp;TEXT(ROW()-4,"0000"))</f>
        <v>0</v>
      </c>
      <c r="B75" s="46">
        <v>46304</v>
      </c>
      <c r="C75" s="23">
        <f>IF(B75="","",TEXT(B75,"ddd"))</f>
        <v>0</v>
      </c>
      <c r="D75" s="31">
        <f>IF(B75="","",WEEKNUM(B75,IF(WeekStart="Sunday",1,2)))</f>
        <v>0</v>
      </c>
      <c r="E75" s="23">
        <f>IF(B75="","",TEXT(B75,"yyyy-mm"))</f>
        <v>0</v>
      </c>
      <c r="F75" s="15" t="s">
        <v>608</v>
      </c>
      <c r="G75" s="49" t="s">
        <v>1536</v>
      </c>
      <c r="H75" s="23">
        <f>IF(G75="","",IFERROR(INDEX(Jobs!$H$5:$H$604,MATCH(G75,Jobs!$A$5:$A$604,0)),""))</f>
        <v>0</v>
      </c>
      <c r="I75" s="15" t="s">
        <v>172</v>
      </c>
      <c r="J75" s="52">
        <v>0.75</v>
      </c>
      <c r="K75" s="52">
        <v>0.839583333333333</v>
      </c>
      <c r="L75" s="16">
        <v>0</v>
      </c>
      <c r="O75" s="45" t="s">
        <v>1451</v>
      </c>
      <c r="P75" s="47" t="s">
        <v>454</v>
      </c>
      <c r="Q75" s="47" t="s">
        <v>454</v>
      </c>
      <c r="R75" s="47" t="s">
        <v>457</v>
      </c>
      <c r="S75" s="44" t="s">
        <v>1481</v>
      </c>
      <c r="T75" s="34">
        <f>IF(OR(J75="",K75=""),"",ROUND((K75-J75)*24-IF(L75="",0,L75)/60,2))</f>
        <v>0</v>
      </c>
      <c r="U75" s="34">
        <f>IF(F75="","",IF(M75&lt;&gt;"",M75,IF(T75="",0,T75)))</f>
        <v>0</v>
      </c>
      <c r="V75" s="21">
        <f>IF(F75="","",IFERROR(INDEX(Employees!$U$5:$U$44,MATCH(F75,Employees!$B$5:$B$44,0)),PayRate*(1+EmployerOncost)))</f>
        <v>0</v>
      </c>
      <c r="W75" s="34">
        <f>IF(F75="","",MAX(0,U75-IF(N75="",0,N75)))</f>
        <v>0</v>
      </c>
      <c r="X75" s="21">
        <f>IF(F75="","",ROUND(W75*V75+IF(N75="",0,N75)*V75*OvertimeRate,2))</f>
        <v>0</v>
      </c>
      <c r="Y75" s="21">
        <f>IF(F75="","",IF(P75&lt;&gt;"Yes",0,ROUND(U75*IF(IFERROR(INDEX(Clients!$O$5:$O$204,MATCH(IFERROR(INDEX(Jobs!$G$5:$G$604,MATCH(G75,Jobs!$A$5:$A$604,0)),""),Clients!$A$5:$A$204,0)),0)&gt;0,INDEX(Clients!$O$5:$O$204,MATCH(INDEX(Jobs!$G$5:$G$604,MATCH(G75,Jobs!$A$5:$A$604,0)),Clients!$A$5:$A$204,0)),HourlyRate),2)))</f>
        <v>0</v>
      </c>
      <c r="Z75" s="39">
        <f>IF(F75="","",IF(U75=0,"Add - no hours recorded",IF(O75="Absent - no show","Action - no show",IF(U75&gt;10,"Check - over ten hours in a day",IF(Q75&lt;&gt;"Yes","Due - needs approving",IF(R75&lt;&gt;"Yes","Due - not paid yet","OK"))))))</f>
        <v>0</v>
      </c>
    </row>
    <row r="76" spans="1:26">
      <c r="A76" s="43">
        <f>IF(F76="","","TS-"&amp;TEXT(ROW()-4,"0000"))</f>
        <v>0</v>
      </c>
      <c r="B76" s="46">
        <v>46304</v>
      </c>
      <c r="C76" s="23">
        <f>IF(B76="","",TEXT(B76,"ddd"))</f>
        <v>0</v>
      </c>
      <c r="D76" s="31">
        <f>IF(B76="","",WEEKNUM(B76,IF(WeekStart="Sunday",1,2)))</f>
        <v>0</v>
      </c>
      <c r="E76" s="23">
        <f>IF(B76="","",TEXT(B76,"yyyy-mm"))</f>
        <v>0</v>
      </c>
      <c r="F76" s="15" t="s">
        <v>608</v>
      </c>
      <c r="G76" s="49" t="s">
        <v>1537</v>
      </c>
      <c r="H76" s="23">
        <f>IF(G76="","",IFERROR(INDEX(Jobs!$H$5:$H$604,MATCH(G76,Jobs!$A$5:$A$604,0)),""))</f>
        <v>0</v>
      </c>
      <c r="I76" s="15" t="s">
        <v>172</v>
      </c>
      <c r="J76" s="52">
        <v>0.833333333333333</v>
      </c>
      <c r="K76" s="52">
        <v>0.912083333333333</v>
      </c>
      <c r="L76" s="16">
        <v>0</v>
      </c>
      <c r="O76" s="45" t="s">
        <v>1471</v>
      </c>
      <c r="P76" s="47" t="s">
        <v>454</v>
      </c>
      <c r="Q76" s="47" t="s">
        <v>454</v>
      </c>
      <c r="R76" s="47" t="s">
        <v>457</v>
      </c>
      <c r="S76" s="44" t="s">
        <v>172</v>
      </c>
      <c r="T76" s="34">
        <f>IF(OR(J76="",K76=""),"",ROUND((K76-J76)*24-IF(L76="",0,L76)/60,2))</f>
        <v>0</v>
      </c>
      <c r="U76" s="34">
        <f>IF(F76="","",IF(M76&lt;&gt;"",M76,IF(T76="",0,T76)))</f>
        <v>0</v>
      </c>
      <c r="V76" s="21">
        <f>IF(F76="","",IFERROR(INDEX(Employees!$U$5:$U$44,MATCH(F76,Employees!$B$5:$B$44,0)),PayRate*(1+EmployerOncost)))</f>
        <v>0</v>
      </c>
      <c r="W76" s="34">
        <f>IF(F76="","",MAX(0,U76-IF(N76="",0,N76)))</f>
        <v>0</v>
      </c>
      <c r="X76" s="21">
        <f>IF(F76="","",ROUND(W76*V76+IF(N76="",0,N76)*V76*OvertimeRate,2))</f>
        <v>0</v>
      </c>
      <c r="Y76" s="21">
        <f>IF(F76="","",IF(P76&lt;&gt;"Yes",0,ROUND(U76*IF(IFERROR(INDEX(Clients!$O$5:$O$204,MATCH(IFERROR(INDEX(Jobs!$G$5:$G$604,MATCH(G76,Jobs!$A$5:$A$604,0)),""),Clients!$A$5:$A$204,0)),0)&gt;0,INDEX(Clients!$O$5:$O$204,MATCH(INDEX(Jobs!$G$5:$G$604,MATCH(G76,Jobs!$A$5:$A$604,0)),Clients!$A$5:$A$204,0)),HourlyRate),2)))</f>
        <v>0</v>
      </c>
      <c r="Z76" s="39">
        <f>IF(F76="","",IF(U76=0,"Add - no hours recorded",IF(O76="Absent - no show","Action - no show",IF(U76&gt;10,"Check - over ten hours in a day",IF(Q76&lt;&gt;"Yes","Due - needs approving",IF(R76&lt;&gt;"Yes","Due - not paid yet","OK"))))))</f>
        <v>0</v>
      </c>
    </row>
    <row r="77" spans="1:26">
      <c r="A77" s="43">
        <f>IF(F77="","","TS-"&amp;TEXT(ROW()-4,"0000"))</f>
        <v>0</v>
      </c>
      <c r="B77" s="46">
        <v>46305</v>
      </c>
      <c r="C77" s="23">
        <f>IF(B77="","",TEXT(B77,"ddd"))</f>
        <v>0</v>
      </c>
      <c r="D77" s="31">
        <f>IF(B77="","",WEEKNUM(B77,IF(WeekStart="Sunday",1,2)))</f>
        <v>0</v>
      </c>
      <c r="E77" s="23">
        <f>IF(B77="","",TEXT(B77,"yyyy-mm"))</f>
        <v>0</v>
      </c>
      <c r="F77" s="15" t="s">
        <v>627</v>
      </c>
      <c r="G77" s="49" t="s">
        <v>1538</v>
      </c>
      <c r="H77" s="23">
        <f>IF(G77="","",IFERROR(INDEX(Jobs!$H$5:$H$604,MATCH(G77,Jobs!$A$5:$A$604,0)),""))</f>
        <v>0</v>
      </c>
      <c r="I77" s="15" t="s">
        <v>172</v>
      </c>
      <c r="J77" s="52">
        <v>0.354166666666667</v>
      </c>
      <c r="K77" s="52">
        <v>0.5175</v>
      </c>
      <c r="L77" s="16">
        <v>0</v>
      </c>
      <c r="O77" s="45" t="s">
        <v>1471</v>
      </c>
      <c r="P77" s="47" t="s">
        <v>454</v>
      </c>
      <c r="Q77" s="47" t="s">
        <v>454</v>
      </c>
      <c r="R77" s="47" t="s">
        <v>457</v>
      </c>
      <c r="S77" s="44" t="s">
        <v>172</v>
      </c>
      <c r="T77" s="34">
        <f>IF(OR(J77="",K77=""),"",ROUND((K77-J77)*24-IF(L77="",0,L77)/60,2))</f>
        <v>0</v>
      </c>
      <c r="U77" s="34">
        <f>IF(F77="","",IF(M77&lt;&gt;"",M77,IF(T77="",0,T77)))</f>
        <v>0</v>
      </c>
      <c r="V77" s="21">
        <f>IF(F77="","",IFERROR(INDEX(Employees!$U$5:$U$44,MATCH(F77,Employees!$B$5:$B$44,0)),PayRate*(1+EmployerOncost)))</f>
        <v>0</v>
      </c>
      <c r="W77" s="34">
        <f>IF(F77="","",MAX(0,U77-IF(N77="",0,N77)))</f>
        <v>0</v>
      </c>
      <c r="X77" s="21">
        <f>IF(F77="","",ROUND(W77*V77+IF(N77="",0,N77)*V77*OvertimeRate,2))</f>
        <v>0</v>
      </c>
      <c r="Y77" s="21">
        <f>IF(F77="","",IF(P77&lt;&gt;"Yes",0,ROUND(U77*IF(IFERROR(INDEX(Clients!$O$5:$O$204,MATCH(IFERROR(INDEX(Jobs!$G$5:$G$604,MATCH(G77,Jobs!$A$5:$A$604,0)),""),Clients!$A$5:$A$204,0)),0)&gt;0,INDEX(Clients!$O$5:$O$204,MATCH(INDEX(Jobs!$G$5:$G$604,MATCH(G77,Jobs!$A$5:$A$604,0)),Clients!$A$5:$A$204,0)),HourlyRate),2)))</f>
        <v>0</v>
      </c>
      <c r="Z77" s="39">
        <f>IF(F77="","",IF(U77=0,"Add - no hours recorded",IF(O77="Absent - no show","Action - no show",IF(U77&gt;10,"Check - over ten hours in a day",IF(Q77&lt;&gt;"Yes","Due - needs approving",IF(R77&lt;&gt;"Yes","Due - not paid yet","OK"))))))</f>
        <v>0</v>
      </c>
    </row>
    <row r="78" spans="1:26">
      <c r="A78" s="43">
        <f>IF(F78="","","TS-"&amp;TEXT(ROW()-4,"0000"))</f>
        <v>0</v>
      </c>
      <c r="B78" s="46">
        <v>46305</v>
      </c>
      <c r="C78" s="23">
        <f>IF(B78="","",TEXT(B78,"ddd"))</f>
        <v>0</v>
      </c>
      <c r="D78" s="31">
        <f>IF(B78="","",WEEKNUM(B78,IF(WeekStart="Sunday",1,2)))</f>
        <v>0</v>
      </c>
      <c r="E78" s="23">
        <f>IF(B78="","",TEXT(B78,"yyyy-mm"))</f>
        <v>0</v>
      </c>
      <c r="F78" s="15" t="s">
        <v>639</v>
      </c>
      <c r="G78" s="49" t="s">
        <v>1538</v>
      </c>
      <c r="H78" s="23">
        <f>IF(G78="","",IFERROR(INDEX(Jobs!$H$5:$H$604,MATCH(G78,Jobs!$A$5:$A$604,0)),""))</f>
        <v>0</v>
      </c>
      <c r="I78" s="15" t="s">
        <v>172</v>
      </c>
      <c r="J78" s="52">
        <v>0.354166666666667</v>
      </c>
      <c r="K78" s="52">
        <v>0.5175</v>
      </c>
      <c r="L78" s="16">
        <v>0</v>
      </c>
      <c r="O78" s="45" t="s">
        <v>1471</v>
      </c>
      <c r="P78" s="47" t="s">
        <v>454</v>
      </c>
      <c r="Q78" s="47" t="s">
        <v>454</v>
      </c>
      <c r="R78" s="47" t="s">
        <v>457</v>
      </c>
      <c r="S78" s="44" t="s">
        <v>172</v>
      </c>
      <c r="T78" s="34">
        <f>IF(OR(J78="",K78=""),"",ROUND((K78-J78)*24-IF(L78="",0,L78)/60,2))</f>
        <v>0</v>
      </c>
      <c r="U78" s="34">
        <f>IF(F78="","",IF(M78&lt;&gt;"",M78,IF(T78="",0,T78)))</f>
        <v>0</v>
      </c>
      <c r="V78" s="21">
        <f>IF(F78="","",IFERROR(INDEX(Employees!$U$5:$U$44,MATCH(F78,Employees!$B$5:$B$44,0)),PayRate*(1+EmployerOncost)))</f>
        <v>0</v>
      </c>
      <c r="W78" s="34">
        <f>IF(F78="","",MAX(0,U78-IF(N78="",0,N78)))</f>
        <v>0</v>
      </c>
      <c r="X78" s="21">
        <f>IF(F78="","",ROUND(W78*V78+IF(N78="",0,N78)*V78*OvertimeRate,2))</f>
        <v>0</v>
      </c>
      <c r="Y78" s="21">
        <f>IF(F78="","",IF(P78&lt;&gt;"Yes",0,ROUND(U78*IF(IFERROR(INDEX(Clients!$O$5:$O$204,MATCH(IFERROR(INDEX(Jobs!$G$5:$G$604,MATCH(G78,Jobs!$A$5:$A$604,0)),""),Clients!$A$5:$A$204,0)),0)&gt;0,INDEX(Clients!$O$5:$O$204,MATCH(INDEX(Jobs!$G$5:$G$604,MATCH(G78,Jobs!$A$5:$A$604,0)),Clients!$A$5:$A$204,0)),HourlyRate),2)))</f>
        <v>0</v>
      </c>
      <c r="Z78" s="39">
        <f>IF(F78="","",IF(U78=0,"Add - no hours recorded",IF(O78="Absent - no show","Action - no show",IF(U78&gt;10,"Check - over ten hours in a day",IF(Q78&lt;&gt;"Yes","Due - needs approving",IF(R78&lt;&gt;"Yes","Due - not paid yet","OK"))))))</f>
        <v>0</v>
      </c>
    </row>
    <row r="79" spans="1:26">
      <c r="A79" s="43">
        <f>IF(F79="","","TS-"&amp;TEXT(ROW()-4,"0000"))</f>
        <v>0</v>
      </c>
      <c r="B79" s="46">
        <v>46305</v>
      </c>
      <c r="C79" s="23">
        <f>IF(B79="","",TEXT(B79,"ddd"))</f>
        <v>0</v>
      </c>
      <c r="D79" s="31">
        <f>IF(B79="","",WEEKNUM(B79,IF(WeekStart="Sunday",1,2)))</f>
        <v>0</v>
      </c>
      <c r="E79" s="23">
        <f>IF(B79="","",TEXT(B79,"yyyy-mm"))</f>
        <v>0</v>
      </c>
      <c r="F79" s="15" t="s">
        <v>596</v>
      </c>
      <c r="G79" s="49" t="s">
        <v>1539</v>
      </c>
      <c r="H79" s="23">
        <f>IF(G79="","",IFERROR(INDEX(Jobs!$H$5:$H$604,MATCH(G79,Jobs!$A$5:$A$604,0)),""))</f>
        <v>0</v>
      </c>
      <c r="I79" s="15" t="s">
        <v>172</v>
      </c>
      <c r="J79" s="52">
        <v>0.458333333333333</v>
      </c>
      <c r="K79" s="52">
        <v>0.537083333333333</v>
      </c>
      <c r="L79" s="16">
        <v>0</v>
      </c>
      <c r="O79" s="45" t="s">
        <v>1471</v>
      </c>
      <c r="P79" s="47" t="s">
        <v>454</v>
      </c>
      <c r="Q79" s="47" t="s">
        <v>454</v>
      </c>
      <c r="R79" s="47" t="s">
        <v>457</v>
      </c>
      <c r="S79" s="44" t="s">
        <v>172</v>
      </c>
      <c r="T79" s="34">
        <f>IF(OR(J79="",K79=""),"",ROUND((K79-J79)*24-IF(L79="",0,L79)/60,2))</f>
        <v>0</v>
      </c>
      <c r="U79" s="34">
        <f>IF(F79="","",IF(M79&lt;&gt;"",M79,IF(T79="",0,T79)))</f>
        <v>0</v>
      </c>
      <c r="V79" s="21">
        <f>IF(F79="","",IFERROR(INDEX(Employees!$U$5:$U$44,MATCH(F79,Employees!$B$5:$B$44,0)),PayRate*(1+EmployerOncost)))</f>
        <v>0</v>
      </c>
      <c r="W79" s="34">
        <f>IF(F79="","",MAX(0,U79-IF(N79="",0,N79)))</f>
        <v>0</v>
      </c>
      <c r="X79" s="21">
        <f>IF(F79="","",ROUND(W79*V79+IF(N79="",0,N79)*V79*OvertimeRate,2))</f>
        <v>0</v>
      </c>
      <c r="Y79" s="21">
        <f>IF(F79="","",IF(P79&lt;&gt;"Yes",0,ROUND(U79*IF(IFERROR(INDEX(Clients!$O$5:$O$204,MATCH(IFERROR(INDEX(Jobs!$G$5:$G$604,MATCH(G79,Jobs!$A$5:$A$604,0)),""),Clients!$A$5:$A$204,0)),0)&gt;0,INDEX(Clients!$O$5:$O$204,MATCH(INDEX(Jobs!$G$5:$G$604,MATCH(G79,Jobs!$A$5:$A$604,0)),Clients!$A$5:$A$204,0)),HourlyRate),2)))</f>
        <v>0</v>
      </c>
      <c r="Z79" s="39">
        <f>IF(F79="","",IF(U79=0,"Add - no hours recorded",IF(O79="Absent - no show","Action - no show",IF(U79&gt;10,"Check - over ten hours in a day",IF(Q79&lt;&gt;"Yes","Due - needs approving",IF(R79&lt;&gt;"Yes","Due - not paid yet","OK"))))))</f>
        <v>0</v>
      </c>
    </row>
    <row r="80" spans="1:26">
      <c r="A80" s="43">
        <f>IF(F80="","","TS-"&amp;TEXT(ROW()-4,"0000"))</f>
        <v>0</v>
      </c>
      <c r="B80" s="46">
        <v>46305</v>
      </c>
      <c r="C80" s="23">
        <f>IF(B80="","",TEXT(B80,"ddd"))</f>
        <v>0</v>
      </c>
      <c r="D80" s="31">
        <f>IF(B80="","",WEEKNUM(B80,IF(WeekStart="Sunday",1,2)))</f>
        <v>0</v>
      </c>
      <c r="E80" s="23">
        <f>IF(B80="","",TEXT(B80,"yyyy-mm"))</f>
        <v>0</v>
      </c>
      <c r="F80" s="15" t="s">
        <v>596</v>
      </c>
      <c r="G80" s="49" t="s">
        <v>1540</v>
      </c>
      <c r="H80" s="23">
        <f>IF(G80="","",IFERROR(INDEX(Jobs!$H$5:$H$604,MATCH(G80,Jobs!$A$5:$A$604,0)),""))</f>
        <v>0</v>
      </c>
      <c r="I80" s="15" t="s">
        <v>172</v>
      </c>
      <c r="J80" s="52">
        <v>0.583333333333333</v>
      </c>
      <c r="K80" s="52">
        <v>0.662083333333333</v>
      </c>
      <c r="L80" s="16">
        <v>0</v>
      </c>
      <c r="O80" s="45" t="s">
        <v>1471</v>
      </c>
      <c r="P80" s="47" t="s">
        <v>454</v>
      </c>
      <c r="Q80" s="47" t="s">
        <v>454</v>
      </c>
      <c r="R80" s="47" t="s">
        <v>457</v>
      </c>
      <c r="S80" s="44" t="s">
        <v>172</v>
      </c>
      <c r="T80" s="34">
        <f>IF(OR(J80="",K80=""),"",ROUND((K80-J80)*24-IF(L80="",0,L80)/60,2))</f>
        <v>0</v>
      </c>
      <c r="U80" s="34">
        <f>IF(F80="","",IF(M80&lt;&gt;"",M80,IF(T80="",0,T80)))</f>
        <v>0</v>
      </c>
      <c r="V80" s="21">
        <f>IF(F80="","",IFERROR(INDEX(Employees!$U$5:$U$44,MATCH(F80,Employees!$B$5:$B$44,0)),PayRate*(1+EmployerOncost)))</f>
        <v>0</v>
      </c>
      <c r="W80" s="34">
        <f>IF(F80="","",MAX(0,U80-IF(N80="",0,N80)))</f>
        <v>0</v>
      </c>
      <c r="X80" s="21">
        <f>IF(F80="","",ROUND(W80*V80+IF(N80="",0,N80)*V80*OvertimeRate,2))</f>
        <v>0</v>
      </c>
      <c r="Y80" s="21">
        <f>IF(F80="","",IF(P80&lt;&gt;"Yes",0,ROUND(U80*IF(IFERROR(INDEX(Clients!$O$5:$O$204,MATCH(IFERROR(INDEX(Jobs!$G$5:$G$604,MATCH(G80,Jobs!$A$5:$A$604,0)),""),Clients!$A$5:$A$204,0)),0)&gt;0,INDEX(Clients!$O$5:$O$204,MATCH(INDEX(Jobs!$G$5:$G$604,MATCH(G80,Jobs!$A$5:$A$604,0)),Clients!$A$5:$A$204,0)),HourlyRate),2)))</f>
        <v>0</v>
      </c>
      <c r="Z80" s="39">
        <f>IF(F80="","",IF(U80=0,"Add - no hours recorded",IF(O80="Absent - no show","Action - no show",IF(U80&gt;10,"Check - over ten hours in a day",IF(Q80&lt;&gt;"Yes","Due - needs approving",IF(R80&lt;&gt;"Yes","Due - not paid yet","OK"))))))</f>
        <v>0</v>
      </c>
    </row>
    <row r="81" spans="1:26">
      <c r="A81" s="43">
        <f>IF(F81="","","TS-"&amp;TEXT(ROW()-4,"0000"))</f>
        <v>0</v>
      </c>
      <c r="B81" s="46">
        <v>46306</v>
      </c>
      <c r="C81" s="23">
        <f>IF(B81="","",TEXT(B81,"ddd"))</f>
        <v>0</v>
      </c>
      <c r="D81" s="31">
        <f>IF(B81="","",WEEKNUM(B81,IF(WeekStart="Sunday",1,2)))</f>
        <v>0</v>
      </c>
      <c r="E81" s="23">
        <f>IF(B81="","",TEXT(B81,"yyyy-mm"))</f>
        <v>0</v>
      </c>
      <c r="F81" s="15" t="s">
        <v>639</v>
      </c>
      <c r="G81" s="49" t="s">
        <v>1541</v>
      </c>
      <c r="H81" s="23">
        <f>IF(G81="","",IFERROR(INDEX(Jobs!$H$5:$H$604,MATCH(G81,Jobs!$A$5:$A$604,0)),""))</f>
        <v>0</v>
      </c>
      <c r="I81" s="15" t="s">
        <v>172</v>
      </c>
      <c r="J81" s="52">
        <v>0.291666666666667</v>
      </c>
      <c r="K81" s="52">
        <v>0.385416666666667</v>
      </c>
      <c r="L81" s="16">
        <v>0</v>
      </c>
      <c r="O81" s="45" t="s">
        <v>1471</v>
      </c>
      <c r="P81" s="47" t="s">
        <v>454</v>
      </c>
      <c r="Q81" s="47" t="s">
        <v>457</v>
      </c>
      <c r="R81" s="47" t="s">
        <v>457</v>
      </c>
      <c r="S81" s="44" t="s">
        <v>172</v>
      </c>
      <c r="T81" s="34">
        <f>IF(OR(J81="",K81=""),"",ROUND((K81-J81)*24-IF(L81="",0,L81)/60,2))</f>
        <v>0</v>
      </c>
      <c r="U81" s="34">
        <f>IF(F81="","",IF(M81&lt;&gt;"",M81,IF(T81="",0,T81)))</f>
        <v>0</v>
      </c>
      <c r="V81" s="21">
        <f>IF(F81="","",IFERROR(INDEX(Employees!$U$5:$U$44,MATCH(F81,Employees!$B$5:$B$44,0)),PayRate*(1+EmployerOncost)))</f>
        <v>0</v>
      </c>
      <c r="W81" s="34">
        <f>IF(F81="","",MAX(0,U81-IF(N81="",0,N81)))</f>
        <v>0</v>
      </c>
      <c r="X81" s="21">
        <f>IF(F81="","",ROUND(W81*V81+IF(N81="",0,N81)*V81*OvertimeRate,2))</f>
        <v>0</v>
      </c>
      <c r="Y81" s="21">
        <f>IF(F81="","",IF(P81&lt;&gt;"Yes",0,ROUND(U81*IF(IFERROR(INDEX(Clients!$O$5:$O$204,MATCH(IFERROR(INDEX(Jobs!$G$5:$G$604,MATCH(G81,Jobs!$A$5:$A$604,0)),""),Clients!$A$5:$A$204,0)),0)&gt;0,INDEX(Clients!$O$5:$O$204,MATCH(INDEX(Jobs!$G$5:$G$604,MATCH(G81,Jobs!$A$5:$A$604,0)),Clients!$A$5:$A$204,0)),HourlyRate),2)))</f>
        <v>0</v>
      </c>
      <c r="Z81" s="39">
        <f>IF(F81="","",IF(U81=0,"Add - no hours recorded",IF(O81="Absent - no show","Action - no show",IF(U81&gt;10,"Check - over ten hours in a day",IF(Q81&lt;&gt;"Yes","Due - needs approving",IF(R81&lt;&gt;"Yes","Due - not paid yet","OK"))))))</f>
        <v>0</v>
      </c>
    </row>
    <row r="82" spans="1:26">
      <c r="A82" s="43">
        <f>IF(F82="","","TS-"&amp;TEXT(ROW()-4,"0000"))</f>
        <v>0</v>
      </c>
      <c r="B82" s="46">
        <v>46307</v>
      </c>
      <c r="C82" s="23">
        <f>IF(B82="","",TEXT(B82,"ddd"))</f>
        <v>0</v>
      </c>
      <c r="D82" s="31">
        <f>IF(B82="","",WEEKNUM(B82,IF(WeekStart="Sunday",1,2)))</f>
        <v>0</v>
      </c>
      <c r="E82" s="23">
        <f>IF(B82="","",TEXT(B82,"yyyy-mm"))</f>
        <v>0</v>
      </c>
      <c r="F82" s="15" t="s">
        <v>664</v>
      </c>
      <c r="G82" s="49" t="s">
        <v>1207</v>
      </c>
      <c r="H82" s="23">
        <f>IF(G82="","",IFERROR(INDEX(Jobs!$H$5:$H$604,MATCH(G82,Jobs!$A$5:$A$604,0)),""))</f>
        <v>0</v>
      </c>
      <c r="I82" s="15" t="s">
        <v>172</v>
      </c>
      <c r="J82" s="52">
        <v>0.291666666666667</v>
      </c>
      <c r="K82" s="52">
        <v>0.37375</v>
      </c>
      <c r="L82" s="16">
        <v>0</v>
      </c>
      <c r="O82" s="45" t="s">
        <v>1471</v>
      </c>
      <c r="P82" s="47" t="s">
        <v>454</v>
      </c>
      <c r="Q82" s="47" t="s">
        <v>457</v>
      </c>
      <c r="R82" s="47" t="s">
        <v>457</v>
      </c>
      <c r="S82" s="44" t="s">
        <v>172</v>
      </c>
      <c r="T82" s="34">
        <f>IF(OR(J82="",K82=""),"",ROUND((K82-J82)*24-IF(L82="",0,L82)/60,2))</f>
        <v>0</v>
      </c>
      <c r="U82" s="34">
        <f>IF(F82="","",IF(M82&lt;&gt;"",M82,IF(T82="",0,T82)))</f>
        <v>0</v>
      </c>
      <c r="V82" s="21">
        <f>IF(F82="","",IFERROR(INDEX(Employees!$U$5:$U$44,MATCH(F82,Employees!$B$5:$B$44,0)),PayRate*(1+EmployerOncost)))</f>
        <v>0</v>
      </c>
      <c r="W82" s="34">
        <f>IF(F82="","",MAX(0,U82-IF(N82="",0,N82)))</f>
        <v>0</v>
      </c>
      <c r="X82" s="21">
        <f>IF(F82="","",ROUND(W82*V82+IF(N82="",0,N82)*V82*OvertimeRate,2))</f>
        <v>0</v>
      </c>
      <c r="Y82" s="21">
        <f>IF(F82="","",IF(P82&lt;&gt;"Yes",0,ROUND(U82*IF(IFERROR(INDEX(Clients!$O$5:$O$204,MATCH(IFERROR(INDEX(Jobs!$G$5:$G$604,MATCH(G82,Jobs!$A$5:$A$604,0)),""),Clients!$A$5:$A$204,0)),0)&gt;0,INDEX(Clients!$O$5:$O$204,MATCH(INDEX(Jobs!$G$5:$G$604,MATCH(G82,Jobs!$A$5:$A$604,0)),Clients!$A$5:$A$204,0)),HourlyRate),2)))</f>
        <v>0</v>
      </c>
      <c r="Z82" s="39">
        <f>IF(F82="","",IF(U82=0,"Add - no hours recorded",IF(O82="Absent - no show","Action - no show",IF(U82&gt;10,"Check - over ten hours in a day",IF(Q82&lt;&gt;"Yes","Due - needs approving",IF(R82&lt;&gt;"Yes","Due - not paid yet","OK"))))))</f>
        <v>0</v>
      </c>
    </row>
    <row r="83" spans="1:26">
      <c r="A83" s="43">
        <f>IF(F83="","","TS-"&amp;TEXT(ROW()-4,"0000"))</f>
        <v>0</v>
      </c>
      <c r="B83" s="46">
        <v>46307</v>
      </c>
      <c r="C83" s="23">
        <f>IF(B83="","",TEXT(B83,"ddd"))</f>
        <v>0</v>
      </c>
      <c r="D83" s="31">
        <f>IF(B83="","",WEEKNUM(B83,IF(WeekStart="Sunday",1,2)))</f>
        <v>0</v>
      </c>
      <c r="E83" s="23">
        <f>IF(B83="","",TEXT(B83,"yyyy-mm"))</f>
        <v>0</v>
      </c>
      <c r="F83" s="15" t="s">
        <v>608</v>
      </c>
      <c r="G83" s="49" t="s">
        <v>1542</v>
      </c>
      <c r="H83" s="23">
        <f>IF(G83="","",IFERROR(INDEX(Jobs!$H$5:$H$604,MATCH(G83,Jobs!$A$5:$A$604,0)),""))</f>
        <v>0</v>
      </c>
      <c r="I83" s="15" t="s">
        <v>172</v>
      </c>
      <c r="J83" s="52">
        <v>0.770833333333333</v>
      </c>
      <c r="K83" s="52">
        <v>0.874166666666667</v>
      </c>
      <c r="L83" s="16">
        <v>0</v>
      </c>
      <c r="O83" s="45" t="s">
        <v>1451</v>
      </c>
      <c r="P83" s="47" t="s">
        <v>454</v>
      </c>
      <c r="Q83" s="47" t="s">
        <v>457</v>
      </c>
      <c r="R83" s="47" t="s">
        <v>457</v>
      </c>
      <c r="S83" s="44" t="s">
        <v>1481</v>
      </c>
      <c r="T83" s="34">
        <f>IF(OR(J83="",K83=""),"",ROUND((K83-J83)*24-IF(L83="",0,L83)/60,2))</f>
        <v>0</v>
      </c>
      <c r="U83" s="34">
        <f>IF(F83="","",IF(M83&lt;&gt;"",M83,IF(T83="",0,T83)))</f>
        <v>0</v>
      </c>
      <c r="V83" s="21">
        <f>IF(F83="","",IFERROR(INDEX(Employees!$U$5:$U$44,MATCH(F83,Employees!$B$5:$B$44,0)),PayRate*(1+EmployerOncost)))</f>
        <v>0</v>
      </c>
      <c r="W83" s="34">
        <f>IF(F83="","",MAX(0,U83-IF(N83="",0,N83)))</f>
        <v>0</v>
      </c>
      <c r="X83" s="21">
        <f>IF(F83="","",ROUND(W83*V83+IF(N83="",0,N83)*V83*OvertimeRate,2))</f>
        <v>0</v>
      </c>
      <c r="Y83" s="21">
        <f>IF(F83="","",IF(P83&lt;&gt;"Yes",0,ROUND(U83*IF(IFERROR(INDEX(Clients!$O$5:$O$204,MATCH(IFERROR(INDEX(Jobs!$G$5:$G$604,MATCH(G83,Jobs!$A$5:$A$604,0)),""),Clients!$A$5:$A$204,0)),0)&gt;0,INDEX(Clients!$O$5:$O$204,MATCH(INDEX(Jobs!$G$5:$G$604,MATCH(G83,Jobs!$A$5:$A$604,0)),Clients!$A$5:$A$204,0)),HourlyRate),2)))</f>
        <v>0</v>
      </c>
      <c r="Z83" s="39">
        <f>IF(F83="","",IF(U83=0,"Add - no hours recorded",IF(O83="Absent - no show","Action - no show",IF(U83&gt;10,"Check - over ten hours in a day",IF(Q83&lt;&gt;"Yes","Due - needs approving",IF(R83&lt;&gt;"Yes","Due - not paid yet","OK"))))))</f>
        <v>0</v>
      </c>
    </row>
    <row r="84" spans="1:26">
      <c r="A84" s="43">
        <f>IF(F84="","","TS-"&amp;TEXT(ROW()-4,"0000"))</f>
        <v>0</v>
      </c>
      <c r="B84" s="46">
        <v>46308</v>
      </c>
      <c r="C84" s="23">
        <f>IF(B84="","",TEXT(B84,"ddd"))</f>
        <v>0</v>
      </c>
      <c r="D84" s="31">
        <f>IF(B84="","",WEEKNUM(B84,IF(WeekStart="Sunday",1,2)))</f>
        <v>0</v>
      </c>
      <c r="E84" s="23">
        <f>IF(B84="","",TEXT(B84,"yyyy-mm"))</f>
        <v>0</v>
      </c>
      <c r="F84" s="15" t="s">
        <v>584</v>
      </c>
      <c r="G84" s="49" t="s">
        <v>1543</v>
      </c>
      <c r="H84" s="23">
        <f>IF(G84="","",IFERROR(INDEX(Jobs!$H$5:$H$604,MATCH(G84,Jobs!$A$5:$A$604,0)),""))</f>
        <v>0</v>
      </c>
      <c r="I84" s="15" t="s">
        <v>172</v>
      </c>
      <c r="J84" s="52">
        <v>0.291666666666667</v>
      </c>
      <c r="K84" s="52">
        <v>0.372083333333333</v>
      </c>
      <c r="L84" s="16">
        <v>0</v>
      </c>
      <c r="O84" s="45" t="s">
        <v>1471</v>
      </c>
      <c r="P84" s="47" t="s">
        <v>454</v>
      </c>
      <c r="Q84" s="47" t="s">
        <v>457</v>
      </c>
      <c r="R84" s="47" t="s">
        <v>457</v>
      </c>
      <c r="S84" s="44" t="s">
        <v>172</v>
      </c>
      <c r="T84" s="34">
        <f>IF(OR(J84="",K84=""),"",ROUND((K84-J84)*24-IF(L84="",0,L84)/60,2))</f>
        <v>0</v>
      </c>
      <c r="U84" s="34">
        <f>IF(F84="","",IF(M84&lt;&gt;"",M84,IF(T84="",0,T84)))</f>
        <v>0</v>
      </c>
      <c r="V84" s="21">
        <f>IF(F84="","",IFERROR(INDEX(Employees!$U$5:$U$44,MATCH(F84,Employees!$B$5:$B$44,0)),PayRate*(1+EmployerOncost)))</f>
        <v>0</v>
      </c>
      <c r="W84" s="34">
        <f>IF(F84="","",MAX(0,U84-IF(N84="",0,N84)))</f>
        <v>0</v>
      </c>
      <c r="X84" s="21">
        <f>IF(F84="","",ROUND(W84*V84+IF(N84="",0,N84)*V84*OvertimeRate,2))</f>
        <v>0</v>
      </c>
      <c r="Y84" s="21">
        <f>IF(F84="","",IF(P84&lt;&gt;"Yes",0,ROUND(U84*IF(IFERROR(INDEX(Clients!$O$5:$O$204,MATCH(IFERROR(INDEX(Jobs!$G$5:$G$604,MATCH(G84,Jobs!$A$5:$A$604,0)),""),Clients!$A$5:$A$204,0)),0)&gt;0,INDEX(Clients!$O$5:$O$204,MATCH(INDEX(Jobs!$G$5:$G$604,MATCH(G84,Jobs!$A$5:$A$604,0)),Clients!$A$5:$A$204,0)),HourlyRate),2)))</f>
        <v>0</v>
      </c>
      <c r="Z84" s="39">
        <f>IF(F84="","",IF(U84=0,"Add - no hours recorded",IF(O84="Absent - no show","Action - no show",IF(U84&gt;10,"Check - over ten hours in a day",IF(Q84&lt;&gt;"Yes","Due - needs approving",IF(R84&lt;&gt;"Yes","Due - not paid yet","OK"))))))</f>
        <v>0</v>
      </c>
    </row>
    <row r="85" spans="1:26">
      <c r="A85" s="43">
        <f>IF(F85="","","TS-"&amp;TEXT(ROW()-4,"0000"))</f>
        <v>0</v>
      </c>
      <c r="B85" s="46">
        <v>46308</v>
      </c>
      <c r="C85" s="23">
        <f>IF(B85="","",TEXT(B85,"ddd"))</f>
        <v>0</v>
      </c>
      <c r="D85" s="31">
        <f>IF(B85="","",WEEKNUM(B85,IF(WeekStart="Sunday",1,2)))</f>
        <v>0</v>
      </c>
      <c r="E85" s="23">
        <f>IF(B85="","",TEXT(B85,"yyyy-mm"))</f>
        <v>0</v>
      </c>
      <c r="F85" s="15" t="s">
        <v>584</v>
      </c>
      <c r="G85" s="49" t="s">
        <v>1182</v>
      </c>
      <c r="H85" s="23">
        <f>IF(G85="","",IFERROR(INDEX(Jobs!$H$5:$H$604,MATCH(G85,Jobs!$A$5:$A$604,0)),""))</f>
        <v>0</v>
      </c>
      <c r="I85" s="15" t="s">
        <v>172</v>
      </c>
      <c r="J85" s="52">
        <v>0.375</v>
      </c>
      <c r="K85" s="52">
        <v>0.51625</v>
      </c>
      <c r="L85" s="16">
        <v>0</v>
      </c>
      <c r="O85" s="45" t="s">
        <v>1471</v>
      </c>
      <c r="P85" s="47" t="s">
        <v>454</v>
      </c>
      <c r="Q85" s="47" t="s">
        <v>457</v>
      </c>
      <c r="R85" s="47" t="s">
        <v>457</v>
      </c>
      <c r="S85" s="44" t="s">
        <v>172</v>
      </c>
      <c r="T85" s="34">
        <f>IF(OR(J85="",K85=""),"",ROUND((K85-J85)*24-IF(L85="",0,L85)/60,2))</f>
        <v>0</v>
      </c>
      <c r="U85" s="34">
        <f>IF(F85="","",IF(M85&lt;&gt;"",M85,IF(T85="",0,T85)))</f>
        <v>0</v>
      </c>
      <c r="V85" s="21">
        <f>IF(F85="","",IFERROR(INDEX(Employees!$U$5:$U$44,MATCH(F85,Employees!$B$5:$B$44,0)),PayRate*(1+EmployerOncost)))</f>
        <v>0</v>
      </c>
      <c r="W85" s="34">
        <f>IF(F85="","",MAX(0,U85-IF(N85="",0,N85)))</f>
        <v>0</v>
      </c>
      <c r="X85" s="21">
        <f>IF(F85="","",ROUND(W85*V85+IF(N85="",0,N85)*V85*OvertimeRate,2))</f>
        <v>0</v>
      </c>
      <c r="Y85" s="21">
        <f>IF(F85="","",IF(P85&lt;&gt;"Yes",0,ROUND(U85*IF(IFERROR(INDEX(Clients!$O$5:$O$204,MATCH(IFERROR(INDEX(Jobs!$G$5:$G$604,MATCH(G85,Jobs!$A$5:$A$604,0)),""),Clients!$A$5:$A$204,0)),0)&gt;0,INDEX(Clients!$O$5:$O$204,MATCH(INDEX(Jobs!$G$5:$G$604,MATCH(G85,Jobs!$A$5:$A$604,0)),Clients!$A$5:$A$204,0)),HourlyRate),2)))</f>
        <v>0</v>
      </c>
      <c r="Z85" s="39">
        <f>IF(F85="","",IF(U85=0,"Add - no hours recorded",IF(O85="Absent - no show","Action - no show",IF(U85&gt;10,"Check - over ten hours in a day",IF(Q85&lt;&gt;"Yes","Due - needs approving",IF(R85&lt;&gt;"Yes","Due - not paid yet","OK"))))))</f>
        <v>0</v>
      </c>
    </row>
    <row r="86" spans="1:26">
      <c r="A86" s="43">
        <f>IF(F86="","","TS-"&amp;TEXT(ROW()-4,"0000"))</f>
        <v>0</v>
      </c>
      <c r="B86" s="46">
        <v>46310</v>
      </c>
      <c r="C86" s="23">
        <f>IF(B86="","",TEXT(B86,"ddd"))</f>
        <v>0</v>
      </c>
      <c r="D86" s="31">
        <f>IF(B86="","",WEEKNUM(B86,IF(WeekStart="Sunday",1,2)))</f>
        <v>0</v>
      </c>
      <c r="E86" s="23">
        <f>IF(B86="","",TEXT(B86,"yyyy-mm"))</f>
        <v>0</v>
      </c>
      <c r="F86" s="15" t="s">
        <v>664</v>
      </c>
      <c r="G86" s="49" t="s">
        <v>1544</v>
      </c>
      <c r="H86" s="23">
        <f>IF(G86="","",IFERROR(INDEX(Jobs!$H$5:$H$604,MATCH(G86,Jobs!$A$5:$A$604,0)),""))</f>
        <v>0</v>
      </c>
      <c r="I86" s="15" t="s">
        <v>172</v>
      </c>
      <c r="J86" s="52">
        <v>0.291666666666667</v>
      </c>
      <c r="K86" s="52">
        <v>0.36625</v>
      </c>
      <c r="L86" s="16">
        <v>0</v>
      </c>
      <c r="O86" s="45" t="s">
        <v>1471</v>
      </c>
      <c r="P86" s="47" t="s">
        <v>454</v>
      </c>
      <c r="Q86" s="47" t="s">
        <v>457</v>
      </c>
      <c r="R86" s="47" t="s">
        <v>457</v>
      </c>
      <c r="S86" s="44" t="s">
        <v>172</v>
      </c>
      <c r="T86" s="34">
        <f>IF(OR(J86="",K86=""),"",ROUND((K86-J86)*24-IF(L86="",0,L86)/60,2))</f>
        <v>0</v>
      </c>
      <c r="U86" s="34">
        <f>IF(F86="","",IF(M86&lt;&gt;"",M86,IF(T86="",0,T86)))</f>
        <v>0</v>
      </c>
      <c r="V86" s="21">
        <f>IF(F86="","",IFERROR(INDEX(Employees!$U$5:$U$44,MATCH(F86,Employees!$B$5:$B$44,0)),PayRate*(1+EmployerOncost)))</f>
        <v>0</v>
      </c>
      <c r="W86" s="34">
        <f>IF(F86="","",MAX(0,U86-IF(N86="",0,N86)))</f>
        <v>0</v>
      </c>
      <c r="X86" s="21">
        <f>IF(F86="","",ROUND(W86*V86+IF(N86="",0,N86)*V86*OvertimeRate,2))</f>
        <v>0</v>
      </c>
      <c r="Y86" s="21">
        <f>IF(F86="","",IF(P86&lt;&gt;"Yes",0,ROUND(U86*IF(IFERROR(INDEX(Clients!$O$5:$O$204,MATCH(IFERROR(INDEX(Jobs!$G$5:$G$604,MATCH(G86,Jobs!$A$5:$A$604,0)),""),Clients!$A$5:$A$204,0)),0)&gt;0,INDEX(Clients!$O$5:$O$204,MATCH(INDEX(Jobs!$G$5:$G$604,MATCH(G86,Jobs!$A$5:$A$604,0)),Clients!$A$5:$A$204,0)),HourlyRate),2)))</f>
        <v>0</v>
      </c>
      <c r="Z86" s="39">
        <f>IF(F86="","",IF(U86=0,"Add - no hours recorded",IF(O86="Absent - no show","Action - no show",IF(U86&gt;10,"Check - over ten hours in a day",IF(Q86&lt;&gt;"Yes","Due - needs approving",IF(R86&lt;&gt;"Yes","Due - not paid yet","OK"))))))</f>
        <v>0</v>
      </c>
    </row>
    <row r="87" spans="1:26">
      <c r="A87" s="43">
        <f>IF(F87="","","TS-"&amp;TEXT(ROW()-4,"0000"))</f>
        <v>0</v>
      </c>
      <c r="B87" s="46">
        <v>46310</v>
      </c>
      <c r="C87" s="23">
        <f>IF(B87="","",TEXT(B87,"ddd"))</f>
        <v>0</v>
      </c>
      <c r="D87" s="31">
        <f>IF(B87="","",WEEKNUM(B87,IF(WeekStart="Sunday",1,2)))</f>
        <v>0</v>
      </c>
      <c r="E87" s="23">
        <f>IF(B87="","",TEXT(B87,"yyyy-mm"))</f>
        <v>0</v>
      </c>
      <c r="F87" s="15" t="s">
        <v>608</v>
      </c>
      <c r="G87" s="49" t="s">
        <v>1545</v>
      </c>
      <c r="H87" s="23">
        <f>IF(G87="","",IFERROR(INDEX(Jobs!$H$5:$H$604,MATCH(G87,Jobs!$A$5:$A$604,0)),""))</f>
        <v>0</v>
      </c>
      <c r="I87" s="15" t="s">
        <v>172</v>
      </c>
      <c r="J87" s="52">
        <v>0.770833333333333</v>
      </c>
      <c r="K87" s="52">
        <v>0.86</v>
      </c>
      <c r="L87" s="16">
        <v>0</v>
      </c>
      <c r="O87" s="45" t="s">
        <v>1471</v>
      </c>
      <c r="P87" s="47" t="s">
        <v>454</v>
      </c>
      <c r="Q87" s="47" t="s">
        <v>457</v>
      </c>
      <c r="R87" s="47" t="s">
        <v>457</v>
      </c>
      <c r="S87" s="44" t="s">
        <v>172</v>
      </c>
      <c r="T87" s="34">
        <f>IF(OR(J87="",K87=""),"",ROUND((K87-J87)*24-IF(L87="",0,L87)/60,2))</f>
        <v>0</v>
      </c>
      <c r="U87" s="34">
        <f>IF(F87="","",IF(M87&lt;&gt;"",M87,IF(T87="",0,T87)))</f>
        <v>0</v>
      </c>
      <c r="V87" s="21">
        <f>IF(F87="","",IFERROR(INDEX(Employees!$U$5:$U$44,MATCH(F87,Employees!$B$5:$B$44,0)),PayRate*(1+EmployerOncost)))</f>
        <v>0</v>
      </c>
      <c r="W87" s="34">
        <f>IF(F87="","",MAX(0,U87-IF(N87="",0,N87)))</f>
        <v>0</v>
      </c>
      <c r="X87" s="21">
        <f>IF(F87="","",ROUND(W87*V87+IF(N87="",0,N87)*V87*OvertimeRate,2))</f>
        <v>0</v>
      </c>
      <c r="Y87" s="21">
        <f>IF(F87="","",IF(P87&lt;&gt;"Yes",0,ROUND(U87*IF(IFERROR(INDEX(Clients!$O$5:$O$204,MATCH(IFERROR(INDEX(Jobs!$G$5:$G$604,MATCH(G87,Jobs!$A$5:$A$604,0)),""),Clients!$A$5:$A$204,0)),0)&gt;0,INDEX(Clients!$O$5:$O$204,MATCH(INDEX(Jobs!$G$5:$G$604,MATCH(G87,Jobs!$A$5:$A$604,0)),Clients!$A$5:$A$204,0)),HourlyRate),2)))</f>
        <v>0</v>
      </c>
      <c r="Z87" s="39">
        <f>IF(F87="","",IF(U87=0,"Add - no hours recorded",IF(O87="Absent - no show","Action - no show",IF(U87&gt;10,"Check - over ten hours in a day",IF(Q87&lt;&gt;"Yes","Due - needs approving",IF(R87&lt;&gt;"Yes","Due - not paid yet","OK"))))))</f>
        <v>0</v>
      </c>
    </row>
    <row r="88" spans="1:26">
      <c r="A88" s="43">
        <f>IF(F88="","","TS-"&amp;TEXT(ROW()-4,"0000"))</f>
        <v>0</v>
      </c>
      <c r="B88" s="46">
        <v>46311</v>
      </c>
      <c r="C88" s="23">
        <f>IF(B88="","",TEXT(B88,"ddd"))</f>
        <v>0</v>
      </c>
      <c r="D88" s="31">
        <f>IF(B88="","",WEEKNUM(B88,IF(WeekStart="Sunday",1,2)))</f>
        <v>0</v>
      </c>
      <c r="E88" s="23">
        <f>IF(B88="","",TEXT(B88,"yyyy-mm"))</f>
        <v>0</v>
      </c>
      <c r="F88" s="15" t="s">
        <v>639</v>
      </c>
      <c r="G88" s="49" t="s">
        <v>1546</v>
      </c>
      <c r="H88" s="23">
        <f>IF(G88="","",IFERROR(INDEX(Jobs!$H$5:$H$604,MATCH(G88,Jobs!$A$5:$A$604,0)),""))</f>
        <v>0</v>
      </c>
      <c r="I88" s="15" t="s">
        <v>172</v>
      </c>
      <c r="J88" s="52">
        <v>0.729166666666667</v>
      </c>
      <c r="K88" s="52">
        <v>0.812083333333333</v>
      </c>
      <c r="L88" s="16">
        <v>0</v>
      </c>
      <c r="O88" s="45" t="s">
        <v>1471</v>
      </c>
      <c r="P88" s="47" t="s">
        <v>454</v>
      </c>
      <c r="Q88" s="47" t="s">
        <v>457</v>
      </c>
      <c r="R88" s="47" t="s">
        <v>457</v>
      </c>
      <c r="S88" s="44" t="s">
        <v>172</v>
      </c>
      <c r="T88" s="34">
        <f>IF(OR(J88="",K88=""),"",ROUND((K88-J88)*24-IF(L88="",0,L88)/60,2))</f>
        <v>0</v>
      </c>
      <c r="U88" s="34">
        <f>IF(F88="","",IF(M88&lt;&gt;"",M88,IF(T88="",0,T88)))</f>
        <v>0</v>
      </c>
      <c r="V88" s="21">
        <f>IF(F88="","",IFERROR(INDEX(Employees!$U$5:$U$44,MATCH(F88,Employees!$B$5:$B$44,0)),PayRate*(1+EmployerOncost)))</f>
        <v>0</v>
      </c>
      <c r="W88" s="34">
        <f>IF(F88="","",MAX(0,U88-IF(N88="",0,N88)))</f>
        <v>0</v>
      </c>
      <c r="X88" s="21">
        <f>IF(F88="","",ROUND(W88*V88+IF(N88="",0,N88)*V88*OvertimeRate,2))</f>
        <v>0</v>
      </c>
      <c r="Y88" s="21">
        <f>IF(F88="","",IF(P88&lt;&gt;"Yes",0,ROUND(U88*IF(IFERROR(INDEX(Clients!$O$5:$O$204,MATCH(IFERROR(INDEX(Jobs!$G$5:$G$604,MATCH(G88,Jobs!$A$5:$A$604,0)),""),Clients!$A$5:$A$204,0)),0)&gt;0,INDEX(Clients!$O$5:$O$204,MATCH(INDEX(Jobs!$G$5:$G$604,MATCH(G88,Jobs!$A$5:$A$604,0)),Clients!$A$5:$A$204,0)),HourlyRate),2)))</f>
        <v>0</v>
      </c>
      <c r="Z88" s="39">
        <f>IF(F88="","",IF(U88=0,"Add - no hours recorded",IF(O88="Absent - no show","Action - no show",IF(U88&gt;10,"Check - over ten hours in a day",IF(Q88&lt;&gt;"Yes","Due - needs approving",IF(R88&lt;&gt;"Yes","Due - not paid yet","OK"))))))</f>
        <v>0</v>
      </c>
    </row>
    <row r="89" spans="1:26">
      <c r="A89" s="43">
        <f>IF(F89="","","TS-"&amp;TEXT(ROW()-4,"0000"))</f>
        <v>0</v>
      </c>
      <c r="B89" s="46">
        <v>46311</v>
      </c>
      <c r="C89" s="23">
        <f>IF(B89="","",TEXT(B89,"ddd"))</f>
        <v>0</v>
      </c>
      <c r="D89" s="31">
        <f>IF(B89="","",WEEKNUM(B89,IF(WeekStart="Sunday",1,2)))</f>
        <v>0</v>
      </c>
      <c r="E89" s="23">
        <f>IF(B89="","",TEXT(B89,"yyyy-mm"))</f>
        <v>0</v>
      </c>
      <c r="F89" s="15" t="s">
        <v>664</v>
      </c>
      <c r="G89" s="49" t="s">
        <v>1546</v>
      </c>
      <c r="H89" s="23">
        <f>IF(G89="","",IFERROR(INDEX(Jobs!$H$5:$H$604,MATCH(G89,Jobs!$A$5:$A$604,0)),""))</f>
        <v>0</v>
      </c>
      <c r="I89" s="15" t="s">
        <v>172</v>
      </c>
      <c r="J89" s="52">
        <v>0.729166666666667</v>
      </c>
      <c r="K89" s="52">
        <v>0.812083333333333</v>
      </c>
      <c r="L89" s="16">
        <v>0</v>
      </c>
      <c r="O89" s="45" t="s">
        <v>1471</v>
      </c>
      <c r="P89" s="47" t="s">
        <v>454</v>
      </c>
      <c r="Q89" s="47" t="s">
        <v>457</v>
      </c>
      <c r="R89" s="47" t="s">
        <v>457</v>
      </c>
      <c r="S89" s="44" t="s">
        <v>172</v>
      </c>
      <c r="T89" s="34">
        <f>IF(OR(J89="",K89=""),"",ROUND((K89-J89)*24-IF(L89="",0,L89)/60,2))</f>
        <v>0</v>
      </c>
      <c r="U89" s="34">
        <f>IF(F89="","",IF(M89&lt;&gt;"",M89,IF(T89="",0,T89)))</f>
        <v>0</v>
      </c>
      <c r="V89" s="21">
        <f>IF(F89="","",IFERROR(INDEX(Employees!$U$5:$U$44,MATCH(F89,Employees!$B$5:$B$44,0)),PayRate*(1+EmployerOncost)))</f>
        <v>0</v>
      </c>
      <c r="W89" s="34">
        <f>IF(F89="","",MAX(0,U89-IF(N89="",0,N89)))</f>
        <v>0</v>
      </c>
      <c r="X89" s="21">
        <f>IF(F89="","",ROUND(W89*V89+IF(N89="",0,N89)*V89*OvertimeRate,2))</f>
        <v>0</v>
      </c>
      <c r="Y89" s="21">
        <f>IF(F89="","",IF(P89&lt;&gt;"Yes",0,ROUND(U89*IF(IFERROR(INDEX(Clients!$O$5:$O$204,MATCH(IFERROR(INDEX(Jobs!$G$5:$G$604,MATCH(G89,Jobs!$A$5:$A$604,0)),""),Clients!$A$5:$A$204,0)),0)&gt;0,INDEX(Clients!$O$5:$O$204,MATCH(INDEX(Jobs!$G$5:$G$604,MATCH(G89,Jobs!$A$5:$A$604,0)),Clients!$A$5:$A$204,0)),HourlyRate),2)))</f>
        <v>0</v>
      </c>
      <c r="Z89" s="39">
        <f>IF(F89="","",IF(U89=0,"Add - no hours recorded",IF(O89="Absent - no show","Action - no show",IF(U89&gt;10,"Check - over ten hours in a day",IF(Q89&lt;&gt;"Yes","Due - needs approving",IF(R89&lt;&gt;"Yes","Due - not paid yet","OK"))))))</f>
        <v>0</v>
      </c>
    </row>
    <row r="90" spans="1:26">
      <c r="A90" s="43">
        <f>IF(F90="","","TS-"&amp;TEXT(ROW()-4,"0000"))</f>
        <v>0</v>
      </c>
      <c r="B90" s="46">
        <v>46311</v>
      </c>
      <c r="C90" s="23">
        <f>IF(B90="","",TEXT(B90,"ddd"))</f>
        <v>0</v>
      </c>
      <c r="D90" s="31">
        <f>IF(B90="","",WEEKNUM(B90,IF(WeekStart="Sunday",1,2)))</f>
        <v>0</v>
      </c>
      <c r="E90" s="23">
        <f>IF(B90="","",TEXT(B90,"yyyy-mm"))</f>
        <v>0</v>
      </c>
      <c r="F90" s="15" t="s">
        <v>608</v>
      </c>
      <c r="G90" s="49" t="s">
        <v>1547</v>
      </c>
      <c r="H90" s="23">
        <f>IF(G90="","",IFERROR(INDEX(Jobs!$H$5:$H$604,MATCH(G90,Jobs!$A$5:$A$604,0)),""))</f>
        <v>0</v>
      </c>
      <c r="I90" s="15" t="s">
        <v>172</v>
      </c>
      <c r="J90" s="52">
        <v>0.75</v>
      </c>
      <c r="K90" s="52">
        <v>0.858333333333333</v>
      </c>
      <c r="L90" s="16">
        <v>0</v>
      </c>
      <c r="O90" s="45" t="s">
        <v>1471</v>
      </c>
      <c r="P90" s="47" t="s">
        <v>454</v>
      </c>
      <c r="Q90" s="47" t="s">
        <v>457</v>
      </c>
      <c r="R90" s="47" t="s">
        <v>457</v>
      </c>
      <c r="S90" s="44" t="s">
        <v>172</v>
      </c>
      <c r="T90" s="34">
        <f>IF(OR(J90="",K90=""),"",ROUND((K90-J90)*24-IF(L90="",0,L90)/60,2))</f>
        <v>0</v>
      </c>
      <c r="U90" s="34">
        <f>IF(F90="","",IF(M90&lt;&gt;"",M90,IF(T90="",0,T90)))</f>
        <v>0</v>
      </c>
      <c r="V90" s="21">
        <f>IF(F90="","",IFERROR(INDEX(Employees!$U$5:$U$44,MATCH(F90,Employees!$B$5:$B$44,0)),PayRate*(1+EmployerOncost)))</f>
        <v>0</v>
      </c>
      <c r="W90" s="34">
        <f>IF(F90="","",MAX(0,U90-IF(N90="",0,N90)))</f>
        <v>0</v>
      </c>
      <c r="X90" s="21">
        <f>IF(F90="","",ROUND(W90*V90+IF(N90="",0,N90)*V90*OvertimeRate,2))</f>
        <v>0</v>
      </c>
      <c r="Y90" s="21">
        <f>IF(F90="","",IF(P90&lt;&gt;"Yes",0,ROUND(U90*IF(IFERROR(INDEX(Clients!$O$5:$O$204,MATCH(IFERROR(INDEX(Jobs!$G$5:$G$604,MATCH(G90,Jobs!$A$5:$A$604,0)),""),Clients!$A$5:$A$204,0)),0)&gt;0,INDEX(Clients!$O$5:$O$204,MATCH(INDEX(Jobs!$G$5:$G$604,MATCH(G90,Jobs!$A$5:$A$604,0)),Clients!$A$5:$A$204,0)),HourlyRate),2)))</f>
        <v>0</v>
      </c>
      <c r="Z90" s="39">
        <f>IF(F90="","",IF(U90=0,"Add - no hours recorded",IF(O90="Absent - no show","Action - no show",IF(U90&gt;10,"Check - over ten hours in a day",IF(Q90&lt;&gt;"Yes","Due - needs approving",IF(R90&lt;&gt;"Yes","Due - not paid yet","OK"))))))</f>
        <v>0</v>
      </c>
    </row>
    <row r="91" spans="1:26">
      <c r="A91" s="43">
        <f>IF(F91="","","TS-"&amp;TEXT(ROW()-4,"0000"))</f>
        <v>0</v>
      </c>
      <c r="B91" s="46">
        <v>46311</v>
      </c>
      <c r="C91" s="23">
        <f>IF(B91="","",TEXT(B91,"ddd"))</f>
        <v>0</v>
      </c>
      <c r="D91" s="31">
        <f>IF(B91="","",WEEKNUM(B91,IF(WeekStart="Sunday",1,2)))</f>
        <v>0</v>
      </c>
      <c r="E91" s="23">
        <f>IF(B91="","",TEXT(B91,"yyyy-mm"))</f>
        <v>0</v>
      </c>
      <c r="F91" s="15" t="s">
        <v>608</v>
      </c>
      <c r="G91" s="49" t="s">
        <v>1548</v>
      </c>
      <c r="H91" s="23">
        <f>IF(G91="","",IFERROR(INDEX(Jobs!$H$5:$H$604,MATCH(G91,Jobs!$A$5:$A$604,0)),""))</f>
        <v>0</v>
      </c>
      <c r="I91" s="15" t="s">
        <v>172</v>
      </c>
      <c r="J91" s="52">
        <v>0.833333333333333</v>
      </c>
      <c r="K91" s="52">
        <v>0.914166666666667</v>
      </c>
      <c r="L91" s="16">
        <v>0</v>
      </c>
      <c r="O91" s="45" t="s">
        <v>1471</v>
      </c>
      <c r="P91" s="47" t="s">
        <v>454</v>
      </c>
      <c r="Q91" s="47" t="s">
        <v>457</v>
      </c>
      <c r="R91" s="47" t="s">
        <v>457</v>
      </c>
      <c r="S91" s="44" t="s">
        <v>172</v>
      </c>
      <c r="T91" s="34">
        <f>IF(OR(J91="",K91=""),"",ROUND((K91-J91)*24-IF(L91="",0,L91)/60,2))</f>
        <v>0</v>
      </c>
      <c r="U91" s="34">
        <f>IF(F91="","",IF(M91&lt;&gt;"",M91,IF(T91="",0,T91)))</f>
        <v>0</v>
      </c>
      <c r="V91" s="21">
        <f>IF(F91="","",IFERROR(INDEX(Employees!$U$5:$U$44,MATCH(F91,Employees!$B$5:$B$44,0)),PayRate*(1+EmployerOncost)))</f>
        <v>0</v>
      </c>
      <c r="W91" s="34">
        <f>IF(F91="","",MAX(0,U91-IF(N91="",0,N91)))</f>
        <v>0</v>
      </c>
      <c r="X91" s="21">
        <f>IF(F91="","",ROUND(W91*V91+IF(N91="",0,N91)*V91*OvertimeRate,2))</f>
        <v>0</v>
      </c>
      <c r="Y91" s="21">
        <f>IF(F91="","",IF(P91&lt;&gt;"Yes",0,ROUND(U91*IF(IFERROR(INDEX(Clients!$O$5:$O$204,MATCH(IFERROR(INDEX(Jobs!$G$5:$G$604,MATCH(G91,Jobs!$A$5:$A$604,0)),""),Clients!$A$5:$A$204,0)),0)&gt;0,INDEX(Clients!$O$5:$O$204,MATCH(INDEX(Jobs!$G$5:$G$604,MATCH(G91,Jobs!$A$5:$A$604,0)),Clients!$A$5:$A$204,0)),HourlyRate),2)))</f>
        <v>0</v>
      </c>
      <c r="Z91" s="39">
        <f>IF(F91="","",IF(U91=0,"Add - no hours recorded",IF(O91="Absent - no show","Action - no show",IF(U91&gt;10,"Check - over ten hours in a day",IF(Q91&lt;&gt;"Yes","Due - needs approving",IF(R91&lt;&gt;"Yes","Due - not paid yet","OK"))))))</f>
        <v>0</v>
      </c>
    </row>
    <row r="92" spans="1:26">
      <c r="A92" s="43">
        <f>IF(F92="","","TS-"&amp;TEXT(ROW()-4,"0000"))</f>
        <v>0</v>
      </c>
      <c r="B92" s="46">
        <v>46312</v>
      </c>
      <c r="C92" s="23">
        <f>IF(B92="","",TEXT(B92,"ddd"))</f>
        <v>0</v>
      </c>
      <c r="D92" s="31">
        <f>IF(B92="","",WEEKNUM(B92,IF(WeekStart="Sunday",1,2)))</f>
        <v>0</v>
      </c>
      <c r="E92" s="23">
        <f>IF(B92="","",TEXT(B92,"yyyy-mm"))</f>
        <v>0</v>
      </c>
      <c r="F92" s="15" t="s">
        <v>596</v>
      </c>
      <c r="G92" s="49" t="s">
        <v>1549</v>
      </c>
      <c r="H92" s="23">
        <f>IF(G92="","",IFERROR(INDEX(Jobs!$H$5:$H$604,MATCH(G92,Jobs!$A$5:$A$604,0)),""))</f>
        <v>0</v>
      </c>
      <c r="I92" s="15" t="s">
        <v>172</v>
      </c>
      <c r="J92" s="52">
        <v>0.458333333333333</v>
      </c>
      <c r="K92" s="52">
        <v>0.553333333333333</v>
      </c>
      <c r="L92" s="16">
        <v>0</v>
      </c>
      <c r="O92" s="45" t="s">
        <v>1471</v>
      </c>
      <c r="P92" s="47" t="s">
        <v>454</v>
      </c>
      <c r="Q92" s="47" t="s">
        <v>457</v>
      </c>
      <c r="R92" s="47" t="s">
        <v>457</v>
      </c>
      <c r="S92" s="44" t="s">
        <v>172</v>
      </c>
      <c r="T92" s="34">
        <f>IF(OR(J92="",K92=""),"",ROUND((K92-J92)*24-IF(L92="",0,L92)/60,2))</f>
        <v>0</v>
      </c>
      <c r="U92" s="34">
        <f>IF(F92="","",IF(M92&lt;&gt;"",M92,IF(T92="",0,T92)))</f>
        <v>0</v>
      </c>
      <c r="V92" s="21">
        <f>IF(F92="","",IFERROR(INDEX(Employees!$U$5:$U$44,MATCH(F92,Employees!$B$5:$B$44,0)),PayRate*(1+EmployerOncost)))</f>
        <v>0</v>
      </c>
      <c r="W92" s="34">
        <f>IF(F92="","",MAX(0,U92-IF(N92="",0,N92)))</f>
        <v>0</v>
      </c>
      <c r="X92" s="21">
        <f>IF(F92="","",ROUND(W92*V92+IF(N92="",0,N92)*V92*OvertimeRate,2))</f>
        <v>0</v>
      </c>
      <c r="Y92" s="21">
        <f>IF(F92="","",IF(P92&lt;&gt;"Yes",0,ROUND(U92*IF(IFERROR(INDEX(Clients!$O$5:$O$204,MATCH(IFERROR(INDEX(Jobs!$G$5:$G$604,MATCH(G92,Jobs!$A$5:$A$604,0)),""),Clients!$A$5:$A$204,0)),0)&gt;0,INDEX(Clients!$O$5:$O$204,MATCH(INDEX(Jobs!$G$5:$G$604,MATCH(G92,Jobs!$A$5:$A$604,0)),Clients!$A$5:$A$204,0)),HourlyRate),2)))</f>
        <v>0</v>
      </c>
      <c r="Z92" s="39">
        <f>IF(F92="","",IF(U92=0,"Add - no hours recorded",IF(O92="Absent - no show","Action - no show",IF(U92&gt;10,"Check - over ten hours in a day",IF(Q92&lt;&gt;"Yes","Due - needs approving",IF(R92&lt;&gt;"Yes","Due - not paid yet","OK"))))))</f>
        <v>0</v>
      </c>
    </row>
    <row r="93" spans="1:26">
      <c r="A93" s="43">
        <f>IF(F93="","","TS-"&amp;TEXT(ROW()-4,"0000"))</f>
        <v>0</v>
      </c>
      <c r="B93" s="46">
        <v>46312</v>
      </c>
      <c r="C93" s="23">
        <f>IF(B93="","",TEXT(B93,"ddd"))</f>
        <v>0</v>
      </c>
      <c r="D93" s="31">
        <f>IF(B93="","",WEEKNUM(B93,IF(WeekStart="Sunday",1,2)))</f>
        <v>0</v>
      </c>
      <c r="E93" s="23">
        <f>IF(B93="","",TEXT(B93,"yyyy-mm"))</f>
        <v>0</v>
      </c>
      <c r="F93" s="15" t="s">
        <v>596</v>
      </c>
      <c r="G93" s="49" t="s">
        <v>1550</v>
      </c>
      <c r="H93" s="23">
        <f>IF(G93="","",IFERROR(INDEX(Jobs!$H$5:$H$604,MATCH(G93,Jobs!$A$5:$A$604,0)),""))</f>
        <v>0</v>
      </c>
      <c r="I93" s="15" t="s">
        <v>172</v>
      </c>
      <c r="J93" s="52">
        <v>0.583333333333333</v>
      </c>
      <c r="K93" s="52">
        <v>0.658333333333333</v>
      </c>
      <c r="L93" s="16">
        <v>0</v>
      </c>
      <c r="O93" s="45" t="s">
        <v>1471</v>
      </c>
      <c r="P93" s="47" t="s">
        <v>454</v>
      </c>
      <c r="Q93" s="47" t="s">
        <v>457</v>
      </c>
      <c r="R93" s="47" t="s">
        <v>457</v>
      </c>
      <c r="S93" s="44" t="s">
        <v>172</v>
      </c>
      <c r="T93" s="34">
        <f>IF(OR(J93="",K93=""),"",ROUND((K93-J93)*24-IF(L93="",0,L93)/60,2))</f>
        <v>0</v>
      </c>
      <c r="U93" s="34">
        <f>IF(F93="","",IF(M93&lt;&gt;"",M93,IF(T93="",0,T93)))</f>
        <v>0</v>
      </c>
      <c r="V93" s="21">
        <f>IF(F93="","",IFERROR(INDEX(Employees!$U$5:$U$44,MATCH(F93,Employees!$B$5:$B$44,0)),PayRate*(1+EmployerOncost)))</f>
        <v>0</v>
      </c>
      <c r="W93" s="34">
        <f>IF(F93="","",MAX(0,U93-IF(N93="",0,N93)))</f>
        <v>0</v>
      </c>
      <c r="X93" s="21">
        <f>IF(F93="","",ROUND(W93*V93+IF(N93="",0,N93)*V93*OvertimeRate,2))</f>
        <v>0</v>
      </c>
      <c r="Y93" s="21">
        <f>IF(F93="","",IF(P93&lt;&gt;"Yes",0,ROUND(U93*IF(IFERROR(INDEX(Clients!$O$5:$O$204,MATCH(IFERROR(INDEX(Jobs!$G$5:$G$604,MATCH(G93,Jobs!$A$5:$A$604,0)),""),Clients!$A$5:$A$204,0)),0)&gt;0,INDEX(Clients!$O$5:$O$204,MATCH(INDEX(Jobs!$G$5:$G$604,MATCH(G93,Jobs!$A$5:$A$604,0)),Clients!$A$5:$A$204,0)),HourlyRate),2)))</f>
        <v>0</v>
      </c>
      <c r="Z93" s="39">
        <f>IF(F93="","",IF(U93=0,"Add - no hours recorded",IF(O93="Absent - no show","Action - no show",IF(U93&gt;10,"Check - over ten hours in a day",IF(Q93&lt;&gt;"Yes","Due - needs approving",IF(R93&lt;&gt;"Yes","Due - not paid yet","OK"))))))</f>
        <v>0</v>
      </c>
    </row>
    <row r="94" spans="1:26">
      <c r="A94" s="43">
        <f>IF(F94="","","TS-"&amp;TEXT(ROW()-4,"0000"))</f>
        <v>0</v>
      </c>
      <c r="B94" s="46">
        <v>46313</v>
      </c>
      <c r="C94" s="23">
        <f>IF(B94="","",TEXT(B94,"ddd"))</f>
        <v>0</v>
      </c>
      <c r="D94" s="31">
        <f>IF(B94="","",WEEKNUM(B94,IF(WeekStart="Sunday",1,2)))</f>
        <v>0</v>
      </c>
      <c r="E94" s="23">
        <f>IF(B94="","",TEXT(B94,"yyyy-mm"))</f>
        <v>0</v>
      </c>
      <c r="F94" s="15" t="s">
        <v>639</v>
      </c>
      <c r="G94" s="49" t="s">
        <v>1551</v>
      </c>
      <c r="H94" s="23">
        <f>IF(G94="","",IFERROR(INDEX(Jobs!$H$5:$H$604,MATCH(G94,Jobs!$A$5:$A$604,0)),""))</f>
        <v>0</v>
      </c>
      <c r="I94" s="15" t="s">
        <v>172</v>
      </c>
      <c r="J94" s="52">
        <v>0.291666666666667</v>
      </c>
      <c r="K94" s="52">
        <v>0.36875</v>
      </c>
      <c r="L94" s="16">
        <v>0</v>
      </c>
      <c r="O94" s="45" t="s">
        <v>1471</v>
      </c>
      <c r="P94" s="47" t="s">
        <v>454</v>
      </c>
      <c r="Q94" s="47" t="s">
        <v>457</v>
      </c>
      <c r="R94" s="47" t="s">
        <v>457</v>
      </c>
      <c r="S94" s="44" t="s">
        <v>172</v>
      </c>
      <c r="T94" s="34">
        <f>IF(OR(J94="",K94=""),"",ROUND((K94-J94)*24-IF(L94="",0,L94)/60,2))</f>
        <v>0</v>
      </c>
      <c r="U94" s="34">
        <f>IF(F94="","",IF(M94&lt;&gt;"",M94,IF(T94="",0,T94)))</f>
        <v>0</v>
      </c>
      <c r="V94" s="21">
        <f>IF(F94="","",IFERROR(INDEX(Employees!$U$5:$U$44,MATCH(F94,Employees!$B$5:$B$44,0)),PayRate*(1+EmployerOncost)))</f>
        <v>0</v>
      </c>
      <c r="W94" s="34">
        <f>IF(F94="","",MAX(0,U94-IF(N94="",0,N94)))</f>
        <v>0</v>
      </c>
      <c r="X94" s="21">
        <f>IF(F94="","",ROUND(W94*V94+IF(N94="",0,N94)*V94*OvertimeRate,2))</f>
        <v>0</v>
      </c>
      <c r="Y94" s="21">
        <f>IF(F94="","",IF(P94&lt;&gt;"Yes",0,ROUND(U94*IF(IFERROR(INDEX(Clients!$O$5:$O$204,MATCH(IFERROR(INDEX(Jobs!$G$5:$G$604,MATCH(G94,Jobs!$A$5:$A$604,0)),""),Clients!$A$5:$A$204,0)),0)&gt;0,INDEX(Clients!$O$5:$O$204,MATCH(INDEX(Jobs!$G$5:$G$604,MATCH(G94,Jobs!$A$5:$A$604,0)),Clients!$A$5:$A$204,0)),HourlyRate),2)))</f>
        <v>0</v>
      </c>
      <c r="Z94" s="39">
        <f>IF(F94="","",IF(U94=0,"Add - no hours recorded",IF(O94="Absent - no show","Action - no show",IF(U94&gt;10,"Check - over ten hours in a day",IF(Q94&lt;&gt;"Yes","Due - needs approving",IF(R94&lt;&gt;"Yes","Due - not paid yet","OK"))))))</f>
        <v>0</v>
      </c>
    </row>
    <row r="95" spans="1:26">
      <c r="A95" s="43">
        <f>IF(F95="","","TS-"&amp;TEXT(ROW()-4,"0000"))</f>
        <v>0</v>
      </c>
      <c r="B95" s="46">
        <v>46304</v>
      </c>
      <c r="C95" s="23">
        <f>IF(B95="","",TEXT(B95,"ddd"))</f>
        <v>0</v>
      </c>
      <c r="D95" s="31">
        <f>IF(B95="","",WEEKNUM(B95,IF(WeekStart="Sunday",1,2)))</f>
        <v>0</v>
      </c>
      <c r="E95" s="23">
        <f>IF(B95="","",TEXT(B95,"yyyy-mm"))</f>
        <v>0</v>
      </c>
      <c r="F95" s="15" t="s">
        <v>178</v>
      </c>
      <c r="G95" s="49" t="s">
        <v>172</v>
      </c>
      <c r="H95" s="23">
        <f>IF(G95="","",IFERROR(INDEX(Jobs!$H$5:$H$604,MATCH(G95,Jobs!$A$5:$A$604,0)),""))</f>
        <v>0</v>
      </c>
      <c r="I95" s="15" t="s">
        <v>1162</v>
      </c>
      <c r="J95" s="52">
        <v>0.708333333333333</v>
      </c>
      <c r="K95" s="52">
        <v>0.770833333333333</v>
      </c>
      <c r="L95" s="16">
        <v>0</v>
      </c>
      <c r="O95" s="45" t="s">
        <v>1471</v>
      </c>
      <c r="P95" s="47" t="s">
        <v>457</v>
      </c>
      <c r="Q95" s="47" t="s">
        <v>454</v>
      </c>
      <c r="R95" s="47" t="s">
        <v>457</v>
      </c>
      <c r="S95" s="44" t="s">
        <v>1552</v>
      </c>
      <c r="T95" s="34">
        <f>IF(OR(J95="",K95=""),"",ROUND((K95-J95)*24-IF(L95="",0,L95)/60,2))</f>
        <v>0</v>
      </c>
      <c r="U95" s="34">
        <f>IF(F95="","",IF(M95&lt;&gt;"",M95,IF(T95="",0,T95)))</f>
        <v>0</v>
      </c>
      <c r="V95" s="21">
        <f>IF(F95="","",IFERROR(INDEX(Employees!$U$5:$U$44,MATCH(F95,Employees!$B$5:$B$44,0)),PayRate*(1+EmployerOncost)))</f>
        <v>0</v>
      </c>
      <c r="W95" s="34">
        <f>IF(F95="","",MAX(0,U95-IF(N95="",0,N95)))</f>
        <v>0</v>
      </c>
      <c r="X95" s="21">
        <f>IF(F95="","",ROUND(W95*V95+IF(N95="",0,N95)*V95*OvertimeRate,2))</f>
        <v>0</v>
      </c>
      <c r="Y95" s="21">
        <f>IF(F95="","",IF(P95&lt;&gt;"Yes",0,ROUND(U95*IF(IFERROR(INDEX(Clients!$O$5:$O$204,MATCH(IFERROR(INDEX(Jobs!$G$5:$G$604,MATCH(G95,Jobs!$A$5:$A$604,0)),""),Clients!$A$5:$A$204,0)),0)&gt;0,INDEX(Clients!$O$5:$O$204,MATCH(INDEX(Jobs!$G$5:$G$604,MATCH(G95,Jobs!$A$5:$A$604,0)),Clients!$A$5:$A$204,0)),HourlyRate),2)))</f>
        <v>0</v>
      </c>
      <c r="Z95" s="39">
        <f>IF(F95="","",IF(U95=0,"Add - no hours recorded",IF(O95="Absent - no show","Action - no show",IF(U95&gt;10,"Check - over ten hours in a day",IF(Q95&lt;&gt;"Yes","Due - needs approving",IF(R95&lt;&gt;"Yes","Due - not paid yet","OK"))))))</f>
        <v>0</v>
      </c>
    </row>
    <row r="96" spans="1:26">
      <c r="A96" s="43">
        <f>IF(F96="","","TS-"&amp;TEXT(ROW()-4,"0000"))</f>
        <v>0</v>
      </c>
      <c r="B96" s="46">
        <v>46307</v>
      </c>
      <c r="C96" s="23">
        <f>IF(B96="","",TEXT(B96,"ddd"))</f>
        <v>0</v>
      </c>
      <c r="D96" s="31">
        <f>IF(B96="","",WEEKNUM(B96,IF(WeekStart="Sunday",1,2)))</f>
        <v>0</v>
      </c>
      <c r="E96" s="23">
        <f>IF(B96="","",TEXT(B96,"yyyy-mm"))</f>
        <v>0</v>
      </c>
      <c r="F96" s="15" t="s">
        <v>584</v>
      </c>
      <c r="G96" s="49" t="s">
        <v>172</v>
      </c>
      <c r="H96" s="23">
        <f>IF(G96="","",IFERROR(INDEX(Jobs!$H$5:$H$604,MATCH(G96,Jobs!$A$5:$A$604,0)),""))</f>
        <v>0</v>
      </c>
      <c r="I96" s="15" t="s">
        <v>1553</v>
      </c>
      <c r="J96" s="52">
        <v>0.375</v>
      </c>
      <c r="K96" s="52">
        <v>0.5</v>
      </c>
      <c r="L96" s="16">
        <v>0</v>
      </c>
      <c r="O96" s="45" t="s">
        <v>1471</v>
      </c>
      <c r="P96" s="47" t="s">
        <v>457</v>
      </c>
      <c r="Q96" s="47" t="s">
        <v>454</v>
      </c>
      <c r="R96" s="47" t="s">
        <v>457</v>
      </c>
      <c r="S96" s="44" t="s">
        <v>1554</v>
      </c>
      <c r="T96" s="34">
        <f>IF(OR(J96="",K96=""),"",ROUND((K96-J96)*24-IF(L96="",0,L96)/60,2))</f>
        <v>0</v>
      </c>
      <c r="U96" s="34">
        <f>IF(F96="","",IF(M96&lt;&gt;"",M96,IF(T96="",0,T96)))</f>
        <v>0</v>
      </c>
      <c r="V96" s="21">
        <f>IF(F96="","",IFERROR(INDEX(Employees!$U$5:$U$44,MATCH(F96,Employees!$B$5:$B$44,0)),PayRate*(1+EmployerOncost)))</f>
        <v>0</v>
      </c>
      <c r="W96" s="34">
        <f>IF(F96="","",MAX(0,U96-IF(N96="",0,N96)))</f>
        <v>0</v>
      </c>
      <c r="X96" s="21">
        <f>IF(F96="","",ROUND(W96*V96+IF(N96="",0,N96)*V96*OvertimeRate,2))</f>
        <v>0</v>
      </c>
      <c r="Y96" s="21">
        <f>IF(F96="","",IF(P96&lt;&gt;"Yes",0,ROUND(U96*IF(IFERROR(INDEX(Clients!$O$5:$O$204,MATCH(IFERROR(INDEX(Jobs!$G$5:$G$604,MATCH(G96,Jobs!$A$5:$A$604,0)),""),Clients!$A$5:$A$204,0)),0)&gt;0,INDEX(Clients!$O$5:$O$204,MATCH(INDEX(Jobs!$G$5:$G$604,MATCH(G96,Jobs!$A$5:$A$604,0)),Clients!$A$5:$A$204,0)),HourlyRate),2)))</f>
        <v>0</v>
      </c>
      <c r="Z96" s="39">
        <f>IF(F96="","",IF(U96=0,"Add - no hours recorded",IF(O96="Absent - no show","Action - no show",IF(U96&gt;10,"Check - over ten hours in a day",IF(Q96&lt;&gt;"Yes","Due - needs approving",IF(R96&lt;&gt;"Yes","Due - not paid yet","OK"))))))</f>
        <v>0</v>
      </c>
    </row>
    <row r="97" spans="1:26">
      <c r="A97" s="43">
        <f>IF(F97="","","TS-"&amp;TEXT(ROW()-4,"0000"))</f>
        <v>0</v>
      </c>
      <c r="B97" s="46">
        <v>46309</v>
      </c>
      <c r="C97" s="23">
        <f>IF(B97="","",TEXT(B97,"ddd"))</f>
        <v>0</v>
      </c>
      <c r="D97" s="31">
        <f>IF(B97="","",WEEKNUM(B97,IF(WeekStart="Sunday",1,2)))</f>
        <v>0</v>
      </c>
      <c r="E97" s="23">
        <f>IF(B97="","",TEXT(B97,"yyyy-mm"))</f>
        <v>0</v>
      </c>
      <c r="F97" s="15" t="s">
        <v>664</v>
      </c>
      <c r="G97" s="49" t="s">
        <v>172</v>
      </c>
      <c r="H97" s="23">
        <f>IF(G97="","",IFERROR(INDEX(Jobs!$H$5:$H$604,MATCH(G97,Jobs!$A$5:$A$604,0)),""))</f>
        <v>0</v>
      </c>
      <c r="I97" s="15" t="s">
        <v>1555</v>
      </c>
      <c r="J97" s="52">
        <v>0.333333333333333</v>
      </c>
      <c r="K97" s="52">
        <v>0.375</v>
      </c>
      <c r="L97" s="16">
        <v>0</v>
      </c>
      <c r="O97" s="45" t="s">
        <v>1471</v>
      </c>
      <c r="P97" s="47" t="s">
        <v>457</v>
      </c>
      <c r="Q97" s="47" t="s">
        <v>454</v>
      </c>
      <c r="R97" s="47" t="s">
        <v>457</v>
      </c>
      <c r="S97" s="44" t="s">
        <v>1556</v>
      </c>
      <c r="T97" s="34">
        <f>IF(OR(J97="",K97=""),"",ROUND((K97-J97)*24-IF(L97="",0,L97)/60,2))</f>
        <v>0</v>
      </c>
      <c r="U97" s="34">
        <f>IF(F97="","",IF(M97&lt;&gt;"",M97,IF(T97="",0,T97)))</f>
        <v>0</v>
      </c>
      <c r="V97" s="21">
        <f>IF(F97="","",IFERROR(INDEX(Employees!$U$5:$U$44,MATCH(F97,Employees!$B$5:$B$44,0)),PayRate*(1+EmployerOncost)))</f>
        <v>0</v>
      </c>
      <c r="W97" s="34">
        <f>IF(F97="","",MAX(0,U97-IF(N97="",0,N97)))</f>
        <v>0</v>
      </c>
      <c r="X97" s="21">
        <f>IF(F97="","",ROUND(W97*V97+IF(N97="",0,N97)*V97*OvertimeRate,2))</f>
        <v>0</v>
      </c>
      <c r="Y97" s="21">
        <f>IF(F97="","",IF(P97&lt;&gt;"Yes",0,ROUND(U97*IF(IFERROR(INDEX(Clients!$O$5:$O$204,MATCH(IFERROR(INDEX(Jobs!$G$5:$G$604,MATCH(G97,Jobs!$A$5:$A$604,0)),""),Clients!$A$5:$A$204,0)),0)&gt;0,INDEX(Clients!$O$5:$O$204,MATCH(INDEX(Jobs!$G$5:$G$604,MATCH(G97,Jobs!$A$5:$A$604,0)),Clients!$A$5:$A$204,0)),HourlyRate),2)))</f>
        <v>0</v>
      </c>
      <c r="Z97" s="39">
        <f>IF(F97="","",IF(U97=0,"Add - no hours recorded",IF(O97="Absent - no show","Action - no show",IF(U97&gt;10,"Check - over ten hours in a day",IF(Q97&lt;&gt;"Yes","Due - needs approving",IF(R97&lt;&gt;"Yes","Due - not paid yet","OK"))))))</f>
        <v>0</v>
      </c>
    </row>
    <row r="98" spans="1:26">
      <c r="A98" s="43">
        <f>IF(F98="","","TS-"&amp;TEXT(ROW()-4,"0000"))</f>
        <v>0</v>
      </c>
      <c r="B98" s="46">
        <v>46311</v>
      </c>
      <c r="C98" s="23">
        <f>IF(B98="","",TEXT(B98,"ddd"))</f>
        <v>0</v>
      </c>
      <c r="D98" s="31">
        <f>IF(B98="","",WEEKNUM(B98,IF(WeekStart="Sunday",1,2)))</f>
        <v>0</v>
      </c>
      <c r="E98" s="23">
        <f>IF(B98="","",TEXT(B98,"yyyy-mm"))</f>
        <v>0</v>
      </c>
      <c r="F98" s="15" t="s">
        <v>178</v>
      </c>
      <c r="G98" s="49" t="s">
        <v>172</v>
      </c>
      <c r="H98" s="23">
        <f>IF(G98="","",IFERROR(INDEX(Jobs!$H$5:$H$604,MATCH(G98,Jobs!$A$5:$A$604,0)),""))</f>
        <v>0</v>
      </c>
      <c r="I98" s="15" t="s">
        <v>1557</v>
      </c>
      <c r="J98" s="52">
        <v>0.583333333333333</v>
      </c>
      <c r="K98" s="52">
        <v>0.666666666666667</v>
      </c>
      <c r="L98" s="16">
        <v>0</v>
      </c>
      <c r="O98" s="45" t="s">
        <v>1471</v>
      </c>
      <c r="P98" s="47" t="s">
        <v>457</v>
      </c>
      <c r="Q98" s="47" t="s">
        <v>454</v>
      </c>
      <c r="R98" s="47" t="s">
        <v>457</v>
      </c>
      <c r="S98" s="44" t="s">
        <v>1558</v>
      </c>
      <c r="T98" s="34">
        <f>IF(OR(J98="",K98=""),"",ROUND((K98-J98)*24-IF(L98="",0,L98)/60,2))</f>
        <v>0</v>
      </c>
      <c r="U98" s="34">
        <f>IF(F98="","",IF(M98&lt;&gt;"",M98,IF(T98="",0,T98)))</f>
        <v>0</v>
      </c>
      <c r="V98" s="21">
        <f>IF(F98="","",IFERROR(INDEX(Employees!$U$5:$U$44,MATCH(F98,Employees!$B$5:$B$44,0)),PayRate*(1+EmployerOncost)))</f>
        <v>0</v>
      </c>
      <c r="W98" s="34">
        <f>IF(F98="","",MAX(0,U98-IF(N98="",0,N98)))</f>
        <v>0</v>
      </c>
      <c r="X98" s="21">
        <f>IF(F98="","",ROUND(W98*V98+IF(N98="",0,N98)*V98*OvertimeRate,2))</f>
        <v>0</v>
      </c>
      <c r="Y98" s="21">
        <f>IF(F98="","",IF(P98&lt;&gt;"Yes",0,ROUND(U98*IF(IFERROR(INDEX(Clients!$O$5:$O$204,MATCH(IFERROR(INDEX(Jobs!$G$5:$G$604,MATCH(G98,Jobs!$A$5:$A$604,0)),""),Clients!$A$5:$A$204,0)),0)&gt;0,INDEX(Clients!$O$5:$O$204,MATCH(INDEX(Jobs!$G$5:$G$604,MATCH(G98,Jobs!$A$5:$A$604,0)),Clients!$A$5:$A$204,0)),HourlyRate),2)))</f>
        <v>0</v>
      </c>
      <c r="Z98" s="39">
        <f>IF(F98="","",IF(U98=0,"Add - no hours recorded",IF(O98="Absent - no show","Action - no show",IF(U98&gt;10,"Check - over ten hours in a day",IF(Q98&lt;&gt;"Yes","Due - needs approving",IF(R98&lt;&gt;"Yes","Due - not paid yet","OK"))))))</f>
        <v>0</v>
      </c>
    </row>
    <row r="99" spans="1:26">
      <c r="A99" s="43">
        <f>IF(F99="","","TS-"&amp;TEXT(ROW()-4,"0000"))</f>
        <v>0</v>
      </c>
      <c r="B99" s="46">
        <v>46300</v>
      </c>
      <c r="C99" s="23">
        <f>IF(B99="","",TEXT(B99,"ddd"))</f>
        <v>0</v>
      </c>
      <c r="D99" s="31">
        <f>IF(B99="","",WEEKNUM(B99,IF(WeekStart="Sunday",1,2)))</f>
        <v>0</v>
      </c>
      <c r="E99" s="23">
        <f>IF(B99="","",TEXT(B99,"yyyy-mm"))</f>
        <v>0</v>
      </c>
      <c r="F99" s="15" t="s">
        <v>639</v>
      </c>
      <c r="G99" s="49" t="s">
        <v>172</v>
      </c>
      <c r="H99" s="23">
        <f>IF(G99="","",IFERROR(INDEX(Jobs!$H$5:$H$604,MATCH(G99,Jobs!$A$5:$A$604,0)),""))</f>
        <v>0</v>
      </c>
      <c r="I99" s="15" t="s">
        <v>172</v>
      </c>
      <c r="L99" s="16">
        <v>0</v>
      </c>
      <c r="M99" s="17">
        <v>0</v>
      </c>
      <c r="O99" s="45" t="s">
        <v>1559</v>
      </c>
      <c r="P99" s="47" t="s">
        <v>457</v>
      </c>
      <c r="Q99" s="47" t="s">
        <v>454</v>
      </c>
      <c r="R99" s="47" t="s">
        <v>454</v>
      </c>
      <c r="S99" s="44" t="s">
        <v>1560</v>
      </c>
      <c r="T99" s="34">
        <f>IF(OR(J99="",K99=""),"",ROUND((K99-J99)*24-IF(L99="",0,L99)/60,2))</f>
        <v>0</v>
      </c>
      <c r="U99" s="34">
        <f>IF(F99="","",IF(M99&lt;&gt;"",M99,IF(T99="",0,T99)))</f>
        <v>0</v>
      </c>
      <c r="V99" s="21">
        <f>IF(F99="","",IFERROR(INDEX(Employees!$U$5:$U$44,MATCH(F99,Employees!$B$5:$B$44,0)),PayRate*(1+EmployerOncost)))</f>
        <v>0</v>
      </c>
      <c r="W99" s="34">
        <f>IF(F99="","",MAX(0,U99-IF(N99="",0,N99)))</f>
        <v>0</v>
      </c>
      <c r="X99" s="21">
        <f>IF(F99="","",ROUND(W99*V99+IF(N99="",0,N99)*V99*OvertimeRate,2))</f>
        <v>0</v>
      </c>
      <c r="Y99" s="21">
        <f>IF(F99="","",IF(P99&lt;&gt;"Yes",0,ROUND(U99*IF(IFERROR(INDEX(Clients!$O$5:$O$204,MATCH(IFERROR(INDEX(Jobs!$G$5:$G$604,MATCH(G99,Jobs!$A$5:$A$604,0)),""),Clients!$A$5:$A$204,0)),0)&gt;0,INDEX(Clients!$O$5:$O$204,MATCH(INDEX(Jobs!$G$5:$G$604,MATCH(G99,Jobs!$A$5:$A$604,0)),Clients!$A$5:$A$204,0)),HourlyRate),2)))</f>
        <v>0</v>
      </c>
      <c r="Z99" s="39">
        <f>IF(F99="","",IF(U99=0,"Add - no hours recorded",IF(O99="Absent - no show","Action - no show",IF(U99&gt;10,"Check - over ten hours in a day",IF(Q99&lt;&gt;"Yes","Due - needs approving",IF(R99&lt;&gt;"Yes","Due - not paid yet","OK"))))))</f>
        <v>0</v>
      </c>
    </row>
    <row r="100" spans="1:26">
      <c r="A100" s="43">
        <f>IF(F100="","","TS-"&amp;TEXT(ROW()-4,"0000"))</f>
        <v>0</v>
      </c>
      <c r="C100" s="23">
        <f>IF(B100="","",TEXT(B100,"ddd"))</f>
        <v>0</v>
      </c>
      <c r="D100" s="31">
        <f>IF(B100="","",WEEKNUM(B100,IF(WeekStart="Sunday",1,2)))</f>
        <v>0</v>
      </c>
      <c r="E100" s="23">
        <f>IF(B100="","",TEXT(B100,"yyyy-mm"))</f>
        <v>0</v>
      </c>
      <c r="H100" s="23">
        <f>IF(G100="","",IFERROR(INDEX(Jobs!$H$5:$H$604,MATCH(G100,Jobs!$A$5:$A$604,0)),""))</f>
        <v>0</v>
      </c>
      <c r="T100" s="34">
        <f>IF(OR(J100="",K100=""),"",ROUND((K100-J100)*24-IF(L100="",0,L100)/60,2))</f>
        <v>0</v>
      </c>
      <c r="U100" s="34">
        <f>IF(F100="","",IF(M100&lt;&gt;"",M100,IF(T100="",0,T100)))</f>
        <v>0</v>
      </c>
      <c r="V100" s="21">
        <f>IF(F100="","",IFERROR(INDEX(Employees!$U$5:$U$44,MATCH(F100,Employees!$B$5:$B$44,0)),PayRate*(1+EmployerOncost)))</f>
        <v>0</v>
      </c>
      <c r="W100" s="34">
        <f>IF(F100="","",MAX(0,U100-IF(N100="",0,N100)))</f>
        <v>0</v>
      </c>
      <c r="X100" s="21">
        <f>IF(F100="","",ROUND(W100*V100+IF(N100="",0,N100)*V100*OvertimeRate,2))</f>
        <v>0</v>
      </c>
      <c r="Y100" s="21">
        <f>IF(F100="","",IF(P100&lt;&gt;"Yes",0,ROUND(U100*IF(IFERROR(INDEX(Clients!$O$5:$O$204,MATCH(IFERROR(INDEX(Jobs!$G$5:$G$604,MATCH(G100,Jobs!$A$5:$A$604,0)),""),Clients!$A$5:$A$204,0)),0)&gt;0,INDEX(Clients!$O$5:$O$204,MATCH(INDEX(Jobs!$G$5:$G$604,MATCH(G100,Jobs!$A$5:$A$604,0)),Clients!$A$5:$A$204,0)),HourlyRate),2)))</f>
        <v>0</v>
      </c>
      <c r="Z100" s="39">
        <f>IF(F100="","",IF(U100=0,"Add - no hours recorded",IF(O100="Absent - no show","Action - no show",IF(U100&gt;10,"Check - over ten hours in a day",IF(Q100&lt;&gt;"Yes","Due - needs approving",IF(R100&lt;&gt;"Yes","Due - not paid yet","OK"))))))</f>
        <v>0</v>
      </c>
    </row>
    <row r="101" spans="1:26">
      <c r="A101" s="43">
        <f>IF(F101="","","TS-"&amp;TEXT(ROW()-4,"0000"))</f>
        <v>0</v>
      </c>
      <c r="C101" s="23">
        <f>IF(B101="","",TEXT(B101,"ddd"))</f>
        <v>0</v>
      </c>
      <c r="D101" s="31">
        <f>IF(B101="","",WEEKNUM(B101,IF(WeekStart="Sunday",1,2)))</f>
        <v>0</v>
      </c>
      <c r="E101" s="23">
        <f>IF(B101="","",TEXT(B101,"yyyy-mm"))</f>
        <v>0</v>
      </c>
      <c r="H101" s="23">
        <f>IF(G101="","",IFERROR(INDEX(Jobs!$H$5:$H$604,MATCH(G101,Jobs!$A$5:$A$604,0)),""))</f>
        <v>0</v>
      </c>
      <c r="T101" s="34">
        <f>IF(OR(J101="",K101=""),"",ROUND((K101-J101)*24-IF(L101="",0,L101)/60,2))</f>
        <v>0</v>
      </c>
      <c r="U101" s="34">
        <f>IF(F101="","",IF(M101&lt;&gt;"",M101,IF(T101="",0,T101)))</f>
        <v>0</v>
      </c>
      <c r="V101" s="21">
        <f>IF(F101="","",IFERROR(INDEX(Employees!$U$5:$U$44,MATCH(F101,Employees!$B$5:$B$44,0)),PayRate*(1+EmployerOncost)))</f>
        <v>0</v>
      </c>
      <c r="W101" s="34">
        <f>IF(F101="","",MAX(0,U101-IF(N101="",0,N101)))</f>
        <v>0</v>
      </c>
      <c r="X101" s="21">
        <f>IF(F101="","",ROUND(W101*V101+IF(N101="",0,N101)*V101*OvertimeRate,2))</f>
        <v>0</v>
      </c>
      <c r="Y101" s="21">
        <f>IF(F101="","",IF(P101&lt;&gt;"Yes",0,ROUND(U101*IF(IFERROR(INDEX(Clients!$O$5:$O$204,MATCH(IFERROR(INDEX(Jobs!$G$5:$G$604,MATCH(G101,Jobs!$A$5:$A$604,0)),""),Clients!$A$5:$A$204,0)),0)&gt;0,INDEX(Clients!$O$5:$O$204,MATCH(INDEX(Jobs!$G$5:$G$604,MATCH(G101,Jobs!$A$5:$A$604,0)),Clients!$A$5:$A$204,0)),HourlyRate),2)))</f>
        <v>0</v>
      </c>
      <c r="Z101" s="39">
        <f>IF(F101="","",IF(U101=0,"Add - no hours recorded",IF(O101="Absent - no show","Action - no show",IF(U101&gt;10,"Check - over ten hours in a day",IF(Q101&lt;&gt;"Yes","Due - needs approving",IF(R101&lt;&gt;"Yes","Due - not paid yet","OK"))))))</f>
        <v>0</v>
      </c>
    </row>
    <row r="102" spans="1:26">
      <c r="A102" s="43">
        <f>IF(F102="","","TS-"&amp;TEXT(ROW()-4,"0000"))</f>
        <v>0</v>
      </c>
      <c r="C102" s="23">
        <f>IF(B102="","",TEXT(B102,"ddd"))</f>
        <v>0</v>
      </c>
      <c r="D102" s="31">
        <f>IF(B102="","",WEEKNUM(B102,IF(WeekStart="Sunday",1,2)))</f>
        <v>0</v>
      </c>
      <c r="E102" s="23">
        <f>IF(B102="","",TEXT(B102,"yyyy-mm"))</f>
        <v>0</v>
      </c>
      <c r="H102" s="23">
        <f>IF(G102="","",IFERROR(INDEX(Jobs!$H$5:$H$604,MATCH(G102,Jobs!$A$5:$A$604,0)),""))</f>
        <v>0</v>
      </c>
      <c r="T102" s="34">
        <f>IF(OR(J102="",K102=""),"",ROUND((K102-J102)*24-IF(L102="",0,L102)/60,2))</f>
        <v>0</v>
      </c>
      <c r="U102" s="34">
        <f>IF(F102="","",IF(M102&lt;&gt;"",M102,IF(T102="",0,T102)))</f>
        <v>0</v>
      </c>
      <c r="V102" s="21">
        <f>IF(F102="","",IFERROR(INDEX(Employees!$U$5:$U$44,MATCH(F102,Employees!$B$5:$B$44,0)),PayRate*(1+EmployerOncost)))</f>
        <v>0</v>
      </c>
      <c r="W102" s="34">
        <f>IF(F102="","",MAX(0,U102-IF(N102="",0,N102)))</f>
        <v>0</v>
      </c>
      <c r="X102" s="21">
        <f>IF(F102="","",ROUND(W102*V102+IF(N102="",0,N102)*V102*OvertimeRate,2))</f>
        <v>0</v>
      </c>
      <c r="Y102" s="21">
        <f>IF(F102="","",IF(P102&lt;&gt;"Yes",0,ROUND(U102*IF(IFERROR(INDEX(Clients!$O$5:$O$204,MATCH(IFERROR(INDEX(Jobs!$G$5:$G$604,MATCH(G102,Jobs!$A$5:$A$604,0)),""),Clients!$A$5:$A$204,0)),0)&gt;0,INDEX(Clients!$O$5:$O$204,MATCH(INDEX(Jobs!$G$5:$G$604,MATCH(G102,Jobs!$A$5:$A$604,0)),Clients!$A$5:$A$204,0)),HourlyRate),2)))</f>
        <v>0</v>
      </c>
      <c r="Z102" s="39">
        <f>IF(F102="","",IF(U102=0,"Add - no hours recorded",IF(O102="Absent - no show","Action - no show",IF(U102&gt;10,"Check - over ten hours in a day",IF(Q102&lt;&gt;"Yes","Due - needs approving",IF(R102&lt;&gt;"Yes","Due - not paid yet","OK"))))))</f>
        <v>0</v>
      </c>
    </row>
    <row r="103" spans="1:26">
      <c r="A103" s="43">
        <f>IF(F103="","","TS-"&amp;TEXT(ROW()-4,"0000"))</f>
        <v>0</v>
      </c>
      <c r="C103" s="23">
        <f>IF(B103="","",TEXT(B103,"ddd"))</f>
        <v>0</v>
      </c>
      <c r="D103" s="31">
        <f>IF(B103="","",WEEKNUM(B103,IF(WeekStart="Sunday",1,2)))</f>
        <v>0</v>
      </c>
      <c r="E103" s="23">
        <f>IF(B103="","",TEXT(B103,"yyyy-mm"))</f>
        <v>0</v>
      </c>
      <c r="H103" s="23">
        <f>IF(G103="","",IFERROR(INDEX(Jobs!$H$5:$H$604,MATCH(G103,Jobs!$A$5:$A$604,0)),""))</f>
        <v>0</v>
      </c>
      <c r="T103" s="34">
        <f>IF(OR(J103="",K103=""),"",ROUND((K103-J103)*24-IF(L103="",0,L103)/60,2))</f>
        <v>0</v>
      </c>
      <c r="U103" s="34">
        <f>IF(F103="","",IF(M103&lt;&gt;"",M103,IF(T103="",0,T103)))</f>
        <v>0</v>
      </c>
      <c r="V103" s="21">
        <f>IF(F103="","",IFERROR(INDEX(Employees!$U$5:$U$44,MATCH(F103,Employees!$B$5:$B$44,0)),PayRate*(1+EmployerOncost)))</f>
        <v>0</v>
      </c>
      <c r="W103" s="34">
        <f>IF(F103="","",MAX(0,U103-IF(N103="",0,N103)))</f>
        <v>0</v>
      </c>
      <c r="X103" s="21">
        <f>IF(F103="","",ROUND(W103*V103+IF(N103="",0,N103)*V103*OvertimeRate,2))</f>
        <v>0</v>
      </c>
      <c r="Y103" s="21">
        <f>IF(F103="","",IF(P103&lt;&gt;"Yes",0,ROUND(U103*IF(IFERROR(INDEX(Clients!$O$5:$O$204,MATCH(IFERROR(INDEX(Jobs!$G$5:$G$604,MATCH(G103,Jobs!$A$5:$A$604,0)),""),Clients!$A$5:$A$204,0)),0)&gt;0,INDEX(Clients!$O$5:$O$204,MATCH(INDEX(Jobs!$G$5:$G$604,MATCH(G103,Jobs!$A$5:$A$604,0)),Clients!$A$5:$A$204,0)),HourlyRate),2)))</f>
        <v>0</v>
      </c>
      <c r="Z103" s="39">
        <f>IF(F103="","",IF(U103=0,"Add - no hours recorded",IF(O103="Absent - no show","Action - no show",IF(U103&gt;10,"Check - over ten hours in a day",IF(Q103&lt;&gt;"Yes","Due - needs approving",IF(R103&lt;&gt;"Yes","Due - not paid yet","OK"))))))</f>
        <v>0</v>
      </c>
    </row>
    <row r="104" spans="1:26">
      <c r="A104" s="43">
        <f>IF(F104="","","TS-"&amp;TEXT(ROW()-4,"0000"))</f>
        <v>0</v>
      </c>
      <c r="C104" s="23">
        <f>IF(B104="","",TEXT(B104,"ddd"))</f>
        <v>0</v>
      </c>
      <c r="D104" s="31">
        <f>IF(B104="","",WEEKNUM(B104,IF(WeekStart="Sunday",1,2)))</f>
        <v>0</v>
      </c>
      <c r="E104" s="23">
        <f>IF(B104="","",TEXT(B104,"yyyy-mm"))</f>
        <v>0</v>
      </c>
      <c r="H104" s="23">
        <f>IF(G104="","",IFERROR(INDEX(Jobs!$H$5:$H$604,MATCH(G104,Jobs!$A$5:$A$604,0)),""))</f>
        <v>0</v>
      </c>
      <c r="T104" s="34">
        <f>IF(OR(J104="",K104=""),"",ROUND((K104-J104)*24-IF(L104="",0,L104)/60,2))</f>
        <v>0</v>
      </c>
      <c r="U104" s="34">
        <f>IF(F104="","",IF(M104&lt;&gt;"",M104,IF(T104="",0,T104)))</f>
        <v>0</v>
      </c>
      <c r="V104" s="21">
        <f>IF(F104="","",IFERROR(INDEX(Employees!$U$5:$U$44,MATCH(F104,Employees!$B$5:$B$44,0)),PayRate*(1+EmployerOncost)))</f>
        <v>0</v>
      </c>
      <c r="W104" s="34">
        <f>IF(F104="","",MAX(0,U104-IF(N104="",0,N104)))</f>
        <v>0</v>
      </c>
      <c r="X104" s="21">
        <f>IF(F104="","",ROUND(W104*V104+IF(N104="",0,N104)*V104*OvertimeRate,2))</f>
        <v>0</v>
      </c>
      <c r="Y104" s="21">
        <f>IF(F104="","",IF(P104&lt;&gt;"Yes",0,ROUND(U104*IF(IFERROR(INDEX(Clients!$O$5:$O$204,MATCH(IFERROR(INDEX(Jobs!$G$5:$G$604,MATCH(G104,Jobs!$A$5:$A$604,0)),""),Clients!$A$5:$A$204,0)),0)&gt;0,INDEX(Clients!$O$5:$O$204,MATCH(INDEX(Jobs!$G$5:$G$604,MATCH(G104,Jobs!$A$5:$A$604,0)),Clients!$A$5:$A$204,0)),HourlyRate),2)))</f>
        <v>0</v>
      </c>
      <c r="Z104" s="39">
        <f>IF(F104="","",IF(U104=0,"Add - no hours recorded",IF(O104="Absent - no show","Action - no show",IF(U104&gt;10,"Check - over ten hours in a day",IF(Q104&lt;&gt;"Yes","Due - needs approving",IF(R104&lt;&gt;"Yes","Due - not paid yet","OK"))))))</f>
        <v>0</v>
      </c>
    </row>
    <row r="105" spans="1:26">
      <c r="A105" s="43">
        <f>IF(F105="","","TS-"&amp;TEXT(ROW()-4,"0000"))</f>
        <v>0</v>
      </c>
      <c r="C105" s="23">
        <f>IF(B105="","",TEXT(B105,"ddd"))</f>
        <v>0</v>
      </c>
      <c r="D105" s="31">
        <f>IF(B105="","",WEEKNUM(B105,IF(WeekStart="Sunday",1,2)))</f>
        <v>0</v>
      </c>
      <c r="E105" s="23">
        <f>IF(B105="","",TEXT(B105,"yyyy-mm"))</f>
        <v>0</v>
      </c>
      <c r="H105" s="23">
        <f>IF(G105="","",IFERROR(INDEX(Jobs!$H$5:$H$604,MATCH(G105,Jobs!$A$5:$A$604,0)),""))</f>
        <v>0</v>
      </c>
      <c r="T105" s="34">
        <f>IF(OR(J105="",K105=""),"",ROUND((K105-J105)*24-IF(L105="",0,L105)/60,2))</f>
        <v>0</v>
      </c>
      <c r="U105" s="34">
        <f>IF(F105="","",IF(M105&lt;&gt;"",M105,IF(T105="",0,T105)))</f>
        <v>0</v>
      </c>
      <c r="V105" s="21">
        <f>IF(F105="","",IFERROR(INDEX(Employees!$U$5:$U$44,MATCH(F105,Employees!$B$5:$B$44,0)),PayRate*(1+EmployerOncost)))</f>
        <v>0</v>
      </c>
      <c r="W105" s="34">
        <f>IF(F105="","",MAX(0,U105-IF(N105="",0,N105)))</f>
        <v>0</v>
      </c>
      <c r="X105" s="21">
        <f>IF(F105="","",ROUND(W105*V105+IF(N105="",0,N105)*V105*OvertimeRate,2))</f>
        <v>0</v>
      </c>
      <c r="Y105" s="21">
        <f>IF(F105="","",IF(P105&lt;&gt;"Yes",0,ROUND(U105*IF(IFERROR(INDEX(Clients!$O$5:$O$204,MATCH(IFERROR(INDEX(Jobs!$G$5:$G$604,MATCH(G105,Jobs!$A$5:$A$604,0)),""),Clients!$A$5:$A$204,0)),0)&gt;0,INDEX(Clients!$O$5:$O$204,MATCH(INDEX(Jobs!$G$5:$G$604,MATCH(G105,Jobs!$A$5:$A$604,0)),Clients!$A$5:$A$204,0)),HourlyRate),2)))</f>
        <v>0</v>
      </c>
      <c r="Z105" s="39">
        <f>IF(F105="","",IF(U105=0,"Add - no hours recorded",IF(O105="Absent - no show","Action - no show",IF(U105&gt;10,"Check - over ten hours in a day",IF(Q105&lt;&gt;"Yes","Due - needs approving",IF(R105&lt;&gt;"Yes","Due - not paid yet","OK"))))))</f>
        <v>0</v>
      </c>
    </row>
    <row r="106" spans="1:26">
      <c r="A106" s="43">
        <f>IF(F106="","","TS-"&amp;TEXT(ROW()-4,"0000"))</f>
        <v>0</v>
      </c>
      <c r="C106" s="23">
        <f>IF(B106="","",TEXT(B106,"ddd"))</f>
        <v>0</v>
      </c>
      <c r="D106" s="31">
        <f>IF(B106="","",WEEKNUM(B106,IF(WeekStart="Sunday",1,2)))</f>
        <v>0</v>
      </c>
      <c r="E106" s="23">
        <f>IF(B106="","",TEXT(B106,"yyyy-mm"))</f>
        <v>0</v>
      </c>
      <c r="H106" s="23">
        <f>IF(G106="","",IFERROR(INDEX(Jobs!$H$5:$H$604,MATCH(G106,Jobs!$A$5:$A$604,0)),""))</f>
        <v>0</v>
      </c>
      <c r="T106" s="34">
        <f>IF(OR(J106="",K106=""),"",ROUND((K106-J106)*24-IF(L106="",0,L106)/60,2))</f>
        <v>0</v>
      </c>
      <c r="U106" s="34">
        <f>IF(F106="","",IF(M106&lt;&gt;"",M106,IF(T106="",0,T106)))</f>
        <v>0</v>
      </c>
      <c r="V106" s="21">
        <f>IF(F106="","",IFERROR(INDEX(Employees!$U$5:$U$44,MATCH(F106,Employees!$B$5:$B$44,0)),PayRate*(1+EmployerOncost)))</f>
        <v>0</v>
      </c>
      <c r="W106" s="34">
        <f>IF(F106="","",MAX(0,U106-IF(N106="",0,N106)))</f>
        <v>0</v>
      </c>
      <c r="X106" s="21">
        <f>IF(F106="","",ROUND(W106*V106+IF(N106="",0,N106)*V106*OvertimeRate,2))</f>
        <v>0</v>
      </c>
      <c r="Y106" s="21">
        <f>IF(F106="","",IF(P106&lt;&gt;"Yes",0,ROUND(U106*IF(IFERROR(INDEX(Clients!$O$5:$O$204,MATCH(IFERROR(INDEX(Jobs!$G$5:$G$604,MATCH(G106,Jobs!$A$5:$A$604,0)),""),Clients!$A$5:$A$204,0)),0)&gt;0,INDEX(Clients!$O$5:$O$204,MATCH(INDEX(Jobs!$G$5:$G$604,MATCH(G106,Jobs!$A$5:$A$604,0)),Clients!$A$5:$A$204,0)),HourlyRate),2)))</f>
        <v>0</v>
      </c>
      <c r="Z106" s="39">
        <f>IF(F106="","",IF(U106=0,"Add - no hours recorded",IF(O106="Absent - no show","Action - no show",IF(U106&gt;10,"Check - over ten hours in a day",IF(Q106&lt;&gt;"Yes","Due - needs approving",IF(R106&lt;&gt;"Yes","Due - not paid yet","OK"))))))</f>
        <v>0</v>
      </c>
    </row>
    <row r="107" spans="1:26">
      <c r="A107" s="43">
        <f>IF(F107="","","TS-"&amp;TEXT(ROW()-4,"0000"))</f>
        <v>0</v>
      </c>
      <c r="C107" s="23">
        <f>IF(B107="","",TEXT(B107,"ddd"))</f>
        <v>0</v>
      </c>
      <c r="D107" s="31">
        <f>IF(B107="","",WEEKNUM(B107,IF(WeekStart="Sunday",1,2)))</f>
        <v>0</v>
      </c>
      <c r="E107" s="23">
        <f>IF(B107="","",TEXT(B107,"yyyy-mm"))</f>
        <v>0</v>
      </c>
      <c r="H107" s="23">
        <f>IF(G107="","",IFERROR(INDEX(Jobs!$H$5:$H$604,MATCH(G107,Jobs!$A$5:$A$604,0)),""))</f>
        <v>0</v>
      </c>
      <c r="T107" s="34">
        <f>IF(OR(J107="",K107=""),"",ROUND((K107-J107)*24-IF(L107="",0,L107)/60,2))</f>
        <v>0</v>
      </c>
      <c r="U107" s="34">
        <f>IF(F107="","",IF(M107&lt;&gt;"",M107,IF(T107="",0,T107)))</f>
        <v>0</v>
      </c>
      <c r="V107" s="21">
        <f>IF(F107="","",IFERROR(INDEX(Employees!$U$5:$U$44,MATCH(F107,Employees!$B$5:$B$44,0)),PayRate*(1+EmployerOncost)))</f>
        <v>0</v>
      </c>
      <c r="W107" s="34">
        <f>IF(F107="","",MAX(0,U107-IF(N107="",0,N107)))</f>
        <v>0</v>
      </c>
      <c r="X107" s="21">
        <f>IF(F107="","",ROUND(W107*V107+IF(N107="",0,N107)*V107*OvertimeRate,2))</f>
        <v>0</v>
      </c>
      <c r="Y107" s="21">
        <f>IF(F107="","",IF(P107&lt;&gt;"Yes",0,ROUND(U107*IF(IFERROR(INDEX(Clients!$O$5:$O$204,MATCH(IFERROR(INDEX(Jobs!$G$5:$G$604,MATCH(G107,Jobs!$A$5:$A$604,0)),""),Clients!$A$5:$A$204,0)),0)&gt;0,INDEX(Clients!$O$5:$O$204,MATCH(INDEX(Jobs!$G$5:$G$604,MATCH(G107,Jobs!$A$5:$A$604,0)),Clients!$A$5:$A$204,0)),HourlyRate),2)))</f>
        <v>0</v>
      </c>
      <c r="Z107" s="39">
        <f>IF(F107="","",IF(U107=0,"Add - no hours recorded",IF(O107="Absent - no show","Action - no show",IF(U107&gt;10,"Check - over ten hours in a day",IF(Q107&lt;&gt;"Yes","Due - needs approving",IF(R107&lt;&gt;"Yes","Due - not paid yet","OK"))))))</f>
        <v>0</v>
      </c>
    </row>
    <row r="108" spans="1:26">
      <c r="A108" s="43">
        <f>IF(F108="","","TS-"&amp;TEXT(ROW()-4,"0000"))</f>
        <v>0</v>
      </c>
      <c r="C108" s="23">
        <f>IF(B108="","",TEXT(B108,"ddd"))</f>
        <v>0</v>
      </c>
      <c r="D108" s="31">
        <f>IF(B108="","",WEEKNUM(B108,IF(WeekStart="Sunday",1,2)))</f>
        <v>0</v>
      </c>
      <c r="E108" s="23">
        <f>IF(B108="","",TEXT(B108,"yyyy-mm"))</f>
        <v>0</v>
      </c>
      <c r="H108" s="23">
        <f>IF(G108="","",IFERROR(INDEX(Jobs!$H$5:$H$604,MATCH(G108,Jobs!$A$5:$A$604,0)),""))</f>
        <v>0</v>
      </c>
      <c r="T108" s="34">
        <f>IF(OR(J108="",K108=""),"",ROUND((K108-J108)*24-IF(L108="",0,L108)/60,2))</f>
        <v>0</v>
      </c>
      <c r="U108" s="34">
        <f>IF(F108="","",IF(M108&lt;&gt;"",M108,IF(T108="",0,T108)))</f>
        <v>0</v>
      </c>
      <c r="V108" s="21">
        <f>IF(F108="","",IFERROR(INDEX(Employees!$U$5:$U$44,MATCH(F108,Employees!$B$5:$B$44,0)),PayRate*(1+EmployerOncost)))</f>
        <v>0</v>
      </c>
      <c r="W108" s="34">
        <f>IF(F108="","",MAX(0,U108-IF(N108="",0,N108)))</f>
        <v>0</v>
      </c>
      <c r="X108" s="21">
        <f>IF(F108="","",ROUND(W108*V108+IF(N108="",0,N108)*V108*OvertimeRate,2))</f>
        <v>0</v>
      </c>
      <c r="Y108" s="21">
        <f>IF(F108="","",IF(P108&lt;&gt;"Yes",0,ROUND(U108*IF(IFERROR(INDEX(Clients!$O$5:$O$204,MATCH(IFERROR(INDEX(Jobs!$G$5:$G$604,MATCH(G108,Jobs!$A$5:$A$604,0)),""),Clients!$A$5:$A$204,0)),0)&gt;0,INDEX(Clients!$O$5:$O$204,MATCH(INDEX(Jobs!$G$5:$G$604,MATCH(G108,Jobs!$A$5:$A$604,0)),Clients!$A$5:$A$204,0)),HourlyRate),2)))</f>
        <v>0</v>
      </c>
      <c r="Z108" s="39">
        <f>IF(F108="","",IF(U108=0,"Add - no hours recorded",IF(O108="Absent - no show","Action - no show",IF(U108&gt;10,"Check - over ten hours in a day",IF(Q108&lt;&gt;"Yes","Due - needs approving",IF(R108&lt;&gt;"Yes","Due - not paid yet","OK"))))))</f>
        <v>0</v>
      </c>
    </row>
    <row r="109" spans="1:26">
      <c r="A109" s="43">
        <f>IF(F109="","","TS-"&amp;TEXT(ROW()-4,"0000"))</f>
        <v>0</v>
      </c>
      <c r="C109" s="23">
        <f>IF(B109="","",TEXT(B109,"ddd"))</f>
        <v>0</v>
      </c>
      <c r="D109" s="31">
        <f>IF(B109="","",WEEKNUM(B109,IF(WeekStart="Sunday",1,2)))</f>
        <v>0</v>
      </c>
      <c r="E109" s="23">
        <f>IF(B109="","",TEXT(B109,"yyyy-mm"))</f>
        <v>0</v>
      </c>
      <c r="H109" s="23">
        <f>IF(G109="","",IFERROR(INDEX(Jobs!$H$5:$H$604,MATCH(G109,Jobs!$A$5:$A$604,0)),""))</f>
        <v>0</v>
      </c>
      <c r="T109" s="34">
        <f>IF(OR(J109="",K109=""),"",ROUND((K109-J109)*24-IF(L109="",0,L109)/60,2))</f>
        <v>0</v>
      </c>
      <c r="U109" s="34">
        <f>IF(F109="","",IF(M109&lt;&gt;"",M109,IF(T109="",0,T109)))</f>
        <v>0</v>
      </c>
      <c r="V109" s="21">
        <f>IF(F109="","",IFERROR(INDEX(Employees!$U$5:$U$44,MATCH(F109,Employees!$B$5:$B$44,0)),PayRate*(1+EmployerOncost)))</f>
        <v>0</v>
      </c>
      <c r="W109" s="34">
        <f>IF(F109="","",MAX(0,U109-IF(N109="",0,N109)))</f>
        <v>0</v>
      </c>
      <c r="X109" s="21">
        <f>IF(F109="","",ROUND(W109*V109+IF(N109="",0,N109)*V109*OvertimeRate,2))</f>
        <v>0</v>
      </c>
      <c r="Y109" s="21">
        <f>IF(F109="","",IF(P109&lt;&gt;"Yes",0,ROUND(U109*IF(IFERROR(INDEX(Clients!$O$5:$O$204,MATCH(IFERROR(INDEX(Jobs!$G$5:$G$604,MATCH(G109,Jobs!$A$5:$A$604,0)),""),Clients!$A$5:$A$204,0)),0)&gt;0,INDEX(Clients!$O$5:$O$204,MATCH(INDEX(Jobs!$G$5:$G$604,MATCH(G109,Jobs!$A$5:$A$604,0)),Clients!$A$5:$A$204,0)),HourlyRate),2)))</f>
        <v>0</v>
      </c>
      <c r="Z109" s="39">
        <f>IF(F109="","",IF(U109=0,"Add - no hours recorded",IF(O109="Absent - no show","Action - no show",IF(U109&gt;10,"Check - over ten hours in a day",IF(Q109&lt;&gt;"Yes","Due - needs approving",IF(R109&lt;&gt;"Yes","Due - not paid yet","OK"))))))</f>
        <v>0</v>
      </c>
    </row>
    <row r="110" spans="1:26">
      <c r="A110" s="43">
        <f>IF(F110="","","TS-"&amp;TEXT(ROW()-4,"0000"))</f>
        <v>0</v>
      </c>
      <c r="C110" s="23">
        <f>IF(B110="","",TEXT(B110,"ddd"))</f>
        <v>0</v>
      </c>
      <c r="D110" s="31">
        <f>IF(B110="","",WEEKNUM(B110,IF(WeekStart="Sunday",1,2)))</f>
        <v>0</v>
      </c>
      <c r="E110" s="23">
        <f>IF(B110="","",TEXT(B110,"yyyy-mm"))</f>
        <v>0</v>
      </c>
      <c r="H110" s="23">
        <f>IF(G110="","",IFERROR(INDEX(Jobs!$H$5:$H$604,MATCH(G110,Jobs!$A$5:$A$604,0)),""))</f>
        <v>0</v>
      </c>
      <c r="T110" s="34">
        <f>IF(OR(J110="",K110=""),"",ROUND((K110-J110)*24-IF(L110="",0,L110)/60,2))</f>
        <v>0</v>
      </c>
      <c r="U110" s="34">
        <f>IF(F110="","",IF(M110&lt;&gt;"",M110,IF(T110="",0,T110)))</f>
        <v>0</v>
      </c>
      <c r="V110" s="21">
        <f>IF(F110="","",IFERROR(INDEX(Employees!$U$5:$U$44,MATCH(F110,Employees!$B$5:$B$44,0)),PayRate*(1+EmployerOncost)))</f>
        <v>0</v>
      </c>
      <c r="W110" s="34">
        <f>IF(F110="","",MAX(0,U110-IF(N110="",0,N110)))</f>
        <v>0</v>
      </c>
      <c r="X110" s="21">
        <f>IF(F110="","",ROUND(W110*V110+IF(N110="",0,N110)*V110*OvertimeRate,2))</f>
        <v>0</v>
      </c>
      <c r="Y110" s="21">
        <f>IF(F110="","",IF(P110&lt;&gt;"Yes",0,ROUND(U110*IF(IFERROR(INDEX(Clients!$O$5:$O$204,MATCH(IFERROR(INDEX(Jobs!$G$5:$G$604,MATCH(G110,Jobs!$A$5:$A$604,0)),""),Clients!$A$5:$A$204,0)),0)&gt;0,INDEX(Clients!$O$5:$O$204,MATCH(INDEX(Jobs!$G$5:$G$604,MATCH(G110,Jobs!$A$5:$A$604,0)),Clients!$A$5:$A$204,0)),HourlyRate),2)))</f>
        <v>0</v>
      </c>
      <c r="Z110" s="39">
        <f>IF(F110="","",IF(U110=0,"Add - no hours recorded",IF(O110="Absent - no show","Action - no show",IF(U110&gt;10,"Check - over ten hours in a day",IF(Q110&lt;&gt;"Yes","Due - needs approving",IF(R110&lt;&gt;"Yes","Due - not paid yet","OK"))))))</f>
        <v>0</v>
      </c>
    </row>
    <row r="111" spans="1:26">
      <c r="A111" s="43">
        <f>IF(F111="","","TS-"&amp;TEXT(ROW()-4,"0000"))</f>
        <v>0</v>
      </c>
      <c r="C111" s="23">
        <f>IF(B111="","",TEXT(B111,"ddd"))</f>
        <v>0</v>
      </c>
      <c r="D111" s="31">
        <f>IF(B111="","",WEEKNUM(B111,IF(WeekStart="Sunday",1,2)))</f>
        <v>0</v>
      </c>
      <c r="E111" s="23">
        <f>IF(B111="","",TEXT(B111,"yyyy-mm"))</f>
        <v>0</v>
      </c>
      <c r="H111" s="23">
        <f>IF(G111="","",IFERROR(INDEX(Jobs!$H$5:$H$604,MATCH(G111,Jobs!$A$5:$A$604,0)),""))</f>
        <v>0</v>
      </c>
      <c r="T111" s="34">
        <f>IF(OR(J111="",K111=""),"",ROUND((K111-J111)*24-IF(L111="",0,L111)/60,2))</f>
        <v>0</v>
      </c>
      <c r="U111" s="34">
        <f>IF(F111="","",IF(M111&lt;&gt;"",M111,IF(T111="",0,T111)))</f>
        <v>0</v>
      </c>
      <c r="V111" s="21">
        <f>IF(F111="","",IFERROR(INDEX(Employees!$U$5:$U$44,MATCH(F111,Employees!$B$5:$B$44,0)),PayRate*(1+EmployerOncost)))</f>
        <v>0</v>
      </c>
      <c r="W111" s="34">
        <f>IF(F111="","",MAX(0,U111-IF(N111="",0,N111)))</f>
        <v>0</v>
      </c>
      <c r="X111" s="21">
        <f>IF(F111="","",ROUND(W111*V111+IF(N111="",0,N111)*V111*OvertimeRate,2))</f>
        <v>0</v>
      </c>
      <c r="Y111" s="21">
        <f>IF(F111="","",IF(P111&lt;&gt;"Yes",0,ROUND(U111*IF(IFERROR(INDEX(Clients!$O$5:$O$204,MATCH(IFERROR(INDEX(Jobs!$G$5:$G$604,MATCH(G111,Jobs!$A$5:$A$604,0)),""),Clients!$A$5:$A$204,0)),0)&gt;0,INDEX(Clients!$O$5:$O$204,MATCH(INDEX(Jobs!$G$5:$G$604,MATCH(G111,Jobs!$A$5:$A$604,0)),Clients!$A$5:$A$204,0)),HourlyRate),2)))</f>
        <v>0</v>
      </c>
      <c r="Z111" s="39">
        <f>IF(F111="","",IF(U111=0,"Add - no hours recorded",IF(O111="Absent - no show","Action - no show",IF(U111&gt;10,"Check - over ten hours in a day",IF(Q111&lt;&gt;"Yes","Due - needs approving",IF(R111&lt;&gt;"Yes","Due - not paid yet","OK"))))))</f>
        <v>0</v>
      </c>
    </row>
    <row r="112" spans="1:26">
      <c r="A112" s="43">
        <f>IF(F112="","","TS-"&amp;TEXT(ROW()-4,"0000"))</f>
        <v>0</v>
      </c>
      <c r="C112" s="23">
        <f>IF(B112="","",TEXT(B112,"ddd"))</f>
        <v>0</v>
      </c>
      <c r="D112" s="31">
        <f>IF(B112="","",WEEKNUM(B112,IF(WeekStart="Sunday",1,2)))</f>
        <v>0</v>
      </c>
      <c r="E112" s="23">
        <f>IF(B112="","",TEXT(B112,"yyyy-mm"))</f>
        <v>0</v>
      </c>
      <c r="H112" s="23">
        <f>IF(G112="","",IFERROR(INDEX(Jobs!$H$5:$H$604,MATCH(G112,Jobs!$A$5:$A$604,0)),""))</f>
        <v>0</v>
      </c>
      <c r="T112" s="34">
        <f>IF(OR(J112="",K112=""),"",ROUND((K112-J112)*24-IF(L112="",0,L112)/60,2))</f>
        <v>0</v>
      </c>
      <c r="U112" s="34">
        <f>IF(F112="","",IF(M112&lt;&gt;"",M112,IF(T112="",0,T112)))</f>
        <v>0</v>
      </c>
      <c r="V112" s="21">
        <f>IF(F112="","",IFERROR(INDEX(Employees!$U$5:$U$44,MATCH(F112,Employees!$B$5:$B$44,0)),PayRate*(1+EmployerOncost)))</f>
        <v>0</v>
      </c>
      <c r="W112" s="34">
        <f>IF(F112="","",MAX(0,U112-IF(N112="",0,N112)))</f>
        <v>0</v>
      </c>
      <c r="X112" s="21">
        <f>IF(F112="","",ROUND(W112*V112+IF(N112="",0,N112)*V112*OvertimeRate,2))</f>
        <v>0</v>
      </c>
      <c r="Y112" s="21">
        <f>IF(F112="","",IF(P112&lt;&gt;"Yes",0,ROUND(U112*IF(IFERROR(INDEX(Clients!$O$5:$O$204,MATCH(IFERROR(INDEX(Jobs!$G$5:$G$604,MATCH(G112,Jobs!$A$5:$A$604,0)),""),Clients!$A$5:$A$204,0)),0)&gt;0,INDEX(Clients!$O$5:$O$204,MATCH(INDEX(Jobs!$G$5:$G$604,MATCH(G112,Jobs!$A$5:$A$604,0)),Clients!$A$5:$A$204,0)),HourlyRate),2)))</f>
        <v>0</v>
      </c>
      <c r="Z112" s="39">
        <f>IF(F112="","",IF(U112=0,"Add - no hours recorded",IF(O112="Absent - no show","Action - no show",IF(U112&gt;10,"Check - over ten hours in a day",IF(Q112&lt;&gt;"Yes","Due - needs approving",IF(R112&lt;&gt;"Yes","Due - not paid yet","OK"))))))</f>
        <v>0</v>
      </c>
    </row>
    <row r="113" spans="1:26">
      <c r="A113" s="43">
        <f>IF(F113="","","TS-"&amp;TEXT(ROW()-4,"0000"))</f>
        <v>0</v>
      </c>
      <c r="C113" s="23">
        <f>IF(B113="","",TEXT(B113,"ddd"))</f>
        <v>0</v>
      </c>
      <c r="D113" s="31">
        <f>IF(B113="","",WEEKNUM(B113,IF(WeekStart="Sunday",1,2)))</f>
        <v>0</v>
      </c>
      <c r="E113" s="23">
        <f>IF(B113="","",TEXT(B113,"yyyy-mm"))</f>
        <v>0</v>
      </c>
      <c r="H113" s="23">
        <f>IF(G113="","",IFERROR(INDEX(Jobs!$H$5:$H$604,MATCH(G113,Jobs!$A$5:$A$604,0)),""))</f>
        <v>0</v>
      </c>
      <c r="T113" s="34">
        <f>IF(OR(J113="",K113=""),"",ROUND((K113-J113)*24-IF(L113="",0,L113)/60,2))</f>
        <v>0</v>
      </c>
      <c r="U113" s="34">
        <f>IF(F113="","",IF(M113&lt;&gt;"",M113,IF(T113="",0,T113)))</f>
        <v>0</v>
      </c>
      <c r="V113" s="21">
        <f>IF(F113="","",IFERROR(INDEX(Employees!$U$5:$U$44,MATCH(F113,Employees!$B$5:$B$44,0)),PayRate*(1+EmployerOncost)))</f>
        <v>0</v>
      </c>
      <c r="W113" s="34">
        <f>IF(F113="","",MAX(0,U113-IF(N113="",0,N113)))</f>
        <v>0</v>
      </c>
      <c r="X113" s="21">
        <f>IF(F113="","",ROUND(W113*V113+IF(N113="",0,N113)*V113*OvertimeRate,2))</f>
        <v>0</v>
      </c>
      <c r="Y113" s="21">
        <f>IF(F113="","",IF(P113&lt;&gt;"Yes",0,ROUND(U113*IF(IFERROR(INDEX(Clients!$O$5:$O$204,MATCH(IFERROR(INDEX(Jobs!$G$5:$G$604,MATCH(G113,Jobs!$A$5:$A$604,0)),""),Clients!$A$5:$A$204,0)),0)&gt;0,INDEX(Clients!$O$5:$O$204,MATCH(INDEX(Jobs!$G$5:$G$604,MATCH(G113,Jobs!$A$5:$A$604,0)),Clients!$A$5:$A$204,0)),HourlyRate),2)))</f>
        <v>0</v>
      </c>
      <c r="Z113" s="39">
        <f>IF(F113="","",IF(U113=0,"Add - no hours recorded",IF(O113="Absent - no show","Action - no show",IF(U113&gt;10,"Check - over ten hours in a day",IF(Q113&lt;&gt;"Yes","Due - needs approving",IF(R113&lt;&gt;"Yes","Due - not paid yet","OK"))))))</f>
        <v>0</v>
      </c>
    </row>
    <row r="114" spans="1:26">
      <c r="A114" s="43">
        <f>IF(F114="","","TS-"&amp;TEXT(ROW()-4,"0000"))</f>
        <v>0</v>
      </c>
      <c r="C114" s="23">
        <f>IF(B114="","",TEXT(B114,"ddd"))</f>
        <v>0</v>
      </c>
      <c r="D114" s="31">
        <f>IF(B114="","",WEEKNUM(B114,IF(WeekStart="Sunday",1,2)))</f>
        <v>0</v>
      </c>
      <c r="E114" s="23">
        <f>IF(B114="","",TEXT(B114,"yyyy-mm"))</f>
        <v>0</v>
      </c>
      <c r="H114" s="23">
        <f>IF(G114="","",IFERROR(INDEX(Jobs!$H$5:$H$604,MATCH(G114,Jobs!$A$5:$A$604,0)),""))</f>
        <v>0</v>
      </c>
      <c r="T114" s="34">
        <f>IF(OR(J114="",K114=""),"",ROUND((K114-J114)*24-IF(L114="",0,L114)/60,2))</f>
        <v>0</v>
      </c>
      <c r="U114" s="34">
        <f>IF(F114="","",IF(M114&lt;&gt;"",M114,IF(T114="",0,T114)))</f>
        <v>0</v>
      </c>
      <c r="V114" s="21">
        <f>IF(F114="","",IFERROR(INDEX(Employees!$U$5:$U$44,MATCH(F114,Employees!$B$5:$B$44,0)),PayRate*(1+EmployerOncost)))</f>
        <v>0</v>
      </c>
      <c r="W114" s="34">
        <f>IF(F114="","",MAX(0,U114-IF(N114="",0,N114)))</f>
        <v>0</v>
      </c>
      <c r="X114" s="21">
        <f>IF(F114="","",ROUND(W114*V114+IF(N114="",0,N114)*V114*OvertimeRate,2))</f>
        <v>0</v>
      </c>
      <c r="Y114" s="21">
        <f>IF(F114="","",IF(P114&lt;&gt;"Yes",0,ROUND(U114*IF(IFERROR(INDEX(Clients!$O$5:$O$204,MATCH(IFERROR(INDEX(Jobs!$G$5:$G$604,MATCH(G114,Jobs!$A$5:$A$604,0)),""),Clients!$A$5:$A$204,0)),0)&gt;0,INDEX(Clients!$O$5:$O$204,MATCH(INDEX(Jobs!$G$5:$G$604,MATCH(G114,Jobs!$A$5:$A$604,0)),Clients!$A$5:$A$204,0)),HourlyRate),2)))</f>
        <v>0</v>
      </c>
      <c r="Z114" s="39">
        <f>IF(F114="","",IF(U114=0,"Add - no hours recorded",IF(O114="Absent - no show","Action - no show",IF(U114&gt;10,"Check - over ten hours in a day",IF(Q114&lt;&gt;"Yes","Due - needs approving",IF(R114&lt;&gt;"Yes","Due - not paid yet","OK"))))))</f>
        <v>0</v>
      </c>
    </row>
    <row r="115" spans="1:26">
      <c r="A115" s="43">
        <f>IF(F115="","","TS-"&amp;TEXT(ROW()-4,"0000"))</f>
        <v>0</v>
      </c>
      <c r="C115" s="23">
        <f>IF(B115="","",TEXT(B115,"ddd"))</f>
        <v>0</v>
      </c>
      <c r="D115" s="31">
        <f>IF(B115="","",WEEKNUM(B115,IF(WeekStart="Sunday",1,2)))</f>
        <v>0</v>
      </c>
      <c r="E115" s="23">
        <f>IF(B115="","",TEXT(B115,"yyyy-mm"))</f>
        <v>0</v>
      </c>
      <c r="H115" s="23">
        <f>IF(G115="","",IFERROR(INDEX(Jobs!$H$5:$H$604,MATCH(G115,Jobs!$A$5:$A$604,0)),""))</f>
        <v>0</v>
      </c>
      <c r="T115" s="34">
        <f>IF(OR(J115="",K115=""),"",ROUND((K115-J115)*24-IF(L115="",0,L115)/60,2))</f>
        <v>0</v>
      </c>
      <c r="U115" s="34">
        <f>IF(F115="","",IF(M115&lt;&gt;"",M115,IF(T115="",0,T115)))</f>
        <v>0</v>
      </c>
      <c r="V115" s="21">
        <f>IF(F115="","",IFERROR(INDEX(Employees!$U$5:$U$44,MATCH(F115,Employees!$B$5:$B$44,0)),PayRate*(1+EmployerOncost)))</f>
        <v>0</v>
      </c>
      <c r="W115" s="34">
        <f>IF(F115="","",MAX(0,U115-IF(N115="",0,N115)))</f>
        <v>0</v>
      </c>
      <c r="X115" s="21">
        <f>IF(F115="","",ROUND(W115*V115+IF(N115="",0,N115)*V115*OvertimeRate,2))</f>
        <v>0</v>
      </c>
      <c r="Y115" s="21">
        <f>IF(F115="","",IF(P115&lt;&gt;"Yes",0,ROUND(U115*IF(IFERROR(INDEX(Clients!$O$5:$O$204,MATCH(IFERROR(INDEX(Jobs!$G$5:$G$604,MATCH(G115,Jobs!$A$5:$A$604,0)),""),Clients!$A$5:$A$204,0)),0)&gt;0,INDEX(Clients!$O$5:$O$204,MATCH(INDEX(Jobs!$G$5:$G$604,MATCH(G115,Jobs!$A$5:$A$604,0)),Clients!$A$5:$A$204,0)),HourlyRate),2)))</f>
        <v>0</v>
      </c>
      <c r="Z115" s="39">
        <f>IF(F115="","",IF(U115=0,"Add - no hours recorded",IF(O115="Absent - no show","Action - no show",IF(U115&gt;10,"Check - over ten hours in a day",IF(Q115&lt;&gt;"Yes","Due - needs approving",IF(R115&lt;&gt;"Yes","Due - not paid yet","OK"))))))</f>
        <v>0</v>
      </c>
    </row>
    <row r="116" spans="1:26">
      <c r="A116" s="43">
        <f>IF(F116="","","TS-"&amp;TEXT(ROW()-4,"0000"))</f>
        <v>0</v>
      </c>
      <c r="C116" s="23">
        <f>IF(B116="","",TEXT(B116,"ddd"))</f>
        <v>0</v>
      </c>
      <c r="D116" s="31">
        <f>IF(B116="","",WEEKNUM(B116,IF(WeekStart="Sunday",1,2)))</f>
        <v>0</v>
      </c>
      <c r="E116" s="23">
        <f>IF(B116="","",TEXT(B116,"yyyy-mm"))</f>
        <v>0</v>
      </c>
      <c r="H116" s="23">
        <f>IF(G116="","",IFERROR(INDEX(Jobs!$H$5:$H$604,MATCH(G116,Jobs!$A$5:$A$604,0)),""))</f>
        <v>0</v>
      </c>
      <c r="T116" s="34">
        <f>IF(OR(J116="",K116=""),"",ROUND((K116-J116)*24-IF(L116="",0,L116)/60,2))</f>
        <v>0</v>
      </c>
      <c r="U116" s="34">
        <f>IF(F116="","",IF(M116&lt;&gt;"",M116,IF(T116="",0,T116)))</f>
        <v>0</v>
      </c>
      <c r="V116" s="21">
        <f>IF(F116="","",IFERROR(INDEX(Employees!$U$5:$U$44,MATCH(F116,Employees!$B$5:$B$44,0)),PayRate*(1+EmployerOncost)))</f>
        <v>0</v>
      </c>
      <c r="W116" s="34">
        <f>IF(F116="","",MAX(0,U116-IF(N116="",0,N116)))</f>
        <v>0</v>
      </c>
      <c r="X116" s="21">
        <f>IF(F116="","",ROUND(W116*V116+IF(N116="",0,N116)*V116*OvertimeRate,2))</f>
        <v>0</v>
      </c>
      <c r="Y116" s="21">
        <f>IF(F116="","",IF(P116&lt;&gt;"Yes",0,ROUND(U116*IF(IFERROR(INDEX(Clients!$O$5:$O$204,MATCH(IFERROR(INDEX(Jobs!$G$5:$G$604,MATCH(G116,Jobs!$A$5:$A$604,0)),""),Clients!$A$5:$A$204,0)),0)&gt;0,INDEX(Clients!$O$5:$O$204,MATCH(INDEX(Jobs!$G$5:$G$604,MATCH(G116,Jobs!$A$5:$A$604,0)),Clients!$A$5:$A$204,0)),HourlyRate),2)))</f>
        <v>0</v>
      </c>
      <c r="Z116" s="39">
        <f>IF(F116="","",IF(U116=0,"Add - no hours recorded",IF(O116="Absent - no show","Action - no show",IF(U116&gt;10,"Check - over ten hours in a day",IF(Q116&lt;&gt;"Yes","Due - needs approving",IF(R116&lt;&gt;"Yes","Due - not paid yet","OK"))))))</f>
        <v>0</v>
      </c>
    </row>
    <row r="117" spans="1:26">
      <c r="A117" s="43">
        <f>IF(F117="","","TS-"&amp;TEXT(ROW()-4,"0000"))</f>
        <v>0</v>
      </c>
      <c r="C117" s="23">
        <f>IF(B117="","",TEXT(B117,"ddd"))</f>
        <v>0</v>
      </c>
      <c r="D117" s="31">
        <f>IF(B117="","",WEEKNUM(B117,IF(WeekStart="Sunday",1,2)))</f>
        <v>0</v>
      </c>
      <c r="E117" s="23">
        <f>IF(B117="","",TEXT(B117,"yyyy-mm"))</f>
        <v>0</v>
      </c>
      <c r="H117" s="23">
        <f>IF(G117="","",IFERROR(INDEX(Jobs!$H$5:$H$604,MATCH(G117,Jobs!$A$5:$A$604,0)),""))</f>
        <v>0</v>
      </c>
      <c r="T117" s="34">
        <f>IF(OR(J117="",K117=""),"",ROUND((K117-J117)*24-IF(L117="",0,L117)/60,2))</f>
        <v>0</v>
      </c>
      <c r="U117" s="34">
        <f>IF(F117="","",IF(M117&lt;&gt;"",M117,IF(T117="",0,T117)))</f>
        <v>0</v>
      </c>
      <c r="V117" s="21">
        <f>IF(F117="","",IFERROR(INDEX(Employees!$U$5:$U$44,MATCH(F117,Employees!$B$5:$B$44,0)),PayRate*(1+EmployerOncost)))</f>
        <v>0</v>
      </c>
      <c r="W117" s="34">
        <f>IF(F117="","",MAX(0,U117-IF(N117="",0,N117)))</f>
        <v>0</v>
      </c>
      <c r="X117" s="21">
        <f>IF(F117="","",ROUND(W117*V117+IF(N117="",0,N117)*V117*OvertimeRate,2))</f>
        <v>0</v>
      </c>
      <c r="Y117" s="21">
        <f>IF(F117="","",IF(P117&lt;&gt;"Yes",0,ROUND(U117*IF(IFERROR(INDEX(Clients!$O$5:$O$204,MATCH(IFERROR(INDEX(Jobs!$G$5:$G$604,MATCH(G117,Jobs!$A$5:$A$604,0)),""),Clients!$A$5:$A$204,0)),0)&gt;0,INDEX(Clients!$O$5:$O$204,MATCH(INDEX(Jobs!$G$5:$G$604,MATCH(G117,Jobs!$A$5:$A$604,0)),Clients!$A$5:$A$204,0)),HourlyRate),2)))</f>
        <v>0</v>
      </c>
      <c r="Z117" s="39">
        <f>IF(F117="","",IF(U117=0,"Add - no hours recorded",IF(O117="Absent - no show","Action - no show",IF(U117&gt;10,"Check - over ten hours in a day",IF(Q117&lt;&gt;"Yes","Due - needs approving",IF(R117&lt;&gt;"Yes","Due - not paid yet","OK"))))))</f>
        <v>0</v>
      </c>
    </row>
    <row r="118" spans="1:26">
      <c r="A118" s="43">
        <f>IF(F118="","","TS-"&amp;TEXT(ROW()-4,"0000"))</f>
        <v>0</v>
      </c>
      <c r="C118" s="23">
        <f>IF(B118="","",TEXT(B118,"ddd"))</f>
        <v>0</v>
      </c>
      <c r="D118" s="31">
        <f>IF(B118="","",WEEKNUM(B118,IF(WeekStart="Sunday",1,2)))</f>
        <v>0</v>
      </c>
      <c r="E118" s="23">
        <f>IF(B118="","",TEXT(B118,"yyyy-mm"))</f>
        <v>0</v>
      </c>
      <c r="H118" s="23">
        <f>IF(G118="","",IFERROR(INDEX(Jobs!$H$5:$H$604,MATCH(G118,Jobs!$A$5:$A$604,0)),""))</f>
        <v>0</v>
      </c>
      <c r="T118" s="34">
        <f>IF(OR(J118="",K118=""),"",ROUND((K118-J118)*24-IF(L118="",0,L118)/60,2))</f>
        <v>0</v>
      </c>
      <c r="U118" s="34">
        <f>IF(F118="","",IF(M118&lt;&gt;"",M118,IF(T118="",0,T118)))</f>
        <v>0</v>
      </c>
      <c r="V118" s="21">
        <f>IF(F118="","",IFERROR(INDEX(Employees!$U$5:$U$44,MATCH(F118,Employees!$B$5:$B$44,0)),PayRate*(1+EmployerOncost)))</f>
        <v>0</v>
      </c>
      <c r="W118" s="34">
        <f>IF(F118="","",MAX(0,U118-IF(N118="",0,N118)))</f>
        <v>0</v>
      </c>
      <c r="X118" s="21">
        <f>IF(F118="","",ROUND(W118*V118+IF(N118="",0,N118)*V118*OvertimeRate,2))</f>
        <v>0</v>
      </c>
      <c r="Y118" s="21">
        <f>IF(F118="","",IF(P118&lt;&gt;"Yes",0,ROUND(U118*IF(IFERROR(INDEX(Clients!$O$5:$O$204,MATCH(IFERROR(INDEX(Jobs!$G$5:$G$604,MATCH(G118,Jobs!$A$5:$A$604,0)),""),Clients!$A$5:$A$204,0)),0)&gt;0,INDEX(Clients!$O$5:$O$204,MATCH(INDEX(Jobs!$G$5:$G$604,MATCH(G118,Jobs!$A$5:$A$604,0)),Clients!$A$5:$A$204,0)),HourlyRate),2)))</f>
        <v>0</v>
      </c>
      <c r="Z118" s="39">
        <f>IF(F118="","",IF(U118=0,"Add - no hours recorded",IF(O118="Absent - no show","Action - no show",IF(U118&gt;10,"Check - over ten hours in a day",IF(Q118&lt;&gt;"Yes","Due - needs approving",IF(R118&lt;&gt;"Yes","Due - not paid yet","OK"))))))</f>
        <v>0</v>
      </c>
    </row>
    <row r="119" spans="1:26">
      <c r="A119" s="43">
        <f>IF(F119="","","TS-"&amp;TEXT(ROW()-4,"0000"))</f>
        <v>0</v>
      </c>
      <c r="C119" s="23">
        <f>IF(B119="","",TEXT(B119,"ddd"))</f>
        <v>0</v>
      </c>
      <c r="D119" s="31">
        <f>IF(B119="","",WEEKNUM(B119,IF(WeekStart="Sunday",1,2)))</f>
        <v>0</v>
      </c>
      <c r="E119" s="23">
        <f>IF(B119="","",TEXT(B119,"yyyy-mm"))</f>
        <v>0</v>
      </c>
      <c r="H119" s="23">
        <f>IF(G119="","",IFERROR(INDEX(Jobs!$H$5:$H$604,MATCH(G119,Jobs!$A$5:$A$604,0)),""))</f>
        <v>0</v>
      </c>
      <c r="T119" s="34">
        <f>IF(OR(J119="",K119=""),"",ROUND((K119-J119)*24-IF(L119="",0,L119)/60,2))</f>
        <v>0</v>
      </c>
      <c r="U119" s="34">
        <f>IF(F119="","",IF(M119&lt;&gt;"",M119,IF(T119="",0,T119)))</f>
        <v>0</v>
      </c>
      <c r="V119" s="21">
        <f>IF(F119="","",IFERROR(INDEX(Employees!$U$5:$U$44,MATCH(F119,Employees!$B$5:$B$44,0)),PayRate*(1+EmployerOncost)))</f>
        <v>0</v>
      </c>
      <c r="W119" s="34">
        <f>IF(F119="","",MAX(0,U119-IF(N119="",0,N119)))</f>
        <v>0</v>
      </c>
      <c r="X119" s="21">
        <f>IF(F119="","",ROUND(W119*V119+IF(N119="",0,N119)*V119*OvertimeRate,2))</f>
        <v>0</v>
      </c>
      <c r="Y119" s="21">
        <f>IF(F119="","",IF(P119&lt;&gt;"Yes",0,ROUND(U119*IF(IFERROR(INDEX(Clients!$O$5:$O$204,MATCH(IFERROR(INDEX(Jobs!$G$5:$G$604,MATCH(G119,Jobs!$A$5:$A$604,0)),""),Clients!$A$5:$A$204,0)),0)&gt;0,INDEX(Clients!$O$5:$O$204,MATCH(INDEX(Jobs!$G$5:$G$604,MATCH(G119,Jobs!$A$5:$A$604,0)),Clients!$A$5:$A$204,0)),HourlyRate),2)))</f>
        <v>0</v>
      </c>
      <c r="Z119" s="39">
        <f>IF(F119="","",IF(U119=0,"Add - no hours recorded",IF(O119="Absent - no show","Action - no show",IF(U119&gt;10,"Check - over ten hours in a day",IF(Q119&lt;&gt;"Yes","Due - needs approving",IF(R119&lt;&gt;"Yes","Due - not paid yet","OK"))))))</f>
        <v>0</v>
      </c>
    </row>
    <row r="120" spans="1:26">
      <c r="A120" s="43">
        <f>IF(F120="","","TS-"&amp;TEXT(ROW()-4,"0000"))</f>
        <v>0</v>
      </c>
      <c r="C120" s="23">
        <f>IF(B120="","",TEXT(B120,"ddd"))</f>
        <v>0</v>
      </c>
      <c r="D120" s="31">
        <f>IF(B120="","",WEEKNUM(B120,IF(WeekStart="Sunday",1,2)))</f>
        <v>0</v>
      </c>
      <c r="E120" s="23">
        <f>IF(B120="","",TEXT(B120,"yyyy-mm"))</f>
        <v>0</v>
      </c>
      <c r="H120" s="23">
        <f>IF(G120="","",IFERROR(INDEX(Jobs!$H$5:$H$604,MATCH(G120,Jobs!$A$5:$A$604,0)),""))</f>
        <v>0</v>
      </c>
      <c r="T120" s="34">
        <f>IF(OR(J120="",K120=""),"",ROUND((K120-J120)*24-IF(L120="",0,L120)/60,2))</f>
        <v>0</v>
      </c>
      <c r="U120" s="34">
        <f>IF(F120="","",IF(M120&lt;&gt;"",M120,IF(T120="",0,T120)))</f>
        <v>0</v>
      </c>
      <c r="V120" s="21">
        <f>IF(F120="","",IFERROR(INDEX(Employees!$U$5:$U$44,MATCH(F120,Employees!$B$5:$B$44,0)),PayRate*(1+EmployerOncost)))</f>
        <v>0</v>
      </c>
      <c r="W120" s="34">
        <f>IF(F120="","",MAX(0,U120-IF(N120="",0,N120)))</f>
        <v>0</v>
      </c>
      <c r="X120" s="21">
        <f>IF(F120="","",ROUND(W120*V120+IF(N120="",0,N120)*V120*OvertimeRate,2))</f>
        <v>0</v>
      </c>
      <c r="Y120" s="21">
        <f>IF(F120="","",IF(P120&lt;&gt;"Yes",0,ROUND(U120*IF(IFERROR(INDEX(Clients!$O$5:$O$204,MATCH(IFERROR(INDEX(Jobs!$G$5:$G$604,MATCH(G120,Jobs!$A$5:$A$604,0)),""),Clients!$A$5:$A$204,0)),0)&gt;0,INDEX(Clients!$O$5:$O$204,MATCH(INDEX(Jobs!$G$5:$G$604,MATCH(G120,Jobs!$A$5:$A$604,0)),Clients!$A$5:$A$204,0)),HourlyRate),2)))</f>
        <v>0</v>
      </c>
      <c r="Z120" s="39">
        <f>IF(F120="","",IF(U120=0,"Add - no hours recorded",IF(O120="Absent - no show","Action - no show",IF(U120&gt;10,"Check - over ten hours in a day",IF(Q120&lt;&gt;"Yes","Due - needs approving",IF(R120&lt;&gt;"Yes","Due - not paid yet","OK"))))))</f>
        <v>0</v>
      </c>
    </row>
    <row r="121" spans="1:26">
      <c r="A121" s="43">
        <f>IF(F121="","","TS-"&amp;TEXT(ROW()-4,"0000"))</f>
        <v>0</v>
      </c>
      <c r="C121" s="23">
        <f>IF(B121="","",TEXT(B121,"ddd"))</f>
        <v>0</v>
      </c>
      <c r="D121" s="31">
        <f>IF(B121="","",WEEKNUM(B121,IF(WeekStart="Sunday",1,2)))</f>
        <v>0</v>
      </c>
      <c r="E121" s="23">
        <f>IF(B121="","",TEXT(B121,"yyyy-mm"))</f>
        <v>0</v>
      </c>
      <c r="H121" s="23">
        <f>IF(G121="","",IFERROR(INDEX(Jobs!$H$5:$H$604,MATCH(G121,Jobs!$A$5:$A$604,0)),""))</f>
        <v>0</v>
      </c>
      <c r="T121" s="34">
        <f>IF(OR(J121="",K121=""),"",ROUND((K121-J121)*24-IF(L121="",0,L121)/60,2))</f>
        <v>0</v>
      </c>
      <c r="U121" s="34">
        <f>IF(F121="","",IF(M121&lt;&gt;"",M121,IF(T121="",0,T121)))</f>
        <v>0</v>
      </c>
      <c r="V121" s="21">
        <f>IF(F121="","",IFERROR(INDEX(Employees!$U$5:$U$44,MATCH(F121,Employees!$B$5:$B$44,0)),PayRate*(1+EmployerOncost)))</f>
        <v>0</v>
      </c>
      <c r="W121" s="34">
        <f>IF(F121="","",MAX(0,U121-IF(N121="",0,N121)))</f>
        <v>0</v>
      </c>
      <c r="X121" s="21">
        <f>IF(F121="","",ROUND(W121*V121+IF(N121="",0,N121)*V121*OvertimeRate,2))</f>
        <v>0</v>
      </c>
      <c r="Y121" s="21">
        <f>IF(F121="","",IF(P121&lt;&gt;"Yes",0,ROUND(U121*IF(IFERROR(INDEX(Clients!$O$5:$O$204,MATCH(IFERROR(INDEX(Jobs!$G$5:$G$604,MATCH(G121,Jobs!$A$5:$A$604,0)),""),Clients!$A$5:$A$204,0)),0)&gt;0,INDEX(Clients!$O$5:$O$204,MATCH(INDEX(Jobs!$G$5:$G$604,MATCH(G121,Jobs!$A$5:$A$604,0)),Clients!$A$5:$A$204,0)),HourlyRate),2)))</f>
        <v>0</v>
      </c>
      <c r="Z121" s="39">
        <f>IF(F121="","",IF(U121=0,"Add - no hours recorded",IF(O121="Absent - no show","Action - no show",IF(U121&gt;10,"Check - over ten hours in a day",IF(Q121&lt;&gt;"Yes","Due - needs approving",IF(R121&lt;&gt;"Yes","Due - not paid yet","OK"))))))</f>
        <v>0</v>
      </c>
    </row>
    <row r="122" spans="1:26">
      <c r="A122" s="43">
        <f>IF(F122="","","TS-"&amp;TEXT(ROW()-4,"0000"))</f>
        <v>0</v>
      </c>
      <c r="C122" s="23">
        <f>IF(B122="","",TEXT(B122,"ddd"))</f>
        <v>0</v>
      </c>
      <c r="D122" s="31">
        <f>IF(B122="","",WEEKNUM(B122,IF(WeekStart="Sunday",1,2)))</f>
        <v>0</v>
      </c>
      <c r="E122" s="23">
        <f>IF(B122="","",TEXT(B122,"yyyy-mm"))</f>
        <v>0</v>
      </c>
      <c r="H122" s="23">
        <f>IF(G122="","",IFERROR(INDEX(Jobs!$H$5:$H$604,MATCH(G122,Jobs!$A$5:$A$604,0)),""))</f>
        <v>0</v>
      </c>
      <c r="T122" s="34">
        <f>IF(OR(J122="",K122=""),"",ROUND((K122-J122)*24-IF(L122="",0,L122)/60,2))</f>
        <v>0</v>
      </c>
      <c r="U122" s="34">
        <f>IF(F122="","",IF(M122&lt;&gt;"",M122,IF(T122="",0,T122)))</f>
        <v>0</v>
      </c>
      <c r="V122" s="21">
        <f>IF(F122="","",IFERROR(INDEX(Employees!$U$5:$U$44,MATCH(F122,Employees!$B$5:$B$44,0)),PayRate*(1+EmployerOncost)))</f>
        <v>0</v>
      </c>
      <c r="W122" s="34">
        <f>IF(F122="","",MAX(0,U122-IF(N122="",0,N122)))</f>
        <v>0</v>
      </c>
      <c r="X122" s="21">
        <f>IF(F122="","",ROUND(W122*V122+IF(N122="",0,N122)*V122*OvertimeRate,2))</f>
        <v>0</v>
      </c>
      <c r="Y122" s="21">
        <f>IF(F122="","",IF(P122&lt;&gt;"Yes",0,ROUND(U122*IF(IFERROR(INDEX(Clients!$O$5:$O$204,MATCH(IFERROR(INDEX(Jobs!$G$5:$G$604,MATCH(G122,Jobs!$A$5:$A$604,0)),""),Clients!$A$5:$A$204,0)),0)&gt;0,INDEX(Clients!$O$5:$O$204,MATCH(INDEX(Jobs!$G$5:$G$604,MATCH(G122,Jobs!$A$5:$A$604,0)),Clients!$A$5:$A$204,0)),HourlyRate),2)))</f>
        <v>0</v>
      </c>
      <c r="Z122" s="39">
        <f>IF(F122="","",IF(U122=0,"Add - no hours recorded",IF(O122="Absent - no show","Action - no show",IF(U122&gt;10,"Check - over ten hours in a day",IF(Q122&lt;&gt;"Yes","Due - needs approving",IF(R122&lt;&gt;"Yes","Due - not paid yet","OK"))))))</f>
        <v>0</v>
      </c>
    </row>
    <row r="123" spans="1:26">
      <c r="A123" s="43">
        <f>IF(F123="","","TS-"&amp;TEXT(ROW()-4,"0000"))</f>
        <v>0</v>
      </c>
      <c r="C123" s="23">
        <f>IF(B123="","",TEXT(B123,"ddd"))</f>
        <v>0</v>
      </c>
      <c r="D123" s="31">
        <f>IF(B123="","",WEEKNUM(B123,IF(WeekStart="Sunday",1,2)))</f>
        <v>0</v>
      </c>
      <c r="E123" s="23">
        <f>IF(B123="","",TEXT(B123,"yyyy-mm"))</f>
        <v>0</v>
      </c>
      <c r="H123" s="23">
        <f>IF(G123="","",IFERROR(INDEX(Jobs!$H$5:$H$604,MATCH(G123,Jobs!$A$5:$A$604,0)),""))</f>
        <v>0</v>
      </c>
      <c r="T123" s="34">
        <f>IF(OR(J123="",K123=""),"",ROUND((K123-J123)*24-IF(L123="",0,L123)/60,2))</f>
        <v>0</v>
      </c>
      <c r="U123" s="34">
        <f>IF(F123="","",IF(M123&lt;&gt;"",M123,IF(T123="",0,T123)))</f>
        <v>0</v>
      </c>
      <c r="V123" s="21">
        <f>IF(F123="","",IFERROR(INDEX(Employees!$U$5:$U$44,MATCH(F123,Employees!$B$5:$B$44,0)),PayRate*(1+EmployerOncost)))</f>
        <v>0</v>
      </c>
      <c r="W123" s="34">
        <f>IF(F123="","",MAX(0,U123-IF(N123="",0,N123)))</f>
        <v>0</v>
      </c>
      <c r="X123" s="21">
        <f>IF(F123="","",ROUND(W123*V123+IF(N123="",0,N123)*V123*OvertimeRate,2))</f>
        <v>0</v>
      </c>
      <c r="Y123" s="21">
        <f>IF(F123="","",IF(P123&lt;&gt;"Yes",0,ROUND(U123*IF(IFERROR(INDEX(Clients!$O$5:$O$204,MATCH(IFERROR(INDEX(Jobs!$G$5:$G$604,MATCH(G123,Jobs!$A$5:$A$604,0)),""),Clients!$A$5:$A$204,0)),0)&gt;0,INDEX(Clients!$O$5:$O$204,MATCH(INDEX(Jobs!$G$5:$G$604,MATCH(G123,Jobs!$A$5:$A$604,0)),Clients!$A$5:$A$204,0)),HourlyRate),2)))</f>
        <v>0</v>
      </c>
      <c r="Z123" s="39">
        <f>IF(F123="","",IF(U123=0,"Add - no hours recorded",IF(O123="Absent - no show","Action - no show",IF(U123&gt;10,"Check - over ten hours in a day",IF(Q123&lt;&gt;"Yes","Due - needs approving",IF(R123&lt;&gt;"Yes","Due - not paid yet","OK"))))))</f>
        <v>0</v>
      </c>
    </row>
    <row r="124" spans="1:26">
      <c r="A124" s="43">
        <f>IF(F124="","","TS-"&amp;TEXT(ROW()-4,"0000"))</f>
        <v>0</v>
      </c>
      <c r="C124" s="23">
        <f>IF(B124="","",TEXT(B124,"ddd"))</f>
        <v>0</v>
      </c>
      <c r="D124" s="31">
        <f>IF(B124="","",WEEKNUM(B124,IF(WeekStart="Sunday",1,2)))</f>
        <v>0</v>
      </c>
      <c r="E124" s="23">
        <f>IF(B124="","",TEXT(B124,"yyyy-mm"))</f>
        <v>0</v>
      </c>
      <c r="H124" s="23">
        <f>IF(G124="","",IFERROR(INDEX(Jobs!$H$5:$H$604,MATCH(G124,Jobs!$A$5:$A$604,0)),""))</f>
        <v>0</v>
      </c>
      <c r="T124" s="34">
        <f>IF(OR(J124="",K124=""),"",ROUND((K124-J124)*24-IF(L124="",0,L124)/60,2))</f>
        <v>0</v>
      </c>
      <c r="U124" s="34">
        <f>IF(F124="","",IF(M124&lt;&gt;"",M124,IF(T124="",0,T124)))</f>
        <v>0</v>
      </c>
      <c r="V124" s="21">
        <f>IF(F124="","",IFERROR(INDEX(Employees!$U$5:$U$44,MATCH(F124,Employees!$B$5:$B$44,0)),PayRate*(1+EmployerOncost)))</f>
        <v>0</v>
      </c>
      <c r="W124" s="34">
        <f>IF(F124="","",MAX(0,U124-IF(N124="",0,N124)))</f>
        <v>0</v>
      </c>
      <c r="X124" s="21">
        <f>IF(F124="","",ROUND(W124*V124+IF(N124="",0,N124)*V124*OvertimeRate,2))</f>
        <v>0</v>
      </c>
      <c r="Y124" s="21">
        <f>IF(F124="","",IF(P124&lt;&gt;"Yes",0,ROUND(U124*IF(IFERROR(INDEX(Clients!$O$5:$O$204,MATCH(IFERROR(INDEX(Jobs!$G$5:$G$604,MATCH(G124,Jobs!$A$5:$A$604,0)),""),Clients!$A$5:$A$204,0)),0)&gt;0,INDEX(Clients!$O$5:$O$204,MATCH(INDEX(Jobs!$G$5:$G$604,MATCH(G124,Jobs!$A$5:$A$604,0)),Clients!$A$5:$A$204,0)),HourlyRate),2)))</f>
        <v>0</v>
      </c>
      <c r="Z124" s="39">
        <f>IF(F124="","",IF(U124=0,"Add - no hours recorded",IF(O124="Absent - no show","Action - no show",IF(U124&gt;10,"Check - over ten hours in a day",IF(Q124&lt;&gt;"Yes","Due - needs approving",IF(R124&lt;&gt;"Yes","Due - not paid yet","OK"))))))</f>
        <v>0</v>
      </c>
    </row>
    <row r="125" spans="1:26">
      <c r="A125" s="43">
        <f>IF(F125="","","TS-"&amp;TEXT(ROW()-4,"0000"))</f>
        <v>0</v>
      </c>
      <c r="C125" s="23">
        <f>IF(B125="","",TEXT(B125,"ddd"))</f>
        <v>0</v>
      </c>
      <c r="D125" s="31">
        <f>IF(B125="","",WEEKNUM(B125,IF(WeekStart="Sunday",1,2)))</f>
        <v>0</v>
      </c>
      <c r="E125" s="23">
        <f>IF(B125="","",TEXT(B125,"yyyy-mm"))</f>
        <v>0</v>
      </c>
      <c r="H125" s="23">
        <f>IF(G125="","",IFERROR(INDEX(Jobs!$H$5:$H$604,MATCH(G125,Jobs!$A$5:$A$604,0)),""))</f>
        <v>0</v>
      </c>
      <c r="T125" s="34">
        <f>IF(OR(J125="",K125=""),"",ROUND((K125-J125)*24-IF(L125="",0,L125)/60,2))</f>
        <v>0</v>
      </c>
      <c r="U125" s="34">
        <f>IF(F125="","",IF(M125&lt;&gt;"",M125,IF(T125="",0,T125)))</f>
        <v>0</v>
      </c>
      <c r="V125" s="21">
        <f>IF(F125="","",IFERROR(INDEX(Employees!$U$5:$U$44,MATCH(F125,Employees!$B$5:$B$44,0)),PayRate*(1+EmployerOncost)))</f>
        <v>0</v>
      </c>
      <c r="W125" s="34">
        <f>IF(F125="","",MAX(0,U125-IF(N125="",0,N125)))</f>
        <v>0</v>
      </c>
      <c r="X125" s="21">
        <f>IF(F125="","",ROUND(W125*V125+IF(N125="",0,N125)*V125*OvertimeRate,2))</f>
        <v>0</v>
      </c>
      <c r="Y125" s="21">
        <f>IF(F125="","",IF(P125&lt;&gt;"Yes",0,ROUND(U125*IF(IFERROR(INDEX(Clients!$O$5:$O$204,MATCH(IFERROR(INDEX(Jobs!$G$5:$G$604,MATCH(G125,Jobs!$A$5:$A$604,0)),""),Clients!$A$5:$A$204,0)),0)&gt;0,INDEX(Clients!$O$5:$O$204,MATCH(INDEX(Jobs!$G$5:$G$604,MATCH(G125,Jobs!$A$5:$A$604,0)),Clients!$A$5:$A$204,0)),HourlyRate),2)))</f>
        <v>0</v>
      </c>
      <c r="Z125" s="39">
        <f>IF(F125="","",IF(U125=0,"Add - no hours recorded",IF(O125="Absent - no show","Action - no show",IF(U125&gt;10,"Check - over ten hours in a day",IF(Q125&lt;&gt;"Yes","Due - needs approving",IF(R125&lt;&gt;"Yes","Due - not paid yet","OK"))))))</f>
        <v>0</v>
      </c>
    </row>
    <row r="126" spans="1:26">
      <c r="A126" s="43">
        <f>IF(F126="","","TS-"&amp;TEXT(ROW()-4,"0000"))</f>
        <v>0</v>
      </c>
      <c r="C126" s="23">
        <f>IF(B126="","",TEXT(B126,"ddd"))</f>
        <v>0</v>
      </c>
      <c r="D126" s="31">
        <f>IF(B126="","",WEEKNUM(B126,IF(WeekStart="Sunday",1,2)))</f>
        <v>0</v>
      </c>
      <c r="E126" s="23">
        <f>IF(B126="","",TEXT(B126,"yyyy-mm"))</f>
        <v>0</v>
      </c>
      <c r="H126" s="23">
        <f>IF(G126="","",IFERROR(INDEX(Jobs!$H$5:$H$604,MATCH(G126,Jobs!$A$5:$A$604,0)),""))</f>
        <v>0</v>
      </c>
      <c r="T126" s="34">
        <f>IF(OR(J126="",K126=""),"",ROUND((K126-J126)*24-IF(L126="",0,L126)/60,2))</f>
        <v>0</v>
      </c>
      <c r="U126" s="34">
        <f>IF(F126="","",IF(M126&lt;&gt;"",M126,IF(T126="",0,T126)))</f>
        <v>0</v>
      </c>
      <c r="V126" s="21">
        <f>IF(F126="","",IFERROR(INDEX(Employees!$U$5:$U$44,MATCH(F126,Employees!$B$5:$B$44,0)),PayRate*(1+EmployerOncost)))</f>
        <v>0</v>
      </c>
      <c r="W126" s="34">
        <f>IF(F126="","",MAX(0,U126-IF(N126="",0,N126)))</f>
        <v>0</v>
      </c>
      <c r="X126" s="21">
        <f>IF(F126="","",ROUND(W126*V126+IF(N126="",0,N126)*V126*OvertimeRate,2))</f>
        <v>0</v>
      </c>
      <c r="Y126" s="21">
        <f>IF(F126="","",IF(P126&lt;&gt;"Yes",0,ROUND(U126*IF(IFERROR(INDEX(Clients!$O$5:$O$204,MATCH(IFERROR(INDEX(Jobs!$G$5:$G$604,MATCH(G126,Jobs!$A$5:$A$604,0)),""),Clients!$A$5:$A$204,0)),0)&gt;0,INDEX(Clients!$O$5:$O$204,MATCH(INDEX(Jobs!$G$5:$G$604,MATCH(G126,Jobs!$A$5:$A$604,0)),Clients!$A$5:$A$204,0)),HourlyRate),2)))</f>
        <v>0</v>
      </c>
      <c r="Z126" s="39">
        <f>IF(F126="","",IF(U126=0,"Add - no hours recorded",IF(O126="Absent - no show","Action - no show",IF(U126&gt;10,"Check - over ten hours in a day",IF(Q126&lt;&gt;"Yes","Due - needs approving",IF(R126&lt;&gt;"Yes","Due - not paid yet","OK"))))))</f>
        <v>0</v>
      </c>
    </row>
    <row r="127" spans="1:26">
      <c r="A127" s="43">
        <f>IF(F127="","","TS-"&amp;TEXT(ROW()-4,"0000"))</f>
        <v>0</v>
      </c>
      <c r="C127" s="23">
        <f>IF(B127="","",TEXT(B127,"ddd"))</f>
        <v>0</v>
      </c>
      <c r="D127" s="31">
        <f>IF(B127="","",WEEKNUM(B127,IF(WeekStart="Sunday",1,2)))</f>
        <v>0</v>
      </c>
      <c r="E127" s="23">
        <f>IF(B127="","",TEXT(B127,"yyyy-mm"))</f>
        <v>0</v>
      </c>
      <c r="H127" s="23">
        <f>IF(G127="","",IFERROR(INDEX(Jobs!$H$5:$H$604,MATCH(G127,Jobs!$A$5:$A$604,0)),""))</f>
        <v>0</v>
      </c>
      <c r="T127" s="34">
        <f>IF(OR(J127="",K127=""),"",ROUND((K127-J127)*24-IF(L127="",0,L127)/60,2))</f>
        <v>0</v>
      </c>
      <c r="U127" s="34">
        <f>IF(F127="","",IF(M127&lt;&gt;"",M127,IF(T127="",0,T127)))</f>
        <v>0</v>
      </c>
      <c r="V127" s="21">
        <f>IF(F127="","",IFERROR(INDEX(Employees!$U$5:$U$44,MATCH(F127,Employees!$B$5:$B$44,0)),PayRate*(1+EmployerOncost)))</f>
        <v>0</v>
      </c>
      <c r="W127" s="34">
        <f>IF(F127="","",MAX(0,U127-IF(N127="",0,N127)))</f>
        <v>0</v>
      </c>
      <c r="X127" s="21">
        <f>IF(F127="","",ROUND(W127*V127+IF(N127="",0,N127)*V127*OvertimeRate,2))</f>
        <v>0</v>
      </c>
      <c r="Y127" s="21">
        <f>IF(F127="","",IF(P127&lt;&gt;"Yes",0,ROUND(U127*IF(IFERROR(INDEX(Clients!$O$5:$O$204,MATCH(IFERROR(INDEX(Jobs!$G$5:$G$604,MATCH(G127,Jobs!$A$5:$A$604,0)),""),Clients!$A$5:$A$204,0)),0)&gt;0,INDEX(Clients!$O$5:$O$204,MATCH(INDEX(Jobs!$G$5:$G$604,MATCH(G127,Jobs!$A$5:$A$604,0)),Clients!$A$5:$A$204,0)),HourlyRate),2)))</f>
        <v>0</v>
      </c>
      <c r="Z127" s="39">
        <f>IF(F127="","",IF(U127=0,"Add - no hours recorded",IF(O127="Absent - no show","Action - no show",IF(U127&gt;10,"Check - over ten hours in a day",IF(Q127&lt;&gt;"Yes","Due - needs approving",IF(R127&lt;&gt;"Yes","Due - not paid yet","OK"))))))</f>
        <v>0</v>
      </c>
    </row>
    <row r="128" spans="1:26">
      <c r="A128" s="43">
        <f>IF(F128="","","TS-"&amp;TEXT(ROW()-4,"0000"))</f>
        <v>0</v>
      </c>
      <c r="C128" s="23">
        <f>IF(B128="","",TEXT(B128,"ddd"))</f>
        <v>0</v>
      </c>
      <c r="D128" s="31">
        <f>IF(B128="","",WEEKNUM(B128,IF(WeekStart="Sunday",1,2)))</f>
        <v>0</v>
      </c>
      <c r="E128" s="23">
        <f>IF(B128="","",TEXT(B128,"yyyy-mm"))</f>
        <v>0</v>
      </c>
      <c r="H128" s="23">
        <f>IF(G128="","",IFERROR(INDEX(Jobs!$H$5:$H$604,MATCH(G128,Jobs!$A$5:$A$604,0)),""))</f>
        <v>0</v>
      </c>
      <c r="T128" s="34">
        <f>IF(OR(J128="",K128=""),"",ROUND((K128-J128)*24-IF(L128="",0,L128)/60,2))</f>
        <v>0</v>
      </c>
      <c r="U128" s="34">
        <f>IF(F128="","",IF(M128&lt;&gt;"",M128,IF(T128="",0,T128)))</f>
        <v>0</v>
      </c>
      <c r="V128" s="21">
        <f>IF(F128="","",IFERROR(INDEX(Employees!$U$5:$U$44,MATCH(F128,Employees!$B$5:$B$44,0)),PayRate*(1+EmployerOncost)))</f>
        <v>0</v>
      </c>
      <c r="W128" s="34">
        <f>IF(F128="","",MAX(0,U128-IF(N128="",0,N128)))</f>
        <v>0</v>
      </c>
      <c r="X128" s="21">
        <f>IF(F128="","",ROUND(W128*V128+IF(N128="",0,N128)*V128*OvertimeRate,2))</f>
        <v>0</v>
      </c>
      <c r="Y128" s="21">
        <f>IF(F128="","",IF(P128&lt;&gt;"Yes",0,ROUND(U128*IF(IFERROR(INDEX(Clients!$O$5:$O$204,MATCH(IFERROR(INDEX(Jobs!$G$5:$G$604,MATCH(G128,Jobs!$A$5:$A$604,0)),""),Clients!$A$5:$A$204,0)),0)&gt;0,INDEX(Clients!$O$5:$O$204,MATCH(INDEX(Jobs!$G$5:$G$604,MATCH(G128,Jobs!$A$5:$A$604,0)),Clients!$A$5:$A$204,0)),HourlyRate),2)))</f>
        <v>0</v>
      </c>
      <c r="Z128" s="39">
        <f>IF(F128="","",IF(U128=0,"Add - no hours recorded",IF(O128="Absent - no show","Action - no show",IF(U128&gt;10,"Check - over ten hours in a day",IF(Q128&lt;&gt;"Yes","Due - needs approving",IF(R128&lt;&gt;"Yes","Due - not paid yet","OK"))))))</f>
        <v>0</v>
      </c>
    </row>
    <row r="129" spans="1:26">
      <c r="A129" s="43">
        <f>IF(F129="","","TS-"&amp;TEXT(ROW()-4,"0000"))</f>
        <v>0</v>
      </c>
      <c r="C129" s="23">
        <f>IF(B129="","",TEXT(B129,"ddd"))</f>
        <v>0</v>
      </c>
      <c r="D129" s="31">
        <f>IF(B129="","",WEEKNUM(B129,IF(WeekStart="Sunday",1,2)))</f>
        <v>0</v>
      </c>
      <c r="E129" s="23">
        <f>IF(B129="","",TEXT(B129,"yyyy-mm"))</f>
        <v>0</v>
      </c>
      <c r="H129" s="23">
        <f>IF(G129="","",IFERROR(INDEX(Jobs!$H$5:$H$604,MATCH(G129,Jobs!$A$5:$A$604,0)),""))</f>
        <v>0</v>
      </c>
      <c r="T129" s="34">
        <f>IF(OR(J129="",K129=""),"",ROUND((K129-J129)*24-IF(L129="",0,L129)/60,2))</f>
        <v>0</v>
      </c>
      <c r="U129" s="34">
        <f>IF(F129="","",IF(M129&lt;&gt;"",M129,IF(T129="",0,T129)))</f>
        <v>0</v>
      </c>
      <c r="V129" s="21">
        <f>IF(F129="","",IFERROR(INDEX(Employees!$U$5:$U$44,MATCH(F129,Employees!$B$5:$B$44,0)),PayRate*(1+EmployerOncost)))</f>
        <v>0</v>
      </c>
      <c r="W129" s="34">
        <f>IF(F129="","",MAX(0,U129-IF(N129="",0,N129)))</f>
        <v>0</v>
      </c>
      <c r="X129" s="21">
        <f>IF(F129="","",ROUND(W129*V129+IF(N129="",0,N129)*V129*OvertimeRate,2))</f>
        <v>0</v>
      </c>
      <c r="Y129" s="21">
        <f>IF(F129="","",IF(P129&lt;&gt;"Yes",0,ROUND(U129*IF(IFERROR(INDEX(Clients!$O$5:$O$204,MATCH(IFERROR(INDEX(Jobs!$G$5:$G$604,MATCH(G129,Jobs!$A$5:$A$604,0)),""),Clients!$A$5:$A$204,0)),0)&gt;0,INDEX(Clients!$O$5:$O$204,MATCH(INDEX(Jobs!$G$5:$G$604,MATCH(G129,Jobs!$A$5:$A$604,0)),Clients!$A$5:$A$204,0)),HourlyRate),2)))</f>
        <v>0</v>
      </c>
      <c r="Z129" s="39">
        <f>IF(F129="","",IF(U129=0,"Add - no hours recorded",IF(O129="Absent - no show","Action - no show",IF(U129&gt;10,"Check - over ten hours in a day",IF(Q129&lt;&gt;"Yes","Due - needs approving",IF(R129&lt;&gt;"Yes","Due - not paid yet","OK"))))))</f>
        <v>0</v>
      </c>
    </row>
    <row r="130" spans="1:26">
      <c r="A130" s="43">
        <f>IF(F130="","","TS-"&amp;TEXT(ROW()-4,"0000"))</f>
        <v>0</v>
      </c>
      <c r="C130" s="23">
        <f>IF(B130="","",TEXT(B130,"ddd"))</f>
        <v>0</v>
      </c>
      <c r="D130" s="31">
        <f>IF(B130="","",WEEKNUM(B130,IF(WeekStart="Sunday",1,2)))</f>
        <v>0</v>
      </c>
      <c r="E130" s="23">
        <f>IF(B130="","",TEXT(B130,"yyyy-mm"))</f>
        <v>0</v>
      </c>
      <c r="H130" s="23">
        <f>IF(G130="","",IFERROR(INDEX(Jobs!$H$5:$H$604,MATCH(G130,Jobs!$A$5:$A$604,0)),""))</f>
        <v>0</v>
      </c>
      <c r="T130" s="34">
        <f>IF(OR(J130="",K130=""),"",ROUND((K130-J130)*24-IF(L130="",0,L130)/60,2))</f>
        <v>0</v>
      </c>
      <c r="U130" s="34">
        <f>IF(F130="","",IF(M130&lt;&gt;"",M130,IF(T130="",0,T130)))</f>
        <v>0</v>
      </c>
      <c r="V130" s="21">
        <f>IF(F130="","",IFERROR(INDEX(Employees!$U$5:$U$44,MATCH(F130,Employees!$B$5:$B$44,0)),PayRate*(1+EmployerOncost)))</f>
        <v>0</v>
      </c>
      <c r="W130" s="34">
        <f>IF(F130="","",MAX(0,U130-IF(N130="",0,N130)))</f>
        <v>0</v>
      </c>
      <c r="X130" s="21">
        <f>IF(F130="","",ROUND(W130*V130+IF(N130="",0,N130)*V130*OvertimeRate,2))</f>
        <v>0</v>
      </c>
      <c r="Y130" s="21">
        <f>IF(F130="","",IF(P130&lt;&gt;"Yes",0,ROUND(U130*IF(IFERROR(INDEX(Clients!$O$5:$O$204,MATCH(IFERROR(INDEX(Jobs!$G$5:$G$604,MATCH(G130,Jobs!$A$5:$A$604,0)),""),Clients!$A$5:$A$204,0)),0)&gt;0,INDEX(Clients!$O$5:$O$204,MATCH(INDEX(Jobs!$G$5:$G$604,MATCH(G130,Jobs!$A$5:$A$604,0)),Clients!$A$5:$A$204,0)),HourlyRate),2)))</f>
        <v>0</v>
      </c>
      <c r="Z130" s="39">
        <f>IF(F130="","",IF(U130=0,"Add - no hours recorded",IF(O130="Absent - no show","Action - no show",IF(U130&gt;10,"Check - over ten hours in a day",IF(Q130&lt;&gt;"Yes","Due - needs approving",IF(R130&lt;&gt;"Yes","Due - not paid yet","OK"))))))</f>
        <v>0</v>
      </c>
    </row>
    <row r="131" spans="1:26">
      <c r="A131" s="43">
        <f>IF(F131="","","TS-"&amp;TEXT(ROW()-4,"0000"))</f>
        <v>0</v>
      </c>
      <c r="C131" s="23">
        <f>IF(B131="","",TEXT(B131,"ddd"))</f>
        <v>0</v>
      </c>
      <c r="D131" s="31">
        <f>IF(B131="","",WEEKNUM(B131,IF(WeekStart="Sunday",1,2)))</f>
        <v>0</v>
      </c>
      <c r="E131" s="23">
        <f>IF(B131="","",TEXT(B131,"yyyy-mm"))</f>
        <v>0</v>
      </c>
      <c r="H131" s="23">
        <f>IF(G131="","",IFERROR(INDEX(Jobs!$H$5:$H$604,MATCH(G131,Jobs!$A$5:$A$604,0)),""))</f>
        <v>0</v>
      </c>
      <c r="T131" s="34">
        <f>IF(OR(J131="",K131=""),"",ROUND((K131-J131)*24-IF(L131="",0,L131)/60,2))</f>
        <v>0</v>
      </c>
      <c r="U131" s="34">
        <f>IF(F131="","",IF(M131&lt;&gt;"",M131,IF(T131="",0,T131)))</f>
        <v>0</v>
      </c>
      <c r="V131" s="21">
        <f>IF(F131="","",IFERROR(INDEX(Employees!$U$5:$U$44,MATCH(F131,Employees!$B$5:$B$44,0)),PayRate*(1+EmployerOncost)))</f>
        <v>0</v>
      </c>
      <c r="W131" s="34">
        <f>IF(F131="","",MAX(0,U131-IF(N131="",0,N131)))</f>
        <v>0</v>
      </c>
      <c r="X131" s="21">
        <f>IF(F131="","",ROUND(W131*V131+IF(N131="",0,N131)*V131*OvertimeRate,2))</f>
        <v>0</v>
      </c>
      <c r="Y131" s="21">
        <f>IF(F131="","",IF(P131&lt;&gt;"Yes",0,ROUND(U131*IF(IFERROR(INDEX(Clients!$O$5:$O$204,MATCH(IFERROR(INDEX(Jobs!$G$5:$G$604,MATCH(G131,Jobs!$A$5:$A$604,0)),""),Clients!$A$5:$A$204,0)),0)&gt;0,INDEX(Clients!$O$5:$O$204,MATCH(INDEX(Jobs!$G$5:$G$604,MATCH(G131,Jobs!$A$5:$A$604,0)),Clients!$A$5:$A$204,0)),HourlyRate),2)))</f>
        <v>0</v>
      </c>
      <c r="Z131" s="39">
        <f>IF(F131="","",IF(U131=0,"Add - no hours recorded",IF(O131="Absent - no show","Action - no show",IF(U131&gt;10,"Check - over ten hours in a day",IF(Q131&lt;&gt;"Yes","Due - needs approving",IF(R131&lt;&gt;"Yes","Due - not paid yet","OK"))))))</f>
        <v>0</v>
      </c>
    </row>
    <row r="132" spans="1:26">
      <c r="A132" s="43">
        <f>IF(F132="","","TS-"&amp;TEXT(ROW()-4,"0000"))</f>
        <v>0</v>
      </c>
      <c r="C132" s="23">
        <f>IF(B132="","",TEXT(B132,"ddd"))</f>
        <v>0</v>
      </c>
      <c r="D132" s="31">
        <f>IF(B132="","",WEEKNUM(B132,IF(WeekStart="Sunday",1,2)))</f>
        <v>0</v>
      </c>
      <c r="E132" s="23">
        <f>IF(B132="","",TEXT(B132,"yyyy-mm"))</f>
        <v>0</v>
      </c>
      <c r="H132" s="23">
        <f>IF(G132="","",IFERROR(INDEX(Jobs!$H$5:$H$604,MATCH(G132,Jobs!$A$5:$A$604,0)),""))</f>
        <v>0</v>
      </c>
      <c r="T132" s="34">
        <f>IF(OR(J132="",K132=""),"",ROUND((K132-J132)*24-IF(L132="",0,L132)/60,2))</f>
        <v>0</v>
      </c>
      <c r="U132" s="34">
        <f>IF(F132="","",IF(M132&lt;&gt;"",M132,IF(T132="",0,T132)))</f>
        <v>0</v>
      </c>
      <c r="V132" s="21">
        <f>IF(F132="","",IFERROR(INDEX(Employees!$U$5:$U$44,MATCH(F132,Employees!$B$5:$B$44,0)),PayRate*(1+EmployerOncost)))</f>
        <v>0</v>
      </c>
      <c r="W132" s="34">
        <f>IF(F132="","",MAX(0,U132-IF(N132="",0,N132)))</f>
        <v>0</v>
      </c>
      <c r="X132" s="21">
        <f>IF(F132="","",ROUND(W132*V132+IF(N132="",0,N132)*V132*OvertimeRate,2))</f>
        <v>0</v>
      </c>
      <c r="Y132" s="21">
        <f>IF(F132="","",IF(P132&lt;&gt;"Yes",0,ROUND(U132*IF(IFERROR(INDEX(Clients!$O$5:$O$204,MATCH(IFERROR(INDEX(Jobs!$G$5:$G$604,MATCH(G132,Jobs!$A$5:$A$604,0)),""),Clients!$A$5:$A$204,0)),0)&gt;0,INDEX(Clients!$O$5:$O$204,MATCH(INDEX(Jobs!$G$5:$G$604,MATCH(G132,Jobs!$A$5:$A$604,0)),Clients!$A$5:$A$204,0)),HourlyRate),2)))</f>
        <v>0</v>
      </c>
      <c r="Z132" s="39">
        <f>IF(F132="","",IF(U132=0,"Add - no hours recorded",IF(O132="Absent - no show","Action - no show",IF(U132&gt;10,"Check - over ten hours in a day",IF(Q132&lt;&gt;"Yes","Due - needs approving",IF(R132&lt;&gt;"Yes","Due - not paid yet","OK"))))))</f>
        <v>0</v>
      </c>
    </row>
    <row r="133" spans="1:26">
      <c r="A133" s="43">
        <f>IF(F133="","","TS-"&amp;TEXT(ROW()-4,"0000"))</f>
        <v>0</v>
      </c>
      <c r="C133" s="23">
        <f>IF(B133="","",TEXT(B133,"ddd"))</f>
        <v>0</v>
      </c>
      <c r="D133" s="31">
        <f>IF(B133="","",WEEKNUM(B133,IF(WeekStart="Sunday",1,2)))</f>
        <v>0</v>
      </c>
      <c r="E133" s="23">
        <f>IF(B133="","",TEXT(B133,"yyyy-mm"))</f>
        <v>0</v>
      </c>
      <c r="H133" s="23">
        <f>IF(G133="","",IFERROR(INDEX(Jobs!$H$5:$H$604,MATCH(G133,Jobs!$A$5:$A$604,0)),""))</f>
        <v>0</v>
      </c>
      <c r="T133" s="34">
        <f>IF(OR(J133="",K133=""),"",ROUND((K133-J133)*24-IF(L133="",0,L133)/60,2))</f>
        <v>0</v>
      </c>
      <c r="U133" s="34">
        <f>IF(F133="","",IF(M133&lt;&gt;"",M133,IF(T133="",0,T133)))</f>
        <v>0</v>
      </c>
      <c r="V133" s="21">
        <f>IF(F133="","",IFERROR(INDEX(Employees!$U$5:$U$44,MATCH(F133,Employees!$B$5:$B$44,0)),PayRate*(1+EmployerOncost)))</f>
        <v>0</v>
      </c>
      <c r="W133" s="34">
        <f>IF(F133="","",MAX(0,U133-IF(N133="",0,N133)))</f>
        <v>0</v>
      </c>
      <c r="X133" s="21">
        <f>IF(F133="","",ROUND(W133*V133+IF(N133="",0,N133)*V133*OvertimeRate,2))</f>
        <v>0</v>
      </c>
      <c r="Y133" s="21">
        <f>IF(F133="","",IF(P133&lt;&gt;"Yes",0,ROUND(U133*IF(IFERROR(INDEX(Clients!$O$5:$O$204,MATCH(IFERROR(INDEX(Jobs!$G$5:$G$604,MATCH(G133,Jobs!$A$5:$A$604,0)),""),Clients!$A$5:$A$204,0)),0)&gt;0,INDEX(Clients!$O$5:$O$204,MATCH(INDEX(Jobs!$G$5:$G$604,MATCH(G133,Jobs!$A$5:$A$604,0)),Clients!$A$5:$A$204,0)),HourlyRate),2)))</f>
        <v>0</v>
      </c>
      <c r="Z133" s="39">
        <f>IF(F133="","",IF(U133=0,"Add - no hours recorded",IF(O133="Absent - no show","Action - no show",IF(U133&gt;10,"Check - over ten hours in a day",IF(Q133&lt;&gt;"Yes","Due - needs approving",IF(R133&lt;&gt;"Yes","Due - not paid yet","OK"))))))</f>
        <v>0</v>
      </c>
    </row>
    <row r="134" spans="1:26">
      <c r="A134" s="43">
        <f>IF(F134="","","TS-"&amp;TEXT(ROW()-4,"0000"))</f>
        <v>0</v>
      </c>
      <c r="C134" s="23">
        <f>IF(B134="","",TEXT(B134,"ddd"))</f>
        <v>0</v>
      </c>
      <c r="D134" s="31">
        <f>IF(B134="","",WEEKNUM(B134,IF(WeekStart="Sunday",1,2)))</f>
        <v>0</v>
      </c>
      <c r="E134" s="23">
        <f>IF(B134="","",TEXT(B134,"yyyy-mm"))</f>
        <v>0</v>
      </c>
      <c r="H134" s="23">
        <f>IF(G134="","",IFERROR(INDEX(Jobs!$H$5:$H$604,MATCH(G134,Jobs!$A$5:$A$604,0)),""))</f>
        <v>0</v>
      </c>
      <c r="T134" s="34">
        <f>IF(OR(J134="",K134=""),"",ROUND((K134-J134)*24-IF(L134="",0,L134)/60,2))</f>
        <v>0</v>
      </c>
      <c r="U134" s="34">
        <f>IF(F134="","",IF(M134&lt;&gt;"",M134,IF(T134="",0,T134)))</f>
        <v>0</v>
      </c>
      <c r="V134" s="21">
        <f>IF(F134="","",IFERROR(INDEX(Employees!$U$5:$U$44,MATCH(F134,Employees!$B$5:$B$44,0)),PayRate*(1+EmployerOncost)))</f>
        <v>0</v>
      </c>
      <c r="W134" s="34">
        <f>IF(F134="","",MAX(0,U134-IF(N134="",0,N134)))</f>
        <v>0</v>
      </c>
      <c r="X134" s="21">
        <f>IF(F134="","",ROUND(W134*V134+IF(N134="",0,N134)*V134*OvertimeRate,2))</f>
        <v>0</v>
      </c>
      <c r="Y134" s="21">
        <f>IF(F134="","",IF(P134&lt;&gt;"Yes",0,ROUND(U134*IF(IFERROR(INDEX(Clients!$O$5:$O$204,MATCH(IFERROR(INDEX(Jobs!$G$5:$G$604,MATCH(G134,Jobs!$A$5:$A$604,0)),""),Clients!$A$5:$A$204,0)),0)&gt;0,INDEX(Clients!$O$5:$O$204,MATCH(INDEX(Jobs!$G$5:$G$604,MATCH(G134,Jobs!$A$5:$A$604,0)),Clients!$A$5:$A$204,0)),HourlyRate),2)))</f>
        <v>0</v>
      </c>
      <c r="Z134" s="39">
        <f>IF(F134="","",IF(U134=0,"Add - no hours recorded",IF(O134="Absent - no show","Action - no show",IF(U134&gt;10,"Check - over ten hours in a day",IF(Q134&lt;&gt;"Yes","Due - needs approving",IF(R134&lt;&gt;"Yes","Due - not paid yet","OK"))))))</f>
        <v>0</v>
      </c>
    </row>
    <row r="135" spans="1:26">
      <c r="A135" s="43">
        <f>IF(F135="","","TS-"&amp;TEXT(ROW()-4,"0000"))</f>
        <v>0</v>
      </c>
      <c r="C135" s="23">
        <f>IF(B135="","",TEXT(B135,"ddd"))</f>
        <v>0</v>
      </c>
      <c r="D135" s="31">
        <f>IF(B135="","",WEEKNUM(B135,IF(WeekStart="Sunday",1,2)))</f>
        <v>0</v>
      </c>
      <c r="E135" s="23">
        <f>IF(B135="","",TEXT(B135,"yyyy-mm"))</f>
        <v>0</v>
      </c>
      <c r="H135" s="23">
        <f>IF(G135="","",IFERROR(INDEX(Jobs!$H$5:$H$604,MATCH(G135,Jobs!$A$5:$A$604,0)),""))</f>
        <v>0</v>
      </c>
      <c r="T135" s="34">
        <f>IF(OR(J135="",K135=""),"",ROUND((K135-J135)*24-IF(L135="",0,L135)/60,2))</f>
        <v>0</v>
      </c>
      <c r="U135" s="34">
        <f>IF(F135="","",IF(M135&lt;&gt;"",M135,IF(T135="",0,T135)))</f>
        <v>0</v>
      </c>
      <c r="V135" s="21">
        <f>IF(F135="","",IFERROR(INDEX(Employees!$U$5:$U$44,MATCH(F135,Employees!$B$5:$B$44,0)),PayRate*(1+EmployerOncost)))</f>
        <v>0</v>
      </c>
      <c r="W135" s="34">
        <f>IF(F135="","",MAX(0,U135-IF(N135="",0,N135)))</f>
        <v>0</v>
      </c>
      <c r="X135" s="21">
        <f>IF(F135="","",ROUND(W135*V135+IF(N135="",0,N135)*V135*OvertimeRate,2))</f>
        <v>0</v>
      </c>
      <c r="Y135" s="21">
        <f>IF(F135="","",IF(P135&lt;&gt;"Yes",0,ROUND(U135*IF(IFERROR(INDEX(Clients!$O$5:$O$204,MATCH(IFERROR(INDEX(Jobs!$G$5:$G$604,MATCH(G135,Jobs!$A$5:$A$604,0)),""),Clients!$A$5:$A$204,0)),0)&gt;0,INDEX(Clients!$O$5:$O$204,MATCH(INDEX(Jobs!$G$5:$G$604,MATCH(G135,Jobs!$A$5:$A$604,0)),Clients!$A$5:$A$204,0)),HourlyRate),2)))</f>
        <v>0</v>
      </c>
      <c r="Z135" s="39">
        <f>IF(F135="","",IF(U135=0,"Add - no hours recorded",IF(O135="Absent - no show","Action - no show",IF(U135&gt;10,"Check - over ten hours in a day",IF(Q135&lt;&gt;"Yes","Due - needs approving",IF(R135&lt;&gt;"Yes","Due - not paid yet","OK"))))))</f>
        <v>0</v>
      </c>
    </row>
    <row r="136" spans="1:26">
      <c r="A136" s="43">
        <f>IF(F136="","","TS-"&amp;TEXT(ROW()-4,"0000"))</f>
        <v>0</v>
      </c>
      <c r="C136" s="23">
        <f>IF(B136="","",TEXT(B136,"ddd"))</f>
        <v>0</v>
      </c>
      <c r="D136" s="31">
        <f>IF(B136="","",WEEKNUM(B136,IF(WeekStart="Sunday",1,2)))</f>
        <v>0</v>
      </c>
      <c r="E136" s="23">
        <f>IF(B136="","",TEXT(B136,"yyyy-mm"))</f>
        <v>0</v>
      </c>
      <c r="H136" s="23">
        <f>IF(G136="","",IFERROR(INDEX(Jobs!$H$5:$H$604,MATCH(G136,Jobs!$A$5:$A$604,0)),""))</f>
        <v>0</v>
      </c>
      <c r="T136" s="34">
        <f>IF(OR(J136="",K136=""),"",ROUND((K136-J136)*24-IF(L136="",0,L136)/60,2))</f>
        <v>0</v>
      </c>
      <c r="U136" s="34">
        <f>IF(F136="","",IF(M136&lt;&gt;"",M136,IF(T136="",0,T136)))</f>
        <v>0</v>
      </c>
      <c r="V136" s="21">
        <f>IF(F136="","",IFERROR(INDEX(Employees!$U$5:$U$44,MATCH(F136,Employees!$B$5:$B$44,0)),PayRate*(1+EmployerOncost)))</f>
        <v>0</v>
      </c>
      <c r="W136" s="34">
        <f>IF(F136="","",MAX(0,U136-IF(N136="",0,N136)))</f>
        <v>0</v>
      </c>
      <c r="X136" s="21">
        <f>IF(F136="","",ROUND(W136*V136+IF(N136="",0,N136)*V136*OvertimeRate,2))</f>
        <v>0</v>
      </c>
      <c r="Y136" s="21">
        <f>IF(F136="","",IF(P136&lt;&gt;"Yes",0,ROUND(U136*IF(IFERROR(INDEX(Clients!$O$5:$O$204,MATCH(IFERROR(INDEX(Jobs!$G$5:$G$604,MATCH(G136,Jobs!$A$5:$A$604,0)),""),Clients!$A$5:$A$204,0)),0)&gt;0,INDEX(Clients!$O$5:$O$204,MATCH(INDEX(Jobs!$G$5:$G$604,MATCH(G136,Jobs!$A$5:$A$604,0)),Clients!$A$5:$A$204,0)),HourlyRate),2)))</f>
        <v>0</v>
      </c>
      <c r="Z136" s="39">
        <f>IF(F136="","",IF(U136=0,"Add - no hours recorded",IF(O136="Absent - no show","Action - no show",IF(U136&gt;10,"Check - over ten hours in a day",IF(Q136&lt;&gt;"Yes","Due - needs approving",IF(R136&lt;&gt;"Yes","Due - not paid yet","OK"))))))</f>
        <v>0</v>
      </c>
    </row>
    <row r="137" spans="1:26">
      <c r="A137" s="43">
        <f>IF(F137="","","TS-"&amp;TEXT(ROW()-4,"0000"))</f>
        <v>0</v>
      </c>
      <c r="C137" s="23">
        <f>IF(B137="","",TEXT(B137,"ddd"))</f>
        <v>0</v>
      </c>
      <c r="D137" s="31">
        <f>IF(B137="","",WEEKNUM(B137,IF(WeekStart="Sunday",1,2)))</f>
        <v>0</v>
      </c>
      <c r="E137" s="23">
        <f>IF(B137="","",TEXT(B137,"yyyy-mm"))</f>
        <v>0</v>
      </c>
      <c r="H137" s="23">
        <f>IF(G137="","",IFERROR(INDEX(Jobs!$H$5:$H$604,MATCH(G137,Jobs!$A$5:$A$604,0)),""))</f>
        <v>0</v>
      </c>
      <c r="T137" s="34">
        <f>IF(OR(J137="",K137=""),"",ROUND((K137-J137)*24-IF(L137="",0,L137)/60,2))</f>
        <v>0</v>
      </c>
      <c r="U137" s="34">
        <f>IF(F137="","",IF(M137&lt;&gt;"",M137,IF(T137="",0,T137)))</f>
        <v>0</v>
      </c>
      <c r="V137" s="21">
        <f>IF(F137="","",IFERROR(INDEX(Employees!$U$5:$U$44,MATCH(F137,Employees!$B$5:$B$44,0)),PayRate*(1+EmployerOncost)))</f>
        <v>0</v>
      </c>
      <c r="W137" s="34">
        <f>IF(F137="","",MAX(0,U137-IF(N137="",0,N137)))</f>
        <v>0</v>
      </c>
      <c r="X137" s="21">
        <f>IF(F137="","",ROUND(W137*V137+IF(N137="",0,N137)*V137*OvertimeRate,2))</f>
        <v>0</v>
      </c>
      <c r="Y137" s="21">
        <f>IF(F137="","",IF(P137&lt;&gt;"Yes",0,ROUND(U137*IF(IFERROR(INDEX(Clients!$O$5:$O$204,MATCH(IFERROR(INDEX(Jobs!$G$5:$G$604,MATCH(G137,Jobs!$A$5:$A$604,0)),""),Clients!$A$5:$A$204,0)),0)&gt;0,INDEX(Clients!$O$5:$O$204,MATCH(INDEX(Jobs!$G$5:$G$604,MATCH(G137,Jobs!$A$5:$A$604,0)),Clients!$A$5:$A$204,0)),HourlyRate),2)))</f>
        <v>0</v>
      </c>
      <c r="Z137" s="39">
        <f>IF(F137="","",IF(U137=0,"Add - no hours recorded",IF(O137="Absent - no show","Action - no show",IF(U137&gt;10,"Check - over ten hours in a day",IF(Q137&lt;&gt;"Yes","Due - needs approving",IF(R137&lt;&gt;"Yes","Due - not paid yet","OK"))))))</f>
        <v>0</v>
      </c>
    </row>
    <row r="138" spans="1:26">
      <c r="A138" s="43">
        <f>IF(F138="","","TS-"&amp;TEXT(ROW()-4,"0000"))</f>
        <v>0</v>
      </c>
      <c r="C138" s="23">
        <f>IF(B138="","",TEXT(B138,"ddd"))</f>
        <v>0</v>
      </c>
      <c r="D138" s="31">
        <f>IF(B138="","",WEEKNUM(B138,IF(WeekStart="Sunday",1,2)))</f>
        <v>0</v>
      </c>
      <c r="E138" s="23">
        <f>IF(B138="","",TEXT(B138,"yyyy-mm"))</f>
        <v>0</v>
      </c>
      <c r="H138" s="23">
        <f>IF(G138="","",IFERROR(INDEX(Jobs!$H$5:$H$604,MATCH(G138,Jobs!$A$5:$A$604,0)),""))</f>
        <v>0</v>
      </c>
      <c r="T138" s="34">
        <f>IF(OR(J138="",K138=""),"",ROUND((K138-J138)*24-IF(L138="",0,L138)/60,2))</f>
        <v>0</v>
      </c>
      <c r="U138" s="34">
        <f>IF(F138="","",IF(M138&lt;&gt;"",M138,IF(T138="",0,T138)))</f>
        <v>0</v>
      </c>
      <c r="V138" s="21">
        <f>IF(F138="","",IFERROR(INDEX(Employees!$U$5:$U$44,MATCH(F138,Employees!$B$5:$B$44,0)),PayRate*(1+EmployerOncost)))</f>
        <v>0</v>
      </c>
      <c r="W138" s="34">
        <f>IF(F138="","",MAX(0,U138-IF(N138="",0,N138)))</f>
        <v>0</v>
      </c>
      <c r="X138" s="21">
        <f>IF(F138="","",ROUND(W138*V138+IF(N138="",0,N138)*V138*OvertimeRate,2))</f>
        <v>0</v>
      </c>
      <c r="Y138" s="21">
        <f>IF(F138="","",IF(P138&lt;&gt;"Yes",0,ROUND(U138*IF(IFERROR(INDEX(Clients!$O$5:$O$204,MATCH(IFERROR(INDEX(Jobs!$G$5:$G$604,MATCH(G138,Jobs!$A$5:$A$604,0)),""),Clients!$A$5:$A$204,0)),0)&gt;0,INDEX(Clients!$O$5:$O$204,MATCH(INDEX(Jobs!$G$5:$G$604,MATCH(G138,Jobs!$A$5:$A$604,0)),Clients!$A$5:$A$204,0)),HourlyRate),2)))</f>
        <v>0</v>
      </c>
      <c r="Z138" s="39">
        <f>IF(F138="","",IF(U138=0,"Add - no hours recorded",IF(O138="Absent - no show","Action - no show",IF(U138&gt;10,"Check - over ten hours in a day",IF(Q138&lt;&gt;"Yes","Due - needs approving",IF(R138&lt;&gt;"Yes","Due - not paid yet","OK"))))))</f>
        <v>0</v>
      </c>
    </row>
    <row r="139" spans="1:26">
      <c r="A139" s="43">
        <f>IF(F139="","","TS-"&amp;TEXT(ROW()-4,"0000"))</f>
        <v>0</v>
      </c>
      <c r="C139" s="23">
        <f>IF(B139="","",TEXT(B139,"ddd"))</f>
        <v>0</v>
      </c>
      <c r="D139" s="31">
        <f>IF(B139="","",WEEKNUM(B139,IF(WeekStart="Sunday",1,2)))</f>
        <v>0</v>
      </c>
      <c r="E139" s="23">
        <f>IF(B139="","",TEXT(B139,"yyyy-mm"))</f>
        <v>0</v>
      </c>
      <c r="H139" s="23">
        <f>IF(G139="","",IFERROR(INDEX(Jobs!$H$5:$H$604,MATCH(G139,Jobs!$A$5:$A$604,0)),""))</f>
        <v>0</v>
      </c>
      <c r="T139" s="34">
        <f>IF(OR(J139="",K139=""),"",ROUND((K139-J139)*24-IF(L139="",0,L139)/60,2))</f>
        <v>0</v>
      </c>
      <c r="U139" s="34">
        <f>IF(F139="","",IF(M139&lt;&gt;"",M139,IF(T139="",0,T139)))</f>
        <v>0</v>
      </c>
      <c r="V139" s="21">
        <f>IF(F139="","",IFERROR(INDEX(Employees!$U$5:$U$44,MATCH(F139,Employees!$B$5:$B$44,0)),PayRate*(1+EmployerOncost)))</f>
        <v>0</v>
      </c>
      <c r="W139" s="34">
        <f>IF(F139="","",MAX(0,U139-IF(N139="",0,N139)))</f>
        <v>0</v>
      </c>
      <c r="X139" s="21">
        <f>IF(F139="","",ROUND(W139*V139+IF(N139="",0,N139)*V139*OvertimeRate,2))</f>
        <v>0</v>
      </c>
      <c r="Y139" s="21">
        <f>IF(F139="","",IF(P139&lt;&gt;"Yes",0,ROUND(U139*IF(IFERROR(INDEX(Clients!$O$5:$O$204,MATCH(IFERROR(INDEX(Jobs!$G$5:$G$604,MATCH(G139,Jobs!$A$5:$A$604,0)),""),Clients!$A$5:$A$204,0)),0)&gt;0,INDEX(Clients!$O$5:$O$204,MATCH(INDEX(Jobs!$G$5:$G$604,MATCH(G139,Jobs!$A$5:$A$604,0)),Clients!$A$5:$A$204,0)),HourlyRate),2)))</f>
        <v>0</v>
      </c>
      <c r="Z139" s="39">
        <f>IF(F139="","",IF(U139=0,"Add - no hours recorded",IF(O139="Absent - no show","Action - no show",IF(U139&gt;10,"Check - over ten hours in a day",IF(Q139&lt;&gt;"Yes","Due - needs approving",IF(R139&lt;&gt;"Yes","Due - not paid yet","OK"))))))</f>
        <v>0</v>
      </c>
    </row>
    <row r="140" spans="1:26">
      <c r="A140" s="43">
        <f>IF(F140="","","TS-"&amp;TEXT(ROW()-4,"0000"))</f>
        <v>0</v>
      </c>
      <c r="C140" s="23">
        <f>IF(B140="","",TEXT(B140,"ddd"))</f>
        <v>0</v>
      </c>
      <c r="D140" s="31">
        <f>IF(B140="","",WEEKNUM(B140,IF(WeekStart="Sunday",1,2)))</f>
        <v>0</v>
      </c>
      <c r="E140" s="23">
        <f>IF(B140="","",TEXT(B140,"yyyy-mm"))</f>
        <v>0</v>
      </c>
      <c r="H140" s="23">
        <f>IF(G140="","",IFERROR(INDEX(Jobs!$H$5:$H$604,MATCH(G140,Jobs!$A$5:$A$604,0)),""))</f>
        <v>0</v>
      </c>
      <c r="T140" s="34">
        <f>IF(OR(J140="",K140=""),"",ROUND((K140-J140)*24-IF(L140="",0,L140)/60,2))</f>
        <v>0</v>
      </c>
      <c r="U140" s="34">
        <f>IF(F140="","",IF(M140&lt;&gt;"",M140,IF(T140="",0,T140)))</f>
        <v>0</v>
      </c>
      <c r="V140" s="21">
        <f>IF(F140="","",IFERROR(INDEX(Employees!$U$5:$U$44,MATCH(F140,Employees!$B$5:$B$44,0)),PayRate*(1+EmployerOncost)))</f>
        <v>0</v>
      </c>
      <c r="W140" s="34">
        <f>IF(F140="","",MAX(0,U140-IF(N140="",0,N140)))</f>
        <v>0</v>
      </c>
      <c r="X140" s="21">
        <f>IF(F140="","",ROUND(W140*V140+IF(N140="",0,N140)*V140*OvertimeRate,2))</f>
        <v>0</v>
      </c>
      <c r="Y140" s="21">
        <f>IF(F140="","",IF(P140&lt;&gt;"Yes",0,ROUND(U140*IF(IFERROR(INDEX(Clients!$O$5:$O$204,MATCH(IFERROR(INDEX(Jobs!$G$5:$G$604,MATCH(G140,Jobs!$A$5:$A$604,0)),""),Clients!$A$5:$A$204,0)),0)&gt;0,INDEX(Clients!$O$5:$O$204,MATCH(INDEX(Jobs!$G$5:$G$604,MATCH(G140,Jobs!$A$5:$A$604,0)),Clients!$A$5:$A$204,0)),HourlyRate),2)))</f>
        <v>0</v>
      </c>
      <c r="Z140" s="39">
        <f>IF(F140="","",IF(U140=0,"Add - no hours recorded",IF(O140="Absent - no show","Action - no show",IF(U140&gt;10,"Check - over ten hours in a day",IF(Q140&lt;&gt;"Yes","Due - needs approving",IF(R140&lt;&gt;"Yes","Due - not paid yet","OK"))))))</f>
        <v>0</v>
      </c>
    </row>
    <row r="141" spans="1:26">
      <c r="A141" s="43">
        <f>IF(F141="","","TS-"&amp;TEXT(ROW()-4,"0000"))</f>
        <v>0</v>
      </c>
      <c r="C141" s="23">
        <f>IF(B141="","",TEXT(B141,"ddd"))</f>
        <v>0</v>
      </c>
      <c r="D141" s="31">
        <f>IF(B141="","",WEEKNUM(B141,IF(WeekStart="Sunday",1,2)))</f>
        <v>0</v>
      </c>
      <c r="E141" s="23">
        <f>IF(B141="","",TEXT(B141,"yyyy-mm"))</f>
        <v>0</v>
      </c>
      <c r="H141" s="23">
        <f>IF(G141="","",IFERROR(INDEX(Jobs!$H$5:$H$604,MATCH(G141,Jobs!$A$5:$A$604,0)),""))</f>
        <v>0</v>
      </c>
      <c r="T141" s="34">
        <f>IF(OR(J141="",K141=""),"",ROUND((K141-J141)*24-IF(L141="",0,L141)/60,2))</f>
        <v>0</v>
      </c>
      <c r="U141" s="34">
        <f>IF(F141="","",IF(M141&lt;&gt;"",M141,IF(T141="",0,T141)))</f>
        <v>0</v>
      </c>
      <c r="V141" s="21">
        <f>IF(F141="","",IFERROR(INDEX(Employees!$U$5:$U$44,MATCH(F141,Employees!$B$5:$B$44,0)),PayRate*(1+EmployerOncost)))</f>
        <v>0</v>
      </c>
      <c r="W141" s="34">
        <f>IF(F141="","",MAX(0,U141-IF(N141="",0,N141)))</f>
        <v>0</v>
      </c>
      <c r="X141" s="21">
        <f>IF(F141="","",ROUND(W141*V141+IF(N141="",0,N141)*V141*OvertimeRate,2))</f>
        <v>0</v>
      </c>
      <c r="Y141" s="21">
        <f>IF(F141="","",IF(P141&lt;&gt;"Yes",0,ROUND(U141*IF(IFERROR(INDEX(Clients!$O$5:$O$204,MATCH(IFERROR(INDEX(Jobs!$G$5:$G$604,MATCH(G141,Jobs!$A$5:$A$604,0)),""),Clients!$A$5:$A$204,0)),0)&gt;0,INDEX(Clients!$O$5:$O$204,MATCH(INDEX(Jobs!$G$5:$G$604,MATCH(G141,Jobs!$A$5:$A$604,0)),Clients!$A$5:$A$204,0)),HourlyRate),2)))</f>
        <v>0</v>
      </c>
      <c r="Z141" s="39">
        <f>IF(F141="","",IF(U141=0,"Add - no hours recorded",IF(O141="Absent - no show","Action - no show",IF(U141&gt;10,"Check - over ten hours in a day",IF(Q141&lt;&gt;"Yes","Due - needs approving",IF(R141&lt;&gt;"Yes","Due - not paid yet","OK"))))))</f>
        <v>0</v>
      </c>
    </row>
    <row r="142" spans="1:26">
      <c r="A142" s="43">
        <f>IF(F142="","","TS-"&amp;TEXT(ROW()-4,"0000"))</f>
        <v>0</v>
      </c>
      <c r="C142" s="23">
        <f>IF(B142="","",TEXT(B142,"ddd"))</f>
        <v>0</v>
      </c>
      <c r="D142" s="31">
        <f>IF(B142="","",WEEKNUM(B142,IF(WeekStart="Sunday",1,2)))</f>
        <v>0</v>
      </c>
      <c r="E142" s="23">
        <f>IF(B142="","",TEXT(B142,"yyyy-mm"))</f>
        <v>0</v>
      </c>
      <c r="H142" s="23">
        <f>IF(G142="","",IFERROR(INDEX(Jobs!$H$5:$H$604,MATCH(G142,Jobs!$A$5:$A$604,0)),""))</f>
        <v>0</v>
      </c>
      <c r="T142" s="34">
        <f>IF(OR(J142="",K142=""),"",ROUND((K142-J142)*24-IF(L142="",0,L142)/60,2))</f>
        <v>0</v>
      </c>
      <c r="U142" s="34">
        <f>IF(F142="","",IF(M142&lt;&gt;"",M142,IF(T142="",0,T142)))</f>
        <v>0</v>
      </c>
      <c r="V142" s="21">
        <f>IF(F142="","",IFERROR(INDEX(Employees!$U$5:$U$44,MATCH(F142,Employees!$B$5:$B$44,0)),PayRate*(1+EmployerOncost)))</f>
        <v>0</v>
      </c>
      <c r="W142" s="34">
        <f>IF(F142="","",MAX(0,U142-IF(N142="",0,N142)))</f>
        <v>0</v>
      </c>
      <c r="X142" s="21">
        <f>IF(F142="","",ROUND(W142*V142+IF(N142="",0,N142)*V142*OvertimeRate,2))</f>
        <v>0</v>
      </c>
      <c r="Y142" s="21">
        <f>IF(F142="","",IF(P142&lt;&gt;"Yes",0,ROUND(U142*IF(IFERROR(INDEX(Clients!$O$5:$O$204,MATCH(IFERROR(INDEX(Jobs!$G$5:$G$604,MATCH(G142,Jobs!$A$5:$A$604,0)),""),Clients!$A$5:$A$204,0)),0)&gt;0,INDEX(Clients!$O$5:$O$204,MATCH(INDEX(Jobs!$G$5:$G$604,MATCH(G142,Jobs!$A$5:$A$604,0)),Clients!$A$5:$A$204,0)),HourlyRate),2)))</f>
        <v>0</v>
      </c>
      <c r="Z142" s="39">
        <f>IF(F142="","",IF(U142=0,"Add - no hours recorded",IF(O142="Absent - no show","Action - no show",IF(U142&gt;10,"Check - over ten hours in a day",IF(Q142&lt;&gt;"Yes","Due - needs approving",IF(R142&lt;&gt;"Yes","Due - not paid yet","OK"))))))</f>
        <v>0</v>
      </c>
    </row>
    <row r="143" spans="1:26">
      <c r="A143" s="43">
        <f>IF(F143="","","TS-"&amp;TEXT(ROW()-4,"0000"))</f>
        <v>0</v>
      </c>
      <c r="C143" s="23">
        <f>IF(B143="","",TEXT(B143,"ddd"))</f>
        <v>0</v>
      </c>
      <c r="D143" s="31">
        <f>IF(B143="","",WEEKNUM(B143,IF(WeekStart="Sunday",1,2)))</f>
        <v>0</v>
      </c>
      <c r="E143" s="23">
        <f>IF(B143="","",TEXT(B143,"yyyy-mm"))</f>
        <v>0</v>
      </c>
      <c r="H143" s="23">
        <f>IF(G143="","",IFERROR(INDEX(Jobs!$H$5:$H$604,MATCH(G143,Jobs!$A$5:$A$604,0)),""))</f>
        <v>0</v>
      </c>
      <c r="T143" s="34">
        <f>IF(OR(J143="",K143=""),"",ROUND((K143-J143)*24-IF(L143="",0,L143)/60,2))</f>
        <v>0</v>
      </c>
      <c r="U143" s="34">
        <f>IF(F143="","",IF(M143&lt;&gt;"",M143,IF(T143="",0,T143)))</f>
        <v>0</v>
      </c>
      <c r="V143" s="21">
        <f>IF(F143="","",IFERROR(INDEX(Employees!$U$5:$U$44,MATCH(F143,Employees!$B$5:$B$44,0)),PayRate*(1+EmployerOncost)))</f>
        <v>0</v>
      </c>
      <c r="W143" s="34">
        <f>IF(F143="","",MAX(0,U143-IF(N143="",0,N143)))</f>
        <v>0</v>
      </c>
      <c r="X143" s="21">
        <f>IF(F143="","",ROUND(W143*V143+IF(N143="",0,N143)*V143*OvertimeRate,2))</f>
        <v>0</v>
      </c>
      <c r="Y143" s="21">
        <f>IF(F143="","",IF(P143&lt;&gt;"Yes",0,ROUND(U143*IF(IFERROR(INDEX(Clients!$O$5:$O$204,MATCH(IFERROR(INDEX(Jobs!$G$5:$G$604,MATCH(G143,Jobs!$A$5:$A$604,0)),""),Clients!$A$5:$A$204,0)),0)&gt;0,INDEX(Clients!$O$5:$O$204,MATCH(INDEX(Jobs!$G$5:$G$604,MATCH(G143,Jobs!$A$5:$A$604,0)),Clients!$A$5:$A$204,0)),HourlyRate),2)))</f>
        <v>0</v>
      </c>
      <c r="Z143" s="39">
        <f>IF(F143="","",IF(U143=0,"Add - no hours recorded",IF(O143="Absent - no show","Action - no show",IF(U143&gt;10,"Check - over ten hours in a day",IF(Q143&lt;&gt;"Yes","Due - needs approving",IF(R143&lt;&gt;"Yes","Due - not paid yet","OK"))))))</f>
        <v>0</v>
      </c>
    </row>
    <row r="144" spans="1:26">
      <c r="A144" s="43">
        <f>IF(F144="","","TS-"&amp;TEXT(ROW()-4,"0000"))</f>
        <v>0</v>
      </c>
      <c r="C144" s="23">
        <f>IF(B144="","",TEXT(B144,"ddd"))</f>
        <v>0</v>
      </c>
      <c r="D144" s="31">
        <f>IF(B144="","",WEEKNUM(B144,IF(WeekStart="Sunday",1,2)))</f>
        <v>0</v>
      </c>
      <c r="E144" s="23">
        <f>IF(B144="","",TEXT(B144,"yyyy-mm"))</f>
        <v>0</v>
      </c>
      <c r="H144" s="23">
        <f>IF(G144="","",IFERROR(INDEX(Jobs!$H$5:$H$604,MATCH(G144,Jobs!$A$5:$A$604,0)),""))</f>
        <v>0</v>
      </c>
      <c r="T144" s="34">
        <f>IF(OR(J144="",K144=""),"",ROUND((K144-J144)*24-IF(L144="",0,L144)/60,2))</f>
        <v>0</v>
      </c>
      <c r="U144" s="34">
        <f>IF(F144="","",IF(M144&lt;&gt;"",M144,IF(T144="",0,T144)))</f>
        <v>0</v>
      </c>
      <c r="V144" s="21">
        <f>IF(F144="","",IFERROR(INDEX(Employees!$U$5:$U$44,MATCH(F144,Employees!$B$5:$B$44,0)),PayRate*(1+EmployerOncost)))</f>
        <v>0</v>
      </c>
      <c r="W144" s="34">
        <f>IF(F144="","",MAX(0,U144-IF(N144="",0,N144)))</f>
        <v>0</v>
      </c>
      <c r="X144" s="21">
        <f>IF(F144="","",ROUND(W144*V144+IF(N144="",0,N144)*V144*OvertimeRate,2))</f>
        <v>0</v>
      </c>
      <c r="Y144" s="21">
        <f>IF(F144="","",IF(P144&lt;&gt;"Yes",0,ROUND(U144*IF(IFERROR(INDEX(Clients!$O$5:$O$204,MATCH(IFERROR(INDEX(Jobs!$G$5:$G$604,MATCH(G144,Jobs!$A$5:$A$604,0)),""),Clients!$A$5:$A$204,0)),0)&gt;0,INDEX(Clients!$O$5:$O$204,MATCH(INDEX(Jobs!$G$5:$G$604,MATCH(G144,Jobs!$A$5:$A$604,0)),Clients!$A$5:$A$204,0)),HourlyRate),2)))</f>
        <v>0</v>
      </c>
      <c r="Z144" s="39">
        <f>IF(F144="","",IF(U144=0,"Add - no hours recorded",IF(O144="Absent - no show","Action - no show",IF(U144&gt;10,"Check - over ten hours in a day",IF(Q144&lt;&gt;"Yes","Due - needs approving",IF(R144&lt;&gt;"Yes","Due - not paid yet","OK"))))))</f>
        <v>0</v>
      </c>
    </row>
    <row r="145" spans="1:26">
      <c r="A145" s="43">
        <f>IF(F145="","","TS-"&amp;TEXT(ROW()-4,"0000"))</f>
        <v>0</v>
      </c>
      <c r="C145" s="23">
        <f>IF(B145="","",TEXT(B145,"ddd"))</f>
        <v>0</v>
      </c>
      <c r="D145" s="31">
        <f>IF(B145="","",WEEKNUM(B145,IF(WeekStart="Sunday",1,2)))</f>
        <v>0</v>
      </c>
      <c r="E145" s="23">
        <f>IF(B145="","",TEXT(B145,"yyyy-mm"))</f>
        <v>0</v>
      </c>
      <c r="H145" s="23">
        <f>IF(G145="","",IFERROR(INDEX(Jobs!$H$5:$H$604,MATCH(G145,Jobs!$A$5:$A$604,0)),""))</f>
        <v>0</v>
      </c>
      <c r="T145" s="34">
        <f>IF(OR(J145="",K145=""),"",ROUND((K145-J145)*24-IF(L145="",0,L145)/60,2))</f>
        <v>0</v>
      </c>
      <c r="U145" s="34">
        <f>IF(F145="","",IF(M145&lt;&gt;"",M145,IF(T145="",0,T145)))</f>
        <v>0</v>
      </c>
      <c r="V145" s="21">
        <f>IF(F145="","",IFERROR(INDEX(Employees!$U$5:$U$44,MATCH(F145,Employees!$B$5:$B$44,0)),PayRate*(1+EmployerOncost)))</f>
        <v>0</v>
      </c>
      <c r="W145" s="34">
        <f>IF(F145="","",MAX(0,U145-IF(N145="",0,N145)))</f>
        <v>0</v>
      </c>
      <c r="X145" s="21">
        <f>IF(F145="","",ROUND(W145*V145+IF(N145="",0,N145)*V145*OvertimeRate,2))</f>
        <v>0</v>
      </c>
      <c r="Y145" s="21">
        <f>IF(F145="","",IF(P145&lt;&gt;"Yes",0,ROUND(U145*IF(IFERROR(INDEX(Clients!$O$5:$O$204,MATCH(IFERROR(INDEX(Jobs!$G$5:$G$604,MATCH(G145,Jobs!$A$5:$A$604,0)),""),Clients!$A$5:$A$204,0)),0)&gt;0,INDEX(Clients!$O$5:$O$204,MATCH(INDEX(Jobs!$G$5:$G$604,MATCH(G145,Jobs!$A$5:$A$604,0)),Clients!$A$5:$A$204,0)),HourlyRate),2)))</f>
        <v>0</v>
      </c>
      <c r="Z145" s="39">
        <f>IF(F145="","",IF(U145=0,"Add - no hours recorded",IF(O145="Absent - no show","Action - no show",IF(U145&gt;10,"Check - over ten hours in a day",IF(Q145&lt;&gt;"Yes","Due - needs approving",IF(R145&lt;&gt;"Yes","Due - not paid yet","OK"))))))</f>
        <v>0</v>
      </c>
    </row>
    <row r="146" spans="1:26">
      <c r="A146" s="43">
        <f>IF(F146="","","TS-"&amp;TEXT(ROW()-4,"0000"))</f>
        <v>0</v>
      </c>
      <c r="C146" s="23">
        <f>IF(B146="","",TEXT(B146,"ddd"))</f>
        <v>0</v>
      </c>
      <c r="D146" s="31">
        <f>IF(B146="","",WEEKNUM(B146,IF(WeekStart="Sunday",1,2)))</f>
        <v>0</v>
      </c>
      <c r="E146" s="23">
        <f>IF(B146="","",TEXT(B146,"yyyy-mm"))</f>
        <v>0</v>
      </c>
      <c r="H146" s="23">
        <f>IF(G146="","",IFERROR(INDEX(Jobs!$H$5:$H$604,MATCH(G146,Jobs!$A$5:$A$604,0)),""))</f>
        <v>0</v>
      </c>
      <c r="T146" s="34">
        <f>IF(OR(J146="",K146=""),"",ROUND((K146-J146)*24-IF(L146="",0,L146)/60,2))</f>
        <v>0</v>
      </c>
      <c r="U146" s="34">
        <f>IF(F146="","",IF(M146&lt;&gt;"",M146,IF(T146="",0,T146)))</f>
        <v>0</v>
      </c>
      <c r="V146" s="21">
        <f>IF(F146="","",IFERROR(INDEX(Employees!$U$5:$U$44,MATCH(F146,Employees!$B$5:$B$44,0)),PayRate*(1+EmployerOncost)))</f>
        <v>0</v>
      </c>
      <c r="W146" s="34">
        <f>IF(F146="","",MAX(0,U146-IF(N146="",0,N146)))</f>
        <v>0</v>
      </c>
      <c r="X146" s="21">
        <f>IF(F146="","",ROUND(W146*V146+IF(N146="",0,N146)*V146*OvertimeRate,2))</f>
        <v>0</v>
      </c>
      <c r="Y146" s="21">
        <f>IF(F146="","",IF(P146&lt;&gt;"Yes",0,ROUND(U146*IF(IFERROR(INDEX(Clients!$O$5:$O$204,MATCH(IFERROR(INDEX(Jobs!$G$5:$G$604,MATCH(G146,Jobs!$A$5:$A$604,0)),""),Clients!$A$5:$A$204,0)),0)&gt;0,INDEX(Clients!$O$5:$O$204,MATCH(INDEX(Jobs!$G$5:$G$604,MATCH(G146,Jobs!$A$5:$A$604,0)),Clients!$A$5:$A$204,0)),HourlyRate),2)))</f>
        <v>0</v>
      </c>
      <c r="Z146" s="39">
        <f>IF(F146="","",IF(U146=0,"Add - no hours recorded",IF(O146="Absent - no show","Action - no show",IF(U146&gt;10,"Check - over ten hours in a day",IF(Q146&lt;&gt;"Yes","Due - needs approving",IF(R146&lt;&gt;"Yes","Due - not paid yet","OK"))))))</f>
        <v>0</v>
      </c>
    </row>
    <row r="147" spans="1:26">
      <c r="A147" s="43">
        <f>IF(F147="","","TS-"&amp;TEXT(ROW()-4,"0000"))</f>
        <v>0</v>
      </c>
      <c r="C147" s="23">
        <f>IF(B147="","",TEXT(B147,"ddd"))</f>
        <v>0</v>
      </c>
      <c r="D147" s="31">
        <f>IF(B147="","",WEEKNUM(B147,IF(WeekStart="Sunday",1,2)))</f>
        <v>0</v>
      </c>
      <c r="E147" s="23">
        <f>IF(B147="","",TEXT(B147,"yyyy-mm"))</f>
        <v>0</v>
      </c>
      <c r="H147" s="23">
        <f>IF(G147="","",IFERROR(INDEX(Jobs!$H$5:$H$604,MATCH(G147,Jobs!$A$5:$A$604,0)),""))</f>
        <v>0</v>
      </c>
      <c r="T147" s="34">
        <f>IF(OR(J147="",K147=""),"",ROUND((K147-J147)*24-IF(L147="",0,L147)/60,2))</f>
        <v>0</v>
      </c>
      <c r="U147" s="34">
        <f>IF(F147="","",IF(M147&lt;&gt;"",M147,IF(T147="",0,T147)))</f>
        <v>0</v>
      </c>
      <c r="V147" s="21">
        <f>IF(F147="","",IFERROR(INDEX(Employees!$U$5:$U$44,MATCH(F147,Employees!$B$5:$B$44,0)),PayRate*(1+EmployerOncost)))</f>
        <v>0</v>
      </c>
      <c r="W147" s="34">
        <f>IF(F147="","",MAX(0,U147-IF(N147="",0,N147)))</f>
        <v>0</v>
      </c>
      <c r="X147" s="21">
        <f>IF(F147="","",ROUND(W147*V147+IF(N147="",0,N147)*V147*OvertimeRate,2))</f>
        <v>0</v>
      </c>
      <c r="Y147" s="21">
        <f>IF(F147="","",IF(P147&lt;&gt;"Yes",0,ROUND(U147*IF(IFERROR(INDEX(Clients!$O$5:$O$204,MATCH(IFERROR(INDEX(Jobs!$G$5:$G$604,MATCH(G147,Jobs!$A$5:$A$604,0)),""),Clients!$A$5:$A$204,0)),0)&gt;0,INDEX(Clients!$O$5:$O$204,MATCH(INDEX(Jobs!$G$5:$G$604,MATCH(G147,Jobs!$A$5:$A$604,0)),Clients!$A$5:$A$204,0)),HourlyRate),2)))</f>
        <v>0</v>
      </c>
      <c r="Z147" s="39">
        <f>IF(F147="","",IF(U147=0,"Add - no hours recorded",IF(O147="Absent - no show","Action - no show",IF(U147&gt;10,"Check - over ten hours in a day",IF(Q147&lt;&gt;"Yes","Due - needs approving",IF(R147&lt;&gt;"Yes","Due - not paid yet","OK"))))))</f>
        <v>0</v>
      </c>
    </row>
    <row r="148" spans="1:26">
      <c r="A148" s="43">
        <f>IF(F148="","","TS-"&amp;TEXT(ROW()-4,"0000"))</f>
        <v>0</v>
      </c>
      <c r="C148" s="23">
        <f>IF(B148="","",TEXT(B148,"ddd"))</f>
        <v>0</v>
      </c>
      <c r="D148" s="31">
        <f>IF(B148="","",WEEKNUM(B148,IF(WeekStart="Sunday",1,2)))</f>
        <v>0</v>
      </c>
      <c r="E148" s="23">
        <f>IF(B148="","",TEXT(B148,"yyyy-mm"))</f>
        <v>0</v>
      </c>
      <c r="H148" s="23">
        <f>IF(G148="","",IFERROR(INDEX(Jobs!$H$5:$H$604,MATCH(G148,Jobs!$A$5:$A$604,0)),""))</f>
        <v>0</v>
      </c>
      <c r="T148" s="34">
        <f>IF(OR(J148="",K148=""),"",ROUND((K148-J148)*24-IF(L148="",0,L148)/60,2))</f>
        <v>0</v>
      </c>
      <c r="U148" s="34">
        <f>IF(F148="","",IF(M148&lt;&gt;"",M148,IF(T148="",0,T148)))</f>
        <v>0</v>
      </c>
      <c r="V148" s="21">
        <f>IF(F148="","",IFERROR(INDEX(Employees!$U$5:$U$44,MATCH(F148,Employees!$B$5:$B$44,0)),PayRate*(1+EmployerOncost)))</f>
        <v>0</v>
      </c>
      <c r="W148" s="34">
        <f>IF(F148="","",MAX(0,U148-IF(N148="",0,N148)))</f>
        <v>0</v>
      </c>
      <c r="X148" s="21">
        <f>IF(F148="","",ROUND(W148*V148+IF(N148="",0,N148)*V148*OvertimeRate,2))</f>
        <v>0</v>
      </c>
      <c r="Y148" s="21">
        <f>IF(F148="","",IF(P148&lt;&gt;"Yes",0,ROUND(U148*IF(IFERROR(INDEX(Clients!$O$5:$O$204,MATCH(IFERROR(INDEX(Jobs!$G$5:$G$604,MATCH(G148,Jobs!$A$5:$A$604,0)),""),Clients!$A$5:$A$204,0)),0)&gt;0,INDEX(Clients!$O$5:$O$204,MATCH(INDEX(Jobs!$G$5:$G$604,MATCH(G148,Jobs!$A$5:$A$604,0)),Clients!$A$5:$A$204,0)),HourlyRate),2)))</f>
        <v>0</v>
      </c>
      <c r="Z148" s="39">
        <f>IF(F148="","",IF(U148=0,"Add - no hours recorded",IF(O148="Absent - no show","Action - no show",IF(U148&gt;10,"Check - over ten hours in a day",IF(Q148&lt;&gt;"Yes","Due - needs approving",IF(R148&lt;&gt;"Yes","Due - not paid yet","OK"))))))</f>
        <v>0</v>
      </c>
    </row>
    <row r="149" spans="1:26">
      <c r="A149" s="43">
        <f>IF(F149="","","TS-"&amp;TEXT(ROW()-4,"0000"))</f>
        <v>0</v>
      </c>
      <c r="C149" s="23">
        <f>IF(B149="","",TEXT(B149,"ddd"))</f>
        <v>0</v>
      </c>
      <c r="D149" s="31">
        <f>IF(B149="","",WEEKNUM(B149,IF(WeekStart="Sunday",1,2)))</f>
        <v>0</v>
      </c>
      <c r="E149" s="23">
        <f>IF(B149="","",TEXT(B149,"yyyy-mm"))</f>
        <v>0</v>
      </c>
      <c r="H149" s="23">
        <f>IF(G149="","",IFERROR(INDEX(Jobs!$H$5:$H$604,MATCH(G149,Jobs!$A$5:$A$604,0)),""))</f>
        <v>0</v>
      </c>
      <c r="T149" s="34">
        <f>IF(OR(J149="",K149=""),"",ROUND((K149-J149)*24-IF(L149="",0,L149)/60,2))</f>
        <v>0</v>
      </c>
      <c r="U149" s="34">
        <f>IF(F149="","",IF(M149&lt;&gt;"",M149,IF(T149="",0,T149)))</f>
        <v>0</v>
      </c>
      <c r="V149" s="21">
        <f>IF(F149="","",IFERROR(INDEX(Employees!$U$5:$U$44,MATCH(F149,Employees!$B$5:$B$44,0)),PayRate*(1+EmployerOncost)))</f>
        <v>0</v>
      </c>
      <c r="W149" s="34">
        <f>IF(F149="","",MAX(0,U149-IF(N149="",0,N149)))</f>
        <v>0</v>
      </c>
      <c r="X149" s="21">
        <f>IF(F149="","",ROUND(W149*V149+IF(N149="",0,N149)*V149*OvertimeRate,2))</f>
        <v>0</v>
      </c>
      <c r="Y149" s="21">
        <f>IF(F149="","",IF(P149&lt;&gt;"Yes",0,ROUND(U149*IF(IFERROR(INDEX(Clients!$O$5:$O$204,MATCH(IFERROR(INDEX(Jobs!$G$5:$G$604,MATCH(G149,Jobs!$A$5:$A$604,0)),""),Clients!$A$5:$A$204,0)),0)&gt;0,INDEX(Clients!$O$5:$O$204,MATCH(INDEX(Jobs!$G$5:$G$604,MATCH(G149,Jobs!$A$5:$A$604,0)),Clients!$A$5:$A$204,0)),HourlyRate),2)))</f>
        <v>0</v>
      </c>
      <c r="Z149" s="39">
        <f>IF(F149="","",IF(U149=0,"Add - no hours recorded",IF(O149="Absent - no show","Action - no show",IF(U149&gt;10,"Check - over ten hours in a day",IF(Q149&lt;&gt;"Yes","Due - needs approving",IF(R149&lt;&gt;"Yes","Due - not paid yet","OK"))))))</f>
        <v>0</v>
      </c>
    </row>
    <row r="150" spans="1:26">
      <c r="A150" s="43">
        <f>IF(F150="","","TS-"&amp;TEXT(ROW()-4,"0000"))</f>
        <v>0</v>
      </c>
      <c r="C150" s="23">
        <f>IF(B150="","",TEXT(B150,"ddd"))</f>
        <v>0</v>
      </c>
      <c r="D150" s="31">
        <f>IF(B150="","",WEEKNUM(B150,IF(WeekStart="Sunday",1,2)))</f>
        <v>0</v>
      </c>
      <c r="E150" s="23">
        <f>IF(B150="","",TEXT(B150,"yyyy-mm"))</f>
        <v>0</v>
      </c>
      <c r="H150" s="23">
        <f>IF(G150="","",IFERROR(INDEX(Jobs!$H$5:$H$604,MATCH(G150,Jobs!$A$5:$A$604,0)),""))</f>
        <v>0</v>
      </c>
      <c r="T150" s="34">
        <f>IF(OR(J150="",K150=""),"",ROUND((K150-J150)*24-IF(L150="",0,L150)/60,2))</f>
        <v>0</v>
      </c>
      <c r="U150" s="34">
        <f>IF(F150="","",IF(M150&lt;&gt;"",M150,IF(T150="",0,T150)))</f>
        <v>0</v>
      </c>
      <c r="V150" s="21">
        <f>IF(F150="","",IFERROR(INDEX(Employees!$U$5:$U$44,MATCH(F150,Employees!$B$5:$B$44,0)),PayRate*(1+EmployerOncost)))</f>
        <v>0</v>
      </c>
      <c r="W150" s="34">
        <f>IF(F150="","",MAX(0,U150-IF(N150="",0,N150)))</f>
        <v>0</v>
      </c>
      <c r="X150" s="21">
        <f>IF(F150="","",ROUND(W150*V150+IF(N150="",0,N150)*V150*OvertimeRate,2))</f>
        <v>0</v>
      </c>
      <c r="Y150" s="21">
        <f>IF(F150="","",IF(P150&lt;&gt;"Yes",0,ROUND(U150*IF(IFERROR(INDEX(Clients!$O$5:$O$204,MATCH(IFERROR(INDEX(Jobs!$G$5:$G$604,MATCH(G150,Jobs!$A$5:$A$604,0)),""),Clients!$A$5:$A$204,0)),0)&gt;0,INDEX(Clients!$O$5:$O$204,MATCH(INDEX(Jobs!$G$5:$G$604,MATCH(G150,Jobs!$A$5:$A$604,0)),Clients!$A$5:$A$204,0)),HourlyRate),2)))</f>
        <v>0</v>
      </c>
      <c r="Z150" s="39">
        <f>IF(F150="","",IF(U150=0,"Add - no hours recorded",IF(O150="Absent - no show","Action - no show",IF(U150&gt;10,"Check - over ten hours in a day",IF(Q150&lt;&gt;"Yes","Due - needs approving",IF(R150&lt;&gt;"Yes","Due - not paid yet","OK"))))))</f>
        <v>0</v>
      </c>
    </row>
    <row r="151" spans="1:26">
      <c r="A151" s="43">
        <f>IF(F151="","","TS-"&amp;TEXT(ROW()-4,"0000"))</f>
        <v>0</v>
      </c>
      <c r="C151" s="23">
        <f>IF(B151="","",TEXT(B151,"ddd"))</f>
        <v>0</v>
      </c>
      <c r="D151" s="31">
        <f>IF(B151="","",WEEKNUM(B151,IF(WeekStart="Sunday",1,2)))</f>
        <v>0</v>
      </c>
      <c r="E151" s="23">
        <f>IF(B151="","",TEXT(B151,"yyyy-mm"))</f>
        <v>0</v>
      </c>
      <c r="H151" s="23">
        <f>IF(G151="","",IFERROR(INDEX(Jobs!$H$5:$H$604,MATCH(G151,Jobs!$A$5:$A$604,0)),""))</f>
        <v>0</v>
      </c>
      <c r="T151" s="34">
        <f>IF(OR(J151="",K151=""),"",ROUND((K151-J151)*24-IF(L151="",0,L151)/60,2))</f>
        <v>0</v>
      </c>
      <c r="U151" s="34">
        <f>IF(F151="","",IF(M151&lt;&gt;"",M151,IF(T151="",0,T151)))</f>
        <v>0</v>
      </c>
      <c r="V151" s="21">
        <f>IF(F151="","",IFERROR(INDEX(Employees!$U$5:$U$44,MATCH(F151,Employees!$B$5:$B$44,0)),PayRate*(1+EmployerOncost)))</f>
        <v>0</v>
      </c>
      <c r="W151" s="34">
        <f>IF(F151="","",MAX(0,U151-IF(N151="",0,N151)))</f>
        <v>0</v>
      </c>
      <c r="X151" s="21">
        <f>IF(F151="","",ROUND(W151*V151+IF(N151="",0,N151)*V151*OvertimeRate,2))</f>
        <v>0</v>
      </c>
      <c r="Y151" s="21">
        <f>IF(F151="","",IF(P151&lt;&gt;"Yes",0,ROUND(U151*IF(IFERROR(INDEX(Clients!$O$5:$O$204,MATCH(IFERROR(INDEX(Jobs!$G$5:$G$604,MATCH(G151,Jobs!$A$5:$A$604,0)),""),Clients!$A$5:$A$204,0)),0)&gt;0,INDEX(Clients!$O$5:$O$204,MATCH(INDEX(Jobs!$G$5:$G$604,MATCH(G151,Jobs!$A$5:$A$604,0)),Clients!$A$5:$A$204,0)),HourlyRate),2)))</f>
        <v>0</v>
      </c>
      <c r="Z151" s="39">
        <f>IF(F151="","",IF(U151=0,"Add - no hours recorded",IF(O151="Absent - no show","Action - no show",IF(U151&gt;10,"Check - over ten hours in a day",IF(Q151&lt;&gt;"Yes","Due - needs approving",IF(R151&lt;&gt;"Yes","Due - not paid yet","OK"))))))</f>
        <v>0</v>
      </c>
    </row>
    <row r="152" spans="1:26">
      <c r="A152" s="43">
        <f>IF(F152="","","TS-"&amp;TEXT(ROW()-4,"0000"))</f>
        <v>0</v>
      </c>
      <c r="C152" s="23">
        <f>IF(B152="","",TEXT(B152,"ddd"))</f>
        <v>0</v>
      </c>
      <c r="D152" s="31">
        <f>IF(B152="","",WEEKNUM(B152,IF(WeekStart="Sunday",1,2)))</f>
        <v>0</v>
      </c>
      <c r="E152" s="23">
        <f>IF(B152="","",TEXT(B152,"yyyy-mm"))</f>
        <v>0</v>
      </c>
      <c r="H152" s="23">
        <f>IF(G152="","",IFERROR(INDEX(Jobs!$H$5:$H$604,MATCH(G152,Jobs!$A$5:$A$604,0)),""))</f>
        <v>0</v>
      </c>
      <c r="T152" s="34">
        <f>IF(OR(J152="",K152=""),"",ROUND((K152-J152)*24-IF(L152="",0,L152)/60,2))</f>
        <v>0</v>
      </c>
      <c r="U152" s="34">
        <f>IF(F152="","",IF(M152&lt;&gt;"",M152,IF(T152="",0,T152)))</f>
        <v>0</v>
      </c>
      <c r="V152" s="21">
        <f>IF(F152="","",IFERROR(INDEX(Employees!$U$5:$U$44,MATCH(F152,Employees!$B$5:$B$44,0)),PayRate*(1+EmployerOncost)))</f>
        <v>0</v>
      </c>
      <c r="W152" s="34">
        <f>IF(F152="","",MAX(0,U152-IF(N152="",0,N152)))</f>
        <v>0</v>
      </c>
      <c r="X152" s="21">
        <f>IF(F152="","",ROUND(W152*V152+IF(N152="",0,N152)*V152*OvertimeRate,2))</f>
        <v>0</v>
      </c>
      <c r="Y152" s="21">
        <f>IF(F152="","",IF(P152&lt;&gt;"Yes",0,ROUND(U152*IF(IFERROR(INDEX(Clients!$O$5:$O$204,MATCH(IFERROR(INDEX(Jobs!$G$5:$G$604,MATCH(G152,Jobs!$A$5:$A$604,0)),""),Clients!$A$5:$A$204,0)),0)&gt;0,INDEX(Clients!$O$5:$O$204,MATCH(INDEX(Jobs!$G$5:$G$604,MATCH(G152,Jobs!$A$5:$A$604,0)),Clients!$A$5:$A$204,0)),HourlyRate),2)))</f>
        <v>0</v>
      </c>
      <c r="Z152" s="39">
        <f>IF(F152="","",IF(U152=0,"Add - no hours recorded",IF(O152="Absent - no show","Action - no show",IF(U152&gt;10,"Check - over ten hours in a day",IF(Q152&lt;&gt;"Yes","Due - needs approving",IF(R152&lt;&gt;"Yes","Due - not paid yet","OK"))))))</f>
        <v>0</v>
      </c>
    </row>
    <row r="153" spans="1:26">
      <c r="A153" s="43">
        <f>IF(F153="","","TS-"&amp;TEXT(ROW()-4,"0000"))</f>
        <v>0</v>
      </c>
      <c r="C153" s="23">
        <f>IF(B153="","",TEXT(B153,"ddd"))</f>
        <v>0</v>
      </c>
      <c r="D153" s="31">
        <f>IF(B153="","",WEEKNUM(B153,IF(WeekStart="Sunday",1,2)))</f>
        <v>0</v>
      </c>
      <c r="E153" s="23">
        <f>IF(B153="","",TEXT(B153,"yyyy-mm"))</f>
        <v>0</v>
      </c>
      <c r="H153" s="23">
        <f>IF(G153="","",IFERROR(INDEX(Jobs!$H$5:$H$604,MATCH(G153,Jobs!$A$5:$A$604,0)),""))</f>
        <v>0</v>
      </c>
      <c r="T153" s="34">
        <f>IF(OR(J153="",K153=""),"",ROUND((K153-J153)*24-IF(L153="",0,L153)/60,2))</f>
        <v>0</v>
      </c>
      <c r="U153" s="34">
        <f>IF(F153="","",IF(M153&lt;&gt;"",M153,IF(T153="",0,T153)))</f>
        <v>0</v>
      </c>
      <c r="V153" s="21">
        <f>IF(F153="","",IFERROR(INDEX(Employees!$U$5:$U$44,MATCH(F153,Employees!$B$5:$B$44,0)),PayRate*(1+EmployerOncost)))</f>
        <v>0</v>
      </c>
      <c r="W153" s="34">
        <f>IF(F153="","",MAX(0,U153-IF(N153="",0,N153)))</f>
        <v>0</v>
      </c>
      <c r="X153" s="21">
        <f>IF(F153="","",ROUND(W153*V153+IF(N153="",0,N153)*V153*OvertimeRate,2))</f>
        <v>0</v>
      </c>
      <c r="Y153" s="21">
        <f>IF(F153="","",IF(P153&lt;&gt;"Yes",0,ROUND(U153*IF(IFERROR(INDEX(Clients!$O$5:$O$204,MATCH(IFERROR(INDEX(Jobs!$G$5:$G$604,MATCH(G153,Jobs!$A$5:$A$604,0)),""),Clients!$A$5:$A$204,0)),0)&gt;0,INDEX(Clients!$O$5:$O$204,MATCH(INDEX(Jobs!$G$5:$G$604,MATCH(G153,Jobs!$A$5:$A$604,0)),Clients!$A$5:$A$204,0)),HourlyRate),2)))</f>
        <v>0</v>
      </c>
      <c r="Z153" s="39">
        <f>IF(F153="","",IF(U153=0,"Add - no hours recorded",IF(O153="Absent - no show","Action - no show",IF(U153&gt;10,"Check - over ten hours in a day",IF(Q153&lt;&gt;"Yes","Due - needs approving",IF(R153&lt;&gt;"Yes","Due - not paid yet","OK"))))))</f>
        <v>0</v>
      </c>
    </row>
    <row r="154" spans="1:26">
      <c r="A154" s="43">
        <f>IF(F154="","","TS-"&amp;TEXT(ROW()-4,"0000"))</f>
        <v>0</v>
      </c>
      <c r="C154" s="23">
        <f>IF(B154="","",TEXT(B154,"ddd"))</f>
        <v>0</v>
      </c>
      <c r="D154" s="31">
        <f>IF(B154="","",WEEKNUM(B154,IF(WeekStart="Sunday",1,2)))</f>
        <v>0</v>
      </c>
      <c r="E154" s="23">
        <f>IF(B154="","",TEXT(B154,"yyyy-mm"))</f>
        <v>0</v>
      </c>
      <c r="H154" s="23">
        <f>IF(G154="","",IFERROR(INDEX(Jobs!$H$5:$H$604,MATCH(G154,Jobs!$A$5:$A$604,0)),""))</f>
        <v>0</v>
      </c>
      <c r="T154" s="34">
        <f>IF(OR(J154="",K154=""),"",ROUND((K154-J154)*24-IF(L154="",0,L154)/60,2))</f>
        <v>0</v>
      </c>
      <c r="U154" s="34">
        <f>IF(F154="","",IF(M154&lt;&gt;"",M154,IF(T154="",0,T154)))</f>
        <v>0</v>
      </c>
      <c r="V154" s="21">
        <f>IF(F154="","",IFERROR(INDEX(Employees!$U$5:$U$44,MATCH(F154,Employees!$B$5:$B$44,0)),PayRate*(1+EmployerOncost)))</f>
        <v>0</v>
      </c>
      <c r="W154" s="34">
        <f>IF(F154="","",MAX(0,U154-IF(N154="",0,N154)))</f>
        <v>0</v>
      </c>
      <c r="X154" s="21">
        <f>IF(F154="","",ROUND(W154*V154+IF(N154="",0,N154)*V154*OvertimeRate,2))</f>
        <v>0</v>
      </c>
      <c r="Y154" s="21">
        <f>IF(F154="","",IF(P154&lt;&gt;"Yes",0,ROUND(U154*IF(IFERROR(INDEX(Clients!$O$5:$O$204,MATCH(IFERROR(INDEX(Jobs!$G$5:$G$604,MATCH(G154,Jobs!$A$5:$A$604,0)),""),Clients!$A$5:$A$204,0)),0)&gt;0,INDEX(Clients!$O$5:$O$204,MATCH(INDEX(Jobs!$G$5:$G$604,MATCH(G154,Jobs!$A$5:$A$604,0)),Clients!$A$5:$A$204,0)),HourlyRate),2)))</f>
        <v>0</v>
      </c>
      <c r="Z154" s="39">
        <f>IF(F154="","",IF(U154=0,"Add - no hours recorded",IF(O154="Absent - no show","Action - no show",IF(U154&gt;10,"Check - over ten hours in a day",IF(Q154&lt;&gt;"Yes","Due - needs approving",IF(R154&lt;&gt;"Yes","Due - not paid yet","OK"))))))</f>
        <v>0</v>
      </c>
    </row>
    <row r="155" spans="1:26">
      <c r="A155" s="43">
        <f>IF(F155="","","TS-"&amp;TEXT(ROW()-4,"0000"))</f>
        <v>0</v>
      </c>
      <c r="C155" s="23">
        <f>IF(B155="","",TEXT(B155,"ddd"))</f>
        <v>0</v>
      </c>
      <c r="D155" s="31">
        <f>IF(B155="","",WEEKNUM(B155,IF(WeekStart="Sunday",1,2)))</f>
        <v>0</v>
      </c>
      <c r="E155" s="23">
        <f>IF(B155="","",TEXT(B155,"yyyy-mm"))</f>
        <v>0</v>
      </c>
      <c r="H155" s="23">
        <f>IF(G155="","",IFERROR(INDEX(Jobs!$H$5:$H$604,MATCH(G155,Jobs!$A$5:$A$604,0)),""))</f>
        <v>0</v>
      </c>
      <c r="T155" s="34">
        <f>IF(OR(J155="",K155=""),"",ROUND((K155-J155)*24-IF(L155="",0,L155)/60,2))</f>
        <v>0</v>
      </c>
      <c r="U155" s="34">
        <f>IF(F155="","",IF(M155&lt;&gt;"",M155,IF(T155="",0,T155)))</f>
        <v>0</v>
      </c>
      <c r="V155" s="21">
        <f>IF(F155="","",IFERROR(INDEX(Employees!$U$5:$U$44,MATCH(F155,Employees!$B$5:$B$44,0)),PayRate*(1+EmployerOncost)))</f>
        <v>0</v>
      </c>
      <c r="W155" s="34">
        <f>IF(F155="","",MAX(0,U155-IF(N155="",0,N155)))</f>
        <v>0</v>
      </c>
      <c r="X155" s="21">
        <f>IF(F155="","",ROUND(W155*V155+IF(N155="",0,N155)*V155*OvertimeRate,2))</f>
        <v>0</v>
      </c>
      <c r="Y155" s="21">
        <f>IF(F155="","",IF(P155&lt;&gt;"Yes",0,ROUND(U155*IF(IFERROR(INDEX(Clients!$O$5:$O$204,MATCH(IFERROR(INDEX(Jobs!$G$5:$G$604,MATCH(G155,Jobs!$A$5:$A$604,0)),""),Clients!$A$5:$A$204,0)),0)&gt;0,INDEX(Clients!$O$5:$O$204,MATCH(INDEX(Jobs!$G$5:$G$604,MATCH(G155,Jobs!$A$5:$A$604,0)),Clients!$A$5:$A$204,0)),HourlyRate),2)))</f>
        <v>0</v>
      </c>
      <c r="Z155" s="39">
        <f>IF(F155="","",IF(U155=0,"Add - no hours recorded",IF(O155="Absent - no show","Action - no show",IF(U155&gt;10,"Check - over ten hours in a day",IF(Q155&lt;&gt;"Yes","Due - needs approving",IF(R155&lt;&gt;"Yes","Due - not paid yet","OK"))))))</f>
        <v>0</v>
      </c>
    </row>
    <row r="156" spans="1:26">
      <c r="A156" s="43">
        <f>IF(F156="","","TS-"&amp;TEXT(ROW()-4,"0000"))</f>
        <v>0</v>
      </c>
      <c r="C156" s="23">
        <f>IF(B156="","",TEXT(B156,"ddd"))</f>
        <v>0</v>
      </c>
      <c r="D156" s="31">
        <f>IF(B156="","",WEEKNUM(B156,IF(WeekStart="Sunday",1,2)))</f>
        <v>0</v>
      </c>
      <c r="E156" s="23">
        <f>IF(B156="","",TEXT(B156,"yyyy-mm"))</f>
        <v>0</v>
      </c>
      <c r="H156" s="23">
        <f>IF(G156="","",IFERROR(INDEX(Jobs!$H$5:$H$604,MATCH(G156,Jobs!$A$5:$A$604,0)),""))</f>
        <v>0</v>
      </c>
      <c r="T156" s="34">
        <f>IF(OR(J156="",K156=""),"",ROUND((K156-J156)*24-IF(L156="",0,L156)/60,2))</f>
        <v>0</v>
      </c>
      <c r="U156" s="34">
        <f>IF(F156="","",IF(M156&lt;&gt;"",M156,IF(T156="",0,T156)))</f>
        <v>0</v>
      </c>
      <c r="V156" s="21">
        <f>IF(F156="","",IFERROR(INDEX(Employees!$U$5:$U$44,MATCH(F156,Employees!$B$5:$B$44,0)),PayRate*(1+EmployerOncost)))</f>
        <v>0</v>
      </c>
      <c r="W156" s="34">
        <f>IF(F156="","",MAX(0,U156-IF(N156="",0,N156)))</f>
        <v>0</v>
      </c>
      <c r="X156" s="21">
        <f>IF(F156="","",ROUND(W156*V156+IF(N156="",0,N156)*V156*OvertimeRate,2))</f>
        <v>0</v>
      </c>
      <c r="Y156" s="21">
        <f>IF(F156="","",IF(P156&lt;&gt;"Yes",0,ROUND(U156*IF(IFERROR(INDEX(Clients!$O$5:$O$204,MATCH(IFERROR(INDEX(Jobs!$G$5:$G$604,MATCH(G156,Jobs!$A$5:$A$604,0)),""),Clients!$A$5:$A$204,0)),0)&gt;0,INDEX(Clients!$O$5:$O$204,MATCH(INDEX(Jobs!$G$5:$G$604,MATCH(G156,Jobs!$A$5:$A$604,0)),Clients!$A$5:$A$204,0)),HourlyRate),2)))</f>
        <v>0</v>
      </c>
      <c r="Z156" s="39">
        <f>IF(F156="","",IF(U156=0,"Add - no hours recorded",IF(O156="Absent - no show","Action - no show",IF(U156&gt;10,"Check - over ten hours in a day",IF(Q156&lt;&gt;"Yes","Due - needs approving",IF(R156&lt;&gt;"Yes","Due - not paid yet","OK"))))))</f>
        <v>0</v>
      </c>
    </row>
    <row r="157" spans="1:26">
      <c r="A157" s="43">
        <f>IF(F157="","","TS-"&amp;TEXT(ROW()-4,"0000"))</f>
        <v>0</v>
      </c>
      <c r="C157" s="23">
        <f>IF(B157="","",TEXT(B157,"ddd"))</f>
        <v>0</v>
      </c>
      <c r="D157" s="31">
        <f>IF(B157="","",WEEKNUM(B157,IF(WeekStart="Sunday",1,2)))</f>
        <v>0</v>
      </c>
      <c r="E157" s="23">
        <f>IF(B157="","",TEXT(B157,"yyyy-mm"))</f>
        <v>0</v>
      </c>
      <c r="H157" s="23">
        <f>IF(G157="","",IFERROR(INDEX(Jobs!$H$5:$H$604,MATCH(G157,Jobs!$A$5:$A$604,0)),""))</f>
        <v>0</v>
      </c>
      <c r="T157" s="34">
        <f>IF(OR(J157="",K157=""),"",ROUND((K157-J157)*24-IF(L157="",0,L157)/60,2))</f>
        <v>0</v>
      </c>
      <c r="U157" s="34">
        <f>IF(F157="","",IF(M157&lt;&gt;"",M157,IF(T157="",0,T157)))</f>
        <v>0</v>
      </c>
      <c r="V157" s="21">
        <f>IF(F157="","",IFERROR(INDEX(Employees!$U$5:$U$44,MATCH(F157,Employees!$B$5:$B$44,0)),PayRate*(1+EmployerOncost)))</f>
        <v>0</v>
      </c>
      <c r="W157" s="34">
        <f>IF(F157="","",MAX(0,U157-IF(N157="",0,N157)))</f>
        <v>0</v>
      </c>
      <c r="X157" s="21">
        <f>IF(F157="","",ROUND(W157*V157+IF(N157="",0,N157)*V157*OvertimeRate,2))</f>
        <v>0</v>
      </c>
      <c r="Y157" s="21">
        <f>IF(F157="","",IF(P157&lt;&gt;"Yes",0,ROUND(U157*IF(IFERROR(INDEX(Clients!$O$5:$O$204,MATCH(IFERROR(INDEX(Jobs!$G$5:$G$604,MATCH(G157,Jobs!$A$5:$A$604,0)),""),Clients!$A$5:$A$204,0)),0)&gt;0,INDEX(Clients!$O$5:$O$204,MATCH(INDEX(Jobs!$G$5:$G$604,MATCH(G157,Jobs!$A$5:$A$604,0)),Clients!$A$5:$A$204,0)),HourlyRate),2)))</f>
        <v>0</v>
      </c>
      <c r="Z157" s="39">
        <f>IF(F157="","",IF(U157=0,"Add - no hours recorded",IF(O157="Absent - no show","Action - no show",IF(U157&gt;10,"Check - over ten hours in a day",IF(Q157&lt;&gt;"Yes","Due - needs approving",IF(R157&lt;&gt;"Yes","Due - not paid yet","OK"))))))</f>
        <v>0</v>
      </c>
    </row>
    <row r="158" spans="1:26">
      <c r="A158" s="43">
        <f>IF(F158="","","TS-"&amp;TEXT(ROW()-4,"0000"))</f>
        <v>0</v>
      </c>
      <c r="C158" s="23">
        <f>IF(B158="","",TEXT(B158,"ddd"))</f>
        <v>0</v>
      </c>
      <c r="D158" s="31">
        <f>IF(B158="","",WEEKNUM(B158,IF(WeekStart="Sunday",1,2)))</f>
        <v>0</v>
      </c>
      <c r="E158" s="23">
        <f>IF(B158="","",TEXT(B158,"yyyy-mm"))</f>
        <v>0</v>
      </c>
      <c r="H158" s="23">
        <f>IF(G158="","",IFERROR(INDEX(Jobs!$H$5:$H$604,MATCH(G158,Jobs!$A$5:$A$604,0)),""))</f>
        <v>0</v>
      </c>
      <c r="T158" s="34">
        <f>IF(OR(J158="",K158=""),"",ROUND((K158-J158)*24-IF(L158="",0,L158)/60,2))</f>
        <v>0</v>
      </c>
      <c r="U158" s="34">
        <f>IF(F158="","",IF(M158&lt;&gt;"",M158,IF(T158="",0,T158)))</f>
        <v>0</v>
      </c>
      <c r="V158" s="21">
        <f>IF(F158="","",IFERROR(INDEX(Employees!$U$5:$U$44,MATCH(F158,Employees!$B$5:$B$44,0)),PayRate*(1+EmployerOncost)))</f>
        <v>0</v>
      </c>
      <c r="W158" s="34">
        <f>IF(F158="","",MAX(0,U158-IF(N158="",0,N158)))</f>
        <v>0</v>
      </c>
      <c r="X158" s="21">
        <f>IF(F158="","",ROUND(W158*V158+IF(N158="",0,N158)*V158*OvertimeRate,2))</f>
        <v>0</v>
      </c>
      <c r="Y158" s="21">
        <f>IF(F158="","",IF(P158&lt;&gt;"Yes",0,ROUND(U158*IF(IFERROR(INDEX(Clients!$O$5:$O$204,MATCH(IFERROR(INDEX(Jobs!$G$5:$G$604,MATCH(G158,Jobs!$A$5:$A$604,0)),""),Clients!$A$5:$A$204,0)),0)&gt;0,INDEX(Clients!$O$5:$O$204,MATCH(INDEX(Jobs!$G$5:$G$604,MATCH(G158,Jobs!$A$5:$A$604,0)),Clients!$A$5:$A$204,0)),HourlyRate),2)))</f>
        <v>0</v>
      </c>
      <c r="Z158" s="39">
        <f>IF(F158="","",IF(U158=0,"Add - no hours recorded",IF(O158="Absent - no show","Action - no show",IF(U158&gt;10,"Check - over ten hours in a day",IF(Q158&lt;&gt;"Yes","Due - needs approving",IF(R158&lt;&gt;"Yes","Due - not paid yet","OK"))))))</f>
        <v>0</v>
      </c>
    </row>
    <row r="159" spans="1:26">
      <c r="A159" s="43">
        <f>IF(F159="","","TS-"&amp;TEXT(ROW()-4,"0000"))</f>
        <v>0</v>
      </c>
      <c r="C159" s="23">
        <f>IF(B159="","",TEXT(B159,"ddd"))</f>
        <v>0</v>
      </c>
      <c r="D159" s="31">
        <f>IF(B159="","",WEEKNUM(B159,IF(WeekStart="Sunday",1,2)))</f>
        <v>0</v>
      </c>
      <c r="E159" s="23">
        <f>IF(B159="","",TEXT(B159,"yyyy-mm"))</f>
        <v>0</v>
      </c>
      <c r="H159" s="23">
        <f>IF(G159="","",IFERROR(INDEX(Jobs!$H$5:$H$604,MATCH(G159,Jobs!$A$5:$A$604,0)),""))</f>
        <v>0</v>
      </c>
      <c r="T159" s="34">
        <f>IF(OR(J159="",K159=""),"",ROUND((K159-J159)*24-IF(L159="",0,L159)/60,2))</f>
        <v>0</v>
      </c>
      <c r="U159" s="34">
        <f>IF(F159="","",IF(M159&lt;&gt;"",M159,IF(T159="",0,T159)))</f>
        <v>0</v>
      </c>
      <c r="V159" s="21">
        <f>IF(F159="","",IFERROR(INDEX(Employees!$U$5:$U$44,MATCH(F159,Employees!$B$5:$B$44,0)),PayRate*(1+EmployerOncost)))</f>
        <v>0</v>
      </c>
      <c r="W159" s="34">
        <f>IF(F159="","",MAX(0,U159-IF(N159="",0,N159)))</f>
        <v>0</v>
      </c>
      <c r="X159" s="21">
        <f>IF(F159="","",ROUND(W159*V159+IF(N159="",0,N159)*V159*OvertimeRate,2))</f>
        <v>0</v>
      </c>
      <c r="Y159" s="21">
        <f>IF(F159="","",IF(P159&lt;&gt;"Yes",0,ROUND(U159*IF(IFERROR(INDEX(Clients!$O$5:$O$204,MATCH(IFERROR(INDEX(Jobs!$G$5:$G$604,MATCH(G159,Jobs!$A$5:$A$604,0)),""),Clients!$A$5:$A$204,0)),0)&gt;0,INDEX(Clients!$O$5:$O$204,MATCH(INDEX(Jobs!$G$5:$G$604,MATCH(G159,Jobs!$A$5:$A$604,0)),Clients!$A$5:$A$204,0)),HourlyRate),2)))</f>
        <v>0</v>
      </c>
      <c r="Z159" s="39">
        <f>IF(F159="","",IF(U159=0,"Add - no hours recorded",IF(O159="Absent - no show","Action - no show",IF(U159&gt;10,"Check - over ten hours in a day",IF(Q159&lt;&gt;"Yes","Due - needs approving",IF(R159&lt;&gt;"Yes","Due - not paid yet","OK"))))))</f>
        <v>0</v>
      </c>
    </row>
    <row r="160" spans="1:26">
      <c r="A160" s="43">
        <f>IF(F160="","","TS-"&amp;TEXT(ROW()-4,"0000"))</f>
        <v>0</v>
      </c>
      <c r="C160" s="23">
        <f>IF(B160="","",TEXT(B160,"ddd"))</f>
        <v>0</v>
      </c>
      <c r="D160" s="31">
        <f>IF(B160="","",WEEKNUM(B160,IF(WeekStart="Sunday",1,2)))</f>
        <v>0</v>
      </c>
      <c r="E160" s="23">
        <f>IF(B160="","",TEXT(B160,"yyyy-mm"))</f>
        <v>0</v>
      </c>
      <c r="H160" s="23">
        <f>IF(G160="","",IFERROR(INDEX(Jobs!$H$5:$H$604,MATCH(G160,Jobs!$A$5:$A$604,0)),""))</f>
        <v>0</v>
      </c>
      <c r="T160" s="34">
        <f>IF(OR(J160="",K160=""),"",ROUND((K160-J160)*24-IF(L160="",0,L160)/60,2))</f>
        <v>0</v>
      </c>
      <c r="U160" s="34">
        <f>IF(F160="","",IF(M160&lt;&gt;"",M160,IF(T160="",0,T160)))</f>
        <v>0</v>
      </c>
      <c r="V160" s="21">
        <f>IF(F160="","",IFERROR(INDEX(Employees!$U$5:$U$44,MATCH(F160,Employees!$B$5:$B$44,0)),PayRate*(1+EmployerOncost)))</f>
        <v>0</v>
      </c>
      <c r="W160" s="34">
        <f>IF(F160="","",MAX(0,U160-IF(N160="",0,N160)))</f>
        <v>0</v>
      </c>
      <c r="X160" s="21">
        <f>IF(F160="","",ROUND(W160*V160+IF(N160="",0,N160)*V160*OvertimeRate,2))</f>
        <v>0</v>
      </c>
      <c r="Y160" s="21">
        <f>IF(F160="","",IF(P160&lt;&gt;"Yes",0,ROUND(U160*IF(IFERROR(INDEX(Clients!$O$5:$O$204,MATCH(IFERROR(INDEX(Jobs!$G$5:$G$604,MATCH(G160,Jobs!$A$5:$A$604,0)),""),Clients!$A$5:$A$204,0)),0)&gt;0,INDEX(Clients!$O$5:$O$204,MATCH(INDEX(Jobs!$G$5:$G$604,MATCH(G160,Jobs!$A$5:$A$604,0)),Clients!$A$5:$A$204,0)),HourlyRate),2)))</f>
        <v>0</v>
      </c>
      <c r="Z160" s="39">
        <f>IF(F160="","",IF(U160=0,"Add - no hours recorded",IF(O160="Absent - no show","Action - no show",IF(U160&gt;10,"Check - over ten hours in a day",IF(Q160&lt;&gt;"Yes","Due - needs approving",IF(R160&lt;&gt;"Yes","Due - not paid yet","OK"))))))</f>
        <v>0</v>
      </c>
    </row>
    <row r="161" spans="1:26">
      <c r="A161" s="43">
        <f>IF(F161="","","TS-"&amp;TEXT(ROW()-4,"0000"))</f>
        <v>0</v>
      </c>
      <c r="C161" s="23">
        <f>IF(B161="","",TEXT(B161,"ddd"))</f>
        <v>0</v>
      </c>
      <c r="D161" s="31">
        <f>IF(B161="","",WEEKNUM(B161,IF(WeekStart="Sunday",1,2)))</f>
        <v>0</v>
      </c>
      <c r="E161" s="23">
        <f>IF(B161="","",TEXT(B161,"yyyy-mm"))</f>
        <v>0</v>
      </c>
      <c r="H161" s="23">
        <f>IF(G161="","",IFERROR(INDEX(Jobs!$H$5:$H$604,MATCH(G161,Jobs!$A$5:$A$604,0)),""))</f>
        <v>0</v>
      </c>
      <c r="T161" s="34">
        <f>IF(OR(J161="",K161=""),"",ROUND((K161-J161)*24-IF(L161="",0,L161)/60,2))</f>
        <v>0</v>
      </c>
      <c r="U161" s="34">
        <f>IF(F161="","",IF(M161&lt;&gt;"",M161,IF(T161="",0,T161)))</f>
        <v>0</v>
      </c>
      <c r="V161" s="21">
        <f>IF(F161="","",IFERROR(INDEX(Employees!$U$5:$U$44,MATCH(F161,Employees!$B$5:$B$44,0)),PayRate*(1+EmployerOncost)))</f>
        <v>0</v>
      </c>
      <c r="W161" s="34">
        <f>IF(F161="","",MAX(0,U161-IF(N161="",0,N161)))</f>
        <v>0</v>
      </c>
      <c r="X161" s="21">
        <f>IF(F161="","",ROUND(W161*V161+IF(N161="",0,N161)*V161*OvertimeRate,2))</f>
        <v>0</v>
      </c>
      <c r="Y161" s="21">
        <f>IF(F161="","",IF(P161&lt;&gt;"Yes",0,ROUND(U161*IF(IFERROR(INDEX(Clients!$O$5:$O$204,MATCH(IFERROR(INDEX(Jobs!$G$5:$G$604,MATCH(G161,Jobs!$A$5:$A$604,0)),""),Clients!$A$5:$A$204,0)),0)&gt;0,INDEX(Clients!$O$5:$O$204,MATCH(INDEX(Jobs!$G$5:$G$604,MATCH(G161,Jobs!$A$5:$A$604,0)),Clients!$A$5:$A$204,0)),HourlyRate),2)))</f>
        <v>0</v>
      </c>
      <c r="Z161" s="39">
        <f>IF(F161="","",IF(U161=0,"Add - no hours recorded",IF(O161="Absent - no show","Action - no show",IF(U161&gt;10,"Check - over ten hours in a day",IF(Q161&lt;&gt;"Yes","Due - needs approving",IF(R161&lt;&gt;"Yes","Due - not paid yet","OK"))))))</f>
        <v>0</v>
      </c>
    </row>
    <row r="162" spans="1:26">
      <c r="A162" s="43">
        <f>IF(F162="","","TS-"&amp;TEXT(ROW()-4,"0000"))</f>
        <v>0</v>
      </c>
      <c r="C162" s="23">
        <f>IF(B162="","",TEXT(B162,"ddd"))</f>
        <v>0</v>
      </c>
      <c r="D162" s="31">
        <f>IF(B162="","",WEEKNUM(B162,IF(WeekStart="Sunday",1,2)))</f>
        <v>0</v>
      </c>
      <c r="E162" s="23">
        <f>IF(B162="","",TEXT(B162,"yyyy-mm"))</f>
        <v>0</v>
      </c>
      <c r="H162" s="23">
        <f>IF(G162="","",IFERROR(INDEX(Jobs!$H$5:$H$604,MATCH(G162,Jobs!$A$5:$A$604,0)),""))</f>
        <v>0</v>
      </c>
      <c r="T162" s="34">
        <f>IF(OR(J162="",K162=""),"",ROUND((K162-J162)*24-IF(L162="",0,L162)/60,2))</f>
        <v>0</v>
      </c>
      <c r="U162" s="34">
        <f>IF(F162="","",IF(M162&lt;&gt;"",M162,IF(T162="",0,T162)))</f>
        <v>0</v>
      </c>
      <c r="V162" s="21">
        <f>IF(F162="","",IFERROR(INDEX(Employees!$U$5:$U$44,MATCH(F162,Employees!$B$5:$B$44,0)),PayRate*(1+EmployerOncost)))</f>
        <v>0</v>
      </c>
      <c r="W162" s="34">
        <f>IF(F162="","",MAX(0,U162-IF(N162="",0,N162)))</f>
        <v>0</v>
      </c>
      <c r="X162" s="21">
        <f>IF(F162="","",ROUND(W162*V162+IF(N162="",0,N162)*V162*OvertimeRate,2))</f>
        <v>0</v>
      </c>
      <c r="Y162" s="21">
        <f>IF(F162="","",IF(P162&lt;&gt;"Yes",0,ROUND(U162*IF(IFERROR(INDEX(Clients!$O$5:$O$204,MATCH(IFERROR(INDEX(Jobs!$G$5:$G$604,MATCH(G162,Jobs!$A$5:$A$604,0)),""),Clients!$A$5:$A$204,0)),0)&gt;0,INDEX(Clients!$O$5:$O$204,MATCH(INDEX(Jobs!$G$5:$G$604,MATCH(G162,Jobs!$A$5:$A$604,0)),Clients!$A$5:$A$204,0)),HourlyRate),2)))</f>
        <v>0</v>
      </c>
      <c r="Z162" s="39">
        <f>IF(F162="","",IF(U162=0,"Add - no hours recorded",IF(O162="Absent - no show","Action - no show",IF(U162&gt;10,"Check - over ten hours in a day",IF(Q162&lt;&gt;"Yes","Due - needs approving",IF(R162&lt;&gt;"Yes","Due - not paid yet","OK"))))))</f>
        <v>0</v>
      </c>
    </row>
    <row r="163" spans="1:26">
      <c r="A163" s="43">
        <f>IF(F163="","","TS-"&amp;TEXT(ROW()-4,"0000"))</f>
        <v>0</v>
      </c>
      <c r="C163" s="23">
        <f>IF(B163="","",TEXT(B163,"ddd"))</f>
        <v>0</v>
      </c>
      <c r="D163" s="31">
        <f>IF(B163="","",WEEKNUM(B163,IF(WeekStart="Sunday",1,2)))</f>
        <v>0</v>
      </c>
      <c r="E163" s="23">
        <f>IF(B163="","",TEXT(B163,"yyyy-mm"))</f>
        <v>0</v>
      </c>
      <c r="H163" s="23">
        <f>IF(G163="","",IFERROR(INDEX(Jobs!$H$5:$H$604,MATCH(G163,Jobs!$A$5:$A$604,0)),""))</f>
        <v>0</v>
      </c>
      <c r="T163" s="34">
        <f>IF(OR(J163="",K163=""),"",ROUND((K163-J163)*24-IF(L163="",0,L163)/60,2))</f>
        <v>0</v>
      </c>
      <c r="U163" s="34">
        <f>IF(F163="","",IF(M163&lt;&gt;"",M163,IF(T163="",0,T163)))</f>
        <v>0</v>
      </c>
      <c r="V163" s="21">
        <f>IF(F163="","",IFERROR(INDEX(Employees!$U$5:$U$44,MATCH(F163,Employees!$B$5:$B$44,0)),PayRate*(1+EmployerOncost)))</f>
        <v>0</v>
      </c>
      <c r="W163" s="34">
        <f>IF(F163="","",MAX(0,U163-IF(N163="",0,N163)))</f>
        <v>0</v>
      </c>
      <c r="X163" s="21">
        <f>IF(F163="","",ROUND(W163*V163+IF(N163="",0,N163)*V163*OvertimeRate,2))</f>
        <v>0</v>
      </c>
      <c r="Y163" s="21">
        <f>IF(F163="","",IF(P163&lt;&gt;"Yes",0,ROUND(U163*IF(IFERROR(INDEX(Clients!$O$5:$O$204,MATCH(IFERROR(INDEX(Jobs!$G$5:$G$604,MATCH(G163,Jobs!$A$5:$A$604,0)),""),Clients!$A$5:$A$204,0)),0)&gt;0,INDEX(Clients!$O$5:$O$204,MATCH(INDEX(Jobs!$G$5:$G$604,MATCH(G163,Jobs!$A$5:$A$604,0)),Clients!$A$5:$A$204,0)),HourlyRate),2)))</f>
        <v>0</v>
      </c>
      <c r="Z163" s="39">
        <f>IF(F163="","",IF(U163=0,"Add - no hours recorded",IF(O163="Absent - no show","Action - no show",IF(U163&gt;10,"Check - over ten hours in a day",IF(Q163&lt;&gt;"Yes","Due - needs approving",IF(R163&lt;&gt;"Yes","Due - not paid yet","OK"))))))</f>
        <v>0</v>
      </c>
    </row>
    <row r="164" spans="1:26">
      <c r="A164" s="43">
        <f>IF(F164="","","TS-"&amp;TEXT(ROW()-4,"0000"))</f>
        <v>0</v>
      </c>
      <c r="C164" s="23">
        <f>IF(B164="","",TEXT(B164,"ddd"))</f>
        <v>0</v>
      </c>
      <c r="D164" s="31">
        <f>IF(B164="","",WEEKNUM(B164,IF(WeekStart="Sunday",1,2)))</f>
        <v>0</v>
      </c>
      <c r="E164" s="23">
        <f>IF(B164="","",TEXT(B164,"yyyy-mm"))</f>
        <v>0</v>
      </c>
      <c r="H164" s="23">
        <f>IF(G164="","",IFERROR(INDEX(Jobs!$H$5:$H$604,MATCH(G164,Jobs!$A$5:$A$604,0)),""))</f>
        <v>0</v>
      </c>
      <c r="T164" s="34">
        <f>IF(OR(J164="",K164=""),"",ROUND((K164-J164)*24-IF(L164="",0,L164)/60,2))</f>
        <v>0</v>
      </c>
      <c r="U164" s="34">
        <f>IF(F164="","",IF(M164&lt;&gt;"",M164,IF(T164="",0,T164)))</f>
        <v>0</v>
      </c>
      <c r="V164" s="21">
        <f>IF(F164="","",IFERROR(INDEX(Employees!$U$5:$U$44,MATCH(F164,Employees!$B$5:$B$44,0)),PayRate*(1+EmployerOncost)))</f>
        <v>0</v>
      </c>
      <c r="W164" s="34">
        <f>IF(F164="","",MAX(0,U164-IF(N164="",0,N164)))</f>
        <v>0</v>
      </c>
      <c r="X164" s="21">
        <f>IF(F164="","",ROUND(W164*V164+IF(N164="",0,N164)*V164*OvertimeRate,2))</f>
        <v>0</v>
      </c>
      <c r="Y164" s="21">
        <f>IF(F164="","",IF(P164&lt;&gt;"Yes",0,ROUND(U164*IF(IFERROR(INDEX(Clients!$O$5:$O$204,MATCH(IFERROR(INDEX(Jobs!$G$5:$G$604,MATCH(G164,Jobs!$A$5:$A$604,0)),""),Clients!$A$5:$A$204,0)),0)&gt;0,INDEX(Clients!$O$5:$O$204,MATCH(INDEX(Jobs!$G$5:$G$604,MATCH(G164,Jobs!$A$5:$A$604,0)),Clients!$A$5:$A$204,0)),HourlyRate),2)))</f>
        <v>0</v>
      </c>
      <c r="Z164" s="39">
        <f>IF(F164="","",IF(U164=0,"Add - no hours recorded",IF(O164="Absent - no show","Action - no show",IF(U164&gt;10,"Check - over ten hours in a day",IF(Q164&lt;&gt;"Yes","Due - needs approving",IF(R164&lt;&gt;"Yes","Due - not paid yet","OK"))))))</f>
        <v>0</v>
      </c>
    </row>
    <row r="165" spans="1:26">
      <c r="A165" s="43">
        <f>IF(F165="","","TS-"&amp;TEXT(ROW()-4,"0000"))</f>
        <v>0</v>
      </c>
      <c r="C165" s="23">
        <f>IF(B165="","",TEXT(B165,"ddd"))</f>
        <v>0</v>
      </c>
      <c r="D165" s="31">
        <f>IF(B165="","",WEEKNUM(B165,IF(WeekStart="Sunday",1,2)))</f>
        <v>0</v>
      </c>
      <c r="E165" s="23">
        <f>IF(B165="","",TEXT(B165,"yyyy-mm"))</f>
        <v>0</v>
      </c>
      <c r="H165" s="23">
        <f>IF(G165="","",IFERROR(INDEX(Jobs!$H$5:$H$604,MATCH(G165,Jobs!$A$5:$A$604,0)),""))</f>
        <v>0</v>
      </c>
      <c r="T165" s="34">
        <f>IF(OR(J165="",K165=""),"",ROUND((K165-J165)*24-IF(L165="",0,L165)/60,2))</f>
        <v>0</v>
      </c>
      <c r="U165" s="34">
        <f>IF(F165="","",IF(M165&lt;&gt;"",M165,IF(T165="",0,T165)))</f>
        <v>0</v>
      </c>
      <c r="V165" s="21">
        <f>IF(F165="","",IFERROR(INDEX(Employees!$U$5:$U$44,MATCH(F165,Employees!$B$5:$B$44,0)),PayRate*(1+EmployerOncost)))</f>
        <v>0</v>
      </c>
      <c r="W165" s="34">
        <f>IF(F165="","",MAX(0,U165-IF(N165="",0,N165)))</f>
        <v>0</v>
      </c>
      <c r="X165" s="21">
        <f>IF(F165="","",ROUND(W165*V165+IF(N165="",0,N165)*V165*OvertimeRate,2))</f>
        <v>0</v>
      </c>
      <c r="Y165" s="21">
        <f>IF(F165="","",IF(P165&lt;&gt;"Yes",0,ROUND(U165*IF(IFERROR(INDEX(Clients!$O$5:$O$204,MATCH(IFERROR(INDEX(Jobs!$G$5:$G$604,MATCH(G165,Jobs!$A$5:$A$604,0)),""),Clients!$A$5:$A$204,0)),0)&gt;0,INDEX(Clients!$O$5:$O$204,MATCH(INDEX(Jobs!$G$5:$G$604,MATCH(G165,Jobs!$A$5:$A$604,0)),Clients!$A$5:$A$204,0)),HourlyRate),2)))</f>
        <v>0</v>
      </c>
      <c r="Z165" s="39">
        <f>IF(F165="","",IF(U165=0,"Add - no hours recorded",IF(O165="Absent - no show","Action - no show",IF(U165&gt;10,"Check - over ten hours in a day",IF(Q165&lt;&gt;"Yes","Due - needs approving",IF(R165&lt;&gt;"Yes","Due - not paid yet","OK"))))))</f>
        <v>0</v>
      </c>
    </row>
    <row r="166" spans="1:26">
      <c r="A166" s="43">
        <f>IF(F166="","","TS-"&amp;TEXT(ROW()-4,"0000"))</f>
        <v>0</v>
      </c>
      <c r="C166" s="23">
        <f>IF(B166="","",TEXT(B166,"ddd"))</f>
        <v>0</v>
      </c>
      <c r="D166" s="31">
        <f>IF(B166="","",WEEKNUM(B166,IF(WeekStart="Sunday",1,2)))</f>
        <v>0</v>
      </c>
      <c r="E166" s="23">
        <f>IF(B166="","",TEXT(B166,"yyyy-mm"))</f>
        <v>0</v>
      </c>
      <c r="H166" s="23">
        <f>IF(G166="","",IFERROR(INDEX(Jobs!$H$5:$H$604,MATCH(G166,Jobs!$A$5:$A$604,0)),""))</f>
        <v>0</v>
      </c>
      <c r="T166" s="34">
        <f>IF(OR(J166="",K166=""),"",ROUND((K166-J166)*24-IF(L166="",0,L166)/60,2))</f>
        <v>0</v>
      </c>
      <c r="U166" s="34">
        <f>IF(F166="","",IF(M166&lt;&gt;"",M166,IF(T166="",0,T166)))</f>
        <v>0</v>
      </c>
      <c r="V166" s="21">
        <f>IF(F166="","",IFERROR(INDEX(Employees!$U$5:$U$44,MATCH(F166,Employees!$B$5:$B$44,0)),PayRate*(1+EmployerOncost)))</f>
        <v>0</v>
      </c>
      <c r="W166" s="34">
        <f>IF(F166="","",MAX(0,U166-IF(N166="",0,N166)))</f>
        <v>0</v>
      </c>
      <c r="X166" s="21">
        <f>IF(F166="","",ROUND(W166*V166+IF(N166="",0,N166)*V166*OvertimeRate,2))</f>
        <v>0</v>
      </c>
      <c r="Y166" s="21">
        <f>IF(F166="","",IF(P166&lt;&gt;"Yes",0,ROUND(U166*IF(IFERROR(INDEX(Clients!$O$5:$O$204,MATCH(IFERROR(INDEX(Jobs!$G$5:$G$604,MATCH(G166,Jobs!$A$5:$A$604,0)),""),Clients!$A$5:$A$204,0)),0)&gt;0,INDEX(Clients!$O$5:$O$204,MATCH(INDEX(Jobs!$G$5:$G$604,MATCH(G166,Jobs!$A$5:$A$604,0)),Clients!$A$5:$A$204,0)),HourlyRate),2)))</f>
        <v>0</v>
      </c>
      <c r="Z166" s="39">
        <f>IF(F166="","",IF(U166=0,"Add - no hours recorded",IF(O166="Absent - no show","Action - no show",IF(U166&gt;10,"Check - over ten hours in a day",IF(Q166&lt;&gt;"Yes","Due - needs approving",IF(R166&lt;&gt;"Yes","Due - not paid yet","OK"))))))</f>
        <v>0</v>
      </c>
    </row>
    <row r="167" spans="1:26">
      <c r="A167" s="43">
        <f>IF(F167="","","TS-"&amp;TEXT(ROW()-4,"0000"))</f>
        <v>0</v>
      </c>
      <c r="C167" s="23">
        <f>IF(B167="","",TEXT(B167,"ddd"))</f>
        <v>0</v>
      </c>
      <c r="D167" s="31">
        <f>IF(B167="","",WEEKNUM(B167,IF(WeekStart="Sunday",1,2)))</f>
        <v>0</v>
      </c>
      <c r="E167" s="23">
        <f>IF(B167="","",TEXT(B167,"yyyy-mm"))</f>
        <v>0</v>
      </c>
      <c r="H167" s="23">
        <f>IF(G167="","",IFERROR(INDEX(Jobs!$H$5:$H$604,MATCH(G167,Jobs!$A$5:$A$604,0)),""))</f>
        <v>0</v>
      </c>
      <c r="T167" s="34">
        <f>IF(OR(J167="",K167=""),"",ROUND((K167-J167)*24-IF(L167="",0,L167)/60,2))</f>
        <v>0</v>
      </c>
      <c r="U167" s="34">
        <f>IF(F167="","",IF(M167&lt;&gt;"",M167,IF(T167="",0,T167)))</f>
        <v>0</v>
      </c>
      <c r="V167" s="21">
        <f>IF(F167="","",IFERROR(INDEX(Employees!$U$5:$U$44,MATCH(F167,Employees!$B$5:$B$44,0)),PayRate*(1+EmployerOncost)))</f>
        <v>0</v>
      </c>
      <c r="W167" s="34">
        <f>IF(F167="","",MAX(0,U167-IF(N167="",0,N167)))</f>
        <v>0</v>
      </c>
      <c r="X167" s="21">
        <f>IF(F167="","",ROUND(W167*V167+IF(N167="",0,N167)*V167*OvertimeRate,2))</f>
        <v>0</v>
      </c>
      <c r="Y167" s="21">
        <f>IF(F167="","",IF(P167&lt;&gt;"Yes",0,ROUND(U167*IF(IFERROR(INDEX(Clients!$O$5:$O$204,MATCH(IFERROR(INDEX(Jobs!$G$5:$G$604,MATCH(G167,Jobs!$A$5:$A$604,0)),""),Clients!$A$5:$A$204,0)),0)&gt;0,INDEX(Clients!$O$5:$O$204,MATCH(INDEX(Jobs!$G$5:$G$604,MATCH(G167,Jobs!$A$5:$A$604,0)),Clients!$A$5:$A$204,0)),HourlyRate),2)))</f>
        <v>0</v>
      </c>
      <c r="Z167" s="39">
        <f>IF(F167="","",IF(U167=0,"Add - no hours recorded",IF(O167="Absent - no show","Action - no show",IF(U167&gt;10,"Check - over ten hours in a day",IF(Q167&lt;&gt;"Yes","Due - needs approving",IF(R167&lt;&gt;"Yes","Due - not paid yet","OK"))))))</f>
        <v>0</v>
      </c>
    </row>
    <row r="168" spans="1:26">
      <c r="A168" s="43">
        <f>IF(F168="","","TS-"&amp;TEXT(ROW()-4,"0000"))</f>
        <v>0</v>
      </c>
      <c r="C168" s="23">
        <f>IF(B168="","",TEXT(B168,"ddd"))</f>
        <v>0</v>
      </c>
      <c r="D168" s="31">
        <f>IF(B168="","",WEEKNUM(B168,IF(WeekStart="Sunday",1,2)))</f>
        <v>0</v>
      </c>
      <c r="E168" s="23">
        <f>IF(B168="","",TEXT(B168,"yyyy-mm"))</f>
        <v>0</v>
      </c>
      <c r="H168" s="23">
        <f>IF(G168="","",IFERROR(INDEX(Jobs!$H$5:$H$604,MATCH(G168,Jobs!$A$5:$A$604,0)),""))</f>
        <v>0</v>
      </c>
      <c r="T168" s="34">
        <f>IF(OR(J168="",K168=""),"",ROUND((K168-J168)*24-IF(L168="",0,L168)/60,2))</f>
        <v>0</v>
      </c>
      <c r="U168" s="34">
        <f>IF(F168="","",IF(M168&lt;&gt;"",M168,IF(T168="",0,T168)))</f>
        <v>0</v>
      </c>
      <c r="V168" s="21">
        <f>IF(F168="","",IFERROR(INDEX(Employees!$U$5:$U$44,MATCH(F168,Employees!$B$5:$B$44,0)),PayRate*(1+EmployerOncost)))</f>
        <v>0</v>
      </c>
      <c r="W168" s="34">
        <f>IF(F168="","",MAX(0,U168-IF(N168="",0,N168)))</f>
        <v>0</v>
      </c>
      <c r="X168" s="21">
        <f>IF(F168="","",ROUND(W168*V168+IF(N168="",0,N168)*V168*OvertimeRate,2))</f>
        <v>0</v>
      </c>
      <c r="Y168" s="21">
        <f>IF(F168="","",IF(P168&lt;&gt;"Yes",0,ROUND(U168*IF(IFERROR(INDEX(Clients!$O$5:$O$204,MATCH(IFERROR(INDEX(Jobs!$G$5:$G$604,MATCH(G168,Jobs!$A$5:$A$604,0)),""),Clients!$A$5:$A$204,0)),0)&gt;0,INDEX(Clients!$O$5:$O$204,MATCH(INDEX(Jobs!$G$5:$G$604,MATCH(G168,Jobs!$A$5:$A$604,0)),Clients!$A$5:$A$204,0)),HourlyRate),2)))</f>
        <v>0</v>
      </c>
      <c r="Z168" s="39">
        <f>IF(F168="","",IF(U168=0,"Add - no hours recorded",IF(O168="Absent - no show","Action - no show",IF(U168&gt;10,"Check - over ten hours in a day",IF(Q168&lt;&gt;"Yes","Due - needs approving",IF(R168&lt;&gt;"Yes","Due - not paid yet","OK"))))))</f>
        <v>0</v>
      </c>
    </row>
    <row r="169" spans="1:26">
      <c r="A169" s="43">
        <f>IF(F169="","","TS-"&amp;TEXT(ROW()-4,"0000"))</f>
        <v>0</v>
      </c>
      <c r="C169" s="23">
        <f>IF(B169="","",TEXT(B169,"ddd"))</f>
        <v>0</v>
      </c>
      <c r="D169" s="31">
        <f>IF(B169="","",WEEKNUM(B169,IF(WeekStart="Sunday",1,2)))</f>
        <v>0</v>
      </c>
      <c r="E169" s="23">
        <f>IF(B169="","",TEXT(B169,"yyyy-mm"))</f>
        <v>0</v>
      </c>
      <c r="H169" s="23">
        <f>IF(G169="","",IFERROR(INDEX(Jobs!$H$5:$H$604,MATCH(G169,Jobs!$A$5:$A$604,0)),""))</f>
        <v>0</v>
      </c>
      <c r="T169" s="34">
        <f>IF(OR(J169="",K169=""),"",ROUND((K169-J169)*24-IF(L169="",0,L169)/60,2))</f>
        <v>0</v>
      </c>
      <c r="U169" s="34">
        <f>IF(F169="","",IF(M169&lt;&gt;"",M169,IF(T169="",0,T169)))</f>
        <v>0</v>
      </c>
      <c r="V169" s="21">
        <f>IF(F169="","",IFERROR(INDEX(Employees!$U$5:$U$44,MATCH(F169,Employees!$B$5:$B$44,0)),PayRate*(1+EmployerOncost)))</f>
        <v>0</v>
      </c>
      <c r="W169" s="34">
        <f>IF(F169="","",MAX(0,U169-IF(N169="",0,N169)))</f>
        <v>0</v>
      </c>
      <c r="X169" s="21">
        <f>IF(F169="","",ROUND(W169*V169+IF(N169="",0,N169)*V169*OvertimeRate,2))</f>
        <v>0</v>
      </c>
      <c r="Y169" s="21">
        <f>IF(F169="","",IF(P169&lt;&gt;"Yes",0,ROUND(U169*IF(IFERROR(INDEX(Clients!$O$5:$O$204,MATCH(IFERROR(INDEX(Jobs!$G$5:$G$604,MATCH(G169,Jobs!$A$5:$A$604,0)),""),Clients!$A$5:$A$204,0)),0)&gt;0,INDEX(Clients!$O$5:$O$204,MATCH(INDEX(Jobs!$G$5:$G$604,MATCH(G169,Jobs!$A$5:$A$604,0)),Clients!$A$5:$A$204,0)),HourlyRate),2)))</f>
        <v>0</v>
      </c>
      <c r="Z169" s="39">
        <f>IF(F169="","",IF(U169=0,"Add - no hours recorded",IF(O169="Absent - no show","Action - no show",IF(U169&gt;10,"Check - over ten hours in a day",IF(Q169&lt;&gt;"Yes","Due - needs approving",IF(R169&lt;&gt;"Yes","Due - not paid yet","OK"))))))</f>
        <v>0</v>
      </c>
    </row>
    <row r="170" spans="1:26">
      <c r="A170" s="43">
        <f>IF(F170="","","TS-"&amp;TEXT(ROW()-4,"0000"))</f>
        <v>0</v>
      </c>
      <c r="C170" s="23">
        <f>IF(B170="","",TEXT(B170,"ddd"))</f>
        <v>0</v>
      </c>
      <c r="D170" s="31">
        <f>IF(B170="","",WEEKNUM(B170,IF(WeekStart="Sunday",1,2)))</f>
        <v>0</v>
      </c>
      <c r="E170" s="23">
        <f>IF(B170="","",TEXT(B170,"yyyy-mm"))</f>
        <v>0</v>
      </c>
      <c r="H170" s="23">
        <f>IF(G170="","",IFERROR(INDEX(Jobs!$H$5:$H$604,MATCH(G170,Jobs!$A$5:$A$604,0)),""))</f>
        <v>0</v>
      </c>
      <c r="T170" s="34">
        <f>IF(OR(J170="",K170=""),"",ROUND((K170-J170)*24-IF(L170="",0,L170)/60,2))</f>
        <v>0</v>
      </c>
      <c r="U170" s="34">
        <f>IF(F170="","",IF(M170&lt;&gt;"",M170,IF(T170="",0,T170)))</f>
        <v>0</v>
      </c>
      <c r="V170" s="21">
        <f>IF(F170="","",IFERROR(INDEX(Employees!$U$5:$U$44,MATCH(F170,Employees!$B$5:$B$44,0)),PayRate*(1+EmployerOncost)))</f>
        <v>0</v>
      </c>
      <c r="W170" s="34">
        <f>IF(F170="","",MAX(0,U170-IF(N170="",0,N170)))</f>
        <v>0</v>
      </c>
      <c r="X170" s="21">
        <f>IF(F170="","",ROUND(W170*V170+IF(N170="",0,N170)*V170*OvertimeRate,2))</f>
        <v>0</v>
      </c>
      <c r="Y170" s="21">
        <f>IF(F170="","",IF(P170&lt;&gt;"Yes",0,ROUND(U170*IF(IFERROR(INDEX(Clients!$O$5:$O$204,MATCH(IFERROR(INDEX(Jobs!$G$5:$G$604,MATCH(G170,Jobs!$A$5:$A$604,0)),""),Clients!$A$5:$A$204,0)),0)&gt;0,INDEX(Clients!$O$5:$O$204,MATCH(INDEX(Jobs!$G$5:$G$604,MATCH(G170,Jobs!$A$5:$A$604,0)),Clients!$A$5:$A$204,0)),HourlyRate),2)))</f>
        <v>0</v>
      </c>
      <c r="Z170" s="39">
        <f>IF(F170="","",IF(U170=0,"Add - no hours recorded",IF(O170="Absent - no show","Action - no show",IF(U170&gt;10,"Check - over ten hours in a day",IF(Q170&lt;&gt;"Yes","Due - needs approving",IF(R170&lt;&gt;"Yes","Due - not paid yet","OK"))))))</f>
        <v>0</v>
      </c>
    </row>
    <row r="171" spans="1:26">
      <c r="A171" s="43">
        <f>IF(F171="","","TS-"&amp;TEXT(ROW()-4,"0000"))</f>
        <v>0</v>
      </c>
      <c r="C171" s="23">
        <f>IF(B171="","",TEXT(B171,"ddd"))</f>
        <v>0</v>
      </c>
      <c r="D171" s="31">
        <f>IF(B171="","",WEEKNUM(B171,IF(WeekStart="Sunday",1,2)))</f>
        <v>0</v>
      </c>
      <c r="E171" s="23">
        <f>IF(B171="","",TEXT(B171,"yyyy-mm"))</f>
        <v>0</v>
      </c>
      <c r="H171" s="23">
        <f>IF(G171="","",IFERROR(INDEX(Jobs!$H$5:$H$604,MATCH(G171,Jobs!$A$5:$A$604,0)),""))</f>
        <v>0</v>
      </c>
      <c r="T171" s="34">
        <f>IF(OR(J171="",K171=""),"",ROUND((K171-J171)*24-IF(L171="",0,L171)/60,2))</f>
        <v>0</v>
      </c>
      <c r="U171" s="34">
        <f>IF(F171="","",IF(M171&lt;&gt;"",M171,IF(T171="",0,T171)))</f>
        <v>0</v>
      </c>
      <c r="V171" s="21">
        <f>IF(F171="","",IFERROR(INDEX(Employees!$U$5:$U$44,MATCH(F171,Employees!$B$5:$B$44,0)),PayRate*(1+EmployerOncost)))</f>
        <v>0</v>
      </c>
      <c r="W171" s="34">
        <f>IF(F171="","",MAX(0,U171-IF(N171="",0,N171)))</f>
        <v>0</v>
      </c>
      <c r="X171" s="21">
        <f>IF(F171="","",ROUND(W171*V171+IF(N171="",0,N171)*V171*OvertimeRate,2))</f>
        <v>0</v>
      </c>
      <c r="Y171" s="21">
        <f>IF(F171="","",IF(P171&lt;&gt;"Yes",0,ROUND(U171*IF(IFERROR(INDEX(Clients!$O$5:$O$204,MATCH(IFERROR(INDEX(Jobs!$G$5:$G$604,MATCH(G171,Jobs!$A$5:$A$604,0)),""),Clients!$A$5:$A$204,0)),0)&gt;0,INDEX(Clients!$O$5:$O$204,MATCH(INDEX(Jobs!$G$5:$G$604,MATCH(G171,Jobs!$A$5:$A$604,0)),Clients!$A$5:$A$204,0)),HourlyRate),2)))</f>
        <v>0</v>
      </c>
      <c r="Z171" s="39">
        <f>IF(F171="","",IF(U171=0,"Add - no hours recorded",IF(O171="Absent - no show","Action - no show",IF(U171&gt;10,"Check - over ten hours in a day",IF(Q171&lt;&gt;"Yes","Due - needs approving",IF(R171&lt;&gt;"Yes","Due - not paid yet","OK"))))))</f>
        <v>0</v>
      </c>
    </row>
    <row r="172" spans="1:26">
      <c r="A172" s="43">
        <f>IF(F172="","","TS-"&amp;TEXT(ROW()-4,"0000"))</f>
        <v>0</v>
      </c>
      <c r="C172" s="23">
        <f>IF(B172="","",TEXT(B172,"ddd"))</f>
        <v>0</v>
      </c>
      <c r="D172" s="31">
        <f>IF(B172="","",WEEKNUM(B172,IF(WeekStart="Sunday",1,2)))</f>
        <v>0</v>
      </c>
      <c r="E172" s="23">
        <f>IF(B172="","",TEXT(B172,"yyyy-mm"))</f>
        <v>0</v>
      </c>
      <c r="H172" s="23">
        <f>IF(G172="","",IFERROR(INDEX(Jobs!$H$5:$H$604,MATCH(G172,Jobs!$A$5:$A$604,0)),""))</f>
        <v>0</v>
      </c>
      <c r="T172" s="34">
        <f>IF(OR(J172="",K172=""),"",ROUND((K172-J172)*24-IF(L172="",0,L172)/60,2))</f>
        <v>0</v>
      </c>
      <c r="U172" s="34">
        <f>IF(F172="","",IF(M172&lt;&gt;"",M172,IF(T172="",0,T172)))</f>
        <v>0</v>
      </c>
      <c r="V172" s="21">
        <f>IF(F172="","",IFERROR(INDEX(Employees!$U$5:$U$44,MATCH(F172,Employees!$B$5:$B$44,0)),PayRate*(1+EmployerOncost)))</f>
        <v>0</v>
      </c>
      <c r="W172" s="34">
        <f>IF(F172="","",MAX(0,U172-IF(N172="",0,N172)))</f>
        <v>0</v>
      </c>
      <c r="X172" s="21">
        <f>IF(F172="","",ROUND(W172*V172+IF(N172="",0,N172)*V172*OvertimeRate,2))</f>
        <v>0</v>
      </c>
      <c r="Y172" s="21">
        <f>IF(F172="","",IF(P172&lt;&gt;"Yes",0,ROUND(U172*IF(IFERROR(INDEX(Clients!$O$5:$O$204,MATCH(IFERROR(INDEX(Jobs!$G$5:$G$604,MATCH(G172,Jobs!$A$5:$A$604,0)),""),Clients!$A$5:$A$204,0)),0)&gt;0,INDEX(Clients!$O$5:$O$204,MATCH(INDEX(Jobs!$G$5:$G$604,MATCH(G172,Jobs!$A$5:$A$604,0)),Clients!$A$5:$A$204,0)),HourlyRate),2)))</f>
        <v>0</v>
      </c>
      <c r="Z172" s="39">
        <f>IF(F172="","",IF(U172=0,"Add - no hours recorded",IF(O172="Absent - no show","Action - no show",IF(U172&gt;10,"Check - over ten hours in a day",IF(Q172&lt;&gt;"Yes","Due - needs approving",IF(R172&lt;&gt;"Yes","Due - not paid yet","OK"))))))</f>
        <v>0</v>
      </c>
    </row>
    <row r="173" spans="1:26">
      <c r="A173" s="43">
        <f>IF(F173="","","TS-"&amp;TEXT(ROW()-4,"0000"))</f>
        <v>0</v>
      </c>
      <c r="C173" s="23">
        <f>IF(B173="","",TEXT(B173,"ddd"))</f>
        <v>0</v>
      </c>
      <c r="D173" s="31">
        <f>IF(B173="","",WEEKNUM(B173,IF(WeekStart="Sunday",1,2)))</f>
        <v>0</v>
      </c>
      <c r="E173" s="23">
        <f>IF(B173="","",TEXT(B173,"yyyy-mm"))</f>
        <v>0</v>
      </c>
      <c r="H173" s="23">
        <f>IF(G173="","",IFERROR(INDEX(Jobs!$H$5:$H$604,MATCH(G173,Jobs!$A$5:$A$604,0)),""))</f>
        <v>0</v>
      </c>
      <c r="T173" s="34">
        <f>IF(OR(J173="",K173=""),"",ROUND((K173-J173)*24-IF(L173="",0,L173)/60,2))</f>
        <v>0</v>
      </c>
      <c r="U173" s="34">
        <f>IF(F173="","",IF(M173&lt;&gt;"",M173,IF(T173="",0,T173)))</f>
        <v>0</v>
      </c>
      <c r="V173" s="21">
        <f>IF(F173="","",IFERROR(INDEX(Employees!$U$5:$U$44,MATCH(F173,Employees!$B$5:$B$44,0)),PayRate*(1+EmployerOncost)))</f>
        <v>0</v>
      </c>
      <c r="W173" s="34">
        <f>IF(F173="","",MAX(0,U173-IF(N173="",0,N173)))</f>
        <v>0</v>
      </c>
      <c r="X173" s="21">
        <f>IF(F173="","",ROUND(W173*V173+IF(N173="",0,N173)*V173*OvertimeRate,2))</f>
        <v>0</v>
      </c>
      <c r="Y173" s="21">
        <f>IF(F173="","",IF(P173&lt;&gt;"Yes",0,ROUND(U173*IF(IFERROR(INDEX(Clients!$O$5:$O$204,MATCH(IFERROR(INDEX(Jobs!$G$5:$G$604,MATCH(G173,Jobs!$A$5:$A$604,0)),""),Clients!$A$5:$A$204,0)),0)&gt;0,INDEX(Clients!$O$5:$O$204,MATCH(INDEX(Jobs!$G$5:$G$604,MATCH(G173,Jobs!$A$5:$A$604,0)),Clients!$A$5:$A$204,0)),HourlyRate),2)))</f>
        <v>0</v>
      </c>
      <c r="Z173" s="39">
        <f>IF(F173="","",IF(U173=0,"Add - no hours recorded",IF(O173="Absent - no show","Action - no show",IF(U173&gt;10,"Check - over ten hours in a day",IF(Q173&lt;&gt;"Yes","Due - needs approving",IF(R173&lt;&gt;"Yes","Due - not paid yet","OK"))))))</f>
        <v>0</v>
      </c>
    </row>
    <row r="174" spans="1:26">
      <c r="A174" s="43">
        <f>IF(F174="","","TS-"&amp;TEXT(ROW()-4,"0000"))</f>
        <v>0</v>
      </c>
      <c r="C174" s="23">
        <f>IF(B174="","",TEXT(B174,"ddd"))</f>
        <v>0</v>
      </c>
      <c r="D174" s="31">
        <f>IF(B174="","",WEEKNUM(B174,IF(WeekStart="Sunday",1,2)))</f>
        <v>0</v>
      </c>
      <c r="E174" s="23">
        <f>IF(B174="","",TEXT(B174,"yyyy-mm"))</f>
        <v>0</v>
      </c>
      <c r="H174" s="23">
        <f>IF(G174="","",IFERROR(INDEX(Jobs!$H$5:$H$604,MATCH(G174,Jobs!$A$5:$A$604,0)),""))</f>
        <v>0</v>
      </c>
      <c r="T174" s="34">
        <f>IF(OR(J174="",K174=""),"",ROUND((K174-J174)*24-IF(L174="",0,L174)/60,2))</f>
        <v>0</v>
      </c>
      <c r="U174" s="34">
        <f>IF(F174="","",IF(M174&lt;&gt;"",M174,IF(T174="",0,T174)))</f>
        <v>0</v>
      </c>
      <c r="V174" s="21">
        <f>IF(F174="","",IFERROR(INDEX(Employees!$U$5:$U$44,MATCH(F174,Employees!$B$5:$B$44,0)),PayRate*(1+EmployerOncost)))</f>
        <v>0</v>
      </c>
      <c r="W174" s="34">
        <f>IF(F174="","",MAX(0,U174-IF(N174="",0,N174)))</f>
        <v>0</v>
      </c>
      <c r="X174" s="21">
        <f>IF(F174="","",ROUND(W174*V174+IF(N174="",0,N174)*V174*OvertimeRate,2))</f>
        <v>0</v>
      </c>
      <c r="Y174" s="21">
        <f>IF(F174="","",IF(P174&lt;&gt;"Yes",0,ROUND(U174*IF(IFERROR(INDEX(Clients!$O$5:$O$204,MATCH(IFERROR(INDEX(Jobs!$G$5:$G$604,MATCH(G174,Jobs!$A$5:$A$604,0)),""),Clients!$A$5:$A$204,0)),0)&gt;0,INDEX(Clients!$O$5:$O$204,MATCH(INDEX(Jobs!$G$5:$G$604,MATCH(G174,Jobs!$A$5:$A$604,0)),Clients!$A$5:$A$204,0)),HourlyRate),2)))</f>
        <v>0</v>
      </c>
      <c r="Z174" s="39">
        <f>IF(F174="","",IF(U174=0,"Add - no hours recorded",IF(O174="Absent - no show","Action - no show",IF(U174&gt;10,"Check - over ten hours in a day",IF(Q174&lt;&gt;"Yes","Due - needs approving",IF(R174&lt;&gt;"Yes","Due - not paid yet","OK"))))))</f>
        <v>0</v>
      </c>
    </row>
    <row r="175" spans="1:26">
      <c r="A175" s="43">
        <f>IF(F175="","","TS-"&amp;TEXT(ROW()-4,"0000"))</f>
        <v>0</v>
      </c>
      <c r="C175" s="23">
        <f>IF(B175="","",TEXT(B175,"ddd"))</f>
        <v>0</v>
      </c>
      <c r="D175" s="31">
        <f>IF(B175="","",WEEKNUM(B175,IF(WeekStart="Sunday",1,2)))</f>
        <v>0</v>
      </c>
      <c r="E175" s="23">
        <f>IF(B175="","",TEXT(B175,"yyyy-mm"))</f>
        <v>0</v>
      </c>
      <c r="H175" s="23">
        <f>IF(G175="","",IFERROR(INDEX(Jobs!$H$5:$H$604,MATCH(G175,Jobs!$A$5:$A$604,0)),""))</f>
        <v>0</v>
      </c>
      <c r="T175" s="34">
        <f>IF(OR(J175="",K175=""),"",ROUND((K175-J175)*24-IF(L175="",0,L175)/60,2))</f>
        <v>0</v>
      </c>
      <c r="U175" s="34">
        <f>IF(F175="","",IF(M175&lt;&gt;"",M175,IF(T175="",0,T175)))</f>
        <v>0</v>
      </c>
      <c r="V175" s="21">
        <f>IF(F175="","",IFERROR(INDEX(Employees!$U$5:$U$44,MATCH(F175,Employees!$B$5:$B$44,0)),PayRate*(1+EmployerOncost)))</f>
        <v>0</v>
      </c>
      <c r="W175" s="34">
        <f>IF(F175="","",MAX(0,U175-IF(N175="",0,N175)))</f>
        <v>0</v>
      </c>
      <c r="X175" s="21">
        <f>IF(F175="","",ROUND(W175*V175+IF(N175="",0,N175)*V175*OvertimeRate,2))</f>
        <v>0</v>
      </c>
      <c r="Y175" s="21">
        <f>IF(F175="","",IF(P175&lt;&gt;"Yes",0,ROUND(U175*IF(IFERROR(INDEX(Clients!$O$5:$O$204,MATCH(IFERROR(INDEX(Jobs!$G$5:$G$604,MATCH(G175,Jobs!$A$5:$A$604,0)),""),Clients!$A$5:$A$204,0)),0)&gt;0,INDEX(Clients!$O$5:$O$204,MATCH(INDEX(Jobs!$G$5:$G$604,MATCH(G175,Jobs!$A$5:$A$604,0)),Clients!$A$5:$A$204,0)),HourlyRate),2)))</f>
        <v>0</v>
      </c>
      <c r="Z175" s="39">
        <f>IF(F175="","",IF(U175=0,"Add - no hours recorded",IF(O175="Absent - no show","Action - no show",IF(U175&gt;10,"Check - over ten hours in a day",IF(Q175&lt;&gt;"Yes","Due - needs approving",IF(R175&lt;&gt;"Yes","Due - not paid yet","OK"))))))</f>
        <v>0</v>
      </c>
    </row>
    <row r="176" spans="1:26">
      <c r="A176" s="43">
        <f>IF(F176="","","TS-"&amp;TEXT(ROW()-4,"0000"))</f>
        <v>0</v>
      </c>
      <c r="C176" s="23">
        <f>IF(B176="","",TEXT(B176,"ddd"))</f>
        <v>0</v>
      </c>
      <c r="D176" s="31">
        <f>IF(B176="","",WEEKNUM(B176,IF(WeekStart="Sunday",1,2)))</f>
        <v>0</v>
      </c>
      <c r="E176" s="23">
        <f>IF(B176="","",TEXT(B176,"yyyy-mm"))</f>
        <v>0</v>
      </c>
      <c r="H176" s="23">
        <f>IF(G176="","",IFERROR(INDEX(Jobs!$H$5:$H$604,MATCH(G176,Jobs!$A$5:$A$604,0)),""))</f>
        <v>0</v>
      </c>
      <c r="T176" s="34">
        <f>IF(OR(J176="",K176=""),"",ROUND((K176-J176)*24-IF(L176="",0,L176)/60,2))</f>
        <v>0</v>
      </c>
      <c r="U176" s="34">
        <f>IF(F176="","",IF(M176&lt;&gt;"",M176,IF(T176="",0,T176)))</f>
        <v>0</v>
      </c>
      <c r="V176" s="21">
        <f>IF(F176="","",IFERROR(INDEX(Employees!$U$5:$U$44,MATCH(F176,Employees!$B$5:$B$44,0)),PayRate*(1+EmployerOncost)))</f>
        <v>0</v>
      </c>
      <c r="W176" s="34">
        <f>IF(F176="","",MAX(0,U176-IF(N176="",0,N176)))</f>
        <v>0</v>
      </c>
      <c r="X176" s="21">
        <f>IF(F176="","",ROUND(W176*V176+IF(N176="",0,N176)*V176*OvertimeRate,2))</f>
        <v>0</v>
      </c>
      <c r="Y176" s="21">
        <f>IF(F176="","",IF(P176&lt;&gt;"Yes",0,ROUND(U176*IF(IFERROR(INDEX(Clients!$O$5:$O$204,MATCH(IFERROR(INDEX(Jobs!$G$5:$G$604,MATCH(G176,Jobs!$A$5:$A$604,0)),""),Clients!$A$5:$A$204,0)),0)&gt;0,INDEX(Clients!$O$5:$O$204,MATCH(INDEX(Jobs!$G$5:$G$604,MATCH(G176,Jobs!$A$5:$A$604,0)),Clients!$A$5:$A$204,0)),HourlyRate),2)))</f>
        <v>0</v>
      </c>
      <c r="Z176" s="39">
        <f>IF(F176="","",IF(U176=0,"Add - no hours recorded",IF(O176="Absent - no show","Action - no show",IF(U176&gt;10,"Check - over ten hours in a day",IF(Q176&lt;&gt;"Yes","Due - needs approving",IF(R176&lt;&gt;"Yes","Due - not paid yet","OK"))))))</f>
        <v>0</v>
      </c>
    </row>
    <row r="177" spans="1:26">
      <c r="A177" s="43">
        <f>IF(F177="","","TS-"&amp;TEXT(ROW()-4,"0000"))</f>
        <v>0</v>
      </c>
      <c r="C177" s="23">
        <f>IF(B177="","",TEXT(B177,"ddd"))</f>
        <v>0</v>
      </c>
      <c r="D177" s="31">
        <f>IF(B177="","",WEEKNUM(B177,IF(WeekStart="Sunday",1,2)))</f>
        <v>0</v>
      </c>
      <c r="E177" s="23">
        <f>IF(B177="","",TEXT(B177,"yyyy-mm"))</f>
        <v>0</v>
      </c>
      <c r="H177" s="23">
        <f>IF(G177="","",IFERROR(INDEX(Jobs!$H$5:$H$604,MATCH(G177,Jobs!$A$5:$A$604,0)),""))</f>
        <v>0</v>
      </c>
      <c r="T177" s="34">
        <f>IF(OR(J177="",K177=""),"",ROUND((K177-J177)*24-IF(L177="",0,L177)/60,2))</f>
        <v>0</v>
      </c>
      <c r="U177" s="34">
        <f>IF(F177="","",IF(M177&lt;&gt;"",M177,IF(T177="",0,T177)))</f>
        <v>0</v>
      </c>
      <c r="V177" s="21">
        <f>IF(F177="","",IFERROR(INDEX(Employees!$U$5:$U$44,MATCH(F177,Employees!$B$5:$B$44,0)),PayRate*(1+EmployerOncost)))</f>
        <v>0</v>
      </c>
      <c r="W177" s="34">
        <f>IF(F177="","",MAX(0,U177-IF(N177="",0,N177)))</f>
        <v>0</v>
      </c>
      <c r="X177" s="21">
        <f>IF(F177="","",ROUND(W177*V177+IF(N177="",0,N177)*V177*OvertimeRate,2))</f>
        <v>0</v>
      </c>
      <c r="Y177" s="21">
        <f>IF(F177="","",IF(P177&lt;&gt;"Yes",0,ROUND(U177*IF(IFERROR(INDEX(Clients!$O$5:$O$204,MATCH(IFERROR(INDEX(Jobs!$G$5:$G$604,MATCH(G177,Jobs!$A$5:$A$604,0)),""),Clients!$A$5:$A$204,0)),0)&gt;0,INDEX(Clients!$O$5:$O$204,MATCH(INDEX(Jobs!$G$5:$G$604,MATCH(G177,Jobs!$A$5:$A$604,0)),Clients!$A$5:$A$204,0)),HourlyRate),2)))</f>
        <v>0</v>
      </c>
      <c r="Z177" s="39">
        <f>IF(F177="","",IF(U177=0,"Add - no hours recorded",IF(O177="Absent - no show","Action - no show",IF(U177&gt;10,"Check - over ten hours in a day",IF(Q177&lt;&gt;"Yes","Due - needs approving",IF(R177&lt;&gt;"Yes","Due - not paid yet","OK"))))))</f>
        <v>0</v>
      </c>
    </row>
    <row r="178" spans="1:26">
      <c r="A178" s="43">
        <f>IF(F178="","","TS-"&amp;TEXT(ROW()-4,"0000"))</f>
        <v>0</v>
      </c>
      <c r="C178" s="23">
        <f>IF(B178="","",TEXT(B178,"ddd"))</f>
        <v>0</v>
      </c>
      <c r="D178" s="31">
        <f>IF(B178="","",WEEKNUM(B178,IF(WeekStart="Sunday",1,2)))</f>
        <v>0</v>
      </c>
      <c r="E178" s="23">
        <f>IF(B178="","",TEXT(B178,"yyyy-mm"))</f>
        <v>0</v>
      </c>
      <c r="H178" s="23">
        <f>IF(G178="","",IFERROR(INDEX(Jobs!$H$5:$H$604,MATCH(G178,Jobs!$A$5:$A$604,0)),""))</f>
        <v>0</v>
      </c>
      <c r="T178" s="34">
        <f>IF(OR(J178="",K178=""),"",ROUND((K178-J178)*24-IF(L178="",0,L178)/60,2))</f>
        <v>0</v>
      </c>
      <c r="U178" s="34">
        <f>IF(F178="","",IF(M178&lt;&gt;"",M178,IF(T178="",0,T178)))</f>
        <v>0</v>
      </c>
      <c r="V178" s="21">
        <f>IF(F178="","",IFERROR(INDEX(Employees!$U$5:$U$44,MATCH(F178,Employees!$B$5:$B$44,0)),PayRate*(1+EmployerOncost)))</f>
        <v>0</v>
      </c>
      <c r="W178" s="34">
        <f>IF(F178="","",MAX(0,U178-IF(N178="",0,N178)))</f>
        <v>0</v>
      </c>
      <c r="X178" s="21">
        <f>IF(F178="","",ROUND(W178*V178+IF(N178="",0,N178)*V178*OvertimeRate,2))</f>
        <v>0</v>
      </c>
      <c r="Y178" s="21">
        <f>IF(F178="","",IF(P178&lt;&gt;"Yes",0,ROUND(U178*IF(IFERROR(INDEX(Clients!$O$5:$O$204,MATCH(IFERROR(INDEX(Jobs!$G$5:$G$604,MATCH(G178,Jobs!$A$5:$A$604,0)),""),Clients!$A$5:$A$204,0)),0)&gt;0,INDEX(Clients!$O$5:$O$204,MATCH(INDEX(Jobs!$G$5:$G$604,MATCH(G178,Jobs!$A$5:$A$604,0)),Clients!$A$5:$A$204,0)),HourlyRate),2)))</f>
        <v>0</v>
      </c>
      <c r="Z178" s="39">
        <f>IF(F178="","",IF(U178=0,"Add - no hours recorded",IF(O178="Absent - no show","Action - no show",IF(U178&gt;10,"Check - over ten hours in a day",IF(Q178&lt;&gt;"Yes","Due - needs approving",IF(R178&lt;&gt;"Yes","Due - not paid yet","OK"))))))</f>
        <v>0</v>
      </c>
    </row>
    <row r="179" spans="1:26">
      <c r="A179" s="43">
        <f>IF(F179="","","TS-"&amp;TEXT(ROW()-4,"0000"))</f>
        <v>0</v>
      </c>
      <c r="C179" s="23">
        <f>IF(B179="","",TEXT(B179,"ddd"))</f>
        <v>0</v>
      </c>
      <c r="D179" s="31">
        <f>IF(B179="","",WEEKNUM(B179,IF(WeekStart="Sunday",1,2)))</f>
        <v>0</v>
      </c>
      <c r="E179" s="23">
        <f>IF(B179="","",TEXT(B179,"yyyy-mm"))</f>
        <v>0</v>
      </c>
      <c r="H179" s="23">
        <f>IF(G179="","",IFERROR(INDEX(Jobs!$H$5:$H$604,MATCH(G179,Jobs!$A$5:$A$604,0)),""))</f>
        <v>0</v>
      </c>
      <c r="T179" s="34">
        <f>IF(OR(J179="",K179=""),"",ROUND((K179-J179)*24-IF(L179="",0,L179)/60,2))</f>
        <v>0</v>
      </c>
      <c r="U179" s="34">
        <f>IF(F179="","",IF(M179&lt;&gt;"",M179,IF(T179="",0,T179)))</f>
        <v>0</v>
      </c>
      <c r="V179" s="21">
        <f>IF(F179="","",IFERROR(INDEX(Employees!$U$5:$U$44,MATCH(F179,Employees!$B$5:$B$44,0)),PayRate*(1+EmployerOncost)))</f>
        <v>0</v>
      </c>
      <c r="W179" s="34">
        <f>IF(F179="","",MAX(0,U179-IF(N179="",0,N179)))</f>
        <v>0</v>
      </c>
      <c r="X179" s="21">
        <f>IF(F179="","",ROUND(W179*V179+IF(N179="",0,N179)*V179*OvertimeRate,2))</f>
        <v>0</v>
      </c>
      <c r="Y179" s="21">
        <f>IF(F179="","",IF(P179&lt;&gt;"Yes",0,ROUND(U179*IF(IFERROR(INDEX(Clients!$O$5:$O$204,MATCH(IFERROR(INDEX(Jobs!$G$5:$G$604,MATCH(G179,Jobs!$A$5:$A$604,0)),""),Clients!$A$5:$A$204,0)),0)&gt;0,INDEX(Clients!$O$5:$O$204,MATCH(INDEX(Jobs!$G$5:$G$604,MATCH(G179,Jobs!$A$5:$A$604,0)),Clients!$A$5:$A$204,0)),HourlyRate),2)))</f>
        <v>0</v>
      </c>
      <c r="Z179" s="39">
        <f>IF(F179="","",IF(U179=0,"Add - no hours recorded",IF(O179="Absent - no show","Action - no show",IF(U179&gt;10,"Check - over ten hours in a day",IF(Q179&lt;&gt;"Yes","Due - needs approving",IF(R179&lt;&gt;"Yes","Due - not paid yet","OK"))))))</f>
        <v>0</v>
      </c>
    </row>
    <row r="180" spans="1:26">
      <c r="A180" s="43">
        <f>IF(F180="","","TS-"&amp;TEXT(ROW()-4,"0000"))</f>
        <v>0</v>
      </c>
      <c r="C180" s="23">
        <f>IF(B180="","",TEXT(B180,"ddd"))</f>
        <v>0</v>
      </c>
      <c r="D180" s="31">
        <f>IF(B180="","",WEEKNUM(B180,IF(WeekStart="Sunday",1,2)))</f>
        <v>0</v>
      </c>
      <c r="E180" s="23">
        <f>IF(B180="","",TEXT(B180,"yyyy-mm"))</f>
        <v>0</v>
      </c>
      <c r="H180" s="23">
        <f>IF(G180="","",IFERROR(INDEX(Jobs!$H$5:$H$604,MATCH(G180,Jobs!$A$5:$A$604,0)),""))</f>
        <v>0</v>
      </c>
      <c r="T180" s="34">
        <f>IF(OR(J180="",K180=""),"",ROUND((K180-J180)*24-IF(L180="",0,L180)/60,2))</f>
        <v>0</v>
      </c>
      <c r="U180" s="34">
        <f>IF(F180="","",IF(M180&lt;&gt;"",M180,IF(T180="",0,T180)))</f>
        <v>0</v>
      </c>
      <c r="V180" s="21">
        <f>IF(F180="","",IFERROR(INDEX(Employees!$U$5:$U$44,MATCH(F180,Employees!$B$5:$B$44,0)),PayRate*(1+EmployerOncost)))</f>
        <v>0</v>
      </c>
      <c r="W180" s="34">
        <f>IF(F180="","",MAX(0,U180-IF(N180="",0,N180)))</f>
        <v>0</v>
      </c>
      <c r="X180" s="21">
        <f>IF(F180="","",ROUND(W180*V180+IF(N180="",0,N180)*V180*OvertimeRate,2))</f>
        <v>0</v>
      </c>
      <c r="Y180" s="21">
        <f>IF(F180="","",IF(P180&lt;&gt;"Yes",0,ROUND(U180*IF(IFERROR(INDEX(Clients!$O$5:$O$204,MATCH(IFERROR(INDEX(Jobs!$G$5:$G$604,MATCH(G180,Jobs!$A$5:$A$604,0)),""),Clients!$A$5:$A$204,0)),0)&gt;0,INDEX(Clients!$O$5:$O$204,MATCH(INDEX(Jobs!$G$5:$G$604,MATCH(G180,Jobs!$A$5:$A$604,0)),Clients!$A$5:$A$204,0)),HourlyRate),2)))</f>
        <v>0</v>
      </c>
      <c r="Z180" s="39">
        <f>IF(F180="","",IF(U180=0,"Add - no hours recorded",IF(O180="Absent - no show","Action - no show",IF(U180&gt;10,"Check - over ten hours in a day",IF(Q180&lt;&gt;"Yes","Due - needs approving",IF(R180&lt;&gt;"Yes","Due - not paid yet","OK"))))))</f>
        <v>0</v>
      </c>
    </row>
    <row r="181" spans="1:26">
      <c r="A181" s="43">
        <f>IF(F181="","","TS-"&amp;TEXT(ROW()-4,"0000"))</f>
        <v>0</v>
      </c>
      <c r="C181" s="23">
        <f>IF(B181="","",TEXT(B181,"ddd"))</f>
        <v>0</v>
      </c>
      <c r="D181" s="31">
        <f>IF(B181="","",WEEKNUM(B181,IF(WeekStart="Sunday",1,2)))</f>
        <v>0</v>
      </c>
      <c r="E181" s="23">
        <f>IF(B181="","",TEXT(B181,"yyyy-mm"))</f>
        <v>0</v>
      </c>
      <c r="H181" s="23">
        <f>IF(G181="","",IFERROR(INDEX(Jobs!$H$5:$H$604,MATCH(G181,Jobs!$A$5:$A$604,0)),""))</f>
        <v>0</v>
      </c>
      <c r="T181" s="34">
        <f>IF(OR(J181="",K181=""),"",ROUND((K181-J181)*24-IF(L181="",0,L181)/60,2))</f>
        <v>0</v>
      </c>
      <c r="U181" s="34">
        <f>IF(F181="","",IF(M181&lt;&gt;"",M181,IF(T181="",0,T181)))</f>
        <v>0</v>
      </c>
      <c r="V181" s="21">
        <f>IF(F181="","",IFERROR(INDEX(Employees!$U$5:$U$44,MATCH(F181,Employees!$B$5:$B$44,0)),PayRate*(1+EmployerOncost)))</f>
        <v>0</v>
      </c>
      <c r="W181" s="34">
        <f>IF(F181="","",MAX(0,U181-IF(N181="",0,N181)))</f>
        <v>0</v>
      </c>
      <c r="X181" s="21">
        <f>IF(F181="","",ROUND(W181*V181+IF(N181="",0,N181)*V181*OvertimeRate,2))</f>
        <v>0</v>
      </c>
      <c r="Y181" s="21">
        <f>IF(F181="","",IF(P181&lt;&gt;"Yes",0,ROUND(U181*IF(IFERROR(INDEX(Clients!$O$5:$O$204,MATCH(IFERROR(INDEX(Jobs!$G$5:$G$604,MATCH(G181,Jobs!$A$5:$A$604,0)),""),Clients!$A$5:$A$204,0)),0)&gt;0,INDEX(Clients!$O$5:$O$204,MATCH(INDEX(Jobs!$G$5:$G$604,MATCH(G181,Jobs!$A$5:$A$604,0)),Clients!$A$5:$A$204,0)),HourlyRate),2)))</f>
        <v>0</v>
      </c>
      <c r="Z181" s="39">
        <f>IF(F181="","",IF(U181=0,"Add - no hours recorded",IF(O181="Absent - no show","Action - no show",IF(U181&gt;10,"Check - over ten hours in a day",IF(Q181&lt;&gt;"Yes","Due - needs approving",IF(R181&lt;&gt;"Yes","Due - not paid yet","OK"))))))</f>
        <v>0</v>
      </c>
    </row>
    <row r="182" spans="1:26">
      <c r="A182" s="43">
        <f>IF(F182="","","TS-"&amp;TEXT(ROW()-4,"0000"))</f>
        <v>0</v>
      </c>
      <c r="C182" s="23">
        <f>IF(B182="","",TEXT(B182,"ddd"))</f>
        <v>0</v>
      </c>
      <c r="D182" s="31">
        <f>IF(B182="","",WEEKNUM(B182,IF(WeekStart="Sunday",1,2)))</f>
        <v>0</v>
      </c>
      <c r="E182" s="23">
        <f>IF(B182="","",TEXT(B182,"yyyy-mm"))</f>
        <v>0</v>
      </c>
      <c r="H182" s="23">
        <f>IF(G182="","",IFERROR(INDEX(Jobs!$H$5:$H$604,MATCH(G182,Jobs!$A$5:$A$604,0)),""))</f>
        <v>0</v>
      </c>
      <c r="T182" s="34">
        <f>IF(OR(J182="",K182=""),"",ROUND((K182-J182)*24-IF(L182="",0,L182)/60,2))</f>
        <v>0</v>
      </c>
      <c r="U182" s="34">
        <f>IF(F182="","",IF(M182&lt;&gt;"",M182,IF(T182="",0,T182)))</f>
        <v>0</v>
      </c>
      <c r="V182" s="21">
        <f>IF(F182="","",IFERROR(INDEX(Employees!$U$5:$U$44,MATCH(F182,Employees!$B$5:$B$44,0)),PayRate*(1+EmployerOncost)))</f>
        <v>0</v>
      </c>
      <c r="W182" s="34">
        <f>IF(F182="","",MAX(0,U182-IF(N182="",0,N182)))</f>
        <v>0</v>
      </c>
      <c r="X182" s="21">
        <f>IF(F182="","",ROUND(W182*V182+IF(N182="",0,N182)*V182*OvertimeRate,2))</f>
        <v>0</v>
      </c>
      <c r="Y182" s="21">
        <f>IF(F182="","",IF(P182&lt;&gt;"Yes",0,ROUND(U182*IF(IFERROR(INDEX(Clients!$O$5:$O$204,MATCH(IFERROR(INDEX(Jobs!$G$5:$G$604,MATCH(G182,Jobs!$A$5:$A$604,0)),""),Clients!$A$5:$A$204,0)),0)&gt;0,INDEX(Clients!$O$5:$O$204,MATCH(INDEX(Jobs!$G$5:$G$604,MATCH(G182,Jobs!$A$5:$A$604,0)),Clients!$A$5:$A$204,0)),HourlyRate),2)))</f>
        <v>0</v>
      </c>
      <c r="Z182" s="39">
        <f>IF(F182="","",IF(U182=0,"Add - no hours recorded",IF(O182="Absent - no show","Action - no show",IF(U182&gt;10,"Check - over ten hours in a day",IF(Q182&lt;&gt;"Yes","Due - needs approving",IF(R182&lt;&gt;"Yes","Due - not paid yet","OK"))))))</f>
        <v>0</v>
      </c>
    </row>
    <row r="183" spans="1:26">
      <c r="A183" s="43">
        <f>IF(F183="","","TS-"&amp;TEXT(ROW()-4,"0000"))</f>
        <v>0</v>
      </c>
      <c r="C183" s="23">
        <f>IF(B183="","",TEXT(B183,"ddd"))</f>
        <v>0</v>
      </c>
      <c r="D183" s="31">
        <f>IF(B183="","",WEEKNUM(B183,IF(WeekStart="Sunday",1,2)))</f>
        <v>0</v>
      </c>
      <c r="E183" s="23">
        <f>IF(B183="","",TEXT(B183,"yyyy-mm"))</f>
        <v>0</v>
      </c>
      <c r="H183" s="23">
        <f>IF(G183="","",IFERROR(INDEX(Jobs!$H$5:$H$604,MATCH(G183,Jobs!$A$5:$A$604,0)),""))</f>
        <v>0</v>
      </c>
      <c r="T183" s="34">
        <f>IF(OR(J183="",K183=""),"",ROUND((K183-J183)*24-IF(L183="",0,L183)/60,2))</f>
        <v>0</v>
      </c>
      <c r="U183" s="34">
        <f>IF(F183="","",IF(M183&lt;&gt;"",M183,IF(T183="",0,T183)))</f>
        <v>0</v>
      </c>
      <c r="V183" s="21">
        <f>IF(F183="","",IFERROR(INDEX(Employees!$U$5:$U$44,MATCH(F183,Employees!$B$5:$B$44,0)),PayRate*(1+EmployerOncost)))</f>
        <v>0</v>
      </c>
      <c r="W183" s="34">
        <f>IF(F183="","",MAX(0,U183-IF(N183="",0,N183)))</f>
        <v>0</v>
      </c>
      <c r="X183" s="21">
        <f>IF(F183="","",ROUND(W183*V183+IF(N183="",0,N183)*V183*OvertimeRate,2))</f>
        <v>0</v>
      </c>
      <c r="Y183" s="21">
        <f>IF(F183="","",IF(P183&lt;&gt;"Yes",0,ROUND(U183*IF(IFERROR(INDEX(Clients!$O$5:$O$204,MATCH(IFERROR(INDEX(Jobs!$G$5:$G$604,MATCH(G183,Jobs!$A$5:$A$604,0)),""),Clients!$A$5:$A$204,0)),0)&gt;0,INDEX(Clients!$O$5:$O$204,MATCH(INDEX(Jobs!$G$5:$G$604,MATCH(G183,Jobs!$A$5:$A$604,0)),Clients!$A$5:$A$204,0)),HourlyRate),2)))</f>
        <v>0</v>
      </c>
      <c r="Z183" s="39">
        <f>IF(F183="","",IF(U183=0,"Add - no hours recorded",IF(O183="Absent - no show","Action - no show",IF(U183&gt;10,"Check - over ten hours in a day",IF(Q183&lt;&gt;"Yes","Due - needs approving",IF(R183&lt;&gt;"Yes","Due - not paid yet","OK"))))))</f>
        <v>0</v>
      </c>
    </row>
    <row r="184" spans="1:26">
      <c r="A184" s="43">
        <f>IF(F184="","","TS-"&amp;TEXT(ROW()-4,"0000"))</f>
        <v>0</v>
      </c>
      <c r="C184" s="23">
        <f>IF(B184="","",TEXT(B184,"ddd"))</f>
        <v>0</v>
      </c>
      <c r="D184" s="31">
        <f>IF(B184="","",WEEKNUM(B184,IF(WeekStart="Sunday",1,2)))</f>
        <v>0</v>
      </c>
      <c r="E184" s="23">
        <f>IF(B184="","",TEXT(B184,"yyyy-mm"))</f>
        <v>0</v>
      </c>
      <c r="H184" s="23">
        <f>IF(G184="","",IFERROR(INDEX(Jobs!$H$5:$H$604,MATCH(G184,Jobs!$A$5:$A$604,0)),""))</f>
        <v>0</v>
      </c>
      <c r="T184" s="34">
        <f>IF(OR(J184="",K184=""),"",ROUND((K184-J184)*24-IF(L184="",0,L184)/60,2))</f>
        <v>0</v>
      </c>
      <c r="U184" s="34">
        <f>IF(F184="","",IF(M184&lt;&gt;"",M184,IF(T184="",0,T184)))</f>
        <v>0</v>
      </c>
      <c r="V184" s="21">
        <f>IF(F184="","",IFERROR(INDEX(Employees!$U$5:$U$44,MATCH(F184,Employees!$B$5:$B$44,0)),PayRate*(1+EmployerOncost)))</f>
        <v>0</v>
      </c>
      <c r="W184" s="34">
        <f>IF(F184="","",MAX(0,U184-IF(N184="",0,N184)))</f>
        <v>0</v>
      </c>
      <c r="X184" s="21">
        <f>IF(F184="","",ROUND(W184*V184+IF(N184="",0,N184)*V184*OvertimeRate,2))</f>
        <v>0</v>
      </c>
      <c r="Y184" s="21">
        <f>IF(F184="","",IF(P184&lt;&gt;"Yes",0,ROUND(U184*IF(IFERROR(INDEX(Clients!$O$5:$O$204,MATCH(IFERROR(INDEX(Jobs!$G$5:$G$604,MATCH(G184,Jobs!$A$5:$A$604,0)),""),Clients!$A$5:$A$204,0)),0)&gt;0,INDEX(Clients!$O$5:$O$204,MATCH(INDEX(Jobs!$G$5:$G$604,MATCH(G184,Jobs!$A$5:$A$604,0)),Clients!$A$5:$A$204,0)),HourlyRate),2)))</f>
        <v>0</v>
      </c>
      <c r="Z184" s="39">
        <f>IF(F184="","",IF(U184=0,"Add - no hours recorded",IF(O184="Absent - no show","Action - no show",IF(U184&gt;10,"Check - over ten hours in a day",IF(Q184&lt;&gt;"Yes","Due - needs approving",IF(R184&lt;&gt;"Yes","Due - not paid yet","OK"))))))</f>
        <v>0</v>
      </c>
    </row>
    <row r="185" spans="1:26">
      <c r="A185" s="43">
        <f>IF(F185="","","TS-"&amp;TEXT(ROW()-4,"0000"))</f>
        <v>0</v>
      </c>
      <c r="C185" s="23">
        <f>IF(B185="","",TEXT(B185,"ddd"))</f>
        <v>0</v>
      </c>
      <c r="D185" s="31">
        <f>IF(B185="","",WEEKNUM(B185,IF(WeekStart="Sunday",1,2)))</f>
        <v>0</v>
      </c>
      <c r="E185" s="23">
        <f>IF(B185="","",TEXT(B185,"yyyy-mm"))</f>
        <v>0</v>
      </c>
      <c r="H185" s="23">
        <f>IF(G185="","",IFERROR(INDEX(Jobs!$H$5:$H$604,MATCH(G185,Jobs!$A$5:$A$604,0)),""))</f>
        <v>0</v>
      </c>
      <c r="T185" s="34">
        <f>IF(OR(J185="",K185=""),"",ROUND((K185-J185)*24-IF(L185="",0,L185)/60,2))</f>
        <v>0</v>
      </c>
      <c r="U185" s="34">
        <f>IF(F185="","",IF(M185&lt;&gt;"",M185,IF(T185="",0,T185)))</f>
        <v>0</v>
      </c>
      <c r="V185" s="21">
        <f>IF(F185="","",IFERROR(INDEX(Employees!$U$5:$U$44,MATCH(F185,Employees!$B$5:$B$44,0)),PayRate*(1+EmployerOncost)))</f>
        <v>0</v>
      </c>
      <c r="W185" s="34">
        <f>IF(F185="","",MAX(0,U185-IF(N185="",0,N185)))</f>
        <v>0</v>
      </c>
      <c r="X185" s="21">
        <f>IF(F185="","",ROUND(W185*V185+IF(N185="",0,N185)*V185*OvertimeRate,2))</f>
        <v>0</v>
      </c>
      <c r="Y185" s="21">
        <f>IF(F185="","",IF(P185&lt;&gt;"Yes",0,ROUND(U185*IF(IFERROR(INDEX(Clients!$O$5:$O$204,MATCH(IFERROR(INDEX(Jobs!$G$5:$G$604,MATCH(G185,Jobs!$A$5:$A$604,0)),""),Clients!$A$5:$A$204,0)),0)&gt;0,INDEX(Clients!$O$5:$O$204,MATCH(INDEX(Jobs!$G$5:$G$604,MATCH(G185,Jobs!$A$5:$A$604,0)),Clients!$A$5:$A$204,0)),HourlyRate),2)))</f>
        <v>0</v>
      </c>
      <c r="Z185" s="39">
        <f>IF(F185="","",IF(U185=0,"Add - no hours recorded",IF(O185="Absent - no show","Action - no show",IF(U185&gt;10,"Check - over ten hours in a day",IF(Q185&lt;&gt;"Yes","Due - needs approving",IF(R185&lt;&gt;"Yes","Due - not paid yet","OK"))))))</f>
        <v>0</v>
      </c>
    </row>
    <row r="186" spans="1:26">
      <c r="A186" s="43">
        <f>IF(F186="","","TS-"&amp;TEXT(ROW()-4,"0000"))</f>
        <v>0</v>
      </c>
      <c r="C186" s="23">
        <f>IF(B186="","",TEXT(B186,"ddd"))</f>
        <v>0</v>
      </c>
      <c r="D186" s="31">
        <f>IF(B186="","",WEEKNUM(B186,IF(WeekStart="Sunday",1,2)))</f>
        <v>0</v>
      </c>
      <c r="E186" s="23">
        <f>IF(B186="","",TEXT(B186,"yyyy-mm"))</f>
        <v>0</v>
      </c>
      <c r="H186" s="23">
        <f>IF(G186="","",IFERROR(INDEX(Jobs!$H$5:$H$604,MATCH(G186,Jobs!$A$5:$A$604,0)),""))</f>
        <v>0</v>
      </c>
      <c r="T186" s="34">
        <f>IF(OR(J186="",K186=""),"",ROUND((K186-J186)*24-IF(L186="",0,L186)/60,2))</f>
        <v>0</v>
      </c>
      <c r="U186" s="34">
        <f>IF(F186="","",IF(M186&lt;&gt;"",M186,IF(T186="",0,T186)))</f>
        <v>0</v>
      </c>
      <c r="V186" s="21">
        <f>IF(F186="","",IFERROR(INDEX(Employees!$U$5:$U$44,MATCH(F186,Employees!$B$5:$B$44,0)),PayRate*(1+EmployerOncost)))</f>
        <v>0</v>
      </c>
      <c r="W186" s="34">
        <f>IF(F186="","",MAX(0,U186-IF(N186="",0,N186)))</f>
        <v>0</v>
      </c>
      <c r="X186" s="21">
        <f>IF(F186="","",ROUND(W186*V186+IF(N186="",0,N186)*V186*OvertimeRate,2))</f>
        <v>0</v>
      </c>
      <c r="Y186" s="21">
        <f>IF(F186="","",IF(P186&lt;&gt;"Yes",0,ROUND(U186*IF(IFERROR(INDEX(Clients!$O$5:$O$204,MATCH(IFERROR(INDEX(Jobs!$G$5:$G$604,MATCH(G186,Jobs!$A$5:$A$604,0)),""),Clients!$A$5:$A$204,0)),0)&gt;0,INDEX(Clients!$O$5:$O$204,MATCH(INDEX(Jobs!$G$5:$G$604,MATCH(G186,Jobs!$A$5:$A$604,0)),Clients!$A$5:$A$204,0)),HourlyRate),2)))</f>
        <v>0</v>
      </c>
      <c r="Z186" s="39">
        <f>IF(F186="","",IF(U186=0,"Add - no hours recorded",IF(O186="Absent - no show","Action - no show",IF(U186&gt;10,"Check - over ten hours in a day",IF(Q186&lt;&gt;"Yes","Due - needs approving",IF(R186&lt;&gt;"Yes","Due - not paid yet","OK"))))))</f>
        <v>0</v>
      </c>
    </row>
    <row r="187" spans="1:26">
      <c r="A187" s="43">
        <f>IF(F187="","","TS-"&amp;TEXT(ROW()-4,"0000"))</f>
        <v>0</v>
      </c>
      <c r="C187" s="23">
        <f>IF(B187="","",TEXT(B187,"ddd"))</f>
        <v>0</v>
      </c>
      <c r="D187" s="31">
        <f>IF(B187="","",WEEKNUM(B187,IF(WeekStart="Sunday",1,2)))</f>
        <v>0</v>
      </c>
      <c r="E187" s="23">
        <f>IF(B187="","",TEXT(B187,"yyyy-mm"))</f>
        <v>0</v>
      </c>
      <c r="H187" s="23">
        <f>IF(G187="","",IFERROR(INDEX(Jobs!$H$5:$H$604,MATCH(G187,Jobs!$A$5:$A$604,0)),""))</f>
        <v>0</v>
      </c>
      <c r="T187" s="34">
        <f>IF(OR(J187="",K187=""),"",ROUND((K187-J187)*24-IF(L187="",0,L187)/60,2))</f>
        <v>0</v>
      </c>
      <c r="U187" s="34">
        <f>IF(F187="","",IF(M187&lt;&gt;"",M187,IF(T187="",0,T187)))</f>
        <v>0</v>
      </c>
      <c r="V187" s="21">
        <f>IF(F187="","",IFERROR(INDEX(Employees!$U$5:$U$44,MATCH(F187,Employees!$B$5:$B$44,0)),PayRate*(1+EmployerOncost)))</f>
        <v>0</v>
      </c>
      <c r="W187" s="34">
        <f>IF(F187="","",MAX(0,U187-IF(N187="",0,N187)))</f>
        <v>0</v>
      </c>
      <c r="X187" s="21">
        <f>IF(F187="","",ROUND(W187*V187+IF(N187="",0,N187)*V187*OvertimeRate,2))</f>
        <v>0</v>
      </c>
      <c r="Y187" s="21">
        <f>IF(F187="","",IF(P187&lt;&gt;"Yes",0,ROUND(U187*IF(IFERROR(INDEX(Clients!$O$5:$O$204,MATCH(IFERROR(INDEX(Jobs!$G$5:$G$604,MATCH(G187,Jobs!$A$5:$A$604,0)),""),Clients!$A$5:$A$204,0)),0)&gt;0,INDEX(Clients!$O$5:$O$204,MATCH(INDEX(Jobs!$G$5:$G$604,MATCH(G187,Jobs!$A$5:$A$604,0)),Clients!$A$5:$A$204,0)),HourlyRate),2)))</f>
        <v>0</v>
      </c>
      <c r="Z187" s="39">
        <f>IF(F187="","",IF(U187=0,"Add - no hours recorded",IF(O187="Absent - no show","Action - no show",IF(U187&gt;10,"Check - over ten hours in a day",IF(Q187&lt;&gt;"Yes","Due - needs approving",IF(R187&lt;&gt;"Yes","Due - not paid yet","OK"))))))</f>
        <v>0</v>
      </c>
    </row>
    <row r="188" spans="1:26">
      <c r="A188" s="43">
        <f>IF(F188="","","TS-"&amp;TEXT(ROW()-4,"0000"))</f>
        <v>0</v>
      </c>
      <c r="C188" s="23">
        <f>IF(B188="","",TEXT(B188,"ddd"))</f>
        <v>0</v>
      </c>
      <c r="D188" s="31">
        <f>IF(B188="","",WEEKNUM(B188,IF(WeekStart="Sunday",1,2)))</f>
        <v>0</v>
      </c>
      <c r="E188" s="23">
        <f>IF(B188="","",TEXT(B188,"yyyy-mm"))</f>
        <v>0</v>
      </c>
      <c r="H188" s="23">
        <f>IF(G188="","",IFERROR(INDEX(Jobs!$H$5:$H$604,MATCH(G188,Jobs!$A$5:$A$604,0)),""))</f>
        <v>0</v>
      </c>
      <c r="T188" s="34">
        <f>IF(OR(J188="",K188=""),"",ROUND((K188-J188)*24-IF(L188="",0,L188)/60,2))</f>
        <v>0</v>
      </c>
      <c r="U188" s="34">
        <f>IF(F188="","",IF(M188&lt;&gt;"",M188,IF(T188="",0,T188)))</f>
        <v>0</v>
      </c>
      <c r="V188" s="21">
        <f>IF(F188="","",IFERROR(INDEX(Employees!$U$5:$U$44,MATCH(F188,Employees!$B$5:$B$44,0)),PayRate*(1+EmployerOncost)))</f>
        <v>0</v>
      </c>
      <c r="W188" s="34">
        <f>IF(F188="","",MAX(0,U188-IF(N188="",0,N188)))</f>
        <v>0</v>
      </c>
      <c r="X188" s="21">
        <f>IF(F188="","",ROUND(W188*V188+IF(N188="",0,N188)*V188*OvertimeRate,2))</f>
        <v>0</v>
      </c>
      <c r="Y188" s="21">
        <f>IF(F188="","",IF(P188&lt;&gt;"Yes",0,ROUND(U188*IF(IFERROR(INDEX(Clients!$O$5:$O$204,MATCH(IFERROR(INDEX(Jobs!$G$5:$G$604,MATCH(G188,Jobs!$A$5:$A$604,0)),""),Clients!$A$5:$A$204,0)),0)&gt;0,INDEX(Clients!$O$5:$O$204,MATCH(INDEX(Jobs!$G$5:$G$604,MATCH(G188,Jobs!$A$5:$A$604,0)),Clients!$A$5:$A$204,0)),HourlyRate),2)))</f>
        <v>0</v>
      </c>
      <c r="Z188" s="39">
        <f>IF(F188="","",IF(U188=0,"Add - no hours recorded",IF(O188="Absent - no show","Action - no show",IF(U188&gt;10,"Check - over ten hours in a day",IF(Q188&lt;&gt;"Yes","Due - needs approving",IF(R188&lt;&gt;"Yes","Due - not paid yet","OK"))))))</f>
        <v>0</v>
      </c>
    </row>
    <row r="189" spans="1:26">
      <c r="A189" s="43">
        <f>IF(F189="","","TS-"&amp;TEXT(ROW()-4,"0000"))</f>
        <v>0</v>
      </c>
      <c r="C189" s="23">
        <f>IF(B189="","",TEXT(B189,"ddd"))</f>
        <v>0</v>
      </c>
      <c r="D189" s="31">
        <f>IF(B189="","",WEEKNUM(B189,IF(WeekStart="Sunday",1,2)))</f>
        <v>0</v>
      </c>
      <c r="E189" s="23">
        <f>IF(B189="","",TEXT(B189,"yyyy-mm"))</f>
        <v>0</v>
      </c>
      <c r="H189" s="23">
        <f>IF(G189="","",IFERROR(INDEX(Jobs!$H$5:$H$604,MATCH(G189,Jobs!$A$5:$A$604,0)),""))</f>
        <v>0</v>
      </c>
      <c r="T189" s="34">
        <f>IF(OR(J189="",K189=""),"",ROUND((K189-J189)*24-IF(L189="",0,L189)/60,2))</f>
        <v>0</v>
      </c>
      <c r="U189" s="34">
        <f>IF(F189="","",IF(M189&lt;&gt;"",M189,IF(T189="",0,T189)))</f>
        <v>0</v>
      </c>
      <c r="V189" s="21">
        <f>IF(F189="","",IFERROR(INDEX(Employees!$U$5:$U$44,MATCH(F189,Employees!$B$5:$B$44,0)),PayRate*(1+EmployerOncost)))</f>
        <v>0</v>
      </c>
      <c r="W189" s="34">
        <f>IF(F189="","",MAX(0,U189-IF(N189="",0,N189)))</f>
        <v>0</v>
      </c>
      <c r="X189" s="21">
        <f>IF(F189="","",ROUND(W189*V189+IF(N189="",0,N189)*V189*OvertimeRate,2))</f>
        <v>0</v>
      </c>
      <c r="Y189" s="21">
        <f>IF(F189="","",IF(P189&lt;&gt;"Yes",0,ROUND(U189*IF(IFERROR(INDEX(Clients!$O$5:$O$204,MATCH(IFERROR(INDEX(Jobs!$G$5:$G$604,MATCH(G189,Jobs!$A$5:$A$604,0)),""),Clients!$A$5:$A$204,0)),0)&gt;0,INDEX(Clients!$O$5:$O$204,MATCH(INDEX(Jobs!$G$5:$G$604,MATCH(G189,Jobs!$A$5:$A$604,0)),Clients!$A$5:$A$204,0)),HourlyRate),2)))</f>
        <v>0</v>
      </c>
      <c r="Z189" s="39">
        <f>IF(F189="","",IF(U189=0,"Add - no hours recorded",IF(O189="Absent - no show","Action - no show",IF(U189&gt;10,"Check - over ten hours in a day",IF(Q189&lt;&gt;"Yes","Due - needs approving",IF(R189&lt;&gt;"Yes","Due - not paid yet","OK"))))))</f>
        <v>0</v>
      </c>
    </row>
    <row r="190" spans="1:26">
      <c r="A190" s="43">
        <f>IF(F190="","","TS-"&amp;TEXT(ROW()-4,"0000"))</f>
        <v>0</v>
      </c>
      <c r="C190" s="23">
        <f>IF(B190="","",TEXT(B190,"ddd"))</f>
        <v>0</v>
      </c>
      <c r="D190" s="31">
        <f>IF(B190="","",WEEKNUM(B190,IF(WeekStart="Sunday",1,2)))</f>
        <v>0</v>
      </c>
      <c r="E190" s="23">
        <f>IF(B190="","",TEXT(B190,"yyyy-mm"))</f>
        <v>0</v>
      </c>
      <c r="H190" s="23">
        <f>IF(G190="","",IFERROR(INDEX(Jobs!$H$5:$H$604,MATCH(G190,Jobs!$A$5:$A$604,0)),""))</f>
        <v>0</v>
      </c>
      <c r="T190" s="34">
        <f>IF(OR(J190="",K190=""),"",ROUND((K190-J190)*24-IF(L190="",0,L190)/60,2))</f>
        <v>0</v>
      </c>
      <c r="U190" s="34">
        <f>IF(F190="","",IF(M190&lt;&gt;"",M190,IF(T190="",0,T190)))</f>
        <v>0</v>
      </c>
      <c r="V190" s="21">
        <f>IF(F190="","",IFERROR(INDEX(Employees!$U$5:$U$44,MATCH(F190,Employees!$B$5:$B$44,0)),PayRate*(1+EmployerOncost)))</f>
        <v>0</v>
      </c>
      <c r="W190" s="34">
        <f>IF(F190="","",MAX(0,U190-IF(N190="",0,N190)))</f>
        <v>0</v>
      </c>
      <c r="X190" s="21">
        <f>IF(F190="","",ROUND(W190*V190+IF(N190="",0,N190)*V190*OvertimeRate,2))</f>
        <v>0</v>
      </c>
      <c r="Y190" s="21">
        <f>IF(F190="","",IF(P190&lt;&gt;"Yes",0,ROUND(U190*IF(IFERROR(INDEX(Clients!$O$5:$O$204,MATCH(IFERROR(INDEX(Jobs!$G$5:$G$604,MATCH(G190,Jobs!$A$5:$A$604,0)),""),Clients!$A$5:$A$204,0)),0)&gt;0,INDEX(Clients!$O$5:$O$204,MATCH(INDEX(Jobs!$G$5:$G$604,MATCH(G190,Jobs!$A$5:$A$604,0)),Clients!$A$5:$A$204,0)),HourlyRate),2)))</f>
        <v>0</v>
      </c>
      <c r="Z190" s="39">
        <f>IF(F190="","",IF(U190=0,"Add - no hours recorded",IF(O190="Absent - no show","Action - no show",IF(U190&gt;10,"Check - over ten hours in a day",IF(Q190&lt;&gt;"Yes","Due - needs approving",IF(R190&lt;&gt;"Yes","Due - not paid yet","OK"))))))</f>
        <v>0</v>
      </c>
    </row>
    <row r="191" spans="1:26">
      <c r="A191" s="43">
        <f>IF(F191="","","TS-"&amp;TEXT(ROW()-4,"0000"))</f>
        <v>0</v>
      </c>
      <c r="C191" s="23">
        <f>IF(B191="","",TEXT(B191,"ddd"))</f>
        <v>0</v>
      </c>
      <c r="D191" s="31">
        <f>IF(B191="","",WEEKNUM(B191,IF(WeekStart="Sunday",1,2)))</f>
        <v>0</v>
      </c>
      <c r="E191" s="23">
        <f>IF(B191="","",TEXT(B191,"yyyy-mm"))</f>
        <v>0</v>
      </c>
      <c r="H191" s="23">
        <f>IF(G191="","",IFERROR(INDEX(Jobs!$H$5:$H$604,MATCH(G191,Jobs!$A$5:$A$604,0)),""))</f>
        <v>0</v>
      </c>
      <c r="T191" s="34">
        <f>IF(OR(J191="",K191=""),"",ROUND((K191-J191)*24-IF(L191="",0,L191)/60,2))</f>
        <v>0</v>
      </c>
      <c r="U191" s="34">
        <f>IF(F191="","",IF(M191&lt;&gt;"",M191,IF(T191="",0,T191)))</f>
        <v>0</v>
      </c>
      <c r="V191" s="21">
        <f>IF(F191="","",IFERROR(INDEX(Employees!$U$5:$U$44,MATCH(F191,Employees!$B$5:$B$44,0)),PayRate*(1+EmployerOncost)))</f>
        <v>0</v>
      </c>
      <c r="W191" s="34">
        <f>IF(F191="","",MAX(0,U191-IF(N191="",0,N191)))</f>
        <v>0</v>
      </c>
      <c r="X191" s="21">
        <f>IF(F191="","",ROUND(W191*V191+IF(N191="",0,N191)*V191*OvertimeRate,2))</f>
        <v>0</v>
      </c>
      <c r="Y191" s="21">
        <f>IF(F191="","",IF(P191&lt;&gt;"Yes",0,ROUND(U191*IF(IFERROR(INDEX(Clients!$O$5:$O$204,MATCH(IFERROR(INDEX(Jobs!$G$5:$G$604,MATCH(G191,Jobs!$A$5:$A$604,0)),""),Clients!$A$5:$A$204,0)),0)&gt;0,INDEX(Clients!$O$5:$O$204,MATCH(INDEX(Jobs!$G$5:$G$604,MATCH(G191,Jobs!$A$5:$A$604,0)),Clients!$A$5:$A$204,0)),HourlyRate),2)))</f>
        <v>0</v>
      </c>
      <c r="Z191" s="39">
        <f>IF(F191="","",IF(U191=0,"Add - no hours recorded",IF(O191="Absent - no show","Action - no show",IF(U191&gt;10,"Check - over ten hours in a day",IF(Q191&lt;&gt;"Yes","Due - needs approving",IF(R191&lt;&gt;"Yes","Due - not paid yet","OK"))))))</f>
        <v>0</v>
      </c>
    </row>
    <row r="192" spans="1:26">
      <c r="A192" s="43">
        <f>IF(F192="","","TS-"&amp;TEXT(ROW()-4,"0000"))</f>
        <v>0</v>
      </c>
      <c r="C192" s="23">
        <f>IF(B192="","",TEXT(B192,"ddd"))</f>
        <v>0</v>
      </c>
      <c r="D192" s="31">
        <f>IF(B192="","",WEEKNUM(B192,IF(WeekStart="Sunday",1,2)))</f>
        <v>0</v>
      </c>
      <c r="E192" s="23">
        <f>IF(B192="","",TEXT(B192,"yyyy-mm"))</f>
        <v>0</v>
      </c>
      <c r="H192" s="23">
        <f>IF(G192="","",IFERROR(INDEX(Jobs!$H$5:$H$604,MATCH(G192,Jobs!$A$5:$A$604,0)),""))</f>
        <v>0</v>
      </c>
      <c r="T192" s="34">
        <f>IF(OR(J192="",K192=""),"",ROUND((K192-J192)*24-IF(L192="",0,L192)/60,2))</f>
        <v>0</v>
      </c>
      <c r="U192" s="34">
        <f>IF(F192="","",IF(M192&lt;&gt;"",M192,IF(T192="",0,T192)))</f>
        <v>0</v>
      </c>
      <c r="V192" s="21">
        <f>IF(F192="","",IFERROR(INDEX(Employees!$U$5:$U$44,MATCH(F192,Employees!$B$5:$B$44,0)),PayRate*(1+EmployerOncost)))</f>
        <v>0</v>
      </c>
      <c r="W192" s="34">
        <f>IF(F192="","",MAX(0,U192-IF(N192="",0,N192)))</f>
        <v>0</v>
      </c>
      <c r="X192" s="21">
        <f>IF(F192="","",ROUND(W192*V192+IF(N192="",0,N192)*V192*OvertimeRate,2))</f>
        <v>0</v>
      </c>
      <c r="Y192" s="21">
        <f>IF(F192="","",IF(P192&lt;&gt;"Yes",0,ROUND(U192*IF(IFERROR(INDEX(Clients!$O$5:$O$204,MATCH(IFERROR(INDEX(Jobs!$G$5:$G$604,MATCH(G192,Jobs!$A$5:$A$604,0)),""),Clients!$A$5:$A$204,0)),0)&gt;0,INDEX(Clients!$O$5:$O$204,MATCH(INDEX(Jobs!$G$5:$G$604,MATCH(G192,Jobs!$A$5:$A$604,0)),Clients!$A$5:$A$204,0)),HourlyRate),2)))</f>
        <v>0</v>
      </c>
      <c r="Z192" s="39">
        <f>IF(F192="","",IF(U192=0,"Add - no hours recorded",IF(O192="Absent - no show","Action - no show",IF(U192&gt;10,"Check - over ten hours in a day",IF(Q192&lt;&gt;"Yes","Due - needs approving",IF(R192&lt;&gt;"Yes","Due - not paid yet","OK"))))))</f>
        <v>0</v>
      </c>
    </row>
    <row r="193" spans="1:26">
      <c r="A193" s="43">
        <f>IF(F193="","","TS-"&amp;TEXT(ROW()-4,"0000"))</f>
        <v>0</v>
      </c>
      <c r="C193" s="23">
        <f>IF(B193="","",TEXT(B193,"ddd"))</f>
        <v>0</v>
      </c>
      <c r="D193" s="31">
        <f>IF(B193="","",WEEKNUM(B193,IF(WeekStart="Sunday",1,2)))</f>
        <v>0</v>
      </c>
      <c r="E193" s="23">
        <f>IF(B193="","",TEXT(B193,"yyyy-mm"))</f>
        <v>0</v>
      </c>
      <c r="H193" s="23">
        <f>IF(G193="","",IFERROR(INDEX(Jobs!$H$5:$H$604,MATCH(G193,Jobs!$A$5:$A$604,0)),""))</f>
        <v>0</v>
      </c>
      <c r="T193" s="34">
        <f>IF(OR(J193="",K193=""),"",ROUND((K193-J193)*24-IF(L193="",0,L193)/60,2))</f>
        <v>0</v>
      </c>
      <c r="U193" s="34">
        <f>IF(F193="","",IF(M193&lt;&gt;"",M193,IF(T193="",0,T193)))</f>
        <v>0</v>
      </c>
      <c r="V193" s="21">
        <f>IF(F193="","",IFERROR(INDEX(Employees!$U$5:$U$44,MATCH(F193,Employees!$B$5:$B$44,0)),PayRate*(1+EmployerOncost)))</f>
        <v>0</v>
      </c>
      <c r="W193" s="34">
        <f>IF(F193="","",MAX(0,U193-IF(N193="",0,N193)))</f>
        <v>0</v>
      </c>
      <c r="X193" s="21">
        <f>IF(F193="","",ROUND(W193*V193+IF(N193="",0,N193)*V193*OvertimeRate,2))</f>
        <v>0</v>
      </c>
      <c r="Y193" s="21">
        <f>IF(F193="","",IF(P193&lt;&gt;"Yes",0,ROUND(U193*IF(IFERROR(INDEX(Clients!$O$5:$O$204,MATCH(IFERROR(INDEX(Jobs!$G$5:$G$604,MATCH(G193,Jobs!$A$5:$A$604,0)),""),Clients!$A$5:$A$204,0)),0)&gt;0,INDEX(Clients!$O$5:$O$204,MATCH(INDEX(Jobs!$G$5:$G$604,MATCH(G193,Jobs!$A$5:$A$604,0)),Clients!$A$5:$A$204,0)),HourlyRate),2)))</f>
        <v>0</v>
      </c>
      <c r="Z193" s="39">
        <f>IF(F193="","",IF(U193=0,"Add - no hours recorded",IF(O193="Absent - no show","Action - no show",IF(U193&gt;10,"Check - over ten hours in a day",IF(Q193&lt;&gt;"Yes","Due - needs approving",IF(R193&lt;&gt;"Yes","Due - not paid yet","OK"))))))</f>
        <v>0</v>
      </c>
    </row>
    <row r="194" spans="1:26">
      <c r="A194" s="43">
        <f>IF(F194="","","TS-"&amp;TEXT(ROW()-4,"0000"))</f>
        <v>0</v>
      </c>
      <c r="C194" s="23">
        <f>IF(B194="","",TEXT(B194,"ddd"))</f>
        <v>0</v>
      </c>
      <c r="D194" s="31">
        <f>IF(B194="","",WEEKNUM(B194,IF(WeekStart="Sunday",1,2)))</f>
        <v>0</v>
      </c>
      <c r="E194" s="23">
        <f>IF(B194="","",TEXT(B194,"yyyy-mm"))</f>
        <v>0</v>
      </c>
      <c r="H194" s="23">
        <f>IF(G194="","",IFERROR(INDEX(Jobs!$H$5:$H$604,MATCH(G194,Jobs!$A$5:$A$604,0)),""))</f>
        <v>0</v>
      </c>
      <c r="T194" s="34">
        <f>IF(OR(J194="",K194=""),"",ROUND((K194-J194)*24-IF(L194="",0,L194)/60,2))</f>
        <v>0</v>
      </c>
      <c r="U194" s="34">
        <f>IF(F194="","",IF(M194&lt;&gt;"",M194,IF(T194="",0,T194)))</f>
        <v>0</v>
      </c>
      <c r="V194" s="21">
        <f>IF(F194="","",IFERROR(INDEX(Employees!$U$5:$U$44,MATCH(F194,Employees!$B$5:$B$44,0)),PayRate*(1+EmployerOncost)))</f>
        <v>0</v>
      </c>
      <c r="W194" s="34">
        <f>IF(F194="","",MAX(0,U194-IF(N194="",0,N194)))</f>
        <v>0</v>
      </c>
      <c r="X194" s="21">
        <f>IF(F194="","",ROUND(W194*V194+IF(N194="",0,N194)*V194*OvertimeRate,2))</f>
        <v>0</v>
      </c>
      <c r="Y194" s="21">
        <f>IF(F194="","",IF(P194&lt;&gt;"Yes",0,ROUND(U194*IF(IFERROR(INDEX(Clients!$O$5:$O$204,MATCH(IFERROR(INDEX(Jobs!$G$5:$G$604,MATCH(G194,Jobs!$A$5:$A$604,0)),""),Clients!$A$5:$A$204,0)),0)&gt;0,INDEX(Clients!$O$5:$O$204,MATCH(INDEX(Jobs!$G$5:$G$604,MATCH(G194,Jobs!$A$5:$A$604,0)),Clients!$A$5:$A$204,0)),HourlyRate),2)))</f>
        <v>0</v>
      </c>
      <c r="Z194" s="39">
        <f>IF(F194="","",IF(U194=0,"Add - no hours recorded",IF(O194="Absent - no show","Action - no show",IF(U194&gt;10,"Check - over ten hours in a day",IF(Q194&lt;&gt;"Yes","Due - needs approving",IF(R194&lt;&gt;"Yes","Due - not paid yet","OK"))))))</f>
        <v>0</v>
      </c>
    </row>
    <row r="195" spans="1:26">
      <c r="A195" s="43">
        <f>IF(F195="","","TS-"&amp;TEXT(ROW()-4,"0000"))</f>
        <v>0</v>
      </c>
      <c r="C195" s="23">
        <f>IF(B195="","",TEXT(B195,"ddd"))</f>
        <v>0</v>
      </c>
      <c r="D195" s="31">
        <f>IF(B195="","",WEEKNUM(B195,IF(WeekStart="Sunday",1,2)))</f>
        <v>0</v>
      </c>
      <c r="E195" s="23">
        <f>IF(B195="","",TEXT(B195,"yyyy-mm"))</f>
        <v>0</v>
      </c>
      <c r="H195" s="23">
        <f>IF(G195="","",IFERROR(INDEX(Jobs!$H$5:$H$604,MATCH(G195,Jobs!$A$5:$A$604,0)),""))</f>
        <v>0</v>
      </c>
      <c r="T195" s="34">
        <f>IF(OR(J195="",K195=""),"",ROUND((K195-J195)*24-IF(L195="",0,L195)/60,2))</f>
        <v>0</v>
      </c>
      <c r="U195" s="34">
        <f>IF(F195="","",IF(M195&lt;&gt;"",M195,IF(T195="",0,T195)))</f>
        <v>0</v>
      </c>
      <c r="V195" s="21">
        <f>IF(F195="","",IFERROR(INDEX(Employees!$U$5:$U$44,MATCH(F195,Employees!$B$5:$B$44,0)),PayRate*(1+EmployerOncost)))</f>
        <v>0</v>
      </c>
      <c r="W195" s="34">
        <f>IF(F195="","",MAX(0,U195-IF(N195="",0,N195)))</f>
        <v>0</v>
      </c>
      <c r="X195" s="21">
        <f>IF(F195="","",ROUND(W195*V195+IF(N195="",0,N195)*V195*OvertimeRate,2))</f>
        <v>0</v>
      </c>
      <c r="Y195" s="21">
        <f>IF(F195="","",IF(P195&lt;&gt;"Yes",0,ROUND(U195*IF(IFERROR(INDEX(Clients!$O$5:$O$204,MATCH(IFERROR(INDEX(Jobs!$G$5:$G$604,MATCH(G195,Jobs!$A$5:$A$604,0)),""),Clients!$A$5:$A$204,0)),0)&gt;0,INDEX(Clients!$O$5:$O$204,MATCH(INDEX(Jobs!$G$5:$G$604,MATCH(G195,Jobs!$A$5:$A$604,0)),Clients!$A$5:$A$204,0)),HourlyRate),2)))</f>
        <v>0</v>
      </c>
      <c r="Z195" s="39">
        <f>IF(F195="","",IF(U195=0,"Add - no hours recorded",IF(O195="Absent - no show","Action - no show",IF(U195&gt;10,"Check - over ten hours in a day",IF(Q195&lt;&gt;"Yes","Due - needs approving",IF(R195&lt;&gt;"Yes","Due - not paid yet","OK"))))))</f>
        <v>0</v>
      </c>
    </row>
    <row r="196" spans="1:26">
      <c r="A196" s="43">
        <f>IF(F196="","","TS-"&amp;TEXT(ROW()-4,"0000"))</f>
        <v>0</v>
      </c>
      <c r="C196" s="23">
        <f>IF(B196="","",TEXT(B196,"ddd"))</f>
        <v>0</v>
      </c>
      <c r="D196" s="31">
        <f>IF(B196="","",WEEKNUM(B196,IF(WeekStart="Sunday",1,2)))</f>
        <v>0</v>
      </c>
      <c r="E196" s="23">
        <f>IF(B196="","",TEXT(B196,"yyyy-mm"))</f>
        <v>0</v>
      </c>
      <c r="H196" s="23">
        <f>IF(G196="","",IFERROR(INDEX(Jobs!$H$5:$H$604,MATCH(G196,Jobs!$A$5:$A$604,0)),""))</f>
        <v>0</v>
      </c>
      <c r="T196" s="34">
        <f>IF(OR(J196="",K196=""),"",ROUND((K196-J196)*24-IF(L196="",0,L196)/60,2))</f>
        <v>0</v>
      </c>
      <c r="U196" s="34">
        <f>IF(F196="","",IF(M196&lt;&gt;"",M196,IF(T196="",0,T196)))</f>
        <v>0</v>
      </c>
      <c r="V196" s="21">
        <f>IF(F196="","",IFERROR(INDEX(Employees!$U$5:$U$44,MATCH(F196,Employees!$B$5:$B$44,0)),PayRate*(1+EmployerOncost)))</f>
        <v>0</v>
      </c>
      <c r="W196" s="34">
        <f>IF(F196="","",MAX(0,U196-IF(N196="",0,N196)))</f>
        <v>0</v>
      </c>
      <c r="X196" s="21">
        <f>IF(F196="","",ROUND(W196*V196+IF(N196="",0,N196)*V196*OvertimeRate,2))</f>
        <v>0</v>
      </c>
      <c r="Y196" s="21">
        <f>IF(F196="","",IF(P196&lt;&gt;"Yes",0,ROUND(U196*IF(IFERROR(INDEX(Clients!$O$5:$O$204,MATCH(IFERROR(INDEX(Jobs!$G$5:$G$604,MATCH(G196,Jobs!$A$5:$A$604,0)),""),Clients!$A$5:$A$204,0)),0)&gt;0,INDEX(Clients!$O$5:$O$204,MATCH(INDEX(Jobs!$G$5:$G$604,MATCH(G196,Jobs!$A$5:$A$604,0)),Clients!$A$5:$A$204,0)),HourlyRate),2)))</f>
        <v>0</v>
      </c>
      <c r="Z196" s="39">
        <f>IF(F196="","",IF(U196=0,"Add - no hours recorded",IF(O196="Absent - no show","Action - no show",IF(U196&gt;10,"Check - over ten hours in a day",IF(Q196&lt;&gt;"Yes","Due - needs approving",IF(R196&lt;&gt;"Yes","Due - not paid yet","OK"))))))</f>
        <v>0</v>
      </c>
    </row>
    <row r="197" spans="1:26">
      <c r="A197" s="43">
        <f>IF(F197="","","TS-"&amp;TEXT(ROW()-4,"0000"))</f>
        <v>0</v>
      </c>
      <c r="C197" s="23">
        <f>IF(B197="","",TEXT(B197,"ddd"))</f>
        <v>0</v>
      </c>
      <c r="D197" s="31">
        <f>IF(B197="","",WEEKNUM(B197,IF(WeekStart="Sunday",1,2)))</f>
        <v>0</v>
      </c>
      <c r="E197" s="23">
        <f>IF(B197="","",TEXT(B197,"yyyy-mm"))</f>
        <v>0</v>
      </c>
      <c r="H197" s="23">
        <f>IF(G197="","",IFERROR(INDEX(Jobs!$H$5:$H$604,MATCH(G197,Jobs!$A$5:$A$604,0)),""))</f>
        <v>0</v>
      </c>
      <c r="T197" s="34">
        <f>IF(OR(J197="",K197=""),"",ROUND((K197-J197)*24-IF(L197="",0,L197)/60,2))</f>
        <v>0</v>
      </c>
      <c r="U197" s="34">
        <f>IF(F197="","",IF(M197&lt;&gt;"",M197,IF(T197="",0,T197)))</f>
        <v>0</v>
      </c>
      <c r="V197" s="21">
        <f>IF(F197="","",IFERROR(INDEX(Employees!$U$5:$U$44,MATCH(F197,Employees!$B$5:$B$44,0)),PayRate*(1+EmployerOncost)))</f>
        <v>0</v>
      </c>
      <c r="W197" s="34">
        <f>IF(F197="","",MAX(0,U197-IF(N197="",0,N197)))</f>
        <v>0</v>
      </c>
      <c r="X197" s="21">
        <f>IF(F197="","",ROUND(W197*V197+IF(N197="",0,N197)*V197*OvertimeRate,2))</f>
        <v>0</v>
      </c>
      <c r="Y197" s="21">
        <f>IF(F197="","",IF(P197&lt;&gt;"Yes",0,ROUND(U197*IF(IFERROR(INDEX(Clients!$O$5:$O$204,MATCH(IFERROR(INDEX(Jobs!$G$5:$G$604,MATCH(G197,Jobs!$A$5:$A$604,0)),""),Clients!$A$5:$A$204,0)),0)&gt;0,INDEX(Clients!$O$5:$O$204,MATCH(INDEX(Jobs!$G$5:$G$604,MATCH(G197,Jobs!$A$5:$A$604,0)),Clients!$A$5:$A$204,0)),HourlyRate),2)))</f>
        <v>0</v>
      </c>
      <c r="Z197" s="39">
        <f>IF(F197="","",IF(U197=0,"Add - no hours recorded",IF(O197="Absent - no show","Action - no show",IF(U197&gt;10,"Check - over ten hours in a day",IF(Q197&lt;&gt;"Yes","Due - needs approving",IF(R197&lt;&gt;"Yes","Due - not paid yet","OK"))))))</f>
        <v>0</v>
      </c>
    </row>
    <row r="198" spans="1:26">
      <c r="A198" s="43">
        <f>IF(F198="","","TS-"&amp;TEXT(ROW()-4,"0000"))</f>
        <v>0</v>
      </c>
      <c r="C198" s="23">
        <f>IF(B198="","",TEXT(B198,"ddd"))</f>
        <v>0</v>
      </c>
      <c r="D198" s="31">
        <f>IF(B198="","",WEEKNUM(B198,IF(WeekStart="Sunday",1,2)))</f>
        <v>0</v>
      </c>
      <c r="E198" s="23">
        <f>IF(B198="","",TEXT(B198,"yyyy-mm"))</f>
        <v>0</v>
      </c>
      <c r="H198" s="23">
        <f>IF(G198="","",IFERROR(INDEX(Jobs!$H$5:$H$604,MATCH(G198,Jobs!$A$5:$A$604,0)),""))</f>
        <v>0</v>
      </c>
      <c r="T198" s="34">
        <f>IF(OR(J198="",K198=""),"",ROUND((K198-J198)*24-IF(L198="",0,L198)/60,2))</f>
        <v>0</v>
      </c>
      <c r="U198" s="34">
        <f>IF(F198="","",IF(M198&lt;&gt;"",M198,IF(T198="",0,T198)))</f>
        <v>0</v>
      </c>
      <c r="V198" s="21">
        <f>IF(F198="","",IFERROR(INDEX(Employees!$U$5:$U$44,MATCH(F198,Employees!$B$5:$B$44,0)),PayRate*(1+EmployerOncost)))</f>
        <v>0</v>
      </c>
      <c r="W198" s="34">
        <f>IF(F198="","",MAX(0,U198-IF(N198="",0,N198)))</f>
        <v>0</v>
      </c>
      <c r="X198" s="21">
        <f>IF(F198="","",ROUND(W198*V198+IF(N198="",0,N198)*V198*OvertimeRate,2))</f>
        <v>0</v>
      </c>
      <c r="Y198" s="21">
        <f>IF(F198="","",IF(P198&lt;&gt;"Yes",0,ROUND(U198*IF(IFERROR(INDEX(Clients!$O$5:$O$204,MATCH(IFERROR(INDEX(Jobs!$G$5:$G$604,MATCH(G198,Jobs!$A$5:$A$604,0)),""),Clients!$A$5:$A$204,0)),0)&gt;0,INDEX(Clients!$O$5:$O$204,MATCH(INDEX(Jobs!$G$5:$G$604,MATCH(G198,Jobs!$A$5:$A$604,0)),Clients!$A$5:$A$204,0)),HourlyRate),2)))</f>
        <v>0</v>
      </c>
      <c r="Z198" s="39">
        <f>IF(F198="","",IF(U198=0,"Add - no hours recorded",IF(O198="Absent - no show","Action - no show",IF(U198&gt;10,"Check - over ten hours in a day",IF(Q198&lt;&gt;"Yes","Due - needs approving",IF(R198&lt;&gt;"Yes","Due - not paid yet","OK"))))))</f>
        <v>0</v>
      </c>
    </row>
    <row r="199" spans="1:26">
      <c r="A199" s="43">
        <f>IF(F199="","","TS-"&amp;TEXT(ROW()-4,"0000"))</f>
        <v>0</v>
      </c>
      <c r="C199" s="23">
        <f>IF(B199="","",TEXT(B199,"ddd"))</f>
        <v>0</v>
      </c>
      <c r="D199" s="31">
        <f>IF(B199="","",WEEKNUM(B199,IF(WeekStart="Sunday",1,2)))</f>
        <v>0</v>
      </c>
      <c r="E199" s="23">
        <f>IF(B199="","",TEXT(B199,"yyyy-mm"))</f>
        <v>0</v>
      </c>
      <c r="H199" s="23">
        <f>IF(G199="","",IFERROR(INDEX(Jobs!$H$5:$H$604,MATCH(G199,Jobs!$A$5:$A$604,0)),""))</f>
        <v>0</v>
      </c>
      <c r="T199" s="34">
        <f>IF(OR(J199="",K199=""),"",ROUND((K199-J199)*24-IF(L199="",0,L199)/60,2))</f>
        <v>0</v>
      </c>
      <c r="U199" s="34">
        <f>IF(F199="","",IF(M199&lt;&gt;"",M199,IF(T199="",0,T199)))</f>
        <v>0</v>
      </c>
      <c r="V199" s="21">
        <f>IF(F199="","",IFERROR(INDEX(Employees!$U$5:$U$44,MATCH(F199,Employees!$B$5:$B$44,0)),PayRate*(1+EmployerOncost)))</f>
        <v>0</v>
      </c>
      <c r="W199" s="34">
        <f>IF(F199="","",MAX(0,U199-IF(N199="",0,N199)))</f>
        <v>0</v>
      </c>
      <c r="X199" s="21">
        <f>IF(F199="","",ROUND(W199*V199+IF(N199="",0,N199)*V199*OvertimeRate,2))</f>
        <v>0</v>
      </c>
      <c r="Y199" s="21">
        <f>IF(F199="","",IF(P199&lt;&gt;"Yes",0,ROUND(U199*IF(IFERROR(INDEX(Clients!$O$5:$O$204,MATCH(IFERROR(INDEX(Jobs!$G$5:$G$604,MATCH(G199,Jobs!$A$5:$A$604,0)),""),Clients!$A$5:$A$204,0)),0)&gt;0,INDEX(Clients!$O$5:$O$204,MATCH(INDEX(Jobs!$G$5:$G$604,MATCH(G199,Jobs!$A$5:$A$604,0)),Clients!$A$5:$A$204,0)),HourlyRate),2)))</f>
        <v>0</v>
      </c>
      <c r="Z199" s="39">
        <f>IF(F199="","",IF(U199=0,"Add - no hours recorded",IF(O199="Absent - no show","Action - no show",IF(U199&gt;10,"Check - over ten hours in a day",IF(Q199&lt;&gt;"Yes","Due - needs approving",IF(R199&lt;&gt;"Yes","Due - not paid yet","OK"))))))</f>
        <v>0</v>
      </c>
    </row>
    <row r="200" spans="1:26">
      <c r="A200" s="43">
        <f>IF(F200="","","TS-"&amp;TEXT(ROW()-4,"0000"))</f>
        <v>0</v>
      </c>
      <c r="C200" s="23">
        <f>IF(B200="","",TEXT(B200,"ddd"))</f>
        <v>0</v>
      </c>
      <c r="D200" s="31">
        <f>IF(B200="","",WEEKNUM(B200,IF(WeekStart="Sunday",1,2)))</f>
        <v>0</v>
      </c>
      <c r="E200" s="23">
        <f>IF(B200="","",TEXT(B200,"yyyy-mm"))</f>
        <v>0</v>
      </c>
      <c r="H200" s="23">
        <f>IF(G200="","",IFERROR(INDEX(Jobs!$H$5:$H$604,MATCH(G200,Jobs!$A$5:$A$604,0)),""))</f>
        <v>0</v>
      </c>
      <c r="T200" s="34">
        <f>IF(OR(J200="",K200=""),"",ROUND((K200-J200)*24-IF(L200="",0,L200)/60,2))</f>
        <v>0</v>
      </c>
      <c r="U200" s="34">
        <f>IF(F200="","",IF(M200&lt;&gt;"",M200,IF(T200="",0,T200)))</f>
        <v>0</v>
      </c>
      <c r="V200" s="21">
        <f>IF(F200="","",IFERROR(INDEX(Employees!$U$5:$U$44,MATCH(F200,Employees!$B$5:$B$44,0)),PayRate*(1+EmployerOncost)))</f>
        <v>0</v>
      </c>
      <c r="W200" s="34">
        <f>IF(F200="","",MAX(0,U200-IF(N200="",0,N200)))</f>
        <v>0</v>
      </c>
      <c r="X200" s="21">
        <f>IF(F200="","",ROUND(W200*V200+IF(N200="",0,N200)*V200*OvertimeRate,2))</f>
        <v>0</v>
      </c>
      <c r="Y200" s="21">
        <f>IF(F200="","",IF(P200&lt;&gt;"Yes",0,ROUND(U200*IF(IFERROR(INDEX(Clients!$O$5:$O$204,MATCH(IFERROR(INDEX(Jobs!$G$5:$G$604,MATCH(G200,Jobs!$A$5:$A$604,0)),""),Clients!$A$5:$A$204,0)),0)&gt;0,INDEX(Clients!$O$5:$O$204,MATCH(INDEX(Jobs!$G$5:$G$604,MATCH(G200,Jobs!$A$5:$A$604,0)),Clients!$A$5:$A$204,0)),HourlyRate),2)))</f>
        <v>0</v>
      </c>
      <c r="Z200" s="39">
        <f>IF(F200="","",IF(U200=0,"Add - no hours recorded",IF(O200="Absent - no show","Action - no show",IF(U200&gt;10,"Check - over ten hours in a day",IF(Q200&lt;&gt;"Yes","Due - needs approving",IF(R200&lt;&gt;"Yes","Due - not paid yet","OK"))))))</f>
        <v>0</v>
      </c>
    </row>
    <row r="201" spans="1:26">
      <c r="A201" s="43">
        <f>IF(F201="","","TS-"&amp;TEXT(ROW()-4,"0000"))</f>
        <v>0</v>
      </c>
      <c r="C201" s="23">
        <f>IF(B201="","",TEXT(B201,"ddd"))</f>
        <v>0</v>
      </c>
      <c r="D201" s="31">
        <f>IF(B201="","",WEEKNUM(B201,IF(WeekStart="Sunday",1,2)))</f>
        <v>0</v>
      </c>
      <c r="E201" s="23">
        <f>IF(B201="","",TEXT(B201,"yyyy-mm"))</f>
        <v>0</v>
      </c>
      <c r="H201" s="23">
        <f>IF(G201="","",IFERROR(INDEX(Jobs!$H$5:$H$604,MATCH(G201,Jobs!$A$5:$A$604,0)),""))</f>
        <v>0</v>
      </c>
      <c r="T201" s="34">
        <f>IF(OR(J201="",K201=""),"",ROUND((K201-J201)*24-IF(L201="",0,L201)/60,2))</f>
        <v>0</v>
      </c>
      <c r="U201" s="34">
        <f>IF(F201="","",IF(M201&lt;&gt;"",M201,IF(T201="",0,T201)))</f>
        <v>0</v>
      </c>
      <c r="V201" s="21">
        <f>IF(F201="","",IFERROR(INDEX(Employees!$U$5:$U$44,MATCH(F201,Employees!$B$5:$B$44,0)),PayRate*(1+EmployerOncost)))</f>
        <v>0</v>
      </c>
      <c r="W201" s="34">
        <f>IF(F201="","",MAX(0,U201-IF(N201="",0,N201)))</f>
        <v>0</v>
      </c>
      <c r="X201" s="21">
        <f>IF(F201="","",ROUND(W201*V201+IF(N201="",0,N201)*V201*OvertimeRate,2))</f>
        <v>0</v>
      </c>
      <c r="Y201" s="21">
        <f>IF(F201="","",IF(P201&lt;&gt;"Yes",0,ROUND(U201*IF(IFERROR(INDEX(Clients!$O$5:$O$204,MATCH(IFERROR(INDEX(Jobs!$G$5:$G$604,MATCH(G201,Jobs!$A$5:$A$604,0)),""),Clients!$A$5:$A$204,0)),0)&gt;0,INDEX(Clients!$O$5:$O$204,MATCH(INDEX(Jobs!$G$5:$G$604,MATCH(G201,Jobs!$A$5:$A$604,0)),Clients!$A$5:$A$204,0)),HourlyRate),2)))</f>
        <v>0</v>
      </c>
      <c r="Z201" s="39">
        <f>IF(F201="","",IF(U201=0,"Add - no hours recorded",IF(O201="Absent - no show","Action - no show",IF(U201&gt;10,"Check - over ten hours in a day",IF(Q201&lt;&gt;"Yes","Due - needs approving",IF(R201&lt;&gt;"Yes","Due - not paid yet","OK"))))))</f>
        <v>0</v>
      </c>
    </row>
    <row r="202" spans="1:26">
      <c r="A202" s="43">
        <f>IF(F202="","","TS-"&amp;TEXT(ROW()-4,"0000"))</f>
        <v>0</v>
      </c>
      <c r="C202" s="23">
        <f>IF(B202="","",TEXT(B202,"ddd"))</f>
        <v>0</v>
      </c>
      <c r="D202" s="31">
        <f>IF(B202="","",WEEKNUM(B202,IF(WeekStart="Sunday",1,2)))</f>
        <v>0</v>
      </c>
      <c r="E202" s="23">
        <f>IF(B202="","",TEXT(B202,"yyyy-mm"))</f>
        <v>0</v>
      </c>
      <c r="H202" s="23">
        <f>IF(G202="","",IFERROR(INDEX(Jobs!$H$5:$H$604,MATCH(G202,Jobs!$A$5:$A$604,0)),""))</f>
        <v>0</v>
      </c>
      <c r="T202" s="34">
        <f>IF(OR(J202="",K202=""),"",ROUND((K202-J202)*24-IF(L202="",0,L202)/60,2))</f>
        <v>0</v>
      </c>
      <c r="U202" s="34">
        <f>IF(F202="","",IF(M202&lt;&gt;"",M202,IF(T202="",0,T202)))</f>
        <v>0</v>
      </c>
      <c r="V202" s="21">
        <f>IF(F202="","",IFERROR(INDEX(Employees!$U$5:$U$44,MATCH(F202,Employees!$B$5:$B$44,0)),PayRate*(1+EmployerOncost)))</f>
        <v>0</v>
      </c>
      <c r="W202" s="34">
        <f>IF(F202="","",MAX(0,U202-IF(N202="",0,N202)))</f>
        <v>0</v>
      </c>
      <c r="X202" s="21">
        <f>IF(F202="","",ROUND(W202*V202+IF(N202="",0,N202)*V202*OvertimeRate,2))</f>
        <v>0</v>
      </c>
      <c r="Y202" s="21">
        <f>IF(F202="","",IF(P202&lt;&gt;"Yes",0,ROUND(U202*IF(IFERROR(INDEX(Clients!$O$5:$O$204,MATCH(IFERROR(INDEX(Jobs!$G$5:$G$604,MATCH(G202,Jobs!$A$5:$A$604,0)),""),Clients!$A$5:$A$204,0)),0)&gt;0,INDEX(Clients!$O$5:$O$204,MATCH(INDEX(Jobs!$G$5:$G$604,MATCH(G202,Jobs!$A$5:$A$604,0)),Clients!$A$5:$A$204,0)),HourlyRate),2)))</f>
        <v>0</v>
      </c>
      <c r="Z202" s="39">
        <f>IF(F202="","",IF(U202=0,"Add - no hours recorded",IF(O202="Absent - no show","Action - no show",IF(U202&gt;10,"Check - over ten hours in a day",IF(Q202&lt;&gt;"Yes","Due - needs approving",IF(R202&lt;&gt;"Yes","Due - not paid yet","OK"))))))</f>
        <v>0</v>
      </c>
    </row>
    <row r="203" spans="1:26">
      <c r="A203" s="43">
        <f>IF(F203="","","TS-"&amp;TEXT(ROW()-4,"0000"))</f>
        <v>0</v>
      </c>
      <c r="C203" s="23">
        <f>IF(B203="","",TEXT(B203,"ddd"))</f>
        <v>0</v>
      </c>
      <c r="D203" s="31">
        <f>IF(B203="","",WEEKNUM(B203,IF(WeekStart="Sunday",1,2)))</f>
        <v>0</v>
      </c>
      <c r="E203" s="23">
        <f>IF(B203="","",TEXT(B203,"yyyy-mm"))</f>
        <v>0</v>
      </c>
      <c r="H203" s="23">
        <f>IF(G203="","",IFERROR(INDEX(Jobs!$H$5:$H$604,MATCH(G203,Jobs!$A$5:$A$604,0)),""))</f>
        <v>0</v>
      </c>
      <c r="T203" s="34">
        <f>IF(OR(J203="",K203=""),"",ROUND((K203-J203)*24-IF(L203="",0,L203)/60,2))</f>
        <v>0</v>
      </c>
      <c r="U203" s="34">
        <f>IF(F203="","",IF(M203&lt;&gt;"",M203,IF(T203="",0,T203)))</f>
        <v>0</v>
      </c>
      <c r="V203" s="21">
        <f>IF(F203="","",IFERROR(INDEX(Employees!$U$5:$U$44,MATCH(F203,Employees!$B$5:$B$44,0)),PayRate*(1+EmployerOncost)))</f>
        <v>0</v>
      </c>
      <c r="W203" s="34">
        <f>IF(F203="","",MAX(0,U203-IF(N203="",0,N203)))</f>
        <v>0</v>
      </c>
      <c r="X203" s="21">
        <f>IF(F203="","",ROUND(W203*V203+IF(N203="",0,N203)*V203*OvertimeRate,2))</f>
        <v>0</v>
      </c>
      <c r="Y203" s="21">
        <f>IF(F203="","",IF(P203&lt;&gt;"Yes",0,ROUND(U203*IF(IFERROR(INDEX(Clients!$O$5:$O$204,MATCH(IFERROR(INDEX(Jobs!$G$5:$G$604,MATCH(G203,Jobs!$A$5:$A$604,0)),""),Clients!$A$5:$A$204,0)),0)&gt;0,INDEX(Clients!$O$5:$O$204,MATCH(INDEX(Jobs!$G$5:$G$604,MATCH(G203,Jobs!$A$5:$A$604,0)),Clients!$A$5:$A$204,0)),HourlyRate),2)))</f>
        <v>0</v>
      </c>
      <c r="Z203" s="39">
        <f>IF(F203="","",IF(U203=0,"Add - no hours recorded",IF(O203="Absent - no show","Action - no show",IF(U203&gt;10,"Check - over ten hours in a day",IF(Q203&lt;&gt;"Yes","Due - needs approving",IF(R203&lt;&gt;"Yes","Due - not paid yet","OK"))))))</f>
        <v>0</v>
      </c>
    </row>
    <row r="204" spans="1:26">
      <c r="A204" s="43">
        <f>IF(F204="","","TS-"&amp;TEXT(ROW()-4,"0000"))</f>
        <v>0</v>
      </c>
      <c r="C204" s="23">
        <f>IF(B204="","",TEXT(B204,"ddd"))</f>
        <v>0</v>
      </c>
      <c r="D204" s="31">
        <f>IF(B204="","",WEEKNUM(B204,IF(WeekStart="Sunday",1,2)))</f>
        <v>0</v>
      </c>
      <c r="E204" s="23">
        <f>IF(B204="","",TEXT(B204,"yyyy-mm"))</f>
        <v>0</v>
      </c>
      <c r="H204" s="23">
        <f>IF(G204="","",IFERROR(INDEX(Jobs!$H$5:$H$604,MATCH(G204,Jobs!$A$5:$A$604,0)),""))</f>
        <v>0</v>
      </c>
      <c r="T204" s="34">
        <f>IF(OR(J204="",K204=""),"",ROUND((K204-J204)*24-IF(L204="",0,L204)/60,2))</f>
        <v>0</v>
      </c>
      <c r="U204" s="34">
        <f>IF(F204="","",IF(M204&lt;&gt;"",M204,IF(T204="",0,T204)))</f>
        <v>0</v>
      </c>
      <c r="V204" s="21">
        <f>IF(F204="","",IFERROR(INDEX(Employees!$U$5:$U$44,MATCH(F204,Employees!$B$5:$B$44,0)),PayRate*(1+EmployerOncost)))</f>
        <v>0</v>
      </c>
      <c r="W204" s="34">
        <f>IF(F204="","",MAX(0,U204-IF(N204="",0,N204)))</f>
        <v>0</v>
      </c>
      <c r="X204" s="21">
        <f>IF(F204="","",ROUND(W204*V204+IF(N204="",0,N204)*V204*OvertimeRate,2))</f>
        <v>0</v>
      </c>
      <c r="Y204" s="21">
        <f>IF(F204="","",IF(P204&lt;&gt;"Yes",0,ROUND(U204*IF(IFERROR(INDEX(Clients!$O$5:$O$204,MATCH(IFERROR(INDEX(Jobs!$G$5:$G$604,MATCH(G204,Jobs!$A$5:$A$604,0)),""),Clients!$A$5:$A$204,0)),0)&gt;0,INDEX(Clients!$O$5:$O$204,MATCH(INDEX(Jobs!$G$5:$G$604,MATCH(G204,Jobs!$A$5:$A$604,0)),Clients!$A$5:$A$204,0)),HourlyRate),2)))</f>
        <v>0</v>
      </c>
      <c r="Z204" s="39">
        <f>IF(F204="","",IF(U204=0,"Add - no hours recorded",IF(O204="Absent - no show","Action - no show",IF(U204&gt;10,"Check - over ten hours in a day",IF(Q204&lt;&gt;"Yes","Due - needs approving",IF(R204&lt;&gt;"Yes","Due - not paid yet","OK"))))))</f>
        <v>0</v>
      </c>
    </row>
    <row r="205" spans="1:26">
      <c r="A205" s="43">
        <f>IF(F205="","","TS-"&amp;TEXT(ROW()-4,"0000"))</f>
        <v>0</v>
      </c>
      <c r="C205" s="23">
        <f>IF(B205="","",TEXT(B205,"ddd"))</f>
        <v>0</v>
      </c>
      <c r="D205" s="31">
        <f>IF(B205="","",WEEKNUM(B205,IF(WeekStart="Sunday",1,2)))</f>
        <v>0</v>
      </c>
      <c r="E205" s="23">
        <f>IF(B205="","",TEXT(B205,"yyyy-mm"))</f>
        <v>0</v>
      </c>
      <c r="H205" s="23">
        <f>IF(G205="","",IFERROR(INDEX(Jobs!$H$5:$H$604,MATCH(G205,Jobs!$A$5:$A$604,0)),""))</f>
        <v>0</v>
      </c>
      <c r="T205" s="34">
        <f>IF(OR(J205="",K205=""),"",ROUND((K205-J205)*24-IF(L205="",0,L205)/60,2))</f>
        <v>0</v>
      </c>
      <c r="U205" s="34">
        <f>IF(F205="","",IF(M205&lt;&gt;"",M205,IF(T205="",0,T205)))</f>
        <v>0</v>
      </c>
      <c r="V205" s="21">
        <f>IF(F205="","",IFERROR(INDEX(Employees!$U$5:$U$44,MATCH(F205,Employees!$B$5:$B$44,0)),PayRate*(1+EmployerOncost)))</f>
        <v>0</v>
      </c>
      <c r="W205" s="34">
        <f>IF(F205="","",MAX(0,U205-IF(N205="",0,N205)))</f>
        <v>0</v>
      </c>
      <c r="X205" s="21">
        <f>IF(F205="","",ROUND(W205*V205+IF(N205="",0,N205)*V205*OvertimeRate,2))</f>
        <v>0</v>
      </c>
      <c r="Y205" s="21">
        <f>IF(F205="","",IF(P205&lt;&gt;"Yes",0,ROUND(U205*IF(IFERROR(INDEX(Clients!$O$5:$O$204,MATCH(IFERROR(INDEX(Jobs!$G$5:$G$604,MATCH(G205,Jobs!$A$5:$A$604,0)),""),Clients!$A$5:$A$204,0)),0)&gt;0,INDEX(Clients!$O$5:$O$204,MATCH(INDEX(Jobs!$G$5:$G$604,MATCH(G205,Jobs!$A$5:$A$604,0)),Clients!$A$5:$A$204,0)),HourlyRate),2)))</f>
        <v>0</v>
      </c>
      <c r="Z205" s="39">
        <f>IF(F205="","",IF(U205=0,"Add - no hours recorded",IF(O205="Absent - no show","Action - no show",IF(U205&gt;10,"Check - over ten hours in a day",IF(Q205&lt;&gt;"Yes","Due - needs approving",IF(R205&lt;&gt;"Yes","Due - not paid yet","OK"))))))</f>
        <v>0</v>
      </c>
    </row>
    <row r="206" spans="1:26">
      <c r="A206" s="43">
        <f>IF(F206="","","TS-"&amp;TEXT(ROW()-4,"0000"))</f>
        <v>0</v>
      </c>
      <c r="C206" s="23">
        <f>IF(B206="","",TEXT(B206,"ddd"))</f>
        <v>0</v>
      </c>
      <c r="D206" s="31">
        <f>IF(B206="","",WEEKNUM(B206,IF(WeekStart="Sunday",1,2)))</f>
        <v>0</v>
      </c>
      <c r="E206" s="23">
        <f>IF(B206="","",TEXT(B206,"yyyy-mm"))</f>
        <v>0</v>
      </c>
      <c r="H206" s="23">
        <f>IF(G206="","",IFERROR(INDEX(Jobs!$H$5:$H$604,MATCH(G206,Jobs!$A$5:$A$604,0)),""))</f>
        <v>0</v>
      </c>
      <c r="T206" s="34">
        <f>IF(OR(J206="",K206=""),"",ROUND((K206-J206)*24-IF(L206="",0,L206)/60,2))</f>
        <v>0</v>
      </c>
      <c r="U206" s="34">
        <f>IF(F206="","",IF(M206&lt;&gt;"",M206,IF(T206="",0,T206)))</f>
        <v>0</v>
      </c>
      <c r="V206" s="21">
        <f>IF(F206="","",IFERROR(INDEX(Employees!$U$5:$U$44,MATCH(F206,Employees!$B$5:$B$44,0)),PayRate*(1+EmployerOncost)))</f>
        <v>0</v>
      </c>
      <c r="W206" s="34">
        <f>IF(F206="","",MAX(0,U206-IF(N206="",0,N206)))</f>
        <v>0</v>
      </c>
      <c r="X206" s="21">
        <f>IF(F206="","",ROUND(W206*V206+IF(N206="",0,N206)*V206*OvertimeRate,2))</f>
        <v>0</v>
      </c>
      <c r="Y206" s="21">
        <f>IF(F206="","",IF(P206&lt;&gt;"Yes",0,ROUND(U206*IF(IFERROR(INDEX(Clients!$O$5:$O$204,MATCH(IFERROR(INDEX(Jobs!$G$5:$G$604,MATCH(G206,Jobs!$A$5:$A$604,0)),""),Clients!$A$5:$A$204,0)),0)&gt;0,INDEX(Clients!$O$5:$O$204,MATCH(INDEX(Jobs!$G$5:$G$604,MATCH(G206,Jobs!$A$5:$A$604,0)),Clients!$A$5:$A$204,0)),HourlyRate),2)))</f>
        <v>0</v>
      </c>
      <c r="Z206" s="39">
        <f>IF(F206="","",IF(U206=0,"Add - no hours recorded",IF(O206="Absent - no show","Action - no show",IF(U206&gt;10,"Check - over ten hours in a day",IF(Q206&lt;&gt;"Yes","Due - needs approving",IF(R206&lt;&gt;"Yes","Due - not paid yet","OK"))))))</f>
        <v>0</v>
      </c>
    </row>
    <row r="207" spans="1:26">
      <c r="A207" s="43">
        <f>IF(F207="","","TS-"&amp;TEXT(ROW()-4,"0000"))</f>
        <v>0</v>
      </c>
      <c r="C207" s="23">
        <f>IF(B207="","",TEXT(B207,"ddd"))</f>
        <v>0</v>
      </c>
      <c r="D207" s="31">
        <f>IF(B207="","",WEEKNUM(B207,IF(WeekStart="Sunday",1,2)))</f>
        <v>0</v>
      </c>
      <c r="E207" s="23">
        <f>IF(B207="","",TEXT(B207,"yyyy-mm"))</f>
        <v>0</v>
      </c>
      <c r="H207" s="23">
        <f>IF(G207="","",IFERROR(INDEX(Jobs!$H$5:$H$604,MATCH(G207,Jobs!$A$5:$A$604,0)),""))</f>
        <v>0</v>
      </c>
      <c r="T207" s="34">
        <f>IF(OR(J207="",K207=""),"",ROUND((K207-J207)*24-IF(L207="",0,L207)/60,2))</f>
        <v>0</v>
      </c>
      <c r="U207" s="34">
        <f>IF(F207="","",IF(M207&lt;&gt;"",M207,IF(T207="",0,T207)))</f>
        <v>0</v>
      </c>
      <c r="V207" s="21">
        <f>IF(F207="","",IFERROR(INDEX(Employees!$U$5:$U$44,MATCH(F207,Employees!$B$5:$B$44,0)),PayRate*(1+EmployerOncost)))</f>
        <v>0</v>
      </c>
      <c r="W207" s="34">
        <f>IF(F207="","",MAX(0,U207-IF(N207="",0,N207)))</f>
        <v>0</v>
      </c>
      <c r="X207" s="21">
        <f>IF(F207="","",ROUND(W207*V207+IF(N207="",0,N207)*V207*OvertimeRate,2))</f>
        <v>0</v>
      </c>
      <c r="Y207" s="21">
        <f>IF(F207="","",IF(P207&lt;&gt;"Yes",0,ROUND(U207*IF(IFERROR(INDEX(Clients!$O$5:$O$204,MATCH(IFERROR(INDEX(Jobs!$G$5:$G$604,MATCH(G207,Jobs!$A$5:$A$604,0)),""),Clients!$A$5:$A$204,0)),0)&gt;0,INDEX(Clients!$O$5:$O$204,MATCH(INDEX(Jobs!$G$5:$G$604,MATCH(G207,Jobs!$A$5:$A$604,0)),Clients!$A$5:$A$204,0)),HourlyRate),2)))</f>
        <v>0</v>
      </c>
      <c r="Z207" s="39">
        <f>IF(F207="","",IF(U207=0,"Add - no hours recorded",IF(O207="Absent - no show","Action - no show",IF(U207&gt;10,"Check - over ten hours in a day",IF(Q207&lt;&gt;"Yes","Due - needs approving",IF(R207&lt;&gt;"Yes","Due - not paid yet","OK"))))))</f>
        <v>0</v>
      </c>
    </row>
    <row r="208" spans="1:26">
      <c r="A208" s="43">
        <f>IF(F208="","","TS-"&amp;TEXT(ROW()-4,"0000"))</f>
        <v>0</v>
      </c>
      <c r="C208" s="23">
        <f>IF(B208="","",TEXT(B208,"ddd"))</f>
        <v>0</v>
      </c>
      <c r="D208" s="31">
        <f>IF(B208="","",WEEKNUM(B208,IF(WeekStart="Sunday",1,2)))</f>
        <v>0</v>
      </c>
      <c r="E208" s="23">
        <f>IF(B208="","",TEXT(B208,"yyyy-mm"))</f>
        <v>0</v>
      </c>
      <c r="H208" s="23">
        <f>IF(G208="","",IFERROR(INDEX(Jobs!$H$5:$H$604,MATCH(G208,Jobs!$A$5:$A$604,0)),""))</f>
        <v>0</v>
      </c>
      <c r="T208" s="34">
        <f>IF(OR(J208="",K208=""),"",ROUND((K208-J208)*24-IF(L208="",0,L208)/60,2))</f>
        <v>0</v>
      </c>
      <c r="U208" s="34">
        <f>IF(F208="","",IF(M208&lt;&gt;"",M208,IF(T208="",0,T208)))</f>
        <v>0</v>
      </c>
      <c r="V208" s="21">
        <f>IF(F208="","",IFERROR(INDEX(Employees!$U$5:$U$44,MATCH(F208,Employees!$B$5:$B$44,0)),PayRate*(1+EmployerOncost)))</f>
        <v>0</v>
      </c>
      <c r="W208" s="34">
        <f>IF(F208="","",MAX(0,U208-IF(N208="",0,N208)))</f>
        <v>0</v>
      </c>
      <c r="X208" s="21">
        <f>IF(F208="","",ROUND(W208*V208+IF(N208="",0,N208)*V208*OvertimeRate,2))</f>
        <v>0</v>
      </c>
      <c r="Y208" s="21">
        <f>IF(F208="","",IF(P208&lt;&gt;"Yes",0,ROUND(U208*IF(IFERROR(INDEX(Clients!$O$5:$O$204,MATCH(IFERROR(INDEX(Jobs!$G$5:$G$604,MATCH(G208,Jobs!$A$5:$A$604,0)),""),Clients!$A$5:$A$204,0)),0)&gt;0,INDEX(Clients!$O$5:$O$204,MATCH(INDEX(Jobs!$G$5:$G$604,MATCH(G208,Jobs!$A$5:$A$604,0)),Clients!$A$5:$A$204,0)),HourlyRate),2)))</f>
        <v>0</v>
      </c>
      <c r="Z208" s="39">
        <f>IF(F208="","",IF(U208=0,"Add - no hours recorded",IF(O208="Absent - no show","Action - no show",IF(U208&gt;10,"Check - over ten hours in a day",IF(Q208&lt;&gt;"Yes","Due - needs approving",IF(R208&lt;&gt;"Yes","Due - not paid yet","OK"))))))</f>
        <v>0</v>
      </c>
    </row>
    <row r="209" spans="1:26">
      <c r="A209" s="43">
        <f>IF(F209="","","TS-"&amp;TEXT(ROW()-4,"0000"))</f>
        <v>0</v>
      </c>
      <c r="C209" s="23">
        <f>IF(B209="","",TEXT(B209,"ddd"))</f>
        <v>0</v>
      </c>
      <c r="D209" s="31">
        <f>IF(B209="","",WEEKNUM(B209,IF(WeekStart="Sunday",1,2)))</f>
        <v>0</v>
      </c>
      <c r="E209" s="23">
        <f>IF(B209="","",TEXT(B209,"yyyy-mm"))</f>
        <v>0</v>
      </c>
      <c r="H209" s="23">
        <f>IF(G209="","",IFERROR(INDEX(Jobs!$H$5:$H$604,MATCH(G209,Jobs!$A$5:$A$604,0)),""))</f>
        <v>0</v>
      </c>
      <c r="T209" s="34">
        <f>IF(OR(J209="",K209=""),"",ROUND((K209-J209)*24-IF(L209="",0,L209)/60,2))</f>
        <v>0</v>
      </c>
      <c r="U209" s="34">
        <f>IF(F209="","",IF(M209&lt;&gt;"",M209,IF(T209="",0,T209)))</f>
        <v>0</v>
      </c>
      <c r="V209" s="21">
        <f>IF(F209="","",IFERROR(INDEX(Employees!$U$5:$U$44,MATCH(F209,Employees!$B$5:$B$44,0)),PayRate*(1+EmployerOncost)))</f>
        <v>0</v>
      </c>
      <c r="W209" s="34">
        <f>IF(F209="","",MAX(0,U209-IF(N209="",0,N209)))</f>
        <v>0</v>
      </c>
      <c r="X209" s="21">
        <f>IF(F209="","",ROUND(W209*V209+IF(N209="",0,N209)*V209*OvertimeRate,2))</f>
        <v>0</v>
      </c>
      <c r="Y209" s="21">
        <f>IF(F209="","",IF(P209&lt;&gt;"Yes",0,ROUND(U209*IF(IFERROR(INDEX(Clients!$O$5:$O$204,MATCH(IFERROR(INDEX(Jobs!$G$5:$G$604,MATCH(G209,Jobs!$A$5:$A$604,0)),""),Clients!$A$5:$A$204,0)),0)&gt;0,INDEX(Clients!$O$5:$O$204,MATCH(INDEX(Jobs!$G$5:$G$604,MATCH(G209,Jobs!$A$5:$A$604,0)),Clients!$A$5:$A$204,0)),HourlyRate),2)))</f>
        <v>0</v>
      </c>
      <c r="Z209" s="39">
        <f>IF(F209="","",IF(U209=0,"Add - no hours recorded",IF(O209="Absent - no show","Action - no show",IF(U209&gt;10,"Check - over ten hours in a day",IF(Q209&lt;&gt;"Yes","Due - needs approving",IF(R209&lt;&gt;"Yes","Due - not paid yet","OK"))))))</f>
        <v>0</v>
      </c>
    </row>
    <row r="210" spans="1:26">
      <c r="A210" s="43">
        <f>IF(F210="","","TS-"&amp;TEXT(ROW()-4,"0000"))</f>
        <v>0</v>
      </c>
      <c r="C210" s="23">
        <f>IF(B210="","",TEXT(B210,"ddd"))</f>
        <v>0</v>
      </c>
      <c r="D210" s="31">
        <f>IF(B210="","",WEEKNUM(B210,IF(WeekStart="Sunday",1,2)))</f>
        <v>0</v>
      </c>
      <c r="E210" s="23">
        <f>IF(B210="","",TEXT(B210,"yyyy-mm"))</f>
        <v>0</v>
      </c>
      <c r="H210" s="23">
        <f>IF(G210="","",IFERROR(INDEX(Jobs!$H$5:$H$604,MATCH(G210,Jobs!$A$5:$A$604,0)),""))</f>
        <v>0</v>
      </c>
      <c r="T210" s="34">
        <f>IF(OR(J210="",K210=""),"",ROUND((K210-J210)*24-IF(L210="",0,L210)/60,2))</f>
        <v>0</v>
      </c>
      <c r="U210" s="34">
        <f>IF(F210="","",IF(M210&lt;&gt;"",M210,IF(T210="",0,T210)))</f>
        <v>0</v>
      </c>
      <c r="V210" s="21">
        <f>IF(F210="","",IFERROR(INDEX(Employees!$U$5:$U$44,MATCH(F210,Employees!$B$5:$B$44,0)),PayRate*(1+EmployerOncost)))</f>
        <v>0</v>
      </c>
      <c r="W210" s="34">
        <f>IF(F210="","",MAX(0,U210-IF(N210="",0,N210)))</f>
        <v>0</v>
      </c>
      <c r="X210" s="21">
        <f>IF(F210="","",ROUND(W210*V210+IF(N210="",0,N210)*V210*OvertimeRate,2))</f>
        <v>0</v>
      </c>
      <c r="Y210" s="21">
        <f>IF(F210="","",IF(P210&lt;&gt;"Yes",0,ROUND(U210*IF(IFERROR(INDEX(Clients!$O$5:$O$204,MATCH(IFERROR(INDEX(Jobs!$G$5:$G$604,MATCH(G210,Jobs!$A$5:$A$604,0)),""),Clients!$A$5:$A$204,0)),0)&gt;0,INDEX(Clients!$O$5:$O$204,MATCH(INDEX(Jobs!$G$5:$G$604,MATCH(G210,Jobs!$A$5:$A$604,0)),Clients!$A$5:$A$204,0)),HourlyRate),2)))</f>
        <v>0</v>
      </c>
      <c r="Z210" s="39">
        <f>IF(F210="","",IF(U210=0,"Add - no hours recorded",IF(O210="Absent - no show","Action - no show",IF(U210&gt;10,"Check - over ten hours in a day",IF(Q210&lt;&gt;"Yes","Due - needs approving",IF(R210&lt;&gt;"Yes","Due - not paid yet","OK"))))))</f>
        <v>0</v>
      </c>
    </row>
    <row r="211" spans="1:26">
      <c r="A211" s="43">
        <f>IF(F211="","","TS-"&amp;TEXT(ROW()-4,"0000"))</f>
        <v>0</v>
      </c>
      <c r="C211" s="23">
        <f>IF(B211="","",TEXT(B211,"ddd"))</f>
        <v>0</v>
      </c>
      <c r="D211" s="31">
        <f>IF(B211="","",WEEKNUM(B211,IF(WeekStart="Sunday",1,2)))</f>
        <v>0</v>
      </c>
      <c r="E211" s="23">
        <f>IF(B211="","",TEXT(B211,"yyyy-mm"))</f>
        <v>0</v>
      </c>
      <c r="H211" s="23">
        <f>IF(G211="","",IFERROR(INDEX(Jobs!$H$5:$H$604,MATCH(G211,Jobs!$A$5:$A$604,0)),""))</f>
        <v>0</v>
      </c>
      <c r="T211" s="34">
        <f>IF(OR(J211="",K211=""),"",ROUND((K211-J211)*24-IF(L211="",0,L211)/60,2))</f>
        <v>0</v>
      </c>
      <c r="U211" s="34">
        <f>IF(F211="","",IF(M211&lt;&gt;"",M211,IF(T211="",0,T211)))</f>
        <v>0</v>
      </c>
      <c r="V211" s="21">
        <f>IF(F211="","",IFERROR(INDEX(Employees!$U$5:$U$44,MATCH(F211,Employees!$B$5:$B$44,0)),PayRate*(1+EmployerOncost)))</f>
        <v>0</v>
      </c>
      <c r="W211" s="34">
        <f>IF(F211="","",MAX(0,U211-IF(N211="",0,N211)))</f>
        <v>0</v>
      </c>
      <c r="X211" s="21">
        <f>IF(F211="","",ROUND(W211*V211+IF(N211="",0,N211)*V211*OvertimeRate,2))</f>
        <v>0</v>
      </c>
      <c r="Y211" s="21">
        <f>IF(F211="","",IF(P211&lt;&gt;"Yes",0,ROUND(U211*IF(IFERROR(INDEX(Clients!$O$5:$O$204,MATCH(IFERROR(INDEX(Jobs!$G$5:$G$604,MATCH(G211,Jobs!$A$5:$A$604,0)),""),Clients!$A$5:$A$204,0)),0)&gt;0,INDEX(Clients!$O$5:$O$204,MATCH(INDEX(Jobs!$G$5:$G$604,MATCH(G211,Jobs!$A$5:$A$604,0)),Clients!$A$5:$A$204,0)),HourlyRate),2)))</f>
        <v>0</v>
      </c>
      <c r="Z211" s="39">
        <f>IF(F211="","",IF(U211=0,"Add - no hours recorded",IF(O211="Absent - no show","Action - no show",IF(U211&gt;10,"Check - over ten hours in a day",IF(Q211&lt;&gt;"Yes","Due - needs approving",IF(R211&lt;&gt;"Yes","Due - not paid yet","OK"))))))</f>
        <v>0</v>
      </c>
    </row>
    <row r="212" spans="1:26">
      <c r="A212" s="43">
        <f>IF(F212="","","TS-"&amp;TEXT(ROW()-4,"0000"))</f>
        <v>0</v>
      </c>
      <c r="C212" s="23">
        <f>IF(B212="","",TEXT(B212,"ddd"))</f>
        <v>0</v>
      </c>
      <c r="D212" s="31">
        <f>IF(B212="","",WEEKNUM(B212,IF(WeekStart="Sunday",1,2)))</f>
        <v>0</v>
      </c>
      <c r="E212" s="23">
        <f>IF(B212="","",TEXT(B212,"yyyy-mm"))</f>
        <v>0</v>
      </c>
      <c r="H212" s="23">
        <f>IF(G212="","",IFERROR(INDEX(Jobs!$H$5:$H$604,MATCH(G212,Jobs!$A$5:$A$604,0)),""))</f>
        <v>0</v>
      </c>
      <c r="T212" s="34">
        <f>IF(OR(J212="",K212=""),"",ROUND((K212-J212)*24-IF(L212="",0,L212)/60,2))</f>
        <v>0</v>
      </c>
      <c r="U212" s="34">
        <f>IF(F212="","",IF(M212&lt;&gt;"",M212,IF(T212="",0,T212)))</f>
        <v>0</v>
      </c>
      <c r="V212" s="21">
        <f>IF(F212="","",IFERROR(INDEX(Employees!$U$5:$U$44,MATCH(F212,Employees!$B$5:$B$44,0)),PayRate*(1+EmployerOncost)))</f>
        <v>0</v>
      </c>
      <c r="W212" s="34">
        <f>IF(F212="","",MAX(0,U212-IF(N212="",0,N212)))</f>
        <v>0</v>
      </c>
      <c r="X212" s="21">
        <f>IF(F212="","",ROUND(W212*V212+IF(N212="",0,N212)*V212*OvertimeRate,2))</f>
        <v>0</v>
      </c>
      <c r="Y212" s="21">
        <f>IF(F212="","",IF(P212&lt;&gt;"Yes",0,ROUND(U212*IF(IFERROR(INDEX(Clients!$O$5:$O$204,MATCH(IFERROR(INDEX(Jobs!$G$5:$G$604,MATCH(G212,Jobs!$A$5:$A$604,0)),""),Clients!$A$5:$A$204,0)),0)&gt;0,INDEX(Clients!$O$5:$O$204,MATCH(INDEX(Jobs!$G$5:$G$604,MATCH(G212,Jobs!$A$5:$A$604,0)),Clients!$A$5:$A$204,0)),HourlyRate),2)))</f>
        <v>0</v>
      </c>
      <c r="Z212" s="39">
        <f>IF(F212="","",IF(U212=0,"Add - no hours recorded",IF(O212="Absent - no show","Action - no show",IF(U212&gt;10,"Check - over ten hours in a day",IF(Q212&lt;&gt;"Yes","Due - needs approving",IF(R212&lt;&gt;"Yes","Due - not paid yet","OK"))))))</f>
        <v>0</v>
      </c>
    </row>
    <row r="213" spans="1:26">
      <c r="A213" s="43">
        <f>IF(F213="","","TS-"&amp;TEXT(ROW()-4,"0000"))</f>
        <v>0</v>
      </c>
      <c r="C213" s="23">
        <f>IF(B213="","",TEXT(B213,"ddd"))</f>
        <v>0</v>
      </c>
      <c r="D213" s="31">
        <f>IF(B213="","",WEEKNUM(B213,IF(WeekStart="Sunday",1,2)))</f>
        <v>0</v>
      </c>
      <c r="E213" s="23">
        <f>IF(B213="","",TEXT(B213,"yyyy-mm"))</f>
        <v>0</v>
      </c>
      <c r="H213" s="23">
        <f>IF(G213="","",IFERROR(INDEX(Jobs!$H$5:$H$604,MATCH(G213,Jobs!$A$5:$A$604,0)),""))</f>
        <v>0</v>
      </c>
      <c r="T213" s="34">
        <f>IF(OR(J213="",K213=""),"",ROUND((K213-J213)*24-IF(L213="",0,L213)/60,2))</f>
        <v>0</v>
      </c>
      <c r="U213" s="34">
        <f>IF(F213="","",IF(M213&lt;&gt;"",M213,IF(T213="",0,T213)))</f>
        <v>0</v>
      </c>
      <c r="V213" s="21">
        <f>IF(F213="","",IFERROR(INDEX(Employees!$U$5:$U$44,MATCH(F213,Employees!$B$5:$B$44,0)),PayRate*(1+EmployerOncost)))</f>
        <v>0</v>
      </c>
      <c r="W213" s="34">
        <f>IF(F213="","",MAX(0,U213-IF(N213="",0,N213)))</f>
        <v>0</v>
      </c>
      <c r="X213" s="21">
        <f>IF(F213="","",ROUND(W213*V213+IF(N213="",0,N213)*V213*OvertimeRate,2))</f>
        <v>0</v>
      </c>
      <c r="Y213" s="21">
        <f>IF(F213="","",IF(P213&lt;&gt;"Yes",0,ROUND(U213*IF(IFERROR(INDEX(Clients!$O$5:$O$204,MATCH(IFERROR(INDEX(Jobs!$G$5:$G$604,MATCH(G213,Jobs!$A$5:$A$604,0)),""),Clients!$A$5:$A$204,0)),0)&gt;0,INDEX(Clients!$O$5:$O$204,MATCH(INDEX(Jobs!$G$5:$G$604,MATCH(G213,Jobs!$A$5:$A$604,0)),Clients!$A$5:$A$204,0)),HourlyRate),2)))</f>
        <v>0</v>
      </c>
      <c r="Z213" s="39">
        <f>IF(F213="","",IF(U213=0,"Add - no hours recorded",IF(O213="Absent - no show","Action - no show",IF(U213&gt;10,"Check - over ten hours in a day",IF(Q213&lt;&gt;"Yes","Due - needs approving",IF(R213&lt;&gt;"Yes","Due - not paid yet","OK"))))))</f>
        <v>0</v>
      </c>
    </row>
    <row r="214" spans="1:26">
      <c r="A214" s="43">
        <f>IF(F214="","","TS-"&amp;TEXT(ROW()-4,"0000"))</f>
        <v>0</v>
      </c>
      <c r="C214" s="23">
        <f>IF(B214="","",TEXT(B214,"ddd"))</f>
        <v>0</v>
      </c>
      <c r="D214" s="31">
        <f>IF(B214="","",WEEKNUM(B214,IF(WeekStart="Sunday",1,2)))</f>
        <v>0</v>
      </c>
      <c r="E214" s="23">
        <f>IF(B214="","",TEXT(B214,"yyyy-mm"))</f>
        <v>0</v>
      </c>
      <c r="H214" s="23">
        <f>IF(G214="","",IFERROR(INDEX(Jobs!$H$5:$H$604,MATCH(G214,Jobs!$A$5:$A$604,0)),""))</f>
        <v>0</v>
      </c>
      <c r="T214" s="34">
        <f>IF(OR(J214="",K214=""),"",ROUND((K214-J214)*24-IF(L214="",0,L214)/60,2))</f>
        <v>0</v>
      </c>
      <c r="U214" s="34">
        <f>IF(F214="","",IF(M214&lt;&gt;"",M214,IF(T214="",0,T214)))</f>
        <v>0</v>
      </c>
      <c r="V214" s="21">
        <f>IF(F214="","",IFERROR(INDEX(Employees!$U$5:$U$44,MATCH(F214,Employees!$B$5:$B$44,0)),PayRate*(1+EmployerOncost)))</f>
        <v>0</v>
      </c>
      <c r="W214" s="34">
        <f>IF(F214="","",MAX(0,U214-IF(N214="",0,N214)))</f>
        <v>0</v>
      </c>
      <c r="X214" s="21">
        <f>IF(F214="","",ROUND(W214*V214+IF(N214="",0,N214)*V214*OvertimeRate,2))</f>
        <v>0</v>
      </c>
      <c r="Y214" s="21">
        <f>IF(F214="","",IF(P214&lt;&gt;"Yes",0,ROUND(U214*IF(IFERROR(INDEX(Clients!$O$5:$O$204,MATCH(IFERROR(INDEX(Jobs!$G$5:$G$604,MATCH(G214,Jobs!$A$5:$A$604,0)),""),Clients!$A$5:$A$204,0)),0)&gt;0,INDEX(Clients!$O$5:$O$204,MATCH(INDEX(Jobs!$G$5:$G$604,MATCH(G214,Jobs!$A$5:$A$604,0)),Clients!$A$5:$A$204,0)),HourlyRate),2)))</f>
        <v>0</v>
      </c>
      <c r="Z214" s="39">
        <f>IF(F214="","",IF(U214=0,"Add - no hours recorded",IF(O214="Absent - no show","Action - no show",IF(U214&gt;10,"Check - over ten hours in a day",IF(Q214&lt;&gt;"Yes","Due - needs approving",IF(R214&lt;&gt;"Yes","Due - not paid yet","OK"))))))</f>
        <v>0</v>
      </c>
    </row>
    <row r="215" spans="1:26">
      <c r="A215" s="43">
        <f>IF(F215="","","TS-"&amp;TEXT(ROW()-4,"0000"))</f>
        <v>0</v>
      </c>
      <c r="C215" s="23">
        <f>IF(B215="","",TEXT(B215,"ddd"))</f>
        <v>0</v>
      </c>
      <c r="D215" s="31">
        <f>IF(B215="","",WEEKNUM(B215,IF(WeekStart="Sunday",1,2)))</f>
        <v>0</v>
      </c>
      <c r="E215" s="23">
        <f>IF(B215="","",TEXT(B215,"yyyy-mm"))</f>
        <v>0</v>
      </c>
      <c r="H215" s="23">
        <f>IF(G215="","",IFERROR(INDEX(Jobs!$H$5:$H$604,MATCH(G215,Jobs!$A$5:$A$604,0)),""))</f>
        <v>0</v>
      </c>
      <c r="T215" s="34">
        <f>IF(OR(J215="",K215=""),"",ROUND((K215-J215)*24-IF(L215="",0,L215)/60,2))</f>
        <v>0</v>
      </c>
      <c r="U215" s="34">
        <f>IF(F215="","",IF(M215&lt;&gt;"",M215,IF(T215="",0,T215)))</f>
        <v>0</v>
      </c>
      <c r="V215" s="21">
        <f>IF(F215="","",IFERROR(INDEX(Employees!$U$5:$U$44,MATCH(F215,Employees!$B$5:$B$44,0)),PayRate*(1+EmployerOncost)))</f>
        <v>0</v>
      </c>
      <c r="W215" s="34">
        <f>IF(F215="","",MAX(0,U215-IF(N215="",0,N215)))</f>
        <v>0</v>
      </c>
      <c r="X215" s="21">
        <f>IF(F215="","",ROUND(W215*V215+IF(N215="",0,N215)*V215*OvertimeRate,2))</f>
        <v>0</v>
      </c>
      <c r="Y215" s="21">
        <f>IF(F215="","",IF(P215&lt;&gt;"Yes",0,ROUND(U215*IF(IFERROR(INDEX(Clients!$O$5:$O$204,MATCH(IFERROR(INDEX(Jobs!$G$5:$G$604,MATCH(G215,Jobs!$A$5:$A$604,0)),""),Clients!$A$5:$A$204,0)),0)&gt;0,INDEX(Clients!$O$5:$O$204,MATCH(INDEX(Jobs!$G$5:$G$604,MATCH(G215,Jobs!$A$5:$A$604,0)),Clients!$A$5:$A$204,0)),HourlyRate),2)))</f>
        <v>0</v>
      </c>
      <c r="Z215" s="39">
        <f>IF(F215="","",IF(U215=0,"Add - no hours recorded",IF(O215="Absent - no show","Action - no show",IF(U215&gt;10,"Check - over ten hours in a day",IF(Q215&lt;&gt;"Yes","Due - needs approving",IF(R215&lt;&gt;"Yes","Due - not paid yet","OK"))))))</f>
        <v>0</v>
      </c>
    </row>
    <row r="216" spans="1:26">
      <c r="A216" s="43">
        <f>IF(F216="","","TS-"&amp;TEXT(ROW()-4,"0000"))</f>
        <v>0</v>
      </c>
      <c r="C216" s="23">
        <f>IF(B216="","",TEXT(B216,"ddd"))</f>
        <v>0</v>
      </c>
      <c r="D216" s="31">
        <f>IF(B216="","",WEEKNUM(B216,IF(WeekStart="Sunday",1,2)))</f>
        <v>0</v>
      </c>
      <c r="E216" s="23">
        <f>IF(B216="","",TEXT(B216,"yyyy-mm"))</f>
        <v>0</v>
      </c>
      <c r="H216" s="23">
        <f>IF(G216="","",IFERROR(INDEX(Jobs!$H$5:$H$604,MATCH(G216,Jobs!$A$5:$A$604,0)),""))</f>
        <v>0</v>
      </c>
      <c r="T216" s="34">
        <f>IF(OR(J216="",K216=""),"",ROUND((K216-J216)*24-IF(L216="",0,L216)/60,2))</f>
        <v>0</v>
      </c>
      <c r="U216" s="34">
        <f>IF(F216="","",IF(M216&lt;&gt;"",M216,IF(T216="",0,T216)))</f>
        <v>0</v>
      </c>
      <c r="V216" s="21">
        <f>IF(F216="","",IFERROR(INDEX(Employees!$U$5:$U$44,MATCH(F216,Employees!$B$5:$B$44,0)),PayRate*(1+EmployerOncost)))</f>
        <v>0</v>
      </c>
      <c r="W216" s="34">
        <f>IF(F216="","",MAX(0,U216-IF(N216="",0,N216)))</f>
        <v>0</v>
      </c>
      <c r="X216" s="21">
        <f>IF(F216="","",ROUND(W216*V216+IF(N216="",0,N216)*V216*OvertimeRate,2))</f>
        <v>0</v>
      </c>
      <c r="Y216" s="21">
        <f>IF(F216="","",IF(P216&lt;&gt;"Yes",0,ROUND(U216*IF(IFERROR(INDEX(Clients!$O$5:$O$204,MATCH(IFERROR(INDEX(Jobs!$G$5:$G$604,MATCH(G216,Jobs!$A$5:$A$604,0)),""),Clients!$A$5:$A$204,0)),0)&gt;0,INDEX(Clients!$O$5:$O$204,MATCH(INDEX(Jobs!$G$5:$G$604,MATCH(G216,Jobs!$A$5:$A$604,0)),Clients!$A$5:$A$204,0)),HourlyRate),2)))</f>
        <v>0</v>
      </c>
      <c r="Z216" s="39">
        <f>IF(F216="","",IF(U216=0,"Add - no hours recorded",IF(O216="Absent - no show","Action - no show",IF(U216&gt;10,"Check - over ten hours in a day",IF(Q216&lt;&gt;"Yes","Due - needs approving",IF(R216&lt;&gt;"Yes","Due - not paid yet","OK"))))))</f>
        <v>0</v>
      </c>
    </row>
    <row r="217" spans="1:26">
      <c r="A217" s="43">
        <f>IF(F217="","","TS-"&amp;TEXT(ROW()-4,"0000"))</f>
        <v>0</v>
      </c>
      <c r="C217" s="23">
        <f>IF(B217="","",TEXT(B217,"ddd"))</f>
        <v>0</v>
      </c>
      <c r="D217" s="31">
        <f>IF(B217="","",WEEKNUM(B217,IF(WeekStart="Sunday",1,2)))</f>
        <v>0</v>
      </c>
      <c r="E217" s="23">
        <f>IF(B217="","",TEXT(B217,"yyyy-mm"))</f>
        <v>0</v>
      </c>
      <c r="H217" s="23">
        <f>IF(G217="","",IFERROR(INDEX(Jobs!$H$5:$H$604,MATCH(G217,Jobs!$A$5:$A$604,0)),""))</f>
        <v>0</v>
      </c>
      <c r="T217" s="34">
        <f>IF(OR(J217="",K217=""),"",ROUND((K217-J217)*24-IF(L217="",0,L217)/60,2))</f>
        <v>0</v>
      </c>
      <c r="U217" s="34">
        <f>IF(F217="","",IF(M217&lt;&gt;"",M217,IF(T217="",0,T217)))</f>
        <v>0</v>
      </c>
      <c r="V217" s="21">
        <f>IF(F217="","",IFERROR(INDEX(Employees!$U$5:$U$44,MATCH(F217,Employees!$B$5:$B$44,0)),PayRate*(1+EmployerOncost)))</f>
        <v>0</v>
      </c>
      <c r="W217" s="34">
        <f>IF(F217="","",MAX(0,U217-IF(N217="",0,N217)))</f>
        <v>0</v>
      </c>
      <c r="X217" s="21">
        <f>IF(F217="","",ROUND(W217*V217+IF(N217="",0,N217)*V217*OvertimeRate,2))</f>
        <v>0</v>
      </c>
      <c r="Y217" s="21">
        <f>IF(F217="","",IF(P217&lt;&gt;"Yes",0,ROUND(U217*IF(IFERROR(INDEX(Clients!$O$5:$O$204,MATCH(IFERROR(INDEX(Jobs!$G$5:$G$604,MATCH(G217,Jobs!$A$5:$A$604,0)),""),Clients!$A$5:$A$204,0)),0)&gt;0,INDEX(Clients!$O$5:$O$204,MATCH(INDEX(Jobs!$G$5:$G$604,MATCH(G217,Jobs!$A$5:$A$604,0)),Clients!$A$5:$A$204,0)),HourlyRate),2)))</f>
        <v>0</v>
      </c>
      <c r="Z217" s="39">
        <f>IF(F217="","",IF(U217=0,"Add - no hours recorded",IF(O217="Absent - no show","Action - no show",IF(U217&gt;10,"Check - over ten hours in a day",IF(Q217&lt;&gt;"Yes","Due - needs approving",IF(R217&lt;&gt;"Yes","Due - not paid yet","OK"))))))</f>
        <v>0</v>
      </c>
    </row>
    <row r="218" spans="1:26">
      <c r="A218" s="43">
        <f>IF(F218="","","TS-"&amp;TEXT(ROW()-4,"0000"))</f>
        <v>0</v>
      </c>
      <c r="C218" s="23">
        <f>IF(B218="","",TEXT(B218,"ddd"))</f>
        <v>0</v>
      </c>
      <c r="D218" s="31">
        <f>IF(B218="","",WEEKNUM(B218,IF(WeekStart="Sunday",1,2)))</f>
        <v>0</v>
      </c>
      <c r="E218" s="23">
        <f>IF(B218="","",TEXT(B218,"yyyy-mm"))</f>
        <v>0</v>
      </c>
      <c r="H218" s="23">
        <f>IF(G218="","",IFERROR(INDEX(Jobs!$H$5:$H$604,MATCH(G218,Jobs!$A$5:$A$604,0)),""))</f>
        <v>0</v>
      </c>
      <c r="T218" s="34">
        <f>IF(OR(J218="",K218=""),"",ROUND((K218-J218)*24-IF(L218="",0,L218)/60,2))</f>
        <v>0</v>
      </c>
      <c r="U218" s="34">
        <f>IF(F218="","",IF(M218&lt;&gt;"",M218,IF(T218="",0,T218)))</f>
        <v>0</v>
      </c>
      <c r="V218" s="21">
        <f>IF(F218="","",IFERROR(INDEX(Employees!$U$5:$U$44,MATCH(F218,Employees!$B$5:$B$44,0)),PayRate*(1+EmployerOncost)))</f>
        <v>0</v>
      </c>
      <c r="W218" s="34">
        <f>IF(F218="","",MAX(0,U218-IF(N218="",0,N218)))</f>
        <v>0</v>
      </c>
      <c r="X218" s="21">
        <f>IF(F218="","",ROUND(W218*V218+IF(N218="",0,N218)*V218*OvertimeRate,2))</f>
        <v>0</v>
      </c>
      <c r="Y218" s="21">
        <f>IF(F218="","",IF(P218&lt;&gt;"Yes",0,ROUND(U218*IF(IFERROR(INDEX(Clients!$O$5:$O$204,MATCH(IFERROR(INDEX(Jobs!$G$5:$G$604,MATCH(G218,Jobs!$A$5:$A$604,0)),""),Clients!$A$5:$A$204,0)),0)&gt;0,INDEX(Clients!$O$5:$O$204,MATCH(INDEX(Jobs!$G$5:$G$604,MATCH(G218,Jobs!$A$5:$A$604,0)),Clients!$A$5:$A$204,0)),HourlyRate),2)))</f>
        <v>0</v>
      </c>
      <c r="Z218" s="39">
        <f>IF(F218="","",IF(U218=0,"Add - no hours recorded",IF(O218="Absent - no show","Action - no show",IF(U218&gt;10,"Check - over ten hours in a day",IF(Q218&lt;&gt;"Yes","Due - needs approving",IF(R218&lt;&gt;"Yes","Due - not paid yet","OK"))))))</f>
        <v>0</v>
      </c>
    </row>
    <row r="219" spans="1:26">
      <c r="A219" s="43">
        <f>IF(F219="","","TS-"&amp;TEXT(ROW()-4,"0000"))</f>
        <v>0</v>
      </c>
      <c r="C219" s="23">
        <f>IF(B219="","",TEXT(B219,"ddd"))</f>
        <v>0</v>
      </c>
      <c r="D219" s="31">
        <f>IF(B219="","",WEEKNUM(B219,IF(WeekStart="Sunday",1,2)))</f>
        <v>0</v>
      </c>
      <c r="E219" s="23">
        <f>IF(B219="","",TEXT(B219,"yyyy-mm"))</f>
        <v>0</v>
      </c>
      <c r="H219" s="23">
        <f>IF(G219="","",IFERROR(INDEX(Jobs!$H$5:$H$604,MATCH(G219,Jobs!$A$5:$A$604,0)),""))</f>
        <v>0</v>
      </c>
      <c r="T219" s="34">
        <f>IF(OR(J219="",K219=""),"",ROUND((K219-J219)*24-IF(L219="",0,L219)/60,2))</f>
        <v>0</v>
      </c>
      <c r="U219" s="34">
        <f>IF(F219="","",IF(M219&lt;&gt;"",M219,IF(T219="",0,T219)))</f>
        <v>0</v>
      </c>
      <c r="V219" s="21">
        <f>IF(F219="","",IFERROR(INDEX(Employees!$U$5:$U$44,MATCH(F219,Employees!$B$5:$B$44,0)),PayRate*(1+EmployerOncost)))</f>
        <v>0</v>
      </c>
      <c r="W219" s="34">
        <f>IF(F219="","",MAX(0,U219-IF(N219="",0,N219)))</f>
        <v>0</v>
      </c>
      <c r="X219" s="21">
        <f>IF(F219="","",ROUND(W219*V219+IF(N219="",0,N219)*V219*OvertimeRate,2))</f>
        <v>0</v>
      </c>
      <c r="Y219" s="21">
        <f>IF(F219="","",IF(P219&lt;&gt;"Yes",0,ROUND(U219*IF(IFERROR(INDEX(Clients!$O$5:$O$204,MATCH(IFERROR(INDEX(Jobs!$G$5:$G$604,MATCH(G219,Jobs!$A$5:$A$604,0)),""),Clients!$A$5:$A$204,0)),0)&gt;0,INDEX(Clients!$O$5:$O$204,MATCH(INDEX(Jobs!$G$5:$G$604,MATCH(G219,Jobs!$A$5:$A$604,0)),Clients!$A$5:$A$204,0)),HourlyRate),2)))</f>
        <v>0</v>
      </c>
      <c r="Z219" s="39">
        <f>IF(F219="","",IF(U219=0,"Add - no hours recorded",IF(O219="Absent - no show","Action - no show",IF(U219&gt;10,"Check - over ten hours in a day",IF(Q219&lt;&gt;"Yes","Due - needs approving",IF(R219&lt;&gt;"Yes","Due - not paid yet","OK"))))))</f>
        <v>0</v>
      </c>
    </row>
    <row r="220" spans="1:26">
      <c r="A220" s="43">
        <f>IF(F220="","","TS-"&amp;TEXT(ROW()-4,"0000"))</f>
        <v>0</v>
      </c>
      <c r="C220" s="23">
        <f>IF(B220="","",TEXT(B220,"ddd"))</f>
        <v>0</v>
      </c>
      <c r="D220" s="31">
        <f>IF(B220="","",WEEKNUM(B220,IF(WeekStart="Sunday",1,2)))</f>
        <v>0</v>
      </c>
      <c r="E220" s="23">
        <f>IF(B220="","",TEXT(B220,"yyyy-mm"))</f>
        <v>0</v>
      </c>
      <c r="H220" s="23">
        <f>IF(G220="","",IFERROR(INDEX(Jobs!$H$5:$H$604,MATCH(G220,Jobs!$A$5:$A$604,0)),""))</f>
        <v>0</v>
      </c>
      <c r="T220" s="34">
        <f>IF(OR(J220="",K220=""),"",ROUND((K220-J220)*24-IF(L220="",0,L220)/60,2))</f>
        <v>0</v>
      </c>
      <c r="U220" s="34">
        <f>IF(F220="","",IF(M220&lt;&gt;"",M220,IF(T220="",0,T220)))</f>
        <v>0</v>
      </c>
      <c r="V220" s="21">
        <f>IF(F220="","",IFERROR(INDEX(Employees!$U$5:$U$44,MATCH(F220,Employees!$B$5:$B$44,0)),PayRate*(1+EmployerOncost)))</f>
        <v>0</v>
      </c>
      <c r="W220" s="34">
        <f>IF(F220="","",MAX(0,U220-IF(N220="",0,N220)))</f>
        <v>0</v>
      </c>
      <c r="X220" s="21">
        <f>IF(F220="","",ROUND(W220*V220+IF(N220="",0,N220)*V220*OvertimeRate,2))</f>
        <v>0</v>
      </c>
      <c r="Y220" s="21">
        <f>IF(F220="","",IF(P220&lt;&gt;"Yes",0,ROUND(U220*IF(IFERROR(INDEX(Clients!$O$5:$O$204,MATCH(IFERROR(INDEX(Jobs!$G$5:$G$604,MATCH(G220,Jobs!$A$5:$A$604,0)),""),Clients!$A$5:$A$204,0)),0)&gt;0,INDEX(Clients!$O$5:$O$204,MATCH(INDEX(Jobs!$G$5:$G$604,MATCH(G220,Jobs!$A$5:$A$604,0)),Clients!$A$5:$A$204,0)),HourlyRate),2)))</f>
        <v>0</v>
      </c>
      <c r="Z220" s="39">
        <f>IF(F220="","",IF(U220=0,"Add - no hours recorded",IF(O220="Absent - no show","Action - no show",IF(U220&gt;10,"Check - over ten hours in a day",IF(Q220&lt;&gt;"Yes","Due - needs approving",IF(R220&lt;&gt;"Yes","Due - not paid yet","OK"))))))</f>
        <v>0</v>
      </c>
    </row>
    <row r="221" spans="1:26">
      <c r="A221" s="43">
        <f>IF(F221="","","TS-"&amp;TEXT(ROW()-4,"0000"))</f>
        <v>0</v>
      </c>
      <c r="C221" s="23">
        <f>IF(B221="","",TEXT(B221,"ddd"))</f>
        <v>0</v>
      </c>
      <c r="D221" s="31">
        <f>IF(B221="","",WEEKNUM(B221,IF(WeekStart="Sunday",1,2)))</f>
        <v>0</v>
      </c>
      <c r="E221" s="23">
        <f>IF(B221="","",TEXT(B221,"yyyy-mm"))</f>
        <v>0</v>
      </c>
      <c r="H221" s="23">
        <f>IF(G221="","",IFERROR(INDEX(Jobs!$H$5:$H$604,MATCH(G221,Jobs!$A$5:$A$604,0)),""))</f>
        <v>0</v>
      </c>
      <c r="T221" s="34">
        <f>IF(OR(J221="",K221=""),"",ROUND((K221-J221)*24-IF(L221="",0,L221)/60,2))</f>
        <v>0</v>
      </c>
      <c r="U221" s="34">
        <f>IF(F221="","",IF(M221&lt;&gt;"",M221,IF(T221="",0,T221)))</f>
        <v>0</v>
      </c>
      <c r="V221" s="21">
        <f>IF(F221="","",IFERROR(INDEX(Employees!$U$5:$U$44,MATCH(F221,Employees!$B$5:$B$44,0)),PayRate*(1+EmployerOncost)))</f>
        <v>0</v>
      </c>
      <c r="W221" s="34">
        <f>IF(F221="","",MAX(0,U221-IF(N221="",0,N221)))</f>
        <v>0</v>
      </c>
      <c r="X221" s="21">
        <f>IF(F221="","",ROUND(W221*V221+IF(N221="",0,N221)*V221*OvertimeRate,2))</f>
        <v>0</v>
      </c>
      <c r="Y221" s="21">
        <f>IF(F221="","",IF(P221&lt;&gt;"Yes",0,ROUND(U221*IF(IFERROR(INDEX(Clients!$O$5:$O$204,MATCH(IFERROR(INDEX(Jobs!$G$5:$G$604,MATCH(G221,Jobs!$A$5:$A$604,0)),""),Clients!$A$5:$A$204,0)),0)&gt;0,INDEX(Clients!$O$5:$O$204,MATCH(INDEX(Jobs!$G$5:$G$604,MATCH(G221,Jobs!$A$5:$A$604,0)),Clients!$A$5:$A$204,0)),HourlyRate),2)))</f>
        <v>0</v>
      </c>
      <c r="Z221" s="39">
        <f>IF(F221="","",IF(U221=0,"Add - no hours recorded",IF(O221="Absent - no show","Action - no show",IF(U221&gt;10,"Check - over ten hours in a day",IF(Q221&lt;&gt;"Yes","Due - needs approving",IF(R221&lt;&gt;"Yes","Due - not paid yet","OK"))))))</f>
        <v>0</v>
      </c>
    </row>
    <row r="222" spans="1:26">
      <c r="A222" s="43">
        <f>IF(F222="","","TS-"&amp;TEXT(ROW()-4,"0000"))</f>
        <v>0</v>
      </c>
      <c r="C222" s="23">
        <f>IF(B222="","",TEXT(B222,"ddd"))</f>
        <v>0</v>
      </c>
      <c r="D222" s="31">
        <f>IF(B222="","",WEEKNUM(B222,IF(WeekStart="Sunday",1,2)))</f>
        <v>0</v>
      </c>
      <c r="E222" s="23">
        <f>IF(B222="","",TEXT(B222,"yyyy-mm"))</f>
        <v>0</v>
      </c>
      <c r="H222" s="23">
        <f>IF(G222="","",IFERROR(INDEX(Jobs!$H$5:$H$604,MATCH(G222,Jobs!$A$5:$A$604,0)),""))</f>
        <v>0</v>
      </c>
      <c r="T222" s="34">
        <f>IF(OR(J222="",K222=""),"",ROUND((K222-J222)*24-IF(L222="",0,L222)/60,2))</f>
        <v>0</v>
      </c>
      <c r="U222" s="34">
        <f>IF(F222="","",IF(M222&lt;&gt;"",M222,IF(T222="",0,T222)))</f>
        <v>0</v>
      </c>
      <c r="V222" s="21">
        <f>IF(F222="","",IFERROR(INDEX(Employees!$U$5:$U$44,MATCH(F222,Employees!$B$5:$B$44,0)),PayRate*(1+EmployerOncost)))</f>
        <v>0</v>
      </c>
      <c r="W222" s="34">
        <f>IF(F222="","",MAX(0,U222-IF(N222="",0,N222)))</f>
        <v>0</v>
      </c>
      <c r="X222" s="21">
        <f>IF(F222="","",ROUND(W222*V222+IF(N222="",0,N222)*V222*OvertimeRate,2))</f>
        <v>0</v>
      </c>
      <c r="Y222" s="21">
        <f>IF(F222="","",IF(P222&lt;&gt;"Yes",0,ROUND(U222*IF(IFERROR(INDEX(Clients!$O$5:$O$204,MATCH(IFERROR(INDEX(Jobs!$G$5:$G$604,MATCH(G222,Jobs!$A$5:$A$604,0)),""),Clients!$A$5:$A$204,0)),0)&gt;0,INDEX(Clients!$O$5:$O$204,MATCH(INDEX(Jobs!$G$5:$G$604,MATCH(G222,Jobs!$A$5:$A$604,0)),Clients!$A$5:$A$204,0)),HourlyRate),2)))</f>
        <v>0</v>
      </c>
      <c r="Z222" s="39">
        <f>IF(F222="","",IF(U222=0,"Add - no hours recorded",IF(O222="Absent - no show","Action - no show",IF(U222&gt;10,"Check - over ten hours in a day",IF(Q222&lt;&gt;"Yes","Due - needs approving",IF(R222&lt;&gt;"Yes","Due - not paid yet","OK"))))))</f>
        <v>0</v>
      </c>
    </row>
    <row r="223" spans="1:26">
      <c r="A223" s="43">
        <f>IF(F223="","","TS-"&amp;TEXT(ROW()-4,"0000"))</f>
        <v>0</v>
      </c>
      <c r="C223" s="23">
        <f>IF(B223="","",TEXT(B223,"ddd"))</f>
        <v>0</v>
      </c>
      <c r="D223" s="31">
        <f>IF(B223="","",WEEKNUM(B223,IF(WeekStart="Sunday",1,2)))</f>
        <v>0</v>
      </c>
      <c r="E223" s="23">
        <f>IF(B223="","",TEXT(B223,"yyyy-mm"))</f>
        <v>0</v>
      </c>
      <c r="H223" s="23">
        <f>IF(G223="","",IFERROR(INDEX(Jobs!$H$5:$H$604,MATCH(G223,Jobs!$A$5:$A$604,0)),""))</f>
        <v>0</v>
      </c>
      <c r="T223" s="34">
        <f>IF(OR(J223="",K223=""),"",ROUND((K223-J223)*24-IF(L223="",0,L223)/60,2))</f>
        <v>0</v>
      </c>
      <c r="U223" s="34">
        <f>IF(F223="","",IF(M223&lt;&gt;"",M223,IF(T223="",0,T223)))</f>
        <v>0</v>
      </c>
      <c r="V223" s="21">
        <f>IF(F223="","",IFERROR(INDEX(Employees!$U$5:$U$44,MATCH(F223,Employees!$B$5:$B$44,0)),PayRate*(1+EmployerOncost)))</f>
        <v>0</v>
      </c>
      <c r="W223" s="34">
        <f>IF(F223="","",MAX(0,U223-IF(N223="",0,N223)))</f>
        <v>0</v>
      </c>
      <c r="X223" s="21">
        <f>IF(F223="","",ROUND(W223*V223+IF(N223="",0,N223)*V223*OvertimeRate,2))</f>
        <v>0</v>
      </c>
      <c r="Y223" s="21">
        <f>IF(F223="","",IF(P223&lt;&gt;"Yes",0,ROUND(U223*IF(IFERROR(INDEX(Clients!$O$5:$O$204,MATCH(IFERROR(INDEX(Jobs!$G$5:$G$604,MATCH(G223,Jobs!$A$5:$A$604,0)),""),Clients!$A$5:$A$204,0)),0)&gt;0,INDEX(Clients!$O$5:$O$204,MATCH(INDEX(Jobs!$G$5:$G$604,MATCH(G223,Jobs!$A$5:$A$604,0)),Clients!$A$5:$A$204,0)),HourlyRate),2)))</f>
        <v>0</v>
      </c>
      <c r="Z223" s="39">
        <f>IF(F223="","",IF(U223=0,"Add - no hours recorded",IF(O223="Absent - no show","Action - no show",IF(U223&gt;10,"Check - over ten hours in a day",IF(Q223&lt;&gt;"Yes","Due - needs approving",IF(R223&lt;&gt;"Yes","Due - not paid yet","OK"))))))</f>
        <v>0</v>
      </c>
    </row>
    <row r="224" spans="1:26">
      <c r="A224" s="43">
        <f>IF(F224="","","TS-"&amp;TEXT(ROW()-4,"0000"))</f>
        <v>0</v>
      </c>
      <c r="C224" s="23">
        <f>IF(B224="","",TEXT(B224,"ddd"))</f>
        <v>0</v>
      </c>
      <c r="D224" s="31">
        <f>IF(B224="","",WEEKNUM(B224,IF(WeekStart="Sunday",1,2)))</f>
        <v>0</v>
      </c>
      <c r="E224" s="23">
        <f>IF(B224="","",TEXT(B224,"yyyy-mm"))</f>
        <v>0</v>
      </c>
      <c r="H224" s="23">
        <f>IF(G224="","",IFERROR(INDEX(Jobs!$H$5:$H$604,MATCH(G224,Jobs!$A$5:$A$604,0)),""))</f>
        <v>0</v>
      </c>
      <c r="T224" s="34">
        <f>IF(OR(J224="",K224=""),"",ROUND((K224-J224)*24-IF(L224="",0,L224)/60,2))</f>
        <v>0</v>
      </c>
      <c r="U224" s="34">
        <f>IF(F224="","",IF(M224&lt;&gt;"",M224,IF(T224="",0,T224)))</f>
        <v>0</v>
      </c>
      <c r="V224" s="21">
        <f>IF(F224="","",IFERROR(INDEX(Employees!$U$5:$U$44,MATCH(F224,Employees!$B$5:$B$44,0)),PayRate*(1+EmployerOncost)))</f>
        <v>0</v>
      </c>
      <c r="W224" s="34">
        <f>IF(F224="","",MAX(0,U224-IF(N224="",0,N224)))</f>
        <v>0</v>
      </c>
      <c r="X224" s="21">
        <f>IF(F224="","",ROUND(W224*V224+IF(N224="",0,N224)*V224*OvertimeRate,2))</f>
        <v>0</v>
      </c>
      <c r="Y224" s="21">
        <f>IF(F224="","",IF(P224&lt;&gt;"Yes",0,ROUND(U224*IF(IFERROR(INDEX(Clients!$O$5:$O$204,MATCH(IFERROR(INDEX(Jobs!$G$5:$G$604,MATCH(G224,Jobs!$A$5:$A$604,0)),""),Clients!$A$5:$A$204,0)),0)&gt;0,INDEX(Clients!$O$5:$O$204,MATCH(INDEX(Jobs!$G$5:$G$604,MATCH(G224,Jobs!$A$5:$A$604,0)),Clients!$A$5:$A$204,0)),HourlyRate),2)))</f>
        <v>0</v>
      </c>
      <c r="Z224" s="39">
        <f>IF(F224="","",IF(U224=0,"Add - no hours recorded",IF(O224="Absent - no show","Action - no show",IF(U224&gt;10,"Check - over ten hours in a day",IF(Q224&lt;&gt;"Yes","Due - needs approving",IF(R224&lt;&gt;"Yes","Due - not paid yet","OK"))))))</f>
        <v>0</v>
      </c>
    </row>
    <row r="225" spans="1:26">
      <c r="A225" s="43">
        <f>IF(F225="","","TS-"&amp;TEXT(ROW()-4,"0000"))</f>
        <v>0</v>
      </c>
      <c r="C225" s="23">
        <f>IF(B225="","",TEXT(B225,"ddd"))</f>
        <v>0</v>
      </c>
      <c r="D225" s="31">
        <f>IF(B225="","",WEEKNUM(B225,IF(WeekStart="Sunday",1,2)))</f>
        <v>0</v>
      </c>
      <c r="E225" s="23">
        <f>IF(B225="","",TEXT(B225,"yyyy-mm"))</f>
        <v>0</v>
      </c>
      <c r="H225" s="23">
        <f>IF(G225="","",IFERROR(INDEX(Jobs!$H$5:$H$604,MATCH(G225,Jobs!$A$5:$A$604,0)),""))</f>
        <v>0</v>
      </c>
      <c r="T225" s="34">
        <f>IF(OR(J225="",K225=""),"",ROUND((K225-J225)*24-IF(L225="",0,L225)/60,2))</f>
        <v>0</v>
      </c>
      <c r="U225" s="34">
        <f>IF(F225="","",IF(M225&lt;&gt;"",M225,IF(T225="",0,T225)))</f>
        <v>0</v>
      </c>
      <c r="V225" s="21">
        <f>IF(F225="","",IFERROR(INDEX(Employees!$U$5:$U$44,MATCH(F225,Employees!$B$5:$B$44,0)),PayRate*(1+EmployerOncost)))</f>
        <v>0</v>
      </c>
      <c r="W225" s="34">
        <f>IF(F225="","",MAX(0,U225-IF(N225="",0,N225)))</f>
        <v>0</v>
      </c>
      <c r="X225" s="21">
        <f>IF(F225="","",ROUND(W225*V225+IF(N225="",0,N225)*V225*OvertimeRate,2))</f>
        <v>0</v>
      </c>
      <c r="Y225" s="21">
        <f>IF(F225="","",IF(P225&lt;&gt;"Yes",0,ROUND(U225*IF(IFERROR(INDEX(Clients!$O$5:$O$204,MATCH(IFERROR(INDEX(Jobs!$G$5:$G$604,MATCH(G225,Jobs!$A$5:$A$604,0)),""),Clients!$A$5:$A$204,0)),0)&gt;0,INDEX(Clients!$O$5:$O$204,MATCH(INDEX(Jobs!$G$5:$G$604,MATCH(G225,Jobs!$A$5:$A$604,0)),Clients!$A$5:$A$204,0)),HourlyRate),2)))</f>
        <v>0</v>
      </c>
      <c r="Z225" s="39">
        <f>IF(F225="","",IF(U225=0,"Add - no hours recorded",IF(O225="Absent - no show","Action - no show",IF(U225&gt;10,"Check - over ten hours in a day",IF(Q225&lt;&gt;"Yes","Due - needs approving",IF(R225&lt;&gt;"Yes","Due - not paid yet","OK"))))))</f>
        <v>0</v>
      </c>
    </row>
    <row r="226" spans="1:26">
      <c r="A226" s="43">
        <f>IF(F226="","","TS-"&amp;TEXT(ROW()-4,"0000"))</f>
        <v>0</v>
      </c>
      <c r="C226" s="23">
        <f>IF(B226="","",TEXT(B226,"ddd"))</f>
        <v>0</v>
      </c>
      <c r="D226" s="31">
        <f>IF(B226="","",WEEKNUM(B226,IF(WeekStart="Sunday",1,2)))</f>
        <v>0</v>
      </c>
      <c r="E226" s="23">
        <f>IF(B226="","",TEXT(B226,"yyyy-mm"))</f>
        <v>0</v>
      </c>
      <c r="H226" s="23">
        <f>IF(G226="","",IFERROR(INDEX(Jobs!$H$5:$H$604,MATCH(G226,Jobs!$A$5:$A$604,0)),""))</f>
        <v>0</v>
      </c>
      <c r="T226" s="34">
        <f>IF(OR(J226="",K226=""),"",ROUND((K226-J226)*24-IF(L226="",0,L226)/60,2))</f>
        <v>0</v>
      </c>
      <c r="U226" s="34">
        <f>IF(F226="","",IF(M226&lt;&gt;"",M226,IF(T226="",0,T226)))</f>
        <v>0</v>
      </c>
      <c r="V226" s="21">
        <f>IF(F226="","",IFERROR(INDEX(Employees!$U$5:$U$44,MATCH(F226,Employees!$B$5:$B$44,0)),PayRate*(1+EmployerOncost)))</f>
        <v>0</v>
      </c>
      <c r="W226" s="34">
        <f>IF(F226="","",MAX(0,U226-IF(N226="",0,N226)))</f>
        <v>0</v>
      </c>
      <c r="X226" s="21">
        <f>IF(F226="","",ROUND(W226*V226+IF(N226="",0,N226)*V226*OvertimeRate,2))</f>
        <v>0</v>
      </c>
      <c r="Y226" s="21">
        <f>IF(F226="","",IF(P226&lt;&gt;"Yes",0,ROUND(U226*IF(IFERROR(INDEX(Clients!$O$5:$O$204,MATCH(IFERROR(INDEX(Jobs!$G$5:$G$604,MATCH(G226,Jobs!$A$5:$A$604,0)),""),Clients!$A$5:$A$204,0)),0)&gt;0,INDEX(Clients!$O$5:$O$204,MATCH(INDEX(Jobs!$G$5:$G$604,MATCH(G226,Jobs!$A$5:$A$604,0)),Clients!$A$5:$A$204,0)),HourlyRate),2)))</f>
        <v>0</v>
      </c>
      <c r="Z226" s="39">
        <f>IF(F226="","",IF(U226=0,"Add - no hours recorded",IF(O226="Absent - no show","Action - no show",IF(U226&gt;10,"Check - over ten hours in a day",IF(Q226&lt;&gt;"Yes","Due - needs approving",IF(R226&lt;&gt;"Yes","Due - not paid yet","OK"))))))</f>
        <v>0</v>
      </c>
    </row>
    <row r="227" spans="1:26">
      <c r="A227" s="43">
        <f>IF(F227="","","TS-"&amp;TEXT(ROW()-4,"0000"))</f>
        <v>0</v>
      </c>
      <c r="C227" s="23">
        <f>IF(B227="","",TEXT(B227,"ddd"))</f>
        <v>0</v>
      </c>
      <c r="D227" s="31">
        <f>IF(B227="","",WEEKNUM(B227,IF(WeekStart="Sunday",1,2)))</f>
        <v>0</v>
      </c>
      <c r="E227" s="23">
        <f>IF(B227="","",TEXT(B227,"yyyy-mm"))</f>
        <v>0</v>
      </c>
      <c r="H227" s="23">
        <f>IF(G227="","",IFERROR(INDEX(Jobs!$H$5:$H$604,MATCH(G227,Jobs!$A$5:$A$604,0)),""))</f>
        <v>0</v>
      </c>
      <c r="T227" s="34">
        <f>IF(OR(J227="",K227=""),"",ROUND((K227-J227)*24-IF(L227="",0,L227)/60,2))</f>
        <v>0</v>
      </c>
      <c r="U227" s="34">
        <f>IF(F227="","",IF(M227&lt;&gt;"",M227,IF(T227="",0,T227)))</f>
        <v>0</v>
      </c>
      <c r="V227" s="21">
        <f>IF(F227="","",IFERROR(INDEX(Employees!$U$5:$U$44,MATCH(F227,Employees!$B$5:$B$44,0)),PayRate*(1+EmployerOncost)))</f>
        <v>0</v>
      </c>
      <c r="W227" s="34">
        <f>IF(F227="","",MAX(0,U227-IF(N227="",0,N227)))</f>
        <v>0</v>
      </c>
      <c r="X227" s="21">
        <f>IF(F227="","",ROUND(W227*V227+IF(N227="",0,N227)*V227*OvertimeRate,2))</f>
        <v>0</v>
      </c>
      <c r="Y227" s="21">
        <f>IF(F227="","",IF(P227&lt;&gt;"Yes",0,ROUND(U227*IF(IFERROR(INDEX(Clients!$O$5:$O$204,MATCH(IFERROR(INDEX(Jobs!$G$5:$G$604,MATCH(G227,Jobs!$A$5:$A$604,0)),""),Clients!$A$5:$A$204,0)),0)&gt;0,INDEX(Clients!$O$5:$O$204,MATCH(INDEX(Jobs!$G$5:$G$604,MATCH(G227,Jobs!$A$5:$A$604,0)),Clients!$A$5:$A$204,0)),HourlyRate),2)))</f>
        <v>0</v>
      </c>
      <c r="Z227" s="39">
        <f>IF(F227="","",IF(U227=0,"Add - no hours recorded",IF(O227="Absent - no show","Action - no show",IF(U227&gt;10,"Check - over ten hours in a day",IF(Q227&lt;&gt;"Yes","Due - needs approving",IF(R227&lt;&gt;"Yes","Due - not paid yet","OK"))))))</f>
        <v>0</v>
      </c>
    </row>
    <row r="228" spans="1:26">
      <c r="A228" s="43">
        <f>IF(F228="","","TS-"&amp;TEXT(ROW()-4,"0000"))</f>
        <v>0</v>
      </c>
      <c r="C228" s="23">
        <f>IF(B228="","",TEXT(B228,"ddd"))</f>
        <v>0</v>
      </c>
      <c r="D228" s="31">
        <f>IF(B228="","",WEEKNUM(B228,IF(WeekStart="Sunday",1,2)))</f>
        <v>0</v>
      </c>
      <c r="E228" s="23">
        <f>IF(B228="","",TEXT(B228,"yyyy-mm"))</f>
        <v>0</v>
      </c>
      <c r="H228" s="23">
        <f>IF(G228="","",IFERROR(INDEX(Jobs!$H$5:$H$604,MATCH(G228,Jobs!$A$5:$A$604,0)),""))</f>
        <v>0</v>
      </c>
      <c r="T228" s="34">
        <f>IF(OR(J228="",K228=""),"",ROUND((K228-J228)*24-IF(L228="",0,L228)/60,2))</f>
        <v>0</v>
      </c>
      <c r="U228" s="34">
        <f>IF(F228="","",IF(M228&lt;&gt;"",M228,IF(T228="",0,T228)))</f>
        <v>0</v>
      </c>
      <c r="V228" s="21">
        <f>IF(F228="","",IFERROR(INDEX(Employees!$U$5:$U$44,MATCH(F228,Employees!$B$5:$B$44,0)),PayRate*(1+EmployerOncost)))</f>
        <v>0</v>
      </c>
      <c r="W228" s="34">
        <f>IF(F228="","",MAX(0,U228-IF(N228="",0,N228)))</f>
        <v>0</v>
      </c>
      <c r="X228" s="21">
        <f>IF(F228="","",ROUND(W228*V228+IF(N228="",0,N228)*V228*OvertimeRate,2))</f>
        <v>0</v>
      </c>
      <c r="Y228" s="21">
        <f>IF(F228="","",IF(P228&lt;&gt;"Yes",0,ROUND(U228*IF(IFERROR(INDEX(Clients!$O$5:$O$204,MATCH(IFERROR(INDEX(Jobs!$G$5:$G$604,MATCH(G228,Jobs!$A$5:$A$604,0)),""),Clients!$A$5:$A$204,0)),0)&gt;0,INDEX(Clients!$O$5:$O$204,MATCH(INDEX(Jobs!$G$5:$G$604,MATCH(G228,Jobs!$A$5:$A$604,0)),Clients!$A$5:$A$204,0)),HourlyRate),2)))</f>
        <v>0</v>
      </c>
      <c r="Z228" s="39">
        <f>IF(F228="","",IF(U228=0,"Add - no hours recorded",IF(O228="Absent - no show","Action - no show",IF(U228&gt;10,"Check - over ten hours in a day",IF(Q228&lt;&gt;"Yes","Due - needs approving",IF(R228&lt;&gt;"Yes","Due - not paid yet","OK"))))))</f>
        <v>0</v>
      </c>
    </row>
    <row r="229" spans="1:26">
      <c r="A229" s="43">
        <f>IF(F229="","","TS-"&amp;TEXT(ROW()-4,"0000"))</f>
        <v>0</v>
      </c>
      <c r="C229" s="23">
        <f>IF(B229="","",TEXT(B229,"ddd"))</f>
        <v>0</v>
      </c>
      <c r="D229" s="31">
        <f>IF(B229="","",WEEKNUM(B229,IF(WeekStart="Sunday",1,2)))</f>
        <v>0</v>
      </c>
      <c r="E229" s="23">
        <f>IF(B229="","",TEXT(B229,"yyyy-mm"))</f>
        <v>0</v>
      </c>
      <c r="H229" s="23">
        <f>IF(G229="","",IFERROR(INDEX(Jobs!$H$5:$H$604,MATCH(G229,Jobs!$A$5:$A$604,0)),""))</f>
        <v>0</v>
      </c>
      <c r="T229" s="34">
        <f>IF(OR(J229="",K229=""),"",ROUND((K229-J229)*24-IF(L229="",0,L229)/60,2))</f>
        <v>0</v>
      </c>
      <c r="U229" s="34">
        <f>IF(F229="","",IF(M229&lt;&gt;"",M229,IF(T229="",0,T229)))</f>
        <v>0</v>
      </c>
      <c r="V229" s="21">
        <f>IF(F229="","",IFERROR(INDEX(Employees!$U$5:$U$44,MATCH(F229,Employees!$B$5:$B$44,0)),PayRate*(1+EmployerOncost)))</f>
        <v>0</v>
      </c>
      <c r="W229" s="34">
        <f>IF(F229="","",MAX(0,U229-IF(N229="",0,N229)))</f>
        <v>0</v>
      </c>
      <c r="X229" s="21">
        <f>IF(F229="","",ROUND(W229*V229+IF(N229="",0,N229)*V229*OvertimeRate,2))</f>
        <v>0</v>
      </c>
      <c r="Y229" s="21">
        <f>IF(F229="","",IF(P229&lt;&gt;"Yes",0,ROUND(U229*IF(IFERROR(INDEX(Clients!$O$5:$O$204,MATCH(IFERROR(INDEX(Jobs!$G$5:$G$604,MATCH(G229,Jobs!$A$5:$A$604,0)),""),Clients!$A$5:$A$204,0)),0)&gt;0,INDEX(Clients!$O$5:$O$204,MATCH(INDEX(Jobs!$G$5:$G$604,MATCH(G229,Jobs!$A$5:$A$604,0)),Clients!$A$5:$A$204,0)),HourlyRate),2)))</f>
        <v>0</v>
      </c>
      <c r="Z229" s="39">
        <f>IF(F229="","",IF(U229=0,"Add - no hours recorded",IF(O229="Absent - no show","Action - no show",IF(U229&gt;10,"Check - over ten hours in a day",IF(Q229&lt;&gt;"Yes","Due - needs approving",IF(R229&lt;&gt;"Yes","Due - not paid yet","OK"))))))</f>
        <v>0</v>
      </c>
    </row>
    <row r="230" spans="1:26">
      <c r="A230" s="43">
        <f>IF(F230="","","TS-"&amp;TEXT(ROW()-4,"0000"))</f>
        <v>0</v>
      </c>
      <c r="C230" s="23">
        <f>IF(B230="","",TEXT(B230,"ddd"))</f>
        <v>0</v>
      </c>
      <c r="D230" s="31">
        <f>IF(B230="","",WEEKNUM(B230,IF(WeekStart="Sunday",1,2)))</f>
        <v>0</v>
      </c>
      <c r="E230" s="23">
        <f>IF(B230="","",TEXT(B230,"yyyy-mm"))</f>
        <v>0</v>
      </c>
      <c r="H230" s="23">
        <f>IF(G230="","",IFERROR(INDEX(Jobs!$H$5:$H$604,MATCH(G230,Jobs!$A$5:$A$604,0)),""))</f>
        <v>0</v>
      </c>
      <c r="T230" s="34">
        <f>IF(OR(J230="",K230=""),"",ROUND((K230-J230)*24-IF(L230="",0,L230)/60,2))</f>
        <v>0</v>
      </c>
      <c r="U230" s="34">
        <f>IF(F230="","",IF(M230&lt;&gt;"",M230,IF(T230="",0,T230)))</f>
        <v>0</v>
      </c>
      <c r="V230" s="21">
        <f>IF(F230="","",IFERROR(INDEX(Employees!$U$5:$U$44,MATCH(F230,Employees!$B$5:$B$44,0)),PayRate*(1+EmployerOncost)))</f>
        <v>0</v>
      </c>
      <c r="W230" s="34">
        <f>IF(F230="","",MAX(0,U230-IF(N230="",0,N230)))</f>
        <v>0</v>
      </c>
      <c r="X230" s="21">
        <f>IF(F230="","",ROUND(W230*V230+IF(N230="",0,N230)*V230*OvertimeRate,2))</f>
        <v>0</v>
      </c>
      <c r="Y230" s="21">
        <f>IF(F230="","",IF(P230&lt;&gt;"Yes",0,ROUND(U230*IF(IFERROR(INDEX(Clients!$O$5:$O$204,MATCH(IFERROR(INDEX(Jobs!$G$5:$G$604,MATCH(G230,Jobs!$A$5:$A$604,0)),""),Clients!$A$5:$A$204,0)),0)&gt;0,INDEX(Clients!$O$5:$O$204,MATCH(INDEX(Jobs!$G$5:$G$604,MATCH(G230,Jobs!$A$5:$A$604,0)),Clients!$A$5:$A$204,0)),HourlyRate),2)))</f>
        <v>0</v>
      </c>
      <c r="Z230" s="39">
        <f>IF(F230="","",IF(U230=0,"Add - no hours recorded",IF(O230="Absent - no show","Action - no show",IF(U230&gt;10,"Check - over ten hours in a day",IF(Q230&lt;&gt;"Yes","Due - needs approving",IF(R230&lt;&gt;"Yes","Due - not paid yet","OK"))))))</f>
        <v>0</v>
      </c>
    </row>
    <row r="231" spans="1:26">
      <c r="A231" s="43">
        <f>IF(F231="","","TS-"&amp;TEXT(ROW()-4,"0000"))</f>
        <v>0</v>
      </c>
      <c r="C231" s="23">
        <f>IF(B231="","",TEXT(B231,"ddd"))</f>
        <v>0</v>
      </c>
      <c r="D231" s="31">
        <f>IF(B231="","",WEEKNUM(B231,IF(WeekStart="Sunday",1,2)))</f>
        <v>0</v>
      </c>
      <c r="E231" s="23">
        <f>IF(B231="","",TEXT(B231,"yyyy-mm"))</f>
        <v>0</v>
      </c>
      <c r="H231" s="23">
        <f>IF(G231="","",IFERROR(INDEX(Jobs!$H$5:$H$604,MATCH(G231,Jobs!$A$5:$A$604,0)),""))</f>
        <v>0</v>
      </c>
      <c r="T231" s="34">
        <f>IF(OR(J231="",K231=""),"",ROUND((K231-J231)*24-IF(L231="",0,L231)/60,2))</f>
        <v>0</v>
      </c>
      <c r="U231" s="34">
        <f>IF(F231="","",IF(M231&lt;&gt;"",M231,IF(T231="",0,T231)))</f>
        <v>0</v>
      </c>
      <c r="V231" s="21">
        <f>IF(F231="","",IFERROR(INDEX(Employees!$U$5:$U$44,MATCH(F231,Employees!$B$5:$B$44,0)),PayRate*(1+EmployerOncost)))</f>
        <v>0</v>
      </c>
      <c r="W231" s="34">
        <f>IF(F231="","",MAX(0,U231-IF(N231="",0,N231)))</f>
        <v>0</v>
      </c>
      <c r="X231" s="21">
        <f>IF(F231="","",ROUND(W231*V231+IF(N231="",0,N231)*V231*OvertimeRate,2))</f>
        <v>0</v>
      </c>
      <c r="Y231" s="21">
        <f>IF(F231="","",IF(P231&lt;&gt;"Yes",0,ROUND(U231*IF(IFERROR(INDEX(Clients!$O$5:$O$204,MATCH(IFERROR(INDEX(Jobs!$G$5:$G$604,MATCH(G231,Jobs!$A$5:$A$604,0)),""),Clients!$A$5:$A$204,0)),0)&gt;0,INDEX(Clients!$O$5:$O$204,MATCH(INDEX(Jobs!$G$5:$G$604,MATCH(G231,Jobs!$A$5:$A$604,0)),Clients!$A$5:$A$204,0)),HourlyRate),2)))</f>
        <v>0</v>
      </c>
      <c r="Z231" s="39">
        <f>IF(F231="","",IF(U231=0,"Add - no hours recorded",IF(O231="Absent - no show","Action - no show",IF(U231&gt;10,"Check - over ten hours in a day",IF(Q231&lt;&gt;"Yes","Due - needs approving",IF(R231&lt;&gt;"Yes","Due - not paid yet","OK"))))))</f>
        <v>0</v>
      </c>
    </row>
    <row r="232" spans="1:26">
      <c r="A232" s="43">
        <f>IF(F232="","","TS-"&amp;TEXT(ROW()-4,"0000"))</f>
        <v>0</v>
      </c>
      <c r="C232" s="23">
        <f>IF(B232="","",TEXT(B232,"ddd"))</f>
        <v>0</v>
      </c>
      <c r="D232" s="31">
        <f>IF(B232="","",WEEKNUM(B232,IF(WeekStart="Sunday",1,2)))</f>
        <v>0</v>
      </c>
      <c r="E232" s="23">
        <f>IF(B232="","",TEXT(B232,"yyyy-mm"))</f>
        <v>0</v>
      </c>
      <c r="H232" s="23">
        <f>IF(G232="","",IFERROR(INDEX(Jobs!$H$5:$H$604,MATCH(G232,Jobs!$A$5:$A$604,0)),""))</f>
        <v>0</v>
      </c>
      <c r="T232" s="34">
        <f>IF(OR(J232="",K232=""),"",ROUND((K232-J232)*24-IF(L232="",0,L232)/60,2))</f>
        <v>0</v>
      </c>
      <c r="U232" s="34">
        <f>IF(F232="","",IF(M232&lt;&gt;"",M232,IF(T232="",0,T232)))</f>
        <v>0</v>
      </c>
      <c r="V232" s="21">
        <f>IF(F232="","",IFERROR(INDEX(Employees!$U$5:$U$44,MATCH(F232,Employees!$B$5:$B$44,0)),PayRate*(1+EmployerOncost)))</f>
        <v>0</v>
      </c>
      <c r="W232" s="34">
        <f>IF(F232="","",MAX(0,U232-IF(N232="",0,N232)))</f>
        <v>0</v>
      </c>
      <c r="X232" s="21">
        <f>IF(F232="","",ROUND(W232*V232+IF(N232="",0,N232)*V232*OvertimeRate,2))</f>
        <v>0</v>
      </c>
      <c r="Y232" s="21">
        <f>IF(F232="","",IF(P232&lt;&gt;"Yes",0,ROUND(U232*IF(IFERROR(INDEX(Clients!$O$5:$O$204,MATCH(IFERROR(INDEX(Jobs!$G$5:$G$604,MATCH(G232,Jobs!$A$5:$A$604,0)),""),Clients!$A$5:$A$204,0)),0)&gt;0,INDEX(Clients!$O$5:$O$204,MATCH(INDEX(Jobs!$G$5:$G$604,MATCH(G232,Jobs!$A$5:$A$604,0)),Clients!$A$5:$A$204,0)),HourlyRate),2)))</f>
        <v>0</v>
      </c>
      <c r="Z232" s="39">
        <f>IF(F232="","",IF(U232=0,"Add - no hours recorded",IF(O232="Absent - no show","Action - no show",IF(U232&gt;10,"Check - over ten hours in a day",IF(Q232&lt;&gt;"Yes","Due - needs approving",IF(R232&lt;&gt;"Yes","Due - not paid yet","OK"))))))</f>
        <v>0</v>
      </c>
    </row>
    <row r="233" spans="1:26">
      <c r="A233" s="43">
        <f>IF(F233="","","TS-"&amp;TEXT(ROW()-4,"0000"))</f>
        <v>0</v>
      </c>
      <c r="C233" s="23">
        <f>IF(B233="","",TEXT(B233,"ddd"))</f>
        <v>0</v>
      </c>
      <c r="D233" s="31">
        <f>IF(B233="","",WEEKNUM(B233,IF(WeekStart="Sunday",1,2)))</f>
        <v>0</v>
      </c>
      <c r="E233" s="23">
        <f>IF(B233="","",TEXT(B233,"yyyy-mm"))</f>
        <v>0</v>
      </c>
      <c r="H233" s="23">
        <f>IF(G233="","",IFERROR(INDEX(Jobs!$H$5:$H$604,MATCH(G233,Jobs!$A$5:$A$604,0)),""))</f>
        <v>0</v>
      </c>
      <c r="T233" s="34">
        <f>IF(OR(J233="",K233=""),"",ROUND((K233-J233)*24-IF(L233="",0,L233)/60,2))</f>
        <v>0</v>
      </c>
      <c r="U233" s="34">
        <f>IF(F233="","",IF(M233&lt;&gt;"",M233,IF(T233="",0,T233)))</f>
        <v>0</v>
      </c>
      <c r="V233" s="21">
        <f>IF(F233="","",IFERROR(INDEX(Employees!$U$5:$U$44,MATCH(F233,Employees!$B$5:$B$44,0)),PayRate*(1+EmployerOncost)))</f>
        <v>0</v>
      </c>
      <c r="W233" s="34">
        <f>IF(F233="","",MAX(0,U233-IF(N233="",0,N233)))</f>
        <v>0</v>
      </c>
      <c r="X233" s="21">
        <f>IF(F233="","",ROUND(W233*V233+IF(N233="",0,N233)*V233*OvertimeRate,2))</f>
        <v>0</v>
      </c>
      <c r="Y233" s="21">
        <f>IF(F233="","",IF(P233&lt;&gt;"Yes",0,ROUND(U233*IF(IFERROR(INDEX(Clients!$O$5:$O$204,MATCH(IFERROR(INDEX(Jobs!$G$5:$G$604,MATCH(G233,Jobs!$A$5:$A$604,0)),""),Clients!$A$5:$A$204,0)),0)&gt;0,INDEX(Clients!$O$5:$O$204,MATCH(INDEX(Jobs!$G$5:$G$604,MATCH(G233,Jobs!$A$5:$A$604,0)),Clients!$A$5:$A$204,0)),HourlyRate),2)))</f>
        <v>0</v>
      </c>
      <c r="Z233" s="39">
        <f>IF(F233="","",IF(U233=0,"Add - no hours recorded",IF(O233="Absent - no show","Action - no show",IF(U233&gt;10,"Check - over ten hours in a day",IF(Q233&lt;&gt;"Yes","Due - needs approving",IF(R233&lt;&gt;"Yes","Due - not paid yet","OK"))))))</f>
        <v>0</v>
      </c>
    </row>
    <row r="234" spans="1:26">
      <c r="A234" s="43">
        <f>IF(F234="","","TS-"&amp;TEXT(ROW()-4,"0000"))</f>
        <v>0</v>
      </c>
      <c r="C234" s="23">
        <f>IF(B234="","",TEXT(B234,"ddd"))</f>
        <v>0</v>
      </c>
      <c r="D234" s="31">
        <f>IF(B234="","",WEEKNUM(B234,IF(WeekStart="Sunday",1,2)))</f>
        <v>0</v>
      </c>
      <c r="E234" s="23">
        <f>IF(B234="","",TEXT(B234,"yyyy-mm"))</f>
        <v>0</v>
      </c>
      <c r="H234" s="23">
        <f>IF(G234="","",IFERROR(INDEX(Jobs!$H$5:$H$604,MATCH(G234,Jobs!$A$5:$A$604,0)),""))</f>
        <v>0</v>
      </c>
      <c r="T234" s="34">
        <f>IF(OR(J234="",K234=""),"",ROUND((K234-J234)*24-IF(L234="",0,L234)/60,2))</f>
        <v>0</v>
      </c>
      <c r="U234" s="34">
        <f>IF(F234="","",IF(M234&lt;&gt;"",M234,IF(T234="",0,T234)))</f>
        <v>0</v>
      </c>
      <c r="V234" s="21">
        <f>IF(F234="","",IFERROR(INDEX(Employees!$U$5:$U$44,MATCH(F234,Employees!$B$5:$B$44,0)),PayRate*(1+EmployerOncost)))</f>
        <v>0</v>
      </c>
      <c r="W234" s="34">
        <f>IF(F234="","",MAX(0,U234-IF(N234="",0,N234)))</f>
        <v>0</v>
      </c>
      <c r="X234" s="21">
        <f>IF(F234="","",ROUND(W234*V234+IF(N234="",0,N234)*V234*OvertimeRate,2))</f>
        <v>0</v>
      </c>
      <c r="Y234" s="21">
        <f>IF(F234="","",IF(P234&lt;&gt;"Yes",0,ROUND(U234*IF(IFERROR(INDEX(Clients!$O$5:$O$204,MATCH(IFERROR(INDEX(Jobs!$G$5:$G$604,MATCH(G234,Jobs!$A$5:$A$604,0)),""),Clients!$A$5:$A$204,0)),0)&gt;0,INDEX(Clients!$O$5:$O$204,MATCH(INDEX(Jobs!$G$5:$G$604,MATCH(G234,Jobs!$A$5:$A$604,0)),Clients!$A$5:$A$204,0)),HourlyRate),2)))</f>
        <v>0</v>
      </c>
      <c r="Z234" s="39">
        <f>IF(F234="","",IF(U234=0,"Add - no hours recorded",IF(O234="Absent - no show","Action - no show",IF(U234&gt;10,"Check - over ten hours in a day",IF(Q234&lt;&gt;"Yes","Due - needs approving",IF(R234&lt;&gt;"Yes","Due - not paid yet","OK"))))))</f>
        <v>0</v>
      </c>
    </row>
    <row r="235" spans="1:26">
      <c r="A235" s="43">
        <f>IF(F235="","","TS-"&amp;TEXT(ROW()-4,"0000"))</f>
        <v>0</v>
      </c>
      <c r="C235" s="23">
        <f>IF(B235="","",TEXT(B235,"ddd"))</f>
        <v>0</v>
      </c>
      <c r="D235" s="31">
        <f>IF(B235="","",WEEKNUM(B235,IF(WeekStart="Sunday",1,2)))</f>
        <v>0</v>
      </c>
      <c r="E235" s="23">
        <f>IF(B235="","",TEXT(B235,"yyyy-mm"))</f>
        <v>0</v>
      </c>
      <c r="H235" s="23">
        <f>IF(G235="","",IFERROR(INDEX(Jobs!$H$5:$H$604,MATCH(G235,Jobs!$A$5:$A$604,0)),""))</f>
        <v>0</v>
      </c>
      <c r="T235" s="34">
        <f>IF(OR(J235="",K235=""),"",ROUND((K235-J235)*24-IF(L235="",0,L235)/60,2))</f>
        <v>0</v>
      </c>
      <c r="U235" s="34">
        <f>IF(F235="","",IF(M235&lt;&gt;"",M235,IF(T235="",0,T235)))</f>
        <v>0</v>
      </c>
      <c r="V235" s="21">
        <f>IF(F235="","",IFERROR(INDEX(Employees!$U$5:$U$44,MATCH(F235,Employees!$B$5:$B$44,0)),PayRate*(1+EmployerOncost)))</f>
        <v>0</v>
      </c>
      <c r="W235" s="34">
        <f>IF(F235="","",MAX(0,U235-IF(N235="",0,N235)))</f>
        <v>0</v>
      </c>
      <c r="X235" s="21">
        <f>IF(F235="","",ROUND(W235*V235+IF(N235="",0,N235)*V235*OvertimeRate,2))</f>
        <v>0</v>
      </c>
      <c r="Y235" s="21">
        <f>IF(F235="","",IF(P235&lt;&gt;"Yes",0,ROUND(U235*IF(IFERROR(INDEX(Clients!$O$5:$O$204,MATCH(IFERROR(INDEX(Jobs!$G$5:$G$604,MATCH(G235,Jobs!$A$5:$A$604,0)),""),Clients!$A$5:$A$204,0)),0)&gt;0,INDEX(Clients!$O$5:$O$204,MATCH(INDEX(Jobs!$G$5:$G$604,MATCH(G235,Jobs!$A$5:$A$604,0)),Clients!$A$5:$A$204,0)),HourlyRate),2)))</f>
        <v>0</v>
      </c>
      <c r="Z235" s="39">
        <f>IF(F235="","",IF(U235=0,"Add - no hours recorded",IF(O235="Absent - no show","Action - no show",IF(U235&gt;10,"Check - over ten hours in a day",IF(Q235&lt;&gt;"Yes","Due - needs approving",IF(R235&lt;&gt;"Yes","Due - not paid yet","OK"))))))</f>
        <v>0</v>
      </c>
    </row>
    <row r="236" spans="1:26">
      <c r="A236" s="43">
        <f>IF(F236="","","TS-"&amp;TEXT(ROW()-4,"0000"))</f>
        <v>0</v>
      </c>
      <c r="C236" s="23">
        <f>IF(B236="","",TEXT(B236,"ddd"))</f>
        <v>0</v>
      </c>
      <c r="D236" s="31">
        <f>IF(B236="","",WEEKNUM(B236,IF(WeekStart="Sunday",1,2)))</f>
        <v>0</v>
      </c>
      <c r="E236" s="23">
        <f>IF(B236="","",TEXT(B236,"yyyy-mm"))</f>
        <v>0</v>
      </c>
      <c r="H236" s="23">
        <f>IF(G236="","",IFERROR(INDEX(Jobs!$H$5:$H$604,MATCH(G236,Jobs!$A$5:$A$604,0)),""))</f>
        <v>0</v>
      </c>
      <c r="T236" s="34">
        <f>IF(OR(J236="",K236=""),"",ROUND((K236-J236)*24-IF(L236="",0,L236)/60,2))</f>
        <v>0</v>
      </c>
      <c r="U236" s="34">
        <f>IF(F236="","",IF(M236&lt;&gt;"",M236,IF(T236="",0,T236)))</f>
        <v>0</v>
      </c>
      <c r="V236" s="21">
        <f>IF(F236="","",IFERROR(INDEX(Employees!$U$5:$U$44,MATCH(F236,Employees!$B$5:$B$44,0)),PayRate*(1+EmployerOncost)))</f>
        <v>0</v>
      </c>
      <c r="W236" s="34">
        <f>IF(F236="","",MAX(0,U236-IF(N236="",0,N236)))</f>
        <v>0</v>
      </c>
      <c r="X236" s="21">
        <f>IF(F236="","",ROUND(W236*V236+IF(N236="",0,N236)*V236*OvertimeRate,2))</f>
        <v>0</v>
      </c>
      <c r="Y236" s="21">
        <f>IF(F236="","",IF(P236&lt;&gt;"Yes",0,ROUND(U236*IF(IFERROR(INDEX(Clients!$O$5:$O$204,MATCH(IFERROR(INDEX(Jobs!$G$5:$G$604,MATCH(G236,Jobs!$A$5:$A$604,0)),""),Clients!$A$5:$A$204,0)),0)&gt;0,INDEX(Clients!$O$5:$O$204,MATCH(INDEX(Jobs!$G$5:$G$604,MATCH(G236,Jobs!$A$5:$A$604,0)),Clients!$A$5:$A$204,0)),HourlyRate),2)))</f>
        <v>0</v>
      </c>
      <c r="Z236" s="39">
        <f>IF(F236="","",IF(U236=0,"Add - no hours recorded",IF(O236="Absent - no show","Action - no show",IF(U236&gt;10,"Check - over ten hours in a day",IF(Q236&lt;&gt;"Yes","Due - needs approving",IF(R236&lt;&gt;"Yes","Due - not paid yet","OK"))))))</f>
        <v>0</v>
      </c>
    </row>
    <row r="237" spans="1:26">
      <c r="A237" s="43">
        <f>IF(F237="","","TS-"&amp;TEXT(ROW()-4,"0000"))</f>
        <v>0</v>
      </c>
      <c r="C237" s="23">
        <f>IF(B237="","",TEXT(B237,"ddd"))</f>
        <v>0</v>
      </c>
      <c r="D237" s="31">
        <f>IF(B237="","",WEEKNUM(B237,IF(WeekStart="Sunday",1,2)))</f>
        <v>0</v>
      </c>
      <c r="E237" s="23">
        <f>IF(B237="","",TEXT(B237,"yyyy-mm"))</f>
        <v>0</v>
      </c>
      <c r="H237" s="23">
        <f>IF(G237="","",IFERROR(INDEX(Jobs!$H$5:$H$604,MATCH(G237,Jobs!$A$5:$A$604,0)),""))</f>
        <v>0</v>
      </c>
      <c r="T237" s="34">
        <f>IF(OR(J237="",K237=""),"",ROUND((K237-J237)*24-IF(L237="",0,L237)/60,2))</f>
        <v>0</v>
      </c>
      <c r="U237" s="34">
        <f>IF(F237="","",IF(M237&lt;&gt;"",M237,IF(T237="",0,T237)))</f>
        <v>0</v>
      </c>
      <c r="V237" s="21">
        <f>IF(F237="","",IFERROR(INDEX(Employees!$U$5:$U$44,MATCH(F237,Employees!$B$5:$B$44,0)),PayRate*(1+EmployerOncost)))</f>
        <v>0</v>
      </c>
      <c r="W237" s="34">
        <f>IF(F237="","",MAX(0,U237-IF(N237="",0,N237)))</f>
        <v>0</v>
      </c>
      <c r="X237" s="21">
        <f>IF(F237="","",ROUND(W237*V237+IF(N237="",0,N237)*V237*OvertimeRate,2))</f>
        <v>0</v>
      </c>
      <c r="Y237" s="21">
        <f>IF(F237="","",IF(P237&lt;&gt;"Yes",0,ROUND(U237*IF(IFERROR(INDEX(Clients!$O$5:$O$204,MATCH(IFERROR(INDEX(Jobs!$G$5:$G$604,MATCH(G237,Jobs!$A$5:$A$604,0)),""),Clients!$A$5:$A$204,0)),0)&gt;0,INDEX(Clients!$O$5:$O$204,MATCH(INDEX(Jobs!$G$5:$G$604,MATCH(G237,Jobs!$A$5:$A$604,0)),Clients!$A$5:$A$204,0)),HourlyRate),2)))</f>
        <v>0</v>
      </c>
      <c r="Z237" s="39">
        <f>IF(F237="","",IF(U237=0,"Add - no hours recorded",IF(O237="Absent - no show","Action - no show",IF(U237&gt;10,"Check - over ten hours in a day",IF(Q237&lt;&gt;"Yes","Due - needs approving",IF(R237&lt;&gt;"Yes","Due - not paid yet","OK"))))))</f>
        <v>0</v>
      </c>
    </row>
    <row r="238" spans="1:26">
      <c r="A238" s="43">
        <f>IF(F238="","","TS-"&amp;TEXT(ROW()-4,"0000"))</f>
        <v>0</v>
      </c>
      <c r="C238" s="23">
        <f>IF(B238="","",TEXT(B238,"ddd"))</f>
        <v>0</v>
      </c>
      <c r="D238" s="31">
        <f>IF(B238="","",WEEKNUM(B238,IF(WeekStart="Sunday",1,2)))</f>
        <v>0</v>
      </c>
      <c r="E238" s="23">
        <f>IF(B238="","",TEXT(B238,"yyyy-mm"))</f>
        <v>0</v>
      </c>
      <c r="H238" s="23">
        <f>IF(G238="","",IFERROR(INDEX(Jobs!$H$5:$H$604,MATCH(G238,Jobs!$A$5:$A$604,0)),""))</f>
        <v>0</v>
      </c>
      <c r="T238" s="34">
        <f>IF(OR(J238="",K238=""),"",ROUND((K238-J238)*24-IF(L238="",0,L238)/60,2))</f>
        <v>0</v>
      </c>
      <c r="U238" s="34">
        <f>IF(F238="","",IF(M238&lt;&gt;"",M238,IF(T238="",0,T238)))</f>
        <v>0</v>
      </c>
      <c r="V238" s="21">
        <f>IF(F238="","",IFERROR(INDEX(Employees!$U$5:$U$44,MATCH(F238,Employees!$B$5:$B$44,0)),PayRate*(1+EmployerOncost)))</f>
        <v>0</v>
      </c>
      <c r="W238" s="34">
        <f>IF(F238="","",MAX(0,U238-IF(N238="",0,N238)))</f>
        <v>0</v>
      </c>
      <c r="X238" s="21">
        <f>IF(F238="","",ROUND(W238*V238+IF(N238="",0,N238)*V238*OvertimeRate,2))</f>
        <v>0</v>
      </c>
      <c r="Y238" s="21">
        <f>IF(F238="","",IF(P238&lt;&gt;"Yes",0,ROUND(U238*IF(IFERROR(INDEX(Clients!$O$5:$O$204,MATCH(IFERROR(INDEX(Jobs!$G$5:$G$604,MATCH(G238,Jobs!$A$5:$A$604,0)),""),Clients!$A$5:$A$204,0)),0)&gt;0,INDEX(Clients!$O$5:$O$204,MATCH(INDEX(Jobs!$G$5:$G$604,MATCH(G238,Jobs!$A$5:$A$604,0)),Clients!$A$5:$A$204,0)),HourlyRate),2)))</f>
        <v>0</v>
      </c>
      <c r="Z238" s="39">
        <f>IF(F238="","",IF(U238=0,"Add - no hours recorded",IF(O238="Absent - no show","Action - no show",IF(U238&gt;10,"Check - over ten hours in a day",IF(Q238&lt;&gt;"Yes","Due - needs approving",IF(R238&lt;&gt;"Yes","Due - not paid yet","OK"))))))</f>
        <v>0</v>
      </c>
    </row>
    <row r="239" spans="1:26">
      <c r="A239" s="43">
        <f>IF(F239="","","TS-"&amp;TEXT(ROW()-4,"0000"))</f>
        <v>0</v>
      </c>
      <c r="C239" s="23">
        <f>IF(B239="","",TEXT(B239,"ddd"))</f>
        <v>0</v>
      </c>
      <c r="D239" s="31">
        <f>IF(B239="","",WEEKNUM(B239,IF(WeekStart="Sunday",1,2)))</f>
        <v>0</v>
      </c>
      <c r="E239" s="23">
        <f>IF(B239="","",TEXT(B239,"yyyy-mm"))</f>
        <v>0</v>
      </c>
      <c r="H239" s="23">
        <f>IF(G239="","",IFERROR(INDEX(Jobs!$H$5:$H$604,MATCH(G239,Jobs!$A$5:$A$604,0)),""))</f>
        <v>0</v>
      </c>
      <c r="T239" s="34">
        <f>IF(OR(J239="",K239=""),"",ROUND((K239-J239)*24-IF(L239="",0,L239)/60,2))</f>
        <v>0</v>
      </c>
      <c r="U239" s="34">
        <f>IF(F239="","",IF(M239&lt;&gt;"",M239,IF(T239="",0,T239)))</f>
        <v>0</v>
      </c>
      <c r="V239" s="21">
        <f>IF(F239="","",IFERROR(INDEX(Employees!$U$5:$U$44,MATCH(F239,Employees!$B$5:$B$44,0)),PayRate*(1+EmployerOncost)))</f>
        <v>0</v>
      </c>
      <c r="W239" s="34">
        <f>IF(F239="","",MAX(0,U239-IF(N239="",0,N239)))</f>
        <v>0</v>
      </c>
      <c r="X239" s="21">
        <f>IF(F239="","",ROUND(W239*V239+IF(N239="",0,N239)*V239*OvertimeRate,2))</f>
        <v>0</v>
      </c>
      <c r="Y239" s="21">
        <f>IF(F239="","",IF(P239&lt;&gt;"Yes",0,ROUND(U239*IF(IFERROR(INDEX(Clients!$O$5:$O$204,MATCH(IFERROR(INDEX(Jobs!$G$5:$G$604,MATCH(G239,Jobs!$A$5:$A$604,0)),""),Clients!$A$5:$A$204,0)),0)&gt;0,INDEX(Clients!$O$5:$O$204,MATCH(INDEX(Jobs!$G$5:$G$604,MATCH(G239,Jobs!$A$5:$A$604,0)),Clients!$A$5:$A$204,0)),HourlyRate),2)))</f>
        <v>0</v>
      </c>
      <c r="Z239" s="39">
        <f>IF(F239="","",IF(U239=0,"Add - no hours recorded",IF(O239="Absent - no show","Action - no show",IF(U239&gt;10,"Check - over ten hours in a day",IF(Q239&lt;&gt;"Yes","Due - needs approving",IF(R239&lt;&gt;"Yes","Due - not paid yet","OK"))))))</f>
        <v>0</v>
      </c>
    </row>
    <row r="240" spans="1:26">
      <c r="A240" s="43">
        <f>IF(F240="","","TS-"&amp;TEXT(ROW()-4,"0000"))</f>
        <v>0</v>
      </c>
      <c r="C240" s="23">
        <f>IF(B240="","",TEXT(B240,"ddd"))</f>
        <v>0</v>
      </c>
      <c r="D240" s="31">
        <f>IF(B240="","",WEEKNUM(B240,IF(WeekStart="Sunday",1,2)))</f>
        <v>0</v>
      </c>
      <c r="E240" s="23">
        <f>IF(B240="","",TEXT(B240,"yyyy-mm"))</f>
        <v>0</v>
      </c>
      <c r="H240" s="23">
        <f>IF(G240="","",IFERROR(INDEX(Jobs!$H$5:$H$604,MATCH(G240,Jobs!$A$5:$A$604,0)),""))</f>
        <v>0</v>
      </c>
      <c r="T240" s="34">
        <f>IF(OR(J240="",K240=""),"",ROUND((K240-J240)*24-IF(L240="",0,L240)/60,2))</f>
        <v>0</v>
      </c>
      <c r="U240" s="34">
        <f>IF(F240="","",IF(M240&lt;&gt;"",M240,IF(T240="",0,T240)))</f>
        <v>0</v>
      </c>
      <c r="V240" s="21">
        <f>IF(F240="","",IFERROR(INDEX(Employees!$U$5:$U$44,MATCH(F240,Employees!$B$5:$B$44,0)),PayRate*(1+EmployerOncost)))</f>
        <v>0</v>
      </c>
      <c r="W240" s="34">
        <f>IF(F240="","",MAX(0,U240-IF(N240="",0,N240)))</f>
        <v>0</v>
      </c>
      <c r="X240" s="21">
        <f>IF(F240="","",ROUND(W240*V240+IF(N240="",0,N240)*V240*OvertimeRate,2))</f>
        <v>0</v>
      </c>
      <c r="Y240" s="21">
        <f>IF(F240="","",IF(P240&lt;&gt;"Yes",0,ROUND(U240*IF(IFERROR(INDEX(Clients!$O$5:$O$204,MATCH(IFERROR(INDEX(Jobs!$G$5:$G$604,MATCH(G240,Jobs!$A$5:$A$604,0)),""),Clients!$A$5:$A$204,0)),0)&gt;0,INDEX(Clients!$O$5:$O$204,MATCH(INDEX(Jobs!$G$5:$G$604,MATCH(G240,Jobs!$A$5:$A$604,0)),Clients!$A$5:$A$204,0)),HourlyRate),2)))</f>
        <v>0</v>
      </c>
      <c r="Z240" s="39">
        <f>IF(F240="","",IF(U240=0,"Add - no hours recorded",IF(O240="Absent - no show","Action - no show",IF(U240&gt;10,"Check - over ten hours in a day",IF(Q240&lt;&gt;"Yes","Due - needs approving",IF(R240&lt;&gt;"Yes","Due - not paid yet","OK"))))))</f>
        <v>0</v>
      </c>
    </row>
    <row r="241" spans="1:26">
      <c r="A241" s="43">
        <f>IF(F241="","","TS-"&amp;TEXT(ROW()-4,"0000"))</f>
        <v>0</v>
      </c>
      <c r="C241" s="23">
        <f>IF(B241="","",TEXT(B241,"ddd"))</f>
        <v>0</v>
      </c>
      <c r="D241" s="31">
        <f>IF(B241="","",WEEKNUM(B241,IF(WeekStart="Sunday",1,2)))</f>
        <v>0</v>
      </c>
      <c r="E241" s="23">
        <f>IF(B241="","",TEXT(B241,"yyyy-mm"))</f>
        <v>0</v>
      </c>
      <c r="H241" s="23">
        <f>IF(G241="","",IFERROR(INDEX(Jobs!$H$5:$H$604,MATCH(G241,Jobs!$A$5:$A$604,0)),""))</f>
        <v>0</v>
      </c>
      <c r="T241" s="34">
        <f>IF(OR(J241="",K241=""),"",ROUND((K241-J241)*24-IF(L241="",0,L241)/60,2))</f>
        <v>0</v>
      </c>
      <c r="U241" s="34">
        <f>IF(F241="","",IF(M241&lt;&gt;"",M241,IF(T241="",0,T241)))</f>
        <v>0</v>
      </c>
      <c r="V241" s="21">
        <f>IF(F241="","",IFERROR(INDEX(Employees!$U$5:$U$44,MATCH(F241,Employees!$B$5:$B$44,0)),PayRate*(1+EmployerOncost)))</f>
        <v>0</v>
      </c>
      <c r="W241" s="34">
        <f>IF(F241="","",MAX(0,U241-IF(N241="",0,N241)))</f>
        <v>0</v>
      </c>
      <c r="X241" s="21">
        <f>IF(F241="","",ROUND(W241*V241+IF(N241="",0,N241)*V241*OvertimeRate,2))</f>
        <v>0</v>
      </c>
      <c r="Y241" s="21">
        <f>IF(F241="","",IF(P241&lt;&gt;"Yes",0,ROUND(U241*IF(IFERROR(INDEX(Clients!$O$5:$O$204,MATCH(IFERROR(INDEX(Jobs!$G$5:$G$604,MATCH(G241,Jobs!$A$5:$A$604,0)),""),Clients!$A$5:$A$204,0)),0)&gt;0,INDEX(Clients!$O$5:$O$204,MATCH(INDEX(Jobs!$G$5:$G$604,MATCH(G241,Jobs!$A$5:$A$604,0)),Clients!$A$5:$A$204,0)),HourlyRate),2)))</f>
        <v>0</v>
      </c>
      <c r="Z241" s="39">
        <f>IF(F241="","",IF(U241=0,"Add - no hours recorded",IF(O241="Absent - no show","Action - no show",IF(U241&gt;10,"Check - over ten hours in a day",IF(Q241&lt;&gt;"Yes","Due - needs approving",IF(R241&lt;&gt;"Yes","Due - not paid yet","OK"))))))</f>
        <v>0</v>
      </c>
    </row>
    <row r="242" spans="1:26">
      <c r="A242" s="43">
        <f>IF(F242="","","TS-"&amp;TEXT(ROW()-4,"0000"))</f>
        <v>0</v>
      </c>
      <c r="C242" s="23">
        <f>IF(B242="","",TEXT(B242,"ddd"))</f>
        <v>0</v>
      </c>
      <c r="D242" s="31">
        <f>IF(B242="","",WEEKNUM(B242,IF(WeekStart="Sunday",1,2)))</f>
        <v>0</v>
      </c>
      <c r="E242" s="23">
        <f>IF(B242="","",TEXT(B242,"yyyy-mm"))</f>
        <v>0</v>
      </c>
      <c r="H242" s="23">
        <f>IF(G242="","",IFERROR(INDEX(Jobs!$H$5:$H$604,MATCH(G242,Jobs!$A$5:$A$604,0)),""))</f>
        <v>0</v>
      </c>
      <c r="T242" s="34">
        <f>IF(OR(J242="",K242=""),"",ROUND((K242-J242)*24-IF(L242="",0,L242)/60,2))</f>
        <v>0</v>
      </c>
      <c r="U242" s="34">
        <f>IF(F242="","",IF(M242&lt;&gt;"",M242,IF(T242="",0,T242)))</f>
        <v>0</v>
      </c>
      <c r="V242" s="21">
        <f>IF(F242="","",IFERROR(INDEX(Employees!$U$5:$U$44,MATCH(F242,Employees!$B$5:$B$44,0)),PayRate*(1+EmployerOncost)))</f>
        <v>0</v>
      </c>
      <c r="W242" s="34">
        <f>IF(F242="","",MAX(0,U242-IF(N242="",0,N242)))</f>
        <v>0</v>
      </c>
      <c r="X242" s="21">
        <f>IF(F242="","",ROUND(W242*V242+IF(N242="",0,N242)*V242*OvertimeRate,2))</f>
        <v>0</v>
      </c>
      <c r="Y242" s="21">
        <f>IF(F242="","",IF(P242&lt;&gt;"Yes",0,ROUND(U242*IF(IFERROR(INDEX(Clients!$O$5:$O$204,MATCH(IFERROR(INDEX(Jobs!$G$5:$G$604,MATCH(G242,Jobs!$A$5:$A$604,0)),""),Clients!$A$5:$A$204,0)),0)&gt;0,INDEX(Clients!$O$5:$O$204,MATCH(INDEX(Jobs!$G$5:$G$604,MATCH(G242,Jobs!$A$5:$A$604,0)),Clients!$A$5:$A$204,0)),HourlyRate),2)))</f>
        <v>0</v>
      </c>
      <c r="Z242" s="39">
        <f>IF(F242="","",IF(U242=0,"Add - no hours recorded",IF(O242="Absent - no show","Action - no show",IF(U242&gt;10,"Check - over ten hours in a day",IF(Q242&lt;&gt;"Yes","Due - needs approving",IF(R242&lt;&gt;"Yes","Due - not paid yet","OK"))))))</f>
        <v>0</v>
      </c>
    </row>
    <row r="243" spans="1:26">
      <c r="A243" s="43">
        <f>IF(F243="","","TS-"&amp;TEXT(ROW()-4,"0000"))</f>
        <v>0</v>
      </c>
      <c r="C243" s="23">
        <f>IF(B243="","",TEXT(B243,"ddd"))</f>
        <v>0</v>
      </c>
      <c r="D243" s="31">
        <f>IF(B243="","",WEEKNUM(B243,IF(WeekStart="Sunday",1,2)))</f>
        <v>0</v>
      </c>
      <c r="E243" s="23">
        <f>IF(B243="","",TEXT(B243,"yyyy-mm"))</f>
        <v>0</v>
      </c>
      <c r="H243" s="23">
        <f>IF(G243="","",IFERROR(INDEX(Jobs!$H$5:$H$604,MATCH(G243,Jobs!$A$5:$A$604,0)),""))</f>
        <v>0</v>
      </c>
      <c r="T243" s="34">
        <f>IF(OR(J243="",K243=""),"",ROUND((K243-J243)*24-IF(L243="",0,L243)/60,2))</f>
        <v>0</v>
      </c>
      <c r="U243" s="34">
        <f>IF(F243="","",IF(M243&lt;&gt;"",M243,IF(T243="",0,T243)))</f>
        <v>0</v>
      </c>
      <c r="V243" s="21">
        <f>IF(F243="","",IFERROR(INDEX(Employees!$U$5:$U$44,MATCH(F243,Employees!$B$5:$B$44,0)),PayRate*(1+EmployerOncost)))</f>
        <v>0</v>
      </c>
      <c r="W243" s="34">
        <f>IF(F243="","",MAX(0,U243-IF(N243="",0,N243)))</f>
        <v>0</v>
      </c>
      <c r="X243" s="21">
        <f>IF(F243="","",ROUND(W243*V243+IF(N243="",0,N243)*V243*OvertimeRate,2))</f>
        <v>0</v>
      </c>
      <c r="Y243" s="21">
        <f>IF(F243="","",IF(P243&lt;&gt;"Yes",0,ROUND(U243*IF(IFERROR(INDEX(Clients!$O$5:$O$204,MATCH(IFERROR(INDEX(Jobs!$G$5:$G$604,MATCH(G243,Jobs!$A$5:$A$604,0)),""),Clients!$A$5:$A$204,0)),0)&gt;0,INDEX(Clients!$O$5:$O$204,MATCH(INDEX(Jobs!$G$5:$G$604,MATCH(G243,Jobs!$A$5:$A$604,0)),Clients!$A$5:$A$204,0)),HourlyRate),2)))</f>
        <v>0</v>
      </c>
      <c r="Z243" s="39">
        <f>IF(F243="","",IF(U243=0,"Add - no hours recorded",IF(O243="Absent - no show","Action - no show",IF(U243&gt;10,"Check - over ten hours in a day",IF(Q243&lt;&gt;"Yes","Due - needs approving",IF(R243&lt;&gt;"Yes","Due - not paid yet","OK"))))))</f>
        <v>0</v>
      </c>
    </row>
    <row r="244" spans="1:26">
      <c r="A244" s="43">
        <f>IF(F244="","","TS-"&amp;TEXT(ROW()-4,"0000"))</f>
        <v>0</v>
      </c>
      <c r="C244" s="23">
        <f>IF(B244="","",TEXT(B244,"ddd"))</f>
        <v>0</v>
      </c>
      <c r="D244" s="31">
        <f>IF(B244="","",WEEKNUM(B244,IF(WeekStart="Sunday",1,2)))</f>
        <v>0</v>
      </c>
      <c r="E244" s="23">
        <f>IF(B244="","",TEXT(B244,"yyyy-mm"))</f>
        <v>0</v>
      </c>
      <c r="H244" s="23">
        <f>IF(G244="","",IFERROR(INDEX(Jobs!$H$5:$H$604,MATCH(G244,Jobs!$A$5:$A$604,0)),""))</f>
        <v>0</v>
      </c>
      <c r="T244" s="34">
        <f>IF(OR(J244="",K244=""),"",ROUND((K244-J244)*24-IF(L244="",0,L244)/60,2))</f>
        <v>0</v>
      </c>
      <c r="U244" s="34">
        <f>IF(F244="","",IF(M244&lt;&gt;"",M244,IF(T244="",0,T244)))</f>
        <v>0</v>
      </c>
      <c r="V244" s="21">
        <f>IF(F244="","",IFERROR(INDEX(Employees!$U$5:$U$44,MATCH(F244,Employees!$B$5:$B$44,0)),PayRate*(1+EmployerOncost)))</f>
        <v>0</v>
      </c>
      <c r="W244" s="34">
        <f>IF(F244="","",MAX(0,U244-IF(N244="",0,N244)))</f>
        <v>0</v>
      </c>
      <c r="X244" s="21">
        <f>IF(F244="","",ROUND(W244*V244+IF(N244="",0,N244)*V244*OvertimeRate,2))</f>
        <v>0</v>
      </c>
      <c r="Y244" s="21">
        <f>IF(F244="","",IF(P244&lt;&gt;"Yes",0,ROUND(U244*IF(IFERROR(INDEX(Clients!$O$5:$O$204,MATCH(IFERROR(INDEX(Jobs!$G$5:$G$604,MATCH(G244,Jobs!$A$5:$A$604,0)),""),Clients!$A$5:$A$204,0)),0)&gt;0,INDEX(Clients!$O$5:$O$204,MATCH(INDEX(Jobs!$G$5:$G$604,MATCH(G244,Jobs!$A$5:$A$604,0)),Clients!$A$5:$A$204,0)),HourlyRate),2)))</f>
        <v>0</v>
      </c>
      <c r="Z244" s="39">
        <f>IF(F244="","",IF(U244=0,"Add - no hours recorded",IF(O244="Absent - no show","Action - no show",IF(U244&gt;10,"Check - over ten hours in a day",IF(Q244&lt;&gt;"Yes","Due - needs approving",IF(R244&lt;&gt;"Yes","Due - not paid yet","OK"))))))</f>
        <v>0</v>
      </c>
    </row>
    <row r="245" spans="1:26">
      <c r="A245" s="43">
        <f>IF(F245="","","TS-"&amp;TEXT(ROW()-4,"0000"))</f>
        <v>0</v>
      </c>
      <c r="C245" s="23">
        <f>IF(B245="","",TEXT(B245,"ddd"))</f>
        <v>0</v>
      </c>
      <c r="D245" s="31">
        <f>IF(B245="","",WEEKNUM(B245,IF(WeekStart="Sunday",1,2)))</f>
        <v>0</v>
      </c>
      <c r="E245" s="23">
        <f>IF(B245="","",TEXT(B245,"yyyy-mm"))</f>
        <v>0</v>
      </c>
      <c r="H245" s="23">
        <f>IF(G245="","",IFERROR(INDEX(Jobs!$H$5:$H$604,MATCH(G245,Jobs!$A$5:$A$604,0)),""))</f>
        <v>0</v>
      </c>
      <c r="T245" s="34">
        <f>IF(OR(J245="",K245=""),"",ROUND((K245-J245)*24-IF(L245="",0,L245)/60,2))</f>
        <v>0</v>
      </c>
      <c r="U245" s="34">
        <f>IF(F245="","",IF(M245&lt;&gt;"",M245,IF(T245="",0,T245)))</f>
        <v>0</v>
      </c>
      <c r="V245" s="21">
        <f>IF(F245="","",IFERROR(INDEX(Employees!$U$5:$U$44,MATCH(F245,Employees!$B$5:$B$44,0)),PayRate*(1+EmployerOncost)))</f>
        <v>0</v>
      </c>
      <c r="W245" s="34">
        <f>IF(F245="","",MAX(0,U245-IF(N245="",0,N245)))</f>
        <v>0</v>
      </c>
      <c r="X245" s="21">
        <f>IF(F245="","",ROUND(W245*V245+IF(N245="",0,N245)*V245*OvertimeRate,2))</f>
        <v>0</v>
      </c>
      <c r="Y245" s="21">
        <f>IF(F245="","",IF(P245&lt;&gt;"Yes",0,ROUND(U245*IF(IFERROR(INDEX(Clients!$O$5:$O$204,MATCH(IFERROR(INDEX(Jobs!$G$5:$G$604,MATCH(G245,Jobs!$A$5:$A$604,0)),""),Clients!$A$5:$A$204,0)),0)&gt;0,INDEX(Clients!$O$5:$O$204,MATCH(INDEX(Jobs!$G$5:$G$604,MATCH(G245,Jobs!$A$5:$A$604,0)),Clients!$A$5:$A$204,0)),HourlyRate),2)))</f>
        <v>0</v>
      </c>
      <c r="Z245" s="39">
        <f>IF(F245="","",IF(U245=0,"Add - no hours recorded",IF(O245="Absent - no show","Action - no show",IF(U245&gt;10,"Check - over ten hours in a day",IF(Q245&lt;&gt;"Yes","Due - needs approving",IF(R245&lt;&gt;"Yes","Due - not paid yet","OK"))))))</f>
        <v>0</v>
      </c>
    </row>
    <row r="246" spans="1:26">
      <c r="A246" s="43">
        <f>IF(F246="","","TS-"&amp;TEXT(ROW()-4,"0000"))</f>
        <v>0</v>
      </c>
      <c r="C246" s="23">
        <f>IF(B246="","",TEXT(B246,"ddd"))</f>
        <v>0</v>
      </c>
      <c r="D246" s="31">
        <f>IF(B246="","",WEEKNUM(B246,IF(WeekStart="Sunday",1,2)))</f>
        <v>0</v>
      </c>
      <c r="E246" s="23">
        <f>IF(B246="","",TEXT(B246,"yyyy-mm"))</f>
        <v>0</v>
      </c>
      <c r="H246" s="23">
        <f>IF(G246="","",IFERROR(INDEX(Jobs!$H$5:$H$604,MATCH(G246,Jobs!$A$5:$A$604,0)),""))</f>
        <v>0</v>
      </c>
      <c r="T246" s="34">
        <f>IF(OR(J246="",K246=""),"",ROUND((K246-J246)*24-IF(L246="",0,L246)/60,2))</f>
        <v>0</v>
      </c>
      <c r="U246" s="34">
        <f>IF(F246="","",IF(M246&lt;&gt;"",M246,IF(T246="",0,T246)))</f>
        <v>0</v>
      </c>
      <c r="V246" s="21">
        <f>IF(F246="","",IFERROR(INDEX(Employees!$U$5:$U$44,MATCH(F246,Employees!$B$5:$B$44,0)),PayRate*(1+EmployerOncost)))</f>
        <v>0</v>
      </c>
      <c r="W246" s="34">
        <f>IF(F246="","",MAX(0,U246-IF(N246="",0,N246)))</f>
        <v>0</v>
      </c>
      <c r="X246" s="21">
        <f>IF(F246="","",ROUND(W246*V246+IF(N246="",0,N246)*V246*OvertimeRate,2))</f>
        <v>0</v>
      </c>
      <c r="Y246" s="21">
        <f>IF(F246="","",IF(P246&lt;&gt;"Yes",0,ROUND(U246*IF(IFERROR(INDEX(Clients!$O$5:$O$204,MATCH(IFERROR(INDEX(Jobs!$G$5:$G$604,MATCH(G246,Jobs!$A$5:$A$604,0)),""),Clients!$A$5:$A$204,0)),0)&gt;0,INDEX(Clients!$O$5:$O$204,MATCH(INDEX(Jobs!$G$5:$G$604,MATCH(G246,Jobs!$A$5:$A$604,0)),Clients!$A$5:$A$204,0)),HourlyRate),2)))</f>
        <v>0</v>
      </c>
      <c r="Z246" s="39">
        <f>IF(F246="","",IF(U246=0,"Add - no hours recorded",IF(O246="Absent - no show","Action - no show",IF(U246&gt;10,"Check - over ten hours in a day",IF(Q246&lt;&gt;"Yes","Due - needs approving",IF(R246&lt;&gt;"Yes","Due - not paid yet","OK"))))))</f>
        <v>0</v>
      </c>
    </row>
    <row r="247" spans="1:26">
      <c r="A247" s="43">
        <f>IF(F247="","","TS-"&amp;TEXT(ROW()-4,"0000"))</f>
        <v>0</v>
      </c>
      <c r="C247" s="23">
        <f>IF(B247="","",TEXT(B247,"ddd"))</f>
        <v>0</v>
      </c>
      <c r="D247" s="31">
        <f>IF(B247="","",WEEKNUM(B247,IF(WeekStart="Sunday",1,2)))</f>
        <v>0</v>
      </c>
      <c r="E247" s="23">
        <f>IF(B247="","",TEXT(B247,"yyyy-mm"))</f>
        <v>0</v>
      </c>
      <c r="H247" s="23">
        <f>IF(G247="","",IFERROR(INDEX(Jobs!$H$5:$H$604,MATCH(G247,Jobs!$A$5:$A$604,0)),""))</f>
        <v>0</v>
      </c>
      <c r="T247" s="34">
        <f>IF(OR(J247="",K247=""),"",ROUND((K247-J247)*24-IF(L247="",0,L247)/60,2))</f>
        <v>0</v>
      </c>
      <c r="U247" s="34">
        <f>IF(F247="","",IF(M247&lt;&gt;"",M247,IF(T247="",0,T247)))</f>
        <v>0</v>
      </c>
      <c r="V247" s="21">
        <f>IF(F247="","",IFERROR(INDEX(Employees!$U$5:$U$44,MATCH(F247,Employees!$B$5:$B$44,0)),PayRate*(1+EmployerOncost)))</f>
        <v>0</v>
      </c>
      <c r="W247" s="34">
        <f>IF(F247="","",MAX(0,U247-IF(N247="",0,N247)))</f>
        <v>0</v>
      </c>
      <c r="X247" s="21">
        <f>IF(F247="","",ROUND(W247*V247+IF(N247="",0,N247)*V247*OvertimeRate,2))</f>
        <v>0</v>
      </c>
      <c r="Y247" s="21">
        <f>IF(F247="","",IF(P247&lt;&gt;"Yes",0,ROUND(U247*IF(IFERROR(INDEX(Clients!$O$5:$O$204,MATCH(IFERROR(INDEX(Jobs!$G$5:$G$604,MATCH(G247,Jobs!$A$5:$A$604,0)),""),Clients!$A$5:$A$204,0)),0)&gt;0,INDEX(Clients!$O$5:$O$204,MATCH(INDEX(Jobs!$G$5:$G$604,MATCH(G247,Jobs!$A$5:$A$604,0)),Clients!$A$5:$A$204,0)),HourlyRate),2)))</f>
        <v>0</v>
      </c>
      <c r="Z247" s="39">
        <f>IF(F247="","",IF(U247=0,"Add - no hours recorded",IF(O247="Absent - no show","Action - no show",IF(U247&gt;10,"Check - over ten hours in a day",IF(Q247&lt;&gt;"Yes","Due - needs approving",IF(R247&lt;&gt;"Yes","Due - not paid yet","OK"))))))</f>
        <v>0</v>
      </c>
    </row>
    <row r="248" spans="1:26">
      <c r="A248" s="43">
        <f>IF(F248="","","TS-"&amp;TEXT(ROW()-4,"0000"))</f>
        <v>0</v>
      </c>
      <c r="C248" s="23">
        <f>IF(B248="","",TEXT(B248,"ddd"))</f>
        <v>0</v>
      </c>
      <c r="D248" s="31">
        <f>IF(B248="","",WEEKNUM(B248,IF(WeekStart="Sunday",1,2)))</f>
        <v>0</v>
      </c>
      <c r="E248" s="23">
        <f>IF(B248="","",TEXT(B248,"yyyy-mm"))</f>
        <v>0</v>
      </c>
      <c r="H248" s="23">
        <f>IF(G248="","",IFERROR(INDEX(Jobs!$H$5:$H$604,MATCH(G248,Jobs!$A$5:$A$604,0)),""))</f>
        <v>0</v>
      </c>
      <c r="T248" s="34">
        <f>IF(OR(J248="",K248=""),"",ROUND((K248-J248)*24-IF(L248="",0,L248)/60,2))</f>
        <v>0</v>
      </c>
      <c r="U248" s="34">
        <f>IF(F248="","",IF(M248&lt;&gt;"",M248,IF(T248="",0,T248)))</f>
        <v>0</v>
      </c>
      <c r="V248" s="21">
        <f>IF(F248="","",IFERROR(INDEX(Employees!$U$5:$U$44,MATCH(F248,Employees!$B$5:$B$44,0)),PayRate*(1+EmployerOncost)))</f>
        <v>0</v>
      </c>
      <c r="W248" s="34">
        <f>IF(F248="","",MAX(0,U248-IF(N248="",0,N248)))</f>
        <v>0</v>
      </c>
      <c r="X248" s="21">
        <f>IF(F248="","",ROUND(W248*V248+IF(N248="",0,N248)*V248*OvertimeRate,2))</f>
        <v>0</v>
      </c>
      <c r="Y248" s="21">
        <f>IF(F248="","",IF(P248&lt;&gt;"Yes",0,ROUND(U248*IF(IFERROR(INDEX(Clients!$O$5:$O$204,MATCH(IFERROR(INDEX(Jobs!$G$5:$G$604,MATCH(G248,Jobs!$A$5:$A$604,0)),""),Clients!$A$5:$A$204,0)),0)&gt;0,INDEX(Clients!$O$5:$O$204,MATCH(INDEX(Jobs!$G$5:$G$604,MATCH(G248,Jobs!$A$5:$A$604,0)),Clients!$A$5:$A$204,0)),HourlyRate),2)))</f>
        <v>0</v>
      </c>
      <c r="Z248" s="39">
        <f>IF(F248="","",IF(U248=0,"Add - no hours recorded",IF(O248="Absent - no show","Action - no show",IF(U248&gt;10,"Check - over ten hours in a day",IF(Q248&lt;&gt;"Yes","Due - needs approving",IF(R248&lt;&gt;"Yes","Due - not paid yet","OK"))))))</f>
        <v>0</v>
      </c>
    </row>
    <row r="249" spans="1:26">
      <c r="A249" s="43">
        <f>IF(F249="","","TS-"&amp;TEXT(ROW()-4,"0000"))</f>
        <v>0</v>
      </c>
      <c r="C249" s="23">
        <f>IF(B249="","",TEXT(B249,"ddd"))</f>
        <v>0</v>
      </c>
      <c r="D249" s="31">
        <f>IF(B249="","",WEEKNUM(B249,IF(WeekStart="Sunday",1,2)))</f>
        <v>0</v>
      </c>
      <c r="E249" s="23">
        <f>IF(B249="","",TEXT(B249,"yyyy-mm"))</f>
        <v>0</v>
      </c>
      <c r="H249" s="23">
        <f>IF(G249="","",IFERROR(INDEX(Jobs!$H$5:$H$604,MATCH(G249,Jobs!$A$5:$A$604,0)),""))</f>
        <v>0</v>
      </c>
      <c r="T249" s="34">
        <f>IF(OR(J249="",K249=""),"",ROUND((K249-J249)*24-IF(L249="",0,L249)/60,2))</f>
        <v>0</v>
      </c>
      <c r="U249" s="34">
        <f>IF(F249="","",IF(M249&lt;&gt;"",M249,IF(T249="",0,T249)))</f>
        <v>0</v>
      </c>
      <c r="V249" s="21">
        <f>IF(F249="","",IFERROR(INDEX(Employees!$U$5:$U$44,MATCH(F249,Employees!$B$5:$B$44,0)),PayRate*(1+EmployerOncost)))</f>
        <v>0</v>
      </c>
      <c r="W249" s="34">
        <f>IF(F249="","",MAX(0,U249-IF(N249="",0,N249)))</f>
        <v>0</v>
      </c>
      <c r="X249" s="21">
        <f>IF(F249="","",ROUND(W249*V249+IF(N249="",0,N249)*V249*OvertimeRate,2))</f>
        <v>0</v>
      </c>
      <c r="Y249" s="21">
        <f>IF(F249="","",IF(P249&lt;&gt;"Yes",0,ROUND(U249*IF(IFERROR(INDEX(Clients!$O$5:$O$204,MATCH(IFERROR(INDEX(Jobs!$G$5:$G$604,MATCH(G249,Jobs!$A$5:$A$604,0)),""),Clients!$A$5:$A$204,0)),0)&gt;0,INDEX(Clients!$O$5:$O$204,MATCH(INDEX(Jobs!$G$5:$G$604,MATCH(G249,Jobs!$A$5:$A$604,0)),Clients!$A$5:$A$204,0)),HourlyRate),2)))</f>
        <v>0</v>
      </c>
      <c r="Z249" s="39">
        <f>IF(F249="","",IF(U249=0,"Add - no hours recorded",IF(O249="Absent - no show","Action - no show",IF(U249&gt;10,"Check - over ten hours in a day",IF(Q249&lt;&gt;"Yes","Due - needs approving",IF(R249&lt;&gt;"Yes","Due - not paid yet","OK"))))))</f>
        <v>0</v>
      </c>
    </row>
    <row r="250" spans="1:26">
      <c r="A250" s="43">
        <f>IF(F250="","","TS-"&amp;TEXT(ROW()-4,"0000"))</f>
        <v>0</v>
      </c>
      <c r="C250" s="23">
        <f>IF(B250="","",TEXT(B250,"ddd"))</f>
        <v>0</v>
      </c>
      <c r="D250" s="31">
        <f>IF(B250="","",WEEKNUM(B250,IF(WeekStart="Sunday",1,2)))</f>
        <v>0</v>
      </c>
      <c r="E250" s="23">
        <f>IF(B250="","",TEXT(B250,"yyyy-mm"))</f>
        <v>0</v>
      </c>
      <c r="H250" s="23">
        <f>IF(G250="","",IFERROR(INDEX(Jobs!$H$5:$H$604,MATCH(G250,Jobs!$A$5:$A$604,0)),""))</f>
        <v>0</v>
      </c>
      <c r="T250" s="34">
        <f>IF(OR(J250="",K250=""),"",ROUND((K250-J250)*24-IF(L250="",0,L250)/60,2))</f>
        <v>0</v>
      </c>
      <c r="U250" s="34">
        <f>IF(F250="","",IF(M250&lt;&gt;"",M250,IF(T250="",0,T250)))</f>
        <v>0</v>
      </c>
      <c r="V250" s="21">
        <f>IF(F250="","",IFERROR(INDEX(Employees!$U$5:$U$44,MATCH(F250,Employees!$B$5:$B$44,0)),PayRate*(1+EmployerOncost)))</f>
        <v>0</v>
      </c>
      <c r="W250" s="34">
        <f>IF(F250="","",MAX(0,U250-IF(N250="",0,N250)))</f>
        <v>0</v>
      </c>
      <c r="X250" s="21">
        <f>IF(F250="","",ROUND(W250*V250+IF(N250="",0,N250)*V250*OvertimeRate,2))</f>
        <v>0</v>
      </c>
      <c r="Y250" s="21">
        <f>IF(F250="","",IF(P250&lt;&gt;"Yes",0,ROUND(U250*IF(IFERROR(INDEX(Clients!$O$5:$O$204,MATCH(IFERROR(INDEX(Jobs!$G$5:$G$604,MATCH(G250,Jobs!$A$5:$A$604,0)),""),Clients!$A$5:$A$204,0)),0)&gt;0,INDEX(Clients!$O$5:$O$204,MATCH(INDEX(Jobs!$G$5:$G$604,MATCH(G250,Jobs!$A$5:$A$604,0)),Clients!$A$5:$A$204,0)),HourlyRate),2)))</f>
        <v>0</v>
      </c>
      <c r="Z250" s="39">
        <f>IF(F250="","",IF(U250=0,"Add - no hours recorded",IF(O250="Absent - no show","Action - no show",IF(U250&gt;10,"Check - over ten hours in a day",IF(Q250&lt;&gt;"Yes","Due - needs approving",IF(R250&lt;&gt;"Yes","Due - not paid yet","OK"))))))</f>
        <v>0</v>
      </c>
    </row>
    <row r="251" spans="1:26">
      <c r="A251" s="43">
        <f>IF(F251="","","TS-"&amp;TEXT(ROW()-4,"0000"))</f>
        <v>0</v>
      </c>
      <c r="C251" s="23">
        <f>IF(B251="","",TEXT(B251,"ddd"))</f>
        <v>0</v>
      </c>
      <c r="D251" s="31">
        <f>IF(B251="","",WEEKNUM(B251,IF(WeekStart="Sunday",1,2)))</f>
        <v>0</v>
      </c>
      <c r="E251" s="23">
        <f>IF(B251="","",TEXT(B251,"yyyy-mm"))</f>
        <v>0</v>
      </c>
      <c r="H251" s="23">
        <f>IF(G251="","",IFERROR(INDEX(Jobs!$H$5:$H$604,MATCH(G251,Jobs!$A$5:$A$604,0)),""))</f>
        <v>0</v>
      </c>
      <c r="T251" s="34">
        <f>IF(OR(J251="",K251=""),"",ROUND((K251-J251)*24-IF(L251="",0,L251)/60,2))</f>
        <v>0</v>
      </c>
      <c r="U251" s="34">
        <f>IF(F251="","",IF(M251&lt;&gt;"",M251,IF(T251="",0,T251)))</f>
        <v>0</v>
      </c>
      <c r="V251" s="21">
        <f>IF(F251="","",IFERROR(INDEX(Employees!$U$5:$U$44,MATCH(F251,Employees!$B$5:$B$44,0)),PayRate*(1+EmployerOncost)))</f>
        <v>0</v>
      </c>
      <c r="W251" s="34">
        <f>IF(F251="","",MAX(0,U251-IF(N251="",0,N251)))</f>
        <v>0</v>
      </c>
      <c r="X251" s="21">
        <f>IF(F251="","",ROUND(W251*V251+IF(N251="",0,N251)*V251*OvertimeRate,2))</f>
        <v>0</v>
      </c>
      <c r="Y251" s="21">
        <f>IF(F251="","",IF(P251&lt;&gt;"Yes",0,ROUND(U251*IF(IFERROR(INDEX(Clients!$O$5:$O$204,MATCH(IFERROR(INDEX(Jobs!$G$5:$G$604,MATCH(G251,Jobs!$A$5:$A$604,0)),""),Clients!$A$5:$A$204,0)),0)&gt;0,INDEX(Clients!$O$5:$O$204,MATCH(INDEX(Jobs!$G$5:$G$604,MATCH(G251,Jobs!$A$5:$A$604,0)),Clients!$A$5:$A$204,0)),HourlyRate),2)))</f>
        <v>0</v>
      </c>
      <c r="Z251" s="39">
        <f>IF(F251="","",IF(U251=0,"Add - no hours recorded",IF(O251="Absent - no show","Action - no show",IF(U251&gt;10,"Check - over ten hours in a day",IF(Q251&lt;&gt;"Yes","Due - needs approving",IF(R251&lt;&gt;"Yes","Due - not paid yet","OK"))))))</f>
        <v>0</v>
      </c>
    </row>
    <row r="252" spans="1:26">
      <c r="A252" s="43">
        <f>IF(F252="","","TS-"&amp;TEXT(ROW()-4,"0000"))</f>
        <v>0</v>
      </c>
      <c r="C252" s="23">
        <f>IF(B252="","",TEXT(B252,"ddd"))</f>
        <v>0</v>
      </c>
      <c r="D252" s="31">
        <f>IF(B252="","",WEEKNUM(B252,IF(WeekStart="Sunday",1,2)))</f>
        <v>0</v>
      </c>
      <c r="E252" s="23">
        <f>IF(B252="","",TEXT(B252,"yyyy-mm"))</f>
        <v>0</v>
      </c>
      <c r="H252" s="23">
        <f>IF(G252="","",IFERROR(INDEX(Jobs!$H$5:$H$604,MATCH(G252,Jobs!$A$5:$A$604,0)),""))</f>
        <v>0</v>
      </c>
      <c r="T252" s="34">
        <f>IF(OR(J252="",K252=""),"",ROUND((K252-J252)*24-IF(L252="",0,L252)/60,2))</f>
        <v>0</v>
      </c>
      <c r="U252" s="34">
        <f>IF(F252="","",IF(M252&lt;&gt;"",M252,IF(T252="",0,T252)))</f>
        <v>0</v>
      </c>
      <c r="V252" s="21">
        <f>IF(F252="","",IFERROR(INDEX(Employees!$U$5:$U$44,MATCH(F252,Employees!$B$5:$B$44,0)),PayRate*(1+EmployerOncost)))</f>
        <v>0</v>
      </c>
      <c r="W252" s="34">
        <f>IF(F252="","",MAX(0,U252-IF(N252="",0,N252)))</f>
        <v>0</v>
      </c>
      <c r="X252" s="21">
        <f>IF(F252="","",ROUND(W252*V252+IF(N252="",0,N252)*V252*OvertimeRate,2))</f>
        <v>0</v>
      </c>
      <c r="Y252" s="21">
        <f>IF(F252="","",IF(P252&lt;&gt;"Yes",0,ROUND(U252*IF(IFERROR(INDEX(Clients!$O$5:$O$204,MATCH(IFERROR(INDEX(Jobs!$G$5:$G$604,MATCH(G252,Jobs!$A$5:$A$604,0)),""),Clients!$A$5:$A$204,0)),0)&gt;0,INDEX(Clients!$O$5:$O$204,MATCH(INDEX(Jobs!$G$5:$G$604,MATCH(G252,Jobs!$A$5:$A$604,0)),Clients!$A$5:$A$204,0)),HourlyRate),2)))</f>
        <v>0</v>
      </c>
      <c r="Z252" s="39">
        <f>IF(F252="","",IF(U252=0,"Add - no hours recorded",IF(O252="Absent - no show","Action - no show",IF(U252&gt;10,"Check - over ten hours in a day",IF(Q252&lt;&gt;"Yes","Due - needs approving",IF(R252&lt;&gt;"Yes","Due - not paid yet","OK"))))))</f>
        <v>0</v>
      </c>
    </row>
    <row r="253" spans="1:26">
      <c r="A253" s="43">
        <f>IF(F253="","","TS-"&amp;TEXT(ROW()-4,"0000"))</f>
        <v>0</v>
      </c>
      <c r="C253" s="23">
        <f>IF(B253="","",TEXT(B253,"ddd"))</f>
        <v>0</v>
      </c>
      <c r="D253" s="31">
        <f>IF(B253="","",WEEKNUM(B253,IF(WeekStart="Sunday",1,2)))</f>
        <v>0</v>
      </c>
      <c r="E253" s="23">
        <f>IF(B253="","",TEXT(B253,"yyyy-mm"))</f>
        <v>0</v>
      </c>
      <c r="H253" s="23">
        <f>IF(G253="","",IFERROR(INDEX(Jobs!$H$5:$H$604,MATCH(G253,Jobs!$A$5:$A$604,0)),""))</f>
        <v>0</v>
      </c>
      <c r="T253" s="34">
        <f>IF(OR(J253="",K253=""),"",ROUND((K253-J253)*24-IF(L253="",0,L253)/60,2))</f>
        <v>0</v>
      </c>
      <c r="U253" s="34">
        <f>IF(F253="","",IF(M253&lt;&gt;"",M253,IF(T253="",0,T253)))</f>
        <v>0</v>
      </c>
      <c r="V253" s="21">
        <f>IF(F253="","",IFERROR(INDEX(Employees!$U$5:$U$44,MATCH(F253,Employees!$B$5:$B$44,0)),PayRate*(1+EmployerOncost)))</f>
        <v>0</v>
      </c>
      <c r="W253" s="34">
        <f>IF(F253="","",MAX(0,U253-IF(N253="",0,N253)))</f>
        <v>0</v>
      </c>
      <c r="X253" s="21">
        <f>IF(F253="","",ROUND(W253*V253+IF(N253="",0,N253)*V253*OvertimeRate,2))</f>
        <v>0</v>
      </c>
      <c r="Y253" s="21">
        <f>IF(F253="","",IF(P253&lt;&gt;"Yes",0,ROUND(U253*IF(IFERROR(INDEX(Clients!$O$5:$O$204,MATCH(IFERROR(INDEX(Jobs!$G$5:$G$604,MATCH(G253,Jobs!$A$5:$A$604,0)),""),Clients!$A$5:$A$204,0)),0)&gt;0,INDEX(Clients!$O$5:$O$204,MATCH(INDEX(Jobs!$G$5:$G$604,MATCH(G253,Jobs!$A$5:$A$604,0)),Clients!$A$5:$A$204,0)),HourlyRate),2)))</f>
        <v>0</v>
      </c>
      <c r="Z253" s="39">
        <f>IF(F253="","",IF(U253=0,"Add - no hours recorded",IF(O253="Absent - no show","Action - no show",IF(U253&gt;10,"Check - over ten hours in a day",IF(Q253&lt;&gt;"Yes","Due - needs approving",IF(R253&lt;&gt;"Yes","Due - not paid yet","OK"))))))</f>
        <v>0</v>
      </c>
    </row>
    <row r="254" spans="1:26">
      <c r="A254" s="43">
        <f>IF(F254="","","TS-"&amp;TEXT(ROW()-4,"0000"))</f>
        <v>0</v>
      </c>
      <c r="C254" s="23">
        <f>IF(B254="","",TEXT(B254,"ddd"))</f>
        <v>0</v>
      </c>
      <c r="D254" s="31">
        <f>IF(B254="","",WEEKNUM(B254,IF(WeekStart="Sunday",1,2)))</f>
        <v>0</v>
      </c>
      <c r="E254" s="23">
        <f>IF(B254="","",TEXT(B254,"yyyy-mm"))</f>
        <v>0</v>
      </c>
      <c r="H254" s="23">
        <f>IF(G254="","",IFERROR(INDEX(Jobs!$H$5:$H$604,MATCH(G254,Jobs!$A$5:$A$604,0)),""))</f>
        <v>0</v>
      </c>
      <c r="T254" s="34">
        <f>IF(OR(J254="",K254=""),"",ROUND((K254-J254)*24-IF(L254="",0,L254)/60,2))</f>
        <v>0</v>
      </c>
      <c r="U254" s="34">
        <f>IF(F254="","",IF(M254&lt;&gt;"",M254,IF(T254="",0,T254)))</f>
        <v>0</v>
      </c>
      <c r="V254" s="21">
        <f>IF(F254="","",IFERROR(INDEX(Employees!$U$5:$U$44,MATCH(F254,Employees!$B$5:$B$44,0)),PayRate*(1+EmployerOncost)))</f>
        <v>0</v>
      </c>
      <c r="W254" s="34">
        <f>IF(F254="","",MAX(0,U254-IF(N254="",0,N254)))</f>
        <v>0</v>
      </c>
      <c r="X254" s="21">
        <f>IF(F254="","",ROUND(W254*V254+IF(N254="",0,N254)*V254*OvertimeRate,2))</f>
        <v>0</v>
      </c>
      <c r="Y254" s="21">
        <f>IF(F254="","",IF(P254&lt;&gt;"Yes",0,ROUND(U254*IF(IFERROR(INDEX(Clients!$O$5:$O$204,MATCH(IFERROR(INDEX(Jobs!$G$5:$G$604,MATCH(G254,Jobs!$A$5:$A$604,0)),""),Clients!$A$5:$A$204,0)),0)&gt;0,INDEX(Clients!$O$5:$O$204,MATCH(INDEX(Jobs!$G$5:$G$604,MATCH(G254,Jobs!$A$5:$A$604,0)),Clients!$A$5:$A$204,0)),HourlyRate),2)))</f>
        <v>0</v>
      </c>
      <c r="Z254" s="39">
        <f>IF(F254="","",IF(U254=0,"Add - no hours recorded",IF(O254="Absent - no show","Action - no show",IF(U254&gt;10,"Check - over ten hours in a day",IF(Q254&lt;&gt;"Yes","Due - needs approving",IF(R254&lt;&gt;"Yes","Due - not paid yet","OK"))))))</f>
        <v>0</v>
      </c>
    </row>
    <row r="255" spans="1:26">
      <c r="A255" s="43">
        <f>IF(F255="","","TS-"&amp;TEXT(ROW()-4,"0000"))</f>
        <v>0</v>
      </c>
      <c r="C255" s="23">
        <f>IF(B255="","",TEXT(B255,"ddd"))</f>
        <v>0</v>
      </c>
      <c r="D255" s="31">
        <f>IF(B255="","",WEEKNUM(B255,IF(WeekStart="Sunday",1,2)))</f>
        <v>0</v>
      </c>
      <c r="E255" s="23">
        <f>IF(B255="","",TEXT(B255,"yyyy-mm"))</f>
        <v>0</v>
      </c>
      <c r="H255" s="23">
        <f>IF(G255="","",IFERROR(INDEX(Jobs!$H$5:$H$604,MATCH(G255,Jobs!$A$5:$A$604,0)),""))</f>
        <v>0</v>
      </c>
      <c r="T255" s="34">
        <f>IF(OR(J255="",K255=""),"",ROUND((K255-J255)*24-IF(L255="",0,L255)/60,2))</f>
        <v>0</v>
      </c>
      <c r="U255" s="34">
        <f>IF(F255="","",IF(M255&lt;&gt;"",M255,IF(T255="",0,T255)))</f>
        <v>0</v>
      </c>
      <c r="V255" s="21">
        <f>IF(F255="","",IFERROR(INDEX(Employees!$U$5:$U$44,MATCH(F255,Employees!$B$5:$B$44,0)),PayRate*(1+EmployerOncost)))</f>
        <v>0</v>
      </c>
      <c r="W255" s="34">
        <f>IF(F255="","",MAX(0,U255-IF(N255="",0,N255)))</f>
        <v>0</v>
      </c>
      <c r="X255" s="21">
        <f>IF(F255="","",ROUND(W255*V255+IF(N255="",0,N255)*V255*OvertimeRate,2))</f>
        <v>0</v>
      </c>
      <c r="Y255" s="21">
        <f>IF(F255="","",IF(P255&lt;&gt;"Yes",0,ROUND(U255*IF(IFERROR(INDEX(Clients!$O$5:$O$204,MATCH(IFERROR(INDEX(Jobs!$G$5:$G$604,MATCH(G255,Jobs!$A$5:$A$604,0)),""),Clients!$A$5:$A$204,0)),0)&gt;0,INDEX(Clients!$O$5:$O$204,MATCH(INDEX(Jobs!$G$5:$G$604,MATCH(G255,Jobs!$A$5:$A$604,0)),Clients!$A$5:$A$204,0)),HourlyRate),2)))</f>
        <v>0</v>
      </c>
      <c r="Z255" s="39">
        <f>IF(F255="","",IF(U255=0,"Add - no hours recorded",IF(O255="Absent - no show","Action - no show",IF(U255&gt;10,"Check - over ten hours in a day",IF(Q255&lt;&gt;"Yes","Due - needs approving",IF(R255&lt;&gt;"Yes","Due - not paid yet","OK"))))))</f>
        <v>0</v>
      </c>
    </row>
    <row r="256" spans="1:26">
      <c r="A256" s="43">
        <f>IF(F256="","","TS-"&amp;TEXT(ROW()-4,"0000"))</f>
        <v>0</v>
      </c>
      <c r="C256" s="23">
        <f>IF(B256="","",TEXT(B256,"ddd"))</f>
        <v>0</v>
      </c>
      <c r="D256" s="31">
        <f>IF(B256="","",WEEKNUM(B256,IF(WeekStart="Sunday",1,2)))</f>
        <v>0</v>
      </c>
      <c r="E256" s="23">
        <f>IF(B256="","",TEXT(B256,"yyyy-mm"))</f>
        <v>0</v>
      </c>
      <c r="H256" s="23">
        <f>IF(G256="","",IFERROR(INDEX(Jobs!$H$5:$H$604,MATCH(G256,Jobs!$A$5:$A$604,0)),""))</f>
        <v>0</v>
      </c>
      <c r="T256" s="34">
        <f>IF(OR(J256="",K256=""),"",ROUND((K256-J256)*24-IF(L256="",0,L256)/60,2))</f>
        <v>0</v>
      </c>
      <c r="U256" s="34">
        <f>IF(F256="","",IF(M256&lt;&gt;"",M256,IF(T256="",0,T256)))</f>
        <v>0</v>
      </c>
      <c r="V256" s="21">
        <f>IF(F256="","",IFERROR(INDEX(Employees!$U$5:$U$44,MATCH(F256,Employees!$B$5:$B$44,0)),PayRate*(1+EmployerOncost)))</f>
        <v>0</v>
      </c>
      <c r="W256" s="34">
        <f>IF(F256="","",MAX(0,U256-IF(N256="",0,N256)))</f>
        <v>0</v>
      </c>
      <c r="X256" s="21">
        <f>IF(F256="","",ROUND(W256*V256+IF(N256="",0,N256)*V256*OvertimeRate,2))</f>
        <v>0</v>
      </c>
      <c r="Y256" s="21">
        <f>IF(F256="","",IF(P256&lt;&gt;"Yes",0,ROUND(U256*IF(IFERROR(INDEX(Clients!$O$5:$O$204,MATCH(IFERROR(INDEX(Jobs!$G$5:$G$604,MATCH(G256,Jobs!$A$5:$A$604,0)),""),Clients!$A$5:$A$204,0)),0)&gt;0,INDEX(Clients!$O$5:$O$204,MATCH(INDEX(Jobs!$G$5:$G$604,MATCH(G256,Jobs!$A$5:$A$604,0)),Clients!$A$5:$A$204,0)),HourlyRate),2)))</f>
        <v>0</v>
      </c>
      <c r="Z256" s="39">
        <f>IF(F256="","",IF(U256=0,"Add - no hours recorded",IF(O256="Absent - no show","Action - no show",IF(U256&gt;10,"Check - over ten hours in a day",IF(Q256&lt;&gt;"Yes","Due - needs approving",IF(R256&lt;&gt;"Yes","Due - not paid yet","OK"))))))</f>
        <v>0</v>
      </c>
    </row>
    <row r="257" spans="1:26">
      <c r="A257" s="43">
        <f>IF(F257="","","TS-"&amp;TEXT(ROW()-4,"0000"))</f>
        <v>0</v>
      </c>
      <c r="C257" s="23">
        <f>IF(B257="","",TEXT(B257,"ddd"))</f>
        <v>0</v>
      </c>
      <c r="D257" s="31">
        <f>IF(B257="","",WEEKNUM(B257,IF(WeekStart="Sunday",1,2)))</f>
        <v>0</v>
      </c>
      <c r="E257" s="23">
        <f>IF(B257="","",TEXT(B257,"yyyy-mm"))</f>
        <v>0</v>
      </c>
      <c r="H257" s="23">
        <f>IF(G257="","",IFERROR(INDEX(Jobs!$H$5:$H$604,MATCH(G257,Jobs!$A$5:$A$604,0)),""))</f>
        <v>0</v>
      </c>
      <c r="T257" s="34">
        <f>IF(OR(J257="",K257=""),"",ROUND((K257-J257)*24-IF(L257="",0,L257)/60,2))</f>
        <v>0</v>
      </c>
      <c r="U257" s="34">
        <f>IF(F257="","",IF(M257&lt;&gt;"",M257,IF(T257="",0,T257)))</f>
        <v>0</v>
      </c>
      <c r="V257" s="21">
        <f>IF(F257="","",IFERROR(INDEX(Employees!$U$5:$U$44,MATCH(F257,Employees!$B$5:$B$44,0)),PayRate*(1+EmployerOncost)))</f>
        <v>0</v>
      </c>
      <c r="W257" s="34">
        <f>IF(F257="","",MAX(0,U257-IF(N257="",0,N257)))</f>
        <v>0</v>
      </c>
      <c r="X257" s="21">
        <f>IF(F257="","",ROUND(W257*V257+IF(N257="",0,N257)*V257*OvertimeRate,2))</f>
        <v>0</v>
      </c>
      <c r="Y257" s="21">
        <f>IF(F257="","",IF(P257&lt;&gt;"Yes",0,ROUND(U257*IF(IFERROR(INDEX(Clients!$O$5:$O$204,MATCH(IFERROR(INDEX(Jobs!$G$5:$G$604,MATCH(G257,Jobs!$A$5:$A$604,0)),""),Clients!$A$5:$A$204,0)),0)&gt;0,INDEX(Clients!$O$5:$O$204,MATCH(INDEX(Jobs!$G$5:$G$604,MATCH(G257,Jobs!$A$5:$A$604,0)),Clients!$A$5:$A$204,0)),HourlyRate),2)))</f>
        <v>0</v>
      </c>
      <c r="Z257" s="39">
        <f>IF(F257="","",IF(U257=0,"Add - no hours recorded",IF(O257="Absent - no show","Action - no show",IF(U257&gt;10,"Check - over ten hours in a day",IF(Q257&lt;&gt;"Yes","Due - needs approving",IF(R257&lt;&gt;"Yes","Due - not paid yet","OK"))))))</f>
        <v>0</v>
      </c>
    </row>
    <row r="258" spans="1:26">
      <c r="A258" s="43">
        <f>IF(F258="","","TS-"&amp;TEXT(ROW()-4,"0000"))</f>
        <v>0</v>
      </c>
      <c r="C258" s="23">
        <f>IF(B258="","",TEXT(B258,"ddd"))</f>
        <v>0</v>
      </c>
      <c r="D258" s="31">
        <f>IF(B258="","",WEEKNUM(B258,IF(WeekStart="Sunday",1,2)))</f>
        <v>0</v>
      </c>
      <c r="E258" s="23">
        <f>IF(B258="","",TEXT(B258,"yyyy-mm"))</f>
        <v>0</v>
      </c>
      <c r="H258" s="23">
        <f>IF(G258="","",IFERROR(INDEX(Jobs!$H$5:$H$604,MATCH(G258,Jobs!$A$5:$A$604,0)),""))</f>
        <v>0</v>
      </c>
      <c r="T258" s="34">
        <f>IF(OR(J258="",K258=""),"",ROUND((K258-J258)*24-IF(L258="",0,L258)/60,2))</f>
        <v>0</v>
      </c>
      <c r="U258" s="34">
        <f>IF(F258="","",IF(M258&lt;&gt;"",M258,IF(T258="",0,T258)))</f>
        <v>0</v>
      </c>
      <c r="V258" s="21">
        <f>IF(F258="","",IFERROR(INDEX(Employees!$U$5:$U$44,MATCH(F258,Employees!$B$5:$B$44,0)),PayRate*(1+EmployerOncost)))</f>
        <v>0</v>
      </c>
      <c r="W258" s="34">
        <f>IF(F258="","",MAX(0,U258-IF(N258="",0,N258)))</f>
        <v>0</v>
      </c>
      <c r="X258" s="21">
        <f>IF(F258="","",ROUND(W258*V258+IF(N258="",0,N258)*V258*OvertimeRate,2))</f>
        <v>0</v>
      </c>
      <c r="Y258" s="21">
        <f>IF(F258="","",IF(P258&lt;&gt;"Yes",0,ROUND(U258*IF(IFERROR(INDEX(Clients!$O$5:$O$204,MATCH(IFERROR(INDEX(Jobs!$G$5:$G$604,MATCH(G258,Jobs!$A$5:$A$604,0)),""),Clients!$A$5:$A$204,0)),0)&gt;0,INDEX(Clients!$O$5:$O$204,MATCH(INDEX(Jobs!$G$5:$G$604,MATCH(G258,Jobs!$A$5:$A$604,0)),Clients!$A$5:$A$204,0)),HourlyRate),2)))</f>
        <v>0</v>
      </c>
      <c r="Z258" s="39">
        <f>IF(F258="","",IF(U258=0,"Add - no hours recorded",IF(O258="Absent - no show","Action - no show",IF(U258&gt;10,"Check - over ten hours in a day",IF(Q258&lt;&gt;"Yes","Due - needs approving",IF(R258&lt;&gt;"Yes","Due - not paid yet","OK"))))))</f>
        <v>0</v>
      </c>
    </row>
    <row r="259" spans="1:26">
      <c r="A259" s="43">
        <f>IF(F259="","","TS-"&amp;TEXT(ROW()-4,"0000"))</f>
        <v>0</v>
      </c>
      <c r="C259" s="23">
        <f>IF(B259="","",TEXT(B259,"ddd"))</f>
        <v>0</v>
      </c>
      <c r="D259" s="31">
        <f>IF(B259="","",WEEKNUM(B259,IF(WeekStart="Sunday",1,2)))</f>
        <v>0</v>
      </c>
      <c r="E259" s="23">
        <f>IF(B259="","",TEXT(B259,"yyyy-mm"))</f>
        <v>0</v>
      </c>
      <c r="H259" s="23">
        <f>IF(G259="","",IFERROR(INDEX(Jobs!$H$5:$H$604,MATCH(G259,Jobs!$A$5:$A$604,0)),""))</f>
        <v>0</v>
      </c>
      <c r="T259" s="34">
        <f>IF(OR(J259="",K259=""),"",ROUND((K259-J259)*24-IF(L259="",0,L259)/60,2))</f>
        <v>0</v>
      </c>
      <c r="U259" s="34">
        <f>IF(F259="","",IF(M259&lt;&gt;"",M259,IF(T259="",0,T259)))</f>
        <v>0</v>
      </c>
      <c r="V259" s="21">
        <f>IF(F259="","",IFERROR(INDEX(Employees!$U$5:$U$44,MATCH(F259,Employees!$B$5:$B$44,0)),PayRate*(1+EmployerOncost)))</f>
        <v>0</v>
      </c>
      <c r="W259" s="34">
        <f>IF(F259="","",MAX(0,U259-IF(N259="",0,N259)))</f>
        <v>0</v>
      </c>
      <c r="X259" s="21">
        <f>IF(F259="","",ROUND(W259*V259+IF(N259="",0,N259)*V259*OvertimeRate,2))</f>
        <v>0</v>
      </c>
      <c r="Y259" s="21">
        <f>IF(F259="","",IF(P259&lt;&gt;"Yes",0,ROUND(U259*IF(IFERROR(INDEX(Clients!$O$5:$O$204,MATCH(IFERROR(INDEX(Jobs!$G$5:$G$604,MATCH(G259,Jobs!$A$5:$A$604,0)),""),Clients!$A$5:$A$204,0)),0)&gt;0,INDEX(Clients!$O$5:$O$204,MATCH(INDEX(Jobs!$G$5:$G$604,MATCH(G259,Jobs!$A$5:$A$604,0)),Clients!$A$5:$A$204,0)),HourlyRate),2)))</f>
        <v>0</v>
      </c>
      <c r="Z259" s="39">
        <f>IF(F259="","",IF(U259=0,"Add - no hours recorded",IF(O259="Absent - no show","Action - no show",IF(U259&gt;10,"Check - over ten hours in a day",IF(Q259&lt;&gt;"Yes","Due - needs approving",IF(R259&lt;&gt;"Yes","Due - not paid yet","OK"))))))</f>
        <v>0</v>
      </c>
    </row>
    <row r="260" spans="1:26">
      <c r="A260" s="43">
        <f>IF(F260="","","TS-"&amp;TEXT(ROW()-4,"0000"))</f>
        <v>0</v>
      </c>
      <c r="C260" s="23">
        <f>IF(B260="","",TEXT(B260,"ddd"))</f>
        <v>0</v>
      </c>
      <c r="D260" s="31">
        <f>IF(B260="","",WEEKNUM(B260,IF(WeekStart="Sunday",1,2)))</f>
        <v>0</v>
      </c>
      <c r="E260" s="23">
        <f>IF(B260="","",TEXT(B260,"yyyy-mm"))</f>
        <v>0</v>
      </c>
      <c r="H260" s="23">
        <f>IF(G260="","",IFERROR(INDEX(Jobs!$H$5:$H$604,MATCH(G260,Jobs!$A$5:$A$604,0)),""))</f>
        <v>0</v>
      </c>
      <c r="T260" s="34">
        <f>IF(OR(J260="",K260=""),"",ROUND((K260-J260)*24-IF(L260="",0,L260)/60,2))</f>
        <v>0</v>
      </c>
      <c r="U260" s="34">
        <f>IF(F260="","",IF(M260&lt;&gt;"",M260,IF(T260="",0,T260)))</f>
        <v>0</v>
      </c>
      <c r="V260" s="21">
        <f>IF(F260="","",IFERROR(INDEX(Employees!$U$5:$U$44,MATCH(F260,Employees!$B$5:$B$44,0)),PayRate*(1+EmployerOncost)))</f>
        <v>0</v>
      </c>
      <c r="W260" s="34">
        <f>IF(F260="","",MAX(0,U260-IF(N260="",0,N260)))</f>
        <v>0</v>
      </c>
      <c r="X260" s="21">
        <f>IF(F260="","",ROUND(W260*V260+IF(N260="",0,N260)*V260*OvertimeRate,2))</f>
        <v>0</v>
      </c>
      <c r="Y260" s="21">
        <f>IF(F260="","",IF(P260&lt;&gt;"Yes",0,ROUND(U260*IF(IFERROR(INDEX(Clients!$O$5:$O$204,MATCH(IFERROR(INDEX(Jobs!$G$5:$G$604,MATCH(G260,Jobs!$A$5:$A$604,0)),""),Clients!$A$5:$A$204,0)),0)&gt;0,INDEX(Clients!$O$5:$O$204,MATCH(INDEX(Jobs!$G$5:$G$604,MATCH(G260,Jobs!$A$5:$A$604,0)),Clients!$A$5:$A$204,0)),HourlyRate),2)))</f>
        <v>0</v>
      </c>
      <c r="Z260" s="39">
        <f>IF(F260="","",IF(U260=0,"Add - no hours recorded",IF(O260="Absent - no show","Action - no show",IF(U260&gt;10,"Check - over ten hours in a day",IF(Q260&lt;&gt;"Yes","Due - needs approving",IF(R260&lt;&gt;"Yes","Due - not paid yet","OK"))))))</f>
        <v>0</v>
      </c>
    </row>
    <row r="261" spans="1:26">
      <c r="A261" s="43">
        <f>IF(F261="","","TS-"&amp;TEXT(ROW()-4,"0000"))</f>
        <v>0</v>
      </c>
      <c r="C261" s="23">
        <f>IF(B261="","",TEXT(B261,"ddd"))</f>
        <v>0</v>
      </c>
      <c r="D261" s="31">
        <f>IF(B261="","",WEEKNUM(B261,IF(WeekStart="Sunday",1,2)))</f>
        <v>0</v>
      </c>
      <c r="E261" s="23">
        <f>IF(B261="","",TEXT(B261,"yyyy-mm"))</f>
        <v>0</v>
      </c>
      <c r="H261" s="23">
        <f>IF(G261="","",IFERROR(INDEX(Jobs!$H$5:$H$604,MATCH(G261,Jobs!$A$5:$A$604,0)),""))</f>
        <v>0</v>
      </c>
      <c r="T261" s="34">
        <f>IF(OR(J261="",K261=""),"",ROUND((K261-J261)*24-IF(L261="",0,L261)/60,2))</f>
        <v>0</v>
      </c>
      <c r="U261" s="34">
        <f>IF(F261="","",IF(M261&lt;&gt;"",M261,IF(T261="",0,T261)))</f>
        <v>0</v>
      </c>
      <c r="V261" s="21">
        <f>IF(F261="","",IFERROR(INDEX(Employees!$U$5:$U$44,MATCH(F261,Employees!$B$5:$B$44,0)),PayRate*(1+EmployerOncost)))</f>
        <v>0</v>
      </c>
      <c r="W261" s="34">
        <f>IF(F261="","",MAX(0,U261-IF(N261="",0,N261)))</f>
        <v>0</v>
      </c>
      <c r="X261" s="21">
        <f>IF(F261="","",ROUND(W261*V261+IF(N261="",0,N261)*V261*OvertimeRate,2))</f>
        <v>0</v>
      </c>
      <c r="Y261" s="21">
        <f>IF(F261="","",IF(P261&lt;&gt;"Yes",0,ROUND(U261*IF(IFERROR(INDEX(Clients!$O$5:$O$204,MATCH(IFERROR(INDEX(Jobs!$G$5:$G$604,MATCH(G261,Jobs!$A$5:$A$604,0)),""),Clients!$A$5:$A$204,0)),0)&gt;0,INDEX(Clients!$O$5:$O$204,MATCH(INDEX(Jobs!$G$5:$G$604,MATCH(G261,Jobs!$A$5:$A$604,0)),Clients!$A$5:$A$204,0)),HourlyRate),2)))</f>
        <v>0</v>
      </c>
      <c r="Z261" s="39">
        <f>IF(F261="","",IF(U261=0,"Add - no hours recorded",IF(O261="Absent - no show","Action - no show",IF(U261&gt;10,"Check - over ten hours in a day",IF(Q261&lt;&gt;"Yes","Due - needs approving",IF(R261&lt;&gt;"Yes","Due - not paid yet","OK"))))))</f>
        <v>0</v>
      </c>
    </row>
    <row r="262" spans="1:26">
      <c r="A262" s="43">
        <f>IF(F262="","","TS-"&amp;TEXT(ROW()-4,"0000"))</f>
        <v>0</v>
      </c>
      <c r="C262" s="23">
        <f>IF(B262="","",TEXT(B262,"ddd"))</f>
        <v>0</v>
      </c>
      <c r="D262" s="31">
        <f>IF(B262="","",WEEKNUM(B262,IF(WeekStart="Sunday",1,2)))</f>
        <v>0</v>
      </c>
      <c r="E262" s="23">
        <f>IF(B262="","",TEXT(B262,"yyyy-mm"))</f>
        <v>0</v>
      </c>
      <c r="H262" s="23">
        <f>IF(G262="","",IFERROR(INDEX(Jobs!$H$5:$H$604,MATCH(G262,Jobs!$A$5:$A$604,0)),""))</f>
        <v>0</v>
      </c>
      <c r="T262" s="34">
        <f>IF(OR(J262="",K262=""),"",ROUND((K262-J262)*24-IF(L262="",0,L262)/60,2))</f>
        <v>0</v>
      </c>
      <c r="U262" s="34">
        <f>IF(F262="","",IF(M262&lt;&gt;"",M262,IF(T262="",0,T262)))</f>
        <v>0</v>
      </c>
      <c r="V262" s="21">
        <f>IF(F262="","",IFERROR(INDEX(Employees!$U$5:$U$44,MATCH(F262,Employees!$B$5:$B$44,0)),PayRate*(1+EmployerOncost)))</f>
        <v>0</v>
      </c>
      <c r="W262" s="34">
        <f>IF(F262="","",MAX(0,U262-IF(N262="",0,N262)))</f>
        <v>0</v>
      </c>
      <c r="X262" s="21">
        <f>IF(F262="","",ROUND(W262*V262+IF(N262="",0,N262)*V262*OvertimeRate,2))</f>
        <v>0</v>
      </c>
      <c r="Y262" s="21">
        <f>IF(F262="","",IF(P262&lt;&gt;"Yes",0,ROUND(U262*IF(IFERROR(INDEX(Clients!$O$5:$O$204,MATCH(IFERROR(INDEX(Jobs!$G$5:$G$604,MATCH(G262,Jobs!$A$5:$A$604,0)),""),Clients!$A$5:$A$204,0)),0)&gt;0,INDEX(Clients!$O$5:$O$204,MATCH(INDEX(Jobs!$G$5:$G$604,MATCH(G262,Jobs!$A$5:$A$604,0)),Clients!$A$5:$A$204,0)),HourlyRate),2)))</f>
        <v>0</v>
      </c>
      <c r="Z262" s="39">
        <f>IF(F262="","",IF(U262=0,"Add - no hours recorded",IF(O262="Absent - no show","Action - no show",IF(U262&gt;10,"Check - over ten hours in a day",IF(Q262&lt;&gt;"Yes","Due - needs approving",IF(R262&lt;&gt;"Yes","Due - not paid yet","OK"))))))</f>
        <v>0</v>
      </c>
    </row>
    <row r="263" spans="1:26">
      <c r="A263" s="43">
        <f>IF(F263="","","TS-"&amp;TEXT(ROW()-4,"0000"))</f>
        <v>0</v>
      </c>
      <c r="C263" s="23">
        <f>IF(B263="","",TEXT(B263,"ddd"))</f>
        <v>0</v>
      </c>
      <c r="D263" s="31">
        <f>IF(B263="","",WEEKNUM(B263,IF(WeekStart="Sunday",1,2)))</f>
        <v>0</v>
      </c>
      <c r="E263" s="23">
        <f>IF(B263="","",TEXT(B263,"yyyy-mm"))</f>
        <v>0</v>
      </c>
      <c r="H263" s="23">
        <f>IF(G263="","",IFERROR(INDEX(Jobs!$H$5:$H$604,MATCH(G263,Jobs!$A$5:$A$604,0)),""))</f>
        <v>0</v>
      </c>
      <c r="T263" s="34">
        <f>IF(OR(J263="",K263=""),"",ROUND((K263-J263)*24-IF(L263="",0,L263)/60,2))</f>
        <v>0</v>
      </c>
      <c r="U263" s="34">
        <f>IF(F263="","",IF(M263&lt;&gt;"",M263,IF(T263="",0,T263)))</f>
        <v>0</v>
      </c>
      <c r="V263" s="21">
        <f>IF(F263="","",IFERROR(INDEX(Employees!$U$5:$U$44,MATCH(F263,Employees!$B$5:$B$44,0)),PayRate*(1+EmployerOncost)))</f>
        <v>0</v>
      </c>
      <c r="W263" s="34">
        <f>IF(F263="","",MAX(0,U263-IF(N263="",0,N263)))</f>
        <v>0</v>
      </c>
      <c r="X263" s="21">
        <f>IF(F263="","",ROUND(W263*V263+IF(N263="",0,N263)*V263*OvertimeRate,2))</f>
        <v>0</v>
      </c>
      <c r="Y263" s="21">
        <f>IF(F263="","",IF(P263&lt;&gt;"Yes",0,ROUND(U263*IF(IFERROR(INDEX(Clients!$O$5:$O$204,MATCH(IFERROR(INDEX(Jobs!$G$5:$G$604,MATCH(G263,Jobs!$A$5:$A$604,0)),""),Clients!$A$5:$A$204,0)),0)&gt;0,INDEX(Clients!$O$5:$O$204,MATCH(INDEX(Jobs!$G$5:$G$604,MATCH(G263,Jobs!$A$5:$A$604,0)),Clients!$A$5:$A$204,0)),HourlyRate),2)))</f>
        <v>0</v>
      </c>
      <c r="Z263" s="39">
        <f>IF(F263="","",IF(U263=0,"Add - no hours recorded",IF(O263="Absent - no show","Action - no show",IF(U263&gt;10,"Check - over ten hours in a day",IF(Q263&lt;&gt;"Yes","Due - needs approving",IF(R263&lt;&gt;"Yes","Due - not paid yet","OK"))))))</f>
        <v>0</v>
      </c>
    </row>
    <row r="264" spans="1:26">
      <c r="A264" s="43">
        <f>IF(F264="","","TS-"&amp;TEXT(ROW()-4,"0000"))</f>
        <v>0</v>
      </c>
      <c r="C264" s="23">
        <f>IF(B264="","",TEXT(B264,"ddd"))</f>
        <v>0</v>
      </c>
      <c r="D264" s="31">
        <f>IF(B264="","",WEEKNUM(B264,IF(WeekStart="Sunday",1,2)))</f>
        <v>0</v>
      </c>
      <c r="E264" s="23">
        <f>IF(B264="","",TEXT(B264,"yyyy-mm"))</f>
        <v>0</v>
      </c>
      <c r="H264" s="23">
        <f>IF(G264="","",IFERROR(INDEX(Jobs!$H$5:$H$604,MATCH(G264,Jobs!$A$5:$A$604,0)),""))</f>
        <v>0</v>
      </c>
      <c r="T264" s="34">
        <f>IF(OR(J264="",K264=""),"",ROUND((K264-J264)*24-IF(L264="",0,L264)/60,2))</f>
        <v>0</v>
      </c>
      <c r="U264" s="34">
        <f>IF(F264="","",IF(M264&lt;&gt;"",M264,IF(T264="",0,T264)))</f>
        <v>0</v>
      </c>
      <c r="V264" s="21">
        <f>IF(F264="","",IFERROR(INDEX(Employees!$U$5:$U$44,MATCH(F264,Employees!$B$5:$B$44,0)),PayRate*(1+EmployerOncost)))</f>
        <v>0</v>
      </c>
      <c r="W264" s="34">
        <f>IF(F264="","",MAX(0,U264-IF(N264="",0,N264)))</f>
        <v>0</v>
      </c>
      <c r="X264" s="21">
        <f>IF(F264="","",ROUND(W264*V264+IF(N264="",0,N264)*V264*OvertimeRate,2))</f>
        <v>0</v>
      </c>
      <c r="Y264" s="21">
        <f>IF(F264="","",IF(P264&lt;&gt;"Yes",0,ROUND(U264*IF(IFERROR(INDEX(Clients!$O$5:$O$204,MATCH(IFERROR(INDEX(Jobs!$G$5:$G$604,MATCH(G264,Jobs!$A$5:$A$604,0)),""),Clients!$A$5:$A$204,0)),0)&gt;0,INDEX(Clients!$O$5:$O$204,MATCH(INDEX(Jobs!$G$5:$G$604,MATCH(G264,Jobs!$A$5:$A$604,0)),Clients!$A$5:$A$204,0)),HourlyRate),2)))</f>
        <v>0</v>
      </c>
      <c r="Z264" s="39">
        <f>IF(F264="","",IF(U264=0,"Add - no hours recorded",IF(O264="Absent - no show","Action - no show",IF(U264&gt;10,"Check - over ten hours in a day",IF(Q264&lt;&gt;"Yes","Due - needs approving",IF(R264&lt;&gt;"Yes","Due - not paid yet","OK"))))))</f>
        <v>0</v>
      </c>
    </row>
    <row r="265" spans="1:26">
      <c r="A265" s="43">
        <f>IF(F265="","","TS-"&amp;TEXT(ROW()-4,"0000"))</f>
        <v>0</v>
      </c>
      <c r="C265" s="23">
        <f>IF(B265="","",TEXT(B265,"ddd"))</f>
        <v>0</v>
      </c>
      <c r="D265" s="31">
        <f>IF(B265="","",WEEKNUM(B265,IF(WeekStart="Sunday",1,2)))</f>
        <v>0</v>
      </c>
      <c r="E265" s="23">
        <f>IF(B265="","",TEXT(B265,"yyyy-mm"))</f>
        <v>0</v>
      </c>
      <c r="H265" s="23">
        <f>IF(G265="","",IFERROR(INDEX(Jobs!$H$5:$H$604,MATCH(G265,Jobs!$A$5:$A$604,0)),""))</f>
        <v>0</v>
      </c>
      <c r="T265" s="34">
        <f>IF(OR(J265="",K265=""),"",ROUND((K265-J265)*24-IF(L265="",0,L265)/60,2))</f>
        <v>0</v>
      </c>
      <c r="U265" s="34">
        <f>IF(F265="","",IF(M265&lt;&gt;"",M265,IF(T265="",0,T265)))</f>
        <v>0</v>
      </c>
      <c r="V265" s="21">
        <f>IF(F265="","",IFERROR(INDEX(Employees!$U$5:$U$44,MATCH(F265,Employees!$B$5:$B$44,0)),PayRate*(1+EmployerOncost)))</f>
        <v>0</v>
      </c>
      <c r="W265" s="34">
        <f>IF(F265="","",MAX(0,U265-IF(N265="",0,N265)))</f>
        <v>0</v>
      </c>
      <c r="X265" s="21">
        <f>IF(F265="","",ROUND(W265*V265+IF(N265="",0,N265)*V265*OvertimeRate,2))</f>
        <v>0</v>
      </c>
      <c r="Y265" s="21">
        <f>IF(F265="","",IF(P265&lt;&gt;"Yes",0,ROUND(U265*IF(IFERROR(INDEX(Clients!$O$5:$O$204,MATCH(IFERROR(INDEX(Jobs!$G$5:$G$604,MATCH(G265,Jobs!$A$5:$A$604,0)),""),Clients!$A$5:$A$204,0)),0)&gt;0,INDEX(Clients!$O$5:$O$204,MATCH(INDEX(Jobs!$G$5:$G$604,MATCH(G265,Jobs!$A$5:$A$604,0)),Clients!$A$5:$A$204,0)),HourlyRate),2)))</f>
        <v>0</v>
      </c>
      <c r="Z265" s="39">
        <f>IF(F265="","",IF(U265=0,"Add - no hours recorded",IF(O265="Absent - no show","Action - no show",IF(U265&gt;10,"Check - over ten hours in a day",IF(Q265&lt;&gt;"Yes","Due - needs approving",IF(R265&lt;&gt;"Yes","Due - not paid yet","OK"))))))</f>
        <v>0</v>
      </c>
    </row>
    <row r="266" spans="1:26">
      <c r="A266" s="43">
        <f>IF(F266="","","TS-"&amp;TEXT(ROW()-4,"0000"))</f>
        <v>0</v>
      </c>
      <c r="C266" s="23">
        <f>IF(B266="","",TEXT(B266,"ddd"))</f>
        <v>0</v>
      </c>
      <c r="D266" s="31">
        <f>IF(B266="","",WEEKNUM(B266,IF(WeekStart="Sunday",1,2)))</f>
        <v>0</v>
      </c>
      <c r="E266" s="23">
        <f>IF(B266="","",TEXT(B266,"yyyy-mm"))</f>
        <v>0</v>
      </c>
      <c r="H266" s="23">
        <f>IF(G266="","",IFERROR(INDEX(Jobs!$H$5:$H$604,MATCH(G266,Jobs!$A$5:$A$604,0)),""))</f>
        <v>0</v>
      </c>
      <c r="T266" s="34">
        <f>IF(OR(J266="",K266=""),"",ROUND((K266-J266)*24-IF(L266="",0,L266)/60,2))</f>
        <v>0</v>
      </c>
      <c r="U266" s="34">
        <f>IF(F266="","",IF(M266&lt;&gt;"",M266,IF(T266="",0,T266)))</f>
        <v>0</v>
      </c>
      <c r="V266" s="21">
        <f>IF(F266="","",IFERROR(INDEX(Employees!$U$5:$U$44,MATCH(F266,Employees!$B$5:$B$44,0)),PayRate*(1+EmployerOncost)))</f>
        <v>0</v>
      </c>
      <c r="W266" s="34">
        <f>IF(F266="","",MAX(0,U266-IF(N266="",0,N266)))</f>
        <v>0</v>
      </c>
      <c r="X266" s="21">
        <f>IF(F266="","",ROUND(W266*V266+IF(N266="",0,N266)*V266*OvertimeRate,2))</f>
        <v>0</v>
      </c>
      <c r="Y266" s="21">
        <f>IF(F266="","",IF(P266&lt;&gt;"Yes",0,ROUND(U266*IF(IFERROR(INDEX(Clients!$O$5:$O$204,MATCH(IFERROR(INDEX(Jobs!$G$5:$G$604,MATCH(G266,Jobs!$A$5:$A$604,0)),""),Clients!$A$5:$A$204,0)),0)&gt;0,INDEX(Clients!$O$5:$O$204,MATCH(INDEX(Jobs!$G$5:$G$604,MATCH(G266,Jobs!$A$5:$A$604,0)),Clients!$A$5:$A$204,0)),HourlyRate),2)))</f>
        <v>0</v>
      </c>
      <c r="Z266" s="39">
        <f>IF(F266="","",IF(U266=0,"Add - no hours recorded",IF(O266="Absent - no show","Action - no show",IF(U266&gt;10,"Check - over ten hours in a day",IF(Q266&lt;&gt;"Yes","Due - needs approving",IF(R266&lt;&gt;"Yes","Due - not paid yet","OK"))))))</f>
        <v>0</v>
      </c>
    </row>
    <row r="267" spans="1:26">
      <c r="A267" s="43">
        <f>IF(F267="","","TS-"&amp;TEXT(ROW()-4,"0000"))</f>
        <v>0</v>
      </c>
      <c r="C267" s="23">
        <f>IF(B267="","",TEXT(B267,"ddd"))</f>
        <v>0</v>
      </c>
      <c r="D267" s="31">
        <f>IF(B267="","",WEEKNUM(B267,IF(WeekStart="Sunday",1,2)))</f>
        <v>0</v>
      </c>
      <c r="E267" s="23">
        <f>IF(B267="","",TEXT(B267,"yyyy-mm"))</f>
        <v>0</v>
      </c>
      <c r="H267" s="23">
        <f>IF(G267="","",IFERROR(INDEX(Jobs!$H$5:$H$604,MATCH(G267,Jobs!$A$5:$A$604,0)),""))</f>
        <v>0</v>
      </c>
      <c r="T267" s="34">
        <f>IF(OR(J267="",K267=""),"",ROUND((K267-J267)*24-IF(L267="",0,L267)/60,2))</f>
        <v>0</v>
      </c>
      <c r="U267" s="34">
        <f>IF(F267="","",IF(M267&lt;&gt;"",M267,IF(T267="",0,T267)))</f>
        <v>0</v>
      </c>
      <c r="V267" s="21">
        <f>IF(F267="","",IFERROR(INDEX(Employees!$U$5:$U$44,MATCH(F267,Employees!$B$5:$B$44,0)),PayRate*(1+EmployerOncost)))</f>
        <v>0</v>
      </c>
      <c r="W267" s="34">
        <f>IF(F267="","",MAX(0,U267-IF(N267="",0,N267)))</f>
        <v>0</v>
      </c>
      <c r="X267" s="21">
        <f>IF(F267="","",ROUND(W267*V267+IF(N267="",0,N267)*V267*OvertimeRate,2))</f>
        <v>0</v>
      </c>
      <c r="Y267" s="21">
        <f>IF(F267="","",IF(P267&lt;&gt;"Yes",0,ROUND(U267*IF(IFERROR(INDEX(Clients!$O$5:$O$204,MATCH(IFERROR(INDEX(Jobs!$G$5:$G$604,MATCH(G267,Jobs!$A$5:$A$604,0)),""),Clients!$A$5:$A$204,0)),0)&gt;0,INDEX(Clients!$O$5:$O$204,MATCH(INDEX(Jobs!$G$5:$G$604,MATCH(G267,Jobs!$A$5:$A$604,0)),Clients!$A$5:$A$204,0)),HourlyRate),2)))</f>
        <v>0</v>
      </c>
      <c r="Z267" s="39">
        <f>IF(F267="","",IF(U267=0,"Add - no hours recorded",IF(O267="Absent - no show","Action - no show",IF(U267&gt;10,"Check - over ten hours in a day",IF(Q267&lt;&gt;"Yes","Due - needs approving",IF(R267&lt;&gt;"Yes","Due - not paid yet","OK"))))))</f>
        <v>0</v>
      </c>
    </row>
    <row r="268" spans="1:26">
      <c r="A268" s="43">
        <f>IF(F268="","","TS-"&amp;TEXT(ROW()-4,"0000"))</f>
        <v>0</v>
      </c>
      <c r="C268" s="23">
        <f>IF(B268="","",TEXT(B268,"ddd"))</f>
        <v>0</v>
      </c>
      <c r="D268" s="31">
        <f>IF(B268="","",WEEKNUM(B268,IF(WeekStart="Sunday",1,2)))</f>
        <v>0</v>
      </c>
      <c r="E268" s="23">
        <f>IF(B268="","",TEXT(B268,"yyyy-mm"))</f>
        <v>0</v>
      </c>
      <c r="H268" s="23">
        <f>IF(G268="","",IFERROR(INDEX(Jobs!$H$5:$H$604,MATCH(G268,Jobs!$A$5:$A$604,0)),""))</f>
        <v>0</v>
      </c>
      <c r="T268" s="34">
        <f>IF(OR(J268="",K268=""),"",ROUND((K268-J268)*24-IF(L268="",0,L268)/60,2))</f>
        <v>0</v>
      </c>
      <c r="U268" s="34">
        <f>IF(F268="","",IF(M268&lt;&gt;"",M268,IF(T268="",0,T268)))</f>
        <v>0</v>
      </c>
      <c r="V268" s="21">
        <f>IF(F268="","",IFERROR(INDEX(Employees!$U$5:$U$44,MATCH(F268,Employees!$B$5:$B$44,0)),PayRate*(1+EmployerOncost)))</f>
        <v>0</v>
      </c>
      <c r="W268" s="34">
        <f>IF(F268="","",MAX(0,U268-IF(N268="",0,N268)))</f>
        <v>0</v>
      </c>
      <c r="X268" s="21">
        <f>IF(F268="","",ROUND(W268*V268+IF(N268="",0,N268)*V268*OvertimeRate,2))</f>
        <v>0</v>
      </c>
      <c r="Y268" s="21">
        <f>IF(F268="","",IF(P268&lt;&gt;"Yes",0,ROUND(U268*IF(IFERROR(INDEX(Clients!$O$5:$O$204,MATCH(IFERROR(INDEX(Jobs!$G$5:$G$604,MATCH(G268,Jobs!$A$5:$A$604,0)),""),Clients!$A$5:$A$204,0)),0)&gt;0,INDEX(Clients!$O$5:$O$204,MATCH(INDEX(Jobs!$G$5:$G$604,MATCH(G268,Jobs!$A$5:$A$604,0)),Clients!$A$5:$A$204,0)),HourlyRate),2)))</f>
        <v>0</v>
      </c>
      <c r="Z268" s="39">
        <f>IF(F268="","",IF(U268=0,"Add - no hours recorded",IF(O268="Absent - no show","Action - no show",IF(U268&gt;10,"Check - over ten hours in a day",IF(Q268&lt;&gt;"Yes","Due - needs approving",IF(R268&lt;&gt;"Yes","Due - not paid yet","OK"))))))</f>
        <v>0</v>
      </c>
    </row>
    <row r="269" spans="1:26">
      <c r="A269" s="43">
        <f>IF(F269="","","TS-"&amp;TEXT(ROW()-4,"0000"))</f>
        <v>0</v>
      </c>
      <c r="C269" s="23">
        <f>IF(B269="","",TEXT(B269,"ddd"))</f>
        <v>0</v>
      </c>
      <c r="D269" s="31">
        <f>IF(B269="","",WEEKNUM(B269,IF(WeekStart="Sunday",1,2)))</f>
        <v>0</v>
      </c>
      <c r="E269" s="23">
        <f>IF(B269="","",TEXT(B269,"yyyy-mm"))</f>
        <v>0</v>
      </c>
      <c r="H269" s="23">
        <f>IF(G269="","",IFERROR(INDEX(Jobs!$H$5:$H$604,MATCH(G269,Jobs!$A$5:$A$604,0)),""))</f>
        <v>0</v>
      </c>
      <c r="T269" s="34">
        <f>IF(OR(J269="",K269=""),"",ROUND((K269-J269)*24-IF(L269="",0,L269)/60,2))</f>
        <v>0</v>
      </c>
      <c r="U269" s="34">
        <f>IF(F269="","",IF(M269&lt;&gt;"",M269,IF(T269="",0,T269)))</f>
        <v>0</v>
      </c>
      <c r="V269" s="21">
        <f>IF(F269="","",IFERROR(INDEX(Employees!$U$5:$U$44,MATCH(F269,Employees!$B$5:$B$44,0)),PayRate*(1+EmployerOncost)))</f>
        <v>0</v>
      </c>
      <c r="W269" s="34">
        <f>IF(F269="","",MAX(0,U269-IF(N269="",0,N269)))</f>
        <v>0</v>
      </c>
      <c r="X269" s="21">
        <f>IF(F269="","",ROUND(W269*V269+IF(N269="",0,N269)*V269*OvertimeRate,2))</f>
        <v>0</v>
      </c>
      <c r="Y269" s="21">
        <f>IF(F269="","",IF(P269&lt;&gt;"Yes",0,ROUND(U269*IF(IFERROR(INDEX(Clients!$O$5:$O$204,MATCH(IFERROR(INDEX(Jobs!$G$5:$G$604,MATCH(G269,Jobs!$A$5:$A$604,0)),""),Clients!$A$5:$A$204,0)),0)&gt;0,INDEX(Clients!$O$5:$O$204,MATCH(INDEX(Jobs!$G$5:$G$604,MATCH(G269,Jobs!$A$5:$A$604,0)),Clients!$A$5:$A$204,0)),HourlyRate),2)))</f>
        <v>0</v>
      </c>
      <c r="Z269" s="39">
        <f>IF(F269="","",IF(U269=0,"Add - no hours recorded",IF(O269="Absent - no show","Action - no show",IF(U269&gt;10,"Check - over ten hours in a day",IF(Q269&lt;&gt;"Yes","Due - needs approving",IF(R269&lt;&gt;"Yes","Due - not paid yet","OK"))))))</f>
        <v>0</v>
      </c>
    </row>
    <row r="270" spans="1:26">
      <c r="A270" s="43">
        <f>IF(F270="","","TS-"&amp;TEXT(ROW()-4,"0000"))</f>
        <v>0</v>
      </c>
      <c r="C270" s="23">
        <f>IF(B270="","",TEXT(B270,"ddd"))</f>
        <v>0</v>
      </c>
      <c r="D270" s="31">
        <f>IF(B270="","",WEEKNUM(B270,IF(WeekStart="Sunday",1,2)))</f>
        <v>0</v>
      </c>
      <c r="E270" s="23">
        <f>IF(B270="","",TEXT(B270,"yyyy-mm"))</f>
        <v>0</v>
      </c>
      <c r="H270" s="23">
        <f>IF(G270="","",IFERROR(INDEX(Jobs!$H$5:$H$604,MATCH(G270,Jobs!$A$5:$A$604,0)),""))</f>
        <v>0</v>
      </c>
      <c r="T270" s="34">
        <f>IF(OR(J270="",K270=""),"",ROUND((K270-J270)*24-IF(L270="",0,L270)/60,2))</f>
        <v>0</v>
      </c>
      <c r="U270" s="34">
        <f>IF(F270="","",IF(M270&lt;&gt;"",M270,IF(T270="",0,T270)))</f>
        <v>0</v>
      </c>
      <c r="V270" s="21">
        <f>IF(F270="","",IFERROR(INDEX(Employees!$U$5:$U$44,MATCH(F270,Employees!$B$5:$B$44,0)),PayRate*(1+EmployerOncost)))</f>
        <v>0</v>
      </c>
      <c r="W270" s="34">
        <f>IF(F270="","",MAX(0,U270-IF(N270="",0,N270)))</f>
        <v>0</v>
      </c>
      <c r="X270" s="21">
        <f>IF(F270="","",ROUND(W270*V270+IF(N270="",0,N270)*V270*OvertimeRate,2))</f>
        <v>0</v>
      </c>
      <c r="Y270" s="21">
        <f>IF(F270="","",IF(P270&lt;&gt;"Yes",0,ROUND(U270*IF(IFERROR(INDEX(Clients!$O$5:$O$204,MATCH(IFERROR(INDEX(Jobs!$G$5:$G$604,MATCH(G270,Jobs!$A$5:$A$604,0)),""),Clients!$A$5:$A$204,0)),0)&gt;0,INDEX(Clients!$O$5:$O$204,MATCH(INDEX(Jobs!$G$5:$G$604,MATCH(G270,Jobs!$A$5:$A$604,0)),Clients!$A$5:$A$204,0)),HourlyRate),2)))</f>
        <v>0</v>
      </c>
      <c r="Z270" s="39">
        <f>IF(F270="","",IF(U270=0,"Add - no hours recorded",IF(O270="Absent - no show","Action - no show",IF(U270&gt;10,"Check - over ten hours in a day",IF(Q270&lt;&gt;"Yes","Due - needs approving",IF(R270&lt;&gt;"Yes","Due - not paid yet","OK"))))))</f>
        <v>0</v>
      </c>
    </row>
    <row r="271" spans="1:26">
      <c r="A271" s="43">
        <f>IF(F271="","","TS-"&amp;TEXT(ROW()-4,"0000"))</f>
        <v>0</v>
      </c>
      <c r="C271" s="23">
        <f>IF(B271="","",TEXT(B271,"ddd"))</f>
        <v>0</v>
      </c>
      <c r="D271" s="31">
        <f>IF(B271="","",WEEKNUM(B271,IF(WeekStart="Sunday",1,2)))</f>
        <v>0</v>
      </c>
      <c r="E271" s="23">
        <f>IF(B271="","",TEXT(B271,"yyyy-mm"))</f>
        <v>0</v>
      </c>
      <c r="H271" s="23">
        <f>IF(G271="","",IFERROR(INDEX(Jobs!$H$5:$H$604,MATCH(G271,Jobs!$A$5:$A$604,0)),""))</f>
        <v>0</v>
      </c>
      <c r="T271" s="34">
        <f>IF(OR(J271="",K271=""),"",ROUND((K271-J271)*24-IF(L271="",0,L271)/60,2))</f>
        <v>0</v>
      </c>
      <c r="U271" s="34">
        <f>IF(F271="","",IF(M271&lt;&gt;"",M271,IF(T271="",0,T271)))</f>
        <v>0</v>
      </c>
      <c r="V271" s="21">
        <f>IF(F271="","",IFERROR(INDEX(Employees!$U$5:$U$44,MATCH(F271,Employees!$B$5:$B$44,0)),PayRate*(1+EmployerOncost)))</f>
        <v>0</v>
      </c>
      <c r="W271" s="34">
        <f>IF(F271="","",MAX(0,U271-IF(N271="",0,N271)))</f>
        <v>0</v>
      </c>
      <c r="X271" s="21">
        <f>IF(F271="","",ROUND(W271*V271+IF(N271="",0,N271)*V271*OvertimeRate,2))</f>
        <v>0</v>
      </c>
      <c r="Y271" s="21">
        <f>IF(F271="","",IF(P271&lt;&gt;"Yes",0,ROUND(U271*IF(IFERROR(INDEX(Clients!$O$5:$O$204,MATCH(IFERROR(INDEX(Jobs!$G$5:$G$604,MATCH(G271,Jobs!$A$5:$A$604,0)),""),Clients!$A$5:$A$204,0)),0)&gt;0,INDEX(Clients!$O$5:$O$204,MATCH(INDEX(Jobs!$G$5:$G$604,MATCH(G271,Jobs!$A$5:$A$604,0)),Clients!$A$5:$A$204,0)),HourlyRate),2)))</f>
        <v>0</v>
      </c>
      <c r="Z271" s="39">
        <f>IF(F271="","",IF(U271=0,"Add - no hours recorded",IF(O271="Absent - no show","Action - no show",IF(U271&gt;10,"Check - over ten hours in a day",IF(Q271&lt;&gt;"Yes","Due - needs approving",IF(R271&lt;&gt;"Yes","Due - not paid yet","OK"))))))</f>
        <v>0</v>
      </c>
    </row>
    <row r="272" spans="1:26">
      <c r="A272" s="43">
        <f>IF(F272="","","TS-"&amp;TEXT(ROW()-4,"0000"))</f>
        <v>0</v>
      </c>
      <c r="C272" s="23">
        <f>IF(B272="","",TEXT(B272,"ddd"))</f>
        <v>0</v>
      </c>
      <c r="D272" s="31">
        <f>IF(B272="","",WEEKNUM(B272,IF(WeekStart="Sunday",1,2)))</f>
        <v>0</v>
      </c>
      <c r="E272" s="23">
        <f>IF(B272="","",TEXT(B272,"yyyy-mm"))</f>
        <v>0</v>
      </c>
      <c r="H272" s="23">
        <f>IF(G272="","",IFERROR(INDEX(Jobs!$H$5:$H$604,MATCH(G272,Jobs!$A$5:$A$604,0)),""))</f>
        <v>0</v>
      </c>
      <c r="T272" s="34">
        <f>IF(OR(J272="",K272=""),"",ROUND((K272-J272)*24-IF(L272="",0,L272)/60,2))</f>
        <v>0</v>
      </c>
      <c r="U272" s="34">
        <f>IF(F272="","",IF(M272&lt;&gt;"",M272,IF(T272="",0,T272)))</f>
        <v>0</v>
      </c>
      <c r="V272" s="21">
        <f>IF(F272="","",IFERROR(INDEX(Employees!$U$5:$U$44,MATCH(F272,Employees!$B$5:$B$44,0)),PayRate*(1+EmployerOncost)))</f>
        <v>0</v>
      </c>
      <c r="W272" s="34">
        <f>IF(F272="","",MAX(0,U272-IF(N272="",0,N272)))</f>
        <v>0</v>
      </c>
      <c r="X272" s="21">
        <f>IF(F272="","",ROUND(W272*V272+IF(N272="",0,N272)*V272*OvertimeRate,2))</f>
        <v>0</v>
      </c>
      <c r="Y272" s="21">
        <f>IF(F272="","",IF(P272&lt;&gt;"Yes",0,ROUND(U272*IF(IFERROR(INDEX(Clients!$O$5:$O$204,MATCH(IFERROR(INDEX(Jobs!$G$5:$G$604,MATCH(G272,Jobs!$A$5:$A$604,0)),""),Clients!$A$5:$A$204,0)),0)&gt;0,INDEX(Clients!$O$5:$O$204,MATCH(INDEX(Jobs!$G$5:$G$604,MATCH(G272,Jobs!$A$5:$A$604,0)),Clients!$A$5:$A$204,0)),HourlyRate),2)))</f>
        <v>0</v>
      </c>
      <c r="Z272" s="39">
        <f>IF(F272="","",IF(U272=0,"Add - no hours recorded",IF(O272="Absent - no show","Action - no show",IF(U272&gt;10,"Check - over ten hours in a day",IF(Q272&lt;&gt;"Yes","Due - needs approving",IF(R272&lt;&gt;"Yes","Due - not paid yet","OK"))))))</f>
        <v>0</v>
      </c>
    </row>
    <row r="273" spans="1:26">
      <c r="A273" s="43">
        <f>IF(F273="","","TS-"&amp;TEXT(ROW()-4,"0000"))</f>
        <v>0</v>
      </c>
      <c r="C273" s="23">
        <f>IF(B273="","",TEXT(B273,"ddd"))</f>
        <v>0</v>
      </c>
      <c r="D273" s="31">
        <f>IF(B273="","",WEEKNUM(B273,IF(WeekStart="Sunday",1,2)))</f>
        <v>0</v>
      </c>
      <c r="E273" s="23">
        <f>IF(B273="","",TEXT(B273,"yyyy-mm"))</f>
        <v>0</v>
      </c>
      <c r="H273" s="23">
        <f>IF(G273="","",IFERROR(INDEX(Jobs!$H$5:$H$604,MATCH(G273,Jobs!$A$5:$A$604,0)),""))</f>
        <v>0</v>
      </c>
      <c r="T273" s="34">
        <f>IF(OR(J273="",K273=""),"",ROUND((K273-J273)*24-IF(L273="",0,L273)/60,2))</f>
        <v>0</v>
      </c>
      <c r="U273" s="34">
        <f>IF(F273="","",IF(M273&lt;&gt;"",M273,IF(T273="",0,T273)))</f>
        <v>0</v>
      </c>
      <c r="V273" s="21">
        <f>IF(F273="","",IFERROR(INDEX(Employees!$U$5:$U$44,MATCH(F273,Employees!$B$5:$B$44,0)),PayRate*(1+EmployerOncost)))</f>
        <v>0</v>
      </c>
      <c r="W273" s="34">
        <f>IF(F273="","",MAX(0,U273-IF(N273="",0,N273)))</f>
        <v>0</v>
      </c>
      <c r="X273" s="21">
        <f>IF(F273="","",ROUND(W273*V273+IF(N273="",0,N273)*V273*OvertimeRate,2))</f>
        <v>0</v>
      </c>
      <c r="Y273" s="21">
        <f>IF(F273="","",IF(P273&lt;&gt;"Yes",0,ROUND(U273*IF(IFERROR(INDEX(Clients!$O$5:$O$204,MATCH(IFERROR(INDEX(Jobs!$G$5:$G$604,MATCH(G273,Jobs!$A$5:$A$604,0)),""),Clients!$A$5:$A$204,0)),0)&gt;0,INDEX(Clients!$O$5:$O$204,MATCH(INDEX(Jobs!$G$5:$G$604,MATCH(G273,Jobs!$A$5:$A$604,0)),Clients!$A$5:$A$204,0)),HourlyRate),2)))</f>
        <v>0</v>
      </c>
      <c r="Z273" s="39">
        <f>IF(F273="","",IF(U273=0,"Add - no hours recorded",IF(O273="Absent - no show","Action - no show",IF(U273&gt;10,"Check - over ten hours in a day",IF(Q273&lt;&gt;"Yes","Due - needs approving",IF(R273&lt;&gt;"Yes","Due - not paid yet","OK"))))))</f>
        <v>0</v>
      </c>
    </row>
    <row r="274" spans="1:26">
      <c r="A274" s="43">
        <f>IF(F274="","","TS-"&amp;TEXT(ROW()-4,"0000"))</f>
        <v>0</v>
      </c>
      <c r="C274" s="23">
        <f>IF(B274="","",TEXT(B274,"ddd"))</f>
        <v>0</v>
      </c>
      <c r="D274" s="31">
        <f>IF(B274="","",WEEKNUM(B274,IF(WeekStart="Sunday",1,2)))</f>
        <v>0</v>
      </c>
      <c r="E274" s="23">
        <f>IF(B274="","",TEXT(B274,"yyyy-mm"))</f>
        <v>0</v>
      </c>
      <c r="H274" s="23">
        <f>IF(G274="","",IFERROR(INDEX(Jobs!$H$5:$H$604,MATCH(G274,Jobs!$A$5:$A$604,0)),""))</f>
        <v>0</v>
      </c>
      <c r="T274" s="34">
        <f>IF(OR(J274="",K274=""),"",ROUND((K274-J274)*24-IF(L274="",0,L274)/60,2))</f>
        <v>0</v>
      </c>
      <c r="U274" s="34">
        <f>IF(F274="","",IF(M274&lt;&gt;"",M274,IF(T274="",0,T274)))</f>
        <v>0</v>
      </c>
      <c r="V274" s="21">
        <f>IF(F274="","",IFERROR(INDEX(Employees!$U$5:$U$44,MATCH(F274,Employees!$B$5:$B$44,0)),PayRate*(1+EmployerOncost)))</f>
        <v>0</v>
      </c>
      <c r="W274" s="34">
        <f>IF(F274="","",MAX(0,U274-IF(N274="",0,N274)))</f>
        <v>0</v>
      </c>
      <c r="X274" s="21">
        <f>IF(F274="","",ROUND(W274*V274+IF(N274="",0,N274)*V274*OvertimeRate,2))</f>
        <v>0</v>
      </c>
      <c r="Y274" s="21">
        <f>IF(F274="","",IF(P274&lt;&gt;"Yes",0,ROUND(U274*IF(IFERROR(INDEX(Clients!$O$5:$O$204,MATCH(IFERROR(INDEX(Jobs!$G$5:$G$604,MATCH(G274,Jobs!$A$5:$A$604,0)),""),Clients!$A$5:$A$204,0)),0)&gt;0,INDEX(Clients!$O$5:$O$204,MATCH(INDEX(Jobs!$G$5:$G$604,MATCH(G274,Jobs!$A$5:$A$604,0)),Clients!$A$5:$A$204,0)),HourlyRate),2)))</f>
        <v>0</v>
      </c>
      <c r="Z274" s="39">
        <f>IF(F274="","",IF(U274=0,"Add - no hours recorded",IF(O274="Absent - no show","Action - no show",IF(U274&gt;10,"Check - over ten hours in a day",IF(Q274&lt;&gt;"Yes","Due - needs approving",IF(R274&lt;&gt;"Yes","Due - not paid yet","OK"))))))</f>
        <v>0</v>
      </c>
    </row>
    <row r="275" spans="1:26">
      <c r="A275" s="43">
        <f>IF(F275="","","TS-"&amp;TEXT(ROW()-4,"0000"))</f>
        <v>0</v>
      </c>
      <c r="C275" s="23">
        <f>IF(B275="","",TEXT(B275,"ddd"))</f>
        <v>0</v>
      </c>
      <c r="D275" s="31">
        <f>IF(B275="","",WEEKNUM(B275,IF(WeekStart="Sunday",1,2)))</f>
        <v>0</v>
      </c>
      <c r="E275" s="23">
        <f>IF(B275="","",TEXT(B275,"yyyy-mm"))</f>
        <v>0</v>
      </c>
      <c r="H275" s="23">
        <f>IF(G275="","",IFERROR(INDEX(Jobs!$H$5:$H$604,MATCH(G275,Jobs!$A$5:$A$604,0)),""))</f>
        <v>0</v>
      </c>
      <c r="T275" s="34">
        <f>IF(OR(J275="",K275=""),"",ROUND((K275-J275)*24-IF(L275="",0,L275)/60,2))</f>
        <v>0</v>
      </c>
      <c r="U275" s="34">
        <f>IF(F275="","",IF(M275&lt;&gt;"",M275,IF(T275="",0,T275)))</f>
        <v>0</v>
      </c>
      <c r="V275" s="21">
        <f>IF(F275="","",IFERROR(INDEX(Employees!$U$5:$U$44,MATCH(F275,Employees!$B$5:$B$44,0)),PayRate*(1+EmployerOncost)))</f>
        <v>0</v>
      </c>
      <c r="W275" s="34">
        <f>IF(F275="","",MAX(0,U275-IF(N275="",0,N275)))</f>
        <v>0</v>
      </c>
      <c r="X275" s="21">
        <f>IF(F275="","",ROUND(W275*V275+IF(N275="",0,N275)*V275*OvertimeRate,2))</f>
        <v>0</v>
      </c>
      <c r="Y275" s="21">
        <f>IF(F275="","",IF(P275&lt;&gt;"Yes",0,ROUND(U275*IF(IFERROR(INDEX(Clients!$O$5:$O$204,MATCH(IFERROR(INDEX(Jobs!$G$5:$G$604,MATCH(G275,Jobs!$A$5:$A$604,0)),""),Clients!$A$5:$A$204,0)),0)&gt;0,INDEX(Clients!$O$5:$O$204,MATCH(INDEX(Jobs!$G$5:$G$604,MATCH(G275,Jobs!$A$5:$A$604,0)),Clients!$A$5:$A$204,0)),HourlyRate),2)))</f>
        <v>0</v>
      </c>
      <c r="Z275" s="39">
        <f>IF(F275="","",IF(U275=0,"Add - no hours recorded",IF(O275="Absent - no show","Action - no show",IF(U275&gt;10,"Check - over ten hours in a day",IF(Q275&lt;&gt;"Yes","Due - needs approving",IF(R275&lt;&gt;"Yes","Due - not paid yet","OK"))))))</f>
        <v>0</v>
      </c>
    </row>
    <row r="276" spans="1:26">
      <c r="A276" s="43">
        <f>IF(F276="","","TS-"&amp;TEXT(ROW()-4,"0000"))</f>
        <v>0</v>
      </c>
      <c r="C276" s="23">
        <f>IF(B276="","",TEXT(B276,"ddd"))</f>
        <v>0</v>
      </c>
      <c r="D276" s="31">
        <f>IF(B276="","",WEEKNUM(B276,IF(WeekStart="Sunday",1,2)))</f>
        <v>0</v>
      </c>
      <c r="E276" s="23">
        <f>IF(B276="","",TEXT(B276,"yyyy-mm"))</f>
        <v>0</v>
      </c>
      <c r="H276" s="23">
        <f>IF(G276="","",IFERROR(INDEX(Jobs!$H$5:$H$604,MATCH(G276,Jobs!$A$5:$A$604,0)),""))</f>
        <v>0</v>
      </c>
      <c r="T276" s="34">
        <f>IF(OR(J276="",K276=""),"",ROUND((K276-J276)*24-IF(L276="",0,L276)/60,2))</f>
        <v>0</v>
      </c>
      <c r="U276" s="34">
        <f>IF(F276="","",IF(M276&lt;&gt;"",M276,IF(T276="",0,T276)))</f>
        <v>0</v>
      </c>
      <c r="V276" s="21">
        <f>IF(F276="","",IFERROR(INDEX(Employees!$U$5:$U$44,MATCH(F276,Employees!$B$5:$B$44,0)),PayRate*(1+EmployerOncost)))</f>
        <v>0</v>
      </c>
      <c r="W276" s="34">
        <f>IF(F276="","",MAX(0,U276-IF(N276="",0,N276)))</f>
        <v>0</v>
      </c>
      <c r="X276" s="21">
        <f>IF(F276="","",ROUND(W276*V276+IF(N276="",0,N276)*V276*OvertimeRate,2))</f>
        <v>0</v>
      </c>
      <c r="Y276" s="21">
        <f>IF(F276="","",IF(P276&lt;&gt;"Yes",0,ROUND(U276*IF(IFERROR(INDEX(Clients!$O$5:$O$204,MATCH(IFERROR(INDEX(Jobs!$G$5:$G$604,MATCH(G276,Jobs!$A$5:$A$604,0)),""),Clients!$A$5:$A$204,0)),0)&gt;0,INDEX(Clients!$O$5:$O$204,MATCH(INDEX(Jobs!$G$5:$G$604,MATCH(G276,Jobs!$A$5:$A$604,0)),Clients!$A$5:$A$204,0)),HourlyRate),2)))</f>
        <v>0</v>
      </c>
      <c r="Z276" s="39">
        <f>IF(F276="","",IF(U276=0,"Add - no hours recorded",IF(O276="Absent - no show","Action - no show",IF(U276&gt;10,"Check - over ten hours in a day",IF(Q276&lt;&gt;"Yes","Due - needs approving",IF(R276&lt;&gt;"Yes","Due - not paid yet","OK"))))))</f>
        <v>0</v>
      </c>
    </row>
    <row r="277" spans="1:26">
      <c r="A277" s="43">
        <f>IF(F277="","","TS-"&amp;TEXT(ROW()-4,"0000"))</f>
        <v>0</v>
      </c>
      <c r="C277" s="23">
        <f>IF(B277="","",TEXT(B277,"ddd"))</f>
        <v>0</v>
      </c>
      <c r="D277" s="31">
        <f>IF(B277="","",WEEKNUM(B277,IF(WeekStart="Sunday",1,2)))</f>
        <v>0</v>
      </c>
      <c r="E277" s="23">
        <f>IF(B277="","",TEXT(B277,"yyyy-mm"))</f>
        <v>0</v>
      </c>
      <c r="H277" s="23">
        <f>IF(G277="","",IFERROR(INDEX(Jobs!$H$5:$H$604,MATCH(G277,Jobs!$A$5:$A$604,0)),""))</f>
        <v>0</v>
      </c>
      <c r="T277" s="34">
        <f>IF(OR(J277="",K277=""),"",ROUND((K277-J277)*24-IF(L277="",0,L277)/60,2))</f>
        <v>0</v>
      </c>
      <c r="U277" s="34">
        <f>IF(F277="","",IF(M277&lt;&gt;"",M277,IF(T277="",0,T277)))</f>
        <v>0</v>
      </c>
      <c r="V277" s="21">
        <f>IF(F277="","",IFERROR(INDEX(Employees!$U$5:$U$44,MATCH(F277,Employees!$B$5:$B$44,0)),PayRate*(1+EmployerOncost)))</f>
        <v>0</v>
      </c>
      <c r="W277" s="34">
        <f>IF(F277="","",MAX(0,U277-IF(N277="",0,N277)))</f>
        <v>0</v>
      </c>
      <c r="X277" s="21">
        <f>IF(F277="","",ROUND(W277*V277+IF(N277="",0,N277)*V277*OvertimeRate,2))</f>
        <v>0</v>
      </c>
      <c r="Y277" s="21">
        <f>IF(F277="","",IF(P277&lt;&gt;"Yes",0,ROUND(U277*IF(IFERROR(INDEX(Clients!$O$5:$O$204,MATCH(IFERROR(INDEX(Jobs!$G$5:$G$604,MATCH(G277,Jobs!$A$5:$A$604,0)),""),Clients!$A$5:$A$204,0)),0)&gt;0,INDEX(Clients!$O$5:$O$204,MATCH(INDEX(Jobs!$G$5:$G$604,MATCH(G277,Jobs!$A$5:$A$604,0)),Clients!$A$5:$A$204,0)),HourlyRate),2)))</f>
        <v>0</v>
      </c>
      <c r="Z277" s="39">
        <f>IF(F277="","",IF(U277=0,"Add - no hours recorded",IF(O277="Absent - no show","Action - no show",IF(U277&gt;10,"Check - over ten hours in a day",IF(Q277&lt;&gt;"Yes","Due - needs approving",IF(R277&lt;&gt;"Yes","Due - not paid yet","OK"))))))</f>
        <v>0</v>
      </c>
    </row>
    <row r="278" spans="1:26">
      <c r="A278" s="43">
        <f>IF(F278="","","TS-"&amp;TEXT(ROW()-4,"0000"))</f>
        <v>0</v>
      </c>
      <c r="C278" s="23">
        <f>IF(B278="","",TEXT(B278,"ddd"))</f>
        <v>0</v>
      </c>
      <c r="D278" s="31">
        <f>IF(B278="","",WEEKNUM(B278,IF(WeekStart="Sunday",1,2)))</f>
        <v>0</v>
      </c>
      <c r="E278" s="23">
        <f>IF(B278="","",TEXT(B278,"yyyy-mm"))</f>
        <v>0</v>
      </c>
      <c r="H278" s="23">
        <f>IF(G278="","",IFERROR(INDEX(Jobs!$H$5:$H$604,MATCH(G278,Jobs!$A$5:$A$604,0)),""))</f>
        <v>0</v>
      </c>
      <c r="T278" s="34">
        <f>IF(OR(J278="",K278=""),"",ROUND((K278-J278)*24-IF(L278="",0,L278)/60,2))</f>
        <v>0</v>
      </c>
      <c r="U278" s="34">
        <f>IF(F278="","",IF(M278&lt;&gt;"",M278,IF(T278="",0,T278)))</f>
        <v>0</v>
      </c>
      <c r="V278" s="21">
        <f>IF(F278="","",IFERROR(INDEX(Employees!$U$5:$U$44,MATCH(F278,Employees!$B$5:$B$44,0)),PayRate*(1+EmployerOncost)))</f>
        <v>0</v>
      </c>
      <c r="W278" s="34">
        <f>IF(F278="","",MAX(0,U278-IF(N278="",0,N278)))</f>
        <v>0</v>
      </c>
      <c r="X278" s="21">
        <f>IF(F278="","",ROUND(W278*V278+IF(N278="",0,N278)*V278*OvertimeRate,2))</f>
        <v>0</v>
      </c>
      <c r="Y278" s="21">
        <f>IF(F278="","",IF(P278&lt;&gt;"Yes",0,ROUND(U278*IF(IFERROR(INDEX(Clients!$O$5:$O$204,MATCH(IFERROR(INDEX(Jobs!$G$5:$G$604,MATCH(G278,Jobs!$A$5:$A$604,0)),""),Clients!$A$5:$A$204,0)),0)&gt;0,INDEX(Clients!$O$5:$O$204,MATCH(INDEX(Jobs!$G$5:$G$604,MATCH(G278,Jobs!$A$5:$A$604,0)),Clients!$A$5:$A$204,0)),HourlyRate),2)))</f>
        <v>0</v>
      </c>
      <c r="Z278" s="39">
        <f>IF(F278="","",IF(U278=0,"Add - no hours recorded",IF(O278="Absent - no show","Action - no show",IF(U278&gt;10,"Check - over ten hours in a day",IF(Q278&lt;&gt;"Yes","Due - needs approving",IF(R278&lt;&gt;"Yes","Due - not paid yet","OK"))))))</f>
        <v>0</v>
      </c>
    </row>
    <row r="279" spans="1:26">
      <c r="A279" s="43">
        <f>IF(F279="","","TS-"&amp;TEXT(ROW()-4,"0000"))</f>
        <v>0</v>
      </c>
      <c r="C279" s="23">
        <f>IF(B279="","",TEXT(B279,"ddd"))</f>
        <v>0</v>
      </c>
      <c r="D279" s="31">
        <f>IF(B279="","",WEEKNUM(B279,IF(WeekStart="Sunday",1,2)))</f>
        <v>0</v>
      </c>
      <c r="E279" s="23">
        <f>IF(B279="","",TEXT(B279,"yyyy-mm"))</f>
        <v>0</v>
      </c>
      <c r="H279" s="23">
        <f>IF(G279="","",IFERROR(INDEX(Jobs!$H$5:$H$604,MATCH(G279,Jobs!$A$5:$A$604,0)),""))</f>
        <v>0</v>
      </c>
      <c r="T279" s="34">
        <f>IF(OR(J279="",K279=""),"",ROUND((K279-J279)*24-IF(L279="",0,L279)/60,2))</f>
        <v>0</v>
      </c>
      <c r="U279" s="34">
        <f>IF(F279="","",IF(M279&lt;&gt;"",M279,IF(T279="",0,T279)))</f>
        <v>0</v>
      </c>
      <c r="V279" s="21">
        <f>IF(F279="","",IFERROR(INDEX(Employees!$U$5:$U$44,MATCH(F279,Employees!$B$5:$B$44,0)),PayRate*(1+EmployerOncost)))</f>
        <v>0</v>
      </c>
      <c r="W279" s="34">
        <f>IF(F279="","",MAX(0,U279-IF(N279="",0,N279)))</f>
        <v>0</v>
      </c>
      <c r="X279" s="21">
        <f>IF(F279="","",ROUND(W279*V279+IF(N279="",0,N279)*V279*OvertimeRate,2))</f>
        <v>0</v>
      </c>
      <c r="Y279" s="21">
        <f>IF(F279="","",IF(P279&lt;&gt;"Yes",0,ROUND(U279*IF(IFERROR(INDEX(Clients!$O$5:$O$204,MATCH(IFERROR(INDEX(Jobs!$G$5:$G$604,MATCH(G279,Jobs!$A$5:$A$604,0)),""),Clients!$A$5:$A$204,0)),0)&gt;0,INDEX(Clients!$O$5:$O$204,MATCH(INDEX(Jobs!$G$5:$G$604,MATCH(G279,Jobs!$A$5:$A$604,0)),Clients!$A$5:$A$204,0)),HourlyRate),2)))</f>
        <v>0</v>
      </c>
      <c r="Z279" s="39">
        <f>IF(F279="","",IF(U279=0,"Add - no hours recorded",IF(O279="Absent - no show","Action - no show",IF(U279&gt;10,"Check - over ten hours in a day",IF(Q279&lt;&gt;"Yes","Due - needs approving",IF(R279&lt;&gt;"Yes","Due - not paid yet","OK"))))))</f>
        <v>0</v>
      </c>
    </row>
    <row r="280" spans="1:26">
      <c r="A280" s="43">
        <f>IF(F280="","","TS-"&amp;TEXT(ROW()-4,"0000"))</f>
        <v>0</v>
      </c>
      <c r="C280" s="23">
        <f>IF(B280="","",TEXT(B280,"ddd"))</f>
        <v>0</v>
      </c>
      <c r="D280" s="31">
        <f>IF(B280="","",WEEKNUM(B280,IF(WeekStart="Sunday",1,2)))</f>
        <v>0</v>
      </c>
      <c r="E280" s="23">
        <f>IF(B280="","",TEXT(B280,"yyyy-mm"))</f>
        <v>0</v>
      </c>
      <c r="H280" s="23">
        <f>IF(G280="","",IFERROR(INDEX(Jobs!$H$5:$H$604,MATCH(G280,Jobs!$A$5:$A$604,0)),""))</f>
        <v>0</v>
      </c>
      <c r="T280" s="34">
        <f>IF(OR(J280="",K280=""),"",ROUND((K280-J280)*24-IF(L280="",0,L280)/60,2))</f>
        <v>0</v>
      </c>
      <c r="U280" s="34">
        <f>IF(F280="","",IF(M280&lt;&gt;"",M280,IF(T280="",0,T280)))</f>
        <v>0</v>
      </c>
      <c r="V280" s="21">
        <f>IF(F280="","",IFERROR(INDEX(Employees!$U$5:$U$44,MATCH(F280,Employees!$B$5:$B$44,0)),PayRate*(1+EmployerOncost)))</f>
        <v>0</v>
      </c>
      <c r="W280" s="34">
        <f>IF(F280="","",MAX(0,U280-IF(N280="",0,N280)))</f>
        <v>0</v>
      </c>
      <c r="X280" s="21">
        <f>IF(F280="","",ROUND(W280*V280+IF(N280="",0,N280)*V280*OvertimeRate,2))</f>
        <v>0</v>
      </c>
      <c r="Y280" s="21">
        <f>IF(F280="","",IF(P280&lt;&gt;"Yes",0,ROUND(U280*IF(IFERROR(INDEX(Clients!$O$5:$O$204,MATCH(IFERROR(INDEX(Jobs!$G$5:$G$604,MATCH(G280,Jobs!$A$5:$A$604,0)),""),Clients!$A$5:$A$204,0)),0)&gt;0,INDEX(Clients!$O$5:$O$204,MATCH(INDEX(Jobs!$G$5:$G$604,MATCH(G280,Jobs!$A$5:$A$604,0)),Clients!$A$5:$A$204,0)),HourlyRate),2)))</f>
        <v>0</v>
      </c>
      <c r="Z280" s="39">
        <f>IF(F280="","",IF(U280=0,"Add - no hours recorded",IF(O280="Absent - no show","Action - no show",IF(U280&gt;10,"Check - over ten hours in a day",IF(Q280&lt;&gt;"Yes","Due - needs approving",IF(R280&lt;&gt;"Yes","Due - not paid yet","OK"))))))</f>
        <v>0</v>
      </c>
    </row>
    <row r="281" spans="1:26">
      <c r="A281" s="43">
        <f>IF(F281="","","TS-"&amp;TEXT(ROW()-4,"0000"))</f>
        <v>0</v>
      </c>
      <c r="C281" s="23">
        <f>IF(B281="","",TEXT(B281,"ddd"))</f>
        <v>0</v>
      </c>
      <c r="D281" s="31">
        <f>IF(B281="","",WEEKNUM(B281,IF(WeekStart="Sunday",1,2)))</f>
        <v>0</v>
      </c>
      <c r="E281" s="23">
        <f>IF(B281="","",TEXT(B281,"yyyy-mm"))</f>
        <v>0</v>
      </c>
      <c r="H281" s="23">
        <f>IF(G281="","",IFERROR(INDEX(Jobs!$H$5:$H$604,MATCH(G281,Jobs!$A$5:$A$604,0)),""))</f>
        <v>0</v>
      </c>
      <c r="T281" s="34">
        <f>IF(OR(J281="",K281=""),"",ROUND((K281-J281)*24-IF(L281="",0,L281)/60,2))</f>
        <v>0</v>
      </c>
      <c r="U281" s="34">
        <f>IF(F281="","",IF(M281&lt;&gt;"",M281,IF(T281="",0,T281)))</f>
        <v>0</v>
      </c>
      <c r="V281" s="21">
        <f>IF(F281="","",IFERROR(INDEX(Employees!$U$5:$U$44,MATCH(F281,Employees!$B$5:$B$44,0)),PayRate*(1+EmployerOncost)))</f>
        <v>0</v>
      </c>
      <c r="W281" s="34">
        <f>IF(F281="","",MAX(0,U281-IF(N281="",0,N281)))</f>
        <v>0</v>
      </c>
      <c r="X281" s="21">
        <f>IF(F281="","",ROUND(W281*V281+IF(N281="",0,N281)*V281*OvertimeRate,2))</f>
        <v>0</v>
      </c>
      <c r="Y281" s="21">
        <f>IF(F281="","",IF(P281&lt;&gt;"Yes",0,ROUND(U281*IF(IFERROR(INDEX(Clients!$O$5:$O$204,MATCH(IFERROR(INDEX(Jobs!$G$5:$G$604,MATCH(G281,Jobs!$A$5:$A$604,0)),""),Clients!$A$5:$A$204,0)),0)&gt;0,INDEX(Clients!$O$5:$O$204,MATCH(INDEX(Jobs!$G$5:$G$604,MATCH(G281,Jobs!$A$5:$A$604,0)),Clients!$A$5:$A$204,0)),HourlyRate),2)))</f>
        <v>0</v>
      </c>
      <c r="Z281" s="39">
        <f>IF(F281="","",IF(U281=0,"Add - no hours recorded",IF(O281="Absent - no show","Action - no show",IF(U281&gt;10,"Check - over ten hours in a day",IF(Q281&lt;&gt;"Yes","Due - needs approving",IF(R281&lt;&gt;"Yes","Due - not paid yet","OK"))))))</f>
        <v>0</v>
      </c>
    </row>
    <row r="282" spans="1:26">
      <c r="A282" s="43">
        <f>IF(F282="","","TS-"&amp;TEXT(ROW()-4,"0000"))</f>
        <v>0</v>
      </c>
      <c r="C282" s="23">
        <f>IF(B282="","",TEXT(B282,"ddd"))</f>
        <v>0</v>
      </c>
      <c r="D282" s="31">
        <f>IF(B282="","",WEEKNUM(B282,IF(WeekStart="Sunday",1,2)))</f>
        <v>0</v>
      </c>
      <c r="E282" s="23">
        <f>IF(B282="","",TEXT(B282,"yyyy-mm"))</f>
        <v>0</v>
      </c>
      <c r="H282" s="23">
        <f>IF(G282="","",IFERROR(INDEX(Jobs!$H$5:$H$604,MATCH(G282,Jobs!$A$5:$A$604,0)),""))</f>
        <v>0</v>
      </c>
      <c r="T282" s="34">
        <f>IF(OR(J282="",K282=""),"",ROUND((K282-J282)*24-IF(L282="",0,L282)/60,2))</f>
        <v>0</v>
      </c>
      <c r="U282" s="34">
        <f>IF(F282="","",IF(M282&lt;&gt;"",M282,IF(T282="",0,T282)))</f>
        <v>0</v>
      </c>
      <c r="V282" s="21">
        <f>IF(F282="","",IFERROR(INDEX(Employees!$U$5:$U$44,MATCH(F282,Employees!$B$5:$B$44,0)),PayRate*(1+EmployerOncost)))</f>
        <v>0</v>
      </c>
      <c r="W282" s="34">
        <f>IF(F282="","",MAX(0,U282-IF(N282="",0,N282)))</f>
        <v>0</v>
      </c>
      <c r="X282" s="21">
        <f>IF(F282="","",ROUND(W282*V282+IF(N282="",0,N282)*V282*OvertimeRate,2))</f>
        <v>0</v>
      </c>
      <c r="Y282" s="21">
        <f>IF(F282="","",IF(P282&lt;&gt;"Yes",0,ROUND(U282*IF(IFERROR(INDEX(Clients!$O$5:$O$204,MATCH(IFERROR(INDEX(Jobs!$G$5:$G$604,MATCH(G282,Jobs!$A$5:$A$604,0)),""),Clients!$A$5:$A$204,0)),0)&gt;0,INDEX(Clients!$O$5:$O$204,MATCH(INDEX(Jobs!$G$5:$G$604,MATCH(G282,Jobs!$A$5:$A$604,0)),Clients!$A$5:$A$204,0)),HourlyRate),2)))</f>
        <v>0</v>
      </c>
      <c r="Z282" s="39">
        <f>IF(F282="","",IF(U282=0,"Add - no hours recorded",IF(O282="Absent - no show","Action - no show",IF(U282&gt;10,"Check - over ten hours in a day",IF(Q282&lt;&gt;"Yes","Due - needs approving",IF(R282&lt;&gt;"Yes","Due - not paid yet","OK"))))))</f>
        <v>0</v>
      </c>
    </row>
    <row r="283" spans="1:26">
      <c r="A283" s="43">
        <f>IF(F283="","","TS-"&amp;TEXT(ROW()-4,"0000"))</f>
        <v>0</v>
      </c>
      <c r="C283" s="23">
        <f>IF(B283="","",TEXT(B283,"ddd"))</f>
        <v>0</v>
      </c>
      <c r="D283" s="31">
        <f>IF(B283="","",WEEKNUM(B283,IF(WeekStart="Sunday",1,2)))</f>
        <v>0</v>
      </c>
      <c r="E283" s="23">
        <f>IF(B283="","",TEXT(B283,"yyyy-mm"))</f>
        <v>0</v>
      </c>
      <c r="H283" s="23">
        <f>IF(G283="","",IFERROR(INDEX(Jobs!$H$5:$H$604,MATCH(G283,Jobs!$A$5:$A$604,0)),""))</f>
        <v>0</v>
      </c>
      <c r="T283" s="34">
        <f>IF(OR(J283="",K283=""),"",ROUND((K283-J283)*24-IF(L283="",0,L283)/60,2))</f>
        <v>0</v>
      </c>
      <c r="U283" s="34">
        <f>IF(F283="","",IF(M283&lt;&gt;"",M283,IF(T283="",0,T283)))</f>
        <v>0</v>
      </c>
      <c r="V283" s="21">
        <f>IF(F283="","",IFERROR(INDEX(Employees!$U$5:$U$44,MATCH(F283,Employees!$B$5:$B$44,0)),PayRate*(1+EmployerOncost)))</f>
        <v>0</v>
      </c>
      <c r="W283" s="34">
        <f>IF(F283="","",MAX(0,U283-IF(N283="",0,N283)))</f>
        <v>0</v>
      </c>
      <c r="X283" s="21">
        <f>IF(F283="","",ROUND(W283*V283+IF(N283="",0,N283)*V283*OvertimeRate,2))</f>
        <v>0</v>
      </c>
      <c r="Y283" s="21">
        <f>IF(F283="","",IF(P283&lt;&gt;"Yes",0,ROUND(U283*IF(IFERROR(INDEX(Clients!$O$5:$O$204,MATCH(IFERROR(INDEX(Jobs!$G$5:$G$604,MATCH(G283,Jobs!$A$5:$A$604,0)),""),Clients!$A$5:$A$204,0)),0)&gt;0,INDEX(Clients!$O$5:$O$204,MATCH(INDEX(Jobs!$G$5:$G$604,MATCH(G283,Jobs!$A$5:$A$604,0)),Clients!$A$5:$A$204,0)),HourlyRate),2)))</f>
        <v>0</v>
      </c>
      <c r="Z283" s="39">
        <f>IF(F283="","",IF(U283=0,"Add - no hours recorded",IF(O283="Absent - no show","Action - no show",IF(U283&gt;10,"Check - over ten hours in a day",IF(Q283&lt;&gt;"Yes","Due - needs approving",IF(R283&lt;&gt;"Yes","Due - not paid yet","OK"))))))</f>
        <v>0</v>
      </c>
    </row>
    <row r="284" spans="1:26">
      <c r="A284" s="43">
        <f>IF(F284="","","TS-"&amp;TEXT(ROW()-4,"0000"))</f>
        <v>0</v>
      </c>
      <c r="C284" s="23">
        <f>IF(B284="","",TEXT(B284,"ddd"))</f>
        <v>0</v>
      </c>
      <c r="D284" s="31">
        <f>IF(B284="","",WEEKNUM(B284,IF(WeekStart="Sunday",1,2)))</f>
        <v>0</v>
      </c>
      <c r="E284" s="23">
        <f>IF(B284="","",TEXT(B284,"yyyy-mm"))</f>
        <v>0</v>
      </c>
      <c r="H284" s="23">
        <f>IF(G284="","",IFERROR(INDEX(Jobs!$H$5:$H$604,MATCH(G284,Jobs!$A$5:$A$604,0)),""))</f>
        <v>0</v>
      </c>
      <c r="T284" s="34">
        <f>IF(OR(J284="",K284=""),"",ROUND((K284-J284)*24-IF(L284="",0,L284)/60,2))</f>
        <v>0</v>
      </c>
      <c r="U284" s="34">
        <f>IF(F284="","",IF(M284&lt;&gt;"",M284,IF(T284="",0,T284)))</f>
        <v>0</v>
      </c>
      <c r="V284" s="21">
        <f>IF(F284="","",IFERROR(INDEX(Employees!$U$5:$U$44,MATCH(F284,Employees!$B$5:$B$44,0)),PayRate*(1+EmployerOncost)))</f>
        <v>0</v>
      </c>
      <c r="W284" s="34">
        <f>IF(F284="","",MAX(0,U284-IF(N284="",0,N284)))</f>
        <v>0</v>
      </c>
      <c r="X284" s="21">
        <f>IF(F284="","",ROUND(W284*V284+IF(N284="",0,N284)*V284*OvertimeRate,2))</f>
        <v>0</v>
      </c>
      <c r="Y284" s="21">
        <f>IF(F284="","",IF(P284&lt;&gt;"Yes",0,ROUND(U284*IF(IFERROR(INDEX(Clients!$O$5:$O$204,MATCH(IFERROR(INDEX(Jobs!$G$5:$G$604,MATCH(G284,Jobs!$A$5:$A$604,0)),""),Clients!$A$5:$A$204,0)),0)&gt;0,INDEX(Clients!$O$5:$O$204,MATCH(INDEX(Jobs!$G$5:$G$604,MATCH(G284,Jobs!$A$5:$A$604,0)),Clients!$A$5:$A$204,0)),HourlyRate),2)))</f>
        <v>0</v>
      </c>
      <c r="Z284" s="39">
        <f>IF(F284="","",IF(U284=0,"Add - no hours recorded",IF(O284="Absent - no show","Action - no show",IF(U284&gt;10,"Check - over ten hours in a day",IF(Q284&lt;&gt;"Yes","Due - needs approving",IF(R284&lt;&gt;"Yes","Due - not paid yet","OK"))))))</f>
        <v>0</v>
      </c>
    </row>
    <row r="285" spans="1:26">
      <c r="A285" s="43">
        <f>IF(F285="","","TS-"&amp;TEXT(ROW()-4,"0000"))</f>
        <v>0</v>
      </c>
      <c r="C285" s="23">
        <f>IF(B285="","",TEXT(B285,"ddd"))</f>
        <v>0</v>
      </c>
      <c r="D285" s="31">
        <f>IF(B285="","",WEEKNUM(B285,IF(WeekStart="Sunday",1,2)))</f>
        <v>0</v>
      </c>
      <c r="E285" s="23">
        <f>IF(B285="","",TEXT(B285,"yyyy-mm"))</f>
        <v>0</v>
      </c>
      <c r="H285" s="23">
        <f>IF(G285="","",IFERROR(INDEX(Jobs!$H$5:$H$604,MATCH(G285,Jobs!$A$5:$A$604,0)),""))</f>
        <v>0</v>
      </c>
      <c r="T285" s="34">
        <f>IF(OR(J285="",K285=""),"",ROUND((K285-J285)*24-IF(L285="",0,L285)/60,2))</f>
        <v>0</v>
      </c>
      <c r="U285" s="34">
        <f>IF(F285="","",IF(M285&lt;&gt;"",M285,IF(T285="",0,T285)))</f>
        <v>0</v>
      </c>
      <c r="V285" s="21">
        <f>IF(F285="","",IFERROR(INDEX(Employees!$U$5:$U$44,MATCH(F285,Employees!$B$5:$B$44,0)),PayRate*(1+EmployerOncost)))</f>
        <v>0</v>
      </c>
      <c r="W285" s="34">
        <f>IF(F285="","",MAX(0,U285-IF(N285="",0,N285)))</f>
        <v>0</v>
      </c>
      <c r="X285" s="21">
        <f>IF(F285="","",ROUND(W285*V285+IF(N285="",0,N285)*V285*OvertimeRate,2))</f>
        <v>0</v>
      </c>
      <c r="Y285" s="21">
        <f>IF(F285="","",IF(P285&lt;&gt;"Yes",0,ROUND(U285*IF(IFERROR(INDEX(Clients!$O$5:$O$204,MATCH(IFERROR(INDEX(Jobs!$G$5:$G$604,MATCH(G285,Jobs!$A$5:$A$604,0)),""),Clients!$A$5:$A$204,0)),0)&gt;0,INDEX(Clients!$O$5:$O$204,MATCH(INDEX(Jobs!$G$5:$G$604,MATCH(G285,Jobs!$A$5:$A$604,0)),Clients!$A$5:$A$204,0)),HourlyRate),2)))</f>
        <v>0</v>
      </c>
      <c r="Z285" s="39">
        <f>IF(F285="","",IF(U285=0,"Add - no hours recorded",IF(O285="Absent - no show","Action - no show",IF(U285&gt;10,"Check - over ten hours in a day",IF(Q285&lt;&gt;"Yes","Due - needs approving",IF(R285&lt;&gt;"Yes","Due - not paid yet","OK"))))))</f>
        <v>0</v>
      </c>
    </row>
    <row r="286" spans="1:26">
      <c r="A286" s="43">
        <f>IF(F286="","","TS-"&amp;TEXT(ROW()-4,"0000"))</f>
        <v>0</v>
      </c>
      <c r="C286" s="23">
        <f>IF(B286="","",TEXT(B286,"ddd"))</f>
        <v>0</v>
      </c>
      <c r="D286" s="31">
        <f>IF(B286="","",WEEKNUM(B286,IF(WeekStart="Sunday",1,2)))</f>
        <v>0</v>
      </c>
      <c r="E286" s="23">
        <f>IF(B286="","",TEXT(B286,"yyyy-mm"))</f>
        <v>0</v>
      </c>
      <c r="H286" s="23">
        <f>IF(G286="","",IFERROR(INDEX(Jobs!$H$5:$H$604,MATCH(G286,Jobs!$A$5:$A$604,0)),""))</f>
        <v>0</v>
      </c>
      <c r="T286" s="34">
        <f>IF(OR(J286="",K286=""),"",ROUND((K286-J286)*24-IF(L286="",0,L286)/60,2))</f>
        <v>0</v>
      </c>
      <c r="U286" s="34">
        <f>IF(F286="","",IF(M286&lt;&gt;"",M286,IF(T286="",0,T286)))</f>
        <v>0</v>
      </c>
      <c r="V286" s="21">
        <f>IF(F286="","",IFERROR(INDEX(Employees!$U$5:$U$44,MATCH(F286,Employees!$B$5:$B$44,0)),PayRate*(1+EmployerOncost)))</f>
        <v>0</v>
      </c>
      <c r="W286" s="34">
        <f>IF(F286="","",MAX(0,U286-IF(N286="",0,N286)))</f>
        <v>0</v>
      </c>
      <c r="X286" s="21">
        <f>IF(F286="","",ROUND(W286*V286+IF(N286="",0,N286)*V286*OvertimeRate,2))</f>
        <v>0</v>
      </c>
      <c r="Y286" s="21">
        <f>IF(F286="","",IF(P286&lt;&gt;"Yes",0,ROUND(U286*IF(IFERROR(INDEX(Clients!$O$5:$O$204,MATCH(IFERROR(INDEX(Jobs!$G$5:$G$604,MATCH(G286,Jobs!$A$5:$A$604,0)),""),Clients!$A$5:$A$204,0)),0)&gt;0,INDEX(Clients!$O$5:$O$204,MATCH(INDEX(Jobs!$G$5:$G$604,MATCH(G286,Jobs!$A$5:$A$604,0)),Clients!$A$5:$A$204,0)),HourlyRate),2)))</f>
        <v>0</v>
      </c>
      <c r="Z286" s="39">
        <f>IF(F286="","",IF(U286=0,"Add - no hours recorded",IF(O286="Absent - no show","Action - no show",IF(U286&gt;10,"Check - over ten hours in a day",IF(Q286&lt;&gt;"Yes","Due - needs approving",IF(R286&lt;&gt;"Yes","Due - not paid yet","OK"))))))</f>
        <v>0</v>
      </c>
    </row>
    <row r="287" spans="1:26">
      <c r="A287" s="43">
        <f>IF(F287="","","TS-"&amp;TEXT(ROW()-4,"0000"))</f>
        <v>0</v>
      </c>
      <c r="C287" s="23">
        <f>IF(B287="","",TEXT(B287,"ddd"))</f>
        <v>0</v>
      </c>
      <c r="D287" s="31">
        <f>IF(B287="","",WEEKNUM(B287,IF(WeekStart="Sunday",1,2)))</f>
        <v>0</v>
      </c>
      <c r="E287" s="23">
        <f>IF(B287="","",TEXT(B287,"yyyy-mm"))</f>
        <v>0</v>
      </c>
      <c r="H287" s="23">
        <f>IF(G287="","",IFERROR(INDEX(Jobs!$H$5:$H$604,MATCH(G287,Jobs!$A$5:$A$604,0)),""))</f>
        <v>0</v>
      </c>
      <c r="T287" s="34">
        <f>IF(OR(J287="",K287=""),"",ROUND((K287-J287)*24-IF(L287="",0,L287)/60,2))</f>
        <v>0</v>
      </c>
      <c r="U287" s="34">
        <f>IF(F287="","",IF(M287&lt;&gt;"",M287,IF(T287="",0,T287)))</f>
        <v>0</v>
      </c>
      <c r="V287" s="21">
        <f>IF(F287="","",IFERROR(INDEX(Employees!$U$5:$U$44,MATCH(F287,Employees!$B$5:$B$44,0)),PayRate*(1+EmployerOncost)))</f>
        <v>0</v>
      </c>
      <c r="W287" s="34">
        <f>IF(F287="","",MAX(0,U287-IF(N287="",0,N287)))</f>
        <v>0</v>
      </c>
      <c r="X287" s="21">
        <f>IF(F287="","",ROUND(W287*V287+IF(N287="",0,N287)*V287*OvertimeRate,2))</f>
        <v>0</v>
      </c>
      <c r="Y287" s="21">
        <f>IF(F287="","",IF(P287&lt;&gt;"Yes",0,ROUND(U287*IF(IFERROR(INDEX(Clients!$O$5:$O$204,MATCH(IFERROR(INDEX(Jobs!$G$5:$G$604,MATCH(G287,Jobs!$A$5:$A$604,0)),""),Clients!$A$5:$A$204,0)),0)&gt;0,INDEX(Clients!$O$5:$O$204,MATCH(INDEX(Jobs!$G$5:$G$604,MATCH(G287,Jobs!$A$5:$A$604,0)),Clients!$A$5:$A$204,0)),HourlyRate),2)))</f>
        <v>0</v>
      </c>
      <c r="Z287" s="39">
        <f>IF(F287="","",IF(U287=0,"Add - no hours recorded",IF(O287="Absent - no show","Action - no show",IF(U287&gt;10,"Check - over ten hours in a day",IF(Q287&lt;&gt;"Yes","Due - needs approving",IF(R287&lt;&gt;"Yes","Due - not paid yet","OK"))))))</f>
        <v>0</v>
      </c>
    </row>
    <row r="288" spans="1:26">
      <c r="A288" s="43">
        <f>IF(F288="","","TS-"&amp;TEXT(ROW()-4,"0000"))</f>
        <v>0</v>
      </c>
      <c r="C288" s="23">
        <f>IF(B288="","",TEXT(B288,"ddd"))</f>
        <v>0</v>
      </c>
      <c r="D288" s="31">
        <f>IF(B288="","",WEEKNUM(B288,IF(WeekStart="Sunday",1,2)))</f>
        <v>0</v>
      </c>
      <c r="E288" s="23">
        <f>IF(B288="","",TEXT(B288,"yyyy-mm"))</f>
        <v>0</v>
      </c>
      <c r="H288" s="23">
        <f>IF(G288="","",IFERROR(INDEX(Jobs!$H$5:$H$604,MATCH(G288,Jobs!$A$5:$A$604,0)),""))</f>
        <v>0</v>
      </c>
      <c r="T288" s="34">
        <f>IF(OR(J288="",K288=""),"",ROUND((K288-J288)*24-IF(L288="",0,L288)/60,2))</f>
        <v>0</v>
      </c>
      <c r="U288" s="34">
        <f>IF(F288="","",IF(M288&lt;&gt;"",M288,IF(T288="",0,T288)))</f>
        <v>0</v>
      </c>
      <c r="V288" s="21">
        <f>IF(F288="","",IFERROR(INDEX(Employees!$U$5:$U$44,MATCH(F288,Employees!$B$5:$B$44,0)),PayRate*(1+EmployerOncost)))</f>
        <v>0</v>
      </c>
      <c r="W288" s="34">
        <f>IF(F288="","",MAX(0,U288-IF(N288="",0,N288)))</f>
        <v>0</v>
      </c>
      <c r="X288" s="21">
        <f>IF(F288="","",ROUND(W288*V288+IF(N288="",0,N288)*V288*OvertimeRate,2))</f>
        <v>0</v>
      </c>
      <c r="Y288" s="21">
        <f>IF(F288="","",IF(P288&lt;&gt;"Yes",0,ROUND(U288*IF(IFERROR(INDEX(Clients!$O$5:$O$204,MATCH(IFERROR(INDEX(Jobs!$G$5:$G$604,MATCH(G288,Jobs!$A$5:$A$604,0)),""),Clients!$A$5:$A$204,0)),0)&gt;0,INDEX(Clients!$O$5:$O$204,MATCH(INDEX(Jobs!$G$5:$G$604,MATCH(G288,Jobs!$A$5:$A$604,0)),Clients!$A$5:$A$204,0)),HourlyRate),2)))</f>
        <v>0</v>
      </c>
      <c r="Z288" s="39">
        <f>IF(F288="","",IF(U288=0,"Add - no hours recorded",IF(O288="Absent - no show","Action - no show",IF(U288&gt;10,"Check - over ten hours in a day",IF(Q288&lt;&gt;"Yes","Due - needs approving",IF(R288&lt;&gt;"Yes","Due - not paid yet","OK"))))))</f>
        <v>0</v>
      </c>
    </row>
    <row r="289" spans="1:26">
      <c r="A289" s="43">
        <f>IF(F289="","","TS-"&amp;TEXT(ROW()-4,"0000"))</f>
        <v>0</v>
      </c>
      <c r="C289" s="23">
        <f>IF(B289="","",TEXT(B289,"ddd"))</f>
        <v>0</v>
      </c>
      <c r="D289" s="31">
        <f>IF(B289="","",WEEKNUM(B289,IF(WeekStart="Sunday",1,2)))</f>
        <v>0</v>
      </c>
      <c r="E289" s="23">
        <f>IF(B289="","",TEXT(B289,"yyyy-mm"))</f>
        <v>0</v>
      </c>
      <c r="H289" s="23">
        <f>IF(G289="","",IFERROR(INDEX(Jobs!$H$5:$H$604,MATCH(G289,Jobs!$A$5:$A$604,0)),""))</f>
        <v>0</v>
      </c>
      <c r="T289" s="34">
        <f>IF(OR(J289="",K289=""),"",ROUND((K289-J289)*24-IF(L289="",0,L289)/60,2))</f>
        <v>0</v>
      </c>
      <c r="U289" s="34">
        <f>IF(F289="","",IF(M289&lt;&gt;"",M289,IF(T289="",0,T289)))</f>
        <v>0</v>
      </c>
      <c r="V289" s="21">
        <f>IF(F289="","",IFERROR(INDEX(Employees!$U$5:$U$44,MATCH(F289,Employees!$B$5:$B$44,0)),PayRate*(1+EmployerOncost)))</f>
        <v>0</v>
      </c>
      <c r="W289" s="34">
        <f>IF(F289="","",MAX(0,U289-IF(N289="",0,N289)))</f>
        <v>0</v>
      </c>
      <c r="X289" s="21">
        <f>IF(F289="","",ROUND(W289*V289+IF(N289="",0,N289)*V289*OvertimeRate,2))</f>
        <v>0</v>
      </c>
      <c r="Y289" s="21">
        <f>IF(F289="","",IF(P289&lt;&gt;"Yes",0,ROUND(U289*IF(IFERROR(INDEX(Clients!$O$5:$O$204,MATCH(IFERROR(INDEX(Jobs!$G$5:$G$604,MATCH(G289,Jobs!$A$5:$A$604,0)),""),Clients!$A$5:$A$204,0)),0)&gt;0,INDEX(Clients!$O$5:$O$204,MATCH(INDEX(Jobs!$G$5:$G$604,MATCH(G289,Jobs!$A$5:$A$604,0)),Clients!$A$5:$A$204,0)),HourlyRate),2)))</f>
        <v>0</v>
      </c>
      <c r="Z289" s="39">
        <f>IF(F289="","",IF(U289=0,"Add - no hours recorded",IF(O289="Absent - no show","Action - no show",IF(U289&gt;10,"Check - over ten hours in a day",IF(Q289&lt;&gt;"Yes","Due - needs approving",IF(R289&lt;&gt;"Yes","Due - not paid yet","OK"))))))</f>
        <v>0</v>
      </c>
    </row>
    <row r="290" spans="1:26">
      <c r="A290" s="43">
        <f>IF(F290="","","TS-"&amp;TEXT(ROW()-4,"0000"))</f>
        <v>0</v>
      </c>
      <c r="C290" s="23">
        <f>IF(B290="","",TEXT(B290,"ddd"))</f>
        <v>0</v>
      </c>
      <c r="D290" s="31">
        <f>IF(B290="","",WEEKNUM(B290,IF(WeekStart="Sunday",1,2)))</f>
        <v>0</v>
      </c>
      <c r="E290" s="23">
        <f>IF(B290="","",TEXT(B290,"yyyy-mm"))</f>
        <v>0</v>
      </c>
      <c r="H290" s="23">
        <f>IF(G290="","",IFERROR(INDEX(Jobs!$H$5:$H$604,MATCH(G290,Jobs!$A$5:$A$604,0)),""))</f>
        <v>0</v>
      </c>
      <c r="T290" s="34">
        <f>IF(OR(J290="",K290=""),"",ROUND((K290-J290)*24-IF(L290="",0,L290)/60,2))</f>
        <v>0</v>
      </c>
      <c r="U290" s="34">
        <f>IF(F290="","",IF(M290&lt;&gt;"",M290,IF(T290="",0,T290)))</f>
        <v>0</v>
      </c>
      <c r="V290" s="21">
        <f>IF(F290="","",IFERROR(INDEX(Employees!$U$5:$U$44,MATCH(F290,Employees!$B$5:$B$44,0)),PayRate*(1+EmployerOncost)))</f>
        <v>0</v>
      </c>
      <c r="W290" s="34">
        <f>IF(F290="","",MAX(0,U290-IF(N290="",0,N290)))</f>
        <v>0</v>
      </c>
      <c r="X290" s="21">
        <f>IF(F290="","",ROUND(W290*V290+IF(N290="",0,N290)*V290*OvertimeRate,2))</f>
        <v>0</v>
      </c>
      <c r="Y290" s="21">
        <f>IF(F290="","",IF(P290&lt;&gt;"Yes",0,ROUND(U290*IF(IFERROR(INDEX(Clients!$O$5:$O$204,MATCH(IFERROR(INDEX(Jobs!$G$5:$G$604,MATCH(G290,Jobs!$A$5:$A$604,0)),""),Clients!$A$5:$A$204,0)),0)&gt;0,INDEX(Clients!$O$5:$O$204,MATCH(INDEX(Jobs!$G$5:$G$604,MATCH(G290,Jobs!$A$5:$A$604,0)),Clients!$A$5:$A$204,0)),HourlyRate),2)))</f>
        <v>0</v>
      </c>
      <c r="Z290" s="39">
        <f>IF(F290="","",IF(U290=0,"Add - no hours recorded",IF(O290="Absent - no show","Action - no show",IF(U290&gt;10,"Check - over ten hours in a day",IF(Q290&lt;&gt;"Yes","Due - needs approving",IF(R290&lt;&gt;"Yes","Due - not paid yet","OK"))))))</f>
        <v>0</v>
      </c>
    </row>
    <row r="291" spans="1:26">
      <c r="A291" s="43">
        <f>IF(F291="","","TS-"&amp;TEXT(ROW()-4,"0000"))</f>
        <v>0</v>
      </c>
      <c r="C291" s="23">
        <f>IF(B291="","",TEXT(B291,"ddd"))</f>
        <v>0</v>
      </c>
      <c r="D291" s="31">
        <f>IF(B291="","",WEEKNUM(B291,IF(WeekStart="Sunday",1,2)))</f>
        <v>0</v>
      </c>
      <c r="E291" s="23">
        <f>IF(B291="","",TEXT(B291,"yyyy-mm"))</f>
        <v>0</v>
      </c>
      <c r="H291" s="23">
        <f>IF(G291="","",IFERROR(INDEX(Jobs!$H$5:$H$604,MATCH(G291,Jobs!$A$5:$A$604,0)),""))</f>
        <v>0</v>
      </c>
      <c r="T291" s="34">
        <f>IF(OR(J291="",K291=""),"",ROUND((K291-J291)*24-IF(L291="",0,L291)/60,2))</f>
        <v>0</v>
      </c>
      <c r="U291" s="34">
        <f>IF(F291="","",IF(M291&lt;&gt;"",M291,IF(T291="",0,T291)))</f>
        <v>0</v>
      </c>
      <c r="V291" s="21">
        <f>IF(F291="","",IFERROR(INDEX(Employees!$U$5:$U$44,MATCH(F291,Employees!$B$5:$B$44,0)),PayRate*(1+EmployerOncost)))</f>
        <v>0</v>
      </c>
      <c r="W291" s="34">
        <f>IF(F291="","",MAX(0,U291-IF(N291="",0,N291)))</f>
        <v>0</v>
      </c>
      <c r="X291" s="21">
        <f>IF(F291="","",ROUND(W291*V291+IF(N291="",0,N291)*V291*OvertimeRate,2))</f>
        <v>0</v>
      </c>
      <c r="Y291" s="21">
        <f>IF(F291="","",IF(P291&lt;&gt;"Yes",0,ROUND(U291*IF(IFERROR(INDEX(Clients!$O$5:$O$204,MATCH(IFERROR(INDEX(Jobs!$G$5:$G$604,MATCH(G291,Jobs!$A$5:$A$604,0)),""),Clients!$A$5:$A$204,0)),0)&gt;0,INDEX(Clients!$O$5:$O$204,MATCH(INDEX(Jobs!$G$5:$G$604,MATCH(G291,Jobs!$A$5:$A$604,0)),Clients!$A$5:$A$204,0)),HourlyRate),2)))</f>
        <v>0</v>
      </c>
      <c r="Z291" s="39">
        <f>IF(F291="","",IF(U291=0,"Add - no hours recorded",IF(O291="Absent - no show","Action - no show",IF(U291&gt;10,"Check - over ten hours in a day",IF(Q291&lt;&gt;"Yes","Due - needs approving",IF(R291&lt;&gt;"Yes","Due - not paid yet","OK"))))))</f>
        <v>0</v>
      </c>
    </row>
    <row r="292" spans="1:26">
      <c r="A292" s="43">
        <f>IF(F292="","","TS-"&amp;TEXT(ROW()-4,"0000"))</f>
        <v>0</v>
      </c>
      <c r="C292" s="23">
        <f>IF(B292="","",TEXT(B292,"ddd"))</f>
        <v>0</v>
      </c>
      <c r="D292" s="31">
        <f>IF(B292="","",WEEKNUM(B292,IF(WeekStart="Sunday",1,2)))</f>
        <v>0</v>
      </c>
      <c r="E292" s="23">
        <f>IF(B292="","",TEXT(B292,"yyyy-mm"))</f>
        <v>0</v>
      </c>
      <c r="H292" s="23">
        <f>IF(G292="","",IFERROR(INDEX(Jobs!$H$5:$H$604,MATCH(G292,Jobs!$A$5:$A$604,0)),""))</f>
        <v>0</v>
      </c>
      <c r="T292" s="34">
        <f>IF(OR(J292="",K292=""),"",ROUND((K292-J292)*24-IF(L292="",0,L292)/60,2))</f>
        <v>0</v>
      </c>
      <c r="U292" s="34">
        <f>IF(F292="","",IF(M292&lt;&gt;"",M292,IF(T292="",0,T292)))</f>
        <v>0</v>
      </c>
      <c r="V292" s="21">
        <f>IF(F292="","",IFERROR(INDEX(Employees!$U$5:$U$44,MATCH(F292,Employees!$B$5:$B$44,0)),PayRate*(1+EmployerOncost)))</f>
        <v>0</v>
      </c>
      <c r="W292" s="34">
        <f>IF(F292="","",MAX(0,U292-IF(N292="",0,N292)))</f>
        <v>0</v>
      </c>
      <c r="X292" s="21">
        <f>IF(F292="","",ROUND(W292*V292+IF(N292="",0,N292)*V292*OvertimeRate,2))</f>
        <v>0</v>
      </c>
      <c r="Y292" s="21">
        <f>IF(F292="","",IF(P292&lt;&gt;"Yes",0,ROUND(U292*IF(IFERROR(INDEX(Clients!$O$5:$O$204,MATCH(IFERROR(INDEX(Jobs!$G$5:$G$604,MATCH(G292,Jobs!$A$5:$A$604,0)),""),Clients!$A$5:$A$204,0)),0)&gt;0,INDEX(Clients!$O$5:$O$204,MATCH(INDEX(Jobs!$G$5:$G$604,MATCH(G292,Jobs!$A$5:$A$604,0)),Clients!$A$5:$A$204,0)),HourlyRate),2)))</f>
        <v>0</v>
      </c>
      <c r="Z292" s="39">
        <f>IF(F292="","",IF(U292=0,"Add - no hours recorded",IF(O292="Absent - no show","Action - no show",IF(U292&gt;10,"Check - over ten hours in a day",IF(Q292&lt;&gt;"Yes","Due - needs approving",IF(R292&lt;&gt;"Yes","Due - not paid yet","OK"))))))</f>
        <v>0</v>
      </c>
    </row>
    <row r="293" spans="1:26">
      <c r="A293" s="43">
        <f>IF(F293="","","TS-"&amp;TEXT(ROW()-4,"0000"))</f>
        <v>0</v>
      </c>
      <c r="C293" s="23">
        <f>IF(B293="","",TEXT(B293,"ddd"))</f>
        <v>0</v>
      </c>
      <c r="D293" s="31">
        <f>IF(B293="","",WEEKNUM(B293,IF(WeekStart="Sunday",1,2)))</f>
        <v>0</v>
      </c>
      <c r="E293" s="23">
        <f>IF(B293="","",TEXT(B293,"yyyy-mm"))</f>
        <v>0</v>
      </c>
      <c r="H293" s="23">
        <f>IF(G293="","",IFERROR(INDEX(Jobs!$H$5:$H$604,MATCH(G293,Jobs!$A$5:$A$604,0)),""))</f>
        <v>0</v>
      </c>
      <c r="T293" s="34">
        <f>IF(OR(J293="",K293=""),"",ROUND((K293-J293)*24-IF(L293="",0,L293)/60,2))</f>
        <v>0</v>
      </c>
      <c r="U293" s="34">
        <f>IF(F293="","",IF(M293&lt;&gt;"",M293,IF(T293="",0,T293)))</f>
        <v>0</v>
      </c>
      <c r="V293" s="21">
        <f>IF(F293="","",IFERROR(INDEX(Employees!$U$5:$U$44,MATCH(F293,Employees!$B$5:$B$44,0)),PayRate*(1+EmployerOncost)))</f>
        <v>0</v>
      </c>
      <c r="W293" s="34">
        <f>IF(F293="","",MAX(0,U293-IF(N293="",0,N293)))</f>
        <v>0</v>
      </c>
      <c r="X293" s="21">
        <f>IF(F293="","",ROUND(W293*V293+IF(N293="",0,N293)*V293*OvertimeRate,2))</f>
        <v>0</v>
      </c>
      <c r="Y293" s="21">
        <f>IF(F293="","",IF(P293&lt;&gt;"Yes",0,ROUND(U293*IF(IFERROR(INDEX(Clients!$O$5:$O$204,MATCH(IFERROR(INDEX(Jobs!$G$5:$G$604,MATCH(G293,Jobs!$A$5:$A$604,0)),""),Clients!$A$5:$A$204,0)),0)&gt;0,INDEX(Clients!$O$5:$O$204,MATCH(INDEX(Jobs!$G$5:$G$604,MATCH(G293,Jobs!$A$5:$A$604,0)),Clients!$A$5:$A$204,0)),HourlyRate),2)))</f>
        <v>0</v>
      </c>
      <c r="Z293" s="39">
        <f>IF(F293="","",IF(U293=0,"Add - no hours recorded",IF(O293="Absent - no show","Action - no show",IF(U293&gt;10,"Check - over ten hours in a day",IF(Q293&lt;&gt;"Yes","Due - needs approving",IF(R293&lt;&gt;"Yes","Due - not paid yet","OK"))))))</f>
        <v>0</v>
      </c>
    </row>
    <row r="294" spans="1:26">
      <c r="A294" s="43">
        <f>IF(F294="","","TS-"&amp;TEXT(ROW()-4,"0000"))</f>
        <v>0</v>
      </c>
      <c r="C294" s="23">
        <f>IF(B294="","",TEXT(B294,"ddd"))</f>
        <v>0</v>
      </c>
      <c r="D294" s="31">
        <f>IF(B294="","",WEEKNUM(B294,IF(WeekStart="Sunday",1,2)))</f>
        <v>0</v>
      </c>
      <c r="E294" s="23">
        <f>IF(B294="","",TEXT(B294,"yyyy-mm"))</f>
        <v>0</v>
      </c>
      <c r="H294" s="23">
        <f>IF(G294="","",IFERROR(INDEX(Jobs!$H$5:$H$604,MATCH(G294,Jobs!$A$5:$A$604,0)),""))</f>
        <v>0</v>
      </c>
      <c r="T294" s="34">
        <f>IF(OR(J294="",K294=""),"",ROUND((K294-J294)*24-IF(L294="",0,L294)/60,2))</f>
        <v>0</v>
      </c>
      <c r="U294" s="34">
        <f>IF(F294="","",IF(M294&lt;&gt;"",M294,IF(T294="",0,T294)))</f>
        <v>0</v>
      </c>
      <c r="V294" s="21">
        <f>IF(F294="","",IFERROR(INDEX(Employees!$U$5:$U$44,MATCH(F294,Employees!$B$5:$B$44,0)),PayRate*(1+EmployerOncost)))</f>
        <v>0</v>
      </c>
      <c r="W294" s="34">
        <f>IF(F294="","",MAX(0,U294-IF(N294="",0,N294)))</f>
        <v>0</v>
      </c>
      <c r="X294" s="21">
        <f>IF(F294="","",ROUND(W294*V294+IF(N294="",0,N294)*V294*OvertimeRate,2))</f>
        <v>0</v>
      </c>
      <c r="Y294" s="21">
        <f>IF(F294="","",IF(P294&lt;&gt;"Yes",0,ROUND(U294*IF(IFERROR(INDEX(Clients!$O$5:$O$204,MATCH(IFERROR(INDEX(Jobs!$G$5:$G$604,MATCH(G294,Jobs!$A$5:$A$604,0)),""),Clients!$A$5:$A$204,0)),0)&gt;0,INDEX(Clients!$O$5:$O$204,MATCH(INDEX(Jobs!$G$5:$G$604,MATCH(G294,Jobs!$A$5:$A$604,0)),Clients!$A$5:$A$204,0)),HourlyRate),2)))</f>
        <v>0</v>
      </c>
      <c r="Z294" s="39">
        <f>IF(F294="","",IF(U294=0,"Add - no hours recorded",IF(O294="Absent - no show","Action - no show",IF(U294&gt;10,"Check - over ten hours in a day",IF(Q294&lt;&gt;"Yes","Due - needs approving",IF(R294&lt;&gt;"Yes","Due - not paid yet","OK"))))))</f>
        <v>0</v>
      </c>
    </row>
    <row r="295" spans="1:26">
      <c r="A295" s="43">
        <f>IF(F295="","","TS-"&amp;TEXT(ROW()-4,"0000"))</f>
        <v>0</v>
      </c>
      <c r="C295" s="23">
        <f>IF(B295="","",TEXT(B295,"ddd"))</f>
        <v>0</v>
      </c>
      <c r="D295" s="31">
        <f>IF(B295="","",WEEKNUM(B295,IF(WeekStart="Sunday",1,2)))</f>
        <v>0</v>
      </c>
      <c r="E295" s="23">
        <f>IF(B295="","",TEXT(B295,"yyyy-mm"))</f>
        <v>0</v>
      </c>
      <c r="H295" s="23">
        <f>IF(G295="","",IFERROR(INDEX(Jobs!$H$5:$H$604,MATCH(G295,Jobs!$A$5:$A$604,0)),""))</f>
        <v>0</v>
      </c>
      <c r="T295" s="34">
        <f>IF(OR(J295="",K295=""),"",ROUND((K295-J295)*24-IF(L295="",0,L295)/60,2))</f>
        <v>0</v>
      </c>
      <c r="U295" s="34">
        <f>IF(F295="","",IF(M295&lt;&gt;"",M295,IF(T295="",0,T295)))</f>
        <v>0</v>
      </c>
      <c r="V295" s="21">
        <f>IF(F295="","",IFERROR(INDEX(Employees!$U$5:$U$44,MATCH(F295,Employees!$B$5:$B$44,0)),PayRate*(1+EmployerOncost)))</f>
        <v>0</v>
      </c>
      <c r="W295" s="34">
        <f>IF(F295="","",MAX(0,U295-IF(N295="",0,N295)))</f>
        <v>0</v>
      </c>
      <c r="X295" s="21">
        <f>IF(F295="","",ROUND(W295*V295+IF(N295="",0,N295)*V295*OvertimeRate,2))</f>
        <v>0</v>
      </c>
      <c r="Y295" s="21">
        <f>IF(F295="","",IF(P295&lt;&gt;"Yes",0,ROUND(U295*IF(IFERROR(INDEX(Clients!$O$5:$O$204,MATCH(IFERROR(INDEX(Jobs!$G$5:$G$604,MATCH(G295,Jobs!$A$5:$A$604,0)),""),Clients!$A$5:$A$204,0)),0)&gt;0,INDEX(Clients!$O$5:$O$204,MATCH(INDEX(Jobs!$G$5:$G$604,MATCH(G295,Jobs!$A$5:$A$604,0)),Clients!$A$5:$A$204,0)),HourlyRate),2)))</f>
        <v>0</v>
      </c>
      <c r="Z295" s="39">
        <f>IF(F295="","",IF(U295=0,"Add - no hours recorded",IF(O295="Absent - no show","Action - no show",IF(U295&gt;10,"Check - over ten hours in a day",IF(Q295&lt;&gt;"Yes","Due - needs approving",IF(R295&lt;&gt;"Yes","Due - not paid yet","OK"))))))</f>
        <v>0</v>
      </c>
    </row>
    <row r="296" spans="1:26">
      <c r="A296" s="43">
        <f>IF(F296="","","TS-"&amp;TEXT(ROW()-4,"0000"))</f>
        <v>0</v>
      </c>
      <c r="C296" s="23">
        <f>IF(B296="","",TEXT(B296,"ddd"))</f>
        <v>0</v>
      </c>
      <c r="D296" s="31">
        <f>IF(B296="","",WEEKNUM(B296,IF(WeekStart="Sunday",1,2)))</f>
        <v>0</v>
      </c>
      <c r="E296" s="23">
        <f>IF(B296="","",TEXT(B296,"yyyy-mm"))</f>
        <v>0</v>
      </c>
      <c r="H296" s="23">
        <f>IF(G296="","",IFERROR(INDEX(Jobs!$H$5:$H$604,MATCH(G296,Jobs!$A$5:$A$604,0)),""))</f>
        <v>0</v>
      </c>
      <c r="T296" s="34">
        <f>IF(OR(J296="",K296=""),"",ROUND((K296-J296)*24-IF(L296="",0,L296)/60,2))</f>
        <v>0</v>
      </c>
      <c r="U296" s="34">
        <f>IF(F296="","",IF(M296&lt;&gt;"",M296,IF(T296="",0,T296)))</f>
        <v>0</v>
      </c>
      <c r="V296" s="21">
        <f>IF(F296="","",IFERROR(INDEX(Employees!$U$5:$U$44,MATCH(F296,Employees!$B$5:$B$44,0)),PayRate*(1+EmployerOncost)))</f>
        <v>0</v>
      </c>
      <c r="W296" s="34">
        <f>IF(F296="","",MAX(0,U296-IF(N296="",0,N296)))</f>
        <v>0</v>
      </c>
      <c r="X296" s="21">
        <f>IF(F296="","",ROUND(W296*V296+IF(N296="",0,N296)*V296*OvertimeRate,2))</f>
        <v>0</v>
      </c>
      <c r="Y296" s="21">
        <f>IF(F296="","",IF(P296&lt;&gt;"Yes",0,ROUND(U296*IF(IFERROR(INDEX(Clients!$O$5:$O$204,MATCH(IFERROR(INDEX(Jobs!$G$5:$G$604,MATCH(G296,Jobs!$A$5:$A$604,0)),""),Clients!$A$5:$A$204,0)),0)&gt;0,INDEX(Clients!$O$5:$O$204,MATCH(INDEX(Jobs!$G$5:$G$604,MATCH(G296,Jobs!$A$5:$A$604,0)),Clients!$A$5:$A$204,0)),HourlyRate),2)))</f>
        <v>0</v>
      </c>
      <c r="Z296" s="39">
        <f>IF(F296="","",IF(U296=0,"Add - no hours recorded",IF(O296="Absent - no show","Action - no show",IF(U296&gt;10,"Check - over ten hours in a day",IF(Q296&lt;&gt;"Yes","Due - needs approving",IF(R296&lt;&gt;"Yes","Due - not paid yet","OK"))))))</f>
        <v>0</v>
      </c>
    </row>
    <row r="297" spans="1:26">
      <c r="A297" s="43">
        <f>IF(F297="","","TS-"&amp;TEXT(ROW()-4,"0000"))</f>
        <v>0</v>
      </c>
      <c r="C297" s="23">
        <f>IF(B297="","",TEXT(B297,"ddd"))</f>
        <v>0</v>
      </c>
      <c r="D297" s="31">
        <f>IF(B297="","",WEEKNUM(B297,IF(WeekStart="Sunday",1,2)))</f>
        <v>0</v>
      </c>
      <c r="E297" s="23">
        <f>IF(B297="","",TEXT(B297,"yyyy-mm"))</f>
        <v>0</v>
      </c>
      <c r="H297" s="23">
        <f>IF(G297="","",IFERROR(INDEX(Jobs!$H$5:$H$604,MATCH(G297,Jobs!$A$5:$A$604,0)),""))</f>
        <v>0</v>
      </c>
      <c r="T297" s="34">
        <f>IF(OR(J297="",K297=""),"",ROUND((K297-J297)*24-IF(L297="",0,L297)/60,2))</f>
        <v>0</v>
      </c>
      <c r="U297" s="34">
        <f>IF(F297="","",IF(M297&lt;&gt;"",M297,IF(T297="",0,T297)))</f>
        <v>0</v>
      </c>
      <c r="V297" s="21">
        <f>IF(F297="","",IFERROR(INDEX(Employees!$U$5:$U$44,MATCH(F297,Employees!$B$5:$B$44,0)),PayRate*(1+EmployerOncost)))</f>
        <v>0</v>
      </c>
      <c r="W297" s="34">
        <f>IF(F297="","",MAX(0,U297-IF(N297="",0,N297)))</f>
        <v>0</v>
      </c>
      <c r="X297" s="21">
        <f>IF(F297="","",ROUND(W297*V297+IF(N297="",0,N297)*V297*OvertimeRate,2))</f>
        <v>0</v>
      </c>
      <c r="Y297" s="21">
        <f>IF(F297="","",IF(P297&lt;&gt;"Yes",0,ROUND(U297*IF(IFERROR(INDEX(Clients!$O$5:$O$204,MATCH(IFERROR(INDEX(Jobs!$G$5:$G$604,MATCH(G297,Jobs!$A$5:$A$604,0)),""),Clients!$A$5:$A$204,0)),0)&gt;0,INDEX(Clients!$O$5:$O$204,MATCH(INDEX(Jobs!$G$5:$G$604,MATCH(G297,Jobs!$A$5:$A$604,0)),Clients!$A$5:$A$204,0)),HourlyRate),2)))</f>
        <v>0</v>
      </c>
      <c r="Z297" s="39">
        <f>IF(F297="","",IF(U297=0,"Add - no hours recorded",IF(O297="Absent - no show","Action - no show",IF(U297&gt;10,"Check - over ten hours in a day",IF(Q297&lt;&gt;"Yes","Due - needs approving",IF(R297&lt;&gt;"Yes","Due - not paid yet","OK"))))))</f>
        <v>0</v>
      </c>
    </row>
    <row r="298" spans="1:26">
      <c r="A298" s="43">
        <f>IF(F298="","","TS-"&amp;TEXT(ROW()-4,"0000"))</f>
        <v>0</v>
      </c>
      <c r="C298" s="23">
        <f>IF(B298="","",TEXT(B298,"ddd"))</f>
        <v>0</v>
      </c>
      <c r="D298" s="31">
        <f>IF(B298="","",WEEKNUM(B298,IF(WeekStart="Sunday",1,2)))</f>
        <v>0</v>
      </c>
      <c r="E298" s="23">
        <f>IF(B298="","",TEXT(B298,"yyyy-mm"))</f>
        <v>0</v>
      </c>
      <c r="H298" s="23">
        <f>IF(G298="","",IFERROR(INDEX(Jobs!$H$5:$H$604,MATCH(G298,Jobs!$A$5:$A$604,0)),""))</f>
        <v>0</v>
      </c>
      <c r="T298" s="34">
        <f>IF(OR(J298="",K298=""),"",ROUND((K298-J298)*24-IF(L298="",0,L298)/60,2))</f>
        <v>0</v>
      </c>
      <c r="U298" s="34">
        <f>IF(F298="","",IF(M298&lt;&gt;"",M298,IF(T298="",0,T298)))</f>
        <v>0</v>
      </c>
      <c r="V298" s="21">
        <f>IF(F298="","",IFERROR(INDEX(Employees!$U$5:$U$44,MATCH(F298,Employees!$B$5:$B$44,0)),PayRate*(1+EmployerOncost)))</f>
        <v>0</v>
      </c>
      <c r="W298" s="34">
        <f>IF(F298="","",MAX(0,U298-IF(N298="",0,N298)))</f>
        <v>0</v>
      </c>
      <c r="X298" s="21">
        <f>IF(F298="","",ROUND(W298*V298+IF(N298="",0,N298)*V298*OvertimeRate,2))</f>
        <v>0</v>
      </c>
      <c r="Y298" s="21">
        <f>IF(F298="","",IF(P298&lt;&gt;"Yes",0,ROUND(U298*IF(IFERROR(INDEX(Clients!$O$5:$O$204,MATCH(IFERROR(INDEX(Jobs!$G$5:$G$604,MATCH(G298,Jobs!$A$5:$A$604,0)),""),Clients!$A$5:$A$204,0)),0)&gt;0,INDEX(Clients!$O$5:$O$204,MATCH(INDEX(Jobs!$G$5:$G$604,MATCH(G298,Jobs!$A$5:$A$604,0)),Clients!$A$5:$A$204,0)),HourlyRate),2)))</f>
        <v>0</v>
      </c>
      <c r="Z298" s="39">
        <f>IF(F298="","",IF(U298=0,"Add - no hours recorded",IF(O298="Absent - no show","Action - no show",IF(U298&gt;10,"Check - over ten hours in a day",IF(Q298&lt;&gt;"Yes","Due - needs approving",IF(R298&lt;&gt;"Yes","Due - not paid yet","OK"))))))</f>
        <v>0</v>
      </c>
    </row>
    <row r="299" spans="1:26">
      <c r="A299" s="43">
        <f>IF(F299="","","TS-"&amp;TEXT(ROW()-4,"0000"))</f>
        <v>0</v>
      </c>
      <c r="C299" s="23">
        <f>IF(B299="","",TEXT(B299,"ddd"))</f>
        <v>0</v>
      </c>
      <c r="D299" s="31">
        <f>IF(B299="","",WEEKNUM(B299,IF(WeekStart="Sunday",1,2)))</f>
        <v>0</v>
      </c>
      <c r="E299" s="23">
        <f>IF(B299="","",TEXT(B299,"yyyy-mm"))</f>
        <v>0</v>
      </c>
      <c r="H299" s="23">
        <f>IF(G299="","",IFERROR(INDEX(Jobs!$H$5:$H$604,MATCH(G299,Jobs!$A$5:$A$604,0)),""))</f>
        <v>0</v>
      </c>
      <c r="T299" s="34">
        <f>IF(OR(J299="",K299=""),"",ROUND((K299-J299)*24-IF(L299="",0,L299)/60,2))</f>
        <v>0</v>
      </c>
      <c r="U299" s="34">
        <f>IF(F299="","",IF(M299&lt;&gt;"",M299,IF(T299="",0,T299)))</f>
        <v>0</v>
      </c>
      <c r="V299" s="21">
        <f>IF(F299="","",IFERROR(INDEX(Employees!$U$5:$U$44,MATCH(F299,Employees!$B$5:$B$44,0)),PayRate*(1+EmployerOncost)))</f>
        <v>0</v>
      </c>
      <c r="W299" s="34">
        <f>IF(F299="","",MAX(0,U299-IF(N299="",0,N299)))</f>
        <v>0</v>
      </c>
      <c r="X299" s="21">
        <f>IF(F299="","",ROUND(W299*V299+IF(N299="",0,N299)*V299*OvertimeRate,2))</f>
        <v>0</v>
      </c>
      <c r="Y299" s="21">
        <f>IF(F299="","",IF(P299&lt;&gt;"Yes",0,ROUND(U299*IF(IFERROR(INDEX(Clients!$O$5:$O$204,MATCH(IFERROR(INDEX(Jobs!$G$5:$G$604,MATCH(G299,Jobs!$A$5:$A$604,0)),""),Clients!$A$5:$A$204,0)),0)&gt;0,INDEX(Clients!$O$5:$O$204,MATCH(INDEX(Jobs!$G$5:$G$604,MATCH(G299,Jobs!$A$5:$A$604,0)),Clients!$A$5:$A$204,0)),HourlyRate),2)))</f>
        <v>0</v>
      </c>
      <c r="Z299" s="39">
        <f>IF(F299="","",IF(U299=0,"Add - no hours recorded",IF(O299="Absent - no show","Action - no show",IF(U299&gt;10,"Check - over ten hours in a day",IF(Q299&lt;&gt;"Yes","Due - needs approving",IF(R299&lt;&gt;"Yes","Due - not paid yet","OK"))))))</f>
        <v>0</v>
      </c>
    </row>
    <row r="300" spans="1:26">
      <c r="A300" s="43">
        <f>IF(F300="","","TS-"&amp;TEXT(ROW()-4,"0000"))</f>
        <v>0</v>
      </c>
      <c r="C300" s="23">
        <f>IF(B300="","",TEXT(B300,"ddd"))</f>
        <v>0</v>
      </c>
      <c r="D300" s="31">
        <f>IF(B300="","",WEEKNUM(B300,IF(WeekStart="Sunday",1,2)))</f>
        <v>0</v>
      </c>
      <c r="E300" s="23">
        <f>IF(B300="","",TEXT(B300,"yyyy-mm"))</f>
        <v>0</v>
      </c>
      <c r="H300" s="23">
        <f>IF(G300="","",IFERROR(INDEX(Jobs!$H$5:$H$604,MATCH(G300,Jobs!$A$5:$A$604,0)),""))</f>
        <v>0</v>
      </c>
      <c r="T300" s="34">
        <f>IF(OR(J300="",K300=""),"",ROUND((K300-J300)*24-IF(L300="",0,L300)/60,2))</f>
        <v>0</v>
      </c>
      <c r="U300" s="34">
        <f>IF(F300="","",IF(M300&lt;&gt;"",M300,IF(T300="",0,T300)))</f>
        <v>0</v>
      </c>
      <c r="V300" s="21">
        <f>IF(F300="","",IFERROR(INDEX(Employees!$U$5:$U$44,MATCH(F300,Employees!$B$5:$B$44,0)),PayRate*(1+EmployerOncost)))</f>
        <v>0</v>
      </c>
      <c r="W300" s="34">
        <f>IF(F300="","",MAX(0,U300-IF(N300="",0,N300)))</f>
        <v>0</v>
      </c>
      <c r="X300" s="21">
        <f>IF(F300="","",ROUND(W300*V300+IF(N300="",0,N300)*V300*OvertimeRate,2))</f>
        <v>0</v>
      </c>
      <c r="Y300" s="21">
        <f>IF(F300="","",IF(P300&lt;&gt;"Yes",0,ROUND(U300*IF(IFERROR(INDEX(Clients!$O$5:$O$204,MATCH(IFERROR(INDEX(Jobs!$G$5:$G$604,MATCH(G300,Jobs!$A$5:$A$604,0)),""),Clients!$A$5:$A$204,0)),0)&gt;0,INDEX(Clients!$O$5:$O$204,MATCH(INDEX(Jobs!$G$5:$G$604,MATCH(G300,Jobs!$A$5:$A$604,0)),Clients!$A$5:$A$204,0)),HourlyRate),2)))</f>
        <v>0</v>
      </c>
      <c r="Z300" s="39">
        <f>IF(F300="","",IF(U300=0,"Add - no hours recorded",IF(O300="Absent - no show","Action - no show",IF(U300&gt;10,"Check - over ten hours in a day",IF(Q300&lt;&gt;"Yes","Due - needs approving",IF(R300&lt;&gt;"Yes","Due - not paid yet","OK"))))))</f>
        <v>0</v>
      </c>
    </row>
    <row r="301" spans="1:26">
      <c r="A301" s="43">
        <f>IF(F301="","","TS-"&amp;TEXT(ROW()-4,"0000"))</f>
        <v>0</v>
      </c>
      <c r="C301" s="23">
        <f>IF(B301="","",TEXT(B301,"ddd"))</f>
        <v>0</v>
      </c>
      <c r="D301" s="31">
        <f>IF(B301="","",WEEKNUM(B301,IF(WeekStart="Sunday",1,2)))</f>
        <v>0</v>
      </c>
      <c r="E301" s="23">
        <f>IF(B301="","",TEXT(B301,"yyyy-mm"))</f>
        <v>0</v>
      </c>
      <c r="H301" s="23">
        <f>IF(G301="","",IFERROR(INDEX(Jobs!$H$5:$H$604,MATCH(G301,Jobs!$A$5:$A$604,0)),""))</f>
        <v>0</v>
      </c>
      <c r="T301" s="34">
        <f>IF(OR(J301="",K301=""),"",ROUND((K301-J301)*24-IF(L301="",0,L301)/60,2))</f>
        <v>0</v>
      </c>
      <c r="U301" s="34">
        <f>IF(F301="","",IF(M301&lt;&gt;"",M301,IF(T301="",0,T301)))</f>
        <v>0</v>
      </c>
      <c r="V301" s="21">
        <f>IF(F301="","",IFERROR(INDEX(Employees!$U$5:$U$44,MATCH(F301,Employees!$B$5:$B$44,0)),PayRate*(1+EmployerOncost)))</f>
        <v>0</v>
      </c>
      <c r="W301" s="34">
        <f>IF(F301="","",MAX(0,U301-IF(N301="",0,N301)))</f>
        <v>0</v>
      </c>
      <c r="X301" s="21">
        <f>IF(F301="","",ROUND(W301*V301+IF(N301="",0,N301)*V301*OvertimeRate,2))</f>
        <v>0</v>
      </c>
      <c r="Y301" s="21">
        <f>IF(F301="","",IF(P301&lt;&gt;"Yes",0,ROUND(U301*IF(IFERROR(INDEX(Clients!$O$5:$O$204,MATCH(IFERROR(INDEX(Jobs!$G$5:$G$604,MATCH(G301,Jobs!$A$5:$A$604,0)),""),Clients!$A$5:$A$204,0)),0)&gt;0,INDEX(Clients!$O$5:$O$204,MATCH(INDEX(Jobs!$G$5:$G$604,MATCH(G301,Jobs!$A$5:$A$604,0)),Clients!$A$5:$A$204,0)),HourlyRate),2)))</f>
        <v>0</v>
      </c>
      <c r="Z301" s="39">
        <f>IF(F301="","",IF(U301=0,"Add - no hours recorded",IF(O301="Absent - no show","Action - no show",IF(U301&gt;10,"Check - over ten hours in a day",IF(Q301&lt;&gt;"Yes","Due - needs approving",IF(R301&lt;&gt;"Yes","Due - not paid yet","OK"))))))</f>
        <v>0</v>
      </c>
    </row>
    <row r="302" spans="1:26">
      <c r="A302" s="43">
        <f>IF(F302="","","TS-"&amp;TEXT(ROW()-4,"0000"))</f>
        <v>0</v>
      </c>
      <c r="C302" s="23">
        <f>IF(B302="","",TEXT(B302,"ddd"))</f>
        <v>0</v>
      </c>
      <c r="D302" s="31">
        <f>IF(B302="","",WEEKNUM(B302,IF(WeekStart="Sunday",1,2)))</f>
        <v>0</v>
      </c>
      <c r="E302" s="23">
        <f>IF(B302="","",TEXT(B302,"yyyy-mm"))</f>
        <v>0</v>
      </c>
      <c r="H302" s="23">
        <f>IF(G302="","",IFERROR(INDEX(Jobs!$H$5:$H$604,MATCH(G302,Jobs!$A$5:$A$604,0)),""))</f>
        <v>0</v>
      </c>
      <c r="T302" s="34">
        <f>IF(OR(J302="",K302=""),"",ROUND((K302-J302)*24-IF(L302="",0,L302)/60,2))</f>
        <v>0</v>
      </c>
      <c r="U302" s="34">
        <f>IF(F302="","",IF(M302&lt;&gt;"",M302,IF(T302="",0,T302)))</f>
        <v>0</v>
      </c>
      <c r="V302" s="21">
        <f>IF(F302="","",IFERROR(INDEX(Employees!$U$5:$U$44,MATCH(F302,Employees!$B$5:$B$44,0)),PayRate*(1+EmployerOncost)))</f>
        <v>0</v>
      </c>
      <c r="W302" s="34">
        <f>IF(F302="","",MAX(0,U302-IF(N302="",0,N302)))</f>
        <v>0</v>
      </c>
      <c r="X302" s="21">
        <f>IF(F302="","",ROUND(W302*V302+IF(N302="",0,N302)*V302*OvertimeRate,2))</f>
        <v>0</v>
      </c>
      <c r="Y302" s="21">
        <f>IF(F302="","",IF(P302&lt;&gt;"Yes",0,ROUND(U302*IF(IFERROR(INDEX(Clients!$O$5:$O$204,MATCH(IFERROR(INDEX(Jobs!$G$5:$G$604,MATCH(G302,Jobs!$A$5:$A$604,0)),""),Clients!$A$5:$A$204,0)),0)&gt;0,INDEX(Clients!$O$5:$O$204,MATCH(INDEX(Jobs!$G$5:$G$604,MATCH(G302,Jobs!$A$5:$A$604,0)),Clients!$A$5:$A$204,0)),HourlyRate),2)))</f>
        <v>0</v>
      </c>
      <c r="Z302" s="39">
        <f>IF(F302="","",IF(U302=0,"Add - no hours recorded",IF(O302="Absent - no show","Action - no show",IF(U302&gt;10,"Check - over ten hours in a day",IF(Q302&lt;&gt;"Yes","Due - needs approving",IF(R302&lt;&gt;"Yes","Due - not paid yet","OK"))))))</f>
        <v>0</v>
      </c>
    </row>
    <row r="303" spans="1:26">
      <c r="A303" s="43">
        <f>IF(F303="","","TS-"&amp;TEXT(ROW()-4,"0000"))</f>
        <v>0</v>
      </c>
      <c r="C303" s="23">
        <f>IF(B303="","",TEXT(B303,"ddd"))</f>
        <v>0</v>
      </c>
      <c r="D303" s="31">
        <f>IF(B303="","",WEEKNUM(B303,IF(WeekStart="Sunday",1,2)))</f>
        <v>0</v>
      </c>
      <c r="E303" s="23">
        <f>IF(B303="","",TEXT(B303,"yyyy-mm"))</f>
        <v>0</v>
      </c>
      <c r="H303" s="23">
        <f>IF(G303="","",IFERROR(INDEX(Jobs!$H$5:$H$604,MATCH(G303,Jobs!$A$5:$A$604,0)),""))</f>
        <v>0</v>
      </c>
      <c r="T303" s="34">
        <f>IF(OR(J303="",K303=""),"",ROUND((K303-J303)*24-IF(L303="",0,L303)/60,2))</f>
        <v>0</v>
      </c>
      <c r="U303" s="34">
        <f>IF(F303="","",IF(M303&lt;&gt;"",M303,IF(T303="",0,T303)))</f>
        <v>0</v>
      </c>
      <c r="V303" s="21">
        <f>IF(F303="","",IFERROR(INDEX(Employees!$U$5:$U$44,MATCH(F303,Employees!$B$5:$B$44,0)),PayRate*(1+EmployerOncost)))</f>
        <v>0</v>
      </c>
      <c r="W303" s="34">
        <f>IF(F303="","",MAX(0,U303-IF(N303="",0,N303)))</f>
        <v>0</v>
      </c>
      <c r="X303" s="21">
        <f>IF(F303="","",ROUND(W303*V303+IF(N303="",0,N303)*V303*OvertimeRate,2))</f>
        <v>0</v>
      </c>
      <c r="Y303" s="21">
        <f>IF(F303="","",IF(P303&lt;&gt;"Yes",0,ROUND(U303*IF(IFERROR(INDEX(Clients!$O$5:$O$204,MATCH(IFERROR(INDEX(Jobs!$G$5:$G$604,MATCH(G303,Jobs!$A$5:$A$604,0)),""),Clients!$A$5:$A$204,0)),0)&gt;0,INDEX(Clients!$O$5:$O$204,MATCH(INDEX(Jobs!$G$5:$G$604,MATCH(G303,Jobs!$A$5:$A$604,0)),Clients!$A$5:$A$204,0)),HourlyRate),2)))</f>
        <v>0</v>
      </c>
      <c r="Z303" s="39">
        <f>IF(F303="","",IF(U303=0,"Add - no hours recorded",IF(O303="Absent - no show","Action - no show",IF(U303&gt;10,"Check - over ten hours in a day",IF(Q303&lt;&gt;"Yes","Due - needs approving",IF(R303&lt;&gt;"Yes","Due - not paid yet","OK"))))))</f>
        <v>0</v>
      </c>
    </row>
    <row r="304" spans="1:26">
      <c r="A304" s="43">
        <f>IF(F304="","","TS-"&amp;TEXT(ROW()-4,"0000"))</f>
        <v>0</v>
      </c>
      <c r="C304" s="23">
        <f>IF(B304="","",TEXT(B304,"ddd"))</f>
        <v>0</v>
      </c>
      <c r="D304" s="31">
        <f>IF(B304="","",WEEKNUM(B304,IF(WeekStart="Sunday",1,2)))</f>
        <v>0</v>
      </c>
      <c r="E304" s="23">
        <f>IF(B304="","",TEXT(B304,"yyyy-mm"))</f>
        <v>0</v>
      </c>
      <c r="H304" s="23">
        <f>IF(G304="","",IFERROR(INDEX(Jobs!$H$5:$H$604,MATCH(G304,Jobs!$A$5:$A$604,0)),""))</f>
        <v>0</v>
      </c>
      <c r="T304" s="34">
        <f>IF(OR(J304="",K304=""),"",ROUND((K304-J304)*24-IF(L304="",0,L304)/60,2))</f>
        <v>0</v>
      </c>
      <c r="U304" s="34">
        <f>IF(F304="","",IF(M304&lt;&gt;"",M304,IF(T304="",0,T304)))</f>
        <v>0</v>
      </c>
      <c r="V304" s="21">
        <f>IF(F304="","",IFERROR(INDEX(Employees!$U$5:$U$44,MATCH(F304,Employees!$B$5:$B$44,0)),PayRate*(1+EmployerOncost)))</f>
        <v>0</v>
      </c>
      <c r="W304" s="34">
        <f>IF(F304="","",MAX(0,U304-IF(N304="",0,N304)))</f>
        <v>0</v>
      </c>
      <c r="X304" s="21">
        <f>IF(F304="","",ROUND(W304*V304+IF(N304="",0,N304)*V304*OvertimeRate,2))</f>
        <v>0</v>
      </c>
      <c r="Y304" s="21">
        <f>IF(F304="","",IF(P304&lt;&gt;"Yes",0,ROUND(U304*IF(IFERROR(INDEX(Clients!$O$5:$O$204,MATCH(IFERROR(INDEX(Jobs!$G$5:$G$604,MATCH(G304,Jobs!$A$5:$A$604,0)),""),Clients!$A$5:$A$204,0)),0)&gt;0,INDEX(Clients!$O$5:$O$204,MATCH(INDEX(Jobs!$G$5:$G$604,MATCH(G304,Jobs!$A$5:$A$604,0)),Clients!$A$5:$A$204,0)),HourlyRate),2)))</f>
        <v>0</v>
      </c>
      <c r="Z304" s="39">
        <f>IF(F304="","",IF(U304=0,"Add - no hours recorded",IF(O304="Absent - no show","Action - no show",IF(U304&gt;10,"Check - over ten hours in a day",IF(Q304&lt;&gt;"Yes","Due - needs approving",IF(R304&lt;&gt;"Yes","Due - not paid yet","OK"))))))</f>
        <v>0</v>
      </c>
    </row>
    <row r="305" spans="1:26">
      <c r="A305" s="43">
        <f>IF(F305="","","TS-"&amp;TEXT(ROW()-4,"0000"))</f>
        <v>0</v>
      </c>
      <c r="C305" s="23">
        <f>IF(B305="","",TEXT(B305,"ddd"))</f>
        <v>0</v>
      </c>
      <c r="D305" s="31">
        <f>IF(B305="","",WEEKNUM(B305,IF(WeekStart="Sunday",1,2)))</f>
        <v>0</v>
      </c>
      <c r="E305" s="23">
        <f>IF(B305="","",TEXT(B305,"yyyy-mm"))</f>
        <v>0</v>
      </c>
      <c r="H305" s="23">
        <f>IF(G305="","",IFERROR(INDEX(Jobs!$H$5:$H$604,MATCH(G305,Jobs!$A$5:$A$604,0)),""))</f>
        <v>0</v>
      </c>
      <c r="T305" s="34">
        <f>IF(OR(J305="",K305=""),"",ROUND((K305-J305)*24-IF(L305="",0,L305)/60,2))</f>
        <v>0</v>
      </c>
      <c r="U305" s="34">
        <f>IF(F305="","",IF(M305&lt;&gt;"",M305,IF(T305="",0,T305)))</f>
        <v>0</v>
      </c>
      <c r="V305" s="21">
        <f>IF(F305="","",IFERROR(INDEX(Employees!$U$5:$U$44,MATCH(F305,Employees!$B$5:$B$44,0)),PayRate*(1+EmployerOncost)))</f>
        <v>0</v>
      </c>
      <c r="W305" s="34">
        <f>IF(F305="","",MAX(0,U305-IF(N305="",0,N305)))</f>
        <v>0</v>
      </c>
      <c r="X305" s="21">
        <f>IF(F305="","",ROUND(W305*V305+IF(N305="",0,N305)*V305*OvertimeRate,2))</f>
        <v>0</v>
      </c>
      <c r="Y305" s="21">
        <f>IF(F305="","",IF(P305&lt;&gt;"Yes",0,ROUND(U305*IF(IFERROR(INDEX(Clients!$O$5:$O$204,MATCH(IFERROR(INDEX(Jobs!$G$5:$G$604,MATCH(G305,Jobs!$A$5:$A$604,0)),""),Clients!$A$5:$A$204,0)),0)&gt;0,INDEX(Clients!$O$5:$O$204,MATCH(INDEX(Jobs!$G$5:$G$604,MATCH(G305,Jobs!$A$5:$A$604,0)),Clients!$A$5:$A$204,0)),HourlyRate),2)))</f>
        <v>0</v>
      </c>
      <c r="Z305" s="39">
        <f>IF(F305="","",IF(U305=0,"Add - no hours recorded",IF(O305="Absent - no show","Action - no show",IF(U305&gt;10,"Check - over ten hours in a day",IF(Q305&lt;&gt;"Yes","Due - needs approving",IF(R305&lt;&gt;"Yes","Due - not paid yet","OK"))))))</f>
        <v>0</v>
      </c>
    </row>
    <row r="306" spans="1:26">
      <c r="A306" s="43">
        <f>IF(F306="","","TS-"&amp;TEXT(ROW()-4,"0000"))</f>
        <v>0</v>
      </c>
      <c r="C306" s="23">
        <f>IF(B306="","",TEXT(B306,"ddd"))</f>
        <v>0</v>
      </c>
      <c r="D306" s="31">
        <f>IF(B306="","",WEEKNUM(B306,IF(WeekStart="Sunday",1,2)))</f>
        <v>0</v>
      </c>
      <c r="E306" s="23">
        <f>IF(B306="","",TEXT(B306,"yyyy-mm"))</f>
        <v>0</v>
      </c>
      <c r="H306" s="23">
        <f>IF(G306="","",IFERROR(INDEX(Jobs!$H$5:$H$604,MATCH(G306,Jobs!$A$5:$A$604,0)),""))</f>
        <v>0</v>
      </c>
      <c r="T306" s="34">
        <f>IF(OR(J306="",K306=""),"",ROUND((K306-J306)*24-IF(L306="",0,L306)/60,2))</f>
        <v>0</v>
      </c>
      <c r="U306" s="34">
        <f>IF(F306="","",IF(M306&lt;&gt;"",M306,IF(T306="",0,T306)))</f>
        <v>0</v>
      </c>
      <c r="V306" s="21">
        <f>IF(F306="","",IFERROR(INDEX(Employees!$U$5:$U$44,MATCH(F306,Employees!$B$5:$B$44,0)),PayRate*(1+EmployerOncost)))</f>
        <v>0</v>
      </c>
      <c r="W306" s="34">
        <f>IF(F306="","",MAX(0,U306-IF(N306="",0,N306)))</f>
        <v>0</v>
      </c>
      <c r="X306" s="21">
        <f>IF(F306="","",ROUND(W306*V306+IF(N306="",0,N306)*V306*OvertimeRate,2))</f>
        <v>0</v>
      </c>
      <c r="Y306" s="21">
        <f>IF(F306="","",IF(P306&lt;&gt;"Yes",0,ROUND(U306*IF(IFERROR(INDEX(Clients!$O$5:$O$204,MATCH(IFERROR(INDEX(Jobs!$G$5:$G$604,MATCH(G306,Jobs!$A$5:$A$604,0)),""),Clients!$A$5:$A$204,0)),0)&gt;0,INDEX(Clients!$O$5:$O$204,MATCH(INDEX(Jobs!$G$5:$G$604,MATCH(G306,Jobs!$A$5:$A$604,0)),Clients!$A$5:$A$204,0)),HourlyRate),2)))</f>
        <v>0</v>
      </c>
      <c r="Z306" s="39">
        <f>IF(F306="","",IF(U306=0,"Add - no hours recorded",IF(O306="Absent - no show","Action - no show",IF(U306&gt;10,"Check - over ten hours in a day",IF(Q306&lt;&gt;"Yes","Due - needs approving",IF(R306&lt;&gt;"Yes","Due - not paid yet","OK"))))))</f>
        <v>0</v>
      </c>
    </row>
    <row r="307" spans="1:26">
      <c r="A307" s="43">
        <f>IF(F307="","","TS-"&amp;TEXT(ROW()-4,"0000"))</f>
        <v>0</v>
      </c>
      <c r="C307" s="23">
        <f>IF(B307="","",TEXT(B307,"ddd"))</f>
        <v>0</v>
      </c>
      <c r="D307" s="31">
        <f>IF(B307="","",WEEKNUM(B307,IF(WeekStart="Sunday",1,2)))</f>
        <v>0</v>
      </c>
      <c r="E307" s="23">
        <f>IF(B307="","",TEXT(B307,"yyyy-mm"))</f>
        <v>0</v>
      </c>
      <c r="H307" s="23">
        <f>IF(G307="","",IFERROR(INDEX(Jobs!$H$5:$H$604,MATCH(G307,Jobs!$A$5:$A$604,0)),""))</f>
        <v>0</v>
      </c>
      <c r="T307" s="34">
        <f>IF(OR(J307="",K307=""),"",ROUND((K307-J307)*24-IF(L307="",0,L307)/60,2))</f>
        <v>0</v>
      </c>
      <c r="U307" s="34">
        <f>IF(F307="","",IF(M307&lt;&gt;"",M307,IF(T307="",0,T307)))</f>
        <v>0</v>
      </c>
      <c r="V307" s="21">
        <f>IF(F307="","",IFERROR(INDEX(Employees!$U$5:$U$44,MATCH(F307,Employees!$B$5:$B$44,0)),PayRate*(1+EmployerOncost)))</f>
        <v>0</v>
      </c>
      <c r="W307" s="34">
        <f>IF(F307="","",MAX(0,U307-IF(N307="",0,N307)))</f>
        <v>0</v>
      </c>
      <c r="X307" s="21">
        <f>IF(F307="","",ROUND(W307*V307+IF(N307="",0,N307)*V307*OvertimeRate,2))</f>
        <v>0</v>
      </c>
      <c r="Y307" s="21">
        <f>IF(F307="","",IF(P307&lt;&gt;"Yes",0,ROUND(U307*IF(IFERROR(INDEX(Clients!$O$5:$O$204,MATCH(IFERROR(INDEX(Jobs!$G$5:$G$604,MATCH(G307,Jobs!$A$5:$A$604,0)),""),Clients!$A$5:$A$204,0)),0)&gt;0,INDEX(Clients!$O$5:$O$204,MATCH(INDEX(Jobs!$G$5:$G$604,MATCH(G307,Jobs!$A$5:$A$604,0)),Clients!$A$5:$A$204,0)),HourlyRate),2)))</f>
        <v>0</v>
      </c>
      <c r="Z307" s="39">
        <f>IF(F307="","",IF(U307=0,"Add - no hours recorded",IF(O307="Absent - no show","Action - no show",IF(U307&gt;10,"Check - over ten hours in a day",IF(Q307&lt;&gt;"Yes","Due - needs approving",IF(R307&lt;&gt;"Yes","Due - not paid yet","OK"))))))</f>
        <v>0</v>
      </c>
    </row>
    <row r="308" spans="1:26">
      <c r="A308" s="43">
        <f>IF(F308="","","TS-"&amp;TEXT(ROW()-4,"0000"))</f>
        <v>0</v>
      </c>
      <c r="C308" s="23">
        <f>IF(B308="","",TEXT(B308,"ddd"))</f>
        <v>0</v>
      </c>
      <c r="D308" s="31">
        <f>IF(B308="","",WEEKNUM(B308,IF(WeekStart="Sunday",1,2)))</f>
        <v>0</v>
      </c>
      <c r="E308" s="23">
        <f>IF(B308="","",TEXT(B308,"yyyy-mm"))</f>
        <v>0</v>
      </c>
      <c r="H308" s="23">
        <f>IF(G308="","",IFERROR(INDEX(Jobs!$H$5:$H$604,MATCH(G308,Jobs!$A$5:$A$604,0)),""))</f>
        <v>0</v>
      </c>
      <c r="T308" s="34">
        <f>IF(OR(J308="",K308=""),"",ROUND((K308-J308)*24-IF(L308="",0,L308)/60,2))</f>
        <v>0</v>
      </c>
      <c r="U308" s="34">
        <f>IF(F308="","",IF(M308&lt;&gt;"",M308,IF(T308="",0,T308)))</f>
        <v>0</v>
      </c>
      <c r="V308" s="21">
        <f>IF(F308="","",IFERROR(INDEX(Employees!$U$5:$U$44,MATCH(F308,Employees!$B$5:$B$44,0)),PayRate*(1+EmployerOncost)))</f>
        <v>0</v>
      </c>
      <c r="W308" s="34">
        <f>IF(F308="","",MAX(0,U308-IF(N308="",0,N308)))</f>
        <v>0</v>
      </c>
      <c r="X308" s="21">
        <f>IF(F308="","",ROUND(W308*V308+IF(N308="",0,N308)*V308*OvertimeRate,2))</f>
        <v>0</v>
      </c>
      <c r="Y308" s="21">
        <f>IF(F308="","",IF(P308&lt;&gt;"Yes",0,ROUND(U308*IF(IFERROR(INDEX(Clients!$O$5:$O$204,MATCH(IFERROR(INDEX(Jobs!$G$5:$G$604,MATCH(G308,Jobs!$A$5:$A$604,0)),""),Clients!$A$5:$A$204,0)),0)&gt;0,INDEX(Clients!$O$5:$O$204,MATCH(INDEX(Jobs!$G$5:$G$604,MATCH(G308,Jobs!$A$5:$A$604,0)),Clients!$A$5:$A$204,0)),HourlyRate),2)))</f>
        <v>0</v>
      </c>
      <c r="Z308" s="39">
        <f>IF(F308="","",IF(U308=0,"Add - no hours recorded",IF(O308="Absent - no show","Action - no show",IF(U308&gt;10,"Check - over ten hours in a day",IF(Q308&lt;&gt;"Yes","Due - needs approving",IF(R308&lt;&gt;"Yes","Due - not paid yet","OK"))))))</f>
        <v>0</v>
      </c>
    </row>
    <row r="309" spans="1:26">
      <c r="A309" s="43">
        <f>IF(F309="","","TS-"&amp;TEXT(ROW()-4,"0000"))</f>
        <v>0</v>
      </c>
      <c r="C309" s="23">
        <f>IF(B309="","",TEXT(B309,"ddd"))</f>
        <v>0</v>
      </c>
      <c r="D309" s="31">
        <f>IF(B309="","",WEEKNUM(B309,IF(WeekStart="Sunday",1,2)))</f>
        <v>0</v>
      </c>
      <c r="E309" s="23">
        <f>IF(B309="","",TEXT(B309,"yyyy-mm"))</f>
        <v>0</v>
      </c>
      <c r="H309" s="23">
        <f>IF(G309="","",IFERROR(INDEX(Jobs!$H$5:$H$604,MATCH(G309,Jobs!$A$5:$A$604,0)),""))</f>
        <v>0</v>
      </c>
      <c r="T309" s="34">
        <f>IF(OR(J309="",K309=""),"",ROUND((K309-J309)*24-IF(L309="",0,L309)/60,2))</f>
        <v>0</v>
      </c>
      <c r="U309" s="34">
        <f>IF(F309="","",IF(M309&lt;&gt;"",M309,IF(T309="",0,T309)))</f>
        <v>0</v>
      </c>
      <c r="V309" s="21">
        <f>IF(F309="","",IFERROR(INDEX(Employees!$U$5:$U$44,MATCH(F309,Employees!$B$5:$B$44,0)),PayRate*(1+EmployerOncost)))</f>
        <v>0</v>
      </c>
      <c r="W309" s="34">
        <f>IF(F309="","",MAX(0,U309-IF(N309="",0,N309)))</f>
        <v>0</v>
      </c>
      <c r="X309" s="21">
        <f>IF(F309="","",ROUND(W309*V309+IF(N309="",0,N309)*V309*OvertimeRate,2))</f>
        <v>0</v>
      </c>
      <c r="Y309" s="21">
        <f>IF(F309="","",IF(P309&lt;&gt;"Yes",0,ROUND(U309*IF(IFERROR(INDEX(Clients!$O$5:$O$204,MATCH(IFERROR(INDEX(Jobs!$G$5:$G$604,MATCH(G309,Jobs!$A$5:$A$604,0)),""),Clients!$A$5:$A$204,0)),0)&gt;0,INDEX(Clients!$O$5:$O$204,MATCH(INDEX(Jobs!$G$5:$G$604,MATCH(G309,Jobs!$A$5:$A$604,0)),Clients!$A$5:$A$204,0)),HourlyRate),2)))</f>
        <v>0</v>
      </c>
      <c r="Z309" s="39">
        <f>IF(F309="","",IF(U309=0,"Add - no hours recorded",IF(O309="Absent - no show","Action - no show",IF(U309&gt;10,"Check - over ten hours in a day",IF(Q309&lt;&gt;"Yes","Due - needs approving",IF(R309&lt;&gt;"Yes","Due - not paid yet","OK"))))))</f>
        <v>0</v>
      </c>
    </row>
    <row r="310" spans="1:26">
      <c r="A310" s="43">
        <f>IF(F310="","","TS-"&amp;TEXT(ROW()-4,"0000"))</f>
        <v>0</v>
      </c>
      <c r="C310" s="23">
        <f>IF(B310="","",TEXT(B310,"ddd"))</f>
        <v>0</v>
      </c>
      <c r="D310" s="31">
        <f>IF(B310="","",WEEKNUM(B310,IF(WeekStart="Sunday",1,2)))</f>
        <v>0</v>
      </c>
      <c r="E310" s="23">
        <f>IF(B310="","",TEXT(B310,"yyyy-mm"))</f>
        <v>0</v>
      </c>
      <c r="H310" s="23">
        <f>IF(G310="","",IFERROR(INDEX(Jobs!$H$5:$H$604,MATCH(G310,Jobs!$A$5:$A$604,0)),""))</f>
        <v>0</v>
      </c>
      <c r="T310" s="34">
        <f>IF(OR(J310="",K310=""),"",ROUND((K310-J310)*24-IF(L310="",0,L310)/60,2))</f>
        <v>0</v>
      </c>
      <c r="U310" s="34">
        <f>IF(F310="","",IF(M310&lt;&gt;"",M310,IF(T310="",0,T310)))</f>
        <v>0</v>
      </c>
      <c r="V310" s="21">
        <f>IF(F310="","",IFERROR(INDEX(Employees!$U$5:$U$44,MATCH(F310,Employees!$B$5:$B$44,0)),PayRate*(1+EmployerOncost)))</f>
        <v>0</v>
      </c>
      <c r="W310" s="34">
        <f>IF(F310="","",MAX(0,U310-IF(N310="",0,N310)))</f>
        <v>0</v>
      </c>
      <c r="X310" s="21">
        <f>IF(F310="","",ROUND(W310*V310+IF(N310="",0,N310)*V310*OvertimeRate,2))</f>
        <v>0</v>
      </c>
      <c r="Y310" s="21">
        <f>IF(F310="","",IF(P310&lt;&gt;"Yes",0,ROUND(U310*IF(IFERROR(INDEX(Clients!$O$5:$O$204,MATCH(IFERROR(INDEX(Jobs!$G$5:$G$604,MATCH(G310,Jobs!$A$5:$A$604,0)),""),Clients!$A$5:$A$204,0)),0)&gt;0,INDEX(Clients!$O$5:$O$204,MATCH(INDEX(Jobs!$G$5:$G$604,MATCH(G310,Jobs!$A$5:$A$604,0)),Clients!$A$5:$A$204,0)),HourlyRate),2)))</f>
        <v>0</v>
      </c>
      <c r="Z310" s="39">
        <f>IF(F310="","",IF(U310=0,"Add - no hours recorded",IF(O310="Absent - no show","Action - no show",IF(U310&gt;10,"Check - over ten hours in a day",IF(Q310&lt;&gt;"Yes","Due - needs approving",IF(R310&lt;&gt;"Yes","Due - not paid yet","OK"))))))</f>
        <v>0</v>
      </c>
    </row>
    <row r="311" spans="1:26">
      <c r="A311" s="43">
        <f>IF(F311="","","TS-"&amp;TEXT(ROW()-4,"0000"))</f>
        <v>0</v>
      </c>
      <c r="C311" s="23">
        <f>IF(B311="","",TEXT(B311,"ddd"))</f>
        <v>0</v>
      </c>
      <c r="D311" s="31">
        <f>IF(B311="","",WEEKNUM(B311,IF(WeekStart="Sunday",1,2)))</f>
        <v>0</v>
      </c>
      <c r="E311" s="23">
        <f>IF(B311="","",TEXT(B311,"yyyy-mm"))</f>
        <v>0</v>
      </c>
      <c r="H311" s="23">
        <f>IF(G311="","",IFERROR(INDEX(Jobs!$H$5:$H$604,MATCH(G311,Jobs!$A$5:$A$604,0)),""))</f>
        <v>0</v>
      </c>
      <c r="T311" s="34">
        <f>IF(OR(J311="",K311=""),"",ROUND((K311-J311)*24-IF(L311="",0,L311)/60,2))</f>
        <v>0</v>
      </c>
      <c r="U311" s="34">
        <f>IF(F311="","",IF(M311&lt;&gt;"",M311,IF(T311="",0,T311)))</f>
        <v>0</v>
      </c>
      <c r="V311" s="21">
        <f>IF(F311="","",IFERROR(INDEX(Employees!$U$5:$U$44,MATCH(F311,Employees!$B$5:$B$44,0)),PayRate*(1+EmployerOncost)))</f>
        <v>0</v>
      </c>
      <c r="W311" s="34">
        <f>IF(F311="","",MAX(0,U311-IF(N311="",0,N311)))</f>
        <v>0</v>
      </c>
      <c r="X311" s="21">
        <f>IF(F311="","",ROUND(W311*V311+IF(N311="",0,N311)*V311*OvertimeRate,2))</f>
        <v>0</v>
      </c>
      <c r="Y311" s="21">
        <f>IF(F311="","",IF(P311&lt;&gt;"Yes",0,ROUND(U311*IF(IFERROR(INDEX(Clients!$O$5:$O$204,MATCH(IFERROR(INDEX(Jobs!$G$5:$G$604,MATCH(G311,Jobs!$A$5:$A$604,0)),""),Clients!$A$5:$A$204,0)),0)&gt;0,INDEX(Clients!$O$5:$O$204,MATCH(INDEX(Jobs!$G$5:$G$604,MATCH(G311,Jobs!$A$5:$A$604,0)),Clients!$A$5:$A$204,0)),HourlyRate),2)))</f>
        <v>0</v>
      </c>
      <c r="Z311" s="39">
        <f>IF(F311="","",IF(U311=0,"Add - no hours recorded",IF(O311="Absent - no show","Action - no show",IF(U311&gt;10,"Check - over ten hours in a day",IF(Q311&lt;&gt;"Yes","Due - needs approving",IF(R311&lt;&gt;"Yes","Due - not paid yet","OK"))))))</f>
        <v>0</v>
      </c>
    </row>
    <row r="312" spans="1:26">
      <c r="A312" s="43">
        <f>IF(F312="","","TS-"&amp;TEXT(ROW()-4,"0000"))</f>
        <v>0</v>
      </c>
      <c r="C312" s="23">
        <f>IF(B312="","",TEXT(B312,"ddd"))</f>
        <v>0</v>
      </c>
      <c r="D312" s="31">
        <f>IF(B312="","",WEEKNUM(B312,IF(WeekStart="Sunday",1,2)))</f>
        <v>0</v>
      </c>
      <c r="E312" s="23">
        <f>IF(B312="","",TEXT(B312,"yyyy-mm"))</f>
        <v>0</v>
      </c>
      <c r="H312" s="23">
        <f>IF(G312="","",IFERROR(INDEX(Jobs!$H$5:$H$604,MATCH(G312,Jobs!$A$5:$A$604,0)),""))</f>
        <v>0</v>
      </c>
      <c r="T312" s="34">
        <f>IF(OR(J312="",K312=""),"",ROUND((K312-J312)*24-IF(L312="",0,L312)/60,2))</f>
        <v>0</v>
      </c>
      <c r="U312" s="34">
        <f>IF(F312="","",IF(M312&lt;&gt;"",M312,IF(T312="",0,T312)))</f>
        <v>0</v>
      </c>
      <c r="V312" s="21">
        <f>IF(F312="","",IFERROR(INDEX(Employees!$U$5:$U$44,MATCH(F312,Employees!$B$5:$B$44,0)),PayRate*(1+EmployerOncost)))</f>
        <v>0</v>
      </c>
      <c r="W312" s="34">
        <f>IF(F312="","",MAX(0,U312-IF(N312="",0,N312)))</f>
        <v>0</v>
      </c>
      <c r="X312" s="21">
        <f>IF(F312="","",ROUND(W312*V312+IF(N312="",0,N312)*V312*OvertimeRate,2))</f>
        <v>0</v>
      </c>
      <c r="Y312" s="21">
        <f>IF(F312="","",IF(P312&lt;&gt;"Yes",0,ROUND(U312*IF(IFERROR(INDEX(Clients!$O$5:$O$204,MATCH(IFERROR(INDEX(Jobs!$G$5:$G$604,MATCH(G312,Jobs!$A$5:$A$604,0)),""),Clients!$A$5:$A$204,0)),0)&gt;0,INDEX(Clients!$O$5:$O$204,MATCH(INDEX(Jobs!$G$5:$G$604,MATCH(G312,Jobs!$A$5:$A$604,0)),Clients!$A$5:$A$204,0)),HourlyRate),2)))</f>
        <v>0</v>
      </c>
      <c r="Z312" s="39">
        <f>IF(F312="","",IF(U312=0,"Add - no hours recorded",IF(O312="Absent - no show","Action - no show",IF(U312&gt;10,"Check - over ten hours in a day",IF(Q312&lt;&gt;"Yes","Due - needs approving",IF(R312&lt;&gt;"Yes","Due - not paid yet","OK"))))))</f>
        <v>0</v>
      </c>
    </row>
    <row r="313" spans="1:26">
      <c r="A313" s="43">
        <f>IF(F313="","","TS-"&amp;TEXT(ROW()-4,"0000"))</f>
        <v>0</v>
      </c>
      <c r="C313" s="23">
        <f>IF(B313="","",TEXT(B313,"ddd"))</f>
        <v>0</v>
      </c>
      <c r="D313" s="31">
        <f>IF(B313="","",WEEKNUM(B313,IF(WeekStart="Sunday",1,2)))</f>
        <v>0</v>
      </c>
      <c r="E313" s="23">
        <f>IF(B313="","",TEXT(B313,"yyyy-mm"))</f>
        <v>0</v>
      </c>
      <c r="H313" s="23">
        <f>IF(G313="","",IFERROR(INDEX(Jobs!$H$5:$H$604,MATCH(G313,Jobs!$A$5:$A$604,0)),""))</f>
        <v>0</v>
      </c>
      <c r="T313" s="34">
        <f>IF(OR(J313="",K313=""),"",ROUND((K313-J313)*24-IF(L313="",0,L313)/60,2))</f>
        <v>0</v>
      </c>
      <c r="U313" s="34">
        <f>IF(F313="","",IF(M313&lt;&gt;"",M313,IF(T313="",0,T313)))</f>
        <v>0</v>
      </c>
      <c r="V313" s="21">
        <f>IF(F313="","",IFERROR(INDEX(Employees!$U$5:$U$44,MATCH(F313,Employees!$B$5:$B$44,0)),PayRate*(1+EmployerOncost)))</f>
        <v>0</v>
      </c>
      <c r="W313" s="34">
        <f>IF(F313="","",MAX(0,U313-IF(N313="",0,N313)))</f>
        <v>0</v>
      </c>
      <c r="X313" s="21">
        <f>IF(F313="","",ROUND(W313*V313+IF(N313="",0,N313)*V313*OvertimeRate,2))</f>
        <v>0</v>
      </c>
      <c r="Y313" s="21">
        <f>IF(F313="","",IF(P313&lt;&gt;"Yes",0,ROUND(U313*IF(IFERROR(INDEX(Clients!$O$5:$O$204,MATCH(IFERROR(INDEX(Jobs!$G$5:$G$604,MATCH(G313,Jobs!$A$5:$A$604,0)),""),Clients!$A$5:$A$204,0)),0)&gt;0,INDEX(Clients!$O$5:$O$204,MATCH(INDEX(Jobs!$G$5:$G$604,MATCH(G313,Jobs!$A$5:$A$604,0)),Clients!$A$5:$A$204,0)),HourlyRate),2)))</f>
        <v>0</v>
      </c>
      <c r="Z313" s="39">
        <f>IF(F313="","",IF(U313=0,"Add - no hours recorded",IF(O313="Absent - no show","Action - no show",IF(U313&gt;10,"Check - over ten hours in a day",IF(Q313&lt;&gt;"Yes","Due - needs approving",IF(R313&lt;&gt;"Yes","Due - not paid yet","OK"))))))</f>
        <v>0</v>
      </c>
    </row>
    <row r="314" spans="1:26">
      <c r="A314" s="43">
        <f>IF(F314="","","TS-"&amp;TEXT(ROW()-4,"0000"))</f>
        <v>0</v>
      </c>
      <c r="C314" s="23">
        <f>IF(B314="","",TEXT(B314,"ddd"))</f>
        <v>0</v>
      </c>
      <c r="D314" s="31">
        <f>IF(B314="","",WEEKNUM(B314,IF(WeekStart="Sunday",1,2)))</f>
        <v>0</v>
      </c>
      <c r="E314" s="23">
        <f>IF(B314="","",TEXT(B314,"yyyy-mm"))</f>
        <v>0</v>
      </c>
      <c r="H314" s="23">
        <f>IF(G314="","",IFERROR(INDEX(Jobs!$H$5:$H$604,MATCH(G314,Jobs!$A$5:$A$604,0)),""))</f>
        <v>0</v>
      </c>
      <c r="T314" s="34">
        <f>IF(OR(J314="",K314=""),"",ROUND((K314-J314)*24-IF(L314="",0,L314)/60,2))</f>
        <v>0</v>
      </c>
      <c r="U314" s="34">
        <f>IF(F314="","",IF(M314&lt;&gt;"",M314,IF(T314="",0,T314)))</f>
        <v>0</v>
      </c>
      <c r="V314" s="21">
        <f>IF(F314="","",IFERROR(INDEX(Employees!$U$5:$U$44,MATCH(F314,Employees!$B$5:$B$44,0)),PayRate*(1+EmployerOncost)))</f>
        <v>0</v>
      </c>
      <c r="W314" s="34">
        <f>IF(F314="","",MAX(0,U314-IF(N314="",0,N314)))</f>
        <v>0</v>
      </c>
      <c r="X314" s="21">
        <f>IF(F314="","",ROUND(W314*V314+IF(N314="",0,N314)*V314*OvertimeRate,2))</f>
        <v>0</v>
      </c>
      <c r="Y314" s="21">
        <f>IF(F314="","",IF(P314&lt;&gt;"Yes",0,ROUND(U314*IF(IFERROR(INDEX(Clients!$O$5:$O$204,MATCH(IFERROR(INDEX(Jobs!$G$5:$G$604,MATCH(G314,Jobs!$A$5:$A$604,0)),""),Clients!$A$5:$A$204,0)),0)&gt;0,INDEX(Clients!$O$5:$O$204,MATCH(INDEX(Jobs!$G$5:$G$604,MATCH(G314,Jobs!$A$5:$A$604,0)),Clients!$A$5:$A$204,0)),HourlyRate),2)))</f>
        <v>0</v>
      </c>
      <c r="Z314" s="39">
        <f>IF(F314="","",IF(U314=0,"Add - no hours recorded",IF(O314="Absent - no show","Action - no show",IF(U314&gt;10,"Check - over ten hours in a day",IF(Q314&lt;&gt;"Yes","Due - needs approving",IF(R314&lt;&gt;"Yes","Due - not paid yet","OK"))))))</f>
        <v>0</v>
      </c>
    </row>
    <row r="315" spans="1:26">
      <c r="A315" s="43">
        <f>IF(F315="","","TS-"&amp;TEXT(ROW()-4,"0000"))</f>
        <v>0</v>
      </c>
      <c r="C315" s="23">
        <f>IF(B315="","",TEXT(B315,"ddd"))</f>
        <v>0</v>
      </c>
      <c r="D315" s="31">
        <f>IF(B315="","",WEEKNUM(B315,IF(WeekStart="Sunday",1,2)))</f>
        <v>0</v>
      </c>
      <c r="E315" s="23">
        <f>IF(B315="","",TEXT(B315,"yyyy-mm"))</f>
        <v>0</v>
      </c>
      <c r="H315" s="23">
        <f>IF(G315="","",IFERROR(INDEX(Jobs!$H$5:$H$604,MATCH(G315,Jobs!$A$5:$A$604,0)),""))</f>
        <v>0</v>
      </c>
      <c r="T315" s="34">
        <f>IF(OR(J315="",K315=""),"",ROUND((K315-J315)*24-IF(L315="",0,L315)/60,2))</f>
        <v>0</v>
      </c>
      <c r="U315" s="34">
        <f>IF(F315="","",IF(M315&lt;&gt;"",M315,IF(T315="",0,T315)))</f>
        <v>0</v>
      </c>
      <c r="V315" s="21">
        <f>IF(F315="","",IFERROR(INDEX(Employees!$U$5:$U$44,MATCH(F315,Employees!$B$5:$B$44,0)),PayRate*(1+EmployerOncost)))</f>
        <v>0</v>
      </c>
      <c r="W315" s="34">
        <f>IF(F315="","",MAX(0,U315-IF(N315="",0,N315)))</f>
        <v>0</v>
      </c>
      <c r="X315" s="21">
        <f>IF(F315="","",ROUND(W315*V315+IF(N315="",0,N315)*V315*OvertimeRate,2))</f>
        <v>0</v>
      </c>
      <c r="Y315" s="21">
        <f>IF(F315="","",IF(P315&lt;&gt;"Yes",0,ROUND(U315*IF(IFERROR(INDEX(Clients!$O$5:$O$204,MATCH(IFERROR(INDEX(Jobs!$G$5:$G$604,MATCH(G315,Jobs!$A$5:$A$604,0)),""),Clients!$A$5:$A$204,0)),0)&gt;0,INDEX(Clients!$O$5:$O$204,MATCH(INDEX(Jobs!$G$5:$G$604,MATCH(G315,Jobs!$A$5:$A$604,0)),Clients!$A$5:$A$204,0)),HourlyRate),2)))</f>
        <v>0</v>
      </c>
      <c r="Z315" s="39">
        <f>IF(F315="","",IF(U315=0,"Add - no hours recorded",IF(O315="Absent - no show","Action - no show",IF(U315&gt;10,"Check - over ten hours in a day",IF(Q315&lt;&gt;"Yes","Due - needs approving",IF(R315&lt;&gt;"Yes","Due - not paid yet","OK"))))))</f>
        <v>0</v>
      </c>
    </row>
    <row r="316" spans="1:26">
      <c r="A316" s="43">
        <f>IF(F316="","","TS-"&amp;TEXT(ROW()-4,"0000"))</f>
        <v>0</v>
      </c>
      <c r="C316" s="23">
        <f>IF(B316="","",TEXT(B316,"ddd"))</f>
        <v>0</v>
      </c>
      <c r="D316" s="31">
        <f>IF(B316="","",WEEKNUM(B316,IF(WeekStart="Sunday",1,2)))</f>
        <v>0</v>
      </c>
      <c r="E316" s="23">
        <f>IF(B316="","",TEXT(B316,"yyyy-mm"))</f>
        <v>0</v>
      </c>
      <c r="H316" s="23">
        <f>IF(G316="","",IFERROR(INDEX(Jobs!$H$5:$H$604,MATCH(G316,Jobs!$A$5:$A$604,0)),""))</f>
        <v>0</v>
      </c>
      <c r="T316" s="34">
        <f>IF(OR(J316="",K316=""),"",ROUND((K316-J316)*24-IF(L316="",0,L316)/60,2))</f>
        <v>0</v>
      </c>
      <c r="U316" s="34">
        <f>IF(F316="","",IF(M316&lt;&gt;"",M316,IF(T316="",0,T316)))</f>
        <v>0</v>
      </c>
      <c r="V316" s="21">
        <f>IF(F316="","",IFERROR(INDEX(Employees!$U$5:$U$44,MATCH(F316,Employees!$B$5:$B$44,0)),PayRate*(1+EmployerOncost)))</f>
        <v>0</v>
      </c>
      <c r="W316" s="34">
        <f>IF(F316="","",MAX(0,U316-IF(N316="",0,N316)))</f>
        <v>0</v>
      </c>
      <c r="X316" s="21">
        <f>IF(F316="","",ROUND(W316*V316+IF(N316="",0,N316)*V316*OvertimeRate,2))</f>
        <v>0</v>
      </c>
      <c r="Y316" s="21">
        <f>IF(F316="","",IF(P316&lt;&gt;"Yes",0,ROUND(U316*IF(IFERROR(INDEX(Clients!$O$5:$O$204,MATCH(IFERROR(INDEX(Jobs!$G$5:$G$604,MATCH(G316,Jobs!$A$5:$A$604,0)),""),Clients!$A$5:$A$204,0)),0)&gt;0,INDEX(Clients!$O$5:$O$204,MATCH(INDEX(Jobs!$G$5:$G$604,MATCH(G316,Jobs!$A$5:$A$604,0)),Clients!$A$5:$A$204,0)),HourlyRate),2)))</f>
        <v>0</v>
      </c>
      <c r="Z316" s="39">
        <f>IF(F316="","",IF(U316=0,"Add - no hours recorded",IF(O316="Absent - no show","Action - no show",IF(U316&gt;10,"Check - over ten hours in a day",IF(Q316&lt;&gt;"Yes","Due - needs approving",IF(R316&lt;&gt;"Yes","Due - not paid yet","OK"))))))</f>
        <v>0</v>
      </c>
    </row>
    <row r="317" spans="1:26">
      <c r="A317" s="43">
        <f>IF(F317="","","TS-"&amp;TEXT(ROW()-4,"0000"))</f>
        <v>0</v>
      </c>
      <c r="C317" s="23">
        <f>IF(B317="","",TEXT(B317,"ddd"))</f>
        <v>0</v>
      </c>
      <c r="D317" s="31">
        <f>IF(B317="","",WEEKNUM(B317,IF(WeekStart="Sunday",1,2)))</f>
        <v>0</v>
      </c>
      <c r="E317" s="23">
        <f>IF(B317="","",TEXT(B317,"yyyy-mm"))</f>
        <v>0</v>
      </c>
      <c r="H317" s="23">
        <f>IF(G317="","",IFERROR(INDEX(Jobs!$H$5:$H$604,MATCH(G317,Jobs!$A$5:$A$604,0)),""))</f>
        <v>0</v>
      </c>
      <c r="T317" s="34">
        <f>IF(OR(J317="",K317=""),"",ROUND((K317-J317)*24-IF(L317="",0,L317)/60,2))</f>
        <v>0</v>
      </c>
      <c r="U317" s="34">
        <f>IF(F317="","",IF(M317&lt;&gt;"",M317,IF(T317="",0,T317)))</f>
        <v>0</v>
      </c>
      <c r="V317" s="21">
        <f>IF(F317="","",IFERROR(INDEX(Employees!$U$5:$U$44,MATCH(F317,Employees!$B$5:$B$44,0)),PayRate*(1+EmployerOncost)))</f>
        <v>0</v>
      </c>
      <c r="W317" s="34">
        <f>IF(F317="","",MAX(0,U317-IF(N317="",0,N317)))</f>
        <v>0</v>
      </c>
      <c r="X317" s="21">
        <f>IF(F317="","",ROUND(W317*V317+IF(N317="",0,N317)*V317*OvertimeRate,2))</f>
        <v>0</v>
      </c>
      <c r="Y317" s="21">
        <f>IF(F317="","",IF(P317&lt;&gt;"Yes",0,ROUND(U317*IF(IFERROR(INDEX(Clients!$O$5:$O$204,MATCH(IFERROR(INDEX(Jobs!$G$5:$G$604,MATCH(G317,Jobs!$A$5:$A$604,0)),""),Clients!$A$5:$A$204,0)),0)&gt;0,INDEX(Clients!$O$5:$O$204,MATCH(INDEX(Jobs!$G$5:$G$604,MATCH(G317,Jobs!$A$5:$A$604,0)),Clients!$A$5:$A$204,0)),HourlyRate),2)))</f>
        <v>0</v>
      </c>
      <c r="Z317" s="39">
        <f>IF(F317="","",IF(U317=0,"Add - no hours recorded",IF(O317="Absent - no show","Action - no show",IF(U317&gt;10,"Check - over ten hours in a day",IF(Q317&lt;&gt;"Yes","Due - needs approving",IF(R317&lt;&gt;"Yes","Due - not paid yet","OK"))))))</f>
        <v>0</v>
      </c>
    </row>
    <row r="318" spans="1:26">
      <c r="A318" s="43">
        <f>IF(F318="","","TS-"&amp;TEXT(ROW()-4,"0000"))</f>
        <v>0</v>
      </c>
      <c r="C318" s="23">
        <f>IF(B318="","",TEXT(B318,"ddd"))</f>
        <v>0</v>
      </c>
      <c r="D318" s="31">
        <f>IF(B318="","",WEEKNUM(B318,IF(WeekStart="Sunday",1,2)))</f>
        <v>0</v>
      </c>
      <c r="E318" s="23">
        <f>IF(B318="","",TEXT(B318,"yyyy-mm"))</f>
        <v>0</v>
      </c>
      <c r="H318" s="23">
        <f>IF(G318="","",IFERROR(INDEX(Jobs!$H$5:$H$604,MATCH(G318,Jobs!$A$5:$A$604,0)),""))</f>
        <v>0</v>
      </c>
      <c r="T318" s="34">
        <f>IF(OR(J318="",K318=""),"",ROUND((K318-J318)*24-IF(L318="",0,L318)/60,2))</f>
        <v>0</v>
      </c>
      <c r="U318" s="34">
        <f>IF(F318="","",IF(M318&lt;&gt;"",M318,IF(T318="",0,T318)))</f>
        <v>0</v>
      </c>
      <c r="V318" s="21">
        <f>IF(F318="","",IFERROR(INDEX(Employees!$U$5:$U$44,MATCH(F318,Employees!$B$5:$B$44,0)),PayRate*(1+EmployerOncost)))</f>
        <v>0</v>
      </c>
      <c r="W318" s="34">
        <f>IF(F318="","",MAX(0,U318-IF(N318="",0,N318)))</f>
        <v>0</v>
      </c>
      <c r="X318" s="21">
        <f>IF(F318="","",ROUND(W318*V318+IF(N318="",0,N318)*V318*OvertimeRate,2))</f>
        <v>0</v>
      </c>
      <c r="Y318" s="21">
        <f>IF(F318="","",IF(P318&lt;&gt;"Yes",0,ROUND(U318*IF(IFERROR(INDEX(Clients!$O$5:$O$204,MATCH(IFERROR(INDEX(Jobs!$G$5:$G$604,MATCH(G318,Jobs!$A$5:$A$604,0)),""),Clients!$A$5:$A$204,0)),0)&gt;0,INDEX(Clients!$O$5:$O$204,MATCH(INDEX(Jobs!$G$5:$G$604,MATCH(G318,Jobs!$A$5:$A$604,0)),Clients!$A$5:$A$204,0)),HourlyRate),2)))</f>
        <v>0</v>
      </c>
      <c r="Z318" s="39">
        <f>IF(F318="","",IF(U318=0,"Add - no hours recorded",IF(O318="Absent - no show","Action - no show",IF(U318&gt;10,"Check - over ten hours in a day",IF(Q318&lt;&gt;"Yes","Due - needs approving",IF(R318&lt;&gt;"Yes","Due - not paid yet","OK"))))))</f>
        <v>0</v>
      </c>
    </row>
    <row r="319" spans="1:26">
      <c r="A319" s="43">
        <f>IF(F319="","","TS-"&amp;TEXT(ROW()-4,"0000"))</f>
        <v>0</v>
      </c>
      <c r="C319" s="23">
        <f>IF(B319="","",TEXT(B319,"ddd"))</f>
        <v>0</v>
      </c>
      <c r="D319" s="31">
        <f>IF(B319="","",WEEKNUM(B319,IF(WeekStart="Sunday",1,2)))</f>
        <v>0</v>
      </c>
      <c r="E319" s="23">
        <f>IF(B319="","",TEXT(B319,"yyyy-mm"))</f>
        <v>0</v>
      </c>
      <c r="H319" s="23">
        <f>IF(G319="","",IFERROR(INDEX(Jobs!$H$5:$H$604,MATCH(G319,Jobs!$A$5:$A$604,0)),""))</f>
        <v>0</v>
      </c>
      <c r="T319" s="34">
        <f>IF(OR(J319="",K319=""),"",ROUND((K319-J319)*24-IF(L319="",0,L319)/60,2))</f>
        <v>0</v>
      </c>
      <c r="U319" s="34">
        <f>IF(F319="","",IF(M319&lt;&gt;"",M319,IF(T319="",0,T319)))</f>
        <v>0</v>
      </c>
      <c r="V319" s="21">
        <f>IF(F319="","",IFERROR(INDEX(Employees!$U$5:$U$44,MATCH(F319,Employees!$B$5:$B$44,0)),PayRate*(1+EmployerOncost)))</f>
        <v>0</v>
      </c>
      <c r="W319" s="34">
        <f>IF(F319="","",MAX(0,U319-IF(N319="",0,N319)))</f>
        <v>0</v>
      </c>
      <c r="X319" s="21">
        <f>IF(F319="","",ROUND(W319*V319+IF(N319="",0,N319)*V319*OvertimeRate,2))</f>
        <v>0</v>
      </c>
      <c r="Y319" s="21">
        <f>IF(F319="","",IF(P319&lt;&gt;"Yes",0,ROUND(U319*IF(IFERROR(INDEX(Clients!$O$5:$O$204,MATCH(IFERROR(INDEX(Jobs!$G$5:$G$604,MATCH(G319,Jobs!$A$5:$A$604,0)),""),Clients!$A$5:$A$204,0)),0)&gt;0,INDEX(Clients!$O$5:$O$204,MATCH(INDEX(Jobs!$G$5:$G$604,MATCH(G319,Jobs!$A$5:$A$604,0)),Clients!$A$5:$A$204,0)),HourlyRate),2)))</f>
        <v>0</v>
      </c>
      <c r="Z319" s="39">
        <f>IF(F319="","",IF(U319=0,"Add - no hours recorded",IF(O319="Absent - no show","Action - no show",IF(U319&gt;10,"Check - over ten hours in a day",IF(Q319&lt;&gt;"Yes","Due - needs approving",IF(R319&lt;&gt;"Yes","Due - not paid yet","OK"))))))</f>
        <v>0</v>
      </c>
    </row>
    <row r="320" spans="1:26">
      <c r="A320" s="43">
        <f>IF(F320="","","TS-"&amp;TEXT(ROW()-4,"0000"))</f>
        <v>0</v>
      </c>
      <c r="C320" s="23">
        <f>IF(B320="","",TEXT(B320,"ddd"))</f>
        <v>0</v>
      </c>
      <c r="D320" s="31">
        <f>IF(B320="","",WEEKNUM(B320,IF(WeekStart="Sunday",1,2)))</f>
        <v>0</v>
      </c>
      <c r="E320" s="23">
        <f>IF(B320="","",TEXT(B320,"yyyy-mm"))</f>
        <v>0</v>
      </c>
      <c r="H320" s="23">
        <f>IF(G320="","",IFERROR(INDEX(Jobs!$H$5:$H$604,MATCH(G320,Jobs!$A$5:$A$604,0)),""))</f>
        <v>0</v>
      </c>
      <c r="T320" s="34">
        <f>IF(OR(J320="",K320=""),"",ROUND((K320-J320)*24-IF(L320="",0,L320)/60,2))</f>
        <v>0</v>
      </c>
      <c r="U320" s="34">
        <f>IF(F320="","",IF(M320&lt;&gt;"",M320,IF(T320="",0,T320)))</f>
        <v>0</v>
      </c>
      <c r="V320" s="21">
        <f>IF(F320="","",IFERROR(INDEX(Employees!$U$5:$U$44,MATCH(F320,Employees!$B$5:$B$44,0)),PayRate*(1+EmployerOncost)))</f>
        <v>0</v>
      </c>
      <c r="W320" s="34">
        <f>IF(F320="","",MAX(0,U320-IF(N320="",0,N320)))</f>
        <v>0</v>
      </c>
      <c r="X320" s="21">
        <f>IF(F320="","",ROUND(W320*V320+IF(N320="",0,N320)*V320*OvertimeRate,2))</f>
        <v>0</v>
      </c>
      <c r="Y320" s="21">
        <f>IF(F320="","",IF(P320&lt;&gt;"Yes",0,ROUND(U320*IF(IFERROR(INDEX(Clients!$O$5:$O$204,MATCH(IFERROR(INDEX(Jobs!$G$5:$G$604,MATCH(G320,Jobs!$A$5:$A$604,0)),""),Clients!$A$5:$A$204,0)),0)&gt;0,INDEX(Clients!$O$5:$O$204,MATCH(INDEX(Jobs!$G$5:$G$604,MATCH(G320,Jobs!$A$5:$A$604,0)),Clients!$A$5:$A$204,0)),HourlyRate),2)))</f>
        <v>0</v>
      </c>
      <c r="Z320" s="39">
        <f>IF(F320="","",IF(U320=0,"Add - no hours recorded",IF(O320="Absent - no show","Action - no show",IF(U320&gt;10,"Check - over ten hours in a day",IF(Q320&lt;&gt;"Yes","Due - needs approving",IF(R320&lt;&gt;"Yes","Due - not paid yet","OK"))))))</f>
        <v>0</v>
      </c>
    </row>
    <row r="321" spans="1:26">
      <c r="A321" s="43">
        <f>IF(F321="","","TS-"&amp;TEXT(ROW()-4,"0000"))</f>
        <v>0</v>
      </c>
      <c r="C321" s="23">
        <f>IF(B321="","",TEXT(B321,"ddd"))</f>
        <v>0</v>
      </c>
      <c r="D321" s="31">
        <f>IF(B321="","",WEEKNUM(B321,IF(WeekStart="Sunday",1,2)))</f>
        <v>0</v>
      </c>
      <c r="E321" s="23">
        <f>IF(B321="","",TEXT(B321,"yyyy-mm"))</f>
        <v>0</v>
      </c>
      <c r="H321" s="23">
        <f>IF(G321="","",IFERROR(INDEX(Jobs!$H$5:$H$604,MATCH(G321,Jobs!$A$5:$A$604,0)),""))</f>
        <v>0</v>
      </c>
      <c r="T321" s="34">
        <f>IF(OR(J321="",K321=""),"",ROUND((K321-J321)*24-IF(L321="",0,L321)/60,2))</f>
        <v>0</v>
      </c>
      <c r="U321" s="34">
        <f>IF(F321="","",IF(M321&lt;&gt;"",M321,IF(T321="",0,T321)))</f>
        <v>0</v>
      </c>
      <c r="V321" s="21">
        <f>IF(F321="","",IFERROR(INDEX(Employees!$U$5:$U$44,MATCH(F321,Employees!$B$5:$B$44,0)),PayRate*(1+EmployerOncost)))</f>
        <v>0</v>
      </c>
      <c r="W321" s="34">
        <f>IF(F321="","",MAX(0,U321-IF(N321="",0,N321)))</f>
        <v>0</v>
      </c>
      <c r="X321" s="21">
        <f>IF(F321="","",ROUND(W321*V321+IF(N321="",0,N321)*V321*OvertimeRate,2))</f>
        <v>0</v>
      </c>
      <c r="Y321" s="21">
        <f>IF(F321="","",IF(P321&lt;&gt;"Yes",0,ROUND(U321*IF(IFERROR(INDEX(Clients!$O$5:$O$204,MATCH(IFERROR(INDEX(Jobs!$G$5:$G$604,MATCH(G321,Jobs!$A$5:$A$604,0)),""),Clients!$A$5:$A$204,0)),0)&gt;0,INDEX(Clients!$O$5:$O$204,MATCH(INDEX(Jobs!$G$5:$G$604,MATCH(G321,Jobs!$A$5:$A$604,0)),Clients!$A$5:$A$204,0)),HourlyRate),2)))</f>
        <v>0</v>
      </c>
      <c r="Z321" s="39">
        <f>IF(F321="","",IF(U321=0,"Add - no hours recorded",IF(O321="Absent - no show","Action - no show",IF(U321&gt;10,"Check - over ten hours in a day",IF(Q321&lt;&gt;"Yes","Due - needs approving",IF(R321&lt;&gt;"Yes","Due - not paid yet","OK"))))))</f>
        <v>0</v>
      </c>
    </row>
    <row r="322" spans="1:26">
      <c r="A322" s="43">
        <f>IF(F322="","","TS-"&amp;TEXT(ROW()-4,"0000"))</f>
        <v>0</v>
      </c>
      <c r="C322" s="23">
        <f>IF(B322="","",TEXT(B322,"ddd"))</f>
        <v>0</v>
      </c>
      <c r="D322" s="31">
        <f>IF(B322="","",WEEKNUM(B322,IF(WeekStart="Sunday",1,2)))</f>
        <v>0</v>
      </c>
      <c r="E322" s="23">
        <f>IF(B322="","",TEXT(B322,"yyyy-mm"))</f>
        <v>0</v>
      </c>
      <c r="H322" s="23">
        <f>IF(G322="","",IFERROR(INDEX(Jobs!$H$5:$H$604,MATCH(G322,Jobs!$A$5:$A$604,0)),""))</f>
        <v>0</v>
      </c>
      <c r="T322" s="34">
        <f>IF(OR(J322="",K322=""),"",ROUND((K322-J322)*24-IF(L322="",0,L322)/60,2))</f>
        <v>0</v>
      </c>
      <c r="U322" s="34">
        <f>IF(F322="","",IF(M322&lt;&gt;"",M322,IF(T322="",0,T322)))</f>
        <v>0</v>
      </c>
      <c r="V322" s="21">
        <f>IF(F322="","",IFERROR(INDEX(Employees!$U$5:$U$44,MATCH(F322,Employees!$B$5:$B$44,0)),PayRate*(1+EmployerOncost)))</f>
        <v>0</v>
      </c>
      <c r="W322" s="34">
        <f>IF(F322="","",MAX(0,U322-IF(N322="",0,N322)))</f>
        <v>0</v>
      </c>
      <c r="X322" s="21">
        <f>IF(F322="","",ROUND(W322*V322+IF(N322="",0,N322)*V322*OvertimeRate,2))</f>
        <v>0</v>
      </c>
      <c r="Y322" s="21">
        <f>IF(F322="","",IF(P322&lt;&gt;"Yes",0,ROUND(U322*IF(IFERROR(INDEX(Clients!$O$5:$O$204,MATCH(IFERROR(INDEX(Jobs!$G$5:$G$604,MATCH(G322,Jobs!$A$5:$A$604,0)),""),Clients!$A$5:$A$204,0)),0)&gt;0,INDEX(Clients!$O$5:$O$204,MATCH(INDEX(Jobs!$G$5:$G$604,MATCH(G322,Jobs!$A$5:$A$604,0)),Clients!$A$5:$A$204,0)),HourlyRate),2)))</f>
        <v>0</v>
      </c>
      <c r="Z322" s="39">
        <f>IF(F322="","",IF(U322=0,"Add - no hours recorded",IF(O322="Absent - no show","Action - no show",IF(U322&gt;10,"Check - over ten hours in a day",IF(Q322&lt;&gt;"Yes","Due - needs approving",IF(R322&lt;&gt;"Yes","Due - not paid yet","OK"))))))</f>
        <v>0</v>
      </c>
    </row>
    <row r="323" spans="1:26">
      <c r="A323" s="43">
        <f>IF(F323="","","TS-"&amp;TEXT(ROW()-4,"0000"))</f>
        <v>0</v>
      </c>
      <c r="C323" s="23">
        <f>IF(B323="","",TEXT(B323,"ddd"))</f>
        <v>0</v>
      </c>
      <c r="D323" s="31">
        <f>IF(B323="","",WEEKNUM(B323,IF(WeekStart="Sunday",1,2)))</f>
        <v>0</v>
      </c>
      <c r="E323" s="23">
        <f>IF(B323="","",TEXT(B323,"yyyy-mm"))</f>
        <v>0</v>
      </c>
      <c r="H323" s="23">
        <f>IF(G323="","",IFERROR(INDEX(Jobs!$H$5:$H$604,MATCH(G323,Jobs!$A$5:$A$604,0)),""))</f>
        <v>0</v>
      </c>
      <c r="T323" s="34">
        <f>IF(OR(J323="",K323=""),"",ROUND((K323-J323)*24-IF(L323="",0,L323)/60,2))</f>
        <v>0</v>
      </c>
      <c r="U323" s="34">
        <f>IF(F323="","",IF(M323&lt;&gt;"",M323,IF(T323="",0,T323)))</f>
        <v>0</v>
      </c>
      <c r="V323" s="21">
        <f>IF(F323="","",IFERROR(INDEX(Employees!$U$5:$U$44,MATCH(F323,Employees!$B$5:$B$44,0)),PayRate*(1+EmployerOncost)))</f>
        <v>0</v>
      </c>
      <c r="W323" s="34">
        <f>IF(F323="","",MAX(0,U323-IF(N323="",0,N323)))</f>
        <v>0</v>
      </c>
      <c r="X323" s="21">
        <f>IF(F323="","",ROUND(W323*V323+IF(N323="",0,N323)*V323*OvertimeRate,2))</f>
        <v>0</v>
      </c>
      <c r="Y323" s="21">
        <f>IF(F323="","",IF(P323&lt;&gt;"Yes",0,ROUND(U323*IF(IFERROR(INDEX(Clients!$O$5:$O$204,MATCH(IFERROR(INDEX(Jobs!$G$5:$G$604,MATCH(G323,Jobs!$A$5:$A$604,0)),""),Clients!$A$5:$A$204,0)),0)&gt;0,INDEX(Clients!$O$5:$O$204,MATCH(INDEX(Jobs!$G$5:$G$604,MATCH(G323,Jobs!$A$5:$A$604,0)),Clients!$A$5:$A$204,0)),HourlyRate),2)))</f>
        <v>0</v>
      </c>
      <c r="Z323" s="39">
        <f>IF(F323="","",IF(U323=0,"Add - no hours recorded",IF(O323="Absent - no show","Action - no show",IF(U323&gt;10,"Check - over ten hours in a day",IF(Q323&lt;&gt;"Yes","Due - needs approving",IF(R323&lt;&gt;"Yes","Due - not paid yet","OK"))))))</f>
        <v>0</v>
      </c>
    </row>
    <row r="324" spans="1:26">
      <c r="A324" s="43">
        <f>IF(F324="","","TS-"&amp;TEXT(ROW()-4,"0000"))</f>
        <v>0</v>
      </c>
      <c r="C324" s="23">
        <f>IF(B324="","",TEXT(B324,"ddd"))</f>
        <v>0</v>
      </c>
      <c r="D324" s="31">
        <f>IF(B324="","",WEEKNUM(B324,IF(WeekStart="Sunday",1,2)))</f>
        <v>0</v>
      </c>
      <c r="E324" s="23">
        <f>IF(B324="","",TEXT(B324,"yyyy-mm"))</f>
        <v>0</v>
      </c>
      <c r="H324" s="23">
        <f>IF(G324="","",IFERROR(INDEX(Jobs!$H$5:$H$604,MATCH(G324,Jobs!$A$5:$A$604,0)),""))</f>
        <v>0</v>
      </c>
      <c r="T324" s="34">
        <f>IF(OR(J324="",K324=""),"",ROUND((K324-J324)*24-IF(L324="",0,L324)/60,2))</f>
        <v>0</v>
      </c>
      <c r="U324" s="34">
        <f>IF(F324="","",IF(M324&lt;&gt;"",M324,IF(T324="",0,T324)))</f>
        <v>0</v>
      </c>
      <c r="V324" s="21">
        <f>IF(F324="","",IFERROR(INDEX(Employees!$U$5:$U$44,MATCH(F324,Employees!$B$5:$B$44,0)),PayRate*(1+EmployerOncost)))</f>
        <v>0</v>
      </c>
      <c r="W324" s="34">
        <f>IF(F324="","",MAX(0,U324-IF(N324="",0,N324)))</f>
        <v>0</v>
      </c>
      <c r="X324" s="21">
        <f>IF(F324="","",ROUND(W324*V324+IF(N324="",0,N324)*V324*OvertimeRate,2))</f>
        <v>0</v>
      </c>
      <c r="Y324" s="21">
        <f>IF(F324="","",IF(P324&lt;&gt;"Yes",0,ROUND(U324*IF(IFERROR(INDEX(Clients!$O$5:$O$204,MATCH(IFERROR(INDEX(Jobs!$G$5:$G$604,MATCH(G324,Jobs!$A$5:$A$604,0)),""),Clients!$A$5:$A$204,0)),0)&gt;0,INDEX(Clients!$O$5:$O$204,MATCH(INDEX(Jobs!$G$5:$G$604,MATCH(G324,Jobs!$A$5:$A$604,0)),Clients!$A$5:$A$204,0)),HourlyRate),2)))</f>
        <v>0</v>
      </c>
      <c r="Z324" s="39">
        <f>IF(F324="","",IF(U324=0,"Add - no hours recorded",IF(O324="Absent - no show","Action - no show",IF(U324&gt;10,"Check - over ten hours in a day",IF(Q324&lt;&gt;"Yes","Due - needs approving",IF(R324&lt;&gt;"Yes","Due - not paid yet","OK"))))))</f>
        <v>0</v>
      </c>
    </row>
    <row r="325" spans="1:26">
      <c r="A325" s="43">
        <f>IF(F325="","","TS-"&amp;TEXT(ROW()-4,"0000"))</f>
        <v>0</v>
      </c>
      <c r="C325" s="23">
        <f>IF(B325="","",TEXT(B325,"ddd"))</f>
        <v>0</v>
      </c>
      <c r="D325" s="31">
        <f>IF(B325="","",WEEKNUM(B325,IF(WeekStart="Sunday",1,2)))</f>
        <v>0</v>
      </c>
      <c r="E325" s="23">
        <f>IF(B325="","",TEXT(B325,"yyyy-mm"))</f>
        <v>0</v>
      </c>
      <c r="H325" s="23">
        <f>IF(G325="","",IFERROR(INDEX(Jobs!$H$5:$H$604,MATCH(G325,Jobs!$A$5:$A$604,0)),""))</f>
        <v>0</v>
      </c>
      <c r="T325" s="34">
        <f>IF(OR(J325="",K325=""),"",ROUND((K325-J325)*24-IF(L325="",0,L325)/60,2))</f>
        <v>0</v>
      </c>
      <c r="U325" s="34">
        <f>IF(F325="","",IF(M325&lt;&gt;"",M325,IF(T325="",0,T325)))</f>
        <v>0</v>
      </c>
      <c r="V325" s="21">
        <f>IF(F325="","",IFERROR(INDEX(Employees!$U$5:$U$44,MATCH(F325,Employees!$B$5:$B$44,0)),PayRate*(1+EmployerOncost)))</f>
        <v>0</v>
      </c>
      <c r="W325" s="34">
        <f>IF(F325="","",MAX(0,U325-IF(N325="",0,N325)))</f>
        <v>0</v>
      </c>
      <c r="X325" s="21">
        <f>IF(F325="","",ROUND(W325*V325+IF(N325="",0,N325)*V325*OvertimeRate,2))</f>
        <v>0</v>
      </c>
      <c r="Y325" s="21">
        <f>IF(F325="","",IF(P325&lt;&gt;"Yes",0,ROUND(U325*IF(IFERROR(INDEX(Clients!$O$5:$O$204,MATCH(IFERROR(INDEX(Jobs!$G$5:$G$604,MATCH(G325,Jobs!$A$5:$A$604,0)),""),Clients!$A$5:$A$204,0)),0)&gt;0,INDEX(Clients!$O$5:$O$204,MATCH(INDEX(Jobs!$G$5:$G$604,MATCH(G325,Jobs!$A$5:$A$604,0)),Clients!$A$5:$A$204,0)),HourlyRate),2)))</f>
        <v>0</v>
      </c>
      <c r="Z325" s="39">
        <f>IF(F325="","",IF(U325=0,"Add - no hours recorded",IF(O325="Absent - no show","Action - no show",IF(U325&gt;10,"Check - over ten hours in a day",IF(Q325&lt;&gt;"Yes","Due - needs approving",IF(R325&lt;&gt;"Yes","Due - not paid yet","OK"))))))</f>
        <v>0</v>
      </c>
    </row>
    <row r="326" spans="1:26">
      <c r="A326" s="43">
        <f>IF(F326="","","TS-"&amp;TEXT(ROW()-4,"0000"))</f>
        <v>0</v>
      </c>
      <c r="C326" s="23">
        <f>IF(B326="","",TEXT(B326,"ddd"))</f>
        <v>0</v>
      </c>
      <c r="D326" s="31">
        <f>IF(B326="","",WEEKNUM(B326,IF(WeekStart="Sunday",1,2)))</f>
        <v>0</v>
      </c>
      <c r="E326" s="23">
        <f>IF(B326="","",TEXT(B326,"yyyy-mm"))</f>
        <v>0</v>
      </c>
      <c r="H326" s="23">
        <f>IF(G326="","",IFERROR(INDEX(Jobs!$H$5:$H$604,MATCH(G326,Jobs!$A$5:$A$604,0)),""))</f>
        <v>0</v>
      </c>
      <c r="T326" s="34">
        <f>IF(OR(J326="",K326=""),"",ROUND((K326-J326)*24-IF(L326="",0,L326)/60,2))</f>
        <v>0</v>
      </c>
      <c r="U326" s="34">
        <f>IF(F326="","",IF(M326&lt;&gt;"",M326,IF(T326="",0,T326)))</f>
        <v>0</v>
      </c>
      <c r="V326" s="21">
        <f>IF(F326="","",IFERROR(INDEX(Employees!$U$5:$U$44,MATCH(F326,Employees!$B$5:$B$44,0)),PayRate*(1+EmployerOncost)))</f>
        <v>0</v>
      </c>
      <c r="W326" s="34">
        <f>IF(F326="","",MAX(0,U326-IF(N326="",0,N326)))</f>
        <v>0</v>
      </c>
      <c r="X326" s="21">
        <f>IF(F326="","",ROUND(W326*V326+IF(N326="",0,N326)*V326*OvertimeRate,2))</f>
        <v>0</v>
      </c>
      <c r="Y326" s="21">
        <f>IF(F326="","",IF(P326&lt;&gt;"Yes",0,ROUND(U326*IF(IFERROR(INDEX(Clients!$O$5:$O$204,MATCH(IFERROR(INDEX(Jobs!$G$5:$G$604,MATCH(G326,Jobs!$A$5:$A$604,0)),""),Clients!$A$5:$A$204,0)),0)&gt;0,INDEX(Clients!$O$5:$O$204,MATCH(INDEX(Jobs!$G$5:$G$604,MATCH(G326,Jobs!$A$5:$A$604,0)),Clients!$A$5:$A$204,0)),HourlyRate),2)))</f>
        <v>0</v>
      </c>
      <c r="Z326" s="39">
        <f>IF(F326="","",IF(U326=0,"Add - no hours recorded",IF(O326="Absent - no show","Action - no show",IF(U326&gt;10,"Check - over ten hours in a day",IF(Q326&lt;&gt;"Yes","Due - needs approving",IF(R326&lt;&gt;"Yes","Due - not paid yet","OK"))))))</f>
        <v>0</v>
      </c>
    </row>
    <row r="327" spans="1:26">
      <c r="A327" s="43">
        <f>IF(F327="","","TS-"&amp;TEXT(ROW()-4,"0000"))</f>
        <v>0</v>
      </c>
      <c r="C327" s="23">
        <f>IF(B327="","",TEXT(B327,"ddd"))</f>
        <v>0</v>
      </c>
      <c r="D327" s="31">
        <f>IF(B327="","",WEEKNUM(B327,IF(WeekStart="Sunday",1,2)))</f>
        <v>0</v>
      </c>
      <c r="E327" s="23">
        <f>IF(B327="","",TEXT(B327,"yyyy-mm"))</f>
        <v>0</v>
      </c>
      <c r="H327" s="23">
        <f>IF(G327="","",IFERROR(INDEX(Jobs!$H$5:$H$604,MATCH(G327,Jobs!$A$5:$A$604,0)),""))</f>
        <v>0</v>
      </c>
      <c r="T327" s="34">
        <f>IF(OR(J327="",K327=""),"",ROUND((K327-J327)*24-IF(L327="",0,L327)/60,2))</f>
        <v>0</v>
      </c>
      <c r="U327" s="34">
        <f>IF(F327="","",IF(M327&lt;&gt;"",M327,IF(T327="",0,T327)))</f>
        <v>0</v>
      </c>
      <c r="V327" s="21">
        <f>IF(F327="","",IFERROR(INDEX(Employees!$U$5:$U$44,MATCH(F327,Employees!$B$5:$B$44,0)),PayRate*(1+EmployerOncost)))</f>
        <v>0</v>
      </c>
      <c r="W327" s="34">
        <f>IF(F327="","",MAX(0,U327-IF(N327="",0,N327)))</f>
        <v>0</v>
      </c>
      <c r="X327" s="21">
        <f>IF(F327="","",ROUND(W327*V327+IF(N327="",0,N327)*V327*OvertimeRate,2))</f>
        <v>0</v>
      </c>
      <c r="Y327" s="21">
        <f>IF(F327="","",IF(P327&lt;&gt;"Yes",0,ROUND(U327*IF(IFERROR(INDEX(Clients!$O$5:$O$204,MATCH(IFERROR(INDEX(Jobs!$G$5:$G$604,MATCH(G327,Jobs!$A$5:$A$604,0)),""),Clients!$A$5:$A$204,0)),0)&gt;0,INDEX(Clients!$O$5:$O$204,MATCH(INDEX(Jobs!$G$5:$G$604,MATCH(G327,Jobs!$A$5:$A$604,0)),Clients!$A$5:$A$204,0)),HourlyRate),2)))</f>
        <v>0</v>
      </c>
      <c r="Z327" s="39">
        <f>IF(F327="","",IF(U327=0,"Add - no hours recorded",IF(O327="Absent - no show","Action - no show",IF(U327&gt;10,"Check - over ten hours in a day",IF(Q327&lt;&gt;"Yes","Due - needs approving",IF(R327&lt;&gt;"Yes","Due - not paid yet","OK"))))))</f>
        <v>0</v>
      </c>
    </row>
    <row r="328" spans="1:26">
      <c r="A328" s="43">
        <f>IF(F328="","","TS-"&amp;TEXT(ROW()-4,"0000"))</f>
        <v>0</v>
      </c>
      <c r="C328" s="23">
        <f>IF(B328="","",TEXT(B328,"ddd"))</f>
        <v>0</v>
      </c>
      <c r="D328" s="31">
        <f>IF(B328="","",WEEKNUM(B328,IF(WeekStart="Sunday",1,2)))</f>
        <v>0</v>
      </c>
      <c r="E328" s="23">
        <f>IF(B328="","",TEXT(B328,"yyyy-mm"))</f>
        <v>0</v>
      </c>
      <c r="H328" s="23">
        <f>IF(G328="","",IFERROR(INDEX(Jobs!$H$5:$H$604,MATCH(G328,Jobs!$A$5:$A$604,0)),""))</f>
        <v>0</v>
      </c>
      <c r="T328" s="34">
        <f>IF(OR(J328="",K328=""),"",ROUND((K328-J328)*24-IF(L328="",0,L328)/60,2))</f>
        <v>0</v>
      </c>
      <c r="U328" s="34">
        <f>IF(F328="","",IF(M328&lt;&gt;"",M328,IF(T328="",0,T328)))</f>
        <v>0</v>
      </c>
      <c r="V328" s="21">
        <f>IF(F328="","",IFERROR(INDEX(Employees!$U$5:$U$44,MATCH(F328,Employees!$B$5:$B$44,0)),PayRate*(1+EmployerOncost)))</f>
        <v>0</v>
      </c>
      <c r="W328" s="34">
        <f>IF(F328="","",MAX(0,U328-IF(N328="",0,N328)))</f>
        <v>0</v>
      </c>
      <c r="X328" s="21">
        <f>IF(F328="","",ROUND(W328*V328+IF(N328="",0,N328)*V328*OvertimeRate,2))</f>
        <v>0</v>
      </c>
      <c r="Y328" s="21">
        <f>IF(F328="","",IF(P328&lt;&gt;"Yes",0,ROUND(U328*IF(IFERROR(INDEX(Clients!$O$5:$O$204,MATCH(IFERROR(INDEX(Jobs!$G$5:$G$604,MATCH(G328,Jobs!$A$5:$A$604,0)),""),Clients!$A$5:$A$204,0)),0)&gt;0,INDEX(Clients!$O$5:$O$204,MATCH(INDEX(Jobs!$G$5:$G$604,MATCH(G328,Jobs!$A$5:$A$604,0)),Clients!$A$5:$A$204,0)),HourlyRate),2)))</f>
        <v>0</v>
      </c>
      <c r="Z328" s="39">
        <f>IF(F328="","",IF(U328=0,"Add - no hours recorded",IF(O328="Absent - no show","Action - no show",IF(U328&gt;10,"Check - over ten hours in a day",IF(Q328&lt;&gt;"Yes","Due - needs approving",IF(R328&lt;&gt;"Yes","Due - not paid yet","OK"))))))</f>
        <v>0</v>
      </c>
    </row>
    <row r="329" spans="1:26">
      <c r="A329" s="43">
        <f>IF(F329="","","TS-"&amp;TEXT(ROW()-4,"0000"))</f>
        <v>0</v>
      </c>
      <c r="C329" s="23">
        <f>IF(B329="","",TEXT(B329,"ddd"))</f>
        <v>0</v>
      </c>
      <c r="D329" s="31">
        <f>IF(B329="","",WEEKNUM(B329,IF(WeekStart="Sunday",1,2)))</f>
        <v>0</v>
      </c>
      <c r="E329" s="23">
        <f>IF(B329="","",TEXT(B329,"yyyy-mm"))</f>
        <v>0</v>
      </c>
      <c r="H329" s="23">
        <f>IF(G329="","",IFERROR(INDEX(Jobs!$H$5:$H$604,MATCH(G329,Jobs!$A$5:$A$604,0)),""))</f>
        <v>0</v>
      </c>
      <c r="T329" s="34">
        <f>IF(OR(J329="",K329=""),"",ROUND((K329-J329)*24-IF(L329="",0,L329)/60,2))</f>
        <v>0</v>
      </c>
      <c r="U329" s="34">
        <f>IF(F329="","",IF(M329&lt;&gt;"",M329,IF(T329="",0,T329)))</f>
        <v>0</v>
      </c>
      <c r="V329" s="21">
        <f>IF(F329="","",IFERROR(INDEX(Employees!$U$5:$U$44,MATCH(F329,Employees!$B$5:$B$44,0)),PayRate*(1+EmployerOncost)))</f>
        <v>0</v>
      </c>
      <c r="W329" s="34">
        <f>IF(F329="","",MAX(0,U329-IF(N329="",0,N329)))</f>
        <v>0</v>
      </c>
      <c r="X329" s="21">
        <f>IF(F329="","",ROUND(W329*V329+IF(N329="",0,N329)*V329*OvertimeRate,2))</f>
        <v>0</v>
      </c>
      <c r="Y329" s="21">
        <f>IF(F329="","",IF(P329&lt;&gt;"Yes",0,ROUND(U329*IF(IFERROR(INDEX(Clients!$O$5:$O$204,MATCH(IFERROR(INDEX(Jobs!$G$5:$G$604,MATCH(G329,Jobs!$A$5:$A$604,0)),""),Clients!$A$5:$A$204,0)),0)&gt;0,INDEX(Clients!$O$5:$O$204,MATCH(INDEX(Jobs!$G$5:$G$604,MATCH(G329,Jobs!$A$5:$A$604,0)),Clients!$A$5:$A$204,0)),HourlyRate),2)))</f>
        <v>0</v>
      </c>
      <c r="Z329" s="39">
        <f>IF(F329="","",IF(U329=0,"Add - no hours recorded",IF(O329="Absent - no show","Action - no show",IF(U329&gt;10,"Check - over ten hours in a day",IF(Q329&lt;&gt;"Yes","Due - needs approving",IF(R329&lt;&gt;"Yes","Due - not paid yet","OK"))))))</f>
        <v>0</v>
      </c>
    </row>
    <row r="330" spans="1:26">
      <c r="A330" s="43">
        <f>IF(F330="","","TS-"&amp;TEXT(ROW()-4,"0000"))</f>
        <v>0</v>
      </c>
      <c r="C330" s="23">
        <f>IF(B330="","",TEXT(B330,"ddd"))</f>
        <v>0</v>
      </c>
      <c r="D330" s="31">
        <f>IF(B330="","",WEEKNUM(B330,IF(WeekStart="Sunday",1,2)))</f>
        <v>0</v>
      </c>
      <c r="E330" s="23">
        <f>IF(B330="","",TEXT(B330,"yyyy-mm"))</f>
        <v>0</v>
      </c>
      <c r="H330" s="23">
        <f>IF(G330="","",IFERROR(INDEX(Jobs!$H$5:$H$604,MATCH(G330,Jobs!$A$5:$A$604,0)),""))</f>
        <v>0</v>
      </c>
      <c r="T330" s="34">
        <f>IF(OR(J330="",K330=""),"",ROUND((K330-J330)*24-IF(L330="",0,L330)/60,2))</f>
        <v>0</v>
      </c>
      <c r="U330" s="34">
        <f>IF(F330="","",IF(M330&lt;&gt;"",M330,IF(T330="",0,T330)))</f>
        <v>0</v>
      </c>
      <c r="V330" s="21">
        <f>IF(F330="","",IFERROR(INDEX(Employees!$U$5:$U$44,MATCH(F330,Employees!$B$5:$B$44,0)),PayRate*(1+EmployerOncost)))</f>
        <v>0</v>
      </c>
      <c r="W330" s="34">
        <f>IF(F330="","",MAX(0,U330-IF(N330="",0,N330)))</f>
        <v>0</v>
      </c>
      <c r="X330" s="21">
        <f>IF(F330="","",ROUND(W330*V330+IF(N330="",0,N330)*V330*OvertimeRate,2))</f>
        <v>0</v>
      </c>
      <c r="Y330" s="21">
        <f>IF(F330="","",IF(P330&lt;&gt;"Yes",0,ROUND(U330*IF(IFERROR(INDEX(Clients!$O$5:$O$204,MATCH(IFERROR(INDEX(Jobs!$G$5:$G$604,MATCH(G330,Jobs!$A$5:$A$604,0)),""),Clients!$A$5:$A$204,0)),0)&gt;0,INDEX(Clients!$O$5:$O$204,MATCH(INDEX(Jobs!$G$5:$G$604,MATCH(G330,Jobs!$A$5:$A$604,0)),Clients!$A$5:$A$204,0)),HourlyRate),2)))</f>
        <v>0</v>
      </c>
      <c r="Z330" s="39">
        <f>IF(F330="","",IF(U330=0,"Add - no hours recorded",IF(O330="Absent - no show","Action - no show",IF(U330&gt;10,"Check - over ten hours in a day",IF(Q330&lt;&gt;"Yes","Due - needs approving",IF(R330&lt;&gt;"Yes","Due - not paid yet","OK"))))))</f>
        <v>0</v>
      </c>
    </row>
    <row r="331" spans="1:26">
      <c r="A331" s="43">
        <f>IF(F331="","","TS-"&amp;TEXT(ROW()-4,"0000"))</f>
        <v>0</v>
      </c>
      <c r="C331" s="23">
        <f>IF(B331="","",TEXT(B331,"ddd"))</f>
        <v>0</v>
      </c>
      <c r="D331" s="31">
        <f>IF(B331="","",WEEKNUM(B331,IF(WeekStart="Sunday",1,2)))</f>
        <v>0</v>
      </c>
      <c r="E331" s="23">
        <f>IF(B331="","",TEXT(B331,"yyyy-mm"))</f>
        <v>0</v>
      </c>
      <c r="H331" s="23">
        <f>IF(G331="","",IFERROR(INDEX(Jobs!$H$5:$H$604,MATCH(G331,Jobs!$A$5:$A$604,0)),""))</f>
        <v>0</v>
      </c>
      <c r="T331" s="34">
        <f>IF(OR(J331="",K331=""),"",ROUND((K331-J331)*24-IF(L331="",0,L331)/60,2))</f>
        <v>0</v>
      </c>
      <c r="U331" s="34">
        <f>IF(F331="","",IF(M331&lt;&gt;"",M331,IF(T331="",0,T331)))</f>
        <v>0</v>
      </c>
      <c r="V331" s="21">
        <f>IF(F331="","",IFERROR(INDEX(Employees!$U$5:$U$44,MATCH(F331,Employees!$B$5:$B$44,0)),PayRate*(1+EmployerOncost)))</f>
        <v>0</v>
      </c>
      <c r="W331" s="34">
        <f>IF(F331="","",MAX(0,U331-IF(N331="",0,N331)))</f>
        <v>0</v>
      </c>
      <c r="X331" s="21">
        <f>IF(F331="","",ROUND(W331*V331+IF(N331="",0,N331)*V331*OvertimeRate,2))</f>
        <v>0</v>
      </c>
      <c r="Y331" s="21">
        <f>IF(F331="","",IF(P331&lt;&gt;"Yes",0,ROUND(U331*IF(IFERROR(INDEX(Clients!$O$5:$O$204,MATCH(IFERROR(INDEX(Jobs!$G$5:$G$604,MATCH(G331,Jobs!$A$5:$A$604,0)),""),Clients!$A$5:$A$204,0)),0)&gt;0,INDEX(Clients!$O$5:$O$204,MATCH(INDEX(Jobs!$G$5:$G$604,MATCH(G331,Jobs!$A$5:$A$604,0)),Clients!$A$5:$A$204,0)),HourlyRate),2)))</f>
        <v>0</v>
      </c>
      <c r="Z331" s="39">
        <f>IF(F331="","",IF(U331=0,"Add - no hours recorded",IF(O331="Absent - no show","Action - no show",IF(U331&gt;10,"Check - over ten hours in a day",IF(Q331&lt;&gt;"Yes","Due - needs approving",IF(R331&lt;&gt;"Yes","Due - not paid yet","OK"))))))</f>
        <v>0</v>
      </c>
    </row>
    <row r="332" spans="1:26">
      <c r="A332" s="43">
        <f>IF(F332="","","TS-"&amp;TEXT(ROW()-4,"0000"))</f>
        <v>0</v>
      </c>
      <c r="C332" s="23">
        <f>IF(B332="","",TEXT(B332,"ddd"))</f>
        <v>0</v>
      </c>
      <c r="D332" s="31">
        <f>IF(B332="","",WEEKNUM(B332,IF(WeekStart="Sunday",1,2)))</f>
        <v>0</v>
      </c>
      <c r="E332" s="23">
        <f>IF(B332="","",TEXT(B332,"yyyy-mm"))</f>
        <v>0</v>
      </c>
      <c r="H332" s="23">
        <f>IF(G332="","",IFERROR(INDEX(Jobs!$H$5:$H$604,MATCH(G332,Jobs!$A$5:$A$604,0)),""))</f>
        <v>0</v>
      </c>
      <c r="T332" s="34">
        <f>IF(OR(J332="",K332=""),"",ROUND((K332-J332)*24-IF(L332="",0,L332)/60,2))</f>
        <v>0</v>
      </c>
      <c r="U332" s="34">
        <f>IF(F332="","",IF(M332&lt;&gt;"",M332,IF(T332="",0,T332)))</f>
        <v>0</v>
      </c>
      <c r="V332" s="21">
        <f>IF(F332="","",IFERROR(INDEX(Employees!$U$5:$U$44,MATCH(F332,Employees!$B$5:$B$44,0)),PayRate*(1+EmployerOncost)))</f>
        <v>0</v>
      </c>
      <c r="W332" s="34">
        <f>IF(F332="","",MAX(0,U332-IF(N332="",0,N332)))</f>
        <v>0</v>
      </c>
      <c r="X332" s="21">
        <f>IF(F332="","",ROUND(W332*V332+IF(N332="",0,N332)*V332*OvertimeRate,2))</f>
        <v>0</v>
      </c>
      <c r="Y332" s="21">
        <f>IF(F332="","",IF(P332&lt;&gt;"Yes",0,ROUND(U332*IF(IFERROR(INDEX(Clients!$O$5:$O$204,MATCH(IFERROR(INDEX(Jobs!$G$5:$G$604,MATCH(G332,Jobs!$A$5:$A$604,0)),""),Clients!$A$5:$A$204,0)),0)&gt;0,INDEX(Clients!$O$5:$O$204,MATCH(INDEX(Jobs!$G$5:$G$604,MATCH(G332,Jobs!$A$5:$A$604,0)),Clients!$A$5:$A$204,0)),HourlyRate),2)))</f>
        <v>0</v>
      </c>
      <c r="Z332" s="39">
        <f>IF(F332="","",IF(U332=0,"Add - no hours recorded",IF(O332="Absent - no show","Action - no show",IF(U332&gt;10,"Check - over ten hours in a day",IF(Q332&lt;&gt;"Yes","Due - needs approving",IF(R332&lt;&gt;"Yes","Due - not paid yet","OK"))))))</f>
        <v>0</v>
      </c>
    </row>
    <row r="333" spans="1:26">
      <c r="A333" s="43">
        <f>IF(F333="","","TS-"&amp;TEXT(ROW()-4,"0000"))</f>
        <v>0</v>
      </c>
      <c r="C333" s="23">
        <f>IF(B333="","",TEXT(B333,"ddd"))</f>
        <v>0</v>
      </c>
      <c r="D333" s="31">
        <f>IF(B333="","",WEEKNUM(B333,IF(WeekStart="Sunday",1,2)))</f>
        <v>0</v>
      </c>
      <c r="E333" s="23">
        <f>IF(B333="","",TEXT(B333,"yyyy-mm"))</f>
        <v>0</v>
      </c>
      <c r="H333" s="23">
        <f>IF(G333="","",IFERROR(INDEX(Jobs!$H$5:$H$604,MATCH(G333,Jobs!$A$5:$A$604,0)),""))</f>
        <v>0</v>
      </c>
      <c r="T333" s="34">
        <f>IF(OR(J333="",K333=""),"",ROUND((K333-J333)*24-IF(L333="",0,L333)/60,2))</f>
        <v>0</v>
      </c>
      <c r="U333" s="34">
        <f>IF(F333="","",IF(M333&lt;&gt;"",M333,IF(T333="",0,T333)))</f>
        <v>0</v>
      </c>
      <c r="V333" s="21">
        <f>IF(F333="","",IFERROR(INDEX(Employees!$U$5:$U$44,MATCH(F333,Employees!$B$5:$B$44,0)),PayRate*(1+EmployerOncost)))</f>
        <v>0</v>
      </c>
      <c r="W333" s="34">
        <f>IF(F333="","",MAX(0,U333-IF(N333="",0,N333)))</f>
        <v>0</v>
      </c>
      <c r="X333" s="21">
        <f>IF(F333="","",ROUND(W333*V333+IF(N333="",0,N333)*V333*OvertimeRate,2))</f>
        <v>0</v>
      </c>
      <c r="Y333" s="21">
        <f>IF(F333="","",IF(P333&lt;&gt;"Yes",0,ROUND(U333*IF(IFERROR(INDEX(Clients!$O$5:$O$204,MATCH(IFERROR(INDEX(Jobs!$G$5:$G$604,MATCH(G333,Jobs!$A$5:$A$604,0)),""),Clients!$A$5:$A$204,0)),0)&gt;0,INDEX(Clients!$O$5:$O$204,MATCH(INDEX(Jobs!$G$5:$G$604,MATCH(G333,Jobs!$A$5:$A$604,0)),Clients!$A$5:$A$204,0)),HourlyRate),2)))</f>
        <v>0</v>
      </c>
      <c r="Z333" s="39">
        <f>IF(F333="","",IF(U333=0,"Add - no hours recorded",IF(O333="Absent - no show","Action - no show",IF(U333&gt;10,"Check - over ten hours in a day",IF(Q333&lt;&gt;"Yes","Due - needs approving",IF(R333&lt;&gt;"Yes","Due - not paid yet","OK"))))))</f>
        <v>0</v>
      </c>
    </row>
    <row r="334" spans="1:26">
      <c r="A334" s="43">
        <f>IF(F334="","","TS-"&amp;TEXT(ROW()-4,"0000"))</f>
        <v>0</v>
      </c>
      <c r="C334" s="23">
        <f>IF(B334="","",TEXT(B334,"ddd"))</f>
        <v>0</v>
      </c>
      <c r="D334" s="31">
        <f>IF(B334="","",WEEKNUM(B334,IF(WeekStart="Sunday",1,2)))</f>
        <v>0</v>
      </c>
      <c r="E334" s="23">
        <f>IF(B334="","",TEXT(B334,"yyyy-mm"))</f>
        <v>0</v>
      </c>
      <c r="H334" s="23">
        <f>IF(G334="","",IFERROR(INDEX(Jobs!$H$5:$H$604,MATCH(G334,Jobs!$A$5:$A$604,0)),""))</f>
        <v>0</v>
      </c>
      <c r="T334" s="34">
        <f>IF(OR(J334="",K334=""),"",ROUND((K334-J334)*24-IF(L334="",0,L334)/60,2))</f>
        <v>0</v>
      </c>
      <c r="U334" s="34">
        <f>IF(F334="","",IF(M334&lt;&gt;"",M334,IF(T334="",0,T334)))</f>
        <v>0</v>
      </c>
      <c r="V334" s="21">
        <f>IF(F334="","",IFERROR(INDEX(Employees!$U$5:$U$44,MATCH(F334,Employees!$B$5:$B$44,0)),PayRate*(1+EmployerOncost)))</f>
        <v>0</v>
      </c>
      <c r="W334" s="34">
        <f>IF(F334="","",MAX(0,U334-IF(N334="",0,N334)))</f>
        <v>0</v>
      </c>
      <c r="X334" s="21">
        <f>IF(F334="","",ROUND(W334*V334+IF(N334="",0,N334)*V334*OvertimeRate,2))</f>
        <v>0</v>
      </c>
      <c r="Y334" s="21">
        <f>IF(F334="","",IF(P334&lt;&gt;"Yes",0,ROUND(U334*IF(IFERROR(INDEX(Clients!$O$5:$O$204,MATCH(IFERROR(INDEX(Jobs!$G$5:$G$604,MATCH(G334,Jobs!$A$5:$A$604,0)),""),Clients!$A$5:$A$204,0)),0)&gt;0,INDEX(Clients!$O$5:$O$204,MATCH(INDEX(Jobs!$G$5:$G$604,MATCH(G334,Jobs!$A$5:$A$604,0)),Clients!$A$5:$A$204,0)),HourlyRate),2)))</f>
        <v>0</v>
      </c>
      <c r="Z334" s="39">
        <f>IF(F334="","",IF(U334=0,"Add - no hours recorded",IF(O334="Absent - no show","Action - no show",IF(U334&gt;10,"Check - over ten hours in a day",IF(Q334&lt;&gt;"Yes","Due - needs approving",IF(R334&lt;&gt;"Yes","Due - not paid yet","OK"))))))</f>
        <v>0</v>
      </c>
    </row>
    <row r="335" spans="1:26">
      <c r="A335" s="43">
        <f>IF(F335="","","TS-"&amp;TEXT(ROW()-4,"0000"))</f>
        <v>0</v>
      </c>
      <c r="C335" s="23">
        <f>IF(B335="","",TEXT(B335,"ddd"))</f>
        <v>0</v>
      </c>
      <c r="D335" s="31">
        <f>IF(B335="","",WEEKNUM(B335,IF(WeekStart="Sunday",1,2)))</f>
        <v>0</v>
      </c>
      <c r="E335" s="23">
        <f>IF(B335="","",TEXT(B335,"yyyy-mm"))</f>
        <v>0</v>
      </c>
      <c r="H335" s="23">
        <f>IF(G335="","",IFERROR(INDEX(Jobs!$H$5:$H$604,MATCH(G335,Jobs!$A$5:$A$604,0)),""))</f>
        <v>0</v>
      </c>
      <c r="T335" s="34">
        <f>IF(OR(J335="",K335=""),"",ROUND((K335-J335)*24-IF(L335="",0,L335)/60,2))</f>
        <v>0</v>
      </c>
      <c r="U335" s="34">
        <f>IF(F335="","",IF(M335&lt;&gt;"",M335,IF(T335="",0,T335)))</f>
        <v>0</v>
      </c>
      <c r="V335" s="21">
        <f>IF(F335="","",IFERROR(INDEX(Employees!$U$5:$U$44,MATCH(F335,Employees!$B$5:$B$44,0)),PayRate*(1+EmployerOncost)))</f>
        <v>0</v>
      </c>
      <c r="W335" s="34">
        <f>IF(F335="","",MAX(0,U335-IF(N335="",0,N335)))</f>
        <v>0</v>
      </c>
      <c r="X335" s="21">
        <f>IF(F335="","",ROUND(W335*V335+IF(N335="",0,N335)*V335*OvertimeRate,2))</f>
        <v>0</v>
      </c>
      <c r="Y335" s="21">
        <f>IF(F335="","",IF(P335&lt;&gt;"Yes",0,ROUND(U335*IF(IFERROR(INDEX(Clients!$O$5:$O$204,MATCH(IFERROR(INDEX(Jobs!$G$5:$G$604,MATCH(G335,Jobs!$A$5:$A$604,0)),""),Clients!$A$5:$A$204,0)),0)&gt;0,INDEX(Clients!$O$5:$O$204,MATCH(INDEX(Jobs!$G$5:$G$604,MATCH(G335,Jobs!$A$5:$A$604,0)),Clients!$A$5:$A$204,0)),HourlyRate),2)))</f>
        <v>0</v>
      </c>
      <c r="Z335" s="39">
        <f>IF(F335="","",IF(U335=0,"Add - no hours recorded",IF(O335="Absent - no show","Action - no show",IF(U335&gt;10,"Check - over ten hours in a day",IF(Q335&lt;&gt;"Yes","Due - needs approving",IF(R335&lt;&gt;"Yes","Due - not paid yet","OK"))))))</f>
        <v>0</v>
      </c>
    </row>
    <row r="336" spans="1:26">
      <c r="A336" s="43">
        <f>IF(F336="","","TS-"&amp;TEXT(ROW()-4,"0000"))</f>
        <v>0</v>
      </c>
      <c r="C336" s="23">
        <f>IF(B336="","",TEXT(B336,"ddd"))</f>
        <v>0</v>
      </c>
      <c r="D336" s="31">
        <f>IF(B336="","",WEEKNUM(B336,IF(WeekStart="Sunday",1,2)))</f>
        <v>0</v>
      </c>
      <c r="E336" s="23">
        <f>IF(B336="","",TEXT(B336,"yyyy-mm"))</f>
        <v>0</v>
      </c>
      <c r="H336" s="23">
        <f>IF(G336="","",IFERROR(INDEX(Jobs!$H$5:$H$604,MATCH(G336,Jobs!$A$5:$A$604,0)),""))</f>
        <v>0</v>
      </c>
      <c r="T336" s="34">
        <f>IF(OR(J336="",K336=""),"",ROUND((K336-J336)*24-IF(L336="",0,L336)/60,2))</f>
        <v>0</v>
      </c>
      <c r="U336" s="34">
        <f>IF(F336="","",IF(M336&lt;&gt;"",M336,IF(T336="",0,T336)))</f>
        <v>0</v>
      </c>
      <c r="V336" s="21">
        <f>IF(F336="","",IFERROR(INDEX(Employees!$U$5:$U$44,MATCH(F336,Employees!$B$5:$B$44,0)),PayRate*(1+EmployerOncost)))</f>
        <v>0</v>
      </c>
      <c r="W336" s="34">
        <f>IF(F336="","",MAX(0,U336-IF(N336="",0,N336)))</f>
        <v>0</v>
      </c>
      <c r="X336" s="21">
        <f>IF(F336="","",ROUND(W336*V336+IF(N336="",0,N336)*V336*OvertimeRate,2))</f>
        <v>0</v>
      </c>
      <c r="Y336" s="21">
        <f>IF(F336="","",IF(P336&lt;&gt;"Yes",0,ROUND(U336*IF(IFERROR(INDEX(Clients!$O$5:$O$204,MATCH(IFERROR(INDEX(Jobs!$G$5:$G$604,MATCH(G336,Jobs!$A$5:$A$604,0)),""),Clients!$A$5:$A$204,0)),0)&gt;0,INDEX(Clients!$O$5:$O$204,MATCH(INDEX(Jobs!$G$5:$G$604,MATCH(G336,Jobs!$A$5:$A$604,0)),Clients!$A$5:$A$204,0)),HourlyRate),2)))</f>
        <v>0</v>
      </c>
      <c r="Z336" s="39">
        <f>IF(F336="","",IF(U336=0,"Add - no hours recorded",IF(O336="Absent - no show","Action - no show",IF(U336&gt;10,"Check - over ten hours in a day",IF(Q336&lt;&gt;"Yes","Due - needs approving",IF(R336&lt;&gt;"Yes","Due - not paid yet","OK"))))))</f>
        <v>0</v>
      </c>
    </row>
    <row r="337" spans="1:26">
      <c r="A337" s="43">
        <f>IF(F337="","","TS-"&amp;TEXT(ROW()-4,"0000"))</f>
        <v>0</v>
      </c>
      <c r="C337" s="23">
        <f>IF(B337="","",TEXT(B337,"ddd"))</f>
        <v>0</v>
      </c>
      <c r="D337" s="31">
        <f>IF(B337="","",WEEKNUM(B337,IF(WeekStart="Sunday",1,2)))</f>
        <v>0</v>
      </c>
      <c r="E337" s="23">
        <f>IF(B337="","",TEXT(B337,"yyyy-mm"))</f>
        <v>0</v>
      </c>
      <c r="H337" s="23">
        <f>IF(G337="","",IFERROR(INDEX(Jobs!$H$5:$H$604,MATCH(G337,Jobs!$A$5:$A$604,0)),""))</f>
        <v>0</v>
      </c>
      <c r="T337" s="34">
        <f>IF(OR(J337="",K337=""),"",ROUND((K337-J337)*24-IF(L337="",0,L337)/60,2))</f>
        <v>0</v>
      </c>
      <c r="U337" s="34">
        <f>IF(F337="","",IF(M337&lt;&gt;"",M337,IF(T337="",0,T337)))</f>
        <v>0</v>
      </c>
      <c r="V337" s="21">
        <f>IF(F337="","",IFERROR(INDEX(Employees!$U$5:$U$44,MATCH(F337,Employees!$B$5:$B$44,0)),PayRate*(1+EmployerOncost)))</f>
        <v>0</v>
      </c>
      <c r="W337" s="34">
        <f>IF(F337="","",MAX(0,U337-IF(N337="",0,N337)))</f>
        <v>0</v>
      </c>
      <c r="X337" s="21">
        <f>IF(F337="","",ROUND(W337*V337+IF(N337="",0,N337)*V337*OvertimeRate,2))</f>
        <v>0</v>
      </c>
      <c r="Y337" s="21">
        <f>IF(F337="","",IF(P337&lt;&gt;"Yes",0,ROUND(U337*IF(IFERROR(INDEX(Clients!$O$5:$O$204,MATCH(IFERROR(INDEX(Jobs!$G$5:$G$604,MATCH(G337,Jobs!$A$5:$A$604,0)),""),Clients!$A$5:$A$204,0)),0)&gt;0,INDEX(Clients!$O$5:$O$204,MATCH(INDEX(Jobs!$G$5:$G$604,MATCH(G337,Jobs!$A$5:$A$604,0)),Clients!$A$5:$A$204,0)),HourlyRate),2)))</f>
        <v>0</v>
      </c>
      <c r="Z337" s="39">
        <f>IF(F337="","",IF(U337=0,"Add - no hours recorded",IF(O337="Absent - no show","Action - no show",IF(U337&gt;10,"Check - over ten hours in a day",IF(Q337&lt;&gt;"Yes","Due - needs approving",IF(R337&lt;&gt;"Yes","Due - not paid yet","OK"))))))</f>
        <v>0</v>
      </c>
    </row>
    <row r="338" spans="1:26">
      <c r="A338" s="43">
        <f>IF(F338="","","TS-"&amp;TEXT(ROW()-4,"0000"))</f>
        <v>0</v>
      </c>
      <c r="C338" s="23">
        <f>IF(B338="","",TEXT(B338,"ddd"))</f>
        <v>0</v>
      </c>
      <c r="D338" s="31">
        <f>IF(B338="","",WEEKNUM(B338,IF(WeekStart="Sunday",1,2)))</f>
        <v>0</v>
      </c>
      <c r="E338" s="23">
        <f>IF(B338="","",TEXT(B338,"yyyy-mm"))</f>
        <v>0</v>
      </c>
      <c r="H338" s="23">
        <f>IF(G338="","",IFERROR(INDEX(Jobs!$H$5:$H$604,MATCH(G338,Jobs!$A$5:$A$604,0)),""))</f>
        <v>0</v>
      </c>
      <c r="T338" s="34">
        <f>IF(OR(J338="",K338=""),"",ROUND((K338-J338)*24-IF(L338="",0,L338)/60,2))</f>
        <v>0</v>
      </c>
      <c r="U338" s="34">
        <f>IF(F338="","",IF(M338&lt;&gt;"",M338,IF(T338="",0,T338)))</f>
        <v>0</v>
      </c>
      <c r="V338" s="21">
        <f>IF(F338="","",IFERROR(INDEX(Employees!$U$5:$U$44,MATCH(F338,Employees!$B$5:$B$44,0)),PayRate*(1+EmployerOncost)))</f>
        <v>0</v>
      </c>
      <c r="W338" s="34">
        <f>IF(F338="","",MAX(0,U338-IF(N338="",0,N338)))</f>
        <v>0</v>
      </c>
      <c r="X338" s="21">
        <f>IF(F338="","",ROUND(W338*V338+IF(N338="",0,N338)*V338*OvertimeRate,2))</f>
        <v>0</v>
      </c>
      <c r="Y338" s="21">
        <f>IF(F338="","",IF(P338&lt;&gt;"Yes",0,ROUND(U338*IF(IFERROR(INDEX(Clients!$O$5:$O$204,MATCH(IFERROR(INDEX(Jobs!$G$5:$G$604,MATCH(G338,Jobs!$A$5:$A$604,0)),""),Clients!$A$5:$A$204,0)),0)&gt;0,INDEX(Clients!$O$5:$O$204,MATCH(INDEX(Jobs!$G$5:$G$604,MATCH(G338,Jobs!$A$5:$A$604,0)),Clients!$A$5:$A$204,0)),HourlyRate),2)))</f>
        <v>0</v>
      </c>
      <c r="Z338" s="39">
        <f>IF(F338="","",IF(U338=0,"Add - no hours recorded",IF(O338="Absent - no show","Action - no show",IF(U338&gt;10,"Check - over ten hours in a day",IF(Q338&lt;&gt;"Yes","Due - needs approving",IF(R338&lt;&gt;"Yes","Due - not paid yet","OK"))))))</f>
        <v>0</v>
      </c>
    </row>
    <row r="339" spans="1:26">
      <c r="A339" s="43">
        <f>IF(F339="","","TS-"&amp;TEXT(ROW()-4,"0000"))</f>
        <v>0</v>
      </c>
      <c r="C339" s="23">
        <f>IF(B339="","",TEXT(B339,"ddd"))</f>
        <v>0</v>
      </c>
      <c r="D339" s="31">
        <f>IF(B339="","",WEEKNUM(B339,IF(WeekStart="Sunday",1,2)))</f>
        <v>0</v>
      </c>
      <c r="E339" s="23">
        <f>IF(B339="","",TEXT(B339,"yyyy-mm"))</f>
        <v>0</v>
      </c>
      <c r="H339" s="23">
        <f>IF(G339="","",IFERROR(INDEX(Jobs!$H$5:$H$604,MATCH(G339,Jobs!$A$5:$A$604,0)),""))</f>
        <v>0</v>
      </c>
      <c r="T339" s="34">
        <f>IF(OR(J339="",K339=""),"",ROUND((K339-J339)*24-IF(L339="",0,L339)/60,2))</f>
        <v>0</v>
      </c>
      <c r="U339" s="34">
        <f>IF(F339="","",IF(M339&lt;&gt;"",M339,IF(T339="",0,T339)))</f>
        <v>0</v>
      </c>
      <c r="V339" s="21">
        <f>IF(F339="","",IFERROR(INDEX(Employees!$U$5:$U$44,MATCH(F339,Employees!$B$5:$B$44,0)),PayRate*(1+EmployerOncost)))</f>
        <v>0</v>
      </c>
      <c r="W339" s="34">
        <f>IF(F339="","",MAX(0,U339-IF(N339="",0,N339)))</f>
        <v>0</v>
      </c>
      <c r="X339" s="21">
        <f>IF(F339="","",ROUND(W339*V339+IF(N339="",0,N339)*V339*OvertimeRate,2))</f>
        <v>0</v>
      </c>
      <c r="Y339" s="21">
        <f>IF(F339="","",IF(P339&lt;&gt;"Yes",0,ROUND(U339*IF(IFERROR(INDEX(Clients!$O$5:$O$204,MATCH(IFERROR(INDEX(Jobs!$G$5:$G$604,MATCH(G339,Jobs!$A$5:$A$604,0)),""),Clients!$A$5:$A$204,0)),0)&gt;0,INDEX(Clients!$O$5:$O$204,MATCH(INDEX(Jobs!$G$5:$G$604,MATCH(G339,Jobs!$A$5:$A$604,0)),Clients!$A$5:$A$204,0)),HourlyRate),2)))</f>
        <v>0</v>
      </c>
      <c r="Z339" s="39">
        <f>IF(F339="","",IF(U339=0,"Add - no hours recorded",IF(O339="Absent - no show","Action - no show",IF(U339&gt;10,"Check - over ten hours in a day",IF(Q339&lt;&gt;"Yes","Due - needs approving",IF(R339&lt;&gt;"Yes","Due - not paid yet","OK"))))))</f>
        <v>0</v>
      </c>
    </row>
    <row r="340" spans="1:26">
      <c r="A340" s="43">
        <f>IF(F340="","","TS-"&amp;TEXT(ROW()-4,"0000"))</f>
        <v>0</v>
      </c>
      <c r="C340" s="23">
        <f>IF(B340="","",TEXT(B340,"ddd"))</f>
        <v>0</v>
      </c>
      <c r="D340" s="31">
        <f>IF(B340="","",WEEKNUM(B340,IF(WeekStart="Sunday",1,2)))</f>
        <v>0</v>
      </c>
      <c r="E340" s="23">
        <f>IF(B340="","",TEXT(B340,"yyyy-mm"))</f>
        <v>0</v>
      </c>
      <c r="H340" s="23">
        <f>IF(G340="","",IFERROR(INDEX(Jobs!$H$5:$H$604,MATCH(G340,Jobs!$A$5:$A$604,0)),""))</f>
        <v>0</v>
      </c>
      <c r="T340" s="34">
        <f>IF(OR(J340="",K340=""),"",ROUND((K340-J340)*24-IF(L340="",0,L340)/60,2))</f>
        <v>0</v>
      </c>
      <c r="U340" s="34">
        <f>IF(F340="","",IF(M340&lt;&gt;"",M340,IF(T340="",0,T340)))</f>
        <v>0</v>
      </c>
      <c r="V340" s="21">
        <f>IF(F340="","",IFERROR(INDEX(Employees!$U$5:$U$44,MATCH(F340,Employees!$B$5:$B$44,0)),PayRate*(1+EmployerOncost)))</f>
        <v>0</v>
      </c>
      <c r="W340" s="34">
        <f>IF(F340="","",MAX(0,U340-IF(N340="",0,N340)))</f>
        <v>0</v>
      </c>
      <c r="X340" s="21">
        <f>IF(F340="","",ROUND(W340*V340+IF(N340="",0,N340)*V340*OvertimeRate,2))</f>
        <v>0</v>
      </c>
      <c r="Y340" s="21">
        <f>IF(F340="","",IF(P340&lt;&gt;"Yes",0,ROUND(U340*IF(IFERROR(INDEX(Clients!$O$5:$O$204,MATCH(IFERROR(INDEX(Jobs!$G$5:$G$604,MATCH(G340,Jobs!$A$5:$A$604,0)),""),Clients!$A$5:$A$204,0)),0)&gt;0,INDEX(Clients!$O$5:$O$204,MATCH(INDEX(Jobs!$G$5:$G$604,MATCH(G340,Jobs!$A$5:$A$604,0)),Clients!$A$5:$A$204,0)),HourlyRate),2)))</f>
        <v>0</v>
      </c>
      <c r="Z340" s="39">
        <f>IF(F340="","",IF(U340=0,"Add - no hours recorded",IF(O340="Absent - no show","Action - no show",IF(U340&gt;10,"Check - over ten hours in a day",IF(Q340&lt;&gt;"Yes","Due - needs approving",IF(R340&lt;&gt;"Yes","Due - not paid yet","OK"))))))</f>
        <v>0</v>
      </c>
    </row>
    <row r="341" spans="1:26">
      <c r="A341" s="43">
        <f>IF(F341="","","TS-"&amp;TEXT(ROW()-4,"0000"))</f>
        <v>0</v>
      </c>
      <c r="C341" s="23">
        <f>IF(B341="","",TEXT(B341,"ddd"))</f>
        <v>0</v>
      </c>
      <c r="D341" s="31">
        <f>IF(B341="","",WEEKNUM(B341,IF(WeekStart="Sunday",1,2)))</f>
        <v>0</v>
      </c>
      <c r="E341" s="23">
        <f>IF(B341="","",TEXT(B341,"yyyy-mm"))</f>
        <v>0</v>
      </c>
      <c r="H341" s="23">
        <f>IF(G341="","",IFERROR(INDEX(Jobs!$H$5:$H$604,MATCH(G341,Jobs!$A$5:$A$604,0)),""))</f>
        <v>0</v>
      </c>
      <c r="T341" s="34">
        <f>IF(OR(J341="",K341=""),"",ROUND((K341-J341)*24-IF(L341="",0,L341)/60,2))</f>
        <v>0</v>
      </c>
      <c r="U341" s="34">
        <f>IF(F341="","",IF(M341&lt;&gt;"",M341,IF(T341="",0,T341)))</f>
        <v>0</v>
      </c>
      <c r="V341" s="21">
        <f>IF(F341="","",IFERROR(INDEX(Employees!$U$5:$U$44,MATCH(F341,Employees!$B$5:$B$44,0)),PayRate*(1+EmployerOncost)))</f>
        <v>0</v>
      </c>
      <c r="W341" s="34">
        <f>IF(F341="","",MAX(0,U341-IF(N341="",0,N341)))</f>
        <v>0</v>
      </c>
      <c r="X341" s="21">
        <f>IF(F341="","",ROUND(W341*V341+IF(N341="",0,N341)*V341*OvertimeRate,2))</f>
        <v>0</v>
      </c>
      <c r="Y341" s="21">
        <f>IF(F341="","",IF(P341&lt;&gt;"Yes",0,ROUND(U341*IF(IFERROR(INDEX(Clients!$O$5:$O$204,MATCH(IFERROR(INDEX(Jobs!$G$5:$G$604,MATCH(G341,Jobs!$A$5:$A$604,0)),""),Clients!$A$5:$A$204,0)),0)&gt;0,INDEX(Clients!$O$5:$O$204,MATCH(INDEX(Jobs!$G$5:$G$604,MATCH(G341,Jobs!$A$5:$A$604,0)),Clients!$A$5:$A$204,0)),HourlyRate),2)))</f>
        <v>0</v>
      </c>
      <c r="Z341" s="39">
        <f>IF(F341="","",IF(U341=0,"Add - no hours recorded",IF(O341="Absent - no show","Action - no show",IF(U341&gt;10,"Check - over ten hours in a day",IF(Q341&lt;&gt;"Yes","Due - needs approving",IF(R341&lt;&gt;"Yes","Due - not paid yet","OK"))))))</f>
        <v>0</v>
      </c>
    </row>
    <row r="342" spans="1:26">
      <c r="A342" s="43">
        <f>IF(F342="","","TS-"&amp;TEXT(ROW()-4,"0000"))</f>
        <v>0</v>
      </c>
      <c r="C342" s="23">
        <f>IF(B342="","",TEXT(B342,"ddd"))</f>
        <v>0</v>
      </c>
      <c r="D342" s="31">
        <f>IF(B342="","",WEEKNUM(B342,IF(WeekStart="Sunday",1,2)))</f>
        <v>0</v>
      </c>
      <c r="E342" s="23">
        <f>IF(B342="","",TEXT(B342,"yyyy-mm"))</f>
        <v>0</v>
      </c>
      <c r="H342" s="23">
        <f>IF(G342="","",IFERROR(INDEX(Jobs!$H$5:$H$604,MATCH(G342,Jobs!$A$5:$A$604,0)),""))</f>
        <v>0</v>
      </c>
      <c r="T342" s="34">
        <f>IF(OR(J342="",K342=""),"",ROUND((K342-J342)*24-IF(L342="",0,L342)/60,2))</f>
        <v>0</v>
      </c>
      <c r="U342" s="34">
        <f>IF(F342="","",IF(M342&lt;&gt;"",M342,IF(T342="",0,T342)))</f>
        <v>0</v>
      </c>
      <c r="V342" s="21">
        <f>IF(F342="","",IFERROR(INDEX(Employees!$U$5:$U$44,MATCH(F342,Employees!$B$5:$B$44,0)),PayRate*(1+EmployerOncost)))</f>
        <v>0</v>
      </c>
      <c r="W342" s="34">
        <f>IF(F342="","",MAX(0,U342-IF(N342="",0,N342)))</f>
        <v>0</v>
      </c>
      <c r="X342" s="21">
        <f>IF(F342="","",ROUND(W342*V342+IF(N342="",0,N342)*V342*OvertimeRate,2))</f>
        <v>0</v>
      </c>
      <c r="Y342" s="21">
        <f>IF(F342="","",IF(P342&lt;&gt;"Yes",0,ROUND(U342*IF(IFERROR(INDEX(Clients!$O$5:$O$204,MATCH(IFERROR(INDEX(Jobs!$G$5:$G$604,MATCH(G342,Jobs!$A$5:$A$604,0)),""),Clients!$A$5:$A$204,0)),0)&gt;0,INDEX(Clients!$O$5:$O$204,MATCH(INDEX(Jobs!$G$5:$G$604,MATCH(G342,Jobs!$A$5:$A$604,0)),Clients!$A$5:$A$204,0)),HourlyRate),2)))</f>
        <v>0</v>
      </c>
      <c r="Z342" s="39">
        <f>IF(F342="","",IF(U342=0,"Add - no hours recorded",IF(O342="Absent - no show","Action - no show",IF(U342&gt;10,"Check - over ten hours in a day",IF(Q342&lt;&gt;"Yes","Due - needs approving",IF(R342&lt;&gt;"Yes","Due - not paid yet","OK"))))))</f>
        <v>0</v>
      </c>
    </row>
    <row r="343" spans="1:26">
      <c r="A343" s="43">
        <f>IF(F343="","","TS-"&amp;TEXT(ROW()-4,"0000"))</f>
        <v>0</v>
      </c>
      <c r="C343" s="23">
        <f>IF(B343="","",TEXT(B343,"ddd"))</f>
        <v>0</v>
      </c>
      <c r="D343" s="31">
        <f>IF(B343="","",WEEKNUM(B343,IF(WeekStart="Sunday",1,2)))</f>
        <v>0</v>
      </c>
      <c r="E343" s="23">
        <f>IF(B343="","",TEXT(B343,"yyyy-mm"))</f>
        <v>0</v>
      </c>
      <c r="H343" s="23">
        <f>IF(G343="","",IFERROR(INDEX(Jobs!$H$5:$H$604,MATCH(G343,Jobs!$A$5:$A$604,0)),""))</f>
        <v>0</v>
      </c>
      <c r="T343" s="34">
        <f>IF(OR(J343="",K343=""),"",ROUND((K343-J343)*24-IF(L343="",0,L343)/60,2))</f>
        <v>0</v>
      </c>
      <c r="U343" s="34">
        <f>IF(F343="","",IF(M343&lt;&gt;"",M343,IF(T343="",0,T343)))</f>
        <v>0</v>
      </c>
      <c r="V343" s="21">
        <f>IF(F343="","",IFERROR(INDEX(Employees!$U$5:$U$44,MATCH(F343,Employees!$B$5:$B$44,0)),PayRate*(1+EmployerOncost)))</f>
        <v>0</v>
      </c>
      <c r="W343" s="34">
        <f>IF(F343="","",MAX(0,U343-IF(N343="",0,N343)))</f>
        <v>0</v>
      </c>
      <c r="X343" s="21">
        <f>IF(F343="","",ROUND(W343*V343+IF(N343="",0,N343)*V343*OvertimeRate,2))</f>
        <v>0</v>
      </c>
      <c r="Y343" s="21">
        <f>IF(F343="","",IF(P343&lt;&gt;"Yes",0,ROUND(U343*IF(IFERROR(INDEX(Clients!$O$5:$O$204,MATCH(IFERROR(INDEX(Jobs!$G$5:$G$604,MATCH(G343,Jobs!$A$5:$A$604,0)),""),Clients!$A$5:$A$204,0)),0)&gt;0,INDEX(Clients!$O$5:$O$204,MATCH(INDEX(Jobs!$G$5:$G$604,MATCH(G343,Jobs!$A$5:$A$604,0)),Clients!$A$5:$A$204,0)),HourlyRate),2)))</f>
        <v>0</v>
      </c>
      <c r="Z343" s="39">
        <f>IF(F343="","",IF(U343=0,"Add - no hours recorded",IF(O343="Absent - no show","Action - no show",IF(U343&gt;10,"Check - over ten hours in a day",IF(Q343&lt;&gt;"Yes","Due - needs approving",IF(R343&lt;&gt;"Yes","Due - not paid yet","OK"))))))</f>
        <v>0</v>
      </c>
    </row>
    <row r="344" spans="1:26">
      <c r="A344" s="43">
        <f>IF(F344="","","TS-"&amp;TEXT(ROW()-4,"0000"))</f>
        <v>0</v>
      </c>
      <c r="C344" s="23">
        <f>IF(B344="","",TEXT(B344,"ddd"))</f>
        <v>0</v>
      </c>
      <c r="D344" s="31">
        <f>IF(B344="","",WEEKNUM(B344,IF(WeekStart="Sunday",1,2)))</f>
        <v>0</v>
      </c>
      <c r="E344" s="23">
        <f>IF(B344="","",TEXT(B344,"yyyy-mm"))</f>
        <v>0</v>
      </c>
      <c r="H344" s="23">
        <f>IF(G344="","",IFERROR(INDEX(Jobs!$H$5:$H$604,MATCH(G344,Jobs!$A$5:$A$604,0)),""))</f>
        <v>0</v>
      </c>
      <c r="T344" s="34">
        <f>IF(OR(J344="",K344=""),"",ROUND((K344-J344)*24-IF(L344="",0,L344)/60,2))</f>
        <v>0</v>
      </c>
      <c r="U344" s="34">
        <f>IF(F344="","",IF(M344&lt;&gt;"",M344,IF(T344="",0,T344)))</f>
        <v>0</v>
      </c>
      <c r="V344" s="21">
        <f>IF(F344="","",IFERROR(INDEX(Employees!$U$5:$U$44,MATCH(F344,Employees!$B$5:$B$44,0)),PayRate*(1+EmployerOncost)))</f>
        <v>0</v>
      </c>
      <c r="W344" s="34">
        <f>IF(F344="","",MAX(0,U344-IF(N344="",0,N344)))</f>
        <v>0</v>
      </c>
      <c r="X344" s="21">
        <f>IF(F344="","",ROUND(W344*V344+IF(N344="",0,N344)*V344*OvertimeRate,2))</f>
        <v>0</v>
      </c>
      <c r="Y344" s="21">
        <f>IF(F344="","",IF(P344&lt;&gt;"Yes",0,ROUND(U344*IF(IFERROR(INDEX(Clients!$O$5:$O$204,MATCH(IFERROR(INDEX(Jobs!$G$5:$G$604,MATCH(G344,Jobs!$A$5:$A$604,0)),""),Clients!$A$5:$A$204,0)),0)&gt;0,INDEX(Clients!$O$5:$O$204,MATCH(INDEX(Jobs!$G$5:$G$604,MATCH(G344,Jobs!$A$5:$A$604,0)),Clients!$A$5:$A$204,0)),HourlyRate),2)))</f>
        <v>0</v>
      </c>
      <c r="Z344" s="39">
        <f>IF(F344="","",IF(U344=0,"Add - no hours recorded",IF(O344="Absent - no show","Action - no show",IF(U344&gt;10,"Check - over ten hours in a day",IF(Q344&lt;&gt;"Yes","Due - needs approving",IF(R344&lt;&gt;"Yes","Due - not paid yet","OK"))))))</f>
        <v>0</v>
      </c>
    </row>
    <row r="345" spans="1:26">
      <c r="A345" s="43">
        <f>IF(F345="","","TS-"&amp;TEXT(ROW()-4,"0000"))</f>
        <v>0</v>
      </c>
      <c r="C345" s="23">
        <f>IF(B345="","",TEXT(B345,"ddd"))</f>
        <v>0</v>
      </c>
      <c r="D345" s="31">
        <f>IF(B345="","",WEEKNUM(B345,IF(WeekStart="Sunday",1,2)))</f>
        <v>0</v>
      </c>
      <c r="E345" s="23">
        <f>IF(B345="","",TEXT(B345,"yyyy-mm"))</f>
        <v>0</v>
      </c>
      <c r="H345" s="23">
        <f>IF(G345="","",IFERROR(INDEX(Jobs!$H$5:$H$604,MATCH(G345,Jobs!$A$5:$A$604,0)),""))</f>
        <v>0</v>
      </c>
      <c r="T345" s="34">
        <f>IF(OR(J345="",K345=""),"",ROUND((K345-J345)*24-IF(L345="",0,L345)/60,2))</f>
        <v>0</v>
      </c>
      <c r="U345" s="34">
        <f>IF(F345="","",IF(M345&lt;&gt;"",M345,IF(T345="",0,T345)))</f>
        <v>0</v>
      </c>
      <c r="V345" s="21">
        <f>IF(F345="","",IFERROR(INDEX(Employees!$U$5:$U$44,MATCH(F345,Employees!$B$5:$B$44,0)),PayRate*(1+EmployerOncost)))</f>
        <v>0</v>
      </c>
      <c r="W345" s="34">
        <f>IF(F345="","",MAX(0,U345-IF(N345="",0,N345)))</f>
        <v>0</v>
      </c>
      <c r="X345" s="21">
        <f>IF(F345="","",ROUND(W345*V345+IF(N345="",0,N345)*V345*OvertimeRate,2))</f>
        <v>0</v>
      </c>
      <c r="Y345" s="21">
        <f>IF(F345="","",IF(P345&lt;&gt;"Yes",0,ROUND(U345*IF(IFERROR(INDEX(Clients!$O$5:$O$204,MATCH(IFERROR(INDEX(Jobs!$G$5:$G$604,MATCH(G345,Jobs!$A$5:$A$604,0)),""),Clients!$A$5:$A$204,0)),0)&gt;0,INDEX(Clients!$O$5:$O$204,MATCH(INDEX(Jobs!$G$5:$G$604,MATCH(G345,Jobs!$A$5:$A$604,0)),Clients!$A$5:$A$204,0)),HourlyRate),2)))</f>
        <v>0</v>
      </c>
      <c r="Z345" s="39">
        <f>IF(F345="","",IF(U345=0,"Add - no hours recorded",IF(O345="Absent - no show","Action - no show",IF(U345&gt;10,"Check - over ten hours in a day",IF(Q345&lt;&gt;"Yes","Due - needs approving",IF(R345&lt;&gt;"Yes","Due - not paid yet","OK"))))))</f>
        <v>0</v>
      </c>
    </row>
    <row r="346" spans="1:26">
      <c r="A346" s="43">
        <f>IF(F346="","","TS-"&amp;TEXT(ROW()-4,"0000"))</f>
        <v>0</v>
      </c>
      <c r="C346" s="23">
        <f>IF(B346="","",TEXT(B346,"ddd"))</f>
        <v>0</v>
      </c>
      <c r="D346" s="31">
        <f>IF(B346="","",WEEKNUM(B346,IF(WeekStart="Sunday",1,2)))</f>
        <v>0</v>
      </c>
      <c r="E346" s="23">
        <f>IF(B346="","",TEXT(B346,"yyyy-mm"))</f>
        <v>0</v>
      </c>
      <c r="H346" s="23">
        <f>IF(G346="","",IFERROR(INDEX(Jobs!$H$5:$H$604,MATCH(G346,Jobs!$A$5:$A$604,0)),""))</f>
        <v>0</v>
      </c>
      <c r="T346" s="34">
        <f>IF(OR(J346="",K346=""),"",ROUND((K346-J346)*24-IF(L346="",0,L346)/60,2))</f>
        <v>0</v>
      </c>
      <c r="U346" s="34">
        <f>IF(F346="","",IF(M346&lt;&gt;"",M346,IF(T346="",0,T346)))</f>
        <v>0</v>
      </c>
      <c r="V346" s="21">
        <f>IF(F346="","",IFERROR(INDEX(Employees!$U$5:$U$44,MATCH(F346,Employees!$B$5:$B$44,0)),PayRate*(1+EmployerOncost)))</f>
        <v>0</v>
      </c>
      <c r="W346" s="34">
        <f>IF(F346="","",MAX(0,U346-IF(N346="",0,N346)))</f>
        <v>0</v>
      </c>
      <c r="X346" s="21">
        <f>IF(F346="","",ROUND(W346*V346+IF(N346="",0,N346)*V346*OvertimeRate,2))</f>
        <v>0</v>
      </c>
      <c r="Y346" s="21">
        <f>IF(F346="","",IF(P346&lt;&gt;"Yes",0,ROUND(U346*IF(IFERROR(INDEX(Clients!$O$5:$O$204,MATCH(IFERROR(INDEX(Jobs!$G$5:$G$604,MATCH(G346,Jobs!$A$5:$A$604,0)),""),Clients!$A$5:$A$204,0)),0)&gt;0,INDEX(Clients!$O$5:$O$204,MATCH(INDEX(Jobs!$G$5:$G$604,MATCH(G346,Jobs!$A$5:$A$604,0)),Clients!$A$5:$A$204,0)),HourlyRate),2)))</f>
        <v>0</v>
      </c>
      <c r="Z346" s="39">
        <f>IF(F346="","",IF(U346=0,"Add - no hours recorded",IF(O346="Absent - no show","Action - no show",IF(U346&gt;10,"Check - over ten hours in a day",IF(Q346&lt;&gt;"Yes","Due - needs approving",IF(R346&lt;&gt;"Yes","Due - not paid yet","OK"))))))</f>
        <v>0</v>
      </c>
    </row>
    <row r="347" spans="1:26">
      <c r="A347" s="43">
        <f>IF(F347="","","TS-"&amp;TEXT(ROW()-4,"0000"))</f>
        <v>0</v>
      </c>
      <c r="C347" s="23">
        <f>IF(B347="","",TEXT(B347,"ddd"))</f>
        <v>0</v>
      </c>
      <c r="D347" s="31">
        <f>IF(B347="","",WEEKNUM(B347,IF(WeekStart="Sunday",1,2)))</f>
        <v>0</v>
      </c>
      <c r="E347" s="23">
        <f>IF(B347="","",TEXT(B347,"yyyy-mm"))</f>
        <v>0</v>
      </c>
      <c r="H347" s="23">
        <f>IF(G347="","",IFERROR(INDEX(Jobs!$H$5:$H$604,MATCH(G347,Jobs!$A$5:$A$604,0)),""))</f>
        <v>0</v>
      </c>
      <c r="T347" s="34">
        <f>IF(OR(J347="",K347=""),"",ROUND((K347-J347)*24-IF(L347="",0,L347)/60,2))</f>
        <v>0</v>
      </c>
      <c r="U347" s="34">
        <f>IF(F347="","",IF(M347&lt;&gt;"",M347,IF(T347="",0,T347)))</f>
        <v>0</v>
      </c>
      <c r="V347" s="21">
        <f>IF(F347="","",IFERROR(INDEX(Employees!$U$5:$U$44,MATCH(F347,Employees!$B$5:$B$44,0)),PayRate*(1+EmployerOncost)))</f>
        <v>0</v>
      </c>
      <c r="W347" s="34">
        <f>IF(F347="","",MAX(0,U347-IF(N347="",0,N347)))</f>
        <v>0</v>
      </c>
      <c r="X347" s="21">
        <f>IF(F347="","",ROUND(W347*V347+IF(N347="",0,N347)*V347*OvertimeRate,2))</f>
        <v>0</v>
      </c>
      <c r="Y347" s="21">
        <f>IF(F347="","",IF(P347&lt;&gt;"Yes",0,ROUND(U347*IF(IFERROR(INDEX(Clients!$O$5:$O$204,MATCH(IFERROR(INDEX(Jobs!$G$5:$G$604,MATCH(G347,Jobs!$A$5:$A$604,0)),""),Clients!$A$5:$A$204,0)),0)&gt;0,INDEX(Clients!$O$5:$O$204,MATCH(INDEX(Jobs!$G$5:$G$604,MATCH(G347,Jobs!$A$5:$A$604,0)),Clients!$A$5:$A$204,0)),HourlyRate),2)))</f>
        <v>0</v>
      </c>
      <c r="Z347" s="39">
        <f>IF(F347="","",IF(U347=0,"Add - no hours recorded",IF(O347="Absent - no show","Action - no show",IF(U347&gt;10,"Check - over ten hours in a day",IF(Q347&lt;&gt;"Yes","Due - needs approving",IF(R347&lt;&gt;"Yes","Due - not paid yet","OK"))))))</f>
        <v>0</v>
      </c>
    </row>
    <row r="348" spans="1:26">
      <c r="A348" s="43">
        <f>IF(F348="","","TS-"&amp;TEXT(ROW()-4,"0000"))</f>
        <v>0</v>
      </c>
      <c r="C348" s="23">
        <f>IF(B348="","",TEXT(B348,"ddd"))</f>
        <v>0</v>
      </c>
      <c r="D348" s="31">
        <f>IF(B348="","",WEEKNUM(B348,IF(WeekStart="Sunday",1,2)))</f>
        <v>0</v>
      </c>
      <c r="E348" s="23">
        <f>IF(B348="","",TEXT(B348,"yyyy-mm"))</f>
        <v>0</v>
      </c>
      <c r="H348" s="23">
        <f>IF(G348="","",IFERROR(INDEX(Jobs!$H$5:$H$604,MATCH(G348,Jobs!$A$5:$A$604,0)),""))</f>
        <v>0</v>
      </c>
      <c r="T348" s="34">
        <f>IF(OR(J348="",K348=""),"",ROUND((K348-J348)*24-IF(L348="",0,L348)/60,2))</f>
        <v>0</v>
      </c>
      <c r="U348" s="34">
        <f>IF(F348="","",IF(M348&lt;&gt;"",M348,IF(T348="",0,T348)))</f>
        <v>0</v>
      </c>
      <c r="V348" s="21">
        <f>IF(F348="","",IFERROR(INDEX(Employees!$U$5:$U$44,MATCH(F348,Employees!$B$5:$B$44,0)),PayRate*(1+EmployerOncost)))</f>
        <v>0</v>
      </c>
      <c r="W348" s="34">
        <f>IF(F348="","",MAX(0,U348-IF(N348="",0,N348)))</f>
        <v>0</v>
      </c>
      <c r="X348" s="21">
        <f>IF(F348="","",ROUND(W348*V348+IF(N348="",0,N348)*V348*OvertimeRate,2))</f>
        <v>0</v>
      </c>
      <c r="Y348" s="21">
        <f>IF(F348="","",IF(P348&lt;&gt;"Yes",0,ROUND(U348*IF(IFERROR(INDEX(Clients!$O$5:$O$204,MATCH(IFERROR(INDEX(Jobs!$G$5:$G$604,MATCH(G348,Jobs!$A$5:$A$604,0)),""),Clients!$A$5:$A$204,0)),0)&gt;0,INDEX(Clients!$O$5:$O$204,MATCH(INDEX(Jobs!$G$5:$G$604,MATCH(G348,Jobs!$A$5:$A$604,0)),Clients!$A$5:$A$204,0)),HourlyRate),2)))</f>
        <v>0</v>
      </c>
      <c r="Z348" s="39">
        <f>IF(F348="","",IF(U348=0,"Add - no hours recorded",IF(O348="Absent - no show","Action - no show",IF(U348&gt;10,"Check - over ten hours in a day",IF(Q348&lt;&gt;"Yes","Due - needs approving",IF(R348&lt;&gt;"Yes","Due - not paid yet","OK"))))))</f>
        <v>0</v>
      </c>
    </row>
    <row r="349" spans="1:26">
      <c r="A349" s="43">
        <f>IF(F349="","","TS-"&amp;TEXT(ROW()-4,"0000"))</f>
        <v>0</v>
      </c>
      <c r="C349" s="23">
        <f>IF(B349="","",TEXT(B349,"ddd"))</f>
        <v>0</v>
      </c>
      <c r="D349" s="31">
        <f>IF(B349="","",WEEKNUM(B349,IF(WeekStart="Sunday",1,2)))</f>
        <v>0</v>
      </c>
      <c r="E349" s="23">
        <f>IF(B349="","",TEXT(B349,"yyyy-mm"))</f>
        <v>0</v>
      </c>
      <c r="H349" s="23">
        <f>IF(G349="","",IFERROR(INDEX(Jobs!$H$5:$H$604,MATCH(G349,Jobs!$A$5:$A$604,0)),""))</f>
        <v>0</v>
      </c>
      <c r="T349" s="34">
        <f>IF(OR(J349="",K349=""),"",ROUND((K349-J349)*24-IF(L349="",0,L349)/60,2))</f>
        <v>0</v>
      </c>
      <c r="U349" s="34">
        <f>IF(F349="","",IF(M349&lt;&gt;"",M349,IF(T349="",0,T349)))</f>
        <v>0</v>
      </c>
      <c r="V349" s="21">
        <f>IF(F349="","",IFERROR(INDEX(Employees!$U$5:$U$44,MATCH(F349,Employees!$B$5:$B$44,0)),PayRate*(1+EmployerOncost)))</f>
        <v>0</v>
      </c>
      <c r="W349" s="34">
        <f>IF(F349="","",MAX(0,U349-IF(N349="",0,N349)))</f>
        <v>0</v>
      </c>
      <c r="X349" s="21">
        <f>IF(F349="","",ROUND(W349*V349+IF(N349="",0,N349)*V349*OvertimeRate,2))</f>
        <v>0</v>
      </c>
      <c r="Y349" s="21">
        <f>IF(F349="","",IF(P349&lt;&gt;"Yes",0,ROUND(U349*IF(IFERROR(INDEX(Clients!$O$5:$O$204,MATCH(IFERROR(INDEX(Jobs!$G$5:$G$604,MATCH(G349,Jobs!$A$5:$A$604,0)),""),Clients!$A$5:$A$204,0)),0)&gt;0,INDEX(Clients!$O$5:$O$204,MATCH(INDEX(Jobs!$G$5:$G$604,MATCH(G349,Jobs!$A$5:$A$604,0)),Clients!$A$5:$A$204,0)),HourlyRate),2)))</f>
        <v>0</v>
      </c>
      <c r="Z349" s="39">
        <f>IF(F349="","",IF(U349=0,"Add - no hours recorded",IF(O349="Absent - no show","Action - no show",IF(U349&gt;10,"Check - over ten hours in a day",IF(Q349&lt;&gt;"Yes","Due - needs approving",IF(R349&lt;&gt;"Yes","Due - not paid yet","OK"))))))</f>
        <v>0</v>
      </c>
    </row>
    <row r="350" spans="1:26">
      <c r="A350" s="43">
        <f>IF(F350="","","TS-"&amp;TEXT(ROW()-4,"0000"))</f>
        <v>0</v>
      </c>
      <c r="C350" s="23">
        <f>IF(B350="","",TEXT(B350,"ddd"))</f>
        <v>0</v>
      </c>
      <c r="D350" s="31">
        <f>IF(B350="","",WEEKNUM(B350,IF(WeekStart="Sunday",1,2)))</f>
        <v>0</v>
      </c>
      <c r="E350" s="23">
        <f>IF(B350="","",TEXT(B350,"yyyy-mm"))</f>
        <v>0</v>
      </c>
      <c r="H350" s="23">
        <f>IF(G350="","",IFERROR(INDEX(Jobs!$H$5:$H$604,MATCH(G350,Jobs!$A$5:$A$604,0)),""))</f>
        <v>0</v>
      </c>
      <c r="T350" s="34">
        <f>IF(OR(J350="",K350=""),"",ROUND((K350-J350)*24-IF(L350="",0,L350)/60,2))</f>
        <v>0</v>
      </c>
      <c r="U350" s="34">
        <f>IF(F350="","",IF(M350&lt;&gt;"",M350,IF(T350="",0,T350)))</f>
        <v>0</v>
      </c>
      <c r="V350" s="21">
        <f>IF(F350="","",IFERROR(INDEX(Employees!$U$5:$U$44,MATCH(F350,Employees!$B$5:$B$44,0)),PayRate*(1+EmployerOncost)))</f>
        <v>0</v>
      </c>
      <c r="W350" s="34">
        <f>IF(F350="","",MAX(0,U350-IF(N350="",0,N350)))</f>
        <v>0</v>
      </c>
      <c r="X350" s="21">
        <f>IF(F350="","",ROUND(W350*V350+IF(N350="",0,N350)*V350*OvertimeRate,2))</f>
        <v>0</v>
      </c>
      <c r="Y350" s="21">
        <f>IF(F350="","",IF(P350&lt;&gt;"Yes",0,ROUND(U350*IF(IFERROR(INDEX(Clients!$O$5:$O$204,MATCH(IFERROR(INDEX(Jobs!$G$5:$G$604,MATCH(G350,Jobs!$A$5:$A$604,0)),""),Clients!$A$5:$A$204,0)),0)&gt;0,INDEX(Clients!$O$5:$O$204,MATCH(INDEX(Jobs!$G$5:$G$604,MATCH(G350,Jobs!$A$5:$A$604,0)),Clients!$A$5:$A$204,0)),HourlyRate),2)))</f>
        <v>0</v>
      </c>
      <c r="Z350" s="39">
        <f>IF(F350="","",IF(U350=0,"Add - no hours recorded",IF(O350="Absent - no show","Action - no show",IF(U350&gt;10,"Check - over ten hours in a day",IF(Q350&lt;&gt;"Yes","Due - needs approving",IF(R350&lt;&gt;"Yes","Due - not paid yet","OK"))))))</f>
        <v>0</v>
      </c>
    </row>
    <row r="351" spans="1:26">
      <c r="A351" s="43">
        <f>IF(F351="","","TS-"&amp;TEXT(ROW()-4,"0000"))</f>
        <v>0</v>
      </c>
      <c r="C351" s="23">
        <f>IF(B351="","",TEXT(B351,"ddd"))</f>
        <v>0</v>
      </c>
      <c r="D351" s="31">
        <f>IF(B351="","",WEEKNUM(B351,IF(WeekStart="Sunday",1,2)))</f>
        <v>0</v>
      </c>
      <c r="E351" s="23">
        <f>IF(B351="","",TEXT(B351,"yyyy-mm"))</f>
        <v>0</v>
      </c>
      <c r="H351" s="23">
        <f>IF(G351="","",IFERROR(INDEX(Jobs!$H$5:$H$604,MATCH(G351,Jobs!$A$5:$A$604,0)),""))</f>
        <v>0</v>
      </c>
      <c r="T351" s="34">
        <f>IF(OR(J351="",K351=""),"",ROUND((K351-J351)*24-IF(L351="",0,L351)/60,2))</f>
        <v>0</v>
      </c>
      <c r="U351" s="34">
        <f>IF(F351="","",IF(M351&lt;&gt;"",M351,IF(T351="",0,T351)))</f>
        <v>0</v>
      </c>
      <c r="V351" s="21">
        <f>IF(F351="","",IFERROR(INDEX(Employees!$U$5:$U$44,MATCH(F351,Employees!$B$5:$B$44,0)),PayRate*(1+EmployerOncost)))</f>
        <v>0</v>
      </c>
      <c r="W351" s="34">
        <f>IF(F351="","",MAX(0,U351-IF(N351="",0,N351)))</f>
        <v>0</v>
      </c>
      <c r="X351" s="21">
        <f>IF(F351="","",ROUND(W351*V351+IF(N351="",0,N351)*V351*OvertimeRate,2))</f>
        <v>0</v>
      </c>
      <c r="Y351" s="21">
        <f>IF(F351="","",IF(P351&lt;&gt;"Yes",0,ROUND(U351*IF(IFERROR(INDEX(Clients!$O$5:$O$204,MATCH(IFERROR(INDEX(Jobs!$G$5:$G$604,MATCH(G351,Jobs!$A$5:$A$604,0)),""),Clients!$A$5:$A$204,0)),0)&gt;0,INDEX(Clients!$O$5:$O$204,MATCH(INDEX(Jobs!$G$5:$G$604,MATCH(G351,Jobs!$A$5:$A$604,0)),Clients!$A$5:$A$204,0)),HourlyRate),2)))</f>
        <v>0</v>
      </c>
      <c r="Z351" s="39">
        <f>IF(F351="","",IF(U351=0,"Add - no hours recorded",IF(O351="Absent - no show","Action - no show",IF(U351&gt;10,"Check - over ten hours in a day",IF(Q351&lt;&gt;"Yes","Due - needs approving",IF(R351&lt;&gt;"Yes","Due - not paid yet","OK"))))))</f>
        <v>0</v>
      </c>
    </row>
    <row r="352" spans="1:26">
      <c r="A352" s="43">
        <f>IF(F352="","","TS-"&amp;TEXT(ROW()-4,"0000"))</f>
        <v>0</v>
      </c>
      <c r="C352" s="23">
        <f>IF(B352="","",TEXT(B352,"ddd"))</f>
        <v>0</v>
      </c>
      <c r="D352" s="31">
        <f>IF(B352="","",WEEKNUM(B352,IF(WeekStart="Sunday",1,2)))</f>
        <v>0</v>
      </c>
      <c r="E352" s="23">
        <f>IF(B352="","",TEXT(B352,"yyyy-mm"))</f>
        <v>0</v>
      </c>
      <c r="H352" s="23">
        <f>IF(G352="","",IFERROR(INDEX(Jobs!$H$5:$H$604,MATCH(G352,Jobs!$A$5:$A$604,0)),""))</f>
        <v>0</v>
      </c>
      <c r="T352" s="34">
        <f>IF(OR(J352="",K352=""),"",ROUND((K352-J352)*24-IF(L352="",0,L352)/60,2))</f>
        <v>0</v>
      </c>
      <c r="U352" s="34">
        <f>IF(F352="","",IF(M352&lt;&gt;"",M352,IF(T352="",0,T352)))</f>
        <v>0</v>
      </c>
      <c r="V352" s="21">
        <f>IF(F352="","",IFERROR(INDEX(Employees!$U$5:$U$44,MATCH(F352,Employees!$B$5:$B$44,0)),PayRate*(1+EmployerOncost)))</f>
        <v>0</v>
      </c>
      <c r="W352" s="34">
        <f>IF(F352="","",MAX(0,U352-IF(N352="",0,N352)))</f>
        <v>0</v>
      </c>
      <c r="X352" s="21">
        <f>IF(F352="","",ROUND(W352*V352+IF(N352="",0,N352)*V352*OvertimeRate,2))</f>
        <v>0</v>
      </c>
      <c r="Y352" s="21">
        <f>IF(F352="","",IF(P352&lt;&gt;"Yes",0,ROUND(U352*IF(IFERROR(INDEX(Clients!$O$5:$O$204,MATCH(IFERROR(INDEX(Jobs!$G$5:$G$604,MATCH(G352,Jobs!$A$5:$A$604,0)),""),Clients!$A$5:$A$204,0)),0)&gt;0,INDEX(Clients!$O$5:$O$204,MATCH(INDEX(Jobs!$G$5:$G$604,MATCH(G352,Jobs!$A$5:$A$604,0)),Clients!$A$5:$A$204,0)),HourlyRate),2)))</f>
        <v>0</v>
      </c>
      <c r="Z352" s="39">
        <f>IF(F352="","",IF(U352=0,"Add - no hours recorded",IF(O352="Absent - no show","Action - no show",IF(U352&gt;10,"Check - over ten hours in a day",IF(Q352&lt;&gt;"Yes","Due - needs approving",IF(R352&lt;&gt;"Yes","Due - not paid yet","OK"))))))</f>
        <v>0</v>
      </c>
    </row>
    <row r="353" spans="1:26">
      <c r="A353" s="43">
        <f>IF(F353="","","TS-"&amp;TEXT(ROW()-4,"0000"))</f>
        <v>0</v>
      </c>
      <c r="C353" s="23">
        <f>IF(B353="","",TEXT(B353,"ddd"))</f>
        <v>0</v>
      </c>
      <c r="D353" s="31">
        <f>IF(B353="","",WEEKNUM(B353,IF(WeekStart="Sunday",1,2)))</f>
        <v>0</v>
      </c>
      <c r="E353" s="23">
        <f>IF(B353="","",TEXT(B353,"yyyy-mm"))</f>
        <v>0</v>
      </c>
      <c r="H353" s="23">
        <f>IF(G353="","",IFERROR(INDEX(Jobs!$H$5:$H$604,MATCH(G353,Jobs!$A$5:$A$604,0)),""))</f>
        <v>0</v>
      </c>
      <c r="T353" s="34">
        <f>IF(OR(J353="",K353=""),"",ROUND((K353-J353)*24-IF(L353="",0,L353)/60,2))</f>
        <v>0</v>
      </c>
      <c r="U353" s="34">
        <f>IF(F353="","",IF(M353&lt;&gt;"",M353,IF(T353="",0,T353)))</f>
        <v>0</v>
      </c>
      <c r="V353" s="21">
        <f>IF(F353="","",IFERROR(INDEX(Employees!$U$5:$U$44,MATCH(F353,Employees!$B$5:$B$44,0)),PayRate*(1+EmployerOncost)))</f>
        <v>0</v>
      </c>
      <c r="W353" s="34">
        <f>IF(F353="","",MAX(0,U353-IF(N353="",0,N353)))</f>
        <v>0</v>
      </c>
      <c r="X353" s="21">
        <f>IF(F353="","",ROUND(W353*V353+IF(N353="",0,N353)*V353*OvertimeRate,2))</f>
        <v>0</v>
      </c>
      <c r="Y353" s="21">
        <f>IF(F353="","",IF(P353&lt;&gt;"Yes",0,ROUND(U353*IF(IFERROR(INDEX(Clients!$O$5:$O$204,MATCH(IFERROR(INDEX(Jobs!$G$5:$G$604,MATCH(G353,Jobs!$A$5:$A$604,0)),""),Clients!$A$5:$A$204,0)),0)&gt;0,INDEX(Clients!$O$5:$O$204,MATCH(INDEX(Jobs!$G$5:$G$604,MATCH(G353,Jobs!$A$5:$A$604,0)),Clients!$A$5:$A$204,0)),HourlyRate),2)))</f>
        <v>0</v>
      </c>
      <c r="Z353" s="39">
        <f>IF(F353="","",IF(U353=0,"Add - no hours recorded",IF(O353="Absent - no show","Action - no show",IF(U353&gt;10,"Check - over ten hours in a day",IF(Q353&lt;&gt;"Yes","Due - needs approving",IF(R353&lt;&gt;"Yes","Due - not paid yet","OK"))))))</f>
        <v>0</v>
      </c>
    </row>
    <row r="354" spans="1:26">
      <c r="A354" s="43">
        <f>IF(F354="","","TS-"&amp;TEXT(ROW()-4,"0000"))</f>
        <v>0</v>
      </c>
      <c r="C354" s="23">
        <f>IF(B354="","",TEXT(B354,"ddd"))</f>
        <v>0</v>
      </c>
      <c r="D354" s="31">
        <f>IF(B354="","",WEEKNUM(B354,IF(WeekStart="Sunday",1,2)))</f>
        <v>0</v>
      </c>
      <c r="E354" s="23">
        <f>IF(B354="","",TEXT(B354,"yyyy-mm"))</f>
        <v>0</v>
      </c>
      <c r="H354" s="23">
        <f>IF(G354="","",IFERROR(INDEX(Jobs!$H$5:$H$604,MATCH(G354,Jobs!$A$5:$A$604,0)),""))</f>
        <v>0</v>
      </c>
      <c r="T354" s="34">
        <f>IF(OR(J354="",K354=""),"",ROUND((K354-J354)*24-IF(L354="",0,L354)/60,2))</f>
        <v>0</v>
      </c>
      <c r="U354" s="34">
        <f>IF(F354="","",IF(M354&lt;&gt;"",M354,IF(T354="",0,T354)))</f>
        <v>0</v>
      </c>
      <c r="V354" s="21">
        <f>IF(F354="","",IFERROR(INDEX(Employees!$U$5:$U$44,MATCH(F354,Employees!$B$5:$B$44,0)),PayRate*(1+EmployerOncost)))</f>
        <v>0</v>
      </c>
      <c r="W354" s="34">
        <f>IF(F354="","",MAX(0,U354-IF(N354="",0,N354)))</f>
        <v>0</v>
      </c>
      <c r="X354" s="21">
        <f>IF(F354="","",ROUND(W354*V354+IF(N354="",0,N354)*V354*OvertimeRate,2))</f>
        <v>0</v>
      </c>
      <c r="Y354" s="21">
        <f>IF(F354="","",IF(P354&lt;&gt;"Yes",0,ROUND(U354*IF(IFERROR(INDEX(Clients!$O$5:$O$204,MATCH(IFERROR(INDEX(Jobs!$G$5:$G$604,MATCH(G354,Jobs!$A$5:$A$604,0)),""),Clients!$A$5:$A$204,0)),0)&gt;0,INDEX(Clients!$O$5:$O$204,MATCH(INDEX(Jobs!$G$5:$G$604,MATCH(G354,Jobs!$A$5:$A$604,0)),Clients!$A$5:$A$204,0)),HourlyRate),2)))</f>
        <v>0</v>
      </c>
      <c r="Z354" s="39">
        <f>IF(F354="","",IF(U354=0,"Add - no hours recorded",IF(O354="Absent - no show","Action - no show",IF(U354&gt;10,"Check - over ten hours in a day",IF(Q354&lt;&gt;"Yes","Due - needs approving",IF(R354&lt;&gt;"Yes","Due - not paid yet","OK"))))))</f>
        <v>0</v>
      </c>
    </row>
    <row r="355" spans="1:26">
      <c r="A355" s="43">
        <f>IF(F355="","","TS-"&amp;TEXT(ROW()-4,"0000"))</f>
        <v>0</v>
      </c>
      <c r="C355" s="23">
        <f>IF(B355="","",TEXT(B355,"ddd"))</f>
        <v>0</v>
      </c>
      <c r="D355" s="31">
        <f>IF(B355="","",WEEKNUM(B355,IF(WeekStart="Sunday",1,2)))</f>
        <v>0</v>
      </c>
      <c r="E355" s="23">
        <f>IF(B355="","",TEXT(B355,"yyyy-mm"))</f>
        <v>0</v>
      </c>
      <c r="H355" s="23">
        <f>IF(G355="","",IFERROR(INDEX(Jobs!$H$5:$H$604,MATCH(G355,Jobs!$A$5:$A$604,0)),""))</f>
        <v>0</v>
      </c>
      <c r="T355" s="34">
        <f>IF(OR(J355="",K355=""),"",ROUND((K355-J355)*24-IF(L355="",0,L355)/60,2))</f>
        <v>0</v>
      </c>
      <c r="U355" s="34">
        <f>IF(F355="","",IF(M355&lt;&gt;"",M355,IF(T355="",0,T355)))</f>
        <v>0</v>
      </c>
      <c r="V355" s="21">
        <f>IF(F355="","",IFERROR(INDEX(Employees!$U$5:$U$44,MATCH(F355,Employees!$B$5:$B$44,0)),PayRate*(1+EmployerOncost)))</f>
        <v>0</v>
      </c>
      <c r="W355" s="34">
        <f>IF(F355="","",MAX(0,U355-IF(N355="",0,N355)))</f>
        <v>0</v>
      </c>
      <c r="X355" s="21">
        <f>IF(F355="","",ROUND(W355*V355+IF(N355="",0,N355)*V355*OvertimeRate,2))</f>
        <v>0</v>
      </c>
      <c r="Y355" s="21">
        <f>IF(F355="","",IF(P355&lt;&gt;"Yes",0,ROUND(U355*IF(IFERROR(INDEX(Clients!$O$5:$O$204,MATCH(IFERROR(INDEX(Jobs!$G$5:$G$604,MATCH(G355,Jobs!$A$5:$A$604,0)),""),Clients!$A$5:$A$204,0)),0)&gt;0,INDEX(Clients!$O$5:$O$204,MATCH(INDEX(Jobs!$G$5:$G$604,MATCH(G355,Jobs!$A$5:$A$604,0)),Clients!$A$5:$A$204,0)),HourlyRate),2)))</f>
        <v>0</v>
      </c>
      <c r="Z355" s="39">
        <f>IF(F355="","",IF(U355=0,"Add - no hours recorded",IF(O355="Absent - no show","Action - no show",IF(U355&gt;10,"Check - over ten hours in a day",IF(Q355&lt;&gt;"Yes","Due - needs approving",IF(R355&lt;&gt;"Yes","Due - not paid yet","OK"))))))</f>
        <v>0</v>
      </c>
    </row>
    <row r="356" spans="1:26">
      <c r="A356" s="43">
        <f>IF(F356="","","TS-"&amp;TEXT(ROW()-4,"0000"))</f>
        <v>0</v>
      </c>
      <c r="C356" s="23">
        <f>IF(B356="","",TEXT(B356,"ddd"))</f>
        <v>0</v>
      </c>
      <c r="D356" s="31">
        <f>IF(B356="","",WEEKNUM(B356,IF(WeekStart="Sunday",1,2)))</f>
        <v>0</v>
      </c>
      <c r="E356" s="23">
        <f>IF(B356="","",TEXT(B356,"yyyy-mm"))</f>
        <v>0</v>
      </c>
      <c r="H356" s="23">
        <f>IF(G356="","",IFERROR(INDEX(Jobs!$H$5:$H$604,MATCH(G356,Jobs!$A$5:$A$604,0)),""))</f>
        <v>0</v>
      </c>
      <c r="T356" s="34">
        <f>IF(OR(J356="",K356=""),"",ROUND((K356-J356)*24-IF(L356="",0,L356)/60,2))</f>
        <v>0</v>
      </c>
      <c r="U356" s="34">
        <f>IF(F356="","",IF(M356&lt;&gt;"",M356,IF(T356="",0,T356)))</f>
        <v>0</v>
      </c>
      <c r="V356" s="21">
        <f>IF(F356="","",IFERROR(INDEX(Employees!$U$5:$U$44,MATCH(F356,Employees!$B$5:$B$44,0)),PayRate*(1+EmployerOncost)))</f>
        <v>0</v>
      </c>
      <c r="W356" s="34">
        <f>IF(F356="","",MAX(0,U356-IF(N356="",0,N356)))</f>
        <v>0</v>
      </c>
      <c r="X356" s="21">
        <f>IF(F356="","",ROUND(W356*V356+IF(N356="",0,N356)*V356*OvertimeRate,2))</f>
        <v>0</v>
      </c>
      <c r="Y356" s="21">
        <f>IF(F356="","",IF(P356&lt;&gt;"Yes",0,ROUND(U356*IF(IFERROR(INDEX(Clients!$O$5:$O$204,MATCH(IFERROR(INDEX(Jobs!$G$5:$G$604,MATCH(G356,Jobs!$A$5:$A$604,0)),""),Clients!$A$5:$A$204,0)),0)&gt;0,INDEX(Clients!$O$5:$O$204,MATCH(INDEX(Jobs!$G$5:$G$604,MATCH(G356,Jobs!$A$5:$A$604,0)),Clients!$A$5:$A$204,0)),HourlyRate),2)))</f>
        <v>0</v>
      </c>
      <c r="Z356" s="39">
        <f>IF(F356="","",IF(U356=0,"Add - no hours recorded",IF(O356="Absent - no show","Action - no show",IF(U356&gt;10,"Check - over ten hours in a day",IF(Q356&lt;&gt;"Yes","Due - needs approving",IF(R356&lt;&gt;"Yes","Due - not paid yet","OK"))))))</f>
        <v>0</v>
      </c>
    </row>
    <row r="357" spans="1:26">
      <c r="A357" s="43">
        <f>IF(F357="","","TS-"&amp;TEXT(ROW()-4,"0000"))</f>
        <v>0</v>
      </c>
      <c r="C357" s="23">
        <f>IF(B357="","",TEXT(B357,"ddd"))</f>
        <v>0</v>
      </c>
      <c r="D357" s="31">
        <f>IF(B357="","",WEEKNUM(B357,IF(WeekStart="Sunday",1,2)))</f>
        <v>0</v>
      </c>
      <c r="E357" s="23">
        <f>IF(B357="","",TEXT(B357,"yyyy-mm"))</f>
        <v>0</v>
      </c>
      <c r="H357" s="23">
        <f>IF(G357="","",IFERROR(INDEX(Jobs!$H$5:$H$604,MATCH(G357,Jobs!$A$5:$A$604,0)),""))</f>
        <v>0</v>
      </c>
      <c r="T357" s="34">
        <f>IF(OR(J357="",K357=""),"",ROUND((K357-J357)*24-IF(L357="",0,L357)/60,2))</f>
        <v>0</v>
      </c>
      <c r="U357" s="34">
        <f>IF(F357="","",IF(M357&lt;&gt;"",M357,IF(T357="",0,T357)))</f>
        <v>0</v>
      </c>
      <c r="V357" s="21">
        <f>IF(F357="","",IFERROR(INDEX(Employees!$U$5:$U$44,MATCH(F357,Employees!$B$5:$B$44,0)),PayRate*(1+EmployerOncost)))</f>
        <v>0</v>
      </c>
      <c r="W357" s="34">
        <f>IF(F357="","",MAX(0,U357-IF(N357="",0,N357)))</f>
        <v>0</v>
      </c>
      <c r="X357" s="21">
        <f>IF(F357="","",ROUND(W357*V357+IF(N357="",0,N357)*V357*OvertimeRate,2))</f>
        <v>0</v>
      </c>
      <c r="Y357" s="21">
        <f>IF(F357="","",IF(P357&lt;&gt;"Yes",0,ROUND(U357*IF(IFERROR(INDEX(Clients!$O$5:$O$204,MATCH(IFERROR(INDEX(Jobs!$G$5:$G$604,MATCH(G357,Jobs!$A$5:$A$604,0)),""),Clients!$A$5:$A$204,0)),0)&gt;0,INDEX(Clients!$O$5:$O$204,MATCH(INDEX(Jobs!$G$5:$G$604,MATCH(G357,Jobs!$A$5:$A$604,0)),Clients!$A$5:$A$204,0)),HourlyRate),2)))</f>
        <v>0</v>
      </c>
      <c r="Z357" s="39">
        <f>IF(F357="","",IF(U357=0,"Add - no hours recorded",IF(O357="Absent - no show","Action - no show",IF(U357&gt;10,"Check - over ten hours in a day",IF(Q357&lt;&gt;"Yes","Due - needs approving",IF(R357&lt;&gt;"Yes","Due - not paid yet","OK"))))))</f>
        <v>0</v>
      </c>
    </row>
    <row r="358" spans="1:26">
      <c r="A358" s="43">
        <f>IF(F358="","","TS-"&amp;TEXT(ROW()-4,"0000"))</f>
        <v>0</v>
      </c>
      <c r="C358" s="23">
        <f>IF(B358="","",TEXT(B358,"ddd"))</f>
        <v>0</v>
      </c>
      <c r="D358" s="31">
        <f>IF(B358="","",WEEKNUM(B358,IF(WeekStart="Sunday",1,2)))</f>
        <v>0</v>
      </c>
      <c r="E358" s="23">
        <f>IF(B358="","",TEXT(B358,"yyyy-mm"))</f>
        <v>0</v>
      </c>
      <c r="H358" s="23">
        <f>IF(G358="","",IFERROR(INDEX(Jobs!$H$5:$H$604,MATCH(G358,Jobs!$A$5:$A$604,0)),""))</f>
        <v>0</v>
      </c>
      <c r="T358" s="34">
        <f>IF(OR(J358="",K358=""),"",ROUND((K358-J358)*24-IF(L358="",0,L358)/60,2))</f>
        <v>0</v>
      </c>
      <c r="U358" s="34">
        <f>IF(F358="","",IF(M358&lt;&gt;"",M358,IF(T358="",0,T358)))</f>
        <v>0</v>
      </c>
      <c r="V358" s="21">
        <f>IF(F358="","",IFERROR(INDEX(Employees!$U$5:$U$44,MATCH(F358,Employees!$B$5:$B$44,0)),PayRate*(1+EmployerOncost)))</f>
        <v>0</v>
      </c>
      <c r="W358" s="34">
        <f>IF(F358="","",MAX(0,U358-IF(N358="",0,N358)))</f>
        <v>0</v>
      </c>
      <c r="X358" s="21">
        <f>IF(F358="","",ROUND(W358*V358+IF(N358="",0,N358)*V358*OvertimeRate,2))</f>
        <v>0</v>
      </c>
      <c r="Y358" s="21">
        <f>IF(F358="","",IF(P358&lt;&gt;"Yes",0,ROUND(U358*IF(IFERROR(INDEX(Clients!$O$5:$O$204,MATCH(IFERROR(INDEX(Jobs!$G$5:$G$604,MATCH(G358,Jobs!$A$5:$A$604,0)),""),Clients!$A$5:$A$204,0)),0)&gt;0,INDEX(Clients!$O$5:$O$204,MATCH(INDEX(Jobs!$G$5:$G$604,MATCH(G358,Jobs!$A$5:$A$604,0)),Clients!$A$5:$A$204,0)),HourlyRate),2)))</f>
        <v>0</v>
      </c>
      <c r="Z358" s="39">
        <f>IF(F358="","",IF(U358=0,"Add - no hours recorded",IF(O358="Absent - no show","Action - no show",IF(U358&gt;10,"Check - over ten hours in a day",IF(Q358&lt;&gt;"Yes","Due - needs approving",IF(R358&lt;&gt;"Yes","Due - not paid yet","OK"))))))</f>
        <v>0</v>
      </c>
    </row>
    <row r="359" spans="1:26">
      <c r="A359" s="43">
        <f>IF(F359="","","TS-"&amp;TEXT(ROW()-4,"0000"))</f>
        <v>0</v>
      </c>
      <c r="C359" s="23">
        <f>IF(B359="","",TEXT(B359,"ddd"))</f>
        <v>0</v>
      </c>
      <c r="D359" s="31">
        <f>IF(B359="","",WEEKNUM(B359,IF(WeekStart="Sunday",1,2)))</f>
        <v>0</v>
      </c>
      <c r="E359" s="23">
        <f>IF(B359="","",TEXT(B359,"yyyy-mm"))</f>
        <v>0</v>
      </c>
      <c r="H359" s="23">
        <f>IF(G359="","",IFERROR(INDEX(Jobs!$H$5:$H$604,MATCH(G359,Jobs!$A$5:$A$604,0)),""))</f>
        <v>0</v>
      </c>
      <c r="T359" s="34">
        <f>IF(OR(J359="",K359=""),"",ROUND((K359-J359)*24-IF(L359="",0,L359)/60,2))</f>
        <v>0</v>
      </c>
      <c r="U359" s="34">
        <f>IF(F359="","",IF(M359&lt;&gt;"",M359,IF(T359="",0,T359)))</f>
        <v>0</v>
      </c>
      <c r="V359" s="21">
        <f>IF(F359="","",IFERROR(INDEX(Employees!$U$5:$U$44,MATCH(F359,Employees!$B$5:$B$44,0)),PayRate*(1+EmployerOncost)))</f>
        <v>0</v>
      </c>
      <c r="W359" s="34">
        <f>IF(F359="","",MAX(0,U359-IF(N359="",0,N359)))</f>
        <v>0</v>
      </c>
      <c r="X359" s="21">
        <f>IF(F359="","",ROUND(W359*V359+IF(N359="",0,N359)*V359*OvertimeRate,2))</f>
        <v>0</v>
      </c>
      <c r="Y359" s="21">
        <f>IF(F359="","",IF(P359&lt;&gt;"Yes",0,ROUND(U359*IF(IFERROR(INDEX(Clients!$O$5:$O$204,MATCH(IFERROR(INDEX(Jobs!$G$5:$G$604,MATCH(G359,Jobs!$A$5:$A$604,0)),""),Clients!$A$5:$A$204,0)),0)&gt;0,INDEX(Clients!$O$5:$O$204,MATCH(INDEX(Jobs!$G$5:$G$604,MATCH(G359,Jobs!$A$5:$A$604,0)),Clients!$A$5:$A$204,0)),HourlyRate),2)))</f>
        <v>0</v>
      </c>
      <c r="Z359" s="39">
        <f>IF(F359="","",IF(U359=0,"Add - no hours recorded",IF(O359="Absent - no show","Action - no show",IF(U359&gt;10,"Check - over ten hours in a day",IF(Q359&lt;&gt;"Yes","Due - needs approving",IF(R359&lt;&gt;"Yes","Due - not paid yet","OK"))))))</f>
        <v>0</v>
      </c>
    </row>
    <row r="360" spans="1:26">
      <c r="A360" s="43">
        <f>IF(F360="","","TS-"&amp;TEXT(ROW()-4,"0000"))</f>
        <v>0</v>
      </c>
      <c r="C360" s="23">
        <f>IF(B360="","",TEXT(B360,"ddd"))</f>
        <v>0</v>
      </c>
      <c r="D360" s="31">
        <f>IF(B360="","",WEEKNUM(B360,IF(WeekStart="Sunday",1,2)))</f>
        <v>0</v>
      </c>
      <c r="E360" s="23">
        <f>IF(B360="","",TEXT(B360,"yyyy-mm"))</f>
        <v>0</v>
      </c>
      <c r="H360" s="23">
        <f>IF(G360="","",IFERROR(INDEX(Jobs!$H$5:$H$604,MATCH(G360,Jobs!$A$5:$A$604,0)),""))</f>
        <v>0</v>
      </c>
      <c r="T360" s="34">
        <f>IF(OR(J360="",K360=""),"",ROUND((K360-J360)*24-IF(L360="",0,L360)/60,2))</f>
        <v>0</v>
      </c>
      <c r="U360" s="34">
        <f>IF(F360="","",IF(M360&lt;&gt;"",M360,IF(T360="",0,T360)))</f>
        <v>0</v>
      </c>
      <c r="V360" s="21">
        <f>IF(F360="","",IFERROR(INDEX(Employees!$U$5:$U$44,MATCH(F360,Employees!$B$5:$B$44,0)),PayRate*(1+EmployerOncost)))</f>
        <v>0</v>
      </c>
      <c r="W360" s="34">
        <f>IF(F360="","",MAX(0,U360-IF(N360="",0,N360)))</f>
        <v>0</v>
      </c>
      <c r="X360" s="21">
        <f>IF(F360="","",ROUND(W360*V360+IF(N360="",0,N360)*V360*OvertimeRate,2))</f>
        <v>0</v>
      </c>
      <c r="Y360" s="21">
        <f>IF(F360="","",IF(P360&lt;&gt;"Yes",0,ROUND(U360*IF(IFERROR(INDEX(Clients!$O$5:$O$204,MATCH(IFERROR(INDEX(Jobs!$G$5:$G$604,MATCH(G360,Jobs!$A$5:$A$604,0)),""),Clients!$A$5:$A$204,0)),0)&gt;0,INDEX(Clients!$O$5:$O$204,MATCH(INDEX(Jobs!$G$5:$G$604,MATCH(G360,Jobs!$A$5:$A$604,0)),Clients!$A$5:$A$204,0)),HourlyRate),2)))</f>
        <v>0</v>
      </c>
      <c r="Z360" s="39">
        <f>IF(F360="","",IF(U360=0,"Add - no hours recorded",IF(O360="Absent - no show","Action - no show",IF(U360&gt;10,"Check - over ten hours in a day",IF(Q360&lt;&gt;"Yes","Due - needs approving",IF(R360&lt;&gt;"Yes","Due - not paid yet","OK"))))))</f>
        <v>0</v>
      </c>
    </row>
    <row r="361" spans="1:26">
      <c r="A361" s="43">
        <f>IF(F361="","","TS-"&amp;TEXT(ROW()-4,"0000"))</f>
        <v>0</v>
      </c>
      <c r="C361" s="23">
        <f>IF(B361="","",TEXT(B361,"ddd"))</f>
        <v>0</v>
      </c>
      <c r="D361" s="31">
        <f>IF(B361="","",WEEKNUM(B361,IF(WeekStart="Sunday",1,2)))</f>
        <v>0</v>
      </c>
      <c r="E361" s="23">
        <f>IF(B361="","",TEXT(B361,"yyyy-mm"))</f>
        <v>0</v>
      </c>
      <c r="H361" s="23">
        <f>IF(G361="","",IFERROR(INDEX(Jobs!$H$5:$H$604,MATCH(G361,Jobs!$A$5:$A$604,0)),""))</f>
        <v>0</v>
      </c>
      <c r="T361" s="34">
        <f>IF(OR(J361="",K361=""),"",ROUND((K361-J361)*24-IF(L361="",0,L361)/60,2))</f>
        <v>0</v>
      </c>
      <c r="U361" s="34">
        <f>IF(F361="","",IF(M361&lt;&gt;"",M361,IF(T361="",0,T361)))</f>
        <v>0</v>
      </c>
      <c r="V361" s="21">
        <f>IF(F361="","",IFERROR(INDEX(Employees!$U$5:$U$44,MATCH(F361,Employees!$B$5:$B$44,0)),PayRate*(1+EmployerOncost)))</f>
        <v>0</v>
      </c>
      <c r="W361" s="34">
        <f>IF(F361="","",MAX(0,U361-IF(N361="",0,N361)))</f>
        <v>0</v>
      </c>
      <c r="X361" s="21">
        <f>IF(F361="","",ROUND(W361*V361+IF(N361="",0,N361)*V361*OvertimeRate,2))</f>
        <v>0</v>
      </c>
      <c r="Y361" s="21">
        <f>IF(F361="","",IF(P361&lt;&gt;"Yes",0,ROUND(U361*IF(IFERROR(INDEX(Clients!$O$5:$O$204,MATCH(IFERROR(INDEX(Jobs!$G$5:$G$604,MATCH(G361,Jobs!$A$5:$A$604,0)),""),Clients!$A$5:$A$204,0)),0)&gt;0,INDEX(Clients!$O$5:$O$204,MATCH(INDEX(Jobs!$G$5:$G$604,MATCH(G361,Jobs!$A$5:$A$604,0)),Clients!$A$5:$A$204,0)),HourlyRate),2)))</f>
        <v>0</v>
      </c>
      <c r="Z361" s="39">
        <f>IF(F361="","",IF(U361=0,"Add - no hours recorded",IF(O361="Absent - no show","Action - no show",IF(U361&gt;10,"Check - over ten hours in a day",IF(Q361&lt;&gt;"Yes","Due - needs approving",IF(R361&lt;&gt;"Yes","Due - not paid yet","OK"))))))</f>
        <v>0</v>
      </c>
    </row>
    <row r="362" spans="1:26">
      <c r="A362" s="43">
        <f>IF(F362="","","TS-"&amp;TEXT(ROW()-4,"0000"))</f>
        <v>0</v>
      </c>
      <c r="C362" s="23">
        <f>IF(B362="","",TEXT(B362,"ddd"))</f>
        <v>0</v>
      </c>
      <c r="D362" s="31">
        <f>IF(B362="","",WEEKNUM(B362,IF(WeekStart="Sunday",1,2)))</f>
        <v>0</v>
      </c>
      <c r="E362" s="23">
        <f>IF(B362="","",TEXT(B362,"yyyy-mm"))</f>
        <v>0</v>
      </c>
      <c r="H362" s="23">
        <f>IF(G362="","",IFERROR(INDEX(Jobs!$H$5:$H$604,MATCH(G362,Jobs!$A$5:$A$604,0)),""))</f>
        <v>0</v>
      </c>
      <c r="T362" s="34">
        <f>IF(OR(J362="",K362=""),"",ROUND((K362-J362)*24-IF(L362="",0,L362)/60,2))</f>
        <v>0</v>
      </c>
      <c r="U362" s="34">
        <f>IF(F362="","",IF(M362&lt;&gt;"",M362,IF(T362="",0,T362)))</f>
        <v>0</v>
      </c>
      <c r="V362" s="21">
        <f>IF(F362="","",IFERROR(INDEX(Employees!$U$5:$U$44,MATCH(F362,Employees!$B$5:$B$44,0)),PayRate*(1+EmployerOncost)))</f>
        <v>0</v>
      </c>
      <c r="W362" s="34">
        <f>IF(F362="","",MAX(0,U362-IF(N362="",0,N362)))</f>
        <v>0</v>
      </c>
      <c r="X362" s="21">
        <f>IF(F362="","",ROUND(W362*V362+IF(N362="",0,N362)*V362*OvertimeRate,2))</f>
        <v>0</v>
      </c>
      <c r="Y362" s="21">
        <f>IF(F362="","",IF(P362&lt;&gt;"Yes",0,ROUND(U362*IF(IFERROR(INDEX(Clients!$O$5:$O$204,MATCH(IFERROR(INDEX(Jobs!$G$5:$G$604,MATCH(G362,Jobs!$A$5:$A$604,0)),""),Clients!$A$5:$A$204,0)),0)&gt;0,INDEX(Clients!$O$5:$O$204,MATCH(INDEX(Jobs!$G$5:$G$604,MATCH(G362,Jobs!$A$5:$A$604,0)),Clients!$A$5:$A$204,0)),HourlyRate),2)))</f>
        <v>0</v>
      </c>
      <c r="Z362" s="39">
        <f>IF(F362="","",IF(U362=0,"Add - no hours recorded",IF(O362="Absent - no show","Action - no show",IF(U362&gt;10,"Check - over ten hours in a day",IF(Q362&lt;&gt;"Yes","Due - needs approving",IF(R362&lt;&gt;"Yes","Due - not paid yet","OK"))))))</f>
        <v>0</v>
      </c>
    </row>
    <row r="363" spans="1:26">
      <c r="A363" s="43">
        <f>IF(F363="","","TS-"&amp;TEXT(ROW()-4,"0000"))</f>
        <v>0</v>
      </c>
      <c r="C363" s="23">
        <f>IF(B363="","",TEXT(B363,"ddd"))</f>
        <v>0</v>
      </c>
      <c r="D363" s="31">
        <f>IF(B363="","",WEEKNUM(B363,IF(WeekStart="Sunday",1,2)))</f>
        <v>0</v>
      </c>
      <c r="E363" s="23">
        <f>IF(B363="","",TEXT(B363,"yyyy-mm"))</f>
        <v>0</v>
      </c>
      <c r="H363" s="23">
        <f>IF(G363="","",IFERROR(INDEX(Jobs!$H$5:$H$604,MATCH(G363,Jobs!$A$5:$A$604,0)),""))</f>
        <v>0</v>
      </c>
      <c r="T363" s="34">
        <f>IF(OR(J363="",K363=""),"",ROUND((K363-J363)*24-IF(L363="",0,L363)/60,2))</f>
        <v>0</v>
      </c>
      <c r="U363" s="34">
        <f>IF(F363="","",IF(M363&lt;&gt;"",M363,IF(T363="",0,T363)))</f>
        <v>0</v>
      </c>
      <c r="V363" s="21">
        <f>IF(F363="","",IFERROR(INDEX(Employees!$U$5:$U$44,MATCH(F363,Employees!$B$5:$B$44,0)),PayRate*(1+EmployerOncost)))</f>
        <v>0</v>
      </c>
      <c r="W363" s="34">
        <f>IF(F363="","",MAX(0,U363-IF(N363="",0,N363)))</f>
        <v>0</v>
      </c>
      <c r="X363" s="21">
        <f>IF(F363="","",ROUND(W363*V363+IF(N363="",0,N363)*V363*OvertimeRate,2))</f>
        <v>0</v>
      </c>
      <c r="Y363" s="21">
        <f>IF(F363="","",IF(P363&lt;&gt;"Yes",0,ROUND(U363*IF(IFERROR(INDEX(Clients!$O$5:$O$204,MATCH(IFERROR(INDEX(Jobs!$G$5:$G$604,MATCH(G363,Jobs!$A$5:$A$604,0)),""),Clients!$A$5:$A$204,0)),0)&gt;0,INDEX(Clients!$O$5:$O$204,MATCH(INDEX(Jobs!$G$5:$G$604,MATCH(G363,Jobs!$A$5:$A$604,0)),Clients!$A$5:$A$204,0)),HourlyRate),2)))</f>
        <v>0</v>
      </c>
      <c r="Z363" s="39">
        <f>IF(F363="","",IF(U363=0,"Add - no hours recorded",IF(O363="Absent - no show","Action - no show",IF(U363&gt;10,"Check - over ten hours in a day",IF(Q363&lt;&gt;"Yes","Due - needs approving",IF(R363&lt;&gt;"Yes","Due - not paid yet","OK"))))))</f>
        <v>0</v>
      </c>
    </row>
    <row r="364" spans="1:26">
      <c r="A364" s="43">
        <f>IF(F364="","","TS-"&amp;TEXT(ROW()-4,"0000"))</f>
        <v>0</v>
      </c>
      <c r="C364" s="23">
        <f>IF(B364="","",TEXT(B364,"ddd"))</f>
        <v>0</v>
      </c>
      <c r="D364" s="31">
        <f>IF(B364="","",WEEKNUM(B364,IF(WeekStart="Sunday",1,2)))</f>
        <v>0</v>
      </c>
      <c r="E364" s="23">
        <f>IF(B364="","",TEXT(B364,"yyyy-mm"))</f>
        <v>0</v>
      </c>
      <c r="H364" s="23">
        <f>IF(G364="","",IFERROR(INDEX(Jobs!$H$5:$H$604,MATCH(G364,Jobs!$A$5:$A$604,0)),""))</f>
        <v>0</v>
      </c>
      <c r="T364" s="34">
        <f>IF(OR(J364="",K364=""),"",ROUND((K364-J364)*24-IF(L364="",0,L364)/60,2))</f>
        <v>0</v>
      </c>
      <c r="U364" s="34">
        <f>IF(F364="","",IF(M364&lt;&gt;"",M364,IF(T364="",0,T364)))</f>
        <v>0</v>
      </c>
      <c r="V364" s="21">
        <f>IF(F364="","",IFERROR(INDEX(Employees!$U$5:$U$44,MATCH(F364,Employees!$B$5:$B$44,0)),PayRate*(1+EmployerOncost)))</f>
        <v>0</v>
      </c>
      <c r="W364" s="34">
        <f>IF(F364="","",MAX(0,U364-IF(N364="",0,N364)))</f>
        <v>0</v>
      </c>
      <c r="X364" s="21">
        <f>IF(F364="","",ROUND(W364*V364+IF(N364="",0,N364)*V364*OvertimeRate,2))</f>
        <v>0</v>
      </c>
      <c r="Y364" s="21">
        <f>IF(F364="","",IF(P364&lt;&gt;"Yes",0,ROUND(U364*IF(IFERROR(INDEX(Clients!$O$5:$O$204,MATCH(IFERROR(INDEX(Jobs!$G$5:$G$604,MATCH(G364,Jobs!$A$5:$A$604,0)),""),Clients!$A$5:$A$204,0)),0)&gt;0,INDEX(Clients!$O$5:$O$204,MATCH(INDEX(Jobs!$G$5:$G$604,MATCH(G364,Jobs!$A$5:$A$604,0)),Clients!$A$5:$A$204,0)),HourlyRate),2)))</f>
        <v>0</v>
      </c>
      <c r="Z364" s="39">
        <f>IF(F364="","",IF(U364=0,"Add - no hours recorded",IF(O364="Absent - no show","Action - no show",IF(U364&gt;10,"Check - over ten hours in a day",IF(Q364&lt;&gt;"Yes","Due - needs approving",IF(R364&lt;&gt;"Yes","Due - not paid yet","OK"))))))</f>
        <v>0</v>
      </c>
    </row>
    <row r="365" spans="1:26">
      <c r="A365" s="43">
        <f>IF(F365="","","TS-"&amp;TEXT(ROW()-4,"0000"))</f>
        <v>0</v>
      </c>
      <c r="C365" s="23">
        <f>IF(B365="","",TEXT(B365,"ddd"))</f>
        <v>0</v>
      </c>
      <c r="D365" s="31">
        <f>IF(B365="","",WEEKNUM(B365,IF(WeekStart="Sunday",1,2)))</f>
        <v>0</v>
      </c>
      <c r="E365" s="23">
        <f>IF(B365="","",TEXT(B365,"yyyy-mm"))</f>
        <v>0</v>
      </c>
      <c r="H365" s="23">
        <f>IF(G365="","",IFERROR(INDEX(Jobs!$H$5:$H$604,MATCH(G365,Jobs!$A$5:$A$604,0)),""))</f>
        <v>0</v>
      </c>
      <c r="T365" s="34">
        <f>IF(OR(J365="",K365=""),"",ROUND((K365-J365)*24-IF(L365="",0,L365)/60,2))</f>
        <v>0</v>
      </c>
      <c r="U365" s="34">
        <f>IF(F365="","",IF(M365&lt;&gt;"",M365,IF(T365="",0,T365)))</f>
        <v>0</v>
      </c>
      <c r="V365" s="21">
        <f>IF(F365="","",IFERROR(INDEX(Employees!$U$5:$U$44,MATCH(F365,Employees!$B$5:$B$44,0)),PayRate*(1+EmployerOncost)))</f>
        <v>0</v>
      </c>
      <c r="W365" s="34">
        <f>IF(F365="","",MAX(0,U365-IF(N365="",0,N365)))</f>
        <v>0</v>
      </c>
      <c r="X365" s="21">
        <f>IF(F365="","",ROUND(W365*V365+IF(N365="",0,N365)*V365*OvertimeRate,2))</f>
        <v>0</v>
      </c>
      <c r="Y365" s="21">
        <f>IF(F365="","",IF(P365&lt;&gt;"Yes",0,ROUND(U365*IF(IFERROR(INDEX(Clients!$O$5:$O$204,MATCH(IFERROR(INDEX(Jobs!$G$5:$G$604,MATCH(G365,Jobs!$A$5:$A$604,0)),""),Clients!$A$5:$A$204,0)),0)&gt;0,INDEX(Clients!$O$5:$O$204,MATCH(INDEX(Jobs!$G$5:$G$604,MATCH(G365,Jobs!$A$5:$A$604,0)),Clients!$A$5:$A$204,0)),HourlyRate),2)))</f>
        <v>0</v>
      </c>
      <c r="Z365" s="39">
        <f>IF(F365="","",IF(U365=0,"Add - no hours recorded",IF(O365="Absent - no show","Action - no show",IF(U365&gt;10,"Check - over ten hours in a day",IF(Q365&lt;&gt;"Yes","Due - needs approving",IF(R365&lt;&gt;"Yes","Due - not paid yet","OK"))))))</f>
        <v>0</v>
      </c>
    </row>
    <row r="366" spans="1:26">
      <c r="A366" s="43">
        <f>IF(F366="","","TS-"&amp;TEXT(ROW()-4,"0000"))</f>
        <v>0</v>
      </c>
      <c r="C366" s="23">
        <f>IF(B366="","",TEXT(B366,"ddd"))</f>
        <v>0</v>
      </c>
      <c r="D366" s="31">
        <f>IF(B366="","",WEEKNUM(B366,IF(WeekStart="Sunday",1,2)))</f>
        <v>0</v>
      </c>
      <c r="E366" s="23">
        <f>IF(B366="","",TEXT(B366,"yyyy-mm"))</f>
        <v>0</v>
      </c>
      <c r="H366" s="23">
        <f>IF(G366="","",IFERROR(INDEX(Jobs!$H$5:$H$604,MATCH(G366,Jobs!$A$5:$A$604,0)),""))</f>
        <v>0</v>
      </c>
      <c r="T366" s="34">
        <f>IF(OR(J366="",K366=""),"",ROUND((K366-J366)*24-IF(L366="",0,L366)/60,2))</f>
        <v>0</v>
      </c>
      <c r="U366" s="34">
        <f>IF(F366="","",IF(M366&lt;&gt;"",M366,IF(T366="",0,T366)))</f>
        <v>0</v>
      </c>
      <c r="V366" s="21">
        <f>IF(F366="","",IFERROR(INDEX(Employees!$U$5:$U$44,MATCH(F366,Employees!$B$5:$B$44,0)),PayRate*(1+EmployerOncost)))</f>
        <v>0</v>
      </c>
      <c r="W366" s="34">
        <f>IF(F366="","",MAX(0,U366-IF(N366="",0,N366)))</f>
        <v>0</v>
      </c>
      <c r="X366" s="21">
        <f>IF(F366="","",ROUND(W366*V366+IF(N366="",0,N366)*V366*OvertimeRate,2))</f>
        <v>0</v>
      </c>
      <c r="Y366" s="21">
        <f>IF(F366="","",IF(P366&lt;&gt;"Yes",0,ROUND(U366*IF(IFERROR(INDEX(Clients!$O$5:$O$204,MATCH(IFERROR(INDEX(Jobs!$G$5:$G$604,MATCH(G366,Jobs!$A$5:$A$604,0)),""),Clients!$A$5:$A$204,0)),0)&gt;0,INDEX(Clients!$O$5:$O$204,MATCH(INDEX(Jobs!$G$5:$G$604,MATCH(G366,Jobs!$A$5:$A$604,0)),Clients!$A$5:$A$204,0)),HourlyRate),2)))</f>
        <v>0</v>
      </c>
      <c r="Z366" s="39">
        <f>IF(F366="","",IF(U366=0,"Add - no hours recorded",IF(O366="Absent - no show","Action - no show",IF(U366&gt;10,"Check - over ten hours in a day",IF(Q366&lt;&gt;"Yes","Due - needs approving",IF(R366&lt;&gt;"Yes","Due - not paid yet","OK"))))))</f>
        <v>0</v>
      </c>
    </row>
    <row r="367" spans="1:26">
      <c r="A367" s="43">
        <f>IF(F367="","","TS-"&amp;TEXT(ROW()-4,"0000"))</f>
        <v>0</v>
      </c>
      <c r="C367" s="23">
        <f>IF(B367="","",TEXT(B367,"ddd"))</f>
        <v>0</v>
      </c>
      <c r="D367" s="31">
        <f>IF(B367="","",WEEKNUM(B367,IF(WeekStart="Sunday",1,2)))</f>
        <v>0</v>
      </c>
      <c r="E367" s="23">
        <f>IF(B367="","",TEXT(B367,"yyyy-mm"))</f>
        <v>0</v>
      </c>
      <c r="H367" s="23">
        <f>IF(G367="","",IFERROR(INDEX(Jobs!$H$5:$H$604,MATCH(G367,Jobs!$A$5:$A$604,0)),""))</f>
        <v>0</v>
      </c>
      <c r="T367" s="34">
        <f>IF(OR(J367="",K367=""),"",ROUND((K367-J367)*24-IF(L367="",0,L367)/60,2))</f>
        <v>0</v>
      </c>
      <c r="U367" s="34">
        <f>IF(F367="","",IF(M367&lt;&gt;"",M367,IF(T367="",0,T367)))</f>
        <v>0</v>
      </c>
      <c r="V367" s="21">
        <f>IF(F367="","",IFERROR(INDEX(Employees!$U$5:$U$44,MATCH(F367,Employees!$B$5:$B$44,0)),PayRate*(1+EmployerOncost)))</f>
        <v>0</v>
      </c>
      <c r="W367" s="34">
        <f>IF(F367="","",MAX(0,U367-IF(N367="",0,N367)))</f>
        <v>0</v>
      </c>
      <c r="X367" s="21">
        <f>IF(F367="","",ROUND(W367*V367+IF(N367="",0,N367)*V367*OvertimeRate,2))</f>
        <v>0</v>
      </c>
      <c r="Y367" s="21">
        <f>IF(F367="","",IF(P367&lt;&gt;"Yes",0,ROUND(U367*IF(IFERROR(INDEX(Clients!$O$5:$O$204,MATCH(IFERROR(INDEX(Jobs!$G$5:$G$604,MATCH(G367,Jobs!$A$5:$A$604,0)),""),Clients!$A$5:$A$204,0)),0)&gt;0,INDEX(Clients!$O$5:$O$204,MATCH(INDEX(Jobs!$G$5:$G$604,MATCH(G367,Jobs!$A$5:$A$604,0)),Clients!$A$5:$A$204,0)),HourlyRate),2)))</f>
        <v>0</v>
      </c>
      <c r="Z367" s="39">
        <f>IF(F367="","",IF(U367=0,"Add - no hours recorded",IF(O367="Absent - no show","Action - no show",IF(U367&gt;10,"Check - over ten hours in a day",IF(Q367&lt;&gt;"Yes","Due - needs approving",IF(R367&lt;&gt;"Yes","Due - not paid yet","OK"))))))</f>
        <v>0</v>
      </c>
    </row>
    <row r="368" spans="1:26">
      <c r="A368" s="43">
        <f>IF(F368="","","TS-"&amp;TEXT(ROW()-4,"0000"))</f>
        <v>0</v>
      </c>
      <c r="C368" s="23">
        <f>IF(B368="","",TEXT(B368,"ddd"))</f>
        <v>0</v>
      </c>
      <c r="D368" s="31">
        <f>IF(B368="","",WEEKNUM(B368,IF(WeekStart="Sunday",1,2)))</f>
        <v>0</v>
      </c>
      <c r="E368" s="23">
        <f>IF(B368="","",TEXT(B368,"yyyy-mm"))</f>
        <v>0</v>
      </c>
      <c r="H368" s="23">
        <f>IF(G368="","",IFERROR(INDEX(Jobs!$H$5:$H$604,MATCH(G368,Jobs!$A$5:$A$604,0)),""))</f>
        <v>0</v>
      </c>
      <c r="T368" s="34">
        <f>IF(OR(J368="",K368=""),"",ROUND((K368-J368)*24-IF(L368="",0,L368)/60,2))</f>
        <v>0</v>
      </c>
      <c r="U368" s="34">
        <f>IF(F368="","",IF(M368&lt;&gt;"",M368,IF(T368="",0,T368)))</f>
        <v>0</v>
      </c>
      <c r="V368" s="21">
        <f>IF(F368="","",IFERROR(INDEX(Employees!$U$5:$U$44,MATCH(F368,Employees!$B$5:$B$44,0)),PayRate*(1+EmployerOncost)))</f>
        <v>0</v>
      </c>
      <c r="W368" s="34">
        <f>IF(F368="","",MAX(0,U368-IF(N368="",0,N368)))</f>
        <v>0</v>
      </c>
      <c r="X368" s="21">
        <f>IF(F368="","",ROUND(W368*V368+IF(N368="",0,N368)*V368*OvertimeRate,2))</f>
        <v>0</v>
      </c>
      <c r="Y368" s="21">
        <f>IF(F368="","",IF(P368&lt;&gt;"Yes",0,ROUND(U368*IF(IFERROR(INDEX(Clients!$O$5:$O$204,MATCH(IFERROR(INDEX(Jobs!$G$5:$G$604,MATCH(G368,Jobs!$A$5:$A$604,0)),""),Clients!$A$5:$A$204,0)),0)&gt;0,INDEX(Clients!$O$5:$O$204,MATCH(INDEX(Jobs!$G$5:$G$604,MATCH(G368,Jobs!$A$5:$A$604,0)),Clients!$A$5:$A$204,0)),HourlyRate),2)))</f>
        <v>0</v>
      </c>
      <c r="Z368" s="39">
        <f>IF(F368="","",IF(U368=0,"Add - no hours recorded",IF(O368="Absent - no show","Action - no show",IF(U368&gt;10,"Check - over ten hours in a day",IF(Q368&lt;&gt;"Yes","Due - needs approving",IF(R368&lt;&gt;"Yes","Due - not paid yet","OK"))))))</f>
        <v>0</v>
      </c>
    </row>
    <row r="369" spans="1:26">
      <c r="A369" s="43">
        <f>IF(F369="","","TS-"&amp;TEXT(ROW()-4,"0000"))</f>
        <v>0</v>
      </c>
      <c r="C369" s="23">
        <f>IF(B369="","",TEXT(B369,"ddd"))</f>
        <v>0</v>
      </c>
      <c r="D369" s="31">
        <f>IF(B369="","",WEEKNUM(B369,IF(WeekStart="Sunday",1,2)))</f>
        <v>0</v>
      </c>
      <c r="E369" s="23">
        <f>IF(B369="","",TEXT(B369,"yyyy-mm"))</f>
        <v>0</v>
      </c>
      <c r="H369" s="23">
        <f>IF(G369="","",IFERROR(INDEX(Jobs!$H$5:$H$604,MATCH(G369,Jobs!$A$5:$A$604,0)),""))</f>
        <v>0</v>
      </c>
      <c r="T369" s="34">
        <f>IF(OR(J369="",K369=""),"",ROUND((K369-J369)*24-IF(L369="",0,L369)/60,2))</f>
        <v>0</v>
      </c>
      <c r="U369" s="34">
        <f>IF(F369="","",IF(M369&lt;&gt;"",M369,IF(T369="",0,T369)))</f>
        <v>0</v>
      </c>
      <c r="V369" s="21">
        <f>IF(F369="","",IFERROR(INDEX(Employees!$U$5:$U$44,MATCH(F369,Employees!$B$5:$B$44,0)),PayRate*(1+EmployerOncost)))</f>
        <v>0</v>
      </c>
      <c r="W369" s="34">
        <f>IF(F369="","",MAX(0,U369-IF(N369="",0,N369)))</f>
        <v>0</v>
      </c>
      <c r="X369" s="21">
        <f>IF(F369="","",ROUND(W369*V369+IF(N369="",0,N369)*V369*OvertimeRate,2))</f>
        <v>0</v>
      </c>
      <c r="Y369" s="21">
        <f>IF(F369="","",IF(P369&lt;&gt;"Yes",0,ROUND(U369*IF(IFERROR(INDEX(Clients!$O$5:$O$204,MATCH(IFERROR(INDEX(Jobs!$G$5:$G$604,MATCH(G369,Jobs!$A$5:$A$604,0)),""),Clients!$A$5:$A$204,0)),0)&gt;0,INDEX(Clients!$O$5:$O$204,MATCH(INDEX(Jobs!$G$5:$G$604,MATCH(G369,Jobs!$A$5:$A$604,0)),Clients!$A$5:$A$204,0)),HourlyRate),2)))</f>
        <v>0</v>
      </c>
      <c r="Z369" s="39">
        <f>IF(F369="","",IF(U369=0,"Add - no hours recorded",IF(O369="Absent - no show","Action - no show",IF(U369&gt;10,"Check - over ten hours in a day",IF(Q369&lt;&gt;"Yes","Due - needs approving",IF(R369&lt;&gt;"Yes","Due - not paid yet","OK"))))))</f>
        <v>0</v>
      </c>
    </row>
    <row r="370" spans="1:26">
      <c r="A370" s="43">
        <f>IF(F370="","","TS-"&amp;TEXT(ROW()-4,"0000"))</f>
        <v>0</v>
      </c>
      <c r="C370" s="23">
        <f>IF(B370="","",TEXT(B370,"ddd"))</f>
        <v>0</v>
      </c>
      <c r="D370" s="31">
        <f>IF(B370="","",WEEKNUM(B370,IF(WeekStart="Sunday",1,2)))</f>
        <v>0</v>
      </c>
      <c r="E370" s="23">
        <f>IF(B370="","",TEXT(B370,"yyyy-mm"))</f>
        <v>0</v>
      </c>
      <c r="H370" s="23">
        <f>IF(G370="","",IFERROR(INDEX(Jobs!$H$5:$H$604,MATCH(G370,Jobs!$A$5:$A$604,0)),""))</f>
        <v>0</v>
      </c>
      <c r="T370" s="34">
        <f>IF(OR(J370="",K370=""),"",ROUND((K370-J370)*24-IF(L370="",0,L370)/60,2))</f>
        <v>0</v>
      </c>
      <c r="U370" s="34">
        <f>IF(F370="","",IF(M370&lt;&gt;"",M370,IF(T370="",0,T370)))</f>
        <v>0</v>
      </c>
      <c r="V370" s="21">
        <f>IF(F370="","",IFERROR(INDEX(Employees!$U$5:$U$44,MATCH(F370,Employees!$B$5:$B$44,0)),PayRate*(1+EmployerOncost)))</f>
        <v>0</v>
      </c>
      <c r="W370" s="34">
        <f>IF(F370="","",MAX(0,U370-IF(N370="",0,N370)))</f>
        <v>0</v>
      </c>
      <c r="X370" s="21">
        <f>IF(F370="","",ROUND(W370*V370+IF(N370="",0,N370)*V370*OvertimeRate,2))</f>
        <v>0</v>
      </c>
      <c r="Y370" s="21">
        <f>IF(F370="","",IF(P370&lt;&gt;"Yes",0,ROUND(U370*IF(IFERROR(INDEX(Clients!$O$5:$O$204,MATCH(IFERROR(INDEX(Jobs!$G$5:$G$604,MATCH(G370,Jobs!$A$5:$A$604,0)),""),Clients!$A$5:$A$204,0)),0)&gt;0,INDEX(Clients!$O$5:$O$204,MATCH(INDEX(Jobs!$G$5:$G$604,MATCH(G370,Jobs!$A$5:$A$604,0)),Clients!$A$5:$A$204,0)),HourlyRate),2)))</f>
        <v>0</v>
      </c>
      <c r="Z370" s="39">
        <f>IF(F370="","",IF(U370=0,"Add - no hours recorded",IF(O370="Absent - no show","Action - no show",IF(U370&gt;10,"Check - over ten hours in a day",IF(Q370&lt;&gt;"Yes","Due - needs approving",IF(R370&lt;&gt;"Yes","Due - not paid yet","OK"))))))</f>
        <v>0</v>
      </c>
    </row>
    <row r="371" spans="1:26">
      <c r="A371" s="43">
        <f>IF(F371="","","TS-"&amp;TEXT(ROW()-4,"0000"))</f>
        <v>0</v>
      </c>
      <c r="C371" s="23">
        <f>IF(B371="","",TEXT(B371,"ddd"))</f>
        <v>0</v>
      </c>
      <c r="D371" s="31">
        <f>IF(B371="","",WEEKNUM(B371,IF(WeekStart="Sunday",1,2)))</f>
        <v>0</v>
      </c>
      <c r="E371" s="23">
        <f>IF(B371="","",TEXT(B371,"yyyy-mm"))</f>
        <v>0</v>
      </c>
      <c r="H371" s="23">
        <f>IF(G371="","",IFERROR(INDEX(Jobs!$H$5:$H$604,MATCH(G371,Jobs!$A$5:$A$604,0)),""))</f>
        <v>0</v>
      </c>
      <c r="T371" s="34">
        <f>IF(OR(J371="",K371=""),"",ROUND((K371-J371)*24-IF(L371="",0,L371)/60,2))</f>
        <v>0</v>
      </c>
      <c r="U371" s="34">
        <f>IF(F371="","",IF(M371&lt;&gt;"",M371,IF(T371="",0,T371)))</f>
        <v>0</v>
      </c>
      <c r="V371" s="21">
        <f>IF(F371="","",IFERROR(INDEX(Employees!$U$5:$U$44,MATCH(F371,Employees!$B$5:$B$44,0)),PayRate*(1+EmployerOncost)))</f>
        <v>0</v>
      </c>
      <c r="W371" s="34">
        <f>IF(F371="","",MAX(0,U371-IF(N371="",0,N371)))</f>
        <v>0</v>
      </c>
      <c r="X371" s="21">
        <f>IF(F371="","",ROUND(W371*V371+IF(N371="",0,N371)*V371*OvertimeRate,2))</f>
        <v>0</v>
      </c>
      <c r="Y371" s="21">
        <f>IF(F371="","",IF(P371&lt;&gt;"Yes",0,ROUND(U371*IF(IFERROR(INDEX(Clients!$O$5:$O$204,MATCH(IFERROR(INDEX(Jobs!$G$5:$G$604,MATCH(G371,Jobs!$A$5:$A$604,0)),""),Clients!$A$5:$A$204,0)),0)&gt;0,INDEX(Clients!$O$5:$O$204,MATCH(INDEX(Jobs!$G$5:$G$604,MATCH(G371,Jobs!$A$5:$A$604,0)),Clients!$A$5:$A$204,0)),HourlyRate),2)))</f>
        <v>0</v>
      </c>
      <c r="Z371" s="39">
        <f>IF(F371="","",IF(U371=0,"Add - no hours recorded",IF(O371="Absent - no show","Action - no show",IF(U371&gt;10,"Check - over ten hours in a day",IF(Q371&lt;&gt;"Yes","Due - needs approving",IF(R371&lt;&gt;"Yes","Due - not paid yet","OK"))))))</f>
        <v>0</v>
      </c>
    </row>
    <row r="372" spans="1:26">
      <c r="A372" s="43">
        <f>IF(F372="","","TS-"&amp;TEXT(ROW()-4,"0000"))</f>
        <v>0</v>
      </c>
      <c r="C372" s="23">
        <f>IF(B372="","",TEXT(B372,"ddd"))</f>
        <v>0</v>
      </c>
      <c r="D372" s="31">
        <f>IF(B372="","",WEEKNUM(B372,IF(WeekStart="Sunday",1,2)))</f>
        <v>0</v>
      </c>
      <c r="E372" s="23">
        <f>IF(B372="","",TEXT(B372,"yyyy-mm"))</f>
        <v>0</v>
      </c>
      <c r="H372" s="23">
        <f>IF(G372="","",IFERROR(INDEX(Jobs!$H$5:$H$604,MATCH(G372,Jobs!$A$5:$A$604,0)),""))</f>
        <v>0</v>
      </c>
      <c r="T372" s="34">
        <f>IF(OR(J372="",K372=""),"",ROUND((K372-J372)*24-IF(L372="",0,L372)/60,2))</f>
        <v>0</v>
      </c>
      <c r="U372" s="34">
        <f>IF(F372="","",IF(M372&lt;&gt;"",M372,IF(T372="",0,T372)))</f>
        <v>0</v>
      </c>
      <c r="V372" s="21">
        <f>IF(F372="","",IFERROR(INDEX(Employees!$U$5:$U$44,MATCH(F372,Employees!$B$5:$B$44,0)),PayRate*(1+EmployerOncost)))</f>
        <v>0</v>
      </c>
      <c r="W372" s="34">
        <f>IF(F372="","",MAX(0,U372-IF(N372="",0,N372)))</f>
        <v>0</v>
      </c>
      <c r="X372" s="21">
        <f>IF(F372="","",ROUND(W372*V372+IF(N372="",0,N372)*V372*OvertimeRate,2))</f>
        <v>0</v>
      </c>
      <c r="Y372" s="21">
        <f>IF(F372="","",IF(P372&lt;&gt;"Yes",0,ROUND(U372*IF(IFERROR(INDEX(Clients!$O$5:$O$204,MATCH(IFERROR(INDEX(Jobs!$G$5:$G$604,MATCH(G372,Jobs!$A$5:$A$604,0)),""),Clients!$A$5:$A$204,0)),0)&gt;0,INDEX(Clients!$O$5:$O$204,MATCH(INDEX(Jobs!$G$5:$G$604,MATCH(G372,Jobs!$A$5:$A$604,0)),Clients!$A$5:$A$204,0)),HourlyRate),2)))</f>
        <v>0</v>
      </c>
      <c r="Z372" s="39">
        <f>IF(F372="","",IF(U372=0,"Add - no hours recorded",IF(O372="Absent - no show","Action - no show",IF(U372&gt;10,"Check - over ten hours in a day",IF(Q372&lt;&gt;"Yes","Due - needs approving",IF(R372&lt;&gt;"Yes","Due - not paid yet","OK"))))))</f>
        <v>0</v>
      </c>
    </row>
    <row r="373" spans="1:26">
      <c r="A373" s="43">
        <f>IF(F373="","","TS-"&amp;TEXT(ROW()-4,"0000"))</f>
        <v>0</v>
      </c>
      <c r="C373" s="23">
        <f>IF(B373="","",TEXT(B373,"ddd"))</f>
        <v>0</v>
      </c>
      <c r="D373" s="31">
        <f>IF(B373="","",WEEKNUM(B373,IF(WeekStart="Sunday",1,2)))</f>
        <v>0</v>
      </c>
      <c r="E373" s="23">
        <f>IF(B373="","",TEXT(B373,"yyyy-mm"))</f>
        <v>0</v>
      </c>
      <c r="H373" s="23">
        <f>IF(G373="","",IFERROR(INDEX(Jobs!$H$5:$H$604,MATCH(G373,Jobs!$A$5:$A$604,0)),""))</f>
        <v>0</v>
      </c>
      <c r="T373" s="34">
        <f>IF(OR(J373="",K373=""),"",ROUND((K373-J373)*24-IF(L373="",0,L373)/60,2))</f>
        <v>0</v>
      </c>
      <c r="U373" s="34">
        <f>IF(F373="","",IF(M373&lt;&gt;"",M373,IF(T373="",0,T373)))</f>
        <v>0</v>
      </c>
      <c r="V373" s="21">
        <f>IF(F373="","",IFERROR(INDEX(Employees!$U$5:$U$44,MATCH(F373,Employees!$B$5:$B$44,0)),PayRate*(1+EmployerOncost)))</f>
        <v>0</v>
      </c>
      <c r="W373" s="34">
        <f>IF(F373="","",MAX(0,U373-IF(N373="",0,N373)))</f>
        <v>0</v>
      </c>
      <c r="X373" s="21">
        <f>IF(F373="","",ROUND(W373*V373+IF(N373="",0,N373)*V373*OvertimeRate,2))</f>
        <v>0</v>
      </c>
      <c r="Y373" s="21">
        <f>IF(F373="","",IF(P373&lt;&gt;"Yes",0,ROUND(U373*IF(IFERROR(INDEX(Clients!$O$5:$O$204,MATCH(IFERROR(INDEX(Jobs!$G$5:$G$604,MATCH(G373,Jobs!$A$5:$A$604,0)),""),Clients!$A$5:$A$204,0)),0)&gt;0,INDEX(Clients!$O$5:$O$204,MATCH(INDEX(Jobs!$G$5:$G$604,MATCH(G373,Jobs!$A$5:$A$604,0)),Clients!$A$5:$A$204,0)),HourlyRate),2)))</f>
        <v>0</v>
      </c>
      <c r="Z373" s="39">
        <f>IF(F373="","",IF(U373=0,"Add - no hours recorded",IF(O373="Absent - no show","Action - no show",IF(U373&gt;10,"Check - over ten hours in a day",IF(Q373&lt;&gt;"Yes","Due - needs approving",IF(R373&lt;&gt;"Yes","Due - not paid yet","OK"))))))</f>
        <v>0</v>
      </c>
    </row>
    <row r="374" spans="1:26">
      <c r="A374" s="43">
        <f>IF(F374="","","TS-"&amp;TEXT(ROW()-4,"0000"))</f>
        <v>0</v>
      </c>
      <c r="C374" s="23">
        <f>IF(B374="","",TEXT(B374,"ddd"))</f>
        <v>0</v>
      </c>
      <c r="D374" s="31">
        <f>IF(B374="","",WEEKNUM(B374,IF(WeekStart="Sunday",1,2)))</f>
        <v>0</v>
      </c>
      <c r="E374" s="23">
        <f>IF(B374="","",TEXT(B374,"yyyy-mm"))</f>
        <v>0</v>
      </c>
      <c r="H374" s="23">
        <f>IF(G374="","",IFERROR(INDEX(Jobs!$H$5:$H$604,MATCH(G374,Jobs!$A$5:$A$604,0)),""))</f>
        <v>0</v>
      </c>
      <c r="T374" s="34">
        <f>IF(OR(J374="",K374=""),"",ROUND((K374-J374)*24-IF(L374="",0,L374)/60,2))</f>
        <v>0</v>
      </c>
      <c r="U374" s="34">
        <f>IF(F374="","",IF(M374&lt;&gt;"",M374,IF(T374="",0,T374)))</f>
        <v>0</v>
      </c>
      <c r="V374" s="21">
        <f>IF(F374="","",IFERROR(INDEX(Employees!$U$5:$U$44,MATCH(F374,Employees!$B$5:$B$44,0)),PayRate*(1+EmployerOncost)))</f>
        <v>0</v>
      </c>
      <c r="W374" s="34">
        <f>IF(F374="","",MAX(0,U374-IF(N374="",0,N374)))</f>
        <v>0</v>
      </c>
      <c r="X374" s="21">
        <f>IF(F374="","",ROUND(W374*V374+IF(N374="",0,N374)*V374*OvertimeRate,2))</f>
        <v>0</v>
      </c>
      <c r="Y374" s="21">
        <f>IF(F374="","",IF(P374&lt;&gt;"Yes",0,ROUND(U374*IF(IFERROR(INDEX(Clients!$O$5:$O$204,MATCH(IFERROR(INDEX(Jobs!$G$5:$G$604,MATCH(G374,Jobs!$A$5:$A$604,0)),""),Clients!$A$5:$A$204,0)),0)&gt;0,INDEX(Clients!$O$5:$O$204,MATCH(INDEX(Jobs!$G$5:$G$604,MATCH(G374,Jobs!$A$5:$A$604,0)),Clients!$A$5:$A$204,0)),HourlyRate),2)))</f>
        <v>0</v>
      </c>
      <c r="Z374" s="39">
        <f>IF(F374="","",IF(U374=0,"Add - no hours recorded",IF(O374="Absent - no show","Action - no show",IF(U374&gt;10,"Check - over ten hours in a day",IF(Q374&lt;&gt;"Yes","Due - needs approving",IF(R374&lt;&gt;"Yes","Due - not paid yet","OK"))))))</f>
        <v>0</v>
      </c>
    </row>
    <row r="375" spans="1:26">
      <c r="A375" s="43">
        <f>IF(F375="","","TS-"&amp;TEXT(ROW()-4,"0000"))</f>
        <v>0</v>
      </c>
      <c r="C375" s="23">
        <f>IF(B375="","",TEXT(B375,"ddd"))</f>
        <v>0</v>
      </c>
      <c r="D375" s="31">
        <f>IF(B375="","",WEEKNUM(B375,IF(WeekStart="Sunday",1,2)))</f>
        <v>0</v>
      </c>
      <c r="E375" s="23">
        <f>IF(B375="","",TEXT(B375,"yyyy-mm"))</f>
        <v>0</v>
      </c>
      <c r="H375" s="23">
        <f>IF(G375="","",IFERROR(INDEX(Jobs!$H$5:$H$604,MATCH(G375,Jobs!$A$5:$A$604,0)),""))</f>
        <v>0</v>
      </c>
      <c r="T375" s="34">
        <f>IF(OR(J375="",K375=""),"",ROUND((K375-J375)*24-IF(L375="",0,L375)/60,2))</f>
        <v>0</v>
      </c>
      <c r="U375" s="34">
        <f>IF(F375="","",IF(M375&lt;&gt;"",M375,IF(T375="",0,T375)))</f>
        <v>0</v>
      </c>
      <c r="V375" s="21">
        <f>IF(F375="","",IFERROR(INDEX(Employees!$U$5:$U$44,MATCH(F375,Employees!$B$5:$B$44,0)),PayRate*(1+EmployerOncost)))</f>
        <v>0</v>
      </c>
      <c r="W375" s="34">
        <f>IF(F375="","",MAX(0,U375-IF(N375="",0,N375)))</f>
        <v>0</v>
      </c>
      <c r="X375" s="21">
        <f>IF(F375="","",ROUND(W375*V375+IF(N375="",0,N375)*V375*OvertimeRate,2))</f>
        <v>0</v>
      </c>
      <c r="Y375" s="21">
        <f>IF(F375="","",IF(P375&lt;&gt;"Yes",0,ROUND(U375*IF(IFERROR(INDEX(Clients!$O$5:$O$204,MATCH(IFERROR(INDEX(Jobs!$G$5:$G$604,MATCH(G375,Jobs!$A$5:$A$604,0)),""),Clients!$A$5:$A$204,0)),0)&gt;0,INDEX(Clients!$O$5:$O$204,MATCH(INDEX(Jobs!$G$5:$G$604,MATCH(G375,Jobs!$A$5:$A$604,0)),Clients!$A$5:$A$204,0)),HourlyRate),2)))</f>
        <v>0</v>
      </c>
      <c r="Z375" s="39">
        <f>IF(F375="","",IF(U375=0,"Add - no hours recorded",IF(O375="Absent - no show","Action - no show",IF(U375&gt;10,"Check - over ten hours in a day",IF(Q375&lt;&gt;"Yes","Due - needs approving",IF(R375&lt;&gt;"Yes","Due - not paid yet","OK"))))))</f>
        <v>0</v>
      </c>
    </row>
    <row r="376" spans="1:26">
      <c r="A376" s="43">
        <f>IF(F376="","","TS-"&amp;TEXT(ROW()-4,"0000"))</f>
        <v>0</v>
      </c>
      <c r="C376" s="23">
        <f>IF(B376="","",TEXT(B376,"ddd"))</f>
        <v>0</v>
      </c>
      <c r="D376" s="31">
        <f>IF(B376="","",WEEKNUM(B376,IF(WeekStart="Sunday",1,2)))</f>
        <v>0</v>
      </c>
      <c r="E376" s="23">
        <f>IF(B376="","",TEXT(B376,"yyyy-mm"))</f>
        <v>0</v>
      </c>
      <c r="H376" s="23">
        <f>IF(G376="","",IFERROR(INDEX(Jobs!$H$5:$H$604,MATCH(G376,Jobs!$A$5:$A$604,0)),""))</f>
        <v>0</v>
      </c>
      <c r="T376" s="34">
        <f>IF(OR(J376="",K376=""),"",ROUND((K376-J376)*24-IF(L376="",0,L376)/60,2))</f>
        <v>0</v>
      </c>
      <c r="U376" s="34">
        <f>IF(F376="","",IF(M376&lt;&gt;"",M376,IF(T376="",0,T376)))</f>
        <v>0</v>
      </c>
      <c r="V376" s="21">
        <f>IF(F376="","",IFERROR(INDEX(Employees!$U$5:$U$44,MATCH(F376,Employees!$B$5:$B$44,0)),PayRate*(1+EmployerOncost)))</f>
        <v>0</v>
      </c>
      <c r="W376" s="34">
        <f>IF(F376="","",MAX(0,U376-IF(N376="",0,N376)))</f>
        <v>0</v>
      </c>
      <c r="X376" s="21">
        <f>IF(F376="","",ROUND(W376*V376+IF(N376="",0,N376)*V376*OvertimeRate,2))</f>
        <v>0</v>
      </c>
      <c r="Y376" s="21">
        <f>IF(F376="","",IF(P376&lt;&gt;"Yes",0,ROUND(U376*IF(IFERROR(INDEX(Clients!$O$5:$O$204,MATCH(IFERROR(INDEX(Jobs!$G$5:$G$604,MATCH(G376,Jobs!$A$5:$A$604,0)),""),Clients!$A$5:$A$204,0)),0)&gt;0,INDEX(Clients!$O$5:$O$204,MATCH(INDEX(Jobs!$G$5:$G$604,MATCH(G376,Jobs!$A$5:$A$604,0)),Clients!$A$5:$A$204,0)),HourlyRate),2)))</f>
        <v>0</v>
      </c>
      <c r="Z376" s="39">
        <f>IF(F376="","",IF(U376=0,"Add - no hours recorded",IF(O376="Absent - no show","Action - no show",IF(U376&gt;10,"Check - over ten hours in a day",IF(Q376&lt;&gt;"Yes","Due - needs approving",IF(R376&lt;&gt;"Yes","Due - not paid yet","OK"))))))</f>
        <v>0</v>
      </c>
    </row>
    <row r="377" spans="1:26">
      <c r="A377" s="43">
        <f>IF(F377="","","TS-"&amp;TEXT(ROW()-4,"0000"))</f>
        <v>0</v>
      </c>
      <c r="C377" s="23">
        <f>IF(B377="","",TEXT(B377,"ddd"))</f>
        <v>0</v>
      </c>
      <c r="D377" s="31">
        <f>IF(B377="","",WEEKNUM(B377,IF(WeekStart="Sunday",1,2)))</f>
        <v>0</v>
      </c>
      <c r="E377" s="23">
        <f>IF(B377="","",TEXT(B377,"yyyy-mm"))</f>
        <v>0</v>
      </c>
      <c r="H377" s="23">
        <f>IF(G377="","",IFERROR(INDEX(Jobs!$H$5:$H$604,MATCH(G377,Jobs!$A$5:$A$604,0)),""))</f>
        <v>0</v>
      </c>
      <c r="T377" s="34">
        <f>IF(OR(J377="",K377=""),"",ROUND((K377-J377)*24-IF(L377="",0,L377)/60,2))</f>
        <v>0</v>
      </c>
      <c r="U377" s="34">
        <f>IF(F377="","",IF(M377&lt;&gt;"",M377,IF(T377="",0,T377)))</f>
        <v>0</v>
      </c>
      <c r="V377" s="21">
        <f>IF(F377="","",IFERROR(INDEX(Employees!$U$5:$U$44,MATCH(F377,Employees!$B$5:$B$44,0)),PayRate*(1+EmployerOncost)))</f>
        <v>0</v>
      </c>
      <c r="W377" s="34">
        <f>IF(F377="","",MAX(0,U377-IF(N377="",0,N377)))</f>
        <v>0</v>
      </c>
      <c r="X377" s="21">
        <f>IF(F377="","",ROUND(W377*V377+IF(N377="",0,N377)*V377*OvertimeRate,2))</f>
        <v>0</v>
      </c>
      <c r="Y377" s="21">
        <f>IF(F377="","",IF(P377&lt;&gt;"Yes",0,ROUND(U377*IF(IFERROR(INDEX(Clients!$O$5:$O$204,MATCH(IFERROR(INDEX(Jobs!$G$5:$G$604,MATCH(G377,Jobs!$A$5:$A$604,0)),""),Clients!$A$5:$A$204,0)),0)&gt;0,INDEX(Clients!$O$5:$O$204,MATCH(INDEX(Jobs!$G$5:$G$604,MATCH(G377,Jobs!$A$5:$A$604,0)),Clients!$A$5:$A$204,0)),HourlyRate),2)))</f>
        <v>0</v>
      </c>
      <c r="Z377" s="39">
        <f>IF(F377="","",IF(U377=0,"Add - no hours recorded",IF(O377="Absent - no show","Action - no show",IF(U377&gt;10,"Check - over ten hours in a day",IF(Q377&lt;&gt;"Yes","Due - needs approving",IF(R377&lt;&gt;"Yes","Due - not paid yet","OK"))))))</f>
        <v>0</v>
      </c>
    </row>
    <row r="378" spans="1:26">
      <c r="A378" s="43">
        <f>IF(F378="","","TS-"&amp;TEXT(ROW()-4,"0000"))</f>
        <v>0</v>
      </c>
      <c r="C378" s="23">
        <f>IF(B378="","",TEXT(B378,"ddd"))</f>
        <v>0</v>
      </c>
      <c r="D378" s="31">
        <f>IF(B378="","",WEEKNUM(B378,IF(WeekStart="Sunday",1,2)))</f>
        <v>0</v>
      </c>
      <c r="E378" s="23">
        <f>IF(B378="","",TEXT(B378,"yyyy-mm"))</f>
        <v>0</v>
      </c>
      <c r="H378" s="23">
        <f>IF(G378="","",IFERROR(INDEX(Jobs!$H$5:$H$604,MATCH(G378,Jobs!$A$5:$A$604,0)),""))</f>
        <v>0</v>
      </c>
      <c r="T378" s="34">
        <f>IF(OR(J378="",K378=""),"",ROUND((K378-J378)*24-IF(L378="",0,L378)/60,2))</f>
        <v>0</v>
      </c>
      <c r="U378" s="34">
        <f>IF(F378="","",IF(M378&lt;&gt;"",M378,IF(T378="",0,T378)))</f>
        <v>0</v>
      </c>
      <c r="V378" s="21">
        <f>IF(F378="","",IFERROR(INDEX(Employees!$U$5:$U$44,MATCH(F378,Employees!$B$5:$B$44,0)),PayRate*(1+EmployerOncost)))</f>
        <v>0</v>
      </c>
      <c r="W378" s="34">
        <f>IF(F378="","",MAX(0,U378-IF(N378="",0,N378)))</f>
        <v>0</v>
      </c>
      <c r="X378" s="21">
        <f>IF(F378="","",ROUND(W378*V378+IF(N378="",0,N378)*V378*OvertimeRate,2))</f>
        <v>0</v>
      </c>
      <c r="Y378" s="21">
        <f>IF(F378="","",IF(P378&lt;&gt;"Yes",0,ROUND(U378*IF(IFERROR(INDEX(Clients!$O$5:$O$204,MATCH(IFERROR(INDEX(Jobs!$G$5:$G$604,MATCH(G378,Jobs!$A$5:$A$604,0)),""),Clients!$A$5:$A$204,0)),0)&gt;0,INDEX(Clients!$O$5:$O$204,MATCH(INDEX(Jobs!$G$5:$G$604,MATCH(G378,Jobs!$A$5:$A$604,0)),Clients!$A$5:$A$204,0)),HourlyRate),2)))</f>
        <v>0</v>
      </c>
      <c r="Z378" s="39">
        <f>IF(F378="","",IF(U378=0,"Add - no hours recorded",IF(O378="Absent - no show","Action - no show",IF(U378&gt;10,"Check - over ten hours in a day",IF(Q378&lt;&gt;"Yes","Due - needs approving",IF(R378&lt;&gt;"Yes","Due - not paid yet","OK"))))))</f>
        <v>0</v>
      </c>
    </row>
    <row r="379" spans="1:26">
      <c r="A379" s="43">
        <f>IF(F379="","","TS-"&amp;TEXT(ROW()-4,"0000"))</f>
        <v>0</v>
      </c>
      <c r="C379" s="23">
        <f>IF(B379="","",TEXT(B379,"ddd"))</f>
        <v>0</v>
      </c>
      <c r="D379" s="31">
        <f>IF(B379="","",WEEKNUM(B379,IF(WeekStart="Sunday",1,2)))</f>
        <v>0</v>
      </c>
      <c r="E379" s="23">
        <f>IF(B379="","",TEXT(B379,"yyyy-mm"))</f>
        <v>0</v>
      </c>
      <c r="H379" s="23">
        <f>IF(G379="","",IFERROR(INDEX(Jobs!$H$5:$H$604,MATCH(G379,Jobs!$A$5:$A$604,0)),""))</f>
        <v>0</v>
      </c>
      <c r="T379" s="34">
        <f>IF(OR(J379="",K379=""),"",ROUND((K379-J379)*24-IF(L379="",0,L379)/60,2))</f>
        <v>0</v>
      </c>
      <c r="U379" s="34">
        <f>IF(F379="","",IF(M379&lt;&gt;"",M379,IF(T379="",0,T379)))</f>
        <v>0</v>
      </c>
      <c r="V379" s="21">
        <f>IF(F379="","",IFERROR(INDEX(Employees!$U$5:$U$44,MATCH(F379,Employees!$B$5:$B$44,0)),PayRate*(1+EmployerOncost)))</f>
        <v>0</v>
      </c>
      <c r="W379" s="34">
        <f>IF(F379="","",MAX(0,U379-IF(N379="",0,N379)))</f>
        <v>0</v>
      </c>
      <c r="X379" s="21">
        <f>IF(F379="","",ROUND(W379*V379+IF(N379="",0,N379)*V379*OvertimeRate,2))</f>
        <v>0</v>
      </c>
      <c r="Y379" s="21">
        <f>IF(F379="","",IF(P379&lt;&gt;"Yes",0,ROUND(U379*IF(IFERROR(INDEX(Clients!$O$5:$O$204,MATCH(IFERROR(INDEX(Jobs!$G$5:$G$604,MATCH(G379,Jobs!$A$5:$A$604,0)),""),Clients!$A$5:$A$204,0)),0)&gt;0,INDEX(Clients!$O$5:$O$204,MATCH(INDEX(Jobs!$G$5:$G$604,MATCH(G379,Jobs!$A$5:$A$604,0)),Clients!$A$5:$A$204,0)),HourlyRate),2)))</f>
        <v>0</v>
      </c>
      <c r="Z379" s="39">
        <f>IF(F379="","",IF(U379=0,"Add - no hours recorded",IF(O379="Absent - no show","Action - no show",IF(U379&gt;10,"Check - over ten hours in a day",IF(Q379&lt;&gt;"Yes","Due - needs approving",IF(R379&lt;&gt;"Yes","Due - not paid yet","OK"))))))</f>
        <v>0</v>
      </c>
    </row>
    <row r="380" spans="1:26">
      <c r="A380" s="43">
        <f>IF(F380="","","TS-"&amp;TEXT(ROW()-4,"0000"))</f>
        <v>0</v>
      </c>
      <c r="C380" s="23">
        <f>IF(B380="","",TEXT(B380,"ddd"))</f>
        <v>0</v>
      </c>
      <c r="D380" s="31">
        <f>IF(B380="","",WEEKNUM(B380,IF(WeekStart="Sunday",1,2)))</f>
        <v>0</v>
      </c>
      <c r="E380" s="23">
        <f>IF(B380="","",TEXT(B380,"yyyy-mm"))</f>
        <v>0</v>
      </c>
      <c r="H380" s="23">
        <f>IF(G380="","",IFERROR(INDEX(Jobs!$H$5:$H$604,MATCH(G380,Jobs!$A$5:$A$604,0)),""))</f>
        <v>0</v>
      </c>
      <c r="T380" s="34">
        <f>IF(OR(J380="",K380=""),"",ROUND((K380-J380)*24-IF(L380="",0,L380)/60,2))</f>
        <v>0</v>
      </c>
      <c r="U380" s="34">
        <f>IF(F380="","",IF(M380&lt;&gt;"",M380,IF(T380="",0,T380)))</f>
        <v>0</v>
      </c>
      <c r="V380" s="21">
        <f>IF(F380="","",IFERROR(INDEX(Employees!$U$5:$U$44,MATCH(F380,Employees!$B$5:$B$44,0)),PayRate*(1+EmployerOncost)))</f>
        <v>0</v>
      </c>
      <c r="W380" s="34">
        <f>IF(F380="","",MAX(0,U380-IF(N380="",0,N380)))</f>
        <v>0</v>
      </c>
      <c r="X380" s="21">
        <f>IF(F380="","",ROUND(W380*V380+IF(N380="",0,N380)*V380*OvertimeRate,2))</f>
        <v>0</v>
      </c>
      <c r="Y380" s="21">
        <f>IF(F380="","",IF(P380&lt;&gt;"Yes",0,ROUND(U380*IF(IFERROR(INDEX(Clients!$O$5:$O$204,MATCH(IFERROR(INDEX(Jobs!$G$5:$G$604,MATCH(G380,Jobs!$A$5:$A$604,0)),""),Clients!$A$5:$A$204,0)),0)&gt;0,INDEX(Clients!$O$5:$O$204,MATCH(INDEX(Jobs!$G$5:$G$604,MATCH(G380,Jobs!$A$5:$A$604,0)),Clients!$A$5:$A$204,0)),HourlyRate),2)))</f>
        <v>0</v>
      </c>
      <c r="Z380" s="39">
        <f>IF(F380="","",IF(U380=0,"Add - no hours recorded",IF(O380="Absent - no show","Action - no show",IF(U380&gt;10,"Check - over ten hours in a day",IF(Q380&lt;&gt;"Yes","Due - needs approving",IF(R380&lt;&gt;"Yes","Due - not paid yet","OK"))))))</f>
        <v>0</v>
      </c>
    </row>
    <row r="381" spans="1:26">
      <c r="A381" s="43">
        <f>IF(F381="","","TS-"&amp;TEXT(ROW()-4,"0000"))</f>
        <v>0</v>
      </c>
      <c r="C381" s="23">
        <f>IF(B381="","",TEXT(B381,"ddd"))</f>
        <v>0</v>
      </c>
      <c r="D381" s="31">
        <f>IF(B381="","",WEEKNUM(B381,IF(WeekStart="Sunday",1,2)))</f>
        <v>0</v>
      </c>
      <c r="E381" s="23">
        <f>IF(B381="","",TEXT(B381,"yyyy-mm"))</f>
        <v>0</v>
      </c>
      <c r="H381" s="23">
        <f>IF(G381="","",IFERROR(INDEX(Jobs!$H$5:$H$604,MATCH(G381,Jobs!$A$5:$A$604,0)),""))</f>
        <v>0</v>
      </c>
      <c r="T381" s="34">
        <f>IF(OR(J381="",K381=""),"",ROUND((K381-J381)*24-IF(L381="",0,L381)/60,2))</f>
        <v>0</v>
      </c>
      <c r="U381" s="34">
        <f>IF(F381="","",IF(M381&lt;&gt;"",M381,IF(T381="",0,T381)))</f>
        <v>0</v>
      </c>
      <c r="V381" s="21">
        <f>IF(F381="","",IFERROR(INDEX(Employees!$U$5:$U$44,MATCH(F381,Employees!$B$5:$B$44,0)),PayRate*(1+EmployerOncost)))</f>
        <v>0</v>
      </c>
      <c r="W381" s="34">
        <f>IF(F381="","",MAX(0,U381-IF(N381="",0,N381)))</f>
        <v>0</v>
      </c>
      <c r="X381" s="21">
        <f>IF(F381="","",ROUND(W381*V381+IF(N381="",0,N381)*V381*OvertimeRate,2))</f>
        <v>0</v>
      </c>
      <c r="Y381" s="21">
        <f>IF(F381="","",IF(P381&lt;&gt;"Yes",0,ROUND(U381*IF(IFERROR(INDEX(Clients!$O$5:$O$204,MATCH(IFERROR(INDEX(Jobs!$G$5:$G$604,MATCH(G381,Jobs!$A$5:$A$604,0)),""),Clients!$A$5:$A$204,0)),0)&gt;0,INDEX(Clients!$O$5:$O$204,MATCH(INDEX(Jobs!$G$5:$G$604,MATCH(G381,Jobs!$A$5:$A$604,0)),Clients!$A$5:$A$204,0)),HourlyRate),2)))</f>
        <v>0</v>
      </c>
      <c r="Z381" s="39">
        <f>IF(F381="","",IF(U381=0,"Add - no hours recorded",IF(O381="Absent - no show","Action - no show",IF(U381&gt;10,"Check - over ten hours in a day",IF(Q381&lt;&gt;"Yes","Due - needs approving",IF(R381&lt;&gt;"Yes","Due - not paid yet","OK"))))))</f>
        <v>0</v>
      </c>
    </row>
    <row r="382" spans="1:26">
      <c r="A382" s="43">
        <f>IF(F382="","","TS-"&amp;TEXT(ROW()-4,"0000"))</f>
        <v>0</v>
      </c>
      <c r="C382" s="23">
        <f>IF(B382="","",TEXT(B382,"ddd"))</f>
        <v>0</v>
      </c>
      <c r="D382" s="31">
        <f>IF(B382="","",WEEKNUM(B382,IF(WeekStart="Sunday",1,2)))</f>
        <v>0</v>
      </c>
      <c r="E382" s="23">
        <f>IF(B382="","",TEXT(B382,"yyyy-mm"))</f>
        <v>0</v>
      </c>
      <c r="H382" s="23">
        <f>IF(G382="","",IFERROR(INDEX(Jobs!$H$5:$H$604,MATCH(G382,Jobs!$A$5:$A$604,0)),""))</f>
        <v>0</v>
      </c>
      <c r="T382" s="34">
        <f>IF(OR(J382="",K382=""),"",ROUND((K382-J382)*24-IF(L382="",0,L382)/60,2))</f>
        <v>0</v>
      </c>
      <c r="U382" s="34">
        <f>IF(F382="","",IF(M382&lt;&gt;"",M382,IF(T382="",0,T382)))</f>
        <v>0</v>
      </c>
      <c r="V382" s="21">
        <f>IF(F382="","",IFERROR(INDEX(Employees!$U$5:$U$44,MATCH(F382,Employees!$B$5:$B$44,0)),PayRate*(1+EmployerOncost)))</f>
        <v>0</v>
      </c>
      <c r="W382" s="34">
        <f>IF(F382="","",MAX(0,U382-IF(N382="",0,N382)))</f>
        <v>0</v>
      </c>
      <c r="X382" s="21">
        <f>IF(F382="","",ROUND(W382*V382+IF(N382="",0,N382)*V382*OvertimeRate,2))</f>
        <v>0</v>
      </c>
      <c r="Y382" s="21">
        <f>IF(F382="","",IF(P382&lt;&gt;"Yes",0,ROUND(U382*IF(IFERROR(INDEX(Clients!$O$5:$O$204,MATCH(IFERROR(INDEX(Jobs!$G$5:$G$604,MATCH(G382,Jobs!$A$5:$A$604,0)),""),Clients!$A$5:$A$204,0)),0)&gt;0,INDEX(Clients!$O$5:$O$204,MATCH(INDEX(Jobs!$G$5:$G$604,MATCH(G382,Jobs!$A$5:$A$604,0)),Clients!$A$5:$A$204,0)),HourlyRate),2)))</f>
        <v>0</v>
      </c>
      <c r="Z382" s="39">
        <f>IF(F382="","",IF(U382=0,"Add - no hours recorded",IF(O382="Absent - no show","Action - no show",IF(U382&gt;10,"Check - over ten hours in a day",IF(Q382&lt;&gt;"Yes","Due - needs approving",IF(R382&lt;&gt;"Yes","Due - not paid yet","OK"))))))</f>
        <v>0</v>
      </c>
    </row>
    <row r="383" spans="1:26">
      <c r="A383" s="43">
        <f>IF(F383="","","TS-"&amp;TEXT(ROW()-4,"0000"))</f>
        <v>0</v>
      </c>
      <c r="C383" s="23">
        <f>IF(B383="","",TEXT(B383,"ddd"))</f>
        <v>0</v>
      </c>
      <c r="D383" s="31">
        <f>IF(B383="","",WEEKNUM(B383,IF(WeekStart="Sunday",1,2)))</f>
        <v>0</v>
      </c>
      <c r="E383" s="23">
        <f>IF(B383="","",TEXT(B383,"yyyy-mm"))</f>
        <v>0</v>
      </c>
      <c r="H383" s="23">
        <f>IF(G383="","",IFERROR(INDEX(Jobs!$H$5:$H$604,MATCH(G383,Jobs!$A$5:$A$604,0)),""))</f>
        <v>0</v>
      </c>
      <c r="T383" s="34">
        <f>IF(OR(J383="",K383=""),"",ROUND((K383-J383)*24-IF(L383="",0,L383)/60,2))</f>
        <v>0</v>
      </c>
      <c r="U383" s="34">
        <f>IF(F383="","",IF(M383&lt;&gt;"",M383,IF(T383="",0,T383)))</f>
        <v>0</v>
      </c>
      <c r="V383" s="21">
        <f>IF(F383="","",IFERROR(INDEX(Employees!$U$5:$U$44,MATCH(F383,Employees!$B$5:$B$44,0)),PayRate*(1+EmployerOncost)))</f>
        <v>0</v>
      </c>
      <c r="W383" s="34">
        <f>IF(F383="","",MAX(0,U383-IF(N383="",0,N383)))</f>
        <v>0</v>
      </c>
      <c r="X383" s="21">
        <f>IF(F383="","",ROUND(W383*V383+IF(N383="",0,N383)*V383*OvertimeRate,2))</f>
        <v>0</v>
      </c>
      <c r="Y383" s="21">
        <f>IF(F383="","",IF(P383&lt;&gt;"Yes",0,ROUND(U383*IF(IFERROR(INDEX(Clients!$O$5:$O$204,MATCH(IFERROR(INDEX(Jobs!$G$5:$G$604,MATCH(G383,Jobs!$A$5:$A$604,0)),""),Clients!$A$5:$A$204,0)),0)&gt;0,INDEX(Clients!$O$5:$O$204,MATCH(INDEX(Jobs!$G$5:$G$604,MATCH(G383,Jobs!$A$5:$A$604,0)),Clients!$A$5:$A$204,0)),HourlyRate),2)))</f>
        <v>0</v>
      </c>
      <c r="Z383" s="39">
        <f>IF(F383="","",IF(U383=0,"Add - no hours recorded",IF(O383="Absent - no show","Action - no show",IF(U383&gt;10,"Check - over ten hours in a day",IF(Q383&lt;&gt;"Yes","Due - needs approving",IF(R383&lt;&gt;"Yes","Due - not paid yet","OK"))))))</f>
        <v>0</v>
      </c>
    </row>
    <row r="384" spans="1:26">
      <c r="A384" s="43">
        <f>IF(F384="","","TS-"&amp;TEXT(ROW()-4,"0000"))</f>
        <v>0</v>
      </c>
      <c r="C384" s="23">
        <f>IF(B384="","",TEXT(B384,"ddd"))</f>
        <v>0</v>
      </c>
      <c r="D384" s="31">
        <f>IF(B384="","",WEEKNUM(B384,IF(WeekStart="Sunday",1,2)))</f>
        <v>0</v>
      </c>
      <c r="E384" s="23">
        <f>IF(B384="","",TEXT(B384,"yyyy-mm"))</f>
        <v>0</v>
      </c>
      <c r="H384" s="23">
        <f>IF(G384="","",IFERROR(INDEX(Jobs!$H$5:$H$604,MATCH(G384,Jobs!$A$5:$A$604,0)),""))</f>
        <v>0</v>
      </c>
      <c r="T384" s="34">
        <f>IF(OR(J384="",K384=""),"",ROUND((K384-J384)*24-IF(L384="",0,L384)/60,2))</f>
        <v>0</v>
      </c>
      <c r="U384" s="34">
        <f>IF(F384="","",IF(M384&lt;&gt;"",M384,IF(T384="",0,T384)))</f>
        <v>0</v>
      </c>
      <c r="V384" s="21">
        <f>IF(F384="","",IFERROR(INDEX(Employees!$U$5:$U$44,MATCH(F384,Employees!$B$5:$B$44,0)),PayRate*(1+EmployerOncost)))</f>
        <v>0</v>
      </c>
      <c r="W384" s="34">
        <f>IF(F384="","",MAX(0,U384-IF(N384="",0,N384)))</f>
        <v>0</v>
      </c>
      <c r="X384" s="21">
        <f>IF(F384="","",ROUND(W384*V384+IF(N384="",0,N384)*V384*OvertimeRate,2))</f>
        <v>0</v>
      </c>
      <c r="Y384" s="21">
        <f>IF(F384="","",IF(P384&lt;&gt;"Yes",0,ROUND(U384*IF(IFERROR(INDEX(Clients!$O$5:$O$204,MATCH(IFERROR(INDEX(Jobs!$G$5:$G$604,MATCH(G384,Jobs!$A$5:$A$604,0)),""),Clients!$A$5:$A$204,0)),0)&gt;0,INDEX(Clients!$O$5:$O$204,MATCH(INDEX(Jobs!$G$5:$G$604,MATCH(G384,Jobs!$A$5:$A$604,0)),Clients!$A$5:$A$204,0)),HourlyRate),2)))</f>
        <v>0</v>
      </c>
      <c r="Z384" s="39">
        <f>IF(F384="","",IF(U384=0,"Add - no hours recorded",IF(O384="Absent - no show","Action - no show",IF(U384&gt;10,"Check - over ten hours in a day",IF(Q384&lt;&gt;"Yes","Due - needs approving",IF(R384&lt;&gt;"Yes","Due - not paid yet","OK"))))))</f>
        <v>0</v>
      </c>
    </row>
    <row r="385" spans="1:26">
      <c r="A385" s="43">
        <f>IF(F385="","","TS-"&amp;TEXT(ROW()-4,"0000"))</f>
        <v>0</v>
      </c>
      <c r="C385" s="23">
        <f>IF(B385="","",TEXT(B385,"ddd"))</f>
        <v>0</v>
      </c>
      <c r="D385" s="31">
        <f>IF(B385="","",WEEKNUM(B385,IF(WeekStart="Sunday",1,2)))</f>
        <v>0</v>
      </c>
      <c r="E385" s="23">
        <f>IF(B385="","",TEXT(B385,"yyyy-mm"))</f>
        <v>0</v>
      </c>
      <c r="H385" s="23">
        <f>IF(G385="","",IFERROR(INDEX(Jobs!$H$5:$H$604,MATCH(G385,Jobs!$A$5:$A$604,0)),""))</f>
        <v>0</v>
      </c>
      <c r="T385" s="34">
        <f>IF(OR(J385="",K385=""),"",ROUND((K385-J385)*24-IF(L385="",0,L385)/60,2))</f>
        <v>0</v>
      </c>
      <c r="U385" s="34">
        <f>IF(F385="","",IF(M385&lt;&gt;"",M385,IF(T385="",0,T385)))</f>
        <v>0</v>
      </c>
      <c r="V385" s="21">
        <f>IF(F385="","",IFERROR(INDEX(Employees!$U$5:$U$44,MATCH(F385,Employees!$B$5:$B$44,0)),PayRate*(1+EmployerOncost)))</f>
        <v>0</v>
      </c>
      <c r="W385" s="34">
        <f>IF(F385="","",MAX(0,U385-IF(N385="",0,N385)))</f>
        <v>0</v>
      </c>
      <c r="X385" s="21">
        <f>IF(F385="","",ROUND(W385*V385+IF(N385="",0,N385)*V385*OvertimeRate,2))</f>
        <v>0</v>
      </c>
      <c r="Y385" s="21">
        <f>IF(F385="","",IF(P385&lt;&gt;"Yes",0,ROUND(U385*IF(IFERROR(INDEX(Clients!$O$5:$O$204,MATCH(IFERROR(INDEX(Jobs!$G$5:$G$604,MATCH(G385,Jobs!$A$5:$A$604,0)),""),Clients!$A$5:$A$204,0)),0)&gt;0,INDEX(Clients!$O$5:$O$204,MATCH(INDEX(Jobs!$G$5:$G$604,MATCH(G385,Jobs!$A$5:$A$604,0)),Clients!$A$5:$A$204,0)),HourlyRate),2)))</f>
        <v>0</v>
      </c>
      <c r="Z385" s="39">
        <f>IF(F385="","",IF(U385=0,"Add - no hours recorded",IF(O385="Absent - no show","Action - no show",IF(U385&gt;10,"Check - over ten hours in a day",IF(Q385&lt;&gt;"Yes","Due - needs approving",IF(R385&lt;&gt;"Yes","Due - not paid yet","OK"))))))</f>
        <v>0</v>
      </c>
    </row>
    <row r="386" spans="1:26">
      <c r="A386" s="43">
        <f>IF(F386="","","TS-"&amp;TEXT(ROW()-4,"0000"))</f>
        <v>0</v>
      </c>
      <c r="C386" s="23">
        <f>IF(B386="","",TEXT(B386,"ddd"))</f>
        <v>0</v>
      </c>
      <c r="D386" s="31">
        <f>IF(B386="","",WEEKNUM(B386,IF(WeekStart="Sunday",1,2)))</f>
        <v>0</v>
      </c>
      <c r="E386" s="23">
        <f>IF(B386="","",TEXT(B386,"yyyy-mm"))</f>
        <v>0</v>
      </c>
      <c r="H386" s="23">
        <f>IF(G386="","",IFERROR(INDEX(Jobs!$H$5:$H$604,MATCH(G386,Jobs!$A$5:$A$604,0)),""))</f>
        <v>0</v>
      </c>
      <c r="T386" s="34">
        <f>IF(OR(J386="",K386=""),"",ROUND((K386-J386)*24-IF(L386="",0,L386)/60,2))</f>
        <v>0</v>
      </c>
      <c r="U386" s="34">
        <f>IF(F386="","",IF(M386&lt;&gt;"",M386,IF(T386="",0,T386)))</f>
        <v>0</v>
      </c>
      <c r="V386" s="21">
        <f>IF(F386="","",IFERROR(INDEX(Employees!$U$5:$U$44,MATCH(F386,Employees!$B$5:$B$44,0)),PayRate*(1+EmployerOncost)))</f>
        <v>0</v>
      </c>
      <c r="W386" s="34">
        <f>IF(F386="","",MAX(0,U386-IF(N386="",0,N386)))</f>
        <v>0</v>
      </c>
      <c r="X386" s="21">
        <f>IF(F386="","",ROUND(W386*V386+IF(N386="",0,N386)*V386*OvertimeRate,2))</f>
        <v>0</v>
      </c>
      <c r="Y386" s="21">
        <f>IF(F386="","",IF(P386&lt;&gt;"Yes",0,ROUND(U386*IF(IFERROR(INDEX(Clients!$O$5:$O$204,MATCH(IFERROR(INDEX(Jobs!$G$5:$G$604,MATCH(G386,Jobs!$A$5:$A$604,0)),""),Clients!$A$5:$A$204,0)),0)&gt;0,INDEX(Clients!$O$5:$O$204,MATCH(INDEX(Jobs!$G$5:$G$604,MATCH(G386,Jobs!$A$5:$A$604,0)),Clients!$A$5:$A$204,0)),HourlyRate),2)))</f>
        <v>0</v>
      </c>
      <c r="Z386" s="39">
        <f>IF(F386="","",IF(U386=0,"Add - no hours recorded",IF(O386="Absent - no show","Action - no show",IF(U386&gt;10,"Check - over ten hours in a day",IF(Q386&lt;&gt;"Yes","Due - needs approving",IF(R386&lt;&gt;"Yes","Due - not paid yet","OK"))))))</f>
        <v>0</v>
      </c>
    </row>
    <row r="387" spans="1:26">
      <c r="A387" s="43">
        <f>IF(F387="","","TS-"&amp;TEXT(ROW()-4,"0000"))</f>
        <v>0</v>
      </c>
      <c r="C387" s="23">
        <f>IF(B387="","",TEXT(B387,"ddd"))</f>
        <v>0</v>
      </c>
      <c r="D387" s="31">
        <f>IF(B387="","",WEEKNUM(B387,IF(WeekStart="Sunday",1,2)))</f>
        <v>0</v>
      </c>
      <c r="E387" s="23">
        <f>IF(B387="","",TEXT(B387,"yyyy-mm"))</f>
        <v>0</v>
      </c>
      <c r="H387" s="23">
        <f>IF(G387="","",IFERROR(INDEX(Jobs!$H$5:$H$604,MATCH(G387,Jobs!$A$5:$A$604,0)),""))</f>
        <v>0</v>
      </c>
      <c r="T387" s="34">
        <f>IF(OR(J387="",K387=""),"",ROUND((K387-J387)*24-IF(L387="",0,L387)/60,2))</f>
        <v>0</v>
      </c>
      <c r="U387" s="34">
        <f>IF(F387="","",IF(M387&lt;&gt;"",M387,IF(T387="",0,T387)))</f>
        <v>0</v>
      </c>
      <c r="V387" s="21">
        <f>IF(F387="","",IFERROR(INDEX(Employees!$U$5:$U$44,MATCH(F387,Employees!$B$5:$B$44,0)),PayRate*(1+EmployerOncost)))</f>
        <v>0</v>
      </c>
      <c r="W387" s="34">
        <f>IF(F387="","",MAX(0,U387-IF(N387="",0,N387)))</f>
        <v>0</v>
      </c>
      <c r="X387" s="21">
        <f>IF(F387="","",ROUND(W387*V387+IF(N387="",0,N387)*V387*OvertimeRate,2))</f>
        <v>0</v>
      </c>
      <c r="Y387" s="21">
        <f>IF(F387="","",IF(P387&lt;&gt;"Yes",0,ROUND(U387*IF(IFERROR(INDEX(Clients!$O$5:$O$204,MATCH(IFERROR(INDEX(Jobs!$G$5:$G$604,MATCH(G387,Jobs!$A$5:$A$604,0)),""),Clients!$A$5:$A$204,0)),0)&gt;0,INDEX(Clients!$O$5:$O$204,MATCH(INDEX(Jobs!$G$5:$G$604,MATCH(G387,Jobs!$A$5:$A$604,0)),Clients!$A$5:$A$204,0)),HourlyRate),2)))</f>
        <v>0</v>
      </c>
      <c r="Z387" s="39">
        <f>IF(F387="","",IF(U387=0,"Add - no hours recorded",IF(O387="Absent - no show","Action - no show",IF(U387&gt;10,"Check - over ten hours in a day",IF(Q387&lt;&gt;"Yes","Due - needs approving",IF(R387&lt;&gt;"Yes","Due - not paid yet","OK"))))))</f>
        <v>0</v>
      </c>
    </row>
    <row r="388" spans="1:26">
      <c r="A388" s="43">
        <f>IF(F388="","","TS-"&amp;TEXT(ROW()-4,"0000"))</f>
        <v>0</v>
      </c>
      <c r="C388" s="23">
        <f>IF(B388="","",TEXT(B388,"ddd"))</f>
        <v>0</v>
      </c>
      <c r="D388" s="31">
        <f>IF(B388="","",WEEKNUM(B388,IF(WeekStart="Sunday",1,2)))</f>
        <v>0</v>
      </c>
      <c r="E388" s="23">
        <f>IF(B388="","",TEXT(B388,"yyyy-mm"))</f>
        <v>0</v>
      </c>
      <c r="H388" s="23">
        <f>IF(G388="","",IFERROR(INDEX(Jobs!$H$5:$H$604,MATCH(G388,Jobs!$A$5:$A$604,0)),""))</f>
        <v>0</v>
      </c>
      <c r="T388" s="34">
        <f>IF(OR(J388="",K388=""),"",ROUND((K388-J388)*24-IF(L388="",0,L388)/60,2))</f>
        <v>0</v>
      </c>
      <c r="U388" s="34">
        <f>IF(F388="","",IF(M388&lt;&gt;"",M388,IF(T388="",0,T388)))</f>
        <v>0</v>
      </c>
      <c r="V388" s="21">
        <f>IF(F388="","",IFERROR(INDEX(Employees!$U$5:$U$44,MATCH(F388,Employees!$B$5:$B$44,0)),PayRate*(1+EmployerOncost)))</f>
        <v>0</v>
      </c>
      <c r="W388" s="34">
        <f>IF(F388="","",MAX(0,U388-IF(N388="",0,N388)))</f>
        <v>0</v>
      </c>
      <c r="X388" s="21">
        <f>IF(F388="","",ROUND(W388*V388+IF(N388="",0,N388)*V388*OvertimeRate,2))</f>
        <v>0</v>
      </c>
      <c r="Y388" s="21">
        <f>IF(F388="","",IF(P388&lt;&gt;"Yes",0,ROUND(U388*IF(IFERROR(INDEX(Clients!$O$5:$O$204,MATCH(IFERROR(INDEX(Jobs!$G$5:$G$604,MATCH(G388,Jobs!$A$5:$A$604,0)),""),Clients!$A$5:$A$204,0)),0)&gt;0,INDEX(Clients!$O$5:$O$204,MATCH(INDEX(Jobs!$G$5:$G$604,MATCH(G388,Jobs!$A$5:$A$604,0)),Clients!$A$5:$A$204,0)),HourlyRate),2)))</f>
        <v>0</v>
      </c>
      <c r="Z388" s="39">
        <f>IF(F388="","",IF(U388=0,"Add - no hours recorded",IF(O388="Absent - no show","Action - no show",IF(U388&gt;10,"Check - over ten hours in a day",IF(Q388&lt;&gt;"Yes","Due - needs approving",IF(R388&lt;&gt;"Yes","Due - not paid yet","OK"))))))</f>
        <v>0</v>
      </c>
    </row>
    <row r="389" spans="1:26">
      <c r="A389" s="43">
        <f>IF(F389="","","TS-"&amp;TEXT(ROW()-4,"0000"))</f>
        <v>0</v>
      </c>
      <c r="C389" s="23">
        <f>IF(B389="","",TEXT(B389,"ddd"))</f>
        <v>0</v>
      </c>
      <c r="D389" s="31">
        <f>IF(B389="","",WEEKNUM(B389,IF(WeekStart="Sunday",1,2)))</f>
        <v>0</v>
      </c>
      <c r="E389" s="23">
        <f>IF(B389="","",TEXT(B389,"yyyy-mm"))</f>
        <v>0</v>
      </c>
      <c r="H389" s="23">
        <f>IF(G389="","",IFERROR(INDEX(Jobs!$H$5:$H$604,MATCH(G389,Jobs!$A$5:$A$604,0)),""))</f>
        <v>0</v>
      </c>
      <c r="T389" s="34">
        <f>IF(OR(J389="",K389=""),"",ROUND((K389-J389)*24-IF(L389="",0,L389)/60,2))</f>
        <v>0</v>
      </c>
      <c r="U389" s="34">
        <f>IF(F389="","",IF(M389&lt;&gt;"",M389,IF(T389="",0,T389)))</f>
        <v>0</v>
      </c>
      <c r="V389" s="21">
        <f>IF(F389="","",IFERROR(INDEX(Employees!$U$5:$U$44,MATCH(F389,Employees!$B$5:$B$44,0)),PayRate*(1+EmployerOncost)))</f>
        <v>0</v>
      </c>
      <c r="W389" s="34">
        <f>IF(F389="","",MAX(0,U389-IF(N389="",0,N389)))</f>
        <v>0</v>
      </c>
      <c r="X389" s="21">
        <f>IF(F389="","",ROUND(W389*V389+IF(N389="",0,N389)*V389*OvertimeRate,2))</f>
        <v>0</v>
      </c>
      <c r="Y389" s="21">
        <f>IF(F389="","",IF(P389&lt;&gt;"Yes",0,ROUND(U389*IF(IFERROR(INDEX(Clients!$O$5:$O$204,MATCH(IFERROR(INDEX(Jobs!$G$5:$G$604,MATCH(G389,Jobs!$A$5:$A$604,0)),""),Clients!$A$5:$A$204,0)),0)&gt;0,INDEX(Clients!$O$5:$O$204,MATCH(INDEX(Jobs!$G$5:$G$604,MATCH(G389,Jobs!$A$5:$A$604,0)),Clients!$A$5:$A$204,0)),HourlyRate),2)))</f>
        <v>0</v>
      </c>
      <c r="Z389" s="39">
        <f>IF(F389="","",IF(U389=0,"Add - no hours recorded",IF(O389="Absent - no show","Action - no show",IF(U389&gt;10,"Check - over ten hours in a day",IF(Q389&lt;&gt;"Yes","Due - needs approving",IF(R389&lt;&gt;"Yes","Due - not paid yet","OK"))))))</f>
        <v>0</v>
      </c>
    </row>
    <row r="390" spans="1:26">
      <c r="A390" s="43">
        <f>IF(F390="","","TS-"&amp;TEXT(ROW()-4,"0000"))</f>
        <v>0</v>
      </c>
      <c r="C390" s="23">
        <f>IF(B390="","",TEXT(B390,"ddd"))</f>
        <v>0</v>
      </c>
      <c r="D390" s="31">
        <f>IF(B390="","",WEEKNUM(B390,IF(WeekStart="Sunday",1,2)))</f>
        <v>0</v>
      </c>
      <c r="E390" s="23">
        <f>IF(B390="","",TEXT(B390,"yyyy-mm"))</f>
        <v>0</v>
      </c>
      <c r="H390" s="23">
        <f>IF(G390="","",IFERROR(INDEX(Jobs!$H$5:$H$604,MATCH(G390,Jobs!$A$5:$A$604,0)),""))</f>
        <v>0</v>
      </c>
      <c r="T390" s="34">
        <f>IF(OR(J390="",K390=""),"",ROUND((K390-J390)*24-IF(L390="",0,L390)/60,2))</f>
        <v>0</v>
      </c>
      <c r="U390" s="34">
        <f>IF(F390="","",IF(M390&lt;&gt;"",M390,IF(T390="",0,T390)))</f>
        <v>0</v>
      </c>
      <c r="V390" s="21">
        <f>IF(F390="","",IFERROR(INDEX(Employees!$U$5:$U$44,MATCH(F390,Employees!$B$5:$B$44,0)),PayRate*(1+EmployerOncost)))</f>
        <v>0</v>
      </c>
      <c r="W390" s="34">
        <f>IF(F390="","",MAX(0,U390-IF(N390="",0,N390)))</f>
        <v>0</v>
      </c>
      <c r="X390" s="21">
        <f>IF(F390="","",ROUND(W390*V390+IF(N390="",0,N390)*V390*OvertimeRate,2))</f>
        <v>0</v>
      </c>
      <c r="Y390" s="21">
        <f>IF(F390="","",IF(P390&lt;&gt;"Yes",0,ROUND(U390*IF(IFERROR(INDEX(Clients!$O$5:$O$204,MATCH(IFERROR(INDEX(Jobs!$G$5:$G$604,MATCH(G390,Jobs!$A$5:$A$604,0)),""),Clients!$A$5:$A$204,0)),0)&gt;0,INDEX(Clients!$O$5:$O$204,MATCH(INDEX(Jobs!$G$5:$G$604,MATCH(G390,Jobs!$A$5:$A$604,0)),Clients!$A$5:$A$204,0)),HourlyRate),2)))</f>
        <v>0</v>
      </c>
      <c r="Z390" s="39">
        <f>IF(F390="","",IF(U390=0,"Add - no hours recorded",IF(O390="Absent - no show","Action - no show",IF(U390&gt;10,"Check - over ten hours in a day",IF(Q390&lt;&gt;"Yes","Due - needs approving",IF(R390&lt;&gt;"Yes","Due - not paid yet","OK"))))))</f>
        <v>0</v>
      </c>
    </row>
    <row r="391" spans="1:26">
      <c r="A391" s="43">
        <f>IF(F391="","","TS-"&amp;TEXT(ROW()-4,"0000"))</f>
        <v>0</v>
      </c>
      <c r="C391" s="23">
        <f>IF(B391="","",TEXT(B391,"ddd"))</f>
        <v>0</v>
      </c>
      <c r="D391" s="31">
        <f>IF(B391="","",WEEKNUM(B391,IF(WeekStart="Sunday",1,2)))</f>
        <v>0</v>
      </c>
      <c r="E391" s="23">
        <f>IF(B391="","",TEXT(B391,"yyyy-mm"))</f>
        <v>0</v>
      </c>
      <c r="H391" s="23">
        <f>IF(G391="","",IFERROR(INDEX(Jobs!$H$5:$H$604,MATCH(G391,Jobs!$A$5:$A$604,0)),""))</f>
        <v>0</v>
      </c>
      <c r="T391" s="34">
        <f>IF(OR(J391="",K391=""),"",ROUND((K391-J391)*24-IF(L391="",0,L391)/60,2))</f>
        <v>0</v>
      </c>
      <c r="U391" s="34">
        <f>IF(F391="","",IF(M391&lt;&gt;"",M391,IF(T391="",0,T391)))</f>
        <v>0</v>
      </c>
      <c r="V391" s="21">
        <f>IF(F391="","",IFERROR(INDEX(Employees!$U$5:$U$44,MATCH(F391,Employees!$B$5:$B$44,0)),PayRate*(1+EmployerOncost)))</f>
        <v>0</v>
      </c>
      <c r="W391" s="34">
        <f>IF(F391="","",MAX(0,U391-IF(N391="",0,N391)))</f>
        <v>0</v>
      </c>
      <c r="X391" s="21">
        <f>IF(F391="","",ROUND(W391*V391+IF(N391="",0,N391)*V391*OvertimeRate,2))</f>
        <v>0</v>
      </c>
      <c r="Y391" s="21">
        <f>IF(F391="","",IF(P391&lt;&gt;"Yes",0,ROUND(U391*IF(IFERROR(INDEX(Clients!$O$5:$O$204,MATCH(IFERROR(INDEX(Jobs!$G$5:$G$604,MATCH(G391,Jobs!$A$5:$A$604,0)),""),Clients!$A$5:$A$204,0)),0)&gt;0,INDEX(Clients!$O$5:$O$204,MATCH(INDEX(Jobs!$G$5:$G$604,MATCH(G391,Jobs!$A$5:$A$604,0)),Clients!$A$5:$A$204,0)),HourlyRate),2)))</f>
        <v>0</v>
      </c>
      <c r="Z391" s="39">
        <f>IF(F391="","",IF(U391=0,"Add - no hours recorded",IF(O391="Absent - no show","Action - no show",IF(U391&gt;10,"Check - over ten hours in a day",IF(Q391&lt;&gt;"Yes","Due - needs approving",IF(R391&lt;&gt;"Yes","Due - not paid yet","OK"))))))</f>
        <v>0</v>
      </c>
    </row>
    <row r="392" spans="1:26">
      <c r="A392" s="43">
        <f>IF(F392="","","TS-"&amp;TEXT(ROW()-4,"0000"))</f>
        <v>0</v>
      </c>
      <c r="C392" s="23">
        <f>IF(B392="","",TEXT(B392,"ddd"))</f>
        <v>0</v>
      </c>
      <c r="D392" s="31">
        <f>IF(B392="","",WEEKNUM(B392,IF(WeekStart="Sunday",1,2)))</f>
        <v>0</v>
      </c>
      <c r="E392" s="23">
        <f>IF(B392="","",TEXT(B392,"yyyy-mm"))</f>
        <v>0</v>
      </c>
      <c r="H392" s="23">
        <f>IF(G392="","",IFERROR(INDEX(Jobs!$H$5:$H$604,MATCH(G392,Jobs!$A$5:$A$604,0)),""))</f>
        <v>0</v>
      </c>
      <c r="T392" s="34">
        <f>IF(OR(J392="",K392=""),"",ROUND((K392-J392)*24-IF(L392="",0,L392)/60,2))</f>
        <v>0</v>
      </c>
      <c r="U392" s="34">
        <f>IF(F392="","",IF(M392&lt;&gt;"",M392,IF(T392="",0,T392)))</f>
        <v>0</v>
      </c>
      <c r="V392" s="21">
        <f>IF(F392="","",IFERROR(INDEX(Employees!$U$5:$U$44,MATCH(F392,Employees!$B$5:$B$44,0)),PayRate*(1+EmployerOncost)))</f>
        <v>0</v>
      </c>
      <c r="W392" s="34">
        <f>IF(F392="","",MAX(0,U392-IF(N392="",0,N392)))</f>
        <v>0</v>
      </c>
      <c r="X392" s="21">
        <f>IF(F392="","",ROUND(W392*V392+IF(N392="",0,N392)*V392*OvertimeRate,2))</f>
        <v>0</v>
      </c>
      <c r="Y392" s="21">
        <f>IF(F392="","",IF(P392&lt;&gt;"Yes",0,ROUND(U392*IF(IFERROR(INDEX(Clients!$O$5:$O$204,MATCH(IFERROR(INDEX(Jobs!$G$5:$G$604,MATCH(G392,Jobs!$A$5:$A$604,0)),""),Clients!$A$5:$A$204,0)),0)&gt;0,INDEX(Clients!$O$5:$O$204,MATCH(INDEX(Jobs!$G$5:$G$604,MATCH(G392,Jobs!$A$5:$A$604,0)),Clients!$A$5:$A$204,0)),HourlyRate),2)))</f>
        <v>0</v>
      </c>
      <c r="Z392" s="39">
        <f>IF(F392="","",IF(U392=0,"Add - no hours recorded",IF(O392="Absent - no show","Action - no show",IF(U392&gt;10,"Check - over ten hours in a day",IF(Q392&lt;&gt;"Yes","Due - needs approving",IF(R392&lt;&gt;"Yes","Due - not paid yet","OK"))))))</f>
        <v>0</v>
      </c>
    </row>
    <row r="393" spans="1:26">
      <c r="A393" s="43">
        <f>IF(F393="","","TS-"&amp;TEXT(ROW()-4,"0000"))</f>
        <v>0</v>
      </c>
      <c r="C393" s="23">
        <f>IF(B393="","",TEXT(B393,"ddd"))</f>
        <v>0</v>
      </c>
      <c r="D393" s="31">
        <f>IF(B393="","",WEEKNUM(B393,IF(WeekStart="Sunday",1,2)))</f>
        <v>0</v>
      </c>
      <c r="E393" s="23">
        <f>IF(B393="","",TEXT(B393,"yyyy-mm"))</f>
        <v>0</v>
      </c>
      <c r="H393" s="23">
        <f>IF(G393="","",IFERROR(INDEX(Jobs!$H$5:$H$604,MATCH(G393,Jobs!$A$5:$A$604,0)),""))</f>
        <v>0</v>
      </c>
      <c r="T393" s="34">
        <f>IF(OR(J393="",K393=""),"",ROUND((K393-J393)*24-IF(L393="",0,L393)/60,2))</f>
        <v>0</v>
      </c>
      <c r="U393" s="34">
        <f>IF(F393="","",IF(M393&lt;&gt;"",M393,IF(T393="",0,T393)))</f>
        <v>0</v>
      </c>
      <c r="V393" s="21">
        <f>IF(F393="","",IFERROR(INDEX(Employees!$U$5:$U$44,MATCH(F393,Employees!$B$5:$B$44,0)),PayRate*(1+EmployerOncost)))</f>
        <v>0</v>
      </c>
      <c r="W393" s="34">
        <f>IF(F393="","",MAX(0,U393-IF(N393="",0,N393)))</f>
        <v>0</v>
      </c>
      <c r="X393" s="21">
        <f>IF(F393="","",ROUND(W393*V393+IF(N393="",0,N393)*V393*OvertimeRate,2))</f>
        <v>0</v>
      </c>
      <c r="Y393" s="21">
        <f>IF(F393="","",IF(P393&lt;&gt;"Yes",0,ROUND(U393*IF(IFERROR(INDEX(Clients!$O$5:$O$204,MATCH(IFERROR(INDEX(Jobs!$G$5:$G$604,MATCH(G393,Jobs!$A$5:$A$604,0)),""),Clients!$A$5:$A$204,0)),0)&gt;0,INDEX(Clients!$O$5:$O$204,MATCH(INDEX(Jobs!$G$5:$G$604,MATCH(G393,Jobs!$A$5:$A$604,0)),Clients!$A$5:$A$204,0)),HourlyRate),2)))</f>
        <v>0</v>
      </c>
      <c r="Z393" s="39">
        <f>IF(F393="","",IF(U393=0,"Add - no hours recorded",IF(O393="Absent - no show","Action - no show",IF(U393&gt;10,"Check - over ten hours in a day",IF(Q393&lt;&gt;"Yes","Due - needs approving",IF(R393&lt;&gt;"Yes","Due - not paid yet","OK"))))))</f>
        <v>0</v>
      </c>
    </row>
    <row r="394" spans="1:26">
      <c r="A394" s="43">
        <f>IF(F394="","","TS-"&amp;TEXT(ROW()-4,"0000"))</f>
        <v>0</v>
      </c>
      <c r="C394" s="23">
        <f>IF(B394="","",TEXT(B394,"ddd"))</f>
        <v>0</v>
      </c>
      <c r="D394" s="31">
        <f>IF(B394="","",WEEKNUM(B394,IF(WeekStart="Sunday",1,2)))</f>
        <v>0</v>
      </c>
      <c r="E394" s="23">
        <f>IF(B394="","",TEXT(B394,"yyyy-mm"))</f>
        <v>0</v>
      </c>
      <c r="H394" s="23">
        <f>IF(G394="","",IFERROR(INDEX(Jobs!$H$5:$H$604,MATCH(G394,Jobs!$A$5:$A$604,0)),""))</f>
        <v>0</v>
      </c>
      <c r="T394" s="34">
        <f>IF(OR(J394="",K394=""),"",ROUND((K394-J394)*24-IF(L394="",0,L394)/60,2))</f>
        <v>0</v>
      </c>
      <c r="U394" s="34">
        <f>IF(F394="","",IF(M394&lt;&gt;"",M394,IF(T394="",0,T394)))</f>
        <v>0</v>
      </c>
      <c r="V394" s="21">
        <f>IF(F394="","",IFERROR(INDEX(Employees!$U$5:$U$44,MATCH(F394,Employees!$B$5:$B$44,0)),PayRate*(1+EmployerOncost)))</f>
        <v>0</v>
      </c>
      <c r="W394" s="34">
        <f>IF(F394="","",MAX(0,U394-IF(N394="",0,N394)))</f>
        <v>0</v>
      </c>
      <c r="X394" s="21">
        <f>IF(F394="","",ROUND(W394*V394+IF(N394="",0,N394)*V394*OvertimeRate,2))</f>
        <v>0</v>
      </c>
      <c r="Y394" s="21">
        <f>IF(F394="","",IF(P394&lt;&gt;"Yes",0,ROUND(U394*IF(IFERROR(INDEX(Clients!$O$5:$O$204,MATCH(IFERROR(INDEX(Jobs!$G$5:$G$604,MATCH(G394,Jobs!$A$5:$A$604,0)),""),Clients!$A$5:$A$204,0)),0)&gt;0,INDEX(Clients!$O$5:$O$204,MATCH(INDEX(Jobs!$G$5:$G$604,MATCH(G394,Jobs!$A$5:$A$604,0)),Clients!$A$5:$A$204,0)),HourlyRate),2)))</f>
        <v>0</v>
      </c>
      <c r="Z394" s="39">
        <f>IF(F394="","",IF(U394=0,"Add - no hours recorded",IF(O394="Absent - no show","Action - no show",IF(U394&gt;10,"Check - over ten hours in a day",IF(Q394&lt;&gt;"Yes","Due - needs approving",IF(R394&lt;&gt;"Yes","Due - not paid yet","OK"))))))</f>
        <v>0</v>
      </c>
    </row>
    <row r="395" spans="1:26">
      <c r="A395" s="43">
        <f>IF(F395="","","TS-"&amp;TEXT(ROW()-4,"0000"))</f>
        <v>0</v>
      </c>
      <c r="C395" s="23">
        <f>IF(B395="","",TEXT(B395,"ddd"))</f>
        <v>0</v>
      </c>
      <c r="D395" s="31">
        <f>IF(B395="","",WEEKNUM(B395,IF(WeekStart="Sunday",1,2)))</f>
        <v>0</v>
      </c>
      <c r="E395" s="23">
        <f>IF(B395="","",TEXT(B395,"yyyy-mm"))</f>
        <v>0</v>
      </c>
      <c r="H395" s="23">
        <f>IF(G395="","",IFERROR(INDEX(Jobs!$H$5:$H$604,MATCH(G395,Jobs!$A$5:$A$604,0)),""))</f>
        <v>0</v>
      </c>
      <c r="T395" s="34">
        <f>IF(OR(J395="",K395=""),"",ROUND((K395-J395)*24-IF(L395="",0,L395)/60,2))</f>
        <v>0</v>
      </c>
      <c r="U395" s="34">
        <f>IF(F395="","",IF(M395&lt;&gt;"",M395,IF(T395="",0,T395)))</f>
        <v>0</v>
      </c>
      <c r="V395" s="21">
        <f>IF(F395="","",IFERROR(INDEX(Employees!$U$5:$U$44,MATCH(F395,Employees!$B$5:$B$44,0)),PayRate*(1+EmployerOncost)))</f>
        <v>0</v>
      </c>
      <c r="W395" s="34">
        <f>IF(F395="","",MAX(0,U395-IF(N395="",0,N395)))</f>
        <v>0</v>
      </c>
      <c r="X395" s="21">
        <f>IF(F395="","",ROUND(W395*V395+IF(N395="",0,N395)*V395*OvertimeRate,2))</f>
        <v>0</v>
      </c>
      <c r="Y395" s="21">
        <f>IF(F395="","",IF(P395&lt;&gt;"Yes",0,ROUND(U395*IF(IFERROR(INDEX(Clients!$O$5:$O$204,MATCH(IFERROR(INDEX(Jobs!$G$5:$G$604,MATCH(G395,Jobs!$A$5:$A$604,0)),""),Clients!$A$5:$A$204,0)),0)&gt;0,INDEX(Clients!$O$5:$O$204,MATCH(INDEX(Jobs!$G$5:$G$604,MATCH(G395,Jobs!$A$5:$A$604,0)),Clients!$A$5:$A$204,0)),HourlyRate),2)))</f>
        <v>0</v>
      </c>
      <c r="Z395" s="39">
        <f>IF(F395="","",IF(U395=0,"Add - no hours recorded",IF(O395="Absent - no show","Action - no show",IF(U395&gt;10,"Check - over ten hours in a day",IF(Q395&lt;&gt;"Yes","Due - needs approving",IF(R395&lt;&gt;"Yes","Due - not paid yet","OK"))))))</f>
        <v>0</v>
      </c>
    </row>
    <row r="396" spans="1:26">
      <c r="A396" s="43">
        <f>IF(F396="","","TS-"&amp;TEXT(ROW()-4,"0000"))</f>
        <v>0</v>
      </c>
      <c r="C396" s="23">
        <f>IF(B396="","",TEXT(B396,"ddd"))</f>
        <v>0</v>
      </c>
      <c r="D396" s="31">
        <f>IF(B396="","",WEEKNUM(B396,IF(WeekStart="Sunday",1,2)))</f>
        <v>0</v>
      </c>
      <c r="E396" s="23">
        <f>IF(B396="","",TEXT(B396,"yyyy-mm"))</f>
        <v>0</v>
      </c>
      <c r="H396" s="23">
        <f>IF(G396="","",IFERROR(INDEX(Jobs!$H$5:$H$604,MATCH(G396,Jobs!$A$5:$A$604,0)),""))</f>
        <v>0</v>
      </c>
      <c r="T396" s="34">
        <f>IF(OR(J396="",K396=""),"",ROUND((K396-J396)*24-IF(L396="",0,L396)/60,2))</f>
        <v>0</v>
      </c>
      <c r="U396" s="34">
        <f>IF(F396="","",IF(M396&lt;&gt;"",M396,IF(T396="",0,T396)))</f>
        <v>0</v>
      </c>
      <c r="V396" s="21">
        <f>IF(F396="","",IFERROR(INDEX(Employees!$U$5:$U$44,MATCH(F396,Employees!$B$5:$B$44,0)),PayRate*(1+EmployerOncost)))</f>
        <v>0</v>
      </c>
      <c r="W396" s="34">
        <f>IF(F396="","",MAX(0,U396-IF(N396="",0,N396)))</f>
        <v>0</v>
      </c>
      <c r="X396" s="21">
        <f>IF(F396="","",ROUND(W396*V396+IF(N396="",0,N396)*V396*OvertimeRate,2))</f>
        <v>0</v>
      </c>
      <c r="Y396" s="21">
        <f>IF(F396="","",IF(P396&lt;&gt;"Yes",0,ROUND(U396*IF(IFERROR(INDEX(Clients!$O$5:$O$204,MATCH(IFERROR(INDEX(Jobs!$G$5:$G$604,MATCH(G396,Jobs!$A$5:$A$604,0)),""),Clients!$A$5:$A$204,0)),0)&gt;0,INDEX(Clients!$O$5:$O$204,MATCH(INDEX(Jobs!$G$5:$G$604,MATCH(G396,Jobs!$A$5:$A$604,0)),Clients!$A$5:$A$204,0)),HourlyRate),2)))</f>
        <v>0</v>
      </c>
      <c r="Z396" s="39">
        <f>IF(F396="","",IF(U396=0,"Add - no hours recorded",IF(O396="Absent - no show","Action - no show",IF(U396&gt;10,"Check - over ten hours in a day",IF(Q396&lt;&gt;"Yes","Due - needs approving",IF(R396&lt;&gt;"Yes","Due - not paid yet","OK"))))))</f>
        <v>0</v>
      </c>
    </row>
    <row r="397" spans="1:26">
      <c r="A397" s="43">
        <f>IF(F397="","","TS-"&amp;TEXT(ROW()-4,"0000"))</f>
        <v>0</v>
      </c>
      <c r="C397" s="23">
        <f>IF(B397="","",TEXT(B397,"ddd"))</f>
        <v>0</v>
      </c>
      <c r="D397" s="31">
        <f>IF(B397="","",WEEKNUM(B397,IF(WeekStart="Sunday",1,2)))</f>
        <v>0</v>
      </c>
      <c r="E397" s="23">
        <f>IF(B397="","",TEXT(B397,"yyyy-mm"))</f>
        <v>0</v>
      </c>
      <c r="H397" s="23">
        <f>IF(G397="","",IFERROR(INDEX(Jobs!$H$5:$H$604,MATCH(G397,Jobs!$A$5:$A$604,0)),""))</f>
        <v>0</v>
      </c>
      <c r="T397" s="34">
        <f>IF(OR(J397="",K397=""),"",ROUND((K397-J397)*24-IF(L397="",0,L397)/60,2))</f>
        <v>0</v>
      </c>
      <c r="U397" s="34">
        <f>IF(F397="","",IF(M397&lt;&gt;"",M397,IF(T397="",0,T397)))</f>
        <v>0</v>
      </c>
      <c r="V397" s="21">
        <f>IF(F397="","",IFERROR(INDEX(Employees!$U$5:$U$44,MATCH(F397,Employees!$B$5:$B$44,0)),PayRate*(1+EmployerOncost)))</f>
        <v>0</v>
      </c>
      <c r="W397" s="34">
        <f>IF(F397="","",MAX(0,U397-IF(N397="",0,N397)))</f>
        <v>0</v>
      </c>
      <c r="X397" s="21">
        <f>IF(F397="","",ROUND(W397*V397+IF(N397="",0,N397)*V397*OvertimeRate,2))</f>
        <v>0</v>
      </c>
      <c r="Y397" s="21">
        <f>IF(F397="","",IF(P397&lt;&gt;"Yes",0,ROUND(U397*IF(IFERROR(INDEX(Clients!$O$5:$O$204,MATCH(IFERROR(INDEX(Jobs!$G$5:$G$604,MATCH(G397,Jobs!$A$5:$A$604,0)),""),Clients!$A$5:$A$204,0)),0)&gt;0,INDEX(Clients!$O$5:$O$204,MATCH(INDEX(Jobs!$G$5:$G$604,MATCH(G397,Jobs!$A$5:$A$604,0)),Clients!$A$5:$A$204,0)),HourlyRate),2)))</f>
        <v>0</v>
      </c>
      <c r="Z397" s="39">
        <f>IF(F397="","",IF(U397=0,"Add - no hours recorded",IF(O397="Absent - no show","Action - no show",IF(U397&gt;10,"Check - over ten hours in a day",IF(Q397&lt;&gt;"Yes","Due - needs approving",IF(R397&lt;&gt;"Yes","Due - not paid yet","OK"))))))</f>
        <v>0</v>
      </c>
    </row>
    <row r="398" spans="1:26">
      <c r="A398" s="43">
        <f>IF(F398="","","TS-"&amp;TEXT(ROW()-4,"0000"))</f>
        <v>0</v>
      </c>
      <c r="C398" s="23">
        <f>IF(B398="","",TEXT(B398,"ddd"))</f>
        <v>0</v>
      </c>
      <c r="D398" s="31">
        <f>IF(B398="","",WEEKNUM(B398,IF(WeekStart="Sunday",1,2)))</f>
        <v>0</v>
      </c>
      <c r="E398" s="23">
        <f>IF(B398="","",TEXT(B398,"yyyy-mm"))</f>
        <v>0</v>
      </c>
      <c r="H398" s="23">
        <f>IF(G398="","",IFERROR(INDEX(Jobs!$H$5:$H$604,MATCH(G398,Jobs!$A$5:$A$604,0)),""))</f>
        <v>0</v>
      </c>
      <c r="T398" s="34">
        <f>IF(OR(J398="",K398=""),"",ROUND((K398-J398)*24-IF(L398="",0,L398)/60,2))</f>
        <v>0</v>
      </c>
      <c r="U398" s="34">
        <f>IF(F398="","",IF(M398&lt;&gt;"",M398,IF(T398="",0,T398)))</f>
        <v>0</v>
      </c>
      <c r="V398" s="21">
        <f>IF(F398="","",IFERROR(INDEX(Employees!$U$5:$U$44,MATCH(F398,Employees!$B$5:$B$44,0)),PayRate*(1+EmployerOncost)))</f>
        <v>0</v>
      </c>
      <c r="W398" s="34">
        <f>IF(F398="","",MAX(0,U398-IF(N398="",0,N398)))</f>
        <v>0</v>
      </c>
      <c r="X398" s="21">
        <f>IF(F398="","",ROUND(W398*V398+IF(N398="",0,N398)*V398*OvertimeRate,2))</f>
        <v>0</v>
      </c>
      <c r="Y398" s="21">
        <f>IF(F398="","",IF(P398&lt;&gt;"Yes",0,ROUND(U398*IF(IFERROR(INDEX(Clients!$O$5:$O$204,MATCH(IFERROR(INDEX(Jobs!$G$5:$G$604,MATCH(G398,Jobs!$A$5:$A$604,0)),""),Clients!$A$5:$A$204,0)),0)&gt;0,INDEX(Clients!$O$5:$O$204,MATCH(INDEX(Jobs!$G$5:$G$604,MATCH(G398,Jobs!$A$5:$A$604,0)),Clients!$A$5:$A$204,0)),HourlyRate),2)))</f>
        <v>0</v>
      </c>
      <c r="Z398" s="39">
        <f>IF(F398="","",IF(U398=0,"Add - no hours recorded",IF(O398="Absent - no show","Action - no show",IF(U398&gt;10,"Check - over ten hours in a day",IF(Q398&lt;&gt;"Yes","Due - needs approving",IF(R398&lt;&gt;"Yes","Due - not paid yet","OK"))))))</f>
        <v>0</v>
      </c>
    </row>
    <row r="399" spans="1:26">
      <c r="A399" s="43">
        <f>IF(F399="","","TS-"&amp;TEXT(ROW()-4,"0000"))</f>
        <v>0</v>
      </c>
      <c r="C399" s="23">
        <f>IF(B399="","",TEXT(B399,"ddd"))</f>
        <v>0</v>
      </c>
      <c r="D399" s="31">
        <f>IF(B399="","",WEEKNUM(B399,IF(WeekStart="Sunday",1,2)))</f>
        <v>0</v>
      </c>
      <c r="E399" s="23">
        <f>IF(B399="","",TEXT(B399,"yyyy-mm"))</f>
        <v>0</v>
      </c>
      <c r="H399" s="23">
        <f>IF(G399="","",IFERROR(INDEX(Jobs!$H$5:$H$604,MATCH(G399,Jobs!$A$5:$A$604,0)),""))</f>
        <v>0</v>
      </c>
      <c r="T399" s="34">
        <f>IF(OR(J399="",K399=""),"",ROUND((K399-J399)*24-IF(L399="",0,L399)/60,2))</f>
        <v>0</v>
      </c>
      <c r="U399" s="34">
        <f>IF(F399="","",IF(M399&lt;&gt;"",M399,IF(T399="",0,T399)))</f>
        <v>0</v>
      </c>
      <c r="V399" s="21">
        <f>IF(F399="","",IFERROR(INDEX(Employees!$U$5:$U$44,MATCH(F399,Employees!$B$5:$B$44,0)),PayRate*(1+EmployerOncost)))</f>
        <v>0</v>
      </c>
      <c r="W399" s="34">
        <f>IF(F399="","",MAX(0,U399-IF(N399="",0,N399)))</f>
        <v>0</v>
      </c>
      <c r="X399" s="21">
        <f>IF(F399="","",ROUND(W399*V399+IF(N399="",0,N399)*V399*OvertimeRate,2))</f>
        <v>0</v>
      </c>
      <c r="Y399" s="21">
        <f>IF(F399="","",IF(P399&lt;&gt;"Yes",0,ROUND(U399*IF(IFERROR(INDEX(Clients!$O$5:$O$204,MATCH(IFERROR(INDEX(Jobs!$G$5:$G$604,MATCH(G399,Jobs!$A$5:$A$604,0)),""),Clients!$A$5:$A$204,0)),0)&gt;0,INDEX(Clients!$O$5:$O$204,MATCH(INDEX(Jobs!$G$5:$G$604,MATCH(G399,Jobs!$A$5:$A$604,0)),Clients!$A$5:$A$204,0)),HourlyRate),2)))</f>
        <v>0</v>
      </c>
      <c r="Z399" s="39">
        <f>IF(F399="","",IF(U399=0,"Add - no hours recorded",IF(O399="Absent - no show","Action - no show",IF(U399&gt;10,"Check - over ten hours in a day",IF(Q399&lt;&gt;"Yes","Due - needs approving",IF(R399&lt;&gt;"Yes","Due - not paid yet","OK"))))))</f>
        <v>0</v>
      </c>
    </row>
    <row r="400" spans="1:26">
      <c r="A400" s="43">
        <f>IF(F400="","","TS-"&amp;TEXT(ROW()-4,"0000"))</f>
        <v>0</v>
      </c>
      <c r="C400" s="23">
        <f>IF(B400="","",TEXT(B400,"ddd"))</f>
        <v>0</v>
      </c>
      <c r="D400" s="31">
        <f>IF(B400="","",WEEKNUM(B400,IF(WeekStart="Sunday",1,2)))</f>
        <v>0</v>
      </c>
      <c r="E400" s="23">
        <f>IF(B400="","",TEXT(B400,"yyyy-mm"))</f>
        <v>0</v>
      </c>
      <c r="H400" s="23">
        <f>IF(G400="","",IFERROR(INDEX(Jobs!$H$5:$H$604,MATCH(G400,Jobs!$A$5:$A$604,0)),""))</f>
        <v>0</v>
      </c>
      <c r="T400" s="34">
        <f>IF(OR(J400="",K400=""),"",ROUND((K400-J400)*24-IF(L400="",0,L400)/60,2))</f>
        <v>0</v>
      </c>
      <c r="U400" s="34">
        <f>IF(F400="","",IF(M400&lt;&gt;"",M400,IF(T400="",0,T400)))</f>
        <v>0</v>
      </c>
      <c r="V400" s="21">
        <f>IF(F400="","",IFERROR(INDEX(Employees!$U$5:$U$44,MATCH(F400,Employees!$B$5:$B$44,0)),PayRate*(1+EmployerOncost)))</f>
        <v>0</v>
      </c>
      <c r="W400" s="34">
        <f>IF(F400="","",MAX(0,U400-IF(N400="",0,N400)))</f>
        <v>0</v>
      </c>
      <c r="X400" s="21">
        <f>IF(F400="","",ROUND(W400*V400+IF(N400="",0,N400)*V400*OvertimeRate,2))</f>
        <v>0</v>
      </c>
      <c r="Y400" s="21">
        <f>IF(F400="","",IF(P400&lt;&gt;"Yes",0,ROUND(U400*IF(IFERROR(INDEX(Clients!$O$5:$O$204,MATCH(IFERROR(INDEX(Jobs!$G$5:$G$604,MATCH(G400,Jobs!$A$5:$A$604,0)),""),Clients!$A$5:$A$204,0)),0)&gt;0,INDEX(Clients!$O$5:$O$204,MATCH(INDEX(Jobs!$G$5:$G$604,MATCH(G400,Jobs!$A$5:$A$604,0)),Clients!$A$5:$A$204,0)),HourlyRate),2)))</f>
        <v>0</v>
      </c>
      <c r="Z400" s="39">
        <f>IF(F400="","",IF(U400=0,"Add - no hours recorded",IF(O400="Absent - no show","Action - no show",IF(U400&gt;10,"Check - over ten hours in a day",IF(Q400&lt;&gt;"Yes","Due - needs approving",IF(R400&lt;&gt;"Yes","Due - not paid yet","OK"))))))</f>
        <v>0</v>
      </c>
    </row>
    <row r="401" spans="1:26">
      <c r="A401" s="43">
        <f>IF(F401="","","TS-"&amp;TEXT(ROW()-4,"0000"))</f>
        <v>0</v>
      </c>
      <c r="C401" s="23">
        <f>IF(B401="","",TEXT(B401,"ddd"))</f>
        <v>0</v>
      </c>
      <c r="D401" s="31">
        <f>IF(B401="","",WEEKNUM(B401,IF(WeekStart="Sunday",1,2)))</f>
        <v>0</v>
      </c>
      <c r="E401" s="23">
        <f>IF(B401="","",TEXT(B401,"yyyy-mm"))</f>
        <v>0</v>
      </c>
      <c r="H401" s="23">
        <f>IF(G401="","",IFERROR(INDEX(Jobs!$H$5:$H$604,MATCH(G401,Jobs!$A$5:$A$604,0)),""))</f>
        <v>0</v>
      </c>
      <c r="T401" s="34">
        <f>IF(OR(J401="",K401=""),"",ROUND((K401-J401)*24-IF(L401="",0,L401)/60,2))</f>
        <v>0</v>
      </c>
      <c r="U401" s="34">
        <f>IF(F401="","",IF(M401&lt;&gt;"",M401,IF(T401="",0,T401)))</f>
        <v>0</v>
      </c>
      <c r="V401" s="21">
        <f>IF(F401="","",IFERROR(INDEX(Employees!$U$5:$U$44,MATCH(F401,Employees!$B$5:$B$44,0)),PayRate*(1+EmployerOncost)))</f>
        <v>0</v>
      </c>
      <c r="W401" s="34">
        <f>IF(F401="","",MAX(0,U401-IF(N401="",0,N401)))</f>
        <v>0</v>
      </c>
      <c r="X401" s="21">
        <f>IF(F401="","",ROUND(W401*V401+IF(N401="",0,N401)*V401*OvertimeRate,2))</f>
        <v>0</v>
      </c>
      <c r="Y401" s="21">
        <f>IF(F401="","",IF(P401&lt;&gt;"Yes",0,ROUND(U401*IF(IFERROR(INDEX(Clients!$O$5:$O$204,MATCH(IFERROR(INDEX(Jobs!$G$5:$G$604,MATCH(G401,Jobs!$A$5:$A$604,0)),""),Clients!$A$5:$A$204,0)),0)&gt;0,INDEX(Clients!$O$5:$O$204,MATCH(INDEX(Jobs!$G$5:$G$604,MATCH(G401,Jobs!$A$5:$A$604,0)),Clients!$A$5:$A$204,0)),HourlyRate),2)))</f>
        <v>0</v>
      </c>
      <c r="Z401" s="39">
        <f>IF(F401="","",IF(U401=0,"Add - no hours recorded",IF(O401="Absent - no show","Action - no show",IF(U401&gt;10,"Check - over ten hours in a day",IF(Q401&lt;&gt;"Yes","Due - needs approving",IF(R401&lt;&gt;"Yes","Due - not paid yet","OK"))))))</f>
        <v>0</v>
      </c>
    </row>
    <row r="402" spans="1:26">
      <c r="A402" s="43">
        <f>IF(F402="","","TS-"&amp;TEXT(ROW()-4,"0000"))</f>
        <v>0</v>
      </c>
      <c r="C402" s="23">
        <f>IF(B402="","",TEXT(B402,"ddd"))</f>
        <v>0</v>
      </c>
      <c r="D402" s="31">
        <f>IF(B402="","",WEEKNUM(B402,IF(WeekStart="Sunday",1,2)))</f>
        <v>0</v>
      </c>
      <c r="E402" s="23">
        <f>IF(B402="","",TEXT(B402,"yyyy-mm"))</f>
        <v>0</v>
      </c>
      <c r="H402" s="23">
        <f>IF(G402="","",IFERROR(INDEX(Jobs!$H$5:$H$604,MATCH(G402,Jobs!$A$5:$A$604,0)),""))</f>
        <v>0</v>
      </c>
      <c r="T402" s="34">
        <f>IF(OR(J402="",K402=""),"",ROUND((K402-J402)*24-IF(L402="",0,L402)/60,2))</f>
        <v>0</v>
      </c>
      <c r="U402" s="34">
        <f>IF(F402="","",IF(M402&lt;&gt;"",M402,IF(T402="",0,T402)))</f>
        <v>0</v>
      </c>
      <c r="V402" s="21">
        <f>IF(F402="","",IFERROR(INDEX(Employees!$U$5:$U$44,MATCH(F402,Employees!$B$5:$B$44,0)),PayRate*(1+EmployerOncost)))</f>
        <v>0</v>
      </c>
      <c r="W402" s="34">
        <f>IF(F402="","",MAX(0,U402-IF(N402="",0,N402)))</f>
        <v>0</v>
      </c>
      <c r="X402" s="21">
        <f>IF(F402="","",ROUND(W402*V402+IF(N402="",0,N402)*V402*OvertimeRate,2))</f>
        <v>0</v>
      </c>
      <c r="Y402" s="21">
        <f>IF(F402="","",IF(P402&lt;&gt;"Yes",0,ROUND(U402*IF(IFERROR(INDEX(Clients!$O$5:$O$204,MATCH(IFERROR(INDEX(Jobs!$G$5:$G$604,MATCH(G402,Jobs!$A$5:$A$604,0)),""),Clients!$A$5:$A$204,0)),0)&gt;0,INDEX(Clients!$O$5:$O$204,MATCH(INDEX(Jobs!$G$5:$G$604,MATCH(G402,Jobs!$A$5:$A$604,0)),Clients!$A$5:$A$204,0)),HourlyRate),2)))</f>
        <v>0</v>
      </c>
      <c r="Z402" s="39">
        <f>IF(F402="","",IF(U402=0,"Add - no hours recorded",IF(O402="Absent - no show","Action - no show",IF(U402&gt;10,"Check - over ten hours in a day",IF(Q402&lt;&gt;"Yes","Due - needs approving",IF(R402&lt;&gt;"Yes","Due - not paid yet","OK"))))))</f>
        <v>0</v>
      </c>
    </row>
    <row r="403" spans="1:26">
      <c r="A403" s="43">
        <f>IF(F403="","","TS-"&amp;TEXT(ROW()-4,"0000"))</f>
        <v>0</v>
      </c>
      <c r="C403" s="23">
        <f>IF(B403="","",TEXT(B403,"ddd"))</f>
        <v>0</v>
      </c>
      <c r="D403" s="31">
        <f>IF(B403="","",WEEKNUM(B403,IF(WeekStart="Sunday",1,2)))</f>
        <v>0</v>
      </c>
      <c r="E403" s="23">
        <f>IF(B403="","",TEXT(B403,"yyyy-mm"))</f>
        <v>0</v>
      </c>
      <c r="H403" s="23">
        <f>IF(G403="","",IFERROR(INDEX(Jobs!$H$5:$H$604,MATCH(G403,Jobs!$A$5:$A$604,0)),""))</f>
        <v>0</v>
      </c>
      <c r="T403" s="34">
        <f>IF(OR(J403="",K403=""),"",ROUND((K403-J403)*24-IF(L403="",0,L403)/60,2))</f>
        <v>0</v>
      </c>
      <c r="U403" s="34">
        <f>IF(F403="","",IF(M403&lt;&gt;"",M403,IF(T403="",0,T403)))</f>
        <v>0</v>
      </c>
      <c r="V403" s="21">
        <f>IF(F403="","",IFERROR(INDEX(Employees!$U$5:$U$44,MATCH(F403,Employees!$B$5:$B$44,0)),PayRate*(1+EmployerOncost)))</f>
        <v>0</v>
      </c>
      <c r="W403" s="34">
        <f>IF(F403="","",MAX(0,U403-IF(N403="",0,N403)))</f>
        <v>0</v>
      </c>
      <c r="X403" s="21">
        <f>IF(F403="","",ROUND(W403*V403+IF(N403="",0,N403)*V403*OvertimeRate,2))</f>
        <v>0</v>
      </c>
      <c r="Y403" s="21">
        <f>IF(F403="","",IF(P403&lt;&gt;"Yes",0,ROUND(U403*IF(IFERROR(INDEX(Clients!$O$5:$O$204,MATCH(IFERROR(INDEX(Jobs!$G$5:$G$604,MATCH(G403,Jobs!$A$5:$A$604,0)),""),Clients!$A$5:$A$204,0)),0)&gt;0,INDEX(Clients!$O$5:$O$204,MATCH(INDEX(Jobs!$G$5:$G$604,MATCH(G403,Jobs!$A$5:$A$604,0)),Clients!$A$5:$A$204,0)),HourlyRate),2)))</f>
        <v>0</v>
      </c>
      <c r="Z403" s="39">
        <f>IF(F403="","",IF(U403=0,"Add - no hours recorded",IF(O403="Absent - no show","Action - no show",IF(U403&gt;10,"Check - over ten hours in a day",IF(Q403&lt;&gt;"Yes","Due - needs approving",IF(R403&lt;&gt;"Yes","Due - not paid yet","OK"))))))</f>
        <v>0</v>
      </c>
    </row>
    <row r="404" spans="1:26">
      <c r="A404" s="43">
        <f>IF(F404="","","TS-"&amp;TEXT(ROW()-4,"0000"))</f>
        <v>0</v>
      </c>
      <c r="C404" s="23">
        <f>IF(B404="","",TEXT(B404,"ddd"))</f>
        <v>0</v>
      </c>
      <c r="D404" s="31">
        <f>IF(B404="","",WEEKNUM(B404,IF(WeekStart="Sunday",1,2)))</f>
        <v>0</v>
      </c>
      <c r="E404" s="23">
        <f>IF(B404="","",TEXT(B404,"yyyy-mm"))</f>
        <v>0</v>
      </c>
      <c r="H404" s="23">
        <f>IF(G404="","",IFERROR(INDEX(Jobs!$H$5:$H$604,MATCH(G404,Jobs!$A$5:$A$604,0)),""))</f>
        <v>0</v>
      </c>
      <c r="T404" s="34">
        <f>IF(OR(J404="",K404=""),"",ROUND((K404-J404)*24-IF(L404="",0,L404)/60,2))</f>
        <v>0</v>
      </c>
      <c r="U404" s="34">
        <f>IF(F404="","",IF(M404&lt;&gt;"",M404,IF(T404="",0,T404)))</f>
        <v>0</v>
      </c>
      <c r="V404" s="21">
        <f>IF(F404="","",IFERROR(INDEX(Employees!$U$5:$U$44,MATCH(F404,Employees!$B$5:$B$44,0)),PayRate*(1+EmployerOncost)))</f>
        <v>0</v>
      </c>
      <c r="W404" s="34">
        <f>IF(F404="","",MAX(0,U404-IF(N404="",0,N404)))</f>
        <v>0</v>
      </c>
      <c r="X404" s="21">
        <f>IF(F404="","",ROUND(W404*V404+IF(N404="",0,N404)*V404*OvertimeRate,2))</f>
        <v>0</v>
      </c>
      <c r="Y404" s="21">
        <f>IF(F404="","",IF(P404&lt;&gt;"Yes",0,ROUND(U404*IF(IFERROR(INDEX(Clients!$O$5:$O$204,MATCH(IFERROR(INDEX(Jobs!$G$5:$G$604,MATCH(G404,Jobs!$A$5:$A$604,0)),""),Clients!$A$5:$A$204,0)),0)&gt;0,INDEX(Clients!$O$5:$O$204,MATCH(INDEX(Jobs!$G$5:$G$604,MATCH(G404,Jobs!$A$5:$A$604,0)),Clients!$A$5:$A$204,0)),HourlyRate),2)))</f>
        <v>0</v>
      </c>
      <c r="Z404" s="39">
        <f>IF(F404="","",IF(U404=0,"Add - no hours recorded",IF(O404="Absent - no show","Action - no show",IF(U404&gt;10,"Check - over ten hours in a day",IF(Q404&lt;&gt;"Yes","Due - needs approving",IF(R404&lt;&gt;"Yes","Due - not paid yet","OK"))))))</f>
        <v>0</v>
      </c>
    </row>
    <row r="405" spans="1:26">
      <c r="A405" s="43">
        <f>IF(F405="","","TS-"&amp;TEXT(ROW()-4,"0000"))</f>
        <v>0</v>
      </c>
      <c r="C405" s="23">
        <f>IF(B405="","",TEXT(B405,"ddd"))</f>
        <v>0</v>
      </c>
      <c r="D405" s="31">
        <f>IF(B405="","",WEEKNUM(B405,IF(WeekStart="Sunday",1,2)))</f>
        <v>0</v>
      </c>
      <c r="E405" s="23">
        <f>IF(B405="","",TEXT(B405,"yyyy-mm"))</f>
        <v>0</v>
      </c>
      <c r="H405" s="23">
        <f>IF(G405="","",IFERROR(INDEX(Jobs!$H$5:$H$604,MATCH(G405,Jobs!$A$5:$A$604,0)),""))</f>
        <v>0</v>
      </c>
      <c r="T405" s="34">
        <f>IF(OR(J405="",K405=""),"",ROUND((K405-J405)*24-IF(L405="",0,L405)/60,2))</f>
        <v>0</v>
      </c>
      <c r="U405" s="34">
        <f>IF(F405="","",IF(M405&lt;&gt;"",M405,IF(T405="",0,T405)))</f>
        <v>0</v>
      </c>
      <c r="V405" s="21">
        <f>IF(F405="","",IFERROR(INDEX(Employees!$U$5:$U$44,MATCH(F405,Employees!$B$5:$B$44,0)),PayRate*(1+EmployerOncost)))</f>
        <v>0</v>
      </c>
      <c r="W405" s="34">
        <f>IF(F405="","",MAX(0,U405-IF(N405="",0,N405)))</f>
        <v>0</v>
      </c>
      <c r="X405" s="21">
        <f>IF(F405="","",ROUND(W405*V405+IF(N405="",0,N405)*V405*OvertimeRate,2))</f>
        <v>0</v>
      </c>
      <c r="Y405" s="21">
        <f>IF(F405="","",IF(P405&lt;&gt;"Yes",0,ROUND(U405*IF(IFERROR(INDEX(Clients!$O$5:$O$204,MATCH(IFERROR(INDEX(Jobs!$G$5:$G$604,MATCH(G405,Jobs!$A$5:$A$604,0)),""),Clients!$A$5:$A$204,0)),0)&gt;0,INDEX(Clients!$O$5:$O$204,MATCH(INDEX(Jobs!$G$5:$G$604,MATCH(G405,Jobs!$A$5:$A$604,0)),Clients!$A$5:$A$204,0)),HourlyRate),2)))</f>
        <v>0</v>
      </c>
      <c r="Z405" s="39">
        <f>IF(F405="","",IF(U405=0,"Add - no hours recorded",IF(O405="Absent - no show","Action - no show",IF(U405&gt;10,"Check - over ten hours in a day",IF(Q405&lt;&gt;"Yes","Due - needs approving",IF(R405&lt;&gt;"Yes","Due - not paid yet","OK"))))))</f>
        <v>0</v>
      </c>
    </row>
    <row r="406" spans="1:26">
      <c r="A406" s="43">
        <f>IF(F406="","","TS-"&amp;TEXT(ROW()-4,"0000"))</f>
        <v>0</v>
      </c>
      <c r="C406" s="23">
        <f>IF(B406="","",TEXT(B406,"ddd"))</f>
        <v>0</v>
      </c>
      <c r="D406" s="31">
        <f>IF(B406="","",WEEKNUM(B406,IF(WeekStart="Sunday",1,2)))</f>
        <v>0</v>
      </c>
      <c r="E406" s="23">
        <f>IF(B406="","",TEXT(B406,"yyyy-mm"))</f>
        <v>0</v>
      </c>
      <c r="H406" s="23">
        <f>IF(G406="","",IFERROR(INDEX(Jobs!$H$5:$H$604,MATCH(G406,Jobs!$A$5:$A$604,0)),""))</f>
        <v>0</v>
      </c>
      <c r="T406" s="34">
        <f>IF(OR(J406="",K406=""),"",ROUND((K406-J406)*24-IF(L406="",0,L406)/60,2))</f>
        <v>0</v>
      </c>
      <c r="U406" s="34">
        <f>IF(F406="","",IF(M406&lt;&gt;"",M406,IF(T406="",0,T406)))</f>
        <v>0</v>
      </c>
      <c r="V406" s="21">
        <f>IF(F406="","",IFERROR(INDEX(Employees!$U$5:$U$44,MATCH(F406,Employees!$B$5:$B$44,0)),PayRate*(1+EmployerOncost)))</f>
        <v>0</v>
      </c>
      <c r="W406" s="34">
        <f>IF(F406="","",MAX(0,U406-IF(N406="",0,N406)))</f>
        <v>0</v>
      </c>
      <c r="X406" s="21">
        <f>IF(F406="","",ROUND(W406*V406+IF(N406="",0,N406)*V406*OvertimeRate,2))</f>
        <v>0</v>
      </c>
      <c r="Y406" s="21">
        <f>IF(F406="","",IF(P406&lt;&gt;"Yes",0,ROUND(U406*IF(IFERROR(INDEX(Clients!$O$5:$O$204,MATCH(IFERROR(INDEX(Jobs!$G$5:$G$604,MATCH(G406,Jobs!$A$5:$A$604,0)),""),Clients!$A$5:$A$204,0)),0)&gt;0,INDEX(Clients!$O$5:$O$204,MATCH(INDEX(Jobs!$G$5:$G$604,MATCH(G406,Jobs!$A$5:$A$604,0)),Clients!$A$5:$A$204,0)),HourlyRate),2)))</f>
        <v>0</v>
      </c>
      <c r="Z406" s="39">
        <f>IF(F406="","",IF(U406=0,"Add - no hours recorded",IF(O406="Absent - no show","Action - no show",IF(U406&gt;10,"Check - over ten hours in a day",IF(Q406&lt;&gt;"Yes","Due - needs approving",IF(R406&lt;&gt;"Yes","Due - not paid yet","OK"))))))</f>
        <v>0</v>
      </c>
    </row>
    <row r="407" spans="1:26">
      <c r="A407" s="43">
        <f>IF(F407="","","TS-"&amp;TEXT(ROW()-4,"0000"))</f>
        <v>0</v>
      </c>
      <c r="C407" s="23">
        <f>IF(B407="","",TEXT(B407,"ddd"))</f>
        <v>0</v>
      </c>
      <c r="D407" s="31">
        <f>IF(B407="","",WEEKNUM(B407,IF(WeekStart="Sunday",1,2)))</f>
        <v>0</v>
      </c>
      <c r="E407" s="23">
        <f>IF(B407="","",TEXT(B407,"yyyy-mm"))</f>
        <v>0</v>
      </c>
      <c r="H407" s="23">
        <f>IF(G407="","",IFERROR(INDEX(Jobs!$H$5:$H$604,MATCH(G407,Jobs!$A$5:$A$604,0)),""))</f>
        <v>0</v>
      </c>
      <c r="T407" s="34">
        <f>IF(OR(J407="",K407=""),"",ROUND((K407-J407)*24-IF(L407="",0,L407)/60,2))</f>
        <v>0</v>
      </c>
      <c r="U407" s="34">
        <f>IF(F407="","",IF(M407&lt;&gt;"",M407,IF(T407="",0,T407)))</f>
        <v>0</v>
      </c>
      <c r="V407" s="21">
        <f>IF(F407="","",IFERROR(INDEX(Employees!$U$5:$U$44,MATCH(F407,Employees!$B$5:$B$44,0)),PayRate*(1+EmployerOncost)))</f>
        <v>0</v>
      </c>
      <c r="W407" s="34">
        <f>IF(F407="","",MAX(0,U407-IF(N407="",0,N407)))</f>
        <v>0</v>
      </c>
      <c r="X407" s="21">
        <f>IF(F407="","",ROUND(W407*V407+IF(N407="",0,N407)*V407*OvertimeRate,2))</f>
        <v>0</v>
      </c>
      <c r="Y407" s="21">
        <f>IF(F407="","",IF(P407&lt;&gt;"Yes",0,ROUND(U407*IF(IFERROR(INDEX(Clients!$O$5:$O$204,MATCH(IFERROR(INDEX(Jobs!$G$5:$G$604,MATCH(G407,Jobs!$A$5:$A$604,0)),""),Clients!$A$5:$A$204,0)),0)&gt;0,INDEX(Clients!$O$5:$O$204,MATCH(INDEX(Jobs!$G$5:$G$604,MATCH(G407,Jobs!$A$5:$A$604,0)),Clients!$A$5:$A$204,0)),HourlyRate),2)))</f>
        <v>0</v>
      </c>
      <c r="Z407" s="39">
        <f>IF(F407="","",IF(U407=0,"Add - no hours recorded",IF(O407="Absent - no show","Action - no show",IF(U407&gt;10,"Check - over ten hours in a day",IF(Q407&lt;&gt;"Yes","Due - needs approving",IF(R407&lt;&gt;"Yes","Due - not paid yet","OK"))))))</f>
        <v>0</v>
      </c>
    </row>
    <row r="408" spans="1:26">
      <c r="A408" s="43">
        <f>IF(F408="","","TS-"&amp;TEXT(ROW()-4,"0000"))</f>
        <v>0</v>
      </c>
      <c r="C408" s="23">
        <f>IF(B408="","",TEXT(B408,"ddd"))</f>
        <v>0</v>
      </c>
      <c r="D408" s="31">
        <f>IF(B408="","",WEEKNUM(B408,IF(WeekStart="Sunday",1,2)))</f>
        <v>0</v>
      </c>
      <c r="E408" s="23">
        <f>IF(B408="","",TEXT(B408,"yyyy-mm"))</f>
        <v>0</v>
      </c>
      <c r="H408" s="23">
        <f>IF(G408="","",IFERROR(INDEX(Jobs!$H$5:$H$604,MATCH(G408,Jobs!$A$5:$A$604,0)),""))</f>
        <v>0</v>
      </c>
      <c r="T408" s="34">
        <f>IF(OR(J408="",K408=""),"",ROUND((K408-J408)*24-IF(L408="",0,L408)/60,2))</f>
        <v>0</v>
      </c>
      <c r="U408" s="34">
        <f>IF(F408="","",IF(M408&lt;&gt;"",M408,IF(T408="",0,T408)))</f>
        <v>0</v>
      </c>
      <c r="V408" s="21">
        <f>IF(F408="","",IFERROR(INDEX(Employees!$U$5:$U$44,MATCH(F408,Employees!$B$5:$B$44,0)),PayRate*(1+EmployerOncost)))</f>
        <v>0</v>
      </c>
      <c r="W408" s="34">
        <f>IF(F408="","",MAX(0,U408-IF(N408="",0,N408)))</f>
        <v>0</v>
      </c>
      <c r="X408" s="21">
        <f>IF(F408="","",ROUND(W408*V408+IF(N408="",0,N408)*V408*OvertimeRate,2))</f>
        <v>0</v>
      </c>
      <c r="Y408" s="21">
        <f>IF(F408="","",IF(P408&lt;&gt;"Yes",0,ROUND(U408*IF(IFERROR(INDEX(Clients!$O$5:$O$204,MATCH(IFERROR(INDEX(Jobs!$G$5:$G$604,MATCH(G408,Jobs!$A$5:$A$604,0)),""),Clients!$A$5:$A$204,0)),0)&gt;0,INDEX(Clients!$O$5:$O$204,MATCH(INDEX(Jobs!$G$5:$G$604,MATCH(G408,Jobs!$A$5:$A$604,0)),Clients!$A$5:$A$204,0)),HourlyRate),2)))</f>
        <v>0</v>
      </c>
      <c r="Z408" s="39">
        <f>IF(F408="","",IF(U408=0,"Add - no hours recorded",IF(O408="Absent - no show","Action - no show",IF(U408&gt;10,"Check - over ten hours in a day",IF(Q408&lt;&gt;"Yes","Due - needs approving",IF(R408&lt;&gt;"Yes","Due - not paid yet","OK"))))))</f>
        <v>0</v>
      </c>
    </row>
    <row r="409" spans="1:26">
      <c r="A409" s="43">
        <f>IF(F409="","","TS-"&amp;TEXT(ROW()-4,"0000"))</f>
        <v>0</v>
      </c>
      <c r="C409" s="23">
        <f>IF(B409="","",TEXT(B409,"ddd"))</f>
        <v>0</v>
      </c>
      <c r="D409" s="31">
        <f>IF(B409="","",WEEKNUM(B409,IF(WeekStart="Sunday",1,2)))</f>
        <v>0</v>
      </c>
      <c r="E409" s="23">
        <f>IF(B409="","",TEXT(B409,"yyyy-mm"))</f>
        <v>0</v>
      </c>
      <c r="H409" s="23">
        <f>IF(G409="","",IFERROR(INDEX(Jobs!$H$5:$H$604,MATCH(G409,Jobs!$A$5:$A$604,0)),""))</f>
        <v>0</v>
      </c>
      <c r="T409" s="34">
        <f>IF(OR(J409="",K409=""),"",ROUND((K409-J409)*24-IF(L409="",0,L409)/60,2))</f>
        <v>0</v>
      </c>
      <c r="U409" s="34">
        <f>IF(F409="","",IF(M409&lt;&gt;"",M409,IF(T409="",0,T409)))</f>
        <v>0</v>
      </c>
      <c r="V409" s="21">
        <f>IF(F409="","",IFERROR(INDEX(Employees!$U$5:$U$44,MATCH(F409,Employees!$B$5:$B$44,0)),PayRate*(1+EmployerOncost)))</f>
        <v>0</v>
      </c>
      <c r="W409" s="34">
        <f>IF(F409="","",MAX(0,U409-IF(N409="",0,N409)))</f>
        <v>0</v>
      </c>
      <c r="X409" s="21">
        <f>IF(F409="","",ROUND(W409*V409+IF(N409="",0,N409)*V409*OvertimeRate,2))</f>
        <v>0</v>
      </c>
      <c r="Y409" s="21">
        <f>IF(F409="","",IF(P409&lt;&gt;"Yes",0,ROUND(U409*IF(IFERROR(INDEX(Clients!$O$5:$O$204,MATCH(IFERROR(INDEX(Jobs!$G$5:$G$604,MATCH(G409,Jobs!$A$5:$A$604,0)),""),Clients!$A$5:$A$204,0)),0)&gt;0,INDEX(Clients!$O$5:$O$204,MATCH(INDEX(Jobs!$G$5:$G$604,MATCH(G409,Jobs!$A$5:$A$604,0)),Clients!$A$5:$A$204,0)),HourlyRate),2)))</f>
        <v>0</v>
      </c>
      <c r="Z409" s="39">
        <f>IF(F409="","",IF(U409=0,"Add - no hours recorded",IF(O409="Absent - no show","Action - no show",IF(U409&gt;10,"Check - over ten hours in a day",IF(Q409&lt;&gt;"Yes","Due - needs approving",IF(R409&lt;&gt;"Yes","Due - not paid yet","OK"))))))</f>
        <v>0</v>
      </c>
    </row>
    <row r="410" spans="1:26">
      <c r="A410" s="43">
        <f>IF(F410="","","TS-"&amp;TEXT(ROW()-4,"0000"))</f>
        <v>0</v>
      </c>
      <c r="C410" s="23">
        <f>IF(B410="","",TEXT(B410,"ddd"))</f>
        <v>0</v>
      </c>
      <c r="D410" s="31">
        <f>IF(B410="","",WEEKNUM(B410,IF(WeekStart="Sunday",1,2)))</f>
        <v>0</v>
      </c>
      <c r="E410" s="23">
        <f>IF(B410="","",TEXT(B410,"yyyy-mm"))</f>
        <v>0</v>
      </c>
      <c r="H410" s="23">
        <f>IF(G410="","",IFERROR(INDEX(Jobs!$H$5:$H$604,MATCH(G410,Jobs!$A$5:$A$604,0)),""))</f>
        <v>0</v>
      </c>
      <c r="T410" s="34">
        <f>IF(OR(J410="",K410=""),"",ROUND((K410-J410)*24-IF(L410="",0,L410)/60,2))</f>
        <v>0</v>
      </c>
      <c r="U410" s="34">
        <f>IF(F410="","",IF(M410&lt;&gt;"",M410,IF(T410="",0,T410)))</f>
        <v>0</v>
      </c>
      <c r="V410" s="21">
        <f>IF(F410="","",IFERROR(INDEX(Employees!$U$5:$U$44,MATCH(F410,Employees!$B$5:$B$44,0)),PayRate*(1+EmployerOncost)))</f>
        <v>0</v>
      </c>
      <c r="W410" s="34">
        <f>IF(F410="","",MAX(0,U410-IF(N410="",0,N410)))</f>
        <v>0</v>
      </c>
      <c r="X410" s="21">
        <f>IF(F410="","",ROUND(W410*V410+IF(N410="",0,N410)*V410*OvertimeRate,2))</f>
        <v>0</v>
      </c>
      <c r="Y410" s="21">
        <f>IF(F410="","",IF(P410&lt;&gt;"Yes",0,ROUND(U410*IF(IFERROR(INDEX(Clients!$O$5:$O$204,MATCH(IFERROR(INDEX(Jobs!$G$5:$G$604,MATCH(G410,Jobs!$A$5:$A$604,0)),""),Clients!$A$5:$A$204,0)),0)&gt;0,INDEX(Clients!$O$5:$O$204,MATCH(INDEX(Jobs!$G$5:$G$604,MATCH(G410,Jobs!$A$5:$A$604,0)),Clients!$A$5:$A$204,0)),HourlyRate),2)))</f>
        <v>0</v>
      </c>
      <c r="Z410" s="39">
        <f>IF(F410="","",IF(U410=0,"Add - no hours recorded",IF(O410="Absent - no show","Action - no show",IF(U410&gt;10,"Check - over ten hours in a day",IF(Q410&lt;&gt;"Yes","Due - needs approving",IF(R410&lt;&gt;"Yes","Due - not paid yet","OK"))))))</f>
        <v>0</v>
      </c>
    </row>
    <row r="411" spans="1:26">
      <c r="A411" s="43">
        <f>IF(F411="","","TS-"&amp;TEXT(ROW()-4,"0000"))</f>
        <v>0</v>
      </c>
      <c r="C411" s="23">
        <f>IF(B411="","",TEXT(B411,"ddd"))</f>
        <v>0</v>
      </c>
      <c r="D411" s="31">
        <f>IF(B411="","",WEEKNUM(B411,IF(WeekStart="Sunday",1,2)))</f>
        <v>0</v>
      </c>
      <c r="E411" s="23">
        <f>IF(B411="","",TEXT(B411,"yyyy-mm"))</f>
        <v>0</v>
      </c>
      <c r="H411" s="23">
        <f>IF(G411="","",IFERROR(INDEX(Jobs!$H$5:$H$604,MATCH(G411,Jobs!$A$5:$A$604,0)),""))</f>
        <v>0</v>
      </c>
      <c r="T411" s="34">
        <f>IF(OR(J411="",K411=""),"",ROUND((K411-J411)*24-IF(L411="",0,L411)/60,2))</f>
        <v>0</v>
      </c>
      <c r="U411" s="34">
        <f>IF(F411="","",IF(M411&lt;&gt;"",M411,IF(T411="",0,T411)))</f>
        <v>0</v>
      </c>
      <c r="V411" s="21">
        <f>IF(F411="","",IFERROR(INDEX(Employees!$U$5:$U$44,MATCH(F411,Employees!$B$5:$B$44,0)),PayRate*(1+EmployerOncost)))</f>
        <v>0</v>
      </c>
      <c r="W411" s="34">
        <f>IF(F411="","",MAX(0,U411-IF(N411="",0,N411)))</f>
        <v>0</v>
      </c>
      <c r="X411" s="21">
        <f>IF(F411="","",ROUND(W411*V411+IF(N411="",0,N411)*V411*OvertimeRate,2))</f>
        <v>0</v>
      </c>
      <c r="Y411" s="21">
        <f>IF(F411="","",IF(P411&lt;&gt;"Yes",0,ROUND(U411*IF(IFERROR(INDEX(Clients!$O$5:$O$204,MATCH(IFERROR(INDEX(Jobs!$G$5:$G$604,MATCH(G411,Jobs!$A$5:$A$604,0)),""),Clients!$A$5:$A$204,0)),0)&gt;0,INDEX(Clients!$O$5:$O$204,MATCH(INDEX(Jobs!$G$5:$G$604,MATCH(G411,Jobs!$A$5:$A$604,0)),Clients!$A$5:$A$204,0)),HourlyRate),2)))</f>
        <v>0</v>
      </c>
      <c r="Z411" s="39">
        <f>IF(F411="","",IF(U411=0,"Add - no hours recorded",IF(O411="Absent - no show","Action - no show",IF(U411&gt;10,"Check - over ten hours in a day",IF(Q411&lt;&gt;"Yes","Due - needs approving",IF(R411&lt;&gt;"Yes","Due - not paid yet","OK"))))))</f>
        <v>0</v>
      </c>
    </row>
    <row r="412" spans="1:26">
      <c r="A412" s="43">
        <f>IF(F412="","","TS-"&amp;TEXT(ROW()-4,"0000"))</f>
        <v>0</v>
      </c>
      <c r="C412" s="23">
        <f>IF(B412="","",TEXT(B412,"ddd"))</f>
        <v>0</v>
      </c>
      <c r="D412" s="31">
        <f>IF(B412="","",WEEKNUM(B412,IF(WeekStart="Sunday",1,2)))</f>
        <v>0</v>
      </c>
      <c r="E412" s="23">
        <f>IF(B412="","",TEXT(B412,"yyyy-mm"))</f>
        <v>0</v>
      </c>
      <c r="H412" s="23">
        <f>IF(G412="","",IFERROR(INDEX(Jobs!$H$5:$H$604,MATCH(G412,Jobs!$A$5:$A$604,0)),""))</f>
        <v>0</v>
      </c>
      <c r="T412" s="34">
        <f>IF(OR(J412="",K412=""),"",ROUND((K412-J412)*24-IF(L412="",0,L412)/60,2))</f>
        <v>0</v>
      </c>
      <c r="U412" s="34">
        <f>IF(F412="","",IF(M412&lt;&gt;"",M412,IF(T412="",0,T412)))</f>
        <v>0</v>
      </c>
      <c r="V412" s="21">
        <f>IF(F412="","",IFERROR(INDEX(Employees!$U$5:$U$44,MATCH(F412,Employees!$B$5:$B$44,0)),PayRate*(1+EmployerOncost)))</f>
        <v>0</v>
      </c>
      <c r="W412" s="34">
        <f>IF(F412="","",MAX(0,U412-IF(N412="",0,N412)))</f>
        <v>0</v>
      </c>
      <c r="X412" s="21">
        <f>IF(F412="","",ROUND(W412*V412+IF(N412="",0,N412)*V412*OvertimeRate,2))</f>
        <v>0</v>
      </c>
      <c r="Y412" s="21">
        <f>IF(F412="","",IF(P412&lt;&gt;"Yes",0,ROUND(U412*IF(IFERROR(INDEX(Clients!$O$5:$O$204,MATCH(IFERROR(INDEX(Jobs!$G$5:$G$604,MATCH(G412,Jobs!$A$5:$A$604,0)),""),Clients!$A$5:$A$204,0)),0)&gt;0,INDEX(Clients!$O$5:$O$204,MATCH(INDEX(Jobs!$G$5:$G$604,MATCH(G412,Jobs!$A$5:$A$604,0)),Clients!$A$5:$A$204,0)),HourlyRate),2)))</f>
        <v>0</v>
      </c>
      <c r="Z412" s="39">
        <f>IF(F412="","",IF(U412=0,"Add - no hours recorded",IF(O412="Absent - no show","Action - no show",IF(U412&gt;10,"Check - over ten hours in a day",IF(Q412&lt;&gt;"Yes","Due - needs approving",IF(R412&lt;&gt;"Yes","Due - not paid yet","OK"))))))</f>
        <v>0</v>
      </c>
    </row>
    <row r="413" spans="1:26">
      <c r="A413" s="43">
        <f>IF(F413="","","TS-"&amp;TEXT(ROW()-4,"0000"))</f>
        <v>0</v>
      </c>
      <c r="C413" s="23">
        <f>IF(B413="","",TEXT(B413,"ddd"))</f>
        <v>0</v>
      </c>
      <c r="D413" s="31">
        <f>IF(B413="","",WEEKNUM(B413,IF(WeekStart="Sunday",1,2)))</f>
        <v>0</v>
      </c>
      <c r="E413" s="23">
        <f>IF(B413="","",TEXT(B413,"yyyy-mm"))</f>
        <v>0</v>
      </c>
      <c r="H413" s="23">
        <f>IF(G413="","",IFERROR(INDEX(Jobs!$H$5:$H$604,MATCH(G413,Jobs!$A$5:$A$604,0)),""))</f>
        <v>0</v>
      </c>
      <c r="T413" s="34">
        <f>IF(OR(J413="",K413=""),"",ROUND((K413-J413)*24-IF(L413="",0,L413)/60,2))</f>
        <v>0</v>
      </c>
      <c r="U413" s="34">
        <f>IF(F413="","",IF(M413&lt;&gt;"",M413,IF(T413="",0,T413)))</f>
        <v>0</v>
      </c>
      <c r="V413" s="21">
        <f>IF(F413="","",IFERROR(INDEX(Employees!$U$5:$U$44,MATCH(F413,Employees!$B$5:$B$44,0)),PayRate*(1+EmployerOncost)))</f>
        <v>0</v>
      </c>
      <c r="W413" s="34">
        <f>IF(F413="","",MAX(0,U413-IF(N413="",0,N413)))</f>
        <v>0</v>
      </c>
      <c r="X413" s="21">
        <f>IF(F413="","",ROUND(W413*V413+IF(N413="",0,N413)*V413*OvertimeRate,2))</f>
        <v>0</v>
      </c>
      <c r="Y413" s="21">
        <f>IF(F413="","",IF(P413&lt;&gt;"Yes",0,ROUND(U413*IF(IFERROR(INDEX(Clients!$O$5:$O$204,MATCH(IFERROR(INDEX(Jobs!$G$5:$G$604,MATCH(G413,Jobs!$A$5:$A$604,0)),""),Clients!$A$5:$A$204,0)),0)&gt;0,INDEX(Clients!$O$5:$O$204,MATCH(INDEX(Jobs!$G$5:$G$604,MATCH(G413,Jobs!$A$5:$A$604,0)),Clients!$A$5:$A$204,0)),HourlyRate),2)))</f>
        <v>0</v>
      </c>
      <c r="Z413" s="39">
        <f>IF(F413="","",IF(U413=0,"Add - no hours recorded",IF(O413="Absent - no show","Action - no show",IF(U413&gt;10,"Check - over ten hours in a day",IF(Q413&lt;&gt;"Yes","Due - needs approving",IF(R413&lt;&gt;"Yes","Due - not paid yet","OK"))))))</f>
        <v>0</v>
      </c>
    </row>
    <row r="414" spans="1:26">
      <c r="A414" s="43">
        <f>IF(F414="","","TS-"&amp;TEXT(ROW()-4,"0000"))</f>
        <v>0</v>
      </c>
      <c r="C414" s="23">
        <f>IF(B414="","",TEXT(B414,"ddd"))</f>
        <v>0</v>
      </c>
      <c r="D414" s="31">
        <f>IF(B414="","",WEEKNUM(B414,IF(WeekStart="Sunday",1,2)))</f>
        <v>0</v>
      </c>
      <c r="E414" s="23">
        <f>IF(B414="","",TEXT(B414,"yyyy-mm"))</f>
        <v>0</v>
      </c>
      <c r="H414" s="23">
        <f>IF(G414="","",IFERROR(INDEX(Jobs!$H$5:$H$604,MATCH(G414,Jobs!$A$5:$A$604,0)),""))</f>
        <v>0</v>
      </c>
      <c r="T414" s="34">
        <f>IF(OR(J414="",K414=""),"",ROUND((K414-J414)*24-IF(L414="",0,L414)/60,2))</f>
        <v>0</v>
      </c>
      <c r="U414" s="34">
        <f>IF(F414="","",IF(M414&lt;&gt;"",M414,IF(T414="",0,T414)))</f>
        <v>0</v>
      </c>
      <c r="V414" s="21">
        <f>IF(F414="","",IFERROR(INDEX(Employees!$U$5:$U$44,MATCH(F414,Employees!$B$5:$B$44,0)),PayRate*(1+EmployerOncost)))</f>
        <v>0</v>
      </c>
      <c r="W414" s="34">
        <f>IF(F414="","",MAX(0,U414-IF(N414="",0,N414)))</f>
        <v>0</v>
      </c>
      <c r="X414" s="21">
        <f>IF(F414="","",ROUND(W414*V414+IF(N414="",0,N414)*V414*OvertimeRate,2))</f>
        <v>0</v>
      </c>
      <c r="Y414" s="21">
        <f>IF(F414="","",IF(P414&lt;&gt;"Yes",0,ROUND(U414*IF(IFERROR(INDEX(Clients!$O$5:$O$204,MATCH(IFERROR(INDEX(Jobs!$G$5:$G$604,MATCH(G414,Jobs!$A$5:$A$604,0)),""),Clients!$A$5:$A$204,0)),0)&gt;0,INDEX(Clients!$O$5:$O$204,MATCH(INDEX(Jobs!$G$5:$G$604,MATCH(G414,Jobs!$A$5:$A$604,0)),Clients!$A$5:$A$204,0)),HourlyRate),2)))</f>
        <v>0</v>
      </c>
      <c r="Z414" s="39">
        <f>IF(F414="","",IF(U414=0,"Add - no hours recorded",IF(O414="Absent - no show","Action - no show",IF(U414&gt;10,"Check - over ten hours in a day",IF(Q414&lt;&gt;"Yes","Due - needs approving",IF(R414&lt;&gt;"Yes","Due - not paid yet","OK"))))))</f>
        <v>0</v>
      </c>
    </row>
    <row r="415" spans="1:26">
      <c r="A415" s="43">
        <f>IF(F415="","","TS-"&amp;TEXT(ROW()-4,"0000"))</f>
        <v>0</v>
      </c>
      <c r="C415" s="23">
        <f>IF(B415="","",TEXT(B415,"ddd"))</f>
        <v>0</v>
      </c>
      <c r="D415" s="31">
        <f>IF(B415="","",WEEKNUM(B415,IF(WeekStart="Sunday",1,2)))</f>
        <v>0</v>
      </c>
      <c r="E415" s="23">
        <f>IF(B415="","",TEXT(B415,"yyyy-mm"))</f>
        <v>0</v>
      </c>
      <c r="H415" s="23">
        <f>IF(G415="","",IFERROR(INDEX(Jobs!$H$5:$H$604,MATCH(G415,Jobs!$A$5:$A$604,0)),""))</f>
        <v>0</v>
      </c>
      <c r="T415" s="34">
        <f>IF(OR(J415="",K415=""),"",ROUND((K415-J415)*24-IF(L415="",0,L415)/60,2))</f>
        <v>0</v>
      </c>
      <c r="U415" s="34">
        <f>IF(F415="","",IF(M415&lt;&gt;"",M415,IF(T415="",0,T415)))</f>
        <v>0</v>
      </c>
      <c r="V415" s="21">
        <f>IF(F415="","",IFERROR(INDEX(Employees!$U$5:$U$44,MATCH(F415,Employees!$B$5:$B$44,0)),PayRate*(1+EmployerOncost)))</f>
        <v>0</v>
      </c>
      <c r="W415" s="34">
        <f>IF(F415="","",MAX(0,U415-IF(N415="",0,N415)))</f>
        <v>0</v>
      </c>
      <c r="X415" s="21">
        <f>IF(F415="","",ROUND(W415*V415+IF(N415="",0,N415)*V415*OvertimeRate,2))</f>
        <v>0</v>
      </c>
      <c r="Y415" s="21">
        <f>IF(F415="","",IF(P415&lt;&gt;"Yes",0,ROUND(U415*IF(IFERROR(INDEX(Clients!$O$5:$O$204,MATCH(IFERROR(INDEX(Jobs!$G$5:$G$604,MATCH(G415,Jobs!$A$5:$A$604,0)),""),Clients!$A$5:$A$204,0)),0)&gt;0,INDEX(Clients!$O$5:$O$204,MATCH(INDEX(Jobs!$G$5:$G$604,MATCH(G415,Jobs!$A$5:$A$604,0)),Clients!$A$5:$A$204,0)),HourlyRate),2)))</f>
        <v>0</v>
      </c>
      <c r="Z415" s="39">
        <f>IF(F415="","",IF(U415=0,"Add - no hours recorded",IF(O415="Absent - no show","Action - no show",IF(U415&gt;10,"Check - over ten hours in a day",IF(Q415&lt;&gt;"Yes","Due - needs approving",IF(R415&lt;&gt;"Yes","Due - not paid yet","OK"))))))</f>
        <v>0</v>
      </c>
    </row>
    <row r="416" spans="1:26">
      <c r="A416" s="43">
        <f>IF(F416="","","TS-"&amp;TEXT(ROW()-4,"0000"))</f>
        <v>0</v>
      </c>
      <c r="C416" s="23">
        <f>IF(B416="","",TEXT(B416,"ddd"))</f>
        <v>0</v>
      </c>
      <c r="D416" s="31">
        <f>IF(B416="","",WEEKNUM(B416,IF(WeekStart="Sunday",1,2)))</f>
        <v>0</v>
      </c>
      <c r="E416" s="23">
        <f>IF(B416="","",TEXT(B416,"yyyy-mm"))</f>
        <v>0</v>
      </c>
      <c r="H416" s="23">
        <f>IF(G416="","",IFERROR(INDEX(Jobs!$H$5:$H$604,MATCH(G416,Jobs!$A$5:$A$604,0)),""))</f>
        <v>0</v>
      </c>
      <c r="T416" s="34">
        <f>IF(OR(J416="",K416=""),"",ROUND((K416-J416)*24-IF(L416="",0,L416)/60,2))</f>
        <v>0</v>
      </c>
      <c r="U416" s="34">
        <f>IF(F416="","",IF(M416&lt;&gt;"",M416,IF(T416="",0,T416)))</f>
        <v>0</v>
      </c>
      <c r="V416" s="21">
        <f>IF(F416="","",IFERROR(INDEX(Employees!$U$5:$U$44,MATCH(F416,Employees!$B$5:$B$44,0)),PayRate*(1+EmployerOncost)))</f>
        <v>0</v>
      </c>
      <c r="W416" s="34">
        <f>IF(F416="","",MAX(0,U416-IF(N416="",0,N416)))</f>
        <v>0</v>
      </c>
      <c r="X416" s="21">
        <f>IF(F416="","",ROUND(W416*V416+IF(N416="",0,N416)*V416*OvertimeRate,2))</f>
        <v>0</v>
      </c>
      <c r="Y416" s="21">
        <f>IF(F416="","",IF(P416&lt;&gt;"Yes",0,ROUND(U416*IF(IFERROR(INDEX(Clients!$O$5:$O$204,MATCH(IFERROR(INDEX(Jobs!$G$5:$G$604,MATCH(G416,Jobs!$A$5:$A$604,0)),""),Clients!$A$5:$A$204,0)),0)&gt;0,INDEX(Clients!$O$5:$O$204,MATCH(INDEX(Jobs!$G$5:$G$604,MATCH(G416,Jobs!$A$5:$A$604,0)),Clients!$A$5:$A$204,0)),HourlyRate),2)))</f>
        <v>0</v>
      </c>
      <c r="Z416" s="39">
        <f>IF(F416="","",IF(U416=0,"Add - no hours recorded",IF(O416="Absent - no show","Action - no show",IF(U416&gt;10,"Check - over ten hours in a day",IF(Q416&lt;&gt;"Yes","Due - needs approving",IF(R416&lt;&gt;"Yes","Due - not paid yet","OK"))))))</f>
        <v>0</v>
      </c>
    </row>
    <row r="417" spans="1:26">
      <c r="A417" s="43">
        <f>IF(F417="","","TS-"&amp;TEXT(ROW()-4,"0000"))</f>
        <v>0</v>
      </c>
      <c r="C417" s="23">
        <f>IF(B417="","",TEXT(B417,"ddd"))</f>
        <v>0</v>
      </c>
      <c r="D417" s="31">
        <f>IF(B417="","",WEEKNUM(B417,IF(WeekStart="Sunday",1,2)))</f>
        <v>0</v>
      </c>
      <c r="E417" s="23">
        <f>IF(B417="","",TEXT(B417,"yyyy-mm"))</f>
        <v>0</v>
      </c>
      <c r="H417" s="23">
        <f>IF(G417="","",IFERROR(INDEX(Jobs!$H$5:$H$604,MATCH(G417,Jobs!$A$5:$A$604,0)),""))</f>
        <v>0</v>
      </c>
      <c r="T417" s="34">
        <f>IF(OR(J417="",K417=""),"",ROUND((K417-J417)*24-IF(L417="",0,L417)/60,2))</f>
        <v>0</v>
      </c>
      <c r="U417" s="34">
        <f>IF(F417="","",IF(M417&lt;&gt;"",M417,IF(T417="",0,T417)))</f>
        <v>0</v>
      </c>
      <c r="V417" s="21">
        <f>IF(F417="","",IFERROR(INDEX(Employees!$U$5:$U$44,MATCH(F417,Employees!$B$5:$B$44,0)),PayRate*(1+EmployerOncost)))</f>
        <v>0</v>
      </c>
      <c r="W417" s="34">
        <f>IF(F417="","",MAX(0,U417-IF(N417="",0,N417)))</f>
        <v>0</v>
      </c>
      <c r="X417" s="21">
        <f>IF(F417="","",ROUND(W417*V417+IF(N417="",0,N417)*V417*OvertimeRate,2))</f>
        <v>0</v>
      </c>
      <c r="Y417" s="21">
        <f>IF(F417="","",IF(P417&lt;&gt;"Yes",0,ROUND(U417*IF(IFERROR(INDEX(Clients!$O$5:$O$204,MATCH(IFERROR(INDEX(Jobs!$G$5:$G$604,MATCH(G417,Jobs!$A$5:$A$604,0)),""),Clients!$A$5:$A$204,0)),0)&gt;0,INDEX(Clients!$O$5:$O$204,MATCH(INDEX(Jobs!$G$5:$G$604,MATCH(G417,Jobs!$A$5:$A$604,0)),Clients!$A$5:$A$204,0)),HourlyRate),2)))</f>
        <v>0</v>
      </c>
      <c r="Z417" s="39">
        <f>IF(F417="","",IF(U417=0,"Add - no hours recorded",IF(O417="Absent - no show","Action - no show",IF(U417&gt;10,"Check - over ten hours in a day",IF(Q417&lt;&gt;"Yes","Due - needs approving",IF(R417&lt;&gt;"Yes","Due - not paid yet","OK"))))))</f>
        <v>0</v>
      </c>
    </row>
    <row r="418" spans="1:26">
      <c r="A418" s="43">
        <f>IF(F418="","","TS-"&amp;TEXT(ROW()-4,"0000"))</f>
        <v>0</v>
      </c>
      <c r="C418" s="23">
        <f>IF(B418="","",TEXT(B418,"ddd"))</f>
        <v>0</v>
      </c>
      <c r="D418" s="31">
        <f>IF(B418="","",WEEKNUM(B418,IF(WeekStart="Sunday",1,2)))</f>
        <v>0</v>
      </c>
      <c r="E418" s="23">
        <f>IF(B418="","",TEXT(B418,"yyyy-mm"))</f>
        <v>0</v>
      </c>
      <c r="H418" s="23">
        <f>IF(G418="","",IFERROR(INDEX(Jobs!$H$5:$H$604,MATCH(G418,Jobs!$A$5:$A$604,0)),""))</f>
        <v>0</v>
      </c>
      <c r="T418" s="34">
        <f>IF(OR(J418="",K418=""),"",ROUND((K418-J418)*24-IF(L418="",0,L418)/60,2))</f>
        <v>0</v>
      </c>
      <c r="U418" s="34">
        <f>IF(F418="","",IF(M418&lt;&gt;"",M418,IF(T418="",0,T418)))</f>
        <v>0</v>
      </c>
      <c r="V418" s="21">
        <f>IF(F418="","",IFERROR(INDEX(Employees!$U$5:$U$44,MATCH(F418,Employees!$B$5:$B$44,0)),PayRate*(1+EmployerOncost)))</f>
        <v>0</v>
      </c>
      <c r="W418" s="34">
        <f>IF(F418="","",MAX(0,U418-IF(N418="",0,N418)))</f>
        <v>0</v>
      </c>
      <c r="X418" s="21">
        <f>IF(F418="","",ROUND(W418*V418+IF(N418="",0,N418)*V418*OvertimeRate,2))</f>
        <v>0</v>
      </c>
      <c r="Y418" s="21">
        <f>IF(F418="","",IF(P418&lt;&gt;"Yes",0,ROUND(U418*IF(IFERROR(INDEX(Clients!$O$5:$O$204,MATCH(IFERROR(INDEX(Jobs!$G$5:$G$604,MATCH(G418,Jobs!$A$5:$A$604,0)),""),Clients!$A$5:$A$204,0)),0)&gt;0,INDEX(Clients!$O$5:$O$204,MATCH(INDEX(Jobs!$G$5:$G$604,MATCH(G418,Jobs!$A$5:$A$604,0)),Clients!$A$5:$A$204,0)),HourlyRate),2)))</f>
        <v>0</v>
      </c>
      <c r="Z418" s="39">
        <f>IF(F418="","",IF(U418=0,"Add - no hours recorded",IF(O418="Absent - no show","Action - no show",IF(U418&gt;10,"Check - over ten hours in a day",IF(Q418&lt;&gt;"Yes","Due - needs approving",IF(R418&lt;&gt;"Yes","Due - not paid yet","OK"))))))</f>
        <v>0</v>
      </c>
    </row>
    <row r="419" spans="1:26">
      <c r="A419" s="43">
        <f>IF(F419="","","TS-"&amp;TEXT(ROW()-4,"0000"))</f>
        <v>0</v>
      </c>
      <c r="C419" s="23">
        <f>IF(B419="","",TEXT(B419,"ddd"))</f>
        <v>0</v>
      </c>
      <c r="D419" s="31">
        <f>IF(B419="","",WEEKNUM(B419,IF(WeekStart="Sunday",1,2)))</f>
        <v>0</v>
      </c>
      <c r="E419" s="23">
        <f>IF(B419="","",TEXT(B419,"yyyy-mm"))</f>
        <v>0</v>
      </c>
      <c r="H419" s="23">
        <f>IF(G419="","",IFERROR(INDEX(Jobs!$H$5:$H$604,MATCH(G419,Jobs!$A$5:$A$604,0)),""))</f>
        <v>0</v>
      </c>
      <c r="T419" s="34">
        <f>IF(OR(J419="",K419=""),"",ROUND((K419-J419)*24-IF(L419="",0,L419)/60,2))</f>
        <v>0</v>
      </c>
      <c r="U419" s="34">
        <f>IF(F419="","",IF(M419&lt;&gt;"",M419,IF(T419="",0,T419)))</f>
        <v>0</v>
      </c>
      <c r="V419" s="21">
        <f>IF(F419="","",IFERROR(INDEX(Employees!$U$5:$U$44,MATCH(F419,Employees!$B$5:$B$44,0)),PayRate*(1+EmployerOncost)))</f>
        <v>0</v>
      </c>
      <c r="W419" s="34">
        <f>IF(F419="","",MAX(0,U419-IF(N419="",0,N419)))</f>
        <v>0</v>
      </c>
      <c r="X419" s="21">
        <f>IF(F419="","",ROUND(W419*V419+IF(N419="",0,N419)*V419*OvertimeRate,2))</f>
        <v>0</v>
      </c>
      <c r="Y419" s="21">
        <f>IF(F419="","",IF(P419&lt;&gt;"Yes",0,ROUND(U419*IF(IFERROR(INDEX(Clients!$O$5:$O$204,MATCH(IFERROR(INDEX(Jobs!$G$5:$G$604,MATCH(G419,Jobs!$A$5:$A$604,0)),""),Clients!$A$5:$A$204,0)),0)&gt;0,INDEX(Clients!$O$5:$O$204,MATCH(INDEX(Jobs!$G$5:$G$604,MATCH(G419,Jobs!$A$5:$A$604,0)),Clients!$A$5:$A$204,0)),HourlyRate),2)))</f>
        <v>0</v>
      </c>
      <c r="Z419" s="39">
        <f>IF(F419="","",IF(U419=0,"Add - no hours recorded",IF(O419="Absent - no show","Action - no show",IF(U419&gt;10,"Check - over ten hours in a day",IF(Q419&lt;&gt;"Yes","Due - needs approving",IF(R419&lt;&gt;"Yes","Due - not paid yet","OK"))))))</f>
        <v>0</v>
      </c>
    </row>
    <row r="420" spans="1:26">
      <c r="A420" s="43">
        <f>IF(F420="","","TS-"&amp;TEXT(ROW()-4,"0000"))</f>
        <v>0</v>
      </c>
      <c r="C420" s="23">
        <f>IF(B420="","",TEXT(B420,"ddd"))</f>
        <v>0</v>
      </c>
      <c r="D420" s="31">
        <f>IF(B420="","",WEEKNUM(B420,IF(WeekStart="Sunday",1,2)))</f>
        <v>0</v>
      </c>
      <c r="E420" s="23">
        <f>IF(B420="","",TEXT(B420,"yyyy-mm"))</f>
        <v>0</v>
      </c>
      <c r="H420" s="23">
        <f>IF(G420="","",IFERROR(INDEX(Jobs!$H$5:$H$604,MATCH(G420,Jobs!$A$5:$A$604,0)),""))</f>
        <v>0</v>
      </c>
      <c r="T420" s="34">
        <f>IF(OR(J420="",K420=""),"",ROUND((K420-J420)*24-IF(L420="",0,L420)/60,2))</f>
        <v>0</v>
      </c>
      <c r="U420" s="34">
        <f>IF(F420="","",IF(M420&lt;&gt;"",M420,IF(T420="",0,T420)))</f>
        <v>0</v>
      </c>
      <c r="V420" s="21">
        <f>IF(F420="","",IFERROR(INDEX(Employees!$U$5:$U$44,MATCH(F420,Employees!$B$5:$B$44,0)),PayRate*(1+EmployerOncost)))</f>
        <v>0</v>
      </c>
      <c r="W420" s="34">
        <f>IF(F420="","",MAX(0,U420-IF(N420="",0,N420)))</f>
        <v>0</v>
      </c>
      <c r="X420" s="21">
        <f>IF(F420="","",ROUND(W420*V420+IF(N420="",0,N420)*V420*OvertimeRate,2))</f>
        <v>0</v>
      </c>
      <c r="Y420" s="21">
        <f>IF(F420="","",IF(P420&lt;&gt;"Yes",0,ROUND(U420*IF(IFERROR(INDEX(Clients!$O$5:$O$204,MATCH(IFERROR(INDEX(Jobs!$G$5:$G$604,MATCH(G420,Jobs!$A$5:$A$604,0)),""),Clients!$A$5:$A$204,0)),0)&gt;0,INDEX(Clients!$O$5:$O$204,MATCH(INDEX(Jobs!$G$5:$G$604,MATCH(G420,Jobs!$A$5:$A$604,0)),Clients!$A$5:$A$204,0)),HourlyRate),2)))</f>
        <v>0</v>
      </c>
      <c r="Z420" s="39">
        <f>IF(F420="","",IF(U420=0,"Add - no hours recorded",IF(O420="Absent - no show","Action - no show",IF(U420&gt;10,"Check - over ten hours in a day",IF(Q420&lt;&gt;"Yes","Due - needs approving",IF(R420&lt;&gt;"Yes","Due - not paid yet","OK"))))))</f>
        <v>0</v>
      </c>
    </row>
    <row r="421" spans="1:26">
      <c r="A421" s="43">
        <f>IF(F421="","","TS-"&amp;TEXT(ROW()-4,"0000"))</f>
        <v>0</v>
      </c>
      <c r="C421" s="23">
        <f>IF(B421="","",TEXT(B421,"ddd"))</f>
        <v>0</v>
      </c>
      <c r="D421" s="31">
        <f>IF(B421="","",WEEKNUM(B421,IF(WeekStart="Sunday",1,2)))</f>
        <v>0</v>
      </c>
      <c r="E421" s="23">
        <f>IF(B421="","",TEXT(B421,"yyyy-mm"))</f>
        <v>0</v>
      </c>
      <c r="H421" s="23">
        <f>IF(G421="","",IFERROR(INDEX(Jobs!$H$5:$H$604,MATCH(G421,Jobs!$A$5:$A$604,0)),""))</f>
        <v>0</v>
      </c>
      <c r="T421" s="34">
        <f>IF(OR(J421="",K421=""),"",ROUND((K421-J421)*24-IF(L421="",0,L421)/60,2))</f>
        <v>0</v>
      </c>
      <c r="U421" s="34">
        <f>IF(F421="","",IF(M421&lt;&gt;"",M421,IF(T421="",0,T421)))</f>
        <v>0</v>
      </c>
      <c r="V421" s="21">
        <f>IF(F421="","",IFERROR(INDEX(Employees!$U$5:$U$44,MATCH(F421,Employees!$B$5:$B$44,0)),PayRate*(1+EmployerOncost)))</f>
        <v>0</v>
      </c>
      <c r="W421" s="34">
        <f>IF(F421="","",MAX(0,U421-IF(N421="",0,N421)))</f>
        <v>0</v>
      </c>
      <c r="X421" s="21">
        <f>IF(F421="","",ROUND(W421*V421+IF(N421="",0,N421)*V421*OvertimeRate,2))</f>
        <v>0</v>
      </c>
      <c r="Y421" s="21">
        <f>IF(F421="","",IF(P421&lt;&gt;"Yes",0,ROUND(U421*IF(IFERROR(INDEX(Clients!$O$5:$O$204,MATCH(IFERROR(INDEX(Jobs!$G$5:$G$604,MATCH(G421,Jobs!$A$5:$A$604,0)),""),Clients!$A$5:$A$204,0)),0)&gt;0,INDEX(Clients!$O$5:$O$204,MATCH(INDEX(Jobs!$G$5:$G$604,MATCH(G421,Jobs!$A$5:$A$604,0)),Clients!$A$5:$A$204,0)),HourlyRate),2)))</f>
        <v>0</v>
      </c>
      <c r="Z421" s="39">
        <f>IF(F421="","",IF(U421=0,"Add - no hours recorded",IF(O421="Absent - no show","Action - no show",IF(U421&gt;10,"Check - over ten hours in a day",IF(Q421&lt;&gt;"Yes","Due - needs approving",IF(R421&lt;&gt;"Yes","Due - not paid yet","OK"))))))</f>
        <v>0</v>
      </c>
    </row>
    <row r="422" spans="1:26">
      <c r="A422" s="43">
        <f>IF(F422="","","TS-"&amp;TEXT(ROW()-4,"0000"))</f>
        <v>0</v>
      </c>
      <c r="C422" s="23">
        <f>IF(B422="","",TEXT(B422,"ddd"))</f>
        <v>0</v>
      </c>
      <c r="D422" s="31">
        <f>IF(B422="","",WEEKNUM(B422,IF(WeekStart="Sunday",1,2)))</f>
        <v>0</v>
      </c>
      <c r="E422" s="23">
        <f>IF(B422="","",TEXT(B422,"yyyy-mm"))</f>
        <v>0</v>
      </c>
      <c r="H422" s="23">
        <f>IF(G422="","",IFERROR(INDEX(Jobs!$H$5:$H$604,MATCH(G422,Jobs!$A$5:$A$604,0)),""))</f>
        <v>0</v>
      </c>
      <c r="T422" s="34">
        <f>IF(OR(J422="",K422=""),"",ROUND((K422-J422)*24-IF(L422="",0,L422)/60,2))</f>
        <v>0</v>
      </c>
      <c r="U422" s="34">
        <f>IF(F422="","",IF(M422&lt;&gt;"",M422,IF(T422="",0,T422)))</f>
        <v>0</v>
      </c>
      <c r="V422" s="21">
        <f>IF(F422="","",IFERROR(INDEX(Employees!$U$5:$U$44,MATCH(F422,Employees!$B$5:$B$44,0)),PayRate*(1+EmployerOncost)))</f>
        <v>0</v>
      </c>
      <c r="W422" s="34">
        <f>IF(F422="","",MAX(0,U422-IF(N422="",0,N422)))</f>
        <v>0</v>
      </c>
      <c r="X422" s="21">
        <f>IF(F422="","",ROUND(W422*V422+IF(N422="",0,N422)*V422*OvertimeRate,2))</f>
        <v>0</v>
      </c>
      <c r="Y422" s="21">
        <f>IF(F422="","",IF(P422&lt;&gt;"Yes",0,ROUND(U422*IF(IFERROR(INDEX(Clients!$O$5:$O$204,MATCH(IFERROR(INDEX(Jobs!$G$5:$G$604,MATCH(G422,Jobs!$A$5:$A$604,0)),""),Clients!$A$5:$A$204,0)),0)&gt;0,INDEX(Clients!$O$5:$O$204,MATCH(INDEX(Jobs!$G$5:$G$604,MATCH(G422,Jobs!$A$5:$A$604,0)),Clients!$A$5:$A$204,0)),HourlyRate),2)))</f>
        <v>0</v>
      </c>
      <c r="Z422" s="39">
        <f>IF(F422="","",IF(U422=0,"Add - no hours recorded",IF(O422="Absent - no show","Action - no show",IF(U422&gt;10,"Check - over ten hours in a day",IF(Q422&lt;&gt;"Yes","Due - needs approving",IF(R422&lt;&gt;"Yes","Due - not paid yet","OK"))))))</f>
        <v>0</v>
      </c>
    </row>
    <row r="423" spans="1:26">
      <c r="A423" s="43">
        <f>IF(F423="","","TS-"&amp;TEXT(ROW()-4,"0000"))</f>
        <v>0</v>
      </c>
      <c r="C423" s="23">
        <f>IF(B423="","",TEXT(B423,"ddd"))</f>
        <v>0</v>
      </c>
      <c r="D423" s="31">
        <f>IF(B423="","",WEEKNUM(B423,IF(WeekStart="Sunday",1,2)))</f>
        <v>0</v>
      </c>
      <c r="E423" s="23">
        <f>IF(B423="","",TEXT(B423,"yyyy-mm"))</f>
        <v>0</v>
      </c>
      <c r="H423" s="23">
        <f>IF(G423="","",IFERROR(INDEX(Jobs!$H$5:$H$604,MATCH(G423,Jobs!$A$5:$A$604,0)),""))</f>
        <v>0</v>
      </c>
      <c r="T423" s="34">
        <f>IF(OR(J423="",K423=""),"",ROUND((K423-J423)*24-IF(L423="",0,L423)/60,2))</f>
        <v>0</v>
      </c>
      <c r="U423" s="34">
        <f>IF(F423="","",IF(M423&lt;&gt;"",M423,IF(T423="",0,T423)))</f>
        <v>0</v>
      </c>
      <c r="V423" s="21">
        <f>IF(F423="","",IFERROR(INDEX(Employees!$U$5:$U$44,MATCH(F423,Employees!$B$5:$B$44,0)),PayRate*(1+EmployerOncost)))</f>
        <v>0</v>
      </c>
      <c r="W423" s="34">
        <f>IF(F423="","",MAX(0,U423-IF(N423="",0,N423)))</f>
        <v>0</v>
      </c>
      <c r="X423" s="21">
        <f>IF(F423="","",ROUND(W423*V423+IF(N423="",0,N423)*V423*OvertimeRate,2))</f>
        <v>0</v>
      </c>
      <c r="Y423" s="21">
        <f>IF(F423="","",IF(P423&lt;&gt;"Yes",0,ROUND(U423*IF(IFERROR(INDEX(Clients!$O$5:$O$204,MATCH(IFERROR(INDEX(Jobs!$G$5:$G$604,MATCH(G423,Jobs!$A$5:$A$604,0)),""),Clients!$A$5:$A$204,0)),0)&gt;0,INDEX(Clients!$O$5:$O$204,MATCH(INDEX(Jobs!$G$5:$G$604,MATCH(G423,Jobs!$A$5:$A$604,0)),Clients!$A$5:$A$204,0)),HourlyRate),2)))</f>
        <v>0</v>
      </c>
      <c r="Z423" s="39">
        <f>IF(F423="","",IF(U423=0,"Add - no hours recorded",IF(O423="Absent - no show","Action - no show",IF(U423&gt;10,"Check - over ten hours in a day",IF(Q423&lt;&gt;"Yes","Due - needs approving",IF(R423&lt;&gt;"Yes","Due - not paid yet","OK"))))))</f>
        <v>0</v>
      </c>
    </row>
    <row r="424" spans="1:26">
      <c r="A424" s="43">
        <f>IF(F424="","","TS-"&amp;TEXT(ROW()-4,"0000"))</f>
        <v>0</v>
      </c>
      <c r="C424" s="23">
        <f>IF(B424="","",TEXT(B424,"ddd"))</f>
        <v>0</v>
      </c>
      <c r="D424" s="31">
        <f>IF(B424="","",WEEKNUM(B424,IF(WeekStart="Sunday",1,2)))</f>
        <v>0</v>
      </c>
      <c r="E424" s="23">
        <f>IF(B424="","",TEXT(B424,"yyyy-mm"))</f>
        <v>0</v>
      </c>
      <c r="H424" s="23">
        <f>IF(G424="","",IFERROR(INDEX(Jobs!$H$5:$H$604,MATCH(G424,Jobs!$A$5:$A$604,0)),""))</f>
        <v>0</v>
      </c>
      <c r="T424" s="34">
        <f>IF(OR(J424="",K424=""),"",ROUND((K424-J424)*24-IF(L424="",0,L424)/60,2))</f>
        <v>0</v>
      </c>
      <c r="U424" s="34">
        <f>IF(F424="","",IF(M424&lt;&gt;"",M424,IF(T424="",0,T424)))</f>
        <v>0</v>
      </c>
      <c r="V424" s="21">
        <f>IF(F424="","",IFERROR(INDEX(Employees!$U$5:$U$44,MATCH(F424,Employees!$B$5:$B$44,0)),PayRate*(1+EmployerOncost)))</f>
        <v>0</v>
      </c>
      <c r="W424" s="34">
        <f>IF(F424="","",MAX(0,U424-IF(N424="",0,N424)))</f>
        <v>0</v>
      </c>
      <c r="X424" s="21">
        <f>IF(F424="","",ROUND(W424*V424+IF(N424="",0,N424)*V424*OvertimeRate,2))</f>
        <v>0</v>
      </c>
      <c r="Y424" s="21">
        <f>IF(F424="","",IF(P424&lt;&gt;"Yes",0,ROUND(U424*IF(IFERROR(INDEX(Clients!$O$5:$O$204,MATCH(IFERROR(INDEX(Jobs!$G$5:$G$604,MATCH(G424,Jobs!$A$5:$A$604,0)),""),Clients!$A$5:$A$204,0)),0)&gt;0,INDEX(Clients!$O$5:$O$204,MATCH(INDEX(Jobs!$G$5:$G$604,MATCH(G424,Jobs!$A$5:$A$604,0)),Clients!$A$5:$A$204,0)),HourlyRate),2)))</f>
        <v>0</v>
      </c>
      <c r="Z424" s="39">
        <f>IF(F424="","",IF(U424=0,"Add - no hours recorded",IF(O424="Absent - no show","Action - no show",IF(U424&gt;10,"Check - over ten hours in a day",IF(Q424&lt;&gt;"Yes","Due - needs approving",IF(R424&lt;&gt;"Yes","Due - not paid yet","OK"))))))</f>
        <v>0</v>
      </c>
    </row>
    <row r="425" spans="1:26">
      <c r="A425" s="43">
        <f>IF(F425="","","TS-"&amp;TEXT(ROW()-4,"0000"))</f>
        <v>0</v>
      </c>
      <c r="C425" s="23">
        <f>IF(B425="","",TEXT(B425,"ddd"))</f>
        <v>0</v>
      </c>
      <c r="D425" s="31">
        <f>IF(B425="","",WEEKNUM(B425,IF(WeekStart="Sunday",1,2)))</f>
        <v>0</v>
      </c>
      <c r="E425" s="23">
        <f>IF(B425="","",TEXT(B425,"yyyy-mm"))</f>
        <v>0</v>
      </c>
      <c r="H425" s="23">
        <f>IF(G425="","",IFERROR(INDEX(Jobs!$H$5:$H$604,MATCH(G425,Jobs!$A$5:$A$604,0)),""))</f>
        <v>0</v>
      </c>
      <c r="T425" s="34">
        <f>IF(OR(J425="",K425=""),"",ROUND((K425-J425)*24-IF(L425="",0,L425)/60,2))</f>
        <v>0</v>
      </c>
      <c r="U425" s="34">
        <f>IF(F425="","",IF(M425&lt;&gt;"",M425,IF(T425="",0,T425)))</f>
        <v>0</v>
      </c>
      <c r="V425" s="21">
        <f>IF(F425="","",IFERROR(INDEX(Employees!$U$5:$U$44,MATCH(F425,Employees!$B$5:$B$44,0)),PayRate*(1+EmployerOncost)))</f>
        <v>0</v>
      </c>
      <c r="W425" s="34">
        <f>IF(F425="","",MAX(0,U425-IF(N425="",0,N425)))</f>
        <v>0</v>
      </c>
      <c r="X425" s="21">
        <f>IF(F425="","",ROUND(W425*V425+IF(N425="",0,N425)*V425*OvertimeRate,2))</f>
        <v>0</v>
      </c>
      <c r="Y425" s="21">
        <f>IF(F425="","",IF(P425&lt;&gt;"Yes",0,ROUND(U425*IF(IFERROR(INDEX(Clients!$O$5:$O$204,MATCH(IFERROR(INDEX(Jobs!$G$5:$G$604,MATCH(G425,Jobs!$A$5:$A$604,0)),""),Clients!$A$5:$A$204,0)),0)&gt;0,INDEX(Clients!$O$5:$O$204,MATCH(INDEX(Jobs!$G$5:$G$604,MATCH(G425,Jobs!$A$5:$A$604,0)),Clients!$A$5:$A$204,0)),HourlyRate),2)))</f>
        <v>0</v>
      </c>
      <c r="Z425" s="39">
        <f>IF(F425="","",IF(U425=0,"Add - no hours recorded",IF(O425="Absent - no show","Action - no show",IF(U425&gt;10,"Check - over ten hours in a day",IF(Q425&lt;&gt;"Yes","Due - needs approving",IF(R425&lt;&gt;"Yes","Due - not paid yet","OK"))))))</f>
        <v>0</v>
      </c>
    </row>
    <row r="426" spans="1:26">
      <c r="A426" s="43">
        <f>IF(F426="","","TS-"&amp;TEXT(ROW()-4,"0000"))</f>
        <v>0</v>
      </c>
      <c r="C426" s="23">
        <f>IF(B426="","",TEXT(B426,"ddd"))</f>
        <v>0</v>
      </c>
      <c r="D426" s="31">
        <f>IF(B426="","",WEEKNUM(B426,IF(WeekStart="Sunday",1,2)))</f>
        <v>0</v>
      </c>
      <c r="E426" s="23">
        <f>IF(B426="","",TEXT(B426,"yyyy-mm"))</f>
        <v>0</v>
      </c>
      <c r="H426" s="23">
        <f>IF(G426="","",IFERROR(INDEX(Jobs!$H$5:$H$604,MATCH(G426,Jobs!$A$5:$A$604,0)),""))</f>
        <v>0</v>
      </c>
      <c r="T426" s="34">
        <f>IF(OR(J426="",K426=""),"",ROUND((K426-J426)*24-IF(L426="",0,L426)/60,2))</f>
        <v>0</v>
      </c>
      <c r="U426" s="34">
        <f>IF(F426="","",IF(M426&lt;&gt;"",M426,IF(T426="",0,T426)))</f>
        <v>0</v>
      </c>
      <c r="V426" s="21">
        <f>IF(F426="","",IFERROR(INDEX(Employees!$U$5:$U$44,MATCH(F426,Employees!$B$5:$B$44,0)),PayRate*(1+EmployerOncost)))</f>
        <v>0</v>
      </c>
      <c r="W426" s="34">
        <f>IF(F426="","",MAX(0,U426-IF(N426="",0,N426)))</f>
        <v>0</v>
      </c>
      <c r="X426" s="21">
        <f>IF(F426="","",ROUND(W426*V426+IF(N426="",0,N426)*V426*OvertimeRate,2))</f>
        <v>0</v>
      </c>
      <c r="Y426" s="21">
        <f>IF(F426="","",IF(P426&lt;&gt;"Yes",0,ROUND(U426*IF(IFERROR(INDEX(Clients!$O$5:$O$204,MATCH(IFERROR(INDEX(Jobs!$G$5:$G$604,MATCH(G426,Jobs!$A$5:$A$604,0)),""),Clients!$A$5:$A$204,0)),0)&gt;0,INDEX(Clients!$O$5:$O$204,MATCH(INDEX(Jobs!$G$5:$G$604,MATCH(G426,Jobs!$A$5:$A$604,0)),Clients!$A$5:$A$204,0)),HourlyRate),2)))</f>
        <v>0</v>
      </c>
      <c r="Z426" s="39">
        <f>IF(F426="","",IF(U426=0,"Add - no hours recorded",IF(O426="Absent - no show","Action - no show",IF(U426&gt;10,"Check - over ten hours in a day",IF(Q426&lt;&gt;"Yes","Due - needs approving",IF(R426&lt;&gt;"Yes","Due - not paid yet","OK"))))))</f>
        <v>0</v>
      </c>
    </row>
    <row r="427" spans="1:26">
      <c r="A427" s="43">
        <f>IF(F427="","","TS-"&amp;TEXT(ROW()-4,"0000"))</f>
        <v>0</v>
      </c>
      <c r="C427" s="23">
        <f>IF(B427="","",TEXT(B427,"ddd"))</f>
        <v>0</v>
      </c>
      <c r="D427" s="31">
        <f>IF(B427="","",WEEKNUM(B427,IF(WeekStart="Sunday",1,2)))</f>
        <v>0</v>
      </c>
      <c r="E427" s="23">
        <f>IF(B427="","",TEXT(B427,"yyyy-mm"))</f>
        <v>0</v>
      </c>
      <c r="H427" s="23">
        <f>IF(G427="","",IFERROR(INDEX(Jobs!$H$5:$H$604,MATCH(G427,Jobs!$A$5:$A$604,0)),""))</f>
        <v>0</v>
      </c>
      <c r="T427" s="34">
        <f>IF(OR(J427="",K427=""),"",ROUND((K427-J427)*24-IF(L427="",0,L427)/60,2))</f>
        <v>0</v>
      </c>
      <c r="U427" s="34">
        <f>IF(F427="","",IF(M427&lt;&gt;"",M427,IF(T427="",0,T427)))</f>
        <v>0</v>
      </c>
      <c r="V427" s="21">
        <f>IF(F427="","",IFERROR(INDEX(Employees!$U$5:$U$44,MATCH(F427,Employees!$B$5:$B$44,0)),PayRate*(1+EmployerOncost)))</f>
        <v>0</v>
      </c>
      <c r="W427" s="34">
        <f>IF(F427="","",MAX(0,U427-IF(N427="",0,N427)))</f>
        <v>0</v>
      </c>
      <c r="X427" s="21">
        <f>IF(F427="","",ROUND(W427*V427+IF(N427="",0,N427)*V427*OvertimeRate,2))</f>
        <v>0</v>
      </c>
      <c r="Y427" s="21">
        <f>IF(F427="","",IF(P427&lt;&gt;"Yes",0,ROUND(U427*IF(IFERROR(INDEX(Clients!$O$5:$O$204,MATCH(IFERROR(INDEX(Jobs!$G$5:$G$604,MATCH(G427,Jobs!$A$5:$A$604,0)),""),Clients!$A$5:$A$204,0)),0)&gt;0,INDEX(Clients!$O$5:$O$204,MATCH(INDEX(Jobs!$G$5:$G$604,MATCH(G427,Jobs!$A$5:$A$604,0)),Clients!$A$5:$A$204,0)),HourlyRate),2)))</f>
        <v>0</v>
      </c>
      <c r="Z427" s="39">
        <f>IF(F427="","",IF(U427=0,"Add - no hours recorded",IF(O427="Absent - no show","Action - no show",IF(U427&gt;10,"Check - over ten hours in a day",IF(Q427&lt;&gt;"Yes","Due - needs approving",IF(R427&lt;&gt;"Yes","Due - not paid yet","OK"))))))</f>
        <v>0</v>
      </c>
    </row>
    <row r="428" spans="1:26">
      <c r="A428" s="43">
        <f>IF(F428="","","TS-"&amp;TEXT(ROW()-4,"0000"))</f>
        <v>0</v>
      </c>
      <c r="C428" s="23">
        <f>IF(B428="","",TEXT(B428,"ddd"))</f>
        <v>0</v>
      </c>
      <c r="D428" s="31">
        <f>IF(B428="","",WEEKNUM(B428,IF(WeekStart="Sunday",1,2)))</f>
        <v>0</v>
      </c>
      <c r="E428" s="23">
        <f>IF(B428="","",TEXT(B428,"yyyy-mm"))</f>
        <v>0</v>
      </c>
      <c r="H428" s="23">
        <f>IF(G428="","",IFERROR(INDEX(Jobs!$H$5:$H$604,MATCH(G428,Jobs!$A$5:$A$604,0)),""))</f>
        <v>0</v>
      </c>
      <c r="T428" s="34">
        <f>IF(OR(J428="",K428=""),"",ROUND((K428-J428)*24-IF(L428="",0,L428)/60,2))</f>
        <v>0</v>
      </c>
      <c r="U428" s="34">
        <f>IF(F428="","",IF(M428&lt;&gt;"",M428,IF(T428="",0,T428)))</f>
        <v>0</v>
      </c>
      <c r="V428" s="21">
        <f>IF(F428="","",IFERROR(INDEX(Employees!$U$5:$U$44,MATCH(F428,Employees!$B$5:$B$44,0)),PayRate*(1+EmployerOncost)))</f>
        <v>0</v>
      </c>
      <c r="W428" s="34">
        <f>IF(F428="","",MAX(0,U428-IF(N428="",0,N428)))</f>
        <v>0</v>
      </c>
      <c r="X428" s="21">
        <f>IF(F428="","",ROUND(W428*V428+IF(N428="",0,N428)*V428*OvertimeRate,2))</f>
        <v>0</v>
      </c>
      <c r="Y428" s="21">
        <f>IF(F428="","",IF(P428&lt;&gt;"Yes",0,ROUND(U428*IF(IFERROR(INDEX(Clients!$O$5:$O$204,MATCH(IFERROR(INDEX(Jobs!$G$5:$G$604,MATCH(G428,Jobs!$A$5:$A$604,0)),""),Clients!$A$5:$A$204,0)),0)&gt;0,INDEX(Clients!$O$5:$O$204,MATCH(INDEX(Jobs!$G$5:$G$604,MATCH(G428,Jobs!$A$5:$A$604,0)),Clients!$A$5:$A$204,0)),HourlyRate),2)))</f>
        <v>0</v>
      </c>
      <c r="Z428" s="39">
        <f>IF(F428="","",IF(U428=0,"Add - no hours recorded",IF(O428="Absent - no show","Action - no show",IF(U428&gt;10,"Check - over ten hours in a day",IF(Q428&lt;&gt;"Yes","Due - needs approving",IF(R428&lt;&gt;"Yes","Due - not paid yet","OK"))))))</f>
        <v>0</v>
      </c>
    </row>
    <row r="429" spans="1:26">
      <c r="A429" s="43">
        <f>IF(F429="","","TS-"&amp;TEXT(ROW()-4,"0000"))</f>
        <v>0</v>
      </c>
      <c r="C429" s="23">
        <f>IF(B429="","",TEXT(B429,"ddd"))</f>
        <v>0</v>
      </c>
      <c r="D429" s="31">
        <f>IF(B429="","",WEEKNUM(B429,IF(WeekStart="Sunday",1,2)))</f>
        <v>0</v>
      </c>
      <c r="E429" s="23">
        <f>IF(B429="","",TEXT(B429,"yyyy-mm"))</f>
        <v>0</v>
      </c>
      <c r="H429" s="23">
        <f>IF(G429="","",IFERROR(INDEX(Jobs!$H$5:$H$604,MATCH(G429,Jobs!$A$5:$A$604,0)),""))</f>
        <v>0</v>
      </c>
      <c r="T429" s="34">
        <f>IF(OR(J429="",K429=""),"",ROUND((K429-J429)*24-IF(L429="",0,L429)/60,2))</f>
        <v>0</v>
      </c>
      <c r="U429" s="34">
        <f>IF(F429="","",IF(M429&lt;&gt;"",M429,IF(T429="",0,T429)))</f>
        <v>0</v>
      </c>
      <c r="V429" s="21">
        <f>IF(F429="","",IFERROR(INDEX(Employees!$U$5:$U$44,MATCH(F429,Employees!$B$5:$B$44,0)),PayRate*(1+EmployerOncost)))</f>
        <v>0</v>
      </c>
      <c r="W429" s="34">
        <f>IF(F429="","",MAX(0,U429-IF(N429="",0,N429)))</f>
        <v>0</v>
      </c>
      <c r="X429" s="21">
        <f>IF(F429="","",ROUND(W429*V429+IF(N429="",0,N429)*V429*OvertimeRate,2))</f>
        <v>0</v>
      </c>
      <c r="Y429" s="21">
        <f>IF(F429="","",IF(P429&lt;&gt;"Yes",0,ROUND(U429*IF(IFERROR(INDEX(Clients!$O$5:$O$204,MATCH(IFERROR(INDEX(Jobs!$G$5:$G$604,MATCH(G429,Jobs!$A$5:$A$604,0)),""),Clients!$A$5:$A$204,0)),0)&gt;0,INDEX(Clients!$O$5:$O$204,MATCH(INDEX(Jobs!$G$5:$G$604,MATCH(G429,Jobs!$A$5:$A$604,0)),Clients!$A$5:$A$204,0)),HourlyRate),2)))</f>
        <v>0</v>
      </c>
      <c r="Z429" s="39">
        <f>IF(F429="","",IF(U429=0,"Add - no hours recorded",IF(O429="Absent - no show","Action - no show",IF(U429&gt;10,"Check - over ten hours in a day",IF(Q429&lt;&gt;"Yes","Due - needs approving",IF(R429&lt;&gt;"Yes","Due - not paid yet","OK"))))))</f>
        <v>0</v>
      </c>
    </row>
    <row r="430" spans="1:26">
      <c r="A430" s="43">
        <f>IF(F430="","","TS-"&amp;TEXT(ROW()-4,"0000"))</f>
        <v>0</v>
      </c>
      <c r="C430" s="23">
        <f>IF(B430="","",TEXT(B430,"ddd"))</f>
        <v>0</v>
      </c>
      <c r="D430" s="31">
        <f>IF(B430="","",WEEKNUM(B430,IF(WeekStart="Sunday",1,2)))</f>
        <v>0</v>
      </c>
      <c r="E430" s="23">
        <f>IF(B430="","",TEXT(B430,"yyyy-mm"))</f>
        <v>0</v>
      </c>
      <c r="H430" s="23">
        <f>IF(G430="","",IFERROR(INDEX(Jobs!$H$5:$H$604,MATCH(G430,Jobs!$A$5:$A$604,0)),""))</f>
        <v>0</v>
      </c>
      <c r="T430" s="34">
        <f>IF(OR(J430="",K430=""),"",ROUND((K430-J430)*24-IF(L430="",0,L430)/60,2))</f>
        <v>0</v>
      </c>
      <c r="U430" s="34">
        <f>IF(F430="","",IF(M430&lt;&gt;"",M430,IF(T430="",0,T430)))</f>
        <v>0</v>
      </c>
      <c r="V430" s="21">
        <f>IF(F430="","",IFERROR(INDEX(Employees!$U$5:$U$44,MATCH(F430,Employees!$B$5:$B$44,0)),PayRate*(1+EmployerOncost)))</f>
        <v>0</v>
      </c>
      <c r="W430" s="34">
        <f>IF(F430="","",MAX(0,U430-IF(N430="",0,N430)))</f>
        <v>0</v>
      </c>
      <c r="X430" s="21">
        <f>IF(F430="","",ROUND(W430*V430+IF(N430="",0,N430)*V430*OvertimeRate,2))</f>
        <v>0</v>
      </c>
      <c r="Y430" s="21">
        <f>IF(F430="","",IF(P430&lt;&gt;"Yes",0,ROUND(U430*IF(IFERROR(INDEX(Clients!$O$5:$O$204,MATCH(IFERROR(INDEX(Jobs!$G$5:$G$604,MATCH(G430,Jobs!$A$5:$A$604,0)),""),Clients!$A$5:$A$204,0)),0)&gt;0,INDEX(Clients!$O$5:$O$204,MATCH(INDEX(Jobs!$G$5:$G$604,MATCH(G430,Jobs!$A$5:$A$604,0)),Clients!$A$5:$A$204,0)),HourlyRate),2)))</f>
        <v>0</v>
      </c>
      <c r="Z430" s="39">
        <f>IF(F430="","",IF(U430=0,"Add - no hours recorded",IF(O430="Absent - no show","Action - no show",IF(U430&gt;10,"Check - over ten hours in a day",IF(Q430&lt;&gt;"Yes","Due - needs approving",IF(R430&lt;&gt;"Yes","Due - not paid yet","OK"))))))</f>
        <v>0</v>
      </c>
    </row>
    <row r="431" spans="1:26">
      <c r="A431" s="43">
        <f>IF(F431="","","TS-"&amp;TEXT(ROW()-4,"0000"))</f>
        <v>0</v>
      </c>
      <c r="C431" s="23">
        <f>IF(B431="","",TEXT(B431,"ddd"))</f>
        <v>0</v>
      </c>
      <c r="D431" s="31">
        <f>IF(B431="","",WEEKNUM(B431,IF(WeekStart="Sunday",1,2)))</f>
        <v>0</v>
      </c>
      <c r="E431" s="23">
        <f>IF(B431="","",TEXT(B431,"yyyy-mm"))</f>
        <v>0</v>
      </c>
      <c r="H431" s="23">
        <f>IF(G431="","",IFERROR(INDEX(Jobs!$H$5:$H$604,MATCH(G431,Jobs!$A$5:$A$604,0)),""))</f>
        <v>0</v>
      </c>
      <c r="T431" s="34">
        <f>IF(OR(J431="",K431=""),"",ROUND((K431-J431)*24-IF(L431="",0,L431)/60,2))</f>
        <v>0</v>
      </c>
      <c r="U431" s="34">
        <f>IF(F431="","",IF(M431&lt;&gt;"",M431,IF(T431="",0,T431)))</f>
        <v>0</v>
      </c>
      <c r="V431" s="21">
        <f>IF(F431="","",IFERROR(INDEX(Employees!$U$5:$U$44,MATCH(F431,Employees!$B$5:$B$44,0)),PayRate*(1+EmployerOncost)))</f>
        <v>0</v>
      </c>
      <c r="W431" s="34">
        <f>IF(F431="","",MAX(0,U431-IF(N431="",0,N431)))</f>
        <v>0</v>
      </c>
      <c r="X431" s="21">
        <f>IF(F431="","",ROUND(W431*V431+IF(N431="",0,N431)*V431*OvertimeRate,2))</f>
        <v>0</v>
      </c>
      <c r="Y431" s="21">
        <f>IF(F431="","",IF(P431&lt;&gt;"Yes",0,ROUND(U431*IF(IFERROR(INDEX(Clients!$O$5:$O$204,MATCH(IFERROR(INDEX(Jobs!$G$5:$G$604,MATCH(G431,Jobs!$A$5:$A$604,0)),""),Clients!$A$5:$A$204,0)),0)&gt;0,INDEX(Clients!$O$5:$O$204,MATCH(INDEX(Jobs!$G$5:$G$604,MATCH(G431,Jobs!$A$5:$A$604,0)),Clients!$A$5:$A$204,0)),HourlyRate),2)))</f>
        <v>0</v>
      </c>
      <c r="Z431" s="39">
        <f>IF(F431="","",IF(U431=0,"Add - no hours recorded",IF(O431="Absent - no show","Action - no show",IF(U431&gt;10,"Check - over ten hours in a day",IF(Q431&lt;&gt;"Yes","Due - needs approving",IF(R431&lt;&gt;"Yes","Due - not paid yet","OK"))))))</f>
        <v>0</v>
      </c>
    </row>
    <row r="432" spans="1:26">
      <c r="A432" s="43">
        <f>IF(F432="","","TS-"&amp;TEXT(ROW()-4,"0000"))</f>
        <v>0</v>
      </c>
      <c r="C432" s="23">
        <f>IF(B432="","",TEXT(B432,"ddd"))</f>
        <v>0</v>
      </c>
      <c r="D432" s="31">
        <f>IF(B432="","",WEEKNUM(B432,IF(WeekStart="Sunday",1,2)))</f>
        <v>0</v>
      </c>
      <c r="E432" s="23">
        <f>IF(B432="","",TEXT(B432,"yyyy-mm"))</f>
        <v>0</v>
      </c>
      <c r="H432" s="23">
        <f>IF(G432="","",IFERROR(INDEX(Jobs!$H$5:$H$604,MATCH(G432,Jobs!$A$5:$A$604,0)),""))</f>
        <v>0</v>
      </c>
      <c r="T432" s="34">
        <f>IF(OR(J432="",K432=""),"",ROUND((K432-J432)*24-IF(L432="",0,L432)/60,2))</f>
        <v>0</v>
      </c>
      <c r="U432" s="34">
        <f>IF(F432="","",IF(M432&lt;&gt;"",M432,IF(T432="",0,T432)))</f>
        <v>0</v>
      </c>
      <c r="V432" s="21">
        <f>IF(F432="","",IFERROR(INDEX(Employees!$U$5:$U$44,MATCH(F432,Employees!$B$5:$B$44,0)),PayRate*(1+EmployerOncost)))</f>
        <v>0</v>
      </c>
      <c r="W432" s="34">
        <f>IF(F432="","",MAX(0,U432-IF(N432="",0,N432)))</f>
        <v>0</v>
      </c>
      <c r="X432" s="21">
        <f>IF(F432="","",ROUND(W432*V432+IF(N432="",0,N432)*V432*OvertimeRate,2))</f>
        <v>0</v>
      </c>
      <c r="Y432" s="21">
        <f>IF(F432="","",IF(P432&lt;&gt;"Yes",0,ROUND(U432*IF(IFERROR(INDEX(Clients!$O$5:$O$204,MATCH(IFERROR(INDEX(Jobs!$G$5:$G$604,MATCH(G432,Jobs!$A$5:$A$604,0)),""),Clients!$A$5:$A$204,0)),0)&gt;0,INDEX(Clients!$O$5:$O$204,MATCH(INDEX(Jobs!$G$5:$G$604,MATCH(G432,Jobs!$A$5:$A$604,0)),Clients!$A$5:$A$204,0)),HourlyRate),2)))</f>
        <v>0</v>
      </c>
      <c r="Z432" s="39">
        <f>IF(F432="","",IF(U432=0,"Add - no hours recorded",IF(O432="Absent - no show","Action - no show",IF(U432&gt;10,"Check - over ten hours in a day",IF(Q432&lt;&gt;"Yes","Due - needs approving",IF(R432&lt;&gt;"Yes","Due - not paid yet","OK"))))))</f>
        <v>0</v>
      </c>
    </row>
    <row r="433" spans="1:26">
      <c r="A433" s="43">
        <f>IF(F433="","","TS-"&amp;TEXT(ROW()-4,"0000"))</f>
        <v>0</v>
      </c>
      <c r="C433" s="23">
        <f>IF(B433="","",TEXT(B433,"ddd"))</f>
        <v>0</v>
      </c>
      <c r="D433" s="31">
        <f>IF(B433="","",WEEKNUM(B433,IF(WeekStart="Sunday",1,2)))</f>
        <v>0</v>
      </c>
      <c r="E433" s="23">
        <f>IF(B433="","",TEXT(B433,"yyyy-mm"))</f>
        <v>0</v>
      </c>
      <c r="H433" s="23">
        <f>IF(G433="","",IFERROR(INDEX(Jobs!$H$5:$H$604,MATCH(G433,Jobs!$A$5:$A$604,0)),""))</f>
        <v>0</v>
      </c>
      <c r="T433" s="34">
        <f>IF(OR(J433="",K433=""),"",ROUND((K433-J433)*24-IF(L433="",0,L433)/60,2))</f>
        <v>0</v>
      </c>
      <c r="U433" s="34">
        <f>IF(F433="","",IF(M433&lt;&gt;"",M433,IF(T433="",0,T433)))</f>
        <v>0</v>
      </c>
      <c r="V433" s="21">
        <f>IF(F433="","",IFERROR(INDEX(Employees!$U$5:$U$44,MATCH(F433,Employees!$B$5:$B$44,0)),PayRate*(1+EmployerOncost)))</f>
        <v>0</v>
      </c>
      <c r="W433" s="34">
        <f>IF(F433="","",MAX(0,U433-IF(N433="",0,N433)))</f>
        <v>0</v>
      </c>
      <c r="X433" s="21">
        <f>IF(F433="","",ROUND(W433*V433+IF(N433="",0,N433)*V433*OvertimeRate,2))</f>
        <v>0</v>
      </c>
      <c r="Y433" s="21">
        <f>IF(F433="","",IF(P433&lt;&gt;"Yes",0,ROUND(U433*IF(IFERROR(INDEX(Clients!$O$5:$O$204,MATCH(IFERROR(INDEX(Jobs!$G$5:$G$604,MATCH(G433,Jobs!$A$5:$A$604,0)),""),Clients!$A$5:$A$204,0)),0)&gt;0,INDEX(Clients!$O$5:$O$204,MATCH(INDEX(Jobs!$G$5:$G$604,MATCH(G433,Jobs!$A$5:$A$604,0)),Clients!$A$5:$A$204,0)),HourlyRate),2)))</f>
        <v>0</v>
      </c>
      <c r="Z433" s="39">
        <f>IF(F433="","",IF(U433=0,"Add - no hours recorded",IF(O433="Absent - no show","Action - no show",IF(U433&gt;10,"Check - over ten hours in a day",IF(Q433&lt;&gt;"Yes","Due - needs approving",IF(R433&lt;&gt;"Yes","Due - not paid yet","OK"))))))</f>
        <v>0</v>
      </c>
    </row>
    <row r="434" spans="1:26">
      <c r="A434" s="43">
        <f>IF(F434="","","TS-"&amp;TEXT(ROW()-4,"0000"))</f>
        <v>0</v>
      </c>
      <c r="C434" s="23">
        <f>IF(B434="","",TEXT(B434,"ddd"))</f>
        <v>0</v>
      </c>
      <c r="D434" s="31">
        <f>IF(B434="","",WEEKNUM(B434,IF(WeekStart="Sunday",1,2)))</f>
        <v>0</v>
      </c>
      <c r="E434" s="23">
        <f>IF(B434="","",TEXT(B434,"yyyy-mm"))</f>
        <v>0</v>
      </c>
      <c r="H434" s="23">
        <f>IF(G434="","",IFERROR(INDEX(Jobs!$H$5:$H$604,MATCH(G434,Jobs!$A$5:$A$604,0)),""))</f>
        <v>0</v>
      </c>
      <c r="T434" s="34">
        <f>IF(OR(J434="",K434=""),"",ROUND((K434-J434)*24-IF(L434="",0,L434)/60,2))</f>
        <v>0</v>
      </c>
      <c r="U434" s="34">
        <f>IF(F434="","",IF(M434&lt;&gt;"",M434,IF(T434="",0,T434)))</f>
        <v>0</v>
      </c>
      <c r="V434" s="21">
        <f>IF(F434="","",IFERROR(INDEX(Employees!$U$5:$U$44,MATCH(F434,Employees!$B$5:$B$44,0)),PayRate*(1+EmployerOncost)))</f>
        <v>0</v>
      </c>
      <c r="W434" s="34">
        <f>IF(F434="","",MAX(0,U434-IF(N434="",0,N434)))</f>
        <v>0</v>
      </c>
      <c r="X434" s="21">
        <f>IF(F434="","",ROUND(W434*V434+IF(N434="",0,N434)*V434*OvertimeRate,2))</f>
        <v>0</v>
      </c>
      <c r="Y434" s="21">
        <f>IF(F434="","",IF(P434&lt;&gt;"Yes",0,ROUND(U434*IF(IFERROR(INDEX(Clients!$O$5:$O$204,MATCH(IFERROR(INDEX(Jobs!$G$5:$G$604,MATCH(G434,Jobs!$A$5:$A$604,0)),""),Clients!$A$5:$A$204,0)),0)&gt;0,INDEX(Clients!$O$5:$O$204,MATCH(INDEX(Jobs!$G$5:$G$604,MATCH(G434,Jobs!$A$5:$A$604,0)),Clients!$A$5:$A$204,0)),HourlyRate),2)))</f>
        <v>0</v>
      </c>
      <c r="Z434" s="39">
        <f>IF(F434="","",IF(U434=0,"Add - no hours recorded",IF(O434="Absent - no show","Action - no show",IF(U434&gt;10,"Check - over ten hours in a day",IF(Q434&lt;&gt;"Yes","Due - needs approving",IF(R434&lt;&gt;"Yes","Due - not paid yet","OK"))))))</f>
        <v>0</v>
      </c>
    </row>
    <row r="435" spans="1:26">
      <c r="A435" s="43">
        <f>IF(F435="","","TS-"&amp;TEXT(ROW()-4,"0000"))</f>
        <v>0</v>
      </c>
      <c r="C435" s="23">
        <f>IF(B435="","",TEXT(B435,"ddd"))</f>
        <v>0</v>
      </c>
      <c r="D435" s="31">
        <f>IF(B435="","",WEEKNUM(B435,IF(WeekStart="Sunday",1,2)))</f>
        <v>0</v>
      </c>
      <c r="E435" s="23">
        <f>IF(B435="","",TEXT(B435,"yyyy-mm"))</f>
        <v>0</v>
      </c>
      <c r="H435" s="23">
        <f>IF(G435="","",IFERROR(INDEX(Jobs!$H$5:$H$604,MATCH(G435,Jobs!$A$5:$A$604,0)),""))</f>
        <v>0</v>
      </c>
      <c r="T435" s="34">
        <f>IF(OR(J435="",K435=""),"",ROUND((K435-J435)*24-IF(L435="",0,L435)/60,2))</f>
        <v>0</v>
      </c>
      <c r="U435" s="34">
        <f>IF(F435="","",IF(M435&lt;&gt;"",M435,IF(T435="",0,T435)))</f>
        <v>0</v>
      </c>
      <c r="V435" s="21">
        <f>IF(F435="","",IFERROR(INDEX(Employees!$U$5:$U$44,MATCH(F435,Employees!$B$5:$B$44,0)),PayRate*(1+EmployerOncost)))</f>
        <v>0</v>
      </c>
      <c r="W435" s="34">
        <f>IF(F435="","",MAX(0,U435-IF(N435="",0,N435)))</f>
        <v>0</v>
      </c>
      <c r="X435" s="21">
        <f>IF(F435="","",ROUND(W435*V435+IF(N435="",0,N435)*V435*OvertimeRate,2))</f>
        <v>0</v>
      </c>
      <c r="Y435" s="21">
        <f>IF(F435="","",IF(P435&lt;&gt;"Yes",0,ROUND(U435*IF(IFERROR(INDEX(Clients!$O$5:$O$204,MATCH(IFERROR(INDEX(Jobs!$G$5:$G$604,MATCH(G435,Jobs!$A$5:$A$604,0)),""),Clients!$A$5:$A$204,0)),0)&gt;0,INDEX(Clients!$O$5:$O$204,MATCH(INDEX(Jobs!$G$5:$G$604,MATCH(G435,Jobs!$A$5:$A$604,0)),Clients!$A$5:$A$204,0)),HourlyRate),2)))</f>
        <v>0</v>
      </c>
      <c r="Z435" s="39">
        <f>IF(F435="","",IF(U435=0,"Add - no hours recorded",IF(O435="Absent - no show","Action - no show",IF(U435&gt;10,"Check - over ten hours in a day",IF(Q435&lt;&gt;"Yes","Due - needs approving",IF(R435&lt;&gt;"Yes","Due - not paid yet","OK"))))))</f>
        <v>0</v>
      </c>
    </row>
    <row r="436" spans="1:26">
      <c r="A436" s="43">
        <f>IF(F436="","","TS-"&amp;TEXT(ROW()-4,"0000"))</f>
        <v>0</v>
      </c>
      <c r="C436" s="23">
        <f>IF(B436="","",TEXT(B436,"ddd"))</f>
        <v>0</v>
      </c>
      <c r="D436" s="31">
        <f>IF(B436="","",WEEKNUM(B436,IF(WeekStart="Sunday",1,2)))</f>
        <v>0</v>
      </c>
      <c r="E436" s="23">
        <f>IF(B436="","",TEXT(B436,"yyyy-mm"))</f>
        <v>0</v>
      </c>
      <c r="H436" s="23">
        <f>IF(G436="","",IFERROR(INDEX(Jobs!$H$5:$H$604,MATCH(G436,Jobs!$A$5:$A$604,0)),""))</f>
        <v>0</v>
      </c>
      <c r="T436" s="34">
        <f>IF(OR(J436="",K436=""),"",ROUND((K436-J436)*24-IF(L436="",0,L436)/60,2))</f>
        <v>0</v>
      </c>
      <c r="U436" s="34">
        <f>IF(F436="","",IF(M436&lt;&gt;"",M436,IF(T436="",0,T436)))</f>
        <v>0</v>
      </c>
      <c r="V436" s="21">
        <f>IF(F436="","",IFERROR(INDEX(Employees!$U$5:$U$44,MATCH(F436,Employees!$B$5:$B$44,0)),PayRate*(1+EmployerOncost)))</f>
        <v>0</v>
      </c>
      <c r="W436" s="34">
        <f>IF(F436="","",MAX(0,U436-IF(N436="",0,N436)))</f>
        <v>0</v>
      </c>
      <c r="X436" s="21">
        <f>IF(F436="","",ROUND(W436*V436+IF(N436="",0,N436)*V436*OvertimeRate,2))</f>
        <v>0</v>
      </c>
      <c r="Y436" s="21">
        <f>IF(F436="","",IF(P436&lt;&gt;"Yes",0,ROUND(U436*IF(IFERROR(INDEX(Clients!$O$5:$O$204,MATCH(IFERROR(INDEX(Jobs!$G$5:$G$604,MATCH(G436,Jobs!$A$5:$A$604,0)),""),Clients!$A$5:$A$204,0)),0)&gt;0,INDEX(Clients!$O$5:$O$204,MATCH(INDEX(Jobs!$G$5:$G$604,MATCH(G436,Jobs!$A$5:$A$604,0)),Clients!$A$5:$A$204,0)),HourlyRate),2)))</f>
        <v>0</v>
      </c>
      <c r="Z436" s="39">
        <f>IF(F436="","",IF(U436=0,"Add - no hours recorded",IF(O436="Absent - no show","Action - no show",IF(U436&gt;10,"Check - over ten hours in a day",IF(Q436&lt;&gt;"Yes","Due - needs approving",IF(R436&lt;&gt;"Yes","Due - not paid yet","OK"))))))</f>
        <v>0</v>
      </c>
    </row>
    <row r="437" spans="1:26">
      <c r="A437" s="43">
        <f>IF(F437="","","TS-"&amp;TEXT(ROW()-4,"0000"))</f>
        <v>0</v>
      </c>
      <c r="C437" s="23">
        <f>IF(B437="","",TEXT(B437,"ddd"))</f>
        <v>0</v>
      </c>
      <c r="D437" s="31">
        <f>IF(B437="","",WEEKNUM(B437,IF(WeekStart="Sunday",1,2)))</f>
        <v>0</v>
      </c>
      <c r="E437" s="23">
        <f>IF(B437="","",TEXT(B437,"yyyy-mm"))</f>
        <v>0</v>
      </c>
      <c r="H437" s="23">
        <f>IF(G437="","",IFERROR(INDEX(Jobs!$H$5:$H$604,MATCH(G437,Jobs!$A$5:$A$604,0)),""))</f>
        <v>0</v>
      </c>
      <c r="T437" s="34">
        <f>IF(OR(J437="",K437=""),"",ROUND((K437-J437)*24-IF(L437="",0,L437)/60,2))</f>
        <v>0</v>
      </c>
      <c r="U437" s="34">
        <f>IF(F437="","",IF(M437&lt;&gt;"",M437,IF(T437="",0,T437)))</f>
        <v>0</v>
      </c>
      <c r="V437" s="21">
        <f>IF(F437="","",IFERROR(INDEX(Employees!$U$5:$U$44,MATCH(F437,Employees!$B$5:$B$44,0)),PayRate*(1+EmployerOncost)))</f>
        <v>0</v>
      </c>
      <c r="W437" s="34">
        <f>IF(F437="","",MAX(0,U437-IF(N437="",0,N437)))</f>
        <v>0</v>
      </c>
      <c r="X437" s="21">
        <f>IF(F437="","",ROUND(W437*V437+IF(N437="",0,N437)*V437*OvertimeRate,2))</f>
        <v>0</v>
      </c>
      <c r="Y437" s="21">
        <f>IF(F437="","",IF(P437&lt;&gt;"Yes",0,ROUND(U437*IF(IFERROR(INDEX(Clients!$O$5:$O$204,MATCH(IFERROR(INDEX(Jobs!$G$5:$G$604,MATCH(G437,Jobs!$A$5:$A$604,0)),""),Clients!$A$5:$A$204,0)),0)&gt;0,INDEX(Clients!$O$5:$O$204,MATCH(INDEX(Jobs!$G$5:$G$604,MATCH(G437,Jobs!$A$5:$A$604,0)),Clients!$A$5:$A$204,0)),HourlyRate),2)))</f>
        <v>0</v>
      </c>
      <c r="Z437" s="39">
        <f>IF(F437="","",IF(U437=0,"Add - no hours recorded",IF(O437="Absent - no show","Action - no show",IF(U437&gt;10,"Check - over ten hours in a day",IF(Q437&lt;&gt;"Yes","Due - needs approving",IF(R437&lt;&gt;"Yes","Due - not paid yet","OK"))))))</f>
        <v>0</v>
      </c>
    </row>
    <row r="438" spans="1:26">
      <c r="A438" s="43">
        <f>IF(F438="","","TS-"&amp;TEXT(ROW()-4,"0000"))</f>
        <v>0</v>
      </c>
      <c r="C438" s="23">
        <f>IF(B438="","",TEXT(B438,"ddd"))</f>
        <v>0</v>
      </c>
      <c r="D438" s="31">
        <f>IF(B438="","",WEEKNUM(B438,IF(WeekStart="Sunday",1,2)))</f>
        <v>0</v>
      </c>
      <c r="E438" s="23">
        <f>IF(B438="","",TEXT(B438,"yyyy-mm"))</f>
        <v>0</v>
      </c>
      <c r="H438" s="23">
        <f>IF(G438="","",IFERROR(INDEX(Jobs!$H$5:$H$604,MATCH(G438,Jobs!$A$5:$A$604,0)),""))</f>
        <v>0</v>
      </c>
      <c r="T438" s="34">
        <f>IF(OR(J438="",K438=""),"",ROUND((K438-J438)*24-IF(L438="",0,L438)/60,2))</f>
        <v>0</v>
      </c>
      <c r="U438" s="34">
        <f>IF(F438="","",IF(M438&lt;&gt;"",M438,IF(T438="",0,T438)))</f>
        <v>0</v>
      </c>
      <c r="V438" s="21">
        <f>IF(F438="","",IFERROR(INDEX(Employees!$U$5:$U$44,MATCH(F438,Employees!$B$5:$B$44,0)),PayRate*(1+EmployerOncost)))</f>
        <v>0</v>
      </c>
      <c r="W438" s="34">
        <f>IF(F438="","",MAX(0,U438-IF(N438="",0,N438)))</f>
        <v>0</v>
      </c>
      <c r="X438" s="21">
        <f>IF(F438="","",ROUND(W438*V438+IF(N438="",0,N438)*V438*OvertimeRate,2))</f>
        <v>0</v>
      </c>
      <c r="Y438" s="21">
        <f>IF(F438="","",IF(P438&lt;&gt;"Yes",0,ROUND(U438*IF(IFERROR(INDEX(Clients!$O$5:$O$204,MATCH(IFERROR(INDEX(Jobs!$G$5:$G$604,MATCH(G438,Jobs!$A$5:$A$604,0)),""),Clients!$A$5:$A$204,0)),0)&gt;0,INDEX(Clients!$O$5:$O$204,MATCH(INDEX(Jobs!$G$5:$G$604,MATCH(G438,Jobs!$A$5:$A$604,0)),Clients!$A$5:$A$204,0)),HourlyRate),2)))</f>
        <v>0</v>
      </c>
      <c r="Z438" s="39">
        <f>IF(F438="","",IF(U438=0,"Add - no hours recorded",IF(O438="Absent - no show","Action - no show",IF(U438&gt;10,"Check - over ten hours in a day",IF(Q438&lt;&gt;"Yes","Due - needs approving",IF(R438&lt;&gt;"Yes","Due - not paid yet","OK"))))))</f>
        <v>0</v>
      </c>
    </row>
    <row r="439" spans="1:26">
      <c r="A439" s="43">
        <f>IF(F439="","","TS-"&amp;TEXT(ROW()-4,"0000"))</f>
        <v>0</v>
      </c>
      <c r="C439" s="23">
        <f>IF(B439="","",TEXT(B439,"ddd"))</f>
        <v>0</v>
      </c>
      <c r="D439" s="31">
        <f>IF(B439="","",WEEKNUM(B439,IF(WeekStart="Sunday",1,2)))</f>
        <v>0</v>
      </c>
      <c r="E439" s="23">
        <f>IF(B439="","",TEXT(B439,"yyyy-mm"))</f>
        <v>0</v>
      </c>
      <c r="H439" s="23">
        <f>IF(G439="","",IFERROR(INDEX(Jobs!$H$5:$H$604,MATCH(G439,Jobs!$A$5:$A$604,0)),""))</f>
        <v>0</v>
      </c>
      <c r="T439" s="34">
        <f>IF(OR(J439="",K439=""),"",ROUND((K439-J439)*24-IF(L439="",0,L439)/60,2))</f>
        <v>0</v>
      </c>
      <c r="U439" s="34">
        <f>IF(F439="","",IF(M439&lt;&gt;"",M439,IF(T439="",0,T439)))</f>
        <v>0</v>
      </c>
      <c r="V439" s="21">
        <f>IF(F439="","",IFERROR(INDEX(Employees!$U$5:$U$44,MATCH(F439,Employees!$B$5:$B$44,0)),PayRate*(1+EmployerOncost)))</f>
        <v>0</v>
      </c>
      <c r="W439" s="34">
        <f>IF(F439="","",MAX(0,U439-IF(N439="",0,N439)))</f>
        <v>0</v>
      </c>
      <c r="X439" s="21">
        <f>IF(F439="","",ROUND(W439*V439+IF(N439="",0,N439)*V439*OvertimeRate,2))</f>
        <v>0</v>
      </c>
      <c r="Y439" s="21">
        <f>IF(F439="","",IF(P439&lt;&gt;"Yes",0,ROUND(U439*IF(IFERROR(INDEX(Clients!$O$5:$O$204,MATCH(IFERROR(INDEX(Jobs!$G$5:$G$604,MATCH(G439,Jobs!$A$5:$A$604,0)),""),Clients!$A$5:$A$204,0)),0)&gt;0,INDEX(Clients!$O$5:$O$204,MATCH(INDEX(Jobs!$G$5:$G$604,MATCH(G439,Jobs!$A$5:$A$604,0)),Clients!$A$5:$A$204,0)),HourlyRate),2)))</f>
        <v>0</v>
      </c>
      <c r="Z439" s="39">
        <f>IF(F439="","",IF(U439=0,"Add - no hours recorded",IF(O439="Absent - no show","Action - no show",IF(U439&gt;10,"Check - over ten hours in a day",IF(Q439&lt;&gt;"Yes","Due - needs approving",IF(R439&lt;&gt;"Yes","Due - not paid yet","OK"))))))</f>
        <v>0</v>
      </c>
    </row>
    <row r="440" spans="1:26">
      <c r="A440" s="43">
        <f>IF(F440="","","TS-"&amp;TEXT(ROW()-4,"0000"))</f>
        <v>0</v>
      </c>
      <c r="C440" s="23">
        <f>IF(B440="","",TEXT(B440,"ddd"))</f>
        <v>0</v>
      </c>
      <c r="D440" s="31">
        <f>IF(B440="","",WEEKNUM(B440,IF(WeekStart="Sunday",1,2)))</f>
        <v>0</v>
      </c>
      <c r="E440" s="23">
        <f>IF(B440="","",TEXT(B440,"yyyy-mm"))</f>
        <v>0</v>
      </c>
      <c r="H440" s="23">
        <f>IF(G440="","",IFERROR(INDEX(Jobs!$H$5:$H$604,MATCH(G440,Jobs!$A$5:$A$604,0)),""))</f>
        <v>0</v>
      </c>
      <c r="T440" s="34">
        <f>IF(OR(J440="",K440=""),"",ROUND((K440-J440)*24-IF(L440="",0,L440)/60,2))</f>
        <v>0</v>
      </c>
      <c r="U440" s="34">
        <f>IF(F440="","",IF(M440&lt;&gt;"",M440,IF(T440="",0,T440)))</f>
        <v>0</v>
      </c>
      <c r="V440" s="21">
        <f>IF(F440="","",IFERROR(INDEX(Employees!$U$5:$U$44,MATCH(F440,Employees!$B$5:$B$44,0)),PayRate*(1+EmployerOncost)))</f>
        <v>0</v>
      </c>
      <c r="W440" s="34">
        <f>IF(F440="","",MAX(0,U440-IF(N440="",0,N440)))</f>
        <v>0</v>
      </c>
      <c r="X440" s="21">
        <f>IF(F440="","",ROUND(W440*V440+IF(N440="",0,N440)*V440*OvertimeRate,2))</f>
        <v>0</v>
      </c>
      <c r="Y440" s="21">
        <f>IF(F440="","",IF(P440&lt;&gt;"Yes",0,ROUND(U440*IF(IFERROR(INDEX(Clients!$O$5:$O$204,MATCH(IFERROR(INDEX(Jobs!$G$5:$G$604,MATCH(G440,Jobs!$A$5:$A$604,0)),""),Clients!$A$5:$A$204,0)),0)&gt;0,INDEX(Clients!$O$5:$O$204,MATCH(INDEX(Jobs!$G$5:$G$604,MATCH(G440,Jobs!$A$5:$A$604,0)),Clients!$A$5:$A$204,0)),HourlyRate),2)))</f>
        <v>0</v>
      </c>
      <c r="Z440" s="39">
        <f>IF(F440="","",IF(U440=0,"Add - no hours recorded",IF(O440="Absent - no show","Action - no show",IF(U440&gt;10,"Check - over ten hours in a day",IF(Q440&lt;&gt;"Yes","Due - needs approving",IF(R440&lt;&gt;"Yes","Due - not paid yet","OK"))))))</f>
        <v>0</v>
      </c>
    </row>
    <row r="441" spans="1:26">
      <c r="A441" s="43">
        <f>IF(F441="","","TS-"&amp;TEXT(ROW()-4,"0000"))</f>
        <v>0</v>
      </c>
      <c r="C441" s="23">
        <f>IF(B441="","",TEXT(B441,"ddd"))</f>
        <v>0</v>
      </c>
      <c r="D441" s="31">
        <f>IF(B441="","",WEEKNUM(B441,IF(WeekStart="Sunday",1,2)))</f>
        <v>0</v>
      </c>
      <c r="E441" s="23">
        <f>IF(B441="","",TEXT(B441,"yyyy-mm"))</f>
        <v>0</v>
      </c>
      <c r="H441" s="23">
        <f>IF(G441="","",IFERROR(INDEX(Jobs!$H$5:$H$604,MATCH(G441,Jobs!$A$5:$A$604,0)),""))</f>
        <v>0</v>
      </c>
      <c r="T441" s="34">
        <f>IF(OR(J441="",K441=""),"",ROUND((K441-J441)*24-IF(L441="",0,L441)/60,2))</f>
        <v>0</v>
      </c>
      <c r="U441" s="34">
        <f>IF(F441="","",IF(M441&lt;&gt;"",M441,IF(T441="",0,T441)))</f>
        <v>0</v>
      </c>
      <c r="V441" s="21">
        <f>IF(F441="","",IFERROR(INDEX(Employees!$U$5:$U$44,MATCH(F441,Employees!$B$5:$B$44,0)),PayRate*(1+EmployerOncost)))</f>
        <v>0</v>
      </c>
      <c r="W441" s="34">
        <f>IF(F441="","",MAX(0,U441-IF(N441="",0,N441)))</f>
        <v>0</v>
      </c>
      <c r="X441" s="21">
        <f>IF(F441="","",ROUND(W441*V441+IF(N441="",0,N441)*V441*OvertimeRate,2))</f>
        <v>0</v>
      </c>
      <c r="Y441" s="21">
        <f>IF(F441="","",IF(P441&lt;&gt;"Yes",0,ROUND(U441*IF(IFERROR(INDEX(Clients!$O$5:$O$204,MATCH(IFERROR(INDEX(Jobs!$G$5:$G$604,MATCH(G441,Jobs!$A$5:$A$604,0)),""),Clients!$A$5:$A$204,0)),0)&gt;0,INDEX(Clients!$O$5:$O$204,MATCH(INDEX(Jobs!$G$5:$G$604,MATCH(G441,Jobs!$A$5:$A$604,0)),Clients!$A$5:$A$204,0)),HourlyRate),2)))</f>
        <v>0</v>
      </c>
      <c r="Z441" s="39">
        <f>IF(F441="","",IF(U441=0,"Add - no hours recorded",IF(O441="Absent - no show","Action - no show",IF(U441&gt;10,"Check - over ten hours in a day",IF(Q441&lt;&gt;"Yes","Due - needs approving",IF(R441&lt;&gt;"Yes","Due - not paid yet","OK"))))))</f>
        <v>0</v>
      </c>
    </row>
    <row r="442" spans="1:26">
      <c r="A442" s="43">
        <f>IF(F442="","","TS-"&amp;TEXT(ROW()-4,"0000"))</f>
        <v>0</v>
      </c>
      <c r="C442" s="23">
        <f>IF(B442="","",TEXT(B442,"ddd"))</f>
        <v>0</v>
      </c>
      <c r="D442" s="31">
        <f>IF(B442="","",WEEKNUM(B442,IF(WeekStart="Sunday",1,2)))</f>
        <v>0</v>
      </c>
      <c r="E442" s="23">
        <f>IF(B442="","",TEXT(B442,"yyyy-mm"))</f>
        <v>0</v>
      </c>
      <c r="H442" s="23">
        <f>IF(G442="","",IFERROR(INDEX(Jobs!$H$5:$H$604,MATCH(G442,Jobs!$A$5:$A$604,0)),""))</f>
        <v>0</v>
      </c>
      <c r="T442" s="34">
        <f>IF(OR(J442="",K442=""),"",ROUND((K442-J442)*24-IF(L442="",0,L442)/60,2))</f>
        <v>0</v>
      </c>
      <c r="U442" s="34">
        <f>IF(F442="","",IF(M442&lt;&gt;"",M442,IF(T442="",0,T442)))</f>
        <v>0</v>
      </c>
      <c r="V442" s="21">
        <f>IF(F442="","",IFERROR(INDEX(Employees!$U$5:$U$44,MATCH(F442,Employees!$B$5:$B$44,0)),PayRate*(1+EmployerOncost)))</f>
        <v>0</v>
      </c>
      <c r="W442" s="34">
        <f>IF(F442="","",MAX(0,U442-IF(N442="",0,N442)))</f>
        <v>0</v>
      </c>
      <c r="X442" s="21">
        <f>IF(F442="","",ROUND(W442*V442+IF(N442="",0,N442)*V442*OvertimeRate,2))</f>
        <v>0</v>
      </c>
      <c r="Y442" s="21">
        <f>IF(F442="","",IF(P442&lt;&gt;"Yes",0,ROUND(U442*IF(IFERROR(INDEX(Clients!$O$5:$O$204,MATCH(IFERROR(INDEX(Jobs!$G$5:$G$604,MATCH(G442,Jobs!$A$5:$A$604,0)),""),Clients!$A$5:$A$204,0)),0)&gt;0,INDEX(Clients!$O$5:$O$204,MATCH(INDEX(Jobs!$G$5:$G$604,MATCH(G442,Jobs!$A$5:$A$604,0)),Clients!$A$5:$A$204,0)),HourlyRate),2)))</f>
        <v>0</v>
      </c>
      <c r="Z442" s="39">
        <f>IF(F442="","",IF(U442=0,"Add - no hours recorded",IF(O442="Absent - no show","Action - no show",IF(U442&gt;10,"Check - over ten hours in a day",IF(Q442&lt;&gt;"Yes","Due - needs approving",IF(R442&lt;&gt;"Yes","Due - not paid yet","OK"))))))</f>
        <v>0</v>
      </c>
    </row>
    <row r="443" spans="1:26">
      <c r="A443" s="43">
        <f>IF(F443="","","TS-"&amp;TEXT(ROW()-4,"0000"))</f>
        <v>0</v>
      </c>
      <c r="C443" s="23">
        <f>IF(B443="","",TEXT(B443,"ddd"))</f>
        <v>0</v>
      </c>
      <c r="D443" s="31">
        <f>IF(B443="","",WEEKNUM(B443,IF(WeekStart="Sunday",1,2)))</f>
        <v>0</v>
      </c>
      <c r="E443" s="23">
        <f>IF(B443="","",TEXT(B443,"yyyy-mm"))</f>
        <v>0</v>
      </c>
      <c r="H443" s="23">
        <f>IF(G443="","",IFERROR(INDEX(Jobs!$H$5:$H$604,MATCH(G443,Jobs!$A$5:$A$604,0)),""))</f>
        <v>0</v>
      </c>
      <c r="T443" s="34">
        <f>IF(OR(J443="",K443=""),"",ROUND((K443-J443)*24-IF(L443="",0,L443)/60,2))</f>
        <v>0</v>
      </c>
      <c r="U443" s="34">
        <f>IF(F443="","",IF(M443&lt;&gt;"",M443,IF(T443="",0,T443)))</f>
        <v>0</v>
      </c>
      <c r="V443" s="21">
        <f>IF(F443="","",IFERROR(INDEX(Employees!$U$5:$U$44,MATCH(F443,Employees!$B$5:$B$44,0)),PayRate*(1+EmployerOncost)))</f>
        <v>0</v>
      </c>
      <c r="W443" s="34">
        <f>IF(F443="","",MAX(0,U443-IF(N443="",0,N443)))</f>
        <v>0</v>
      </c>
      <c r="X443" s="21">
        <f>IF(F443="","",ROUND(W443*V443+IF(N443="",0,N443)*V443*OvertimeRate,2))</f>
        <v>0</v>
      </c>
      <c r="Y443" s="21">
        <f>IF(F443="","",IF(P443&lt;&gt;"Yes",0,ROUND(U443*IF(IFERROR(INDEX(Clients!$O$5:$O$204,MATCH(IFERROR(INDEX(Jobs!$G$5:$G$604,MATCH(G443,Jobs!$A$5:$A$604,0)),""),Clients!$A$5:$A$204,0)),0)&gt;0,INDEX(Clients!$O$5:$O$204,MATCH(INDEX(Jobs!$G$5:$G$604,MATCH(G443,Jobs!$A$5:$A$604,0)),Clients!$A$5:$A$204,0)),HourlyRate),2)))</f>
        <v>0</v>
      </c>
      <c r="Z443" s="39">
        <f>IF(F443="","",IF(U443=0,"Add - no hours recorded",IF(O443="Absent - no show","Action - no show",IF(U443&gt;10,"Check - over ten hours in a day",IF(Q443&lt;&gt;"Yes","Due - needs approving",IF(R443&lt;&gt;"Yes","Due - not paid yet","OK"))))))</f>
        <v>0</v>
      </c>
    </row>
    <row r="444" spans="1:26">
      <c r="A444" s="43">
        <f>IF(F444="","","TS-"&amp;TEXT(ROW()-4,"0000"))</f>
        <v>0</v>
      </c>
      <c r="C444" s="23">
        <f>IF(B444="","",TEXT(B444,"ddd"))</f>
        <v>0</v>
      </c>
      <c r="D444" s="31">
        <f>IF(B444="","",WEEKNUM(B444,IF(WeekStart="Sunday",1,2)))</f>
        <v>0</v>
      </c>
      <c r="E444" s="23">
        <f>IF(B444="","",TEXT(B444,"yyyy-mm"))</f>
        <v>0</v>
      </c>
      <c r="H444" s="23">
        <f>IF(G444="","",IFERROR(INDEX(Jobs!$H$5:$H$604,MATCH(G444,Jobs!$A$5:$A$604,0)),""))</f>
        <v>0</v>
      </c>
      <c r="T444" s="34">
        <f>IF(OR(J444="",K444=""),"",ROUND((K444-J444)*24-IF(L444="",0,L444)/60,2))</f>
        <v>0</v>
      </c>
      <c r="U444" s="34">
        <f>IF(F444="","",IF(M444&lt;&gt;"",M444,IF(T444="",0,T444)))</f>
        <v>0</v>
      </c>
      <c r="V444" s="21">
        <f>IF(F444="","",IFERROR(INDEX(Employees!$U$5:$U$44,MATCH(F444,Employees!$B$5:$B$44,0)),PayRate*(1+EmployerOncost)))</f>
        <v>0</v>
      </c>
      <c r="W444" s="34">
        <f>IF(F444="","",MAX(0,U444-IF(N444="",0,N444)))</f>
        <v>0</v>
      </c>
      <c r="X444" s="21">
        <f>IF(F444="","",ROUND(W444*V444+IF(N444="",0,N444)*V444*OvertimeRate,2))</f>
        <v>0</v>
      </c>
      <c r="Y444" s="21">
        <f>IF(F444="","",IF(P444&lt;&gt;"Yes",0,ROUND(U444*IF(IFERROR(INDEX(Clients!$O$5:$O$204,MATCH(IFERROR(INDEX(Jobs!$G$5:$G$604,MATCH(G444,Jobs!$A$5:$A$604,0)),""),Clients!$A$5:$A$204,0)),0)&gt;0,INDEX(Clients!$O$5:$O$204,MATCH(INDEX(Jobs!$G$5:$G$604,MATCH(G444,Jobs!$A$5:$A$604,0)),Clients!$A$5:$A$204,0)),HourlyRate),2)))</f>
        <v>0</v>
      </c>
      <c r="Z444" s="39">
        <f>IF(F444="","",IF(U444=0,"Add - no hours recorded",IF(O444="Absent - no show","Action - no show",IF(U444&gt;10,"Check - over ten hours in a day",IF(Q444&lt;&gt;"Yes","Due - needs approving",IF(R444&lt;&gt;"Yes","Due - not paid yet","OK"))))))</f>
        <v>0</v>
      </c>
    </row>
    <row r="445" spans="1:26">
      <c r="A445" s="43">
        <f>IF(F445="","","TS-"&amp;TEXT(ROW()-4,"0000"))</f>
        <v>0</v>
      </c>
      <c r="C445" s="23">
        <f>IF(B445="","",TEXT(B445,"ddd"))</f>
        <v>0</v>
      </c>
      <c r="D445" s="31">
        <f>IF(B445="","",WEEKNUM(B445,IF(WeekStart="Sunday",1,2)))</f>
        <v>0</v>
      </c>
      <c r="E445" s="23">
        <f>IF(B445="","",TEXT(B445,"yyyy-mm"))</f>
        <v>0</v>
      </c>
      <c r="H445" s="23">
        <f>IF(G445="","",IFERROR(INDEX(Jobs!$H$5:$H$604,MATCH(G445,Jobs!$A$5:$A$604,0)),""))</f>
        <v>0</v>
      </c>
      <c r="T445" s="34">
        <f>IF(OR(J445="",K445=""),"",ROUND((K445-J445)*24-IF(L445="",0,L445)/60,2))</f>
        <v>0</v>
      </c>
      <c r="U445" s="34">
        <f>IF(F445="","",IF(M445&lt;&gt;"",M445,IF(T445="",0,T445)))</f>
        <v>0</v>
      </c>
      <c r="V445" s="21">
        <f>IF(F445="","",IFERROR(INDEX(Employees!$U$5:$U$44,MATCH(F445,Employees!$B$5:$B$44,0)),PayRate*(1+EmployerOncost)))</f>
        <v>0</v>
      </c>
      <c r="W445" s="34">
        <f>IF(F445="","",MAX(0,U445-IF(N445="",0,N445)))</f>
        <v>0</v>
      </c>
      <c r="X445" s="21">
        <f>IF(F445="","",ROUND(W445*V445+IF(N445="",0,N445)*V445*OvertimeRate,2))</f>
        <v>0</v>
      </c>
      <c r="Y445" s="21">
        <f>IF(F445="","",IF(P445&lt;&gt;"Yes",0,ROUND(U445*IF(IFERROR(INDEX(Clients!$O$5:$O$204,MATCH(IFERROR(INDEX(Jobs!$G$5:$G$604,MATCH(G445,Jobs!$A$5:$A$604,0)),""),Clients!$A$5:$A$204,0)),0)&gt;0,INDEX(Clients!$O$5:$O$204,MATCH(INDEX(Jobs!$G$5:$G$604,MATCH(G445,Jobs!$A$5:$A$604,0)),Clients!$A$5:$A$204,0)),HourlyRate),2)))</f>
        <v>0</v>
      </c>
      <c r="Z445" s="39">
        <f>IF(F445="","",IF(U445=0,"Add - no hours recorded",IF(O445="Absent - no show","Action - no show",IF(U445&gt;10,"Check - over ten hours in a day",IF(Q445&lt;&gt;"Yes","Due - needs approving",IF(R445&lt;&gt;"Yes","Due - not paid yet","OK"))))))</f>
        <v>0</v>
      </c>
    </row>
    <row r="446" spans="1:26">
      <c r="A446" s="43">
        <f>IF(F446="","","TS-"&amp;TEXT(ROW()-4,"0000"))</f>
        <v>0</v>
      </c>
      <c r="C446" s="23">
        <f>IF(B446="","",TEXT(B446,"ddd"))</f>
        <v>0</v>
      </c>
      <c r="D446" s="31">
        <f>IF(B446="","",WEEKNUM(B446,IF(WeekStart="Sunday",1,2)))</f>
        <v>0</v>
      </c>
      <c r="E446" s="23">
        <f>IF(B446="","",TEXT(B446,"yyyy-mm"))</f>
        <v>0</v>
      </c>
      <c r="H446" s="23">
        <f>IF(G446="","",IFERROR(INDEX(Jobs!$H$5:$H$604,MATCH(G446,Jobs!$A$5:$A$604,0)),""))</f>
        <v>0</v>
      </c>
      <c r="T446" s="34">
        <f>IF(OR(J446="",K446=""),"",ROUND((K446-J446)*24-IF(L446="",0,L446)/60,2))</f>
        <v>0</v>
      </c>
      <c r="U446" s="34">
        <f>IF(F446="","",IF(M446&lt;&gt;"",M446,IF(T446="",0,T446)))</f>
        <v>0</v>
      </c>
      <c r="V446" s="21">
        <f>IF(F446="","",IFERROR(INDEX(Employees!$U$5:$U$44,MATCH(F446,Employees!$B$5:$B$44,0)),PayRate*(1+EmployerOncost)))</f>
        <v>0</v>
      </c>
      <c r="W446" s="34">
        <f>IF(F446="","",MAX(0,U446-IF(N446="",0,N446)))</f>
        <v>0</v>
      </c>
      <c r="X446" s="21">
        <f>IF(F446="","",ROUND(W446*V446+IF(N446="",0,N446)*V446*OvertimeRate,2))</f>
        <v>0</v>
      </c>
      <c r="Y446" s="21">
        <f>IF(F446="","",IF(P446&lt;&gt;"Yes",0,ROUND(U446*IF(IFERROR(INDEX(Clients!$O$5:$O$204,MATCH(IFERROR(INDEX(Jobs!$G$5:$G$604,MATCH(G446,Jobs!$A$5:$A$604,0)),""),Clients!$A$5:$A$204,0)),0)&gt;0,INDEX(Clients!$O$5:$O$204,MATCH(INDEX(Jobs!$G$5:$G$604,MATCH(G446,Jobs!$A$5:$A$604,0)),Clients!$A$5:$A$204,0)),HourlyRate),2)))</f>
        <v>0</v>
      </c>
      <c r="Z446" s="39">
        <f>IF(F446="","",IF(U446=0,"Add - no hours recorded",IF(O446="Absent - no show","Action - no show",IF(U446&gt;10,"Check - over ten hours in a day",IF(Q446&lt;&gt;"Yes","Due - needs approving",IF(R446&lt;&gt;"Yes","Due - not paid yet","OK"))))))</f>
        <v>0</v>
      </c>
    </row>
    <row r="447" spans="1:26">
      <c r="A447" s="43">
        <f>IF(F447="","","TS-"&amp;TEXT(ROW()-4,"0000"))</f>
        <v>0</v>
      </c>
      <c r="C447" s="23">
        <f>IF(B447="","",TEXT(B447,"ddd"))</f>
        <v>0</v>
      </c>
      <c r="D447" s="31">
        <f>IF(B447="","",WEEKNUM(B447,IF(WeekStart="Sunday",1,2)))</f>
        <v>0</v>
      </c>
      <c r="E447" s="23">
        <f>IF(B447="","",TEXT(B447,"yyyy-mm"))</f>
        <v>0</v>
      </c>
      <c r="H447" s="23">
        <f>IF(G447="","",IFERROR(INDEX(Jobs!$H$5:$H$604,MATCH(G447,Jobs!$A$5:$A$604,0)),""))</f>
        <v>0</v>
      </c>
      <c r="T447" s="34">
        <f>IF(OR(J447="",K447=""),"",ROUND((K447-J447)*24-IF(L447="",0,L447)/60,2))</f>
        <v>0</v>
      </c>
      <c r="U447" s="34">
        <f>IF(F447="","",IF(M447&lt;&gt;"",M447,IF(T447="",0,T447)))</f>
        <v>0</v>
      </c>
      <c r="V447" s="21">
        <f>IF(F447="","",IFERROR(INDEX(Employees!$U$5:$U$44,MATCH(F447,Employees!$B$5:$B$44,0)),PayRate*(1+EmployerOncost)))</f>
        <v>0</v>
      </c>
      <c r="W447" s="34">
        <f>IF(F447="","",MAX(0,U447-IF(N447="",0,N447)))</f>
        <v>0</v>
      </c>
      <c r="X447" s="21">
        <f>IF(F447="","",ROUND(W447*V447+IF(N447="",0,N447)*V447*OvertimeRate,2))</f>
        <v>0</v>
      </c>
      <c r="Y447" s="21">
        <f>IF(F447="","",IF(P447&lt;&gt;"Yes",0,ROUND(U447*IF(IFERROR(INDEX(Clients!$O$5:$O$204,MATCH(IFERROR(INDEX(Jobs!$G$5:$G$604,MATCH(G447,Jobs!$A$5:$A$604,0)),""),Clients!$A$5:$A$204,0)),0)&gt;0,INDEX(Clients!$O$5:$O$204,MATCH(INDEX(Jobs!$G$5:$G$604,MATCH(G447,Jobs!$A$5:$A$604,0)),Clients!$A$5:$A$204,0)),HourlyRate),2)))</f>
        <v>0</v>
      </c>
      <c r="Z447" s="39">
        <f>IF(F447="","",IF(U447=0,"Add - no hours recorded",IF(O447="Absent - no show","Action - no show",IF(U447&gt;10,"Check - over ten hours in a day",IF(Q447&lt;&gt;"Yes","Due - needs approving",IF(R447&lt;&gt;"Yes","Due - not paid yet","OK"))))))</f>
        <v>0</v>
      </c>
    </row>
    <row r="448" spans="1:26">
      <c r="A448" s="43">
        <f>IF(F448="","","TS-"&amp;TEXT(ROW()-4,"0000"))</f>
        <v>0</v>
      </c>
      <c r="C448" s="23">
        <f>IF(B448="","",TEXT(B448,"ddd"))</f>
        <v>0</v>
      </c>
      <c r="D448" s="31">
        <f>IF(B448="","",WEEKNUM(B448,IF(WeekStart="Sunday",1,2)))</f>
        <v>0</v>
      </c>
      <c r="E448" s="23">
        <f>IF(B448="","",TEXT(B448,"yyyy-mm"))</f>
        <v>0</v>
      </c>
      <c r="H448" s="23">
        <f>IF(G448="","",IFERROR(INDEX(Jobs!$H$5:$H$604,MATCH(G448,Jobs!$A$5:$A$604,0)),""))</f>
        <v>0</v>
      </c>
      <c r="T448" s="34">
        <f>IF(OR(J448="",K448=""),"",ROUND((K448-J448)*24-IF(L448="",0,L448)/60,2))</f>
        <v>0</v>
      </c>
      <c r="U448" s="34">
        <f>IF(F448="","",IF(M448&lt;&gt;"",M448,IF(T448="",0,T448)))</f>
        <v>0</v>
      </c>
      <c r="V448" s="21">
        <f>IF(F448="","",IFERROR(INDEX(Employees!$U$5:$U$44,MATCH(F448,Employees!$B$5:$B$44,0)),PayRate*(1+EmployerOncost)))</f>
        <v>0</v>
      </c>
      <c r="W448" s="34">
        <f>IF(F448="","",MAX(0,U448-IF(N448="",0,N448)))</f>
        <v>0</v>
      </c>
      <c r="X448" s="21">
        <f>IF(F448="","",ROUND(W448*V448+IF(N448="",0,N448)*V448*OvertimeRate,2))</f>
        <v>0</v>
      </c>
      <c r="Y448" s="21">
        <f>IF(F448="","",IF(P448&lt;&gt;"Yes",0,ROUND(U448*IF(IFERROR(INDEX(Clients!$O$5:$O$204,MATCH(IFERROR(INDEX(Jobs!$G$5:$G$604,MATCH(G448,Jobs!$A$5:$A$604,0)),""),Clients!$A$5:$A$204,0)),0)&gt;0,INDEX(Clients!$O$5:$O$204,MATCH(INDEX(Jobs!$G$5:$G$604,MATCH(G448,Jobs!$A$5:$A$604,0)),Clients!$A$5:$A$204,0)),HourlyRate),2)))</f>
        <v>0</v>
      </c>
      <c r="Z448" s="39">
        <f>IF(F448="","",IF(U448=0,"Add - no hours recorded",IF(O448="Absent - no show","Action - no show",IF(U448&gt;10,"Check - over ten hours in a day",IF(Q448&lt;&gt;"Yes","Due - needs approving",IF(R448&lt;&gt;"Yes","Due - not paid yet","OK"))))))</f>
        <v>0</v>
      </c>
    </row>
    <row r="449" spans="1:26">
      <c r="A449" s="43">
        <f>IF(F449="","","TS-"&amp;TEXT(ROW()-4,"0000"))</f>
        <v>0</v>
      </c>
      <c r="C449" s="23">
        <f>IF(B449="","",TEXT(B449,"ddd"))</f>
        <v>0</v>
      </c>
      <c r="D449" s="31">
        <f>IF(B449="","",WEEKNUM(B449,IF(WeekStart="Sunday",1,2)))</f>
        <v>0</v>
      </c>
      <c r="E449" s="23">
        <f>IF(B449="","",TEXT(B449,"yyyy-mm"))</f>
        <v>0</v>
      </c>
      <c r="H449" s="23">
        <f>IF(G449="","",IFERROR(INDEX(Jobs!$H$5:$H$604,MATCH(G449,Jobs!$A$5:$A$604,0)),""))</f>
        <v>0</v>
      </c>
      <c r="T449" s="34">
        <f>IF(OR(J449="",K449=""),"",ROUND((K449-J449)*24-IF(L449="",0,L449)/60,2))</f>
        <v>0</v>
      </c>
      <c r="U449" s="34">
        <f>IF(F449="","",IF(M449&lt;&gt;"",M449,IF(T449="",0,T449)))</f>
        <v>0</v>
      </c>
      <c r="V449" s="21">
        <f>IF(F449="","",IFERROR(INDEX(Employees!$U$5:$U$44,MATCH(F449,Employees!$B$5:$B$44,0)),PayRate*(1+EmployerOncost)))</f>
        <v>0</v>
      </c>
      <c r="W449" s="34">
        <f>IF(F449="","",MAX(0,U449-IF(N449="",0,N449)))</f>
        <v>0</v>
      </c>
      <c r="X449" s="21">
        <f>IF(F449="","",ROUND(W449*V449+IF(N449="",0,N449)*V449*OvertimeRate,2))</f>
        <v>0</v>
      </c>
      <c r="Y449" s="21">
        <f>IF(F449="","",IF(P449&lt;&gt;"Yes",0,ROUND(U449*IF(IFERROR(INDEX(Clients!$O$5:$O$204,MATCH(IFERROR(INDEX(Jobs!$G$5:$G$604,MATCH(G449,Jobs!$A$5:$A$604,0)),""),Clients!$A$5:$A$204,0)),0)&gt;0,INDEX(Clients!$O$5:$O$204,MATCH(INDEX(Jobs!$G$5:$G$604,MATCH(G449,Jobs!$A$5:$A$604,0)),Clients!$A$5:$A$204,0)),HourlyRate),2)))</f>
        <v>0</v>
      </c>
      <c r="Z449" s="39">
        <f>IF(F449="","",IF(U449=0,"Add - no hours recorded",IF(O449="Absent - no show","Action - no show",IF(U449&gt;10,"Check - over ten hours in a day",IF(Q449&lt;&gt;"Yes","Due - needs approving",IF(R449&lt;&gt;"Yes","Due - not paid yet","OK"))))))</f>
        <v>0</v>
      </c>
    </row>
    <row r="450" spans="1:26">
      <c r="A450" s="43">
        <f>IF(F450="","","TS-"&amp;TEXT(ROW()-4,"0000"))</f>
        <v>0</v>
      </c>
      <c r="C450" s="23">
        <f>IF(B450="","",TEXT(B450,"ddd"))</f>
        <v>0</v>
      </c>
      <c r="D450" s="31">
        <f>IF(B450="","",WEEKNUM(B450,IF(WeekStart="Sunday",1,2)))</f>
        <v>0</v>
      </c>
      <c r="E450" s="23">
        <f>IF(B450="","",TEXT(B450,"yyyy-mm"))</f>
        <v>0</v>
      </c>
      <c r="H450" s="23">
        <f>IF(G450="","",IFERROR(INDEX(Jobs!$H$5:$H$604,MATCH(G450,Jobs!$A$5:$A$604,0)),""))</f>
        <v>0</v>
      </c>
      <c r="T450" s="34">
        <f>IF(OR(J450="",K450=""),"",ROUND((K450-J450)*24-IF(L450="",0,L450)/60,2))</f>
        <v>0</v>
      </c>
      <c r="U450" s="34">
        <f>IF(F450="","",IF(M450&lt;&gt;"",M450,IF(T450="",0,T450)))</f>
        <v>0</v>
      </c>
      <c r="V450" s="21">
        <f>IF(F450="","",IFERROR(INDEX(Employees!$U$5:$U$44,MATCH(F450,Employees!$B$5:$B$44,0)),PayRate*(1+EmployerOncost)))</f>
        <v>0</v>
      </c>
      <c r="W450" s="34">
        <f>IF(F450="","",MAX(0,U450-IF(N450="",0,N450)))</f>
        <v>0</v>
      </c>
      <c r="X450" s="21">
        <f>IF(F450="","",ROUND(W450*V450+IF(N450="",0,N450)*V450*OvertimeRate,2))</f>
        <v>0</v>
      </c>
      <c r="Y450" s="21">
        <f>IF(F450="","",IF(P450&lt;&gt;"Yes",0,ROUND(U450*IF(IFERROR(INDEX(Clients!$O$5:$O$204,MATCH(IFERROR(INDEX(Jobs!$G$5:$G$604,MATCH(G450,Jobs!$A$5:$A$604,0)),""),Clients!$A$5:$A$204,0)),0)&gt;0,INDEX(Clients!$O$5:$O$204,MATCH(INDEX(Jobs!$G$5:$G$604,MATCH(G450,Jobs!$A$5:$A$604,0)),Clients!$A$5:$A$204,0)),HourlyRate),2)))</f>
        <v>0</v>
      </c>
      <c r="Z450" s="39">
        <f>IF(F450="","",IF(U450=0,"Add - no hours recorded",IF(O450="Absent - no show","Action - no show",IF(U450&gt;10,"Check - over ten hours in a day",IF(Q450&lt;&gt;"Yes","Due - needs approving",IF(R450&lt;&gt;"Yes","Due - not paid yet","OK"))))))</f>
        <v>0</v>
      </c>
    </row>
    <row r="451" spans="1:26">
      <c r="A451" s="43">
        <f>IF(F451="","","TS-"&amp;TEXT(ROW()-4,"0000"))</f>
        <v>0</v>
      </c>
      <c r="C451" s="23">
        <f>IF(B451="","",TEXT(B451,"ddd"))</f>
        <v>0</v>
      </c>
      <c r="D451" s="31">
        <f>IF(B451="","",WEEKNUM(B451,IF(WeekStart="Sunday",1,2)))</f>
        <v>0</v>
      </c>
      <c r="E451" s="23">
        <f>IF(B451="","",TEXT(B451,"yyyy-mm"))</f>
        <v>0</v>
      </c>
      <c r="H451" s="23">
        <f>IF(G451="","",IFERROR(INDEX(Jobs!$H$5:$H$604,MATCH(G451,Jobs!$A$5:$A$604,0)),""))</f>
        <v>0</v>
      </c>
      <c r="T451" s="34">
        <f>IF(OR(J451="",K451=""),"",ROUND((K451-J451)*24-IF(L451="",0,L451)/60,2))</f>
        <v>0</v>
      </c>
      <c r="U451" s="34">
        <f>IF(F451="","",IF(M451&lt;&gt;"",M451,IF(T451="",0,T451)))</f>
        <v>0</v>
      </c>
      <c r="V451" s="21">
        <f>IF(F451="","",IFERROR(INDEX(Employees!$U$5:$U$44,MATCH(F451,Employees!$B$5:$B$44,0)),PayRate*(1+EmployerOncost)))</f>
        <v>0</v>
      </c>
      <c r="W451" s="34">
        <f>IF(F451="","",MAX(0,U451-IF(N451="",0,N451)))</f>
        <v>0</v>
      </c>
      <c r="X451" s="21">
        <f>IF(F451="","",ROUND(W451*V451+IF(N451="",0,N451)*V451*OvertimeRate,2))</f>
        <v>0</v>
      </c>
      <c r="Y451" s="21">
        <f>IF(F451="","",IF(P451&lt;&gt;"Yes",0,ROUND(U451*IF(IFERROR(INDEX(Clients!$O$5:$O$204,MATCH(IFERROR(INDEX(Jobs!$G$5:$G$604,MATCH(G451,Jobs!$A$5:$A$604,0)),""),Clients!$A$5:$A$204,0)),0)&gt;0,INDEX(Clients!$O$5:$O$204,MATCH(INDEX(Jobs!$G$5:$G$604,MATCH(G451,Jobs!$A$5:$A$604,0)),Clients!$A$5:$A$204,0)),HourlyRate),2)))</f>
        <v>0</v>
      </c>
      <c r="Z451" s="39">
        <f>IF(F451="","",IF(U451=0,"Add - no hours recorded",IF(O451="Absent - no show","Action - no show",IF(U451&gt;10,"Check - over ten hours in a day",IF(Q451&lt;&gt;"Yes","Due - needs approving",IF(R451&lt;&gt;"Yes","Due - not paid yet","OK"))))))</f>
        <v>0</v>
      </c>
    </row>
    <row r="452" spans="1:26">
      <c r="A452" s="43">
        <f>IF(F452="","","TS-"&amp;TEXT(ROW()-4,"0000"))</f>
        <v>0</v>
      </c>
      <c r="C452" s="23">
        <f>IF(B452="","",TEXT(B452,"ddd"))</f>
        <v>0</v>
      </c>
      <c r="D452" s="31">
        <f>IF(B452="","",WEEKNUM(B452,IF(WeekStart="Sunday",1,2)))</f>
        <v>0</v>
      </c>
      <c r="E452" s="23">
        <f>IF(B452="","",TEXT(B452,"yyyy-mm"))</f>
        <v>0</v>
      </c>
      <c r="H452" s="23">
        <f>IF(G452="","",IFERROR(INDEX(Jobs!$H$5:$H$604,MATCH(G452,Jobs!$A$5:$A$604,0)),""))</f>
        <v>0</v>
      </c>
      <c r="T452" s="34">
        <f>IF(OR(J452="",K452=""),"",ROUND((K452-J452)*24-IF(L452="",0,L452)/60,2))</f>
        <v>0</v>
      </c>
      <c r="U452" s="34">
        <f>IF(F452="","",IF(M452&lt;&gt;"",M452,IF(T452="",0,T452)))</f>
        <v>0</v>
      </c>
      <c r="V452" s="21">
        <f>IF(F452="","",IFERROR(INDEX(Employees!$U$5:$U$44,MATCH(F452,Employees!$B$5:$B$44,0)),PayRate*(1+EmployerOncost)))</f>
        <v>0</v>
      </c>
      <c r="W452" s="34">
        <f>IF(F452="","",MAX(0,U452-IF(N452="",0,N452)))</f>
        <v>0</v>
      </c>
      <c r="X452" s="21">
        <f>IF(F452="","",ROUND(W452*V452+IF(N452="",0,N452)*V452*OvertimeRate,2))</f>
        <v>0</v>
      </c>
      <c r="Y452" s="21">
        <f>IF(F452="","",IF(P452&lt;&gt;"Yes",0,ROUND(U452*IF(IFERROR(INDEX(Clients!$O$5:$O$204,MATCH(IFERROR(INDEX(Jobs!$G$5:$G$604,MATCH(G452,Jobs!$A$5:$A$604,0)),""),Clients!$A$5:$A$204,0)),0)&gt;0,INDEX(Clients!$O$5:$O$204,MATCH(INDEX(Jobs!$G$5:$G$604,MATCH(G452,Jobs!$A$5:$A$604,0)),Clients!$A$5:$A$204,0)),HourlyRate),2)))</f>
        <v>0</v>
      </c>
      <c r="Z452" s="39">
        <f>IF(F452="","",IF(U452=0,"Add - no hours recorded",IF(O452="Absent - no show","Action - no show",IF(U452&gt;10,"Check - over ten hours in a day",IF(Q452&lt;&gt;"Yes","Due - needs approving",IF(R452&lt;&gt;"Yes","Due - not paid yet","OK"))))))</f>
        <v>0</v>
      </c>
    </row>
    <row r="453" spans="1:26">
      <c r="A453" s="43">
        <f>IF(F453="","","TS-"&amp;TEXT(ROW()-4,"0000"))</f>
        <v>0</v>
      </c>
      <c r="C453" s="23">
        <f>IF(B453="","",TEXT(B453,"ddd"))</f>
        <v>0</v>
      </c>
      <c r="D453" s="31">
        <f>IF(B453="","",WEEKNUM(B453,IF(WeekStart="Sunday",1,2)))</f>
        <v>0</v>
      </c>
      <c r="E453" s="23">
        <f>IF(B453="","",TEXT(B453,"yyyy-mm"))</f>
        <v>0</v>
      </c>
      <c r="H453" s="23">
        <f>IF(G453="","",IFERROR(INDEX(Jobs!$H$5:$H$604,MATCH(G453,Jobs!$A$5:$A$604,0)),""))</f>
        <v>0</v>
      </c>
      <c r="T453" s="34">
        <f>IF(OR(J453="",K453=""),"",ROUND((K453-J453)*24-IF(L453="",0,L453)/60,2))</f>
        <v>0</v>
      </c>
      <c r="U453" s="34">
        <f>IF(F453="","",IF(M453&lt;&gt;"",M453,IF(T453="",0,T453)))</f>
        <v>0</v>
      </c>
      <c r="V453" s="21">
        <f>IF(F453="","",IFERROR(INDEX(Employees!$U$5:$U$44,MATCH(F453,Employees!$B$5:$B$44,0)),PayRate*(1+EmployerOncost)))</f>
        <v>0</v>
      </c>
      <c r="W453" s="34">
        <f>IF(F453="","",MAX(0,U453-IF(N453="",0,N453)))</f>
        <v>0</v>
      </c>
      <c r="X453" s="21">
        <f>IF(F453="","",ROUND(W453*V453+IF(N453="",0,N453)*V453*OvertimeRate,2))</f>
        <v>0</v>
      </c>
      <c r="Y453" s="21">
        <f>IF(F453="","",IF(P453&lt;&gt;"Yes",0,ROUND(U453*IF(IFERROR(INDEX(Clients!$O$5:$O$204,MATCH(IFERROR(INDEX(Jobs!$G$5:$G$604,MATCH(G453,Jobs!$A$5:$A$604,0)),""),Clients!$A$5:$A$204,0)),0)&gt;0,INDEX(Clients!$O$5:$O$204,MATCH(INDEX(Jobs!$G$5:$G$604,MATCH(G453,Jobs!$A$5:$A$604,0)),Clients!$A$5:$A$204,0)),HourlyRate),2)))</f>
        <v>0</v>
      </c>
      <c r="Z453" s="39">
        <f>IF(F453="","",IF(U453=0,"Add - no hours recorded",IF(O453="Absent - no show","Action - no show",IF(U453&gt;10,"Check - over ten hours in a day",IF(Q453&lt;&gt;"Yes","Due - needs approving",IF(R453&lt;&gt;"Yes","Due - not paid yet","OK"))))))</f>
        <v>0</v>
      </c>
    </row>
    <row r="454" spans="1:26">
      <c r="A454" s="43">
        <f>IF(F454="","","TS-"&amp;TEXT(ROW()-4,"0000"))</f>
        <v>0</v>
      </c>
      <c r="C454" s="23">
        <f>IF(B454="","",TEXT(B454,"ddd"))</f>
        <v>0</v>
      </c>
      <c r="D454" s="31">
        <f>IF(B454="","",WEEKNUM(B454,IF(WeekStart="Sunday",1,2)))</f>
        <v>0</v>
      </c>
      <c r="E454" s="23">
        <f>IF(B454="","",TEXT(B454,"yyyy-mm"))</f>
        <v>0</v>
      </c>
      <c r="H454" s="23">
        <f>IF(G454="","",IFERROR(INDEX(Jobs!$H$5:$H$604,MATCH(G454,Jobs!$A$5:$A$604,0)),""))</f>
        <v>0</v>
      </c>
      <c r="T454" s="34">
        <f>IF(OR(J454="",K454=""),"",ROUND((K454-J454)*24-IF(L454="",0,L454)/60,2))</f>
        <v>0</v>
      </c>
      <c r="U454" s="34">
        <f>IF(F454="","",IF(M454&lt;&gt;"",M454,IF(T454="",0,T454)))</f>
        <v>0</v>
      </c>
      <c r="V454" s="21">
        <f>IF(F454="","",IFERROR(INDEX(Employees!$U$5:$U$44,MATCH(F454,Employees!$B$5:$B$44,0)),PayRate*(1+EmployerOncost)))</f>
        <v>0</v>
      </c>
      <c r="W454" s="34">
        <f>IF(F454="","",MAX(0,U454-IF(N454="",0,N454)))</f>
        <v>0</v>
      </c>
      <c r="X454" s="21">
        <f>IF(F454="","",ROUND(W454*V454+IF(N454="",0,N454)*V454*OvertimeRate,2))</f>
        <v>0</v>
      </c>
      <c r="Y454" s="21">
        <f>IF(F454="","",IF(P454&lt;&gt;"Yes",0,ROUND(U454*IF(IFERROR(INDEX(Clients!$O$5:$O$204,MATCH(IFERROR(INDEX(Jobs!$G$5:$G$604,MATCH(G454,Jobs!$A$5:$A$604,0)),""),Clients!$A$5:$A$204,0)),0)&gt;0,INDEX(Clients!$O$5:$O$204,MATCH(INDEX(Jobs!$G$5:$G$604,MATCH(G454,Jobs!$A$5:$A$604,0)),Clients!$A$5:$A$204,0)),HourlyRate),2)))</f>
        <v>0</v>
      </c>
      <c r="Z454" s="39">
        <f>IF(F454="","",IF(U454=0,"Add - no hours recorded",IF(O454="Absent - no show","Action - no show",IF(U454&gt;10,"Check - over ten hours in a day",IF(Q454&lt;&gt;"Yes","Due - needs approving",IF(R454&lt;&gt;"Yes","Due - not paid yet","OK"))))))</f>
        <v>0</v>
      </c>
    </row>
    <row r="455" spans="1:26">
      <c r="A455" s="43">
        <f>IF(F455="","","TS-"&amp;TEXT(ROW()-4,"0000"))</f>
        <v>0</v>
      </c>
      <c r="C455" s="23">
        <f>IF(B455="","",TEXT(B455,"ddd"))</f>
        <v>0</v>
      </c>
      <c r="D455" s="31">
        <f>IF(B455="","",WEEKNUM(B455,IF(WeekStart="Sunday",1,2)))</f>
        <v>0</v>
      </c>
      <c r="E455" s="23">
        <f>IF(B455="","",TEXT(B455,"yyyy-mm"))</f>
        <v>0</v>
      </c>
      <c r="H455" s="23">
        <f>IF(G455="","",IFERROR(INDEX(Jobs!$H$5:$H$604,MATCH(G455,Jobs!$A$5:$A$604,0)),""))</f>
        <v>0</v>
      </c>
      <c r="T455" s="34">
        <f>IF(OR(J455="",K455=""),"",ROUND((K455-J455)*24-IF(L455="",0,L455)/60,2))</f>
        <v>0</v>
      </c>
      <c r="U455" s="34">
        <f>IF(F455="","",IF(M455&lt;&gt;"",M455,IF(T455="",0,T455)))</f>
        <v>0</v>
      </c>
      <c r="V455" s="21">
        <f>IF(F455="","",IFERROR(INDEX(Employees!$U$5:$U$44,MATCH(F455,Employees!$B$5:$B$44,0)),PayRate*(1+EmployerOncost)))</f>
        <v>0</v>
      </c>
      <c r="W455" s="34">
        <f>IF(F455="","",MAX(0,U455-IF(N455="",0,N455)))</f>
        <v>0</v>
      </c>
      <c r="X455" s="21">
        <f>IF(F455="","",ROUND(W455*V455+IF(N455="",0,N455)*V455*OvertimeRate,2))</f>
        <v>0</v>
      </c>
      <c r="Y455" s="21">
        <f>IF(F455="","",IF(P455&lt;&gt;"Yes",0,ROUND(U455*IF(IFERROR(INDEX(Clients!$O$5:$O$204,MATCH(IFERROR(INDEX(Jobs!$G$5:$G$604,MATCH(G455,Jobs!$A$5:$A$604,0)),""),Clients!$A$5:$A$204,0)),0)&gt;0,INDEX(Clients!$O$5:$O$204,MATCH(INDEX(Jobs!$G$5:$G$604,MATCH(G455,Jobs!$A$5:$A$604,0)),Clients!$A$5:$A$204,0)),HourlyRate),2)))</f>
        <v>0</v>
      </c>
      <c r="Z455" s="39">
        <f>IF(F455="","",IF(U455=0,"Add - no hours recorded",IF(O455="Absent - no show","Action - no show",IF(U455&gt;10,"Check - over ten hours in a day",IF(Q455&lt;&gt;"Yes","Due - needs approving",IF(R455&lt;&gt;"Yes","Due - not paid yet","OK"))))))</f>
        <v>0</v>
      </c>
    </row>
    <row r="456" spans="1:26">
      <c r="A456" s="43">
        <f>IF(F456="","","TS-"&amp;TEXT(ROW()-4,"0000"))</f>
        <v>0</v>
      </c>
      <c r="C456" s="23">
        <f>IF(B456="","",TEXT(B456,"ddd"))</f>
        <v>0</v>
      </c>
      <c r="D456" s="31">
        <f>IF(B456="","",WEEKNUM(B456,IF(WeekStart="Sunday",1,2)))</f>
        <v>0</v>
      </c>
      <c r="E456" s="23">
        <f>IF(B456="","",TEXT(B456,"yyyy-mm"))</f>
        <v>0</v>
      </c>
      <c r="H456" s="23">
        <f>IF(G456="","",IFERROR(INDEX(Jobs!$H$5:$H$604,MATCH(G456,Jobs!$A$5:$A$604,0)),""))</f>
        <v>0</v>
      </c>
      <c r="T456" s="34">
        <f>IF(OR(J456="",K456=""),"",ROUND((K456-J456)*24-IF(L456="",0,L456)/60,2))</f>
        <v>0</v>
      </c>
      <c r="U456" s="34">
        <f>IF(F456="","",IF(M456&lt;&gt;"",M456,IF(T456="",0,T456)))</f>
        <v>0</v>
      </c>
      <c r="V456" s="21">
        <f>IF(F456="","",IFERROR(INDEX(Employees!$U$5:$U$44,MATCH(F456,Employees!$B$5:$B$44,0)),PayRate*(1+EmployerOncost)))</f>
        <v>0</v>
      </c>
      <c r="W456" s="34">
        <f>IF(F456="","",MAX(0,U456-IF(N456="",0,N456)))</f>
        <v>0</v>
      </c>
      <c r="X456" s="21">
        <f>IF(F456="","",ROUND(W456*V456+IF(N456="",0,N456)*V456*OvertimeRate,2))</f>
        <v>0</v>
      </c>
      <c r="Y456" s="21">
        <f>IF(F456="","",IF(P456&lt;&gt;"Yes",0,ROUND(U456*IF(IFERROR(INDEX(Clients!$O$5:$O$204,MATCH(IFERROR(INDEX(Jobs!$G$5:$G$604,MATCH(G456,Jobs!$A$5:$A$604,0)),""),Clients!$A$5:$A$204,0)),0)&gt;0,INDEX(Clients!$O$5:$O$204,MATCH(INDEX(Jobs!$G$5:$G$604,MATCH(G456,Jobs!$A$5:$A$604,0)),Clients!$A$5:$A$204,0)),HourlyRate),2)))</f>
        <v>0</v>
      </c>
      <c r="Z456" s="39">
        <f>IF(F456="","",IF(U456=0,"Add - no hours recorded",IF(O456="Absent - no show","Action - no show",IF(U456&gt;10,"Check - over ten hours in a day",IF(Q456&lt;&gt;"Yes","Due - needs approving",IF(R456&lt;&gt;"Yes","Due - not paid yet","OK"))))))</f>
        <v>0</v>
      </c>
    </row>
    <row r="457" spans="1:26">
      <c r="A457" s="43">
        <f>IF(F457="","","TS-"&amp;TEXT(ROW()-4,"0000"))</f>
        <v>0</v>
      </c>
      <c r="C457" s="23">
        <f>IF(B457="","",TEXT(B457,"ddd"))</f>
        <v>0</v>
      </c>
      <c r="D457" s="31">
        <f>IF(B457="","",WEEKNUM(B457,IF(WeekStart="Sunday",1,2)))</f>
        <v>0</v>
      </c>
      <c r="E457" s="23">
        <f>IF(B457="","",TEXT(B457,"yyyy-mm"))</f>
        <v>0</v>
      </c>
      <c r="H457" s="23">
        <f>IF(G457="","",IFERROR(INDEX(Jobs!$H$5:$H$604,MATCH(G457,Jobs!$A$5:$A$604,0)),""))</f>
        <v>0</v>
      </c>
      <c r="T457" s="34">
        <f>IF(OR(J457="",K457=""),"",ROUND((K457-J457)*24-IF(L457="",0,L457)/60,2))</f>
        <v>0</v>
      </c>
      <c r="U457" s="34">
        <f>IF(F457="","",IF(M457&lt;&gt;"",M457,IF(T457="",0,T457)))</f>
        <v>0</v>
      </c>
      <c r="V457" s="21">
        <f>IF(F457="","",IFERROR(INDEX(Employees!$U$5:$U$44,MATCH(F457,Employees!$B$5:$B$44,0)),PayRate*(1+EmployerOncost)))</f>
        <v>0</v>
      </c>
      <c r="W457" s="34">
        <f>IF(F457="","",MAX(0,U457-IF(N457="",0,N457)))</f>
        <v>0</v>
      </c>
      <c r="X457" s="21">
        <f>IF(F457="","",ROUND(W457*V457+IF(N457="",0,N457)*V457*OvertimeRate,2))</f>
        <v>0</v>
      </c>
      <c r="Y457" s="21">
        <f>IF(F457="","",IF(P457&lt;&gt;"Yes",0,ROUND(U457*IF(IFERROR(INDEX(Clients!$O$5:$O$204,MATCH(IFERROR(INDEX(Jobs!$G$5:$G$604,MATCH(G457,Jobs!$A$5:$A$604,0)),""),Clients!$A$5:$A$204,0)),0)&gt;0,INDEX(Clients!$O$5:$O$204,MATCH(INDEX(Jobs!$G$5:$G$604,MATCH(G457,Jobs!$A$5:$A$604,0)),Clients!$A$5:$A$204,0)),HourlyRate),2)))</f>
        <v>0</v>
      </c>
      <c r="Z457" s="39">
        <f>IF(F457="","",IF(U457=0,"Add - no hours recorded",IF(O457="Absent - no show","Action - no show",IF(U457&gt;10,"Check - over ten hours in a day",IF(Q457&lt;&gt;"Yes","Due - needs approving",IF(R457&lt;&gt;"Yes","Due - not paid yet","OK"))))))</f>
        <v>0</v>
      </c>
    </row>
    <row r="458" spans="1:26">
      <c r="A458" s="43">
        <f>IF(F458="","","TS-"&amp;TEXT(ROW()-4,"0000"))</f>
        <v>0</v>
      </c>
      <c r="C458" s="23">
        <f>IF(B458="","",TEXT(B458,"ddd"))</f>
        <v>0</v>
      </c>
      <c r="D458" s="31">
        <f>IF(B458="","",WEEKNUM(B458,IF(WeekStart="Sunday",1,2)))</f>
        <v>0</v>
      </c>
      <c r="E458" s="23">
        <f>IF(B458="","",TEXT(B458,"yyyy-mm"))</f>
        <v>0</v>
      </c>
      <c r="H458" s="23">
        <f>IF(G458="","",IFERROR(INDEX(Jobs!$H$5:$H$604,MATCH(G458,Jobs!$A$5:$A$604,0)),""))</f>
        <v>0</v>
      </c>
      <c r="T458" s="34">
        <f>IF(OR(J458="",K458=""),"",ROUND((K458-J458)*24-IF(L458="",0,L458)/60,2))</f>
        <v>0</v>
      </c>
      <c r="U458" s="34">
        <f>IF(F458="","",IF(M458&lt;&gt;"",M458,IF(T458="",0,T458)))</f>
        <v>0</v>
      </c>
      <c r="V458" s="21">
        <f>IF(F458="","",IFERROR(INDEX(Employees!$U$5:$U$44,MATCH(F458,Employees!$B$5:$B$44,0)),PayRate*(1+EmployerOncost)))</f>
        <v>0</v>
      </c>
      <c r="W458" s="34">
        <f>IF(F458="","",MAX(0,U458-IF(N458="",0,N458)))</f>
        <v>0</v>
      </c>
      <c r="X458" s="21">
        <f>IF(F458="","",ROUND(W458*V458+IF(N458="",0,N458)*V458*OvertimeRate,2))</f>
        <v>0</v>
      </c>
      <c r="Y458" s="21">
        <f>IF(F458="","",IF(P458&lt;&gt;"Yes",0,ROUND(U458*IF(IFERROR(INDEX(Clients!$O$5:$O$204,MATCH(IFERROR(INDEX(Jobs!$G$5:$G$604,MATCH(G458,Jobs!$A$5:$A$604,0)),""),Clients!$A$5:$A$204,0)),0)&gt;0,INDEX(Clients!$O$5:$O$204,MATCH(INDEX(Jobs!$G$5:$G$604,MATCH(G458,Jobs!$A$5:$A$604,0)),Clients!$A$5:$A$204,0)),HourlyRate),2)))</f>
        <v>0</v>
      </c>
      <c r="Z458" s="39">
        <f>IF(F458="","",IF(U458=0,"Add - no hours recorded",IF(O458="Absent - no show","Action - no show",IF(U458&gt;10,"Check - over ten hours in a day",IF(Q458&lt;&gt;"Yes","Due - needs approving",IF(R458&lt;&gt;"Yes","Due - not paid yet","OK"))))))</f>
        <v>0</v>
      </c>
    </row>
    <row r="459" spans="1:26">
      <c r="A459" s="43">
        <f>IF(F459="","","TS-"&amp;TEXT(ROW()-4,"0000"))</f>
        <v>0</v>
      </c>
      <c r="C459" s="23">
        <f>IF(B459="","",TEXT(B459,"ddd"))</f>
        <v>0</v>
      </c>
      <c r="D459" s="31">
        <f>IF(B459="","",WEEKNUM(B459,IF(WeekStart="Sunday",1,2)))</f>
        <v>0</v>
      </c>
      <c r="E459" s="23">
        <f>IF(B459="","",TEXT(B459,"yyyy-mm"))</f>
        <v>0</v>
      </c>
      <c r="H459" s="23">
        <f>IF(G459="","",IFERROR(INDEX(Jobs!$H$5:$H$604,MATCH(G459,Jobs!$A$5:$A$604,0)),""))</f>
        <v>0</v>
      </c>
      <c r="T459" s="34">
        <f>IF(OR(J459="",K459=""),"",ROUND((K459-J459)*24-IF(L459="",0,L459)/60,2))</f>
        <v>0</v>
      </c>
      <c r="U459" s="34">
        <f>IF(F459="","",IF(M459&lt;&gt;"",M459,IF(T459="",0,T459)))</f>
        <v>0</v>
      </c>
      <c r="V459" s="21">
        <f>IF(F459="","",IFERROR(INDEX(Employees!$U$5:$U$44,MATCH(F459,Employees!$B$5:$B$44,0)),PayRate*(1+EmployerOncost)))</f>
        <v>0</v>
      </c>
      <c r="W459" s="34">
        <f>IF(F459="","",MAX(0,U459-IF(N459="",0,N459)))</f>
        <v>0</v>
      </c>
      <c r="X459" s="21">
        <f>IF(F459="","",ROUND(W459*V459+IF(N459="",0,N459)*V459*OvertimeRate,2))</f>
        <v>0</v>
      </c>
      <c r="Y459" s="21">
        <f>IF(F459="","",IF(P459&lt;&gt;"Yes",0,ROUND(U459*IF(IFERROR(INDEX(Clients!$O$5:$O$204,MATCH(IFERROR(INDEX(Jobs!$G$5:$G$604,MATCH(G459,Jobs!$A$5:$A$604,0)),""),Clients!$A$5:$A$204,0)),0)&gt;0,INDEX(Clients!$O$5:$O$204,MATCH(INDEX(Jobs!$G$5:$G$604,MATCH(G459,Jobs!$A$5:$A$604,0)),Clients!$A$5:$A$204,0)),HourlyRate),2)))</f>
        <v>0</v>
      </c>
      <c r="Z459" s="39">
        <f>IF(F459="","",IF(U459=0,"Add - no hours recorded",IF(O459="Absent - no show","Action - no show",IF(U459&gt;10,"Check - over ten hours in a day",IF(Q459&lt;&gt;"Yes","Due - needs approving",IF(R459&lt;&gt;"Yes","Due - not paid yet","OK"))))))</f>
        <v>0</v>
      </c>
    </row>
    <row r="460" spans="1:26">
      <c r="A460" s="43">
        <f>IF(F460="","","TS-"&amp;TEXT(ROW()-4,"0000"))</f>
        <v>0</v>
      </c>
      <c r="C460" s="23">
        <f>IF(B460="","",TEXT(B460,"ddd"))</f>
        <v>0</v>
      </c>
      <c r="D460" s="31">
        <f>IF(B460="","",WEEKNUM(B460,IF(WeekStart="Sunday",1,2)))</f>
        <v>0</v>
      </c>
      <c r="E460" s="23">
        <f>IF(B460="","",TEXT(B460,"yyyy-mm"))</f>
        <v>0</v>
      </c>
      <c r="H460" s="23">
        <f>IF(G460="","",IFERROR(INDEX(Jobs!$H$5:$H$604,MATCH(G460,Jobs!$A$5:$A$604,0)),""))</f>
        <v>0</v>
      </c>
      <c r="T460" s="34">
        <f>IF(OR(J460="",K460=""),"",ROUND((K460-J460)*24-IF(L460="",0,L460)/60,2))</f>
        <v>0</v>
      </c>
      <c r="U460" s="34">
        <f>IF(F460="","",IF(M460&lt;&gt;"",M460,IF(T460="",0,T460)))</f>
        <v>0</v>
      </c>
      <c r="V460" s="21">
        <f>IF(F460="","",IFERROR(INDEX(Employees!$U$5:$U$44,MATCH(F460,Employees!$B$5:$B$44,0)),PayRate*(1+EmployerOncost)))</f>
        <v>0</v>
      </c>
      <c r="W460" s="34">
        <f>IF(F460="","",MAX(0,U460-IF(N460="",0,N460)))</f>
        <v>0</v>
      </c>
      <c r="X460" s="21">
        <f>IF(F460="","",ROUND(W460*V460+IF(N460="",0,N460)*V460*OvertimeRate,2))</f>
        <v>0</v>
      </c>
      <c r="Y460" s="21">
        <f>IF(F460="","",IF(P460&lt;&gt;"Yes",0,ROUND(U460*IF(IFERROR(INDEX(Clients!$O$5:$O$204,MATCH(IFERROR(INDEX(Jobs!$G$5:$G$604,MATCH(G460,Jobs!$A$5:$A$604,0)),""),Clients!$A$5:$A$204,0)),0)&gt;0,INDEX(Clients!$O$5:$O$204,MATCH(INDEX(Jobs!$G$5:$G$604,MATCH(G460,Jobs!$A$5:$A$604,0)),Clients!$A$5:$A$204,0)),HourlyRate),2)))</f>
        <v>0</v>
      </c>
      <c r="Z460" s="39">
        <f>IF(F460="","",IF(U460=0,"Add - no hours recorded",IF(O460="Absent - no show","Action - no show",IF(U460&gt;10,"Check - over ten hours in a day",IF(Q460&lt;&gt;"Yes","Due - needs approving",IF(R460&lt;&gt;"Yes","Due - not paid yet","OK"))))))</f>
        <v>0</v>
      </c>
    </row>
    <row r="461" spans="1:26">
      <c r="A461" s="43">
        <f>IF(F461="","","TS-"&amp;TEXT(ROW()-4,"0000"))</f>
        <v>0</v>
      </c>
      <c r="C461" s="23">
        <f>IF(B461="","",TEXT(B461,"ddd"))</f>
        <v>0</v>
      </c>
      <c r="D461" s="31">
        <f>IF(B461="","",WEEKNUM(B461,IF(WeekStart="Sunday",1,2)))</f>
        <v>0</v>
      </c>
      <c r="E461" s="23">
        <f>IF(B461="","",TEXT(B461,"yyyy-mm"))</f>
        <v>0</v>
      </c>
      <c r="H461" s="23">
        <f>IF(G461="","",IFERROR(INDEX(Jobs!$H$5:$H$604,MATCH(G461,Jobs!$A$5:$A$604,0)),""))</f>
        <v>0</v>
      </c>
      <c r="T461" s="34">
        <f>IF(OR(J461="",K461=""),"",ROUND((K461-J461)*24-IF(L461="",0,L461)/60,2))</f>
        <v>0</v>
      </c>
      <c r="U461" s="34">
        <f>IF(F461="","",IF(M461&lt;&gt;"",M461,IF(T461="",0,T461)))</f>
        <v>0</v>
      </c>
      <c r="V461" s="21">
        <f>IF(F461="","",IFERROR(INDEX(Employees!$U$5:$U$44,MATCH(F461,Employees!$B$5:$B$44,0)),PayRate*(1+EmployerOncost)))</f>
        <v>0</v>
      </c>
      <c r="W461" s="34">
        <f>IF(F461="","",MAX(0,U461-IF(N461="",0,N461)))</f>
        <v>0</v>
      </c>
      <c r="X461" s="21">
        <f>IF(F461="","",ROUND(W461*V461+IF(N461="",0,N461)*V461*OvertimeRate,2))</f>
        <v>0</v>
      </c>
      <c r="Y461" s="21">
        <f>IF(F461="","",IF(P461&lt;&gt;"Yes",0,ROUND(U461*IF(IFERROR(INDEX(Clients!$O$5:$O$204,MATCH(IFERROR(INDEX(Jobs!$G$5:$G$604,MATCH(G461,Jobs!$A$5:$A$604,0)),""),Clients!$A$5:$A$204,0)),0)&gt;0,INDEX(Clients!$O$5:$O$204,MATCH(INDEX(Jobs!$G$5:$G$604,MATCH(G461,Jobs!$A$5:$A$604,0)),Clients!$A$5:$A$204,0)),HourlyRate),2)))</f>
        <v>0</v>
      </c>
      <c r="Z461" s="39">
        <f>IF(F461="","",IF(U461=0,"Add - no hours recorded",IF(O461="Absent - no show","Action - no show",IF(U461&gt;10,"Check - over ten hours in a day",IF(Q461&lt;&gt;"Yes","Due - needs approving",IF(R461&lt;&gt;"Yes","Due - not paid yet","OK"))))))</f>
        <v>0</v>
      </c>
    </row>
    <row r="462" spans="1:26">
      <c r="A462" s="43">
        <f>IF(F462="","","TS-"&amp;TEXT(ROW()-4,"0000"))</f>
        <v>0</v>
      </c>
      <c r="C462" s="23">
        <f>IF(B462="","",TEXT(B462,"ddd"))</f>
        <v>0</v>
      </c>
      <c r="D462" s="31">
        <f>IF(B462="","",WEEKNUM(B462,IF(WeekStart="Sunday",1,2)))</f>
        <v>0</v>
      </c>
      <c r="E462" s="23">
        <f>IF(B462="","",TEXT(B462,"yyyy-mm"))</f>
        <v>0</v>
      </c>
      <c r="H462" s="23">
        <f>IF(G462="","",IFERROR(INDEX(Jobs!$H$5:$H$604,MATCH(G462,Jobs!$A$5:$A$604,0)),""))</f>
        <v>0</v>
      </c>
      <c r="T462" s="34">
        <f>IF(OR(J462="",K462=""),"",ROUND((K462-J462)*24-IF(L462="",0,L462)/60,2))</f>
        <v>0</v>
      </c>
      <c r="U462" s="34">
        <f>IF(F462="","",IF(M462&lt;&gt;"",M462,IF(T462="",0,T462)))</f>
        <v>0</v>
      </c>
      <c r="V462" s="21">
        <f>IF(F462="","",IFERROR(INDEX(Employees!$U$5:$U$44,MATCH(F462,Employees!$B$5:$B$44,0)),PayRate*(1+EmployerOncost)))</f>
        <v>0</v>
      </c>
      <c r="W462" s="34">
        <f>IF(F462="","",MAX(0,U462-IF(N462="",0,N462)))</f>
        <v>0</v>
      </c>
      <c r="X462" s="21">
        <f>IF(F462="","",ROUND(W462*V462+IF(N462="",0,N462)*V462*OvertimeRate,2))</f>
        <v>0</v>
      </c>
      <c r="Y462" s="21">
        <f>IF(F462="","",IF(P462&lt;&gt;"Yes",0,ROUND(U462*IF(IFERROR(INDEX(Clients!$O$5:$O$204,MATCH(IFERROR(INDEX(Jobs!$G$5:$G$604,MATCH(G462,Jobs!$A$5:$A$604,0)),""),Clients!$A$5:$A$204,0)),0)&gt;0,INDEX(Clients!$O$5:$O$204,MATCH(INDEX(Jobs!$G$5:$G$604,MATCH(G462,Jobs!$A$5:$A$604,0)),Clients!$A$5:$A$204,0)),HourlyRate),2)))</f>
        <v>0</v>
      </c>
      <c r="Z462" s="39">
        <f>IF(F462="","",IF(U462=0,"Add - no hours recorded",IF(O462="Absent - no show","Action - no show",IF(U462&gt;10,"Check - over ten hours in a day",IF(Q462&lt;&gt;"Yes","Due - needs approving",IF(R462&lt;&gt;"Yes","Due - not paid yet","OK"))))))</f>
        <v>0</v>
      </c>
    </row>
    <row r="463" spans="1:26">
      <c r="A463" s="43">
        <f>IF(F463="","","TS-"&amp;TEXT(ROW()-4,"0000"))</f>
        <v>0</v>
      </c>
      <c r="C463" s="23">
        <f>IF(B463="","",TEXT(B463,"ddd"))</f>
        <v>0</v>
      </c>
      <c r="D463" s="31">
        <f>IF(B463="","",WEEKNUM(B463,IF(WeekStart="Sunday",1,2)))</f>
        <v>0</v>
      </c>
      <c r="E463" s="23">
        <f>IF(B463="","",TEXT(B463,"yyyy-mm"))</f>
        <v>0</v>
      </c>
      <c r="H463" s="23">
        <f>IF(G463="","",IFERROR(INDEX(Jobs!$H$5:$H$604,MATCH(G463,Jobs!$A$5:$A$604,0)),""))</f>
        <v>0</v>
      </c>
      <c r="T463" s="34">
        <f>IF(OR(J463="",K463=""),"",ROUND((K463-J463)*24-IF(L463="",0,L463)/60,2))</f>
        <v>0</v>
      </c>
      <c r="U463" s="34">
        <f>IF(F463="","",IF(M463&lt;&gt;"",M463,IF(T463="",0,T463)))</f>
        <v>0</v>
      </c>
      <c r="V463" s="21">
        <f>IF(F463="","",IFERROR(INDEX(Employees!$U$5:$U$44,MATCH(F463,Employees!$B$5:$B$44,0)),PayRate*(1+EmployerOncost)))</f>
        <v>0</v>
      </c>
      <c r="W463" s="34">
        <f>IF(F463="","",MAX(0,U463-IF(N463="",0,N463)))</f>
        <v>0</v>
      </c>
      <c r="X463" s="21">
        <f>IF(F463="","",ROUND(W463*V463+IF(N463="",0,N463)*V463*OvertimeRate,2))</f>
        <v>0</v>
      </c>
      <c r="Y463" s="21">
        <f>IF(F463="","",IF(P463&lt;&gt;"Yes",0,ROUND(U463*IF(IFERROR(INDEX(Clients!$O$5:$O$204,MATCH(IFERROR(INDEX(Jobs!$G$5:$G$604,MATCH(G463,Jobs!$A$5:$A$604,0)),""),Clients!$A$5:$A$204,0)),0)&gt;0,INDEX(Clients!$O$5:$O$204,MATCH(INDEX(Jobs!$G$5:$G$604,MATCH(G463,Jobs!$A$5:$A$604,0)),Clients!$A$5:$A$204,0)),HourlyRate),2)))</f>
        <v>0</v>
      </c>
      <c r="Z463" s="39">
        <f>IF(F463="","",IF(U463=0,"Add - no hours recorded",IF(O463="Absent - no show","Action - no show",IF(U463&gt;10,"Check - over ten hours in a day",IF(Q463&lt;&gt;"Yes","Due - needs approving",IF(R463&lt;&gt;"Yes","Due - not paid yet","OK"))))))</f>
        <v>0</v>
      </c>
    </row>
    <row r="464" spans="1:26">
      <c r="A464" s="43">
        <f>IF(F464="","","TS-"&amp;TEXT(ROW()-4,"0000"))</f>
        <v>0</v>
      </c>
      <c r="C464" s="23">
        <f>IF(B464="","",TEXT(B464,"ddd"))</f>
        <v>0</v>
      </c>
      <c r="D464" s="31">
        <f>IF(B464="","",WEEKNUM(B464,IF(WeekStart="Sunday",1,2)))</f>
        <v>0</v>
      </c>
      <c r="E464" s="23">
        <f>IF(B464="","",TEXT(B464,"yyyy-mm"))</f>
        <v>0</v>
      </c>
      <c r="H464" s="23">
        <f>IF(G464="","",IFERROR(INDEX(Jobs!$H$5:$H$604,MATCH(G464,Jobs!$A$5:$A$604,0)),""))</f>
        <v>0</v>
      </c>
      <c r="T464" s="34">
        <f>IF(OR(J464="",K464=""),"",ROUND((K464-J464)*24-IF(L464="",0,L464)/60,2))</f>
        <v>0</v>
      </c>
      <c r="U464" s="34">
        <f>IF(F464="","",IF(M464&lt;&gt;"",M464,IF(T464="",0,T464)))</f>
        <v>0</v>
      </c>
      <c r="V464" s="21">
        <f>IF(F464="","",IFERROR(INDEX(Employees!$U$5:$U$44,MATCH(F464,Employees!$B$5:$B$44,0)),PayRate*(1+EmployerOncost)))</f>
        <v>0</v>
      </c>
      <c r="W464" s="34">
        <f>IF(F464="","",MAX(0,U464-IF(N464="",0,N464)))</f>
        <v>0</v>
      </c>
      <c r="X464" s="21">
        <f>IF(F464="","",ROUND(W464*V464+IF(N464="",0,N464)*V464*OvertimeRate,2))</f>
        <v>0</v>
      </c>
      <c r="Y464" s="21">
        <f>IF(F464="","",IF(P464&lt;&gt;"Yes",0,ROUND(U464*IF(IFERROR(INDEX(Clients!$O$5:$O$204,MATCH(IFERROR(INDEX(Jobs!$G$5:$G$604,MATCH(G464,Jobs!$A$5:$A$604,0)),""),Clients!$A$5:$A$204,0)),0)&gt;0,INDEX(Clients!$O$5:$O$204,MATCH(INDEX(Jobs!$G$5:$G$604,MATCH(G464,Jobs!$A$5:$A$604,0)),Clients!$A$5:$A$204,0)),HourlyRate),2)))</f>
        <v>0</v>
      </c>
      <c r="Z464" s="39">
        <f>IF(F464="","",IF(U464=0,"Add - no hours recorded",IF(O464="Absent - no show","Action - no show",IF(U464&gt;10,"Check - over ten hours in a day",IF(Q464&lt;&gt;"Yes","Due - needs approving",IF(R464&lt;&gt;"Yes","Due - not paid yet","OK"))))))</f>
        <v>0</v>
      </c>
    </row>
    <row r="465" spans="1:26">
      <c r="A465" s="43">
        <f>IF(F465="","","TS-"&amp;TEXT(ROW()-4,"0000"))</f>
        <v>0</v>
      </c>
      <c r="C465" s="23">
        <f>IF(B465="","",TEXT(B465,"ddd"))</f>
        <v>0</v>
      </c>
      <c r="D465" s="31">
        <f>IF(B465="","",WEEKNUM(B465,IF(WeekStart="Sunday",1,2)))</f>
        <v>0</v>
      </c>
      <c r="E465" s="23">
        <f>IF(B465="","",TEXT(B465,"yyyy-mm"))</f>
        <v>0</v>
      </c>
      <c r="H465" s="23">
        <f>IF(G465="","",IFERROR(INDEX(Jobs!$H$5:$H$604,MATCH(G465,Jobs!$A$5:$A$604,0)),""))</f>
        <v>0</v>
      </c>
      <c r="T465" s="34">
        <f>IF(OR(J465="",K465=""),"",ROUND((K465-J465)*24-IF(L465="",0,L465)/60,2))</f>
        <v>0</v>
      </c>
      <c r="U465" s="34">
        <f>IF(F465="","",IF(M465&lt;&gt;"",M465,IF(T465="",0,T465)))</f>
        <v>0</v>
      </c>
      <c r="V465" s="21">
        <f>IF(F465="","",IFERROR(INDEX(Employees!$U$5:$U$44,MATCH(F465,Employees!$B$5:$B$44,0)),PayRate*(1+EmployerOncost)))</f>
        <v>0</v>
      </c>
      <c r="W465" s="34">
        <f>IF(F465="","",MAX(0,U465-IF(N465="",0,N465)))</f>
        <v>0</v>
      </c>
      <c r="X465" s="21">
        <f>IF(F465="","",ROUND(W465*V465+IF(N465="",0,N465)*V465*OvertimeRate,2))</f>
        <v>0</v>
      </c>
      <c r="Y465" s="21">
        <f>IF(F465="","",IF(P465&lt;&gt;"Yes",0,ROUND(U465*IF(IFERROR(INDEX(Clients!$O$5:$O$204,MATCH(IFERROR(INDEX(Jobs!$G$5:$G$604,MATCH(G465,Jobs!$A$5:$A$604,0)),""),Clients!$A$5:$A$204,0)),0)&gt;0,INDEX(Clients!$O$5:$O$204,MATCH(INDEX(Jobs!$G$5:$G$604,MATCH(G465,Jobs!$A$5:$A$604,0)),Clients!$A$5:$A$204,0)),HourlyRate),2)))</f>
        <v>0</v>
      </c>
      <c r="Z465" s="39">
        <f>IF(F465="","",IF(U465=0,"Add - no hours recorded",IF(O465="Absent - no show","Action - no show",IF(U465&gt;10,"Check - over ten hours in a day",IF(Q465&lt;&gt;"Yes","Due - needs approving",IF(R465&lt;&gt;"Yes","Due - not paid yet","OK"))))))</f>
        <v>0</v>
      </c>
    </row>
    <row r="466" spans="1:26">
      <c r="A466" s="43">
        <f>IF(F466="","","TS-"&amp;TEXT(ROW()-4,"0000"))</f>
        <v>0</v>
      </c>
      <c r="C466" s="23">
        <f>IF(B466="","",TEXT(B466,"ddd"))</f>
        <v>0</v>
      </c>
      <c r="D466" s="31">
        <f>IF(B466="","",WEEKNUM(B466,IF(WeekStart="Sunday",1,2)))</f>
        <v>0</v>
      </c>
      <c r="E466" s="23">
        <f>IF(B466="","",TEXT(B466,"yyyy-mm"))</f>
        <v>0</v>
      </c>
      <c r="H466" s="23">
        <f>IF(G466="","",IFERROR(INDEX(Jobs!$H$5:$H$604,MATCH(G466,Jobs!$A$5:$A$604,0)),""))</f>
        <v>0</v>
      </c>
      <c r="T466" s="34">
        <f>IF(OR(J466="",K466=""),"",ROUND((K466-J466)*24-IF(L466="",0,L466)/60,2))</f>
        <v>0</v>
      </c>
      <c r="U466" s="34">
        <f>IF(F466="","",IF(M466&lt;&gt;"",M466,IF(T466="",0,T466)))</f>
        <v>0</v>
      </c>
      <c r="V466" s="21">
        <f>IF(F466="","",IFERROR(INDEX(Employees!$U$5:$U$44,MATCH(F466,Employees!$B$5:$B$44,0)),PayRate*(1+EmployerOncost)))</f>
        <v>0</v>
      </c>
      <c r="W466" s="34">
        <f>IF(F466="","",MAX(0,U466-IF(N466="",0,N466)))</f>
        <v>0</v>
      </c>
      <c r="X466" s="21">
        <f>IF(F466="","",ROUND(W466*V466+IF(N466="",0,N466)*V466*OvertimeRate,2))</f>
        <v>0</v>
      </c>
      <c r="Y466" s="21">
        <f>IF(F466="","",IF(P466&lt;&gt;"Yes",0,ROUND(U466*IF(IFERROR(INDEX(Clients!$O$5:$O$204,MATCH(IFERROR(INDEX(Jobs!$G$5:$G$604,MATCH(G466,Jobs!$A$5:$A$604,0)),""),Clients!$A$5:$A$204,0)),0)&gt;0,INDEX(Clients!$O$5:$O$204,MATCH(INDEX(Jobs!$G$5:$G$604,MATCH(G466,Jobs!$A$5:$A$604,0)),Clients!$A$5:$A$204,0)),HourlyRate),2)))</f>
        <v>0</v>
      </c>
      <c r="Z466" s="39">
        <f>IF(F466="","",IF(U466=0,"Add - no hours recorded",IF(O466="Absent - no show","Action - no show",IF(U466&gt;10,"Check - over ten hours in a day",IF(Q466&lt;&gt;"Yes","Due - needs approving",IF(R466&lt;&gt;"Yes","Due - not paid yet","OK"))))))</f>
        <v>0</v>
      </c>
    </row>
    <row r="467" spans="1:26">
      <c r="A467" s="43">
        <f>IF(F467="","","TS-"&amp;TEXT(ROW()-4,"0000"))</f>
        <v>0</v>
      </c>
      <c r="C467" s="23">
        <f>IF(B467="","",TEXT(B467,"ddd"))</f>
        <v>0</v>
      </c>
      <c r="D467" s="31">
        <f>IF(B467="","",WEEKNUM(B467,IF(WeekStart="Sunday",1,2)))</f>
        <v>0</v>
      </c>
      <c r="E467" s="23">
        <f>IF(B467="","",TEXT(B467,"yyyy-mm"))</f>
        <v>0</v>
      </c>
      <c r="H467" s="23">
        <f>IF(G467="","",IFERROR(INDEX(Jobs!$H$5:$H$604,MATCH(G467,Jobs!$A$5:$A$604,0)),""))</f>
        <v>0</v>
      </c>
      <c r="T467" s="34">
        <f>IF(OR(J467="",K467=""),"",ROUND((K467-J467)*24-IF(L467="",0,L467)/60,2))</f>
        <v>0</v>
      </c>
      <c r="U467" s="34">
        <f>IF(F467="","",IF(M467&lt;&gt;"",M467,IF(T467="",0,T467)))</f>
        <v>0</v>
      </c>
      <c r="V467" s="21">
        <f>IF(F467="","",IFERROR(INDEX(Employees!$U$5:$U$44,MATCH(F467,Employees!$B$5:$B$44,0)),PayRate*(1+EmployerOncost)))</f>
        <v>0</v>
      </c>
      <c r="W467" s="34">
        <f>IF(F467="","",MAX(0,U467-IF(N467="",0,N467)))</f>
        <v>0</v>
      </c>
      <c r="X467" s="21">
        <f>IF(F467="","",ROUND(W467*V467+IF(N467="",0,N467)*V467*OvertimeRate,2))</f>
        <v>0</v>
      </c>
      <c r="Y467" s="21">
        <f>IF(F467="","",IF(P467&lt;&gt;"Yes",0,ROUND(U467*IF(IFERROR(INDEX(Clients!$O$5:$O$204,MATCH(IFERROR(INDEX(Jobs!$G$5:$G$604,MATCH(G467,Jobs!$A$5:$A$604,0)),""),Clients!$A$5:$A$204,0)),0)&gt;0,INDEX(Clients!$O$5:$O$204,MATCH(INDEX(Jobs!$G$5:$G$604,MATCH(G467,Jobs!$A$5:$A$604,0)),Clients!$A$5:$A$204,0)),HourlyRate),2)))</f>
        <v>0</v>
      </c>
      <c r="Z467" s="39">
        <f>IF(F467="","",IF(U467=0,"Add - no hours recorded",IF(O467="Absent - no show","Action - no show",IF(U467&gt;10,"Check - over ten hours in a day",IF(Q467&lt;&gt;"Yes","Due - needs approving",IF(R467&lt;&gt;"Yes","Due - not paid yet","OK"))))))</f>
        <v>0</v>
      </c>
    </row>
    <row r="468" spans="1:26">
      <c r="A468" s="43">
        <f>IF(F468="","","TS-"&amp;TEXT(ROW()-4,"0000"))</f>
        <v>0</v>
      </c>
      <c r="C468" s="23">
        <f>IF(B468="","",TEXT(B468,"ddd"))</f>
        <v>0</v>
      </c>
      <c r="D468" s="31">
        <f>IF(B468="","",WEEKNUM(B468,IF(WeekStart="Sunday",1,2)))</f>
        <v>0</v>
      </c>
      <c r="E468" s="23">
        <f>IF(B468="","",TEXT(B468,"yyyy-mm"))</f>
        <v>0</v>
      </c>
      <c r="H468" s="23">
        <f>IF(G468="","",IFERROR(INDEX(Jobs!$H$5:$H$604,MATCH(G468,Jobs!$A$5:$A$604,0)),""))</f>
        <v>0</v>
      </c>
      <c r="T468" s="34">
        <f>IF(OR(J468="",K468=""),"",ROUND((K468-J468)*24-IF(L468="",0,L468)/60,2))</f>
        <v>0</v>
      </c>
      <c r="U468" s="34">
        <f>IF(F468="","",IF(M468&lt;&gt;"",M468,IF(T468="",0,T468)))</f>
        <v>0</v>
      </c>
      <c r="V468" s="21">
        <f>IF(F468="","",IFERROR(INDEX(Employees!$U$5:$U$44,MATCH(F468,Employees!$B$5:$B$44,0)),PayRate*(1+EmployerOncost)))</f>
        <v>0</v>
      </c>
      <c r="W468" s="34">
        <f>IF(F468="","",MAX(0,U468-IF(N468="",0,N468)))</f>
        <v>0</v>
      </c>
      <c r="X468" s="21">
        <f>IF(F468="","",ROUND(W468*V468+IF(N468="",0,N468)*V468*OvertimeRate,2))</f>
        <v>0</v>
      </c>
      <c r="Y468" s="21">
        <f>IF(F468="","",IF(P468&lt;&gt;"Yes",0,ROUND(U468*IF(IFERROR(INDEX(Clients!$O$5:$O$204,MATCH(IFERROR(INDEX(Jobs!$G$5:$G$604,MATCH(G468,Jobs!$A$5:$A$604,0)),""),Clients!$A$5:$A$204,0)),0)&gt;0,INDEX(Clients!$O$5:$O$204,MATCH(INDEX(Jobs!$G$5:$G$604,MATCH(G468,Jobs!$A$5:$A$604,0)),Clients!$A$5:$A$204,0)),HourlyRate),2)))</f>
        <v>0</v>
      </c>
      <c r="Z468" s="39">
        <f>IF(F468="","",IF(U468=0,"Add - no hours recorded",IF(O468="Absent - no show","Action - no show",IF(U468&gt;10,"Check - over ten hours in a day",IF(Q468&lt;&gt;"Yes","Due - needs approving",IF(R468&lt;&gt;"Yes","Due - not paid yet","OK"))))))</f>
        <v>0</v>
      </c>
    </row>
    <row r="469" spans="1:26">
      <c r="A469" s="43">
        <f>IF(F469="","","TS-"&amp;TEXT(ROW()-4,"0000"))</f>
        <v>0</v>
      </c>
      <c r="C469" s="23">
        <f>IF(B469="","",TEXT(B469,"ddd"))</f>
        <v>0</v>
      </c>
      <c r="D469" s="31">
        <f>IF(B469="","",WEEKNUM(B469,IF(WeekStart="Sunday",1,2)))</f>
        <v>0</v>
      </c>
      <c r="E469" s="23">
        <f>IF(B469="","",TEXT(B469,"yyyy-mm"))</f>
        <v>0</v>
      </c>
      <c r="H469" s="23">
        <f>IF(G469="","",IFERROR(INDEX(Jobs!$H$5:$H$604,MATCH(G469,Jobs!$A$5:$A$604,0)),""))</f>
        <v>0</v>
      </c>
      <c r="T469" s="34">
        <f>IF(OR(J469="",K469=""),"",ROUND((K469-J469)*24-IF(L469="",0,L469)/60,2))</f>
        <v>0</v>
      </c>
      <c r="U469" s="34">
        <f>IF(F469="","",IF(M469&lt;&gt;"",M469,IF(T469="",0,T469)))</f>
        <v>0</v>
      </c>
      <c r="V469" s="21">
        <f>IF(F469="","",IFERROR(INDEX(Employees!$U$5:$U$44,MATCH(F469,Employees!$B$5:$B$44,0)),PayRate*(1+EmployerOncost)))</f>
        <v>0</v>
      </c>
      <c r="W469" s="34">
        <f>IF(F469="","",MAX(0,U469-IF(N469="",0,N469)))</f>
        <v>0</v>
      </c>
      <c r="X469" s="21">
        <f>IF(F469="","",ROUND(W469*V469+IF(N469="",0,N469)*V469*OvertimeRate,2))</f>
        <v>0</v>
      </c>
      <c r="Y469" s="21">
        <f>IF(F469="","",IF(P469&lt;&gt;"Yes",0,ROUND(U469*IF(IFERROR(INDEX(Clients!$O$5:$O$204,MATCH(IFERROR(INDEX(Jobs!$G$5:$G$604,MATCH(G469,Jobs!$A$5:$A$604,0)),""),Clients!$A$5:$A$204,0)),0)&gt;0,INDEX(Clients!$O$5:$O$204,MATCH(INDEX(Jobs!$G$5:$G$604,MATCH(G469,Jobs!$A$5:$A$604,0)),Clients!$A$5:$A$204,0)),HourlyRate),2)))</f>
        <v>0</v>
      </c>
      <c r="Z469" s="39">
        <f>IF(F469="","",IF(U469=0,"Add - no hours recorded",IF(O469="Absent - no show","Action - no show",IF(U469&gt;10,"Check - over ten hours in a day",IF(Q469&lt;&gt;"Yes","Due - needs approving",IF(R469&lt;&gt;"Yes","Due - not paid yet","OK"))))))</f>
        <v>0</v>
      </c>
    </row>
    <row r="470" spans="1:26">
      <c r="A470" s="43">
        <f>IF(F470="","","TS-"&amp;TEXT(ROW()-4,"0000"))</f>
        <v>0</v>
      </c>
      <c r="C470" s="23">
        <f>IF(B470="","",TEXT(B470,"ddd"))</f>
        <v>0</v>
      </c>
      <c r="D470" s="31">
        <f>IF(B470="","",WEEKNUM(B470,IF(WeekStart="Sunday",1,2)))</f>
        <v>0</v>
      </c>
      <c r="E470" s="23">
        <f>IF(B470="","",TEXT(B470,"yyyy-mm"))</f>
        <v>0</v>
      </c>
      <c r="H470" s="23">
        <f>IF(G470="","",IFERROR(INDEX(Jobs!$H$5:$H$604,MATCH(G470,Jobs!$A$5:$A$604,0)),""))</f>
        <v>0</v>
      </c>
      <c r="T470" s="34">
        <f>IF(OR(J470="",K470=""),"",ROUND((K470-J470)*24-IF(L470="",0,L470)/60,2))</f>
        <v>0</v>
      </c>
      <c r="U470" s="34">
        <f>IF(F470="","",IF(M470&lt;&gt;"",M470,IF(T470="",0,T470)))</f>
        <v>0</v>
      </c>
      <c r="V470" s="21">
        <f>IF(F470="","",IFERROR(INDEX(Employees!$U$5:$U$44,MATCH(F470,Employees!$B$5:$B$44,0)),PayRate*(1+EmployerOncost)))</f>
        <v>0</v>
      </c>
      <c r="W470" s="34">
        <f>IF(F470="","",MAX(0,U470-IF(N470="",0,N470)))</f>
        <v>0</v>
      </c>
      <c r="X470" s="21">
        <f>IF(F470="","",ROUND(W470*V470+IF(N470="",0,N470)*V470*OvertimeRate,2))</f>
        <v>0</v>
      </c>
      <c r="Y470" s="21">
        <f>IF(F470="","",IF(P470&lt;&gt;"Yes",0,ROUND(U470*IF(IFERROR(INDEX(Clients!$O$5:$O$204,MATCH(IFERROR(INDEX(Jobs!$G$5:$G$604,MATCH(G470,Jobs!$A$5:$A$604,0)),""),Clients!$A$5:$A$204,0)),0)&gt;0,INDEX(Clients!$O$5:$O$204,MATCH(INDEX(Jobs!$G$5:$G$604,MATCH(G470,Jobs!$A$5:$A$604,0)),Clients!$A$5:$A$204,0)),HourlyRate),2)))</f>
        <v>0</v>
      </c>
      <c r="Z470" s="39">
        <f>IF(F470="","",IF(U470=0,"Add - no hours recorded",IF(O470="Absent - no show","Action - no show",IF(U470&gt;10,"Check - over ten hours in a day",IF(Q470&lt;&gt;"Yes","Due - needs approving",IF(R470&lt;&gt;"Yes","Due - not paid yet","OK"))))))</f>
        <v>0</v>
      </c>
    </row>
    <row r="471" spans="1:26">
      <c r="A471" s="43">
        <f>IF(F471="","","TS-"&amp;TEXT(ROW()-4,"0000"))</f>
        <v>0</v>
      </c>
      <c r="C471" s="23">
        <f>IF(B471="","",TEXT(B471,"ddd"))</f>
        <v>0</v>
      </c>
      <c r="D471" s="31">
        <f>IF(B471="","",WEEKNUM(B471,IF(WeekStart="Sunday",1,2)))</f>
        <v>0</v>
      </c>
      <c r="E471" s="23">
        <f>IF(B471="","",TEXT(B471,"yyyy-mm"))</f>
        <v>0</v>
      </c>
      <c r="H471" s="23">
        <f>IF(G471="","",IFERROR(INDEX(Jobs!$H$5:$H$604,MATCH(G471,Jobs!$A$5:$A$604,0)),""))</f>
        <v>0</v>
      </c>
      <c r="T471" s="34">
        <f>IF(OR(J471="",K471=""),"",ROUND((K471-J471)*24-IF(L471="",0,L471)/60,2))</f>
        <v>0</v>
      </c>
      <c r="U471" s="34">
        <f>IF(F471="","",IF(M471&lt;&gt;"",M471,IF(T471="",0,T471)))</f>
        <v>0</v>
      </c>
      <c r="V471" s="21">
        <f>IF(F471="","",IFERROR(INDEX(Employees!$U$5:$U$44,MATCH(F471,Employees!$B$5:$B$44,0)),PayRate*(1+EmployerOncost)))</f>
        <v>0</v>
      </c>
      <c r="W471" s="34">
        <f>IF(F471="","",MAX(0,U471-IF(N471="",0,N471)))</f>
        <v>0</v>
      </c>
      <c r="X471" s="21">
        <f>IF(F471="","",ROUND(W471*V471+IF(N471="",0,N471)*V471*OvertimeRate,2))</f>
        <v>0</v>
      </c>
      <c r="Y471" s="21">
        <f>IF(F471="","",IF(P471&lt;&gt;"Yes",0,ROUND(U471*IF(IFERROR(INDEX(Clients!$O$5:$O$204,MATCH(IFERROR(INDEX(Jobs!$G$5:$G$604,MATCH(G471,Jobs!$A$5:$A$604,0)),""),Clients!$A$5:$A$204,0)),0)&gt;0,INDEX(Clients!$O$5:$O$204,MATCH(INDEX(Jobs!$G$5:$G$604,MATCH(G471,Jobs!$A$5:$A$604,0)),Clients!$A$5:$A$204,0)),HourlyRate),2)))</f>
        <v>0</v>
      </c>
      <c r="Z471" s="39">
        <f>IF(F471="","",IF(U471=0,"Add - no hours recorded",IF(O471="Absent - no show","Action - no show",IF(U471&gt;10,"Check - over ten hours in a day",IF(Q471&lt;&gt;"Yes","Due - needs approving",IF(R471&lt;&gt;"Yes","Due - not paid yet","OK"))))))</f>
        <v>0</v>
      </c>
    </row>
    <row r="472" spans="1:26">
      <c r="A472" s="43">
        <f>IF(F472="","","TS-"&amp;TEXT(ROW()-4,"0000"))</f>
        <v>0</v>
      </c>
      <c r="C472" s="23">
        <f>IF(B472="","",TEXT(B472,"ddd"))</f>
        <v>0</v>
      </c>
      <c r="D472" s="31">
        <f>IF(B472="","",WEEKNUM(B472,IF(WeekStart="Sunday",1,2)))</f>
        <v>0</v>
      </c>
      <c r="E472" s="23">
        <f>IF(B472="","",TEXT(B472,"yyyy-mm"))</f>
        <v>0</v>
      </c>
      <c r="H472" s="23">
        <f>IF(G472="","",IFERROR(INDEX(Jobs!$H$5:$H$604,MATCH(G472,Jobs!$A$5:$A$604,0)),""))</f>
        <v>0</v>
      </c>
      <c r="T472" s="34">
        <f>IF(OR(J472="",K472=""),"",ROUND((K472-J472)*24-IF(L472="",0,L472)/60,2))</f>
        <v>0</v>
      </c>
      <c r="U472" s="34">
        <f>IF(F472="","",IF(M472&lt;&gt;"",M472,IF(T472="",0,T472)))</f>
        <v>0</v>
      </c>
      <c r="V472" s="21">
        <f>IF(F472="","",IFERROR(INDEX(Employees!$U$5:$U$44,MATCH(F472,Employees!$B$5:$B$44,0)),PayRate*(1+EmployerOncost)))</f>
        <v>0</v>
      </c>
      <c r="W472" s="34">
        <f>IF(F472="","",MAX(0,U472-IF(N472="",0,N472)))</f>
        <v>0</v>
      </c>
      <c r="X472" s="21">
        <f>IF(F472="","",ROUND(W472*V472+IF(N472="",0,N472)*V472*OvertimeRate,2))</f>
        <v>0</v>
      </c>
      <c r="Y472" s="21">
        <f>IF(F472="","",IF(P472&lt;&gt;"Yes",0,ROUND(U472*IF(IFERROR(INDEX(Clients!$O$5:$O$204,MATCH(IFERROR(INDEX(Jobs!$G$5:$G$604,MATCH(G472,Jobs!$A$5:$A$604,0)),""),Clients!$A$5:$A$204,0)),0)&gt;0,INDEX(Clients!$O$5:$O$204,MATCH(INDEX(Jobs!$G$5:$G$604,MATCH(G472,Jobs!$A$5:$A$604,0)),Clients!$A$5:$A$204,0)),HourlyRate),2)))</f>
        <v>0</v>
      </c>
      <c r="Z472" s="39">
        <f>IF(F472="","",IF(U472=0,"Add - no hours recorded",IF(O472="Absent - no show","Action - no show",IF(U472&gt;10,"Check - over ten hours in a day",IF(Q472&lt;&gt;"Yes","Due - needs approving",IF(R472&lt;&gt;"Yes","Due - not paid yet","OK"))))))</f>
        <v>0</v>
      </c>
    </row>
    <row r="473" spans="1:26">
      <c r="A473" s="43">
        <f>IF(F473="","","TS-"&amp;TEXT(ROW()-4,"0000"))</f>
        <v>0</v>
      </c>
      <c r="C473" s="23">
        <f>IF(B473="","",TEXT(B473,"ddd"))</f>
        <v>0</v>
      </c>
      <c r="D473" s="31">
        <f>IF(B473="","",WEEKNUM(B473,IF(WeekStart="Sunday",1,2)))</f>
        <v>0</v>
      </c>
      <c r="E473" s="23">
        <f>IF(B473="","",TEXT(B473,"yyyy-mm"))</f>
        <v>0</v>
      </c>
      <c r="H473" s="23">
        <f>IF(G473="","",IFERROR(INDEX(Jobs!$H$5:$H$604,MATCH(G473,Jobs!$A$5:$A$604,0)),""))</f>
        <v>0</v>
      </c>
      <c r="T473" s="34">
        <f>IF(OR(J473="",K473=""),"",ROUND((K473-J473)*24-IF(L473="",0,L473)/60,2))</f>
        <v>0</v>
      </c>
      <c r="U473" s="34">
        <f>IF(F473="","",IF(M473&lt;&gt;"",M473,IF(T473="",0,T473)))</f>
        <v>0</v>
      </c>
      <c r="V473" s="21">
        <f>IF(F473="","",IFERROR(INDEX(Employees!$U$5:$U$44,MATCH(F473,Employees!$B$5:$B$44,0)),PayRate*(1+EmployerOncost)))</f>
        <v>0</v>
      </c>
      <c r="W473" s="34">
        <f>IF(F473="","",MAX(0,U473-IF(N473="",0,N473)))</f>
        <v>0</v>
      </c>
      <c r="X473" s="21">
        <f>IF(F473="","",ROUND(W473*V473+IF(N473="",0,N473)*V473*OvertimeRate,2))</f>
        <v>0</v>
      </c>
      <c r="Y473" s="21">
        <f>IF(F473="","",IF(P473&lt;&gt;"Yes",0,ROUND(U473*IF(IFERROR(INDEX(Clients!$O$5:$O$204,MATCH(IFERROR(INDEX(Jobs!$G$5:$G$604,MATCH(G473,Jobs!$A$5:$A$604,0)),""),Clients!$A$5:$A$204,0)),0)&gt;0,INDEX(Clients!$O$5:$O$204,MATCH(INDEX(Jobs!$G$5:$G$604,MATCH(G473,Jobs!$A$5:$A$604,0)),Clients!$A$5:$A$204,0)),HourlyRate),2)))</f>
        <v>0</v>
      </c>
      <c r="Z473" s="39">
        <f>IF(F473="","",IF(U473=0,"Add - no hours recorded",IF(O473="Absent - no show","Action - no show",IF(U473&gt;10,"Check - over ten hours in a day",IF(Q473&lt;&gt;"Yes","Due - needs approving",IF(R473&lt;&gt;"Yes","Due - not paid yet","OK"))))))</f>
        <v>0</v>
      </c>
    </row>
    <row r="474" spans="1:26">
      <c r="A474" s="43">
        <f>IF(F474="","","TS-"&amp;TEXT(ROW()-4,"0000"))</f>
        <v>0</v>
      </c>
      <c r="C474" s="23">
        <f>IF(B474="","",TEXT(B474,"ddd"))</f>
        <v>0</v>
      </c>
      <c r="D474" s="31">
        <f>IF(B474="","",WEEKNUM(B474,IF(WeekStart="Sunday",1,2)))</f>
        <v>0</v>
      </c>
      <c r="E474" s="23">
        <f>IF(B474="","",TEXT(B474,"yyyy-mm"))</f>
        <v>0</v>
      </c>
      <c r="H474" s="23">
        <f>IF(G474="","",IFERROR(INDEX(Jobs!$H$5:$H$604,MATCH(G474,Jobs!$A$5:$A$604,0)),""))</f>
        <v>0</v>
      </c>
      <c r="T474" s="34">
        <f>IF(OR(J474="",K474=""),"",ROUND((K474-J474)*24-IF(L474="",0,L474)/60,2))</f>
        <v>0</v>
      </c>
      <c r="U474" s="34">
        <f>IF(F474="","",IF(M474&lt;&gt;"",M474,IF(T474="",0,T474)))</f>
        <v>0</v>
      </c>
      <c r="V474" s="21">
        <f>IF(F474="","",IFERROR(INDEX(Employees!$U$5:$U$44,MATCH(F474,Employees!$B$5:$B$44,0)),PayRate*(1+EmployerOncost)))</f>
        <v>0</v>
      </c>
      <c r="W474" s="34">
        <f>IF(F474="","",MAX(0,U474-IF(N474="",0,N474)))</f>
        <v>0</v>
      </c>
      <c r="X474" s="21">
        <f>IF(F474="","",ROUND(W474*V474+IF(N474="",0,N474)*V474*OvertimeRate,2))</f>
        <v>0</v>
      </c>
      <c r="Y474" s="21">
        <f>IF(F474="","",IF(P474&lt;&gt;"Yes",0,ROUND(U474*IF(IFERROR(INDEX(Clients!$O$5:$O$204,MATCH(IFERROR(INDEX(Jobs!$G$5:$G$604,MATCH(G474,Jobs!$A$5:$A$604,0)),""),Clients!$A$5:$A$204,0)),0)&gt;0,INDEX(Clients!$O$5:$O$204,MATCH(INDEX(Jobs!$G$5:$G$604,MATCH(G474,Jobs!$A$5:$A$604,0)),Clients!$A$5:$A$204,0)),HourlyRate),2)))</f>
        <v>0</v>
      </c>
      <c r="Z474" s="39">
        <f>IF(F474="","",IF(U474=0,"Add - no hours recorded",IF(O474="Absent - no show","Action - no show",IF(U474&gt;10,"Check - over ten hours in a day",IF(Q474&lt;&gt;"Yes","Due - needs approving",IF(R474&lt;&gt;"Yes","Due - not paid yet","OK"))))))</f>
        <v>0</v>
      </c>
    </row>
    <row r="475" spans="1:26">
      <c r="A475" s="43">
        <f>IF(F475="","","TS-"&amp;TEXT(ROW()-4,"0000"))</f>
        <v>0</v>
      </c>
      <c r="C475" s="23">
        <f>IF(B475="","",TEXT(B475,"ddd"))</f>
        <v>0</v>
      </c>
      <c r="D475" s="31">
        <f>IF(B475="","",WEEKNUM(B475,IF(WeekStart="Sunday",1,2)))</f>
        <v>0</v>
      </c>
      <c r="E475" s="23">
        <f>IF(B475="","",TEXT(B475,"yyyy-mm"))</f>
        <v>0</v>
      </c>
      <c r="H475" s="23">
        <f>IF(G475="","",IFERROR(INDEX(Jobs!$H$5:$H$604,MATCH(G475,Jobs!$A$5:$A$604,0)),""))</f>
        <v>0</v>
      </c>
      <c r="T475" s="34">
        <f>IF(OR(J475="",K475=""),"",ROUND((K475-J475)*24-IF(L475="",0,L475)/60,2))</f>
        <v>0</v>
      </c>
      <c r="U475" s="34">
        <f>IF(F475="","",IF(M475&lt;&gt;"",M475,IF(T475="",0,T475)))</f>
        <v>0</v>
      </c>
      <c r="V475" s="21">
        <f>IF(F475="","",IFERROR(INDEX(Employees!$U$5:$U$44,MATCH(F475,Employees!$B$5:$B$44,0)),PayRate*(1+EmployerOncost)))</f>
        <v>0</v>
      </c>
      <c r="W475" s="34">
        <f>IF(F475="","",MAX(0,U475-IF(N475="",0,N475)))</f>
        <v>0</v>
      </c>
      <c r="X475" s="21">
        <f>IF(F475="","",ROUND(W475*V475+IF(N475="",0,N475)*V475*OvertimeRate,2))</f>
        <v>0</v>
      </c>
      <c r="Y475" s="21">
        <f>IF(F475="","",IF(P475&lt;&gt;"Yes",0,ROUND(U475*IF(IFERROR(INDEX(Clients!$O$5:$O$204,MATCH(IFERROR(INDEX(Jobs!$G$5:$G$604,MATCH(G475,Jobs!$A$5:$A$604,0)),""),Clients!$A$5:$A$204,0)),0)&gt;0,INDEX(Clients!$O$5:$O$204,MATCH(INDEX(Jobs!$G$5:$G$604,MATCH(G475,Jobs!$A$5:$A$604,0)),Clients!$A$5:$A$204,0)),HourlyRate),2)))</f>
        <v>0</v>
      </c>
      <c r="Z475" s="39">
        <f>IF(F475="","",IF(U475=0,"Add - no hours recorded",IF(O475="Absent - no show","Action - no show",IF(U475&gt;10,"Check - over ten hours in a day",IF(Q475&lt;&gt;"Yes","Due - needs approving",IF(R475&lt;&gt;"Yes","Due - not paid yet","OK"))))))</f>
        <v>0</v>
      </c>
    </row>
    <row r="476" spans="1:26">
      <c r="A476" s="43">
        <f>IF(F476="","","TS-"&amp;TEXT(ROW()-4,"0000"))</f>
        <v>0</v>
      </c>
      <c r="C476" s="23">
        <f>IF(B476="","",TEXT(B476,"ddd"))</f>
        <v>0</v>
      </c>
      <c r="D476" s="31">
        <f>IF(B476="","",WEEKNUM(B476,IF(WeekStart="Sunday",1,2)))</f>
        <v>0</v>
      </c>
      <c r="E476" s="23">
        <f>IF(B476="","",TEXT(B476,"yyyy-mm"))</f>
        <v>0</v>
      </c>
      <c r="H476" s="23">
        <f>IF(G476="","",IFERROR(INDEX(Jobs!$H$5:$H$604,MATCH(G476,Jobs!$A$5:$A$604,0)),""))</f>
        <v>0</v>
      </c>
      <c r="T476" s="34">
        <f>IF(OR(J476="",K476=""),"",ROUND((K476-J476)*24-IF(L476="",0,L476)/60,2))</f>
        <v>0</v>
      </c>
      <c r="U476" s="34">
        <f>IF(F476="","",IF(M476&lt;&gt;"",M476,IF(T476="",0,T476)))</f>
        <v>0</v>
      </c>
      <c r="V476" s="21">
        <f>IF(F476="","",IFERROR(INDEX(Employees!$U$5:$U$44,MATCH(F476,Employees!$B$5:$B$44,0)),PayRate*(1+EmployerOncost)))</f>
        <v>0</v>
      </c>
      <c r="W476" s="34">
        <f>IF(F476="","",MAX(0,U476-IF(N476="",0,N476)))</f>
        <v>0</v>
      </c>
      <c r="X476" s="21">
        <f>IF(F476="","",ROUND(W476*V476+IF(N476="",0,N476)*V476*OvertimeRate,2))</f>
        <v>0</v>
      </c>
      <c r="Y476" s="21">
        <f>IF(F476="","",IF(P476&lt;&gt;"Yes",0,ROUND(U476*IF(IFERROR(INDEX(Clients!$O$5:$O$204,MATCH(IFERROR(INDEX(Jobs!$G$5:$G$604,MATCH(G476,Jobs!$A$5:$A$604,0)),""),Clients!$A$5:$A$204,0)),0)&gt;0,INDEX(Clients!$O$5:$O$204,MATCH(INDEX(Jobs!$G$5:$G$604,MATCH(G476,Jobs!$A$5:$A$604,0)),Clients!$A$5:$A$204,0)),HourlyRate),2)))</f>
        <v>0</v>
      </c>
      <c r="Z476" s="39">
        <f>IF(F476="","",IF(U476=0,"Add - no hours recorded",IF(O476="Absent - no show","Action - no show",IF(U476&gt;10,"Check - over ten hours in a day",IF(Q476&lt;&gt;"Yes","Due - needs approving",IF(R476&lt;&gt;"Yes","Due - not paid yet","OK"))))))</f>
        <v>0</v>
      </c>
    </row>
    <row r="477" spans="1:26">
      <c r="A477" s="43">
        <f>IF(F477="","","TS-"&amp;TEXT(ROW()-4,"0000"))</f>
        <v>0</v>
      </c>
      <c r="C477" s="23">
        <f>IF(B477="","",TEXT(B477,"ddd"))</f>
        <v>0</v>
      </c>
      <c r="D477" s="31">
        <f>IF(B477="","",WEEKNUM(B477,IF(WeekStart="Sunday",1,2)))</f>
        <v>0</v>
      </c>
      <c r="E477" s="23">
        <f>IF(B477="","",TEXT(B477,"yyyy-mm"))</f>
        <v>0</v>
      </c>
      <c r="H477" s="23">
        <f>IF(G477="","",IFERROR(INDEX(Jobs!$H$5:$H$604,MATCH(G477,Jobs!$A$5:$A$604,0)),""))</f>
        <v>0</v>
      </c>
      <c r="T477" s="34">
        <f>IF(OR(J477="",K477=""),"",ROUND((K477-J477)*24-IF(L477="",0,L477)/60,2))</f>
        <v>0</v>
      </c>
      <c r="U477" s="34">
        <f>IF(F477="","",IF(M477&lt;&gt;"",M477,IF(T477="",0,T477)))</f>
        <v>0</v>
      </c>
      <c r="V477" s="21">
        <f>IF(F477="","",IFERROR(INDEX(Employees!$U$5:$U$44,MATCH(F477,Employees!$B$5:$B$44,0)),PayRate*(1+EmployerOncost)))</f>
        <v>0</v>
      </c>
      <c r="W477" s="34">
        <f>IF(F477="","",MAX(0,U477-IF(N477="",0,N477)))</f>
        <v>0</v>
      </c>
      <c r="X477" s="21">
        <f>IF(F477="","",ROUND(W477*V477+IF(N477="",0,N477)*V477*OvertimeRate,2))</f>
        <v>0</v>
      </c>
      <c r="Y477" s="21">
        <f>IF(F477="","",IF(P477&lt;&gt;"Yes",0,ROUND(U477*IF(IFERROR(INDEX(Clients!$O$5:$O$204,MATCH(IFERROR(INDEX(Jobs!$G$5:$G$604,MATCH(G477,Jobs!$A$5:$A$604,0)),""),Clients!$A$5:$A$204,0)),0)&gt;0,INDEX(Clients!$O$5:$O$204,MATCH(INDEX(Jobs!$G$5:$G$604,MATCH(G477,Jobs!$A$5:$A$604,0)),Clients!$A$5:$A$204,0)),HourlyRate),2)))</f>
        <v>0</v>
      </c>
      <c r="Z477" s="39">
        <f>IF(F477="","",IF(U477=0,"Add - no hours recorded",IF(O477="Absent - no show","Action - no show",IF(U477&gt;10,"Check - over ten hours in a day",IF(Q477&lt;&gt;"Yes","Due - needs approving",IF(R477&lt;&gt;"Yes","Due - not paid yet","OK"))))))</f>
        <v>0</v>
      </c>
    </row>
    <row r="478" spans="1:26">
      <c r="A478" s="43">
        <f>IF(F478="","","TS-"&amp;TEXT(ROW()-4,"0000"))</f>
        <v>0</v>
      </c>
      <c r="C478" s="23">
        <f>IF(B478="","",TEXT(B478,"ddd"))</f>
        <v>0</v>
      </c>
      <c r="D478" s="31">
        <f>IF(B478="","",WEEKNUM(B478,IF(WeekStart="Sunday",1,2)))</f>
        <v>0</v>
      </c>
      <c r="E478" s="23">
        <f>IF(B478="","",TEXT(B478,"yyyy-mm"))</f>
        <v>0</v>
      </c>
      <c r="H478" s="23">
        <f>IF(G478="","",IFERROR(INDEX(Jobs!$H$5:$H$604,MATCH(G478,Jobs!$A$5:$A$604,0)),""))</f>
        <v>0</v>
      </c>
      <c r="T478" s="34">
        <f>IF(OR(J478="",K478=""),"",ROUND((K478-J478)*24-IF(L478="",0,L478)/60,2))</f>
        <v>0</v>
      </c>
      <c r="U478" s="34">
        <f>IF(F478="","",IF(M478&lt;&gt;"",M478,IF(T478="",0,T478)))</f>
        <v>0</v>
      </c>
      <c r="V478" s="21">
        <f>IF(F478="","",IFERROR(INDEX(Employees!$U$5:$U$44,MATCH(F478,Employees!$B$5:$B$44,0)),PayRate*(1+EmployerOncost)))</f>
        <v>0</v>
      </c>
      <c r="W478" s="34">
        <f>IF(F478="","",MAX(0,U478-IF(N478="",0,N478)))</f>
        <v>0</v>
      </c>
      <c r="X478" s="21">
        <f>IF(F478="","",ROUND(W478*V478+IF(N478="",0,N478)*V478*OvertimeRate,2))</f>
        <v>0</v>
      </c>
      <c r="Y478" s="21">
        <f>IF(F478="","",IF(P478&lt;&gt;"Yes",0,ROUND(U478*IF(IFERROR(INDEX(Clients!$O$5:$O$204,MATCH(IFERROR(INDEX(Jobs!$G$5:$G$604,MATCH(G478,Jobs!$A$5:$A$604,0)),""),Clients!$A$5:$A$204,0)),0)&gt;0,INDEX(Clients!$O$5:$O$204,MATCH(INDEX(Jobs!$G$5:$G$604,MATCH(G478,Jobs!$A$5:$A$604,0)),Clients!$A$5:$A$204,0)),HourlyRate),2)))</f>
        <v>0</v>
      </c>
      <c r="Z478" s="39">
        <f>IF(F478="","",IF(U478=0,"Add - no hours recorded",IF(O478="Absent - no show","Action - no show",IF(U478&gt;10,"Check - over ten hours in a day",IF(Q478&lt;&gt;"Yes","Due - needs approving",IF(R478&lt;&gt;"Yes","Due - not paid yet","OK"))))))</f>
        <v>0</v>
      </c>
    </row>
    <row r="479" spans="1:26">
      <c r="A479" s="43">
        <f>IF(F479="","","TS-"&amp;TEXT(ROW()-4,"0000"))</f>
        <v>0</v>
      </c>
      <c r="C479" s="23">
        <f>IF(B479="","",TEXT(B479,"ddd"))</f>
        <v>0</v>
      </c>
      <c r="D479" s="31">
        <f>IF(B479="","",WEEKNUM(B479,IF(WeekStart="Sunday",1,2)))</f>
        <v>0</v>
      </c>
      <c r="E479" s="23">
        <f>IF(B479="","",TEXT(B479,"yyyy-mm"))</f>
        <v>0</v>
      </c>
      <c r="H479" s="23">
        <f>IF(G479="","",IFERROR(INDEX(Jobs!$H$5:$H$604,MATCH(G479,Jobs!$A$5:$A$604,0)),""))</f>
        <v>0</v>
      </c>
      <c r="T479" s="34">
        <f>IF(OR(J479="",K479=""),"",ROUND((K479-J479)*24-IF(L479="",0,L479)/60,2))</f>
        <v>0</v>
      </c>
      <c r="U479" s="34">
        <f>IF(F479="","",IF(M479&lt;&gt;"",M479,IF(T479="",0,T479)))</f>
        <v>0</v>
      </c>
      <c r="V479" s="21">
        <f>IF(F479="","",IFERROR(INDEX(Employees!$U$5:$U$44,MATCH(F479,Employees!$B$5:$B$44,0)),PayRate*(1+EmployerOncost)))</f>
        <v>0</v>
      </c>
      <c r="W479" s="34">
        <f>IF(F479="","",MAX(0,U479-IF(N479="",0,N479)))</f>
        <v>0</v>
      </c>
      <c r="X479" s="21">
        <f>IF(F479="","",ROUND(W479*V479+IF(N479="",0,N479)*V479*OvertimeRate,2))</f>
        <v>0</v>
      </c>
      <c r="Y479" s="21">
        <f>IF(F479="","",IF(P479&lt;&gt;"Yes",0,ROUND(U479*IF(IFERROR(INDEX(Clients!$O$5:$O$204,MATCH(IFERROR(INDEX(Jobs!$G$5:$G$604,MATCH(G479,Jobs!$A$5:$A$604,0)),""),Clients!$A$5:$A$204,0)),0)&gt;0,INDEX(Clients!$O$5:$O$204,MATCH(INDEX(Jobs!$G$5:$G$604,MATCH(G479,Jobs!$A$5:$A$604,0)),Clients!$A$5:$A$204,0)),HourlyRate),2)))</f>
        <v>0</v>
      </c>
      <c r="Z479" s="39">
        <f>IF(F479="","",IF(U479=0,"Add - no hours recorded",IF(O479="Absent - no show","Action - no show",IF(U479&gt;10,"Check - over ten hours in a day",IF(Q479&lt;&gt;"Yes","Due - needs approving",IF(R479&lt;&gt;"Yes","Due - not paid yet","OK"))))))</f>
        <v>0</v>
      </c>
    </row>
    <row r="480" spans="1:26">
      <c r="A480" s="43">
        <f>IF(F480="","","TS-"&amp;TEXT(ROW()-4,"0000"))</f>
        <v>0</v>
      </c>
      <c r="C480" s="23">
        <f>IF(B480="","",TEXT(B480,"ddd"))</f>
        <v>0</v>
      </c>
      <c r="D480" s="31">
        <f>IF(B480="","",WEEKNUM(B480,IF(WeekStart="Sunday",1,2)))</f>
        <v>0</v>
      </c>
      <c r="E480" s="23">
        <f>IF(B480="","",TEXT(B480,"yyyy-mm"))</f>
        <v>0</v>
      </c>
      <c r="H480" s="23">
        <f>IF(G480="","",IFERROR(INDEX(Jobs!$H$5:$H$604,MATCH(G480,Jobs!$A$5:$A$604,0)),""))</f>
        <v>0</v>
      </c>
      <c r="T480" s="34">
        <f>IF(OR(J480="",K480=""),"",ROUND((K480-J480)*24-IF(L480="",0,L480)/60,2))</f>
        <v>0</v>
      </c>
      <c r="U480" s="34">
        <f>IF(F480="","",IF(M480&lt;&gt;"",M480,IF(T480="",0,T480)))</f>
        <v>0</v>
      </c>
      <c r="V480" s="21">
        <f>IF(F480="","",IFERROR(INDEX(Employees!$U$5:$U$44,MATCH(F480,Employees!$B$5:$B$44,0)),PayRate*(1+EmployerOncost)))</f>
        <v>0</v>
      </c>
      <c r="W480" s="34">
        <f>IF(F480="","",MAX(0,U480-IF(N480="",0,N480)))</f>
        <v>0</v>
      </c>
      <c r="X480" s="21">
        <f>IF(F480="","",ROUND(W480*V480+IF(N480="",0,N480)*V480*OvertimeRate,2))</f>
        <v>0</v>
      </c>
      <c r="Y480" s="21">
        <f>IF(F480="","",IF(P480&lt;&gt;"Yes",0,ROUND(U480*IF(IFERROR(INDEX(Clients!$O$5:$O$204,MATCH(IFERROR(INDEX(Jobs!$G$5:$G$604,MATCH(G480,Jobs!$A$5:$A$604,0)),""),Clients!$A$5:$A$204,0)),0)&gt;0,INDEX(Clients!$O$5:$O$204,MATCH(INDEX(Jobs!$G$5:$G$604,MATCH(G480,Jobs!$A$5:$A$604,0)),Clients!$A$5:$A$204,0)),HourlyRate),2)))</f>
        <v>0</v>
      </c>
      <c r="Z480" s="39">
        <f>IF(F480="","",IF(U480=0,"Add - no hours recorded",IF(O480="Absent - no show","Action - no show",IF(U480&gt;10,"Check - over ten hours in a day",IF(Q480&lt;&gt;"Yes","Due - needs approving",IF(R480&lt;&gt;"Yes","Due - not paid yet","OK"))))))</f>
        <v>0</v>
      </c>
    </row>
    <row r="481" spans="1:26">
      <c r="A481" s="43">
        <f>IF(F481="","","TS-"&amp;TEXT(ROW()-4,"0000"))</f>
        <v>0</v>
      </c>
      <c r="C481" s="23">
        <f>IF(B481="","",TEXT(B481,"ddd"))</f>
        <v>0</v>
      </c>
      <c r="D481" s="31">
        <f>IF(B481="","",WEEKNUM(B481,IF(WeekStart="Sunday",1,2)))</f>
        <v>0</v>
      </c>
      <c r="E481" s="23">
        <f>IF(B481="","",TEXT(B481,"yyyy-mm"))</f>
        <v>0</v>
      </c>
      <c r="H481" s="23">
        <f>IF(G481="","",IFERROR(INDEX(Jobs!$H$5:$H$604,MATCH(G481,Jobs!$A$5:$A$604,0)),""))</f>
        <v>0</v>
      </c>
      <c r="T481" s="34">
        <f>IF(OR(J481="",K481=""),"",ROUND((K481-J481)*24-IF(L481="",0,L481)/60,2))</f>
        <v>0</v>
      </c>
      <c r="U481" s="34">
        <f>IF(F481="","",IF(M481&lt;&gt;"",M481,IF(T481="",0,T481)))</f>
        <v>0</v>
      </c>
      <c r="V481" s="21">
        <f>IF(F481="","",IFERROR(INDEX(Employees!$U$5:$U$44,MATCH(F481,Employees!$B$5:$B$44,0)),PayRate*(1+EmployerOncost)))</f>
        <v>0</v>
      </c>
      <c r="W481" s="34">
        <f>IF(F481="","",MAX(0,U481-IF(N481="",0,N481)))</f>
        <v>0</v>
      </c>
      <c r="X481" s="21">
        <f>IF(F481="","",ROUND(W481*V481+IF(N481="",0,N481)*V481*OvertimeRate,2))</f>
        <v>0</v>
      </c>
      <c r="Y481" s="21">
        <f>IF(F481="","",IF(P481&lt;&gt;"Yes",0,ROUND(U481*IF(IFERROR(INDEX(Clients!$O$5:$O$204,MATCH(IFERROR(INDEX(Jobs!$G$5:$G$604,MATCH(G481,Jobs!$A$5:$A$604,0)),""),Clients!$A$5:$A$204,0)),0)&gt;0,INDEX(Clients!$O$5:$O$204,MATCH(INDEX(Jobs!$G$5:$G$604,MATCH(G481,Jobs!$A$5:$A$604,0)),Clients!$A$5:$A$204,0)),HourlyRate),2)))</f>
        <v>0</v>
      </c>
      <c r="Z481" s="39">
        <f>IF(F481="","",IF(U481=0,"Add - no hours recorded",IF(O481="Absent - no show","Action - no show",IF(U481&gt;10,"Check - over ten hours in a day",IF(Q481&lt;&gt;"Yes","Due - needs approving",IF(R481&lt;&gt;"Yes","Due - not paid yet","OK"))))))</f>
        <v>0</v>
      </c>
    </row>
    <row r="482" spans="1:26">
      <c r="A482" s="43">
        <f>IF(F482="","","TS-"&amp;TEXT(ROW()-4,"0000"))</f>
        <v>0</v>
      </c>
      <c r="C482" s="23">
        <f>IF(B482="","",TEXT(B482,"ddd"))</f>
        <v>0</v>
      </c>
      <c r="D482" s="31">
        <f>IF(B482="","",WEEKNUM(B482,IF(WeekStart="Sunday",1,2)))</f>
        <v>0</v>
      </c>
      <c r="E482" s="23">
        <f>IF(B482="","",TEXT(B482,"yyyy-mm"))</f>
        <v>0</v>
      </c>
      <c r="H482" s="23">
        <f>IF(G482="","",IFERROR(INDEX(Jobs!$H$5:$H$604,MATCH(G482,Jobs!$A$5:$A$604,0)),""))</f>
        <v>0</v>
      </c>
      <c r="T482" s="34">
        <f>IF(OR(J482="",K482=""),"",ROUND((K482-J482)*24-IF(L482="",0,L482)/60,2))</f>
        <v>0</v>
      </c>
      <c r="U482" s="34">
        <f>IF(F482="","",IF(M482&lt;&gt;"",M482,IF(T482="",0,T482)))</f>
        <v>0</v>
      </c>
      <c r="V482" s="21">
        <f>IF(F482="","",IFERROR(INDEX(Employees!$U$5:$U$44,MATCH(F482,Employees!$B$5:$B$44,0)),PayRate*(1+EmployerOncost)))</f>
        <v>0</v>
      </c>
      <c r="W482" s="34">
        <f>IF(F482="","",MAX(0,U482-IF(N482="",0,N482)))</f>
        <v>0</v>
      </c>
      <c r="X482" s="21">
        <f>IF(F482="","",ROUND(W482*V482+IF(N482="",0,N482)*V482*OvertimeRate,2))</f>
        <v>0</v>
      </c>
      <c r="Y482" s="21">
        <f>IF(F482="","",IF(P482&lt;&gt;"Yes",0,ROUND(U482*IF(IFERROR(INDEX(Clients!$O$5:$O$204,MATCH(IFERROR(INDEX(Jobs!$G$5:$G$604,MATCH(G482,Jobs!$A$5:$A$604,0)),""),Clients!$A$5:$A$204,0)),0)&gt;0,INDEX(Clients!$O$5:$O$204,MATCH(INDEX(Jobs!$G$5:$G$604,MATCH(G482,Jobs!$A$5:$A$604,0)),Clients!$A$5:$A$204,0)),HourlyRate),2)))</f>
        <v>0</v>
      </c>
      <c r="Z482" s="39">
        <f>IF(F482="","",IF(U482=0,"Add - no hours recorded",IF(O482="Absent - no show","Action - no show",IF(U482&gt;10,"Check - over ten hours in a day",IF(Q482&lt;&gt;"Yes","Due - needs approving",IF(R482&lt;&gt;"Yes","Due - not paid yet","OK"))))))</f>
        <v>0</v>
      </c>
    </row>
    <row r="483" spans="1:26">
      <c r="A483" s="43">
        <f>IF(F483="","","TS-"&amp;TEXT(ROW()-4,"0000"))</f>
        <v>0</v>
      </c>
      <c r="C483" s="23">
        <f>IF(B483="","",TEXT(B483,"ddd"))</f>
        <v>0</v>
      </c>
      <c r="D483" s="31">
        <f>IF(B483="","",WEEKNUM(B483,IF(WeekStart="Sunday",1,2)))</f>
        <v>0</v>
      </c>
      <c r="E483" s="23">
        <f>IF(B483="","",TEXT(B483,"yyyy-mm"))</f>
        <v>0</v>
      </c>
      <c r="H483" s="23">
        <f>IF(G483="","",IFERROR(INDEX(Jobs!$H$5:$H$604,MATCH(G483,Jobs!$A$5:$A$604,0)),""))</f>
        <v>0</v>
      </c>
      <c r="T483" s="34">
        <f>IF(OR(J483="",K483=""),"",ROUND((K483-J483)*24-IF(L483="",0,L483)/60,2))</f>
        <v>0</v>
      </c>
      <c r="U483" s="34">
        <f>IF(F483="","",IF(M483&lt;&gt;"",M483,IF(T483="",0,T483)))</f>
        <v>0</v>
      </c>
      <c r="V483" s="21">
        <f>IF(F483="","",IFERROR(INDEX(Employees!$U$5:$U$44,MATCH(F483,Employees!$B$5:$B$44,0)),PayRate*(1+EmployerOncost)))</f>
        <v>0</v>
      </c>
      <c r="W483" s="34">
        <f>IF(F483="","",MAX(0,U483-IF(N483="",0,N483)))</f>
        <v>0</v>
      </c>
      <c r="X483" s="21">
        <f>IF(F483="","",ROUND(W483*V483+IF(N483="",0,N483)*V483*OvertimeRate,2))</f>
        <v>0</v>
      </c>
      <c r="Y483" s="21">
        <f>IF(F483="","",IF(P483&lt;&gt;"Yes",0,ROUND(U483*IF(IFERROR(INDEX(Clients!$O$5:$O$204,MATCH(IFERROR(INDEX(Jobs!$G$5:$G$604,MATCH(G483,Jobs!$A$5:$A$604,0)),""),Clients!$A$5:$A$204,0)),0)&gt;0,INDEX(Clients!$O$5:$O$204,MATCH(INDEX(Jobs!$G$5:$G$604,MATCH(G483,Jobs!$A$5:$A$604,0)),Clients!$A$5:$A$204,0)),HourlyRate),2)))</f>
        <v>0</v>
      </c>
      <c r="Z483" s="39">
        <f>IF(F483="","",IF(U483=0,"Add - no hours recorded",IF(O483="Absent - no show","Action - no show",IF(U483&gt;10,"Check - over ten hours in a day",IF(Q483&lt;&gt;"Yes","Due - needs approving",IF(R483&lt;&gt;"Yes","Due - not paid yet","OK"))))))</f>
        <v>0</v>
      </c>
    </row>
    <row r="484" spans="1:26">
      <c r="A484" s="43">
        <f>IF(F484="","","TS-"&amp;TEXT(ROW()-4,"0000"))</f>
        <v>0</v>
      </c>
      <c r="C484" s="23">
        <f>IF(B484="","",TEXT(B484,"ddd"))</f>
        <v>0</v>
      </c>
      <c r="D484" s="31">
        <f>IF(B484="","",WEEKNUM(B484,IF(WeekStart="Sunday",1,2)))</f>
        <v>0</v>
      </c>
      <c r="E484" s="23">
        <f>IF(B484="","",TEXT(B484,"yyyy-mm"))</f>
        <v>0</v>
      </c>
      <c r="H484" s="23">
        <f>IF(G484="","",IFERROR(INDEX(Jobs!$H$5:$H$604,MATCH(G484,Jobs!$A$5:$A$604,0)),""))</f>
        <v>0</v>
      </c>
      <c r="T484" s="34">
        <f>IF(OR(J484="",K484=""),"",ROUND((K484-J484)*24-IF(L484="",0,L484)/60,2))</f>
        <v>0</v>
      </c>
      <c r="U484" s="34">
        <f>IF(F484="","",IF(M484&lt;&gt;"",M484,IF(T484="",0,T484)))</f>
        <v>0</v>
      </c>
      <c r="V484" s="21">
        <f>IF(F484="","",IFERROR(INDEX(Employees!$U$5:$U$44,MATCH(F484,Employees!$B$5:$B$44,0)),PayRate*(1+EmployerOncost)))</f>
        <v>0</v>
      </c>
      <c r="W484" s="34">
        <f>IF(F484="","",MAX(0,U484-IF(N484="",0,N484)))</f>
        <v>0</v>
      </c>
      <c r="X484" s="21">
        <f>IF(F484="","",ROUND(W484*V484+IF(N484="",0,N484)*V484*OvertimeRate,2))</f>
        <v>0</v>
      </c>
      <c r="Y484" s="21">
        <f>IF(F484="","",IF(P484&lt;&gt;"Yes",0,ROUND(U484*IF(IFERROR(INDEX(Clients!$O$5:$O$204,MATCH(IFERROR(INDEX(Jobs!$G$5:$G$604,MATCH(G484,Jobs!$A$5:$A$604,0)),""),Clients!$A$5:$A$204,0)),0)&gt;0,INDEX(Clients!$O$5:$O$204,MATCH(INDEX(Jobs!$G$5:$G$604,MATCH(G484,Jobs!$A$5:$A$604,0)),Clients!$A$5:$A$204,0)),HourlyRate),2)))</f>
        <v>0</v>
      </c>
      <c r="Z484" s="39">
        <f>IF(F484="","",IF(U484=0,"Add - no hours recorded",IF(O484="Absent - no show","Action - no show",IF(U484&gt;10,"Check - over ten hours in a day",IF(Q484&lt;&gt;"Yes","Due - needs approving",IF(R484&lt;&gt;"Yes","Due - not paid yet","OK"))))))</f>
        <v>0</v>
      </c>
    </row>
    <row r="485" spans="1:26">
      <c r="A485" s="43">
        <f>IF(F485="","","TS-"&amp;TEXT(ROW()-4,"0000"))</f>
        <v>0</v>
      </c>
      <c r="C485" s="23">
        <f>IF(B485="","",TEXT(B485,"ddd"))</f>
        <v>0</v>
      </c>
      <c r="D485" s="31">
        <f>IF(B485="","",WEEKNUM(B485,IF(WeekStart="Sunday",1,2)))</f>
        <v>0</v>
      </c>
      <c r="E485" s="23">
        <f>IF(B485="","",TEXT(B485,"yyyy-mm"))</f>
        <v>0</v>
      </c>
      <c r="H485" s="23">
        <f>IF(G485="","",IFERROR(INDEX(Jobs!$H$5:$H$604,MATCH(G485,Jobs!$A$5:$A$604,0)),""))</f>
        <v>0</v>
      </c>
      <c r="T485" s="34">
        <f>IF(OR(J485="",K485=""),"",ROUND((K485-J485)*24-IF(L485="",0,L485)/60,2))</f>
        <v>0</v>
      </c>
      <c r="U485" s="34">
        <f>IF(F485="","",IF(M485&lt;&gt;"",M485,IF(T485="",0,T485)))</f>
        <v>0</v>
      </c>
      <c r="V485" s="21">
        <f>IF(F485="","",IFERROR(INDEX(Employees!$U$5:$U$44,MATCH(F485,Employees!$B$5:$B$44,0)),PayRate*(1+EmployerOncost)))</f>
        <v>0</v>
      </c>
      <c r="W485" s="34">
        <f>IF(F485="","",MAX(0,U485-IF(N485="",0,N485)))</f>
        <v>0</v>
      </c>
      <c r="X485" s="21">
        <f>IF(F485="","",ROUND(W485*V485+IF(N485="",0,N485)*V485*OvertimeRate,2))</f>
        <v>0</v>
      </c>
      <c r="Y485" s="21">
        <f>IF(F485="","",IF(P485&lt;&gt;"Yes",0,ROUND(U485*IF(IFERROR(INDEX(Clients!$O$5:$O$204,MATCH(IFERROR(INDEX(Jobs!$G$5:$G$604,MATCH(G485,Jobs!$A$5:$A$604,0)),""),Clients!$A$5:$A$204,0)),0)&gt;0,INDEX(Clients!$O$5:$O$204,MATCH(INDEX(Jobs!$G$5:$G$604,MATCH(G485,Jobs!$A$5:$A$604,0)),Clients!$A$5:$A$204,0)),HourlyRate),2)))</f>
        <v>0</v>
      </c>
      <c r="Z485" s="39">
        <f>IF(F485="","",IF(U485=0,"Add - no hours recorded",IF(O485="Absent - no show","Action - no show",IF(U485&gt;10,"Check - over ten hours in a day",IF(Q485&lt;&gt;"Yes","Due - needs approving",IF(R485&lt;&gt;"Yes","Due - not paid yet","OK"))))))</f>
        <v>0</v>
      </c>
    </row>
    <row r="486" spans="1:26">
      <c r="A486" s="43">
        <f>IF(F486="","","TS-"&amp;TEXT(ROW()-4,"0000"))</f>
        <v>0</v>
      </c>
      <c r="C486" s="23">
        <f>IF(B486="","",TEXT(B486,"ddd"))</f>
        <v>0</v>
      </c>
      <c r="D486" s="31">
        <f>IF(B486="","",WEEKNUM(B486,IF(WeekStart="Sunday",1,2)))</f>
        <v>0</v>
      </c>
      <c r="E486" s="23">
        <f>IF(B486="","",TEXT(B486,"yyyy-mm"))</f>
        <v>0</v>
      </c>
      <c r="H486" s="23">
        <f>IF(G486="","",IFERROR(INDEX(Jobs!$H$5:$H$604,MATCH(G486,Jobs!$A$5:$A$604,0)),""))</f>
        <v>0</v>
      </c>
      <c r="T486" s="34">
        <f>IF(OR(J486="",K486=""),"",ROUND((K486-J486)*24-IF(L486="",0,L486)/60,2))</f>
        <v>0</v>
      </c>
      <c r="U486" s="34">
        <f>IF(F486="","",IF(M486&lt;&gt;"",M486,IF(T486="",0,T486)))</f>
        <v>0</v>
      </c>
      <c r="V486" s="21">
        <f>IF(F486="","",IFERROR(INDEX(Employees!$U$5:$U$44,MATCH(F486,Employees!$B$5:$B$44,0)),PayRate*(1+EmployerOncost)))</f>
        <v>0</v>
      </c>
      <c r="W486" s="34">
        <f>IF(F486="","",MAX(0,U486-IF(N486="",0,N486)))</f>
        <v>0</v>
      </c>
      <c r="X486" s="21">
        <f>IF(F486="","",ROUND(W486*V486+IF(N486="",0,N486)*V486*OvertimeRate,2))</f>
        <v>0</v>
      </c>
      <c r="Y486" s="21">
        <f>IF(F486="","",IF(P486&lt;&gt;"Yes",0,ROUND(U486*IF(IFERROR(INDEX(Clients!$O$5:$O$204,MATCH(IFERROR(INDEX(Jobs!$G$5:$G$604,MATCH(G486,Jobs!$A$5:$A$604,0)),""),Clients!$A$5:$A$204,0)),0)&gt;0,INDEX(Clients!$O$5:$O$204,MATCH(INDEX(Jobs!$G$5:$G$604,MATCH(G486,Jobs!$A$5:$A$604,0)),Clients!$A$5:$A$204,0)),HourlyRate),2)))</f>
        <v>0</v>
      </c>
      <c r="Z486" s="39">
        <f>IF(F486="","",IF(U486=0,"Add - no hours recorded",IF(O486="Absent - no show","Action - no show",IF(U486&gt;10,"Check - over ten hours in a day",IF(Q486&lt;&gt;"Yes","Due - needs approving",IF(R486&lt;&gt;"Yes","Due - not paid yet","OK"))))))</f>
        <v>0</v>
      </c>
    </row>
    <row r="487" spans="1:26">
      <c r="A487" s="43">
        <f>IF(F487="","","TS-"&amp;TEXT(ROW()-4,"0000"))</f>
        <v>0</v>
      </c>
      <c r="C487" s="23">
        <f>IF(B487="","",TEXT(B487,"ddd"))</f>
        <v>0</v>
      </c>
      <c r="D487" s="31">
        <f>IF(B487="","",WEEKNUM(B487,IF(WeekStart="Sunday",1,2)))</f>
        <v>0</v>
      </c>
      <c r="E487" s="23">
        <f>IF(B487="","",TEXT(B487,"yyyy-mm"))</f>
        <v>0</v>
      </c>
      <c r="H487" s="23">
        <f>IF(G487="","",IFERROR(INDEX(Jobs!$H$5:$H$604,MATCH(G487,Jobs!$A$5:$A$604,0)),""))</f>
        <v>0</v>
      </c>
      <c r="T487" s="34">
        <f>IF(OR(J487="",K487=""),"",ROUND((K487-J487)*24-IF(L487="",0,L487)/60,2))</f>
        <v>0</v>
      </c>
      <c r="U487" s="34">
        <f>IF(F487="","",IF(M487&lt;&gt;"",M487,IF(T487="",0,T487)))</f>
        <v>0</v>
      </c>
      <c r="V487" s="21">
        <f>IF(F487="","",IFERROR(INDEX(Employees!$U$5:$U$44,MATCH(F487,Employees!$B$5:$B$44,0)),PayRate*(1+EmployerOncost)))</f>
        <v>0</v>
      </c>
      <c r="W487" s="34">
        <f>IF(F487="","",MAX(0,U487-IF(N487="",0,N487)))</f>
        <v>0</v>
      </c>
      <c r="X487" s="21">
        <f>IF(F487="","",ROUND(W487*V487+IF(N487="",0,N487)*V487*OvertimeRate,2))</f>
        <v>0</v>
      </c>
      <c r="Y487" s="21">
        <f>IF(F487="","",IF(P487&lt;&gt;"Yes",0,ROUND(U487*IF(IFERROR(INDEX(Clients!$O$5:$O$204,MATCH(IFERROR(INDEX(Jobs!$G$5:$G$604,MATCH(G487,Jobs!$A$5:$A$604,0)),""),Clients!$A$5:$A$204,0)),0)&gt;0,INDEX(Clients!$O$5:$O$204,MATCH(INDEX(Jobs!$G$5:$G$604,MATCH(G487,Jobs!$A$5:$A$604,0)),Clients!$A$5:$A$204,0)),HourlyRate),2)))</f>
        <v>0</v>
      </c>
      <c r="Z487" s="39">
        <f>IF(F487="","",IF(U487=0,"Add - no hours recorded",IF(O487="Absent - no show","Action - no show",IF(U487&gt;10,"Check - over ten hours in a day",IF(Q487&lt;&gt;"Yes","Due - needs approving",IF(R487&lt;&gt;"Yes","Due - not paid yet","OK"))))))</f>
        <v>0</v>
      </c>
    </row>
    <row r="488" spans="1:26">
      <c r="A488" s="43">
        <f>IF(F488="","","TS-"&amp;TEXT(ROW()-4,"0000"))</f>
        <v>0</v>
      </c>
      <c r="C488" s="23">
        <f>IF(B488="","",TEXT(B488,"ddd"))</f>
        <v>0</v>
      </c>
      <c r="D488" s="31">
        <f>IF(B488="","",WEEKNUM(B488,IF(WeekStart="Sunday",1,2)))</f>
        <v>0</v>
      </c>
      <c r="E488" s="23">
        <f>IF(B488="","",TEXT(B488,"yyyy-mm"))</f>
        <v>0</v>
      </c>
      <c r="H488" s="23">
        <f>IF(G488="","",IFERROR(INDEX(Jobs!$H$5:$H$604,MATCH(G488,Jobs!$A$5:$A$604,0)),""))</f>
        <v>0</v>
      </c>
      <c r="T488" s="34">
        <f>IF(OR(J488="",K488=""),"",ROUND((K488-J488)*24-IF(L488="",0,L488)/60,2))</f>
        <v>0</v>
      </c>
      <c r="U488" s="34">
        <f>IF(F488="","",IF(M488&lt;&gt;"",M488,IF(T488="",0,T488)))</f>
        <v>0</v>
      </c>
      <c r="V488" s="21">
        <f>IF(F488="","",IFERROR(INDEX(Employees!$U$5:$U$44,MATCH(F488,Employees!$B$5:$B$44,0)),PayRate*(1+EmployerOncost)))</f>
        <v>0</v>
      </c>
      <c r="W488" s="34">
        <f>IF(F488="","",MAX(0,U488-IF(N488="",0,N488)))</f>
        <v>0</v>
      </c>
      <c r="X488" s="21">
        <f>IF(F488="","",ROUND(W488*V488+IF(N488="",0,N488)*V488*OvertimeRate,2))</f>
        <v>0</v>
      </c>
      <c r="Y488" s="21">
        <f>IF(F488="","",IF(P488&lt;&gt;"Yes",0,ROUND(U488*IF(IFERROR(INDEX(Clients!$O$5:$O$204,MATCH(IFERROR(INDEX(Jobs!$G$5:$G$604,MATCH(G488,Jobs!$A$5:$A$604,0)),""),Clients!$A$5:$A$204,0)),0)&gt;0,INDEX(Clients!$O$5:$O$204,MATCH(INDEX(Jobs!$G$5:$G$604,MATCH(G488,Jobs!$A$5:$A$604,0)),Clients!$A$5:$A$204,0)),HourlyRate),2)))</f>
        <v>0</v>
      </c>
      <c r="Z488" s="39">
        <f>IF(F488="","",IF(U488=0,"Add - no hours recorded",IF(O488="Absent - no show","Action - no show",IF(U488&gt;10,"Check - over ten hours in a day",IF(Q488&lt;&gt;"Yes","Due - needs approving",IF(R488&lt;&gt;"Yes","Due - not paid yet","OK"))))))</f>
        <v>0</v>
      </c>
    </row>
    <row r="489" spans="1:26">
      <c r="A489" s="43">
        <f>IF(F489="","","TS-"&amp;TEXT(ROW()-4,"0000"))</f>
        <v>0</v>
      </c>
      <c r="C489" s="23">
        <f>IF(B489="","",TEXT(B489,"ddd"))</f>
        <v>0</v>
      </c>
      <c r="D489" s="31">
        <f>IF(B489="","",WEEKNUM(B489,IF(WeekStart="Sunday",1,2)))</f>
        <v>0</v>
      </c>
      <c r="E489" s="23">
        <f>IF(B489="","",TEXT(B489,"yyyy-mm"))</f>
        <v>0</v>
      </c>
      <c r="H489" s="23">
        <f>IF(G489="","",IFERROR(INDEX(Jobs!$H$5:$H$604,MATCH(G489,Jobs!$A$5:$A$604,0)),""))</f>
        <v>0</v>
      </c>
      <c r="T489" s="34">
        <f>IF(OR(J489="",K489=""),"",ROUND((K489-J489)*24-IF(L489="",0,L489)/60,2))</f>
        <v>0</v>
      </c>
      <c r="U489" s="34">
        <f>IF(F489="","",IF(M489&lt;&gt;"",M489,IF(T489="",0,T489)))</f>
        <v>0</v>
      </c>
      <c r="V489" s="21">
        <f>IF(F489="","",IFERROR(INDEX(Employees!$U$5:$U$44,MATCH(F489,Employees!$B$5:$B$44,0)),PayRate*(1+EmployerOncost)))</f>
        <v>0</v>
      </c>
      <c r="W489" s="34">
        <f>IF(F489="","",MAX(0,U489-IF(N489="",0,N489)))</f>
        <v>0</v>
      </c>
      <c r="X489" s="21">
        <f>IF(F489="","",ROUND(W489*V489+IF(N489="",0,N489)*V489*OvertimeRate,2))</f>
        <v>0</v>
      </c>
      <c r="Y489" s="21">
        <f>IF(F489="","",IF(P489&lt;&gt;"Yes",0,ROUND(U489*IF(IFERROR(INDEX(Clients!$O$5:$O$204,MATCH(IFERROR(INDEX(Jobs!$G$5:$G$604,MATCH(G489,Jobs!$A$5:$A$604,0)),""),Clients!$A$5:$A$204,0)),0)&gt;0,INDEX(Clients!$O$5:$O$204,MATCH(INDEX(Jobs!$G$5:$G$604,MATCH(G489,Jobs!$A$5:$A$604,0)),Clients!$A$5:$A$204,0)),HourlyRate),2)))</f>
        <v>0</v>
      </c>
      <c r="Z489" s="39">
        <f>IF(F489="","",IF(U489=0,"Add - no hours recorded",IF(O489="Absent - no show","Action - no show",IF(U489&gt;10,"Check - over ten hours in a day",IF(Q489&lt;&gt;"Yes","Due - needs approving",IF(R489&lt;&gt;"Yes","Due - not paid yet","OK"))))))</f>
        <v>0</v>
      </c>
    </row>
    <row r="490" spans="1:26">
      <c r="A490" s="43">
        <f>IF(F490="","","TS-"&amp;TEXT(ROW()-4,"0000"))</f>
        <v>0</v>
      </c>
      <c r="C490" s="23">
        <f>IF(B490="","",TEXT(B490,"ddd"))</f>
        <v>0</v>
      </c>
      <c r="D490" s="31">
        <f>IF(B490="","",WEEKNUM(B490,IF(WeekStart="Sunday",1,2)))</f>
        <v>0</v>
      </c>
      <c r="E490" s="23">
        <f>IF(B490="","",TEXT(B490,"yyyy-mm"))</f>
        <v>0</v>
      </c>
      <c r="H490" s="23">
        <f>IF(G490="","",IFERROR(INDEX(Jobs!$H$5:$H$604,MATCH(G490,Jobs!$A$5:$A$604,0)),""))</f>
        <v>0</v>
      </c>
      <c r="T490" s="34">
        <f>IF(OR(J490="",K490=""),"",ROUND((K490-J490)*24-IF(L490="",0,L490)/60,2))</f>
        <v>0</v>
      </c>
      <c r="U490" s="34">
        <f>IF(F490="","",IF(M490&lt;&gt;"",M490,IF(T490="",0,T490)))</f>
        <v>0</v>
      </c>
      <c r="V490" s="21">
        <f>IF(F490="","",IFERROR(INDEX(Employees!$U$5:$U$44,MATCH(F490,Employees!$B$5:$B$44,0)),PayRate*(1+EmployerOncost)))</f>
        <v>0</v>
      </c>
      <c r="W490" s="34">
        <f>IF(F490="","",MAX(0,U490-IF(N490="",0,N490)))</f>
        <v>0</v>
      </c>
      <c r="X490" s="21">
        <f>IF(F490="","",ROUND(W490*V490+IF(N490="",0,N490)*V490*OvertimeRate,2))</f>
        <v>0</v>
      </c>
      <c r="Y490" s="21">
        <f>IF(F490="","",IF(P490&lt;&gt;"Yes",0,ROUND(U490*IF(IFERROR(INDEX(Clients!$O$5:$O$204,MATCH(IFERROR(INDEX(Jobs!$G$5:$G$604,MATCH(G490,Jobs!$A$5:$A$604,0)),""),Clients!$A$5:$A$204,0)),0)&gt;0,INDEX(Clients!$O$5:$O$204,MATCH(INDEX(Jobs!$G$5:$G$604,MATCH(G490,Jobs!$A$5:$A$604,0)),Clients!$A$5:$A$204,0)),HourlyRate),2)))</f>
        <v>0</v>
      </c>
      <c r="Z490" s="39">
        <f>IF(F490="","",IF(U490=0,"Add - no hours recorded",IF(O490="Absent - no show","Action - no show",IF(U490&gt;10,"Check - over ten hours in a day",IF(Q490&lt;&gt;"Yes","Due - needs approving",IF(R490&lt;&gt;"Yes","Due - not paid yet","OK"))))))</f>
        <v>0</v>
      </c>
    </row>
    <row r="491" spans="1:26">
      <c r="A491" s="43">
        <f>IF(F491="","","TS-"&amp;TEXT(ROW()-4,"0000"))</f>
        <v>0</v>
      </c>
      <c r="C491" s="23">
        <f>IF(B491="","",TEXT(B491,"ddd"))</f>
        <v>0</v>
      </c>
      <c r="D491" s="31">
        <f>IF(B491="","",WEEKNUM(B491,IF(WeekStart="Sunday",1,2)))</f>
        <v>0</v>
      </c>
      <c r="E491" s="23">
        <f>IF(B491="","",TEXT(B491,"yyyy-mm"))</f>
        <v>0</v>
      </c>
      <c r="H491" s="23">
        <f>IF(G491="","",IFERROR(INDEX(Jobs!$H$5:$H$604,MATCH(G491,Jobs!$A$5:$A$604,0)),""))</f>
        <v>0</v>
      </c>
      <c r="T491" s="34">
        <f>IF(OR(J491="",K491=""),"",ROUND((K491-J491)*24-IF(L491="",0,L491)/60,2))</f>
        <v>0</v>
      </c>
      <c r="U491" s="34">
        <f>IF(F491="","",IF(M491&lt;&gt;"",M491,IF(T491="",0,T491)))</f>
        <v>0</v>
      </c>
      <c r="V491" s="21">
        <f>IF(F491="","",IFERROR(INDEX(Employees!$U$5:$U$44,MATCH(F491,Employees!$B$5:$B$44,0)),PayRate*(1+EmployerOncost)))</f>
        <v>0</v>
      </c>
      <c r="W491" s="34">
        <f>IF(F491="","",MAX(0,U491-IF(N491="",0,N491)))</f>
        <v>0</v>
      </c>
      <c r="X491" s="21">
        <f>IF(F491="","",ROUND(W491*V491+IF(N491="",0,N491)*V491*OvertimeRate,2))</f>
        <v>0</v>
      </c>
      <c r="Y491" s="21">
        <f>IF(F491="","",IF(P491&lt;&gt;"Yes",0,ROUND(U491*IF(IFERROR(INDEX(Clients!$O$5:$O$204,MATCH(IFERROR(INDEX(Jobs!$G$5:$G$604,MATCH(G491,Jobs!$A$5:$A$604,0)),""),Clients!$A$5:$A$204,0)),0)&gt;0,INDEX(Clients!$O$5:$O$204,MATCH(INDEX(Jobs!$G$5:$G$604,MATCH(G491,Jobs!$A$5:$A$604,0)),Clients!$A$5:$A$204,0)),HourlyRate),2)))</f>
        <v>0</v>
      </c>
      <c r="Z491" s="39">
        <f>IF(F491="","",IF(U491=0,"Add - no hours recorded",IF(O491="Absent - no show","Action - no show",IF(U491&gt;10,"Check - over ten hours in a day",IF(Q491&lt;&gt;"Yes","Due - needs approving",IF(R491&lt;&gt;"Yes","Due - not paid yet","OK"))))))</f>
        <v>0</v>
      </c>
    </row>
    <row r="492" spans="1:26">
      <c r="A492" s="43">
        <f>IF(F492="","","TS-"&amp;TEXT(ROW()-4,"0000"))</f>
        <v>0</v>
      </c>
      <c r="C492" s="23">
        <f>IF(B492="","",TEXT(B492,"ddd"))</f>
        <v>0</v>
      </c>
      <c r="D492" s="31">
        <f>IF(B492="","",WEEKNUM(B492,IF(WeekStart="Sunday",1,2)))</f>
        <v>0</v>
      </c>
      <c r="E492" s="23">
        <f>IF(B492="","",TEXT(B492,"yyyy-mm"))</f>
        <v>0</v>
      </c>
      <c r="H492" s="23">
        <f>IF(G492="","",IFERROR(INDEX(Jobs!$H$5:$H$604,MATCH(G492,Jobs!$A$5:$A$604,0)),""))</f>
        <v>0</v>
      </c>
      <c r="T492" s="34">
        <f>IF(OR(J492="",K492=""),"",ROUND((K492-J492)*24-IF(L492="",0,L492)/60,2))</f>
        <v>0</v>
      </c>
      <c r="U492" s="34">
        <f>IF(F492="","",IF(M492&lt;&gt;"",M492,IF(T492="",0,T492)))</f>
        <v>0</v>
      </c>
      <c r="V492" s="21">
        <f>IF(F492="","",IFERROR(INDEX(Employees!$U$5:$U$44,MATCH(F492,Employees!$B$5:$B$44,0)),PayRate*(1+EmployerOncost)))</f>
        <v>0</v>
      </c>
      <c r="W492" s="34">
        <f>IF(F492="","",MAX(0,U492-IF(N492="",0,N492)))</f>
        <v>0</v>
      </c>
      <c r="X492" s="21">
        <f>IF(F492="","",ROUND(W492*V492+IF(N492="",0,N492)*V492*OvertimeRate,2))</f>
        <v>0</v>
      </c>
      <c r="Y492" s="21">
        <f>IF(F492="","",IF(P492&lt;&gt;"Yes",0,ROUND(U492*IF(IFERROR(INDEX(Clients!$O$5:$O$204,MATCH(IFERROR(INDEX(Jobs!$G$5:$G$604,MATCH(G492,Jobs!$A$5:$A$604,0)),""),Clients!$A$5:$A$204,0)),0)&gt;0,INDEX(Clients!$O$5:$O$204,MATCH(INDEX(Jobs!$G$5:$G$604,MATCH(G492,Jobs!$A$5:$A$604,0)),Clients!$A$5:$A$204,0)),HourlyRate),2)))</f>
        <v>0</v>
      </c>
      <c r="Z492" s="39">
        <f>IF(F492="","",IF(U492=0,"Add - no hours recorded",IF(O492="Absent - no show","Action - no show",IF(U492&gt;10,"Check - over ten hours in a day",IF(Q492&lt;&gt;"Yes","Due - needs approving",IF(R492&lt;&gt;"Yes","Due - not paid yet","OK"))))))</f>
        <v>0</v>
      </c>
    </row>
    <row r="493" spans="1:26">
      <c r="A493" s="43">
        <f>IF(F493="","","TS-"&amp;TEXT(ROW()-4,"0000"))</f>
        <v>0</v>
      </c>
      <c r="C493" s="23">
        <f>IF(B493="","",TEXT(B493,"ddd"))</f>
        <v>0</v>
      </c>
      <c r="D493" s="31">
        <f>IF(B493="","",WEEKNUM(B493,IF(WeekStart="Sunday",1,2)))</f>
        <v>0</v>
      </c>
      <c r="E493" s="23">
        <f>IF(B493="","",TEXT(B493,"yyyy-mm"))</f>
        <v>0</v>
      </c>
      <c r="H493" s="23">
        <f>IF(G493="","",IFERROR(INDEX(Jobs!$H$5:$H$604,MATCH(G493,Jobs!$A$5:$A$604,0)),""))</f>
        <v>0</v>
      </c>
      <c r="T493" s="34">
        <f>IF(OR(J493="",K493=""),"",ROUND((K493-J493)*24-IF(L493="",0,L493)/60,2))</f>
        <v>0</v>
      </c>
      <c r="U493" s="34">
        <f>IF(F493="","",IF(M493&lt;&gt;"",M493,IF(T493="",0,T493)))</f>
        <v>0</v>
      </c>
      <c r="V493" s="21">
        <f>IF(F493="","",IFERROR(INDEX(Employees!$U$5:$U$44,MATCH(F493,Employees!$B$5:$B$44,0)),PayRate*(1+EmployerOncost)))</f>
        <v>0</v>
      </c>
      <c r="W493" s="34">
        <f>IF(F493="","",MAX(0,U493-IF(N493="",0,N493)))</f>
        <v>0</v>
      </c>
      <c r="X493" s="21">
        <f>IF(F493="","",ROUND(W493*V493+IF(N493="",0,N493)*V493*OvertimeRate,2))</f>
        <v>0</v>
      </c>
      <c r="Y493" s="21">
        <f>IF(F493="","",IF(P493&lt;&gt;"Yes",0,ROUND(U493*IF(IFERROR(INDEX(Clients!$O$5:$O$204,MATCH(IFERROR(INDEX(Jobs!$G$5:$G$604,MATCH(G493,Jobs!$A$5:$A$604,0)),""),Clients!$A$5:$A$204,0)),0)&gt;0,INDEX(Clients!$O$5:$O$204,MATCH(INDEX(Jobs!$G$5:$G$604,MATCH(G493,Jobs!$A$5:$A$604,0)),Clients!$A$5:$A$204,0)),HourlyRate),2)))</f>
        <v>0</v>
      </c>
      <c r="Z493" s="39">
        <f>IF(F493="","",IF(U493=0,"Add - no hours recorded",IF(O493="Absent - no show","Action - no show",IF(U493&gt;10,"Check - over ten hours in a day",IF(Q493&lt;&gt;"Yes","Due - needs approving",IF(R493&lt;&gt;"Yes","Due - not paid yet","OK"))))))</f>
        <v>0</v>
      </c>
    </row>
    <row r="494" spans="1:26">
      <c r="A494" s="43">
        <f>IF(F494="","","TS-"&amp;TEXT(ROW()-4,"0000"))</f>
        <v>0</v>
      </c>
      <c r="C494" s="23">
        <f>IF(B494="","",TEXT(B494,"ddd"))</f>
        <v>0</v>
      </c>
      <c r="D494" s="31">
        <f>IF(B494="","",WEEKNUM(B494,IF(WeekStart="Sunday",1,2)))</f>
        <v>0</v>
      </c>
      <c r="E494" s="23">
        <f>IF(B494="","",TEXT(B494,"yyyy-mm"))</f>
        <v>0</v>
      </c>
      <c r="H494" s="23">
        <f>IF(G494="","",IFERROR(INDEX(Jobs!$H$5:$H$604,MATCH(G494,Jobs!$A$5:$A$604,0)),""))</f>
        <v>0</v>
      </c>
      <c r="T494" s="34">
        <f>IF(OR(J494="",K494=""),"",ROUND((K494-J494)*24-IF(L494="",0,L494)/60,2))</f>
        <v>0</v>
      </c>
      <c r="U494" s="34">
        <f>IF(F494="","",IF(M494&lt;&gt;"",M494,IF(T494="",0,T494)))</f>
        <v>0</v>
      </c>
      <c r="V494" s="21">
        <f>IF(F494="","",IFERROR(INDEX(Employees!$U$5:$U$44,MATCH(F494,Employees!$B$5:$B$44,0)),PayRate*(1+EmployerOncost)))</f>
        <v>0</v>
      </c>
      <c r="W494" s="34">
        <f>IF(F494="","",MAX(0,U494-IF(N494="",0,N494)))</f>
        <v>0</v>
      </c>
      <c r="X494" s="21">
        <f>IF(F494="","",ROUND(W494*V494+IF(N494="",0,N494)*V494*OvertimeRate,2))</f>
        <v>0</v>
      </c>
      <c r="Y494" s="21">
        <f>IF(F494="","",IF(P494&lt;&gt;"Yes",0,ROUND(U494*IF(IFERROR(INDEX(Clients!$O$5:$O$204,MATCH(IFERROR(INDEX(Jobs!$G$5:$G$604,MATCH(G494,Jobs!$A$5:$A$604,0)),""),Clients!$A$5:$A$204,0)),0)&gt;0,INDEX(Clients!$O$5:$O$204,MATCH(INDEX(Jobs!$G$5:$G$604,MATCH(G494,Jobs!$A$5:$A$604,0)),Clients!$A$5:$A$204,0)),HourlyRate),2)))</f>
        <v>0</v>
      </c>
      <c r="Z494" s="39">
        <f>IF(F494="","",IF(U494=0,"Add - no hours recorded",IF(O494="Absent - no show","Action - no show",IF(U494&gt;10,"Check - over ten hours in a day",IF(Q494&lt;&gt;"Yes","Due - needs approving",IF(R494&lt;&gt;"Yes","Due - not paid yet","OK"))))))</f>
        <v>0</v>
      </c>
    </row>
    <row r="495" spans="1:26">
      <c r="A495" s="43">
        <f>IF(F495="","","TS-"&amp;TEXT(ROW()-4,"0000"))</f>
        <v>0</v>
      </c>
      <c r="C495" s="23">
        <f>IF(B495="","",TEXT(B495,"ddd"))</f>
        <v>0</v>
      </c>
      <c r="D495" s="31">
        <f>IF(B495="","",WEEKNUM(B495,IF(WeekStart="Sunday",1,2)))</f>
        <v>0</v>
      </c>
      <c r="E495" s="23">
        <f>IF(B495="","",TEXT(B495,"yyyy-mm"))</f>
        <v>0</v>
      </c>
      <c r="H495" s="23">
        <f>IF(G495="","",IFERROR(INDEX(Jobs!$H$5:$H$604,MATCH(G495,Jobs!$A$5:$A$604,0)),""))</f>
        <v>0</v>
      </c>
      <c r="T495" s="34">
        <f>IF(OR(J495="",K495=""),"",ROUND((K495-J495)*24-IF(L495="",0,L495)/60,2))</f>
        <v>0</v>
      </c>
      <c r="U495" s="34">
        <f>IF(F495="","",IF(M495&lt;&gt;"",M495,IF(T495="",0,T495)))</f>
        <v>0</v>
      </c>
      <c r="V495" s="21">
        <f>IF(F495="","",IFERROR(INDEX(Employees!$U$5:$U$44,MATCH(F495,Employees!$B$5:$B$44,0)),PayRate*(1+EmployerOncost)))</f>
        <v>0</v>
      </c>
      <c r="W495" s="34">
        <f>IF(F495="","",MAX(0,U495-IF(N495="",0,N495)))</f>
        <v>0</v>
      </c>
      <c r="X495" s="21">
        <f>IF(F495="","",ROUND(W495*V495+IF(N495="",0,N495)*V495*OvertimeRate,2))</f>
        <v>0</v>
      </c>
      <c r="Y495" s="21">
        <f>IF(F495="","",IF(P495&lt;&gt;"Yes",0,ROUND(U495*IF(IFERROR(INDEX(Clients!$O$5:$O$204,MATCH(IFERROR(INDEX(Jobs!$G$5:$G$604,MATCH(G495,Jobs!$A$5:$A$604,0)),""),Clients!$A$5:$A$204,0)),0)&gt;0,INDEX(Clients!$O$5:$O$204,MATCH(INDEX(Jobs!$G$5:$G$604,MATCH(G495,Jobs!$A$5:$A$604,0)),Clients!$A$5:$A$204,0)),HourlyRate),2)))</f>
        <v>0</v>
      </c>
      <c r="Z495" s="39">
        <f>IF(F495="","",IF(U495=0,"Add - no hours recorded",IF(O495="Absent - no show","Action - no show",IF(U495&gt;10,"Check - over ten hours in a day",IF(Q495&lt;&gt;"Yes","Due - needs approving",IF(R495&lt;&gt;"Yes","Due - not paid yet","OK"))))))</f>
        <v>0</v>
      </c>
    </row>
    <row r="496" spans="1:26">
      <c r="A496" s="43">
        <f>IF(F496="","","TS-"&amp;TEXT(ROW()-4,"0000"))</f>
        <v>0</v>
      </c>
      <c r="C496" s="23">
        <f>IF(B496="","",TEXT(B496,"ddd"))</f>
        <v>0</v>
      </c>
      <c r="D496" s="31">
        <f>IF(B496="","",WEEKNUM(B496,IF(WeekStart="Sunday",1,2)))</f>
        <v>0</v>
      </c>
      <c r="E496" s="23">
        <f>IF(B496="","",TEXT(B496,"yyyy-mm"))</f>
        <v>0</v>
      </c>
      <c r="H496" s="23">
        <f>IF(G496="","",IFERROR(INDEX(Jobs!$H$5:$H$604,MATCH(G496,Jobs!$A$5:$A$604,0)),""))</f>
        <v>0</v>
      </c>
      <c r="T496" s="34">
        <f>IF(OR(J496="",K496=""),"",ROUND((K496-J496)*24-IF(L496="",0,L496)/60,2))</f>
        <v>0</v>
      </c>
      <c r="U496" s="34">
        <f>IF(F496="","",IF(M496&lt;&gt;"",M496,IF(T496="",0,T496)))</f>
        <v>0</v>
      </c>
      <c r="V496" s="21">
        <f>IF(F496="","",IFERROR(INDEX(Employees!$U$5:$U$44,MATCH(F496,Employees!$B$5:$B$44,0)),PayRate*(1+EmployerOncost)))</f>
        <v>0</v>
      </c>
      <c r="W496" s="34">
        <f>IF(F496="","",MAX(0,U496-IF(N496="",0,N496)))</f>
        <v>0</v>
      </c>
      <c r="X496" s="21">
        <f>IF(F496="","",ROUND(W496*V496+IF(N496="",0,N496)*V496*OvertimeRate,2))</f>
        <v>0</v>
      </c>
      <c r="Y496" s="21">
        <f>IF(F496="","",IF(P496&lt;&gt;"Yes",0,ROUND(U496*IF(IFERROR(INDEX(Clients!$O$5:$O$204,MATCH(IFERROR(INDEX(Jobs!$G$5:$G$604,MATCH(G496,Jobs!$A$5:$A$604,0)),""),Clients!$A$5:$A$204,0)),0)&gt;0,INDEX(Clients!$O$5:$O$204,MATCH(INDEX(Jobs!$G$5:$G$604,MATCH(G496,Jobs!$A$5:$A$604,0)),Clients!$A$5:$A$204,0)),HourlyRate),2)))</f>
        <v>0</v>
      </c>
      <c r="Z496" s="39">
        <f>IF(F496="","",IF(U496=0,"Add - no hours recorded",IF(O496="Absent - no show","Action - no show",IF(U496&gt;10,"Check - over ten hours in a day",IF(Q496&lt;&gt;"Yes","Due - needs approving",IF(R496&lt;&gt;"Yes","Due - not paid yet","OK"))))))</f>
        <v>0</v>
      </c>
    </row>
    <row r="497" spans="1:26">
      <c r="A497" s="43">
        <f>IF(F497="","","TS-"&amp;TEXT(ROW()-4,"0000"))</f>
        <v>0</v>
      </c>
      <c r="C497" s="23">
        <f>IF(B497="","",TEXT(B497,"ddd"))</f>
        <v>0</v>
      </c>
      <c r="D497" s="31">
        <f>IF(B497="","",WEEKNUM(B497,IF(WeekStart="Sunday",1,2)))</f>
        <v>0</v>
      </c>
      <c r="E497" s="23">
        <f>IF(B497="","",TEXT(B497,"yyyy-mm"))</f>
        <v>0</v>
      </c>
      <c r="H497" s="23">
        <f>IF(G497="","",IFERROR(INDEX(Jobs!$H$5:$H$604,MATCH(G497,Jobs!$A$5:$A$604,0)),""))</f>
        <v>0</v>
      </c>
      <c r="T497" s="34">
        <f>IF(OR(J497="",K497=""),"",ROUND((K497-J497)*24-IF(L497="",0,L497)/60,2))</f>
        <v>0</v>
      </c>
      <c r="U497" s="34">
        <f>IF(F497="","",IF(M497&lt;&gt;"",M497,IF(T497="",0,T497)))</f>
        <v>0</v>
      </c>
      <c r="V497" s="21">
        <f>IF(F497="","",IFERROR(INDEX(Employees!$U$5:$U$44,MATCH(F497,Employees!$B$5:$B$44,0)),PayRate*(1+EmployerOncost)))</f>
        <v>0</v>
      </c>
      <c r="W497" s="34">
        <f>IF(F497="","",MAX(0,U497-IF(N497="",0,N497)))</f>
        <v>0</v>
      </c>
      <c r="X497" s="21">
        <f>IF(F497="","",ROUND(W497*V497+IF(N497="",0,N497)*V497*OvertimeRate,2))</f>
        <v>0</v>
      </c>
      <c r="Y497" s="21">
        <f>IF(F497="","",IF(P497&lt;&gt;"Yes",0,ROUND(U497*IF(IFERROR(INDEX(Clients!$O$5:$O$204,MATCH(IFERROR(INDEX(Jobs!$G$5:$G$604,MATCH(G497,Jobs!$A$5:$A$604,0)),""),Clients!$A$5:$A$204,0)),0)&gt;0,INDEX(Clients!$O$5:$O$204,MATCH(INDEX(Jobs!$G$5:$G$604,MATCH(G497,Jobs!$A$5:$A$604,0)),Clients!$A$5:$A$204,0)),HourlyRate),2)))</f>
        <v>0</v>
      </c>
      <c r="Z497" s="39">
        <f>IF(F497="","",IF(U497=0,"Add - no hours recorded",IF(O497="Absent - no show","Action - no show",IF(U497&gt;10,"Check - over ten hours in a day",IF(Q497&lt;&gt;"Yes","Due - needs approving",IF(R497&lt;&gt;"Yes","Due - not paid yet","OK"))))))</f>
        <v>0</v>
      </c>
    </row>
    <row r="498" spans="1:26">
      <c r="A498" s="43">
        <f>IF(F498="","","TS-"&amp;TEXT(ROW()-4,"0000"))</f>
        <v>0</v>
      </c>
      <c r="C498" s="23">
        <f>IF(B498="","",TEXT(B498,"ddd"))</f>
        <v>0</v>
      </c>
      <c r="D498" s="31">
        <f>IF(B498="","",WEEKNUM(B498,IF(WeekStart="Sunday",1,2)))</f>
        <v>0</v>
      </c>
      <c r="E498" s="23">
        <f>IF(B498="","",TEXT(B498,"yyyy-mm"))</f>
        <v>0</v>
      </c>
      <c r="H498" s="23">
        <f>IF(G498="","",IFERROR(INDEX(Jobs!$H$5:$H$604,MATCH(G498,Jobs!$A$5:$A$604,0)),""))</f>
        <v>0</v>
      </c>
      <c r="T498" s="34">
        <f>IF(OR(J498="",K498=""),"",ROUND((K498-J498)*24-IF(L498="",0,L498)/60,2))</f>
        <v>0</v>
      </c>
      <c r="U498" s="34">
        <f>IF(F498="","",IF(M498&lt;&gt;"",M498,IF(T498="",0,T498)))</f>
        <v>0</v>
      </c>
      <c r="V498" s="21">
        <f>IF(F498="","",IFERROR(INDEX(Employees!$U$5:$U$44,MATCH(F498,Employees!$B$5:$B$44,0)),PayRate*(1+EmployerOncost)))</f>
        <v>0</v>
      </c>
      <c r="W498" s="34">
        <f>IF(F498="","",MAX(0,U498-IF(N498="",0,N498)))</f>
        <v>0</v>
      </c>
      <c r="X498" s="21">
        <f>IF(F498="","",ROUND(W498*V498+IF(N498="",0,N498)*V498*OvertimeRate,2))</f>
        <v>0</v>
      </c>
      <c r="Y498" s="21">
        <f>IF(F498="","",IF(P498&lt;&gt;"Yes",0,ROUND(U498*IF(IFERROR(INDEX(Clients!$O$5:$O$204,MATCH(IFERROR(INDEX(Jobs!$G$5:$G$604,MATCH(G498,Jobs!$A$5:$A$604,0)),""),Clients!$A$5:$A$204,0)),0)&gt;0,INDEX(Clients!$O$5:$O$204,MATCH(INDEX(Jobs!$G$5:$G$604,MATCH(G498,Jobs!$A$5:$A$604,0)),Clients!$A$5:$A$204,0)),HourlyRate),2)))</f>
        <v>0</v>
      </c>
      <c r="Z498" s="39">
        <f>IF(F498="","",IF(U498=0,"Add - no hours recorded",IF(O498="Absent - no show","Action - no show",IF(U498&gt;10,"Check - over ten hours in a day",IF(Q498&lt;&gt;"Yes","Due - needs approving",IF(R498&lt;&gt;"Yes","Due - not paid yet","OK"))))))</f>
        <v>0</v>
      </c>
    </row>
    <row r="499" spans="1:26">
      <c r="A499" s="43">
        <f>IF(F499="","","TS-"&amp;TEXT(ROW()-4,"0000"))</f>
        <v>0</v>
      </c>
      <c r="C499" s="23">
        <f>IF(B499="","",TEXT(B499,"ddd"))</f>
        <v>0</v>
      </c>
      <c r="D499" s="31">
        <f>IF(B499="","",WEEKNUM(B499,IF(WeekStart="Sunday",1,2)))</f>
        <v>0</v>
      </c>
      <c r="E499" s="23">
        <f>IF(B499="","",TEXT(B499,"yyyy-mm"))</f>
        <v>0</v>
      </c>
      <c r="H499" s="23">
        <f>IF(G499="","",IFERROR(INDEX(Jobs!$H$5:$H$604,MATCH(G499,Jobs!$A$5:$A$604,0)),""))</f>
        <v>0</v>
      </c>
      <c r="T499" s="34">
        <f>IF(OR(J499="",K499=""),"",ROUND((K499-J499)*24-IF(L499="",0,L499)/60,2))</f>
        <v>0</v>
      </c>
      <c r="U499" s="34">
        <f>IF(F499="","",IF(M499&lt;&gt;"",M499,IF(T499="",0,T499)))</f>
        <v>0</v>
      </c>
      <c r="V499" s="21">
        <f>IF(F499="","",IFERROR(INDEX(Employees!$U$5:$U$44,MATCH(F499,Employees!$B$5:$B$44,0)),PayRate*(1+EmployerOncost)))</f>
        <v>0</v>
      </c>
      <c r="W499" s="34">
        <f>IF(F499="","",MAX(0,U499-IF(N499="",0,N499)))</f>
        <v>0</v>
      </c>
      <c r="X499" s="21">
        <f>IF(F499="","",ROUND(W499*V499+IF(N499="",0,N499)*V499*OvertimeRate,2))</f>
        <v>0</v>
      </c>
      <c r="Y499" s="21">
        <f>IF(F499="","",IF(P499&lt;&gt;"Yes",0,ROUND(U499*IF(IFERROR(INDEX(Clients!$O$5:$O$204,MATCH(IFERROR(INDEX(Jobs!$G$5:$G$604,MATCH(G499,Jobs!$A$5:$A$604,0)),""),Clients!$A$5:$A$204,0)),0)&gt;0,INDEX(Clients!$O$5:$O$204,MATCH(INDEX(Jobs!$G$5:$G$604,MATCH(G499,Jobs!$A$5:$A$604,0)),Clients!$A$5:$A$204,0)),HourlyRate),2)))</f>
        <v>0</v>
      </c>
      <c r="Z499" s="39">
        <f>IF(F499="","",IF(U499=0,"Add - no hours recorded",IF(O499="Absent - no show","Action - no show",IF(U499&gt;10,"Check - over ten hours in a day",IF(Q499&lt;&gt;"Yes","Due - needs approving",IF(R499&lt;&gt;"Yes","Due - not paid yet","OK"))))))</f>
        <v>0</v>
      </c>
    </row>
    <row r="500" spans="1:26">
      <c r="A500" s="43">
        <f>IF(F500="","","TS-"&amp;TEXT(ROW()-4,"0000"))</f>
        <v>0</v>
      </c>
      <c r="C500" s="23">
        <f>IF(B500="","",TEXT(B500,"ddd"))</f>
        <v>0</v>
      </c>
      <c r="D500" s="31">
        <f>IF(B500="","",WEEKNUM(B500,IF(WeekStart="Sunday",1,2)))</f>
        <v>0</v>
      </c>
      <c r="E500" s="23">
        <f>IF(B500="","",TEXT(B500,"yyyy-mm"))</f>
        <v>0</v>
      </c>
      <c r="H500" s="23">
        <f>IF(G500="","",IFERROR(INDEX(Jobs!$H$5:$H$604,MATCH(G500,Jobs!$A$5:$A$604,0)),""))</f>
        <v>0</v>
      </c>
      <c r="T500" s="34">
        <f>IF(OR(J500="",K500=""),"",ROUND((K500-J500)*24-IF(L500="",0,L500)/60,2))</f>
        <v>0</v>
      </c>
      <c r="U500" s="34">
        <f>IF(F500="","",IF(M500&lt;&gt;"",M500,IF(T500="",0,T500)))</f>
        <v>0</v>
      </c>
      <c r="V500" s="21">
        <f>IF(F500="","",IFERROR(INDEX(Employees!$U$5:$U$44,MATCH(F500,Employees!$B$5:$B$44,0)),PayRate*(1+EmployerOncost)))</f>
        <v>0</v>
      </c>
      <c r="W500" s="34">
        <f>IF(F500="","",MAX(0,U500-IF(N500="",0,N500)))</f>
        <v>0</v>
      </c>
      <c r="X500" s="21">
        <f>IF(F500="","",ROUND(W500*V500+IF(N500="",0,N500)*V500*OvertimeRate,2))</f>
        <v>0</v>
      </c>
      <c r="Y500" s="21">
        <f>IF(F500="","",IF(P500&lt;&gt;"Yes",0,ROUND(U500*IF(IFERROR(INDEX(Clients!$O$5:$O$204,MATCH(IFERROR(INDEX(Jobs!$G$5:$G$604,MATCH(G500,Jobs!$A$5:$A$604,0)),""),Clients!$A$5:$A$204,0)),0)&gt;0,INDEX(Clients!$O$5:$O$204,MATCH(INDEX(Jobs!$G$5:$G$604,MATCH(G500,Jobs!$A$5:$A$604,0)),Clients!$A$5:$A$204,0)),HourlyRate),2)))</f>
        <v>0</v>
      </c>
      <c r="Z500" s="39">
        <f>IF(F500="","",IF(U500=0,"Add - no hours recorded",IF(O500="Absent - no show","Action - no show",IF(U500&gt;10,"Check - over ten hours in a day",IF(Q500&lt;&gt;"Yes","Due - needs approving",IF(R500&lt;&gt;"Yes","Due - not paid yet","OK"))))))</f>
        <v>0</v>
      </c>
    </row>
    <row r="501" spans="1:26">
      <c r="A501" s="43">
        <f>IF(F501="","","TS-"&amp;TEXT(ROW()-4,"0000"))</f>
        <v>0</v>
      </c>
      <c r="C501" s="23">
        <f>IF(B501="","",TEXT(B501,"ddd"))</f>
        <v>0</v>
      </c>
      <c r="D501" s="31">
        <f>IF(B501="","",WEEKNUM(B501,IF(WeekStart="Sunday",1,2)))</f>
        <v>0</v>
      </c>
      <c r="E501" s="23">
        <f>IF(B501="","",TEXT(B501,"yyyy-mm"))</f>
        <v>0</v>
      </c>
      <c r="H501" s="23">
        <f>IF(G501="","",IFERROR(INDEX(Jobs!$H$5:$H$604,MATCH(G501,Jobs!$A$5:$A$604,0)),""))</f>
        <v>0</v>
      </c>
      <c r="T501" s="34">
        <f>IF(OR(J501="",K501=""),"",ROUND((K501-J501)*24-IF(L501="",0,L501)/60,2))</f>
        <v>0</v>
      </c>
      <c r="U501" s="34">
        <f>IF(F501="","",IF(M501&lt;&gt;"",M501,IF(T501="",0,T501)))</f>
        <v>0</v>
      </c>
      <c r="V501" s="21">
        <f>IF(F501="","",IFERROR(INDEX(Employees!$U$5:$U$44,MATCH(F501,Employees!$B$5:$B$44,0)),PayRate*(1+EmployerOncost)))</f>
        <v>0</v>
      </c>
      <c r="W501" s="34">
        <f>IF(F501="","",MAX(0,U501-IF(N501="",0,N501)))</f>
        <v>0</v>
      </c>
      <c r="X501" s="21">
        <f>IF(F501="","",ROUND(W501*V501+IF(N501="",0,N501)*V501*OvertimeRate,2))</f>
        <v>0</v>
      </c>
      <c r="Y501" s="21">
        <f>IF(F501="","",IF(P501&lt;&gt;"Yes",0,ROUND(U501*IF(IFERROR(INDEX(Clients!$O$5:$O$204,MATCH(IFERROR(INDEX(Jobs!$G$5:$G$604,MATCH(G501,Jobs!$A$5:$A$604,0)),""),Clients!$A$5:$A$204,0)),0)&gt;0,INDEX(Clients!$O$5:$O$204,MATCH(INDEX(Jobs!$G$5:$G$604,MATCH(G501,Jobs!$A$5:$A$604,0)),Clients!$A$5:$A$204,0)),HourlyRate),2)))</f>
        <v>0</v>
      </c>
      <c r="Z501" s="39">
        <f>IF(F501="","",IF(U501=0,"Add - no hours recorded",IF(O501="Absent - no show","Action - no show",IF(U501&gt;10,"Check - over ten hours in a day",IF(Q501&lt;&gt;"Yes","Due - needs approving",IF(R501&lt;&gt;"Yes","Due - not paid yet","OK"))))))</f>
        <v>0</v>
      </c>
    </row>
    <row r="502" spans="1:26">
      <c r="A502" s="43">
        <f>IF(F502="","","TS-"&amp;TEXT(ROW()-4,"0000"))</f>
        <v>0</v>
      </c>
      <c r="C502" s="23">
        <f>IF(B502="","",TEXT(B502,"ddd"))</f>
        <v>0</v>
      </c>
      <c r="D502" s="31">
        <f>IF(B502="","",WEEKNUM(B502,IF(WeekStart="Sunday",1,2)))</f>
        <v>0</v>
      </c>
      <c r="E502" s="23">
        <f>IF(B502="","",TEXT(B502,"yyyy-mm"))</f>
        <v>0</v>
      </c>
      <c r="H502" s="23">
        <f>IF(G502="","",IFERROR(INDEX(Jobs!$H$5:$H$604,MATCH(G502,Jobs!$A$5:$A$604,0)),""))</f>
        <v>0</v>
      </c>
      <c r="T502" s="34">
        <f>IF(OR(J502="",K502=""),"",ROUND((K502-J502)*24-IF(L502="",0,L502)/60,2))</f>
        <v>0</v>
      </c>
      <c r="U502" s="34">
        <f>IF(F502="","",IF(M502&lt;&gt;"",M502,IF(T502="",0,T502)))</f>
        <v>0</v>
      </c>
      <c r="V502" s="21">
        <f>IF(F502="","",IFERROR(INDEX(Employees!$U$5:$U$44,MATCH(F502,Employees!$B$5:$B$44,0)),PayRate*(1+EmployerOncost)))</f>
        <v>0</v>
      </c>
      <c r="W502" s="34">
        <f>IF(F502="","",MAX(0,U502-IF(N502="",0,N502)))</f>
        <v>0</v>
      </c>
      <c r="X502" s="21">
        <f>IF(F502="","",ROUND(W502*V502+IF(N502="",0,N502)*V502*OvertimeRate,2))</f>
        <v>0</v>
      </c>
      <c r="Y502" s="21">
        <f>IF(F502="","",IF(P502&lt;&gt;"Yes",0,ROUND(U502*IF(IFERROR(INDEX(Clients!$O$5:$O$204,MATCH(IFERROR(INDEX(Jobs!$G$5:$G$604,MATCH(G502,Jobs!$A$5:$A$604,0)),""),Clients!$A$5:$A$204,0)),0)&gt;0,INDEX(Clients!$O$5:$O$204,MATCH(INDEX(Jobs!$G$5:$G$604,MATCH(G502,Jobs!$A$5:$A$604,0)),Clients!$A$5:$A$204,0)),HourlyRate),2)))</f>
        <v>0</v>
      </c>
      <c r="Z502" s="39">
        <f>IF(F502="","",IF(U502=0,"Add - no hours recorded",IF(O502="Absent - no show","Action - no show",IF(U502&gt;10,"Check - over ten hours in a day",IF(Q502&lt;&gt;"Yes","Due - needs approving",IF(R502&lt;&gt;"Yes","Due - not paid yet","OK"))))))</f>
        <v>0</v>
      </c>
    </row>
    <row r="503" spans="1:26">
      <c r="A503" s="43">
        <f>IF(F503="","","TS-"&amp;TEXT(ROW()-4,"0000"))</f>
        <v>0</v>
      </c>
      <c r="C503" s="23">
        <f>IF(B503="","",TEXT(B503,"ddd"))</f>
        <v>0</v>
      </c>
      <c r="D503" s="31">
        <f>IF(B503="","",WEEKNUM(B503,IF(WeekStart="Sunday",1,2)))</f>
        <v>0</v>
      </c>
      <c r="E503" s="23">
        <f>IF(B503="","",TEXT(B503,"yyyy-mm"))</f>
        <v>0</v>
      </c>
      <c r="H503" s="23">
        <f>IF(G503="","",IFERROR(INDEX(Jobs!$H$5:$H$604,MATCH(G503,Jobs!$A$5:$A$604,0)),""))</f>
        <v>0</v>
      </c>
      <c r="T503" s="34">
        <f>IF(OR(J503="",K503=""),"",ROUND((K503-J503)*24-IF(L503="",0,L503)/60,2))</f>
        <v>0</v>
      </c>
      <c r="U503" s="34">
        <f>IF(F503="","",IF(M503&lt;&gt;"",M503,IF(T503="",0,T503)))</f>
        <v>0</v>
      </c>
      <c r="V503" s="21">
        <f>IF(F503="","",IFERROR(INDEX(Employees!$U$5:$U$44,MATCH(F503,Employees!$B$5:$B$44,0)),PayRate*(1+EmployerOncost)))</f>
        <v>0</v>
      </c>
      <c r="W503" s="34">
        <f>IF(F503="","",MAX(0,U503-IF(N503="",0,N503)))</f>
        <v>0</v>
      </c>
      <c r="X503" s="21">
        <f>IF(F503="","",ROUND(W503*V503+IF(N503="",0,N503)*V503*OvertimeRate,2))</f>
        <v>0</v>
      </c>
      <c r="Y503" s="21">
        <f>IF(F503="","",IF(P503&lt;&gt;"Yes",0,ROUND(U503*IF(IFERROR(INDEX(Clients!$O$5:$O$204,MATCH(IFERROR(INDEX(Jobs!$G$5:$G$604,MATCH(G503,Jobs!$A$5:$A$604,0)),""),Clients!$A$5:$A$204,0)),0)&gt;0,INDEX(Clients!$O$5:$O$204,MATCH(INDEX(Jobs!$G$5:$G$604,MATCH(G503,Jobs!$A$5:$A$604,0)),Clients!$A$5:$A$204,0)),HourlyRate),2)))</f>
        <v>0</v>
      </c>
      <c r="Z503" s="39">
        <f>IF(F503="","",IF(U503=0,"Add - no hours recorded",IF(O503="Absent - no show","Action - no show",IF(U503&gt;10,"Check - over ten hours in a day",IF(Q503&lt;&gt;"Yes","Due - needs approving",IF(R503&lt;&gt;"Yes","Due - not paid yet","OK"))))))</f>
        <v>0</v>
      </c>
    </row>
    <row r="504" spans="1:26">
      <c r="A504" s="43">
        <f>IF(F504="","","TS-"&amp;TEXT(ROW()-4,"0000"))</f>
        <v>0</v>
      </c>
      <c r="C504" s="23">
        <f>IF(B504="","",TEXT(B504,"ddd"))</f>
        <v>0</v>
      </c>
      <c r="D504" s="31">
        <f>IF(B504="","",WEEKNUM(B504,IF(WeekStart="Sunday",1,2)))</f>
        <v>0</v>
      </c>
      <c r="E504" s="23">
        <f>IF(B504="","",TEXT(B504,"yyyy-mm"))</f>
        <v>0</v>
      </c>
      <c r="H504" s="23">
        <f>IF(G504="","",IFERROR(INDEX(Jobs!$H$5:$H$604,MATCH(G504,Jobs!$A$5:$A$604,0)),""))</f>
        <v>0</v>
      </c>
      <c r="T504" s="34">
        <f>IF(OR(J504="",K504=""),"",ROUND((K504-J504)*24-IF(L504="",0,L504)/60,2))</f>
        <v>0</v>
      </c>
      <c r="U504" s="34">
        <f>IF(F504="","",IF(M504&lt;&gt;"",M504,IF(T504="",0,T504)))</f>
        <v>0</v>
      </c>
      <c r="V504" s="21">
        <f>IF(F504="","",IFERROR(INDEX(Employees!$U$5:$U$44,MATCH(F504,Employees!$B$5:$B$44,0)),PayRate*(1+EmployerOncost)))</f>
        <v>0</v>
      </c>
      <c r="W504" s="34">
        <f>IF(F504="","",MAX(0,U504-IF(N504="",0,N504)))</f>
        <v>0</v>
      </c>
      <c r="X504" s="21">
        <f>IF(F504="","",ROUND(W504*V504+IF(N504="",0,N504)*V504*OvertimeRate,2))</f>
        <v>0</v>
      </c>
      <c r="Y504" s="21">
        <f>IF(F504="","",IF(P504&lt;&gt;"Yes",0,ROUND(U504*IF(IFERROR(INDEX(Clients!$O$5:$O$204,MATCH(IFERROR(INDEX(Jobs!$G$5:$G$604,MATCH(G504,Jobs!$A$5:$A$604,0)),""),Clients!$A$5:$A$204,0)),0)&gt;0,INDEX(Clients!$O$5:$O$204,MATCH(INDEX(Jobs!$G$5:$G$604,MATCH(G504,Jobs!$A$5:$A$604,0)),Clients!$A$5:$A$204,0)),HourlyRate),2)))</f>
        <v>0</v>
      </c>
      <c r="Z504" s="39">
        <f>IF(F504="","",IF(U504=0,"Add - no hours recorded",IF(O504="Absent - no show","Action - no show",IF(U504&gt;10,"Check - over ten hours in a day",IF(Q504&lt;&gt;"Yes","Due - needs approving",IF(R504&lt;&gt;"Yes","Due - not paid yet","OK"))))))</f>
        <v>0</v>
      </c>
    </row>
    <row r="505" spans="1:26">
      <c r="A505" s="43">
        <f>IF(F505="","","TS-"&amp;TEXT(ROW()-4,"0000"))</f>
        <v>0</v>
      </c>
      <c r="C505" s="23">
        <f>IF(B505="","",TEXT(B505,"ddd"))</f>
        <v>0</v>
      </c>
      <c r="D505" s="31">
        <f>IF(B505="","",WEEKNUM(B505,IF(WeekStart="Sunday",1,2)))</f>
        <v>0</v>
      </c>
      <c r="E505" s="23">
        <f>IF(B505="","",TEXT(B505,"yyyy-mm"))</f>
        <v>0</v>
      </c>
      <c r="H505" s="23">
        <f>IF(G505="","",IFERROR(INDEX(Jobs!$H$5:$H$604,MATCH(G505,Jobs!$A$5:$A$604,0)),""))</f>
        <v>0</v>
      </c>
      <c r="T505" s="34">
        <f>IF(OR(J505="",K505=""),"",ROUND((K505-J505)*24-IF(L505="",0,L505)/60,2))</f>
        <v>0</v>
      </c>
      <c r="U505" s="34">
        <f>IF(F505="","",IF(M505&lt;&gt;"",M505,IF(T505="",0,T505)))</f>
        <v>0</v>
      </c>
      <c r="V505" s="21">
        <f>IF(F505="","",IFERROR(INDEX(Employees!$U$5:$U$44,MATCH(F505,Employees!$B$5:$B$44,0)),PayRate*(1+EmployerOncost)))</f>
        <v>0</v>
      </c>
      <c r="W505" s="34">
        <f>IF(F505="","",MAX(0,U505-IF(N505="",0,N505)))</f>
        <v>0</v>
      </c>
      <c r="X505" s="21">
        <f>IF(F505="","",ROUND(W505*V505+IF(N505="",0,N505)*V505*OvertimeRate,2))</f>
        <v>0</v>
      </c>
      <c r="Y505" s="21">
        <f>IF(F505="","",IF(P505&lt;&gt;"Yes",0,ROUND(U505*IF(IFERROR(INDEX(Clients!$O$5:$O$204,MATCH(IFERROR(INDEX(Jobs!$G$5:$G$604,MATCH(G505,Jobs!$A$5:$A$604,0)),""),Clients!$A$5:$A$204,0)),0)&gt;0,INDEX(Clients!$O$5:$O$204,MATCH(INDEX(Jobs!$G$5:$G$604,MATCH(G505,Jobs!$A$5:$A$604,0)),Clients!$A$5:$A$204,0)),HourlyRate),2)))</f>
        <v>0</v>
      </c>
      <c r="Z505" s="39">
        <f>IF(F505="","",IF(U505=0,"Add - no hours recorded",IF(O505="Absent - no show","Action - no show",IF(U505&gt;10,"Check - over ten hours in a day",IF(Q505&lt;&gt;"Yes","Due - needs approving",IF(R505&lt;&gt;"Yes","Due - not paid yet","OK"))))))</f>
        <v>0</v>
      </c>
    </row>
    <row r="506" spans="1:26">
      <c r="A506" s="43">
        <f>IF(F506="","","TS-"&amp;TEXT(ROW()-4,"0000"))</f>
        <v>0</v>
      </c>
      <c r="C506" s="23">
        <f>IF(B506="","",TEXT(B506,"ddd"))</f>
        <v>0</v>
      </c>
      <c r="D506" s="31">
        <f>IF(B506="","",WEEKNUM(B506,IF(WeekStart="Sunday",1,2)))</f>
        <v>0</v>
      </c>
      <c r="E506" s="23">
        <f>IF(B506="","",TEXT(B506,"yyyy-mm"))</f>
        <v>0</v>
      </c>
      <c r="H506" s="23">
        <f>IF(G506="","",IFERROR(INDEX(Jobs!$H$5:$H$604,MATCH(G506,Jobs!$A$5:$A$604,0)),""))</f>
        <v>0</v>
      </c>
      <c r="T506" s="34">
        <f>IF(OR(J506="",K506=""),"",ROUND((K506-J506)*24-IF(L506="",0,L506)/60,2))</f>
        <v>0</v>
      </c>
      <c r="U506" s="34">
        <f>IF(F506="","",IF(M506&lt;&gt;"",M506,IF(T506="",0,T506)))</f>
        <v>0</v>
      </c>
      <c r="V506" s="21">
        <f>IF(F506="","",IFERROR(INDEX(Employees!$U$5:$U$44,MATCH(F506,Employees!$B$5:$B$44,0)),PayRate*(1+EmployerOncost)))</f>
        <v>0</v>
      </c>
      <c r="W506" s="34">
        <f>IF(F506="","",MAX(0,U506-IF(N506="",0,N506)))</f>
        <v>0</v>
      </c>
      <c r="X506" s="21">
        <f>IF(F506="","",ROUND(W506*V506+IF(N506="",0,N506)*V506*OvertimeRate,2))</f>
        <v>0</v>
      </c>
      <c r="Y506" s="21">
        <f>IF(F506="","",IF(P506&lt;&gt;"Yes",0,ROUND(U506*IF(IFERROR(INDEX(Clients!$O$5:$O$204,MATCH(IFERROR(INDEX(Jobs!$G$5:$G$604,MATCH(G506,Jobs!$A$5:$A$604,0)),""),Clients!$A$5:$A$204,0)),0)&gt;0,INDEX(Clients!$O$5:$O$204,MATCH(INDEX(Jobs!$G$5:$G$604,MATCH(G506,Jobs!$A$5:$A$604,0)),Clients!$A$5:$A$204,0)),HourlyRate),2)))</f>
        <v>0</v>
      </c>
      <c r="Z506" s="39">
        <f>IF(F506="","",IF(U506=0,"Add - no hours recorded",IF(O506="Absent - no show","Action - no show",IF(U506&gt;10,"Check - over ten hours in a day",IF(Q506&lt;&gt;"Yes","Due - needs approving",IF(R506&lt;&gt;"Yes","Due - not paid yet","OK"))))))</f>
        <v>0</v>
      </c>
    </row>
    <row r="507" spans="1:26">
      <c r="A507" s="43">
        <f>IF(F507="","","TS-"&amp;TEXT(ROW()-4,"0000"))</f>
        <v>0</v>
      </c>
      <c r="C507" s="23">
        <f>IF(B507="","",TEXT(B507,"ddd"))</f>
        <v>0</v>
      </c>
      <c r="D507" s="31">
        <f>IF(B507="","",WEEKNUM(B507,IF(WeekStart="Sunday",1,2)))</f>
        <v>0</v>
      </c>
      <c r="E507" s="23">
        <f>IF(B507="","",TEXT(B507,"yyyy-mm"))</f>
        <v>0</v>
      </c>
      <c r="H507" s="23">
        <f>IF(G507="","",IFERROR(INDEX(Jobs!$H$5:$H$604,MATCH(G507,Jobs!$A$5:$A$604,0)),""))</f>
        <v>0</v>
      </c>
      <c r="T507" s="34">
        <f>IF(OR(J507="",K507=""),"",ROUND((K507-J507)*24-IF(L507="",0,L507)/60,2))</f>
        <v>0</v>
      </c>
      <c r="U507" s="34">
        <f>IF(F507="","",IF(M507&lt;&gt;"",M507,IF(T507="",0,T507)))</f>
        <v>0</v>
      </c>
      <c r="V507" s="21">
        <f>IF(F507="","",IFERROR(INDEX(Employees!$U$5:$U$44,MATCH(F507,Employees!$B$5:$B$44,0)),PayRate*(1+EmployerOncost)))</f>
        <v>0</v>
      </c>
      <c r="W507" s="34">
        <f>IF(F507="","",MAX(0,U507-IF(N507="",0,N507)))</f>
        <v>0</v>
      </c>
      <c r="X507" s="21">
        <f>IF(F507="","",ROUND(W507*V507+IF(N507="",0,N507)*V507*OvertimeRate,2))</f>
        <v>0</v>
      </c>
      <c r="Y507" s="21">
        <f>IF(F507="","",IF(P507&lt;&gt;"Yes",0,ROUND(U507*IF(IFERROR(INDEX(Clients!$O$5:$O$204,MATCH(IFERROR(INDEX(Jobs!$G$5:$G$604,MATCH(G507,Jobs!$A$5:$A$604,0)),""),Clients!$A$5:$A$204,0)),0)&gt;0,INDEX(Clients!$O$5:$O$204,MATCH(INDEX(Jobs!$G$5:$G$604,MATCH(G507,Jobs!$A$5:$A$604,0)),Clients!$A$5:$A$204,0)),HourlyRate),2)))</f>
        <v>0</v>
      </c>
      <c r="Z507" s="39">
        <f>IF(F507="","",IF(U507=0,"Add - no hours recorded",IF(O507="Absent - no show","Action - no show",IF(U507&gt;10,"Check - over ten hours in a day",IF(Q507&lt;&gt;"Yes","Due - needs approving",IF(R507&lt;&gt;"Yes","Due - not paid yet","OK"))))))</f>
        <v>0</v>
      </c>
    </row>
    <row r="508" spans="1:26">
      <c r="A508" s="43">
        <f>IF(F508="","","TS-"&amp;TEXT(ROW()-4,"0000"))</f>
        <v>0</v>
      </c>
      <c r="C508" s="23">
        <f>IF(B508="","",TEXT(B508,"ddd"))</f>
        <v>0</v>
      </c>
      <c r="D508" s="31">
        <f>IF(B508="","",WEEKNUM(B508,IF(WeekStart="Sunday",1,2)))</f>
        <v>0</v>
      </c>
      <c r="E508" s="23">
        <f>IF(B508="","",TEXT(B508,"yyyy-mm"))</f>
        <v>0</v>
      </c>
      <c r="H508" s="23">
        <f>IF(G508="","",IFERROR(INDEX(Jobs!$H$5:$H$604,MATCH(G508,Jobs!$A$5:$A$604,0)),""))</f>
        <v>0</v>
      </c>
      <c r="T508" s="34">
        <f>IF(OR(J508="",K508=""),"",ROUND((K508-J508)*24-IF(L508="",0,L508)/60,2))</f>
        <v>0</v>
      </c>
      <c r="U508" s="34">
        <f>IF(F508="","",IF(M508&lt;&gt;"",M508,IF(T508="",0,T508)))</f>
        <v>0</v>
      </c>
      <c r="V508" s="21">
        <f>IF(F508="","",IFERROR(INDEX(Employees!$U$5:$U$44,MATCH(F508,Employees!$B$5:$B$44,0)),PayRate*(1+EmployerOncost)))</f>
        <v>0</v>
      </c>
      <c r="W508" s="34">
        <f>IF(F508="","",MAX(0,U508-IF(N508="",0,N508)))</f>
        <v>0</v>
      </c>
      <c r="X508" s="21">
        <f>IF(F508="","",ROUND(W508*V508+IF(N508="",0,N508)*V508*OvertimeRate,2))</f>
        <v>0</v>
      </c>
      <c r="Y508" s="21">
        <f>IF(F508="","",IF(P508&lt;&gt;"Yes",0,ROUND(U508*IF(IFERROR(INDEX(Clients!$O$5:$O$204,MATCH(IFERROR(INDEX(Jobs!$G$5:$G$604,MATCH(G508,Jobs!$A$5:$A$604,0)),""),Clients!$A$5:$A$204,0)),0)&gt;0,INDEX(Clients!$O$5:$O$204,MATCH(INDEX(Jobs!$G$5:$G$604,MATCH(G508,Jobs!$A$5:$A$604,0)),Clients!$A$5:$A$204,0)),HourlyRate),2)))</f>
        <v>0</v>
      </c>
      <c r="Z508" s="39">
        <f>IF(F508="","",IF(U508=0,"Add - no hours recorded",IF(O508="Absent - no show","Action - no show",IF(U508&gt;10,"Check - over ten hours in a day",IF(Q508&lt;&gt;"Yes","Due - needs approving",IF(R508&lt;&gt;"Yes","Due - not paid yet","OK"))))))</f>
        <v>0</v>
      </c>
    </row>
    <row r="509" spans="1:26">
      <c r="A509" s="43">
        <f>IF(F509="","","TS-"&amp;TEXT(ROW()-4,"0000"))</f>
        <v>0</v>
      </c>
      <c r="C509" s="23">
        <f>IF(B509="","",TEXT(B509,"ddd"))</f>
        <v>0</v>
      </c>
      <c r="D509" s="31">
        <f>IF(B509="","",WEEKNUM(B509,IF(WeekStart="Sunday",1,2)))</f>
        <v>0</v>
      </c>
      <c r="E509" s="23">
        <f>IF(B509="","",TEXT(B509,"yyyy-mm"))</f>
        <v>0</v>
      </c>
      <c r="H509" s="23">
        <f>IF(G509="","",IFERROR(INDEX(Jobs!$H$5:$H$604,MATCH(G509,Jobs!$A$5:$A$604,0)),""))</f>
        <v>0</v>
      </c>
      <c r="T509" s="34">
        <f>IF(OR(J509="",K509=""),"",ROUND((K509-J509)*24-IF(L509="",0,L509)/60,2))</f>
        <v>0</v>
      </c>
      <c r="U509" s="34">
        <f>IF(F509="","",IF(M509&lt;&gt;"",M509,IF(T509="",0,T509)))</f>
        <v>0</v>
      </c>
      <c r="V509" s="21">
        <f>IF(F509="","",IFERROR(INDEX(Employees!$U$5:$U$44,MATCH(F509,Employees!$B$5:$B$44,0)),PayRate*(1+EmployerOncost)))</f>
        <v>0</v>
      </c>
      <c r="W509" s="34">
        <f>IF(F509="","",MAX(0,U509-IF(N509="",0,N509)))</f>
        <v>0</v>
      </c>
      <c r="X509" s="21">
        <f>IF(F509="","",ROUND(W509*V509+IF(N509="",0,N509)*V509*OvertimeRate,2))</f>
        <v>0</v>
      </c>
      <c r="Y509" s="21">
        <f>IF(F509="","",IF(P509&lt;&gt;"Yes",0,ROUND(U509*IF(IFERROR(INDEX(Clients!$O$5:$O$204,MATCH(IFERROR(INDEX(Jobs!$G$5:$G$604,MATCH(G509,Jobs!$A$5:$A$604,0)),""),Clients!$A$5:$A$204,0)),0)&gt;0,INDEX(Clients!$O$5:$O$204,MATCH(INDEX(Jobs!$G$5:$G$604,MATCH(G509,Jobs!$A$5:$A$604,0)),Clients!$A$5:$A$204,0)),HourlyRate),2)))</f>
        <v>0</v>
      </c>
      <c r="Z509" s="39">
        <f>IF(F509="","",IF(U509=0,"Add - no hours recorded",IF(O509="Absent - no show","Action - no show",IF(U509&gt;10,"Check - over ten hours in a day",IF(Q509&lt;&gt;"Yes","Due - needs approving",IF(R509&lt;&gt;"Yes","Due - not paid yet","OK"))))))</f>
        <v>0</v>
      </c>
    </row>
    <row r="510" spans="1:26">
      <c r="A510" s="43">
        <f>IF(F510="","","TS-"&amp;TEXT(ROW()-4,"0000"))</f>
        <v>0</v>
      </c>
      <c r="C510" s="23">
        <f>IF(B510="","",TEXT(B510,"ddd"))</f>
        <v>0</v>
      </c>
      <c r="D510" s="31">
        <f>IF(B510="","",WEEKNUM(B510,IF(WeekStart="Sunday",1,2)))</f>
        <v>0</v>
      </c>
      <c r="E510" s="23">
        <f>IF(B510="","",TEXT(B510,"yyyy-mm"))</f>
        <v>0</v>
      </c>
      <c r="H510" s="23">
        <f>IF(G510="","",IFERROR(INDEX(Jobs!$H$5:$H$604,MATCH(G510,Jobs!$A$5:$A$604,0)),""))</f>
        <v>0</v>
      </c>
      <c r="T510" s="34">
        <f>IF(OR(J510="",K510=""),"",ROUND((K510-J510)*24-IF(L510="",0,L510)/60,2))</f>
        <v>0</v>
      </c>
      <c r="U510" s="34">
        <f>IF(F510="","",IF(M510&lt;&gt;"",M510,IF(T510="",0,T510)))</f>
        <v>0</v>
      </c>
      <c r="V510" s="21">
        <f>IF(F510="","",IFERROR(INDEX(Employees!$U$5:$U$44,MATCH(F510,Employees!$B$5:$B$44,0)),PayRate*(1+EmployerOncost)))</f>
        <v>0</v>
      </c>
      <c r="W510" s="34">
        <f>IF(F510="","",MAX(0,U510-IF(N510="",0,N510)))</f>
        <v>0</v>
      </c>
      <c r="X510" s="21">
        <f>IF(F510="","",ROUND(W510*V510+IF(N510="",0,N510)*V510*OvertimeRate,2))</f>
        <v>0</v>
      </c>
      <c r="Y510" s="21">
        <f>IF(F510="","",IF(P510&lt;&gt;"Yes",0,ROUND(U510*IF(IFERROR(INDEX(Clients!$O$5:$O$204,MATCH(IFERROR(INDEX(Jobs!$G$5:$G$604,MATCH(G510,Jobs!$A$5:$A$604,0)),""),Clients!$A$5:$A$204,0)),0)&gt;0,INDEX(Clients!$O$5:$O$204,MATCH(INDEX(Jobs!$G$5:$G$604,MATCH(G510,Jobs!$A$5:$A$604,0)),Clients!$A$5:$A$204,0)),HourlyRate),2)))</f>
        <v>0</v>
      </c>
      <c r="Z510" s="39">
        <f>IF(F510="","",IF(U510=0,"Add - no hours recorded",IF(O510="Absent - no show","Action - no show",IF(U510&gt;10,"Check - over ten hours in a day",IF(Q510&lt;&gt;"Yes","Due - needs approving",IF(R510&lt;&gt;"Yes","Due - not paid yet","OK"))))))</f>
        <v>0</v>
      </c>
    </row>
    <row r="511" spans="1:26">
      <c r="A511" s="43">
        <f>IF(F511="","","TS-"&amp;TEXT(ROW()-4,"0000"))</f>
        <v>0</v>
      </c>
      <c r="C511" s="23">
        <f>IF(B511="","",TEXT(B511,"ddd"))</f>
        <v>0</v>
      </c>
      <c r="D511" s="31">
        <f>IF(B511="","",WEEKNUM(B511,IF(WeekStart="Sunday",1,2)))</f>
        <v>0</v>
      </c>
      <c r="E511" s="23">
        <f>IF(B511="","",TEXT(B511,"yyyy-mm"))</f>
        <v>0</v>
      </c>
      <c r="H511" s="23">
        <f>IF(G511="","",IFERROR(INDEX(Jobs!$H$5:$H$604,MATCH(G511,Jobs!$A$5:$A$604,0)),""))</f>
        <v>0</v>
      </c>
      <c r="T511" s="34">
        <f>IF(OR(J511="",K511=""),"",ROUND((K511-J511)*24-IF(L511="",0,L511)/60,2))</f>
        <v>0</v>
      </c>
      <c r="U511" s="34">
        <f>IF(F511="","",IF(M511&lt;&gt;"",M511,IF(T511="",0,T511)))</f>
        <v>0</v>
      </c>
      <c r="V511" s="21">
        <f>IF(F511="","",IFERROR(INDEX(Employees!$U$5:$U$44,MATCH(F511,Employees!$B$5:$B$44,0)),PayRate*(1+EmployerOncost)))</f>
        <v>0</v>
      </c>
      <c r="W511" s="34">
        <f>IF(F511="","",MAX(0,U511-IF(N511="",0,N511)))</f>
        <v>0</v>
      </c>
      <c r="X511" s="21">
        <f>IF(F511="","",ROUND(W511*V511+IF(N511="",0,N511)*V511*OvertimeRate,2))</f>
        <v>0</v>
      </c>
      <c r="Y511" s="21">
        <f>IF(F511="","",IF(P511&lt;&gt;"Yes",0,ROUND(U511*IF(IFERROR(INDEX(Clients!$O$5:$O$204,MATCH(IFERROR(INDEX(Jobs!$G$5:$G$604,MATCH(G511,Jobs!$A$5:$A$604,0)),""),Clients!$A$5:$A$204,0)),0)&gt;0,INDEX(Clients!$O$5:$O$204,MATCH(INDEX(Jobs!$G$5:$G$604,MATCH(G511,Jobs!$A$5:$A$604,0)),Clients!$A$5:$A$204,0)),HourlyRate),2)))</f>
        <v>0</v>
      </c>
      <c r="Z511" s="39">
        <f>IF(F511="","",IF(U511=0,"Add - no hours recorded",IF(O511="Absent - no show","Action - no show",IF(U511&gt;10,"Check - over ten hours in a day",IF(Q511&lt;&gt;"Yes","Due - needs approving",IF(R511&lt;&gt;"Yes","Due - not paid yet","OK"))))))</f>
        <v>0</v>
      </c>
    </row>
    <row r="512" spans="1:26">
      <c r="A512" s="43">
        <f>IF(F512="","","TS-"&amp;TEXT(ROW()-4,"0000"))</f>
        <v>0</v>
      </c>
      <c r="C512" s="23">
        <f>IF(B512="","",TEXT(B512,"ddd"))</f>
        <v>0</v>
      </c>
      <c r="D512" s="31">
        <f>IF(B512="","",WEEKNUM(B512,IF(WeekStart="Sunday",1,2)))</f>
        <v>0</v>
      </c>
      <c r="E512" s="23">
        <f>IF(B512="","",TEXT(B512,"yyyy-mm"))</f>
        <v>0</v>
      </c>
      <c r="H512" s="23">
        <f>IF(G512="","",IFERROR(INDEX(Jobs!$H$5:$H$604,MATCH(G512,Jobs!$A$5:$A$604,0)),""))</f>
        <v>0</v>
      </c>
      <c r="T512" s="34">
        <f>IF(OR(J512="",K512=""),"",ROUND((K512-J512)*24-IF(L512="",0,L512)/60,2))</f>
        <v>0</v>
      </c>
      <c r="U512" s="34">
        <f>IF(F512="","",IF(M512&lt;&gt;"",M512,IF(T512="",0,T512)))</f>
        <v>0</v>
      </c>
      <c r="V512" s="21">
        <f>IF(F512="","",IFERROR(INDEX(Employees!$U$5:$U$44,MATCH(F512,Employees!$B$5:$B$44,0)),PayRate*(1+EmployerOncost)))</f>
        <v>0</v>
      </c>
      <c r="W512" s="34">
        <f>IF(F512="","",MAX(0,U512-IF(N512="",0,N512)))</f>
        <v>0</v>
      </c>
      <c r="X512" s="21">
        <f>IF(F512="","",ROUND(W512*V512+IF(N512="",0,N512)*V512*OvertimeRate,2))</f>
        <v>0</v>
      </c>
      <c r="Y512" s="21">
        <f>IF(F512="","",IF(P512&lt;&gt;"Yes",0,ROUND(U512*IF(IFERROR(INDEX(Clients!$O$5:$O$204,MATCH(IFERROR(INDEX(Jobs!$G$5:$G$604,MATCH(G512,Jobs!$A$5:$A$604,0)),""),Clients!$A$5:$A$204,0)),0)&gt;0,INDEX(Clients!$O$5:$O$204,MATCH(INDEX(Jobs!$G$5:$G$604,MATCH(G512,Jobs!$A$5:$A$604,0)),Clients!$A$5:$A$204,0)),HourlyRate),2)))</f>
        <v>0</v>
      </c>
      <c r="Z512" s="39">
        <f>IF(F512="","",IF(U512=0,"Add - no hours recorded",IF(O512="Absent - no show","Action - no show",IF(U512&gt;10,"Check - over ten hours in a day",IF(Q512&lt;&gt;"Yes","Due - needs approving",IF(R512&lt;&gt;"Yes","Due - not paid yet","OK"))))))</f>
        <v>0</v>
      </c>
    </row>
    <row r="513" spans="1:26">
      <c r="A513" s="43">
        <f>IF(F513="","","TS-"&amp;TEXT(ROW()-4,"0000"))</f>
        <v>0</v>
      </c>
      <c r="C513" s="23">
        <f>IF(B513="","",TEXT(B513,"ddd"))</f>
        <v>0</v>
      </c>
      <c r="D513" s="31">
        <f>IF(B513="","",WEEKNUM(B513,IF(WeekStart="Sunday",1,2)))</f>
        <v>0</v>
      </c>
      <c r="E513" s="23">
        <f>IF(B513="","",TEXT(B513,"yyyy-mm"))</f>
        <v>0</v>
      </c>
      <c r="H513" s="23">
        <f>IF(G513="","",IFERROR(INDEX(Jobs!$H$5:$H$604,MATCH(G513,Jobs!$A$5:$A$604,0)),""))</f>
        <v>0</v>
      </c>
      <c r="T513" s="34">
        <f>IF(OR(J513="",K513=""),"",ROUND((K513-J513)*24-IF(L513="",0,L513)/60,2))</f>
        <v>0</v>
      </c>
      <c r="U513" s="34">
        <f>IF(F513="","",IF(M513&lt;&gt;"",M513,IF(T513="",0,T513)))</f>
        <v>0</v>
      </c>
      <c r="V513" s="21">
        <f>IF(F513="","",IFERROR(INDEX(Employees!$U$5:$U$44,MATCH(F513,Employees!$B$5:$B$44,0)),PayRate*(1+EmployerOncost)))</f>
        <v>0</v>
      </c>
      <c r="W513" s="34">
        <f>IF(F513="","",MAX(0,U513-IF(N513="",0,N513)))</f>
        <v>0</v>
      </c>
      <c r="X513" s="21">
        <f>IF(F513="","",ROUND(W513*V513+IF(N513="",0,N513)*V513*OvertimeRate,2))</f>
        <v>0</v>
      </c>
      <c r="Y513" s="21">
        <f>IF(F513="","",IF(P513&lt;&gt;"Yes",0,ROUND(U513*IF(IFERROR(INDEX(Clients!$O$5:$O$204,MATCH(IFERROR(INDEX(Jobs!$G$5:$G$604,MATCH(G513,Jobs!$A$5:$A$604,0)),""),Clients!$A$5:$A$204,0)),0)&gt;0,INDEX(Clients!$O$5:$O$204,MATCH(INDEX(Jobs!$G$5:$G$604,MATCH(G513,Jobs!$A$5:$A$604,0)),Clients!$A$5:$A$204,0)),HourlyRate),2)))</f>
        <v>0</v>
      </c>
      <c r="Z513" s="39">
        <f>IF(F513="","",IF(U513=0,"Add - no hours recorded",IF(O513="Absent - no show","Action - no show",IF(U513&gt;10,"Check - over ten hours in a day",IF(Q513&lt;&gt;"Yes","Due - needs approving",IF(R513&lt;&gt;"Yes","Due - not paid yet","OK"))))))</f>
        <v>0</v>
      </c>
    </row>
    <row r="514" spans="1:26">
      <c r="A514" s="43">
        <f>IF(F514="","","TS-"&amp;TEXT(ROW()-4,"0000"))</f>
        <v>0</v>
      </c>
      <c r="C514" s="23">
        <f>IF(B514="","",TEXT(B514,"ddd"))</f>
        <v>0</v>
      </c>
      <c r="D514" s="31">
        <f>IF(B514="","",WEEKNUM(B514,IF(WeekStart="Sunday",1,2)))</f>
        <v>0</v>
      </c>
      <c r="E514" s="23">
        <f>IF(B514="","",TEXT(B514,"yyyy-mm"))</f>
        <v>0</v>
      </c>
      <c r="H514" s="23">
        <f>IF(G514="","",IFERROR(INDEX(Jobs!$H$5:$H$604,MATCH(G514,Jobs!$A$5:$A$604,0)),""))</f>
        <v>0</v>
      </c>
      <c r="T514" s="34">
        <f>IF(OR(J514="",K514=""),"",ROUND((K514-J514)*24-IF(L514="",0,L514)/60,2))</f>
        <v>0</v>
      </c>
      <c r="U514" s="34">
        <f>IF(F514="","",IF(M514&lt;&gt;"",M514,IF(T514="",0,T514)))</f>
        <v>0</v>
      </c>
      <c r="V514" s="21">
        <f>IF(F514="","",IFERROR(INDEX(Employees!$U$5:$U$44,MATCH(F514,Employees!$B$5:$B$44,0)),PayRate*(1+EmployerOncost)))</f>
        <v>0</v>
      </c>
      <c r="W514" s="34">
        <f>IF(F514="","",MAX(0,U514-IF(N514="",0,N514)))</f>
        <v>0</v>
      </c>
      <c r="X514" s="21">
        <f>IF(F514="","",ROUND(W514*V514+IF(N514="",0,N514)*V514*OvertimeRate,2))</f>
        <v>0</v>
      </c>
      <c r="Y514" s="21">
        <f>IF(F514="","",IF(P514&lt;&gt;"Yes",0,ROUND(U514*IF(IFERROR(INDEX(Clients!$O$5:$O$204,MATCH(IFERROR(INDEX(Jobs!$G$5:$G$604,MATCH(G514,Jobs!$A$5:$A$604,0)),""),Clients!$A$5:$A$204,0)),0)&gt;0,INDEX(Clients!$O$5:$O$204,MATCH(INDEX(Jobs!$G$5:$G$604,MATCH(G514,Jobs!$A$5:$A$604,0)),Clients!$A$5:$A$204,0)),HourlyRate),2)))</f>
        <v>0</v>
      </c>
      <c r="Z514" s="39">
        <f>IF(F514="","",IF(U514=0,"Add - no hours recorded",IF(O514="Absent - no show","Action - no show",IF(U514&gt;10,"Check - over ten hours in a day",IF(Q514&lt;&gt;"Yes","Due - needs approving",IF(R514&lt;&gt;"Yes","Due - not paid yet","OK"))))))</f>
        <v>0</v>
      </c>
    </row>
    <row r="515" spans="1:26">
      <c r="A515" s="43">
        <f>IF(F515="","","TS-"&amp;TEXT(ROW()-4,"0000"))</f>
        <v>0</v>
      </c>
      <c r="C515" s="23">
        <f>IF(B515="","",TEXT(B515,"ddd"))</f>
        <v>0</v>
      </c>
      <c r="D515" s="31">
        <f>IF(B515="","",WEEKNUM(B515,IF(WeekStart="Sunday",1,2)))</f>
        <v>0</v>
      </c>
      <c r="E515" s="23">
        <f>IF(B515="","",TEXT(B515,"yyyy-mm"))</f>
        <v>0</v>
      </c>
      <c r="H515" s="23">
        <f>IF(G515="","",IFERROR(INDEX(Jobs!$H$5:$H$604,MATCH(G515,Jobs!$A$5:$A$604,0)),""))</f>
        <v>0</v>
      </c>
      <c r="T515" s="34">
        <f>IF(OR(J515="",K515=""),"",ROUND((K515-J515)*24-IF(L515="",0,L515)/60,2))</f>
        <v>0</v>
      </c>
      <c r="U515" s="34">
        <f>IF(F515="","",IF(M515&lt;&gt;"",M515,IF(T515="",0,T515)))</f>
        <v>0</v>
      </c>
      <c r="V515" s="21">
        <f>IF(F515="","",IFERROR(INDEX(Employees!$U$5:$U$44,MATCH(F515,Employees!$B$5:$B$44,0)),PayRate*(1+EmployerOncost)))</f>
        <v>0</v>
      </c>
      <c r="W515" s="34">
        <f>IF(F515="","",MAX(0,U515-IF(N515="",0,N515)))</f>
        <v>0</v>
      </c>
      <c r="X515" s="21">
        <f>IF(F515="","",ROUND(W515*V515+IF(N515="",0,N515)*V515*OvertimeRate,2))</f>
        <v>0</v>
      </c>
      <c r="Y515" s="21">
        <f>IF(F515="","",IF(P515&lt;&gt;"Yes",0,ROUND(U515*IF(IFERROR(INDEX(Clients!$O$5:$O$204,MATCH(IFERROR(INDEX(Jobs!$G$5:$G$604,MATCH(G515,Jobs!$A$5:$A$604,0)),""),Clients!$A$5:$A$204,0)),0)&gt;0,INDEX(Clients!$O$5:$O$204,MATCH(INDEX(Jobs!$G$5:$G$604,MATCH(G515,Jobs!$A$5:$A$604,0)),Clients!$A$5:$A$204,0)),HourlyRate),2)))</f>
        <v>0</v>
      </c>
      <c r="Z515" s="39">
        <f>IF(F515="","",IF(U515=0,"Add - no hours recorded",IF(O515="Absent - no show","Action - no show",IF(U515&gt;10,"Check - over ten hours in a day",IF(Q515&lt;&gt;"Yes","Due - needs approving",IF(R515&lt;&gt;"Yes","Due - not paid yet","OK"))))))</f>
        <v>0</v>
      </c>
    </row>
    <row r="516" spans="1:26">
      <c r="A516" s="43">
        <f>IF(F516="","","TS-"&amp;TEXT(ROW()-4,"0000"))</f>
        <v>0</v>
      </c>
      <c r="C516" s="23">
        <f>IF(B516="","",TEXT(B516,"ddd"))</f>
        <v>0</v>
      </c>
      <c r="D516" s="31">
        <f>IF(B516="","",WEEKNUM(B516,IF(WeekStart="Sunday",1,2)))</f>
        <v>0</v>
      </c>
      <c r="E516" s="23">
        <f>IF(B516="","",TEXT(B516,"yyyy-mm"))</f>
        <v>0</v>
      </c>
      <c r="H516" s="23">
        <f>IF(G516="","",IFERROR(INDEX(Jobs!$H$5:$H$604,MATCH(G516,Jobs!$A$5:$A$604,0)),""))</f>
        <v>0</v>
      </c>
      <c r="T516" s="34">
        <f>IF(OR(J516="",K516=""),"",ROUND((K516-J516)*24-IF(L516="",0,L516)/60,2))</f>
        <v>0</v>
      </c>
      <c r="U516" s="34">
        <f>IF(F516="","",IF(M516&lt;&gt;"",M516,IF(T516="",0,T516)))</f>
        <v>0</v>
      </c>
      <c r="V516" s="21">
        <f>IF(F516="","",IFERROR(INDEX(Employees!$U$5:$U$44,MATCH(F516,Employees!$B$5:$B$44,0)),PayRate*(1+EmployerOncost)))</f>
        <v>0</v>
      </c>
      <c r="W516" s="34">
        <f>IF(F516="","",MAX(0,U516-IF(N516="",0,N516)))</f>
        <v>0</v>
      </c>
      <c r="X516" s="21">
        <f>IF(F516="","",ROUND(W516*V516+IF(N516="",0,N516)*V516*OvertimeRate,2))</f>
        <v>0</v>
      </c>
      <c r="Y516" s="21">
        <f>IF(F516="","",IF(P516&lt;&gt;"Yes",0,ROUND(U516*IF(IFERROR(INDEX(Clients!$O$5:$O$204,MATCH(IFERROR(INDEX(Jobs!$G$5:$G$604,MATCH(G516,Jobs!$A$5:$A$604,0)),""),Clients!$A$5:$A$204,0)),0)&gt;0,INDEX(Clients!$O$5:$O$204,MATCH(INDEX(Jobs!$G$5:$G$604,MATCH(G516,Jobs!$A$5:$A$604,0)),Clients!$A$5:$A$204,0)),HourlyRate),2)))</f>
        <v>0</v>
      </c>
      <c r="Z516" s="39">
        <f>IF(F516="","",IF(U516=0,"Add - no hours recorded",IF(O516="Absent - no show","Action - no show",IF(U516&gt;10,"Check - over ten hours in a day",IF(Q516&lt;&gt;"Yes","Due - needs approving",IF(R516&lt;&gt;"Yes","Due - not paid yet","OK"))))))</f>
        <v>0</v>
      </c>
    </row>
    <row r="517" spans="1:26">
      <c r="A517" s="43">
        <f>IF(F517="","","TS-"&amp;TEXT(ROW()-4,"0000"))</f>
        <v>0</v>
      </c>
      <c r="C517" s="23">
        <f>IF(B517="","",TEXT(B517,"ddd"))</f>
        <v>0</v>
      </c>
      <c r="D517" s="31">
        <f>IF(B517="","",WEEKNUM(B517,IF(WeekStart="Sunday",1,2)))</f>
        <v>0</v>
      </c>
      <c r="E517" s="23">
        <f>IF(B517="","",TEXT(B517,"yyyy-mm"))</f>
        <v>0</v>
      </c>
      <c r="H517" s="23">
        <f>IF(G517="","",IFERROR(INDEX(Jobs!$H$5:$H$604,MATCH(G517,Jobs!$A$5:$A$604,0)),""))</f>
        <v>0</v>
      </c>
      <c r="T517" s="34">
        <f>IF(OR(J517="",K517=""),"",ROUND((K517-J517)*24-IF(L517="",0,L517)/60,2))</f>
        <v>0</v>
      </c>
      <c r="U517" s="34">
        <f>IF(F517="","",IF(M517&lt;&gt;"",M517,IF(T517="",0,T517)))</f>
        <v>0</v>
      </c>
      <c r="V517" s="21">
        <f>IF(F517="","",IFERROR(INDEX(Employees!$U$5:$U$44,MATCH(F517,Employees!$B$5:$B$44,0)),PayRate*(1+EmployerOncost)))</f>
        <v>0</v>
      </c>
      <c r="W517" s="34">
        <f>IF(F517="","",MAX(0,U517-IF(N517="",0,N517)))</f>
        <v>0</v>
      </c>
      <c r="X517" s="21">
        <f>IF(F517="","",ROUND(W517*V517+IF(N517="",0,N517)*V517*OvertimeRate,2))</f>
        <v>0</v>
      </c>
      <c r="Y517" s="21">
        <f>IF(F517="","",IF(P517&lt;&gt;"Yes",0,ROUND(U517*IF(IFERROR(INDEX(Clients!$O$5:$O$204,MATCH(IFERROR(INDEX(Jobs!$G$5:$G$604,MATCH(G517,Jobs!$A$5:$A$604,0)),""),Clients!$A$5:$A$204,0)),0)&gt;0,INDEX(Clients!$O$5:$O$204,MATCH(INDEX(Jobs!$G$5:$G$604,MATCH(G517,Jobs!$A$5:$A$604,0)),Clients!$A$5:$A$204,0)),HourlyRate),2)))</f>
        <v>0</v>
      </c>
      <c r="Z517" s="39">
        <f>IF(F517="","",IF(U517=0,"Add - no hours recorded",IF(O517="Absent - no show","Action - no show",IF(U517&gt;10,"Check - over ten hours in a day",IF(Q517&lt;&gt;"Yes","Due - needs approving",IF(R517&lt;&gt;"Yes","Due - not paid yet","OK"))))))</f>
        <v>0</v>
      </c>
    </row>
    <row r="518" spans="1:26">
      <c r="A518" s="43">
        <f>IF(F518="","","TS-"&amp;TEXT(ROW()-4,"0000"))</f>
        <v>0</v>
      </c>
      <c r="C518" s="23">
        <f>IF(B518="","",TEXT(B518,"ddd"))</f>
        <v>0</v>
      </c>
      <c r="D518" s="31">
        <f>IF(B518="","",WEEKNUM(B518,IF(WeekStart="Sunday",1,2)))</f>
        <v>0</v>
      </c>
      <c r="E518" s="23">
        <f>IF(B518="","",TEXT(B518,"yyyy-mm"))</f>
        <v>0</v>
      </c>
      <c r="H518" s="23">
        <f>IF(G518="","",IFERROR(INDEX(Jobs!$H$5:$H$604,MATCH(G518,Jobs!$A$5:$A$604,0)),""))</f>
        <v>0</v>
      </c>
      <c r="T518" s="34">
        <f>IF(OR(J518="",K518=""),"",ROUND((K518-J518)*24-IF(L518="",0,L518)/60,2))</f>
        <v>0</v>
      </c>
      <c r="U518" s="34">
        <f>IF(F518="","",IF(M518&lt;&gt;"",M518,IF(T518="",0,T518)))</f>
        <v>0</v>
      </c>
      <c r="V518" s="21">
        <f>IF(F518="","",IFERROR(INDEX(Employees!$U$5:$U$44,MATCH(F518,Employees!$B$5:$B$44,0)),PayRate*(1+EmployerOncost)))</f>
        <v>0</v>
      </c>
      <c r="W518" s="34">
        <f>IF(F518="","",MAX(0,U518-IF(N518="",0,N518)))</f>
        <v>0</v>
      </c>
      <c r="X518" s="21">
        <f>IF(F518="","",ROUND(W518*V518+IF(N518="",0,N518)*V518*OvertimeRate,2))</f>
        <v>0</v>
      </c>
      <c r="Y518" s="21">
        <f>IF(F518="","",IF(P518&lt;&gt;"Yes",0,ROUND(U518*IF(IFERROR(INDEX(Clients!$O$5:$O$204,MATCH(IFERROR(INDEX(Jobs!$G$5:$G$604,MATCH(G518,Jobs!$A$5:$A$604,0)),""),Clients!$A$5:$A$204,0)),0)&gt;0,INDEX(Clients!$O$5:$O$204,MATCH(INDEX(Jobs!$G$5:$G$604,MATCH(G518,Jobs!$A$5:$A$604,0)),Clients!$A$5:$A$204,0)),HourlyRate),2)))</f>
        <v>0</v>
      </c>
      <c r="Z518" s="39">
        <f>IF(F518="","",IF(U518=0,"Add - no hours recorded",IF(O518="Absent - no show","Action - no show",IF(U518&gt;10,"Check - over ten hours in a day",IF(Q518&lt;&gt;"Yes","Due - needs approving",IF(R518&lt;&gt;"Yes","Due - not paid yet","OK"))))))</f>
        <v>0</v>
      </c>
    </row>
    <row r="519" spans="1:26">
      <c r="A519" s="43">
        <f>IF(F519="","","TS-"&amp;TEXT(ROW()-4,"0000"))</f>
        <v>0</v>
      </c>
      <c r="C519" s="23">
        <f>IF(B519="","",TEXT(B519,"ddd"))</f>
        <v>0</v>
      </c>
      <c r="D519" s="31">
        <f>IF(B519="","",WEEKNUM(B519,IF(WeekStart="Sunday",1,2)))</f>
        <v>0</v>
      </c>
      <c r="E519" s="23">
        <f>IF(B519="","",TEXT(B519,"yyyy-mm"))</f>
        <v>0</v>
      </c>
      <c r="H519" s="23">
        <f>IF(G519="","",IFERROR(INDEX(Jobs!$H$5:$H$604,MATCH(G519,Jobs!$A$5:$A$604,0)),""))</f>
        <v>0</v>
      </c>
      <c r="T519" s="34">
        <f>IF(OR(J519="",K519=""),"",ROUND((K519-J519)*24-IF(L519="",0,L519)/60,2))</f>
        <v>0</v>
      </c>
      <c r="U519" s="34">
        <f>IF(F519="","",IF(M519&lt;&gt;"",M519,IF(T519="",0,T519)))</f>
        <v>0</v>
      </c>
      <c r="V519" s="21">
        <f>IF(F519="","",IFERROR(INDEX(Employees!$U$5:$U$44,MATCH(F519,Employees!$B$5:$B$44,0)),PayRate*(1+EmployerOncost)))</f>
        <v>0</v>
      </c>
      <c r="W519" s="34">
        <f>IF(F519="","",MAX(0,U519-IF(N519="",0,N519)))</f>
        <v>0</v>
      </c>
      <c r="X519" s="21">
        <f>IF(F519="","",ROUND(W519*V519+IF(N519="",0,N519)*V519*OvertimeRate,2))</f>
        <v>0</v>
      </c>
      <c r="Y519" s="21">
        <f>IF(F519="","",IF(P519&lt;&gt;"Yes",0,ROUND(U519*IF(IFERROR(INDEX(Clients!$O$5:$O$204,MATCH(IFERROR(INDEX(Jobs!$G$5:$G$604,MATCH(G519,Jobs!$A$5:$A$604,0)),""),Clients!$A$5:$A$204,0)),0)&gt;0,INDEX(Clients!$O$5:$O$204,MATCH(INDEX(Jobs!$G$5:$G$604,MATCH(G519,Jobs!$A$5:$A$604,0)),Clients!$A$5:$A$204,0)),HourlyRate),2)))</f>
        <v>0</v>
      </c>
      <c r="Z519" s="39">
        <f>IF(F519="","",IF(U519=0,"Add - no hours recorded",IF(O519="Absent - no show","Action - no show",IF(U519&gt;10,"Check - over ten hours in a day",IF(Q519&lt;&gt;"Yes","Due - needs approving",IF(R519&lt;&gt;"Yes","Due - not paid yet","OK"))))))</f>
        <v>0</v>
      </c>
    </row>
    <row r="520" spans="1:26">
      <c r="A520" s="43">
        <f>IF(F520="","","TS-"&amp;TEXT(ROW()-4,"0000"))</f>
        <v>0</v>
      </c>
      <c r="C520" s="23">
        <f>IF(B520="","",TEXT(B520,"ddd"))</f>
        <v>0</v>
      </c>
      <c r="D520" s="31">
        <f>IF(B520="","",WEEKNUM(B520,IF(WeekStart="Sunday",1,2)))</f>
        <v>0</v>
      </c>
      <c r="E520" s="23">
        <f>IF(B520="","",TEXT(B520,"yyyy-mm"))</f>
        <v>0</v>
      </c>
      <c r="H520" s="23">
        <f>IF(G520="","",IFERROR(INDEX(Jobs!$H$5:$H$604,MATCH(G520,Jobs!$A$5:$A$604,0)),""))</f>
        <v>0</v>
      </c>
      <c r="T520" s="34">
        <f>IF(OR(J520="",K520=""),"",ROUND((K520-J520)*24-IF(L520="",0,L520)/60,2))</f>
        <v>0</v>
      </c>
      <c r="U520" s="34">
        <f>IF(F520="","",IF(M520&lt;&gt;"",M520,IF(T520="",0,T520)))</f>
        <v>0</v>
      </c>
      <c r="V520" s="21">
        <f>IF(F520="","",IFERROR(INDEX(Employees!$U$5:$U$44,MATCH(F520,Employees!$B$5:$B$44,0)),PayRate*(1+EmployerOncost)))</f>
        <v>0</v>
      </c>
      <c r="W520" s="34">
        <f>IF(F520="","",MAX(0,U520-IF(N520="",0,N520)))</f>
        <v>0</v>
      </c>
      <c r="X520" s="21">
        <f>IF(F520="","",ROUND(W520*V520+IF(N520="",0,N520)*V520*OvertimeRate,2))</f>
        <v>0</v>
      </c>
      <c r="Y520" s="21">
        <f>IF(F520="","",IF(P520&lt;&gt;"Yes",0,ROUND(U520*IF(IFERROR(INDEX(Clients!$O$5:$O$204,MATCH(IFERROR(INDEX(Jobs!$G$5:$G$604,MATCH(G520,Jobs!$A$5:$A$604,0)),""),Clients!$A$5:$A$204,0)),0)&gt;0,INDEX(Clients!$O$5:$O$204,MATCH(INDEX(Jobs!$G$5:$G$604,MATCH(G520,Jobs!$A$5:$A$604,0)),Clients!$A$5:$A$204,0)),HourlyRate),2)))</f>
        <v>0</v>
      </c>
      <c r="Z520" s="39">
        <f>IF(F520="","",IF(U520=0,"Add - no hours recorded",IF(O520="Absent - no show","Action - no show",IF(U520&gt;10,"Check - over ten hours in a day",IF(Q520&lt;&gt;"Yes","Due - needs approving",IF(R520&lt;&gt;"Yes","Due - not paid yet","OK"))))))</f>
        <v>0</v>
      </c>
    </row>
    <row r="521" spans="1:26">
      <c r="A521" s="43">
        <f>IF(F521="","","TS-"&amp;TEXT(ROW()-4,"0000"))</f>
        <v>0</v>
      </c>
      <c r="C521" s="23">
        <f>IF(B521="","",TEXT(B521,"ddd"))</f>
        <v>0</v>
      </c>
      <c r="D521" s="31">
        <f>IF(B521="","",WEEKNUM(B521,IF(WeekStart="Sunday",1,2)))</f>
        <v>0</v>
      </c>
      <c r="E521" s="23">
        <f>IF(B521="","",TEXT(B521,"yyyy-mm"))</f>
        <v>0</v>
      </c>
      <c r="H521" s="23">
        <f>IF(G521="","",IFERROR(INDEX(Jobs!$H$5:$H$604,MATCH(G521,Jobs!$A$5:$A$604,0)),""))</f>
        <v>0</v>
      </c>
      <c r="T521" s="34">
        <f>IF(OR(J521="",K521=""),"",ROUND((K521-J521)*24-IF(L521="",0,L521)/60,2))</f>
        <v>0</v>
      </c>
      <c r="U521" s="34">
        <f>IF(F521="","",IF(M521&lt;&gt;"",M521,IF(T521="",0,T521)))</f>
        <v>0</v>
      </c>
      <c r="V521" s="21">
        <f>IF(F521="","",IFERROR(INDEX(Employees!$U$5:$U$44,MATCH(F521,Employees!$B$5:$B$44,0)),PayRate*(1+EmployerOncost)))</f>
        <v>0</v>
      </c>
      <c r="W521" s="34">
        <f>IF(F521="","",MAX(0,U521-IF(N521="",0,N521)))</f>
        <v>0</v>
      </c>
      <c r="X521" s="21">
        <f>IF(F521="","",ROUND(W521*V521+IF(N521="",0,N521)*V521*OvertimeRate,2))</f>
        <v>0</v>
      </c>
      <c r="Y521" s="21">
        <f>IF(F521="","",IF(P521&lt;&gt;"Yes",0,ROUND(U521*IF(IFERROR(INDEX(Clients!$O$5:$O$204,MATCH(IFERROR(INDEX(Jobs!$G$5:$G$604,MATCH(G521,Jobs!$A$5:$A$604,0)),""),Clients!$A$5:$A$204,0)),0)&gt;0,INDEX(Clients!$O$5:$O$204,MATCH(INDEX(Jobs!$G$5:$G$604,MATCH(G521,Jobs!$A$5:$A$604,0)),Clients!$A$5:$A$204,0)),HourlyRate),2)))</f>
        <v>0</v>
      </c>
      <c r="Z521" s="39">
        <f>IF(F521="","",IF(U521=0,"Add - no hours recorded",IF(O521="Absent - no show","Action - no show",IF(U521&gt;10,"Check - over ten hours in a day",IF(Q521&lt;&gt;"Yes","Due - needs approving",IF(R521&lt;&gt;"Yes","Due - not paid yet","OK"))))))</f>
        <v>0</v>
      </c>
    </row>
    <row r="522" spans="1:26">
      <c r="A522" s="43">
        <f>IF(F522="","","TS-"&amp;TEXT(ROW()-4,"0000"))</f>
        <v>0</v>
      </c>
      <c r="C522" s="23">
        <f>IF(B522="","",TEXT(B522,"ddd"))</f>
        <v>0</v>
      </c>
      <c r="D522" s="31">
        <f>IF(B522="","",WEEKNUM(B522,IF(WeekStart="Sunday",1,2)))</f>
        <v>0</v>
      </c>
      <c r="E522" s="23">
        <f>IF(B522="","",TEXT(B522,"yyyy-mm"))</f>
        <v>0</v>
      </c>
      <c r="H522" s="23">
        <f>IF(G522="","",IFERROR(INDEX(Jobs!$H$5:$H$604,MATCH(G522,Jobs!$A$5:$A$604,0)),""))</f>
        <v>0</v>
      </c>
      <c r="T522" s="34">
        <f>IF(OR(J522="",K522=""),"",ROUND((K522-J522)*24-IF(L522="",0,L522)/60,2))</f>
        <v>0</v>
      </c>
      <c r="U522" s="34">
        <f>IF(F522="","",IF(M522&lt;&gt;"",M522,IF(T522="",0,T522)))</f>
        <v>0</v>
      </c>
      <c r="V522" s="21">
        <f>IF(F522="","",IFERROR(INDEX(Employees!$U$5:$U$44,MATCH(F522,Employees!$B$5:$B$44,0)),PayRate*(1+EmployerOncost)))</f>
        <v>0</v>
      </c>
      <c r="W522" s="34">
        <f>IF(F522="","",MAX(0,U522-IF(N522="",0,N522)))</f>
        <v>0</v>
      </c>
      <c r="X522" s="21">
        <f>IF(F522="","",ROUND(W522*V522+IF(N522="",0,N522)*V522*OvertimeRate,2))</f>
        <v>0</v>
      </c>
      <c r="Y522" s="21">
        <f>IF(F522="","",IF(P522&lt;&gt;"Yes",0,ROUND(U522*IF(IFERROR(INDEX(Clients!$O$5:$O$204,MATCH(IFERROR(INDEX(Jobs!$G$5:$G$604,MATCH(G522,Jobs!$A$5:$A$604,0)),""),Clients!$A$5:$A$204,0)),0)&gt;0,INDEX(Clients!$O$5:$O$204,MATCH(INDEX(Jobs!$G$5:$G$604,MATCH(G522,Jobs!$A$5:$A$604,0)),Clients!$A$5:$A$204,0)),HourlyRate),2)))</f>
        <v>0</v>
      </c>
      <c r="Z522" s="39">
        <f>IF(F522="","",IF(U522=0,"Add - no hours recorded",IF(O522="Absent - no show","Action - no show",IF(U522&gt;10,"Check - over ten hours in a day",IF(Q522&lt;&gt;"Yes","Due - needs approving",IF(R522&lt;&gt;"Yes","Due - not paid yet","OK"))))))</f>
        <v>0</v>
      </c>
    </row>
    <row r="523" spans="1:26">
      <c r="A523" s="43">
        <f>IF(F523="","","TS-"&amp;TEXT(ROW()-4,"0000"))</f>
        <v>0</v>
      </c>
      <c r="C523" s="23">
        <f>IF(B523="","",TEXT(B523,"ddd"))</f>
        <v>0</v>
      </c>
      <c r="D523" s="31">
        <f>IF(B523="","",WEEKNUM(B523,IF(WeekStart="Sunday",1,2)))</f>
        <v>0</v>
      </c>
      <c r="E523" s="23">
        <f>IF(B523="","",TEXT(B523,"yyyy-mm"))</f>
        <v>0</v>
      </c>
      <c r="H523" s="23">
        <f>IF(G523="","",IFERROR(INDEX(Jobs!$H$5:$H$604,MATCH(G523,Jobs!$A$5:$A$604,0)),""))</f>
        <v>0</v>
      </c>
      <c r="T523" s="34">
        <f>IF(OR(J523="",K523=""),"",ROUND((K523-J523)*24-IF(L523="",0,L523)/60,2))</f>
        <v>0</v>
      </c>
      <c r="U523" s="34">
        <f>IF(F523="","",IF(M523&lt;&gt;"",M523,IF(T523="",0,T523)))</f>
        <v>0</v>
      </c>
      <c r="V523" s="21">
        <f>IF(F523="","",IFERROR(INDEX(Employees!$U$5:$U$44,MATCH(F523,Employees!$B$5:$B$44,0)),PayRate*(1+EmployerOncost)))</f>
        <v>0</v>
      </c>
      <c r="W523" s="34">
        <f>IF(F523="","",MAX(0,U523-IF(N523="",0,N523)))</f>
        <v>0</v>
      </c>
      <c r="X523" s="21">
        <f>IF(F523="","",ROUND(W523*V523+IF(N523="",0,N523)*V523*OvertimeRate,2))</f>
        <v>0</v>
      </c>
      <c r="Y523" s="21">
        <f>IF(F523="","",IF(P523&lt;&gt;"Yes",0,ROUND(U523*IF(IFERROR(INDEX(Clients!$O$5:$O$204,MATCH(IFERROR(INDEX(Jobs!$G$5:$G$604,MATCH(G523,Jobs!$A$5:$A$604,0)),""),Clients!$A$5:$A$204,0)),0)&gt;0,INDEX(Clients!$O$5:$O$204,MATCH(INDEX(Jobs!$G$5:$G$604,MATCH(G523,Jobs!$A$5:$A$604,0)),Clients!$A$5:$A$204,0)),HourlyRate),2)))</f>
        <v>0</v>
      </c>
      <c r="Z523" s="39">
        <f>IF(F523="","",IF(U523=0,"Add - no hours recorded",IF(O523="Absent - no show","Action - no show",IF(U523&gt;10,"Check - over ten hours in a day",IF(Q523&lt;&gt;"Yes","Due - needs approving",IF(R523&lt;&gt;"Yes","Due - not paid yet","OK"))))))</f>
        <v>0</v>
      </c>
    </row>
    <row r="524" spans="1:26">
      <c r="A524" s="43">
        <f>IF(F524="","","TS-"&amp;TEXT(ROW()-4,"0000"))</f>
        <v>0</v>
      </c>
      <c r="C524" s="23">
        <f>IF(B524="","",TEXT(B524,"ddd"))</f>
        <v>0</v>
      </c>
      <c r="D524" s="31">
        <f>IF(B524="","",WEEKNUM(B524,IF(WeekStart="Sunday",1,2)))</f>
        <v>0</v>
      </c>
      <c r="E524" s="23">
        <f>IF(B524="","",TEXT(B524,"yyyy-mm"))</f>
        <v>0</v>
      </c>
      <c r="H524" s="23">
        <f>IF(G524="","",IFERROR(INDEX(Jobs!$H$5:$H$604,MATCH(G524,Jobs!$A$5:$A$604,0)),""))</f>
        <v>0</v>
      </c>
      <c r="T524" s="34">
        <f>IF(OR(J524="",K524=""),"",ROUND((K524-J524)*24-IF(L524="",0,L524)/60,2))</f>
        <v>0</v>
      </c>
      <c r="U524" s="34">
        <f>IF(F524="","",IF(M524&lt;&gt;"",M524,IF(T524="",0,T524)))</f>
        <v>0</v>
      </c>
      <c r="V524" s="21">
        <f>IF(F524="","",IFERROR(INDEX(Employees!$U$5:$U$44,MATCH(F524,Employees!$B$5:$B$44,0)),PayRate*(1+EmployerOncost)))</f>
        <v>0</v>
      </c>
      <c r="W524" s="34">
        <f>IF(F524="","",MAX(0,U524-IF(N524="",0,N524)))</f>
        <v>0</v>
      </c>
      <c r="X524" s="21">
        <f>IF(F524="","",ROUND(W524*V524+IF(N524="",0,N524)*V524*OvertimeRate,2))</f>
        <v>0</v>
      </c>
      <c r="Y524" s="21">
        <f>IF(F524="","",IF(P524&lt;&gt;"Yes",0,ROUND(U524*IF(IFERROR(INDEX(Clients!$O$5:$O$204,MATCH(IFERROR(INDEX(Jobs!$G$5:$G$604,MATCH(G524,Jobs!$A$5:$A$604,0)),""),Clients!$A$5:$A$204,0)),0)&gt;0,INDEX(Clients!$O$5:$O$204,MATCH(INDEX(Jobs!$G$5:$G$604,MATCH(G524,Jobs!$A$5:$A$604,0)),Clients!$A$5:$A$204,0)),HourlyRate),2)))</f>
        <v>0</v>
      </c>
      <c r="Z524" s="39">
        <f>IF(F524="","",IF(U524=0,"Add - no hours recorded",IF(O524="Absent - no show","Action - no show",IF(U524&gt;10,"Check - over ten hours in a day",IF(Q524&lt;&gt;"Yes","Due - needs approving",IF(R524&lt;&gt;"Yes","Due - not paid yet","OK"))))))</f>
        <v>0</v>
      </c>
    </row>
    <row r="525" spans="1:26">
      <c r="A525" s="43">
        <f>IF(F525="","","TS-"&amp;TEXT(ROW()-4,"0000"))</f>
        <v>0</v>
      </c>
      <c r="C525" s="23">
        <f>IF(B525="","",TEXT(B525,"ddd"))</f>
        <v>0</v>
      </c>
      <c r="D525" s="31">
        <f>IF(B525="","",WEEKNUM(B525,IF(WeekStart="Sunday",1,2)))</f>
        <v>0</v>
      </c>
      <c r="E525" s="23">
        <f>IF(B525="","",TEXT(B525,"yyyy-mm"))</f>
        <v>0</v>
      </c>
      <c r="H525" s="23">
        <f>IF(G525="","",IFERROR(INDEX(Jobs!$H$5:$H$604,MATCH(G525,Jobs!$A$5:$A$604,0)),""))</f>
        <v>0</v>
      </c>
      <c r="T525" s="34">
        <f>IF(OR(J525="",K525=""),"",ROUND((K525-J525)*24-IF(L525="",0,L525)/60,2))</f>
        <v>0</v>
      </c>
      <c r="U525" s="34">
        <f>IF(F525="","",IF(M525&lt;&gt;"",M525,IF(T525="",0,T525)))</f>
        <v>0</v>
      </c>
      <c r="V525" s="21">
        <f>IF(F525="","",IFERROR(INDEX(Employees!$U$5:$U$44,MATCH(F525,Employees!$B$5:$B$44,0)),PayRate*(1+EmployerOncost)))</f>
        <v>0</v>
      </c>
      <c r="W525" s="34">
        <f>IF(F525="","",MAX(0,U525-IF(N525="",0,N525)))</f>
        <v>0</v>
      </c>
      <c r="X525" s="21">
        <f>IF(F525="","",ROUND(W525*V525+IF(N525="",0,N525)*V525*OvertimeRate,2))</f>
        <v>0</v>
      </c>
      <c r="Y525" s="21">
        <f>IF(F525="","",IF(P525&lt;&gt;"Yes",0,ROUND(U525*IF(IFERROR(INDEX(Clients!$O$5:$O$204,MATCH(IFERROR(INDEX(Jobs!$G$5:$G$604,MATCH(G525,Jobs!$A$5:$A$604,0)),""),Clients!$A$5:$A$204,0)),0)&gt;0,INDEX(Clients!$O$5:$O$204,MATCH(INDEX(Jobs!$G$5:$G$604,MATCH(G525,Jobs!$A$5:$A$604,0)),Clients!$A$5:$A$204,0)),HourlyRate),2)))</f>
        <v>0</v>
      </c>
      <c r="Z525" s="39">
        <f>IF(F525="","",IF(U525=0,"Add - no hours recorded",IF(O525="Absent - no show","Action - no show",IF(U525&gt;10,"Check - over ten hours in a day",IF(Q525&lt;&gt;"Yes","Due - needs approving",IF(R525&lt;&gt;"Yes","Due - not paid yet","OK"))))))</f>
        <v>0</v>
      </c>
    </row>
    <row r="526" spans="1:26">
      <c r="A526" s="43">
        <f>IF(F526="","","TS-"&amp;TEXT(ROW()-4,"0000"))</f>
        <v>0</v>
      </c>
      <c r="C526" s="23">
        <f>IF(B526="","",TEXT(B526,"ddd"))</f>
        <v>0</v>
      </c>
      <c r="D526" s="31">
        <f>IF(B526="","",WEEKNUM(B526,IF(WeekStart="Sunday",1,2)))</f>
        <v>0</v>
      </c>
      <c r="E526" s="23">
        <f>IF(B526="","",TEXT(B526,"yyyy-mm"))</f>
        <v>0</v>
      </c>
      <c r="H526" s="23">
        <f>IF(G526="","",IFERROR(INDEX(Jobs!$H$5:$H$604,MATCH(G526,Jobs!$A$5:$A$604,0)),""))</f>
        <v>0</v>
      </c>
      <c r="T526" s="34">
        <f>IF(OR(J526="",K526=""),"",ROUND((K526-J526)*24-IF(L526="",0,L526)/60,2))</f>
        <v>0</v>
      </c>
      <c r="U526" s="34">
        <f>IF(F526="","",IF(M526&lt;&gt;"",M526,IF(T526="",0,T526)))</f>
        <v>0</v>
      </c>
      <c r="V526" s="21">
        <f>IF(F526="","",IFERROR(INDEX(Employees!$U$5:$U$44,MATCH(F526,Employees!$B$5:$B$44,0)),PayRate*(1+EmployerOncost)))</f>
        <v>0</v>
      </c>
      <c r="W526" s="34">
        <f>IF(F526="","",MAX(0,U526-IF(N526="",0,N526)))</f>
        <v>0</v>
      </c>
      <c r="X526" s="21">
        <f>IF(F526="","",ROUND(W526*V526+IF(N526="",0,N526)*V526*OvertimeRate,2))</f>
        <v>0</v>
      </c>
      <c r="Y526" s="21">
        <f>IF(F526="","",IF(P526&lt;&gt;"Yes",0,ROUND(U526*IF(IFERROR(INDEX(Clients!$O$5:$O$204,MATCH(IFERROR(INDEX(Jobs!$G$5:$G$604,MATCH(G526,Jobs!$A$5:$A$604,0)),""),Clients!$A$5:$A$204,0)),0)&gt;0,INDEX(Clients!$O$5:$O$204,MATCH(INDEX(Jobs!$G$5:$G$604,MATCH(G526,Jobs!$A$5:$A$604,0)),Clients!$A$5:$A$204,0)),HourlyRate),2)))</f>
        <v>0</v>
      </c>
      <c r="Z526" s="39">
        <f>IF(F526="","",IF(U526=0,"Add - no hours recorded",IF(O526="Absent - no show","Action - no show",IF(U526&gt;10,"Check - over ten hours in a day",IF(Q526&lt;&gt;"Yes","Due - needs approving",IF(R526&lt;&gt;"Yes","Due - not paid yet","OK"))))))</f>
        <v>0</v>
      </c>
    </row>
    <row r="527" spans="1:26">
      <c r="A527" s="43">
        <f>IF(F527="","","TS-"&amp;TEXT(ROW()-4,"0000"))</f>
        <v>0</v>
      </c>
      <c r="C527" s="23">
        <f>IF(B527="","",TEXT(B527,"ddd"))</f>
        <v>0</v>
      </c>
      <c r="D527" s="31">
        <f>IF(B527="","",WEEKNUM(B527,IF(WeekStart="Sunday",1,2)))</f>
        <v>0</v>
      </c>
      <c r="E527" s="23">
        <f>IF(B527="","",TEXT(B527,"yyyy-mm"))</f>
        <v>0</v>
      </c>
      <c r="H527" s="23">
        <f>IF(G527="","",IFERROR(INDEX(Jobs!$H$5:$H$604,MATCH(G527,Jobs!$A$5:$A$604,0)),""))</f>
        <v>0</v>
      </c>
      <c r="T527" s="34">
        <f>IF(OR(J527="",K527=""),"",ROUND((K527-J527)*24-IF(L527="",0,L527)/60,2))</f>
        <v>0</v>
      </c>
      <c r="U527" s="34">
        <f>IF(F527="","",IF(M527&lt;&gt;"",M527,IF(T527="",0,T527)))</f>
        <v>0</v>
      </c>
      <c r="V527" s="21">
        <f>IF(F527="","",IFERROR(INDEX(Employees!$U$5:$U$44,MATCH(F527,Employees!$B$5:$B$44,0)),PayRate*(1+EmployerOncost)))</f>
        <v>0</v>
      </c>
      <c r="W527" s="34">
        <f>IF(F527="","",MAX(0,U527-IF(N527="",0,N527)))</f>
        <v>0</v>
      </c>
      <c r="X527" s="21">
        <f>IF(F527="","",ROUND(W527*V527+IF(N527="",0,N527)*V527*OvertimeRate,2))</f>
        <v>0</v>
      </c>
      <c r="Y527" s="21">
        <f>IF(F527="","",IF(P527&lt;&gt;"Yes",0,ROUND(U527*IF(IFERROR(INDEX(Clients!$O$5:$O$204,MATCH(IFERROR(INDEX(Jobs!$G$5:$G$604,MATCH(G527,Jobs!$A$5:$A$604,0)),""),Clients!$A$5:$A$204,0)),0)&gt;0,INDEX(Clients!$O$5:$O$204,MATCH(INDEX(Jobs!$G$5:$G$604,MATCH(G527,Jobs!$A$5:$A$604,0)),Clients!$A$5:$A$204,0)),HourlyRate),2)))</f>
        <v>0</v>
      </c>
      <c r="Z527" s="39">
        <f>IF(F527="","",IF(U527=0,"Add - no hours recorded",IF(O527="Absent - no show","Action - no show",IF(U527&gt;10,"Check - over ten hours in a day",IF(Q527&lt;&gt;"Yes","Due - needs approving",IF(R527&lt;&gt;"Yes","Due - not paid yet","OK"))))))</f>
        <v>0</v>
      </c>
    </row>
    <row r="528" spans="1:26">
      <c r="A528" s="43">
        <f>IF(F528="","","TS-"&amp;TEXT(ROW()-4,"0000"))</f>
        <v>0</v>
      </c>
      <c r="C528" s="23">
        <f>IF(B528="","",TEXT(B528,"ddd"))</f>
        <v>0</v>
      </c>
      <c r="D528" s="31">
        <f>IF(B528="","",WEEKNUM(B528,IF(WeekStart="Sunday",1,2)))</f>
        <v>0</v>
      </c>
      <c r="E528" s="23">
        <f>IF(B528="","",TEXT(B528,"yyyy-mm"))</f>
        <v>0</v>
      </c>
      <c r="H528" s="23">
        <f>IF(G528="","",IFERROR(INDEX(Jobs!$H$5:$H$604,MATCH(G528,Jobs!$A$5:$A$604,0)),""))</f>
        <v>0</v>
      </c>
      <c r="T528" s="34">
        <f>IF(OR(J528="",K528=""),"",ROUND((K528-J528)*24-IF(L528="",0,L528)/60,2))</f>
        <v>0</v>
      </c>
      <c r="U528" s="34">
        <f>IF(F528="","",IF(M528&lt;&gt;"",M528,IF(T528="",0,T528)))</f>
        <v>0</v>
      </c>
      <c r="V528" s="21">
        <f>IF(F528="","",IFERROR(INDEX(Employees!$U$5:$U$44,MATCH(F528,Employees!$B$5:$B$44,0)),PayRate*(1+EmployerOncost)))</f>
        <v>0</v>
      </c>
      <c r="W528" s="34">
        <f>IF(F528="","",MAX(0,U528-IF(N528="",0,N528)))</f>
        <v>0</v>
      </c>
      <c r="X528" s="21">
        <f>IF(F528="","",ROUND(W528*V528+IF(N528="",0,N528)*V528*OvertimeRate,2))</f>
        <v>0</v>
      </c>
      <c r="Y528" s="21">
        <f>IF(F528="","",IF(P528&lt;&gt;"Yes",0,ROUND(U528*IF(IFERROR(INDEX(Clients!$O$5:$O$204,MATCH(IFERROR(INDEX(Jobs!$G$5:$G$604,MATCH(G528,Jobs!$A$5:$A$604,0)),""),Clients!$A$5:$A$204,0)),0)&gt;0,INDEX(Clients!$O$5:$O$204,MATCH(INDEX(Jobs!$G$5:$G$604,MATCH(G528,Jobs!$A$5:$A$604,0)),Clients!$A$5:$A$204,0)),HourlyRate),2)))</f>
        <v>0</v>
      </c>
      <c r="Z528" s="39">
        <f>IF(F528="","",IF(U528=0,"Add - no hours recorded",IF(O528="Absent - no show","Action - no show",IF(U528&gt;10,"Check - over ten hours in a day",IF(Q528&lt;&gt;"Yes","Due - needs approving",IF(R528&lt;&gt;"Yes","Due - not paid yet","OK"))))))</f>
        <v>0</v>
      </c>
    </row>
    <row r="529" spans="1:26">
      <c r="A529" s="43">
        <f>IF(F529="","","TS-"&amp;TEXT(ROW()-4,"0000"))</f>
        <v>0</v>
      </c>
      <c r="C529" s="23">
        <f>IF(B529="","",TEXT(B529,"ddd"))</f>
        <v>0</v>
      </c>
      <c r="D529" s="31">
        <f>IF(B529="","",WEEKNUM(B529,IF(WeekStart="Sunday",1,2)))</f>
        <v>0</v>
      </c>
      <c r="E529" s="23">
        <f>IF(B529="","",TEXT(B529,"yyyy-mm"))</f>
        <v>0</v>
      </c>
      <c r="H529" s="23">
        <f>IF(G529="","",IFERROR(INDEX(Jobs!$H$5:$H$604,MATCH(G529,Jobs!$A$5:$A$604,0)),""))</f>
        <v>0</v>
      </c>
      <c r="T529" s="34">
        <f>IF(OR(J529="",K529=""),"",ROUND((K529-J529)*24-IF(L529="",0,L529)/60,2))</f>
        <v>0</v>
      </c>
      <c r="U529" s="34">
        <f>IF(F529="","",IF(M529&lt;&gt;"",M529,IF(T529="",0,T529)))</f>
        <v>0</v>
      </c>
      <c r="V529" s="21">
        <f>IF(F529="","",IFERROR(INDEX(Employees!$U$5:$U$44,MATCH(F529,Employees!$B$5:$B$44,0)),PayRate*(1+EmployerOncost)))</f>
        <v>0</v>
      </c>
      <c r="W529" s="34">
        <f>IF(F529="","",MAX(0,U529-IF(N529="",0,N529)))</f>
        <v>0</v>
      </c>
      <c r="X529" s="21">
        <f>IF(F529="","",ROUND(W529*V529+IF(N529="",0,N529)*V529*OvertimeRate,2))</f>
        <v>0</v>
      </c>
      <c r="Y529" s="21">
        <f>IF(F529="","",IF(P529&lt;&gt;"Yes",0,ROUND(U529*IF(IFERROR(INDEX(Clients!$O$5:$O$204,MATCH(IFERROR(INDEX(Jobs!$G$5:$G$604,MATCH(G529,Jobs!$A$5:$A$604,0)),""),Clients!$A$5:$A$204,0)),0)&gt;0,INDEX(Clients!$O$5:$O$204,MATCH(INDEX(Jobs!$G$5:$G$604,MATCH(G529,Jobs!$A$5:$A$604,0)),Clients!$A$5:$A$204,0)),HourlyRate),2)))</f>
        <v>0</v>
      </c>
      <c r="Z529" s="39">
        <f>IF(F529="","",IF(U529=0,"Add - no hours recorded",IF(O529="Absent - no show","Action - no show",IF(U529&gt;10,"Check - over ten hours in a day",IF(Q529&lt;&gt;"Yes","Due - needs approving",IF(R529&lt;&gt;"Yes","Due - not paid yet","OK"))))))</f>
        <v>0</v>
      </c>
    </row>
    <row r="530" spans="1:26">
      <c r="A530" s="43">
        <f>IF(F530="","","TS-"&amp;TEXT(ROW()-4,"0000"))</f>
        <v>0</v>
      </c>
      <c r="C530" s="23">
        <f>IF(B530="","",TEXT(B530,"ddd"))</f>
        <v>0</v>
      </c>
      <c r="D530" s="31">
        <f>IF(B530="","",WEEKNUM(B530,IF(WeekStart="Sunday",1,2)))</f>
        <v>0</v>
      </c>
      <c r="E530" s="23">
        <f>IF(B530="","",TEXT(B530,"yyyy-mm"))</f>
        <v>0</v>
      </c>
      <c r="H530" s="23">
        <f>IF(G530="","",IFERROR(INDEX(Jobs!$H$5:$H$604,MATCH(G530,Jobs!$A$5:$A$604,0)),""))</f>
        <v>0</v>
      </c>
      <c r="T530" s="34">
        <f>IF(OR(J530="",K530=""),"",ROUND((K530-J530)*24-IF(L530="",0,L530)/60,2))</f>
        <v>0</v>
      </c>
      <c r="U530" s="34">
        <f>IF(F530="","",IF(M530&lt;&gt;"",M530,IF(T530="",0,T530)))</f>
        <v>0</v>
      </c>
      <c r="V530" s="21">
        <f>IF(F530="","",IFERROR(INDEX(Employees!$U$5:$U$44,MATCH(F530,Employees!$B$5:$B$44,0)),PayRate*(1+EmployerOncost)))</f>
        <v>0</v>
      </c>
      <c r="W530" s="34">
        <f>IF(F530="","",MAX(0,U530-IF(N530="",0,N530)))</f>
        <v>0</v>
      </c>
      <c r="X530" s="21">
        <f>IF(F530="","",ROUND(W530*V530+IF(N530="",0,N530)*V530*OvertimeRate,2))</f>
        <v>0</v>
      </c>
      <c r="Y530" s="21">
        <f>IF(F530="","",IF(P530&lt;&gt;"Yes",0,ROUND(U530*IF(IFERROR(INDEX(Clients!$O$5:$O$204,MATCH(IFERROR(INDEX(Jobs!$G$5:$G$604,MATCH(G530,Jobs!$A$5:$A$604,0)),""),Clients!$A$5:$A$204,0)),0)&gt;0,INDEX(Clients!$O$5:$O$204,MATCH(INDEX(Jobs!$G$5:$G$604,MATCH(G530,Jobs!$A$5:$A$604,0)),Clients!$A$5:$A$204,0)),HourlyRate),2)))</f>
        <v>0</v>
      </c>
      <c r="Z530" s="39">
        <f>IF(F530="","",IF(U530=0,"Add - no hours recorded",IF(O530="Absent - no show","Action - no show",IF(U530&gt;10,"Check - over ten hours in a day",IF(Q530&lt;&gt;"Yes","Due - needs approving",IF(R530&lt;&gt;"Yes","Due - not paid yet","OK"))))))</f>
        <v>0</v>
      </c>
    </row>
    <row r="531" spans="1:26">
      <c r="A531" s="43">
        <f>IF(F531="","","TS-"&amp;TEXT(ROW()-4,"0000"))</f>
        <v>0</v>
      </c>
      <c r="C531" s="23">
        <f>IF(B531="","",TEXT(B531,"ddd"))</f>
        <v>0</v>
      </c>
      <c r="D531" s="31">
        <f>IF(B531="","",WEEKNUM(B531,IF(WeekStart="Sunday",1,2)))</f>
        <v>0</v>
      </c>
      <c r="E531" s="23">
        <f>IF(B531="","",TEXT(B531,"yyyy-mm"))</f>
        <v>0</v>
      </c>
      <c r="H531" s="23">
        <f>IF(G531="","",IFERROR(INDEX(Jobs!$H$5:$H$604,MATCH(G531,Jobs!$A$5:$A$604,0)),""))</f>
        <v>0</v>
      </c>
      <c r="T531" s="34">
        <f>IF(OR(J531="",K531=""),"",ROUND((K531-J531)*24-IF(L531="",0,L531)/60,2))</f>
        <v>0</v>
      </c>
      <c r="U531" s="34">
        <f>IF(F531="","",IF(M531&lt;&gt;"",M531,IF(T531="",0,T531)))</f>
        <v>0</v>
      </c>
      <c r="V531" s="21">
        <f>IF(F531="","",IFERROR(INDEX(Employees!$U$5:$U$44,MATCH(F531,Employees!$B$5:$B$44,0)),PayRate*(1+EmployerOncost)))</f>
        <v>0</v>
      </c>
      <c r="W531" s="34">
        <f>IF(F531="","",MAX(0,U531-IF(N531="",0,N531)))</f>
        <v>0</v>
      </c>
      <c r="X531" s="21">
        <f>IF(F531="","",ROUND(W531*V531+IF(N531="",0,N531)*V531*OvertimeRate,2))</f>
        <v>0</v>
      </c>
      <c r="Y531" s="21">
        <f>IF(F531="","",IF(P531&lt;&gt;"Yes",0,ROUND(U531*IF(IFERROR(INDEX(Clients!$O$5:$O$204,MATCH(IFERROR(INDEX(Jobs!$G$5:$G$604,MATCH(G531,Jobs!$A$5:$A$604,0)),""),Clients!$A$5:$A$204,0)),0)&gt;0,INDEX(Clients!$O$5:$O$204,MATCH(INDEX(Jobs!$G$5:$G$604,MATCH(G531,Jobs!$A$5:$A$604,0)),Clients!$A$5:$A$204,0)),HourlyRate),2)))</f>
        <v>0</v>
      </c>
      <c r="Z531" s="39">
        <f>IF(F531="","",IF(U531=0,"Add - no hours recorded",IF(O531="Absent - no show","Action - no show",IF(U531&gt;10,"Check - over ten hours in a day",IF(Q531&lt;&gt;"Yes","Due - needs approving",IF(R531&lt;&gt;"Yes","Due - not paid yet","OK"))))))</f>
        <v>0</v>
      </c>
    </row>
    <row r="532" spans="1:26">
      <c r="A532" s="43">
        <f>IF(F532="","","TS-"&amp;TEXT(ROW()-4,"0000"))</f>
        <v>0</v>
      </c>
      <c r="C532" s="23">
        <f>IF(B532="","",TEXT(B532,"ddd"))</f>
        <v>0</v>
      </c>
      <c r="D532" s="31">
        <f>IF(B532="","",WEEKNUM(B532,IF(WeekStart="Sunday",1,2)))</f>
        <v>0</v>
      </c>
      <c r="E532" s="23">
        <f>IF(B532="","",TEXT(B532,"yyyy-mm"))</f>
        <v>0</v>
      </c>
      <c r="H532" s="23">
        <f>IF(G532="","",IFERROR(INDEX(Jobs!$H$5:$H$604,MATCH(G532,Jobs!$A$5:$A$604,0)),""))</f>
        <v>0</v>
      </c>
      <c r="T532" s="34">
        <f>IF(OR(J532="",K532=""),"",ROUND((K532-J532)*24-IF(L532="",0,L532)/60,2))</f>
        <v>0</v>
      </c>
      <c r="U532" s="34">
        <f>IF(F532="","",IF(M532&lt;&gt;"",M532,IF(T532="",0,T532)))</f>
        <v>0</v>
      </c>
      <c r="V532" s="21">
        <f>IF(F532="","",IFERROR(INDEX(Employees!$U$5:$U$44,MATCH(F532,Employees!$B$5:$B$44,0)),PayRate*(1+EmployerOncost)))</f>
        <v>0</v>
      </c>
      <c r="W532" s="34">
        <f>IF(F532="","",MAX(0,U532-IF(N532="",0,N532)))</f>
        <v>0</v>
      </c>
      <c r="X532" s="21">
        <f>IF(F532="","",ROUND(W532*V532+IF(N532="",0,N532)*V532*OvertimeRate,2))</f>
        <v>0</v>
      </c>
      <c r="Y532" s="21">
        <f>IF(F532="","",IF(P532&lt;&gt;"Yes",0,ROUND(U532*IF(IFERROR(INDEX(Clients!$O$5:$O$204,MATCH(IFERROR(INDEX(Jobs!$G$5:$G$604,MATCH(G532,Jobs!$A$5:$A$604,0)),""),Clients!$A$5:$A$204,0)),0)&gt;0,INDEX(Clients!$O$5:$O$204,MATCH(INDEX(Jobs!$G$5:$G$604,MATCH(G532,Jobs!$A$5:$A$604,0)),Clients!$A$5:$A$204,0)),HourlyRate),2)))</f>
        <v>0</v>
      </c>
      <c r="Z532" s="39">
        <f>IF(F532="","",IF(U532=0,"Add - no hours recorded",IF(O532="Absent - no show","Action - no show",IF(U532&gt;10,"Check - over ten hours in a day",IF(Q532&lt;&gt;"Yes","Due - needs approving",IF(R532&lt;&gt;"Yes","Due - not paid yet","OK"))))))</f>
        <v>0</v>
      </c>
    </row>
    <row r="533" spans="1:26">
      <c r="A533" s="43">
        <f>IF(F533="","","TS-"&amp;TEXT(ROW()-4,"0000"))</f>
        <v>0</v>
      </c>
      <c r="C533" s="23">
        <f>IF(B533="","",TEXT(B533,"ddd"))</f>
        <v>0</v>
      </c>
      <c r="D533" s="31">
        <f>IF(B533="","",WEEKNUM(B533,IF(WeekStart="Sunday",1,2)))</f>
        <v>0</v>
      </c>
      <c r="E533" s="23">
        <f>IF(B533="","",TEXT(B533,"yyyy-mm"))</f>
        <v>0</v>
      </c>
      <c r="H533" s="23">
        <f>IF(G533="","",IFERROR(INDEX(Jobs!$H$5:$H$604,MATCH(G533,Jobs!$A$5:$A$604,0)),""))</f>
        <v>0</v>
      </c>
      <c r="T533" s="34">
        <f>IF(OR(J533="",K533=""),"",ROUND((K533-J533)*24-IF(L533="",0,L533)/60,2))</f>
        <v>0</v>
      </c>
      <c r="U533" s="34">
        <f>IF(F533="","",IF(M533&lt;&gt;"",M533,IF(T533="",0,T533)))</f>
        <v>0</v>
      </c>
      <c r="V533" s="21">
        <f>IF(F533="","",IFERROR(INDEX(Employees!$U$5:$U$44,MATCH(F533,Employees!$B$5:$B$44,0)),PayRate*(1+EmployerOncost)))</f>
        <v>0</v>
      </c>
      <c r="W533" s="34">
        <f>IF(F533="","",MAX(0,U533-IF(N533="",0,N533)))</f>
        <v>0</v>
      </c>
      <c r="X533" s="21">
        <f>IF(F533="","",ROUND(W533*V533+IF(N533="",0,N533)*V533*OvertimeRate,2))</f>
        <v>0</v>
      </c>
      <c r="Y533" s="21">
        <f>IF(F533="","",IF(P533&lt;&gt;"Yes",0,ROUND(U533*IF(IFERROR(INDEX(Clients!$O$5:$O$204,MATCH(IFERROR(INDEX(Jobs!$G$5:$G$604,MATCH(G533,Jobs!$A$5:$A$604,0)),""),Clients!$A$5:$A$204,0)),0)&gt;0,INDEX(Clients!$O$5:$O$204,MATCH(INDEX(Jobs!$G$5:$G$604,MATCH(G533,Jobs!$A$5:$A$604,0)),Clients!$A$5:$A$204,0)),HourlyRate),2)))</f>
        <v>0</v>
      </c>
      <c r="Z533" s="39">
        <f>IF(F533="","",IF(U533=0,"Add - no hours recorded",IF(O533="Absent - no show","Action - no show",IF(U533&gt;10,"Check - over ten hours in a day",IF(Q533&lt;&gt;"Yes","Due - needs approving",IF(R533&lt;&gt;"Yes","Due - not paid yet","OK"))))))</f>
        <v>0</v>
      </c>
    </row>
    <row r="534" spans="1:26">
      <c r="A534" s="43">
        <f>IF(F534="","","TS-"&amp;TEXT(ROW()-4,"0000"))</f>
        <v>0</v>
      </c>
      <c r="C534" s="23">
        <f>IF(B534="","",TEXT(B534,"ddd"))</f>
        <v>0</v>
      </c>
      <c r="D534" s="31">
        <f>IF(B534="","",WEEKNUM(B534,IF(WeekStart="Sunday",1,2)))</f>
        <v>0</v>
      </c>
      <c r="E534" s="23">
        <f>IF(B534="","",TEXT(B534,"yyyy-mm"))</f>
        <v>0</v>
      </c>
      <c r="H534" s="23">
        <f>IF(G534="","",IFERROR(INDEX(Jobs!$H$5:$H$604,MATCH(G534,Jobs!$A$5:$A$604,0)),""))</f>
        <v>0</v>
      </c>
      <c r="T534" s="34">
        <f>IF(OR(J534="",K534=""),"",ROUND((K534-J534)*24-IF(L534="",0,L534)/60,2))</f>
        <v>0</v>
      </c>
      <c r="U534" s="34">
        <f>IF(F534="","",IF(M534&lt;&gt;"",M534,IF(T534="",0,T534)))</f>
        <v>0</v>
      </c>
      <c r="V534" s="21">
        <f>IF(F534="","",IFERROR(INDEX(Employees!$U$5:$U$44,MATCH(F534,Employees!$B$5:$B$44,0)),PayRate*(1+EmployerOncost)))</f>
        <v>0</v>
      </c>
      <c r="W534" s="34">
        <f>IF(F534="","",MAX(0,U534-IF(N534="",0,N534)))</f>
        <v>0</v>
      </c>
      <c r="X534" s="21">
        <f>IF(F534="","",ROUND(W534*V534+IF(N534="",0,N534)*V534*OvertimeRate,2))</f>
        <v>0</v>
      </c>
      <c r="Y534" s="21">
        <f>IF(F534="","",IF(P534&lt;&gt;"Yes",0,ROUND(U534*IF(IFERROR(INDEX(Clients!$O$5:$O$204,MATCH(IFERROR(INDEX(Jobs!$G$5:$G$604,MATCH(G534,Jobs!$A$5:$A$604,0)),""),Clients!$A$5:$A$204,0)),0)&gt;0,INDEX(Clients!$O$5:$O$204,MATCH(INDEX(Jobs!$G$5:$G$604,MATCH(G534,Jobs!$A$5:$A$604,0)),Clients!$A$5:$A$204,0)),HourlyRate),2)))</f>
        <v>0</v>
      </c>
      <c r="Z534" s="39">
        <f>IF(F534="","",IF(U534=0,"Add - no hours recorded",IF(O534="Absent - no show","Action - no show",IF(U534&gt;10,"Check - over ten hours in a day",IF(Q534&lt;&gt;"Yes","Due - needs approving",IF(R534&lt;&gt;"Yes","Due - not paid yet","OK"))))))</f>
        <v>0</v>
      </c>
    </row>
    <row r="535" spans="1:26">
      <c r="A535" s="43">
        <f>IF(F535="","","TS-"&amp;TEXT(ROW()-4,"0000"))</f>
        <v>0</v>
      </c>
      <c r="C535" s="23">
        <f>IF(B535="","",TEXT(B535,"ddd"))</f>
        <v>0</v>
      </c>
      <c r="D535" s="31">
        <f>IF(B535="","",WEEKNUM(B535,IF(WeekStart="Sunday",1,2)))</f>
        <v>0</v>
      </c>
      <c r="E535" s="23">
        <f>IF(B535="","",TEXT(B535,"yyyy-mm"))</f>
        <v>0</v>
      </c>
      <c r="H535" s="23">
        <f>IF(G535="","",IFERROR(INDEX(Jobs!$H$5:$H$604,MATCH(G535,Jobs!$A$5:$A$604,0)),""))</f>
        <v>0</v>
      </c>
      <c r="T535" s="34">
        <f>IF(OR(J535="",K535=""),"",ROUND((K535-J535)*24-IF(L535="",0,L535)/60,2))</f>
        <v>0</v>
      </c>
      <c r="U535" s="34">
        <f>IF(F535="","",IF(M535&lt;&gt;"",M535,IF(T535="",0,T535)))</f>
        <v>0</v>
      </c>
      <c r="V535" s="21">
        <f>IF(F535="","",IFERROR(INDEX(Employees!$U$5:$U$44,MATCH(F535,Employees!$B$5:$B$44,0)),PayRate*(1+EmployerOncost)))</f>
        <v>0</v>
      </c>
      <c r="W535" s="34">
        <f>IF(F535="","",MAX(0,U535-IF(N535="",0,N535)))</f>
        <v>0</v>
      </c>
      <c r="X535" s="21">
        <f>IF(F535="","",ROUND(W535*V535+IF(N535="",0,N535)*V535*OvertimeRate,2))</f>
        <v>0</v>
      </c>
      <c r="Y535" s="21">
        <f>IF(F535="","",IF(P535&lt;&gt;"Yes",0,ROUND(U535*IF(IFERROR(INDEX(Clients!$O$5:$O$204,MATCH(IFERROR(INDEX(Jobs!$G$5:$G$604,MATCH(G535,Jobs!$A$5:$A$604,0)),""),Clients!$A$5:$A$204,0)),0)&gt;0,INDEX(Clients!$O$5:$O$204,MATCH(INDEX(Jobs!$G$5:$G$604,MATCH(G535,Jobs!$A$5:$A$604,0)),Clients!$A$5:$A$204,0)),HourlyRate),2)))</f>
        <v>0</v>
      </c>
      <c r="Z535" s="39">
        <f>IF(F535="","",IF(U535=0,"Add - no hours recorded",IF(O535="Absent - no show","Action - no show",IF(U535&gt;10,"Check - over ten hours in a day",IF(Q535&lt;&gt;"Yes","Due - needs approving",IF(R535&lt;&gt;"Yes","Due - not paid yet","OK"))))))</f>
        <v>0</v>
      </c>
    </row>
    <row r="536" spans="1:26">
      <c r="A536" s="43">
        <f>IF(F536="","","TS-"&amp;TEXT(ROW()-4,"0000"))</f>
        <v>0</v>
      </c>
      <c r="C536" s="23">
        <f>IF(B536="","",TEXT(B536,"ddd"))</f>
        <v>0</v>
      </c>
      <c r="D536" s="31">
        <f>IF(B536="","",WEEKNUM(B536,IF(WeekStart="Sunday",1,2)))</f>
        <v>0</v>
      </c>
      <c r="E536" s="23">
        <f>IF(B536="","",TEXT(B536,"yyyy-mm"))</f>
        <v>0</v>
      </c>
      <c r="H536" s="23">
        <f>IF(G536="","",IFERROR(INDEX(Jobs!$H$5:$H$604,MATCH(G536,Jobs!$A$5:$A$604,0)),""))</f>
        <v>0</v>
      </c>
      <c r="T536" s="34">
        <f>IF(OR(J536="",K536=""),"",ROUND((K536-J536)*24-IF(L536="",0,L536)/60,2))</f>
        <v>0</v>
      </c>
      <c r="U536" s="34">
        <f>IF(F536="","",IF(M536&lt;&gt;"",M536,IF(T536="",0,T536)))</f>
        <v>0</v>
      </c>
      <c r="V536" s="21">
        <f>IF(F536="","",IFERROR(INDEX(Employees!$U$5:$U$44,MATCH(F536,Employees!$B$5:$B$44,0)),PayRate*(1+EmployerOncost)))</f>
        <v>0</v>
      </c>
      <c r="W536" s="34">
        <f>IF(F536="","",MAX(0,U536-IF(N536="",0,N536)))</f>
        <v>0</v>
      </c>
      <c r="X536" s="21">
        <f>IF(F536="","",ROUND(W536*V536+IF(N536="",0,N536)*V536*OvertimeRate,2))</f>
        <v>0</v>
      </c>
      <c r="Y536" s="21">
        <f>IF(F536="","",IF(P536&lt;&gt;"Yes",0,ROUND(U536*IF(IFERROR(INDEX(Clients!$O$5:$O$204,MATCH(IFERROR(INDEX(Jobs!$G$5:$G$604,MATCH(G536,Jobs!$A$5:$A$604,0)),""),Clients!$A$5:$A$204,0)),0)&gt;0,INDEX(Clients!$O$5:$O$204,MATCH(INDEX(Jobs!$G$5:$G$604,MATCH(G536,Jobs!$A$5:$A$604,0)),Clients!$A$5:$A$204,0)),HourlyRate),2)))</f>
        <v>0</v>
      </c>
      <c r="Z536" s="39">
        <f>IF(F536="","",IF(U536=0,"Add - no hours recorded",IF(O536="Absent - no show","Action - no show",IF(U536&gt;10,"Check - over ten hours in a day",IF(Q536&lt;&gt;"Yes","Due - needs approving",IF(R536&lt;&gt;"Yes","Due - not paid yet","OK"))))))</f>
        <v>0</v>
      </c>
    </row>
    <row r="537" spans="1:26">
      <c r="A537" s="43">
        <f>IF(F537="","","TS-"&amp;TEXT(ROW()-4,"0000"))</f>
        <v>0</v>
      </c>
      <c r="C537" s="23">
        <f>IF(B537="","",TEXT(B537,"ddd"))</f>
        <v>0</v>
      </c>
      <c r="D537" s="31">
        <f>IF(B537="","",WEEKNUM(B537,IF(WeekStart="Sunday",1,2)))</f>
        <v>0</v>
      </c>
      <c r="E537" s="23">
        <f>IF(B537="","",TEXT(B537,"yyyy-mm"))</f>
        <v>0</v>
      </c>
      <c r="H537" s="23">
        <f>IF(G537="","",IFERROR(INDEX(Jobs!$H$5:$H$604,MATCH(G537,Jobs!$A$5:$A$604,0)),""))</f>
        <v>0</v>
      </c>
      <c r="T537" s="34">
        <f>IF(OR(J537="",K537=""),"",ROUND((K537-J537)*24-IF(L537="",0,L537)/60,2))</f>
        <v>0</v>
      </c>
      <c r="U537" s="34">
        <f>IF(F537="","",IF(M537&lt;&gt;"",M537,IF(T537="",0,T537)))</f>
        <v>0</v>
      </c>
      <c r="V537" s="21">
        <f>IF(F537="","",IFERROR(INDEX(Employees!$U$5:$U$44,MATCH(F537,Employees!$B$5:$B$44,0)),PayRate*(1+EmployerOncost)))</f>
        <v>0</v>
      </c>
      <c r="W537" s="34">
        <f>IF(F537="","",MAX(0,U537-IF(N537="",0,N537)))</f>
        <v>0</v>
      </c>
      <c r="X537" s="21">
        <f>IF(F537="","",ROUND(W537*V537+IF(N537="",0,N537)*V537*OvertimeRate,2))</f>
        <v>0</v>
      </c>
      <c r="Y537" s="21">
        <f>IF(F537="","",IF(P537&lt;&gt;"Yes",0,ROUND(U537*IF(IFERROR(INDEX(Clients!$O$5:$O$204,MATCH(IFERROR(INDEX(Jobs!$G$5:$G$604,MATCH(G537,Jobs!$A$5:$A$604,0)),""),Clients!$A$5:$A$204,0)),0)&gt;0,INDEX(Clients!$O$5:$O$204,MATCH(INDEX(Jobs!$G$5:$G$604,MATCH(G537,Jobs!$A$5:$A$604,0)),Clients!$A$5:$A$204,0)),HourlyRate),2)))</f>
        <v>0</v>
      </c>
      <c r="Z537" s="39">
        <f>IF(F537="","",IF(U537=0,"Add - no hours recorded",IF(O537="Absent - no show","Action - no show",IF(U537&gt;10,"Check - over ten hours in a day",IF(Q537&lt;&gt;"Yes","Due - needs approving",IF(R537&lt;&gt;"Yes","Due - not paid yet","OK"))))))</f>
        <v>0</v>
      </c>
    </row>
    <row r="538" spans="1:26">
      <c r="A538" s="43">
        <f>IF(F538="","","TS-"&amp;TEXT(ROW()-4,"0000"))</f>
        <v>0</v>
      </c>
      <c r="C538" s="23">
        <f>IF(B538="","",TEXT(B538,"ddd"))</f>
        <v>0</v>
      </c>
      <c r="D538" s="31">
        <f>IF(B538="","",WEEKNUM(B538,IF(WeekStart="Sunday",1,2)))</f>
        <v>0</v>
      </c>
      <c r="E538" s="23">
        <f>IF(B538="","",TEXT(B538,"yyyy-mm"))</f>
        <v>0</v>
      </c>
      <c r="H538" s="23">
        <f>IF(G538="","",IFERROR(INDEX(Jobs!$H$5:$H$604,MATCH(G538,Jobs!$A$5:$A$604,0)),""))</f>
        <v>0</v>
      </c>
      <c r="T538" s="34">
        <f>IF(OR(J538="",K538=""),"",ROUND((K538-J538)*24-IF(L538="",0,L538)/60,2))</f>
        <v>0</v>
      </c>
      <c r="U538" s="34">
        <f>IF(F538="","",IF(M538&lt;&gt;"",M538,IF(T538="",0,T538)))</f>
        <v>0</v>
      </c>
      <c r="V538" s="21">
        <f>IF(F538="","",IFERROR(INDEX(Employees!$U$5:$U$44,MATCH(F538,Employees!$B$5:$B$44,0)),PayRate*(1+EmployerOncost)))</f>
        <v>0</v>
      </c>
      <c r="W538" s="34">
        <f>IF(F538="","",MAX(0,U538-IF(N538="",0,N538)))</f>
        <v>0</v>
      </c>
      <c r="X538" s="21">
        <f>IF(F538="","",ROUND(W538*V538+IF(N538="",0,N538)*V538*OvertimeRate,2))</f>
        <v>0</v>
      </c>
      <c r="Y538" s="21">
        <f>IF(F538="","",IF(P538&lt;&gt;"Yes",0,ROUND(U538*IF(IFERROR(INDEX(Clients!$O$5:$O$204,MATCH(IFERROR(INDEX(Jobs!$G$5:$G$604,MATCH(G538,Jobs!$A$5:$A$604,0)),""),Clients!$A$5:$A$204,0)),0)&gt;0,INDEX(Clients!$O$5:$O$204,MATCH(INDEX(Jobs!$G$5:$G$604,MATCH(G538,Jobs!$A$5:$A$604,0)),Clients!$A$5:$A$204,0)),HourlyRate),2)))</f>
        <v>0</v>
      </c>
      <c r="Z538" s="39">
        <f>IF(F538="","",IF(U538=0,"Add - no hours recorded",IF(O538="Absent - no show","Action - no show",IF(U538&gt;10,"Check - over ten hours in a day",IF(Q538&lt;&gt;"Yes","Due - needs approving",IF(R538&lt;&gt;"Yes","Due - not paid yet","OK"))))))</f>
        <v>0</v>
      </c>
    </row>
    <row r="539" spans="1:26">
      <c r="A539" s="43">
        <f>IF(F539="","","TS-"&amp;TEXT(ROW()-4,"0000"))</f>
        <v>0</v>
      </c>
      <c r="C539" s="23">
        <f>IF(B539="","",TEXT(B539,"ddd"))</f>
        <v>0</v>
      </c>
      <c r="D539" s="31">
        <f>IF(B539="","",WEEKNUM(B539,IF(WeekStart="Sunday",1,2)))</f>
        <v>0</v>
      </c>
      <c r="E539" s="23">
        <f>IF(B539="","",TEXT(B539,"yyyy-mm"))</f>
        <v>0</v>
      </c>
      <c r="H539" s="23">
        <f>IF(G539="","",IFERROR(INDEX(Jobs!$H$5:$H$604,MATCH(G539,Jobs!$A$5:$A$604,0)),""))</f>
        <v>0</v>
      </c>
      <c r="T539" s="34">
        <f>IF(OR(J539="",K539=""),"",ROUND((K539-J539)*24-IF(L539="",0,L539)/60,2))</f>
        <v>0</v>
      </c>
      <c r="U539" s="34">
        <f>IF(F539="","",IF(M539&lt;&gt;"",M539,IF(T539="",0,T539)))</f>
        <v>0</v>
      </c>
      <c r="V539" s="21">
        <f>IF(F539="","",IFERROR(INDEX(Employees!$U$5:$U$44,MATCH(F539,Employees!$B$5:$B$44,0)),PayRate*(1+EmployerOncost)))</f>
        <v>0</v>
      </c>
      <c r="W539" s="34">
        <f>IF(F539="","",MAX(0,U539-IF(N539="",0,N539)))</f>
        <v>0</v>
      </c>
      <c r="X539" s="21">
        <f>IF(F539="","",ROUND(W539*V539+IF(N539="",0,N539)*V539*OvertimeRate,2))</f>
        <v>0</v>
      </c>
      <c r="Y539" s="21">
        <f>IF(F539="","",IF(P539&lt;&gt;"Yes",0,ROUND(U539*IF(IFERROR(INDEX(Clients!$O$5:$O$204,MATCH(IFERROR(INDEX(Jobs!$G$5:$G$604,MATCH(G539,Jobs!$A$5:$A$604,0)),""),Clients!$A$5:$A$204,0)),0)&gt;0,INDEX(Clients!$O$5:$O$204,MATCH(INDEX(Jobs!$G$5:$G$604,MATCH(G539,Jobs!$A$5:$A$604,0)),Clients!$A$5:$A$204,0)),HourlyRate),2)))</f>
        <v>0</v>
      </c>
      <c r="Z539" s="39">
        <f>IF(F539="","",IF(U539=0,"Add - no hours recorded",IF(O539="Absent - no show","Action - no show",IF(U539&gt;10,"Check - over ten hours in a day",IF(Q539&lt;&gt;"Yes","Due - needs approving",IF(R539&lt;&gt;"Yes","Due - not paid yet","OK"))))))</f>
        <v>0</v>
      </c>
    </row>
    <row r="540" spans="1:26">
      <c r="A540" s="43">
        <f>IF(F540="","","TS-"&amp;TEXT(ROW()-4,"0000"))</f>
        <v>0</v>
      </c>
      <c r="C540" s="23">
        <f>IF(B540="","",TEXT(B540,"ddd"))</f>
        <v>0</v>
      </c>
      <c r="D540" s="31">
        <f>IF(B540="","",WEEKNUM(B540,IF(WeekStart="Sunday",1,2)))</f>
        <v>0</v>
      </c>
      <c r="E540" s="23">
        <f>IF(B540="","",TEXT(B540,"yyyy-mm"))</f>
        <v>0</v>
      </c>
      <c r="H540" s="23">
        <f>IF(G540="","",IFERROR(INDEX(Jobs!$H$5:$H$604,MATCH(G540,Jobs!$A$5:$A$604,0)),""))</f>
        <v>0</v>
      </c>
      <c r="T540" s="34">
        <f>IF(OR(J540="",K540=""),"",ROUND((K540-J540)*24-IF(L540="",0,L540)/60,2))</f>
        <v>0</v>
      </c>
      <c r="U540" s="34">
        <f>IF(F540="","",IF(M540&lt;&gt;"",M540,IF(T540="",0,T540)))</f>
        <v>0</v>
      </c>
      <c r="V540" s="21">
        <f>IF(F540="","",IFERROR(INDEX(Employees!$U$5:$U$44,MATCH(F540,Employees!$B$5:$B$44,0)),PayRate*(1+EmployerOncost)))</f>
        <v>0</v>
      </c>
      <c r="W540" s="34">
        <f>IF(F540="","",MAX(0,U540-IF(N540="",0,N540)))</f>
        <v>0</v>
      </c>
      <c r="X540" s="21">
        <f>IF(F540="","",ROUND(W540*V540+IF(N540="",0,N540)*V540*OvertimeRate,2))</f>
        <v>0</v>
      </c>
      <c r="Y540" s="21">
        <f>IF(F540="","",IF(P540&lt;&gt;"Yes",0,ROUND(U540*IF(IFERROR(INDEX(Clients!$O$5:$O$204,MATCH(IFERROR(INDEX(Jobs!$G$5:$G$604,MATCH(G540,Jobs!$A$5:$A$604,0)),""),Clients!$A$5:$A$204,0)),0)&gt;0,INDEX(Clients!$O$5:$O$204,MATCH(INDEX(Jobs!$G$5:$G$604,MATCH(G540,Jobs!$A$5:$A$604,0)),Clients!$A$5:$A$204,0)),HourlyRate),2)))</f>
        <v>0</v>
      </c>
      <c r="Z540" s="39">
        <f>IF(F540="","",IF(U540=0,"Add - no hours recorded",IF(O540="Absent - no show","Action - no show",IF(U540&gt;10,"Check - over ten hours in a day",IF(Q540&lt;&gt;"Yes","Due - needs approving",IF(R540&lt;&gt;"Yes","Due - not paid yet","OK"))))))</f>
        <v>0</v>
      </c>
    </row>
    <row r="541" spans="1:26">
      <c r="A541" s="43">
        <f>IF(F541="","","TS-"&amp;TEXT(ROW()-4,"0000"))</f>
        <v>0</v>
      </c>
      <c r="C541" s="23">
        <f>IF(B541="","",TEXT(B541,"ddd"))</f>
        <v>0</v>
      </c>
      <c r="D541" s="31">
        <f>IF(B541="","",WEEKNUM(B541,IF(WeekStart="Sunday",1,2)))</f>
        <v>0</v>
      </c>
      <c r="E541" s="23">
        <f>IF(B541="","",TEXT(B541,"yyyy-mm"))</f>
        <v>0</v>
      </c>
      <c r="H541" s="23">
        <f>IF(G541="","",IFERROR(INDEX(Jobs!$H$5:$H$604,MATCH(G541,Jobs!$A$5:$A$604,0)),""))</f>
        <v>0</v>
      </c>
      <c r="T541" s="34">
        <f>IF(OR(J541="",K541=""),"",ROUND((K541-J541)*24-IF(L541="",0,L541)/60,2))</f>
        <v>0</v>
      </c>
      <c r="U541" s="34">
        <f>IF(F541="","",IF(M541&lt;&gt;"",M541,IF(T541="",0,T541)))</f>
        <v>0</v>
      </c>
      <c r="V541" s="21">
        <f>IF(F541="","",IFERROR(INDEX(Employees!$U$5:$U$44,MATCH(F541,Employees!$B$5:$B$44,0)),PayRate*(1+EmployerOncost)))</f>
        <v>0</v>
      </c>
      <c r="W541" s="34">
        <f>IF(F541="","",MAX(0,U541-IF(N541="",0,N541)))</f>
        <v>0</v>
      </c>
      <c r="X541" s="21">
        <f>IF(F541="","",ROUND(W541*V541+IF(N541="",0,N541)*V541*OvertimeRate,2))</f>
        <v>0</v>
      </c>
      <c r="Y541" s="21">
        <f>IF(F541="","",IF(P541&lt;&gt;"Yes",0,ROUND(U541*IF(IFERROR(INDEX(Clients!$O$5:$O$204,MATCH(IFERROR(INDEX(Jobs!$G$5:$G$604,MATCH(G541,Jobs!$A$5:$A$604,0)),""),Clients!$A$5:$A$204,0)),0)&gt;0,INDEX(Clients!$O$5:$O$204,MATCH(INDEX(Jobs!$G$5:$G$604,MATCH(G541,Jobs!$A$5:$A$604,0)),Clients!$A$5:$A$204,0)),HourlyRate),2)))</f>
        <v>0</v>
      </c>
      <c r="Z541" s="39">
        <f>IF(F541="","",IF(U541=0,"Add - no hours recorded",IF(O541="Absent - no show","Action - no show",IF(U541&gt;10,"Check - over ten hours in a day",IF(Q541&lt;&gt;"Yes","Due - needs approving",IF(R541&lt;&gt;"Yes","Due - not paid yet","OK"))))))</f>
        <v>0</v>
      </c>
    </row>
    <row r="542" spans="1:26">
      <c r="A542" s="43">
        <f>IF(F542="","","TS-"&amp;TEXT(ROW()-4,"0000"))</f>
        <v>0</v>
      </c>
      <c r="C542" s="23">
        <f>IF(B542="","",TEXT(B542,"ddd"))</f>
        <v>0</v>
      </c>
      <c r="D542" s="31">
        <f>IF(B542="","",WEEKNUM(B542,IF(WeekStart="Sunday",1,2)))</f>
        <v>0</v>
      </c>
      <c r="E542" s="23">
        <f>IF(B542="","",TEXT(B542,"yyyy-mm"))</f>
        <v>0</v>
      </c>
      <c r="H542" s="23">
        <f>IF(G542="","",IFERROR(INDEX(Jobs!$H$5:$H$604,MATCH(G542,Jobs!$A$5:$A$604,0)),""))</f>
        <v>0</v>
      </c>
      <c r="T542" s="34">
        <f>IF(OR(J542="",K542=""),"",ROUND((K542-J542)*24-IF(L542="",0,L542)/60,2))</f>
        <v>0</v>
      </c>
      <c r="U542" s="34">
        <f>IF(F542="","",IF(M542&lt;&gt;"",M542,IF(T542="",0,T542)))</f>
        <v>0</v>
      </c>
      <c r="V542" s="21">
        <f>IF(F542="","",IFERROR(INDEX(Employees!$U$5:$U$44,MATCH(F542,Employees!$B$5:$B$44,0)),PayRate*(1+EmployerOncost)))</f>
        <v>0</v>
      </c>
      <c r="W542" s="34">
        <f>IF(F542="","",MAX(0,U542-IF(N542="",0,N542)))</f>
        <v>0</v>
      </c>
      <c r="X542" s="21">
        <f>IF(F542="","",ROUND(W542*V542+IF(N542="",0,N542)*V542*OvertimeRate,2))</f>
        <v>0</v>
      </c>
      <c r="Y542" s="21">
        <f>IF(F542="","",IF(P542&lt;&gt;"Yes",0,ROUND(U542*IF(IFERROR(INDEX(Clients!$O$5:$O$204,MATCH(IFERROR(INDEX(Jobs!$G$5:$G$604,MATCH(G542,Jobs!$A$5:$A$604,0)),""),Clients!$A$5:$A$204,0)),0)&gt;0,INDEX(Clients!$O$5:$O$204,MATCH(INDEX(Jobs!$G$5:$G$604,MATCH(G542,Jobs!$A$5:$A$604,0)),Clients!$A$5:$A$204,0)),HourlyRate),2)))</f>
        <v>0</v>
      </c>
      <c r="Z542" s="39">
        <f>IF(F542="","",IF(U542=0,"Add - no hours recorded",IF(O542="Absent - no show","Action - no show",IF(U542&gt;10,"Check - over ten hours in a day",IF(Q542&lt;&gt;"Yes","Due - needs approving",IF(R542&lt;&gt;"Yes","Due - not paid yet","OK"))))))</f>
        <v>0</v>
      </c>
    </row>
    <row r="543" spans="1:26">
      <c r="A543" s="43">
        <f>IF(F543="","","TS-"&amp;TEXT(ROW()-4,"0000"))</f>
        <v>0</v>
      </c>
      <c r="C543" s="23">
        <f>IF(B543="","",TEXT(B543,"ddd"))</f>
        <v>0</v>
      </c>
      <c r="D543" s="31">
        <f>IF(B543="","",WEEKNUM(B543,IF(WeekStart="Sunday",1,2)))</f>
        <v>0</v>
      </c>
      <c r="E543" s="23">
        <f>IF(B543="","",TEXT(B543,"yyyy-mm"))</f>
        <v>0</v>
      </c>
      <c r="H543" s="23">
        <f>IF(G543="","",IFERROR(INDEX(Jobs!$H$5:$H$604,MATCH(G543,Jobs!$A$5:$A$604,0)),""))</f>
        <v>0</v>
      </c>
      <c r="T543" s="34">
        <f>IF(OR(J543="",K543=""),"",ROUND((K543-J543)*24-IF(L543="",0,L543)/60,2))</f>
        <v>0</v>
      </c>
      <c r="U543" s="34">
        <f>IF(F543="","",IF(M543&lt;&gt;"",M543,IF(T543="",0,T543)))</f>
        <v>0</v>
      </c>
      <c r="V543" s="21">
        <f>IF(F543="","",IFERROR(INDEX(Employees!$U$5:$U$44,MATCH(F543,Employees!$B$5:$B$44,0)),PayRate*(1+EmployerOncost)))</f>
        <v>0</v>
      </c>
      <c r="W543" s="34">
        <f>IF(F543="","",MAX(0,U543-IF(N543="",0,N543)))</f>
        <v>0</v>
      </c>
      <c r="X543" s="21">
        <f>IF(F543="","",ROUND(W543*V543+IF(N543="",0,N543)*V543*OvertimeRate,2))</f>
        <v>0</v>
      </c>
      <c r="Y543" s="21">
        <f>IF(F543="","",IF(P543&lt;&gt;"Yes",0,ROUND(U543*IF(IFERROR(INDEX(Clients!$O$5:$O$204,MATCH(IFERROR(INDEX(Jobs!$G$5:$G$604,MATCH(G543,Jobs!$A$5:$A$604,0)),""),Clients!$A$5:$A$204,0)),0)&gt;0,INDEX(Clients!$O$5:$O$204,MATCH(INDEX(Jobs!$G$5:$G$604,MATCH(G543,Jobs!$A$5:$A$604,0)),Clients!$A$5:$A$204,0)),HourlyRate),2)))</f>
        <v>0</v>
      </c>
      <c r="Z543" s="39">
        <f>IF(F543="","",IF(U543=0,"Add - no hours recorded",IF(O543="Absent - no show","Action - no show",IF(U543&gt;10,"Check - over ten hours in a day",IF(Q543&lt;&gt;"Yes","Due - needs approving",IF(R543&lt;&gt;"Yes","Due - not paid yet","OK"))))))</f>
        <v>0</v>
      </c>
    </row>
    <row r="544" spans="1:26">
      <c r="A544" s="43">
        <f>IF(F544="","","TS-"&amp;TEXT(ROW()-4,"0000"))</f>
        <v>0</v>
      </c>
      <c r="C544" s="23">
        <f>IF(B544="","",TEXT(B544,"ddd"))</f>
        <v>0</v>
      </c>
      <c r="D544" s="31">
        <f>IF(B544="","",WEEKNUM(B544,IF(WeekStart="Sunday",1,2)))</f>
        <v>0</v>
      </c>
      <c r="E544" s="23">
        <f>IF(B544="","",TEXT(B544,"yyyy-mm"))</f>
        <v>0</v>
      </c>
      <c r="H544" s="23">
        <f>IF(G544="","",IFERROR(INDEX(Jobs!$H$5:$H$604,MATCH(G544,Jobs!$A$5:$A$604,0)),""))</f>
        <v>0</v>
      </c>
      <c r="T544" s="34">
        <f>IF(OR(J544="",K544=""),"",ROUND((K544-J544)*24-IF(L544="",0,L544)/60,2))</f>
        <v>0</v>
      </c>
      <c r="U544" s="34">
        <f>IF(F544="","",IF(M544&lt;&gt;"",M544,IF(T544="",0,T544)))</f>
        <v>0</v>
      </c>
      <c r="V544" s="21">
        <f>IF(F544="","",IFERROR(INDEX(Employees!$U$5:$U$44,MATCH(F544,Employees!$B$5:$B$44,0)),PayRate*(1+EmployerOncost)))</f>
        <v>0</v>
      </c>
      <c r="W544" s="34">
        <f>IF(F544="","",MAX(0,U544-IF(N544="",0,N544)))</f>
        <v>0</v>
      </c>
      <c r="X544" s="21">
        <f>IF(F544="","",ROUND(W544*V544+IF(N544="",0,N544)*V544*OvertimeRate,2))</f>
        <v>0</v>
      </c>
      <c r="Y544" s="21">
        <f>IF(F544="","",IF(P544&lt;&gt;"Yes",0,ROUND(U544*IF(IFERROR(INDEX(Clients!$O$5:$O$204,MATCH(IFERROR(INDEX(Jobs!$G$5:$G$604,MATCH(G544,Jobs!$A$5:$A$604,0)),""),Clients!$A$5:$A$204,0)),0)&gt;0,INDEX(Clients!$O$5:$O$204,MATCH(INDEX(Jobs!$G$5:$G$604,MATCH(G544,Jobs!$A$5:$A$604,0)),Clients!$A$5:$A$204,0)),HourlyRate),2)))</f>
        <v>0</v>
      </c>
      <c r="Z544" s="39">
        <f>IF(F544="","",IF(U544=0,"Add - no hours recorded",IF(O544="Absent - no show","Action - no show",IF(U544&gt;10,"Check - over ten hours in a day",IF(Q544&lt;&gt;"Yes","Due - needs approving",IF(R544&lt;&gt;"Yes","Due - not paid yet","OK"))))))</f>
        <v>0</v>
      </c>
    </row>
    <row r="545" spans="1:26">
      <c r="A545" s="43">
        <f>IF(F545="","","TS-"&amp;TEXT(ROW()-4,"0000"))</f>
        <v>0</v>
      </c>
      <c r="C545" s="23">
        <f>IF(B545="","",TEXT(B545,"ddd"))</f>
        <v>0</v>
      </c>
      <c r="D545" s="31">
        <f>IF(B545="","",WEEKNUM(B545,IF(WeekStart="Sunday",1,2)))</f>
        <v>0</v>
      </c>
      <c r="E545" s="23">
        <f>IF(B545="","",TEXT(B545,"yyyy-mm"))</f>
        <v>0</v>
      </c>
      <c r="H545" s="23">
        <f>IF(G545="","",IFERROR(INDEX(Jobs!$H$5:$H$604,MATCH(G545,Jobs!$A$5:$A$604,0)),""))</f>
        <v>0</v>
      </c>
      <c r="T545" s="34">
        <f>IF(OR(J545="",K545=""),"",ROUND((K545-J545)*24-IF(L545="",0,L545)/60,2))</f>
        <v>0</v>
      </c>
      <c r="U545" s="34">
        <f>IF(F545="","",IF(M545&lt;&gt;"",M545,IF(T545="",0,T545)))</f>
        <v>0</v>
      </c>
      <c r="V545" s="21">
        <f>IF(F545="","",IFERROR(INDEX(Employees!$U$5:$U$44,MATCH(F545,Employees!$B$5:$B$44,0)),PayRate*(1+EmployerOncost)))</f>
        <v>0</v>
      </c>
      <c r="W545" s="34">
        <f>IF(F545="","",MAX(0,U545-IF(N545="",0,N545)))</f>
        <v>0</v>
      </c>
      <c r="X545" s="21">
        <f>IF(F545="","",ROUND(W545*V545+IF(N545="",0,N545)*V545*OvertimeRate,2))</f>
        <v>0</v>
      </c>
      <c r="Y545" s="21">
        <f>IF(F545="","",IF(P545&lt;&gt;"Yes",0,ROUND(U545*IF(IFERROR(INDEX(Clients!$O$5:$O$204,MATCH(IFERROR(INDEX(Jobs!$G$5:$G$604,MATCH(G545,Jobs!$A$5:$A$604,0)),""),Clients!$A$5:$A$204,0)),0)&gt;0,INDEX(Clients!$O$5:$O$204,MATCH(INDEX(Jobs!$G$5:$G$604,MATCH(G545,Jobs!$A$5:$A$604,0)),Clients!$A$5:$A$204,0)),HourlyRate),2)))</f>
        <v>0</v>
      </c>
      <c r="Z545" s="39">
        <f>IF(F545="","",IF(U545=0,"Add - no hours recorded",IF(O545="Absent - no show","Action - no show",IF(U545&gt;10,"Check - over ten hours in a day",IF(Q545&lt;&gt;"Yes","Due - needs approving",IF(R545&lt;&gt;"Yes","Due - not paid yet","OK"))))))</f>
        <v>0</v>
      </c>
    </row>
    <row r="546" spans="1:26">
      <c r="A546" s="43">
        <f>IF(F546="","","TS-"&amp;TEXT(ROW()-4,"0000"))</f>
        <v>0</v>
      </c>
      <c r="C546" s="23">
        <f>IF(B546="","",TEXT(B546,"ddd"))</f>
        <v>0</v>
      </c>
      <c r="D546" s="31">
        <f>IF(B546="","",WEEKNUM(B546,IF(WeekStart="Sunday",1,2)))</f>
        <v>0</v>
      </c>
      <c r="E546" s="23">
        <f>IF(B546="","",TEXT(B546,"yyyy-mm"))</f>
        <v>0</v>
      </c>
      <c r="H546" s="23">
        <f>IF(G546="","",IFERROR(INDEX(Jobs!$H$5:$H$604,MATCH(G546,Jobs!$A$5:$A$604,0)),""))</f>
        <v>0</v>
      </c>
      <c r="T546" s="34">
        <f>IF(OR(J546="",K546=""),"",ROUND((K546-J546)*24-IF(L546="",0,L546)/60,2))</f>
        <v>0</v>
      </c>
      <c r="U546" s="34">
        <f>IF(F546="","",IF(M546&lt;&gt;"",M546,IF(T546="",0,T546)))</f>
        <v>0</v>
      </c>
      <c r="V546" s="21">
        <f>IF(F546="","",IFERROR(INDEX(Employees!$U$5:$U$44,MATCH(F546,Employees!$B$5:$B$44,0)),PayRate*(1+EmployerOncost)))</f>
        <v>0</v>
      </c>
      <c r="W546" s="34">
        <f>IF(F546="","",MAX(0,U546-IF(N546="",0,N546)))</f>
        <v>0</v>
      </c>
      <c r="X546" s="21">
        <f>IF(F546="","",ROUND(W546*V546+IF(N546="",0,N546)*V546*OvertimeRate,2))</f>
        <v>0</v>
      </c>
      <c r="Y546" s="21">
        <f>IF(F546="","",IF(P546&lt;&gt;"Yes",0,ROUND(U546*IF(IFERROR(INDEX(Clients!$O$5:$O$204,MATCH(IFERROR(INDEX(Jobs!$G$5:$G$604,MATCH(G546,Jobs!$A$5:$A$604,0)),""),Clients!$A$5:$A$204,0)),0)&gt;0,INDEX(Clients!$O$5:$O$204,MATCH(INDEX(Jobs!$G$5:$G$604,MATCH(G546,Jobs!$A$5:$A$604,0)),Clients!$A$5:$A$204,0)),HourlyRate),2)))</f>
        <v>0</v>
      </c>
      <c r="Z546" s="39">
        <f>IF(F546="","",IF(U546=0,"Add - no hours recorded",IF(O546="Absent - no show","Action - no show",IF(U546&gt;10,"Check - over ten hours in a day",IF(Q546&lt;&gt;"Yes","Due - needs approving",IF(R546&lt;&gt;"Yes","Due - not paid yet","OK"))))))</f>
        <v>0</v>
      </c>
    </row>
    <row r="547" spans="1:26">
      <c r="A547" s="43">
        <f>IF(F547="","","TS-"&amp;TEXT(ROW()-4,"0000"))</f>
        <v>0</v>
      </c>
      <c r="C547" s="23">
        <f>IF(B547="","",TEXT(B547,"ddd"))</f>
        <v>0</v>
      </c>
      <c r="D547" s="31">
        <f>IF(B547="","",WEEKNUM(B547,IF(WeekStart="Sunday",1,2)))</f>
        <v>0</v>
      </c>
      <c r="E547" s="23">
        <f>IF(B547="","",TEXT(B547,"yyyy-mm"))</f>
        <v>0</v>
      </c>
      <c r="H547" s="23">
        <f>IF(G547="","",IFERROR(INDEX(Jobs!$H$5:$H$604,MATCH(G547,Jobs!$A$5:$A$604,0)),""))</f>
        <v>0</v>
      </c>
      <c r="T547" s="34">
        <f>IF(OR(J547="",K547=""),"",ROUND((K547-J547)*24-IF(L547="",0,L547)/60,2))</f>
        <v>0</v>
      </c>
      <c r="U547" s="34">
        <f>IF(F547="","",IF(M547&lt;&gt;"",M547,IF(T547="",0,T547)))</f>
        <v>0</v>
      </c>
      <c r="V547" s="21">
        <f>IF(F547="","",IFERROR(INDEX(Employees!$U$5:$U$44,MATCH(F547,Employees!$B$5:$B$44,0)),PayRate*(1+EmployerOncost)))</f>
        <v>0</v>
      </c>
      <c r="W547" s="34">
        <f>IF(F547="","",MAX(0,U547-IF(N547="",0,N547)))</f>
        <v>0</v>
      </c>
      <c r="X547" s="21">
        <f>IF(F547="","",ROUND(W547*V547+IF(N547="",0,N547)*V547*OvertimeRate,2))</f>
        <v>0</v>
      </c>
      <c r="Y547" s="21">
        <f>IF(F547="","",IF(P547&lt;&gt;"Yes",0,ROUND(U547*IF(IFERROR(INDEX(Clients!$O$5:$O$204,MATCH(IFERROR(INDEX(Jobs!$G$5:$G$604,MATCH(G547,Jobs!$A$5:$A$604,0)),""),Clients!$A$5:$A$204,0)),0)&gt;0,INDEX(Clients!$O$5:$O$204,MATCH(INDEX(Jobs!$G$5:$G$604,MATCH(G547,Jobs!$A$5:$A$604,0)),Clients!$A$5:$A$204,0)),HourlyRate),2)))</f>
        <v>0</v>
      </c>
      <c r="Z547" s="39">
        <f>IF(F547="","",IF(U547=0,"Add - no hours recorded",IF(O547="Absent - no show","Action - no show",IF(U547&gt;10,"Check - over ten hours in a day",IF(Q547&lt;&gt;"Yes","Due - needs approving",IF(R547&lt;&gt;"Yes","Due - not paid yet","OK"))))))</f>
        <v>0</v>
      </c>
    </row>
    <row r="548" spans="1:26">
      <c r="A548" s="43">
        <f>IF(F548="","","TS-"&amp;TEXT(ROW()-4,"0000"))</f>
        <v>0</v>
      </c>
      <c r="C548" s="23">
        <f>IF(B548="","",TEXT(B548,"ddd"))</f>
        <v>0</v>
      </c>
      <c r="D548" s="31">
        <f>IF(B548="","",WEEKNUM(B548,IF(WeekStart="Sunday",1,2)))</f>
        <v>0</v>
      </c>
      <c r="E548" s="23">
        <f>IF(B548="","",TEXT(B548,"yyyy-mm"))</f>
        <v>0</v>
      </c>
      <c r="H548" s="23">
        <f>IF(G548="","",IFERROR(INDEX(Jobs!$H$5:$H$604,MATCH(G548,Jobs!$A$5:$A$604,0)),""))</f>
        <v>0</v>
      </c>
      <c r="T548" s="34">
        <f>IF(OR(J548="",K548=""),"",ROUND((K548-J548)*24-IF(L548="",0,L548)/60,2))</f>
        <v>0</v>
      </c>
      <c r="U548" s="34">
        <f>IF(F548="","",IF(M548&lt;&gt;"",M548,IF(T548="",0,T548)))</f>
        <v>0</v>
      </c>
      <c r="V548" s="21">
        <f>IF(F548="","",IFERROR(INDEX(Employees!$U$5:$U$44,MATCH(F548,Employees!$B$5:$B$44,0)),PayRate*(1+EmployerOncost)))</f>
        <v>0</v>
      </c>
      <c r="W548" s="34">
        <f>IF(F548="","",MAX(0,U548-IF(N548="",0,N548)))</f>
        <v>0</v>
      </c>
      <c r="X548" s="21">
        <f>IF(F548="","",ROUND(W548*V548+IF(N548="",0,N548)*V548*OvertimeRate,2))</f>
        <v>0</v>
      </c>
      <c r="Y548" s="21">
        <f>IF(F548="","",IF(P548&lt;&gt;"Yes",0,ROUND(U548*IF(IFERROR(INDEX(Clients!$O$5:$O$204,MATCH(IFERROR(INDEX(Jobs!$G$5:$G$604,MATCH(G548,Jobs!$A$5:$A$604,0)),""),Clients!$A$5:$A$204,0)),0)&gt;0,INDEX(Clients!$O$5:$O$204,MATCH(INDEX(Jobs!$G$5:$G$604,MATCH(G548,Jobs!$A$5:$A$604,0)),Clients!$A$5:$A$204,0)),HourlyRate),2)))</f>
        <v>0</v>
      </c>
      <c r="Z548" s="39">
        <f>IF(F548="","",IF(U548=0,"Add - no hours recorded",IF(O548="Absent - no show","Action - no show",IF(U548&gt;10,"Check - over ten hours in a day",IF(Q548&lt;&gt;"Yes","Due - needs approving",IF(R548&lt;&gt;"Yes","Due - not paid yet","OK"))))))</f>
        <v>0</v>
      </c>
    </row>
    <row r="549" spans="1:26">
      <c r="A549" s="43">
        <f>IF(F549="","","TS-"&amp;TEXT(ROW()-4,"0000"))</f>
        <v>0</v>
      </c>
      <c r="C549" s="23">
        <f>IF(B549="","",TEXT(B549,"ddd"))</f>
        <v>0</v>
      </c>
      <c r="D549" s="31">
        <f>IF(B549="","",WEEKNUM(B549,IF(WeekStart="Sunday",1,2)))</f>
        <v>0</v>
      </c>
      <c r="E549" s="23">
        <f>IF(B549="","",TEXT(B549,"yyyy-mm"))</f>
        <v>0</v>
      </c>
      <c r="H549" s="23">
        <f>IF(G549="","",IFERROR(INDEX(Jobs!$H$5:$H$604,MATCH(G549,Jobs!$A$5:$A$604,0)),""))</f>
        <v>0</v>
      </c>
      <c r="T549" s="34">
        <f>IF(OR(J549="",K549=""),"",ROUND((K549-J549)*24-IF(L549="",0,L549)/60,2))</f>
        <v>0</v>
      </c>
      <c r="U549" s="34">
        <f>IF(F549="","",IF(M549&lt;&gt;"",M549,IF(T549="",0,T549)))</f>
        <v>0</v>
      </c>
      <c r="V549" s="21">
        <f>IF(F549="","",IFERROR(INDEX(Employees!$U$5:$U$44,MATCH(F549,Employees!$B$5:$B$44,0)),PayRate*(1+EmployerOncost)))</f>
        <v>0</v>
      </c>
      <c r="W549" s="34">
        <f>IF(F549="","",MAX(0,U549-IF(N549="",0,N549)))</f>
        <v>0</v>
      </c>
      <c r="X549" s="21">
        <f>IF(F549="","",ROUND(W549*V549+IF(N549="",0,N549)*V549*OvertimeRate,2))</f>
        <v>0</v>
      </c>
      <c r="Y549" s="21">
        <f>IF(F549="","",IF(P549&lt;&gt;"Yes",0,ROUND(U549*IF(IFERROR(INDEX(Clients!$O$5:$O$204,MATCH(IFERROR(INDEX(Jobs!$G$5:$G$604,MATCH(G549,Jobs!$A$5:$A$604,0)),""),Clients!$A$5:$A$204,0)),0)&gt;0,INDEX(Clients!$O$5:$O$204,MATCH(INDEX(Jobs!$G$5:$G$604,MATCH(G549,Jobs!$A$5:$A$604,0)),Clients!$A$5:$A$204,0)),HourlyRate),2)))</f>
        <v>0</v>
      </c>
      <c r="Z549" s="39">
        <f>IF(F549="","",IF(U549=0,"Add - no hours recorded",IF(O549="Absent - no show","Action - no show",IF(U549&gt;10,"Check - over ten hours in a day",IF(Q549&lt;&gt;"Yes","Due - needs approving",IF(R549&lt;&gt;"Yes","Due - not paid yet","OK"))))))</f>
        <v>0</v>
      </c>
    </row>
    <row r="550" spans="1:26">
      <c r="A550" s="43">
        <f>IF(F550="","","TS-"&amp;TEXT(ROW()-4,"0000"))</f>
        <v>0</v>
      </c>
      <c r="C550" s="23">
        <f>IF(B550="","",TEXT(B550,"ddd"))</f>
        <v>0</v>
      </c>
      <c r="D550" s="31">
        <f>IF(B550="","",WEEKNUM(B550,IF(WeekStart="Sunday",1,2)))</f>
        <v>0</v>
      </c>
      <c r="E550" s="23">
        <f>IF(B550="","",TEXT(B550,"yyyy-mm"))</f>
        <v>0</v>
      </c>
      <c r="H550" s="23">
        <f>IF(G550="","",IFERROR(INDEX(Jobs!$H$5:$H$604,MATCH(G550,Jobs!$A$5:$A$604,0)),""))</f>
        <v>0</v>
      </c>
      <c r="T550" s="34">
        <f>IF(OR(J550="",K550=""),"",ROUND((K550-J550)*24-IF(L550="",0,L550)/60,2))</f>
        <v>0</v>
      </c>
      <c r="U550" s="34">
        <f>IF(F550="","",IF(M550&lt;&gt;"",M550,IF(T550="",0,T550)))</f>
        <v>0</v>
      </c>
      <c r="V550" s="21">
        <f>IF(F550="","",IFERROR(INDEX(Employees!$U$5:$U$44,MATCH(F550,Employees!$B$5:$B$44,0)),PayRate*(1+EmployerOncost)))</f>
        <v>0</v>
      </c>
      <c r="W550" s="34">
        <f>IF(F550="","",MAX(0,U550-IF(N550="",0,N550)))</f>
        <v>0</v>
      </c>
      <c r="X550" s="21">
        <f>IF(F550="","",ROUND(W550*V550+IF(N550="",0,N550)*V550*OvertimeRate,2))</f>
        <v>0</v>
      </c>
      <c r="Y550" s="21">
        <f>IF(F550="","",IF(P550&lt;&gt;"Yes",0,ROUND(U550*IF(IFERROR(INDEX(Clients!$O$5:$O$204,MATCH(IFERROR(INDEX(Jobs!$G$5:$G$604,MATCH(G550,Jobs!$A$5:$A$604,0)),""),Clients!$A$5:$A$204,0)),0)&gt;0,INDEX(Clients!$O$5:$O$204,MATCH(INDEX(Jobs!$G$5:$G$604,MATCH(G550,Jobs!$A$5:$A$604,0)),Clients!$A$5:$A$204,0)),HourlyRate),2)))</f>
        <v>0</v>
      </c>
      <c r="Z550" s="39">
        <f>IF(F550="","",IF(U550=0,"Add - no hours recorded",IF(O550="Absent - no show","Action - no show",IF(U550&gt;10,"Check - over ten hours in a day",IF(Q550&lt;&gt;"Yes","Due - needs approving",IF(R550&lt;&gt;"Yes","Due - not paid yet","OK"))))))</f>
        <v>0</v>
      </c>
    </row>
    <row r="551" spans="1:26">
      <c r="A551" s="43">
        <f>IF(F551="","","TS-"&amp;TEXT(ROW()-4,"0000"))</f>
        <v>0</v>
      </c>
      <c r="C551" s="23">
        <f>IF(B551="","",TEXT(B551,"ddd"))</f>
        <v>0</v>
      </c>
      <c r="D551" s="31">
        <f>IF(B551="","",WEEKNUM(B551,IF(WeekStart="Sunday",1,2)))</f>
        <v>0</v>
      </c>
      <c r="E551" s="23">
        <f>IF(B551="","",TEXT(B551,"yyyy-mm"))</f>
        <v>0</v>
      </c>
      <c r="H551" s="23">
        <f>IF(G551="","",IFERROR(INDEX(Jobs!$H$5:$H$604,MATCH(G551,Jobs!$A$5:$A$604,0)),""))</f>
        <v>0</v>
      </c>
      <c r="T551" s="34">
        <f>IF(OR(J551="",K551=""),"",ROUND((K551-J551)*24-IF(L551="",0,L551)/60,2))</f>
        <v>0</v>
      </c>
      <c r="U551" s="34">
        <f>IF(F551="","",IF(M551&lt;&gt;"",M551,IF(T551="",0,T551)))</f>
        <v>0</v>
      </c>
      <c r="V551" s="21">
        <f>IF(F551="","",IFERROR(INDEX(Employees!$U$5:$U$44,MATCH(F551,Employees!$B$5:$B$44,0)),PayRate*(1+EmployerOncost)))</f>
        <v>0</v>
      </c>
      <c r="W551" s="34">
        <f>IF(F551="","",MAX(0,U551-IF(N551="",0,N551)))</f>
        <v>0</v>
      </c>
      <c r="X551" s="21">
        <f>IF(F551="","",ROUND(W551*V551+IF(N551="",0,N551)*V551*OvertimeRate,2))</f>
        <v>0</v>
      </c>
      <c r="Y551" s="21">
        <f>IF(F551="","",IF(P551&lt;&gt;"Yes",0,ROUND(U551*IF(IFERROR(INDEX(Clients!$O$5:$O$204,MATCH(IFERROR(INDEX(Jobs!$G$5:$G$604,MATCH(G551,Jobs!$A$5:$A$604,0)),""),Clients!$A$5:$A$204,0)),0)&gt;0,INDEX(Clients!$O$5:$O$204,MATCH(INDEX(Jobs!$G$5:$G$604,MATCH(G551,Jobs!$A$5:$A$604,0)),Clients!$A$5:$A$204,0)),HourlyRate),2)))</f>
        <v>0</v>
      </c>
      <c r="Z551" s="39">
        <f>IF(F551="","",IF(U551=0,"Add - no hours recorded",IF(O551="Absent - no show","Action - no show",IF(U551&gt;10,"Check - over ten hours in a day",IF(Q551&lt;&gt;"Yes","Due - needs approving",IF(R551&lt;&gt;"Yes","Due - not paid yet","OK"))))))</f>
        <v>0</v>
      </c>
    </row>
    <row r="552" spans="1:26">
      <c r="A552" s="43">
        <f>IF(F552="","","TS-"&amp;TEXT(ROW()-4,"0000"))</f>
        <v>0</v>
      </c>
      <c r="C552" s="23">
        <f>IF(B552="","",TEXT(B552,"ddd"))</f>
        <v>0</v>
      </c>
      <c r="D552" s="31">
        <f>IF(B552="","",WEEKNUM(B552,IF(WeekStart="Sunday",1,2)))</f>
        <v>0</v>
      </c>
      <c r="E552" s="23">
        <f>IF(B552="","",TEXT(B552,"yyyy-mm"))</f>
        <v>0</v>
      </c>
      <c r="H552" s="23">
        <f>IF(G552="","",IFERROR(INDEX(Jobs!$H$5:$H$604,MATCH(G552,Jobs!$A$5:$A$604,0)),""))</f>
        <v>0</v>
      </c>
      <c r="T552" s="34">
        <f>IF(OR(J552="",K552=""),"",ROUND((K552-J552)*24-IF(L552="",0,L552)/60,2))</f>
        <v>0</v>
      </c>
      <c r="U552" s="34">
        <f>IF(F552="","",IF(M552&lt;&gt;"",M552,IF(T552="",0,T552)))</f>
        <v>0</v>
      </c>
      <c r="V552" s="21">
        <f>IF(F552="","",IFERROR(INDEX(Employees!$U$5:$U$44,MATCH(F552,Employees!$B$5:$B$44,0)),PayRate*(1+EmployerOncost)))</f>
        <v>0</v>
      </c>
      <c r="W552" s="34">
        <f>IF(F552="","",MAX(0,U552-IF(N552="",0,N552)))</f>
        <v>0</v>
      </c>
      <c r="X552" s="21">
        <f>IF(F552="","",ROUND(W552*V552+IF(N552="",0,N552)*V552*OvertimeRate,2))</f>
        <v>0</v>
      </c>
      <c r="Y552" s="21">
        <f>IF(F552="","",IF(P552&lt;&gt;"Yes",0,ROUND(U552*IF(IFERROR(INDEX(Clients!$O$5:$O$204,MATCH(IFERROR(INDEX(Jobs!$G$5:$G$604,MATCH(G552,Jobs!$A$5:$A$604,0)),""),Clients!$A$5:$A$204,0)),0)&gt;0,INDEX(Clients!$O$5:$O$204,MATCH(INDEX(Jobs!$G$5:$G$604,MATCH(G552,Jobs!$A$5:$A$604,0)),Clients!$A$5:$A$204,0)),HourlyRate),2)))</f>
        <v>0</v>
      </c>
      <c r="Z552" s="39">
        <f>IF(F552="","",IF(U552=0,"Add - no hours recorded",IF(O552="Absent - no show","Action - no show",IF(U552&gt;10,"Check - over ten hours in a day",IF(Q552&lt;&gt;"Yes","Due - needs approving",IF(R552&lt;&gt;"Yes","Due - not paid yet","OK"))))))</f>
        <v>0</v>
      </c>
    </row>
    <row r="553" spans="1:26">
      <c r="A553" s="43">
        <f>IF(F553="","","TS-"&amp;TEXT(ROW()-4,"0000"))</f>
        <v>0</v>
      </c>
      <c r="C553" s="23">
        <f>IF(B553="","",TEXT(B553,"ddd"))</f>
        <v>0</v>
      </c>
      <c r="D553" s="31">
        <f>IF(B553="","",WEEKNUM(B553,IF(WeekStart="Sunday",1,2)))</f>
        <v>0</v>
      </c>
      <c r="E553" s="23">
        <f>IF(B553="","",TEXT(B553,"yyyy-mm"))</f>
        <v>0</v>
      </c>
      <c r="H553" s="23">
        <f>IF(G553="","",IFERROR(INDEX(Jobs!$H$5:$H$604,MATCH(G553,Jobs!$A$5:$A$604,0)),""))</f>
        <v>0</v>
      </c>
      <c r="T553" s="34">
        <f>IF(OR(J553="",K553=""),"",ROUND((K553-J553)*24-IF(L553="",0,L553)/60,2))</f>
        <v>0</v>
      </c>
      <c r="U553" s="34">
        <f>IF(F553="","",IF(M553&lt;&gt;"",M553,IF(T553="",0,T553)))</f>
        <v>0</v>
      </c>
      <c r="V553" s="21">
        <f>IF(F553="","",IFERROR(INDEX(Employees!$U$5:$U$44,MATCH(F553,Employees!$B$5:$B$44,0)),PayRate*(1+EmployerOncost)))</f>
        <v>0</v>
      </c>
      <c r="W553" s="34">
        <f>IF(F553="","",MAX(0,U553-IF(N553="",0,N553)))</f>
        <v>0</v>
      </c>
      <c r="X553" s="21">
        <f>IF(F553="","",ROUND(W553*V553+IF(N553="",0,N553)*V553*OvertimeRate,2))</f>
        <v>0</v>
      </c>
      <c r="Y553" s="21">
        <f>IF(F553="","",IF(P553&lt;&gt;"Yes",0,ROUND(U553*IF(IFERROR(INDEX(Clients!$O$5:$O$204,MATCH(IFERROR(INDEX(Jobs!$G$5:$G$604,MATCH(G553,Jobs!$A$5:$A$604,0)),""),Clients!$A$5:$A$204,0)),0)&gt;0,INDEX(Clients!$O$5:$O$204,MATCH(INDEX(Jobs!$G$5:$G$604,MATCH(G553,Jobs!$A$5:$A$604,0)),Clients!$A$5:$A$204,0)),HourlyRate),2)))</f>
        <v>0</v>
      </c>
      <c r="Z553" s="39">
        <f>IF(F553="","",IF(U553=0,"Add - no hours recorded",IF(O553="Absent - no show","Action - no show",IF(U553&gt;10,"Check - over ten hours in a day",IF(Q553&lt;&gt;"Yes","Due - needs approving",IF(R553&lt;&gt;"Yes","Due - not paid yet","OK"))))))</f>
        <v>0</v>
      </c>
    </row>
    <row r="554" spans="1:26">
      <c r="A554" s="43">
        <f>IF(F554="","","TS-"&amp;TEXT(ROW()-4,"0000"))</f>
        <v>0</v>
      </c>
      <c r="C554" s="23">
        <f>IF(B554="","",TEXT(B554,"ddd"))</f>
        <v>0</v>
      </c>
      <c r="D554" s="31">
        <f>IF(B554="","",WEEKNUM(B554,IF(WeekStart="Sunday",1,2)))</f>
        <v>0</v>
      </c>
      <c r="E554" s="23">
        <f>IF(B554="","",TEXT(B554,"yyyy-mm"))</f>
        <v>0</v>
      </c>
      <c r="H554" s="23">
        <f>IF(G554="","",IFERROR(INDEX(Jobs!$H$5:$H$604,MATCH(G554,Jobs!$A$5:$A$604,0)),""))</f>
        <v>0</v>
      </c>
      <c r="T554" s="34">
        <f>IF(OR(J554="",K554=""),"",ROUND((K554-J554)*24-IF(L554="",0,L554)/60,2))</f>
        <v>0</v>
      </c>
      <c r="U554" s="34">
        <f>IF(F554="","",IF(M554&lt;&gt;"",M554,IF(T554="",0,T554)))</f>
        <v>0</v>
      </c>
      <c r="V554" s="21">
        <f>IF(F554="","",IFERROR(INDEX(Employees!$U$5:$U$44,MATCH(F554,Employees!$B$5:$B$44,0)),PayRate*(1+EmployerOncost)))</f>
        <v>0</v>
      </c>
      <c r="W554" s="34">
        <f>IF(F554="","",MAX(0,U554-IF(N554="",0,N554)))</f>
        <v>0</v>
      </c>
      <c r="X554" s="21">
        <f>IF(F554="","",ROUND(W554*V554+IF(N554="",0,N554)*V554*OvertimeRate,2))</f>
        <v>0</v>
      </c>
      <c r="Y554" s="21">
        <f>IF(F554="","",IF(P554&lt;&gt;"Yes",0,ROUND(U554*IF(IFERROR(INDEX(Clients!$O$5:$O$204,MATCH(IFERROR(INDEX(Jobs!$G$5:$G$604,MATCH(G554,Jobs!$A$5:$A$604,0)),""),Clients!$A$5:$A$204,0)),0)&gt;0,INDEX(Clients!$O$5:$O$204,MATCH(INDEX(Jobs!$G$5:$G$604,MATCH(G554,Jobs!$A$5:$A$604,0)),Clients!$A$5:$A$204,0)),HourlyRate),2)))</f>
        <v>0</v>
      </c>
      <c r="Z554" s="39">
        <f>IF(F554="","",IF(U554=0,"Add - no hours recorded",IF(O554="Absent - no show","Action - no show",IF(U554&gt;10,"Check - over ten hours in a day",IF(Q554&lt;&gt;"Yes","Due - needs approving",IF(R554&lt;&gt;"Yes","Due - not paid yet","OK"))))))</f>
        <v>0</v>
      </c>
    </row>
    <row r="555" spans="1:26">
      <c r="A555" s="43">
        <f>IF(F555="","","TS-"&amp;TEXT(ROW()-4,"0000"))</f>
        <v>0</v>
      </c>
      <c r="C555" s="23">
        <f>IF(B555="","",TEXT(B555,"ddd"))</f>
        <v>0</v>
      </c>
      <c r="D555" s="31">
        <f>IF(B555="","",WEEKNUM(B555,IF(WeekStart="Sunday",1,2)))</f>
        <v>0</v>
      </c>
      <c r="E555" s="23">
        <f>IF(B555="","",TEXT(B555,"yyyy-mm"))</f>
        <v>0</v>
      </c>
      <c r="H555" s="23">
        <f>IF(G555="","",IFERROR(INDEX(Jobs!$H$5:$H$604,MATCH(G555,Jobs!$A$5:$A$604,0)),""))</f>
        <v>0</v>
      </c>
      <c r="T555" s="34">
        <f>IF(OR(J555="",K555=""),"",ROUND((K555-J555)*24-IF(L555="",0,L555)/60,2))</f>
        <v>0</v>
      </c>
      <c r="U555" s="34">
        <f>IF(F555="","",IF(M555&lt;&gt;"",M555,IF(T555="",0,T555)))</f>
        <v>0</v>
      </c>
      <c r="V555" s="21">
        <f>IF(F555="","",IFERROR(INDEX(Employees!$U$5:$U$44,MATCH(F555,Employees!$B$5:$B$44,0)),PayRate*(1+EmployerOncost)))</f>
        <v>0</v>
      </c>
      <c r="W555" s="34">
        <f>IF(F555="","",MAX(0,U555-IF(N555="",0,N555)))</f>
        <v>0</v>
      </c>
      <c r="X555" s="21">
        <f>IF(F555="","",ROUND(W555*V555+IF(N555="",0,N555)*V555*OvertimeRate,2))</f>
        <v>0</v>
      </c>
      <c r="Y555" s="21">
        <f>IF(F555="","",IF(P555&lt;&gt;"Yes",0,ROUND(U555*IF(IFERROR(INDEX(Clients!$O$5:$O$204,MATCH(IFERROR(INDEX(Jobs!$G$5:$G$604,MATCH(G555,Jobs!$A$5:$A$604,0)),""),Clients!$A$5:$A$204,0)),0)&gt;0,INDEX(Clients!$O$5:$O$204,MATCH(INDEX(Jobs!$G$5:$G$604,MATCH(G555,Jobs!$A$5:$A$604,0)),Clients!$A$5:$A$204,0)),HourlyRate),2)))</f>
        <v>0</v>
      </c>
      <c r="Z555" s="39">
        <f>IF(F555="","",IF(U555=0,"Add - no hours recorded",IF(O555="Absent - no show","Action - no show",IF(U555&gt;10,"Check - over ten hours in a day",IF(Q555&lt;&gt;"Yes","Due - needs approving",IF(R555&lt;&gt;"Yes","Due - not paid yet","OK"))))))</f>
        <v>0</v>
      </c>
    </row>
    <row r="556" spans="1:26">
      <c r="A556" s="43">
        <f>IF(F556="","","TS-"&amp;TEXT(ROW()-4,"0000"))</f>
        <v>0</v>
      </c>
      <c r="C556" s="23">
        <f>IF(B556="","",TEXT(B556,"ddd"))</f>
        <v>0</v>
      </c>
      <c r="D556" s="31">
        <f>IF(B556="","",WEEKNUM(B556,IF(WeekStart="Sunday",1,2)))</f>
        <v>0</v>
      </c>
      <c r="E556" s="23">
        <f>IF(B556="","",TEXT(B556,"yyyy-mm"))</f>
        <v>0</v>
      </c>
      <c r="H556" s="23">
        <f>IF(G556="","",IFERROR(INDEX(Jobs!$H$5:$H$604,MATCH(G556,Jobs!$A$5:$A$604,0)),""))</f>
        <v>0</v>
      </c>
      <c r="T556" s="34">
        <f>IF(OR(J556="",K556=""),"",ROUND((K556-J556)*24-IF(L556="",0,L556)/60,2))</f>
        <v>0</v>
      </c>
      <c r="U556" s="34">
        <f>IF(F556="","",IF(M556&lt;&gt;"",M556,IF(T556="",0,T556)))</f>
        <v>0</v>
      </c>
      <c r="V556" s="21">
        <f>IF(F556="","",IFERROR(INDEX(Employees!$U$5:$U$44,MATCH(F556,Employees!$B$5:$B$44,0)),PayRate*(1+EmployerOncost)))</f>
        <v>0</v>
      </c>
      <c r="W556" s="34">
        <f>IF(F556="","",MAX(0,U556-IF(N556="",0,N556)))</f>
        <v>0</v>
      </c>
      <c r="X556" s="21">
        <f>IF(F556="","",ROUND(W556*V556+IF(N556="",0,N556)*V556*OvertimeRate,2))</f>
        <v>0</v>
      </c>
      <c r="Y556" s="21">
        <f>IF(F556="","",IF(P556&lt;&gt;"Yes",0,ROUND(U556*IF(IFERROR(INDEX(Clients!$O$5:$O$204,MATCH(IFERROR(INDEX(Jobs!$G$5:$G$604,MATCH(G556,Jobs!$A$5:$A$604,0)),""),Clients!$A$5:$A$204,0)),0)&gt;0,INDEX(Clients!$O$5:$O$204,MATCH(INDEX(Jobs!$G$5:$G$604,MATCH(G556,Jobs!$A$5:$A$604,0)),Clients!$A$5:$A$204,0)),HourlyRate),2)))</f>
        <v>0</v>
      </c>
      <c r="Z556" s="39">
        <f>IF(F556="","",IF(U556=0,"Add - no hours recorded",IF(O556="Absent - no show","Action - no show",IF(U556&gt;10,"Check - over ten hours in a day",IF(Q556&lt;&gt;"Yes","Due - needs approving",IF(R556&lt;&gt;"Yes","Due - not paid yet","OK"))))))</f>
        <v>0</v>
      </c>
    </row>
    <row r="557" spans="1:26">
      <c r="A557" s="43">
        <f>IF(F557="","","TS-"&amp;TEXT(ROW()-4,"0000"))</f>
        <v>0</v>
      </c>
      <c r="C557" s="23">
        <f>IF(B557="","",TEXT(B557,"ddd"))</f>
        <v>0</v>
      </c>
      <c r="D557" s="31">
        <f>IF(B557="","",WEEKNUM(B557,IF(WeekStart="Sunday",1,2)))</f>
        <v>0</v>
      </c>
      <c r="E557" s="23">
        <f>IF(B557="","",TEXT(B557,"yyyy-mm"))</f>
        <v>0</v>
      </c>
      <c r="H557" s="23">
        <f>IF(G557="","",IFERROR(INDEX(Jobs!$H$5:$H$604,MATCH(G557,Jobs!$A$5:$A$604,0)),""))</f>
        <v>0</v>
      </c>
      <c r="T557" s="34">
        <f>IF(OR(J557="",K557=""),"",ROUND((K557-J557)*24-IF(L557="",0,L557)/60,2))</f>
        <v>0</v>
      </c>
      <c r="U557" s="34">
        <f>IF(F557="","",IF(M557&lt;&gt;"",M557,IF(T557="",0,T557)))</f>
        <v>0</v>
      </c>
      <c r="V557" s="21">
        <f>IF(F557="","",IFERROR(INDEX(Employees!$U$5:$U$44,MATCH(F557,Employees!$B$5:$B$44,0)),PayRate*(1+EmployerOncost)))</f>
        <v>0</v>
      </c>
      <c r="W557" s="34">
        <f>IF(F557="","",MAX(0,U557-IF(N557="",0,N557)))</f>
        <v>0</v>
      </c>
      <c r="X557" s="21">
        <f>IF(F557="","",ROUND(W557*V557+IF(N557="",0,N557)*V557*OvertimeRate,2))</f>
        <v>0</v>
      </c>
      <c r="Y557" s="21">
        <f>IF(F557="","",IF(P557&lt;&gt;"Yes",0,ROUND(U557*IF(IFERROR(INDEX(Clients!$O$5:$O$204,MATCH(IFERROR(INDEX(Jobs!$G$5:$G$604,MATCH(G557,Jobs!$A$5:$A$604,0)),""),Clients!$A$5:$A$204,0)),0)&gt;0,INDEX(Clients!$O$5:$O$204,MATCH(INDEX(Jobs!$G$5:$G$604,MATCH(G557,Jobs!$A$5:$A$604,0)),Clients!$A$5:$A$204,0)),HourlyRate),2)))</f>
        <v>0</v>
      </c>
      <c r="Z557" s="39">
        <f>IF(F557="","",IF(U557=0,"Add - no hours recorded",IF(O557="Absent - no show","Action - no show",IF(U557&gt;10,"Check - over ten hours in a day",IF(Q557&lt;&gt;"Yes","Due - needs approving",IF(R557&lt;&gt;"Yes","Due - not paid yet","OK"))))))</f>
        <v>0</v>
      </c>
    </row>
    <row r="558" spans="1:26">
      <c r="A558" s="43">
        <f>IF(F558="","","TS-"&amp;TEXT(ROW()-4,"0000"))</f>
        <v>0</v>
      </c>
      <c r="C558" s="23">
        <f>IF(B558="","",TEXT(B558,"ddd"))</f>
        <v>0</v>
      </c>
      <c r="D558" s="31">
        <f>IF(B558="","",WEEKNUM(B558,IF(WeekStart="Sunday",1,2)))</f>
        <v>0</v>
      </c>
      <c r="E558" s="23">
        <f>IF(B558="","",TEXT(B558,"yyyy-mm"))</f>
        <v>0</v>
      </c>
      <c r="H558" s="23">
        <f>IF(G558="","",IFERROR(INDEX(Jobs!$H$5:$H$604,MATCH(G558,Jobs!$A$5:$A$604,0)),""))</f>
        <v>0</v>
      </c>
      <c r="T558" s="34">
        <f>IF(OR(J558="",K558=""),"",ROUND((K558-J558)*24-IF(L558="",0,L558)/60,2))</f>
        <v>0</v>
      </c>
      <c r="U558" s="34">
        <f>IF(F558="","",IF(M558&lt;&gt;"",M558,IF(T558="",0,T558)))</f>
        <v>0</v>
      </c>
      <c r="V558" s="21">
        <f>IF(F558="","",IFERROR(INDEX(Employees!$U$5:$U$44,MATCH(F558,Employees!$B$5:$B$44,0)),PayRate*(1+EmployerOncost)))</f>
        <v>0</v>
      </c>
      <c r="W558" s="34">
        <f>IF(F558="","",MAX(0,U558-IF(N558="",0,N558)))</f>
        <v>0</v>
      </c>
      <c r="X558" s="21">
        <f>IF(F558="","",ROUND(W558*V558+IF(N558="",0,N558)*V558*OvertimeRate,2))</f>
        <v>0</v>
      </c>
      <c r="Y558" s="21">
        <f>IF(F558="","",IF(P558&lt;&gt;"Yes",0,ROUND(U558*IF(IFERROR(INDEX(Clients!$O$5:$O$204,MATCH(IFERROR(INDEX(Jobs!$G$5:$G$604,MATCH(G558,Jobs!$A$5:$A$604,0)),""),Clients!$A$5:$A$204,0)),0)&gt;0,INDEX(Clients!$O$5:$O$204,MATCH(INDEX(Jobs!$G$5:$G$604,MATCH(G558,Jobs!$A$5:$A$604,0)),Clients!$A$5:$A$204,0)),HourlyRate),2)))</f>
        <v>0</v>
      </c>
      <c r="Z558" s="39">
        <f>IF(F558="","",IF(U558=0,"Add - no hours recorded",IF(O558="Absent - no show","Action - no show",IF(U558&gt;10,"Check - over ten hours in a day",IF(Q558&lt;&gt;"Yes","Due - needs approving",IF(R558&lt;&gt;"Yes","Due - not paid yet","OK"))))))</f>
        <v>0</v>
      </c>
    </row>
    <row r="559" spans="1:26">
      <c r="A559" s="43">
        <f>IF(F559="","","TS-"&amp;TEXT(ROW()-4,"0000"))</f>
        <v>0</v>
      </c>
      <c r="C559" s="23">
        <f>IF(B559="","",TEXT(B559,"ddd"))</f>
        <v>0</v>
      </c>
      <c r="D559" s="31">
        <f>IF(B559="","",WEEKNUM(B559,IF(WeekStart="Sunday",1,2)))</f>
        <v>0</v>
      </c>
      <c r="E559" s="23">
        <f>IF(B559="","",TEXT(B559,"yyyy-mm"))</f>
        <v>0</v>
      </c>
      <c r="H559" s="23">
        <f>IF(G559="","",IFERROR(INDEX(Jobs!$H$5:$H$604,MATCH(G559,Jobs!$A$5:$A$604,0)),""))</f>
        <v>0</v>
      </c>
      <c r="T559" s="34">
        <f>IF(OR(J559="",K559=""),"",ROUND((K559-J559)*24-IF(L559="",0,L559)/60,2))</f>
        <v>0</v>
      </c>
      <c r="U559" s="34">
        <f>IF(F559="","",IF(M559&lt;&gt;"",M559,IF(T559="",0,T559)))</f>
        <v>0</v>
      </c>
      <c r="V559" s="21">
        <f>IF(F559="","",IFERROR(INDEX(Employees!$U$5:$U$44,MATCH(F559,Employees!$B$5:$B$44,0)),PayRate*(1+EmployerOncost)))</f>
        <v>0</v>
      </c>
      <c r="W559" s="34">
        <f>IF(F559="","",MAX(0,U559-IF(N559="",0,N559)))</f>
        <v>0</v>
      </c>
      <c r="X559" s="21">
        <f>IF(F559="","",ROUND(W559*V559+IF(N559="",0,N559)*V559*OvertimeRate,2))</f>
        <v>0</v>
      </c>
      <c r="Y559" s="21">
        <f>IF(F559="","",IF(P559&lt;&gt;"Yes",0,ROUND(U559*IF(IFERROR(INDEX(Clients!$O$5:$O$204,MATCH(IFERROR(INDEX(Jobs!$G$5:$G$604,MATCH(G559,Jobs!$A$5:$A$604,0)),""),Clients!$A$5:$A$204,0)),0)&gt;0,INDEX(Clients!$O$5:$O$204,MATCH(INDEX(Jobs!$G$5:$G$604,MATCH(G559,Jobs!$A$5:$A$604,0)),Clients!$A$5:$A$204,0)),HourlyRate),2)))</f>
        <v>0</v>
      </c>
      <c r="Z559" s="39">
        <f>IF(F559="","",IF(U559=0,"Add - no hours recorded",IF(O559="Absent - no show","Action - no show",IF(U559&gt;10,"Check - over ten hours in a day",IF(Q559&lt;&gt;"Yes","Due - needs approving",IF(R559&lt;&gt;"Yes","Due - not paid yet","OK"))))))</f>
        <v>0</v>
      </c>
    </row>
    <row r="560" spans="1:26">
      <c r="A560" s="43">
        <f>IF(F560="","","TS-"&amp;TEXT(ROW()-4,"0000"))</f>
        <v>0</v>
      </c>
      <c r="C560" s="23">
        <f>IF(B560="","",TEXT(B560,"ddd"))</f>
        <v>0</v>
      </c>
      <c r="D560" s="31">
        <f>IF(B560="","",WEEKNUM(B560,IF(WeekStart="Sunday",1,2)))</f>
        <v>0</v>
      </c>
      <c r="E560" s="23">
        <f>IF(B560="","",TEXT(B560,"yyyy-mm"))</f>
        <v>0</v>
      </c>
      <c r="H560" s="23">
        <f>IF(G560="","",IFERROR(INDEX(Jobs!$H$5:$H$604,MATCH(G560,Jobs!$A$5:$A$604,0)),""))</f>
        <v>0</v>
      </c>
      <c r="T560" s="34">
        <f>IF(OR(J560="",K560=""),"",ROUND((K560-J560)*24-IF(L560="",0,L560)/60,2))</f>
        <v>0</v>
      </c>
      <c r="U560" s="34">
        <f>IF(F560="","",IF(M560&lt;&gt;"",M560,IF(T560="",0,T560)))</f>
        <v>0</v>
      </c>
      <c r="V560" s="21">
        <f>IF(F560="","",IFERROR(INDEX(Employees!$U$5:$U$44,MATCH(F560,Employees!$B$5:$B$44,0)),PayRate*(1+EmployerOncost)))</f>
        <v>0</v>
      </c>
      <c r="W560" s="34">
        <f>IF(F560="","",MAX(0,U560-IF(N560="",0,N560)))</f>
        <v>0</v>
      </c>
      <c r="X560" s="21">
        <f>IF(F560="","",ROUND(W560*V560+IF(N560="",0,N560)*V560*OvertimeRate,2))</f>
        <v>0</v>
      </c>
      <c r="Y560" s="21">
        <f>IF(F560="","",IF(P560&lt;&gt;"Yes",0,ROUND(U560*IF(IFERROR(INDEX(Clients!$O$5:$O$204,MATCH(IFERROR(INDEX(Jobs!$G$5:$G$604,MATCH(G560,Jobs!$A$5:$A$604,0)),""),Clients!$A$5:$A$204,0)),0)&gt;0,INDEX(Clients!$O$5:$O$204,MATCH(INDEX(Jobs!$G$5:$G$604,MATCH(G560,Jobs!$A$5:$A$604,0)),Clients!$A$5:$A$204,0)),HourlyRate),2)))</f>
        <v>0</v>
      </c>
      <c r="Z560" s="39">
        <f>IF(F560="","",IF(U560=0,"Add - no hours recorded",IF(O560="Absent - no show","Action - no show",IF(U560&gt;10,"Check - over ten hours in a day",IF(Q560&lt;&gt;"Yes","Due - needs approving",IF(R560&lt;&gt;"Yes","Due - not paid yet","OK"))))))</f>
        <v>0</v>
      </c>
    </row>
    <row r="561" spans="1:26">
      <c r="A561" s="43">
        <f>IF(F561="","","TS-"&amp;TEXT(ROW()-4,"0000"))</f>
        <v>0</v>
      </c>
      <c r="C561" s="23">
        <f>IF(B561="","",TEXT(B561,"ddd"))</f>
        <v>0</v>
      </c>
      <c r="D561" s="31">
        <f>IF(B561="","",WEEKNUM(B561,IF(WeekStart="Sunday",1,2)))</f>
        <v>0</v>
      </c>
      <c r="E561" s="23">
        <f>IF(B561="","",TEXT(B561,"yyyy-mm"))</f>
        <v>0</v>
      </c>
      <c r="H561" s="23">
        <f>IF(G561="","",IFERROR(INDEX(Jobs!$H$5:$H$604,MATCH(G561,Jobs!$A$5:$A$604,0)),""))</f>
        <v>0</v>
      </c>
      <c r="T561" s="34">
        <f>IF(OR(J561="",K561=""),"",ROUND((K561-J561)*24-IF(L561="",0,L561)/60,2))</f>
        <v>0</v>
      </c>
      <c r="U561" s="34">
        <f>IF(F561="","",IF(M561&lt;&gt;"",M561,IF(T561="",0,T561)))</f>
        <v>0</v>
      </c>
      <c r="V561" s="21">
        <f>IF(F561="","",IFERROR(INDEX(Employees!$U$5:$U$44,MATCH(F561,Employees!$B$5:$B$44,0)),PayRate*(1+EmployerOncost)))</f>
        <v>0</v>
      </c>
      <c r="W561" s="34">
        <f>IF(F561="","",MAX(0,U561-IF(N561="",0,N561)))</f>
        <v>0</v>
      </c>
      <c r="X561" s="21">
        <f>IF(F561="","",ROUND(W561*V561+IF(N561="",0,N561)*V561*OvertimeRate,2))</f>
        <v>0</v>
      </c>
      <c r="Y561" s="21">
        <f>IF(F561="","",IF(P561&lt;&gt;"Yes",0,ROUND(U561*IF(IFERROR(INDEX(Clients!$O$5:$O$204,MATCH(IFERROR(INDEX(Jobs!$G$5:$G$604,MATCH(G561,Jobs!$A$5:$A$604,0)),""),Clients!$A$5:$A$204,0)),0)&gt;0,INDEX(Clients!$O$5:$O$204,MATCH(INDEX(Jobs!$G$5:$G$604,MATCH(G561,Jobs!$A$5:$A$604,0)),Clients!$A$5:$A$204,0)),HourlyRate),2)))</f>
        <v>0</v>
      </c>
      <c r="Z561" s="39">
        <f>IF(F561="","",IF(U561=0,"Add - no hours recorded",IF(O561="Absent - no show","Action - no show",IF(U561&gt;10,"Check - over ten hours in a day",IF(Q561&lt;&gt;"Yes","Due - needs approving",IF(R561&lt;&gt;"Yes","Due - not paid yet","OK"))))))</f>
        <v>0</v>
      </c>
    </row>
    <row r="562" spans="1:26">
      <c r="A562" s="43">
        <f>IF(F562="","","TS-"&amp;TEXT(ROW()-4,"0000"))</f>
        <v>0</v>
      </c>
      <c r="C562" s="23">
        <f>IF(B562="","",TEXT(B562,"ddd"))</f>
        <v>0</v>
      </c>
      <c r="D562" s="31">
        <f>IF(B562="","",WEEKNUM(B562,IF(WeekStart="Sunday",1,2)))</f>
        <v>0</v>
      </c>
      <c r="E562" s="23">
        <f>IF(B562="","",TEXT(B562,"yyyy-mm"))</f>
        <v>0</v>
      </c>
      <c r="H562" s="23">
        <f>IF(G562="","",IFERROR(INDEX(Jobs!$H$5:$H$604,MATCH(G562,Jobs!$A$5:$A$604,0)),""))</f>
        <v>0</v>
      </c>
      <c r="T562" s="34">
        <f>IF(OR(J562="",K562=""),"",ROUND((K562-J562)*24-IF(L562="",0,L562)/60,2))</f>
        <v>0</v>
      </c>
      <c r="U562" s="34">
        <f>IF(F562="","",IF(M562&lt;&gt;"",M562,IF(T562="",0,T562)))</f>
        <v>0</v>
      </c>
      <c r="V562" s="21">
        <f>IF(F562="","",IFERROR(INDEX(Employees!$U$5:$U$44,MATCH(F562,Employees!$B$5:$B$44,0)),PayRate*(1+EmployerOncost)))</f>
        <v>0</v>
      </c>
      <c r="W562" s="34">
        <f>IF(F562="","",MAX(0,U562-IF(N562="",0,N562)))</f>
        <v>0</v>
      </c>
      <c r="X562" s="21">
        <f>IF(F562="","",ROUND(W562*V562+IF(N562="",0,N562)*V562*OvertimeRate,2))</f>
        <v>0</v>
      </c>
      <c r="Y562" s="21">
        <f>IF(F562="","",IF(P562&lt;&gt;"Yes",0,ROUND(U562*IF(IFERROR(INDEX(Clients!$O$5:$O$204,MATCH(IFERROR(INDEX(Jobs!$G$5:$G$604,MATCH(G562,Jobs!$A$5:$A$604,0)),""),Clients!$A$5:$A$204,0)),0)&gt;0,INDEX(Clients!$O$5:$O$204,MATCH(INDEX(Jobs!$G$5:$G$604,MATCH(G562,Jobs!$A$5:$A$604,0)),Clients!$A$5:$A$204,0)),HourlyRate),2)))</f>
        <v>0</v>
      </c>
      <c r="Z562" s="39">
        <f>IF(F562="","",IF(U562=0,"Add - no hours recorded",IF(O562="Absent - no show","Action - no show",IF(U562&gt;10,"Check - over ten hours in a day",IF(Q562&lt;&gt;"Yes","Due - needs approving",IF(R562&lt;&gt;"Yes","Due - not paid yet","OK"))))))</f>
        <v>0</v>
      </c>
    </row>
    <row r="563" spans="1:26">
      <c r="A563" s="43">
        <f>IF(F563="","","TS-"&amp;TEXT(ROW()-4,"0000"))</f>
        <v>0</v>
      </c>
      <c r="C563" s="23">
        <f>IF(B563="","",TEXT(B563,"ddd"))</f>
        <v>0</v>
      </c>
      <c r="D563" s="31">
        <f>IF(B563="","",WEEKNUM(B563,IF(WeekStart="Sunday",1,2)))</f>
        <v>0</v>
      </c>
      <c r="E563" s="23">
        <f>IF(B563="","",TEXT(B563,"yyyy-mm"))</f>
        <v>0</v>
      </c>
      <c r="H563" s="23">
        <f>IF(G563="","",IFERROR(INDEX(Jobs!$H$5:$H$604,MATCH(G563,Jobs!$A$5:$A$604,0)),""))</f>
        <v>0</v>
      </c>
      <c r="T563" s="34">
        <f>IF(OR(J563="",K563=""),"",ROUND((K563-J563)*24-IF(L563="",0,L563)/60,2))</f>
        <v>0</v>
      </c>
      <c r="U563" s="34">
        <f>IF(F563="","",IF(M563&lt;&gt;"",M563,IF(T563="",0,T563)))</f>
        <v>0</v>
      </c>
      <c r="V563" s="21">
        <f>IF(F563="","",IFERROR(INDEX(Employees!$U$5:$U$44,MATCH(F563,Employees!$B$5:$B$44,0)),PayRate*(1+EmployerOncost)))</f>
        <v>0</v>
      </c>
      <c r="W563" s="34">
        <f>IF(F563="","",MAX(0,U563-IF(N563="",0,N563)))</f>
        <v>0</v>
      </c>
      <c r="X563" s="21">
        <f>IF(F563="","",ROUND(W563*V563+IF(N563="",0,N563)*V563*OvertimeRate,2))</f>
        <v>0</v>
      </c>
      <c r="Y563" s="21">
        <f>IF(F563="","",IF(P563&lt;&gt;"Yes",0,ROUND(U563*IF(IFERROR(INDEX(Clients!$O$5:$O$204,MATCH(IFERROR(INDEX(Jobs!$G$5:$G$604,MATCH(G563,Jobs!$A$5:$A$604,0)),""),Clients!$A$5:$A$204,0)),0)&gt;0,INDEX(Clients!$O$5:$O$204,MATCH(INDEX(Jobs!$G$5:$G$604,MATCH(G563,Jobs!$A$5:$A$604,0)),Clients!$A$5:$A$204,0)),HourlyRate),2)))</f>
        <v>0</v>
      </c>
      <c r="Z563" s="39">
        <f>IF(F563="","",IF(U563=0,"Add - no hours recorded",IF(O563="Absent - no show","Action - no show",IF(U563&gt;10,"Check - over ten hours in a day",IF(Q563&lt;&gt;"Yes","Due - needs approving",IF(R563&lt;&gt;"Yes","Due - not paid yet","OK"))))))</f>
        <v>0</v>
      </c>
    </row>
    <row r="564" spans="1:26">
      <c r="A564" s="43">
        <f>IF(F564="","","TS-"&amp;TEXT(ROW()-4,"0000"))</f>
        <v>0</v>
      </c>
      <c r="C564" s="23">
        <f>IF(B564="","",TEXT(B564,"ddd"))</f>
        <v>0</v>
      </c>
      <c r="D564" s="31">
        <f>IF(B564="","",WEEKNUM(B564,IF(WeekStart="Sunday",1,2)))</f>
        <v>0</v>
      </c>
      <c r="E564" s="23">
        <f>IF(B564="","",TEXT(B564,"yyyy-mm"))</f>
        <v>0</v>
      </c>
      <c r="H564" s="23">
        <f>IF(G564="","",IFERROR(INDEX(Jobs!$H$5:$H$604,MATCH(G564,Jobs!$A$5:$A$604,0)),""))</f>
        <v>0</v>
      </c>
      <c r="T564" s="34">
        <f>IF(OR(J564="",K564=""),"",ROUND((K564-J564)*24-IF(L564="",0,L564)/60,2))</f>
        <v>0</v>
      </c>
      <c r="U564" s="34">
        <f>IF(F564="","",IF(M564&lt;&gt;"",M564,IF(T564="",0,T564)))</f>
        <v>0</v>
      </c>
      <c r="V564" s="21">
        <f>IF(F564="","",IFERROR(INDEX(Employees!$U$5:$U$44,MATCH(F564,Employees!$B$5:$B$44,0)),PayRate*(1+EmployerOncost)))</f>
        <v>0</v>
      </c>
      <c r="W564" s="34">
        <f>IF(F564="","",MAX(0,U564-IF(N564="",0,N564)))</f>
        <v>0</v>
      </c>
      <c r="X564" s="21">
        <f>IF(F564="","",ROUND(W564*V564+IF(N564="",0,N564)*V564*OvertimeRate,2))</f>
        <v>0</v>
      </c>
      <c r="Y564" s="21">
        <f>IF(F564="","",IF(P564&lt;&gt;"Yes",0,ROUND(U564*IF(IFERROR(INDEX(Clients!$O$5:$O$204,MATCH(IFERROR(INDEX(Jobs!$G$5:$G$604,MATCH(G564,Jobs!$A$5:$A$604,0)),""),Clients!$A$5:$A$204,0)),0)&gt;0,INDEX(Clients!$O$5:$O$204,MATCH(INDEX(Jobs!$G$5:$G$604,MATCH(G564,Jobs!$A$5:$A$604,0)),Clients!$A$5:$A$204,0)),HourlyRate),2)))</f>
        <v>0</v>
      </c>
      <c r="Z564" s="39">
        <f>IF(F564="","",IF(U564=0,"Add - no hours recorded",IF(O564="Absent - no show","Action - no show",IF(U564&gt;10,"Check - over ten hours in a day",IF(Q564&lt;&gt;"Yes","Due - needs approving",IF(R564&lt;&gt;"Yes","Due - not paid yet","OK"))))))</f>
        <v>0</v>
      </c>
    </row>
    <row r="565" spans="1:26">
      <c r="A565" s="43">
        <f>IF(F565="","","TS-"&amp;TEXT(ROW()-4,"0000"))</f>
        <v>0</v>
      </c>
      <c r="C565" s="23">
        <f>IF(B565="","",TEXT(B565,"ddd"))</f>
        <v>0</v>
      </c>
      <c r="D565" s="31">
        <f>IF(B565="","",WEEKNUM(B565,IF(WeekStart="Sunday",1,2)))</f>
        <v>0</v>
      </c>
      <c r="E565" s="23">
        <f>IF(B565="","",TEXT(B565,"yyyy-mm"))</f>
        <v>0</v>
      </c>
      <c r="H565" s="23">
        <f>IF(G565="","",IFERROR(INDEX(Jobs!$H$5:$H$604,MATCH(G565,Jobs!$A$5:$A$604,0)),""))</f>
        <v>0</v>
      </c>
      <c r="T565" s="34">
        <f>IF(OR(J565="",K565=""),"",ROUND((K565-J565)*24-IF(L565="",0,L565)/60,2))</f>
        <v>0</v>
      </c>
      <c r="U565" s="34">
        <f>IF(F565="","",IF(M565&lt;&gt;"",M565,IF(T565="",0,T565)))</f>
        <v>0</v>
      </c>
      <c r="V565" s="21">
        <f>IF(F565="","",IFERROR(INDEX(Employees!$U$5:$U$44,MATCH(F565,Employees!$B$5:$B$44,0)),PayRate*(1+EmployerOncost)))</f>
        <v>0</v>
      </c>
      <c r="W565" s="34">
        <f>IF(F565="","",MAX(0,U565-IF(N565="",0,N565)))</f>
        <v>0</v>
      </c>
      <c r="X565" s="21">
        <f>IF(F565="","",ROUND(W565*V565+IF(N565="",0,N565)*V565*OvertimeRate,2))</f>
        <v>0</v>
      </c>
      <c r="Y565" s="21">
        <f>IF(F565="","",IF(P565&lt;&gt;"Yes",0,ROUND(U565*IF(IFERROR(INDEX(Clients!$O$5:$O$204,MATCH(IFERROR(INDEX(Jobs!$G$5:$G$604,MATCH(G565,Jobs!$A$5:$A$604,0)),""),Clients!$A$5:$A$204,0)),0)&gt;0,INDEX(Clients!$O$5:$O$204,MATCH(INDEX(Jobs!$G$5:$G$604,MATCH(G565,Jobs!$A$5:$A$604,0)),Clients!$A$5:$A$204,0)),HourlyRate),2)))</f>
        <v>0</v>
      </c>
      <c r="Z565" s="39">
        <f>IF(F565="","",IF(U565=0,"Add - no hours recorded",IF(O565="Absent - no show","Action - no show",IF(U565&gt;10,"Check - over ten hours in a day",IF(Q565&lt;&gt;"Yes","Due - needs approving",IF(R565&lt;&gt;"Yes","Due - not paid yet","OK"))))))</f>
        <v>0</v>
      </c>
    </row>
    <row r="566" spans="1:26">
      <c r="A566" s="43">
        <f>IF(F566="","","TS-"&amp;TEXT(ROW()-4,"0000"))</f>
        <v>0</v>
      </c>
      <c r="C566" s="23">
        <f>IF(B566="","",TEXT(B566,"ddd"))</f>
        <v>0</v>
      </c>
      <c r="D566" s="31">
        <f>IF(B566="","",WEEKNUM(B566,IF(WeekStart="Sunday",1,2)))</f>
        <v>0</v>
      </c>
      <c r="E566" s="23">
        <f>IF(B566="","",TEXT(B566,"yyyy-mm"))</f>
        <v>0</v>
      </c>
      <c r="H566" s="23">
        <f>IF(G566="","",IFERROR(INDEX(Jobs!$H$5:$H$604,MATCH(G566,Jobs!$A$5:$A$604,0)),""))</f>
        <v>0</v>
      </c>
      <c r="T566" s="34">
        <f>IF(OR(J566="",K566=""),"",ROUND((K566-J566)*24-IF(L566="",0,L566)/60,2))</f>
        <v>0</v>
      </c>
      <c r="U566" s="34">
        <f>IF(F566="","",IF(M566&lt;&gt;"",M566,IF(T566="",0,T566)))</f>
        <v>0</v>
      </c>
      <c r="V566" s="21">
        <f>IF(F566="","",IFERROR(INDEX(Employees!$U$5:$U$44,MATCH(F566,Employees!$B$5:$B$44,0)),PayRate*(1+EmployerOncost)))</f>
        <v>0</v>
      </c>
      <c r="W566" s="34">
        <f>IF(F566="","",MAX(0,U566-IF(N566="",0,N566)))</f>
        <v>0</v>
      </c>
      <c r="X566" s="21">
        <f>IF(F566="","",ROUND(W566*V566+IF(N566="",0,N566)*V566*OvertimeRate,2))</f>
        <v>0</v>
      </c>
      <c r="Y566" s="21">
        <f>IF(F566="","",IF(P566&lt;&gt;"Yes",0,ROUND(U566*IF(IFERROR(INDEX(Clients!$O$5:$O$204,MATCH(IFERROR(INDEX(Jobs!$G$5:$G$604,MATCH(G566,Jobs!$A$5:$A$604,0)),""),Clients!$A$5:$A$204,0)),0)&gt;0,INDEX(Clients!$O$5:$O$204,MATCH(INDEX(Jobs!$G$5:$G$604,MATCH(G566,Jobs!$A$5:$A$604,0)),Clients!$A$5:$A$204,0)),HourlyRate),2)))</f>
        <v>0</v>
      </c>
      <c r="Z566" s="39">
        <f>IF(F566="","",IF(U566=0,"Add - no hours recorded",IF(O566="Absent - no show","Action - no show",IF(U566&gt;10,"Check - over ten hours in a day",IF(Q566&lt;&gt;"Yes","Due - needs approving",IF(R566&lt;&gt;"Yes","Due - not paid yet","OK"))))))</f>
        <v>0</v>
      </c>
    </row>
    <row r="567" spans="1:26">
      <c r="A567" s="43">
        <f>IF(F567="","","TS-"&amp;TEXT(ROW()-4,"0000"))</f>
        <v>0</v>
      </c>
      <c r="C567" s="23">
        <f>IF(B567="","",TEXT(B567,"ddd"))</f>
        <v>0</v>
      </c>
      <c r="D567" s="31">
        <f>IF(B567="","",WEEKNUM(B567,IF(WeekStart="Sunday",1,2)))</f>
        <v>0</v>
      </c>
      <c r="E567" s="23">
        <f>IF(B567="","",TEXT(B567,"yyyy-mm"))</f>
        <v>0</v>
      </c>
      <c r="H567" s="23">
        <f>IF(G567="","",IFERROR(INDEX(Jobs!$H$5:$H$604,MATCH(G567,Jobs!$A$5:$A$604,0)),""))</f>
        <v>0</v>
      </c>
      <c r="T567" s="34">
        <f>IF(OR(J567="",K567=""),"",ROUND((K567-J567)*24-IF(L567="",0,L567)/60,2))</f>
        <v>0</v>
      </c>
      <c r="U567" s="34">
        <f>IF(F567="","",IF(M567&lt;&gt;"",M567,IF(T567="",0,T567)))</f>
        <v>0</v>
      </c>
      <c r="V567" s="21">
        <f>IF(F567="","",IFERROR(INDEX(Employees!$U$5:$U$44,MATCH(F567,Employees!$B$5:$B$44,0)),PayRate*(1+EmployerOncost)))</f>
        <v>0</v>
      </c>
      <c r="W567" s="34">
        <f>IF(F567="","",MAX(0,U567-IF(N567="",0,N567)))</f>
        <v>0</v>
      </c>
      <c r="X567" s="21">
        <f>IF(F567="","",ROUND(W567*V567+IF(N567="",0,N567)*V567*OvertimeRate,2))</f>
        <v>0</v>
      </c>
      <c r="Y567" s="21">
        <f>IF(F567="","",IF(P567&lt;&gt;"Yes",0,ROUND(U567*IF(IFERROR(INDEX(Clients!$O$5:$O$204,MATCH(IFERROR(INDEX(Jobs!$G$5:$G$604,MATCH(G567,Jobs!$A$5:$A$604,0)),""),Clients!$A$5:$A$204,0)),0)&gt;0,INDEX(Clients!$O$5:$O$204,MATCH(INDEX(Jobs!$G$5:$G$604,MATCH(G567,Jobs!$A$5:$A$604,0)),Clients!$A$5:$A$204,0)),HourlyRate),2)))</f>
        <v>0</v>
      </c>
      <c r="Z567" s="39">
        <f>IF(F567="","",IF(U567=0,"Add - no hours recorded",IF(O567="Absent - no show","Action - no show",IF(U567&gt;10,"Check - over ten hours in a day",IF(Q567&lt;&gt;"Yes","Due - needs approving",IF(R567&lt;&gt;"Yes","Due - not paid yet","OK"))))))</f>
        <v>0</v>
      </c>
    </row>
    <row r="568" spans="1:26">
      <c r="A568" s="43">
        <f>IF(F568="","","TS-"&amp;TEXT(ROW()-4,"0000"))</f>
        <v>0</v>
      </c>
      <c r="C568" s="23">
        <f>IF(B568="","",TEXT(B568,"ddd"))</f>
        <v>0</v>
      </c>
      <c r="D568" s="31">
        <f>IF(B568="","",WEEKNUM(B568,IF(WeekStart="Sunday",1,2)))</f>
        <v>0</v>
      </c>
      <c r="E568" s="23">
        <f>IF(B568="","",TEXT(B568,"yyyy-mm"))</f>
        <v>0</v>
      </c>
      <c r="H568" s="23">
        <f>IF(G568="","",IFERROR(INDEX(Jobs!$H$5:$H$604,MATCH(G568,Jobs!$A$5:$A$604,0)),""))</f>
        <v>0</v>
      </c>
      <c r="T568" s="34">
        <f>IF(OR(J568="",K568=""),"",ROUND((K568-J568)*24-IF(L568="",0,L568)/60,2))</f>
        <v>0</v>
      </c>
      <c r="U568" s="34">
        <f>IF(F568="","",IF(M568&lt;&gt;"",M568,IF(T568="",0,T568)))</f>
        <v>0</v>
      </c>
      <c r="V568" s="21">
        <f>IF(F568="","",IFERROR(INDEX(Employees!$U$5:$U$44,MATCH(F568,Employees!$B$5:$B$44,0)),PayRate*(1+EmployerOncost)))</f>
        <v>0</v>
      </c>
      <c r="W568" s="34">
        <f>IF(F568="","",MAX(0,U568-IF(N568="",0,N568)))</f>
        <v>0</v>
      </c>
      <c r="X568" s="21">
        <f>IF(F568="","",ROUND(W568*V568+IF(N568="",0,N568)*V568*OvertimeRate,2))</f>
        <v>0</v>
      </c>
      <c r="Y568" s="21">
        <f>IF(F568="","",IF(P568&lt;&gt;"Yes",0,ROUND(U568*IF(IFERROR(INDEX(Clients!$O$5:$O$204,MATCH(IFERROR(INDEX(Jobs!$G$5:$G$604,MATCH(G568,Jobs!$A$5:$A$604,0)),""),Clients!$A$5:$A$204,0)),0)&gt;0,INDEX(Clients!$O$5:$O$204,MATCH(INDEX(Jobs!$G$5:$G$604,MATCH(G568,Jobs!$A$5:$A$604,0)),Clients!$A$5:$A$204,0)),HourlyRate),2)))</f>
        <v>0</v>
      </c>
      <c r="Z568" s="39">
        <f>IF(F568="","",IF(U568=0,"Add - no hours recorded",IF(O568="Absent - no show","Action - no show",IF(U568&gt;10,"Check - over ten hours in a day",IF(Q568&lt;&gt;"Yes","Due - needs approving",IF(R568&lt;&gt;"Yes","Due - not paid yet","OK"))))))</f>
        <v>0</v>
      </c>
    </row>
    <row r="569" spans="1:26">
      <c r="A569" s="43">
        <f>IF(F569="","","TS-"&amp;TEXT(ROW()-4,"0000"))</f>
        <v>0</v>
      </c>
      <c r="C569" s="23">
        <f>IF(B569="","",TEXT(B569,"ddd"))</f>
        <v>0</v>
      </c>
      <c r="D569" s="31">
        <f>IF(B569="","",WEEKNUM(B569,IF(WeekStart="Sunday",1,2)))</f>
        <v>0</v>
      </c>
      <c r="E569" s="23">
        <f>IF(B569="","",TEXT(B569,"yyyy-mm"))</f>
        <v>0</v>
      </c>
      <c r="H569" s="23">
        <f>IF(G569="","",IFERROR(INDEX(Jobs!$H$5:$H$604,MATCH(G569,Jobs!$A$5:$A$604,0)),""))</f>
        <v>0</v>
      </c>
      <c r="T569" s="34">
        <f>IF(OR(J569="",K569=""),"",ROUND((K569-J569)*24-IF(L569="",0,L569)/60,2))</f>
        <v>0</v>
      </c>
      <c r="U569" s="34">
        <f>IF(F569="","",IF(M569&lt;&gt;"",M569,IF(T569="",0,T569)))</f>
        <v>0</v>
      </c>
      <c r="V569" s="21">
        <f>IF(F569="","",IFERROR(INDEX(Employees!$U$5:$U$44,MATCH(F569,Employees!$B$5:$B$44,0)),PayRate*(1+EmployerOncost)))</f>
        <v>0</v>
      </c>
      <c r="W569" s="34">
        <f>IF(F569="","",MAX(0,U569-IF(N569="",0,N569)))</f>
        <v>0</v>
      </c>
      <c r="X569" s="21">
        <f>IF(F569="","",ROUND(W569*V569+IF(N569="",0,N569)*V569*OvertimeRate,2))</f>
        <v>0</v>
      </c>
      <c r="Y569" s="21">
        <f>IF(F569="","",IF(P569&lt;&gt;"Yes",0,ROUND(U569*IF(IFERROR(INDEX(Clients!$O$5:$O$204,MATCH(IFERROR(INDEX(Jobs!$G$5:$G$604,MATCH(G569,Jobs!$A$5:$A$604,0)),""),Clients!$A$5:$A$204,0)),0)&gt;0,INDEX(Clients!$O$5:$O$204,MATCH(INDEX(Jobs!$G$5:$G$604,MATCH(G569,Jobs!$A$5:$A$604,0)),Clients!$A$5:$A$204,0)),HourlyRate),2)))</f>
        <v>0</v>
      </c>
      <c r="Z569" s="39">
        <f>IF(F569="","",IF(U569=0,"Add - no hours recorded",IF(O569="Absent - no show","Action - no show",IF(U569&gt;10,"Check - over ten hours in a day",IF(Q569&lt;&gt;"Yes","Due - needs approving",IF(R569&lt;&gt;"Yes","Due - not paid yet","OK"))))))</f>
        <v>0</v>
      </c>
    </row>
    <row r="570" spans="1:26">
      <c r="A570" s="43">
        <f>IF(F570="","","TS-"&amp;TEXT(ROW()-4,"0000"))</f>
        <v>0</v>
      </c>
      <c r="C570" s="23">
        <f>IF(B570="","",TEXT(B570,"ddd"))</f>
        <v>0</v>
      </c>
      <c r="D570" s="31">
        <f>IF(B570="","",WEEKNUM(B570,IF(WeekStart="Sunday",1,2)))</f>
        <v>0</v>
      </c>
      <c r="E570" s="23">
        <f>IF(B570="","",TEXT(B570,"yyyy-mm"))</f>
        <v>0</v>
      </c>
      <c r="H570" s="23">
        <f>IF(G570="","",IFERROR(INDEX(Jobs!$H$5:$H$604,MATCH(G570,Jobs!$A$5:$A$604,0)),""))</f>
        <v>0</v>
      </c>
      <c r="T570" s="34">
        <f>IF(OR(J570="",K570=""),"",ROUND((K570-J570)*24-IF(L570="",0,L570)/60,2))</f>
        <v>0</v>
      </c>
      <c r="U570" s="34">
        <f>IF(F570="","",IF(M570&lt;&gt;"",M570,IF(T570="",0,T570)))</f>
        <v>0</v>
      </c>
      <c r="V570" s="21">
        <f>IF(F570="","",IFERROR(INDEX(Employees!$U$5:$U$44,MATCH(F570,Employees!$B$5:$B$44,0)),PayRate*(1+EmployerOncost)))</f>
        <v>0</v>
      </c>
      <c r="W570" s="34">
        <f>IF(F570="","",MAX(0,U570-IF(N570="",0,N570)))</f>
        <v>0</v>
      </c>
      <c r="X570" s="21">
        <f>IF(F570="","",ROUND(W570*V570+IF(N570="",0,N570)*V570*OvertimeRate,2))</f>
        <v>0</v>
      </c>
      <c r="Y570" s="21">
        <f>IF(F570="","",IF(P570&lt;&gt;"Yes",0,ROUND(U570*IF(IFERROR(INDEX(Clients!$O$5:$O$204,MATCH(IFERROR(INDEX(Jobs!$G$5:$G$604,MATCH(G570,Jobs!$A$5:$A$604,0)),""),Clients!$A$5:$A$204,0)),0)&gt;0,INDEX(Clients!$O$5:$O$204,MATCH(INDEX(Jobs!$G$5:$G$604,MATCH(G570,Jobs!$A$5:$A$604,0)),Clients!$A$5:$A$204,0)),HourlyRate),2)))</f>
        <v>0</v>
      </c>
      <c r="Z570" s="39">
        <f>IF(F570="","",IF(U570=0,"Add - no hours recorded",IF(O570="Absent - no show","Action - no show",IF(U570&gt;10,"Check - over ten hours in a day",IF(Q570&lt;&gt;"Yes","Due - needs approving",IF(R570&lt;&gt;"Yes","Due - not paid yet","OK"))))))</f>
        <v>0</v>
      </c>
    </row>
    <row r="571" spans="1:26">
      <c r="A571" s="43">
        <f>IF(F571="","","TS-"&amp;TEXT(ROW()-4,"0000"))</f>
        <v>0</v>
      </c>
      <c r="C571" s="23">
        <f>IF(B571="","",TEXT(B571,"ddd"))</f>
        <v>0</v>
      </c>
      <c r="D571" s="31">
        <f>IF(B571="","",WEEKNUM(B571,IF(WeekStart="Sunday",1,2)))</f>
        <v>0</v>
      </c>
      <c r="E571" s="23">
        <f>IF(B571="","",TEXT(B571,"yyyy-mm"))</f>
        <v>0</v>
      </c>
      <c r="H571" s="23">
        <f>IF(G571="","",IFERROR(INDEX(Jobs!$H$5:$H$604,MATCH(G571,Jobs!$A$5:$A$604,0)),""))</f>
        <v>0</v>
      </c>
      <c r="T571" s="34">
        <f>IF(OR(J571="",K571=""),"",ROUND((K571-J571)*24-IF(L571="",0,L571)/60,2))</f>
        <v>0</v>
      </c>
      <c r="U571" s="34">
        <f>IF(F571="","",IF(M571&lt;&gt;"",M571,IF(T571="",0,T571)))</f>
        <v>0</v>
      </c>
      <c r="V571" s="21">
        <f>IF(F571="","",IFERROR(INDEX(Employees!$U$5:$U$44,MATCH(F571,Employees!$B$5:$B$44,0)),PayRate*(1+EmployerOncost)))</f>
        <v>0</v>
      </c>
      <c r="W571" s="34">
        <f>IF(F571="","",MAX(0,U571-IF(N571="",0,N571)))</f>
        <v>0</v>
      </c>
      <c r="X571" s="21">
        <f>IF(F571="","",ROUND(W571*V571+IF(N571="",0,N571)*V571*OvertimeRate,2))</f>
        <v>0</v>
      </c>
      <c r="Y571" s="21">
        <f>IF(F571="","",IF(P571&lt;&gt;"Yes",0,ROUND(U571*IF(IFERROR(INDEX(Clients!$O$5:$O$204,MATCH(IFERROR(INDEX(Jobs!$G$5:$G$604,MATCH(G571,Jobs!$A$5:$A$604,0)),""),Clients!$A$5:$A$204,0)),0)&gt;0,INDEX(Clients!$O$5:$O$204,MATCH(INDEX(Jobs!$G$5:$G$604,MATCH(G571,Jobs!$A$5:$A$604,0)),Clients!$A$5:$A$204,0)),HourlyRate),2)))</f>
        <v>0</v>
      </c>
      <c r="Z571" s="39">
        <f>IF(F571="","",IF(U571=0,"Add - no hours recorded",IF(O571="Absent - no show","Action - no show",IF(U571&gt;10,"Check - over ten hours in a day",IF(Q571&lt;&gt;"Yes","Due - needs approving",IF(R571&lt;&gt;"Yes","Due - not paid yet","OK"))))))</f>
        <v>0</v>
      </c>
    </row>
    <row r="572" spans="1:26">
      <c r="A572" s="43">
        <f>IF(F572="","","TS-"&amp;TEXT(ROW()-4,"0000"))</f>
        <v>0</v>
      </c>
      <c r="C572" s="23">
        <f>IF(B572="","",TEXT(B572,"ddd"))</f>
        <v>0</v>
      </c>
      <c r="D572" s="31">
        <f>IF(B572="","",WEEKNUM(B572,IF(WeekStart="Sunday",1,2)))</f>
        <v>0</v>
      </c>
      <c r="E572" s="23">
        <f>IF(B572="","",TEXT(B572,"yyyy-mm"))</f>
        <v>0</v>
      </c>
      <c r="H572" s="23">
        <f>IF(G572="","",IFERROR(INDEX(Jobs!$H$5:$H$604,MATCH(G572,Jobs!$A$5:$A$604,0)),""))</f>
        <v>0</v>
      </c>
      <c r="T572" s="34">
        <f>IF(OR(J572="",K572=""),"",ROUND((K572-J572)*24-IF(L572="",0,L572)/60,2))</f>
        <v>0</v>
      </c>
      <c r="U572" s="34">
        <f>IF(F572="","",IF(M572&lt;&gt;"",M572,IF(T572="",0,T572)))</f>
        <v>0</v>
      </c>
      <c r="V572" s="21">
        <f>IF(F572="","",IFERROR(INDEX(Employees!$U$5:$U$44,MATCH(F572,Employees!$B$5:$B$44,0)),PayRate*(1+EmployerOncost)))</f>
        <v>0</v>
      </c>
      <c r="W572" s="34">
        <f>IF(F572="","",MAX(0,U572-IF(N572="",0,N572)))</f>
        <v>0</v>
      </c>
      <c r="X572" s="21">
        <f>IF(F572="","",ROUND(W572*V572+IF(N572="",0,N572)*V572*OvertimeRate,2))</f>
        <v>0</v>
      </c>
      <c r="Y572" s="21">
        <f>IF(F572="","",IF(P572&lt;&gt;"Yes",0,ROUND(U572*IF(IFERROR(INDEX(Clients!$O$5:$O$204,MATCH(IFERROR(INDEX(Jobs!$G$5:$G$604,MATCH(G572,Jobs!$A$5:$A$604,0)),""),Clients!$A$5:$A$204,0)),0)&gt;0,INDEX(Clients!$O$5:$O$204,MATCH(INDEX(Jobs!$G$5:$G$604,MATCH(G572,Jobs!$A$5:$A$604,0)),Clients!$A$5:$A$204,0)),HourlyRate),2)))</f>
        <v>0</v>
      </c>
      <c r="Z572" s="39">
        <f>IF(F572="","",IF(U572=0,"Add - no hours recorded",IF(O572="Absent - no show","Action - no show",IF(U572&gt;10,"Check - over ten hours in a day",IF(Q572&lt;&gt;"Yes","Due - needs approving",IF(R572&lt;&gt;"Yes","Due - not paid yet","OK"))))))</f>
        <v>0</v>
      </c>
    </row>
    <row r="573" spans="1:26">
      <c r="A573" s="43">
        <f>IF(F573="","","TS-"&amp;TEXT(ROW()-4,"0000"))</f>
        <v>0</v>
      </c>
      <c r="C573" s="23">
        <f>IF(B573="","",TEXT(B573,"ddd"))</f>
        <v>0</v>
      </c>
      <c r="D573" s="31">
        <f>IF(B573="","",WEEKNUM(B573,IF(WeekStart="Sunday",1,2)))</f>
        <v>0</v>
      </c>
      <c r="E573" s="23">
        <f>IF(B573="","",TEXT(B573,"yyyy-mm"))</f>
        <v>0</v>
      </c>
      <c r="H573" s="23">
        <f>IF(G573="","",IFERROR(INDEX(Jobs!$H$5:$H$604,MATCH(G573,Jobs!$A$5:$A$604,0)),""))</f>
        <v>0</v>
      </c>
      <c r="T573" s="34">
        <f>IF(OR(J573="",K573=""),"",ROUND((K573-J573)*24-IF(L573="",0,L573)/60,2))</f>
        <v>0</v>
      </c>
      <c r="U573" s="34">
        <f>IF(F573="","",IF(M573&lt;&gt;"",M573,IF(T573="",0,T573)))</f>
        <v>0</v>
      </c>
      <c r="V573" s="21">
        <f>IF(F573="","",IFERROR(INDEX(Employees!$U$5:$U$44,MATCH(F573,Employees!$B$5:$B$44,0)),PayRate*(1+EmployerOncost)))</f>
        <v>0</v>
      </c>
      <c r="W573" s="34">
        <f>IF(F573="","",MAX(0,U573-IF(N573="",0,N573)))</f>
        <v>0</v>
      </c>
      <c r="X573" s="21">
        <f>IF(F573="","",ROUND(W573*V573+IF(N573="",0,N573)*V573*OvertimeRate,2))</f>
        <v>0</v>
      </c>
      <c r="Y573" s="21">
        <f>IF(F573="","",IF(P573&lt;&gt;"Yes",0,ROUND(U573*IF(IFERROR(INDEX(Clients!$O$5:$O$204,MATCH(IFERROR(INDEX(Jobs!$G$5:$G$604,MATCH(G573,Jobs!$A$5:$A$604,0)),""),Clients!$A$5:$A$204,0)),0)&gt;0,INDEX(Clients!$O$5:$O$204,MATCH(INDEX(Jobs!$G$5:$G$604,MATCH(G573,Jobs!$A$5:$A$604,0)),Clients!$A$5:$A$204,0)),HourlyRate),2)))</f>
        <v>0</v>
      </c>
      <c r="Z573" s="39">
        <f>IF(F573="","",IF(U573=0,"Add - no hours recorded",IF(O573="Absent - no show","Action - no show",IF(U573&gt;10,"Check - over ten hours in a day",IF(Q573&lt;&gt;"Yes","Due - needs approving",IF(R573&lt;&gt;"Yes","Due - not paid yet","OK"))))))</f>
        <v>0</v>
      </c>
    </row>
    <row r="574" spans="1:26">
      <c r="A574" s="43">
        <f>IF(F574="","","TS-"&amp;TEXT(ROW()-4,"0000"))</f>
        <v>0</v>
      </c>
      <c r="C574" s="23">
        <f>IF(B574="","",TEXT(B574,"ddd"))</f>
        <v>0</v>
      </c>
      <c r="D574" s="31">
        <f>IF(B574="","",WEEKNUM(B574,IF(WeekStart="Sunday",1,2)))</f>
        <v>0</v>
      </c>
      <c r="E574" s="23">
        <f>IF(B574="","",TEXT(B574,"yyyy-mm"))</f>
        <v>0</v>
      </c>
      <c r="H574" s="23">
        <f>IF(G574="","",IFERROR(INDEX(Jobs!$H$5:$H$604,MATCH(G574,Jobs!$A$5:$A$604,0)),""))</f>
        <v>0</v>
      </c>
      <c r="T574" s="34">
        <f>IF(OR(J574="",K574=""),"",ROUND((K574-J574)*24-IF(L574="",0,L574)/60,2))</f>
        <v>0</v>
      </c>
      <c r="U574" s="34">
        <f>IF(F574="","",IF(M574&lt;&gt;"",M574,IF(T574="",0,T574)))</f>
        <v>0</v>
      </c>
      <c r="V574" s="21">
        <f>IF(F574="","",IFERROR(INDEX(Employees!$U$5:$U$44,MATCH(F574,Employees!$B$5:$B$44,0)),PayRate*(1+EmployerOncost)))</f>
        <v>0</v>
      </c>
      <c r="W574" s="34">
        <f>IF(F574="","",MAX(0,U574-IF(N574="",0,N574)))</f>
        <v>0</v>
      </c>
      <c r="X574" s="21">
        <f>IF(F574="","",ROUND(W574*V574+IF(N574="",0,N574)*V574*OvertimeRate,2))</f>
        <v>0</v>
      </c>
      <c r="Y574" s="21">
        <f>IF(F574="","",IF(P574&lt;&gt;"Yes",0,ROUND(U574*IF(IFERROR(INDEX(Clients!$O$5:$O$204,MATCH(IFERROR(INDEX(Jobs!$G$5:$G$604,MATCH(G574,Jobs!$A$5:$A$604,0)),""),Clients!$A$5:$A$204,0)),0)&gt;0,INDEX(Clients!$O$5:$O$204,MATCH(INDEX(Jobs!$G$5:$G$604,MATCH(G574,Jobs!$A$5:$A$604,0)),Clients!$A$5:$A$204,0)),HourlyRate),2)))</f>
        <v>0</v>
      </c>
      <c r="Z574" s="39">
        <f>IF(F574="","",IF(U574=0,"Add - no hours recorded",IF(O574="Absent - no show","Action - no show",IF(U574&gt;10,"Check - over ten hours in a day",IF(Q574&lt;&gt;"Yes","Due - needs approving",IF(R574&lt;&gt;"Yes","Due - not paid yet","OK"))))))</f>
        <v>0</v>
      </c>
    </row>
    <row r="575" spans="1:26">
      <c r="A575" s="43">
        <f>IF(F575="","","TS-"&amp;TEXT(ROW()-4,"0000"))</f>
        <v>0</v>
      </c>
      <c r="C575" s="23">
        <f>IF(B575="","",TEXT(B575,"ddd"))</f>
        <v>0</v>
      </c>
      <c r="D575" s="31">
        <f>IF(B575="","",WEEKNUM(B575,IF(WeekStart="Sunday",1,2)))</f>
        <v>0</v>
      </c>
      <c r="E575" s="23">
        <f>IF(B575="","",TEXT(B575,"yyyy-mm"))</f>
        <v>0</v>
      </c>
      <c r="H575" s="23">
        <f>IF(G575="","",IFERROR(INDEX(Jobs!$H$5:$H$604,MATCH(G575,Jobs!$A$5:$A$604,0)),""))</f>
        <v>0</v>
      </c>
      <c r="T575" s="34">
        <f>IF(OR(J575="",K575=""),"",ROUND((K575-J575)*24-IF(L575="",0,L575)/60,2))</f>
        <v>0</v>
      </c>
      <c r="U575" s="34">
        <f>IF(F575="","",IF(M575&lt;&gt;"",M575,IF(T575="",0,T575)))</f>
        <v>0</v>
      </c>
      <c r="V575" s="21">
        <f>IF(F575="","",IFERROR(INDEX(Employees!$U$5:$U$44,MATCH(F575,Employees!$B$5:$B$44,0)),PayRate*(1+EmployerOncost)))</f>
        <v>0</v>
      </c>
      <c r="W575" s="34">
        <f>IF(F575="","",MAX(0,U575-IF(N575="",0,N575)))</f>
        <v>0</v>
      </c>
      <c r="X575" s="21">
        <f>IF(F575="","",ROUND(W575*V575+IF(N575="",0,N575)*V575*OvertimeRate,2))</f>
        <v>0</v>
      </c>
      <c r="Y575" s="21">
        <f>IF(F575="","",IF(P575&lt;&gt;"Yes",0,ROUND(U575*IF(IFERROR(INDEX(Clients!$O$5:$O$204,MATCH(IFERROR(INDEX(Jobs!$G$5:$G$604,MATCH(G575,Jobs!$A$5:$A$604,0)),""),Clients!$A$5:$A$204,0)),0)&gt;0,INDEX(Clients!$O$5:$O$204,MATCH(INDEX(Jobs!$G$5:$G$604,MATCH(G575,Jobs!$A$5:$A$604,0)),Clients!$A$5:$A$204,0)),HourlyRate),2)))</f>
        <v>0</v>
      </c>
      <c r="Z575" s="39">
        <f>IF(F575="","",IF(U575=0,"Add - no hours recorded",IF(O575="Absent - no show","Action - no show",IF(U575&gt;10,"Check - over ten hours in a day",IF(Q575&lt;&gt;"Yes","Due - needs approving",IF(R575&lt;&gt;"Yes","Due - not paid yet","OK"))))))</f>
        <v>0</v>
      </c>
    </row>
    <row r="576" spans="1:26">
      <c r="A576" s="43">
        <f>IF(F576="","","TS-"&amp;TEXT(ROW()-4,"0000"))</f>
        <v>0</v>
      </c>
      <c r="C576" s="23">
        <f>IF(B576="","",TEXT(B576,"ddd"))</f>
        <v>0</v>
      </c>
      <c r="D576" s="31">
        <f>IF(B576="","",WEEKNUM(B576,IF(WeekStart="Sunday",1,2)))</f>
        <v>0</v>
      </c>
      <c r="E576" s="23">
        <f>IF(B576="","",TEXT(B576,"yyyy-mm"))</f>
        <v>0</v>
      </c>
      <c r="H576" s="23">
        <f>IF(G576="","",IFERROR(INDEX(Jobs!$H$5:$H$604,MATCH(G576,Jobs!$A$5:$A$604,0)),""))</f>
        <v>0</v>
      </c>
      <c r="T576" s="34">
        <f>IF(OR(J576="",K576=""),"",ROUND((K576-J576)*24-IF(L576="",0,L576)/60,2))</f>
        <v>0</v>
      </c>
      <c r="U576" s="34">
        <f>IF(F576="","",IF(M576&lt;&gt;"",M576,IF(T576="",0,T576)))</f>
        <v>0</v>
      </c>
      <c r="V576" s="21">
        <f>IF(F576="","",IFERROR(INDEX(Employees!$U$5:$U$44,MATCH(F576,Employees!$B$5:$B$44,0)),PayRate*(1+EmployerOncost)))</f>
        <v>0</v>
      </c>
      <c r="W576" s="34">
        <f>IF(F576="","",MAX(0,U576-IF(N576="",0,N576)))</f>
        <v>0</v>
      </c>
      <c r="X576" s="21">
        <f>IF(F576="","",ROUND(W576*V576+IF(N576="",0,N576)*V576*OvertimeRate,2))</f>
        <v>0</v>
      </c>
      <c r="Y576" s="21">
        <f>IF(F576="","",IF(P576&lt;&gt;"Yes",0,ROUND(U576*IF(IFERROR(INDEX(Clients!$O$5:$O$204,MATCH(IFERROR(INDEX(Jobs!$G$5:$G$604,MATCH(G576,Jobs!$A$5:$A$604,0)),""),Clients!$A$5:$A$204,0)),0)&gt;0,INDEX(Clients!$O$5:$O$204,MATCH(INDEX(Jobs!$G$5:$G$604,MATCH(G576,Jobs!$A$5:$A$604,0)),Clients!$A$5:$A$204,0)),HourlyRate),2)))</f>
        <v>0</v>
      </c>
      <c r="Z576" s="39">
        <f>IF(F576="","",IF(U576=0,"Add - no hours recorded",IF(O576="Absent - no show","Action - no show",IF(U576&gt;10,"Check - over ten hours in a day",IF(Q576&lt;&gt;"Yes","Due - needs approving",IF(R576&lt;&gt;"Yes","Due - not paid yet","OK"))))))</f>
        <v>0</v>
      </c>
    </row>
    <row r="577" spans="1:26">
      <c r="A577" s="43">
        <f>IF(F577="","","TS-"&amp;TEXT(ROW()-4,"0000"))</f>
        <v>0</v>
      </c>
      <c r="C577" s="23">
        <f>IF(B577="","",TEXT(B577,"ddd"))</f>
        <v>0</v>
      </c>
      <c r="D577" s="31">
        <f>IF(B577="","",WEEKNUM(B577,IF(WeekStart="Sunday",1,2)))</f>
        <v>0</v>
      </c>
      <c r="E577" s="23">
        <f>IF(B577="","",TEXT(B577,"yyyy-mm"))</f>
        <v>0</v>
      </c>
      <c r="H577" s="23">
        <f>IF(G577="","",IFERROR(INDEX(Jobs!$H$5:$H$604,MATCH(G577,Jobs!$A$5:$A$604,0)),""))</f>
        <v>0</v>
      </c>
      <c r="T577" s="34">
        <f>IF(OR(J577="",K577=""),"",ROUND((K577-J577)*24-IF(L577="",0,L577)/60,2))</f>
        <v>0</v>
      </c>
      <c r="U577" s="34">
        <f>IF(F577="","",IF(M577&lt;&gt;"",M577,IF(T577="",0,T577)))</f>
        <v>0</v>
      </c>
      <c r="V577" s="21">
        <f>IF(F577="","",IFERROR(INDEX(Employees!$U$5:$U$44,MATCH(F577,Employees!$B$5:$B$44,0)),PayRate*(1+EmployerOncost)))</f>
        <v>0</v>
      </c>
      <c r="W577" s="34">
        <f>IF(F577="","",MAX(0,U577-IF(N577="",0,N577)))</f>
        <v>0</v>
      </c>
      <c r="X577" s="21">
        <f>IF(F577="","",ROUND(W577*V577+IF(N577="",0,N577)*V577*OvertimeRate,2))</f>
        <v>0</v>
      </c>
      <c r="Y577" s="21">
        <f>IF(F577="","",IF(P577&lt;&gt;"Yes",0,ROUND(U577*IF(IFERROR(INDEX(Clients!$O$5:$O$204,MATCH(IFERROR(INDEX(Jobs!$G$5:$G$604,MATCH(G577,Jobs!$A$5:$A$604,0)),""),Clients!$A$5:$A$204,0)),0)&gt;0,INDEX(Clients!$O$5:$O$204,MATCH(INDEX(Jobs!$G$5:$G$604,MATCH(G577,Jobs!$A$5:$A$604,0)),Clients!$A$5:$A$204,0)),HourlyRate),2)))</f>
        <v>0</v>
      </c>
      <c r="Z577" s="39">
        <f>IF(F577="","",IF(U577=0,"Add - no hours recorded",IF(O577="Absent - no show","Action - no show",IF(U577&gt;10,"Check - over ten hours in a day",IF(Q577&lt;&gt;"Yes","Due - needs approving",IF(R577&lt;&gt;"Yes","Due - not paid yet","OK"))))))</f>
        <v>0</v>
      </c>
    </row>
    <row r="578" spans="1:26">
      <c r="A578" s="43">
        <f>IF(F578="","","TS-"&amp;TEXT(ROW()-4,"0000"))</f>
        <v>0</v>
      </c>
      <c r="C578" s="23">
        <f>IF(B578="","",TEXT(B578,"ddd"))</f>
        <v>0</v>
      </c>
      <c r="D578" s="31">
        <f>IF(B578="","",WEEKNUM(B578,IF(WeekStart="Sunday",1,2)))</f>
        <v>0</v>
      </c>
      <c r="E578" s="23">
        <f>IF(B578="","",TEXT(B578,"yyyy-mm"))</f>
        <v>0</v>
      </c>
      <c r="H578" s="23">
        <f>IF(G578="","",IFERROR(INDEX(Jobs!$H$5:$H$604,MATCH(G578,Jobs!$A$5:$A$604,0)),""))</f>
        <v>0</v>
      </c>
      <c r="T578" s="34">
        <f>IF(OR(J578="",K578=""),"",ROUND((K578-J578)*24-IF(L578="",0,L578)/60,2))</f>
        <v>0</v>
      </c>
      <c r="U578" s="34">
        <f>IF(F578="","",IF(M578&lt;&gt;"",M578,IF(T578="",0,T578)))</f>
        <v>0</v>
      </c>
      <c r="V578" s="21">
        <f>IF(F578="","",IFERROR(INDEX(Employees!$U$5:$U$44,MATCH(F578,Employees!$B$5:$B$44,0)),PayRate*(1+EmployerOncost)))</f>
        <v>0</v>
      </c>
      <c r="W578" s="34">
        <f>IF(F578="","",MAX(0,U578-IF(N578="",0,N578)))</f>
        <v>0</v>
      </c>
      <c r="X578" s="21">
        <f>IF(F578="","",ROUND(W578*V578+IF(N578="",0,N578)*V578*OvertimeRate,2))</f>
        <v>0</v>
      </c>
      <c r="Y578" s="21">
        <f>IF(F578="","",IF(P578&lt;&gt;"Yes",0,ROUND(U578*IF(IFERROR(INDEX(Clients!$O$5:$O$204,MATCH(IFERROR(INDEX(Jobs!$G$5:$G$604,MATCH(G578,Jobs!$A$5:$A$604,0)),""),Clients!$A$5:$A$204,0)),0)&gt;0,INDEX(Clients!$O$5:$O$204,MATCH(INDEX(Jobs!$G$5:$G$604,MATCH(G578,Jobs!$A$5:$A$604,0)),Clients!$A$5:$A$204,0)),HourlyRate),2)))</f>
        <v>0</v>
      </c>
      <c r="Z578" s="39">
        <f>IF(F578="","",IF(U578=0,"Add - no hours recorded",IF(O578="Absent - no show","Action - no show",IF(U578&gt;10,"Check - over ten hours in a day",IF(Q578&lt;&gt;"Yes","Due - needs approving",IF(R578&lt;&gt;"Yes","Due - not paid yet","OK"))))))</f>
        <v>0</v>
      </c>
    </row>
    <row r="579" spans="1:26">
      <c r="A579" s="43">
        <f>IF(F579="","","TS-"&amp;TEXT(ROW()-4,"0000"))</f>
        <v>0</v>
      </c>
      <c r="C579" s="23">
        <f>IF(B579="","",TEXT(B579,"ddd"))</f>
        <v>0</v>
      </c>
      <c r="D579" s="31">
        <f>IF(B579="","",WEEKNUM(B579,IF(WeekStart="Sunday",1,2)))</f>
        <v>0</v>
      </c>
      <c r="E579" s="23">
        <f>IF(B579="","",TEXT(B579,"yyyy-mm"))</f>
        <v>0</v>
      </c>
      <c r="H579" s="23">
        <f>IF(G579="","",IFERROR(INDEX(Jobs!$H$5:$H$604,MATCH(G579,Jobs!$A$5:$A$604,0)),""))</f>
        <v>0</v>
      </c>
      <c r="T579" s="34">
        <f>IF(OR(J579="",K579=""),"",ROUND((K579-J579)*24-IF(L579="",0,L579)/60,2))</f>
        <v>0</v>
      </c>
      <c r="U579" s="34">
        <f>IF(F579="","",IF(M579&lt;&gt;"",M579,IF(T579="",0,T579)))</f>
        <v>0</v>
      </c>
      <c r="V579" s="21">
        <f>IF(F579="","",IFERROR(INDEX(Employees!$U$5:$U$44,MATCH(F579,Employees!$B$5:$B$44,0)),PayRate*(1+EmployerOncost)))</f>
        <v>0</v>
      </c>
      <c r="W579" s="34">
        <f>IF(F579="","",MAX(0,U579-IF(N579="",0,N579)))</f>
        <v>0</v>
      </c>
      <c r="X579" s="21">
        <f>IF(F579="","",ROUND(W579*V579+IF(N579="",0,N579)*V579*OvertimeRate,2))</f>
        <v>0</v>
      </c>
      <c r="Y579" s="21">
        <f>IF(F579="","",IF(P579&lt;&gt;"Yes",0,ROUND(U579*IF(IFERROR(INDEX(Clients!$O$5:$O$204,MATCH(IFERROR(INDEX(Jobs!$G$5:$G$604,MATCH(G579,Jobs!$A$5:$A$604,0)),""),Clients!$A$5:$A$204,0)),0)&gt;0,INDEX(Clients!$O$5:$O$204,MATCH(INDEX(Jobs!$G$5:$G$604,MATCH(G579,Jobs!$A$5:$A$604,0)),Clients!$A$5:$A$204,0)),HourlyRate),2)))</f>
        <v>0</v>
      </c>
      <c r="Z579" s="39">
        <f>IF(F579="","",IF(U579=0,"Add - no hours recorded",IF(O579="Absent - no show","Action - no show",IF(U579&gt;10,"Check - over ten hours in a day",IF(Q579&lt;&gt;"Yes","Due - needs approving",IF(R579&lt;&gt;"Yes","Due - not paid yet","OK"))))))</f>
        <v>0</v>
      </c>
    </row>
    <row r="580" spans="1:26">
      <c r="A580" s="43">
        <f>IF(F580="","","TS-"&amp;TEXT(ROW()-4,"0000"))</f>
        <v>0</v>
      </c>
      <c r="C580" s="23">
        <f>IF(B580="","",TEXT(B580,"ddd"))</f>
        <v>0</v>
      </c>
      <c r="D580" s="31">
        <f>IF(B580="","",WEEKNUM(B580,IF(WeekStart="Sunday",1,2)))</f>
        <v>0</v>
      </c>
      <c r="E580" s="23">
        <f>IF(B580="","",TEXT(B580,"yyyy-mm"))</f>
        <v>0</v>
      </c>
      <c r="H580" s="23">
        <f>IF(G580="","",IFERROR(INDEX(Jobs!$H$5:$H$604,MATCH(G580,Jobs!$A$5:$A$604,0)),""))</f>
        <v>0</v>
      </c>
      <c r="T580" s="34">
        <f>IF(OR(J580="",K580=""),"",ROUND((K580-J580)*24-IF(L580="",0,L580)/60,2))</f>
        <v>0</v>
      </c>
      <c r="U580" s="34">
        <f>IF(F580="","",IF(M580&lt;&gt;"",M580,IF(T580="",0,T580)))</f>
        <v>0</v>
      </c>
      <c r="V580" s="21">
        <f>IF(F580="","",IFERROR(INDEX(Employees!$U$5:$U$44,MATCH(F580,Employees!$B$5:$B$44,0)),PayRate*(1+EmployerOncost)))</f>
        <v>0</v>
      </c>
      <c r="W580" s="34">
        <f>IF(F580="","",MAX(0,U580-IF(N580="",0,N580)))</f>
        <v>0</v>
      </c>
      <c r="X580" s="21">
        <f>IF(F580="","",ROUND(W580*V580+IF(N580="",0,N580)*V580*OvertimeRate,2))</f>
        <v>0</v>
      </c>
      <c r="Y580" s="21">
        <f>IF(F580="","",IF(P580&lt;&gt;"Yes",0,ROUND(U580*IF(IFERROR(INDEX(Clients!$O$5:$O$204,MATCH(IFERROR(INDEX(Jobs!$G$5:$G$604,MATCH(G580,Jobs!$A$5:$A$604,0)),""),Clients!$A$5:$A$204,0)),0)&gt;0,INDEX(Clients!$O$5:$O$204,MATCH(INDEX(Jobs!$G$5:$G$604,MATCH(G580,Jobs!$A$5:$A$604,0)),Clients!$A$5:$A$204,0)),HourlyRate),2)))</f>
        <v>0</v>
      </c>
      <c r="Z580" s="39">
        <f>IF(F580="","",IF(U580=0,"Add - no hours recorded",IF(O580="Absent - no show","Action - no show",IF(U580&gt;10,"Check - over ten hours in a day",IF(Q580&lt;&gt;"Yes","Due - needs approving",IF(R580&lt;&gt;"Yes","Due - not paid yet","OK"))))))</f>
        <v>0</v>
      </c>
    </row>
    <row r="581" spans="1:26">
      <c r="A581" s="43">
        <f>IF(F581="","","TS-"&amp;TEXT(ROW()-4,"0000"))</f>
        <v>0</v>
      </c>
      <c r="C581" s="23">
        <f>IF(B581="","",TEXT(B581,"ddd"))</f>
        <v>0</v>
      </c>
      <c r="D581" s="31">
        <f>IF(B581="","",WEEKNUM(B581,IF(WeekStart="Sunday",1,2)))</f>
        <v>0</v>
      </c>
      <c r="E581" s="23">
        <f>IF(B581="","",TEXT(B581,"yyyy-mm"))</f>
        <v>0</v>
      </c>
      <c r="H581" s="23">
        <f>IF(G581="","",IFERROR(INDEX(Jobs!$H$5:$H$604,MATCH(G581,Jobs!$A$5:$A$604,0)),""))</f>
        <v>0</v>
      </c>
      <c r="T581" s="34">
        <f>IF(OR(J581="",K581=""),"",ROUND((K581-J581)*24-IF(L581="",0,L581)/60,2))</f>
        <v>0</v>
      </c>
      <c r="U581" s="34">
        <f>IF(F581="","",IF(M581&lt;&gt;"",M581,IF(T581="",0,T581)))</f>
        <v>0</v>
      </c>
      <c r="V581" s="21">
        <f>IF(F581="","",IFERROR(INDEX(Employees!$U$5:$U$44,MATCH(F581,Employees!$B$5:$B$44,0)),PayRate*(1+EmployerOncost)))</f>
        <v>0</v>
      </c>
      <c r="W581" s="34">
        <f>IF(F581="","",MAX(0,U581-IF(N581="",0,N581)))</f>
        <v>0</v>
      </c>
      <c r="X581" s="21">
        <f>IF(F581="","",ROUND(W581*V581+IF(N581="",0,N581)*V581*OvertimeRate,2))</f>
        <v>0</v>
      </c>
      <c r="Y581" s="21">
        <f>IF(F581="","",IF(P581&lt;&gt;"Yes",0,ROUND(U581*IF(IFERROR(INDEX(Clients!$O$5:$O$204,MATCH(IFERROR(INDEX(Jobs!$G$5:$G$604,MATCH(G581,Jobs!$A$5:$A$604,0)),""),Clients!$A$5:$A$204,0)),0)&gt;0,INDEX(Clients!$O$5:$O$204,MATCH(INDEX(Jobs!$G$5:$G$604,MATCH(G581,Jobs!$A$5:$A$604,0)),Clients!$A$5:$A$204,0)),HourlyRate),2)))</f>
        <v>0</v>
      </c>
      <c r="Z581" s="39">
        <f>IF(F581="","",IF(U581=0,"Add - no hours recorded",IF(O581="Absent - no show","Action - no show",IF(U581&gt;10,"Check - over ten hours in a day",IF(Q581&lt;&gt;"Yes","Due - needs approving",IF(R581&lt;&gt;"Yes","Due - not paid yet","OK"))))))</f>
        <v>0</v>
      </c>
    </row>
    <row r="582" spans="1:26">
      <c r="A582" s="43">
        <f>IF(F582="","","TS-"&amp;TEXT(ROW()-4,"0000"))</f>
        <v>0</v>
      </c>
      <c r="C582" s="23">
        <f>IF(B582="","",TEXT(B582,"ddd"))</f>
        <v>0</v>
      </c>
      <c r="D582" s="31">
        <f>IF(B582="","",WEEKNUM(B582,IF(WeekStart="Sunday",1,2)))</f>
        <v>0</v>
      </c>
      <c r="E582" s="23">
        <f>IF(B582="","",TEXT(B582,"yyyy-mm"))</f>
        <v>0</v>
      </c>
      <c r="H582" s="23">
        <f>IF(G582="","",IFERROR(INDEX(Jobs!$H$5:$H$604,MATCH(G582,Jobs!$A$5:$A$604,0)),""))</f>
        <v>0</v>
      </c>
      <c r="T582" s="34">
        <f>IF(OR(J582="",K582=""),"",ROUND((K582-J582)*24-IF(L582="",0,L582)/60,2))</f>
        <v>0</v>
      </c>
      <c r="U582" s="34">
        <f>IF(F582="","",IF(M582&lt;&gt;"",M582,IF(T582="",0,T582)))</f>
        <v>0</v>
      </c>
      <c r="V582" s="21">
        <f>IF(F582="","",IFERROR(INDEX(Employees!$U$5:$U$44,MATCH(F582,Employees!$B$5:$B$44,0)),PayRate*(1+EmployerOncost)))</f>
        <v>0</v>
      </c>
      <c r="W582" s="34">
        <f>IF(F582="","",MAX(0,U582-IF(N582="",0,N582)))</f>
        <v>0</v>
      </c>
      <c r="X582" s="21">
        <f>IF(F582="","",ROUND(W582*V582+IF(N582="",0,N582)*V582*OvertimeRate,2))</f>
        <v>0</v>
      </c>
      <c r="Y582" s="21">
        <f>IF(F582="","",IF(P582&lt;&gt;"Yes",0,ROUND(U582*IF(IFERROR(INDEX(Clients!$O$5:$O$204,MATCH(IFERROR(INDEX(Jobs!$G$5:$G$604,MATCH(G582,Jobs!$A$5:$A$604,0)),""),Clients!$A$5:$A$204,0)),0)&gt;0,INDEX(Clients!$O$5:$O$204,MATCH(INDEX(Jobs!$G$5:$G$604,MATCH(G582,Jobs!$A$5:$A$604,0)),Clients!$A$5:$A$204,0)),HourlyRate),2)))</f>
        <v>0</v>
      </c>
      <c r="Z582" s="39">
        <f>IF(F582="","",IF(U582=0,"Add - no hours recorded",IF(O582="Absent - no show","Action - no show",IF(U582&gt;10,"Check - over ten hours in a day",IF(Q582&lt;&gt;"Yes","Due - needs approving",IF(R582&lt;&gt;"Yes","Due - not paid yet","OK"))))))</f>
        <v>0</v>
      </c>
    </row>
    <row r="583" spans="1:26">
      <c r="A583" s="43">
        <f>IF(F583="","","TS-"&amp;TEXT(ROW()-4,"0000"))</f>
        <v>0</v>
      </c>
      <c r="C583" s="23">
        <f>IF(B583="","",TEXT(B583,"ddd"))</f>
        <v>0</v>
      </c>
      <c r="D583" s="31">
        <f>IF(B583="","",WEEKNUM(B583,IF(WeekStart="Sunday",1,2)))</f>
        <v>0</v>
      </c>
      <c r="E583" s="23">
        <f>IF(B583="","",TEXT(B583,"yyyy-mm"))</f>
        <v>0</v>
      </c>
      <c r="H583" s="23">
        <f>IF(G583="","",IFERROR(INDEX(Jobs!$H$5:$H$604,MATCH(G583,Jobs!$A$5:$A$604,0)),""))</f>
        <v>0</v>
      </c>
      <c r="T583" s="34">
        <f>IF(OR(J583="",K583=""),"",ROUND((K583-J583)*24-IF(L583="",0,L583)/60,2))</f>
        <v>0</v>
      </c>
      <c r="U583" s="34">
        <f>IF(F583="","",IF(M583&lt;&gt;"",M583,IF(T583="",0,T583)))</f>
        <v>0</v>
      </c>
      <c r="V583" s="21">
        <f>IF(F583="","",IFERROR(INDEX(Employees!$U$5:$U$44,MATCH(F583,Employees!$B$5:$B$44,0)),PayRate*(1+EmployerOncost)))</f>
        <v>0</v>
      </c>
      <c r="W583" s="34">
        <f>IF(F583="","",MAX(0,U583-IF(N583="",0,N583)))</f>
        <v>0</v>
      </c>
      <c r="X583" s="21">
        <f>IF(F583="","",ROUND(W583*V583+IF(N583="",0,N583)*V583*OvertimeRate,2))</f>
        <v>0</v>
      </c>
      <c r="Y583" s="21">
        <f>IF(F583="","",IF(P583&lt;&gt;"Yes",0,ROUND(U583*IF(IFERROR(INDEX(Clients!$O$5:$O$204,MATCH(IFERROR(INDEX(Jobs!$G$5:$G$604,MATCH(G583,Jobs!$A$5:$A$604,0)),""),Clients!$A$5:$A$204,0)),0)&gt;0,INDEX(Clients!$O$5:$O$204,MATCH(INDEX(Jobs!$G$5:$G$604,MATCH(G583,Jobs!$A$5:$A$604,0)),Clients!$A$5:$A$204,0)),HourlyRate),2)))</f>
        <v>0</v>
      </c>
      <c r="Z583" s="39">
        <f>IF(F583="","",IF(U583=0,"Add - no hours recorded",IF(O583="Absent - no show","Action - no show",IF(U583&gt;10,"Check - over ten hours in a day",IF(Q583&lt;&gt;"Yes","Due - needs approving",IF(R583&lt;&gt;"Yes","Due - not paid yet","OK"))))))</f>
        <v>0</v>
      </c>
    </row>
    <row r="584" spans="1:26">
      <c r="A584" s="43">
        <f>IF(F584="","","TS-"&amp;TEXT(ROW()-4,"0000"))</f>
        <v>0</v>
      </c>
      <c r="C584" s="23">
        <f>IF(B584="","",TEXT(B584,"ddd"))</f>
        <v>0</v>
      </c>
      <c r="D584" s="31">
        <f>IF(B584="","",WEEKNUM(B584,IF(WeekStart="Sunday",1,2)))</f>
        <v>0</v>
      </c>
      <c r="E584" s="23">
        <f>IF(B584="","",TEXT(B584,"yyyy-mm"))</f>
        <v>0</v>
      </c>
      <c r="H584" s="23">
        <f>IF(G584="","",IFERROR(INDEX(Jobs!$H$5:$H$604,MATCH(G584,Jobs!$A$5:$A$604,0)),""))</f>
        <v>0</v>
      </c>
      <c r="T584" s="34">
        <f>IF(OR(J584="",K584=""),"",ROUND((K584-J584)*24-IF(L584="",0,L584)/60,2))</f>
        <v>0</v>
      </c>
      <c r="U584" s="34">
        <f>IF(F584="","",IF(M584&lt;&gt;"",M584,IF(T584="",0,T584)))</f>
        <v>0</v>
      </c>
      <c r="V584" s="21">
        <f>IF(F584="","",IFERROR(INDEX(Employees!$U$5:$U$44,MATCH(F584,Employees!$B$5:$B$44,0)),PayRate*(1+EmployerOncost)))</f>
        <v>0</v>
      </c>
      <c r="W584" s="34">
        <f>IF(F584="","",MAX(0,U584-IF(N584="",0,N584)))</f>
        <v>0</v>
      </c>
      <c r="X584" s="21">
        <f>IF(F584="","",ROUND(W584*V584+IF(N584="",0,N584)*V584*OvertimeRate,2))</f>
        <v>0</v>
      </c>
      <c r="Y584" s="21">
        <f>IF(F584="","",IF(P584&lt;&gt;"Yes",0,ROUND(U584*IF(IFERROR(INDEX(Clients!$O$5:$O$204,MATCH(IFERROR(INDEX(Jobs!$G$5:$G$604,MATCH(G584,Jobs!$A$5:$A$604,0)),""),Clients!$A$5:$A$204,0)),0)&gt;0,INDEX(Clients!$O$5:$O$204,MATCH(INDEX(Jobs!$G$5:$G$604,MATCH(G584,Jobs!$A$5:$A$604,0)),Clients!$A$5:$A$204,0)),HourlyRate),2)))</f>
        <v>0</v>
      </c>
      <c r="Z584" s="39">
        <f>IF(F584="","",IF(U584=0,"Add - no hours recorded",IF(O584="Absent - no show","Action - no show",IF(U584&gt;10,"Check - over ten hours in a day",IF(Q584&lt;&gt;"Yes","Due - needs approving",IF(R584&lt;&gt;"Yes","Due - not paid yet","OK"))))))</f>
        <v>0</v>
      </c>
    </row>
    <row r="585" spans="1:26">
      <c r="A585" s="43">
        <f>IF(F585="","","TS-"&amp;TEXT(ROW()-4,"0000"))</f>
        <v>0</v>
      </c>
      <c r="C585" s="23">
        <f>IF(B585="","",TEXT(B585,"ddd"))</f>
        <v>0</v>
      </c>
      <c r="D585" s="31">
        <f>IF(B585="","",WEEKNUM(B585,IF(WeekStart="Sunday",1,2)))</f>
        <v>0</v>
      </c>
      <c r="E585" s="23">
        <f>IF(B585="","",TEXT(B585,"yyyy-mm"))</f>
        <v>0</v>
      </c>
      <c r="H585" s="23">
        <f>IF(G585="","",IFERROR(INDEX(Jobs!$H$5:$H$604,MATCH(G585,Jobs!$A$5:$A$604,0)),""))</f>
        <v>0</v>
      </c>
      <c r="T585" s="34">
        <f>IF(OR(J585="",K585=""),"",ROUND((K585-J585)*24-IF(L585="",0,L585)/60,2))</f>
        <v>0</v>
      </c>
      <c r="U585" s="34">
        <f>IF(F585="","",IF(M585&lt;&gt;"",M585,IF(T585="",0,T585)))</f>
        <v>0</v>
      </c>
      <c r="V585" s="21">
        <f>IF(F585="","",IFERROR(INDEX(Employees!$U$5:$U$44,MATCH(F585,Employees!$B$5:$B$44,0)),PayRate*(1+EmployerOncost)))</f>
        <v>0</v>
      </c>
      <c r="W585" s="34">
        <f>IF(F585="","",MAX(0,U585-IF(N585="",0,N585)))</f>
        <v>0</v>
      </c>
      <c r="X585" s="21">
        <f>IF(F585="","",ROUND(W585*V585+IF(N585="",0,N585)*V585*OvertimeRate,2))</f>
        <v>0</v>
      </c>
      <c r="Y585" s="21">
        <f>IF(F585="","",IF(P585&lt;&gt;"Yes",0,ROUND(U585*IF(IFERROR(INDEX(Clients!$O$5:$O$204,MATCH(IFERROR(INDEX(Jobs!$G$5:$G$604,MATCH(G585,Jobs!$A$5:$A$604,0)),""),Clients!$A$5:$A$204,0)),0)&gt;0,INDEX(Clients!$O$5:$O$204,MATCH(INDEX(Jobs!$G$5:$G$604,MATCH(G585,Jobs!$A$5:$A$604,0)),Clients!$A$5:$A$204,0)),HourlyRate),2)))</f>
        <v>0</v>
      </c>
      <c r="Z585" s="39">
        <f>IF(F585="","",IF(U585=0,"Add - no hours recorded",IF(O585="Absent - no show","Action - no show",IF(U585&gt;10,"Check - over ten hours in a day",IF(Q585&lt;&gt;"Yes","Due - needs approving",IF(R585&lt;&gt;"Yes","Due - not paid yet","OK"))))))</f>
        <v>0</v>
      </c>
    </row>
    <row r="586" spans="1:26">
      <c r="A586" s="43">
        <f>IF(F586="","","TS-"&amp;TEXT(ROW()-4,"0000"))</f>
        <v>0</v>
      </c>
      <c r="C586" s="23">
        <f>IF(B586="","",TEXT(B586,"ddd"))</f>
        <v>0</v>
      </c>
      <c r="D586" s="31">
        <f>IF(B586="","",WEEKNUM(B586,IF(WeekStart="Sunday",1,2)))</f>
        <v>0</v>
      </c>
      <c r="E586" s="23">
        <f>IF(B586="","",TEXT(B586,"yyyy-mm"))</f>
        <v>0</v>
      </c>
      <c r="H586" s="23">
        <f>IF(G586="","",IFERROR(INDEX(Jobs!$H$5:$H$604,MATCH(G586,Jobs!$A$5:$A$604,0)),""))</f>
        <v>0</v>
      </c>
      <c r="T586" s="34">
        <f>IF(OR(J586="",K586=""),"",ROUND((K586-J586)*24-IF(L586="",0,L586)/60,2))</f>
        <v>0</v>
      </c>
      <c r="U586" s="34">
        <f>IF(F586="","",IF(M586&lt;&gt;"",M586,IF(T586="",0,T586)))</f>
        <v>0</v>
      </c>
      <c r="V586" s="21">
        <f>IF(F586="","",IFERROR(INDEX(Employees!$U$5:$U$44,MATCH(F586,Employees!$B$5:$B$44,0)),PayRate*(1+EmployerOncost)))</f>
        <v>0</v>
      </c>
      <c r="W586" s="34">
        <f>IF(F586="","",MAX(0,U586-IF(N586="",0,N586)))</f>
        <v>0</v>
      </c>
      <c r="X586" s="21">
        <f>IF(F586="","",ROUND(W586*V586+IF(N586="",0,N586)*V586*OvertimeRate,2))</f>
        <v>0</v>
      </c>
      <c r="Y586" s="21">
        <f>IF(F586="","",IF(P586&lt;&gt;"Yes",0,ROUND(U586*IF(IFERROR(INDEX(Clients!$O$5:$O$204,MATCH(IFERROR(INDEX(Jobs!$G$5:$G$604,MATCH(G586,Jobs!$A$5:$A$604,0)),""),Clients!$A$5:$A$204,0)),0)&gt;0,INDEX(Clients!$O$5:$O$204,MATCH(INDEX(Jobs!$G$5:$G$604,MATCH(G586,Jobs!$A$5:$A$604,0)),Clients!$A$5:$A$204,0)),HourlyRate),2)))</f>
        <v>0</v>
      </c>
      <c r="Z586" s="39">
        <f>IF(F586="","",IF(U586=0,"Add - no hours recorded",IF(O586="Absent - no show","Action - no show",IF(U586&gt;10,"Check - over ten hours in a day",IF(Q586&lt;&gt;"Yes","Due - needs approving",IF(R586&lt;&gt;"Yes","Due - not paid yet","OK"))))))</f>
        <v>0</v>
      </c>
    </row>
    <row r="587" spans="1:26">
      <c r="A587" s="43">
        <f>IF(F587="","","TS-"&amp;TEXT(ROW()-4,"0000"))</f>
        <v>0</v>
      </c>
      <c r="C587" s="23">
        <f>IF(B587="","",TEXT(B587,"ddd"))</f>
        <v>0</v>
      </c>
      <c r="D587" s="31">
        <f>IF(B587="","",WEEKNUM(B587,IF(WeekStart="Sunday",1,2)))</f>
        <v>0</v>
      </c>
      <c r="E587" s="23">
        <f>IF(B587="","",TEXT(B587,"yyyy-mm"))</f>
        <v>0</v>
      </c>
      <c r="H587" s="23">
        <f>IF(G587="","",IFERROR(INDEX(Jobs!$H$5:$H$604,MATCH(G587,Jobs!$A$5:$A$604,0)),""))</f>
        <v>0</v>
      </c>
      <c r="T587" s="34">
        <f>IF(OR(J587="",K587=""),"",ROUND((K587-J587)*24-IF(L587="",0,L587)/60,2))</f>
        <v>0</v>
      </c>
      <c r="U587" s="34">
        <f>IF(F587="","",IF(M587&lt;&gt;"",M587,IF(T587="",0,T587)))</f>
        <v>0</v>
      </c>
      <c r="V587" s="21">
        <f>IF(F587="","",IFERROR(INDEX(Employees!$U$5:$U$44,MATCH(F587,Employees!$B$5:$B$44,0)),PayRate*(1+EmployerOncost)))</f>
        <v>0</v>
      </c>
      <c r="W587" s="34">
        <f>IF(F587="","",MAX(0,U587-IF(N587="",0,N587)))</f>
        <v>0</v>
      </c>
      <c r="X587" s="21">
        <f>IF(F587="","",ROUND(W587*V587+IF(N587="",0,N587)*V587*OvertimeRate,2))</f>
        <v>0</v>
      </c>
      <c r="Y587" s="21">
        <f>IF(F587="","",IF(P587&lt;&gt;"Yes",0,ROUND(U587*IF(IFERROR(INDEX(Clients!$O$5:$O$204,MATCH(IFERROR(INDEX(Jobs!$G$5:$G$604,MATCH(G587,Jobs!$A$5:$A$604,0)),""),Clients!$A$5:$A$204,0)),0)&gt;0,INDEX(Clients!$O$5:$O$204,MATCH(INDEX(Jobs!$G$5:$G$604,MATCH(G587,Jobs!$A$5:$A$604,0)),Clients!$A$5:$A$204,0)),HourlyRate),2)))</f>
        <v>0</v>
      </c>
      <c r="Z587" s="39">
        <f>IF(F587="","",IF(U587=0,"Add - no hours recorded",IF(O587="Absent - no show","Action - no show",IF(U587&gt;10,"Check - over ten hours in a day",IF(Q587&lt;&gt;"Yes","Due - needs approving",IF(R587&lt;&gt;"Yes","Due - not paid yet","OK"))))))</f>
        <v>0</v>
      </c>
    </row>
    <row r="588" spans="1:26">
      <c r="A588" s="43">
        <f>IF(F588="","","TS-"&amp;TEXT(ROW()-4,"0000"))</f>
        <v>0</v>
      </c>
      <c r="C588" s="23">
        <f>IF(B588="","",TEXT(B588,"ddd"))</f>
        <v>0</v>
      </c>
      <c r="D588" s="31">
        <f>IF(B588="","",WEEKNUM(B588,IF(WeekStart="Sunday",1,2)))</f>
        <v>0</v>
      </c>
      <c r="E588" s="23">
        <f>IF(B588="","",TEXT(B588,"yyyy-mm"))</f>
        <v>0</v>
      </c>
      <c r="H588" s="23">
        <f>IF(G588="","",IFERROR(INDEX(Jobs!$H$5:$H$604,MATCH(G588,Jobs!$A$5:$A$604,0)),""))</f>
        <v>0</v>
      </c>
      <c r="T588" s="34">
        <f>IF(OR(J588="",K588=""),"",ROUND((K588-J588)*24-IF(L588="",0,L588)/60,2))</f>
        <v>0</v>
      </c>
      <c r="U588" s="34">
        <f>IF(F588="","",IF(M588&lt;&gt;"",M588,IF(T588="",0,T588)))</f>
        <v>0</v>
      </c>
      <c r="V588" s="21">
        <f>IF(F588="","",IFERROR(INDEX(Employees!$U$5:$U$44,MATCH(F588,Employees!$B$5:$B$44,0)),PayRate*(1+EmployerOncost)))</f>
        <v>0</v>
      </c>
      <c r="W588" s="34">
        <f>IF(F588="","",MAX(0,U588-IF(N588="",0,N588)))</f>
        <v>0</v>
      </c>
      <c r="X588" s="21">
        <f>IF(F588="","",ROUND(W588*V588+IF(N588="",0,N588)*V588*OvertimeRate,2))</f>
        <v>0</v>
      </c>
      <c r="Y588" s="21">
        <f>IF(F588="","",IF(P588&lt;&gt;"Yes",0,ROUND(U588*IF(IFERROR(INDEX(Clients!$O$5:$O$204,MATCH(IFERROR(INDEX(Jobs!$G$5:$G$604,MATCH(G588,Jobs!$A$5:$A$604,0)),""),Clients!$A$5:$A$204,0)),0)&gt;0,INDEX(Clients!$O$5:$O$204,MATCH(INDEX(Jobs!$G$5:$G$604,MATCH(G588,Jobs!$A$5:$A$604,0)),Clients!$A$5:$A$204,0)),HourlyRate),2)))</f>
        <v>0</v>
      </c>
      <c r="Z588" s="39">
        <f>IF(F588="","",IF(U588=0,"Add - no hours recorded",IF(O588="Absent - no show","Action - no show",IF(U588&gt;10,"Check - over ten hours in a day",IF(Q588&lt;&gt;"Yes","Due - needs approving",IF(R588&lt;&gt;"Yes","Due - not paid yet","OK"))))))</f>
        <v>0</v>
      </c>
    </row>
    <row r="589" spans="1:26">
      <c r="A589" s="43">
        <f>IF(F589="","","TS-"&amp;TEXT(ROW()-4,"0000"))</f>
        <v>0</v>
      </c>
      <c r="C589" s="23">
        <f>IF(B589="","",TEXT(B589,"ddd"))</f>
        <v>0</v>
      </c>
      <c r="D589" s="31">
        <f>IF(B589="","",WEEKNUM(B589,IF(WeekStart="Sunday",1,2)))</f>
        <v>0</v>
      </c>
      <c r="E589" s="23">
        <f>IF(B589="","",TEXT(B589,"yyyy-mm"))</f>
        <v>0</v>
      </c>
      <c r="H589" s="23">
        <f>IF(G589="","",IFERROR(INDEX(Jobs!$H$5:$H$604,MATCH(G589,Jobs!$A$5:$A$604,0)),""))</f>
        <v>0</v>
      </c>
      <c r="T589" s="34">
        <f>IF(OR(J589="",K589=""),"",ROUND((K589-J589)*24-IF(L589="",0,L589)/60,2))</f>
        <v>0</v>
      </c>
      <c r="U589" s="34">
        <f>IF(F589="","",IF(M589&lt;&gt;"",M589,IF(T589="",0,T589)))</f>
        <v>0</v>
      </c>
      <c r="V589" s="21">
        <f>IF(F589="","",IFERROR(INDEX(Employees!$U$5:$U$44,MATCH(F589,Employees!$B$5:$B$44,0)),PayRate*(1+EmployerOncost)))</f>
        <v>0</v>
      </c>
      <c r="W589" s="34">
        <f>IF(F589="","",MAX(0,U589-IF(N589="",0,N589)))</f>
        <v>0</v>
      </c>
      <c r="X589" s="21">
        <f>IF(F589="","",ROUND(W589*V589+IF(N589="",0,N589)*V589*OvertimeRate,2))</f>
        <v>0</v>
      </c>
      <c r="Y589" s="21">
        <f>IF(F589="","",IF(P589&lt;&gt;"Yes",0,ROUND(U589*IF(IFERROR(INDEX(Clients!$O$5:$O$204,MATCH(IFERROR(INDEX(Jobs!$G$5:$G$604,MATCH(G589,Jobs!$A$5:$A$604,0)),""),Clients!$A$5:$A$204,0)),0)&gt;0,INDEX(Clients!$O$5:$O$204,MATCH(INDEX(Jobs!$G$5:$G$604,MATCH(G589,Jobs!$A$5:$A$604,0)),Clients!$A$5:$A$204,0)),HourlyRate),2)))</f>
        <v>0</v>
      </c>
      <c r="Z589" s="39">
        <f>IF(F589="","",IF(U589=0,"Add - no hours recorded",IF(O589="Absent - no show","Action - no show",IF(U589&gt;10,"Check - over ten hours in a day",IF(Q589&lt;&gt;"Yes","Due - needs approving",IF(R589&lt;&gt;"Yes","Due - not paid yet","OK"))))))</f>
        <v>0</v>
      </c>
    </row>
    <row r="590" spans="1:26">
      <c r="A590" s="43">
        <f>IF(F590="","","TS-"&amp;TEXT(ROW()-4,"0000"))</f>
        <v>0</v>
      </c>
      <c r="C590" s="23">
        <f>IF(B590="","",TEXT(B590,"ddd"))</f>
        <v>0</v>
      </c>
      <c r="D590" s="31">
        <f>IF(B590="","",WEEKNUM(B590,IF(WeekStart="Sunday",1,2)))</f>
        <v>0</v>
      </c>
      <c r="E590" s="23">
        <f>IF(B590="","",TEXT(B590,"yyyy-mm"))</f>
        <v>0</v>
      </c>
      <c r="H590" s="23">
        <f>IF(G590="","",IFERROR(INDEX(Jobs!$H$5:$H$604,MATCH(G590,Jobs!$A$5:$A$604,0)),""))</f>
        <v>0</v>
      </c>
      <c r="T590" s="34">
        <f>IF(OR(J590="",K590=""),"",ROUND((K590-J590)*24-IF(L590="",0,L590)/60,2))</f>
        <v>0</v>
      </c>
      <c r="U590" s="34">
        <f>IF(F590="","",IF(M590&lt;&gt;"",M590,IF(T590="",0,T590)))</f>
        <v>0</v>
      </c>
      <c r="V590" s="21">
        <f>IF(F590="","",IFERROR(INDEX(Employees!$U$5:$U$44,MATCH(F590,Employees!$B$5:$B$44,0)),PayRate*(1+EmployerOncost)))</f>
        <v>0</v>
      </c>
      <c r="W590" s="34">
        <f>IF(F590="","",MAX(0,U590-IF(N590="",0,N590)))</f>
        <v>0</v>
      </c>
      <c r="X590" s="21">
        <f>IF(F590="","",ROUND(W590*V590+IF(N590="",0,N590)*V590*OvertimeRate,2))</f>
        <v>0</v>
      </c>
      <c r="Y590" s="21">
        <f>IF(F590="","",IF(P590&lt;&gt;"Yes",0,ROUND(U590*IF(IFERROR(INDEX(Clients!$O$5:$O$204,MATCH(IFERROR(INDEX(Jobs!$G$5:$G$604,MATCH(G590,Jobs!$A$5:$A$604,0)),""),Clients!$A$5:$A$204,0)),0)&gt;0,INDEX(Clients!$O$5:$O$204,MATCH(INDEX(Jobs!$G$5:$G$604,MATCH(G590,Jobs!$A$5:$A$604,0)),Clients!$A$5:$A$204,0)),HourlyRate),2)))</f>
        <v>0</v>
      </c>
      <c r="Z590" s="39">
        <f>IF(F590="","",IF(U590=0,"Add - no hours recorded",IF(O590="Absent - no show","Action - no show",IF(U590&gt;10,"Check - over ten hours in a day",IF(Q590&lt;&gt;"Yes","Due - needs approving",IF(R590&lt;&gt;"Yes","Due - not paid yet","OK"))))))</f>
        <v>0</v>
      </c>
    </row>
    <row r="591" spans="1:26">
      <c r="A591" s="43">
        <f>IF(F591="","","TS-"&amp;TEXT(ROW()-4,"0000"))</f>
        <v>0</v>
      </c>
      <c r="C591" s="23">
        <f>IF(B591="","",TEXT(B591,"ddd"))</f>
        <v>0</v>
      </c>
      <c r="D591" s="31">
        <f>IF(B591="","",WEEKNUM(B591,IF(WeekStart="Sunday",1,2)))</f>
        <v>0</v>
      </c>
      <c r="E591" s="23">
        <f>IF(B591="","",TEXT(B591,"yyyy-mm"))</f>
        <v>0</v>
      </c>
      <c r="H591" s="23">
        <f>IF(G591="","",IFERROR(INDEX(Jobs!$H$5:$H$604,MATCH(G591,Jobs!$A$5:$A$604,0)),""))</f>
        <v>0</v>
      </c>
      <c r="T591" s="34">
        <f>IF(OR(J591="",K591=""),"",ROUND((K591-J591)*24-IF(L591="",0,L591)/60,2))</f>
        <v>0</v>
      </c>
      <c r="U591" s="34">
        <f>IF(F591="","",IF(M591&lt;&gt;"",M591,IF(T591="",0,T591)))</f>
        <v>0</v>
      </c>
      <c r="V591" s="21">
        <f>IF(F591="","",IFERROR(INDEX(Employees!$U$5:$U$44,MATCH(F591,Employees!$B$5:$B$44,0)),PayRate*(1+EmployerOncost)))</f>
        <v>0</v>
      </c>
      <c r="W591" s="34">
        <f>IF(F591="","",MAX(0,U591-IF(N591="",0,N591)))</f>
        <v>0</v>
      </c>
      <c r="X591" s="21">
        <f>IF(F591="","",ROUND(W591*V591+IF(N591="",0,N591)*V591*OvertimeRate,2))</f>
        <v>0</v>
      </c>
      <c r="Y591" s="21">
        <f>IF(F591="","",IF(P591&lt;&gt;"Yes",0,ROUND(U591*IF(IFERROR(INDEX(Clients!$O$5:$O$204,MATCH(IFERROR(INDEX(Jobs!$G$5:$G$604,MATCH(G591,Jobs!$A$5:$A$604,0)),""),Clients!$A$5:$A$204,0)),0)&gt;0,INDEX(Clients!$O$5:$O$204,MATCH(INDEX(Jobs!$G$5:$G$604,MATCH(G591,Jobs!$A$5:$A$604,0)),Clients!$A$5:$A$204,0)),HourlyRate),2)))</f>
        <v>0</v>
      </c>
      <c r="Z591" s="39">
        <f>IF(F591="","",IF(U591=0,"Add - no hours recorded",IF(O591="Absent - no show","Action - no show",IF(U591&gt;10,"Check - over ten hours in a day",IF(Q591&lt;&gt;"Yes","Due - needs approving",IF(R591&lt;&gt;"Yes","Due - not paid yet","OK"))))))</f>
        <v>0</v>
      </c>
    </row>
    <row r="592" spans="1:26">
      <c r="A592" s="43">
        <f>IF(F592="","","TS-"&amp;TEXT(ROW()-4,"0000"))</f>
        <v>0</v>
      </c>
      <c r="C592" s="23">
        <f>IF(B592="","",TEXT(B592,"ddd"))</f>
        <v>0</v>
      </c>
      <c r="D592" s="31">
        <f>IF(B592="","",WEEKNUM(B592,IF(WeekStart="Sunday",1,2)))</f>
        <v>0</v>
      </c>
      <c r="E592" s="23">
        <f>IF(B592="","",TEXT(B592,"yyyy-mm"))</f>
        <v>0</v>
      </c>
      <c r="H592" s="23">
        <f>IF(G592="","",IFERROR(INDEX(Jobs!$H$5:$H$604,MATCH(G592,Jobs!$A$5:$A$604,0)),""))</f>
        <v>0</v>
      </c>
      <c r="T592" s="34">
        <f>IF(OR(J592="",K592=""),"",ROUND((K592-J592)*24-IF(L592="",0,L592)/60,2))</f>
        <v>0</v>
      </c>
      <c r="U592" s="34">
        <f>IF(F592="","",IF(M592&lt;&gt;"",M592,IF(T592="",0,T592)))</f>
        <v>0</v>
      </c>
      <c r="V592" s="21">
        <f>IF(F592="","",IFERROR(INDEX(Employees!$U$5:$U$44,MATCH(F592,Employees!$B$5:$B$44,0)),PayRate*(1+EmployerOncost)))</f>
        <v>0</v>
      </c>
      <c r="W592" s="34">
        <f>IF(F592="","",MAX(0,U592-IF(N592="",0,N592)))</f>
        <v>0</v>
      </c>
      <c r="X592" s="21">
        <f>IF(F592="","",ROUND(W592*V592+IF(N592="",0,N592)*V592*OvertimeRate,2))</f>
        <v>0</v>
      </c>
      <c r="Y592" s="21">
        <f>IF(F592="","",IF(P592&lt;&gt;"Yes",0,ROUND(U592*IF(IFERROR(INDEX(Clients!$O$5:$O$204,MATCH(IFERROR(INDEX(Jobs!$G$5:$G$604,MATCH(G592,Jobs!$A$5:$A$604,0)),""),Clients!$A$5:$A$204,0)),0)&gt;0,INDEX(Clients!$O$5:$O$204,MATCH(INDEX(Jobs!$G$5:$G$604,MATCH(G592,Jobs!$A$5:$A$604,0)),Clients!$A$5:$A$204,0)),HourlyRate),2)))</f>
        <v>0</v>
      </c>
      <c r="Z592" s="39">
        <f>IF(F592="","",IF(U592=0,"Add - no hours recorded",IF(O592="Absent - no show","Action - no show",IF(U592&gt;10,"Check - over ten hours in a day",IF(Q592&lt;&gt;"Yes","Due - needs approving",IF(R592&lt;&gt;"Yes","Due - not paid yet","OK"))))))</f>
        <v>0</v>
      </c>
    </row>
    <row r="593" spans="1:26">
      <c r="A593" s="43">
        <f>IF(F593="","","TS-"&amp;TEXT(ROW()-4,"0000"))</f>
        <v>0</v>
      </c>
      <c r="C593" s="23">
        <f>IF(B593="","",TEXT(B593,"ddd"))</f>
        <v>0</v>
      </c>
      <c r="D593" s="31">
        <f>IF(B593="","",WEEKNUM(B593,IF(WeekStart="Sunday",1,2)))</f>
        <v>0</v>
      </c>
      <c r="E593" s="23">
        <f>IF(B593="","",TEXT(B593,"yyyy-mm"))</f>
        <v>0</v>
      </c>
      <c r="H593" s="23">
        <f>IF(G593="","",IFERROR(INDEX(Jobs!$H$5:$H$604,MATCH(G593,Jobs!$A$5:$A$604,0)),""))</f>
        <v>0</v>
      </c>
      <c r="T593" s="34">
        <f>IF(OR(J593="",K593=""),"",ROUND((K593-J593)*24-IF(L593="",0,L593)/60,2))</f>
        <v>0</v>
      </c>
      <c r="U593" s="34">
        <f>IF(F593="","",IF(M593&lt;&gt;"",M593,IF(T593="",0,T593)))</f>
        <v>0</v>
      </c>
      <c r="V593" s="21">
        <f>IF(F593="","",IFERROR(INDEX(Employees!$U$5:$U$44,MATCH(F593,Employees!$B$5:$B$44,0)),PayRate*(1+EmployerOncost)))</f>
        <v>0</v>
      </c>
      <c r="W593" s="34">
        <f>IF(F593="","",MAX(0,U593-IF(N593="",0,N593)))</f>
        <v>0</v>
      </c>
      <c r="X593" s="21">
        <f>IF(F593="","",ROUND(W593*V593+IF(N593="",0,N593)*V593*OvertimeRate,2))</f>
        <v>0</v>
      </c>
      <c r="Y593" s="21">
        <f>IF(F593="","",IF(P593&lt;&gt;"Yes",0,ROUND(U593*IF(IFERROR(INDEX(Clients!$O$5:$O$204,MATCH(IFERROR(INDEX(Jobs!$G$5:$G$604,MATCH(G593,Jobs!$A$5:$A$604,0)),""),Clients!$A$5:$A$204,0)),0)&gt;0,INDEX(Clients!$O$5:$O$204,MATCH(INDEX(Jobs!$G$5:$G$604,MATCH(G593,Jobs!$A$5:$A$604,0)),Clients!$A$5:$A$204,0)),HourlyRate),2)))</f>
        <v>0</v>
      </c>
      <c r="Z593" s="39">
        <f>IF(F593="","",IF(U593=0,"Add - no hours recorded",IF(O593="Absent - no show","Action - no show",IF(U593&gt;10,"Check - over ten hours in a day",IF(Q593&lt;&gt;"Yes","Due - needs approving",IF(R593&lt;&gt;"Yes","Due - not paid yet","OK"))))))</f>
        <v>0</v>
      </c>
    </row>
    <row r="594" spans="1:26">
      <c r="A594" s="43">
        <f>IF(F594="","","TS-"&amp;TEXT(ROW()-4,"0000"))</f>
        <v>0</v>
      </c>
      <c r="C594" s="23">
        <f>IF(B594="","",TEXT(B594,"ddd"))</f>
        <v>0</v>
      </c>
      <c r="D594" s="31">
        <f>IF(B594="","",WEEKNUM(B594,IF(WeekStart="Sunday",1,2)))</f>
        <v>0</v>
      </c>
      <c r="E594" s="23">
        <f>IF(B594="","",TEXT(B594,"yyyy-mm"))</f>
        <v>0</v>
      </c>
      <c r="H594" s="23">
        <f>IF(G594="","",IFERROR(INDEX(Jobs!$H$5:$H$604,MATCH(G594,Jobs!$A$5:$A$604,0)),""))</f>
        <v>0</v>
      </c>
      <c r="T594" s="34">
        <f>IF(OR(J594="",K594=""),"",ROUND((K594-J594)*24-IF(L594="",0,L594)/60,2))</f>
        <v>0</v>
      </c>
      <c r="U594" s="34">
        <f>IF(F594="","",IF(M594&lt;&gt;"",M594,IF(T594="",0,T594)))</f>
        <v>0</v>
      </c>
      <c r="V594" s="21">
        <f>IF(F594="","",IFERROR(INDEX(Employees!$U$5:$U$44,MATCH(F594,Employees!$B$5:$B$44,0)),PayRate*(1+EmployerOncost)))</f>
        <v>0</v>
      </c>
      <c r="W594" s="34">
        <f>IF(F594="","",MAX(0,U594-IF(N594="",0,N594)))</f>
        <v>0</v>
      </c>
      <c r="X594" s="21">
        <f>IF(F594="","",ROUND(W594*V594+IF(N594="",0,N594)*V594*OvertimeRate,2))</f>
        <v>0</v>
      </c>
      <c r="Y594" s="21">
        <f>IF(F594="","",IF(P594&lt;&gt;"Yes",0,ROUND(U594*IF(IFERROR(INDEX(Clients!$O$5:$O$204,MATCH(IFERROR(INDEX(Jobs!$G$5:$G$604,MATCH(G594,Jobs!$A$5:$A$604,0)),""),Clients!$A$5:$A$204,0)),0)&gt;0,INDEX(Clients!$O$5:$O$204,MATCH(INDEX(Jobs!$G$5:$G$604,MATCH(G594,Jobs!$A$5:$A$604,0)),Clients!$A$5:$A$204,0)),HourlyRate),2)))</f>
        <v>0</v>
      </c>
      <c r="Z594" s="39">
        <f>IF(F594="","",IF(U594=0,"Add - no hours recorded",IF(O594="Absent - no show","Action - no show",IF(U594&gt;10,"Check - over ten hours in a day",IF(Q594&lt;&gt;"Yes","Due - needs approving",IF(R594&lt;&gt;"Yes","Due - not paid yet","OK"))))))</f>
        <v>0</v>
      </c>
    </row>
    <row r="595" spans="1:26">
      <c r="A595" s="43">
        <f>IF(F595="","","TS-"&amp;TEXT(ROW()-4,"0000"))</f>
        <v>0</v>
      </c>
      <c r="C595" s="23">
        <f>IF(B595="","",TEXT(B595,"ddd"))</f>
        <v>0</v>
      </c>
      <c r="D595" s="31">
        <f>IF(B595="","",WEEKNUM(B595,IF(WeekStart="Sunday",1,2)))</f>
        <v>0</v>
      </c>
      <c r="E595" s="23">
        <f>IF(B595="","",TEXT(B595,"yyyy-mm"))</f>
        <v>0</v>
      </c>
      <c r="H595" s="23">
        <f>IF(G595="","",IFERROR(INDEX(Jobs!$H$5:$H$604,MATCH(G595,Jobs!$A$5:$A$604,0)),""))</f>
        <v>0</v>
      </c>
      <c r="T595" s="34">
        <f>IF(OR(J595="",K595=""),"",ROUND((K595-J595)*24-IF(L595="",0,L595)/60,2))</f>
        <v>0</v>
      </c>
      <c r="U595" s="34">
        <f>IF(F595="","",IF(M595&lt;&gt;"",M595,IF(T595="",0,T595)))</f>
        <v>0</v>
      </c>
      <c r="V595" s="21">
        <f>IF(F595="","",IFERROR(INDEX(Employees!$U$5:$U$44,MATCH(F595,Employees!$B$5:$B$44,0)),PayRate*(1+EmployerOncost)))</f>
        <v>0</v>
      </c>
      <c r="W595" s="34">
        <f>IF(F595="","",MAX(0,U595-IF(N595="",0,N595)))</f>
        <v>0</v>
      </c>
      <c r="X595" s="21">
        <f>IF(F595="","",ROUND(W595*V595+IF(N595="",0,N595)*V595*OvertimeRate,2))</f>
        <v>0</v>
      </c>
      <c r="Y595" s="21">
        <f>IF(F595="","",IF(P595&lt;&gt;"Yes",0,ROUND(U595*IF(IFERROR(INDEX(Clients!$O$5:$O$204,MATCH(IFERROR(INDEX(Jobs!$G$5:$G$604,MATCH(G595,Jobs!$A$5:$A$604,0)),""),Clients!$A$5:$A$204,0)),0)&gt;0,INDEX(Clients!$O$5:$O$204,MATCH(INDEX(Jobs!$G$5:$G$604,MATCH(G595,Jobs!$A$5:$A$604,0)),Clients!$A$5:$A$204,0)),HourlyRate),2)))</f>
        <v>0</v>
      </c>
      <c r="Z595" s="39">
        <f>IF(F595="","",IF(U595=0,"Add - no hours recorded",IF(O595="Absent - no show","Action - no show",IF(U595&gt;10,"Check - over ten hours in a day",IF(Q595&lt;&gt;"Yes","Due - needs approving",IF(R595&lt;&gt;"Yes","Due - not paid yet","OK"))))))</f>
        <v>0</v>
      </c>
    </row>
    <row r="596" spans="1:26">
      <c r="A596" s="43">
        <f>IF(F596="","","TS-"&amp;TEXT(ROW()-4,"0000"))</f>
        <v>0</v>
      </c>
      <c r="C596" s="23">
        <f>IF(B596="","",TEXT(B596,"ddd"))</f>
        <v>0</v>
      </c>
      <c r="D596" s="31">
        <f>IF(B596="","",WEEKNUM(B596,IF(WeekStart="Sunday",1,2)))</f>
        <v>0</v>
      </c>
      <c r="E596" s="23">
        <f>IF(B596="","",TEXT(B596,"yyyy-mm"))</f>
        <v>0</v>
      </c>
      <c r="H596" s="23">
        <f>IF(G596="","",IFERROR(INDEX(Jobs!$H$5:$H$604,MATCH(G596,Jobs!$A$5:$A$604,0)),""))</f>
        <v>0</v>
      </c>
      <c r="T596" s="34">
        <f>IF(OR(J596="",K596=""),"",ROUND((K596-J596)*24-IF(L596="",0,L596)/60,2))</f>
        <v>0</v>
      </c>
      <c r="U596" s="34">
        <f>IF(F596="","",IF(M596&lt;&gt;"",M596,IF(T596="",0,T596)))</f>
        <v>0</v>
      </c>
      <c r="V596" s="21">
        <f>IF(F596="","",IFERROR(INDEX(Employees!$U$5:$U$44,MATCH(F596,Employees!$B$5:$B$44,0)),PayRate*(1+EmployerOncost)))</f>
        <v>0</v>
      </c>
      <c r="W596" s="34">
        <f>IF(F596="","",MAX(0,U596-IF(N596="",0,N596)))</f>
        <v>0</v>
      </c>
      <c r="X596" s="21">
        <f>IF(F596="","",ROUND(W596*V596+IF(N596="",0,N596)*V596*OvertimeRate,2))</f>
        <v>0</v>
      </c>
      <c r="Y596" s="21">
        <f>IF(F596="","",IF(P596&lt;&gt;"Yes",0,ROUND(U596*IF(IFERROR(INDEX(Clients!$O$5:$O$204,MATCH(IFERROR(INDEX(Jobs!$G$5:$G$604,MATCH(G596,Jobs!$A$5:$A$604,0)),""),Clients!$A$5:$A$204,0)),0)&gt;0,INDEX(Clients!$O$5:$O$204,MATCH(INDEX(Jobs!$G$5:$G$604,MATCH(G596,Jobs!$A$5:$A$604,0)),Clients!$A$5:$A$204,0)),HourlyRate),2)))</f>
        <v>0</v>
      </c>
      <c r="Z596" s="39">
        <f>IF(F596="","",IF(U596=0,"Add - no hours recorded",IF(O596="Absent - no show","Action - no show",IF(U596&gt;10,"Check - over ten hours in a day",IF(Q596&lt;&gt;"Yes","Due - needs approving",IF(R596&lt;&gt;"Yes","Due - not paid yet","OK"))))))</f>
        <v>0</v>
      </c>
    </row>
    <row r="597" spans="1:26">
      <c r="A597" s="43">
        <f>IF(F597="","","TS-"&amp;TEXT(ROW()-4,"0000"))</f>
        <v>0</v>
      </c>
      <c r="C597" s="23">
        <f>IF(B597="","",TEXT(B597,"ddd"))</f>
        <v>0</v>
      </c>
      <c r="D597" s="31">
        <f>IF(B597="","",WEEKNUM(B597,IF(WeekStart="Sunday",1,2)))</f>
        <v>0</v>
      </c>
      <c r="E597" s="23">
        <f>IF(B597="","",TEXT(B597,"yyyy-mm"))</f>
        <v>0</v>
      </c>
      <c r="H597" s="23">
        <f>IF(G597="","",IFERROR(INDEX(Jobs!$H$5:$H$604,MATCH(G597,Jobs!$A$5:$A$604,0)),""))</f>
        <v>0</v>
      </c>
      <c r="T597" s="34">
        <f>IF(OR(J597="",K597=""),"",ROUND((K597-J597)*24-IF(L597="",0,L597)/60,2))</f>
        <v>0</v>
      </c>
      <c r="U597" s="34">
        <f>IF(F597="","",IF(M597&lt;&gt;"",M597,IF(T597="",0,T597)))</f>
        <v>0</v>
      </c>
      <c r="V597" s="21">
        <f>IF(F597="","",IFERROR(INDEX(Employees!$U$5:$U$44,MATCH(F597,Employees!$B$5:$B$44,0)),PayRate*(1+EmployerOncost)))</f>
        <v>0</v>
      </c>
      <c r="W597" s="34">
        <f>IF(F597="","",MAX(0,U597-IF(N597="",0,N597)))</f>
        <v>0</v>
      </c>
      <c r="X597" s="21">
        <f>IF(F597="","",ROUND(W597*V597+IF(N597="",0,N597)*V597*OvertimeRate,2))</f>
        <v>0</v>
      </c>
      <c r="Y597" s="21">
        <f>IF(F597="","",IF(P597&lt;&gt;"Yes",0,ROUND(U597*IF(IFERROR(INDEX(Clients!$O$5:$O$204,MATCH(IFERROR(INDEX(Jobs!$G$5:$G$604,MATCH(G597,Jobs!$A$5:$A$604,0)),""),Clients!$A$5:$A$204,0)),0)&gt;0,INDEX(Clients!$O$5:$O$204,MATCH(INDEX(Jobs!$G$5:$G$604,MATCH(G597,Jobs!$A$5:$A$604,0)),Clients!$A$5:$A$204,0)),HourlyRate),2)))</f>
        <v>0</v>
      </c>
      <c r="Z597" s="39">
        <f>IF(F597="","",IF(U597=0,"Add - no hours recorded",IF(O597="Absent - no show","Action - no show",IF(U597&gt;10,"Check - over ten hours in a day",IF(Q597&lt;&gt;"Yes","Due - needs approving",IF(R597&lt;&gt;"Yes","Due - not paid yet","OK"))))))</f>
        <v>0</v>
      </c>
    </row>
    <row r="598" spans="1:26">
      <c r="A598" s="43">
        <f>IF(F598="","","TS-"&amp;TEXT(ROW()-4,"0000"))</f>
        <v>0</v>
      </c>
      <c r="C598" s="23">
        <f>IF(B598="","",TEXT(B598,"ddd"))</f>
        <v>0</v>
      </c>
      <c r="D598" s="31">
        <f>IF(B598="","",WEEKNUM(B598,IF(WeekStart="Sunday",1,2)))</f>
        <v>0</v>
      </c>
      <c r="E598" s="23">
        <f>IF(B598="","",TEXT(B598,"yyyy-mm"))</f>
        <v>0</v>
      </c>
      <c r="H598" s="23">
        <f>IF(G598="","",IFERROR(INDEX(Jobs!$H$5:$H$604,MATCH(G598,Jobs!$A$5:$A$604,0)),""))</f>
        <v>0</v>
      </c>
      <c r="T598" s="34">
        <f>IF(OR(J598="",K598=""),"",ROUND((K598-J598)*24-IF(L598="",0,L598)/60,2))</f>
        <v>0</v>
      </c>
      <c r="U598" s="34">
        <f>IF(F598="","",IF(M598&lt;&gt;"",M598,IF(T598="",0,T598)))</f>
        <v>0</v>
      </c>
      <c r="V598" s="21">
        <f>IF(F598="","",IFERROR(INDEX(Employees!$U$5:$U$44,MATCH(F598,Employees!$B$5:$B$44,0)),PayRate*(1+EmployerOncost)))</f>
        <v>0</v>
      </c>
      <c r="W598" s="34">
        <f>IF(F598="","",MAX(0,U598-IF(N598="",0,N598)))</f>
        <v>0</v>
      </c>
      <c r="X598" s="21">
        <f>IF(F598="","",ROUND(W598*V598+IF(N598="",0,N598)*V598*OvertimeRate,2))</f>
        <v>0</v>
      </c>
      <c r="Y598" s="21">
        <f>IF(F598="","",IF(P598&lt;&gt;"Yes",0,ROUND(U598*IF(IFERROR(INDEX(Clients!$O$5:$O$204,MATCH(IFERROR(INDEX(Jobs!$G$5:$G$604,MATCH(G598,Jobs!$A$5:$A$604,0)),""),Clients!$A$5:$A$204,0)),0)&gt;0,INDEX(Clients!$O$5:$O$204,MATCH(INDEX(Jobs!$G$5:$G$604,MATCH(G598,Jobs!$A$5:$A$604,0)),Clients!$A$5:$A$204,0)),HourlyRate),2)))</f>
        <v>0</v>
      </c>
      <c r="Z598" s="39">
        <f>IF(F598="","",IF(U598=0,"Add - no hours recorded",IF(O598="Absent - no show","Action - no show",IF(U598&gt;10,"Check - over ten hours in a day",IF(Q598&lt;&gt;"Yes","Due - needs approving",IF(R598&lt;&gt;"Yes","Due - not paid yet","OK"))))))</f>
        <v>0</v>
      </c>
    </row>
    <row r="599" spans="1:26">
      <c r="A599" s="43">
        <f>IF(F599="","","TS-"&amp;TEXT(ROW()-4,"0000"))</f>
        <v>0</v>
      </c>
      <c r="C599" s="23">
        <f>IF(B599="","",TEXT(B599,"ddd"))</f>
        <v>0</v>
      </c>
      <c r="D599" s="31">
        <f>IF(B599="","",WEEKNUM(B599,IF(WeekStart="Sunday",1,2)))</f>
        <v>0</v>
      </c>
      <c r="E599" s="23">
        <f>IF(B599="","",TEXT(B599,"yyyy-mm"))</f>
        <v>0</v>
      </c>
      <c r="H599" s="23">
        <f>IF(G599="","",IFERROR(INDEX(Jobs!$H$5:$H$604,MATCH(G599,Jobs!$A$5:$A$604,0)),""))</f>
        <v>0</v>
      </c>
      <c r="T599" s="34">
        <f>IF(OR(J599="",K599=""),"",ROUND((K599-J599)*24-IF(L599="",0,L599)/60,2))</f>
        <v>0</v>
      </c>
      <c r="U599" s="34">
        <f>IF(F599="","",IF(M599&lt;&gt;"",M599,IF(T599="",0,T599)))</f>
        <v>0</v>
      </c>
      <c r="V599" s="21">
        <f>IF(F599="","",IFERROR(INDEX(Employees!$U$5:$U$44,MATCH(F599,Employees!$B$5:$B$44,0)),PayRate*(1+EmployerOncost)))</f>
        <v>0</v>
      </c>
      <c r="W599" s="34">
        <f>IF(F599="","",MAX(0,U599-IF(N599="",0,N599)))</f>
        <v>0</v>
      </c>
      <c r="X599" s="21">
        <f>IF(F599="","",ROUND(W599*V599+IF(N599="",0,N599)*V599*OvertimeRate,2))</f>
        <v>0</v>
      </c>
      <c r="Y599" s="21">
        <f>IF(F599="","",IF(P599&lt;&gt;"Yes",0,ROUND(U599*IF(IFERROR(INDEX(Clients!$O$5:$O$204,MATCH(IFERROR(INDEX(Jobs!$G$5:$G$604,MATCH(G599,Jobs!$A$5:$A$604,0)),""),Clients!$A$5:$A$204,0)),0)&gt;0,INDEX(Clients!$O$5:$O$204,MATCH(INDEX(Jobs!$G$5:$G$604,MATCH(G599,Jobs!$A$5:$A$604,0)),Clients!$A$5:$A$204,0)),HourlyRate),2)))</f>
        <v>0</v>
      </c>
      <c r="Z599" s="39">
        <f>IF(F599="","",IF(U599=0,"Add - no hours recorded",IF(O599="Absent - no show","Action - no show",IF(U599&gt;10,"Check - over ten hours in a day",IF(Q599&lt;&gt;"Yes","Due - needs approving",IF(R599&lt;&gt;"Yes","Due - not paid yet","OK"))))))</f>
        <v>0</v>
      </c>
    </row>
    <row r="600" spans="1:26">
      <c r="A600" s="43">
        <f>IF(F600="","","TS-"&amp;TEXT(ROW()-4,"0000"))</f>
        <v>0</v>
      </c>
      <c r="C600" s="23">
        <f>IF(B600="","",TEXT(B600,"ddd"))</f>
        <v>0</v>
      </c>
      <c r="D600" s="31">
        <f>IF(B600="","",WEEKNUM(B600,IF(WeekStart="Sunday",1,2)))</f>
        <v>0</v>
      </c>
      <c r="E600" s="23">
        <f>IF(B600="","",TEXT(B600,"yyyy-mm"))</f>
        <v>0</v>
      </c>
      <c r="H600" s="23">
        <f>IF(G600="","",IFERROR(INDEX(Jobs!$H$5:$H$604,MATCH(G600,Jobs!$A$5:$A$604,0)),""))</f>
        <v>0</v>
      </c>
      <c r="T600" s="34">
        <f>IF(OR(J600="",K600=""),"",ROUND((K600-J600)*24-IF(L600="",0,L600)/60,2))</f>
        <v>0</v>
      </c>
      <c r="U600" s="34">
        <f>IF(F600="","",IF(M600&lt;&gt;"",M600,IF(T600="",0,T600)))</f>
        <v>0</v>
      </c>
      <c r="V600" s="21">
        <f>IF(F600="","",IFERROR(INDEX(Employees!$U$5:$U$44,MATCH(F600,Employees!$B$5:$B$44,0)),PayRate*(1+EmployerOncost)))</f>
        <v>0</v>
      </c>
      <c r="W600" s="34">
        <f>IF(F600="","",MAX(0,U600-IF(N600="",0,N600)))</f>
        <v>0</v>
      </c>
      <c r="X600" s="21">
        <f>IF(F600="","",ROUND(W600*V600+IF(N600="",0,N600)*V600*OvertimeRate,2))</f>
        <v>0</v>
      </c>
      <c r="Y600" s="21">
        <f>IF(F600="","",IF(P600&lt;&gt;"Yes",0,ROUND(U600*IF(IFERROR(INDEX(Clients!$O$5:$O$204,MATCH(IFERROR(INDEX(Jobs!$G$5:$G$604,MATCH(G600,Jobs!$A$5:$A$604,0)),""),Clients!$A$5:$A$204,0)),0)&gt;0,INDEX(Clients!$O$5:$O$204,MATCH(INDEX(Jobs!$G$5:$G$604,MATCH(G600,Jobs!$A$5:$A$604,0)),Clients!$A$5:$A$204,0)),HourlyRate),2)))</f>
        <v>0</v>
      </c>
      <c r="Z600" s="39">
        <f>IF(F600="","",IF(U600=0,"Add - no hours recorded",IF(O600="Absent - no show","Action - no show",IF(U600&gt;10,"Check - over ten hours in a day",IF(Q600&lt;&gt;"Yes","Due - needs approving",IF(R600&lt;&gt;"Yes","Due - not paid yet","OK"))))))</f>
        <v>0</v>
      </c>
    </row>
    <row r="601" spans="1:26">
      <c r="A601" s="43">
        <f>IF(F601="","","TS-"&amp;TEXT(ROW()-4,"0000"))</f>
        <v>0</v>
      </c>
      <c r="C601" s="23">
        <f>IF(B601="","",TEXT(B601,"ddd"))</f>
        <v>0</v>
      </c>
      <c r="D601" s="31">
        <f>IF(B601="","",WEEKNUM(B601,IF(WeekStart="Sunday",1,2)))</f>
        <v>0</v>
      </c>
      <c r="E601" s="23">
        <f>IF(B601="","",TEXT(B601,"yyyy-mm"))</f>
        <v>0</v>
      </c>
      <c r="H601" s="23">
        <f>IF(G601="","",IFERROR(INDEX(Jobs!$H$5:$H$604,MATCH(G601,Jobs!$A$5:$A$604,0)),""))</f>
        <v>0</v>
      </c>
      <c r="T601" s="34">
        <f>IF(OR(J601="",K601=""),"",ROUND((K601-J601)*24-IF(L601="",0,L601)/60,2))</f>
        <v>0</v>
      </c>
      <c r="U601" s="34">
        <f>IF(F601="","",IF(M601&lt;&gt;"",M601,IF(T601="",0,T601)))</f>
        <v>0</v>
      </c>
      <c r="V601" s="21">
        <f>IF(F601="","",IFERROR(INDEX(Employees!$U$5:$U$44,MATCH(F601,Employees!$B$5:$B$44,0)),PayRate*(1+EmployerOncost)))</f>
        <v>0</v>
      </c>
      <c r="W601" s="34">
        <f>IF(F601="","",MAX(0,U601-IF(N601="",0,N601)))</f>
        <v>0</v>
      </c>
      <c r="X601" s="21">
        <f>IF(F601="","",ROUND(W601*V601+IF(N601="",0,N601)*V601*OvertimeRate,2))</f>
        <v>0</v>
      </c>
      <c r="Y601" s="21">
        <f>IF(F601="","",IF(P601&lt;&gt;"Yes",0,ROUND(U601*IF(IFERROR(INDEX(Clients!$O$5:$O$204,MATCH(IFERROR(INDEX(Jobs!$G$5:$G$604,MATCH(G601,Jobs!$A$5:$A$604,0)),""),Clients!$A$5:$A$204,0)),0)&gt;0,INDEX(Clients!$O$5:$O$204,MATCH(INDEX(Jobs!$G$5:$G$604,MATCH(G601,Jobs!$A$5:$A$604,0)),Clients!$A$5:$A$204,0)),HourlyRate),2)))</f>
        <v>0</v>
      </c>
      <c r="Z601" s="39">
        <f>IF(F601="","",IF(U601=0,"Add - no hours recorded",IF(O601="Absent - no show","Action - no show",IF(U601&gt;10,"Check - over ten hours in a day",IF(Q601&lt;&gt;"Yes","Due - needs approving",IF(R601&lt;&gt;"Yes","Due - not paid yet","OK"))))))</f>
        <v>0</v>
      </c>
    </row>
    <row r="602" spans="1:26">
      <c r="A602" s="43">
        <f>IF(F602="","","TS-"&amp;TEXT(ROW()-4,"0000"))</f>
        <v>0</v>
      </c>
      <c r="C602" s="23">
        <f>IF(B602="","",TEXT(B602,"ddd"))</f>
        <v>0</v>
      </c>
      <c r="D602" s="31">
        <f>IF(B602="","",WEEKNUM(B602,IF(WeekStart="Sunday",1,2)))</f>
        <v>0</v>
      </c>
      <c r="E602" s="23">
        <f>IF(B602="","",TEXT(B602,"yyyy-mm"))</f>
        <v>0</v>
      </c>
      <c r="H602" s="23">
        <f>IF(G602="","",IFERROR(INDEX(Jobs!$H$5:$H$604,MATCH(G602,Jobs!$A$5:$A$604,0)),""))</f>
        <v>0</v>
      </c>
      <c r="T602" s="34">
        <f>IF(OR(J602="",K602=""),"",ROUND((K602-J602)*24-IF(L602="",0,L602)/60,2))</f>
        <v>0</v>
      </c>
      <c r="U602" s="34">
        <f>IF(F602="","",IF(M602&lt;&gt;"",M602,IF(T602="",0,T602)))</f>
        <v>0</v>
      </c>
      <c r="V602" s="21">
        <f>IF(F602="","",IFERROR(INDEX(Employees!$U$5:$U$44,MATCH(F602,Employees!$B$5:$B$44,0)),PayRate*(1+EmployerOncost)))</f>
        <v>0</v>
      </c>
      <c r="W602" s="34">
        <f>IF(F602="","",MAX(0,U602-IF(N602="",0,N602)))</f>
        <v>0</v>
      </c>
      <c r="X602" s="21">
        <f>IF(F602="","",ROUND(W602*V602+IF(N602="",0,N602)*V602*OvertimeRate,2))</f>
        <v>0</v>
      </c>
      <c r="Y602" s="21">
        <f>IF(F602="","",IF(P602&lt;&gt;"Yes",0,ROUND(U602*IF(IFERROR(INDEX(Clients!$O$5:$O$204,MATCH(IFERROR(INDEX(Jobs!$G$5:$G$604,MATCH(G602,Jobs!$A$5:$A$604,0)),""),Clients!$A$5:$A$204,0)),0)&gt;0,INDEX(Clients!$O$5:$O$204,MATCH(INDEX(Jobs!$G$5:$G$604,MATCH(G602,Jobs!$A$5:$A$604,0)),Clients!$A$5:$A$204,0)),HourlyRate),2)))</f>
        <v>0</v>
      </c>
      <c r="Z602" s="39">
        <f>IF(F602="","",IF(U602=0,"Add - no hours recorded",IF(O602="Absent - no show","Action - no show",IF(U602&gt;10,"Check - over ten hours in a day",IF(Q602&lt;&gt;"Yes","Due - needs approving",IF(R602&lt;&gt;"Yes","Due - not paid yet","OK"))))))</f>
        <v>0</v>
      </c>
    </row>
    <row r="603" spans="1:26">
      <c r="A603" s="43">
        <f>IF(F603="","","TS-"&amp;TEXT(ROW()-4,"0000"))</f>
        <v>0</v>
      </c>
      <c r="C603" s="23">
        <f>IF(B603="","",TEXT(B603,"ddd"))</f>
        <v>0</v>
      </c>
      <c r="D603" s="31">
        <f>IF(B603="","",WEEKNUM(B603,IF(WeekStart="Sunday",1,2)))</f>
        <v>0</v>
      </c>
      <c r="E603" s="23">
        <f>IF(B603="","",TEXT(B603,"yyyy-mm"))</f>
        <v>0</v>
      </c>
      <c r="H603" s="23">
        <f>IF(G603="","",IFERROR(INDEX(Jobs!$H$5:$H$604,MATCH(G603,Jobs!$A$5:$A$604,0)),""))</f>
        <v>0</v>
      </c>
      <c r="T603" s="34">
        <f>IF(OR(J603="",K603=""),"",ROUND((K603-J603)*24-IF(L603="",0,L603)/60,2))</f>
        <v>0</v>
      </c>
      <c r="U603" s="34">
        <f>IF(F603="","",IF(M603&lt;&gt;"",M603,IF(T603="",0,T603)))</f>
        <v>0</v>
      </c>
      <c r="V603" s="21">
        <f>IF(F603="","",IFERROR(INDEX(Employees!$U$5:$U$44,MATCH(F603,Employees!$B$5:$B$44,0)),PayRate*(1+EmployerOncost)))</f>
        <v>0</v>
      </c>
      <c r="W603" s="34">
        <f>IF(F603="","",MAX(0,U603-IF(N603="",0,N603)))</f>
        <v>0</v>
      </c>
      <c r="X603" s="21">
        <f>IF(F603="","",ROUND(W603*V603+IF(N603="",0,N603)*V603*OvertimeRate,2))</f>
        <v>0</v>
      </c>
      <c r="Y603" s="21">
        <f>IF(F603="","",IF(P603&lt;&gt;"Yes",0,ROUND(U603*IF(IFERROR(INDEX(Clients!$O$5:$O$204,MATCH(IFERROR(INDEX(Jobs!$G$5:$G$604,MATCH(G603,Jobs!$A$5:$A$604,0)),""),Clients!$A$5:$A$204,0)),0)&gt;0,INDEX(Clients!$O$5:$O$204,MATCH(INDEX(Jobs!$G$5:$G$604,MATCH(G603,Jobs!$A$5:$A$604,0)),Clients!$A$5:$A$204,0)),HourlyRate),2)))</f>
        <v>0</v>
      </c>
      <c r="Z603" s="39">
        <f>IF(F603="","",IF(U603=0,"Add - no hours recorded",IF(O603="Absent - no show","Action - no show",IF(U603&gt;10,"Check - over ten hours in a day",IF(Q603&lt;&gt;"Yes","Due - needs approving",IF(R603&lt;&gt;"Yes","Due - not paid yet","OK"))))))</f>
        <v>0</v>
      </c>
    </row>
    <row r="604" spans="1:26">
      <c r="A604" s="43">
        <f>IF(F604="","","TS-"&amp;TEXT(ROW()-4,"0000"))</f>
        <v>0</v>
      </c>
      <c r="C604" s="23">
        <f>IF(B604="","",TEXT(B604,"ddd"))</f>
        <v>0</v>
      </c>
      <c r="D604" s="31">
        <f>IF(B604="","",WEEKNUM(B604,IF(WeekStart="Sunday",1,2)))</f>
        <v>0</v>
      </c>
      <c r="E604" s="23">
        <f>IF(B604="","",TEXT(B604,"yyyy-mm"))</f>
        <v>0</v>
      </c>
      <c r="H604" s="23">
        <f>IF(G604="","",IFERROR(INDEX(Jobs!$H$5:$H$604,MATCH(G604,Jobs!$A$5:$A$604,0)),""))</f>
        <v>0</v>
      </c>
      <c r="T604" s="34">
        <f>IF(OR(J604="",K604=""),"",ROUND((K604-J604)*24-IF(L604="",0,L604)/60,2))</f>
        <v>0</v>
      </c>
      <c r="U604" s="34">
        <f>IF(F604="","",IF(M604&lt;&gt;"",M604,IF(T604="",0,T604)))</f>
        <v>0</v>
      </c>
      <c r="V604" s="21">
        <f>IF(F604="","",IFERROR(INDEX(Employees!$U$5:$U$44,MATCH(F604,Employees!$B$5:$B$44,0)),PayRate*(1+EmployerOncost)))</f>
        <v>0</v>
      </c>
      <c r="W604" s="34">
        <f>IF(F604="","",MAX(0,U604-IF(N604="",0,N604)))</f>
        <v>0</v>
      </c>
      <c r="X604" s="21">
        <f>IF(F604="","",ROUND(W604*V604+IF(N604="",0,N604)*V604*OvertimeRate,2))</f>
        <v>0</v>
      </c>
      <c r="Y604" s="21">
        <f>IF(F604="","",IF(P604&lt;&gt;"Yes",0,ROUND(U604*IF(IFERROR(INDEX(Clients!$O$5:$O$204,MATCH(IFERROR(INDEX(Jobs!$G$5:$G$604,MATCH(G604,Jobs!$A$5:$A$604,0)),""),Clients!$A$5:$A$204,0)),0)&gt;0,INDEX(Clients!$O$5:$O$204,MATCH(INDEX(Jobs!$G$5:$G$604,MATCH(G604,Jobs!$A$5:$A$604,0)),Clients!$A$5:$A$204,0)),HourlyRate),2)))</f>
        <v>0</v>
      </c>
      <c r="Z604" s="39">
        <f>IF(F604="","",IF(U604=0,"Add - no hours recorded",IF(O604="Absent - no show","Action - no show",IF(U604&gt;10,"Check - over ten hours in a day",IF(Q604&lt;&gt;"Yes","Due - needs approving",IF(R604&lt;&gt;"Yes","Due - not paid yet","OK"))))))</f>
        <v>0</v>
      </c>
    </row>
    <row r="605" spans="1:26">
      <c r="A605" s="43">
        <f>IF(F605="","","TS-"&amp;TEXT(ROW()-4,"0000"))</f>
        <v>0</v>
      </c>
      <c r="C605" s="23">
        <f>IF(B605="","",TEXT(B605,"ddd"))</f>
        <v>0</v>
      </c>
      <c r="D605" s="31">
        <f>IF(B605="","",WEEKNUM(B605,IF(WeekStart="Sunday",1,2)))</f>
        <v>0</v>
      </c>
      <c r="E605" s="23">
        <f>IF(B605="","",TEXT(B605,"yyyy-mm"))</f>
        <v>0</v>
      </c>
      <c r="H605" s="23">
        <f>IF(G605="","",IFERROR(INDEX(Jobs!$H$5:$H$604,MATCH(G605,Jobs!$A$5:$A$604,0)),""))</f>
        <v>0</v>
      </c>
      <c r="T605" s="34">
        <f>IF(OR(J605="",K605=""),"",ROUND((K605-J605)*24-IF(L605="",0,L605)/60,2))</f>
        <v>0</v>
      </c>
      <c r="U605" s="34">
        <f>IF(F605="","",IF(M605&lt;&gt;"",M605,IF(T605="",0,T605)))</f>
        <v>0</v>
      </c>
      <c r="V605" s="21">
        <f>IF(F605="","",IFERROR(INDEX(Employees!$U$5:$U$44,MATCH(F605,Employees!$B$5:$B$44,0)),PayRate*(1+EmployerOncost)))</f>
        <v>0</v>
      </c>
      <c r="W605" s="34">
        <f>IF(F605="","",MAX(0,U605-IF(N605="",0,N605)))</f>
        <v>0</v>
      </c>
      <c r="X605" s="21">
        <f>IF(F605="","",ROUND(W605*V605+IF(N605="",0,N605)*V605*OvertimeRate,2))</f>
        <v>0</v>
      </c>
      <c r="Y605" s="21">
        <f>IF(F605="","",IF(P605&lt;&gt;"Yes",0,ROUND(U605*IF(IFERROR(INDEX(Clients!$O$5:$O$204,MATCH(IFERROR(INDEX(Jobs!$G$5:$G$604,MATCH(G605,Jobs!$A$5:$A$604,0)),""),Clients!$A$5:$A$204,0)),0)&gt;0,INDEX(Clients!$O$5:$O$204,MATCH(INDEX(Jobs!$G$5:$G$604,MATCH(G605,Jobs!$A$5:$A$604,0)),Clients!$A$5:$A$204,0)),HourlyRate),2)))</f>
        <v>0</v>
      </c>
      <c r="Z605" s="39">
        <f>IF(F605="","",IF(U605=0,"Add - no hours recorded",IF(O605="Absent - no show","Action - no show",IF(U605&gt;10,"Check - over ten hours in a day",IF(Q605&lt;&gt;"Yes","Due - needs approving",IF(R605&lt;&gt;"Yes","Due - not paid yet","OK"))))))</f>
        <v>0</v>
      </c>
    </row>
    <row r="606" spans="1:26">
      <c r="A606" s="43">
        <f>IF(F606="","","TS-"&amp;TEXT(ROW()-4,"0000"))</f>
        <v>0</v>
      </c>
      <c r="C606" s="23">
        <f>IF(B606="","",TEXT(B606,"ddd"))</f>
        <v>0</v>
      </c>
      <c r="D606" s="31">
        <f>IF(B606="","",WEEKNUM(B606,IF(WeekStart="Sunday",1,2)))</f>
        <v>0</v>
      </c>
      <c r="E606" s="23">
        <f>IF(B606="","",TEXT(B606,"yyyy-mm"))</f>
        <v>0</v>
      </c>
      <c r="H606" s="23">
        <f>IF(G606="","",IFERROR(INDEX(Jobs!$H$5:$H$604,MATCH(G606,Jobs!$A$5:$A$604,0)),""))</f>
        <v>0</v>
      </c>
      <c r="T606" s="34">
        <f>IF(OR(J606="",K606=""),"",ROUND((K606-J606)*24-IF(L606="",0,L606)/60,2))</f>
        <v>0</v>
      </c>
      <c r="U606" s="34">
        <f>IF(F606="","",IF(M606&lt;&gt;"",M606,IF(T606="",0,T606)))</f>
        <v>0</v>
      </c>
      <c r="V606" s="21">
        <f>IF(F606="","",IFERROR(INDEX(Employees!$U$5:$U$44,MATCH(F606,Employees!$B$5:$B$44,0)),PayRate*(1+EmployerOncost)))</f>
        <v>0</v>
      </c>
      <c r="W606" s="34">
        <f>IF(F606="","",MAX(0,U606-IF(N606="",0,N606)))</f>
        <v>0</v>
      </c>
      <c r="X606" s="21">
        <f>IF(F606="","",ROUND(W606*V606+IF(N606="",0,N606)*V606*OvertimeRate,2))</f>
        <v>0</v>
      </c>
      <c r="Y606" s="21">
        <f>IF(F606="","",IF(P606&lt;&gt;"Yes",0,ROUND(U606*IF(IFERROR(INDEX(Clients!$O$5:$O$204,MATCH(IFERROR(INDEX(Jobs!$G$5:$G$604,MATCH(G606,Jobs!$A$5:$A$604,0)),""),Clients!$A$5:$A$204,0)),0)&gt;0,INDEX(Clients!$O$5:$O$204,MATCH(INDEX(Jobs!$G$5:$G$604,MATCH(G606,Jobs!$A$5:$A$604,0)),Clients!$A$5:$A$204,0)),HourlyRate),2)))</f>
        <v>0</v>
      </c>
      <c r="Z606" s="39">
        <f>IF(F606="","",IF(U606=0,"Add - no hours recorded",IF(O606="Absent - no show","Action - no show",IF(U606&gt;10,"Check - over ten hours in a day",IF(Q606&lt;&gt;"Yes","Due - needs approving",IF(R606&lt;&gt;"Yes","Due - not paid yet","OK"))))))</f>
        <v>0</v>
      </c>
    </row>
    <row r="607" spans="1:26">
      <c r="A607" s="43">
        <f>IF(F607="","","TS-"&amp;TEXT(ROW()-4,"0000"))</f>
        <v>0</v>
      </c>
      <c r="C607" s="23">
        <f>IF(B607="","",TEXT(B607,"ddd"))</f>
        <v>0</v>
      </c>
      <c r="D607" s="31">
        <f>IF(B607="","",WEEKNUM(B607,IF(WeekStart="Sunday",1,2)))</f>
        <v>0</v>
      </c>
      <c r="E607" s="23">
        <f>IF(B607="","",TEXT(B607,"yyyy-mm"))</f>
        <v>0</v>
      </c>
      <c r="H607" s="23">
        <f>IF(G607="","",IFERROR(INDEX(Jobs!$H$5:$H$604,MATCH(G607,Jobs!$A$5:$A$604,0)),""))</f>
        <v>0</v>
      </c>
      <c r="T607" s="34">
        <f>IF(OR(J607="",K607=""),"",ROUND((K607-J607)*24-IF(L607="",0,L607)/60,2))</f>
        <v>0</v>
      </c>
      <c r="U607" s="34">
        <f>IF(F607="","",IF(M607&lt;&gt;"",M607,IF(T607="",0,T607)))</f>
        <v>0</v>
      </c>
      <c r="V607" s="21">
        <f>IF(F607="","",IFERROR(INDEX(Employees!$U$5:$U$44,MATCH(F607,Employees!$B$5:$B$44,0)),PayRate*(1+EmployerOncost)))</f>
        <v>0</v>
      </c>
      <c r="W607" s="34">
        <f>IF(F607="","",MAX(0,U607-IF(N607="",0,N607)))</f>
        <v>0</v>
      </c>
      <c r="X607" s="21">
        <f>IF(F607="","",ROUND(W607*V607+IF(N607="",0,N607)*V607*OvertimeRate,2))</f>
        <v>0</v>
      </c>
      <c r="Y607" s="21">
        <f>IF(F607="","",IF(P607&lt;&gt;"Yes",0,ROUND(U607*IF(IFERROR(INDEX(Clients!$O$5:$O$204,MATCH(IFERROR(INDEX(Jobs!$G$5:$G$604,MATCH(G607,Jobs!$A$5:$A$604,0)),""),Clients!$A$5:$A$204,0)),0)&gt;0,INDEX(Clients!$O$5:$O$204,MATCH(INDEX(Jobs!$G$5:$G$604,MATCH(G607,Jobs!$A$5:$A$604,0)),Clients!$A$5:$A$204,0)),HourlyRate),2)))</f>
        <v>0</v>
      </c>
      <c r="Z607" s="39">
        <f>IF(F607="","",IF(U607=0,"Add - no hours recorded",IF(O607="Absent - no show","Action - no show",IF(U607&gt;10,"Check - over ten hours in a day",IF(Q607&lt;&gt;"Yes","Due - needs approving",IF(R607&lt;&gt;"Yes","Due - not paid yet","OK"))))))</f>
        <v>0</v>
      </c>
    </row>
    <row r="608" spans="1:26">
      <c r="A608" s="43">
        <f>IF(F608="","","TS-"&amp;TEXT(ROW()-4,"0000"))</f>
        <v>0</v>
      </c>
      <c r="C608" s="23">
        <f>IF(B608="","",TEXT(B608,"ddd"))</f>
        <v>0</v>
      </c>
      <c r="D608" s="31">
        <f>IF(B608="","",WEEKNUM(B608,IF(WeekStart="Sunday",1,2)))</f>
        <v>0</v>
      </c>
      <c r="E608" s="23">
        <f>IF(B608="","",TEXT(B608,"yyyy-mm"))</f>
        <v>0</v>
      </c>
      <c r="H608" s="23">
        <f>IF(G608="","",IFERROR(INDEX(Jobs!$H$5:$H$604,MATCH(G608,Jobs!$A$5:$A$604,0)),""))</f>
        <v>0</v>
      </c>
      <c r="T608" s="34">
        <f>IF(OR(J608="",K608=""),"",ROUND((K608-J608)*24-IF(L608="",0,L608)/60,2))</f>
        <v>0</v>
      </c>
      <c r="U608" s="34">
        <f>IF(F608="","",IF(M608&lt;&gt;"",M608,IF(T608="",0,T608)))</f>
        <v>0</v>
      </c>
      <c r="V608" s="21">
        <f>IF(F608="","",IFERROR(INDEX(Employees!$U$5:$U$44,MATCH(F608,Employees!$B$5:$B$44,0)),PayRate*(1+EmployerOncost)))</f>
        <v>0</v>
      </c>
      <c r="W608" s="34">
        <f>IF(F608="","",MAX(0,U608-IF(N608="",0,N608)))</f>
        <v>0</v>
      </c>
      <c r="X608" s="21">
        <f>IF(F608="","",ROUND(W608*V608+IF(N608="",0,N608)*V608*OvertimeRate,2))</f>
        <v>0</v>
      </c>
      <c r="Y608" s="21">
        <f>IF(F608="","",IF(P608&lt;&gt;"Yes",0,ROUND(U608*IF(IFERROR(INDEX(Clients!$O$5:$O$204,MATCH(IFERROR(INDEX(Jobs!$G$5:$G$604,MATCH(G608,Jobs!$A$5:$A$604,0)),""),Clients!$A$5:$A$204,0)),0)&gt;0,INDEX(Clients!$O$5:$O$204,MATCH(INDEX(Jobs!$G$5:$G$604,MATCH(G608,Jobs!$A$5:$A$604,0)),Clients!$A$5:$A$204,0)),HourlyRate),2)))</f>
        <v>0</v>
      </c>
      <c r="Z608" s="39">
        <f>IF(F608="","",IF(U608=0,"Add - no hours recorded",IF(O608="Absent - no show","Action - no show",IF(U608&gt;10,"Check - over ten hours in a day",IF(Q608&lt;&gt;"Yes","Due - needs approving",IF(R608&lt;&gt;"Yes","Due - not paid yet","OK"))))))</f>
        <v>0</v>
      </c>
    </row>
    <row r="609" spans="1:26">
      <c r="A609" s="43">
        <f>IF(F609="","","TS-"&amp;TEXT(ROW()-4,"0000"))</f>
        <v>0</v>
      </c>
      <c r="C609" s="23">
        <f>IF(B609="","",TEXT(B609,"ddd"))</f>
        <v>0</v>
      </c>
      <c r="D609" s="31">
        <f>IF(B609="","",WEEKNUM(B609,IF(WeekStart="Sunday",1,2)))</f>
        <v>0</v>
      </c>
      <c r="E609" s="23">
        <f>IF(B609="","",TEXT(B609,"yyyy-mm"))</f>
        <v>0</v>
      </c>
      <c r="H609" s="23">
        <f>IF(G609="","",IFERROR(INDEX(Jobs!$H$5:$H$604,MATCH(G609,Jobs!$A$5:$A$604,0)),""))</f>
        <v>0</v>
      </c>
      <c r="T609" s="34">
        <f>IF(OR(J609="",K609=""),"",ROUND((K609-J609)*24-IF(L609="",0,L609)/60,2))</f>
        <v>0</v>
      </c>
      <c r="U609" s="34">
        <f>IF(F609="","",IF(M609&lt;&gt;"",M609,IF(T609="",0,T609)))</f>
        <v>0</v>
      </c>
      <c r="V609" s="21">
        <f>IF(F609="","",IFERROR(INDEX(Employees!$U$5:$U$44,MATCH(F609,Employees!$B$5:$B$44,0)),PayRate*(1+EmployerOncost)))</f>
        <v>0</v>
      </c>
      <c r="W609" s="34">
        <f>IF(F609="","",MAX(0,U609-IF(N609="",0,N609)))</f>
        <v>0</v>
      </c>
      <c r="X609" s="21">
        <f>IF(F609="","",ROUND(W609*V609+IF(N609="",0,N609)*V609*OvertimeRate,2))</f>
        <v>0</v>
      </c>
      <c r="Y609" s="21">
        <f>IF(F609="","",IF(P609&lt;&gt;"Yes",0,ROUND(U609*IF(IFERROR(INDEX(Clients!$O$5:$O$204,MATCH(IFERROR(INDEX(Jobs!$G$5:$G$604,MATCH(G609,Jobs!$A$5:$A$604,0)),""),Clients!$A$5:$A$204,0)),0)&gt;0,INDEX(Clients!$O$5:$O$204,MATCH(INDEX(Jobs!$G$5:$G$604,MATCH(G609,Jobs!$A$5:$A$604,0)),Clients!$A$5:$A$204,0)),HourlyRate),2)))</f>
        <v>0</v>
      </c>
      <c r="Z609" s="39">
        <f>IF(F609="","",IF(U609=0,"Add - no hours recorded",IF(O609="Absent - no show","Action - no show",IF(U609&gt;10,"Check - over ten hours in a day",IF(Q609&lt;&gt;"Yes","Due - needs approving",IF(R609&lt;&gt;"Yes","Due - not paid yet","OK"))))))</f>
        <v>0</v>
      </c>
    </row>
    <row r="610" spans="1:26">
      <c r="A610" s="43">
        <f>IF(F610="","","TS-"&amp;TEXT(ROW()-4,"0000"))</f>
        <v>0</v>
      </c>
      <c r="C610" s="23">
        <f>IF(B610="","",TEXT(B610,"ddd"))</f>
        <v>0</v>
      </c>
      <c r="D610" s="31">
        <f>IF(B610="","",WEEKNUM(B610,IF(WeekStart="Sunday",1,2)))</f>
        <v>0</v>
      </c>
      <c r="E610" s="23">
        <f>IF(B610="","",TEXT(B610,"yyyy-mm"))</f>
        <v>0</v>
      </c>
      <c r="H610" s="23">
        <f>IF(G610="","",IFERROR(INDEX(Jobs!$H$5:$H$604,MATCH(G610,Jobs!$A$5:$A$604,0)),""))</f>
        <v>0</v>
      </c>
      <c r="T610" s="34">
        <f>IF(OR(J610="",K610=""),"",ROUND((K610-J610)*24-IF(L610="",0,L610)/60,2))</f>
        <v>0</v>
      </c>
      <c r="U610" s="34">
        <f>IF(F610="","",IF(M610&lt;&gt;"",M610,IF(T610="",0,T610)))</f>
        <v>0</v>
      </c>
      <c r="V610" s="21">
        <f>IF(F610="","",IFERROR(INDEX(Employees!$U$5:$U$44,MATCH(F610,Employees!$B$5:$B$44,0)),PayRate*(1+EmployerOncost)))</f>
        <v>0</v>
      </c>
      <c r="W610" s="34">
        <f>IF(F610="","",MAX(0,U610-IF(N610="",0,N610)))</f>
        <v>0</v>
      </c>
      <c r="X610" s="21">
        <f>IF(F610="","",ROUND(W610*V610+IF(N610="",0,N610)*V610*OvertimeRate,2))</f>
        <v>0</v>
      </c>
      <c r="Y610" s="21">
        <f>IF(F610="","",IF(P610&lt;&gt;"Yes",0,ROUND(U610*IF(IFERROR(INDEX(Clients!$O$5:$O$204,MATCH(IFERROR(INDEX(Jobs!$G$5:$G$604,MATCH(G610,Jobs!$A$5:$A$604,0)),""),Clients!$A$5:$A$204,0)),0)&gt;0,INDEX(Clients!$O$5:$O$204,MATCH(INDEX(Jobs!$G$5:$G$604,MATCH(G610,Jobs!$A$5:$A$604,0)),Clients!$A$5:$A$204,0)),HourlyRate),2)))</f>
        <v>0</v>
      </c>
      <c r="Z610" s="39">
        <f>IF(F610="","",IF(U610=0,"Add - no hours recorded",IF(O610="Absent - no show","Action - no show",IF(U610&gt;10,"Check - over ten hours in a day",IF(Q610&lt;&gt;"Yes","Due - needs approving",IF(R610&lt;&gt;"Yes","Due - not paid yet","OK"))))))</f>
        <v>0</v>
      </c>
    </row>
    <row r="611" spans="1:26">
      <c r="A611" s="43">
        <f>IF(F611="","","TS-"&amp;TEXT(ROW()-4,"0000"))</f>
        <v>0</v>
      </c>
      <c r="C611" s="23">
        <f>IF(B611="","",TEXT(B611,"ddd"))</f>
        <v>0</v>
      </c>
      <c r="D611" s="31">
        <f>IF(B611="","",WEEKNUM(B611,IF(WeekStart="Sunday",1,2)))</f>
        <v>0</v>
      </c>
      <c r="E611" s="23">
        <f>IF(B611="","",TEXT(B611,"yyyy-mm"))</f>
        <v>0</v>
      </c>
      <c r="H611" s="23">
        <f>IF(G611="","",IFERROR(INDEX(Jobs!$H$5:$H$604,MATCH(G611,Jobs!$A$5:$A$604,0)),""))</f>
        <v>0</v>
      </c>
      <c r="T611" s="34">
        <f>IF(OR(J611="",K611=""),"",ROUND((K611-J611)*24-IF(L611="",0,L611)/60,2))</f>
        <v>0</v>
      </c>
      <c r="U611" s="34">
        <f>IF(F611="","",IF(M611&lt;&gt;"",M611,IF(T611="",0,T611)))</f>
        <v>0</v>
      </c>
      <c r="V611" s="21">
        <f>IF(F611="","",IFERROR(INDEX(Employees!$U$5:$U$44,MATCH(F611,Employees!$B$5:$B$44,0)),PayRate*(1+EmployerOncost)))</f>
        <v>0</v>
      </c>
      <c r="W611" s="34">
        <f>IF(F611="","",MAX(0,U611-IF(N611="",0,N611)))</f>
        <v>0</v>
      </c>
      <c r="X611" s="21">
        <f>IF(F611="","",ROUND(W611*V611+IF(N611="",0,N611)*V611*OvertimeRate,2))</f>
        <v>0</v>
      </c>
      <c r="Y611" s="21">
        <f>IF(F611="","",IF(P611&lt;&gt;"Yes",0,ROUND(U611*IF(IFERROR(INDEX(Clients!$O$5:$O$204,MATCH(IFERROR(INDEX(Jobs!$G$5:$G$604,MATCH(G611,Jobs!$A$5:$A$604,0)),""),Clients!$A$5:$A$204,0)),0)&gt;0,INDEX(Clients!$O$5:$O$204,MATCH(INDEX(Jobs!$G$5:$G$604,MATCH(G611,Jobs!$A$5:$A$604,0)),Clients!$A$5:$A$204,0)),HourlyRate),2)))</f>
        <v>0</v>
      </c>
      <c r="Z611" s="39">
        <f>IF(F611="","",IF(U611=0,"Add - no hours recorded",IF(O611="Absent - no show","Action - no show",IF(U611&gt;10,"Check - over ten hours in a day",IF(Q611&lt;&gt;"Yes","Due - needs approving",IF(R611&lt;&gt;"Yes","Due - not paid yet","OK"))))))</f>
        <v>0</v>
      </c>
    </row>
    <row r="612" spans="1:26">
      <c r="A612" s="43">
        <f>IF(F612="","","TS-"&amp;TEXT(ROW()-4,"0000"))</f>
        <v>0</v>
      </c>
      <c r="C612" s="23">
        <f>IF(B612="","",TEXT(B612,"ddd"))</f>
        <v>0</v>
      </c>
      <c r="D612" s="31">
        <f>IF(B612="","",WEEKNUM(B612,IF(WeekStart="Sunday",1,2)))</f>
        <v>0</v>
      </c>
      <c r="E612" s="23">
        <f>IF(B612="","",TEXT(B612,"yyyy-mm"))</f>
        <v>0</v>
      </c>
      <c r="H612" s="23">
        <f>IF(G612="","",IFERROR(INDEX(Jobs!$H$5:$H$604,MATCH(G612,Jobs!$A$5:$A$604,0)),""))</f>
        <v>0</v>
      </c>
      <c r="T612" s="34">
        <f>IF(OR(J612="",K612=""),"",ROUND((K612-J612)*24-IF(L612="",0,L612)/60,2))</f>
        <v>0</v>
      </c>
      <c r="U612" s="34">
        <f>IF(F612="","",IF(M612&lt;&gt;"",M612,IF(T612="",0,T612)))</f>
        <v>0</v>
      </c>
      <c r="V612" s="21">
        <f>IF(F612="","",IFERROR(INDEX(Employees!$U$5:$U$44,MATCH(F612,Employees!$B$5:$B$44,0)),PayRate*(1+EmployerOncost)))</f>
        <v>0</v>
      </c>
      <c r="W612" s="34">
        <f>IF(F612="","",MAX(0,U612-IF(N612="",0,N612)))</f>
        <v>0</v>
      </c>
      <c r="X612" s="21">
        <f>IF(F612="","",ROUND(W612*V612+IF(N612="",0,N612)*V612*OvertimeRate,2))</f>
        <v>0</v>
      </c>
      <c r="Y612" s="21">
        <f>IF(F612="","",IF(P612&lt;&gt;"Yes",0,ROUND(U612*IF(IFERROR(INDEX(Clients!$O$5:$O$204,MATCH(IFERROR(INDEX(Jobs!$G$5:$G$604,MATCH(G612,Jobs!$A$5:$A$604,0)),""),Clients!$A$5:$A$204,0)),0)&gt;0,INDEX(Clients!$O$5:$O$204,MATCH(INDEX(Jobs!$G$5:$G$604,MATCH(G612,Jobs!$A$5:$A$604,0)),Clients!$A$5:$A$204,0)),HourlyRate),2)))</f>
        <v>0</v>
      </c>
      <c r="Z612" s="39">
        <f>IF(F612="","",IF(U612=0,"Add - no hours recorded",IF(O612="Absent - no show","Action - no show",IF(U612&gt;10,"Check - over ten hours in a day",IF(Q612&lt;&gt;"Yes","Due - needs approving",IF(R612&lt;&gt;"Yes","Due - not paid yet","OK"))))))</f>
        <v>0</v>
      </c>
    </row>
    <row r="613" spans="1:26">
      <c r="A613" s="43">
        <f>IF(F613="","","TS-"&amp;TEXT(ROW()-4,"0000"))</f>
        <v>0</v>
      </c>
      <c r="C613" s="23">
        <f>IF(B613="","",TEXT(B613,"ddd"))</f>
        <v>0</v>
      </c>
      <c r="D613" s="31">
        <f>IF(B613="","",WEEKNUM(B613,IF(WeekStart="Sunday",1,2)))</f>
        <v>0</v>
      </c>
      <c r="E613" s="23">
        <f>IF(B613="","",TEXT(B613,"yyyy-mm"))</f>
        <v>0</v>
      </c>
      <c r="H613" s="23">
        <f>IF(G613="","",IFERROR(INDEX(Jobs!$H$5:$H$604,MATCH(G613,Jobs!$A$5:$A$604,0)),""))</f>
        <v>0</v>
      </c>
      <c r="T613" s="34">
        <f>IF(OR(J613="",K613=""),"",ROUND((K613-J613)*24-IF(L613="",0,L613)/60,2))</f>
        <v>0</v>
      </c>
      <c r="U613" s="34">
        <f>IF(F613="","",IF(M613&lt;&gt;"",M613,IF(T613="",0,T613)))</f>
        <v>0</v>
      </c>
      <c r="V613" s="21">
        <f>IF(F613="","",IFERROR(INDEX(Employees!$U$5:$U$44,MATCH(F613,Employees!$B$5:$B$44,0)),PayRate*(1+EmployerOncost)))</f>
        <v>0</v>
      </c>
      <c r="W613" s="34">
        <f>IF(F613="","",MAX(0,U613-IF(N613="",0,N613)))</f>
        <v>0</v>
      </c>
      <c r="X613" s="21">
        <f>IF(F613="","",ROUND(W613*V613+IF(N613="",0,N613)*V613*OvertimeRate,2))</f>
        <v>0</v>
      </c>
      <c r="Y613" s="21">
        <f>IF(F613="","",IF(P613&lt;&gt;"Yes",0,ROUND(U613*IF(IFERROR(INDEX(Clients!$O$5:$O$204,MATCH(IFERROR(INDEX(Jobs!$G$5:$G$604,MATCH(G613,Jobs!$A$5:$A$604,0)),""),Clients!$A$5:$A$204,0)),0)&gt;0,INDEX(Clients!$O$5:$O$204,MATCH(INDEX(Jobs!$G$5:$G$604,MATCH(G613,Jobs!$A$5:$A$604,0)),Clients!$A$5:$A$204,0)),HourlyRate),2)))</f>
        <v>0</v>
      </c>
      <c r="Z613" s="39">
        <f>IF(F613="","",IF(U613=0,"Add - no hours recorded",IF(O613="Absent - no show","Action - no show",IF(U613&gt;10,"Check - over ten hours in a day",IF(Q613&lt;&gt;"Yes","Due - needs approving",IF(R613&lt;&gt;"Yes","Due - not paid yet","OK"))))))</f>
        <v>0</v>
      </c>
    </row>
    <row r="614" spans="1:26">
      <c r="A614" s="43">
        <f>IF(F614="","","TS-"&amp;TEXT(ROW()-4,"0000"))</f>
        <v>0</v>
      </c>
      <c r="C614" s="23">
        <f>IF(B614="","",TEXT(B614,"ddd"))</f>
        <v>0</v>
      </c>
      <c r="D614" s="31">
        <f>IF(B614="","",WEEKNUM(B614,IF(WeekStart="Sunday",1,2)))</f>
        <v>0</v>
      </c>
      <c r="E614" s="23">
        <f>IF(B614="","",TEXT(B614,"yyyy-mm"))</f>
        <v>0</v>
      </c>
      <c r="H614" s="23">
        <f>IF(G614="","",IFERROR(INDEX(Jobs!$H$5:$H$604,MATCH(G614,Jobs!$A$5:$A$604,0)),""))</f>
        <v>0</v>
      </c>
      <c r="T614" s="34">
        <f>IF(OR(J614="",K614=""),"",ROUND((K614-J614)*24-IF(L614="",0,L614)/60,2))</f>
        <v>0</v>
      </c>
      <c r="U614" s="34">
        <f>IF(F614="","",IF(M614&lt;&gt;"",M614,IF(T614="",0,T614)))</f>
        <v>0</v>
      </c>
      <c r="V614" s="21">
        <f>IF(F614="","",IFERROR(INDEX(Employees!$U$5:$U$44,MATCH(F614,Employees!$B$5:$B$44,0)),PayRate*(1+EmployerOncost)))</f>
        <v>0</v>
      </c>
      <c r="W614" s="34">
        <f>IF(F614="","",MAX(0,U614-IF(N614="",0,N614)))</f>
        <v>0</v>
      </c>
      <c r="X614" s="21">
        <f>IF(F614="","",ROUND(W614*V614+IF(N614="",0,N614)*V614*OvertimeRate,2))</f>
        <v>0</v>
      </c>
      <c r="Y614" s="21">
        <f>IF(F614="","",IF(P614&lt;&gt;"Yes",0,ROUND(U614*IF(IFERROR(INDEX(Clients!$O$5:$O$204,MATCH(IFERROR(INDEX(Jobs!$G$5:$G$604,MATCH(G614,Jobs!$A$5:$A$604,0)),""),Clients!$A$5:$A$204,0)),0)&gt;0,INDEX(Clients!$O$5:$O$204,MATCH(INDEX(Jobs!$G$5:$G$604,MATCH(G614,Jobs!$A$5:$A$604,0)),Clients!$A$5:$A$204,0)),HourlyRate),2)))</f>
        <v>0</v>
      </c>
      <c r="Z614" s="39">
        <f>IF(F614="","",IF(U614=0,"Add - no hours recorded",IF(O614="Absent - no show","Action - no show",IF(U614&gt;10,"Check - over ten hours in a day",IF(Q614&lt;&gt;"Yes","Due - needs approving",IF(R614&lt;&gt;"Yes","Due - not paid yet","OK"))))))</f>
        <v>0</v>
      </c>
    </row>
    <row r="615" spans="1:26">
      <c r="A615" s="43">
        <f>IF(F615="","","TS-"&amp;TEXT(ROW()-4,"0000"))</f>
        <v>0</v>
      </c>
      <c r="C615" s="23">
        <f>IF(B615="","",TEXT(B615,"ddd"))</f>
        <v>0</v>
      </c>
      <c r="D615" s="31">
        <f>IF(B615="","",WEEKNUM(B615,IF(WeekStart="Sunday",1,2)))</f>
        <v>0</v>
      </c>
      <c r="E615" s="23">
        <f>IF(B615="","",TEXT(B615,"yyyy-mm"))</f>
        <v>0</v>
      </c>
      <c r="H615" s="23">
        <f>IF(G615="","",IFERROR(INDEX(Jobs!$H$5:$H$604,MATCH(G615,Jobs!$A$5:$A$604,0)),""))</f>
        <v>0</v>
      </c>
      <c r="T615" s="34">
        <f>IF(OR(J615="",K615=""),"",ROUND((K615-J615)*24-IF(L615="",0,L615)/60,2))</f>
        <v>0</v>
      </c>
      <c r="U615" s="34">
        <f>IF(F615="","",IF(M615&lt;&gt;"",M615,IF(T615="",0,T615)))</f>
        <v>0</v>
      </c>
      <c r="V615" s="21">
        <f>IF(F615="","",IFERROR(INDEX(Employees!$U$5:$U$44,MATCH(F615,Employees!$B$5:$B$44,0)),PayRate*(1+EmployerOncost)))</f>
        <v>0</v>
      </c>
      <c r="W615" s="34">
        <f>IF(F615="","",MAX(0,U615-IF(N615="",0,N615)))</f>
        <v>0</v>
      </c>
      <c r="X615" s="21">
        <f>IF(F615="","",ROUND(W615*V615+IF(N615="",0,N615)*V615*OvertimeRate,2))</f>
        <v>0</v>
      </c>
      <c r="Y615" s="21">
        <f>IF(F615="","",IF(P615&lt;&gt;"Yes",0,ROUND(U615*IF(IFERROR(INDEX(Clients!$O$5:$O$204,MATCH(IFERROR(INDEX(Jobs!$G$5:$G$604,MATCH(G615,Jobs!$A$5:$A$604,0)),""),Clients!$A$5:$A$204,0)),0)&gt;0,INDEX(Clients!$O$5:$O$204,MATCH(INDEX(Jobs!$G$5:$G$604,MATCH(G615,Jobs!$A$5:$A$604,0)),Clients!$A$5:$A$204,0)),HourlyRate),2)))</f>
        <v>0</v>
      </c>
      <c r="Z615" s="39">
        <f>IF(F615="","",IF(U615=0,"Add - no hours recorded",IF(O615="Absent - no show","Action - no show",IF(U615&gt;10,"Check - over ten hours in a day",IF(Q615&lt;&gt;"Yes","Due - needs approving",IF(R615&lt;&gt;"Yes","Due - not paid yet","OK"))))))</f>
        <v>0</v>
      </c>
    </row>
    <row r="616" spans="1:26">
      <c r="A616" s="43">
        <f>IF(F616="","","TS-"&amp;TEXT(ROW()-4,"0000"))</f>
        <v>0</v>
      </c>
      <c r="C616" s="23">
        <f>IF(B616="","",TEXT(B616,"ddd"))</f>
        <v>0</v>
      </c>
      <c r="D616" s="31">
        <f>IF(B616="","",WEEKNUM(B616,IF(WeekStart="Sunday",1,2)))</f>
        <v>0</v>
      </c>
      <c r="E616" s="23">
        <f>IF(B616="","",TEXT(B616,"yyyy-mm"))</f>
        <v>0</v>
      </c>
      <c r="H616" s="23">
        <f>IF(G616="","",IFERROR(INDEX(Jobs!$H$5:$H$604,MATCH(G616,Jobs!$A$5:$A$604,0)),""))</f>
        <v>0</v>
      </c>
      <c r="T616" s="34">
        <f>IF(OR(J616="",K616=""),"",ROUND((K616-J616)*24-IF(L616="",0,L616)/60,2))</f>
        <v>0</v>
      </c>
      <c r="U616" s="34">
        <f>IF(F616="","",IF(M616&lt;&gt;"",M616,IF(T616="",0,T616)))</f>
        <v>0</v>
      </c>
      <c r="V616" s="21">
        <f>IF(F616="","",IFERROR(INDEX(Employees!$U$5:$U$44,MATCH(F616,Employees!$B$5:$B$44,0)),PayRate*(1+EmployerOncost)))</f>
        <v>0</v>
      </c>
      <c r="W616" s="34">
        <f>IF(F616="","",MAX(0,U616-IF(N616="",0,N616)))</f>
        <v>0</v>
      </c>
      <c r="X616" s="21">
        <f>IF(F616="","",ROUND(W616*V616+IF(N616="",0,N616)*V616*OvertimeRate,2))</f>
        <v>0</v>
      </c>
      <c r="Y616" s="21">
        <f>IF(F616="","",IF(P616&lt;&gt;"Yes",0,ROUND(U616*IF(IFERROR(INDEX(Clients!$O$5:$O$204,MATCH(IFERROR(INDEX(Jobs!$G$5:$G$604,MATCH(G616,Jobs!$A$5:$A$604,0)),""),Clients!$A$5:$A$204,0)),0)&gt;0,INDEX(Clients!$O$5:$O$204,MATCH(INDEX(Jobs!$G$5:$G$604,MATCH(G616,Jobs!$A$5:$A$604,0)),Clients!$A$5:$A$204,0)),HourlyRate),2)))</f>
        <v>0</v>
      </c>
      <c r="Z616" s="39">
        <f>IF(F616="","",IF(U616=0,"Add - no hours recorded",IF(O616="Absent - no show","Action - no show",IF(U616&gt;10,"Check - over ten hours in a day",IF(Q616&lt;&gt;"Yes","Due - needs approving",IF(R616&lt;&gt;"Yes","Due - not paid yet","OK"))))))</f>
        <v>0</v>
      </c>
    </row>
    <row r="617" spans="1:26">
      <c r="A617" s="43">
        <f>IF(F617="","","TS-"&amp;TEXT(ROW()-4,"0000"))</f>
        <v>0</v>
      </c>
      <c r="C617" s="23">
        <f>IF(B617="","",TEXT(B617,"ddd"))</f>
        <v>0</v>
      </c>
      <c r="D617" s="31">
        <f>IF(B617="","",WEEKNUM(B617,IF(WeekStart="Sunday",1,2)))</f>
        <v>0</v>
      </c>
      <c r="E617" s="23">
        <f>IF(B617="","",TEXT(B617,"yyyy-mm"))</f>
        <v>0</v>
      </c>
      <c r="H617" s="23">
        <f>IF(G617="","",IFERROR(INDEX(Jobs!$H$5:$H$604,MATCH(G617,Jobs!$A$5:$A$604,0)),""))</f>
        <v>0</v>
      </c>
      <c r="T617" s="34">
        <f>IF(OR(J617="",K617=""),"",ROUND((K617-J617)*24-IF(L617="",0,L617)/60,2))</f>
        <v>0</v>
      </c>
      <c r="U617" s="34">
        <f>IF(F617="","",IF(M617&lt;&gt;"",M617,IF(T617="",0,T617)))</f>
        <v>0</v>
      </c>
      <c r="V617" s="21">
        <f>IF(F617="","",IFERROR(INDEX(Employees!$U$5:$U$44,MATCH(F617,Employees!$B$5:$B$44,0)),PayRate*(1+EmployerOncost)))</f>
        <v>0</v>
      </c>
      <c r="W617" s="34">
        <f>IF(F617="","",MAX(0,U617-IF(N617="",0,N617)))</f>
        <v>0</v>
      </c>
      <c r="X617" s="21">
        <f>IF(F617="","",ROUND(W617*V617+IF(N617="",0,N617)*V617*OvertimeRate,2))</f>
        <v>0</v>
      </c>
      <c r="Y617" s="21">
        <f>IF(F617="","",IF(P617&lt;&gt;"Yes",0,ROUND(U617*IF(IFERROR(INDEX(Clients!$O$5:$O$204,MATCH(IFERROR(INDEX(Jobs!$G$5:$G$604,MATCH(G617,Jobs!$A$5:$A$604,0)),""),Clients!$A$5:$A$204,0)),0)&gt;0,INDEX(Clients!$O$5:$O$204,MATCH(INDEX(Jobs!$G$5:$G$604,MATCH(G617,Jobs!$A$5:$A$604,0)),Clients!$A$5:$A$204,0)),HourlyRate),2)))</f>
        <v>0</v>
      </c>
      <c r="Z617" s="39">
        <f>IF(F617="","",IF(U617=0,"Add - no hours recorded",IF(O617="Absent - no show","Action - no show",IF(U617&gt;10,"Check - over ten hours in a day",IF(Q617&lt;&gt;"Yes","Due - needs approving",IF(R617&lt;&gt;"Yes","Due - not paid yet","OK"))))))</f>
        <v>0</v>
      </c>
    </row>
    <row r="618" spans="1:26">
      <c r="A618" s="43">
        <f>IF(F618="","","TS-"&amp;TEXT(ROW()-4,"0000"))</f>
        <v>0</v>
      </c>
      <c r="C618" s="23">
        <f>IF(B618="","",TEXT(B618,"ddd"))</f>
        <v>0</v>
      </c>
      <c r="D618" s="31">
        <f>IF(B618="","",WEEKNUM(B618,IF(WeekStart="Sunday",1,2)))</f>
        <v>0</v>
      </c>
      <c r="E618" s="23">
        <f>IF(B618="","",TEXT(B618,"yyyy-mm"))</f>
        <v>0</v>
      </c>
      <c r="H618" s="23">
        <f>IF(G618="","",IFERROR(INDEX(Jobs!$H$5:$H$604,MATCH(G618,Jobs!$A$5:$A$604,0)),""))</f>
        <v>0</v>
      </c>
      <c r="T618" s="34">
        <f>IF(OR(J618="",K618=""),"",ROUND((K618-J618)*24-IF(L618="",0,L618)/60,2))</f>
        <v>0</v>
      </c>
      <c r="U618" s="34">
        <f>IF(F618="","",IF(M618&lt;&gt;"",M618,IF(T618="",0,T618)))</f>
        <v>0</v>
      </c>
      <c r="V618" s="21">
        <f>IF(F618="","",IFERROR(INDEX(Employees!$U$5:$U$44,MATCH(F618,Employees!$B$5:$B$44,0)),PayRate*(1+EmployerOncost)))</f>
        <v>0</v>
      </c>
      <c r="W618" s="34">
        <f>IF(F618="","",MAX(0,U618-IF(N618="",0,N618)))</f>
        <v>0</v>
      </c>
      <c r="X618" s="21">
        <f>IF(F618="","",ROUND(W618*V618+IF(N618="",0,N618)*V618*OvertimeRate,2))</f>
        <v>0</v>
      </c>
      <c r="Y618" s="21">
        <f>IF(F618="","",IF(P618&lt;&gt;"Yes",0,ROUND(U618*IF(IFERROR(INDEX(Clients!$O$5:$O$204,MATCH(IFERROR(INDEX(Jobs!$G$5:$G$604,MATCH(G618,Jobs!$A$5:$A$604,0)),""),Clients!$A$5:$A$204,0)),0)&gt;0,INDEX(Clients!$O$5:$O$204,MATCH(INDEX(Jobs!$G$5:$G$604,MATCH(G618,Jobs!$A$5:$A$604,0)),Clients!$A$5:$A$204,0)),HourlyRate),2)))</f>
        <v>0</v>
      </c>
      <c r="Z618" s="39">
        <f>IF(F618="","",IF(U618=0,"Add - no hours recorded",IF(O618="Absent - no show","Action - no show",IF(U618&gt;10,"Check - over ten hours in a day",IF(Q618&lt;&gt;"Yes","Due - needs approving",IF(R618&lt;&gt;"Yes","Due - not paid yet","OK"))))))</f>
        <v>0</v>
      </c>
    </row>
    <row r="619" spans="1:26">
      <c r="A619" s="43">
        <f>IF(F619="","","TS-"&amp;TEXT(ROW()-4,"0000"))</f>
        <v>0</v>
      </c>
      <c r="C619" s="23">
        <f>IF(B619="","",TEXT(B619,"ddd"))</f>
        <v>0</v>
      </c>
      <c r="D619" s="31">
        <f>IF(B619="","",WEEKNUM(B619,IF(WeekStart="Sunday",1,2)))</f>
        <v>0</v>
      </c>
      <c r="E619" s="23">
        <f>IF(B619="","",TEXT(B619,"yyyy-mm"))</f>
        <v>0</v>
      </c>
      <c r="H619" s="23">
        <f>IF(G619="","",IFERROR(INDEX(Jobs!$H$5:$H$604,MATCH(G619,Jobs!$A$5:$A$604,0)),""))</f>
        <v>0</v>
      </c>
      <c r="T619" s="34">
        <f>IF(OR(J619="",K619=""),"",ROUND((K619-J619)*24-IF(L619="",0,L619)/60,2))</f>
        <v>0</v>
      </c>
      <c r="U619" s="34">
        <f>IF(F619="","",IF(M619&lt;&gt;"",M619,IF(T619="",0,T619)))</f>
        <v>0</v>
      </c>
      <c r="V619" s="21">
        <f>IF(F619="","",IFERROR(INDEX(Employees!$U$5:$U$44,MATCH(F619,Employees!$B$5:$B$44,0)),PayRate*(1+EmployerOncost)))</f>
        <v>0</v>
      </c>
      <c r="W619" s="34">
        <f>IF(F619="","",MAX(0,U619-IF(N619="",0,N619)))</f>
        <v>0</v>
      </c>
      <c r="X619" s="21">
        <f>IF(F619="","",ROUND(W619*V619+IF(N619="",0,N619)*V619*OvertimeRate,2))</f>
        <v>0</v>
      </c>
      <c r="Y619" s="21">
        <f>IF(F619="","",IF(P619&lt;&gt;"Yes",0,ROUND(U619*IF(IFERROR(INDEX(Clients!$O$5:$O$204,MATCH(IFERROR(INDEX(Jobs!$G$5:$G$604,MATCH(G619,Jobs!$A$5:$A$604,0)),""),Clients!$A$5:$A$204,0)),0)&gt;0,INDEX(Clients!$O$5:$O$204,MATCH(INDEX(Jobs!$G$5:$G$604,MATCH(G619,Jobs!$A$5:$A$604,0)),Clients!$A$5:$A$204,0)),HourlyRate),2)))</f>
        <v>0</v>
      </c>
      <c r="Z619" s="39">
        <f>IF(F619="","",IF(U619=0,"Add - no hours recorded",IF(O619="Absent - no show","Action - no show",IF(U619&gt;10,"Check - over ten hours in a day",IF(Q619&lt;&gt;"Yes","Due - needs approving",IF(R619&lt;&gt;"Yes","Due - not paid yet","OK"))))))</f>
        <v>0</v>
      </c>
    </row>
    <row r="620" spans="1:26">
      <c r="A620" s="43">
        <f>IF(F620="","","TS-"&amp;TEXT(ROW()-4,"0000"))</f>
        <v>0</v>
      </c>
      <c r="C620" s="23">
        <f>IF(B620="","",TEXT(B620,"ddd"))</f>
        <v>0</v>
      </c>
      <c r="D620" s="31">
        <f>IF(B620="","",WEEKNUM(B620,IF(WeekStart="Sunday",1,2)))</f>
        <v>0</v>
      </c>
      <c r="E620" s="23">
        <f>IF(B620="","",TEXT(B620,"yyyy-mm"))</f>
        <v>0</v>
      </c>
      <c r="H620" s="23">
        <f>IF(G620="","",IFERROR(INDEX(Jobs!$H$5:$H$604,MATCH(G620,Jobs!$A$5:$A$604,0)),""))</f>
        <v>0</v>
      </c>
      <c r="T620" s="34">
        <f>IF(OR(J620="",K620=""),"",ROUND((K620-J620)*24-IF(L620="",0,L620)/60,2))</f>
        <v>0</v>
      </c>
      <c r="U620" s="34">
        <f>IF(F620="","",IF(M620&lt;&gt;"",M620,IF(T620="",0,T620)))</f>
        <v>0</v>
      </c>
      <c r="V620" s="21">
        <f>IF(F620="","",IFERROR(INDEX(Employees!$U$5:$U$44,MATCH(F620,Employees!$B$5:$B$44,0)),PayRate*(1+EmployerOncost)))</f>
        <v>0</v>
      </c>
      <c r="W620" s="34">
        <f>IF(F620="","",MAX(0,U620-IF(N620="",0,N620)))</f>
        <v>0</v>
      </c>
      <c r="X620" s="21">
        <f>IF(F620="","",ROUND(W620*V620+IF(N620="",0,N620)*V620*OvertimeRate,2))</f>
        <v>0</v>
      </c>
      <c r="Y620" s="21">
        <f>IF(F620="","",IF(P620&lt;&gt;"Yes",0,ROUND(U620*IF(IFERROR(INDEX(Clients!$O$5:$O$204,MATCH(IFERROR(INDEX(Jobs!$G$5:$G$604,MATCH(G620,Jobs!$A$5:$A$604,0)),""),Clients!$A$5:$A$204,0)),0)&gt;0,INDEX(Clients!$O$5:$O$204,MATCH(INDEX(Jobs!$G$5:$G$604,MATCH(G620,Jobs!$A$5:$A$604,0)),Clients!$A$5:$A$204,0)),HourlyRate),2)))</f>
        <v>0</v>
      </c>
      <c r="Z620" s="39">
        <f>IF(F620="","",IF(U620=0,"Add - no hours recorded",IF(O620="Absent - no show","Action - no show",IF(U620&gt;10,"Check - over ten hours in a day",IF(Q620&lt;&gt;"Yes","Due - needs approving",IF(R620&lt;&gt;"Yes","Due - not paid yet","OK"))))))</f>
        <v>0</v>
      </c>
    </row>
    <row r="621" spans="1:26">
      <c r="A621" s="43">
        <f>IF(F621="","","TS-"&amp;TEXT(ROW()-4,"0000"))</f>
        <v>0</v>
      </c>
      <c r="C621" s="23">
        <f>IF(B621="","",TEXT(B621,"ddd"))</f>
        <v>0</v>
      </c>
      <c r="D621" s="31">
        <f>IF(B621="","",WEEKNUM(B621,IF(WeekStart="Sunday",1,2)))</f>
        <v>0</v>
      </c>
      <c r="E621" s="23">
        <f>IF(B621="","",TEXT(B621,"yyyy-mm"))</f>
        <v>0</v>
      </c>
      <c r="H621" s="23">
        <f>IF(G621="","",IFERROR(INDEX(Jobs!$H$5:$H$604,MATCH(G621,Jobs!$A$5:$A$604,0)),""))</f>
        <v>0</v>
      </c>
      <c r="T621" s="34">
        <f>IF(OR(J621="",K621=""),"",ROUND((K621-J621)*24-IF(L621="",0,L621)/60,2))</f>
        <v>0</v>
      </c>
      <c r="U621" s="34">
        <f>IF(F621="","",IF(M621&lt;&gt;"",M621,IF(T621="",0,T621)))</f>
        <v>0</v>
      </c>
      <c r="V621" s="21">
        <f>IF(F621="","",IFERROR(INDEX(Employees!$U$5:$U$44,MATCH(F621,Employees!$B$5:$B$44,0)),PayRate*(1+EmployerOncost)))</f>
        <v>0</v>
      </c>
      <c r="W621" s="34">
        <f>IF(F621="","",MAX(0,U621-IF(N621="",0,N621)))</f>
        <v>0</v>
      </c>
      <c r="X621" s="21">
        <f>IF(F621="","",ROUND(W621*V621+IF(N621="",0,N621)*V621*OvertimeRate,2))</f>
        <v>0</v>
      </c>
      <c r="Y621" s="21">
        <f>IF(F621="","",IF(P621&lt;&gt;"Yes",0,ROUND(U621*IF(IFERROR(INDEX(Clients!$O$5:$O$204,MATCH(IFERROR(INDEX(Jobs!$G$5:$G$604,MATCH(G621,Jobs!$A$5:$A$604,0)),""),Clients!$A$5:$A$204,0)),0)&gt;0,INDEX(Clients!$O$5:$O$204,MATCH(INDEX(Jobs!$G$5:$G$604,MATCH(G621,Jobs!$A$5:$A$604,0)),Clients!$A$5:$A$204,0)),HourlyRate),2)))</f>
        <v>0</v>
      </c>
      <c r="Z621" s="39">
        <f>IF(F621="","",IF(U621=0,"Add - no hours recorded",IF(O621="Absent - no show","Action - no show",IF(U621&gt;10,"Check - over ten hours in a day",IF(Q621&lt;&gt;"Yes","Due - needs approving",IF(R621&lt;&gt;"Yes","Due - not paid yet","OK"))))))</f>
        <v>0</v>
      </c>
    </row>
    <row r="622" spans="1:26">
      <c r="A622" s="43">
        <f>IF(F622="","","TS-"&amp;TEXT(ROW()-4,"0000"))</f>
        <v>0</v>
      </c>
      <c r="C622" s="23">
        <f>IF(B622="","",TEXT(B622,"ddd"))</f>
        <v>0</v>
      </c>
      <c r="D622" s="31">
        <f>IF(B622="","",WEEKNUM(B622,IF(WeekStart="Sunday",1,2)))</f>
        <v>0</v>
      </c>
      <c r="E622" s="23">
        <f>IF(B622="","",TEXT(B622,"yyyy-mm"))</f>
        <v>0</v>
      </c>
      <c r="H622" s="23">
        <f>IF(G622="","",IFERROR(INDEX(Jobs!$H$5:$H$604,MATCH(G622,Jobs!$A$5:$A$604,0)),""))</f>
        <v>0</v>
      </c>
      <c r="T622" s="34">
        <f>IF(OR(J622="",K622=""),"",ROUND((K622-J622)*24-IF(L622="",0,L622)/60,2))</f>
        <v>0</v>
      </c>
      <c r="U622" s="34">
        <f>IF(F622="","",IF(M622&lt;&gt;"",M622,IF(T622="",0,T622)))</f>
        <v>0</v>
      </c>
      <c r="V622" s="21">
        <f>IF(F622="","",IFERROR(INDEX(Employees!$U$5:$U$44,MATCH(F622,Employees!$B$5:$B$44,0)),PayRate*(1+EmployerOncost)))</f>
        <v>0</v>
      </c>
      <c r="W622" s="34">
        <f>IF(F622="","",MAX(0,U622-IF(N622="",0,N622)))</f>
        <v>0</v>
      </c>
      <c r="X622" s="21">
        <f>IF(F622="","",ROUND(W622*V622+IF(N622="",0,N622)*V622*OvertimeRate,2))</f>
        <v>0</v>
      </c>
      <c r="Y622" s="21">
        <f>IF(F622="","",IF(P622&lt;&gt;"Yes",0,ROUND(U622*IF(IFERROR(INDEX(Clients!$O$5:$O$204,MATCH(IFERROR(INDEX(Jobs!$G$5:$G$604,MATCH(G622,Jobs!$A$5:$A$604,0)),""),Clients!$A$5:$A$204,0)),0)&gt;0,INDEX(Clients!$O$5:$O$204,MATCH(INDEX(Jobs!$G$5:$G$604,MATCH(G622,Jobs!$A$5:$A$604,0)),Clients!$A$5:$A$204,0)),HourlyRate),2)))</f>
        <v>0</v>
      </c>
      <c r="Z622" s="39">
        <f>IF(F622="","",IF(U622=0,"Add - no hours recorded",IF(O622="Absent - no show","Action - no show",IF(U622&gt;10,"Check - over ten hours in a day",IF(Q622&lt;&gt;"Yes","Due - needs approving",IF(R622&lt;&gt;"Yes","Due - not paid yet","OK"))))))</f>
        <v>0</v>
      </c>
    </row>
    <row r="623" spans="1:26">
      <c r="A623" s="43">
        <f>IF(F623="","","TS-"&amp;TEXT(ROW()-4,"0000"))</f>
        <v>0</v>
      </c>
      <c r="C623" s="23">
        <f>IF(B623="","",TEXT(B623,"ddd"))</f>
        <v>0</v>
      </c>
      <c r="D623" s="31">
        <f>IF(B623="","",WEEKNUM(B623,IF(WeekStart="Sunday",1,2)))</f>
        <v>0</v>
      </c>
      <c r="E623" s="23">
        <f>IF(B623="","",TEXT(B623,"yyyy-mm"))</f>
        <v>0</v>
      </c>
      <c r="H623" s="23">
        <f>IF(G623="","",IFERROR(INDEX(Jobs!$H$5:$H$604,MATCH(G623,Jobs!$A$5:$A$604,0)),""))</f>
        <v>0</v>
      </c>
      <c r="T623" s="34">
        <f>IF(OR(J623="",K623=""),"",ROUND((K623-J623)*24-IF(L623="",0,L623)/60,2))</f>
        <v>0</v>
      </c>
      <c r="U623" s="34">
        <f>IF(F623="","",IF(M623&lt;&gt;"",M623,IF(T623="",0,T623)))</f>
        <v>0</v>
      </c>
      <c r="V623" s="21">
        <f>IF(F623="","",IFERROR(INDEX(Employees!$U$5:$U$44,MATCH(F623,Employees!$B$5:$B$44,0)),PayRate*(1+EmployerOncost)))</f>
        <v>0</v>
      </c>
      <c r="W623" s="34">
        <f>IF(F623="","",MAX(0,U623-IF(N623="",0,N623)))</f>
        <v>0</v>
      </c>
      <c r="X623" s="21">
        <f>IF(F623="","",ROUND(W623*V623+IF(N623="",0,N623)*V623*OvertimeRate,2))</f>
        <v>0</v>
      </c>
      <c r="Y623" s="21">
        <f>IF(F623="","",IF(P623&lt;&gt;"Yes",0,ROUND(U623*IF(IFERROR(INDEX(Clients!$O$5:$O$204,MATCH(IFERROR(INDEX(Jobs!$G$5:$G$604,MATCH(G623,Jobs!$A$5:$A$604,0)),""),Clients!$A$5:$A$204,0)),0)&gt;0,INDEX(Clients!$O$5:$O$204,MATCH(INDEX(Jobs!$G$5:$G$604,MATCH(G623,Jobs!$A$5:$A$604,0)),Clients!$A$5:$A$204,0)),HourlyRate),2)))</f>
        <v>0</v>
      </c>
      <c r="Z623" s="39">
        <f>IF(F623="","",IF(U623=0,"Add - no hours recorded",IF(O623="Absent - no show","Action - no show",IF(U623&gt;10,"Check - over ten hours in a day",IF(Q623&lt;&gt;"Yes","Due - needs approving",IF(R623&lt;&gt;"Yes","Due - not paid yet","OK"))))))</f>
        <v>0</v>
      </c>
    </row>
    <row r="624" spans="1:26">
      <c r="A624" s="43">
        <f>IF(F624="","","TS-"&amp;TEXT(ROW()-4,"0000"))</f>
        <v>0</v>
      </c>
      <c r="C624" s="23">
        <f>IF(B624="","",TEXT(B624,"ddd"))</f>
        <v>0</v>
      </c>
      <c r="D624" s="31">
        <f>IF(B624="","",WEEKNUM(B624,IF(WeekStart="Sunday",1,2)))</f>
        <v>0</v>
      </c>
      <c r="E624" s="23">
        <f>IF(B624="","",TEXT(B624,"yyyy-mm"))</f>
        <v>0</v>
      </c>
      <c r="H624" s="23">
        <f>IF(G624="","",IFERROR(INDEX(Jobs!$H$5:$H$604,MATCH(G624,Jobs!$A$5:$A$604,0)),""))</f>
        <v>0</v>
      </c>
      <c r="T624" s="34">
        <f>IF(OR(J624="",K624=""),"",ROUND((K624-J624)*24-IF(L624="",0,L624)/60,2))</f>
        <v>0</v>
      </c>
      <c r="U624" s="34">
        <f>IF(F624="","",IF(M624&lt;&gt;"",M624,IF(T624="",0,T624)))</f>
        <v>0</v>
      </c>
      <c r="V624" s="21">
        <f>IF(F624="","",IFERROR(INDEX(Employees!$U$5:$U$44,MATCH(F624,Employees!$B$5:$B$44,0)),PayRate*(1+EmployerOncost)))</f>
        <v>0</v>
      </c>
      <c r="W624" s="34">
        <f>IF(F624="","",MAX(0,U624-IF(N624="",0,N624)))</f>
        <v>0</v>
      </c>
      <c r="X624" s="21">
        <f>IF(F624="","",ROUND(W624*V624+IF(N624="",0,N624)*V624*OvertimeRate,2))</f>
        <v>0</v>
      </c>
      <c r="Y624" s="21">
        <f>IF(F624="","",IF(P624&lt;&gt;"Yes",0,ROUND(U624*IF(IFERROR(INDEX(Clients!$O$5:$O$204,MATCH(IFERROR(INDEX(Jobs!$G$5:$G$604,MATCH(G624,Jobs!$A$5:$A$604,0)),""),Clients!$A$5:$A$204,0)),0)&gt;0,INDEX(Clients!$O$5:$O$204,MATCH(INDEX(Jobs!$G$5:$G$604,MATCH(G624,Jobs!$A$5:$A$604,0)),Clients!$A$5:$A$204,0)),HourlyRate),2)))</f>
        <v>0</v>
      </c>
      <c r="Z624" s="39">
        <f>IF(F624="","",IF(U624=0,"Add - no hours recorded",IF(O624="Absent - no show","Action - no show",IF(U624&gt;10,"Check - over ten hours in a day",IF(Q624&lt;&gt;"Yes","Due - needs approving",IF(R624&lt;&gt;"Yes","Due - not paid yet","OK"))))))</f>
        <v>0</v>
      </c>
    </row>
    <row r="625" spans="1:26">
      <c r="A625" s="43">
        <f>IF(F625="","","TS-"&amp;TEXT(ROW()-4,"0000"))</f>
        <v>0</v>
      </c>
      <c r="C625" s="23">
        <f>IF(B625="","",TEXT(B625,"ddd"))</f>
        <v>0</v>
      </c>
      <c r="D625" s="31">
        <f>IF(B625="","",WEEKNUM(B625,IF(WeekStart="Sunday",1,2)))</f>
        <v>0</v>
      </c>
      <c r="E625" s="23">
        <f>IF(B625="","",TEXT(B625,"yyyy-mm"))</f>
        <v>0</v>
      </c>
      <c r="H625" s="23">
        <f>IF(G625="","",IFERROR(INDEX(Jobs!$H$5:$H$604,MATCH(G625,Jobs!$A$5:$A$604,0)),""))</f>
        <v>0</v>
      </c>
      <c r="T625" s="34">
        <f>IF(OR(J625="",K625=""),"",ROUND((K625-J625)*24-IF(L625="",0,L625)/60,2))</f>
        <v>0</v>
      </c>
      <c r="U625" s="34">
        <f>IF(F625="","",IF(M625&lt;&gt;"",M625,IF(T625="",0,T625)))</f>
        <v>0</v>
      </c>
      <c r="V625" s="21">
        <f>IF(F625="","",IFERROR(INDEX(Employees!$U$5:$U$44,MATCH(F625,Employees!$B$5:$B$44,0)),PayRate*(1+EmployerOncost)))</f>
        <v>0</v>
      </c>
      <c r="W625" s="34">
        <f>IF(F625="","",MAX(0,U625-IF(N625="",0,N625)))</f>
        <v>0</v>
      </c>
      <c r="X625" s="21">
        <f>IF(F625="","",ROUND(W625*V625+IF(N625="",0,N625)*V625*OvertimeRate,2))</f>
        <v>0</v>
      </c>
      <c r="Y625" s="21">
        <f>IF(F625="","",IF(P625&lt;&gt;"Yes",0,ROUND(U625*IF(IFERROR(INDEX(Clients!$O$5:$O$204,MATCH(IFERROR(INDEX(Jobs!$G$5:$G$604,MATCH(G625,Jobs!$A$5:$A$604,0)),""),Clients!$A$5:$A$204,0)),0)&gt;0,INDEX(Clients!$O$5:$O$204,MATCH(INDEX(Jobs!$G$5:$G$604,MATCH(G625,Jobs!$A$5:$A$604,0)),Clients!$A$5:$A$204,0)),HourlyRate),2)))</f>
        <v>0</v>
      </c>
      <c r="Z625" s="39">
        <f>IF(F625="","",IF(U625=0,"Add - no hours recorded",IF(O625="Absent - no show","Action - no show",IF(U625&gt;10,"Check - over ten hours in a day",IF(Q625&lt;&gt;"Yes","Due - needs approving",IF(R625&lt;&gt;"Yes","Due - not paid yet","OK"))))))</f>
        <v>0</v>
      </c>
    </row>
    <row r="626" spans="1:26">
      <c r="A626" s="43">
        <f>IF(F626="","","TS-"&amp;TEXT(ROW()-4,"0000"))</f>
        <v>0</v>
      </c>
      <c r="C626" s="23">
        <f>IF(B626="","",TEXT(B626,"ddd"))</f>
        <v>0</v>
      </c>
      <c r="D626" s="31">
        <f>IF(B626="","",WEEKNUM(B626,IF(WeekStart="Sunday",1,2)))</f>
        <v>0</v>
      </c>
      <c r="E626" s="23">
        <f>IF(B626="","",TEXT(B626,"yyyy-mm"))</f>
        <v>0</v>
      </c>
      <c r="H626" s="23">
        <f>IF(G626="","",IFERROR(INDEX(Jobs!$H$5:$H$604,MATCH(G626,Jobs!$A$5:$A$604,0)),""))</f>
        <v>0</v>
      </c>
      <c r="T626" s="34">
        <f>IF(OR(J626="",K626=""),"",ROUND((K626-J626)*24-IF(L626="",0,L626)/60,2))</f>
        <v>0</v>
      </c>
      <c r="U626" s="34">
        <f>IF(F626="","",IF(M626&lt;&gt;"",M626,IF(T626="",0,T626)))</f>
        <v>0</v>
      </c>
      <c r="V626" s="21">
        <f>IF(F626="","",IFERROR(INDEX(Employees!$U$5:$U$44,MATCH(F626,Employees!$B$5:$B$44,0)),PayRate*(1+EmployerOncost)))</f>
        <v>0</v>
      </c>
      <c r="W626" s="34">
        <f>IF(F626="","",MAX(0,U626-IF(N626="",0,N626)))</f>
        <v>0</v>
      </c>
      <c r="X626" s="21">
        <f>IF(F626="","",ROUND(W626*V626+IF(N626="",0,N626)*V626*OvertimeRate,2))</f>
        <v>0</v>
      </c>
      <c r="Y626" s="21">
        <f>IF(F626="","",IF(P626&lt;&gt;"Yes",0,ROUND(U626*IF(IFERROR(INDEX(Clients!$O$5:$O$204,MATCH(IFERROR(INDEX(Jobs!$G$5:$G$604,MATCH(G626,Jobs!$A$5:$A$604,0)),""),Clients!$A$5:$A$204,0)),0)&gt;0,INDEX(Clients!$O$5:$O$204,MATCH(INDEX(Jobs!$G$5:$G$604,MATCH(G626,Jobs!$A$5:$A$604,0)),Clients!$A$5:$A$204,0)),HourlyRate),2)))</f>
        <v>0</v>
      </c>
      <c r="Z626" s="39">
        <f>IF(F626="","",IF(U626=0,"Add - no hours recorded",IF(O626="Absent - no show","Action - no show",IF(U626&gt;10,"Check - over ten hours in a day",IF(Q626&lt;&gt;"Yes","Due - needs approving",IF(R626&lt;&gt;"Yes","Due - not paid yet","OK"))))))</f>
        <v>0</v>
      </c>
    </row>
    <row r="627" spans="1:26">
      <c r="A627" s="43">
        <f>IF(F627="","","TS-"&amp;TEXT(ROW()-4,"0000"))</f>
        <v>0</v>
      </c>
      <c r="C627" s="23">
        <f>IF(B627="","",TEXT(B627,"ddd"))</f>
        <v>0</v>
      </c>
      <c r="D627" s="31">
        <f>IF(B627="","",WEEKNUM(B627,IF(WeekStart="Sunday",1,2)))</f>
        <v>0</v>
      </c>
      <c r="E627" s="23">
        <f>IF(B627="","",TEXT(B627,"yyyy-mm"))</f>
        <v>0</v>
      </c>
      <c r="H627" s="23">
        <f>IF(G627="","",IFERROR(INDEX(Jobs!$H$5:$H$604,MATCH(G627,Jobs!$A$5:$A$604,0)),""))</f>
        <v>0</v>
      </c>
      <c r="T627" s="34">
        <f>IF(OR(J627="",K627=""),"",ROUND((K627-J627)*24-IF(L627="",0,L627)/60,2))</f>
        <v>0</v>
      </c>
      <c r="U627" s="34">
        <f>IF(F627="","",IF(M627&lt;&gt;"",M627,IF(T627="",0,T627)))</f>
        <v>0</v>
      </c>
      <c r="V627" s="21">
        <f>IF(F627="","",IFERROR(INDEX(Employees!$U$5:$U$44,MATCH(F627,Employees!$B$5:$B$44,0)),PayRate*(1+EmployerOncost)))</f>
        <v>0</v>
      </c>
      <c r="W627" s="34">
        <f>IF(F627="","",MAX(0,U627-IF(N627="",0,N627)))</f>
        <v>0</v>
      </c>
      <c r="X627" s="21">
        <f>IF(F627="","",ROUND(W627*V627+IF(N627="",0,N627)*V627*OvertimeRate,2))</f>
        <v>0</v>
      </c>
      <c r="Y627" s="21">
        <f>IF(F627="","",IF(P627&lt;&gt;"Yes",0,ROUND(U627*IF(IFERROR(INDEX(Clients!$O$5:$O$204,MATCH(IFERROR(INDEX(Jobs!$G$5:$G$604,MATCH(G627,Jobs!$A$5:$A$604,0)),""),Clients!$A$5:$A$204,0)),0)&gt;0,INDEX(Clients!$O$5:$O$204,MATCH(INDEX(Jobs!$G$5:$G$604,MATCH(G627,Jobs!$A$5:$A$604,0)),Clients!$A$5:$A$204,0)),HourlyRate),2)))</f>
        <v>0</v>
      </c>
      <c r="Z627" s="39">
        <f>IF(F627="","",IF(U627=0,"Add - no hours recorded",IF(O627="Absent - no show","Action - no show",IF(U627&gt;10,"Check - over ten hours in a day",IF(Q627&lt;&gt;"Yes","Due - needs approving",IF(R627&lt;&gt;"Yes","Due - not paid yet","OK"))))))</f>
        <v>0</v>
      </c>
    </row>
    <row r="628" spans="1:26">
      <c r="A628" s="43">
        <f>IF(F628="","","TS-"&amp;TEXT(ROW()-4,"0000"))</f>
        <v>0</v>
      </c>
      <c r="C628" s="23">
        <f>IF(B628="","",TEXT(B628,"ddd"))</f>
        <v>0</v>
      </c>
      <c r="D628" s="31">
        <f>IF(B628="","",WEEKNUM(B628,IF(WeekStart="Sunday",1,2)))</f>
        <v>0</v>
      </c>
      <c r="E628" s="23">
        <f>IF(B628="","",TEXT(B628,"yyyy-mm"))</f>
        <v>0</v>
      </c>
      <c r="H628" s="23">
        <f>IF(G628="","",IFERROR(INDEX(Jobs!$H$5:$H$604,MATCH(G628,Jobs!$A$5:$A$604,0)),""))</f>
        <v>0</v>
      </c>
      <c r="T628" s="34">
        <f>IF(OR(J628="",K628=""),"",ROUND((K628-J628)*24-IF(L628="",0,L628)/60,2))</f>
        <v>0</v>
      </c>
      <c r="U628" s="34">
        <f>IF(F628="","",IF(M628&lt;&gt;"",M628,IF(T628="",0,T628)))</f>
        <v>0</v>
      </c>
      <c r="V628" s="21">
        <f>IF(F628="","",IFERROR(INDEX(Employees!$U$5:$U$44,MATCH(F628,Employees!$B$5:$B$44,0)),PayRate*(1+EmployerOncost)))</f>
        <v>0</v>
      </c>
      <c r="W628" s="34">
        <f>IF(F628="","",MAX(0,U628-IF(N628="",0,N628)))</f>
        <v>0</v>
      </c>
      <c r="X628" s="21">
        <f>IF(F628="","",ROUND(W628*V628+IF(N628="",0,N628)*V628*OvertimeRate,2))</f>
        <v>0</v>
      </c>
      <c r="Y628" s="21">
        <f>IF(F628="","",IF(P628&lt;&gt;"Yes",0,ROUND(U628*IF(IFERROR(INDEX(Clients!$O$5:$O$204,MATCH(IFERROR(INDEX(Jobs!$G$5:$G$604,MATCH(G628,Jobs!$A$5:$A$604,0)),""),Clients!$A$5:$A$204,0)),0)&gt;0,INDEX(Clients!$O$5:$O$204,MATCH(INDEX(Jobs!$G$5:$G$604,MATCH(G628,Jobs!$A$5:$A$604,0)),Clients!$A$5:$A$204,0)),HourlyRate),2)))</f>
        <v>0</v>
      </c>
      <c r="Z628" s="39">
        <f>IF(F628="","",IF(U628=0,"Add - no hours recorded",IF(O628="Absent - no show","Action - no show",IF(U628&gt;10,"Check - over ten hours in a day",IF(Q628&lt;&gt;"Yes","Due - needs approving",IF(R628&lt;&gt;"Yes","Due - not paid yet","OK"))))))</f>
        <v>0</v>
      </c>
    </row>
    <row r="629" spans="1:26">
      <c r="A629" s="43">
        <f>IF(F629="","","TS-"&amp;TEXT(ROW()-4,"0000"))</f>
        <v>0</v>
      </c>
      <c r="C629" s="23">
        <f>IF(B629="","",TEXT(B629,"ddd"))</f>
        <v>0</v>
      </c>
      <c r="D629" s="31">
        <f>IF(B629="","",WEEKNUM(B629,IF(WeekStart="Sunday",1,2)))</f>
        <v>0</v>
      </c>
      <c r="E629" s="23">
        <f>IF(B629="","",TEXT(B629,"yyyy-mm"))</f>
        <v>0</v>
      </c>
      <c r="H629" s="23">
        <f>IF(G629="","",IFERROR(INDEX(Jobs!$H$5:$H$604,MATCH(G629,Jobs!$A$5:$A$604,0)),""))</f>
        <v>0</v>
      </c>
      <c r="T629" s="34">
        <f>IF(OR(J629="",K629=""),"",ROUND((K629-J629)*24-IF(L629="",0,L629)/60,2))</f>
        <v>0</v>
      </c>
      <c r="U629" s="34">
        <f>IF(F629="","",IF(M629&lt;&gt;"",M629,IF(T629="",0,T629)))</f>
        <v>0</v>
      </c>
      <c r="V629" s="21">
        <f>IF(F629="","",IFERROR(INDEX(Employees!$U$5:$U$44,MATCH(F629,Employees!$B$5:$B$44,0)),PayRate*(1+EmployerOncost)))</f>
        <v>0</v>
      </c>
      <c r="W629" s="34">
        <f>IF(F629="","",MAX(0,U629-IF(N629="",0,N629)))</f>
        <v>0</v>
      </c>
      <c r="X629" s="21">
        <f>IF(F629="","",ROUND(W629*V629+IF(N629="",0,N629)*V629*OvertimeRate,2))</f>
        <v>0</v>
      </c>
      <c r="Y629" s="21">
        <f>IF(F629="","",IF(P629&lt;&gt;"Yes",0,ROUND(U629*IF(IFERROR(INDEX(Clients!$O$5:$O$204,MATCH(IFERROR(INDEX(Jobs!$G$5:$G$604,MATCH(G629,Jobs!$A$5:$A$604,0)),""),Clients!$A$5:$A$204,0)),0)&gt;0,INDEX(Clients!$O$5:$O$204,MATCH(INDEX(Jobs!$G$5:$G$604,MATCH(G629,Jobs!$A$5:$A$604,0)),Clients!$A$5:$A$204,0)),HourlyRate),2)))</f>
        <v>0</v>
      </c>
      <c r="Z629" s="39">
        <f>IF(F629="","",IF(U629=0,"Add - no hours recorded",IF(O629="Absent - no show","Action - no show",IF(U629&gt;10,"Check - over ten hours in a day",IF(Q629&lt;&gt;"Yes","Due - needs approving",IF(R629&lt;&gt;"Yes","Due - not paid yet","OK"))))))</f>
        <v>0</v>
      </c>
    </row>
    <row r="630" spans="1:26">
      <c r="A630" s="43">
        <f>IF(F630="","","TS-"&amp;TEXT(ROW()-4,"0000"))</f>
        <v>0</v>
      </c>
      <c r="C630" s="23">
        <f>IF(B630="","",TEXT(B630,"ddd"))</f>
        <v>0</v>
      </c>
      <c r="D630" s="31">
        <f>IF(B630="","",WEEKNUM(B630,IF(WeekStart="Sunday",1,2)))</f>
        <v>0</v>
      </c>
      <c r="E630" s="23">
        <f>IF(B630="","",TEXT(B630,"yyyy-mm"))</f>
        <v>0</v>
      </c>
      <c r="H630" s="23">
        <f>IF(G630="","",IFERROR(INDEX(Jobs!$H$5:$H$604,MATCH(G630,Jobs!$A$5:$A$604,0)),""))</f>
        <v>0</v>
      </c>
      <c r="T630" s="34">
        <f>IF(OR(J630="",K630=""),"",ROUND((K630-J630)*24-IF(L630="",0,L630)/60,2))</f>
        <v>0</v>
      </c>
      <c r="U630" s="34">
        <f>IF(F630="","",IF(M630&lt;&gt;"",M630,IF(T630="",0,T630)))</f>
        <v>0</v>
      </c>
      <c r="V630" s="21">
        <f>IF(F630="","",IFERROR(INDEX(Employees!$U$5:$U$44,MATCH(F630,Employees!$B$5:$B$44,0)),PayRate*(1+EmployerOncost)))</f>
        <v>0</v>
      </c>
      <c r="W630" s="34">
        <f>IF(F630="","",MAX(0,U630-IF(N630="",0,N630)))</f>
        <v>0</v>
      </c>
      <c r="X630" s="21">
        <f>IF(F630="","",ROUND(W630*V630+IF(N630="",0,N630)*V630*OvertimeRate,2))</f>
        <v>0</v>
      </c>
      <c r="Y630" s="21">
        <f>IF(F630="","",IF(P630&lt;&gt;"Yes",0,ROUND(U630*IF(IFERROR(INDEX(Clients!$O$5:$O$204,MATCH(IFERROR(INDEX(Jobs!$G$5:$G$604,MATCH(G630,Jobs!$A$5:$A$604,0)),""),Clients!$A$5:$A$204,0)),0)&gt;0,INDEX(Clients!$O$5:$O$204,MATCH(INDEX(Jobs!$G$5:$G$604,MATCH(G630,Jobs!$A$5:$A$604,0)),Clients!$A$5:$A$204,0)),HourlyRate),2)))</f>
        <v>0</v>
      </c>
      <c r="Z630" s="39">
        <f>IF(F630="","",IF(U630=0,"Add - no hours recorded",IF(O630="Absent - no show","Action - no show",IF(U630&gt;10,"Check - over ten hours in a day",IF(Q630&lt;&gt;"Yes","Due - needs approving",IF(R630&lt;&gt;"Yes","Due - not paid yet","OK"))))))</f>
        <v>0</v>
      </c>
    </row>
    <row r="631" spans="1:26">
      <c r="A631" s="43">
        <f>IF(F631="","","TS-"&amp;TEXT(ROW()-4,"0000"))</f>
        <v>0</v>
      </c>
      <c r="C631" s="23">
        <f>IF(B631="","",TEXT(B631,"ddd"))</f>
        <v>0</v>
      </c>
      <c r="D631" s="31">
        <f>IF(B631="","",WEEKNUM(B631,IF(WeekStart="Sunday",1,2)))</f>
        <v>0</v>
      </c>
      <c r="E631" s="23">
        <f>IF(B631="","",TEXT(B631,"yyyy-mm"))</f>
        <v>0</v>
      </c>
      <c r="H631" s="23">
        <f>IF(G631="","",IFERROR(INDEX(Jobs!$H$5:$H$604,MATCH(G631,Jobs!$A$5:$A$604,0)),""))</f>
        <v>0</v>
      </c>
      <c r="T631" s="34">
        <f>IF(OR(J631="",K631=""),"",ROUND((K631-J631)*24-IF(L631="",0,L631)/60,2))</f>
        <v>0</v>
      </c>
      <c r="U631" s="34">
        <f>IF(F631="","",IF(M631&lt;&gt;"",M631,IF(T631="",0,T631)))</f>
        <v>0</v>
      </c>
      <c r="V631" s="21">
        <f>IF(F631="","",IFERROR(INDEX(Employees!$U$5:$U$44,MATCH(F631,Employees!$B$5:$B$44,0)),PayRate*(1+EmployerOncost)))</f>
        <v>0</v>
      </c>
      <c r="W631" s="34">
        <f>IF(F631="","",MAX(0,U631-IF(N631="",0,N631)))</f>
        <v>0</v>
      </c>
      <c r="X631" s="21">
        <f>IF(F631="","",ROUND(W631*V631+IF(N631="",0,N631)*V631*OvertimeRate,2))</f>
        <v>0</v>
      </c>
      <c r="Y631" s="21">
        <f>IF(F631="","",IF(P631&lt;&gt;"Yes",0,ROUND(U631*IF(IFERROR(INDEX(Clients!$O$5:$O$204,MATCH(IFERROR(INDEX(Jobs!$G$5:$G$604,MATCH(G631,Jobs!$A$5:$A$604,0)),""),Clients!$A$5:$A$204,0)),0)&gt;0,INDEX(Clients!$O$5:$O$204,MATCH(INDEX(Jobs!$G$5:$G$604,MATCH(G631,Jobs!$A$5:$A$604,0)),Clients!$A$5:$A$204,0)),HourlyRate),2)))</f>
        <v>0</v>
      </c>
      <c r="Z631" s="39">
        <f>IF(F631="","",IF(U631=0,"Add - no hours recorded",IF(O631="Absent - no show","Action - no show",IF(U631&gt;10,"Check - over ten hours in a day",IF(Q631&lt;&gt;"Yes","Due - needs approving",IF(R631&lt;&gt;"Yes","Due - not paid yet","OK"))))))</f>
        <v>0</v>
      </c>
    </row>
    <row r="632" spans="1:26">
      <c r="A632" s="43">
        <f>IF(F632="","","TS-"&amp;TEXT(ROW()-4,"0000"))</f>
        <v>0</v>
      </c>
      <c r="C632" s="23">
        <f>IF(B632="","",TEXT(B632,"ddd"))</f>
        <v>0</v>
      </c>
      <c r="D632" s="31">
        <f>IF(B632="","",WEEKNUM(B632,IF(WeekStart="Sunday",1,2)))</f>
        <v>0</v>
      </c>
      <c r="E632" s="23">
        <f>IF(B632="","",TEXT(B632,"yyyy-mm"))</f>
        <v>0</v>
      </c>
      <c r="H632" s="23">
        <f>IF(G632="","",IFERROR(INDEX(Jobs!$H$5:$H$604,MATCH(G632,Jobs!$A$5:$A$604,0)),""))</f>
        <v>0</v>
      </c>
      <c r="T632" s="34">
        <f>IF(OR(J632="",K632=""),"",ROUND((K632-J632)*24-IF(L632="",0,L632)/60,2))</f>
        <v>0</v>
      </c>
      <c r="U632" s="34">
        <f>IF(F632="","",IF(M632&lt;&gt;"",M632,IF(T632="",0,T632)))</f>
        <v>0</v>
      </c>
      <c r="V632" s="21">
        <f>IF(F632="","",IFERROR(INDEX(Employees!$U$5:$U$44,MATCH(F632,Employees!$B$5:$B$44,0)),PayRate*(1+EmployerOncost)))</f>
        <v>0</v>
      </c>
      <c r="W632" s="34">
        <f>IF(F632="","",MAX(0,U632-IF(N632="",0,N632)))</f>
        <v>0</v>
      </c>
      <c r="X632" s="21">
        <f>IF(F632="","",ROUND(W632*V632+IF(N632="",0,N632)*V632*OvertimeRate,2))</f>
        <v>0</v>
      </c>
      <c r="Y632" s="21">
        <f>IF(F632="","",IF(P632&lt;&gt;"Yes",0,ROUND(U632*IF(IFERROR(INDEX(Clients!$O$5:$O$204,MATCH(IFERROR(INDEX(Jobs!$G$5:$G$604,MATCH(G632,Jobs!$A$5:$A$604,0)),""),Clients!$A$5:$A$204,0)),0)&gt;0,INDEX(Clients!$O$5:$O$204,MATCH(INDEX(Jobs!$G$5:$G$604,MATCH(G632,Jobs!$A$5:$A$604,0)),Clients!$A$5:$A$204,0)),HourlyRate),2)))</f>
        <v>0</v>
      </c>
      <c r="Z632" s="39">
        <f>IF(F632="","",IF(U632=0,"Add - no hours recorded",IF(O632="Absent - no show","Action - no show",IF(U632&gt;10,"Check - over ten hours in a day",IF(Q632&lt;&gt;"Yes","Due - needs approving",IF(R632&lt;&gt;"Yes","Due - not paid yet","OK"))))))</f>
        <v>0</v>
      </c>
    </row>
    <row r="633" spans="1:26">
      <c r="A633" s="43">
        <f>IF(F633="","","TS-"&amp;TEXT(ROW()-4,"0000"))</f>
        <v>0</v>
      </c>
      <c r="C633" s="23">
        <f>IF(B633="","",TEXT(B633,"ddd"))</f>
        <v>0</v>
      </c>
      <c r="D633" s="31">
        <f>IF(B633="","",WEEKNUM(B633,IF(WeekStart="Sunday",1,2)))</f>
        <v>0</v>
      </c>
      <c r="E633" s="23">
        <f>IF(B633="","",TEXT(B633,"yyyy-mm"))</f>
        <v>0</v>
      </c>
      <c r="H633" s="23">
        <f>IF(G633="","",IFERROR(INDEX(Jobs!$H$5:$H$604,MATCH(G633,Jobs!$A$5:$A$604,0)),""))</f>
        <v>0</v>
      </c>
      <c r="T633" s="34">
        <f>IF(OR(J633="",K633=""),"",ROUND((K633-J633)*24-IF(L633="",0,L633)/60,2))</f>
        <v>0</v>
      </c>
      <c r="U633" s="34">
        <f>IF(F633="","",IF(M633&lt;&gt;"",M633,IF(T633="",0,T633)))</f>
        <v>0</v>
      </c>
      <c r="V633" s="21">
        <f>IF(F633="","",IFERROR(INDEX(Employees!$U$5:$U$44,MATCH(F633,Employees!$B$5:$B$44,0)),PayRate*(1+EmployerOncost)))</f>
        <v>0</v>
      </c>
      <c r="W633" s="34">
        <f>IF(F633="","",MAX(0,U633-IF(N633="",0,N633)))</f>
        <v>0</v>
      </c>
      <c r="X633" s="21">
        <f>IF(F633="","",ROUND(W633*V633+IF(N633="",0,N633)*V633*OvertimeRate,2))</f>
        <v>0</v>
      </c>
      <c r="Y633" s="21">
        <f>IF(F633="","",IF(P633&lt;&gt;"Yes",0,ROUND(U633*IF(IFERROR(INDEX(Clients!$O$5:$O$204,MATCH(IFERROR(INDEX(Jobs!$G$5:$G$604,MATCH(G633,Jobs!$A$5:$A$604,0)),""),Clients!$A$5:$A$204,0)),0)&gt;0,INDEX(Clients!$O$5:$O$204,MATCH(INDEX(Jobs!$G$5:$G$604,MATCH(G633,Jobs!$A$5:$A$604,0)),Clients!$A$5:$A$204,0)),HourlyRate),2)))</f>
        <v>0</v>
      </c>
      <c r="Z633" s="39">
        <f>IF(F633="","",IF(U633=0,"Add - no hours recorded",IF(O633="Absent - no show","Action - no show",IF(U633&gt;10,"Check - over ten hours in a day",IF(Q633&lt;&gt;"Yes","Due - needs approving",IF(R633&lt;&gt;"Yes","Due - not paid yet","OK"))))))</f>
        <v>0</v>
      </c>
    </row>
    <row r="634" spans="1:26">
      <c r="A634" s="43">
        <f>IF(F634="","","TS-"&amp;TEXT(ROW()-4,"0000"))</f>
        <v>0</v>
      </c>
      <c r="C634" s="23">
        <f>IF(B634="","",TEXT(B634,"ddd"))</f>
        <v>0</v>
      </c>
      <c r="D634" s="31">
        <f>IF(B634="","",WEEKNUM(B634,IF(WeekStart="Sunday",1,2)))</f>
        <v>0</v>
      </c>
      <c r="E634" s="23">
        <f>IF(B634="","",TEXT(B634,"yyyy-mm"))</f>
        <v>0</v>
      </c>
      <c r="H634" s="23">
        <f>IF(G634="","",IFERROR(INDEX(Jobs!$H$5:$H$604,MATCH(G634,Jobs!$A$5:$A$604,0)),""))</f>
        <v>0</v>
      </c>
      <c r="T634" s="34">
        <f>IF(OR(J634="",K634=""),"",ROUND((K634-J634)*24-IF(L634="",0,L634)/60,2))</f>
        <v>0</v>
      </c>
      <c r="U634" s="34">
        <f>IF(F634="","",IF(M634&lt;&gt;"",M634,IF(T634="",0,T634)))</f>
        <v>0</v>
      </c>
      <c r="V634" s="21">
        <f>IF(F634="","",IFERROR(INDEX(Employees!$U$5:$U$44,MATCH(F634,Employees!$B$5:$B$44,0)),PayRate*(1+EmployerOncost)))</f>
        <v>0</v>
      </c>
      <c r="W634" s="34">
        <f>IF(F634="","",MAX(0,U634-IF(N634="",0,N634)))</f>
        <v>0</v>
      </c>
      <c r="X634" s="21">
        <f>IF(F634="","",ROUND(W634*V634+IF(N634="",0,N634)*V634*OvertimeRate,2))</f>
        <v>0</v>
      </c>
      <c r="Y634" s="21">
        <f>IF(F634="","",IF(P634&lt;&gt;"Yes",0,ROUND(U634*IF(IFERROR(INDEX(Clients!$O$5:$O$204,MATCH(IFERROR(INDEX(Jobs!$G$5:$G$604,MATCH(G634,Jobs!$A$5:$A$604,0)),""),Clients!$A$5:$A$204,0)),0)&gt;0,INDEX(Clients!$O$5:$O$204,MATCH(INDEX(Jobs!$G$5:$G$604,MATCH(G634,Jobs!$A$5:$A$604,0)),Clients!$A$5:$A$204,0)),HourlyRate),2)))</f>
        <v>0</v>
      </c>
      <c r="Z634" s="39">
        <f>IF(F634="","",IF(U634=0,"Add - no hours recorded",IF(O634="Absent - no show","Action - no show",IF(U634&gt;10,"Check - over ten hours in a day",IF(Q634&lt;&gt;"Yes","Due - needs approving",IF(R634&lt;&gt;"Yes","Due - not paid yet","OK"))))))</f>
        <v>0</v>
      </c>
    </row>
    <row r="635" spans="1:26">
      <c r="A635" s="43">
        <f>IF(F635="","","TS-"&amp;TEXT(ROW()-4,"0000"))</f>
        <v>0</v>
      </c>
      <c r="C635" s="23">
        <f>IF(B635="","",TEXT(B635,"ddd"))</f>
        <v>0</v>
      </c>
      <c r="D635" s="31">
        <f>IF(B635="","",WEEKNUM(B635,IF(WeekStart="Sunday",1,2)))</f>
        <v>0</v>
      </c>
      <c r="E635" s="23">
        <f>IF(B635="","",TEXT(B635,"yyyy-mm"))</f>
        <v>0</v>
      </c>
      <c r="H635" s="23">
        <f>IF(G635="","",IFERROR(INDEX(Jobs!$H$5:$H$604,MATCH(G635,Jobs!$A$5:$A$604,0)),""))</f>
        <v>0</v>
      </c>
      <c r="T635" s="34">
        <f>IF(OR(J635="",K635=""),"",ROUND((K635-J635)*24-IF(L635="",0,L635)/60,2))</f>
        <v>0</v>
      </c>
      <c r="U635" s="34">
        <f>IF(F635="","",IF(M635&lt;&gt;"",M635,IF(T635="",0,T635)))</f>
        <v>0</v>
      </c>
      <c r="V635" s="21">
        <f>IF(F635="","",IFERROR(INDEX(Employees!$U$5:$U$44,MATCH(F635,Employees!$B$5:$B$44,0)),PayRate*(1+EmployerOncost)))</f>
        <v>0</v>
      </c>
      <c r="W635" s="34">
        <f>IF(F635="","",MAX(0,U635-IF(N635="",0,N635)))</f>
        <v>0</v>
      </c>
      <c r="X635" s="21">
        <f>IF(F635="","",ROUND(W635*V635+IF(N635="",0,N635)*V635*OvertimeRate,2))</f>
        <v>0</v>
      </c>
      <c r="Y635" s="21">
        <f>IF(F635="","",IF(P635&lt;&gt;"Yes",0,ROUND(U635*IF(IFERROR(INDEX(Clients!$O$5:$O$204,MATCH(IFERROR(INDEX(Jobs!$G$5:$G$604,MATCH(G635,Jobs!$A$5:$A$604,0)),""),Clients!$A$5:$A$204,0)),0)&gt;0,INDEX(Clients!$O$5:$O$204,MATCH(INDEX(Jobs!$G$5:$G$604,MATCH(G635,Jobs!$A$5:$A$604,0)),Clients!$A$5:$A$204,0)),HourlyRate),2)))</f>
        <v>0</v>
      </c>
      <c r="Z635" s="39">
        <f>IF(F635="","",IF(U635=0,"Add - no hours recorded",IF(O635="Absent - no show","Action - no show",IF(U635&gt;10,"Check - over ten hours in a day",IF(Q635&lt;&gt;"Yes","Due - needs approving",IF(R635&lt;&gt;"Yes","Due - not paid yet","OK"))))))</f>
        <v>0</v>
      </c>
    </row>
    <row r="636" spans="1:26">
      <c r="A636" s="43">
        <f>IF(F636="","","TS-"&amp;TEXT(ROW()-4,"0000"))</f>
        <v>0</v>
      </c>
      <c r="C636" s="23">
        <f>IF(B636="","",TEXT(B636,"ddd"))</f>
        <v>0</v>
      </c>
      <c r="D636" s="31">
        <f>IF(B636="","",WEEKNUM(B636,IF(WeekStart="Sunday",1,2)))</f>
        <v>0</v>
      </c>
      <c r="E636" s="23">
        <f>IF(B636="","",TEXT(B636,"yyyy-mm"))</f>
        <v>0</v>
      </c>
      <c r="H636" s="23">
        <f>IF(G636="","",IFERROR(INDEX(Jobs!$H$5:$H$604,MATCH(G636,Jobs!$A$5:$A$604,0)),""))</f>
        <v>0</v>
      </c>
      <c r="T636" s="34">
        <f>IF(OR(J636="",K636=""),"",ROUND((K636-J636)*24-IF(L636="",0,L636)/60,2))</f>
        <v>0</v>
      </c>
      <c r="U636" s="34">
        <f>IF(F636="","",IF(M636&lt;&gt;"",M636,IF(T636="",0,T636)))</f>
        <v>0</v>
      </c>
      <c r="V636" s="21">
        <f>IF(F636="","",IFERROR(INDEX(Employees!$U$5:$U$44,MATCH(F636,Employees!$B$5:$B$44,0)),PayRate*(1+EmployerOncost)))</f>
        <v>0</v>
      </c>
      <c r="W636" s="34">
        <f>IF(F636="","",MAX(0,U636-IF(N636="",0,N636)))</f>
        <v>0</v>
      </c>
      <c r="X636" s="21">
        <f>IF(F636="","",ROUND(W636*V636+IF(N636="",0,N636)*V636*OvertimeRate,2))</f>
        <v>0</v>
      </c>
      <c r="Y636" s="21">
        <f>IF(F636="","",IF(P636&lt;&gt;"Yes",0,ROUND(U636*IF(IFERROR(INDEX(Clients!$O$5:$O$204,MATCH(IFERROR(INDEX(Jobs!$G$5:$G$604,MATCH(G636,Jobs!$A$5:$A$604,0)),""),Clients!$A$5:$A$204,0)),0)&gt;0,INDEX(Clients!$O$5:$O$204,MATCH(INDEX(Jobs!$G$5:$G$604,MATCH(G636,Jobs!$A$5:$A$604,0)),Clients!$A$5:$A$204,0)),HourlyRate),2)))</f>
        <v>0</v>
      </c>
      <c r="Z636" s="39">
        <f>IF(F636="","",IF(U636=0,"Add - no hours recorded",IF(O636="Absent - no show","Action - no show",IF(U636&gt;10,"Check - over ten hours in a day",IF(Q636&lt;&gt;"Yes","Due - needs approving",IF(R636&lt;&gt;"Yes","Due - not paid yet","OK"))))))</f>
        <v>0</v>
      </c>
    </row>
    <row r="637" spans="1:26">
      <c r="A637" s="43">
        <f>IF(F637="","","TS-"&amp;TEXT(ROW()-4,"0000"))</f>
        <v>0</v>
      </c>
      <c r="C637" s="23">
        <f>IF(B637="","",TEXT(B637,"ddd"))</f>
        <v>0</v>
      </c>
      <c r="D637" s="31">
        <f>IF(B637="","",WEEKNUM(B637,IF(WeekStart="Sunday",1,2)))</f>
        <v>0</v>
      </c>
      <c r="E637" s="23">
        <f>IF(B637="","",TEXT(B637,"yyyy-mm"))</f>
        <v>0</v>
      </c>
      <c r="H637" s="23">
        <f>IF(G637="","",IFERROR(INDEX(Jobs!$H$5:$H$604,MATCH(G637,Jobs!$A$5:$A$604,0)),""))</f>
        <v>0</v>
      </c>
      <c r="T637" s="34">
        <f>IF(OR(J637="",K637=""),"",ROUND((K637-J637)*24-IF(L637="",0,L637)/60,2))</f>
        <v>0</v>
      </c>
      <c r="U637" s="34">
        <f>IF(F637="","",IF(M637&lt;&gt;"",M637,IF(T637="",0,T637)))</f>
        <v>0</v>
      </c>
      <c r="V637" s="21">
        <f>IF(F637="","",IFERROR(INDEX(Employees!$U$5:$U$44,MATCH(F637,Employees!$B$5:$B$44,0)),PayRate*(1+EmployerOncost)))</f>
        <v>0</v>
      </c>
      <c r="W637" s="34">
        <f>IF(F637="","",MAX(0,U637-IF(N637="",0,N637)))</f>
        <v>0</v>
      </c>
      <c r="X637" s="21">
        <f>IF(F637="","",ROUND(W637*V637+IF(N637="",0,N637)*V637*OvertimeRate,2))</f>
        <v>0</v>
      </c>
      <c r="Y637" s="21">
        <f>IF(F637="","",IF(P637&lt;&gt;"Yes",0,ROUND(U637*IF(IFERROR(INDEX(Clients!$O$5:$O$204,MATCH(IFERROR(INDEX(Jobs!$G$5:$G$604,MATCH(G637,Jobs!$A$5:$A$604,0)),""),Clients!$A$5:$A$204,0)),0)&gt;0,INDEX(Clients!$O$5:$O$204,MATCH(INDEX(Jobs!$G$5:$G$604,MATCH(G637,Jobs!$A$5:$A$604,0)),Clients!$A$5:$A$204,0)),HourlyRate),2)))</f>
        <v>0</v>
      </c>
      <c r="Z637" s="39">
        <f>IF(F637="","",IF(U637=0,"Add - no hours recorded",IF(O637="Absent - no show","Action - no show",IF(U637&gt;10,"Check - over ten hours in a day",IF(Q637&lt;&gt;"Yes","Due - needs approving",IF(R637&lt;&gt;"Yes","Due - not paid yet","OK"))))))</f>
        <v>0</v>
      </c>
    </row>
    <row r="638" spans="1:26">
      <c r="A638" s="43">
        <f>IF(F638="","","TS-"&amp;TEXT(ROW()-4,"0000"))</f>
        <v>0</v>
      </c>
      <c r="C638" s="23">
        <f>IF(B638="","",TEXT(B638,"ddd"))</f>
        <v>0</v>
      </c>
      <c r="D638" s="31">
        <f>IF(B638="","",WEEKNUM(B638,IF(WeekStart="Sunday",1,2)))</f>
        <v>0</v>
      </c>
      <c r="E638" s="23">
        <f>IF(B638="","",TEXT(B638,"yyyy-mm"))</f>
        <v>0</v>
      </c>
      <c r="H638" s="23">
        <f>IF(G638="","",IFERROR(INDEX(Jobs!$H$5:$H$604,MATCH(G638,Jobs!$A$5:$A$604,0)),""))</f>
        <v>0</v>
      </c>
      <c r="T638" s="34">
        <f>IF(OR(J638="",K638=""),"",ROUND((K638-J638)*24-IF(L638="",0,L638)/60,2))</f>
        <v>0</v>
      </c>
      <c r="U638" s="34">
        <f>IF(F638="","",IF(M638&lt;&gt;"",M638,IF(T638="",0,T638)))</f>
        <v>0</v>
      </c>
      <c r="V638" s="21">
        <f>IF(F638="","",IFERROR(INDEX(Employees!$U$5:$U$44,MATCH(F638,Employees!$B$5:$B$44,0)),PayRate*(1+EmployerOncost)))</f>
        <v>0</v>
      </c>
      <c r="W638" s="34">
        <f>IF(F638="","",MAX(0,U638-IF(N638="",0,N638)))</f>
        <v>0</v>
      </c>
      <c r="X638" s="21">
        <f>IF(F638="","",ROUND(W638*V638+IF(N638="",0,N638)*V638*OvertimeRate,2))</f>
        <v>0</v>
      </c>
      <c r="Y638" s="21">
        <f>IF(F638="","",IF(P638&lt;&gt;"Yes",0,ROUND(U638*IF(IFERROR(INDEX(Clients!$O$5:$O$204,MATCH(IFERROR(INDEX(Jobs!$G$5:$G$604,MATCH(G638,Jobs!$A$5:$A$604,0)),""),Clients!$A$5:$A$204,0)),0)&gt;0,INDEX(Clients!$O$5:$O$204,MATCH(INDEX(Jobs!$G$5:$G$604,MATCH(G638,Jobs!$A$5:$A$604,0)),Clients!$A$5:$A$204,0)),HourlyRate),2)))</f>
        <v>0</v>
      </c>
      <c r="Z638" s="39">
        <f>IF(F638="","",IF(U638=0,"Add - no hours recorded",IF(O638="Absent - no show","Action - no show",IF(U638&gt;10,"Check - over ten hours in a day",IF(Q638&lt;&gt;"Yes","Due - needs approving",IF(R638&lt;&gt;"Yes","Due - not paid yet","OK"))))))</f>
        <v>0</v>
      </c>
    </row>
    <row r="639" spans="1:26">
      <c r="A639" s="43">
        <f>IF(F639="","","TS-"&amp;TEXT(ROW()-4,"0000"))</f>
        <v>0</v>
      </c>
      <c r="C639" s="23">
        <f>IF(B639="","",TEXT(B639,"ddd"))</f>
        <v>0</v>
      </c>
      <c r="D639" s="31">
        <f>IF(B639="","",WEEKNUM(B639,IF(WeekStart="Sunday",1,2)))</f>
        <v>0</v>
      </c>
      <c r="E639" s="23">
        <f>IF(B639="","",TEXT(B639,"yyyy-mm"))</f>
        <v>0</v>
      </c>
      <c r="H639" s="23">
        <f>IF(G639="","",IFERROR(INDEX(Jobs!$H$5:$H$604,MATCH(G639,Jobs!$A$5:$A$604,0)),""))</f>
        <v>0</v>
      </c>
      <c r="T639" s="34">
        <f>IF(OR(J639="",K639=""),"",ROUND((K639-J639)*24-IF(L639="",0,L639)/60,2))</f>
        <v>0</v>
      </c>
      <c r="U639" s="34">
        <f>IF(F639="","",IF(M639&lt;&gt;"",M639,IF(T639="",0,T639)))</f>
        <v>0</v>
      </c>
      <c r="V639" s="21">
        <f>IF(F639="","",IFERROR(INDEX(Employees!$U$5:$U$44,MATCH(F639,Employees!$B$5:$B$44,0)),PayRate*(1+EmployerOncost)))</f>
        <v>0</v>
      </c>
      <c r="W639" s="34">
        <f>IF(F639="","",MAX(0,U639-IF(N639="",0,N639)))</f>
        <v>0</v>
      </c>
      <c r="X639" s="21">
        <f>IF(F639="","",ROUND(W639*V639+IF(N639="",0,N639)*V639*OvertimeRate,2))</f>
        <v>0</v>
      </c>
      <c r="Y639" s="21">
        <f>IF(F639="","",IF(P639&lt;&gt;"Yes",0,ROUND(U639*IF(IFERROR(INDEX(Clients!$O$5:$O$204,MATCH(IFERROR(INDEX(Jobs!$G$5:$G$604,MATCH(G639,Jobs!$A$5:$A$604,0)),""),Clients!$A$5:$A$204,0)),0)&gt;0,INDEX(Clients!$O$5:$O$204,MATCH(INDEX(Jobs!$G$5:$G$604,MATCH(G639,Jobs!$A$5:$A$604,0)),Clients!$A$5:$A$204,0)),HourlyRate),2)))</f>
        <v>0</v>
      </c>
      <c r="Z639" s="39">
        <f>IF(F639="","",IF(U639=0,"Add - no hours recorded",IF(O639="Absent - no show","Action - no show",IF(U639&gt;10,"Check - over ten hours in a day",IF(Q639&lt;&gt;"Yes","Due - needs approving",IF(R639&lt;&gt;"Yes","Due - not paid yet","OK"))))))</f>
        <v>0</v>
      </c>
    </row>
    <row r="640" spans="1:26">
      <c r="A640" s="43">
        <f>IF(F640="","","TS-"&amp;TEXT(ROW()-4,"0000"))</f>
        <v>0</v>
      </c>
      <c r="C640" s="23">
        <f>IF(B640="","",TEXT(B640,"ddd"))</f>
        <v>0</v>
      </c>
      <c r="D640" s="31">
        <f>IF(B640="","",WEEKNUM(B640,IF(WeekStart="Sunday",1,2)))</f>
        <v>0</v>
      </c>
      <c r="E640" s="23">
        <f>IF(B640="","",TEXT(B640,"yyyy-mm"))</f>
        <v>0</v>
      </c>
      <c r="H640" s="23">
        <f>IF(G640="","",IFERROR(INDEX(Jobs!$H$5:$H$604,MATCH(G640,Jobs!$A$5:$A$604,0)),""))</f>
        <v>0</v>
      </c>
      <c r="T640" s="34">
        <f>IF(OR(J640="",K640=""),"",ROUND((K640-J640)*24-IF(L640="",0,L640)/60,2))</f>
        <v>0</v>
      </c>
      <c r="U640" s="34">
        <f>IF(F640="","",IF(M640&lt;&gt;"",M640,IF(T640="",0,T640)))</f>
        <v>0</v>
      </c>
      <c r="V640" s="21">
        <f>IF(F640="","",IFERROR(INDEX(Employees!$U$5:$U$44,MATCH(F640,Employees!$B$5:$B$44,0)),PayRate*(1+EmployerOncost)))</f>
        <v>0</v>
      </c>
      <c r="W640" s="34">
        <f>IF(F640="","",MAX(0,U640-IF(N640="",0,N640)))</f>
        <v>0</v>
      </c>
      <c r="X640" s="21">
        <f>IF(F640="","",ROUND(W640*V640+IF(N640="",0,N640)*V640*OvertimeRate,2))</f>
        <v>0</v>
      </c>
      <c r="Y640" s="21">
        <f>IF(F640="","",IF(P640&lt;&gt;"Yes",0,ROUND(U640*IF(IFERROR(INDEX(Clients!$O$5:$O$204,MATCH(IFERROR(INDEX(Jobs!$G$5:$G$604,MATCH(G640,Jobs!$A$5:$A$604,0)),""),Clients!$A$5:$A$204,0)),0)&gt;0,INDEX(Clients!$O$5:$O$204,MATCH(INDEX(Jobs!$G$5:$G$604,MATCH(G640,Jobs!$A$5:$A$604,0)),Clients!$A$5:$A$204,0)),HourlyRate),2)))</f>
        <v>0</v>
      </c>
      <c r="Z640" s="39">
        <f>IF(F640="","",IF(U640=0,"Add - no hours recorded",IF(O640="Absent - no show","Action - no show",IF(U640&gt;10,"Check - over ten hours in a day",IF(Q640&lt;&gt;"Yes","Due - needs approving",IF(R640&lt;&gt;"Yes","Due - not paid yet","OK"))))))</f>
        <v>0</v>
      </c>
    </row>
    <row r="641" spans="1:26">
      <c r="A641" s="43">
        <f>IF(F641="","","TS-"&amp;TEXT(ROW()-4,"0000"))</f>
        <v>0</v>
      </c>
      <c r="C641" s="23">
        <f>IF(B641="","",TEXT(B641,"ddd"))</f>
        <v>0</v>
      </c>
      <c r="D641" s="31">
        <f>IF(B641="","",WEEKNUM(B641,IF(WeekStart="Sunday",1,2)))</f>
        <v>0</v>
      </c>
      <c r="E641" s="23">
        <f>IF(B641="","",TEXT(B641,"yyyy-mm"))</f>
        <v>0</v>
      </c>
      <c r="H641" s="23">
        <f>IF(G641="","",IFERROR(INDEX(Jobs!$H$5:$H$604,MATCH(G641,Jobs!$A$5:$A$604,0)),""))</f>
        <v>0</v>
      </c>
      <c r="T641" s="34">
        <f>IF(OR(J641="",K641=""),"",ROUND((K641-J641)*24-IF(L641="",0,L641)/60,2))</f>
        <v>0</v>
      </c>
      <c r="U641" s="34">
        <f>IF(F641="","",IF(M641&lt;&gt;"",M641,IF(T641="",0,T641)))</f>
        <v>0</v>
      </c>
      <c r="V641" s="21">
        <f>IF(F641="","",IFERROR(INDEX(Employees!$U$5:$U$44,MATCH(F641,Employees!$B$5:$B$44,0)),PayRate*(1+EmployerOncost)))</f>
        <v>0</v>
      </c>
      <c r="W641" s="34">
        <f>IF(F641="","",MAX(0,U641-IF(N641="",0,N641)))</f>
        <v>0</v>
      </c>
      <c r="X641" s="21">
        <f>IF(F641="","",ROUND(W641*V641+IF(N641="",0,N641)*V641*OvertimeRate,2))</f>
        <v>0</v>
      </c>
      <c r="Y641" s="21">
        <f>IF(F641="","",IF(P641&lt;&gt;"Yes",0,ROUND(U641*IF(IFERROR(INDEX(Clients!$O$5:$O$204,MATCH(IFERROR(INDEX(Jobs!$G$5:$G$604,MATCH(G641,Jobs!$A$5:$A$604,0)),""),Clients!$A$5:$A$204,0)),0)&gt;0,INDEX(Clients!$O$5:$O$204,MATCH(INDEX(Jobs!$G$5:$G$604,MATCH(G641,Jobs!$A$5:$A$604,0)),Clients!$A$5:$A$204,0)),HourlyRate),2)))</f>
        <v>0</v>
      </c>
      <c r="Z641" s="39">
        <f>IF(F641="","",IF(U641=0,"Add - no hours recorded",IF(O641="Absent - no show","Action - no show",IF(U641&gt;10,"Check - over ten hours in a day",IF(Q641&lt;&gt;"Yes","Due - needs approving",IF(R641&lt;&gt;"Yes","Due - not paid yet","OK"))))))</f>
        <v>0</v>
      </c>
    </row>
    <row r="642" spans="1:26">
      <c r="A642" s="43">
        <f>IF(F642="","","TS-"&amp;TEXT(ROW()-4,"0000"))</f>
        <v>0</v>
      </c>
      <c r="C642" s="23">
        <f>IF(B642="","",TEXT(B642,"ddd"))</f>
        <v>0</v>
      </c>
      <c r="D642" s="31">
        <f>IF(B642="","",WEEKNUM(B642,IF(WeekStart="Sunday",1,2)))</f>
        <v>0</v>
      </c>
      <c r="E642" s="23">
        <f>IF(B642="","",TEXT(B642,"yyyy-mm"))</f>
        <v>0</v>
      </c>
      <c r="H642" s="23">
        <f>IF(G642="","",IFERROR(INDEX(Jobs!$H$5:$H$604,MATCH(G642,Jobs!$A$5:$A$604,0)),""))</f>
        <v>0</v>
      </c>
      <c r="T642" s="34">
        <f>IF(OR(J642="",K642=""),"",ROUND((K642-J642)*24-IF(L642="",0,L642)/60,2))</f>
        <v>0</v>
      </c>
      <c r="U642" s="34">
        <f>IF(F642="","",IF(M642&lt;&gt;"",M642,IF(T642="",0,T642)))</f>
        <v>0</v>
      </c>
      <c r="V642" s="21">
        <f>IF(F642="","",IFERROR(INDEX(Employees!$U$5:$U$44,MATCH(F642,Employees!$B$5:$B$44,0)),PayRate*(1+EmployerOncost)))</f>
        <v>0</v>
      </c>
      <c r="W642" s="34">
        <f>IF(F642="","",MAX(0,U642-IF(N642="",0,N642)))</f>
        <v>0</v>
      </c>
      <c r="X642" s="21">
        <f>IF(F642="","",ROUND(W642*V642+IF(N642="",0,N642)*V642*OvertimeRate,2))</f>
        <v>0</v>
      </c>
      <c r="Y642" s="21">
        <f>IF(F642="","",IF(P642&lt;&gt;"Yes",0,ROUND(U642*IF(IFERROR(INDEX(Clients!$O$5:$O$204,MATCH(IFERROR(INDEX(Jobs!$G$5:$G$604,MATCH(G642,Jobs!$A$5:$A$604,0)),""),Clients!$A$5:$A$204,0)),0)&gt;0,INDEX(Clients!$O$5:$O$204,MATCH(INDEX(Jobs!$G$5:$G$604,MATCH(G642,Jobs!$A$5:$A$604,0)),Clients!$A$5:$A$204,0)),HourlyRate),2)))</f>
        <v>0</v>
      </c>
      <c r="Z642" s="39">
        <f>IF(F642="","",IF(U642=0,"Add - no hours recorded",IF(O642="Absent - no show","Action - no show",IF(U642&gt;10,"Check - over ten hours in a day",IF(Q642&lt;&gt;"Yes","Due - needs approving",IF(R642&lt;&gt;"Yes","Due - not paid yet","OK"))))))</f>
        <v>0</v>
      </c>
    </row>
    <row r="643" spans="1:26">
      <c r="A643" s="43">
        <f>IF(F643="","","TS-"&amp;TEXT(ROW()-4,"0000"))</f>
        <v>0</v>
      </c>
      <c r="C643" s="23">
        <f>IF(B643="","",TEXT(B643,"ddd"))</f>
        <v>0</v>
      </c>
      <c r="D643" s="31">
        <f>IF(B643="","",WEEKNUM(B643,IF(WeekStart="Sunday",1,2)))</f>
        <v>0</v>
      </c>
      <c r="E643" s="23">
        <f>IF(B643="","",TEXT(B643,"yyyy-mm"))</f>
        <v>0</v>
      </c>
      <c r="H643" s="23">
        <f>IF(G643="","",IFERROR(INDEX(Jobs!$H$5:$H$604,MATCH(G643,Jobs!$A$5:$A$604,0)),""))</f>
        <v>0</v>
      </c>
      <c r="T643" s="34">
        <f>IF(OR(J643="",K643=""),"",ROUND((K643-J643)*24-IF(L643="",0,L643)/60,2))</f>
        <v>0</v>
      </c>
      <c r="U643" s="34">
        <f>IF(F643="","",IF(M643&lt;&gt;"",M643,IF(T643="",0,T643)))</f>
        <v>0</v>
      </c>
      <c r="V643" s="21">
        <f>IF(F643="","",IFERROR(INDEX(Employees!$U$5:$U$44,MATCH(F643,Employees!$B$5:$B$44,0)),PayRate*(1+EmployerOncost)))</f>
        <v>0</v>
      </c>
      <c r="W643" s="34">
        <f>IF(F643="","",MAX(0,U643-IF(N643="",0,N643)))</f>
        <v>0</v>
      </c>
      <c r="X643" s="21">
        <f>IF(F643="","",ROUND(W643*V643+IF(N643="",0,N643)*V643*OvertimeRate,2))</f>
        <v>0</v>
      </c>
      <c r="Y643" s="21">
        <f>IF(F643="","",IF(P643&lt;&gt;"Yes",0,ROUND(U643*IF(IFERROR(INDEX(Clients!$O$5:$O$204,MATCH(IFERROR(INDEX(Jobs!$G$5:$G$604,MATCH(G643,Jobs!$A$5:$A$604,0)),""),Clients!$A$5:$A$204,0)),0)&gt;0,INDEX(Clients!$O$5:$O$204,MATCH(INDEX(Jobs!$G$5:$G$604,MATCH(G643,Jobs!$A$5:$A$604,0)),Clients!$A$5:$A$204,0)),HourlyRate),2)))</f>
        <v>0</v>
      </c>
      <c r="Z643" s="39">
        <f>IF(F643="","",IF(U643=0,"Add - no hours recorded",IF(O643="Absent - no show","Action - no show",IF(U643&gt;10,"Check - over ten hours in a day",IF(Q643&lt;&gt;"Yes","Due - needs approving",IF(R643&lt;&gt;"Yes","Due - not paid yet","OK"))))))</f>
        <v>0</v>
      </c>
    </row>
    <row r="644" spans="1:26">
      <c r="A644" s="43">
        <f>IF(F644="","","TS-"&amp;TEXT(ROW()-4,"0000"))</f>
        <v>0</v>
      </c>
      <c r="C644" s="23">
        <f>IF(B644="","",TEXT(B644,"ddd"))</f>
        <v>0</v>
      </c>
      <c r="D644" s="31">
        <f>IF(B644="","",WEEKNUM(B644,IF(WeekStart="Sunday",1,2)))</f>
        <v>0</v>
      </c>
      <c r="E644" s="23">
        <f>IF(B644="","",TEXT(B644,"yyyy-mm"))</f>
        <v>0</v>
      </c>
      <c r="H644" s="23">
        <f>IF(G644="","",IFERROR(INDEX(Jobs!$H$5:$H$604,MATCH(G644,Jobs!$A$5:$A$604,0)),""))</f>
        <v>0</v>
      </c>
      <c r="T644" s="34">
        <f>IF(OR(J644="",K644=""),"",ROUND((K644-J644)*24-IF(L644="",0,L644)/60,2))</f>
        <v>0</v>
      </c>
      <c r="U644" s="34">
        <f>IF(F644="","",IF(M644&lt;&gt;"",M644,IF(T644="",0,T644)))</f>
        <v>0</v>
      </c>
      <c r="V644" s="21">
        <f>IF(F644="","",IFERROR(INDEX(Employees!$U$5:$U$44,MATCH(F644,Employees!$B$5:$B$44,0)),PayRate*(1+EmployerOncost)))</f>
        <v>0</v>
      </c>
      <c r="W644" s="34">
        <f>IF(F644="","",MAX(0,U644-IF(N644="",0,N644)))</f>
        <v>0</v>
      </c>
      <c r="X644" s="21">
        <f>IF(F644="","",ROUND(W644*V644+IF(N644="",0,N644)*V644*OvertimeRate,2))</f>
        <v>0</v>
      </c>
      <c r="Y644" s="21">
        <f>IF(F644="","",IF(P644&lt;&gt;"Yes",0,ROUND(U644*IF(IFERROR(INDEX(Clients!$O$5:$O$204,MATCH(IFERROR(INDEX(Jobs!$G$5:$G$604,MATCH(G644,Jobs!$A$5:$A$604,0)),""),Clients!$A$5:$A$204,0)),0)&gt;0,INDEX(Clients!$O$5:$O$204,MATCH(INDEX(Jobs!$G$5:$G$604,MATCH(G644,Jobs!$A$5:$A$604,0)),Clients!$A$5:$A$204,0)),HourlyRate),2)))</f>
        <v>0</v>
      </c>
      <c r="Z644" s="39">
        <f>IF(F644="","",IF(U644=0,"Add - no hours recorded",IF(O644="Absent - no show","Action - no show",IF(U644&gt;10,"Check - over ten hours in a day",IF(Q644&lt;&gt;"Yes","Due - needs approving",IF(R644&lt;&gt;"Yes","Due - not paid yet","OK"))))))</f>
        <v>0</v>
      </c>
    </row>
    <row r="645" spans="1:26">
      <c r="A645" s="43">
        <f>IF(F645="","","TS-"&amp;TEXT(ROW()-4,"0000"))</f>
        <v>0</v>
      </c>
      <c r="C645" s="23">
        <f>IF(B645="","",TEXT(B645,"ddd"))</f>
        <v>0</v>
      </c>
      <c r="D645" s="31">
        <f>IF(B645="","",WEEKNUM(B645,IF(WeekStart="Sunday",1,2)))</f>
        <v>0</v>
      </c>
      <c r="E645" s="23">
        <f>IF(B645="","",TEXT(B645,"yyyy-mm"))</f>
        <v>0</v>
      </c>
      <c r="H645" s="23">
        <f>IF(G645="","",IFERROR(INDEX(Jobs!$H$5:$H$604,MATCH(G645,Jobs!$A$5:$A$604,0)),""))</f>
        <v>0</v>
      </c>
      <c r="T645" s="34">
        <f>IF(OR(J645="",K645=""),"",ROUND((K645-J645)*24-IF(L645="",0,L645)/60,2))</f>
        <v>0</v>
      </c>
      <c r="U645" s="34">
        <f>IF(F645="","",IF(M645&lt;&gt;"",M645,IF(T645="",0,T645)))</f>
        <v>0</v>
      </c>
      <c r="V645" s="21">
        <f>IF(F645="","",IFERROR(INDEX(Employees!$U$5:$U$44,MATCH(F645,Employees!$B$5:$B$44,0)),PayRate*(1+EmployerOncost)))</f>
        <v>0</v>
      </c>
      <c r="W645" s="34">
        <f>IF(F645="","",MAX(0,U645-IF(N645="",0,N645)))</f>
        <v>0</v>
      </c>
      <c r="X645" s="21">
        <f>IF(F645="","",ROUND(W645*V645+IF(N645="",0,N645)*V645*OvertimeRate,2))</f>
        <v>0</v>
      </c>
      <c r="Y645" s="21">
        <f>IF(F645="","",IF(P645&lt;&gt;"Yes",0,ROUND(U645*IF(IFERROR(INDEX(Clients!$O$5:$O$204,MATCH(IFERROR(INDEX(Jobs!$G$5:$G$604,MATCH(G645,Jobs!$A$5:$A$604,0)),""),Clients!$A$5:$A$204,0)),0)&gt;0,INDEX(Clients!$O$5:$O$204,MATCH(INDEX(Jobs!$G$5:$G$604,MATCH(G645,Jobs!$A$5:$A$604,0)),Clients!$A$5:$A$204,0)),HourlyRate),2)))</f>
        <v>0</v>
      </c>
      <c r="Z645" s="39">
        <f>IF(F645="","",IF(U645=0,"Add - no hours recorded",IF(O645="Absent - no show","Action - no show",IF(U645&gt;10,"Check - over ten hours in a day",IF(Q645&lt;&gt;"Yes","Due - needs approving",IF(R645&lt;&gt;"Yes","Due - not paid yet","OK"))))))</f>
        <v>0</v>
      </c>
    </row>
    <row r="646" spans="1:26">
      <c r="A646" s="43">
        <f>IF(F646="","","TS-"&amp;TEXT(ROW()-4,"0000"))</f>
        <v>0</v>
      </c>
      <c r="C646" s="23">
        <f>IF(B646="","",TEXT(B646,"ddd"))</f>
        <v>0</v>
      </c>
      <c r="D646" s="31">
        <f>IF(B646="","",WEEKNUM(B646,IF(WeekStart="Sunday",1,2)))</f>
        <v>0</v>
      </c>
      <c r="E646" s="23">
        <f>IF(B646="","",TEXT(B646,"yyyy-mm"))</f>
        <v>0</v>
      </c>
      <c r="H646" s="23">
        <f>IF(G646="","",IFERROR(INDEX(Jobs!$H$5:$H$604,MATCH(G646,Jobs!$A$5:$A$604,0)),""))</f>
        <v>0</v>
      </c>
      <c r="T646" s="34">
        <f>IF(OR(J646="",K646=""),"",ROUND((K646-J646)*24-IF(L646="",0,L646)/60,2))</f>
        <v>0</v>
      </c>
      <c r="U646" s="34">
        <f>IF(F646="","",IF(M646&lt;&gt;"",M646,IF(T646="",0,T646)))</f>
        <v>0</v>
      </c>
      <c r="V646" s="21">
        <f>IF(F646="","",IFERROR(INDEX(Employees!$U$5:$U$44,MATCH(F646,Employees!$B$5:$B$44,0)),PayRate*(1+EmployerOncost)))</f>
        <v>0</v>
      </c>
      <c r="W646" s="34">
        <f>IF(F646="","",MAX(0,U646-IF(N646="",0,N646)))</f>
        <v>0</v>
      </c>
      <c r="X646" s="21">
        <f>IF(F646="","",ROUND(W646*V646+IF(N646="",0,N646)*V646*OvertimeRate,2))</f>
        <v>0</v>
      </c>
      <c r="Y646" s="21">
        <f>IF(F646="","",IF(P646&lt;&gt;"Yes",0,ROUND(U646*IF(IFERROR(INDEX(Clients!$O$5:$O$204,MATCH(IFERROR(INDEX(Jobs!$G$5:$G$604,MATCH(G646,Jobs!$A$5:$A$604,0)),""),Clients!$A$5:$A$204,0)),0)&gt;0,INDEX(Clients!$O$5:$O$204,MATCH(INDEX(Jobs!$G$5:$G$604,MATCH(G646,Jobs!$A$5:$A$604,0)),Clients!$A$5:$A$204,0)),HourlyRate),2)))</f>
        <v>0</v>
      </c>
      <c r="Z646" s="39">
        <f>IF(F646="","",IF(U646=0,"Add - no hours recorded",IF(O646="Absent - no show","Action - no show",IF(U646&gt;10,"Check - over ten hours in a day",IF(Q646&lt;&gt;"Yes","Due - needs approving",IF(R646&lt;&gt;"Yes","Due - not paid yet","OK"))))))</f>
        <v>0</v>
      </c>
    </row>
    <row r="647" spans="1:26">
      <c r="A647" s="43">
        <f>IF(F647="","","TS-"&amp;TEXT(ROW()-4,"0000"))</f>
        <v>0</v>
      </c>
      <c r="C647" s="23">
        <f>IF(B647="","",TEXT(B647,"ddd"))</f>
        <v>0</v>
      </c>
      <c r="D647" s="31">
        <f>IF(B647="","",WEEKNUM(B647,IF(WeekStart="Sunday",1,2)))</f>
        <v>0</v>
      </c>
      <c r="E647" s="23">
        <f>IF(B647="","",TEXT(B647,"yyyy-mm"))</f>
        <v>0</v>
      </c>
      <c r="H647" s="23">
        <f>IF(G647="","",IFERROR(INDEX(Jobs!$H$5:$H$604,MATCH(G647,Jobs!$A$5:$A$604,0)),""))</f>
        <v>0</v>
      </c>
      <c r="T647" s="34">
        <f>IF(OR(J647="",K647=""),"",ROUND((K647-J647)*24-IF(L647="",0,L647)/60,2))</f>
        <v>0</v>
      </c>
      <c r="U647" s="34">
        <f>IF(F647="","",IF(M647&lt;&gt;"",M647,IF(T647="",0,T647)))</f>
        <v>0</v>
      </c>
      <c r="V647" s="21">
        <f>IF(F647="","",IFERROR(INDEX(Employees!$U$5:$U$44,MATCH(F647,Employees!$B$5:$B$44,0)),PayRate*(1+EmployerOncost)))</f>
        <v>0</v>
      </c>
      <c r="W647" s="34">
        <f>IF(F647="","",MAX(0,U647-IF(N647="",0,N647)))</f>
        <v>0</v>
      </c>
      <c r="X647" s="21">
        <f>IF(F647="","",ROUND(W647*V647+IF(N647="",0,N647)*V647*OvertimeRate,2))</f>
        <v>0</v>
      </c>
      <c r="Y647" s="21">
        <f>IF(F647="","",IF(P647&lt;&gt;"Yes",0,ROUND(U647*IF(IFERROR(INDEX(Clients!$O$5:$O$204,MATCH(IFERROR(INDEX(Jobs!$G$5:$G$604,MATCH(G647,Jobs!$A$5:$A$604,0)),""),Clients!$A$5:$A$204,0)),0)&gt;0,INDEX(Clients!$O$5:$O$204,MATCH(INDEX(Jobs!$G$5:$G$604,MATCH(G647,Jobs!$A$5:$A$604,0)),Clients!$A$5:$A$204,0)),HourlyRate),2)))</f>
        <v>0</v>
      </c>
      <c r="Z647" s="39">
        <f>IF(F647="","",IF(U647=0,"Add - no hours recorded",IF(O647="Absent - no show","Action - no show",IF(U647&gt;10,"Check - over ten hours in a day",IF(Q647&lt;&gt;"Yes","Due - needs approving",IF(R647&lt;&gt;"Yes","Due - not paid yet","OK"))))))</f>
        <v>0</v>
      </c>
    </row>
    <row r="648" spans="1:26">
      <c r="A648" s="43">
        <f>IF(F648="","","TS-"&amp;TEXT(ROW()-4,"0000"))</f>
        <v>0</v>
      </c>
      <c r="C648" s="23">
        <f>IF(B648="","",TEXT(B648,"ddd"))</f>
        <v>0</v>
      </c>
      <c r="D648" s="31">
        <f>IF(B648="","",WEEKNUM(B648,IF(WeekStart="Sunday",1,2)))</f>
        <v>0</v>
      </c>
      <c r="E648" s="23">
        <f>IF(B648="","",TEXT(B648,"yyyy-mm"))</f>
        <v>0</v>
      </c>
      <c r="H648" s="23">
        <f>IF(G648="","",IFERROR(INDEX(Jobs!$H$5:$H$604,MATCH(G648,Jobs!$A$5:$A$604,0)),""))</f>
        <v>0</v>
      </c>
      <c r="T648" s="34">
        <f>IF(OR(J648="",K648=""),"",ROUND((K648-J648)*24-IF(L648="",0,L648)/60,2))</f>
        <v>0</v>
      </c>
      <c r="U648" s="34">
        <f>IF(F648="","",IF(M648&lt;&gt;"",M648,IF(T648="",0,T648)))</f>
        <v>0</v>
      </c>
      <c r="V648" s="21">
        <f>IF(F648="","",IFERROR(INDEX(Employees!$U$5:$U$44,MATCH(F648,Employees!$B$5:$B$44,0)),PayRate*(1+EmployerOncost)))</f>
        <v>0</v>
      </c>
      <c r="W648" s="34">
        <f>IF(F648="","",MAX(0,U648-IF(N648="",0,N648)))</f>
        <v>0</v>
      </c>
      <c r="X648" s="21">
        <f>IF(F648="","",ROUND(W648*V648+IF(N648="",0,N648)*V648*OvertimeRate,2))</f>
        <v>0</v>
      </c>
      <c r="Y648" s="21">
        <f>IF(F648="","",IF(P648&lt;&gt;"Yes",0,ROUND(U648*IF(IFERROR(INDEX(Clients!$O$5:$O$204,MATCH(IFERROR(INDEX(Jobs!$G$5:$G$604,MATCH(G648,Jobs!$A$5:$A$604,0)),""),Clients!$A$5:$A$204,0)),0)&gt;0,INDEX(Clients!$O$5:$O$204,MATCH(INDEX(Jobs!$G$5:$G$604,MATCH(G648,Jobs!$A$5:$A$604,0)),Clients!$A$5:$A$204,0)),HourlyRate),2)))</f>
        <v>0</v>
      </c>
      <c r="Z648" s="39">
        <f>IF(F648="","",IF(U648=0,"Add - no hours recorded",IF(O648="Absent - no show","Action - no show",IF(U648&gt;10,"Check - over ten hours in a day",IF(Q648&lt;&gt;"Yes","Due - needs approving",IF(R648&lt;&gt;"Yes","Due - not paid yet","OK"))))))</f>
        <v>0</v>
      </c>
    </row>
    <row r="649" spans="1:26">
      <c r="A649" s="43">
        <f>IF(F649="","","TS-"&amp;TEXT(ROW()-4,"0000"))</f>
        <v>0</v>
      </c>
      <c r="C649" s="23">
        <f>IF(B649="","",TEXT(B649,"ddd"))</f>
        <v>0</v>
      </c>
      <c r="D649" s="31">
        <f>IF(B649="","",WEEKNUM(B649,IF(WeekStart="Sunday",1,2)))</f>
        <v>0</v>
      </c>
      <c r="E649" s="23">
        <f>IF(B649="","",TEXT(B649,"yyyy-mm"))</f>
        <v>0</v>
      </c>
      <c r="H649" s="23">
        <f>IF(G649="","",IFERROR(INDEX(Jobs!$H$5:$H$604,MATCH(G649,Jobs!$A$5:$A$604,0)),""))</f>
        <v>0</v>
      </c>
      <c r="T649" s="34">
        <f>IF(OR(J649="",K649=""),"",ROUND((K649-J649)*24-IF(L649="",0,L649)/60,2))</f>
        <v>0</v>
      </c>
      <c r="U649" s="34">
        <f>IF(F649="","",IF(M649&lt;&gt;"",M649,IF(T649="",0,T649)))</f>
        <v>0</v>
      </c>
      <c r="V649" s="21">
        <f>IF(F649="","",IFERROR(INDEX(Employees!$U$5:$U$44,MATCH(F649,Employees!$B$5:$B$44,0)),PayRate*(1+EmployerOncost)))</f>
        <v>0</v>
      </c>
      <c r="W649" s="34">
        <f>IF(F649="","",MAX(0,U649-IF(N649="",0,N649)))</f>
        <v>0</v>
      </c>
      <c r="X649" s="21">
        <f>IF(F649="","",ROUND(W649*V649+IF(N649="",0,N649)*V649*OvertimeRate,2))</f>
        <v>0</v>
      </c>
      <c r="Y649" s="21">
        <f>IF(F649="","",IF(P649&lt;&gt;"Yes",0,ROUND(U649*IF(IFERROR(INDEX(Clients!$O$5:$O$204,MATCH(IFERROR(INDEX(Jobs!$G$5:$G$604,MATCH(G649,Jobs!$A$5:$A$604,0)),""),Clients!$A$5:$A$204,0)),0)&gt;0,INDEX(Clients!$O$5:$O$204,MATCH(INDEX(Jobs!$G$5:$G$604,MATCH(G649,Jobs!$A$5:$A$604,0)),Clients!$A$5:$A$204,0)),HourlyRate),2)))</f>
        <v>0</v>
      </c>
      <c r="Z649" s="39">
        <f>IF(F649="","",IF(U649=0,"Add - no hours recorded",IF(O649="Absent - no show","Action - no show",IF(U649&gt;10,"Check - over ten hours in a day",IF(Q649&lt;&gt;"Yes","Due - needs approving",IF(R649&lt;&gt;"Yes","Due - not paid yet","OK"))))))</f>
        <v>0</v>
      </c>
    </row>
    <row r="650" spans="1:26">
      <c r="A650" s="43">
        <f>IF(F650="","","TS-"&amp;TEXT(ROW()-4,"0000"))</f>
        <v>0</v>
      </c>
      <c r="C650" s="23">
        <f>IF(B650="","",TEXT(B650,"ddd"))</f>
        <v>0</v>
      </c>
      <c r="D650" s="31">
        <f>IF(B650="","",WEEKNUM(B650,IF(WeekStart="Sunday",1,2)))</f>
        <v>0</v>
      </c>
      <c r="E650" s="23">
        <f>IF(B650="","",TEXT(B650,"yyyy-mm"))</f>
        <v>0</v>
      </c>
      <c r="H650" s="23">
        <f>IF(G650="","",IFERROR(INDEX(Jobs!$H$5:$H$604,MATCH(G650,Jobs!$A$5:$A$604,0)),""))</f>
        <v>0</v>
      </c>
      <c r="T650" s="34">
        <f>IF(OR(J650="",K650=""),"",ROUND((K650-J650)*24-IF(L650="",0,L650)/60,2))</f>
        <v>0</v>
      </c>
      <c r="U650" s="34">
        <f>IF(F650="","",IF(M650&lt;&gt;"",M650,IF(T650="",0,T650)))</f>
        <v>0</v>
      </c>
      <c r="V650" s="21">
        <f>IF(F650="","",IFERROR(INDEX(Employees!$U$5:$U$44,MATCH(F650,Employees!$B$5:$B$44,0)),PayRate*(1+EmployerOncost)))</f>
        <v>0</v>
      </c>
      <c r="W650" s="34">
        <f>IF(F650="","",MAX(0,U650-IF(N650="",0,N650)))</f>
        <v>0</v>
      </c>
      <c r="X650" s="21">
        <f>IF(F650="","",ROUND(W650*V650+IF(N650="",0,N650)*V650*OvertimeRate,2))</f>
        <v>0</v>
      </c>
      <c r="Y650" s="21">
        <f>IF(F650="","",IF(P650&lt;&gt;"Yes",0,ROUND(U650*IF(IFERROR(INDEX(Clients!$O$5:$O$204,MATCH(IFERROR(INDEX(Jobs!$G$5:$G$604,MATCH(G650,Jobs!$A$5:$A$604,0)),""),Clients!$A$5:$A$204,0)),0)&gt;0,INDEX(Clients!$O$5:$O$204,MATCH(INDEX(Jobs!$G$5:$G$604,MATCH(G650,Jobs!$A$5:$A$604,0)),Clients!$A$5:$A$204,0)),HourlyRate),2)))</f>
        <v>0</v>
      </c>
      <c r="Z650" s="39">
        <f>IF(F650="","",IF(U650=0,"Add - no hours recorded",IF(O650="Absent - no show","Action - no show",IF(U650&gt;10,"Check - over ten hours in a day",IF(Q650&lt;&gt;"Yes","Due - needs approving",IF(R650&lt;&gt;"Yes","Due - not paid yet","OK"))))))</f>
        <v>0</v>
      </c>
    </row>
    <row r="651" spans="1:26">
      <c r="A651" s="43">
        <f>IF(F651="","","TS-"&amp;TEXT(ROW()-4,"0000"))</f>
        <v>0</v>
      </c>
      <c r="C651" s="23">
        <f>IF(B651="","",TEXT(B651,"ddd"))</f>
        <v>0</v>
      </c>
      <c r="D651" s="31">
        <f>IF(B651="","",WEEKNUM(B651,IF(WeekStart="Sunday",1,2)))</f>
        <v>0</v>
      </c>
      <c r="E651" s="23">
        <f>IF(B651="","",TEXT(B651,"yyyy-mm"))</f>
        <v>0</v>
      </c>
      <c r="H651" s="23">
        <f>IF(G651="","",IFERROR(INDEX(Jobs!$H$5:$H$604,MATCH(G651,Jobs!$A$5:$A$604,0)),""))</f>
        <v>0</v>
      </c>
      <c r="T651" s="34">
        <f>IF(OR(J651="",K651=""),"",ROUND((K651-J651)*24-IF(L651="",0,L651)/60,2))</f>
        <v>0</v>
      </c>
      <c r="U651" s="34">
        <f>IF(F651="","",IF(M651&lt;&gt;"",M651,IF(T651="",0,T651)))</f>
        <v>0</v>
      </c>
      <c r="V651" s="21">
        <f>IF(F651="","",IFERROR(INDEX(Employees!$U$5:$U$44,MATCH(F651,Employees!$B$5:$B$44,0)),PayRate*(1+EmployerOncost)))</f>
        <v>0</v>
      </c>
      <c r="W651" s="34">
        <f>IF(F651="","",MAX(0,U651-IF(N651="",0,N651)))</f>
        <v>0</v>
      </c>
      <c r="X651" s="21">
        <f>IF(F651="","",ROUND(W651*V651+IF(N651="",0,N651)*V651*OvertimeRate,2))</f>
        <v>0</v>
      </c>
      <c r="Y651" s="21">
        <f>IF(F651="","",IF(P651&lt;&gt;"Yes",0,ROUND(U651*IF(IFERROR(INDEX(Clients!$O$5:$O$204,MATCH(IFERROR(INDEX(Jobs!$G$5:$G$604,MATCH(G651,Jobs!$A$5:$A$604,0)),""),Clients!$A$5:$A$204,0)),0)&gt;0,INDEX(Clients!$O$5:$O$204,MATCH(INDEX(Jobs!$G$5:$G$604,MATCH(G651,Jobs!$A$5:$A$604,0)),Clients!$A$5:$A$204,0)),HourlyRate),2)))</f>
        <v>0</v>
      </c>
      <c r="Z651" s="39">
        <f>IF(F651="","",IF(U651=0,"Add - no hours recorded",IF(O651="Absent - no show","Action - no show",IF(U651&gt;10,"Check - over ten hours in a day",IF(Q651&lt;&gt;"Yes","Due - needs approving",IF(R651&lt;&gt;"Yes","Due - not paid yet","OK"))))))</f>
        <v>0</v>
      </c>
    </row>
    <row r="652" spans="1:26">
      <c r="A652" s="43">
        <f>IF(F652="","","TS-"&amp;TEXT(ROW()-4,"0000"))</f>
        <v>0</v>
      </c>
      <c r="C652" s="23">
        <f>IF(B652="","",TEXT(B652,"ddd"))</f>
        <v>0</v>
      </c>
      <c r="D652" s="31">
        <f>IF(B652="","",WEEKNUM(B652,IF(WeekStart="Sunday",1,2)))</f>
        <v>0</v>
      </c>
      <c r="E652" s="23">
        <f>IF(B652="","",TEXT(B652,"yyyy-mm"))</f>
        <v>0</v>
      </c>
      <c r="H652" s="23">
        <f>IF(G652="","",IFERROR(INDEX(Jobs!$H$5:$H$604,MATCH(G652,Jobs!$A$5:$A$604,0)),""))</f>
        <v>0</v>
      </c>
      <c r="T652" s="34">
        <f>IF(OR(J652="",K652=""),"",ROUND((K652-J652)*24-IF(L652="",0,L652)/60,2))</f>
        <v>0</v>
      </c>
      <c r="U652" s="34">
        <f>IF(F652="","",IF(M652&lt;&gt;"",M652,IF(T652="",0,T652)))</f>
        <v>0</v>
      </c>
      <c r="V652" s="21">
        <f>IF(F652="","",IFERROR(INDEX(Employees!$U$5:$U$44,MATCH(F652,Employees!$B$5:$B$44,0)),PayRate*(1+EmployerOncost)))</f>
        <v>0</v>
      </c>
      <c r="W652" s="34">
        <f>IF(F652="","",MAX(0,U652-IF(N652="",0,N652)))</f>
        <v>0</v>
      </c>
      <c r="X652" s="21">
        <f>IF(F652="","",ROUND(W652*V652+IF(N652="",0,N652)*V652*OvertimeRate,2))</f>
        <v>0</v>
      </c>
      <c r="Y652" s="21">
        <f>IF(F652="","",IF(P652&lt;&gt;"Yes",0,ROUND(U652*IF(IFERROR(INDEX(Clients!$O$5:$O$204,MATCH(IFERROR(INDEX(Jobs!$G$5:$G$604,MATCH(G652,Jobs!$A$5:$A$604,0)),""),Clients!$A$5:$A$204,0)),0)&gt;0,INDEX(Clients!$O$5:$O$204,MATCH(INDEX(Jobs!$G$5:$G$604,MATCH(G652,Jobs!$A$5:$A$604,0)),Clients!$A$5:$A$204,0)),HourlyRate),2)))</f>
        <v>0</v>
      </c>
      <c r="Z652" s="39">
        <f>IF(F652="","",IF(U652=0,"Add - no hours recorded",IF(O652="Absent - no show","Action - no show",IF(U652&gt;10,"Check - over ten hours in a day",IF(Q652&lt;&gt;"Yes","Due - needs approving",IF(R652&lt;&gt;"Yes","Due - not paid yet","OK"))))))</f>
        <v>0</v>
      </c>
    </row>
    <row r="653" spans="1:26">
      <c r="A653" s="43">
        <f>IF(F653="","","TS-"&amp;TEXT(ROW()-4,"0000"))</f>
        <v>0</v>
      </c>
      <c r="C653" s="23">
        <f>IF(B653="","",TEXT(B653,"ddd"))</f>
        <v>0</v>
      </c>
      <c r="D653" s="31">
        <f>IF(B653="","",WEEKNUM(B653,IF(WeekStart="Sunday",1,2)))</f>
        <v>0</v>
      </c>
      <c r="E653" s="23">
        <f>IF(B653="","",TEXT(B653,"yyyy-mm"))</f>
        <v>0</v>
      </c>
      <c r="H653" s="23">
        <f>IF(G653="","",IFERROR(INDEX(Jobs!$H$5:$H$604,MATCH(G653,Jobs!$A$5:$A$604,0)),""))</f>
        <v>0</v>
      </c>
      <c r="T653" s="34">
        <f>IF(OR(J653="",K653=""),"",ROUND((K653-J653)*24-IF(L653="",0,L653)/60,2))</f>
        <v>0</v>
      </c>
      <c r="U653" s="34">
        <f>IF(F653="","",IF(M653&lt;&gt;"",M653,IF(T653="",0,T653)))</f>
        <v>0</v>
      </c>
      <c r="V653" s="21">
        <f>IF(F653="","",IFERROR(INDEX(Employees!$U$5:$U$44,MATCH(F653,Employees!$B$5:$B$44,0)),PayRate*(1+EmployerOncost)))</f>
        <v>0</v>
      </c>
      <c r="W653" s="34">
        <f>IF(F653="","",MAX(0,U653-IF(N653="",0,N653)))</f>
        <v>0</v>
      </c>
      <c r="X653" s="21">
        <f>IF(F653="","",ROUND(W653*V653+IF(N653="",0,N653)*V653*OvertimeRate,2))</f>
        <v>0</v>
      </c>
      <c r="Y653" s="21">
        <f>IF(F653="","",IF(P653&lt;&gt;"Yes",0,ROUND(U653*IF(IFERROR(INDEX(Clients!$O$5:$O$204,MATCH(IFERROR(INDEX(Jobs!$G$5:$G$604,MATCH(G653,Jobs!$A$5:$A$604,0)),""),Clients!$A$5:$A$204,0)),0)&gt;0,INDEX(Clients!$O$5:$O$204,MATCH(INDEX(Jobs!$G$5:$G$604,MATCH(G653,Jobs!$A$5:$A$604,0)),Clients!$A$5:$A$204,0)),HourlyRate),2)))</f>
        <v>0</v>
      </c>
      <c r="Z653" s="39">
        <f>IF(F653="","",IF(U653=0,"Add - no hours recorded",IF(O653="Absent - no show","Action - no show",IF(U653&gt;10,"Check - over ten hours in a day",IF(Q653&lt;&gt;"Yes","Due - needs approving",IF(R653&lt;&gt;"Yes","Due - not paid yet","OK"))))))</f>
        <v>0</v>
      </c>
    </row>
    <row r="654" spans="1:26">
      <c r="A654" s="43">
        <f>IF(F654="","","TS-"&amp;TEXT(ROW()-4,"0000"))</f>
        <v>0</v>
      </c>
      <c r="C654" s="23">
        <f>IF(B654="","",TEXT(B654,"ddd"))</f>
        <v>0</v>
      </c>
      <c r="D654" s="31">
        <f>IF(B654="","",WEEKNUM(B654,IF(WeekStart="Sunday",1,2)))</f>
        <v>0</v>
      </c>
      <c r="E654" s="23">
        <f>IF(B654="","",TEXT(B654,"yyyy-mm"))</f>
        <v>0</v>
      </c>
      <c r="H654" s="23">
        <f>IF(G654="","",IFERROR(INDEX(Jobs!$H$5:$H$604,MATCH(G654,Jobs!$A$5:$A$604,0)),""))</f>
        <v>0</v>
      </c>
      <c r="T654" s="34">
        <f>IF(OR(J654="",K654=""),"",ROUND((K654-J654)*24-IF(L654="",0,L654)/60,2))</f>
        <v>0</v>
      </c>
      <c r="U654" s="34">
        <f>IF(F654="","",IF(M654&lt;&gt;"",M654,IF(T654="",0,T654)))</f>
        <v>0</v>
      </c>
      <c r="V654" s="21">
        <f>IF(F654="","",IFERROR(INDEX(Employees!$U$5:$U$44,MATCH(F654,Employees!$B$5:$B$44,0)),PayRate*(1+EmployerOncost)))</f>
        <v>0</v>
      </c>
      <c r="W654" s="34">
        <f>IF(F654="","",MAX(0,U654-IF(N654="",0,N654)))</f>
        <v>0</v>
      </c>
      <c r="X654" s="21">
        <f>IF(F654="","",ROUND(W654*V654+IF(N654="",0,N654)*V654*OvertimeRate,2))</f>
        <v>0</v>
      </c>
      <c r="Y654" s="21">
        <f>IF(F654="","",IF(P654&lt;&gt;"Yes",0,ROUND(U654*IF(IFERROR(INDEX(Clients!$O$5:$O$204,MATCH(IFERROR(INDEX(Jobs!$G$5:$G$604,MATCH(G654,Jobs!$A$5:$A$604,0)),""),Clients!$A$5:$A$204,0)),0)&gt;0,INDEX(Clients!$O$5:$O$204,MATCH(INDEX(Jobs!$G$5:$G$604,MATCH(G654,Jobs!$A$5:$A$604,0)),Clients!$A$5:$A$204,0)),HourlyRate),2)))</f>
        <v>0</v>
      </c>
      <c r="Z654" s="39">
        <f>IF(F654="","",IF(U654=0,"Add - no hours recorded",IF(O654="Absent - no show","Action - no show",IF(U654&gt;10,"Check - over ten hours in a day",IF(Q654&lt;&gt;"Yes","Due - needs approving",IF(R654&lt;&gt;"Yes","Due - not paid yet","OK"))))))</f>
        <v>0</v>
      </c>
    </row>
    <row r="655" spans="1:26">
      <c r="A655" s="43">
        <f>IF(F655="","","TS-"&amp;TEXT(ROW()-4,"0000"))</f>
        <v>0</v>
      </c>
      <c r="C655" s="23">
        <f>IF(B655="","",TEXT(B655,"ddd"))</f>
        <v>0</v>
      </c>
      <c r="D655" s="31">
        <f>IF(B655="","",WEEKNUM(B655,IF(WeekStart="Sunday",1,2)))</f>
        <v>0</v>
      </c>
      <c r="E655" s="23">
        <f>IF(B655="","",TEXT(B655,"yyyy-mm"))</f>
        <v>0</v>
      </c>
      <c r="H655" s="23">
        <f>IF(G655="","",IFERROR(INDEX(Jobs!$H$5:$H$604,MATCH(G655,Jobs!$A$5:$A$604,0)),""))</f>
        <v>0</v>
      </c>
      <c r="T655" s="34">
        <f>IF(OR(J655="",K655=""),"",ROUND((K655-J655)*24-IF(L655="",0,L655)/60,2))</f>
        <v>0</v>
      </c>
      <c r="U655" s="34">
        <f>IF(F655="","",IF(M655&lt;&gt;"",M655,IF(T655="",0,T655)))</f>
        <v>0</v>
      </c>
      <c r="V655" s="21">
        <f>IF(F655="","",IFERROR(INDEX(Employees!$U$5:$U$44,MATCH(F655,Employees!$B$5:$B$44,0)),PayRate*(1+EmployerOncost)))</f>
        <v>0</v>
      </c>
      <c r="W655" s="34">
        <f>IF(F655="","",MAX(0,U655-IF(N655="",0,N655)))</f>
        <v>0</v>
      </c>
      <c r="X655" s="21">
        <f>IF(F655="","",ROUND(W655*V655+IF(N655="",0,N655)*V655*OvertimeRate,2))</f>
        <v>0</v>
      </c>
      <c r="Y655" s="21">
        <f>IF(F655="","",IF(P655&lt;&gt;"Yes",0,ROUND(U655*IF(IFERROR(INDEX(Clients!$O$5:$O$204,MATCH(IFERROR(INDEX(Jobs!$G$5:$G$604,MATCH(G655,Jobs!$A$5:$A$604,0)),""),Clients!$A$5:$A$204,0)),0)&gt;0,INDEX(Clients!$O$5:$O$204,MATCH(INDEX(Jobs!$G$5:$G$604,MATCH(G655,Jobs!$A$5:$A$604,0)),Clients!$A$5:$A$204,0)),HourlyRate),2)))</f>
        <v>0</v>
      </c>
      <c r="Z655" s="39">
        <f>IF(F655="","",IF(U655=0,"Add - no hours recorded",IF(O655="Absent - no show","Action - no show",IF(U655&gt;10,"Check - over ten hours in a day",IF(Q655&lt;&gt;"Yes","Due - needs approving",IF(R655&lt;&gt;"Yes","Due - not paid yet","OK"))))))</f>
        <v>0</v>
      </c>
    </row>
    <row r="656" spans="1:26">
      <c r="A656" s="43">
        <f>IF(F656="","","TS-"&amp;TEXT(ROW()-4,"0000"))</f>
        <v>0</v>
      </c>
      <c r="C656" s="23">
        <f>IF(B656="","",TEXT(B656,"ddd"))</f>
        <v>0</v>
      </c>
      <c r="D656" s="31">
        <f>IF(B656="","",WEEKNUM(B656,IF(WeekStart="Sunday",1,2)))</f>
        <v>0</v>
      </c>
      <c r="E656" s="23">
        <f>IF(B656="","",TEXT(B656,"yyyy-mm"))</f>
        <v>0</v>
      </c>
      <c r="H656" s="23">
        <f>IF(G656="","",IFERROR(INDEX(Jobs!$H$5:$H$604,MATCH(G656,Jobs!$A$5:$A$604,0)),""))</f>
        <v>0</v>
      </c>
      <c r="T656" s="34">
        <f>IF(OR(J656="",K656=""),"",ROUND((K656-J656)*24-IF(L656="",0,L656)/60,2))</f>
        <v>0</v>
      </c>
      <c r="U656" s="34">
        <f>IF(F656="","",IF(M656&lt;&gt;"",M656,IF(T656="",0,T656)))</f>
        <v>0</v>
      </c>
      <c r="V656" s="21">
        <f>IF(F656="","",IFERROR(INDEX(Employees!$U$5:$U$44,MATCH(F656,Employees!$B$5:$B$44,0)),PayRate*(1+EmployerOncost)))</f>
        <v>0</v>
      </c>
      <c r="W656" s="34">
        <f>IF(F656="","",MAX(0,U656-IF(N656="",0,N656)))</f>
        <v>0</v>
      </c>
      <c r="X656" s="21">
        <f>IF(F656="","",ROUND(W656*V656+IF(N656="",0,N656)*V656*OvertimeRate,2))</f>
        <v>0</v>
      </c>
      <c r="Y656" s="21">
        <f>IF(F656="","",IF(P656&lt;&gt;"Yes",0,ROUND(U656*IF(IFERROR(INDEX(Clients!$O$5:$O$204,MATCH(IFERROR(INDEX(Jobs!$G$5:$G$604,MATCH(G656,Jobs!$A$5:$A$604,0)),""),Clients!$A$5:$A$204,0)),0)&gt;0,INDEX(Clients!$O$5:$O$204,MATCH(INDEX(Jobs!$G$5:$G$604,MATCH(G656,Jobs!$A$5:$A$604,0)),Clients!$A$5:$A$204,0)),HourlyRate),2)))</f>
        <v>0</v>
      </c>
      <c r="Z656" s="39">
        <f>IF(F656="","",IF(U656=0,"Add - no hours recorded",IF(O656="Absent - no show","Action - no show",IF(U656&gt;10,"Check - over ten hours in a day",IF(Q656&lt;&gt;"Yes","Due - needs approving",IF(R656&lt;&gt;"Yes","Due - not paid yet","OK"))))))</f>
        <v>0</v>
      </c>
    </row>
    <row r="657" spans="1:26">
      <c r="A657" s="43">
        <f>IF(F657="","","TS-"&amp;TEXT(ROW()-4,"0000"))</f>
        <v>0</v>
      </c>
      <c r="C657" s="23">
        <f>IF(B657="","",TEXT(B657,"ddd"))</f>
        <v>0</v>
      </c>
      <c r="D657" s="31">
        <f>IF(B657="","",WEEKNUM(B657,IF(WeekStart="Sunday",1,2)))</f>
        <v>0</v>
      </c>
      <c r="E657" s="23">
        <f>IF(B657="","",TEXT(B657,"yyyy-mm"))</f>
        <v>0</v>
      </c>
      <c r="H657" s="23">
        <f>IF(G657="","",IFERROR(INDEX(Jobs!$H$5:$H$604,MATCH(G657,Jobs!$A$5:$A$604,0)),""))</f>
        <v>0</v>
      </c>
      <c r="T657" s="34">
        <f>IF(OR(J657="",K657=""),"",ROUND((K657-J657)*24-IF(L657="",0,L657)/60,2))</f>
        <v>0</v>
      </c>
      <c r="U657" s="34">
        <f>IF(F657="","",IF(M657&lt;&gt;"",M657,IF(T657="",0,T657)))</f>
        <v>0</v>
      </c>
      <c r="V657" s="21">
        <f>IF(F657="","",IFERROR(INDEX(Employees!$U$5:$U$44,MATCH(F657,Employees!$B$5:$B$44,0)),PayRate*(1+EmployerOncost)))</f>
        <v>0</v>
      </c>
      <c r="W657" s="34">
        <f>IF(F657="","",MAX(0,U657-IF(N657="",0,N657)))</f>
        <v>0</v>
      </c>
      <c r="X657" s="21">
        <f>IF(F657="","",ROUND(W657*V657+IF(N657="",0,N657)*V657*OvertimeRate,2))</f>
        <v>0</v>
      </c>
      <c r="Y657" s="21">
        <f>IF(F657="","",IF(P657&lt;&gt;"Yes",0,ROUND(U657*IF(IFERROR(INDEX(Clients!$O$5:$O$204,MATCH(IFERROR(INDEX(Jobs!$G$5:$G$604,MATCH(G657,Jobs!$A$5:$A$604,0)),""),Clients!$A$5:$A$204,0)),0)&gt;0,INDEX(Clients!$O$5:$O$204,MATCH(INDEX(Jobs!$G$5:$G$604,MATCH(G657,Jobs!$A$5:$A$604,0)),Clients!$A$5:$A$204,0)),HourlyRate),2)))</f>
        <v>0</v>
      </c>
      <c r="Z657" s="39">
        <f>IF(F657="","",IF(U657=0,"Add - no hours recorded",IF(O657="Absent - no show","Action - no show",IF(U657&gt;10,"Check - over ten hours in a day",IF(Q657&lt;&gt;"Yes","Due - needs approving",IF(R657&lt;&gt;"Yes","Due - not paid yet","OK"))))))</f>
        <v>0</v>
      </c>
    </row>
    <row r="658" spans="1:26">
      <c r="A658" s="43">
        <f>IF(F658="","","TS-"&amp;TEXT(ROW()-4,"0000"))</f>
        <v>0</v>
      </c>
      <c r="C658" s="23">
        <f>IF(B658="","",TEXT(B658,"ddd"))</f>
        <v>0</v>
      </c>
      <c r="D658" s="31">
        <f>IF(B658="","",WEEKNUM(B658,IF(WeekStart="Sunday",1,2)))</f>
        <v>0</v>
      </c>
      <c r="E658" s="23">
        <f>IF(B658="","",TEXT(B658,"yyyy-mm"))</f>
        <v>0</v>
      </c>
      <c r="H658" s="23">
        <f>IF(G658="","",IFERROR(INDEX(Jobs!$H$5:$H$604,MATCH(G658,Jobs!$A$5:$A$604,0)),""))</f>
        <v>0</v>
      </c>
      <c r="T658" s="34">
        <f>IF(OR(J658="",K658=""),"",ROUND((K658-J658)*24-IF(L658="",0,L658)/60,2))</f>
        <v>0</v>
      </c>
      <c r="U658" s="34">
        <f>IF(F658="","",IF(M658&lt;&gt;"",M658,IF(T658="",0,T658)))</f>
        <v>0</v>
      </c>
      <c r="V658" s="21">
        <f>IF(F658="","",IFERROR(INDEX(Employees!$U$5:$U$44,MATCH(F658,Employees!$B$5:$B$44,0)),PayRate*(1+EmployerOncost)))</f>
        <v>0</v>
      </c>
      <c r="W658" s="34">
        <f>IF(F658="","",MAX(0,U658-IF(N658="",0,N658)))</f>
        <v>0</v>
      </c>
      <c r="X658" s="21">
        <f>IF(F658="","",ROUND(W658*V658+IF(N658="",0,N658)*V658*OvertimeRate,2))</f>
        <v>0</v>
      </c>
      <c r="Y658" s="21">
        <f>IF(F658="","",IF(P658&lt;&gt;"Yes",0,ROUND(U658*IF(IFERROR(INDEX(Clients!$O$5:$O$204,MATCH(IFERROR(INDEX(Jobs!$G$5:$G$604,MATCH(G658,Jobs!$A$5:$A$604,0)),""),Clients!$A$5:$A$204,0)),0)&gt;0,INDEX(Clients!$O$5:$O$204,MATCH(INDEX(Jobs!$G$5:$G$604,MATCH(G658,Jobs!$A$5:$A$604,0)),Clients!$A$5:$A$204,0)),HourlyRate),2)))</f>
        <v>0</v>
      </c>
      <c r="Z658" s="39">
        <f>IF(F658="","",IF(U658=0,"Add - no hours recorded",IF(O658="Absent - no show","Action - no show",IF(U658&gt;10,"Check - over ten hours in a day",IF(Q658&lt;&gt;"Yes","Due - needs approving",IF(R658&lt;&gt;"Yes","Due - not paid yet","OK"))))))</f>
        <v>0</v>
      </c>
    </row>
    <row r="659" spans="1:26">
      <c r="A659" s="43">
        <f>IF(F659="","","TS-"&amp;TEXT(ROW()-4,"0000"))</f>
        <v>0</v>
      </c>
      <c r="C659" s="23">
        <f>IF(B659="","",TEXT(B659,"ddd"))</f>
        <v>0</v>
      </c>
      <c r="D659" s="31">
        <f>IF(B659="","",WEEKNUM(B659,IF(WeekStart="Sunday",1,2)))</f>
        <v>0</v>
      </c>
      <c r="E659" s="23">
        <f>IF(B659="","",TEXT(B659,"yyyy-mm"))</f>
        <v>0</v>
      </c>
      <c r="H659" s="23">
        <f>IF(G659="","",IFERROR(INDEX(Jobs!$H$5:$H$604,MATCH(G659,Jobs!$A$5:$A$604,0)),""))</f>
        <v>0</v>
      </c>
      <c r="T659" s="34">
        <f>IF(OR(J659="",K659=""),"",ROUND((K659-J659)*24-IF(L659="",0,L659)/60,2))</f>
        <v>0</v>
      </c>
      <c r="U659" s="34">
        <f>IF(F659="","",IF(M659&lt;&gt;"",M659,IF(T659="",0,T659)))</f>
        <v>0</v>
      </c>
      <c r="V659" s="21">
        <f>IF(F659="","",IFERROR(INDEX(Employees!$U$5:$U$44,MATCH(F659,Employees!$B$5:$B$44,0)),PayRate*(1+EmployerOncost)))</f>
        <v>0</v>
      </c>
      <c r="W659" s="34">
        <f>IF(F659="","",MAX(0,U659-IF(N659="",0,N659)))</f>
        <v>0</v>
      </c>
      <c r="X659" s="21">
        <f>IF(F659="","",ROUND(W659*V659+IF(N659="",0,N659)*V659*OvertimeRate,2))</f>
        <v>0</v>
      </c>
      <c r="Y659" s="21">
        <f>IF(F659="","",IF(P659&lt;&gt;"Yes",0,ROUND(U659*IF(IFERROR(INDEX(Clients!$O$5:$O$204,MATCH(IFERROR(INDEX(Jobs!$G$5:$G$604,MATCH(G659,Jobs!$A$5:$A$604,0)),""),Clients!$A$5:$A$204,0)),0)&gt;0,INDEX(Clients!$O$5:$O$204,MATCH(INDEX(Jobs!$G$5:$G$604,MATCH(G659,Jobs!$A$5:$A$604,0)),Clients!$A$5:$A$204,0)),HourlyRate),2)))</f>
        <v>0</v>
      </c>
      <c r="Z659" s="39">
        <f>IF(F659="","",IF(U659=0,"Add - no hours recorded",IF(O659="Absent - no show","Action - no show",IF(U659&gt;10,"Check - over ten hours in a day",IF(Q659&lt;&gt;"Yes","Due - needs approving",IF(R659&lt;&gt;"Yes","Due - not paid yet","OK"))))))</f>
        <v>0</v>
      </c>
    </row>
    <row r="660" spans="1:26">
      <c r="A660" s="43">
        <f>IF(F660="","","TS-"&amp;TEXT(ROW()-4,"0000"))</f>
        <v>0</v>
      </c>
      <c r="C660" s="23">
        <f>IF(B660="","",TEXT(B660,"ddd"))</f>
        <v>0</v>
      </c>
      <c r="D660" s="31">
        <f>IF(B660="","",WEEKNUM(B660,IF(WeekStart="Sunday",1,2)))</f>
        <v>0</v>
      </c>
      <c r="E660" s="23">
        <f>IF(B660="","",TEXT(B660,"yyyy-mm"))</f>
        <v>0</v>
      </c>
      <c r="H660" s="23">
        <f>IF(G660="","",IFERROR(INDEX(Jobs!$H$5:$H$604,MATCH(G660,Jobs!$A$5:$A$604,0)),""))</f>
        <v>0</v>
      </c>
      <c r="T660" s="34">
        <f>IF(OR(J660="",K660=""),"",ROUND((K660-J660)*24-IF(L660="",0,L660)/60,2))</f>
        <v>0</v>
      </c>
      <c r="U660" s="34">
        <f>IF(F660="","",IF(M660&lt;&gt;"",M660,IF(T660="",0,T660)))</f>
        <v>0</v>
      </c>
      <c r="V660" s="21">
        <f>IF(F660="","",IFERROR(INDEX(Employees!$U$5:$U$44,MATCH(F660,Employees!$B$5:$B$44,0)),PayRate*(1+EmployerOncost)))</f>
        <v>0</v>
      </c>
      <c r="W660" s="34">
        <f>IF(F660="","",MAX(0,U660-IF(N660="",0,N660)))</f>
        <v>0</v>
      </c>
      <c r="X660" s="21">
        <f>IF(F660="","",ROUND(W660*V660+IF(N660="",0,N660)*V660*OvertimeRate,2))</f>
        <v>0</v>
      </c>
      <c r="Y660" s="21">
        <f>IF(F660="","",IF(P660&lt;&gt;"Yes",0,ROUND(U660*IF(IFERROR(INDEX(Clients!$O$5:$O$204,MATCH(IFERROR(INDEX(Jobs!$G$5:$G$604,MATCH(G660,Jobs!$A$5:$A$604,0)),""),Clients!$A$5:$A$204,0)),0)&gt;0,INDEX(Clients!$O$5:$O$204,MATCH(INDEX(Jobs!$G$5:$G$604,MATCH(G660,Jobs!$A$5:$A$604,0)),Clients!$A$5:$A$204,0)),HourlyRate),2)))</f>
        <v>0</v>
      </c>
      <c r="Z660" s="39">
        <f>IF(F660="","",IF(U660=0,"Add - no hours recorded",IF(O660="Absent - no show","Action - no show",IF(U660&gt;10,"Check - over ten hours in a day",IF(Q660&lt;&gt;"Yes","Due - needs approving",IF(R660&lt;&gt;"Yes","Due - not paid yet","OK"))))))</f>
        <v>0</v>
      </c>
    </row>
    <row r="661" spans="1:26">
      <c r="A661" s="43">
        <f>IF(F661="","","TS-"&amp;TEXT(ROW()-4,"0000"))</f>
        <v>0</v>
      </c>
      <c r="C661" s="23">
        <f>IF(B661="","",TEXT(B661,"ddd"))</f>
        <v>0</v>
      </c>
      <c r="D661" s="31">
        <f>IF(B661="","",WEEKNUM(B661,IF(WeekStart="Sunday",1,2)))</f>
        <v>0</v>
      </c>
      <c r="E661" s="23">
        <f>IF(B661="","",TEXT(B661,"yyyy-mm"))</f>
        <v>0</v>
      </c>
      <c r="H661" s="23">
        <f>IF(G661="","",IFERROR(INDEX(Jobs!$H$5:$H$604,MATCH(G661,Jobs!$A$5:$A$604,0)),""))</f>
        <v>0</v>
      </c>
      <c r="T661" s="34">
        <f>IF(OR(J661="",K661=""),"",ROUND((K661-J661)*24-IF(L661="",0,L661)/60,2))</f>
        <v>0</v>
      </c>
      <c r="U661" s="34">
        <f>IF(F661="","",IF(M661&lt;&gt;"",M661,IF(T661="",0,T661)))</f>
        <v>0</v>
      </c>
      <c r="V661" s="21">
        <f>IF(F661="","",IFERROR(INDEX(Employees!$U$5:$U$44,MATCH(F661,Employees!$B$5:$B$44,0)),PayRate*(1+EmployerOncost)))</f>
        <v>0</v>
      </c>
      <c r="W661" s="34">
        <f>IF(F661="","",MAX(0,U661-IF(N661="",0,N661)))</f>
        <v>0</v>
      </c>
      <c r="X661" s="21">
        <f>IF(F661="","",ROUND(W661*V661+IF(N661="",0,N661)*V661*OvertimeRate,2))</f>
        <v>0</v>
      </c>
      <c r="Y661" s="21">
        <f>IF(F661="","",IF(P661&lt;&gt;"Yes",0,ROUND(U661*IF(IFERROR(INDEX(Clients!$O$5:$O$204,MATCH(IFERROR(INDEX(Jobs!$G$5:$G$604,MATCH(G661,Jobs!$A$5:$A$604,0)),""),Clients!$A$5:$A$204,0)),0)&gt;0,INDEX(Clients!$O$5:$O$204,MATCH(INDEX(Jobs!$G$5:$G$604,MATCH(G661,Jobs!$A$5:$A$604,0)),Clients!$A$5:$A$204,0)),HourlyRate),2)))</f>
        <v>0</v>
      </c>
      <c r="Z661" s="39">
        <f>IF(F661="","",IF(U661=0,"Add - no hours recorded",IF(O661="Absent - no show","Action - no show",IF(U661&gt;10,"Check - over ten hours in a day",IF(Q661&lt;&gt;"Yes","Due - needs approving",IF(R661&lt;&gt;"Yes","Due - not paid yet","OK"))))))</f>
        <v>0</v>
      </c>
    </row>
    <row r="662" spans="1:26">
      <c r="A662" s="43">
        <f>IF(F662="","","TS-"&amp;TEXT(ROW()-4,"0000"))</f>
        <v>0</v>
      </c>
      <c r="C662" s="23">
        <f>IF(B662="","",TEXT(B662,"ddd"))</f>
        <v>0</v>
      </c>
      <c r="D662" s="31">
        <f>IF(B662="","",WEEKNUM(B662,IF(WeekStart="Sunday",1,2)))</f>
        <v>0</v>
      </c>
      <c r="E662" s="23">
        <f>IF(B662="","",TEXT(B662,"yyyy-mm"))</f>
        <v>0</v>
      </c>
      <c r="H662" s="23">
        <f>IF(G662="","",IFERROR(INDEX(Jobs!$H$5:$H$604,MATCH(G662,Jobs!$A$5:$A$604,0)),""))</f>
        <v>0</v>
      </c>
      <c r="T662" s="34">
        <f>IF(OR(J662="",K662=""),"",ROUND((K662-J662)*24-IF(L662="",0,L662)/60,2))</f>
        <v>0</v>
      </c>
      <c r="U662" s="34">
        <f>IF(F662="","",IF(M662&lt;&gt;"",M662,IF(T662="",0,T662)))</f>
        <v>0</v>
      </c>
      <c r="V662" s="21">
        <f>IF(F662="","",IFERROR(INDEX(Employees!$U$5:$U$44,MATCH(F662,Employees!$B$5:$B$44,0)),PayRate*(1+EmployerOncost)))</f>
        <v>0</v>
      </c>
      <c r="W662" s="34">
        <f>IF(F662="","",MAX(0,U662-IF(N662="",0,N662)))</f>
        <v>0</v>
      </c>
      <c r="X662" s="21">
        <f>IF(F662="","",ROUND(W662*V662+IF(N662="",0,N662)*V662*OvertimeRate,2))</f>
        <v>0</v>
      </c>
      <c r="Y662" s="21">
        <f>IF(F662="","",IF(P662&lt;&gt;"Yes",0,ROUND(U662*IF(IFERROR(INDEX(Clients!$O$5:$O$204,MATCH(IFERROR(INDEX(Jobs!$G$5:$G$604,MATCH(G662,Jobs!$A$5:$A$604,0)),""),Clients!$A$5:$A$204,0)),0)&gt;0,INDEX(Clients!$O$5:$O$204,MATCH(INDEX(Jobs!$G$5:$G$604,MATCH(G662,Jobs!$A$5:$A$604,0)),Clients!$A$5:$A$204,0)),HourlyRate),2)))</f>
        <v>0</v>
      </c>
      <c r="Z662" s="39">
        <f>IF(F662="","",IF(U662=0,"Add - no hours recorded",IF(O662="Absent - no show","Action - no show",IF(U662&gt;10,"Check - over ten hours in a day",IF(Q662&lt;&gt;"Yes","Due - needs approving",IF(R662&lt;&gt;"Yes","Due - not paid yet","OK"))))))</f>
        <v>0</v>
      </c>
    </row>
    <row r="663" spans="1:26">
      <c r="A663" s="43">
        <f>IF(F663="","","TS-"&amp;TEXT(ROW()-4,"0000"))</f>
        <v>0</v>
      </c>
      <c r="C663" s="23">
        <f>IF(B663="","",TEXT(B663,"ddd"))</f>
        <v>0</v>
      </c>
      <c r="D663" s="31">
        <f>IF(B663="","",WEEKNUM(B663,IF(WeekStart="Sunday",1,2)))</f>
        <v>0</v>
      </c>
      <c r="E663" s="23">
        <f>IF(B663="","",TEXT(B663,"yyyy-mm"))</f>
        <v>0</v>
      </c>
      <c r="H663" s="23">
        <f>IF(G663="","",IFERROR(INDEX(Jobs!$H$5:$H$604,MATCH(G663,Jobs!$A$5:$A$604,0)),""))</f>
        <v>0</v>
      </c>
      <c r="T663" s="34">
        <f>IF(OR(J663="",K663=""),"",ROUND((K663-J663)*24-IF(L663="",0,L663)/60,2))</f>
        <v>0</v>
      </c>
      <c r="U663" s="34">
        <f>IF(F663="","",IF(M663&lt;&gt;"",M663,IF(T663="",0,T663)))</f>
        <v>0</v>
      </c>
      <c r="V663" s="21">
        <f>IF(F663="","",IFERROR(INDEX(Employees!$U$5:$U$44,MATCH(F663,Employees!$B$5:$B$44,0)),PayRate*(1+EmployerOncost)))</f>
        <v>0</v>
      </c>
      <c r="W663" s="34">
        <f>IF(F663="","",MAX(0,U663-IF(N663="",0,N663)))</f>
        <v>0</v>
      </c>
      <c r="X663" s="21">
        <f>IF(F663="","",ROUND(W663*V663+IF(N663="",0,N663)*V663*OvertimeRate,2))</f>
        <v>0</v>
      </c>
      <c r="Y663" s="21">
        <f>IF(F663="","",IF(P663&lt;&gt;"Yes",0,ROUND(U663*IF(IFERROR(INDEX(Clients!$O$5:$O$204,MATCH(IFERROR(INDEX(Jobs!$G$5:$G$604,MATCH(G663,Jobs!$A$5:$A$604,0)),""),Clients!$A$5:$A$204,0)),0)&gt;0,INDEX(Clients!$O$5:$O$204,MATCH(INDEX(Jobs!$G$5:$G$604,MATCH(G663,Jobs!$A$5:$A$604,0)),Clients!$A$5:$A$204,0)),HourlyRate),2)))</f>
        <v>0</v>
      </c>
      <c r="Z663" s="39">
        <f>IF(F663="","",IF(U663=0,"Add - no hours recorded",IF(O663="Absent - no show","Action - no show",IF(U663&gt;10,"Check - over ten hours in a day",IF(Q663&lt;&gt;"Yes","Due - needs approving",IF(R663&lt;&gt;"Yes","Due - not paid yet","OK"))))))</f>
        <v>0</v>
      </c>
    </row>
    <row r="664" spans="1:26">
      <c r="A664" s="43">
        <f>IF(F664="","","TS-"&amp;TEXT(ROW()-4,"0000"))</f>
        <v>0</v>
      </c>
      <c r="C664" s="23">
        <f>IF(B664="","",TEXT(B664,"ddd"))</f>
        <v>0</v>
      </c>
      <c r="D664" s="31">
        <f>IF(B664="","",WEEKNUM(B664,IF(WeekStart="Sunday",1,2)))</f>
        <v>0</v>
      </c>
      <c r="E664" s="23">
        <f>IF(B664="","",TEXT(B664,"yyyy-mm"))</f>
        <v>0</v>
      </c>
      <c r="H664" s="23">
        <f>IF(G664="","",IFERROR(INDEX(Jobs!$H$5:$H$604,MATCH(G664,Jobs!$A$5:$A$604,0)),""))</f>
        <v>0</v>
      </c>
      <c r="T664" s="34">
        <f>IF(OR(J664="",K664=""),"",ROUND((K664-J664)*24-IF(L664="",0,L664)/60,2))</f>
        <v>0</v>
      </c>
      <c r="U664" s="34">
        <f>IF(F664="","",IF(M664&lt;&gt;"",M664,IF(T664="",0,T664)))</f>
        <v>0</v>
      </c>
      <c r="V664" s="21">
        <f>IF(F664="","",IFERROR(INDEX(Employees!$U$5:$U$44,MATCH(F664,Employees!$B$5:$B$44,0)),PayRate*(1+EmployerOncost)))</f>
        <v>0</v>
      </c>
      <c r="W664" s="34">
        <f>IF(F664="","",MAX(0,U664-IF(N664="",0,N664)))</f>
        <v>0</v>
      </c>
      <c r="X664" s="21">
        <f>IF(F664="","",ROUND(W664*V664+IF(N664="",0,N664)*V664*OvertimeRate,2))</f>
        <v>0</v>
      </c>
      <c r="Y664" s="21">
        <f>IF(F664="","",IF(P664&lt;&gt;"Yes",0,ROUND(U664*IF(IFERROR(INDEX(Clients!$O$5:$O$204,MATCH(IFERROR(INDEX(Jobs!$G$5:$G$604,MATCH(G664,Jobs!$A$5:$A$604,0)),""),Clients!$A$5:$A$204,0)),0)&gt;0,INDEX(Clients!$O$5:$O$204,MATCH(INDEX(Jobs!$G$5:$G$604,MATCH(G664,Jobs!$A$5:$A$604,0)),Clients!$A$5:$A$204,0)),HourlyRate),2)))</f>
        <v>0</v>
      </c>
      <c r="Z664" s="39">
        <f>IF(F664="","",IF(U664=0,"Add - no hours recorded",IF(O664="Absent - no show","Action - no show",IF(U664&gt;10,"Check - over ten hours in a day",IF(Q664&lt;&gt;"Yes","Due - needs approving",IF(R664&lt;&gt;"Yes","Due - not paid yet","OK"))))))</f>
        <v>0</v>
      </c>
    </row>
    <row r="665" spans="1:26">
      <c r="A665" s="43">
        <f>IF(F665="","","TS-"&amp;TEXT(ROW()-4,"0000"))</f>
        <v>0</v>
      </c>
      <c r="C665" s="23">
        <f>IF(B665="","",TEXT(B665,"ddd"))</f>
        <v>0</v>
      </c>
      <c r="D665" s="31">
        <f>IF(B665="","",WEEKNUM(B665,IF(WeekStart="Sunday",1,2)))</f>
        <v>0</v>
      </c>
      <c r="E665" s="23">
        <f>IF(B665="","",TEXT(B665,"yyyy-mm"))</f>
        <v>0</v>
      </c>
      <c r="H665" s="23">
        <f>IF(G665="","",IFERROR(INDEX(Jobs!$H$5:$H$604,MATCH(G665,Jobs!$A$5:$A$604,0)),""))</f>
        <v>0</v>
      </c>
      <c r="T665" s="34">
        <f>IF(OR(J665="",K665=""),"",ROUND((K665-J665)*24-IF(L665="",0,L665)/60,2))</f>
        <v>0</v>
      </c>
      <c r="U665" s="34">
        <f>IF(F665="","",IF(M665&lt;&gt;"",M665,IF(T665="",0,T665)))</f>
        <v>0</v>
      </c>
      <c r="V665" s="21">
        <f>IF(F665="","",IFERROR(INDEX(Employees!$U$5:$U$44,MATCH(F665,Employees!$B$5:$B$44,0)),PayRate*(1+EmployerOncost)))</f>
        <v>0</v>
      </c>
      <c r="W665" s="34">
        <f>IF(F665="","",MAX(0,U665-IF(N665="",0,N665)))</f>
        <v>0</v>
      </c>
      <c r="X665" s="21">
        <f>IF(F665="","",ROUND(W665*V665+IF(N665="",0,N665)*V665*OvertimeRate,2))</f>
        <v>0</v>
      </c>
      <c r="Y665" s="21">
        <f>IF(F665="","",IF(P665&lt;&gt;"Yes",0,ROUND(U665*IF(IFERROR(INDEX(Clients!$O$5:$O$204,MATCH(IFERROR(INDEX(Jobs!$G$5:$G$604,MATCH(G665,Jobs!$A$5:$A$604,0)),""),Clients!$A$5:$A$204,0)),0)&gt;0,INDEX(Clients!$O$5:$O$204,MATCH(INDEX(Jobs!$G$5:$G$604,MATCH(G665,Jobs!$A$5:$A$604,0)),Clients!$A$5:$A$204,0)),HourlyRate),2)))</f>
        <v>0</v>
      </c>
      <c r="Z665" s="39">
        <f>IF(F665="","",IF(U665=0,"Add - no hours recorded",IF(O665="Absent - no show","Action - no show",IF(U665&gt;10,"Check - over ten hours in a day",IF(Q665&lt;&gt;"Yes","Due - needs approving",IF(R665&lt;&gt;"Yes","Due - not paid yet","OK"))))))</f>
        <v>0</v>
      </c>
    </row>
    <row r="666" spans="1:26">
      <c r="A666" s="43">
        <f>IF(F666="","","TS-"&amp;TEXT(ROW()-4,"0000"))</f>
        <v>0</v>
      </c>
      <c r="C666" s="23">
        <f>IF(B666="","",TEXT(B666,"ddd"))</f>
        <v>0</v>
      </c>
      <c r="D666" s="31">
        <f>IF(B666="","",WEEKNUM(B666,IF(WeekStart="Sunday",1,2)))</f>
        <v>0</v>
      </c>
      <c r="E666" s="23">
        <f>IF(B666="","",TEXT(B666,"yyyy-mm"))</f>
        <v>0</v>
      </c>
      <c r="H666" s="23">
        <f>IF(G666="","",IFERROR(INDEX(Jobs!$H$5:$H$604,MATCH(G666,Jobs!$A$5:$A$604,0)),""))</f>
        <v>0</v>
      </c>
      <c r="T666" s="34">
        <f>IF(OR(J666="",K666=""),"",ROUND((K666-J666)*24-IF(L666="",0,L666)/60,2))</f>
        <v>0</v>
      </c>
      <c r="U666" s="34">
        <f>IF(F666="","",IF(M666&lt;&gt;"",M666,IF(T666="",0,T666)))</f>
        <v>0</v>
      </c>
      <c r="V666" s="21">
        <f>IF(F666="","",IFERROR(INDEX(Employees!$U$5:$U$44,MATCH(F666,Employees!$B$5:$B$44,0)),PayRate*(1+EmployerOncost)))</f>
        <v>0</v>
      </c>
      <c r="W666" s="34">
        <f>IF(F666="","",MAX(0,U666-IF(N666="",0,N666)))</f>
        <v>0</v>
      </c>
      <c r="X666" s="21">
        <f>IF(F666="","",ROUND(W666*V666+IF(N666="",0,N666)*V666*OvertimeRate,2))</f>
        <v>0</v>
      </c>
      <c r="Y666" s="21">
        <f>IF(F666="","",IF(P666&lt;&gt;"Yes",0,ROUND(U666*IF(IFERROR(INDEX(Clients!$O$5:$O$204,MATCH(IFERROR(INDEX(Jobs!$G$5:$G$604,MATCH(G666,Jobs!$A$5:$A$604,0)),""),Clients!$A$5:$A$204,0)),0)&gt;0,INDEX(Clients!$O$5:$O$204,MATCH(INDEX(Jobs!$G$5:$G$604,MATCH(G666,Jobs!$A$5:$A$604,0)),Clients!$A$5:$A$204,0)),HourlyRate),2)))</f>
        <v>0</v>
      </c>
      <c r="Z666" s="39">
        <f>IF(F666="","",IF(U666=0,"Add - no hours recorded",IF(O666="Absent - no show","Action - no show",IF(U666&gt;10,"Check - over ten hours in a day",IF(Q666&lt;&gt;"Yes","Due - needs approving",IF(R666&lt;&gt;"Yes","Due - not paid yet","OK"))))))</f>
        <v>0</v>
      </c>
    </row>
    <row r="667" spans="1:26">
      <c r="A667" s="43">
        <f>IF(F667="","","TS-"&amp;TEXT(ROW()-4,"0000"))</f>
        <v>0</v>
      </c>
      <c r="C667" s="23">
        <f>IF(B667="","",TEXT(B667,"ddd"))</f>
        <v>0</v>
      </c>
      <c r="D667" s="31">
        <f>IF(B667="","",WEEKNUM(B667,IF(WeekStart="Sunday",1,2)))</f>
        <v>0</v>
      </c>
      <c r="E667" s="23">
        <f>IF(B667="","",TEXT(B667,"yyyy-mm"))</f>
        <v>0</v>
      </c>
      <c r="H667" s="23">
        <f>IF(G667="","",IFERROR(INDEX(Jobs!$H$5:$H$604,MATCH(G667,Jobs!$A$5:$A$604,0)),""))</f>
        <v>0</v>
      </c>
      <c r="T667" s="34">
        <f>IF(OR(J667="",K667=""),"",ROUND((K667-J667)*24-IF(L667="",0,L667)/60,2))</f>
        <v>0</v>
      </c>
      <c r="U667" s="34">
        <f>IF(F667="","",IF(M667&lt;&gt;"",M667,IF(T667="",0,T667)))</f>
        <v>0</v>
      </c>
      <c r="V667" s="21">
        <f>IF(F667="","",IFERROR(INDEX(Employees!$U$5:$U$44,MATCH(F667,Employees!$B$5:$B$44,0)),PayRate*(1+EmployerOncost)))</f>
        <v>0</v>
      </c>
      <c r="W667" s="34">
        <f>IF(F667="","",MAX(0,U667-IF(N667="",0,N667)))</f>
        <v>0</v>
      </c>
      <c r="X667" s="21">
        <f>IF(F667="","",ROUND(W667*V667+IF(N667="",0,N667)*V667*OvertimeRate,2))</f>
        <v>0</v>
      </c>
      <c r="Y667" s="21">
        <f>IF(F667="","",IF(P667&lt;&gt;"Yes",0,ROUND(U667*IF(IFERROR(INDEX(Clients!$O$5:$O$204,MATCH(IFERROR(INDEX(Jobs!$G$5:$G$604,MATCH(G667,Jobs!$A$5:$A$604,0)),""),Clients!$A$5:$A$204,0)),0)&gt;0,INDEX(Clients!$O$5:$O$204,MATCH(INDEX(Jobs!$G$5:$G$604,MATCH(G667,Jobs!$A$5:$A$604,0)),Clients!$A$5:$A$204,0)),HourlyRate),2)))</f>
        <v>0</v>
      </c>
      <c r="Z667" s="39">
        <f>IF(F667="","",IF(U667=0,"Add - no hours recorded",IF(O667="Absent - no show","Action - no show",IF(U667&gt;10,"Check - over ten hours in a day",IF(Q667&lt;&gt;"Yes","Due - needs approving",IF(R667&lt;&gt;"Yes","Due - not paid yet","OK"))))))</f>
        <v>0</v>
      </c>
    </row>
    <row r="668" spans="1:26">
      <c r="A668" s="43">
        <f>IF(F668="","","TS-"&amp;TEXT(ROW()-4,"0000"))</f>
        <v>0</v>
      </c>
      <c r="C668" s="23">
        <f>IF(B668="","",TEXT(B668,"ddd"))</f>
        <v>0</v>
      </c>
      <c r="D668" s="31">
        <f>IF(B668="","",WEEKNUM(B668,IF(WeekStart="Sunday",1,2)))</f>
        <v>0</v>
      </c>
      <c r="E668" s="23">
        <f>IF(B668="","",TEXT(B668,"yyyy-mm"))</f>
        <v>0</v>
      </c>
      <c r="H668" s="23">
        <f>IF(G668="","",IFERROR(INDEX(Jobs!$H$5:$H$604,MATCH(G668,Jobs!$A$5:$A$604,0)),""))</f>
        <v>0</v>
      </c>
      <c r="T668" s="34">
        <f>IF(OR(J668="",K668=""),"",ROUND((K668-J668)*24-IF(L668="",0,L668)/60,2))</f>
        <v>0</v>
      </c>
      <c r="U668" s="34">
        <f>IF(F668="","",IF(M668&lt;&gt;"",M668,IF(T668="",0,T668)))</f>
        <v>0</v>
      </c>
      <c r="V668" s="21">
        <f>IF(F668="","",IFERROR(INDEX(Employees!$U$5:$U$44,MATCH(F668,Employees!$B$5:$B$44,0)),PayRate*(1+EmployerOncost)))</f>
        <v>0</v>
      </c>
      <c r="W668" s="34">
        <f>IF(F668="","",MAX(0,U668-IF(N668="",0,N668)))</f>
        <v>0</v>
      </c>
      <c r="X668" s="21">
        <f>IF(F668="","",ROUND(W668*V668+IF(N668="",0,N668)*V668*OvertimeRate,2))</f>
        <v>0</v>
      </c>
      <c r="Y668" s="21">
        <f>IF(F668="","",IF(P668&lt;&gt;"Yes",0,ROUND(U668*IF(IFERROR(INDEX(Clients!$O$5:$O$204,MATCH(IFERROR(INDEX(Jobs!$G$5:$G$604,MATCH(G668,Jobs!$A$5:$A$604,0)),""),Clients!$A$5:$A$204,0)),0)&gt;0,INDEX(Clients!$O$5:$O$204,MATCH(INDEX(Jobs!$G$5:$G$604,MATCH(G668,Jobs!$A$5:$A$604,0)),Clients!$A$5:$A$204,0)),HourlyRate),2)))</f>
        <v>0</v>
      </c>
      <c r="Z668" s="39">
        <f>IF(F668="","",IF(U668=0,"Add - no hours recorded",IF(O668="Absent - no show","Action - no show",IF(U668&gt;10,"Check - over ten hours in a day",IF(Q668&lt;&gt;"Yes","Due - needs approving",IF(R668&lt;&gt;"Yes","Due - not paid yet","OK"))))))</f>
        <v>0</v>
      </c>
    </row>
    <row r="669" spans="1:26">
      <c r="A669" s="43">
        <f>IF(F669="","","TS-"&amp;TEXT(ROW()-4,"0000"))</f>
        <v>0</v>
      </c>
      <c r="C669" s="23">
        <f>IF(B669="","",TEXT(B669,"ddd"))</f>
        <v>0</v>
      </c>
      <c r="D669" s="31">
        <f>IF(B669="","",WEEKNUM(B669,IF(WeekStart="Sunday",1,2)))</f>
        <v>0</v>
      </c>
      <c r="E669" s="23">
        <f>IF(B669="","",TEXT(B669,"yyyy-mm"))</f>
        <v>0</v>
      </c>
      <c r="H669" s="23">
        <f>IF(G669="","",IFERROR(INDEX(Jobs!$H$5:$H$604,MATCH(G669,Jobs!$A$5:$A$604,0)),""))</f>
        <v>0</v>
      </c>
      <c r="T669" s="34">
        <f>IF(OR(J669="",K669=""),"",ROUND((K669-J669)*24-IF(L669="",0,L669)/60,2))</f>
        <v>0</v>
      </c>
      <c r="U669" s="34">
        <f>IF(F669="","",IF(M669&lt;&gt;"",M669,IF(T669="",0,T669)))</f>
        <v>0</v>
      </c>
      <c r="V669" s="21">
        <f>IF(F669="","",IFERROR(INDEX(Employees!$U$5:$U$44,MATCH(F669,Employees!$B$5:$B$44,0)),PayRate*(1+EmployerOncost)))</f>
        <v>0</v>
      </c>
      <c r="W669" s="34">
        <f>IF(F669="","",MAX(0,U669-IF(N669="",0,N669)))</f>
        <v>0</v>
      </c>
      <c r="X669" s="21">
        <f>IF(F669="","",ROUND(W669*V669+IF(N669="",0,N669)*V669*OvertimeRate,2))</f>
        <v>0</v>
      </c>
      <c r="Y669" s="21">
        <f>IF(F669="","",IF(P669&lt;&gt;"Yes",0,ROUND(U669*IF(IFERROR(INDEX(Clients!$O$5:$O$204,MATCH(IFERROR(INDEX(Jobs!$G$5:$G$604,MATCH(G669,Jobs!$A$5:$A$604,0)),""),Clients!$A$5:$A$204,0)),0)&gt;0,INDEX(Clients!$O$5:$O$204,MATCH(INDEX(Jobs!$G$5:$G$604,MATCH(G669,Jobs!$A$5:$A$604,0)),Clients!$A$5:$A$204,0)),HourlyRate),2)))</f>
        <v>0</v>
      </c>
      <c r="Z669" s="39">
        <f>IF(F669="","",IF(U669=0,"Add - no hours recorded",IF(O669="Absent - no show","Action - no show",IF(U669&gt;10,"Check - over ten hours in a day",IF(Q669&lt;&gt;"Yes","Due - needs approving",IF(R669&lt;&gt;"Yes","Due - not paid yet","OK"))))))</f>
        <v>0</v>
      </c>
    </row>
    <row r="670" spans="1:26">
      <c r="A670" s="43">
        <f>IF(F670="","","TS-"&amp;TEXT(ROW()-4,"0000"))</f>
        <v>0</v>
      </c>
      <c r="C670" s="23">
        <f>IF(B670="","",TEXT(B670,"ddd"))</f>
        <v>0</v>
      </c>
      <c r="D670" s="31">
        <f>IF(B670="","",WEEKNUM(B670,IF(WeekStart="Sunday",1,2)))</f>
        <v>0</v>
      </c>
      <c r="E670" s="23">
        <f>IF(B670="","",TEXT(B670,"yyyy-mm"))</f>
        <v>0</v>
      </c>
      <c r="H670" s="23">
        <f>IF(G670="","",IFERROR(INDEX(Jobs!$H$5:$H$604,MATCH(G670,Jobs!$A$5:$A$604,0)),""))</f>
        <v>0</v>
      </c>
      <c r="T670" s="34">
        <f>IF(OR(J670="",K670=""),"",ROUND((K670-J670)*24-IF(L670="",0,L670)/60,2))</f>
        <v>0</v>
      </c>
      <c r="U670" s="34">
        <f>IF(F670="","",IF(M670&lt;&gt;"",M670,IF(T670="",0,T670)))</f>
        <v>0</v>
      </c>
      <c r="V670" s="21">
        <f>IF(F670="","",IFERROR(INDEX(Employees!$U$5:$U$44,MATCH(F670,Employees!$B$5:$B$44,0)),PayRate*(1+EmployerOncost)))</f>
        <v>0</v>
      </c>
      <c r="W670" s="34">
        <f>IF(F670="","",MAX(0,U670-IF(N670="",0,N670)))</f>
        <v>0</v>
      </c>
      <c r="X670" s="21">
        <f>IF(F670="","",ROUND(W670*V670+IF(N670="",0,N670)*V670*OvertimeRate,2))</f>
        <v>0</v>
      </c>
      <c r="Y670" s="21">
        <f>IF(F670="","",IF(P670&lt;&gt;"Yes",0,ROUND(U670*IF(IFERROR(INDEX(Clients!$O$5:$O$204,MATCH(IFERROR(INDEX(Jobs!$G$5:$G$604,MATCH(G670,Jobs!$A$5:$A$604,0)),""),Clients!$A$5:$A$204,0)),0)&gt;0,INDEX(Clients!$O$5:$O$204,MATCH(INDEX(Jobs!$G$5:$G$604,MATCH(G670,Jobs!$A$5:$A$604,0)),Clients!$A$5:$A$204,0)),HourlyRate),2)))</f>
        <v>0</v>
      </c>
      <c r="Z670" s="39">
        <f>IF(F670="","",IF(U670=0,"Add - no hours recorded",IF(O670="Absent - no show","Action - no show",IF(U670&gt;10,"Check - over ten hours in a day",IF(Q670&lt;&gt;"Yes","Due - needs approving",IF(R670&lt;&gt;"Yes","Due - not paid yet","OK"))))))</f>
        <v>0</v>
      </c>
    </row>
    <row r="671" spans="1:26">
      <c r="A671" s="43">
        <f>IF(F671="","","TS-"&amp;TEXT(ROW()-4,"0000"))</f>
        <v>0</v>
      </c>
      <c r="C671" s="23">
        <f>IF(B671="","",TEXT(B671,"ddd"))</f>
        <v>0</v>
      </c>
      <c r="D671" s="31">
        <f>IF(B671="","",WEEKNUM(B671,IF(WeekStart="Sunday",1,2)))</f>
        <v>0</v>
      </c>
      <c r="E671" s="23">
        <f>IF(B671="","",TEXT(B671,"yyyy-mm"))</f>
        <v>0</v>
      </c>
      <c r="H671" s="23">
        <f>IF(G671="","",IFERROR(INDEX(Jobs!$H$5:$H$604,MATCH(G671,Jobs!$A$5:$A$604,0)),""))</f>
        <v>0</v>
      </c>
      <c r="T671" s="34">
        <f>IF(OR(J671="",K671=""),"",ROUND((K671-J671)*24-IF(L671="",0,L671)/60,2))</f>
        <v>0</v>
      </c>
      <c r="U671" s="34">
        <f>IF(F671="","",IF(M671&lt;&gt;"",M671,IF(T671="",0,T671)))</f>
        <v>0</v>
      </c>
      <c r="V671" s="21">
        <f>IF(F671="","",IFERROR(INDEX(Employees!$U$5:$U$44,MATCH(F671,Employees!$B$5:$B$44,0)),PayRate*(1+EmployerOncost)))</f>
        <v>0</v>
      </c>
      <c r="W671" s="34">
        <f>IF(F671="","",MAX(0,U671-IF(N671="",0,N671)))</f>
        <v>0</v>
      </c>
      <c r="X671" s="21">
        <f>IF(F671="","",ROUND(W671*V671+IF(N671="",0,N671)*V671*OvertimeRate,2))</f>
        <v>0</v>
      </c>
      <c r="Y671" s="21">
        <f>IF(F671="","",IF(P671&lt;&gt;"Yes",0,ROUND(U671*IF(IFERROR(INDEX(Clients!$O$5:$O$204,MATCH(IFERROR(INDEX(Jobs!$G$5:$G$604,MATCH(G671,Jobs!$A$5:$A$604,0)),""),Clients!$A$5:$A$204,0)),0)&gt;0,INDEX(Clients!$O$5:$O$204,MATCH(INDEX(Jobs!$G$5:$G$604,MATCH(G671,Jobs!$A$5:$A$604,0)),Clients!$A$5:$A$204,0)),HourlyRate),2)))</f>
        <v>0</v>
      </c>
      <c r="Z671" s="39">
        <f>IF(F671="","",IF(U671=0,"Add - no hours recorded",IF(O671="Absent - no show","Action - no show",IF(U671&gt;10,"Check - over ten hours in a day",IF(Q671&lt;&gt;"Yes","Due - needs approving",IF(R671&lt;&gt;"Yes","Due - not paid yet","OK"))))))</f>
        <v>0</v>
      </c>
    </row>
    <row r="672" spans="1:26">
      <c r="A672" s="43">
        <f>IF(F672="","","TS-"&amp;TEXT(ROW()-4,"0000"))</f>
        <v>0</v>
      </c>
      <c r="C672" s="23">
        <f>IF(B672="","",TEXT(B672,"ddd"))</f>
        <v>0</v>
      </c>
      <c r="D672" s="31">
        <f>IF(B672="","",WEEKNUM(B672,IF(WeekStart="Sunday",1,2)))</f>
        <v>0</v>
      </c>
      <c r="E672" s="23">
        <f>IF(B672="","",TEXT(B672,"yyyy-mm"))</f>
        <v>0</v>
      </c>
      <c r="H672" s="23">
        <f>IF(G672="","",IFERROR(INDEX(Jobs!$H$5:$H$604,MATCH(G672,Jobs!$A$5:$A$604,0)),""))</f>
        <v>0</v>
      </c>
      <c r="T672" s="34">
        <f>IF(OR(J672="",K672=""),"",ROUND((K672-J672)*24-IF(L672="",0,L672)/60,2))</f>
        <v>0</v>
      </c>
      <c r="U672" s="34">
        <f>IF(F672="","",IF(M672&lt;&gt;"",M672,IF(T672="",0,T672)))</f>
        <v>0</v>
      </c>
      <c r="V672" s="21">
        <f>IF(F672="","",IFERROR(INDEX(Employees!$U$5:$U$44,MATCH(F672,Employees!$B$5:$B$44,0)),PayRate*(1+EmployerOncost)))</f>
        <v>0</v>
      </c>
      <c r="W672" s="34">
        <f>IF(F672="","",MAX(0,U672-IF(N672="",0,N672)))</f>
        <v>0</v>
      </c>
      <c r="X672" s="21">
        <f>IF(F672="","",ROUND(W672*V672+IF(N672="",0,N672)*V672*OvertimeRate,2))</f>
        <v>0</v>
      </c>
      <c r="Y672" s="21">
        <f>IF(F672="","",IF(P672&lt;&gt;"Yes",0,ROUND(U672*IF(IFERROR(INDEX(Clients!$O$5:$O$204,MATCH(IFERROR(INDEX(Jobs!$G$5:$G$604,MATCH(G672,Jobs!$A$5:$A$604,0)),""),Clients!$A$5:$A$204,0)),0)&gt;0,INDEX(Clients!$O$5:$O$204,MATCH(INDEX(Jobs!$G$5:$G$604,MATCH(G672,Jobs!$A$5:$A$604,0)),Clients!$A$5:$A$204,0)),HourlyRate),2)))</f>
        <v>0</v>
      </c>
      <c r="Z672" s="39">
        <f>IF(F672="","",IF(U672=0,"Add - no hours recorded",IF(O672="Absent - no show","Action - no show",IF(U672&gt;10,"Check - over ten hours in a day",IF(Q672&lt;&gt;"Yes","Due - needs approving",IF(R672&lt;&gt;"Yes","Due - not paid yet","OK"))))))</f>
        <v>0</v>
      </c>
    </row>
    <row r="673" spans="1:26">
      <c r="A673" s="43">
        <f>IF(F673="","","TS-"&amp;TEXT(ROW()-4,"0000"))</f>
        <v>0</v>
      </c>
      <c r="C673" s="23">
        <f>IF(B673="","",TEXT(B673,"ddd"))</f>
        <v>0</v>
      </c>
      <c r="D673" s="31">
        <f>IF(B673="","",WEEKNUM(B673,IF(WeekStart="Sunday",1,2)))</f>
        <v>0</v>
      </c>
      <c r="E673" s="23">
        <f>IF(B673="","",TEXT(B673,"yyyy-mm"))</f>
        <v>0</v>
      </c>
      <c r="H673" s="23">
        <f>IF(G673="","",IFERROR(INDEX(Jobs!$H$5:$H$604,MATCH(G673,Jobs!$A$5:$A$604,0)),""))</f>
        <v>0</v>
      </c>
      <c r="T673" s="34">
        <f>IF(OR(J673="",K673=""),"",ROUND((K673-J673)*24-IF(L673="",0,L673)/60,2))</f>
        <v>0</v>
      </c>
      <c r="U673" s="34">
        <f>IF(F673="","",IF(M673&lt;&gt;"",M673,IF(T673="",0,T673)))</f>
        <v>0</v>
      </c>
      <c r="V673" s="21">
        <f>IF(F673="","",IFERROR(INDEX(Employees!$U$5:$U$44,MATCH(F673,Employees!$B$5:$B$44,0)),PayRate*(1+EmployerOncost)))</f>
        <v>0</v>
      </c>
      <c r="W673" s="34">
        <f>IF(F673="","",MAX(0,U673-IF(N673="",0,N673)))</f>
        <v>0</v>
      </c>
      <c r="X673" s="21">
        <f>IF(F673="","",ROUND(W673*V673+IF(N673="",0,N673)*V673*OvertimeRate,2))</f>
        <v>0</v>
      </c>
      <c r="Y673" s="21">
        <f>IF(F673="","",IF(P673&lt;&gt;"Yes",0,ROUND(U673*IF(IFERROR(INDEX(Clients!$O$5:$O$204,MATCH(IFERROR(INDEX(Jobs!$G$5:$G$604,MATCH(G673,Jobs!$A$5:$A$604,0)),""),Clients!$A$5:$A$204,0)),0)&gt;0,INDEX(Clients!$O$5:$O$204,MATCH(INDEX(Jobs!$G$5:$G$604,MATCH(G673,Jobs!$A$5:$A$604,0)),Clients!$A$5:$A$204,0)),HourlyRate),2)))</f>
        <v>0</v>
      </c>
      <c r="Z673" s="39">
        <f>IF(F673="","",IF(U673=0,"Add - no hours recorded",IF(O673="Absent - no show","Action - no show",IF(U673&gt;10,"Check - over ten hours in a day",IF(Q673&lt;&gt;"Yes","Due - needs approving",IF(R673&lt;&gt;"Yes","Due - not paid yet","OK"))))))</f>
        <v>0</v>
      </c>
    </row>
    <row r="674" spans="1:26">
      <c r="A674" s="43">
        <f>IF(F674="","","TS-"&amp;TEXT(ROW()-4,"0000"))</f>
        <v>0</v>
      </c>
      <c r="C674" s="23">
        <f>IF(B674="","",TEXT(B674,"ddd"))</f>
        <v>0</v>
      </c>
      <c r="D674" s="31">
        <f>IF(B674="","",WEEKNUM(B674,IF(WeekStart="Sunday",1,2)))</f>
        <v>0</v>
      </c>
      <c r="E674" s="23">
        <f>IF(B674="","",TEXT(B674,"yyyy-mm"))</f>
        <v>0</v>
      </c>
      <c r="H674" s="23">
        <f>IF(G674="","",IFERROR(INDEX(Jobs!$H$5:$H$604,MATCH(G674,Jobs!$A$5:$A$604,0)),""))</f>
        <v>0</v>
      </c>
      <c r="T674" s="34">
        <f>IF(OR(J674="",K674=""),"",ROUND((K674-J674)*24-IF(L674="",0,L674)/60,2))</f>
        <v>0</v>
      </c>
      <c r="U674" s="34">
        <f>IF(F674="","",IF(M674&lt;&gt;"",M674,IF(T674="",0,T674)))</f>
        <v>0</v>
      </c>
      <c r="V674" s="21">
        <f>IF(F674="","",IFERROR(INDEX(Employees!$U$5:$U$44,MATCH(F674,Employees!$B$5:$B$44,0)),PayRate*(1+EmployerOncost)))</f>
        <v>0</v>
      </c>
      <c r="W674" s="34">
        <f>IF(F674="","",MAX(0,U674-IF(N674="",0,N674)))</f>
        <v>0</v>
      </c>
      <c r="X674" s="21">
        <f>IF(F674="","",ROUND(W674*V674+IF(N674="",0,N674)*V674*OvertimeRate,2))</f>
        <v>0</v>
      </c>
      <c r="Y674" s="21">
        <f>IF(F674="","",IF(P674&lt;&gt;"Yes",0,ROUND(U674*IF(IFERROR(INDEX(Clients!$O$5:$O$204,MATCH(IFERROR(INDEX(Jobs!$G$5:$G$604,MATCH(G674,Jobs!$A$5:$A$604,0)),""),Clients!$A$5:$A$204,0)),0)&gt;0,INDEX(Clients!$O$5:$O$204,MATCH(INDEX(Jobs!$G$5:$G$604,MATCH(G674,Jobs!$A$5:$A$604,0)),Clients!$A$5:$A$204,0)),HourlyRate),2)))</f>
        <v>0</v>
      </c>
      <c r="Z674" s="39">
        <f>IF(F674="","",IF(U674=0,"Add - no hours recorded",IF(O674="Absent - no show","Action - no show",IF(U674&gt;10,"Check - over ten hours in a day",IF(Q674&lt;&gt;"Yes","Due - needs approving",IF(R674&lt;&gt;"Yes","Due - not paid yet","OK"))))))</f>
        <v>0</v>
      </c>
    </row>
    <row r="675" spans="1:26">
      <c r="A675" s="43">
        <f>IF(F675="","","TS-"&amp;TEXT(ROW()-4,"0000"))</f>
        <v>0</v>
      </c>
      <c r="C675" s="23">
        <f>IF(B675="","",TEXT(B675,"ddd"))</f>
        <v>0</v>
      </c>
      <c r="D675" s="31">
        <f>IF(B675="","",WEEKNUM(B675,IF(WeekStart="Sunday",1,2)))</f>
        <v>0</v>
      </c>
      <c r="E675" s="23">
        <f>IF(B675="","",TEXT(B675,"yyyy-mm"))</f>
        <v>0</v>
      </c>
      <c r="H675" s="23">
        <f>IF(G675="","",IFERROR(INDEX(Jobs!$H$5:$H$604,MATCH(G675,Jobs!$A$5:$A$604,0)),""))</f>
        <v>0</v>
      </c>
      <c r="T675" s="34">
        <f>IF(OR(J675="",K675=""),"",ROUND((K675-J675)*24-IF(L675="",0,L675)/60,2))</f>
        <v>0</v>
      </c>
      <c r="U675" s="34">
        <f>IF(F675="","",IF(M675&lt;&gt;"",M675,IF(T675="",0,T675)))</f>
        <v>0</v>
      </c>
      <c r="V675" s="21">
        <f>IF(F675="","",IFERROR(INDEX(Employees!$U$5:$U$44,MATCH(F675,Employees!$B$5:$B$44,0)),PayRate*(1+EmployerOncost)))</f>
        <v>0</v>
      </c>
      <c r="W675" s="34">
        <f>IF(F675="","",MAX(0,U675-IF(N675="",0,N675)))</f>
        <v>0</v>
      </c>
      <c r="X675" s="21">
        <f>IF(F675="","",ROUND(W675*V675+IF(N675="",0,N675)*V675*OvertimeRate,2))</f>
        <v>0</v>
      </c>
      <c r="Y675" s="21">
        <f>IF(F675="","",IF(P675&lt;&gt;"Yes",0,ROUND(U675*IF(IFERROR(INDEX(Clients!$O$5:$O$204,MATCH(IFERROR(INDEX(Jobs!$G$5:$G$604,MATCH(G675,Jobs!$A$5:$A$604,0)),""),Clients!$A$5:$A$204,0)),0)&gt;0,INDEX(Clients!$O$5:$O$204,MATCH(INDEX(Jobs!$G$5:$G$604,MATCH(G675,Jobs!$A$5:$A$604,0)),Clients!$A$5:$A$204,0)),HourlyRate),2)))</f>
        <v>0</v>
      </c>
      <c r="Z675" s="39">
        <f>IF(F675="","",IF(U675=0,"Add - no hours recorded",IF(O675="Absent - no show","Action - no show",IF(U675&gt;10,"Check - over ten hours in a day",IF(Q675&lt;&gt;"Yes","Due - needs approving",IF(R675&lt;&gt;"Yes","Due - not paid yet","OK"))))))</f>
        <v>0</v>
      </c>
    </row>
    <row r="676" spans="1:26">
      <c r="A676" s="43">
        <f>IF(F676="","","TS-"&amp;TEXT(ROW()-4,"0000"))</f>
        <v>0</v>
      </c>
      <c r="C676" s="23">
        <f>IF(B676="","",TEXT(B676,"ddd"))</f>
        <v>0</v>
      </c>
      <c r="D676" s="31">
        <f>IF(B676="","",WEEKNUM(B676,IF(WeekStart="Sunday",1,2)))</f>
        <v>0</v>
      </c>
      <c r="E676" s="23">
        <f>IF(B676="","",TEXT(B676,"yyyy-mm"))</f>
        <v>0</v>
      </c>
      <c r="H676" s="23">
        <f>IF(G676="","",IFERROR(INDEX(Jobs!$H$5:$H$604,MATCH(G676,Jobs!$A$5:$A$604,0)),""))</f>
        <v>0</v>
      </c>
      <c r="T676" s="34">
        <f>IF(OR(J676="",K676=""),"",ROUND((K676-J676)*24-IF(L676="",0,L676)/60,2))</f>
        <v>0</v>
      </c>
      <c r="U676" s="34">
        <f>IF(F676="","",IF(M676&lt;&gt;"",M676,IF(T676="",0,T676)))</f>
        <v>0</v>
      </c>
      <c r="V676" s="21">
        <f>IF(F676="","",IFERROR(INDEX(Employees!$U$5:$U$44,MATCH(F676,Employees!$B$5:$B$44,0)),PayRate*(1+EmployerOncost)))</f>
        <v>0</v>
      </c>
      <c r="W676" s="34">
        <f>IF(F676="","",MAX(0,U676-IF(N676="",0,N676)))</f>
        <v>0</v>
      </c>
      <c r="X676" s="21">
        <f>IF(F676="","",ROUND(W676*V676+IF(N676="",0,N676)*V676*OvertimeRate,2))</f>
        <v>0</v>
      </c>
      <c r="Y676" s="21">
        <f>IF(F676="","",IF(P676&lt;&gt;"Yes",0,ROUND(U676*IF(IFERROR(INDEX(Clients!$O$5:$O$204,MATCH(IFERROR(INDEX(Jobs!$G$5:$G$604,MATCH(G676,Jobs!$A$5:$A$604,0)),""),Clients!$A$5:$A$204,0)),0)&gt;0,INDEX(Clients!$O$5:$O$204,MATCH(INDEX(Jobs!$G$5:$G$604,MATCH(G676,Jobs!$A$5:$A$604,0)),Clients!$A$5:$A$204,0)),HourlyRate),2)))</f>
        <v>0</v>
      </c>
      <c r="Z676" s="39">
        <f>IF(F676="","",IF(U676=0,"Add - no hours recorded",IF(O676="Absent - no show","Action - no show",IF(U676&gt;10,"Check - over ten hours in a day",IF(Q676&lt;&gt;"Yes","Due - needs approving",IF(R676&lt;&gt;"Yes","Due - not paid yet","OK"))))))</f>
        <v>0</v>
      </c>
    </row>
    <row r="677" spans="1:26">
      <c r="A677" s="43">
        <f>IF(F677="","","TS-"&amp;TEXT(ROW()-4,"0000"))</f>
        <v>0</v>
      </c>
      <c r="C677" s="23">
        <f>IF(B677="","",TEXT(B677,"ddd"))</f>
        <v>0</v>
      </c>
      <c r="D677" s="31">
        <f>IF(B677="","",WEEKNUM(B677,IF(WeekStart="Sunday",1,2)))</f>
        <v>0</v>
      </c>
      <c r="E677" s="23">
        <f>IF(B677="","",TEXT(B677,"yyyy-mm"))</f>
        <v>0</v>
      </c>
      <c r="H677" s="23">
        <f>IF(G677="","",IFERROR(INDEX(Jobs!$H$5:$H$604,MATCH(G677,Jobs!$A$5:$A$604,0)),""))</f>
        <v>0</v>
      </c>
      <c r="T677" s="34">
        <f>IF(OR(J677="",K677=""),"",ROUND((K677-J677)*24-IF(L677="",0,L677)/60,2))</f>
        <v>0</v>
      </c>
      <c r="U677" s="34">
        <f>IF(F677="","",IF(M677&lt;&gt;"",M677,IF(T677="",0,T677)))</f>
        <v>0</v>
      </c>
      <c r="V677" s="21">
        <f>IF(F677="","",IFERROR(INDEX(Employees!$U$5:$U$44,MATCH(F677,Employees!$B$5:$B$44,0)),PayRate*(1+EmployerOncost)))</f>
        <v>0</v>
      </c>
      <c r="W677" s="34">
        <f>IF(F677="","",MAX(0,U677-IF(N677="",0,N677)))</f>
        <v>0</v>
      </c>
      <c r="X677" s="21">
        <f>IF(F677="","",ROUND(W677*V677+IF(N677="",0,N677)*V677*OvertimeRate,2))</f>
        <v>0</v>
      </c>
      <c r="Y677" s="21">
        <f>IF(F677="","",IF(P677&lt;&gt;"Yes",0,ROUND(U677*IF(IFERROR(INDEX(Clients!$O$5:$O$204,MATCH(IFERROR(INDEX(Jobs!$G$5:$G$604,MATCH(G677,Jobs!$A$5:$A$604,0)),""),Clients!$A$5:$A$204,0)),0)&gt;0,INDEX(Clients!$O$5:$O$204,MATCH(INDEX(Jobs!$G$5:$G$604,MATCH(G677,Jobs!$A$5:$A$604,0)),Clients!$A$5:$A$204,0)),HourlyRate),2)))</f>
        <v>0</v>
      </c>
      <c r="Z677" s="39">
        <f>IF(F677="","",IF(U677=0,"Add - no hours recorded",IF(O677="Absent - no show","Action - no show",IF(U677&gt;10,"Check - over ten hours in a day",IF(Q677&lt;&gt;"Yes","Due - needs approving",IF(R677&lt;&gt;"Yes","Due - not paid yet","OK"))))))</f>
        <v>0</v>
      </c>
    </row>
    <row r="678" spans="1:26">
      <c r="A678" s="43">
        <f>IF(F678="","","TS-"&amp;TEXT(ROW()-4,"0000"))</f>
        <v>0</v>
      </c>
      <c r="C678" s="23">
        <f>IF(B678="","",TEXT(B678,"ddd"))</f>
        <v>0</v>
      </c>
      <c r="D678" s="31">
        <f>IF(B678="","",WEEKNUM(B678,IF(WeekStart="Sunday",1,2)))</f>
        <v>0</v>
      </c>
      <c r="E678" s="23">
        <f>IF(B678="","",TEXT(B678,"yyyy-mm"))</f>
        <v>0</v>
      </c>
      <c r="H678" s="23">
        <f>IF(G678="","",IFERROR(INDEX(Jobs!$H$5:$H$604,MATCH(G678,Jobs!$A$5:$A$604,0)),""))</f>
        <v>0</v>
      </c>
      <c r="T678" s="34">
        <f>IF(OR(J678="",K678=""),"",ROUND((K678-J678)*24-IF(L678="",0,L678)/60,2))</f>
        <v>0</v>
      </c>
      <c r="U678" s="34">
        <f>IF(F678="","",IF(M678&lt;&gt;"",M678,IF(T678="",0,T678)))</f>
        <v>0</v>
      </c>
      <c r="V678" s="21">
        <f>IF(F678="","",IFERROR(INDEX(Employees!$U$5:$U$44,MATCH(F678,Employees!$B$5:$B$44,0)),PayRate*(1+EmployerOncost)))</f>
        <v>0</v>
      </c>
      <c r="W678" s="34">
        <f>IF(F678="","",MAX(0,U678-IF(N678="",0,N678)))</f>
        <v>0</v>
      </c>
      <c r="X678" s="21">
        <f>IF(F678="","",ROUND(W678*V678+IF(N678="",0,N678)*V678*OvertimeRate,2))</f>
        <v>0</v>
      </c>
      <c r="Y678" s="21">
        <f>IF(F678="","",IF(P678&lt;&gt;"Yes",0,ROUND(U678*IF(IFERROR(INDEX(Clients!$O$5:$O$204,MATCH(IFERROR(INDEX(Jobs!$G$5:$G$604,MATCH(G678,Jobs!$A$5:$A$604,0)),""),Clients!$A$5:$A$204,0)),0)&gt;0,INDEX(Clients!$O$5:$O$204,MATCH(INDEX(Jobs!$G$5:$G$604,MATCH(G678,Jobs!$A$5:$A$604,0)),Clients!$A$5:$A$204,0)),HourlyRate),2)))</f>
        <v>0</v>
      </c>
      <c r="Z678" s="39">
        <f>IF(F678="","",IF(U678=0,"Add - no hours recorded",IF(O678="Absent - no show","Action - no show",IF(U678&gt;10,"Check - over ten hours in a day",IF(Q678&lt;&gt;"Yes","Due - needs approving",IF(R678&lt;&gt;"Yes","Due - not paid yet","OK"))))))</f>
        <v>0</v>
      </c>
    </row>
    <row r="679" spans="1:26">
      <c r="A679" s="43">
        <f>IF(F679="","","TS-"&amp;TEXT(ROW()-4,"0000"))</f>
        <v>0</v>
      </c>
      <c r="C679" s="23">
        <f>IF(B679="","",TEXT(B679,"ddd"))</f>
        <v>0</v>
      </c>
      <c r="D679" s="31">
        <f>IF(B679="","",WEEKNUM(B679,IF(WeekStart="Sunday",1,2)))</f>
        <v>0</v>
      </c>
      <c r="E679" s="23">
        <f>IF(B679="","",TEXT(B679,"yyyy-mm"))</f>
        <v>0</v>
      </c>
      <c r="H679" s="23">
        <f>IF(G679="","",IFERROR(INDEX(Jobs!$H$5:$H$604,MATCH(G679,Jobs!$A$5:$A$604,0)),""))</f>
        <v>0</v>
      </c>
      <c r="T679" s="34">
        <f>IF(OR(J679="",K679=""),"",ROUND((K679-J679)*24-IF(L679="",0,L679)/60,2))</f>
        <v>0</v>
      </c>
      <c r="U679" s="34">
        <f>IF(F679="","",IF(M679&lt;&gt;"",M679,IF(T679="",0,T679)))</f>
        <v>0</v>
      </c>
      <c r="V679" s="21">
        <f>IF(F679="","",IFERROR(INDEX(Employees!$U$5:$U$44,MATCH(F679,Employees!$B$5:$B$44,0)),PayRate*(1+EmployerOncost)))</f>
        <v>0</v>
      </c>
      <c r="W679" s="34">
        <f>IF(F679="","",MAX(0,U679-IF(N679="",0,N679)))</f>
        <v>0</v>
      </c>
      <c r="X679" s="21">
        <f>IF(F679="","",ROUND(W679*V679+IF(N679="",0,N679)*V679*OvertimeRate,2))</f>
        <v>0</v>
      </c>
      <c r="Y679" s="21">
        <f>IF(F679="","",IF(P679&lt;&gt;"Yes",0,ROUND(U679*IF(IFERROR(INDEX(Clients!$O$5:$O$204,MATCH(IFERROR(INDEX(Jobs!$G$5:$G$604,MATCH(G679,Jobs!$A$5:$A$604,0)),""),Clients!$A$5:$A$204,0)),0)&gt;0,INDEX(Clients!$O$5:$O$204,MATCH(INDEX(Jobs!$G$5:$G$604,MATCH(G679,Jobs!$A$5:$A$604,0)),Clients!$A$5:$A$204,0)),HourlyRate),2)))</f>
        <v>0</v>
      </c>
      <c r="Z679" s="39">
        <f>IF(F679="","",IF(U679=0,"Add - no hours recorded",IF(O679="Absent - no show","Action - no show",IF(U679&gt;10,"Check - over ten hours in a day",IF(Q679&lt;&gt;"Yes","Due - needs approving",IF(R679&lt;&gt;"Yes","Due - not paid yet","OK"))))))</f>
        <v>0</v>
      </c>
    </row>
    <row r="680" spans="1:26">
      <c r="A680" s="43">
        <f>IF(F680="","","TS-"&amp;TEXT(ROW()-4,"0000"))</f>
        <v>0</v>
      </c>
      <c r="C680" s="23">
        <f>IF(B680="","",TEXT(B680,"ddd"))</f>
        <v>0</v>
      </c>
      <c r="D680" s="31">
        <f>IF(B680="","",WEEKNUM(B680,IF(WeekStart="Sunday",1,2)))</f>
        <v>0</v>
      </c>
      <c r="E680" s="23">
        <f>IF(B680="","",TEXT(B680,"yyyy-mm"))</f>
        <v>0</v>
      </c>
      <c r="H680" s="23">
        <f>IF(G680="","",IFERROR(INDEX(Jobs!$H$5:$H$604,MATCH(G680,Jobs!$A$5:$A$604,0)),""))</f>
        <v>0</v>
      </c>
      <c r="T680" s="34">
        <f>IF(OR(J680="",K680=""),"",ROUND((K680-J680)*24-IF(L680="",0,L680)/60,2))</f>
        <v>0</v>
      </c>
      <c r="U680" s="34">
        <f>IF(F680="","",IF(M680&lt;&gt;"",M680,IF(T680="",0,T680)))</f>
        <v>0</v>
      </c>
      <c r="V680" s="21">
        <f>IF(F680="","",IFERROR(INDEX(Employees!$U$5:$U$44,MATCH(F680,Employees!$B$5:$B$44,0)),PayRate*(1+EmployerOncost)))</f>
        <v>0</v>
      </c>
      <c r="W680" s="34">
        <f>IF(F680="","",MAX(0,U680-IF(N680="",0,N680)))</f>
        <v>0</v>
      </c>
      <c r="X680" s="21">
        <f>IF(F680="","",ROUND(W680*V680+IF(N680="",0,N680)*V680*OvertimeRate,2))</f>
        <v>0</v>
      </c>
      <c r="Y680" s="21">
        <f>IF(F680="","",IF(P680&lt;&gt;"Yes",0,ROUND(U680*IF(IFERROR(INDEX(Clients!$O$5:$O$204,MATCH(IFERROR(INDEX(Jobs!$G$5:$G$604,MATCH(G680,Jobs!$A$5:$A$604,0)),""),Clients!$A$5:$A$204,0)),0)&gt;0,INDEX(Clients!$O$5:$O$204,MATCH(INDEX(Jobs!$G$5:$G$604,MATCH(G680,Jobs!$A$5:$A$604,0)),Clients!$A$5:$A$204,0)),HourlyRate),2)))</f>
        <v>0</v>
      </c>
      <c r="Z680" s="39">
        <f>IF(F680="","",IF(U680=0,"Add - no hours recorded",IF(O680="Absent - no show","Action - no show",IF(U680&gt;10,"Check - over ten hours in a day",IF(Q680&lt;&gt;"Yes","Due - needs approving",IF(R680&lt;&gt;"Yes","Due - not paid yet","OK"))))))</f>
        <v>0</v>
      </c>
    </row>
    <row r="681" spans="1:26">
      <c r="A681" s="43">
        <f>IF(F681="","","TS-"&amp;TEXT(ROW()-4,"0000"))</f>
        <v>0</v>
      </c>
      <c r="C681" s="23">
        <f>IF(B681="","",TEXT(B681,"ddd"))</f>
        <v>0</v>
      </c>
      <c r="D681" s="31">
        <f>IF(B681="","",WEEKNUM(B681,IF(WeekStart="Sunday",1,2)))</f>
        <v>0</v>
      </c>
      <c r="E681" s="23">
        <f>IF(B681="","",TEXT(B681,"yyyy-mm"))</f>
        <v>0</v>
      </c>
      <c r="H681" s="23">
        <f>IF(G681="","",IFERROR(INDEX(Jobs!$H$5:$H$604,MATCH(G681,Jobs!$A$5:$A$604,0)),""))</f>
        <v>0</v>
      </c>
      <c r="T681" s="34">
        <f>IF(OR(J681="",K681=""),"",ROUND((K681-J681)*24-IF(L681="",0,L681)/60,2))</f>
        <v>0</v>
      </c>
      <c r="U681" s="34">
        <f>IF(F681="","",IF(M681&lt;&gt;"",M681,IF(T681="",0,T681)))</f>
        <v>0</v>
      </c>
      <c r="V681" s="21">
        <f>IF(F681="","",IFERROR(INDEX(Employees!$U$5:$U$44,MATCH(F681,Employees!$B$5:$B$44,0)),PayRate*(1+EmployerOncost)))</f>
        <v>0</v>
      </c>
      <c r="W681" s="34">
        <f>IF(F681="","",MAX(0,U681-IF(N681="",0,N681)))</f>
        <v>0</v>
      </c>
      <c r="X681" s="21">
        <f>IF(F681="","",ROUND(W681*V681+IF(N681="",0,N681)*V681*OvertimeRate,2))</f>
        <v>0</v>
      </c>
      <c r="Y681" s="21">
        <f>IF(F681="","",IF(P681&lt;&gt;"Yes",0,ROUND(U681*IF(IFERROR(INDEX(Clients!$O$5:$O$204,MATCH(IFERROR(INDEX(Jobs!$G$5:$G$604,MATCH(G681,Jobs!$A$5:$A$604,0)),""),Clients!$A$5:$A$204,0)),0)&gt;0,INDEX(Clients!$O$5:$O$204,MATCH(INDEX(Jobs!$G$5:$G$604,MATCH(G681,Jobs!$A$5:$A$604,0)),Clients!$A$5:$A$204,0)),HourlyRate),2)))</f>
        <v>0</v>
      </c>
      <c r="Z681" s="39">
        <f>IF(F681="","",IF(U681=0,"Add - no hours recorded",IF(O681="Absent - no show","Action - no show",IF(U681&gt;10,"Check - over ten hours in a day",IF(Q681&lt;&gt;"Yes","Due - needs approving",IF(R681&lt;&gt;"Yes","Due - not paid yet","OK"))))))</f>
        <v>0</v>
      </c>
    </row>
    <row r="682" spans="1:26">
      <c r="A682" s="43">
        <f>IF(F682="","","TS-"&amp;TEXT(ROW()-4,"0000"))</f>
        <v>0</v>
      </c>
      <c r="C682" s="23">
        <f>IF(B682="","",TEXT(B682,"ddd"))</f>
        <v>0</v>
      </c>
      <c r="D682" s="31">
        <f>IF(B682="","",WEEKNUM(B682,IF(WeekStart="Sunday",1,2)))</f>
        <v>0</v>
      </c>
      <c r="E682" s="23">
        <f>IF(B682="","",TEXT(B682,"yyyy-mm"))</f>
        <v>0</v>
      </c>
      <c r="H682" s="23">
        <f>IF(G682="","",IFERROR(INDEX(Jobs!$H$5:$H$604,MATCH(G682,Jobs!$A$5:$A$604,0)),""))</f>
        <v>0</v>
      </c>
      <c r="T682" s="34">
        <f>IF(OR(J682="",K682=""),"",ROUND((K682-J682)*24-IF(L682="",0,L682)/60,2))</f>
        <v>0</v>
      </c>
      <c r="U682" s="34">
        <f>IF(F682="","",IF(M682&lt;&gt;"",M682,IF(T682="",0,T682)))</f>
        <v>0</v>
      </c>
      <c r="V682" s="21">
        <f>IF(F682="","",IFERROR(INDEX(Employees!$U$5:$U$44,MATCH(F682,Employees!$B$5:$B$44,0)),PayRate*(1+EmployerOncost)))</f>
        <v>0</v>
      </c>
      <c r="W682" s="34">
        <f>IF(F682="","",MAX(0,U682-IF(N682="",0,N682)))</f>
        <v>0</v>
      </c>
      <c r="X682" s="21">
        <f>IF(F682="","",ROUND(W682*V682+IF(N682="",0,N682)*V682*OvertimeRate,2))</f>
        <v>0</v>
      </c>
      <c r="Y682" s="21">
        <f>IF(F682="","",IF(P682&lt;&gt;"Yes",0,ROUND(U682*IF(IFERROR(INDEX(Clients!$O$5:$O$204,MATCH(IFERROR(INDEX(Jobs!$G$5:$G$604,MATCH(G682,Jobs!$A$5:$A$604,0)),""),Clients!$A$5:$A$204,0)),0)&gt;0,INDEX(Clients!$O$5:$O$204,MATCH(INDEX(Jobs!$G$5:$G$604,MATCH(G682,Jobs!$A$5:$A$604,0)),Clients!$A$5:$A$204,0)),HourlyRate),2)))</f>
        <v>0</v>
      </c>
      <c r="Z682" s="39">
        <f>IF(F682="","",IF(U682=0,"Add - no hours recorded",IF(O682="Absent - no show","Action - no show",IF(U682&gt;10,"Check - over ten hours in a day",IF(Q682&lt;&gt;"Yes","Due - needs approving",IF(R682&lt;&gt;"Yes","Due - not paid yet","OK"))))))</f>
        <v>0</v>
      </c>
    </row>
    <row r="683" spans="1:26">
      <c r="A683" s="43">
        <f>IF(F683="","","TS-"&amp;TEXT(ROW()-4,"0000"))</f>
        <v>0</v>
      </c>
      <c r="C683" s="23">
        <f>IF(B683="","",TEXT(B683,"ddd"))</f>
        <v>0</v>
      </c>
      <c r="D683" s="31">
        <f>IF(B683="","",WEEKNUM(B683,IF(WeekStart="Sunday",1,2)))</f>
        <v>0</v>
      </c>
      <c r="E683" s="23">
        <f>IF(B683="","",TEXT(B683,"yyyy-mm"))</f>
        <v>0</v>
      </c>
      <c r="H683" s="23">
        <f>IF(G683="","",IFERROR(INDEX(Jobs!$H$5:$H$604,MATCH(G683,Jobs!$A$5:$A$604,0)),""))</f>
        <v>0</v>
      </c>
      <c r="T683" s="34">
        <f>IF(OR(J683="",K683=""),"",ROUND((K683-J683)*24-IF(L683="",0,L683)/60,2))</f>
        <v>0</v>
      </c>
      <c r="U683" s="34">
        <f>IF(F683="","",IF(M683&lt;&gt;"",M683,IF(T683="",0,T683)))</f>
        <v>0</v>
      </c>
      <c r="V683" s="21">
        <f>IF(F683="","",IFERROR(INDEX(Employees!$U$5:$U$44,MATCH(F683,Employees!$B$5:$B$44,0)),PayRate*(1+EmployerOncost)))</f>
        <v>0</v>
      </c>
      <c r="W683" s="34">
        <f>IF(F683="","",MAX(0,U683-IF(N683="",0,N683)))</f>
        <v>0</v>
      </c>
      <c r="X683" s="21">
        <f>IF(F683="","",ROUND(W683*V683+IF(N683="",0,N683)*V683*OvertimeRate,2))</f>
        <v>0</v>
      </c>
      <c r="Y683" s="21">
        <f>IF(F683="","",IF(P683&lt;&gt;"Yes",0,ROUND(U683*IF(IFERROR(INDEX(Clients!$O$5:$O$204,MATCH(IFERROR(INDEX(Jobs!$G$5:$G$604,MATCH(G683,Jobs!$A$5:$A$604,0)),""),Clients!$A$5:$A$204,0)),0)&gt;0,INDEX(Clients!$O$5:$O$204,MATCH(INDEX(Jobs!$G$5:$G$604,MATCH(G683,Jobs!$A$5:$A$604,0)),Clients!$A$5:$A$204,0)),HourlyRate),2)))</f>
        <v>0</v>
      </c>
      <c r="Z683" s="39">
        <f>IF(F683="","",IF(U683=0,"Add - no hours recorded",IF(O683="Absent - no show","Action - no show",IF(U683&gt;10,"Check - over ten hours in a day",IF(Q683&lt;&gt;"Yes","Due - needs approving",IF(R683&lt;&gt;"Yes","Due - not paid yet","OK"))))))</f>
        <v>0</v>
      </c>
    </row>
    <row r="684" spans="1:26">
      <c r="A684" s="43">
        <f>IF(F684="","","TS-"&amp;TEXT(ROW()-4,"0000"))</f>
        <v>0</v>
      </c>
      <c r="C684" s="23">
        <f>IF(B684="","",TEXT(B684,"ddd"))</f>
        <v>0</v>
      </c>
      <c r="D684" s="31">
        <f>IF(B684="","",WEEKNUM(B684,IF(WeekStart="Sunday",1,2)))</f>
        <v>0</v>
      </c>
      <c r="E684" s="23">
        <f>IF(B684="","",TEXT(B684,"yyyy-mm"))</f>
        <v>0</v>
      </c>
      <c r="H684" s="23">
        <f>IF(G684="","",IFERROR(INDEX(Jobs!$H$5:$H$604,MATCH(G684,Jobs!$A$5:$A$604,0)),""))</f>
        <v>0</v>
      </c>
      <c r="T684" s="34">
        <f>IF(OR(J684="",K684=""),"",ROUND((K684-J684)*24-IF(L684="",0,L684)/60,2))</f>
        <v>0</v>
      </c>
      <c r="U684" s="34">
        <f>IF(F684="","",IF(M684&lt;&gt;"",M684,IF(T684="",0,T684)))</f>
        <v>0</v>
      </c>
      <c r="V684" s="21">
        <f>IF(F684="","",IFERROR(INDEX(Employees!$U$5:$U$44,MATCH(F684,Employees!$B$5:$B$44,0)),PayRate*(1+EmployerOncost)))</f>
        <v>0</v>
      </c>
      <c r="W684" s="34">
        <f>IF(F684="","",MAX(0,U684-IF(N684="",0,N684)))</f>
        <v>0</v>
      </c>
      <c r="X684" s="21">
        <f>IF(F684="","",ROUND(W684*V684+IF(N684="",0,N684)*V684*OvertimeRate,2))</f>
        <v>0</v>
      </c>
      <c r="Y684" s="21">
        <f>IF(F684="","",IF(P684&lt;&gt;"Yes",0,ROUND(U684*IF(IFERROR(INDEX(Clients!$O$5:$O$204,MATCH(IFERROR(INDEX(Jobs!$G$5:$G$604,MATCH(G684,Jobs!$A$5:$A$604,0)),""),Clients!$A$5:$A$204,0)),0)&gt;0,INDEX(Clients!$O$5:$O$204,MATCH(INDEX(Jobs!$G$5:$G$604,MATCH(G684,Jobs!$A$5:$A$604,0)),Clients!$A$5:$A$204,0)),HourlyRate),2)))</f>
        <v>0</v>
      </c>
      <c r="Z684" s="39">
        <f>IF(F684="","",IF(U684=0,"Add - no hours recorded",IF(O684="Absent - no show","Action - no show",IF(U684&gt;10,"Check - over ten hours in a day",IF(Q684&lt;&gt;"Yes","Due - needs approving",IF(R684&lt;&gt;"Yes","Due - not paid yet","OK"))))))</f>
        <v>0</v>
      </c>
    </row>
    <row r="685" spans="1:26">
      <c r="A685" s="43">
        <f>IF(F685="","","TS-"&amp;TEXT(ROW()-4,"0000"))</f>
        <v>0</v>
      </c>
      <c r="C685" s="23">
        <f>IF(B685="","",TEXT(B685,"ddd"))</f>
        <v>0</v>
      </c>
      <c r="D685" s="31">
        <f>IF(B685="","",WEEKNUM(B685,IF(WeekStart="Sunday",1,2)))</f>
        <v>0</v>
      </c>
      <c r="E685" s="23">
        <f>IF(B685="","",TEXT(B685,"yyyy-mm"))</f>
        <v>0</v>
      </c>
      <c r="H685" s="23">
        <f>IF(G685="","",IFERROR(INDEX(Jobs!$H$5:$H$604,MATCH(G685,Jobs!$A$5:$A$604,0)),""))</f>
        <v>0</v>
      </c>
      <c r="T685" s="34">
        <f>IF(OR(J685="",K685=""),"",ROUND((K685-J685)*24-IF(L685="",0,L685)/60,2))</f>
        <v>0</v>
      </c>
      <c r="U685" s="34">
        <f>IF(F685="","",IF(M685&lt;&gt;"",M685,IF(T685="",0,T685)))</f>
        <v>0</v>
      </c>
      <c r="V685" s="21">
        <f>IF(F685="","",IFERROR(INDEX(Employees!$U$5:$U$44,MATCH(F685,Employees!$B$5:$B$44,0)),PayRate*(1+EmployerOncost)))</f>
        <v>0</v>
      </c>
      <c r="W685" s="34">
        <f>IF(F685="","",MAX(0,U685-IF(N685="",0,N685)))</f>
        <v>0</v>
      </c>
      <c r="X685" s="21">
        <f>IF(F685="","",ROUND(W685*V685+IF(N685="",0,N685)*V685*OvertimeRate,2))</f>
        <v>0</v>
      </c>
      <c r="Y685" s="21">
        <f>IF(F685="","",IF(P685&lt;&gt;"Yes",0,ROUND(U685*IF(IFERROR(INDEX(Clients!$O$5:$O$204,MATCH(IFERROR(INDEX(Jobs!$G$5:$G$604,MATCH(G685,Jobs!$A$5:$A$604,0)),""),Clients!$A$5:$A$204,0)),0)&gt;0,INDEX(Clients!$O$5:$O$204,MATCH(INDEX(Jobs!$G$5:$G$604,MATCH(G685,Jobs!$A$5:$A$604,0)),Clients!$A$5:$A$204,0)),HourlyRate),2)))</f>
        <v>0</v>
      </c>
      <c r="Z685" s="39">
        <f>IF(F685="","",IF(U685=0,"Add - no hours recorded",IF(O685="Absent - no show","Action - no show",IF(U685&gt;10,"Check - over ten hours in a day",IF(Q685&lt;&gt;"Yes","Due - needs approving",IF(R685&lt;&gt;"Yes","Due - not paid yet","OK"))))))</f>
        <v>0</v>
      </c>
    </row>
    <row r="686" spans="1:26">
      <c r="A686" s="43">
        <f>IF(F686="","","TS-"&amp;TEXT(ROW()-4,"0000"))</f>
        <v>0</v>
      </c>
      <c r="C686" s="23">
        <f>IF(B686="","",TEXT(B686,"ddd"))</f>
        <v>0</v>
      </c>
      <c r="D686" s="31">
        <f>IF(B686="","",WEEKNUM(B686,IF(WeekStart="Sunday",1,2)))</f>
        <v>0</v>
      </c>
      <c r="E686" s="23">
        <f>IF(B686="","",TEXT(B686,"yyyy-mm"))</f>
        <v>0</v>
      </c>
      <c r="H686" s="23">
        <f>IF(G686="","",IFERROR(INDEX(Jobs!$H$5:$H$604,MATCH(G686,Jobs!$A$5:$A$604,0)),""))</f>
        <v>0</v>
      </c>
      <c r="T686" s="34">
        <f>IF(OR(J686="",K686=""),"",ROUND((K686-J686)*24-IF(L686="",0,L686)/60,2))</f>
        <v>0</v>
      </c>
      <c r="U686" s="34">
        <f>IF(F686="","",IF(M686&lt;&gt;"",M686,IF(T686="",0,T686)))</f>
        <v>0</v>
      </c>
      <c r="V686" s="21">
        <f>IF(F686="","",IFERROR(INDEX(Employees!$U$5:$U$44,MATCH(F686,Employees!$B$5:$B$44,0)),PayRate*(1+EmployerOncost)))</f>
        <v>0</v>
      </c>
      <c r="W686" s="34">
        <f>IF(F686="","",MAX(0,U686-IF(N686="",0,N686)))</f>
        <v>0</v>
      </c>
      <c r="X686" s="21">
        <f>IF(F686="","",ROUND(W686*V686+IF(N686="",0,N686)*V686*OvertimeRate,2))</f>
        <v>0</v>
      </c>
      <c r="Y686" s="21">
        <f>IF(F686="","",IF(P686&lt;&gt;"Yes",0,ROUND(U686*IF(IFERROR(INDEX(Clients!$O$5:$O$204,MATCH(IFERROR(INDEX(Jobs!$G$5:$G$604,MATCH(G686,Jobs!$A$5:$A$604,0)),""),Clients!$A$5:$A$204,0)),0)&gt;0,INDEX(Clients!$O$5:$O$204,MATCH(INDEX(Jobs!$G$5:$G$604,MATCH(G686,Jobs!$A$5:$A$604,0)),Clients!$A$5:$A$204,0)),HourlyRate),2)))</f>
        <v>0</v>
      </c>
      <c r="Z686" s="39">
        <f>IF(F686="","",IF(U686=0,"Add - no hours recorded",IF(O686="Absent - no show","Action - no show",IF(U686&gt;10,"Check - over ten hours in a day",IF(Q686&lt;&gt;"Yes","Due - needs approving",IF(R686&lt;&gt;"Yes","Due - not paid yet","OK"))))))</f>
        <v>0</v>
      </c>
    </row>
    <row r="687" spans="1:26">
      <c r="A687" s="43">
        <f>IF(F687="","","TS-"&amp;TEXT(ROW()-4,"0000"))</f>
        <v>0</v>
      </c>
      <c r="C687" s="23">
        <f>IF(B687="","",TEXT(B687,"ddd"))</f>
        <v>0</v>
      </c>
      <c r="D687" s="31">
        <f>IF(B687="","",WEEKNUM(B687,IF(WeekStart="Sunday",1,2)))</f>
        <v>0</v>
      </c>
      <c r="E687" s="23">
        <f>IF(B687="","",TEXT(B687,"yyyy-mm"))</f>
        <v>0</v>
      </c>
      <c r="H687" s="23">
        <f>IF(G687="","",IFERROR(INDEX(Jobs!$H$5:$H$604,MATCH(G687,Jobs!$A$5:$A$604,0)),""))</f>
        <v>0</v>
      </c>
      <c r="T687" s="34">
        <f>IF(OR(J687="",K687=""),"",ROUND((K687-J687)*24-IF(L687="",0,L687)/60,2))</f>
        <v>0</v>
      </c>
      <c r="U687" s="34">
        <f>IF(F687="","",IF(M687&lt;&gt;"",M687,IF(T687="",0,T687)))</f>
        <v>0</v>
      </c>
      <c r="V687" s="21">
        <f>IF(F687="","",IFERROR(INDEX(Employees!$U$5:$U$44,MATCH(F687,Employees!$B$5:$B$44,0)),PayRate*(1+EmployerOncost)))</f>
        <v>0</v>
      </c>
      <c r="W687" s="34">
        <f>IF(F687="","",MAX(0,U687-IF(N687="",0,N687)))</f>
        <v>0</v>
      </c>
      <c r="X687" s="21">
        <f>IF(F687="","",ROUND(W687*V687+IF(N687="",0,N687)*V687*OvertimeRate,2))</f>
        <v>0</v>
      </c>
      <c r="Y687" s="21">
        <f>IF(F687="","",IF(P687&lt;&gt;"Yes",0,ROUND(U687*IF(IFERROR(INDEX(Clients!$O$5:$O$204,MATCH(IFERROR(INDEX(Jobs!$G$5:$G$604,MATCH(G687,Jobs!$A$5:$A$604,0)),""),Clients!$A$5:$A$204,0)),0)&gt;0,INDEX(Clients!$O$5:$O$204,MATCH(INDEX(Jobs!$G$5:$G$604,MATCH(G687,Jobs!$A$5:$A$604,0)),Clients!$A$5:$A$204,0)),HourlyRate),2)))</f>
        <v>0</v>
      </c>
      <c r="Z687" s="39">
        <f>IF(F687="","",IF(U687=0,"Add - no hours recorded",IF(O687="Absent - no show","Action - no show",IF(U687&gt;10,"Check - over ten hours in a day",IF(Q687&lt;&gt;"Yes","Due - needs approving",IF(R687&lt;&gt;"Yes","Due - not paid yet","OK"))))))</f>
        <v>0</v>
      </c>
    </row>
    <row r="688" spans="1:26">
      <c r="A688" s="43">
        <f>IF(F688="","","TS-"&amp;TEXT(ROW()-4,"0000"))</f>
        <v>0</v>
      </c>
      <c r="C688" s="23">
        <f>IF(B688="","",TEXT(B688,"ddd"))</f>
        <v>0</v>
      </c>
      <c r="D688" s="31">
        <f>IF(B688="","",WEEKNUM(B688,IF(WeekStart="Sunday",1,2)))</f>
        <v>0</v>
      </c>
      <c r="E688" s="23">
        <f>IF(B688="","",TEXT(B688,"yyyy-mm"))</f>
        <v>0</v>
      </c>
      <c r="H688" s="23">
        <f>IF(G688="","",IFERROR(INDEX(Jobs!$H$5:$H$604,MATCH(G688,Jobs!$A$5:$A$604,0)),""))</f>
        <v>0</v>
      </c>
      <c r="T688" s="34">
        <f>IF(OR(J688="",K688=""),"",ROUND((K688-J688)*24-IF(L688="",0,L688)/60,2))</f>
        <v>0</v>
      </c>
      <c r="U688" s="34">
        <f>IF(F688="","",IF(M688&lt;&gt;"",M688,IF(T688="",0,T688)))</f>
        <v>0</v>
      </c>
      <c r="V688" s="21">
        <f>IF(F688="","",IFERROR(INDEX(Employees!$U$5:$U$44,MATCH(F688,Employees!$B$5:$B$44,0)),PayRate*(1+EmployerOncost)))</f>
        <v>0</v>
      </c>
      <c r="W688" s="34">
        <f>IF(F688="","",MAX(0,U688-IF(N688="",0,N688)))</f>
        <v>0</v>
      </c>
      <c r="X688" s="21">
        <f>IF(F688="","",ROUND(W688*V688+IF(N688="",0,N688)*V688*OvertimeRate,2))</f>
        <v>0</v>
      </c>
      <c r="Y688" s="21">
        <f>IF(F688="","",IF(P688&lt;&gt;"Yes",0,ROUND(U688*IF(IFERROR(INDEX(Clients!$O$5:$O$204,MATCH(IFERROR(INDEX(Jobs!$G$5:$G$604,MATCH(G688,Jobs!$A$5:$A$604,0)),""),Clients!$A$5:$A$204,0)),0)&gt;0,INDEX(Clients!$O$5:$O$204,MATCH(INDEX(Jobs!$G$5:$G$604,MATCH(G688,Jobs!$A$5:$A$604,0)),Clients!$A$5:$A$204,0)),HourlyRate),2)))</f>
        <v>0</v>
      </c>
      <c r="Z688" s="39">
        <f>IF(F688="","",IF(U688=0,"Add - no hours recorded",IF(O688="Absent - no show","Action - no show",IF(U688&gt;10,"Check - over ten hours in a day",IF(Q688&lt;&gt;"Yes","Due - needs approving",IF(R688&lt;&gt;"Yes","Due - not paid yet","OK"))))))</f>
        <v>0</v>
      </c>
    </row>
    <row r="689" spans="1:26">
      <c r="A689" s="43">
        <f>IF(F689="","","TS-"&amp;TEXT(ROW()-4,"0000"))</f>
        <v>0</v>
      </c>
      <c r="C689" s="23">
        <f>IF(B689="","",TEXT(B689,"ddd"))</f>
        <v>0</v>
      </c>
      <c r="D689" s="31">
        <f>IF(B689="","",WEEKNUM(B689,IF(WeekStart="Sunday",1,2)))</f>
        <v>0</v>
      </c>
      <c r="E689" s="23">
        <f>IF(B689="","",TEXT(B689,"yyyy-mm"))</f>
        <v>0</v>
      </c>
      <c r="H689" s="23">
        <f>IF(G689="","",IFERROR(INDEX(Jobs!$H$5:$H$604,MATCH(G689,Jobs!$A$5:$A$604,0)),""))</f>
        <v>0</v>
      </c>
      <c r="T689" s="34">
        <f>IF(OR(J689="",K689=""),"",ROUND((K689-J689)*24-IF(L689="",0,L689)/60,2))</f>
        <v>0</v>
      </c>
      <c r="U689" s="34">
        <f>IF(F689="","",IF(M689&lt;&gt;"",M689,IF(T689="",0,T689)))</f>
        <v>0</v>
      </c>
      <c r="V689" s="21">
        <f>IF(F689="","",IFERROR(INDEX(Employees!$U$5:$U$44,MATCH(F689,Employees!$B$5:$B$44,0)),PayRate*(1+EmployerOncost)))</f>
        <v>0</v>
      </c>
      <c r="W689" s="34">
        <f>IF(F689="","",MAX(0,U689-IF(N689="",0,N689)))</f>
        <v>0</v>
      </c>
      <c r="X689" s="21">
        <f>IF(F689="","",ROUND(W689*V689+IF(N689="",0,N689)*V689*OvertimeRate,2))</f>
        <v>0</v>
      </c>
      <c r="Y689" s="21">
        <f>IF(F689="","",IF(P689&lt;&gt;"Yes",0,ROUND(U689*IF(IFERROR(INDEX(Clients!$O$5:$O$204,MATCH(IFERROR(INDEX(Jobs!$G$5:$G$604,MATCH(G689,Jobs!$A$5:$A$604,0)),""),Clients!$A$5:$A$204,0)),0)&gt;0,INDEX(Clients!$O$5:$O$204,MATCH(INDEX(Jobs!$G$5:$G$604,MATCH(G689,Jobs!$A$5:$A$604,0)),Clients!$A$5:$A$204,0)),HourlyRate),2)))</f>
        <v>0</v>
      </c>
      <c r="Z689" s="39">
        <f>IF(F689="","",IF(U689=0,"Add - no hours recorded",IF(O689="Absent - no show","Action - no show",IF(U689&gt;10,"Check - over ten hours in a day",IF(Q689&lt;&gt;"Yes","Due - needs approving",IF(R689&lt;&gt;"Yes","Due - not paid yet","OK"))))))</f>
        <v>0</v>
      </c>
    </row>
    <row r="690" spans="1:26">
      <c r="A690" s="43">
        <f>IF(F690="","","TS-"&amp;TEXT(ROW()-4,"0000"))</f>
        <v>0</v>
      </c>
      <c r="C690" s="23">
        <f>IF(B690="","",TEXT(B690,"ddd"))</f>
        <v>0</v>
      </c>
      <c r="D690" s="31">
        <f>IF(B690="","",WEEKNUM(B690,IF(WeekStart="Sunday",1,2)))</f>
        <v>0</v>
      </c>
      <c r="E690" s="23">
        <f>IF(B690="","",TEXT(B690,"yyyy-mm"))</f>
        <v>0</v>
      </c>
      <c r="H690" s="23">
        <f>IF(G690="","",IFERROR(INDEX(Jobs!$H$5:$H$604,MATCH(G690,Jobs!$A$5:$A$604,0)),""))</f>
        <v>0</v>
      </c>
      <c r="T690" s="34">
        <f>IF(OR(J690="",K690=""),"",ROUND((K690-J690)*24-IF(L690="",0,L690)/60,2))</f>
        <v>0</v>
      </c>
      <c r="U690" s="34">
        <f>IF(F690="","",IF(M690&lt;&gt;"",M690,IF(T690="",0,T690)))</f>
        <v>0</v>
      </c>
      <c r="V690" s="21">
        <f>IF(F690="","",IFERROR(INDEX(Employees!$U$5:$U$44,MATCH(F690,Employees!$B$5:$B$44,0)),PayRate*(1+EmployerOncost)))</f>
        <v>0</v>
      </c>
      <c r="W690" s="34">
        <f>IF(F690="","",MAX(0,U690-IF(N690="",0,N690)))</f>
        <v>0</v>
      </c>
      <c r="X690" s="21">
        <f>IF(F690="","",ROUND(W690*V690+IF(N690="",0,N690)*V690*OvertimeRate,2))</f>
        <v>0</v>
      </c>
      <c r="Y690" s="21">
        <f>IF(F690="","",IF(P690&lt;&gt;"Yes",0,ROUND(U690*IF(IFERROR(INDEX(Clients!$O$5:$O$204,MATCH(IFERROR(INDEX(Jobs!$G$5:$G$604,MATCH(G690,Jobs!$A$5:$A$604,0)),""),Clients!$A$5:$A$204,0)),0)&gt;0,INDEX(Clients!$O$5:$O$204,MATCH(INDEX(Jobs!$G$5:$G$604,MATCH(G690,Jobs!$A$5:$A$604,0)),Clients!$A$5:$A$204,0)),HourlyRate),2)))</f>
        <v>0</v>
      </c>
      <c r="Z690" s="39">
        <f>IF(F690="","",IF(U690=0,"Add - no hours recorded",IF(O690="Absent - no show","Action - no show",IF(U690&gt;10,"Check - over ten hours in a day",IF(Q690&lt;&gt;"Yes","Due - needs approving",IF(R690&lt;&gt;"Yes","Due - not paid yet","OK"))))))</f>
        <v>0</v>
      </c>
    </row>
    <row r="691" spans="1:26">
      <c r="A691" s="43">
        <f>IF(F691="","","TS-"&amp;TEXT(ROW()-4,"0000"))</f>
        <v>0</v>
      </c>
      <c r="C691" s="23">
        <f>IF(B691="","",TEXT(B691,"ddd"))</f>
        <v>0</v>
      </c>
      <c r="D691" s="31">
        <f>IF(B691="","",WEEKNUM(B691,IF(WeekStart="Sunday",1,2)))</f>
        <v>0</v>
      </c>
      <c r="E691" s="23">
        <f>IF(B691="","",TEXT(B691,"yyyy-mm"))</f>
        <v>0</v>
      </c>
      <c r="H691" s="23">
        <f>IF(G691="","",IFERROR(INDEX(Jobs!$H$5:$H$604,MATCH(G691,Jobs!$A$5:$A$604,0)),""))</f>
        <v>0</v>
      </c>
      <c r="T691" s="34">
        <f>IF(OR(J691="",K691=""),"",ROUND((K691-J691)*24-IF(L691="",0,L691)/60,2))</f>
        <v>0</v>
      </c>
      <c r="U691" s="34">
        <f>IF(F691="","",IF(M691&lt;&gt;"",M691,IF(T691="",0,T691)))</f>
        <v>0</v>
      </c>
      <c r="V691" s="21">
        <f>IF(F691="","",IFERROR(INDEX(Employees!$U$5:$U$44,MATCH(F691,Employees!$B$5:$B$44,0)),PayRate*(1+EmployerOncost)))</f>
        <v>0</v>
      </c>
      <c r="W691" s="34">
        <f>IF(F691="","",MAX(0,U691-IF(N691="",0,N691)))</f>
        <v>0</v>
      </c>
      <c r="X691" s="21">
        <f>IF(F691="","",ROUND(W691*V691+IF(N691="",0,N691)*V691*OvertimeRate,2))</f>
        <v>0</v>
      </c>
      <c r="Y691" s="21">
        <f>IF(F691="","",IF(P691&lt;&gt;"Yes",0,ROUND(U691*IF(IFERROR(INDEX(Clients!$O$5:$O$204,MATCH(IFERROR(INDEX(Jobs!$G$5:$G$604,MATCH(G691,Jobs!$A$5:$A$604,0)),""),Clients!$A$5:$A$204,0)),0)&gt;0,INDEX(Clients!$O$5:$O$204,MATCH(INDEX(Jobs!$G$5:$G$604,MATCH(G691,Jobs!$A$5:$A$604,0)),Clients!$A$5:$A$204,0)),HourlyRate),2)))</f>
        <v>0</v>
      </c>
      <c r="Z691" s="39">
        <f>IF(F691="","",IF(U691=0,"Add - no hours recorded",IF(O691="Absent - no show","Action - no show",IF(U691&gt;10,"Check - over ten hours in a day",IF(Q691&lt;&gt;"Yes","Due - needs approving",IF(R691&lt;&gt;"Yes","Due - not paid yet","OK"))))))</f>
        <v>0</v>
      </c>
    </row>
    <row r="692" spans="1:26">
      <c r="A692" s="43">
        <f>IF(F692="","","TS-"&amp;TEXT(ROW()-4,"0000"))</f>
        <v>0</v>
      </c>
      <c r="C692" s="23">
        <f>IF(B692="","",TEXT(B692,"ddd"))</f>
        <v>0</v>
      </c>
      <c r="D692" s="31">
        <f>IF(B692="","",WEEKNUM(B692,IF(WeekStart="Sunday",1,2)))</f>
        <v>0</v>
      </c>
      <c r="E692" s="23">
        <f>IF(B692="","",TEXT(B692,"yyyy-mm"))</f>
        <v>0</v>
      </c>
      <c r="H692" s="23">
        <f>IF(G692="","",IFERROR(INDEX(Jobs!$H$5:$H$604,MATCH(G692,Jobs!$A$5:$A$604,0)),""))</f>
        <v>0</v>
      </c>
      <c r="T692" s="34">
        <f>IF(OR(J692="",K692=""),"",ROUND((K692-J692)*24-IF(L692="",0,L692)/60,2))</f>
        <v>0</v>
      </c>
      <c r="U692" s="34">
        <f>IF(F692="","",IF(M692&lt;&gt;"",M692,IF(T692="",0,T692)))</f>
        <v>0</v>
      </c>
      <c r="V692" s="21">
        <f>IF(F692="","",IFERROR(INDEX(Employees!$U$5:$U$44,MATCH(F692,Employees!$B$5:$B$44,0)),PayRate*(1+EmployerOncost)))</f>
        <v>0</v>
      </c>
      <c r="W692" s="34">
        <f>IF(F692="","",MAX(0,U692-IF(N692="",0,N692)))</f>
        <v>0</v>
      </c>
      <c r="X692" s="21">
        <f>IF(F692="","",ROUND(W692*V692+IF(N692="",0,N692)*V692*OvertimeRate,2))</f>
        <v>0</v>
      </c>
      <c r="Y692" s="21">
        <f>IF(F692="","",IF(P692&lt;&gt;"Yes",0,ROUND(U692*IF(IFERROR(INDEX(Clients!$O$5:$O$204,MATCH(IFERROR(INDEX(Jobs!$G$5:$G$604,MATCH(G692,Jobs!$A$5:$A$604,0)),""),Clients!$A$5:$A$204,0)),0)&gt;0,INDEX(Clients!$O$5:$O$204,MATCH(INDEX(Jobs!$G$5:$G$604,MATCH(G692,Jobs!$A$5:$A$604,0)),Clients!$A$5:$A$204,0)),HourlyRate),2)))</f>
        <v>0</v>
      </c>
      <c r="Z692" s="39">
        <f>IF(F692="","",IF(U692=0,"Add - no hours recorded",IF(O692="Absent - no show","Action - no show",IF(U692&gt;10,"Check - over ten hours in a day",IF(Q692&lt;&gt;"Yes","Due - needs approving",IF(R692&lt;&gt;"Yes","Due - not paid yet","OK"))))))</f>
        <v>0</v>
      </c>
    </row>
    <row r="693" spans="1:26">
      <c r="A693" s="43">
        <f>IF(F693="","","TS-"&amp;TEXT(ROW()-4,"0000"))</f>
        <v>0</v>
      </c>
      <c r="C693" s="23">
        <f>IF(B693="","",TEXT(B693,"ddd"))</f>
        <v>0</v>
      </c>
      <c r="D693" s="31">
        <f>IF(B693="","",WEEKNUM(B693,IF(WeekStart="Sunday",1,2)))</f>
        <v>0</v>
      </c>
      <c r="E693" s="23">
        <f>IF(B693="","",TEXT(B693,"yyyy-mm"))</f>
        <v>0</v>
      </c>
      <c r="H693" s="23">
        <f>IF(G693="","",IFERROR(INDEX(Jobs!$H$5:$H$604,MATCH(G693,Jobs!$A$5:$A$604,0)),""))</f>
        <v>0</v>
      </c>
      <c r="T693" s="34">
        <f>IF(OR(J693="",K693=""),"",ROUND((K693-J693)*24-IF(L693="",0,L693)/60,2))</f>
        <v>0</v>
      </c>
      <c r="U693" s="34">
        <f>IF(F693="","",IF(M693&lt;&gt;"",M693,IF(T693="",0,T693)))</f>
        <v>0</v>
      </c>
      <c r="V693" s="21">
        <f>IF(F693="","",IFERROR(INDEX(Employees!$U$5:$U$44,MATCH(F693,Employees!$B$5:$B$44,0)),PayRate*(1+EmployerOncost)))</f>
        <v>0</v>
      </c>
      <c r="W693" s="34">
        <f>IF(F693="","",MAX(0,U693-IF(N693="",0,N693)))</f>
        <v>0</v>
      </c>
      <c r="X693" s="21">
        <f>IF(F693="","",ROUND(W693*V693+IF(N693="",0,N693)*V693*OvertimeRate,2))</f>
        <v>0</v>
      </c>
      <c r="Y693" s="21">
        <f>IF(F693="","",IF(P693&lt;&gt;"Yes",0,ROUND(U693*IF(IFERROR(INDEX(Clients!$O$5:$O$204,MATCH(IFERROR(INDEX(Jobs!$G$5:$G$604,MATCH(G693,Jobs!$A$5:$A$604,0)),""),Clients!$A$5:$A$204,0)),0)&gt;0,INDEX(Clients!$O$5:$O$204,MATCH(INDEX(Jobs!$G$5:$G$604,MATCH(G693,Jobs!$A$5:$A$604,0)),Clients!$A$5:$A$204,0)),HourlyRate),2)))</f>
        <v>0</v>
      </c>
      <c r="Z693" s="39">
        <f>IF(F693="","",IF(U693=0,"Add - no hours recorded",IF(O693="Absent - no show","Action - no show",IF(U693&gt;10,"Check - over ten hours in a day",IF(Q693&lt;&gt;"Yes","Due - needs approving",IF(R693&lt;&gt;"Yes","Due - not paid yet","OK"))))))</f>
        <v>0</v>
      </c>
    </row>
    <row r="694" spans="1:26">
      <c r="A694" s="43">
        <f>IF(F694="","","TS-"&amp;TEXT(ROW()-4,"0000"))</f>
        <v>0</v>
      </c>
      <c r="C694" s="23">
        <f>IF(B694="","",TEXT(B694,"ddd"))</f>
        <v>0</v>
      </c>
      <c r="D694" s="31">
        <f>IF(B694="","",WEEKNUM(B694,IF(WeekStart="Sunday",1,2)))</f>
        <v>0</v>
      </c>
      <c r="E694" s="23">
        <f>IF(B694="","",TEXT(B694,"yyyy-mm"))</f>
        <v>0</v>
      </c>
      <c r="H694" s="23">
        <f>IF(G694="","",IFERROR(INDEX(Jobs!$H$5:$H$604,MATCH(G694,Jobs!$A$5:$A$604,0)),""))</f>
        <v>0</v>
      </c>
      <c r="T694" s="34">
        <f>IF(OR(J694="",K694=""),"",ROUND((K694-J694)*24-IF(L694="",0,L694)/60,2))</f>
        <v>0</v>
      </c>
      <c r="U694" s="34">
        <f>IF(F694="","",IF(M694&lt;&gt;"",M694,IF(T694="",0,T694)))</f>
        <v>0</v>
      </c>
      <c r="V694" s="21">
        <f>IF(F694="","",IFERROR(INDEX(Employees!$U$5:$U$44,MATCH(F694,Employees!$B$5:$B$44,0)),PayRate*(1+EmployerOncost)))</f>
        <v>0</v>
      </c>
      <c r="W694" s="34">
        <f>IF(F694="","",MAX(0,U694-IF(N694="",0,N694)))</f>
        <v>0</v>
      </c>
      <c r="X694" s="21">
        <f>IF(F694="","",ROUND(W694*V694+IF(N694="",0,N694)*V694*OvertimeRate,2))</f>
        <v>0</v>
      </c>
      <c r="Y694" s="21">
        <f>IF(F694="","",IF(P694&lt;&gt;"Yes",0,ROUND(U694*IF(IFERROR(INDEX(Clients!$O$5:$O$204,MATCH(IFERROR(INDEX(Jobs!$G$5:$G$604,MATCH(G694,Jobs!$A$5:$A$604,0)),""),Clients!$A$5:$A$204,0)),0)&gt;0,INDEX(Clients!$O$5:$O$204,MATCH(INDEX(Jobs!$G$5:$G$604,MATCH(G694,Jobs!$A$5:$A$604,0)),Clients!$A$5:$A$204,0)),HourlyRate),2)))</f>
        <v>0</v>
      </c>
      <c r="Z694" s="39">
        <f>IF(F694="","",IF(U694=0,"Add - no hours recorded",IF(O694="Absent - no show","Action - no show",IF(U694&gt;10,"Check - over ten hours in a day",IF(Q694&lt;&gt;"Yes","Due - needs approving",IF(R694&lt;&gt;"Yes","Due - not paid yet","OK"))))))</f>
        <v>0</v>
      </c>
    </row>
    <row r="695" spans="1:26">
      <c r="A695" s="43">
        <f>IF(F695="","","TS-"&amp;TEXT(ROW()-4,"0000"))</f>
        <v>0</v>
      </c>
      <c r="C695" s="23">
        <f>IF(B695="","",TEXT(B695,"ddd"))</f>
        <v>0</v>
      </c>
      <c r="D695" s="31">
        <f>IF(B695="","",WEEKNUM(B695,IF(WeekStart="Sunday",1,2)))</f>
        <v>0</v>
      </c>
      <c r="E695" s="23">
        <f>IF(B695="","",TEXT(B695,"yyyy-mm"))</f>
        <v>0</v>
      </c>
      <c r="H695" s="23">
        <f>IF(G695="","",IFERROR(INDEX(Jobs!$H$5:$H$604,MATCH(G695,Jobs!$A$5:$A$604,0)),""))</f>
        <v>0</v>
      </c>
      <c r="T695" s="34">
        <f>IF(OR(J695="",K695=""),"",ROUND((K695-J695)*24-IF(L695="",0,L695)/60,2))</f>
        <v>0</v>
      </c>
      <c r="U695" s="34">
        <f>IF(F695="","",IF(M695&lt;&gt;"",M695,IF(T695="",0,T695)))</f>
        <v>0</v>
      </c>
      <c r="V695" s="21">
        <f>IF(F695="","",IFERROR(INDEX(Employees!$U$5:$U$44,MATCH(F695,Employees!$B$5:$B$44,0)),PayRate*(1+EmployerOncost)))</f>
        <v>0</v>
      </c>
      <c r="W695" s="34">
        <f>IF(F695="","",MAX(0,U695-IF(N695="",0,N695)))</f>
        <v>0</v>
      </c>
      <c r="X695" s="21">
        <f>IF(F695="","",ROUND(W695*V695+IF(N695="",0,N695)*V695*OvertimeRate,2))</f>
        <v>0</v>
      </c>
      <c r="Y695" s="21">
        <f>IF(F695="","",IF(P695&lt;&gt;"Yes",0,ROUND(U695*IF(IFERROR(INDEX(Clients!$O$5:$O$204,MATCH(IFERROR(INDEX(Jobs!$G$5:$G$604,MATCH(G695,Jobs!$A$5:$A$604,0)),""),Clients!$A$5:$A$204,0)),0)&gt;0,INDEX(Clients!$O$5:$O$204,MATCH(INDEX(Jobs!$G$5:$G$604,MATCH(G695,Jobs!$A$5:$A$604,0)),Clients!$A$5:$A$204,0)),HourlyRate),2)))</f>
        <v>0</v>
      </c>
      <c r="Z695" s="39">
        <f>IF(F695="","",IF(U695=0,"Add - no hours recorded",IF(O695="Absent - no show","Action - no show",IF(U695&gt;10,"Check - over ten hours in a day",IF(Q695&lt;&gt;"Yes","Due - needs approving",IF(R695&lt;&gt;"Yes","Due - not paid yet","OK"))))))</f>
        <v>0</v>
      </c>
    </row>
    <row r="696" spans="1:26">
      <c r="A696" s="43">
        <f>IF(F696="","","TS-"&amp;TEXT(ROW()-4,"0000"))</f>
        <v>0</v>
      </c>
      <c r="C696" s="23">
        <f>IF(B696="","",TEXT(B696,"ddd"))</f>
        <v>0</v>
      </c>
      <c r="D696" s="31">
        <f>IF(B696="","",WEEKNUM(B696,IF(WeekStart="Sunday",1,2)))</f>
        <v>0</v>
      </c>
      <c r="E696" s="23">
        <f>IF(B696="","",TEXT(B696,"yyyy-mm"))</f>
        <v>0</v>
      </c>
      <c r="H696" s="23">
        <f>IF(G696="","",IFERROR(INDEX(Jobs!$H$5:$H$604,MATCH(G696,Jobs!$A$5:$A$604,0)),""))</f>
        <v>0</v>
      </c>
      <c r="T696" s="34">
        <f>IF(OR(J696="",K696=""),"",ROUND((K696-J696)*24-IF(L696="",0,L696)/60,2))</f>
        <v>0</v>
      </c>
      <c r="U696" s="34">
        <f>IF(F696="","",IF(M696&lt;&gt;"",M696,IF(T696="",0,T696)))</f>
        <v>0</v>
      </c>
      <c r="V696" s="21">
        <f>IF(F696="","",IFERROR(INDEX(Employees!$U$5:$U$44,MATCH(F696,Employees!$B$5:$B$44,0)),PayRate*(1+EmployerOncost)))</f>
        <v>0</v>
      </c>
      <c r="W696" s="34">
        <f>IF(F696="","",MAX(0,U696-IF(N696="",0,N696)))</f>
        <v>0</v>
      </c>
      <c r="X696" s="21">
        <f>IF(F696="","",ROUND(W696*V696+IF(N696="",0,N696)*V696*OvertimeRate,2))</f>
        <v>0</v>
      </c>
      <c r="Y696" s="21">
        <f>IF(F696="","",IF(P696&lt;&gt;"Yes",0,ROUND(U696*IF(IFERROR(INDEX(Clients!$O$5:$O$204,MATCH(IFERROR(INDEX(Jobs!$G$5:$G$604,MATCH(G696,Jobs!$A$5:$A$604,0)),""),Clients!$A$5:$A$204,0)),0)&gt;0,INDEX(Clients!$O$5:$O$204,MATCH(INDEX(Jobs!$G$5:$G$604,MATCH(G696,Jobs!$A$5:$A$604,0)),Clients!$A$5:$A$204,0)),HourlyRate),2)))</f>
        <v>0</v>
      </c>
      <c r="Z696" s="39">
        <f>IF(F696="","",IF(U696=0,"Add - no hours recorded",IF(O696="Absent - no show","Action - no show",IF(U696&gt;10,"Check - over ten hours in a day",IF(Q696&lt;&gt;"Yes","Due - needs approving",IF(R696&lt;&gt;"Yes","Due - not paid yet","OK"))))))</f>
        <v>0</v>
      </c>
    </row>
    <row r="697" spans="1:26">
      <c r="A697" s="43">
        <f>IF(F697="","","TS-"&amp;TEXT(ROW()-4,"0000"))</f>
        <v>0</v>
      </c>
      <c r="C697" s="23">
        <f>IF(B697="","",TEXT(B697,"ddd"))</f>
        <v>0</v>
      </c>
      <c r="D697" s="31">
        <f>IF(B697="","",WEEKNUM(B697,IF(WeekStart="Sunday",1,2)))</f>
        <v>0</v>
      </c>
      <c r="E697" s="23">
        <f>IF(B697="","",TEXT(B697,"yyyy-mm"))</f>
        <v>0</v>
      </c>
      <c r="H697" s="23">
        <f>IF(G697="","",IFERROR(INDEX(Jobs!$H$5:$H$604,MATCH(G697,Jobs!$A$5:$A$604,0)),""))</f>
        <v>0</v>
      </c>
      <c r="T697" s="34">
        <f>IF(OR(J697="",K697=""),"",ROUND((K697-J697)*24-IF(L697="",0,L697)/60,2))</f>
        <v>0</v>
      </c>
      <c r="U697" s="34">
        <f>IF(F697="","",IF(M697&lt;&gt;"",M697,IF(T697="",0,T697)))</f>
        <v>0</v>
      </c>
      <c r="V697" s="21">
        <f>IF(F697="","",IFERROR(INDEX(Employees!$U$5:$U$44,MATCH(F697,Employees!$B$5:$B$44,0)),PayRate*(1+EmployerOncost)))</f>
        <v>0</v>
      </c>
      <c r="W697" s="34">
        <f>IF(F697="","",MAX(0,U697-IF(N697="",0,N697)))</f>
        <v>0</v>
      </c>
      <c r="X697" s="21">
        <f>IF(F697="","",ROUND(W697*V697+IF(N697="",0,N697)*V697*OvertimeRate,2))</f>
        <v>0</v>
      </c>
      <c r="Y697" s="21">
        <f>IF(F697="","",IF(P697&lt;&gt;"Yes",0,ROUND(U697*IF(IFERROR(INDEX(Clients!$O$5:$O$204,MATCH(IFERROR(INDEX(Jobs!$G$5:$G$604,MATCH(G697,Jobs!$A$5:$A$604,0)),""),Clients!$A$5:$A$204,0)),0)&gt;0,INDEX(Clients!$O$5:$O$204,MATCH(INDEX(Jobs!$G$5:$G$604,MATCH(G697,Jobs!$A$5:$A$604,0)),Clients!$A$5:$A$204,0)),HourlyRate),2)))</f>
        <v>0</v>
      </c>
      <c r="Z697" s="39">
        <f>IF(F697="","",IF(U697=0,"Add - no hours recorded",IF(O697="Absent - no show","Action - no show",IF(U697&gt;10,"Check - over ten hours in a day",IF(Q697&lt;&gt;"Yes","Due - needs approving",IF(R697&lt;&gt;"Yes","Due - not paid yet","OK"))))))</f>
        <v>0</v>
      </c>
    </row>
    <row r="698" spans="1:26">
      <c r="A698" s="43">
        <f>IF(F698="","","TS-"&amp;TEXT(ROW()-4,"0000"))</f>
        <v>0</v>
      </c>
      <c r="C698" s="23">
        <f>IF(B698="","",TEXT(B698,"ddd"))</f>
        <v>0</v>
      </c>
      <c r="D698" s="31">
        <f>IF(B698="","",WEEKNUM(B698,IF(WeekStart="Sunday",1,2)))</f>
        <v>0</v>
      </c>
      <c r="E698" s="23">
        <f>IF(B698="","",TEXT(B698,"yyyy-mm"))</f>
        <v>0</v>
      </c>
      <c r="H698" s="23">
        <f>IF(G698="","",IFERROR(INDEX(Jobs!$H$5:$H$604,MATCH(G698,Jobs!$A$5:$A$604,0)),""))</f>
        <v>0</v>
      </c>
      <c r="T698" s="34">
        <f>IF(OR(J698="",K698=""),"",ROUND((K698-J698)*24-IF(L698="",0,L698)/60,2))</f>
        <v>0</v>
      </c>
      <c r="U698" s="34">
        <f>IF(F698="","",IF(M698&lt;&gt;"",M698,IF(T698="",0,T698)))</f>
        <v>0</v>
      </c>
      <c r="V698" s="21">
        <f>IF(F698="","",IFERROR(INDEX(Employees!$U$5:$U$44,MATCH(F698,Employees!$B$5:$B$44,0)),PayRate*(1+EmployerOncost)))</f>
        <v>0</v>
      </c>
      <c r="W698" s="34">
        <f>IF(F698="","",MAX(0,U698-IF(N698="",0,N698)))</f>
        <v>0</v>
      </c>
      <c r="X698" s="21">
        <f>IF(F698="","",ROUND(W698*V698+IF(N698="",0,N698)*V698*OvertimeRate,2))</f>
        <v>0</v>
      </c>
      <c r="Y698" s="21">
        <f>IF(F698="","",IF(P698&lt;&gt;"Yes",0,ROUND(U698*IF(IFERROR(INDEX(Clients!$O$5:$O$204,MATCH(IFERROR(INDEX(Jobs!$G$5:$G$604,MATCH(G698,Jobs!$A$5:$A$604,0)),""),Clients!$A$5:$A$204,0)),0)&gt;0,INDEX(Clients!$O$5:$O$204,MATCH(INDEX(Jobs!$G$5:$G$604,MATCH(G698,Jobs!$A$5:$A$604,0)),Clients!$A$5:$A$204,0)),HourlyRate),2)))</f>
        <v>0</v>
      </c>
      <c r="Z698" s="39">
        <f>IF(F698="","",IF(U698=0,"Add - no hours recorded",IF(O698="Absent - no show","Action - no show",IF(U698&gt;10,"Check - over ten hours in a day",IF(Q698&lt;&gt;"Yes","Due - needs approving",IF(R698&lt;&gt;"Yes","Due - not paid yet","OK"))))))</f>
        <v>0</v>
      </c>
    </row>
    <row r="699" spans="1:26">
      <c r="A699" s="43">
        <f>IF(F699="","","TS-"&amp;TEXT(ROW()-4,"0000"))</f>
        <v>0</v>
      </c>
      <c r="C699" s="23">
        <f>IF(B699="","",TEXT(B699,"ddd"))</f>
        <v>0</v>
      </c>
      <c r="D699" s="31">
        <f>IF(B699="","",WEEKNUM(B699,IF(WeekStart="Sunday",1,2)))</f>
        <v>0</v>
      </c>
      <c r="E699" s="23">
        <f>IF(B699="","",TEXT(B699,"yyyy-mm"))</f>
        <v>0</v>
      </c>
      <c r="H699" s="23">
        <f>IF(G699="","",IFERROR(INDEX(Jobs!$H$5:$H$604,MATCH(G699,Jobs!$A$5:$A$604,0)),""))</f>
        <v>0</v>
      </c>
      <c r="T699" s="34">
        <f>IF(OR(J699="",K699=""),"",ROUND((K699-J699)*24-IF(L699="",0,L699)/60,2))</f>
        <v>0</v>
      </c>
      <c r="U699" s="34">
        <f>IF(F699="","",IF(M699&lt;&gt;"",M699,IF(T699="",0,T699)))</f>
        <v>0</v>
      </c>
      <c r="V699" s="21">
        <f>IF(F699="","",IFERROR(INDEX(Employees!$U$5:$U$44,MATCH(F699,Employees!$B$5:$B$44,0)),PayRate*(1+EmployerOncost)))</f>
        <v>0</v>
      </c>
      <c r="W699" s="34">
        <f>IF(F699="","",MAX(0,U699-IF(N699="",0,N699)))</f>
        <v>0</v>
      </c>
      <c r="X699" s="21">
        <f>IF(F699="","",ROUND(W699*V699+IF(N699="",0,N699)*V699*OvertimeRate,2))</f>
        <v>0</v>
      </c>
      <c r="Y699" s="21">
        <f>IF(F699="","",IF(P699&lt;&gt;"Yes",0,ROUND(U699*IF(IFERROR(INDEX(Clients!$O$5:$O$204,MATCH(IFERROR(INDEX(Jobs!$G$5:$G$604,MATCH(G699,Jobs!$A$5:$A$604,0)),""),Clients!$A$5:$A$204,0)),0)&gt;0,INDEX(Clients!$O$5:$O$204,MATCH(INDEX(Jobs!$G$5:$G$604,MATCH(G699,Jobs!$A$5:$A$604,0)),Clients!$A$5:$A$204,0)),HourlyRate),2)))</f>
        <v>0</v>
      </c>
      <c r="Z699" s="39">
        <f>IF(F699="","",IF(U699=0,"Add - no hours recorded",IF(O699="Absent - no show","Action - no show",IF(U699&gt;10,"Check - over ten hours in a day",IF(Q699&lt;&gt;"Yes","Due - needs approving",IF(R699&lt;&gt;"Yes","Due - not paid yet","OK"))))))</f>
        <v>0</v>
      </c>
    </row>
    <row r="700" spans="1:26">
      <c r="A700" s="43">
        <f>IF(F700="","","TS-"&amp;TEXT(ROW()-4,"0000"))</f>
        <v>0</v>
      </c>
      <c r="C700" s="23">
        <f>IF(B700="","",TEXT(B700,"ddd"))</f>
        <v>0</v>
      </c>
      <c r="D700" s="31">
        <f>IF(B700="","",WEEKNUM(B700,IF(WeekStart="Sunday",1,2)))</f>
        <v>0</v>
      </c>
      <c r="E700" s="23">
        <f>IF(B700="","",TEXT(B700,"yyyy-mm"))</f>
        <v>0</v>
      </c>
      <c r="H700" s="23">
        <f>IF(G700="","",IFERROR(INDEX(Jobs!$H$5:$H$604,MATCH(G700,Jobs!$A$5:$A$604,0)),""))</f>
        <v>0</v>
      </c>
      <c r="T700" s="34">
        <f>IF(OR(J700="",K700=""),"",ROUND((K700-J700)*24-IF(L700="",0,L700)/60,2))</f>
        <v>0</v>
      </c>
      <c r="U700" s="34">
        <f>IF(F700="","",IF(M700&lt;&gt;"",M700,IF(T700="",0,T700)))</f>
        <v>0</v>
      </c>
      <c r="V700" s="21">
        <f>IF(F700="","",IFERROR(INDEX(Employees!$U$5:$U$44,MATCH(F700,Employees!$B$5:$B$44,0)),PayRate*(1+EmployerOncost)))</f>
        <v>0</v>
      </c>
      <c r="W700" s="34">
        <f>IF(F700="","",MAX(0,U700-IF(N700="",0,N700)))</f>
        <v>0</v>
      </c>
      <c r="X700" s="21">
        <f>IF(F700="","",ROUND(W700*V700+IF(N700="",0,N700)*V700*OvertimeRate,2))</f>
        <v>0</v>
      </c>
      <c r="Y700" s="21">
        <f>IF(F700="","",IF(P700&lt;&gt;"Yes",0,ROUND(U700*IF(IFERROR(INDEX(Clients!$O$5:$O$204,MATCH(IFERROR(INDEX(Jobs!$G$5:$G$604,MATCH(G700,Jobs!$A$5:$A$604,0)),""),Clients!$A$5:$A$204,0)),0)&gt;0,INDEX(Clients!$O$5:$O$204,MATCH(INDEX(Jobs!$G$5:$G$604,MATCH(G700,Jobs!$A$5:$A$604,0)),Clients!$A$5:$A$204,0)),HourlyRate),2)))</f>
        <v>0</v>
      </c>
      <c r="Z700" s="39">
        <f>IF(F700="","",IF(U700=0,"Add - no hours recorded",IF(O700="Absent - no show","Action - no show",IF(U700&gt;10,"Check - over ten hours in a day",IF(Q700&lt;&gt;"Yes","Due - needs approving",IF(R700&lt;&gt;"Yes","Due - not paid yet","OK"))))))</f>
        <v>0</v>
      </c>
    </row>
    <row r="701" spans="1:26">
      <c r="A701" s="43">
        <f>IF(F701="","","TS-"&amp;TEXT(ROW()-4,"0000"))</f>
        <v>0</v>
      </c>
      <c r="C701" s="23">
        <f>IF(B701="","",TEXT(B701,"ddd"))</f>
        <v>0</v>
      </c>
      <c r="D701" s="31">
        <f>IF(B701="","",WEEKNUM(B701,IF(WeekStart="Sunday",1,2)))</f>
        <v>0</v>
      </c>
      <c r="E701" s="23">
        <f>IF(B701="","",TEXT(B701,"yyyy-mm"))</f>
        <v>0</v>
      </c>
      <c r="H701" s="23">
        <f>IF(G701="","",IFERROR(INDEX(Jobs!$H$5:$H$604,MATCH(G701,Jobs!$A$5:$A$604,0)),""))</f>
        <v>0</v>
      </c>
      <c r="T701" s="34">
        <f>IF(OR(J701="",K701=""),"",ROUND((K701-J701)*24-IF(L701="",0,L701)/60,2))</f>
        <v>0</v>
      </c>
      <c r="U701" s="34">
        <f>IF(F701="","",IF(M701&lt;&gt;"",M701,IF(T701="",0,T701)))</f>
        <v>0</v>
      </c>
      <c r="V701" s="21">
        <f>IF(F701="","",IFERROR(INDEX(Employees!$U$5:$U$44,MATCH(F701,Employees!$B$5:$B$44,0)),PayRate*(1+EmployerOncost)))</f>
        <v>0</v>
      </c>
      <c r="W701" s="34">
        <f>IF(F701="","",MAX(0,U701-IF(N701="",0,N701)))</f>
        <v>0</v>
      </c>
      <c r="X701" s="21">
        <f>IF(F701="","",ROUND(W701*V701+IF(N701="",0,N701)*V701*OvertimeRate,2))</f>
        <v>0</v>
      </c>
      <c r="Y701" s="21">
        <f>IF(F701="","",IF(P701&lt;&gt;"Yes",0,ROUND(U701*IF(IFERROR(INDEX(Clients!$O$5:$O$204,MATCH(IFERROR(INDEX(Jobs!$G$5:$G$604,MATCH(G701,Jobs!$A$5:$A$604,0)),""),Clients!$A$5:$A$204,0)),0)&gt;0,INDEX(Clients!$O$5:$O$204,MATCH(INDEX(Jobs!$G$5:$G$604,MATCH(G701,Jobs!$A$5:$A$604,0)),Clients!$A$5:$A$204,0)),HourlyRate),2)))</f>
        <v>0</v>
      </c>
      <c r="Z701" s="39">
        <f>IF(F701="","",IF(U701=0,"Add - no hours recorded",IF(O701="Absent - no show","Action - no show",IF(U701&gt;10,"Check - over ten hours in a day",IF(Q701&lt;&gt;"Yes","Due - needs approving",IF(R701&lt;&gt;"Yes","Due - not paid yet","OK"))))))</f>
        <v>0</v>
      </c>
    </row>
    <row r="702" spans="1:26">
      <c r="A702" s="43">
        <f>IF(F702="","","TS-"&amp;TEXT(ROW()-4,"0000"))</f>
        <v>0</v>
      </c>
      <c r="C702" s="23">
        <f>IF(B702="","",TEXT(B702,"ddd"))</f>
        <v>0</v>
      </c>
      <c r="D702" s="31">
        <f>IF(B702="","",WEEKNUM(B702,IF(WeekStart="Sunday",1,2)))</f>
        <v>0</v>
      </c>
      <c r="E702" s="23">
        <f>IF(B702="","",TEXT(B702,"yyyy-mm"))</f>
        <v>0</v>
      </c>
      <c r="H702" s="23">
        <f>IF(G702="","",IFERROR(INDEX(Jobs!$H$5:$H$604,MATCH(G702,Jobs!$A$5:$A$604,0)),""))</f>
        <v>0</v>
      </c>
      <c r="T702" s="34">
        <f>IF(OR(J702="",K702=""),"",ROUND((K702-J702)*24-IF(L702="",0,L702)/60,2))</f>
        <v>0</v>
      </c>
      <c r="U702" s="34">
        <f>IF(F702="","",IF(M702&lt;&gt;"",M702,IF(T702="",0,T702)))</f>
        <v>0</v>
      </c>
      <c r="V702" s="21">
        <f>IF(F702="","",IFERROR(INDEX(Employees!$U$5:$U$44,MATCH(F702,Employees!$B$5:$B$44,0)),PayRate*(1+EmployerOncost)))</f>
        <v>0</v>
      </c>
      <c r="W702" s="34">
        <f>IF(F702="","",MAX(0,U702-IF(N702="",0,N702)))</f>
        <v>0</v>
      </c>
      <c r="X702" s="21">
        <f>IF(F702="","",ROUND(W702*V702+IF(N702="",0,N702)*V702*OvertimeRate,2))</f>
        <v>0</v>
      </c>
      <c r="Y702" s="21">
        <f>IF(F702="","",IF(P702&lt;&gt;"Yes",0,ROUND(U702*IF(IFERROR(INDEX(Clients!$O$5:$O$204,MATCH(IFERROR(INDEX(Jobs!$G$5:$G$604,MATCH(G702,Jobs!$A$5:$A$604,0)),""),Clients!$A$5:$A$204,0)),0)&gt;0,INDEX(Clients!$O$5:$O$204,MATCH(INDEX(Jobs!$G$5:$G$604,MATCH(G702,Jobs!$A$5:$A$604,0)),Clients!$A$5:$A$204,0)),HourlyRate),2)))</f>
        <v>0</v>
      </c>
      <c r="Z702" s="39">
        <f>IF(F702="","",IF(U702=0,"Add - no hours recorded",IF(O702="Absent - no show","Action - no show",IF(U702&gt;10,"Check - over ten hours in a day",IF(Q702&lt;&gt;"Yes","Due - needs approving",IF(R702&lt;&gt;"Yes","Due - not paid yet","OK"))))))</f>
        <v>0</v>
      </c>
    </row>
    <row r="703" spans="1:26">
      <c r="A703" s="43">
        <f>IF(F703="","","TS-"&amp;TEXT(ROW()-4,"0000"))</f>
        <v>0</v>
      </c>
      <c r="C703" s="23">
        <f>IF(B703="","",TEXT(B703,"ddd"))</f>
        <v>0</v>
      </c>
      <c r="D703" s="31">
        <f>IF(B703="","",WEEKNUM(B703,IF(WeekStart="Sunday",1,2)))</f>
        <v>0</v>
      </c>
      <c r="E703" s="23">
        <f>IF(B703="","",TEXT(B703,"yyyy-mm"))</f>
        <v>0</v>
      </c>
      <c r="H703" s="23">
        <f>IF(G703="","",IFERROR(INDEX(Jobs!$H$5:$H$604,MATCH(G703,Jobs!$A$5:$A$604,0)),""))</f>
        <v>0</v>
      </c>
      <c r="T703" s="34">
        <f>IF(OR(J703="",K703=""),"",ROUND((K703-J703)*24-IF(L703="",0,L703)/60,2))</f>
        <v>0</v>
      </c>
      <c r="U703" s="34">
        <f>IF(F703="","",IF(M703&lt;&gt;"",M703,IF(T703="",0,T703)))</f>
        <v>0</v>
      </c>
      <c r="V703" s="21">
        <f>IF(F703="","",IFERROR(INDEX(Employees!$U$5:$U$44,MATCH(F703,Employees!$B$5:$B$44,0)),PayRate*(1+EmployerOncost)))</f>
        <v>0</v>
      </c>
      <c r="W703" s="34">
        <f>IF(F703="","",MAX(0,U703-IF(N703="",0,N703)))</f>
        <v>0</v>
      </c>
      <c r="X703" s="21">
        <f>IF(F703="","",ROUND(W703*V703+IF(N703="",0,N703)*V703*OvertimeRate,2))</f>
        <v>0</v>
      </c>
      <c r="Y703" s="21">
        <f>IF(F703="","",IF(P703&lt;&gt;"Yes",0,ROUND(U703*IF(IFERROR(INDEX(Clients!$O$5:$O$204,MATCH(IFERROR(INDEX(Jobs!$G$5:$G$604,MATCH(G703,Jobs!$A$5:$A$604,0)),""),Clients!$A$5:$A$204,0)),0)&gt;0,INDEX(Clients!$O$5:$O$204,MATCH(INDEX(Jobs!$G$5:$G$604,MATCH(G703,Jobs!$A$5:$A$604,0)),Clients!$A$5:$A$204,0)),HourlyRate),2)))</f>
        <v>0</v>
      </c>
      <c r="Z703" s="39">
        <f>IF(F703="","",IF(U703=0,"Add - no hours recorded",IF(O703="Absent - no show","Action - no show",IF(U703&gt;10,"Check - over ten hours in a day",IF(Q703&lt;&gt;"Yes","Due - needs approving",IF(R703&lt;&gt;"Yes","Due - not paid yet","OK"))))))</f>
        <v>0</v>
      </c>
    </row>
    <row r="704" spans="1:26">
      <c r="A704" s="43">
        <f>IF(F704="","","TS-"&amp;TEXT(ROW()-4,"0000"))</f>
        <v>0</v>
      </c>
      <c r="C704" s="23">
        <f>IF(B704="","",TEXT(B704,"ddd"))</f>
        <v>0</v>
      </c>
      <c r="D704" s="31">
        <f>IF(B704="","",WEEKNUM(B704,IF(WeekStart="Sunday",1,2)))</f>
        <v>0</v>
      </c>
      <c r="E704" s="23">
        <f>IF(B704="","",TEXT(B704,"yyyy-mm"))</f>
        <v>0</v>
      </c>
      <c r="H704" s="23">
        <f>IF(G704="","",IFERROR(INDEX(Jobs!$H$5:$H$604,MATCH(G704,Jobs!$A$5:$A$604,0)),""))</f>
        <v>0</v>
      </c>
      <c r="T704" s="34">
        <f>IF(OR(J704="",K704=""),"",ROUND((K704-J704)*24-IF(L704="",0,L704)/60,2))</f>
        <v>0</v>
      </c>
      <c r="U704" s="34">
        <f>IF(F704="","",IF(M704&lt;&gt;"",M704,IF(T704="",0,T704)))</f>
        <v>0</v>
      </c>
      <c r="V704" s="21">
        <f>IF(F704="","",IFERROR(INDEX(Employees!$U$5:$U$44,MATCH(F704,Employees!$B$5:$B$44,0)),PayRate*(1+EmployerOncost)))</f>
        <v>0</v>
      </c>
      <c r="W704" s="34">
        <f>IF(F704="","",MAX(0,U704-IF(N704="",0,N704)))</f>
        <v>0</v>
      </c>
      <c r="X704" s="21">
        <f>IF(F704="","",ROUND(W704*V704+IF(N704="",0,N704)*V704*OvertimeRate,2))</f>
        <v>0</v>
      </c>
      <c r="Y704" s="21">
        <f>IF(F704="","",IF(P704&lt;&gt;"Yes",0,ROUND(U704*IF(IFERROR(INDEX(Clients!$O$5:$O$204,MATCH(IFERROR(INDEX(Jobs!$G$5:$G$604,MATCH(G704,Jobs!$A$5:$A$604,0)),""),Clients!$A$5:$A$204,0)),0)&gt;0,INDEX(Clients!$O$5:$O$204,MATCH(INDEX(Jobs!$G$5:$G$604,MATCH(G704,Jobs!$A$5:$A$604,0)),Clients!$A$5:$A$204,0)),HourlyRate),2)))</f>
        <v>0</v>
      </c>
      <c r="Z704" s="39">
        <f>IF(F704="","",IF(U704=0,"Add - no hours recorded",IF(O704="Absent - no show","Action - no show",IF(U704&gt;10,"Check - over ten hours in a day",IF(Q704&lt;&gt;"Yes","Due - needs approving",IF(R704&lt;&gt;"Yes","Due - not paid yet","OK"))))))</f>
        <v>0</v>
      </c>
    </row>
    <row r="705" spans="1:26">
      <c r="A705" s="43">
        <f>IF(F705="","","TS-"&amp;TEXT(ROW()-4,"0000"))</f>
        <v>0</v>
      </c>
      <c r="C705" s="23">
        <f>IF(B705="","",TEXT(B705,"ddd"))</f>
        <v>0</v>
      </c>
      <c r="D705" s="31">
        <f>IF(B705="","",WEEKNUM(B705,IF(WeekStart="Sunday",1,2)))</f>
        <v>0</v>
      </c>
      <c r="E705" s="23">
        <f>IF(B705="","",TEXT(B705,"yyyy-mm"))</f>
        <v>0</v>
      </c>
      <c r="H705" s="23">
        <f>IF(G705="","",IFERROR(INDEX(Jobs!$H$5:$H$604,MATCH(G705,Jobs!$A$5:$A$604,0)),""))</f>
        <v>0</v>
      </c>
      <c r="T705" s="34">
        <f>IF(OR(J705="",K705=""),"",ROUND((K705-J705)*24-IF(L705="",0,L705)/60,2))</f>
        <v>0</v>
      </c>
      <c r="U705" s="34">
        <f>IF(F705="","",IF(M705&lt;&gt;"",M705,IF(T705="",0,T705)))</f>
        <v>0</v>
      </c>
      <c r="V705" s="21">
        <f>IF(F705="","",IFERROR(INDEX(Employees!$U$5:$U$44,MATCH(F705,Employees!$B$5:$B$44,0)),PayRate*(1+EmployerOncost)))</f>
        <v>0</v>
      </c>
      <c r="W705" s="34">
        <f>IF(F705="","",MAX(0,U705-IF(N705="",0,N705)))</f>
        <v>0</v>
      </c>
      <c r="X705" s="21">
        <f>IF(F705="","",ROUND(W705*V705+IF(N705="",0,N705)*V705*OvertimeRate,2))</f>
        <v>0</v>
      </c>
      <c r="Y705" s="21">
        <f>IF(F705="","",IF(P705&lt;&gt;"Yes",0,ROUND(U705*IF(IFERROR(INDEX(Clients!$O$5:$O$204,MATCH(IFERROR(INDEX(Jobs!$G$5:$G$604,MATCH(G705,Jobs!$A$5:$A$604,0)),""),Clients!$A$5:$A$204,0)),0)&gt;0,INDEX(Clients!$O$5:$O$204,MATCH(INDEX(Jobs!$G$5:$G$604,MATCH(G705,Jobs!$A$5:$A$604,0)),Clients!$A$5:$A$204,0)),HourlyRate),2)))</f>
        <v>0</v>
      </c>
      <c r="Z705" s="39">
        <f>IF(F705="","",IF(U705=0,"Add - no hours recorded",IF(O705="Absent - no show","Action - no show",IF(U705&gt;10,"Check - over ten hours in a day",IF(Q705&lt;&gt;"Yes","Due - needs approving",IF(R705&lt;&gt;"Yes","Due - not paid yet","OK"))))))</f>
        <v>0</v>
      </c>
    </row>
    <row r="706" spans="1:26">
      <c r="A706" s="43">
        <f>IF(F706="","","TS-"&amp;TEXT(ROW()-4,"0000"))</f>
        <v>0</v>
      </c>
      <c r="C706" s="23">
        <f>IF(B706="","",TEXT(B706,"ddd"))</f>
        <v>0</v>
      </c>
      <c r="D706" s="31">
        <f>IF(B706="","",WEEKNUM(B706,IF(WeekStart="Sunday",1,2)))</f>
        <v>0</v>
      </c>
      <c r="E706" s="23">
        <f>IF(B706="","",TEXT(B706,"yyyy-mm"))</f>
        <v>0</v>
      </c>
      <c r="H706" s="23">
        <f>IF(G706="","",IFERROR(INDEX(Jobs!$H$5:$H$604,MATCH(G706,Jobs!$A$5:$A$604,0)),""))</f>
        <v>0</v>
      </c>
      <c r="T706" s="34">
        <f>IF(OR(J706="",K706=""),"",ROUND((K706-J706)*24-IF(L706="",0,L706)/60,2))</f>
        <v>0</v>
      </c>
      <c r="U706" s="34">
        <f>IF(F706="","",IF(M706&lt;&gt;"",M706,IF(T706="",0,T706)))</f>
        <v>0</v>
      </c>
      <c r="V706" s="21">
        <f>IF(F706="","",IFERROR(INDEX(Employees!$U$5:$U$44,MATCH(F706,Employees!$B$5:$B$44,0)),PayRate*(1+EmployerOncost)))</f>
        <v>0</v>
      </c>
      <c r="W706" s="34">
        <f>IF(F706="","",MAX(0,U706-IF(N706="",0,N706)))</f>
        <v>0</v>
      </c>
      <c r="X706" s="21">
        <f>IF(F706="","",ROUND(W706*V706+IF(N706="",0,N706)*V706*OvertimeRate,2))</f>
        <v>0</v>
      </c>
      <c r="Y706" s="21">
        <f>IF(F706="","",IF(P706&lt;&gt;"Yes",0,ROUND(U706*IF(IFERROR(INDEX(Clients!$O$5:$O$204,MATCH(IFERROR(INDEX(Jobs!$G$5:$G$604,MATCH(G706,Jobs!$A$5:$A$604,0)),""),Clients!$A$5:$A$204,0)),0)&gt;0,INDEX(Clients!$O$5:$O$204,MATCH(INDEX(Jobs!$G$5:$G$604,MATCH(G706,Jobs!$A$5:$A$604,0)),Clients!$A$5:$A$204,0)),HourlyRate),2)))</f>
        <v>0</v>
      </c>
      <c r="Z706" s="39">
        <f>IF(F706="","",IF(U706=0,"Add - no hours recorded",IF(O706="Absent - no show","Action - no show",IF(U706&gt;10,"Check - over ten hours in a day",IF(Q706&lt;&gt;"Yes","Due - needs approving",IF(R706&lt;&gt;"Yes","Due - not paid yet","OK"))))))</f>
        <v>0</v>
      </c>
    </row>
    <row r="707" spans="1:26">
      <c r="A707" s="43">
        <f>IF(F707="","","TS-"&amp;TEXT(ROW()-4,"0000"))</f>
        <v>0</v>
      </c>
      <c r="C707" s="23">
        <f>IF(B707="","",TEXT(B707,"ddd"))</f>
        <v>0</v>
      </c>
      <c r="D707" s="31">
        <f>IF(B707="","",WEEKNUM(B707,IF(WeekStart="Sunday",1,2)))</f>
        <v>0</v>
      </c>
      <c r="E707" s="23">
        <f>IF(B707="","",TEXT(B707,"yyyy-mm"))</f>
        <v>0</v>
      </c>
      <c r="H707" s="23">
        <f>IF(G707="","",IFERROR(INDEX(Jobs!$H$5:$H$604,MATCH(G707,Jobs!$A$5:$A$604,0)),""))</f>
        <v>0</v>
      </c>
      <c r="T707" s="34">
        <f>IF(OR(J707="",K707=""),"",ROUND((K707-J707)*24-IF(L707="",0,L707)/60,2))</f>
        <v>0</v>
      </c>
      <c r="U707" s="34">
        <f>IF(F707="","",IF(M707&lt;&gt;"",M707,IF(T707="",0,T707)))</f>
        <v>0</v>
      </c>
      <c r="V707" s="21">
        <f>IF(F707="","",IFERROR(INDEX(Employees!$U$5:$U$44,MATCH(F707,Employees!$B$5:$B$44,0)),PayRate*(1+EmployerOncost)))</f>
        <v>0</v>
      </c>
      <c r="W707" s="34">
        <f>IF(F707="","",MAX(0,U707-IF(N707="",0,N707)))</f>
        <v>0</v>
      </c>
      <c r="X707" s="21">
        <f>IF(F707="","",ROUND(W707*V707+IF(N707="",0,N707)*V707*OvertimeRate,2))</f>
        <v>0</v>
      </c>
      <c r="Y707" s="21">
        <f>IF(F707="","",IF(P707&lt;&gt;"Yes",0,ROUND(U707*IF(IFERROR(INDEX(Clients!$O$5:$O$204,MATCH(IFERROR(INDEX(Jobs!$G$5:$G$604,MATCH(G707,Jobs!$A$5:$A$604,0)),""),Clients!$A$5:$A$204,0)),0)&gt;0,INDEX(Clients!$O$5:$O$204,MATCH(INDEX(Jobs!$G$5:$G$604,MATCH(G707,Jobs!$A$5:$A$604,0)),Clients!$A$5:$A$204,0)),HourlyRate),2)))</f>
        <v>0</v>
      </c>
      <c r="Z707" s="39">
        <f>IF(F707="","",IF(U707=0,"Add - no hours recorded",IF(O707="Absent - no show","Action - no show",IF(U707&gt;10,"Check - over ten hours in a day",IF(Q707&lt;&gt;"Yes","Due - needs approving",IF(R707&lt;&gt;"Yes","Due - not paid yet","OK"))))))</f>
        <v>0</v>
      </c>
    </row>
    <row r="708" spans="1:26">
      <c r="A708" s="43">
        <f>IF(F708="","","TS-"&amp;TEXT(ROW()-4,"0000"))</f>
        <v>0</v>
      </c>
      <c r="C708" s="23">
        <f>IF(B708="","",TEXT(B708,"ddd"))</f>
        <v>0</v>
      </c>
      <c r="D708" s="31">
        <f>IF(B708="","",WEEKNUM(B708,IF(WeekStart="Sunday",1,2)))</f>
        <v>0</v>
      </c>
      <c r="E708" s="23">
        <f>IF(B708="","",TEXT(B708,"yyyy-mm"))</f>
        <v>0</v>
      </c>
      <c r="H708" s="23">
        <f>IF(G708="","",IFERROR(INDEX(Jobs!$H$5:$H$604,MATCH(G708,Jobs!$A$5:$A$604,0)),""))</f>
        <v>0</v>
      </c>
      <c r="T708" s="34">
        <f>IF(OR(J708="",K708=""),"",ROUND((K708-J708)*24-IF(L708="",0,L708)/60,2))</f>
        <v>0</v>
      </c>
      <c r="U708" s="34">
        <f>IF(F708="","",IF(M708&lt;&gt;"",M708,IF(T708="",0,T708)))</f>
        <v>0</v>
      </c>
      <c r="V708" s="21">
        <f>IF(F708="","",IFERROR(INDEX(Employees!$U$5:$U$44,MATCH(F708,Employees!$B$5:$B$44,0)),PayRate*(1+EmployerOncost)))</f>
        <v>0</v>
      </c>
      <c r="W708" s="34">
        <f>IF(F708="","",MAX(0,U708-IF(N708="",0,N708)))</f>
        <v>0</v>
      </c>
      <c r="X708" s="21">
        <f>IF(F708="","",ROUND(W708*V708+IF(N708="",0,N708)*V708*OvertimeRate,2))</f>
        <v>0</v>
      </c>
      <c r="Y708" s="21">
        <f>IF(F708="","",IF(P708&lt;&gt;"Yes",0,ROUND(U708*IF(IFERROR(INDEX(Clients!$O$5:$O$204,MATCH(IFERROR(INDEX(Jobs!$G$5:$G$604,MATCH(G708,Jobs!$A$5:$A$604,0)),""),Clients!$A$5:$A$204,0)),0)&gt;0,INDEX(Clients!$O$5:$O$204,MATCH(INDEX(Jobs!$G$5:$G$604,MATCH(G708,Jobs!$A$5:$A$604,0)),Clients!$A$5:$A$204,0)),HourlyRate),2)))</f>
        <v>0</v>
      </c>
      <c r="Z708" s="39">
        <f>IF(F708="","",IF(U708=0,"Add - no hours recorded",IF(O708="Absent - no show","Action - no show",IF(U708&gt;10,"Check - over ten hours in a day",IF(Q708&lt;&gt;"Yes","Due - needs approving",IF(R708&lt;&gt;"Yes","Due - not paid yet","OK"))))))</f>
        <v>0</v>
      </c>
    </row>
    <row r="709" spans="1:26">
      <c r="A709" s="43">
        <f>IF(F709="","","TS-"&amp;TEXT(ROW()-4,"0000"))</f>
        <v>0</v>
      </c>
      <c r="C709" s="23">
        <f>IF(B709="","",TEXT(B709,"ddd"))</f>
        <v>0</v>
      </c>
      <c r="D709" s="31">
        <f>IF(B709="","",WEEKNUM(B709,IF(WeekStart="Sunday",1,2)))</f>
        <v>0</v>
      </c>
      <c r="E709" s="23">
        <f>IF(B709="","",TEXT(B709,"yyyy-mm"))</f>
        <v>0</v>
      </c>
      <c r="H709" s="23">
        <f>IF(G709="","",IFERROR(INDEX(Jobs!$H$5:$H$604,MATCH(G709,Jobs!$A$5:$A$604,0)),""))</f>
        <v>0</v>
      </c>
      <c r="T709" s="34">
        <f>IF(OR(J709="",K709=""),"",ROUND((K709-J709)*24-IF(L709="",0,L709)/60,2))</f>
        <v>0</v>
      </c>
      <c r="U709" s="34">
        <f>IF(F709="","",IF(M709&lt;&gt;"",M709,IF(T709="",0,T709)))</f>
        <v>0</v>
      </c>
      <c r="V709" s="21">
        <f>IF(F709="","",IFERROR(INDEX(Employees!$U$5:$U$44,MATCH(F709,Employees!$B$5:$B$44,0)),PayRate*(1+EmployerOncost)))</f>
        <v>0</v>
      </c>
      <c r="W709" s="34">
        <f>IF(F709="","",MAX(0,U709-IF(N709="",0,N709)))</f>
        <v>0</v>
      </c>
      <c r="X709" s="21">
        <f>IF(F709="","",ROUND(W709*V709+IF(N709="",0,N709)*V709*OvertimeRate,2))</f>
        <v>0</v>
      </c>
      <c r="Y709" s="21">
        <f>IF(F709="","",IF(P709&lt;&gt;"Yes",0,ROUND(U709*IF(IFERROR(INDEX(Clients!$O$5:$O$204,MATCH(IFERROR(INDEX(Jobs!$G$5:$G$604,MATCH(G709,Jobs!$A$5:$A$604,0)),""),Clients!$A$5:$A$204,0)),0)&gt;0,INDEX(Clients!$O$5:$O$204,MATCH(INDEX(Jobs!$G$5:$G$604,MATCH(G709,Jobs!$A$5:$A$604,0)),Clients!$A$5:$A$204,0)),HourlyRate),2)))</f>
        <v>0</v>
      </c>
      <c r="Z709" s="39">
        <f>IF(F709="","",IF(U709=0,"Add - no hours recorded",IF(O709="Absent - no show","Action - no show",IF(U709&gt;10,"Check - over ten hours in a day",IF(Q709&lt;&gt;"Yes","Due - needs approving",IF(R709&lt;&gt;"Yes","Due - not paid yet","OK"))))))</f>
        <v>0</v>
      </c>
    </row>
    <row r="710" spans="1:26">
      <c r="A710" s="43">
        <f>IF(F710="","","TS-"&amp;TEXT(ROW()-4,"0000"))</f>
        <v>0</v>
      </c>
      <c r="C710" s="23">
        <f>IF(B710="","",TEXT(B710,"ddd"))</f>
        <v>0</v>
      </c>
      <c r="D710" s="31">
        <f>IF(B710="","",WEEKNUM(B710,IF(WeekStart="Sunday",1,2)))</f>
        <v>0</v>
      </c>
      <c r="E710" s="23">
        <f>IF(B710="","",TEXT(B710,"yyyy-mm"))</f>
        <v>0</v>
      </c>
      <c r="H710" s="23">
        <f>IF(G710="","",IFERROR(INDEX(Jobs!$H$5:$H$604,MATCH(G710,Jobs!$A$5:$A$604,0)),""))</f>
        <v>0</v>
      </c>
      <c r="T710" s="34">
        <f>IF(OR(J710="",K710=""),"",ROUND((K710-J710)*24-IF(L710="",0,L710)/60,2))</f>
        <v>0</v>
      </c>
      <c r="U710" s="34">
        <f>IF(F710="","",IF(M710&lt;&gt;"",M710,IF(T710="",0,T710)))</f>
        <v>0</v>
      </c>
      <c r="V710" s="21">
        <f>IF(F710="","",IFERROR(INDEX(Employees!$U$5:$U$44,MATCH(F710,Employees!$B$5:$B$44,0)),PayRate*(1+EmployerOncost)))</f>
        <v>0</v>
      </c>
      <c r="W710" s="34">
        <f>IF(F710="","",MAX(0,U710-IF(N710="",0,N710)))</f>
        <v>0</v>
      </c>
      <c r="X710" s="21">
        <f>IF(F710="","",ROUND(W710*V710+IF(N710="",0,N710)*V710*OvertimeRate,2))</f>
        <v>0</v>
      </c>
      <c r="Y710" s="21">
        <f>IF(F710="","",IF(P710&lt;&gt;"Yes",0,ROUND(U710*IF(IFERROR(INDEX(Clients!$O$5:$O$204,MATCH(IFERROR(INDEX(Jobs!$G$5:$G$604,MATCH(G710,Jobs!$A$5:$A$604,0)),""),Clients!$A$5:$A$204,0)),0)&gt;0,INDEX(Clients!$O$5:$O$204,MATCH(INDEX(Jobs!$G$5:$G$604,MATCH(G710,Jobs!$A$5:$A$604,0)),Clients!$A$5:$A$204,0)),HourlyRate),2)))</f>
        <v>0</v>
      </c>
      <c r="Z710" s="39">
        <f>IF(F710="","",IF(U710=0,"Add - no hours recorded",IF(O710="Absent - no show","Action - no show",IF(U710&gt;10,"Check - over ten hours in a day",IF(Q710&lt;&gt;"Yes","Due - needs approving",IF(R710&lt;&gt;"Yes","Due - not paid yet","OK"))))))</f>
        <v>0</v>
      </c>
    </row>
    <row r="711" spans="1:26">
      <c r="A711" s="43">
        <f>IF(F711="","","TS-"&amp;TEXT(ROW()-4,"0000"))</f>
        <v>0</v>
      </c>
      <c r="C711" s="23">
        <f>IF(B711="","",TEXT(B711,"ddd"))</f>
        <v>0</v>
      </c>
      <c r="D711" s="31">
        <f>IF(B711="","",WEEKNUM(B711,IF(WeekStart="Sunday",1,2)))</f>
        <v>0</v>
      </c>
      <c r="E711" s="23">
        <f>IF(B711="","",TEXT(B711,"yyyy-mm"))</f>
        <v>0</v>
      </c>
      <c r="H711" s="23">
        <f>IF(G711="","",IFERROR(INDEX(Jobs!$H$5:$H$604,MATCH(G711,Jobs!$A$5:$A$604,0)),""))</f>
        <v>0</v>
      </c>
      <c r="T711" s="34">
        <f>IF(OR(J711="",K711=""),"",ROUND((K711-J711)*24-IF(L711="",0,L711)/60,2))</f>
        <v>0</v>
      </c>
      <c r="U711" s="34">
        <f>IF(F711="","",IF(M711&lt;&gt;"",M711,IF(T711="",0,T711)))</f>
        <v>0</v>
      </c>
      <c r="V711" s="21">
        <f>IF(F711="","",IFERROR(INDEX(Employees!$U$5:$U$44,MATCH(F711,Employees!$B$5:$B$44,0)),PayRate*(1+EmployerOncost)))</f>
        <v>0</v>
      </c>
      <c r="W711" s="34">
        <f>IF(F711="","",MAX(0,U711-IF(N711="",0,N711)))</f>
        <v>0</v>
      </c>
      <c r="X711" s="21">
        <f>IF(F711="","",ROUND(W711*V711+IF(N711="",0,N711)*V711*OvertimeRate,2))</f>
        <v>0</v>
      </c>
      <c r="Y711" s="21">
        <f>IF(F711="","",IF(P711&lt;&gt;"Yes",0,ROUND(U711*IF(IFERROR(INDEX(Clients!$O$5:$O$204,MATCH(IFERROR(INDEX(Jobs!$G$5:$G$604,MATCH(G711,Jobs!$A$5:$A$604,0)),""),Clients!$A$5:$A$204,0)),0)&gt;0,INDEX(Clients!$O$5:$O$204,MATCH(INDEX(Jobs!$G$5:$G$604,MATCH(G711,Jobs!$A$5:$A$604,0)),Clients!$A$5:$A$204,0)),HourlyRate),2)))</f>
        <v>0</v>
      </c>
      <c r="Z711" s="39">
        <f>IF(F711="","",IF(U711=0,"Add - no hours recorded",IF(O711="Absent - no show","Action - no show",IF(U711&gt;10,"Check - over ten hours in a day",IF(Q711&lt;&gt;"Yes","Due - needs approving",IF(R711&lt;&gt;"Yes","Due - not paid yet","OK"))))))</f>
        <v>0</v>
      </c>
    </row>
    <row r="712" spans="1:26">
      <c r="A712" s="43">
        <f>IF(F712="","","TS-"&amp;TEXT(ROW()-4,"0000"))</f>
        <v>0</v>
      </c>
      <c r="C712" s="23">
        <f>IF(B712="","",TEXT(B712,"ddd"))</f>
        <v>0</v>
      </c>
      <c r="D712" s="31">
        <f>IF(B712="","",WEEKNUM(B712,IF(WeekStart="Sunday",1,2)))</f>
        <v>0</v>
      </c>
      <c r="E712" s="23">
        <f>IF(B712="","",TEXT(B712,"yyyy-mm"))</f>
        <v>0</v>
      </c>
      <c r="H712" s="23">
        <f>IF(G712="","",IFERROR(INDEX(Jobs!$H$5:$H$604,MATCH(G712,Jobs!$A$5:$A$604,0)),""))</f>
        <v>0</v>
      </c>
      <c r="T712" s="34">
        <f>IF(OR(J712="",K712=""),"",ROUND((K712-J712)*24-IF(L712="",0,L712)/60,2))</f>
        <v>0</v>
      </c>
      <c r="U712" s="34">
        <f>IF(F712="","",IF(M712&lt;&gt;"",M712,IF(T712="",0,T712)))</f>
        <v>0</v>
      </c>
      <c r="V712" s="21">
        <f>IF(F712="","",IFERROR(INDEX(Employees!$U$5:$U$44,MATCH(F712,Employees!$B$5:$B$44,0)),PayRate*(1+EmployerOncost)))</f>
        <v>0</v>
      </c>
      <c r="W712" s="34">
        <f>IF(F712="","",MAX(0,U712-IF(N712="",0,N712)))</f>
        <v>0</v>
      </c>
      <c r="X712" s="21">
        <f>IF(F712="","",ROUND(W712*V712+IF(N712="",0,N712)*V712*OvertimeRate,2))</f>
        <v>0</v>
      </c>
      <c r="Y712" s="21">
        <f>IF(F712="","",IF(P712&lt;&gt;"Yes",0,ROUND(U712*IF(IFERROR(INDEX(Clients!$O$5:$O$204,MATCH(IFERROR(INDEX(Jobs!$G$5:$G$604,MATCH(G712,Jobs!$A$5:$A$604,0)),""),Clients!$A$5:$A$204,0)),0)&gt;0,INDEX(Clients!$O$5:$O$204,MATCH(INDEX(Jobs!$G$5:$G$604,MATCH(G712,Jobs!$A$5:$A$604,0)),Clients!$A$5:$A$204,0)),HourlyRate),2)))</f>
        <v>0</v>
      </c>
      <c r="Z712" s="39">
        <f>IF(F712="","",IF(U712=0,"Add - no hours recorded",IF(O712="Absent - no show","Action - no show",IF(U712&gt;10,"Check - over ten hours in a day",IF(Q712&lt;&gt;"Yes","Due - needs approving",IF(R712&lt;&gt;"Yes","Due - not paid yet","OK"))))))</f>
        <v>0</v>
      </c>
    </row>
    <row r="713" spans="1:26">
      <c r="A713" s="43">
        <f>IF(F713="","","TS-"&amp;TEXT(ROW()-4,"0000"))</f>
        <v>0</v>
      </c>
      <c r="C713" s="23">
        <f>IF(B713="","",TEXT(B713,"ddd"))</f>
        <v>0</v>
      </c>
      <c r="D713" s="31">
        <f>IF(B713="","",WEEKNUM(B713,IF(WeekStart="Sunday",1,2)))</f>
        <v>0</v>
      </c>
      <c r="E713" s="23">
        <f>IF(B713="","",TEXT(B713,"yyyy-mm"))</f>
        <v>0</v>
      </c>
      <c r="H713" s="23">
        <f>IF(G713="","",IFERROR(INDEX(Jobs!$H$5:$H$604,MATCH(G713,Jobs!$A$5:$A$604,0)),""))</f>
        <v>0</v>
      </c>
      <c r="T713" s="34">
        <f>IF(OR(J713="",K713=""),"",ROUND((K713-J713)*24-IF(L713="",0,L713)/60,2))</f>
        <v>0</v>
      </c>
      <c r="U713" s="34">
        <f>IF(F713="","",IF(M713&lt;&gt;"",M713,IF(T713="",0,T713)))</f>
        <v>0</v>
      </c>
      <c r="V713" s="21">
        <f>IF(F713="","",IFERROR(INDEX(Employees!$U$5:$U$44,MATCH(F713,Employees!$B$5:$B$44,0)),PayRate*(1+EmployerOncost)))</f>
        <v>0</v>
      </c>
      <c r="W713" s="34">
        <f>IF(F713="","",MAX(0,U713-IF(N713="",0,N713)))</f>
        <v>0</v>
      </c>
      <c r="X713" s="21">
        <f>IF(F713="","",ROUND(W713*V713+IF(N713="",0,N713)*V713*OvertimeRate,2))</f>
        <v>0</v>
      </c>
      <c r="Y713" s="21">
        <f>IF(F713="","",IF(P713&lt;&gt;"Yes",0,ROUND(U713*IF(IFERROR(INDEX(Clients!$O$5:$O$204,MATCH(IFERROR(INDEX(Jobs!$G$5:$G$604,MATCH(G713,Jobs!$A$5:$A$604,0)),""),Clients!$A$5:$A$204,0)),0)&gt;0,INDEX(Clients!$O$5:$O$204,MATCH(INDEX(Jobs!$G$5:$G$604,MATCH(G713,Jobs!$A$5:$A$604,0)),Clients!$A$5:$A$204,0)),HourlyRate),2)))</f>
        <v>0</v>
      </c>
      <c r="Z713" s="39">
        <f>IF(F713="","",IF(U713=0,"Add - no hours recorded",IF(O713="Absent - no show","Action - no show",IF(U713&gt;10,"Check - over ten hours in a day",IF(Q713&lt;&gt;"Yes","Due - needs approving",IF(R713&lt;&gt;"Yes","Due - not paid yet","OK"))))))</f>
        <v>0</v>
      </c>
    </row>
    <row r="714" spans="1:26">
      <c r="A714" s="43">
        <f>IF(F714="","","TS-"&amp;TEXT(ROW()-4,"0000"))</f>
        <v>0</v>
      </c>
      <c r="C714" s="23">
        <f>IF(B714="","",TEXT(B714,"ddd"))</f>
        <v>0</v>
      </c>
      <c r="D714" s="31">
        <f>IF(B714="","",WEEKNUM(B714,IF(WeekStart="Sunday",1,2)))</f>
        <v>0</v>
      </c>
      <c r="E714" s="23">
        <f>IF(B714="","",TEXT(B714,"yyyy-mm"))</f>
        <v>0</v>
      </c>
      <c r="H714" s="23">
        <f>IF(G714="","",IFERROR(INDEX(Jobs!$H$5:$H$604,MATCH(G714,Jobs!$A$5:$A$604,0)),""))</f>
        <v>0</v>
      </c>
      <c r="T714" s="34">
        <f>IF(OR(J714="",K714=""),"",ROUND((K714-J714)*24-IF(L714="",0,L714)/60,2))</f>
        <v>0</v>
      </c>
      <c r="U714" s="34">
        <f>IF(F714="","",IF(M714&lt;&gt;"",M714,IF(T714="",0,T714)))</f>
        <v>0</v>
      </c>
      <c r="V714" s="21">
        <f>IF(F714="","",IFERROR(INDEX(Employees!$U$5:$U$44,MATCH(F714,Employees!$B$5:$B$44,0)),PayRate*(1+EmployerOncost)))</f>
        <v>0</v>
      </c>
      <c r="W714" s="34">
        <f>IF(F714="","",MAX(0,U714-IF(N714="",0,N714)))</f>
        <v>0</v>
      </c>
      <c r="X714" s="21">
        <f>IF(F714="","",ROUND(W714*V714+IF(N714="",0,N714)*V714*OvertimeRate,2))</f>
        <v>0</v>
      </c>
      <c r="Y714" s="21">
        <f>IF(F714="","",IF(P714&lt;&gt;"Yes",0,ROUND(U714*IF(IFERROR(INDEX(Clients!$O$5:$O$204,MATCH(IFERROR(INDEX(Jobs!$G$5:$G$604,MATCH(G714,Jobs!$A$5:$A$604,0)),""),Clients!$A$5:$A$204,0)),0)&gt;0,INDEX(Clients!$O$5:$O$204,MATCH(INDEX(Jobs!$G$5:$G$604,MATCH(G714,Jobs!$A$5:$A$604,0)),Clients!$A$5:$A$204,0)),HourlyRate),2)))</f>
        <v>0</v>
      </c>
      <c r="Z714" s="39">
        <f>IF(F714="","",IF(U714=0,"Add - no hours recorded",IF(O714="Absent - no show","Action - no show",IF(U714&gt;10,"Check - over ten hours in a day",IF(Q714&lt;&gt;"Yes","Due - needs approving",IF(R714&lt;&gt;"Yes","Due - not paid yet","OK"))))))</f>
        <v>0</v>
      </c>
    </row>
    <row r="715" spans="1:26">
      <c r="A715" s="43">
        <f>IF(F715="","","TS-"&amp;TEXT(ROW()-4,"0000"))</f>
        <v>0</v>
      </c>
      <c r="C715" s="23">
        <f>IF(B715="","",TEXT(B715,"ddd"))</f>
        <v>0</v>
      </c>
      <c r="D715" s="31">
        <f>IF(B715="","",WEEKNUM(B715,IF(WeekStart="Sunday",1,2)))</f>
        <v>0</v>
      </c>
      <c r="E715" s="23">
        <f>IF(B715="","",TEXT(B715,"yyyy-mm"))</f>
        <v>0</v>
      </c>
      <c r="H715" s="23">
        <f>IF(G715="","",IFERROR(INDEX(Jobs!$H$5:$H$604,MATCH(G715,Jobs!$A$5:$A$604,0)),""))</f>
        <v>0</v>
      </c>
      <c r="T715" s="34">
        <f>IF(OR(J715="",K715=""),"",ROUND((K715-J715)*24-IF(L715="",0,L715)/60,2))</f>
        <v>0</v>
      </c>
      <c r="U715" s="34">
        <f>IF(F715="","",IF(M715&lt;&gt;"",M715,IF(T715="",0,T715)))</f>
        <v>0</v>
      </c>
      <c r="V715" s="21">
        <f>IF(F715="","",IFERROR(INDEX(Employees!$U$5:$U$44,MATCH(F715,Employees!$B$5:$B$44,0)),PayRate*(1+EmployerOncost)))</f>
        <v>0</v>
      </c>
      <c r="W715" s="34">
        <f>IF(F715="","",MAX(0,U715-IF(N715="",0,N715)))</f>
        <v>0</v>
      </c>
      <c r="X715" s="21">
        <f>IF(F715="","",ROUND(W715*V715+IF(N715="",0,N715)*V715*OvertimeRate,2))</f>
        <v>0</v>
      </c>
      <c r="Y715" s="21">
        <f>IF(F715="","",IF(P715&lt;&gt;"Yes",0,ROUND(U715*IF(IFERROR(INDEX(Clients!$O$5:$O$204,MATCH(IFERROR(INDEX(Jobs!$G$5:$G$604,MATCH(G715,Jobs!$A$5:$A$604,0)),""),Clients!$A$5:$A$204,0)),0)&gt;0,INDEX(Clients!$O$5:$O$204,MATCH(INDEX(Jobs!$G$5:$G$604,MATCH(G715,Jobs!$A$5:$A$604,0)),Clients!$A$5:$A$204,0)),HourlyRate),2)))</f>
        <v>0</v>
      </c>
      <c r="Z715" s="39">
        <f>IF(F715="","",IF(U715=0,"Add - no hours recorded",IF(O715="Absent - no show","Action - no show",IF(U715&gt;10,"Check - over ten hours in a day",IF(Q715&lt;&gt;"Yes","Due - needs approving",IF(R715&lt;&gt;"Yes","Due - not paid yet","OK"))))))</f>
        <v>0</v>
      </c>
    </row>
    <row r="716" spans="1:26">
      <c r="A716" s="43">
        <f>IF(F716="","","TS-"&amp;TEXT(ROW()-4,"0000"))</f>
        <v>0</v>
      </c>
      <c r="C716" s="23">
        <f>IF(B716="","",TEXT(B716,"ddd"))</f>
        <v>0</v>
      </c>
      <c r="D716" s="31">
        <f>IF(B716="","",WEEKNUM(B716,IF(WeekStart="Sunday",1,2)))</f>
        <v>0</v>
      </c>
      <c r="E716" s="23">
        <f>IF(B716="","",TEXT(B716,"yyyy-mm"))</f>
        <v>0</v>
      </c>
      <c r="H716" s="23">
        <f>IF(G716="","",IFERROR(INDEX(Jobs!$H$5:$H$604,MATCH(G716,Jobs!$A$5:$A$604,0)),""))</f>
        <v>0</v>
      </c>
      <c r="T716" s="34">
        <f>IF(OR(J716="",K716=""),"",ROUND((K716-J716)*24-IF(L716="",0,L716)/60,2))</f>
        <v>0</v>
      </c>
      <c r="U716" s="34">
        <f>IF(F716="","",IF(M716&lt;&gt;"",M716,IF(T716="",0,T716)))</f>
        <v>0</v>
      </c>
      <c r="V716" s="21">
        <f>IF(F716="","",IFERROR(INDEX(Employees!$U$5:$U$44,MATCH(F716,Employees!$B$5:$B$44,0)),PayRate*(1+EmployerOncost)))</f>
        <v>0</v>
      </c>
      <c r="W716" s="34">
        <f>IF(F716="","",MAX(0,U716-IF(N716="",0,N716)))</f>
        <v>0</v>
      </c>
      <c r="X716" s="21">
        <f>IF(F716="","",ROUND(W716*V716+IF(N716="",0,N716)*V716*OvertimeRate,2))</f>
        <v>0</v>
      </c>
      <c r="Y716" s="21">
        <f>IF(F716="","",IF(P716&lt;&gt;"Yes",0,ROUND(U716*IF(IFERROR(INDEX(Clients!$O$5:$O$204,MATCH(IFERROR(INDEX(Jobs!$G$5:$G$604,MATCH(G716,Jobs!$A$5:$A$604,0)),""),Clients!$A$5:$A$204,0)),0)&gt;0,INDEX(Clients!$O$5:$O$204,MATCH(INDEX(Jobs!$G$5:$G$604,MATCH(G716,Jobs!$A$5:$A$604,0)),Clients!$A$5:$A$204,0)),HourlyRate),2)))</f>
        <v>0</v>
      </c>
      <c r="Z716" s="39">
        <f>IF(F716="","",IF(U716=0,"Add - no hours recorded",IF(O716="Absent - no show","Action - no show",IF(U716&gt;10,"Check - over ten hours in a day",IF(Q716&lt;&gt;"Yes","Due - needs approving",IF(R716&lt;&gt;"Yes","Due - not paid yet","OK"))))))</f>
        <v>0</v>
      </c>
    </row>
    <row r="717" spans="1:26">
      <c r="A717" s="43">
        <f>IF(F717="","","TS-"&amp;TEXT(ROW()-4,"0000"))</f>
        <v>0</v>
      </c>
      <c r="C717" s="23">
        <f>IF(B717="","",TEXT(B717,"ddd"))</f>
        <v>0</v>
      </c>
      <c r="D717" s="31">
        <f>IF(B717="","",WEEKNUM(B717,IF(WeekStart="Sunday",1,2)))</f>
        <v>0</v>
      </c>
      <c r="E717" s="23">
        <f>IF(B717="","",TEXT(B717,"yyyy-mm"))</f>
        <v>0</v>
      </c>
      <c r="H717" s="23">
        <f>IF(G717="","",IFERROR(INDEX(Jobs!$H$5:$H$604,MATCH(G717,Jobs!$A$5:$A$604,0)),""))</f>
        <v>0</v>
      </c>
      <c r="T717" s="34">
        <f>IF(OR(J717="",K717=""),"",ROUND((K717-J717)*24-IF(L717="",0,L717)/60,2))</f>
        <v>0</v>
      </c>
      <c r="U717" s="34">
        <f>IF(F717="","",IF(M717&lt;&gt;"",M717,IF(T717="",0,T717)))</f>
        <v>0</v>
      </c>
      <c r="V717" s="21">
        <f>IF(F717="","",IFERROR(INDEX(Employees!$U$5:$U$44,MATCH(F717,Employees!$B$5:$B$44,0)),PayRate*(1+EmployerOncost)))</f>
        <v>0</v>
      </c>
      <c r="W717" s="34">
        <f>IF(F717="","",MAX(0,U717-IF(N717="",0,N717)))</f>
        <v>0</v>
      </c>
      <c r="X717" s="21">
        <f>IF(F717="","",ROUND(W717*V717+IF(N717="",0,N717)*V717*OvertimeRate,2))</f>
        <v>0</v>
      </c>
      <c r="Y717" s="21">
        <f>IF(F717="","",IF(P717&lt;&gt;"Yes",0,ROUND(U717*IF(IFERROR(INDEX(Clients!$O$5:$O$204,MATCH(IFERROR(INDEX(Jobs!$G$5:$G$604,MATCH(G717,Jobs!$A$5:$A$604,0)),""),Clients!$A$5:$A$204,0)),0)&gt;0,INDEX(Clients!$O$5:$O$204,MATCH(INDEX(Jobs!$G$5:$G$604,MATCH(G717,Jobs!$A$5:$A$604,0)),Clients!$A$5:$A$204,0)),HourlyRate),2)))</f>
        <v>0</v>
      </c>
      <c r="Z717" s="39">
        <f>IF(F717="","",IF(U717=0,"Add - no hours recorded",IF(O717="Absent - no show","Action - no show",IF(U717&gt;10,"Check - over ten hours in a day",IF(Q717&lt;&gt;"Yes","Due - needs approving",IF(R717&lt;&gt;"Yes","Due - not paid yet","OK"))))))</f>
        <v>0</v>
      </c>
    </row>
    <row r="718" spans="1:26">
      <c r="A718" s="43">
        <f>IF(F718="","","TS-"&amp;TEXT(ROW()-4,"0000"))</f>
        <v>0</v>
      </c>
      <c r="C718" s="23">
        <f>IF(B718="","",TEXT(B718,"ddd"))</f>
        <v>0</v>
      </c>
      <c r="D718" s="31">
        <f>IF(B718="","",WEEKNUM(B718,IF(WeekStart="Sunday",1,2)))</f>
        <v>0</v>
      </c>
      <c r="E718" s="23">
        <f>IF(B718="","",TEXT(B718,"yyyy-mm"))</f>
        <v>0</v>
      </c>
      <c r="H718" s="23">
        <f>IF(G718="","",IFERROR(INDEX(Jobs!$H$5:$H$604,MATCH(G718,Jobs!$A$5:$A$604,0)),""))</f>
        <v>0</v>
      </c>
      <c r="T718" s="34">
        <f>IF(OR(J718="",K718=""),"",ROUND((K718-J718)*24-IF(L718="",0,L718)/60,2))</f>
        <v>0</v>
      </c>
      <c r="U718" s="34">
        <f>IF(F718="","",IF(M718&lt;&gt;"",M718,IF(T718="",0,T718)))</f>
        <v>0</v>
      </c>
      <c r="V718" s="21">
        <f>IF(F718="","",IFERROR(INDEX(Employees!$U$5:$U$44,MATCH(F718,Employees!$B$5:$B$44,0)),PayRate*(1+EmployerOncost)))</f>
        <v>0</v>
      </c>
      <c r="W718" s="34">
        <f>IF(F718="","",MAX(0,U718-IF(N718="",0,N718)))</f>
        <v>0</v>
      </c>
      <c r="X718" s="21">
        <f>IF(F718="","",ROUND(W718*V718+IF(N718="",0,N718)*V718*OvertimeRate,2))</f>
        <v>0</v>
      </c>
      <c r="Y718" s="21">
        <f>IF(F718="","",IF(P718&lt;&gt;"Yes",0,ROUND(U718*IF(IFERROR(INDEX(Clients!$O$5:$O$204,MATCH(IFERROR(INDEX(Jobs!$G$5:$G$604,MATCH(G718,Jobs!$A$5:$A$604,0)),""),Clients!$A$5:$A$204,0)),0)&gt;0,INDEX(Clients!$O$5:$O$204,MATCH(INDEX(Jobs!$G$5:$G$604,MATCH(G718,Jobs!$A$5:$A$604,0)),Clients!$A$5:$A$204,0)),HourlyRate),2)))</f>
        <v>0</v>
      </c>
      <c r="Z718" s="39">
        <f>IF(F718="","",IF(U718=0,"Add - no hours recorded",IF(O718="Absent - no show","Action - no show",IF(U718&gt;10,"Check - over ten hours in a day",IF(Q718&lt;&gt;"Yes","Due - needs approving",IF(R718&lt;&gt;"Yes","Due - not paid yet","OK"))))))</f>
        <v>0</v>
      </c>
    </row>
    <row r="719" spans="1:26">
      <c r="A719" s="43">
        <f>IF(F719="","","TS-"&amp;TEXT(ROW()-4,"0000"))</f>
        <v>0</v>
      </c>
      <c r="C719" s="23">
        <f>IF(B719="","",TEXT(B719,"ddd"))</f>
        <v>0</v>
      </c>
      <c r="D719" s="31">
        <f>IF(B719="","",WEEKNUM(B719,IF(WeekStart="Sunday",1,2)))</f>
        <v>0</v>
      </c>
      <c r="E719" s="23">
        <f>IF(B719="","",TEXT(B719,"yyyy-mm"))</f>
        <v>0</v>
      </c>
      <c r="H719" s="23">
        <f>IF(G719="","",IFERROR(INDEX(Jobs!$H$5:$H$604,MATCH(G719,Jobs!$A$5:$A$604,0)),""))</f>
        <v>0</v>
      </c>
      <c r="T719" s="34">
        <f>IF(OR(J719="",K719=""),"",ROUND((K719-J719)*24-IF(L719="",0,L719)/60,2))</f>
        <v>0</v>
      </c>
      <c r="U719" s="34">
        <f>IF(F719="","",IF(M719&lt;&gt;"",M719,IF(T719="",0,T719)))</f>
        <v>0</v>
      </c>
      <c r="V719" s="21">
        <f>IF(F719="","",IFERROR(INDEX(Employees!$U$5:$U$44,MATCH(F719,Employees!$B$5:$B$44,0)),PayRate*(1+EmployerOncost)))</f>
        <v>0</v>
      </c>
      <c r="W719" s="34">
        <f>IF(F719="","",MAX(0,U719-IF(N719="",0,N719)))</f>
        <v>0</v>
      </c>
      <c r="X719" s="21">
        <f>IF(F719="","",ROUND(W719*V719+IF(N719="",0,N719)*V719*OvertimeRate,2))</f>
        <v>0</v>
      </c>
      <c r="Y719" s="21">
        <f>IF(F719="","",IF(P719&lt;&gt;"Yes",0,ROUND(U719*IF(IFERROR(INDEX(Clients!$O$5:$O$204,MATCH(IFERROR(INDEX(Jobs!$G$5:$G$604,MATCH(G719,Jobs!$A$5:$A$604,0)),""),Clients!$A$5:$A$204,0)),0)&gt;0,INDEX(Clients!$O$5:$O$204,MATCH(INDEX(Jobs!$G$5:$G$604,MATCH(G719,Jobs!$A$5:$A$604,0)),Clients!$A$5:$A$204,0)),HourlyRate),2)))</f>
        <v>0</v>
      </c>
      <c r="Z719" s="39">
        <f>IF(F719="","",IF(U719=0,"Add - no hours recorded",IF(O719="Absent - no show","Action - no show",IF(U719&gt;10,"Check - over ten hours in a day",IF(Q719&lt;&gt;"Yes","Due - needs approving",IF(R719&lt;&gt;"Yes","Due - not paid yet","OK"))))))</f>
        <v>0</v>
      </c>
    </row>
    <row r="720" spans="1:26">
      <c r="A720" s="43">
        <f>IF(F720="","","TS-"&amp;TEXT(ROW()-4,"0000"))</f>
        <v>0</v>
      </c>
      <c r="C720" s="23">
        <f>IF(B720="","",TEXT(B720,"ddd"))</f>
        <v>0</v>
      </c>
      <c r="D720" s="31">
        <f>IF(B720="","",WEEKNUM(B720,IF(WeekStart="Sunday",1,2)))</f>
        <v>0</v>
      </c>
      <c r="E720" s="23">
        <f>IF(B720="","",TEXT(B720,"yyyy-mm"))</f>
        <v>0</v>
      </c>
      <c r="H720" s="23">
        <f>IF(G720="","",IFERROR(INDEX(Jobs!$H$5:$H$604,MATCH(G720,Jobs!$A$5:$A$604,0)),""))</f>
        <v>0</v>
      </c>
      <c r="T720" s="34">
        <f>IF(OR(J720="",K720=""),"",ROUND((K720-J720)*24-IF(L720="",0,L720)/60,2))</f>
        <v>0</v>
      </c>
      <c r="U720" s="34">
        <f>IF(F720="","",IF(M720&lt;&gt;"",M720,IF(T720="",0,T720)))</f>
        <v>0</v>
      </c>
      <c r="V720" s="21">
        <f>IF(F720="","",IFERROR(INDEX(Employees!$U$5:$U$44,MATCH(F720,Employees!$B$5:$B$44,0)),PayRate*(1+EmployerOncost)))</f>
        <v>0</v>
      </c>
      <c r="W720" s="34">
        <f>IF(F720="","",MAX(0,U720-IF(N720="",0,N720)))</f>
        <v>0</v>
      </c>
      <c r="X720" s="21">
        <f>IF(F720="","",ROUND(W720*V720+IF(N720="",0,N720)*V720*OvertimeRate,2))</f>
        <v>0</v>
      </c>
      <c r="Y720" s="21">
        <f>IF(F720="","",IF(P720&lt;&gt;"Yes",0,ROUND(U720*IF(IFERROR(INDEX(Clients!$O$5:$O$204,MATCH(IFERROR(INDEX(Jobs!$G$5:$G$604,MATCH(G720,Jobs!$A$5:$A$604,0)),""),Clients!$A$5:$A$204,0)),0)&gt;0,INDEX(Clients!$O$5:$O$204,MATCH(INDEX(Jobs!$G$5:$G$604,MATCH(G720,Jobs!$A$5:$A$604,0)),Clients!$A$5:$A$204,0)),HourlyRate),2)))</f>
        <v>0</v>
      </c>
      <c r="Z720" s="39">
        <f>IF(F720="","",IF(U720=0,"Add - no hours recorded",IF(O720="Absent - no show","Action - no show",IF(U720&gt;10,"Check - over ten hours in a day",IF(Q720&lt;&gt;"Yes","Due - needs approving",IF(R720&lt;&gt;"Yes","Due - not paid yet","OK"))))))</f>
        <v>0</v>
      </c>
    </row>
    <row r="721" spans="1:26">
      <c r="A721" s="43">
        <f>IF(F721="","","TS-"&amp;TEXT(ROW()-4,"0000"))</f>
        <v>0</v>
      </c>
      <c r="C721" s="23">
        <f>IF(B721="","",TEXT(B721,"ddd"))</f>
        <v>0</v>
      </c>
      <c r="D721" s="31">
        <f>IF(B721="","",WEEKNUM(B721,IF(WeekStart="Sunday",1,2)))</f>
        <v>0</v>
      </c>
      <c r="E721" s="23">
        <f>IF(B721="","",TEXT(B721,"yyyy-mm"))</f>
        <v>0</v>
      </c>
      <c r="H721" s="23">
        <f>IF(G721="","",IFERROR(INDEX(Jobs!$H$5:$H$604,MATCH(G721,Jobs!$A$5:$A$604,0)),""))</f>
        <v>0</v>
      </c>
      <c r="T721" s="34">
        <f>IF(OR(J721="",K721=""),"",ROUND((K721-J721)*24-IF(L721="",0,L721)/60,2))</f>
        <v>0</v>
      </c>
      <c r="U721" s="34">
        <f>IF(F721="","",IF(M721&lt;&gt;"",M721,IF(T721="",0,T721)))</f>
        <v>0</v>
      </c>
      <c r="V721" s="21">
        <f>IF(F721="","",IFERROR(INDEX(Employees!$U$5:$U$44,MATCH(F721,Employees!$B$5:$B$44,0)),PayRate*(1+EmployerOncost)))</f>
        <v>0</v>
      </c>
      <c r="W721" s="34">
        <f>IF(F721="","",MAX(0,U721-IF(N721="",0,N721)))</f>
        <v>0</v>
      </c>
      <c r="X721" s="21">
        <f>IF(F721="","",ROUND(W721*V721+IF(N721="",0,N721)*V721*OvertimeRate,2))</f>
        <v>0</v>
      </c>
      <c r="Y721" s="21">
        <f>IF(F721="","",IF(P721&lt;&gt;"Yes",0,ROUND(U721*IF(IFERROR(INDEX(Clients!$O$5:$O$204,MATCH(IFERROR(INDEX(Jobs!$G$5:$G$604,MATCH(G721,Jobs!$A$5:$A$604,0)),""),Clients!$A$5:$A$204,0)),0)&gt;0,INDEX(Clients!$O$5:$O$204,MATCH(INDEX(Jobs!$G$5:$G$604,MATCH(G721,Jobs!$A$5:$A$604,0)),Clients!$A$5:$A$204,0)),HourlyRate),2)))</f>
        <v>0</v>
      </c>
      <c r="Z721" s="39">
        <f>IF(F721="","",IF(U721=0,"Add - no hours recorded",IF(O721="Absent - no show","Action - no show",IF(U721&gt;10,"Check - over ten hours in a day",IF(Q721&lt;&gt;"Yes","Due - needs approving",IF(R721&lt;&gt;"Yes","Due - not paid yet","OK"))))))</f>
        <v>0</v>
      </c>
    </row>
    <row r="722" spans="1:26">
      <c r="A722" s="43">
        <f>IF(F722="","","TS-"&amp;TEXT(ROW()-4,"0000"))</f>
        <v>0</v>
      </c>
      <c r="C722" s="23">
        <f>IF(B722="","",TEXT(B722,"ddd"))</f>
        <v>0</v>
      </c>
      <c r="D722" s="31">
        <f>IF(B722="","",WEEKNUM(B722,IF(WeekStart="Sunday",1,2)))</f>
        <v>0</v>
      </c>
      <c r="E722" s="23">
        <f>IF(B722="","",TEXT(B722,"yyyy-mm"))</f>
        <v>0</v>
      </c>
      <c r="H722" s="23">
        <f>IF(G722="","",IFERROR(INDEX(Jobs!$H$5:$H$604,MATCH(G722,Jobs!$A$5:$A$604,0)),""))</f>
        <v>0</v>
      </c>
      <c r="T722" s="34">
        <f>IF(OR(J722="",K722=""),"",ROUND((K722-J722)*24-IF(L722="",0,L722)/60,2))</f>
        <v>0</v>
      </c>
      <c r="U722" s="34">
        <f>IF(F722="","",IF(M722&lt;&gt;"",M722,IF(T722="",0,T722)))</f>
        <v>0</v>
      </c>
      <c r="V722" s="21">
        <f>IF(F722="","",IFERROR(INDEX(Employees!$U$5:$U$44,MATCH(F722,Employees!$B$5:$B$44,0)),PayRate*(1+EmployerOncost)))</f>
        <v>0</v>
      </c>
      <c r="W722" s="34">
        <f>IF(F722="","",MAX(0,U722-IF(N722="",0,N722)))</f>
        <v>0</v>
      </c>
      <c r="X722" s="21">
        <f>IF(F722="","",ROUND(W722*V722+IF(N722="",0,N722)*V722*OvertimeRate,2))</f>
        <v>0</v>
      </c>
      <c r="Y722" s="21">
        <f>IF(F722="","",IF(P722&lt;&gt;"Yes",0,ROUND(U722*IF(IFERROR(INDEX(Clients!$O$5:$O$204,MATCH(IFERROR(INDEX(Jobs!$G$5:$G$604,MATCH(G722,Jobs!$A$5:$A$604,0)),""),Clients!$A$5:$A$204,0)),0)&gt;0,INDEX(Clients!$O$5:$O$204,MATCH(INDEX(Jobs!$G$5:$G$604,MATCH(G722,Jobs!$A$5:$A$604,0)),Clients!$A$5:$A$204,0)),HourlyRate),2)))</f>
        <v>0</v>
      </c>
      <c r="Z722" s="39">
        <f>IF(F722="","",IF(U722=0,"Add - no hours recorded",IF(O722="Absent - no show","Action - no show",IF(U722&gt;10,"Check - over ten hours in a day",IF(Q722&lt;&gt;"Yes","Due - needs approving",IF(R722&lt;&gt;"Yes","Due - not paid yet","OK"))))))</f>
        <v>0</v>
      </c>
    </row>
    <row r="723" spans="1:26">
      <c r="A723" s="43">
        <f>IF(F723="","","TS-"&amp;TEXT(ROW()-4,"0000"))</f>
        <v>0</v>
      </c>
      <c r="C723" s="23">
        <f>IF(B723="","",TEXT(B723,"ddd"))</f>
        <v>0</v>
      </c>
      <c r="D723" s="31">
        <f>IF(B723="","",WEEKNUM(B723,IF(WeekStart="Sunday",1,2)))</f>
        <v>0</v>
      </c>
      <c r="E723" s="23">
        <f>IF(B723="","",TEXT(B723,"yyyy-mm"))</f>
        <v>0</v>
      </c>
      <c r="H723" s="23">
        <f>IF(G723="","",IFERROR(INDEX(Jobs!$H$5:$H$604,MATCH(G723,Jobs!$A$5:$A$604,0)),""))</f>
        <v>0</v>
      </c>
      <c r="T723" s="34">
        <f>IF(OR(J723="",K723=""),"",ROUND((K723-J723)*24-IF(L723="",0,L723)/60,2))</f>
        <v>0</v>
      </c>
      <c r="U723" s="34">
        <f>IF(F723="","",IF(M723&lt;&gt;"",M723,IF(T723="",0,T723)))</f>
        <v>0</v>
      </c>
      <c r="V723" s="21">
        <f>IF(F723="","",IFERROR(INDEX(Employees!$U$5:$U$44,MATCH(F723,Employees!$B$5:$B$44,0)),PayRate*(1+EmployerOncost)))</f>
        <v>0</v>
      </c>
      <c r="W723" s="34">
        <f>IF(F723="","",MAX(0,U723-IF(N723="",0,N723)))</f>
        <v>0</v>
      </c>
      <c r="X723" s="21">
        <f>IF(F723="","",ROUND(W723*V723+IF(N723="",0,N723)*V723*OvertimeRate,2))</f>
        <v>0</v>
      </c>
      <c r="Y723" s="21">
        <f>IF(F723="","",IF(P723&lt;&gt;"Yes",0,ROUND(U723*IF(IFERROR(INDEX(Clients!$O$5:$O$204,MATCH(IFERROR(INDEX(Jobs!$G$5:$G$604,MATCH(G723,Jobs!$A$5:$A$604,0)),""),Clients!$A$5:$A$204,0)),0)&gt;0,INDEX(Clients!$O$5:$O$204,MATCH(INDEX(Jobs!$G$5:$G$604,MATCH(G723,Jobs!$A$5:$A$604,0)),Clients!$A$5:$A$204,0)),HourlyRate),2)))</f>
        <v>0</v>
      </c>
      <c r="Z723" s="39">
        <f>IF(F723="","",IF(U723=0,"Add - no hours recorded",IF(O723="Absent - no show","Action - no show",IF(U723&gt;10,"Check - over ten hours in a day",IF(Q723&lt;&gt;"Yes","Due - needs approving",IF(R723&lt;&gt;"Yes","Due - not paid yet","OK"))))))</f>
        <v>0</v>
      </c>
    </row>
    <row r="724" spans="1:26">
      <c r="A724" s="43">
        <f>IF(F724="","","TS-"&amp;TEXT(ROW()-4,"0000"))</f>
        <v>0</v>
      </c>
      <c r="C724" s="23">
        <f>IF(B724="","",TEXT(B724,"ddd"))</f>
        <v>0</v>
      </c>
      <c r="D724" s="31">
        <f>IF(B724="","",WEEKNUM(B724,IF(WeekStart="Sunday",1,2)))</f>
        <v>0</v>
      </c>
      <c r="E724" s="23">
        <f>IF(B724="","",TEXT(B724,"yyyy-mm"))</f>
        <v>0</v>
      </c>
      <c r="H724" s="23">
        <f>IF(G724="","",IFERROR(INDEX(Jobs!$H$5:$H$604,MATCH(G724,Jobs!$A$5:$A$604,0)),""))</f>
        <v>0</v>
      </c>
      <c r="T724" s="34">
        <f>IF(OR(J724="",K724=""),"",ROUND((K724-J724)*24-IF(L724="",0,L724)/60,2))</f>
        <v>0</v>
      </c>
      <c r="U724" s="34">
        <f>IF(F724="","",IF(M724&lt;&gt;"",M724,IF(T724="",0,T724)))</f>
        <v>0</v>
      </c>
      <c r="V724" s="21">
        <f>IF(F724="","",IFERROR(INDEX(Employees!$U$5:$U$44,MATCH(F724,Employees!$B$5:$B$44,0)),PayRate*(1+EmployerOncost)))</f>
        <v>0</v>
      </c>
      <c r="W724" s="34">
        <f>IF(F724="","",MAX(0,U724-IF(N724="",0,N724)))</f>
        <v>0</v>
      </c>
      <c r="X724" s="21">
        <f>IF(F724="","",ROUND(W724*V724+IF(N724="",0,N724)*V724*OvertimeRate,2))</f>
        <v>0</v>
      </c>
      <c r="Y724" s="21">
        <f>IF(F724="","",IF(P724&lt;&gt;"Yes",0,ROUND(U724*IF(IFERROR(INDEX(Clients!$O$5:$O$204,MATCH(IFERROR(INDEX(Jobs!$G$5:$G$604,MATCH(G724,Jobs!$A$5:$A$604,0)),""),Clients!$A$5:$A$204,0)),0)&gt;0,INDEX(Clients!$O$5:$O$204,MATCH(INDEX(Jobs!$G$5:$G$604,MATCH(G724,Jobs!$A$5:$A$604,0)),Clients!$A$5:$A$204,0)),HourlyRate),2)))</f>
        <v>0</v>
      </c>
      <c r="Z724" s="39">
        <f>IF(F724="","",IF(U724=0,"Add - no hours recorded",IF(O724="Absent - no show","Action - no show",IF(U724&gt;10,"Check - over ten hours in a day",IF(Q724&lt;&gt;"Yes","Due - needs approving",IF(R724&lt;&gt;"Yes","Due - not paid yet","OK"))))))</f>
        <v>0</v>
      </c>
    </row>
    <row r="725" spans="1:26">
      <c r="A725" s="43">
        <f>IF(F725="","","TS-"&amp;TEXT(ROW()-4,"0000"))</f>
        <v>0</v>
      </c>
      <c r="C725" s="23">
        <f>IF(B725="","",TEXT(B725,"ddd"))</f>
        <v>0</v>
      </c>
      <c r="D725" s="31">
        <f>IF(B725="","",WEEKNUM(B725,IF(WeekStart="Sunday",1,2)))</f>
        <v>0</v>
      </c>
      <c r="E725" s="23">
        <f>IF(B725="","",TEXT(B725,"yyyy-mm"))</f>
        <v>0</v>
      </c>
      <c r="H725" s="23">
        <f>IF(G725="","",IFERROR(INDEX(Jobs!$H$5:$H$604,MATCH(G725,Jobs!$A$5:$A$604,0)),""))</f>
        <v>0</v>
      </c>
      <c r="T725" s="34">
        <f>IF(OR(J725="",K725=""),"",ROUND((K725-J725)*24-IF(L725="",0,L725)/60,2))</f>
        <v>0</v>
      </c>
      <c r="U725" s="34">
        <f>IF(F725="","",IF(M725&lt;&gt;"",M725,IF(T725="",0,T725)))</f>
        <v>0</v>
      </c>
      <c r="V725" s="21">
        <f>IF(F725="","",IFERROR(INDEX(Employees!$U$5:$U$44,MATCH(F725,Employees!$B$5:$B$44,0)),PayRate*(1+EmployerOncost)))</f>
        <v>0</v>
      </c>
      <c r="W725" s="34">
        <f>IF(F725="","",MAX(0,U725-IF(N725="",0,N725)))</f>
        <v>0</v>
      </c>
      <c r="X725" s="21">
        <f>IF(F725="","",ROUND(W725*V725+IF(N725="",0,N725)*V725*OvertimeRate,2))</f>
        <v>0</v>
      </c>
      <c r="Y725" s="21">
        <f>IF(F725="","",IF(P725&lt;&gt;"Yes",0,ROUND(U725*IF(IFERROR(INDEX(Clients!$O$5:$O$204,MATCH(IFERROR(INDEX(Jobs!$G$5:$G$604,MATCH(G725,Jobs!$A$5:$A$604,0)),""),Clients!$A$5:$A$204,0)),0)&gt;0,INDEX(Clients!$O$5:$O$204,MATCH(INDEX(Jobs!$G$5:$G$604,MATCH(G725,Jobs!$A$5:$A$604,0)),Clients!$A$5:$A$204,0)),HourlyRate),2)))</f>
        <v>0</v>
      </c>
      <c r="Z725" s="39">
        <f>IF(F725="","",IF(U725=0,"Add - no hours recorded",IF(O725="Absent - no show","Action - no show",IF(U725&gt;10,"Check - over ten hours in a day",IF(Q725&lt;&gt;"Yes","Due - needs approving",IF(R725&lt;&gt;"Yes","Due - not paid yet","OK"))))))</f>
        <v>0</v>
      </c>
    </row>
    <row r="726" spans="1:26">
      <c r="A726" s="43">
        <f>IF(F726="","","TS-"&amp;TEXT(ROW()-4,"0000"))</f>
        <v>0</v>
      </c>
      <c r="C726" s="23">
        <f>IF(B726="","",TEXT(B726,"ddd"))</f>
        <v>0</v>
      </c>
      <c r="D726" s="31">
        <f>IF(B726="","",WEEKNUM(B726,IF(WeekStart="Sunday",1,2)))</f>
        <v>0</v>
      </c>
      <c r="E726" s="23">
        <f>IF(B726="","",TEXT(B726,"yyyy-mm"))</f>
        <v>0</v>
      </c>
      <c r="H726" s="23">
        <f>IF(G726="","",IFERROR(INDEX(Jobs!$H$5:$H$604,MATCH(G726,Jobs!$A$5:$A$604,0)),""))</f>
        <v>0</v>
      </c>
      <c r="T726" s="34">
        <f>IF(OR(J726="",K726=""),"",ROUND((K726-J726)*24-IF(L726="",0,L726)/60,2))</f>
        <v>0</v>
      </c>
      <c r="U726" s="34">
        <f>IF(F726="","",IF(M726&lt;&gt;"",M726,IF(T726="",0,T726)))</f>
        <v>0</v>
      </c>
      <c r="V726" s="21">
        <f>IF(F726="","",IFERROR(INDEX(Employees!$U$5:$U$44,MATCH(F726,Employees!$B$5:$B$44,0)),PayRate*(1+EmployerOncost)))</f>
        <v>0</v>
      </c>
      <c r="W726" s="34">
        <f>IF(F726="","",MAX(0,U726-IF(N726="",0,N726)))</f>
        <v>0</v>
      </c>
      <c r="X726" s="21">
        <f>IF(F726="","",ROUND(W726*V726+IF(N726="",0,N726)*V726*OvertimeRate,2))</f>
        <v>0</v>
      </c>
      <c r="Y726" s="21">
        <f>IF(F726="","",IF(P726&lt;&gt;"Yes",0,ROUND(U726*IF(IFERROR(INDEX(Clients!$O$5:$O$204,MATCH(IFERROR(INDEX(Jobs!$G$5:$G$604,MATCH(G726,Jobs!$A$5:$A$604,0)),""),Clients!$A$5:$A$204,0)),0)&gt;0,INDEX(Clients!$O$5:$O$204,MATCH(INDEX(Jobs!$G$5:$G$604,MATCH(G726,Jobs!$A$5:$A$604,0)),Clients!$A$5:$A$204,0)),HourlyRate),2)))</f>
        <v>0</v>
      </c>
      <c r="Z726" s="39">
        <f>IF(F726="","",IF(U726=0,"Add - no hours recorded",IF(O726="Absent - no show","Action - no show",IF(U726&gt;10,"Check - over ten hours in a day",IF(Q726&lt;&gt;"Yes","Due - needs approving",IF(R726&lt;&gt;"Yes","Due - not paid yet","OK"))))))</f>
        <v>0</v>
      </c>
    </row>
    <row r="727" spans="1:26">
      <c r="A727" s="43">
        <f>IF(F727="","","TS-"&amp;TEXT(ROW()-4,"0000"))</f>
        <v>0</v>
      </c>
      <c r="C727" s="23">
        <f>IF(B727="","",TEXT(B727,"ddd"))</f>
        <v>0</v>
      </c>
      <c r="D727" s="31">
        <f>IF(B727="","",WEEKNUM(B727,IF(WeekStart="Sunday",1,2)))</f>
        <v>0</v>
      </c>
      <c r="E727" s="23">
        <f>IF(B727="","",TEXT(B727,"yyyy-mm"))</f>
        <v>0</v>
      </c>
      <c r="H727" s="23">
        <f>IF(G727="","",IFERROR(INDEX(Jobs!$H$5:$H$604,MATCH(G727,Jobs!$A$5:$A$604,0)),""))</f>
        <v>0</v>
      </c>
      <c r="T727" s="34">
        <f>IF(OR(J727="",K727=""),"",ROUND((K727-J727)*24-IF(L727="",0,L727)/60,2))</f>
        <v>0</v>
      </c>
      <c r="U727" s="34">
        <f>IF(F727="","",IF(M727&lt;&gt;"",M727,IF(T727="",0,T727)))</f>
        <v>0</v>
      </c>
      <c r="V727" s="21">
        <f>IF(F727="","",IFERROR(INDEX(Employees!$U$5:$U$44,MATCH(F727,Employees!$B$5:$B$44,0)),PayRate*(1+EmployerOncost)))</f>
        <v>0</v>
      </c>
      <c r="W727" s="34">
        <f>IF(F727="","",MAX(0,U727-IF(N727="",0,N727)))</f>
        <v>0</v>
      </c>
      <c r="X727" s="21">
        <f>IF(F727="","",ROUND(W727*V727+IF(N727="",0,N727)*V727*OvertimeRate,2))</f>
        <v>0</v>
      </c>
      <c r="Y727" s="21">
        <f>IF(F727="","",IF(P727&lt;&gt;"Yes",0,ROUND(U727*IF(IFERROR(INDEX(Clients!$O$5:$O$204,MATCH(IFERROR(INDEX(Jobs!$G$5:$G$604,MATCH(G727,Jobs!$A$5:$A$604,0)),""),Clients!$A$5:$A$204,0)),0)&gt;0,INDEX(Clients!$O$5:$O$204,MATCH(INDEX(Jobs!$G$5:$G$604,MATCH(G727,Jobs!$A$5:$A$604,0)),Clients!$A$5:$A$204,0)),HourlyRate),2)))</f>
        <v>0</v>
      </c>
      <c r="Z727" s="39">
        <f>IF(F727="","",IF(U727=0,"Add - no hours recorded",IF(O727="Absent - no show","Action - no show",IF(U727&gt;10,"Check - over ten hours in a day",IF(Q727&lt;&gt;"Yes","Due - needs approving",IF(R727&lt;&gt;"Yes","Due - not paid yet","OK"))))))</f>
        <v>0</v>
      </c>
    </row>
    <row r="728" spans="1:26">
      <c r="A728" s="43">
        <f>IF(F728="","","TS-"&amp;TEXT(ROW()-4,"0000"))</f>
        <v>0</v>
      </c>
      <c r="C728" s="23">
        <f>IF(B728="","",TEXT(B728,"ddd"))</f>
        <v>0</v>
      </c>
      <c r="D728" s="31">
        <f>IF(B728="","",WEEKNUM(B728,IF(WeekStart="Sunday",1,2)))</f>
        <v>0</v>
      </c>
      <c r="E728" s="23">
        <f>IF(B728="","",TEXT(B728,"yyyy-mm"))</f>
        <v>0</v>
      </c>
      <c r="H728" s="23">
        <f>IF(G728="","",IFERROR(INDEX(Jobs!$H$5:$H$604,MATCH(G728,Jobs!$A$5:$A$604,0)),""))</f>
        <v>0</v>
      </c>
      <c r="T728" s="34">
        <f>IF(OR(J728="",K728=""),"",ROUND((K728-J728)*24-IF(L728="",0,L728)/60,2))</f>
        <v>0</v>
      </c>
      <c r="U728" s="34">
        <f>IF(F728="","",IF(M728&lt;&gt;"",M728,IF(T728="",0,T728)))</f>
        <v>0</v>
      </c>
      <c r="V728" s="21">
        <f>IF(F728="","",IFERROR(INDEX(Employees!$U$5:$U$44,MATCH(F728,Employees!$B$5:$B$44,0)),PayRate*(1+EmployerOncost)))</f>
        <v>0</v>
      </c>
      <c r="W728" s="34">
        <f>IF(F728="","",MAX(0,U728-IF(N728="",0,N728)))</f>
        <v>0</v>
      </c>
      <c r="X728" s="21">
        <f>IF(F728="","",ROUND(W728*V728+IF(N728="",0,N728)*V728*OvertimeRate,2))</f>
        <v>0</v>
      </c>
      <c r="Y728" s="21">
        <f>IF(F728="","",IF(P728&lt;&gt;"Yes",0,ROUND(U728*IF(IFERROR(INDEX(Clients!$O$5:$O$204,MATCH(IFERROR(INDEX(Jobs!$G$5:$G$604,MATCH(G728,Jobs!$A$5:$A$604,0)),""),Clients!$A$5:$A$204,0)),0)&gt;0,INDEX(Clients!$O$5:$O$204,MATCH(INDEX(Jobs!$G$5:$G$604,MATCH(G728,Jobs!$A$5:$A$604,0)),Clients!$A$5:$A$204,0)),HourlyRate),2)))</f>
        <v>0</v>
      </c>
      <c r="Z728" s="39">
        <f>IF(F728="","",IF(U728=0,"Add - no hours recorded",IF(O728="Absent - no show","Action - no show",IF(U728&gt;10,"Check - over ten hours in a day",IF(Q728&lt;&gt;"Yes","Due - needs approving",IF(R728&lt;&gt;"Yes","Due - not paid yet","OK"))))))</f>
        <v>0</v>
      </c>
    </row>
    <row r="729" spans="1:26">
      <c r="A729" s="43">
        <f>IF(F729="","","TS-"&amp;TEXT(ROW()-4,"0000"))</f>
        <v>0</v>
      </c>
      <c r="C729" s="23">
        <f>IF(B729="","",TEXT(B729,"ddd"))</f>
        <v>0</v>
      </c>
      <c r="D729" s="31">
        <f>IF(B729="","",WEEKNUM(B729,IF(WeekStart="Sunday",1,2)))</f>
        <v>0</v>
      </c>
      <c r="E729" s="23">
        <f>IF(B729="","",TEXT(B729,"yyyy-mm"))</f>
        <v>0</v>
      </c>
      <c r="H729" s="23">
        <f>IF(G729="","",IFERROR(INDEX(Jobs!$H$5:$H$604,MATCH(G729,Jobs!$A$5:$A$604,0)),""))</f>
        <v>0</v>
      </c>
      <c r="T729" s="34">
        <f>IF(OR(J729="",K729=""),"",ROUND((K729-J729)*24-IF(L729="",0,L729)/60,2))</f>
        <v>0</v>
      </c>
      <c r="U729" s="34">
        <f>IF(F729="","",IF(M729&lt;&gt;"",M729,IF(T729="",0,T729)))</f>
        <v>0</v>
      </c>
      <c r="V729" s="21">
        <f>IF(F729="","",IFERROR(INDEX(Employees!$U$5:$U$44,MATCH(F729,Employees!$B$5:$B$44,0)),PayRate*(1+EmployerOncost)))</f>
        <v>0</v>
      </c>
      <c r="W729" s="34">
        <f>IF(F729="","",MAX(0,U729-IF(N729="",0,N729)))</f>
        <v>0</v>
      </c>
      <c r="X729" s="21">
        <f>IF(F729="","",ROUND(W729*V729+IF(N729="",0,N729)*V729*OvertimeRate,2))</f>
        <v>0</v>
      </c>
      <c r="Y729" s="21">
        <f>IF(F729="","",IF(P729&lt;&gt;"Yes",0,ROUND(U729*IF(IFERROR(INDEX(Clients!$O$5:$O$204,MATCH(IFERROR(INDEX(Jobs!$G$5:$G$604,MATCH(G729,Jobs!$A$5:$A$604,0)),""),Clients!$A$5:$A$204,0)),0)&gt;0,INDEX(Clients!$O$5:$O$204,MATCH(INDEX(Jobs!$G$5:$G$604,MATCH(G729,Jobs!$A$5:$A$604,0)),Clients!$A$5:$A$204,0)),HourlyRate),2)))</f>
        <v>0</v>
      </c>
      <c r="Z729" s="39">
        <f>IF(F729="","",IF(U729=0,"Add - no hours recorded",IF(O729="Absent - no show","Action - no show",IF(U729&gt;10,"Check - over ten hours in a day",IF(Q729&lt;&gt;"Yes","Due - needs approving",IF(R729&lt;&gt;"Yes","Due - not paid yet","OK"))))))</f>
        <v>0</v>
      </c>
    </row>
    <row r="730" spans="1:26">
      <c r="A730" s="43">
        <f>IF(F730="","","TS-"&amp;TEXT(ROW()-4,"0000"))</f>
        <v>0</v>
      </c>
      <c r="C730" s="23">
        <f>IF(B730="","",TEXT(B730,"ddd"))</f>
        <v>0</v>
      </c>
      <c r="D730" s="31">
        <f>IF(B730="","",WEEKNUM(B730,IF(WeekStart="Sunday",1,2)))</f>
        <v>0</v>
      </c>
      <c r="E730" s="23">
        <f>IF(B730="","",TEXT(B730,"yyyy-mm"))</f>
        <v>0</v>
      </c>
      <c r="H730" s="23">
        <f>IF(G730="","",IFERROR(INDEX(Jobs!$H$5:$H$604,MATCH(G730,Jobs!$A$5:$A$604,0)),""))</f>
        <v>0</v>
      </c>
      <c r="T730" s="34">
        <f>IF(OR(J730="",K730=""),"",ROUND((K730-J730)*24-IF(L730="",0,L730)/60,2))</f>
        <v>0</v>
      </c>
      <c r="U730" s="34">
        <f>IF(F730="","",IF(M730&lt;&gt;"",M730,IF(T730="",0,T730)))</f>
        <v>0</v>
      </c>
      <c r="V730" s="21">
        <f>IF(F730="","",IFERROR(INDEX(Employees!$U$5:$U$44,MATCH(F730,Employees!$B$5:$B$44,0)),PayRate*(1+EmployerOncost)))</f>
        <v>0</v>
      </c>
      <c r="W730" s="34">
        <f>IF(F730="","",MAX(0,U730-IF(N730="",0,N730)))</f>
        <v>0</v>
      </c>
      <c r="X730" s="21">
        <f>IF(F730="","",ROUND(W730*V730+IF(N730="",0,N730)*V730*OvertimeRate,2))</f>
        <v>0</v>
      </c>
      <c r="Y730" s="21">
        <f>IF(F730="","",IF(P730&lt;&gt;"Yes",0,ROUND(U730*IF(IFERROR(INDEX(Clients!$O$5:$O$204,MATCH(IFERROR(INDEX(Jobs!$G$5:$G$604,MATCH(G730,Jobs!$A$5:$A$604,0)),""),Clients!$A$5:$A$204,0)),0)&gt;0,INDEX(Clients!$O$5:$O$204,MATCH(INDEX(Jobs!$G$5:$G$604,MATCH(G730,Jobs!$A$5:$A$604,0)),Clients!$A$5:$A$204,0)),HourlyRate),2)))</f>
        <v>0</v>
      </c>
      <c r="Z730" s="39">
        <f>IF(F730="","",IF(U730=0,"Add - no hours recorded",IF(O730="Absent - no show","Action - no show",IF(U730&gt;10,"Check - over ten hours in a day",IF(Q730&lt;&gt;"Yes","Due - needs approving",IF(R730&lt;&gt;"Yes","Due - not paid yet","OK"))))))</f>
        <v>0</v>
      </c>
    </row>
    <row r="731" spans="1:26">
      <c r="A731" s="43">
        <f>IF(F731="","","TS-"&amp;TEXT(ROW()-4,"0000"))</f>
        <v>0</v>
      </c>
      <c r="C731" s="23">
        <f>IF(B731="","",TEXT(B731,"ddd"))</f>
        <v>0</v>
      </c>
      <c r="D731" s="31">
        <f>IF(B731="","",WEEKNUM(B731,IF(WeekStart="Sunday",1,2)))</f>
        <v>0</v>
      </c>
      <c r="E731" s="23">
        <f>IF(B731="","",TEXT(B731,"yyyy-mm"))</f>
        <v>0</v>
      </c>
      <c r="H731" s="23">
        <f>IF(G731="","",IFERROR(INDEX(Jobs!$H$5:$H$604,MATCH(G731,Jobs!$A$5:$A$604,0)),""))</f>
        <v>0</v>
      </c>
      <c r="T731" s="34">
        <f>IF(OR(J731="",K731=""),"",ROUND((K731-J731)*24-IF(L731="",0,L731)/60,2))</f>
        <v>0</v>
      </c>
      <c r="U731" s="34">
        <f>IF(F731="","",IF(M731&lt;&gt;"",M731,IF(T731="",0,T731)))</f>
        <v>0</v>
      </c>
      <c r="V731" s="21">
        <f>IF(F731="","",IFERROR(INDEX(Employees!$U$5:$U$44,MATCH(F731,Employees!$B$5:$B$44,0)),PayRate*(1+EmployerOncost)))</f>
        <v>0</v>
      </c>
      <c r="W731" s="34">
        <f>IF(F731="","",MAX(0,U731-IF(N731="",0,N731)))</f>
        <v>0</v>
      </c>
      <c r="X731" s="21">
        <f>IF(F731="","",ROUND(W731*V731+IF(N731="",0,N731)*V731*OvertimeRate,2))</f>
        <v>0</v>
      </c>
      <c r="Y731" s="21">
        <f>IF(F731="","",IF(P731&lt;&gt;"Yes",0,ROUND(U731*IF(IFERROR(INDEX(Clients!$O$5:$O$204,MATCH(IFERROR(INDEX(Jobs!$G$5:$G$604,MATCH(G731,Jobs!$A$5:$A$604,0)),""),Clients!$A$5:$A$204,0)),0)&gt;0,INDEX(Clients!$O$5:$O$204,MATCH(INDEX(Jobs!$G$5:$G$604,MATCH(G731,Jobs!$A$5:$A$604,0)),Clients!$A$5:$A$204,0)),HourlyRate),2)))</f>
        <v>0</v>
      </c>
      <c r="Z731" s="39">
        <f>IF(F731="","",IF(U731=0,"Add - no hours recorded",IF(O731="Absent - no show","Action - no show",IF(U731&gt;10,"Check - over ten hours in a day",IF(Q731&lt;&gt;"Yes","Due - needs approving",IF(R731&lt;&gt;"Yes","Due - not paid yet","OK"))))))</f>
        <v>0</v>
      </c>
    </row>
    <row r="732" spans="1:26">
      <c r="A732" s="43">
        <f>IF(F732="","","TS-"&amp;TEXT(ROW()-4,"0000"))</f>
        <v>0</v>
      </c>
      <c r="C732" s="23">
        <f>IF(B732="","",TEXT(B732,"ddd"))</f>
        <v>0</v>
      </c>
      <c r="D732" s="31">
        <f>IF(B732="","",WEEKNUM(B732,IF(WeekStart="Sunday",1,2)))</f>
        <v>0</v>
      </c>
      <c r="E732" s="23">
        <f>IF(B732="","",TEXT(B732,"yyyy-mm"))</f>
        <v>0</v>
      </c>
      <c r="H732" s="23">
        <f>IF(G732="","",IFERROR(INDEX(Jobs!$H$5:$H$604,MATCH(G732,Jobs!$A$5:$A$604,0)),""))</f>
        <v>0</v>
      </c>
      <c r="T732" s="34">
        <f>IF(OR(J732="",K732=""),"",ROUND((K732-J732)*24-IF(L732="",0,L732)/60,2))</f>
        <v>0</v>
      </c>
      <c r="U732" s="34">
        <f>IF(F732="","",IF(M732&lt;&gt;"",M732,IF(T732="",0,T732)))</f>
        <v>0</v>
      </c>
      <c r="V732" s="21">
        <f>IF(F732="","",IFERROR(INDEX(Employees!$U$5:$U$44,MATCH(F732,Employees!$B$5:$B$44,0)),PayRate*(1+EmployerOncost)))</f>
        <v>0</v>
      </c>
      <c r="W732" s="34">
        <f>IF(F732="","",MAX(0,U732-IF(N732="",0,N732)))</f>
        <v>0</v>
      </c>
      <c r="X732" s="21">
        <f>IF(F732="","",ROUND(W732*V732+IF(N732="",0,N732)*V732*OvertimeRate,2))</f>
        <v>0</v>
      </c>
      <c r="Y732" s="21">
        <f>IF(F732="","",IF(P732&lt;&gt;"Yes",0,ROUND(U732*IF(IFERROR(INDEX(Clients!$O$5:$O$204,MATCH(IFERROR(INDEX(Jobs!$G$5:$G$604,MATCH(G732,Jobs!$A$5:$A$604,0)),""),Clients!$A$5:$A$204,0)),0)&gt;0,INDEX(Clients!$O$5:$O$204,MATCH(INDEX(Jobs!$G$5:$G$604,MATCH(G732,Jobs!$A$5:$A$604,0)),Clients!$A$5:$A$204,0)),HourlyRate),2)))</f>
        <v>0</v>
      </c>
      <c r="Z732" s="39">
        <f>IF(F732="","",IF(U732=0,"Add - no hours recorded",IF(O732="Absent - no show","Action - no show",IF(U732&gt;10,"Check - over ten hours in a day",IF(Q732&lt;&gt;"Yes","Due - needs approving",IF(R732&lt;&gt;"Yes","Due - not paid yet","OK"))))))</f>
        <v>0</v>
      </c>
    </row>
    <row r="733" spans="1:26">
      <c r="A733" s="43">
        <f>IF(F733="","","TS-"&amp;TEXT(ROW()-4,"0000"))</f>
        <v>0</v>
      </c>
      <c r="C733" s="23">
        <f>IF(B733="","",TEXT(B733,"ddd"))</f>
        <v>0</v>
      </c>
      <c r="D733" s="31">
        <f>IF(B733="","",WEEKNUM(B733,IF(WeekStart="Sunday",1,2)))</f>
        <v>0</v>
      </c>
      <c r="E733" s="23">
        <f>IF(B733="","",TEXT(B733,"yyyy-mm"))</f>
        <v>0</v>
      </c>
      <c r="H733" s="23">
        <f>IF(G733="","",IFERROR(INDEX(Jobs!$H$5:$H$604,MATCH(G733,Jobs!$A$5:$A$604,0)),""))</f>
        <v>0</v>
      </c>
      <c r="T733" s="34">
        <f>IF(OR(J733="",K733=""),"",ROUND((K733-J733)*24-IF(L733="",0,L733)/60,2))</f>
        <v>0</v>
      </c>
      <c r="U733" s="34">
        <f>IF(F733="","",IF(M733&lt;&gt;"",M733,IF(T733="",0,T733)))</f>
        <v>0</v>
      </c>
      <c r="V733" s="21">
        <f>IF(F733="","",IFERROR(INDEX(Employees!$U$5:$U$44,MATCH(F733,Employees!$B$5:$B$44,0)),PayRate*(1+EmployerOncost)))</f>
        <v>0</v>
      </c>
      <c r="W733" s="34">
        <f>IF(F733="","",MAX(0,U733-IF(N733="",0,N733)))</f>
        <v>0</v>
      </c>
      <c r="X733" s="21">
        <f>IF(F733="","",ROUND(W733*V733+IF(N733="",0,N733)*V733*OvertimeRate,2))</f>
        <v>0</v>
      </c>
      <c r="Y733" s="21">
        <f>IF(F733="","",IF(P733&lt;&gt;"Yes",0,ROUND(U733*IF(IFERROR(INDEX(Clients!$O$5:$O$204,MATCH(IFERROR(INDEX(Jobs!$G$5:$G$604,MATCH(G733,Jobs!$A$5:$A$604,0)),""),Clients!$A$5:$A$204,0)),0)&gt;0,INDEX(Clients!$O$5:$O$204,MATCH(INDEX(Jobs!$G$5:$G$604,MATCH(G733,Jobs!$A$5:$A$604,0)),Clients!$A$5:$A$204,0)),HourlyRate),2)))</f>
        <v>0</v>
      </c>
      <c r="Z733" s="39">
        <f>IF(F733="","",IF(U733=0,"Add - no hours recorded",IF(O733="Absent - no show","Action - no show",IF(U733&gt;10,"Check - over ten hours in a day",IF(Q733&lt;&gt;"Yes","Due - needs approving",IF(R733&lt;&gt;"Yes","Due - not paid yet","OK"))))))</f>
        <v>0</v>
      </c>
    </row>
    <row r="734" spans="1:26">
      <c r="A734" s="43">
        <f>IF(F734="","","TS-"&amp;TEXT(ROW()-4,"0000"))</f>
        <v>0</v>
      </c>
      <c r="C734" s="23">
        <f>IF(B734="","",TEXT(B734,"ddd"))</f>
        <v>0</v>
      </c>
      <c r="D734" s="31">
        <f>IF(B734="","",WEEKNUM(B734,IF(WeekStart="Sunday",1,2)))</f>
        <v>0</v>
      </c>
      <c r="E734" s="23">
        <f>IF(B734="","",TEXT(B734,"yyyy-mm"))</f>
        <v>0</v>
      </c>
      <c r="H734" s="23">
        <f>IF(G734="","",IFERROR(INDEX(Jobs!$H$5:$H$604,MATCH(G734,Jobs!$A$5:$A$604,0)),""))</f>
        <v>0</v>
      </c>
      <c r="T734" s="34">
        <f>IF(OR(J734="",K734=""),"",ROUND((K734-J734)*24-IF(L734="",0,L734)/60,2))</f>
        <v>0</v>
      </c>
      <c r="U734" s="34">
        <f>IF(F734="","",IF(M734&lt;&gt;"",M734,IF(T734="",0,T734)))</f>
        <v>0</v>
      </c>
      <c r="V734" s="21">
        <f>IF(F734="","",IFERROR(INDEX(Employees!$U$5:$U$44,MATCH(F734,Employees!$B$5:$B$44,0)),PayRate*(1+EmployerOncost)))</f>
        <v>0</v>
      </c>
      <c r="W734" s="34">
        <f>IF(F734="","",MAX(0,U734-IF(N734="",0,N734)))</f>
        <v>0</v>
      </c>
      <c r="X734" s="21">
        <f>IF(F734="","",ROUND(W734*V734+IF(N734="",0,N734)*V734*OvertimeRate,2))</f>
        <v>0</v>
      </c>
      <c r="Y734" s="21">
        <f>IF(F734="","",IF(P734&lt;&gt;"Yes",0,ROUND(U734*IF(IFERROR(INDEX(Clients!$O$5:$O$204,MATCH(IFERROR(INDEX(Jobs!$G$5:$G$604,MATCH(G734,Jobs!$A$5:$A$604,0)),""),Clients!$A$5:$A$204,0)),0)&gt;0,INDEX(Clients!$O$5:$O$204,MATCH(INDEX(Jobs!$G$5:$G$604,MATCH(G734,Jobs!$A$5:$A$604,0)),Clients!$A$5:$A$204,0)),HourlyRate),2)))</f>
        <v>0</v>
      </c>
      <c r="Z734" s="39">
        <f>IF(F734="","",IF(U734=0,"Add - no hours recorded",IF(O734="Absent - no show","Action - no show",IF(U734&gt;10,"Check - over ten hours in a day",IF(Q734&lt;&gt;"Yes","Due - needs approving",IF(R734&lt;&gt;"Yes","Due - not paid yet","OK"))))))</f>
        <v>0</v>
      </c>
    </row>
    <row r="735" spans="1:26">
      <c r="A735" s="43">
        <f>IF(F735="","","TS-"&amp;TEXT(ROW()-4,"0000"))</f>
        <v>0</v>
      </c>
      <c r="C735" s="23">
        <f>IF(B735="","",TEXT(B735,"ddd"))</f>
        <v>0</v>
      </c>
      <c r="D735" s="31">
        <f>IF(B735="","",WEEKNUM(B735,IF(WeekStart="Sunday",1,2)))</f>
        <v>0</v>
      </c>
      <c r="E735" s="23">
        <f>IF(B735="","",TEXT(B735,"yyyy-mm"))</f>
        <v>0</v>
      </c>
      <c r="H735" s="23">
        <f>IF(G735="","",IFERROR(INDEX(Jobs!$H$5:$H$604,MATCH(G735,Jobs!$A$5:$A$604,0)),""))</f>
        <v>0</v>
      </c>
      <c r="T735" s="34">
        <f>IF(OR(J735="",K735=""),"",ROUND((K735-J735)*24-IF(L735="",0,L735)/60,2))</f>
        <v>0</v>
      </c>
      <c r="U735" s="34">
        <f>IF(F735="","",IF(M735&lt;&gt;"",M735,IF(T735="",0,T735)))</f>
        <v>0</v>
      </c>
      <c r="V735" s="21">
        <f>IF(F735="","",IFERROR(INDEX(Employees!$U$5:$U$44,MATCH(F735,Employees!$B$5:$B$44,0)),PayRate*(1+EmployerOncost)))</f>
        <v>0</v>
      </c>
      <c r="W735" s="34">
        <f>IF(F735="","",MAX(0,U735-IF(N735="",0,N735)))</f>
        <v>0</v>
      </c>
      <c r="X735" s="21">
        <f>IF(F735="","",ROUND(W735*V735+IF(N735="",0,N735)*V735*OvertimeRate,2))</f>
        <v>0</v>
      </c>
      <c r="Y735" s="21">
        <f>IF(F735="","",IF(P735&lt;&gt;"Yes",0,ROUND(U735*IF(IFERROR(INDEX(Clients!$O$5:$O$204,MATCH(IFERROR(INDEX(Jobs!$G$5:$G$604,MATCH(G735,Jobs!$A$5:$A$604,0)),""),Clients!$A$5:$A$204,0)),0)&gt;0,INDEX(Clients!$O$5:$O$204,MATCH(INDEX(Jobs!$G$5:$G$604,MATCH(G735,Jobs!$A$5:$A$604,0)),Clients!$A$5:$A$204,0)),HourlyRate),2)))</f>
        <v>0</v>
      </c>
      <c r="Z735" s="39">
        <f>IF(F735="","",IF(U735=0,"Add - no hours recorded",IF(O735="Absent - no show","Action - no show",IF(U735&gt;10,"Check - over ten hours in a day",IF(Q735&lt;&gt;"Yes","Due - needs approving",IF(R735&lt;&gt;"Yes","Due - not paid yet","OK"))))))</f>
        <v>0</v>
      </c>
    </row>
    <row r="736" spans="1:26">
      <c r="A736" s="43">
        <f>IF(F736="","","TS-"&amp;TEXT(ROW()-4,"0000"))</f>
        <v>0</v>
      </c>
      <c r="C736" s="23">
        <f>IF(B736="","",TEXT(B736,"ddd"))</f>
        <v>0</v>
      </c>
      <c r="D736" s="31">
        <f>IF(B736="","",WEEKNUM(B736,IF(WeekStart="Sunday",1,2)))</f>
        <v>0</v>
      </c>
      <c r="E736" s="23">
        <f>IF(B736="","",TEXT(B736,"yyyy-mm"))</f>
        <v>0</v>
      </c>
      <c r="H736" s="23">
        <f>IF(G736="","",IFERROR(INDEX(Jobs!$H$5:$H$604,MATCH(G736,Jobs!$A$5:$A$604,0)),""))</f>
        <v>0</v>
      </c>
      <c r="T736" s="34">
        <f>IF(OR(J736="",K736=""),"",ROUND((K736-J736)*24-IF(L736="",0,L736)/60,2))</f>
        <v>0</v>
      </c>
      <c r="U736" s="34">
        <f>IF(F736="","",IF(M736&lt;&gt;"",M736,IF(T736="",0,T736)))</f>
        <v>0</v>
      </c>
      <c r="V736" s="21">
        <f>IF(F736="","",IFERROR(INDEX(Employees!$U$5:$U$44,MATCH(F736,Employees!$B$5:$B$44,0)),PayRate*(1+EmployerOncost)))</f>
        <v>0</v>
      </c>
      <c r="W736" s="34">
        <f>IF(F736="","",MAX(0,U736-IF(N736="",0,N736)))</f>
        <v>0</v>
      </c>
      <c r="X736" s="21">
        <f>IF(F736="","",ROUND(W736*V736+IF(N736="",0,N736)*V736*OvertimeRate,2))</f>
        <v>0</v>
      </c>
      <c r="Y736" s="21">
        <f>IF(F736="","",IF(P736&lt;&gt;"Yes",0,ROUND(U736*IF(IFERROR(INDEX(Clients!$O$5:$O$204,MATCH(IFERROR(INDEX(Jobs!$G$5:$G$604,MATCH(G736,Jobs!$A$5:$A$604,0)),""),Clients!$A$5:$A$204,0)),0)&gt;0,INDEX(Clients!$O$5:$O$204,MATCH(INDEX(Jobs!$G$5:$G$604,MATCH(G736,Jobs!$A$5:$A$604,0)),Clients!$A$5:$A$204,0)),HourlyRate),2)))</f>
        <v>0</v>
      </c>
      <c r="Z736" s="39">
        <f>IF(F736="","",IF(U736=0,"Add - no hours recorded",IF(O736="Absent - no show","Action - no show",IF(U736&gt;10,"Check - over ten hours in a day",IF(Q736&lt;&gt;"Yes","Due - needs approving",IF(R736&lt;&gt;"Yes","Due - not paid yet","OK"))))))</f>
        <v>0</v>
      </c>
    </row>
    <row r="737" spans="1:26">
      <c r="A737" s="43">
        <f>IF(F737="","","TS-"&amp;TEXT(ROW()-4,"0000"))</f>
        <v>0</v>
      </c>
      <c r="C737" s="23">
        <f>IF(B737="","",TEXT(B737,"ddd"))</f>
        <v>0</v>
      </c>
      <c r="D737" s="31">
        <f>IF(B737="","",WEEKNUM(B737,IF(WeekStart="Sunday",1,2)))</f>
        <v>0</v>
      </c>
      <c r="E737" s="23">
        <f>IF(B737="","",TEXT(B737,"yyyy-mm"))</f>
        <v>0</v>
      </c>
      <c r="H737" s="23">
        <f>IF(G737="","",IFERROR(INDEX(Jobs!$H$5:$H$604,MATCH(G737,Jobs!$A$5:$A$604,0)),""))</f>
        <v>0</v>
      </c>
      <c r="T737" s="34">
        <f>IF(OR(J737="",K737=""),"",ROUND((K737-J737)*24-IF(L737="",0,L737)/60,2))</f>
        <v>0</v>
      </c>
      <c r="U737" s="34">
        <f>IF(F737="","",IF(M737&lt;&gt;"",M737,IF(T737="",0,T737)))</f>
        <v>0</v>
      </c>
      <c r="V737" s="21">
        <f>IF(F737="","",IFERROR(INDEX(Employees!$U$5:$U$44,MATCH(F737,Employees!$B$5:$B$44,0)),PayRate*(1+EmployerOncost)))</f>
        <v>0</v>
      </c>
      <c r="W737" s="34">
        <f>IF(F737="","",MAX(0,U737-IF(N737="",0,N737)))</f>
        <v>0</v>
      </c>
      <c r="X737" s="21">
        <f>IF(F737="","",ROUND(W737*V737+IF(N737="",0,N737)*V737*OvertimeRate,2))</f>
        <v>0</v>
      </c>
      <c r="Y737" s="21">
        <f>IF(F737="","",IF(P737&lt;&gt;"Yes",0,ROUND(U737*IF(IFERROR(INDEX(Clients!$O$5:$O$204,MATCH(IFERROR(INDEX(Jobs!$G$5:$G$604,MATCH(G737,Jobs!$A$5:$A$604,0)),""),Clients!$A$5:$A$204,0)),0)&gt;0,INDEX(Clients!$O$5:$O$204,MATCH(INDEX(Jobs!$G$5:$G$604,MATCH(G737,Jobs!$A$5:$A$604,0)),Clients!$A$5:$A$204,0)),HourlyRate),2)))</f>
        <v>0</v>
      </c>
      <c r="Z737" s="39">
        <f>IF(F737="","",IF(U737=0,"Add - no hours recorded",IF(O737="Absent - no show","Action - no show",IF(U737&gt;10,"Check - over ten hours in a day",IF(Q737&lt;&gt;"Yes","Due - needs approving",IF(R737&lt;&gt;"Yes","Due - not paid yet","OK"))))))</f>
        <v>0</v>
      </c>
    </row>
    <row r="738" spans="1:26">
      <c r="A738" s="43">
        <f>IF(F738="","","TS-"&amp;TEXT(ROW()-4,"0000"))</f>
        <v>0</v>
      </c>
      <c r="C738" s="23">
        <f>IF(B738="","",TEXT(B738,"ddd"))</f>
        <v>0</v>
      </c>
      <c r="D738" s="31">
        <f>IF(B738="","",WEEKNUM(B738,IF(WeekStart="Sunday",1,2)))</f>
        <v>0</v>
      </c>
      <c r="E738" s="23">
        <f>IF(B738="","",TEXT(B738,"yyyy-mm"))</f>
        <v>0</v>
      </c>
      <c r="H738" s="23">
        <f>IF(G738="","",IFERROR(INDEX(Jobs!$H$5:$H$604,MATCH(G738,Jobs!$A$5:$A$604,0)),""))</f>
        <v>0</v>
      </c>
      <c r="T738" s="34">
        <f>IF(OR(J738="",K738=""),"",ROUND((K738-J738)*24-IF(L738="",0,L738)/60,2))</f>
        <v>0</v>
      </c>
      <c r="U738" s="34">
        <f>IF(F738="","",IF(M738&lt;&gt;"",M738,IF(T738="",0,T738)))</f>
        <v>0</v>
      </c>
      <c r="V738" s="21">
        <f>IF(F738="","",IFERROR(INDEX(Employees!$U$5:$U$44,MATCH(F738,Employees!$B$5:$B$44,0)),PayRate*(1+EmployerOncost)))</f>
        <v>0</v>
      </c>
      <c r="W738" s="34">
        <f>IF(F738="","",MAX(0,U738-IF(N738="",0,N738)))</f>
        <v>0</v>
      </c>
      <c r="X738" s="21">
        <f>IF(F738="","",ROUND(W738*V738+IF(N738="",0,N738)*V738*OvertimeRate,2))</f>
        <v>0</v>
      </c>
      <c r="Y738" s="21">
        <f>IF(F738="","",IF(P738&lt;&gt;"Yes",0,ROUND(U738*IF(IFERROR(INDEX(Clients!$O$5:$O$204,MATCH(IFERROR(INDEX(Jobs!$G$5:$G$604,MATCH(G738,Jobs!$A$5:$A$604,0)),""),Clients!$A$5:$A$204,0)),0)&gt;0,INDEX(Clients!$O$5:$O$204,MATCH(INDEX(Jobs!$G$5:$G$604,MATCH(G738,Jobs!$A$5:$A$604,0)),Clients!$A$5:$A$204,0)),HourlyRate),2)))</f>
        <v>0</v>
      </c>
      <c r="Z738" s="39">
        <f>IF(F738="","",IF(U738=0,"Add - no hours recorded",IF(O738="Absent - no show","Action - no show",IF(U738&gt;10,"Check - over ten hours in a day",IF(Q738&lt;&gt;"Yes","Due - needs approving",IF(R738&lt;&gt;"Yes","Due - not paid yet","OK"))))))</f>
        <v>0</v>
      </c>
    </row>
    <row r="739" spans="1:26">
      <c r="A739" s="43">
        <f>IF(F739="","","TS-"&amp;TEXT(ROW()-4,"0000"))</f>
        <v>0</v>
      </c>
      <c r="C739" s="23">
        <f>IF(B739="","",TEXT(B739,"ddd"))</f>
        <v>0</v>
      </c>
      <c r="D739" s="31">
        <f>IF(B739="","",WEEKNUM(B739,IF(WeekStart="Sunday",1,2)))</f>
        <v>0</v>
      </c>
      <c r="E739" s="23">
        <f>IF(B739="","",TEXT(B739,"yyyy-mm"))</f>
        <v>0</v>
      </c>
      <c r="H739" s="23">
        <f>IF(G739="","",IFERROR(INDEX(Jobs!$H$5:$H$604,MATCH(G739,Jobs!$A$5:$A$604,0)),""))</f>
        <v>0</v>
      </c>
      <c r="T739" s="34">
        <f>IF(OR(J739="",K739=""),"",ROUND((K739-J739)*24-IF(L739="",0,L739)/60,2))</f>
        <v>0</v>
      </c>
      <c r="U739" s="34">
        <f>IF(F739="","",IF(M739&lt;&gt;"",M739,IF(T739="",0,T739)))</f>
        <v>0</v>
      </c>
      <c r="V739" s="21">
        <f>IF(F739="","",IFERROR(INDEX(Employees!$U$5:$U$44,MATCH(F739,Employees!$B$5:$B$44,0)),PayRate*(1+EmployerOncost)))</f>
        <v>0</v>
      </c>
      <c r="W739" s="34">
        <f>IF(F739="","",MAX(0,U739-IF(N739="",0,N739)))</f>
        <v>0</v>
      </c>
      <c r="X739" s="21">
        <f>IF(F739="","",ROUND(W739*V739+IF(N739="",0,N739)*V739*OvertimeRate,2))</f>
        <v>0</v>
      </c>
      <c r="Y739" s="21">
        <f>IF(F739="","",IF(P739&lt;&gt;"Yes",0,ROUND(U739*IF(IFERROR(INDEX(Clients!$O$5:$O$204,MATCH(IFERROR(INDEX(Jobs!$G$5:$G$604,MATCH(G739,Jobs!$A$5:$A$604,0)),""),Clients!$A$5:$A$204,0)),0)&gt;0,INDEX(Clients!$O$5:$O$204,MATCH(INDEX(Jobs!$G$5:$G$604,MATCH(G739,Jobs!$A$5:$A$604,0)),Clients!$A$5:$A$204,0)),HourlyRate),2)))</f>
        <v>0</v>
      </c>
      <c r="Z739" s="39">
        <f>IF(F739="","",IF(U739=0,"Add - no hours recorded",IF(O739="Absent - no show","Action - no show",IF(U739&gt;10,"Check - over ten hours in a day",IF(Q739&lt;&gt;"Yes","Due - needs approving",IF(R739&lt;&gt;"Yes","Due - not paid yet","OK"))))))</f>
        <v>0</v>
      </c>
    </row>
    <row r="740" spans="1:26">
      <c r="A740" s="43">
        <f>IF(F740="","","TS-"&amp;TEXT(ROW()-4,"0000"))</f>
        <v>0</v>
      </c>
      <c r="C740" s="23">
        <f>IF(B740="","",TEXT(B740,"ddd"))</f>
        <v>0</v>
      </c>
      <c r="D740" s="31">
        <f>IF(B740="","",WEEKNUM(B740,IF(WeekStart="Sunday",1,2)))</f>
        <v>0</v>
      </c>
      <c r="E740" s="23">
        <f>IF(B740="","",TEXT(B740,"yyyy-mm"))</f>
        <v>0</v>
      </c>
      <c r="H740" s="23">
        <f>IF(G740="","",IFERROR(INDEX(Jobs!$H$5:$H$604,MATCH(G740,Jobs!$A$5:$A$604,0)),""))</f>
        <v>0</v>
      </c>
      <c r="T740" s="34">
        <f>IF(OR(J740="",K740=""),"",ROUND((K740-J740)*24-IF(L740="",0,L740)/60,2))</f>
        <v>0</v>
      </c>
      <c r="U740" s="34">
        <f>IF(F740="","",IF(M740&lt;&gt;"",M740,IF(T740="",0,T740)))</f>
        <v>0</v>
      </c>
      <c r="V740" s="21">
        <f>IF(F740="","",IFERROR(INDEX(Employees!$U$5:$U$44,MATCH(F740,Employees!$B$5:$B$44,0)),PayRate*(1+EmployerOncost)))</f>
        <v>0</v>
      </c>
      <c r="W740" s="34">
        <f>IF(F740="","",MAX(0,U740-IF(N740="",0,N740)))</f>
        <v>0</v>
      </c>
      <c r="X740" s="21">
        <f>IF(F740="","",ROUND(W740*V740+IF(N740="",0,N740)*V740*OvertimeRate,2))</f>
        <v>0</v>
      </c>
      <c r="Y740" s="21">
        <f>IF(F740="","",IF(P740&lt;&gt;"Yes",0,ROUND(U740*IF(IFERROR(INDEX(Clients!$O$5:$O$204,MATCH(IFERROR(INDEX(Jobs!$G$5:$G$604,MATCH(G740,Jobs!$A$5:$A$604,0)),""),Clients!$A$5:$A$204,0)),0)&gt;0,INDEX(Clients!$O$5:$O$204,MATCH(INDEX(Jobs!$G$5:$G$604,MATCH(G740,Jobs!$A$5:$A$604,0)),Clients!$A$5:$A$204,0)),HourlyRate),2)))</f>
        <v>0</v>
      </c>
      <c r="Z740" s="39">
        <f>IF(F740="","",IF(U740=0,"Add - no hours recorded",IF(O740="Absent - no show","Action - no show",IF(U740&gt;10,"Check - over ten hours in a day",IF(Q740&lt;&gt;"Yes","Due - needs approving",IF(R740&lt;&gt;"Yes","Due - not paid yet","OK"))))))</f>
        <v>0</v>
      </c>
    </row>
    <row r="741" spans="1:26">
      <c r="A741" s="43">
        <f>IF(F741="","","TS-"&amp;TEXT(ROW()-4,"0000"))</f>
        <v>0</v>
      </c>
      <c r="C741" s="23">
        <f>IF(B741="","",TEXT(B741,"ddd"))</f>
        <v>0</v>
      </c>
      <c r="D741" s="31">
        <f>IF(B741="","",WEEKNUM(B741,IF(WeekStart="Sunday",1,2)))</f>
        <v>0</v>
      </c>
      <c r="E741" s="23">
        <f>IF(B741="","",TEXT(B741,"yyyy-mm"))</f>
        <v>0</v>
      </c>
      <c r="H741" s="23">
        <f>IF(G741="","",IFERROR(INDEX(Jobs!$H$5:$H$604,MATCH(G741,Jobs!$A$5:$A$604,0)),""))</f>
        <v>0</v>
      </c>
      <c r="T741" s="34">
        <f>IF(OR(J741="",K741=""),"",ROUND((K741-J741)*24-IF(L741="",0,L741)/60,2))</f>
        <v>0</v>
      </c>
      <c r="U741" s="34">
        <f>IF(F741="","",IF(M741&lt;&gt;"",M741,IF(T741="",0,T741)))</f>
        <v>0</v>
      </c>
      <c r="V741" s="21">
        <f>IF(F741="","",IFERROR(INDEX(Employees!$U$5:$U$44,MATCH(F741,Employees!$B$5:$B$44,0)),PayRate*(1+EmployerOncost)))</f>
        <v>0</v>
      </c>
      <c r="W741" s="34">
        <f>IF(F741="","",MAX(0,U741-IF(N741="",0,N741)))</f>
        <v>0</v>
      </c>
      <c r="X741" s="21">
        <f>IF(F741="","",ROUND(W741*V741+IF(N741="",0,N741)*V741*OvertimeRate,2))</f>
        <v>0</v>
      </c>
      <c r="Y741" s="21">
        <f>IF(F741="","",IF(P741&lt;&gt;"Yes",0,ROUND(U741*IF(IFERROR(INDEX(Clients!$O$5:$O$204,MATCH(IFERROR(INDEX(Jobs!$G$5:$G$604,MATCH(G741,Jobs!$A$5:$A$604,0)),""),Clients!$A$5:$A$204,0)),0)&gt;0,INDEX(Clients!$O$5:$O$204,MATCH(INDEX(Jobs!$G$5:$G$604,MATCH(G741,Jobs!$A$5:$A$604,0)),Clients!$A$5:$A$204,0)),HourlyRate),2)))</f>
        <v>0</v>
      </c>
      <c r="Z741" s="39">
        <f>IF(F741="","",IF(U741=0,"Add - no hours recorded",IF(O741="Absent - no show","Action - no show",IF(U741&gt;10,"Check - over ten hours in a day",IF(Q741&lt;&gt;"Yes","Due - needs approving",IF(R741&lt;&gt;"Yes","Due - not paid yet","OK"))))))</f>
        <v>0</v>
      </c>
    </row>
    <row r="742" spans="1:26">
      <c r="A742" s="43">
        <f>IF(F742="","","TS-"&amp;TEXT(ROW()-4,"0000"))</f>
        <v>0</v>
      </c>
      <c r="C742" s="23">
        <f>IF(B742="","",TEXT(B742,"ddd"))</f>
        <v>0</v>
      </c>
      <c r="D742" s="31">
        <f>IF(B742="","",WEEKNUM(B742,IF(WeekStart="Sunday",1,2)))</f>
        <v>0</v>
      </c>
      <c r="E742" s="23">
        <f>IF(B742="","",TEXT(B742,"yyyy-mm"))</f>
        <v>0</v>
      </c>
      <c r="H742" s="23">
        <f>IF(G742="","",IFERROR(INDEX(Jobs!$H$5:$H$604,MATCH(G742,Jobs!$A$5:$A$604,0)),""))</f>
        <v>0</v>
      </c>
      <c r="T742" s="34">
        <f>IF(OR(J742="",K742=""),"",ROUND((K742-J742)*24-IF(L742="",0,L742)/60,2))</f>
        <v>0</v>
      </c>
      <c r="U742" s="34">
        <f>IF(F742="","",IF(M742&lt;&gt;"",M742,IF(T742="",0,T742)))</f>
        <v>0</v>
      </c>
      <c r="V742" s="21">
        <f>IF(F742="","",IFERROR(INDEX(Employees!$U$5:$U$44,MATCH(F742,Employees!$B$5:$B$44,0)),PayRate*(1+EmployerOncost)))</f>
        <v>0</v>
      </c>
      <c r="W742" s="34">
        <f>IF(F742="","",MAX(0,U742-IF(N742="",0,N742)))</f>
        <v>0</v>
      </c>
      <c r="X742" s="21">
        <f>IF(F742="","",ROUND(W742*V742+IF(N742="",0,N742)*V742*OvertimeRate,2))</f>
        <v>0</v>
      </c>
      <c r="Y742" s="21">
        <f>IF(F742="","",IF(P742&lt;&gt;"Yes",0,ROUND(U742*IF(IFERROR(INDEX(Clients!$O$5:$O$204,MATCH(IFERROR(INDEX(Jobs!$G$5:$G$604,MATCH(G742,Jobs!$A$5:$A$604,0)),""),Clients!$A$5:$A$204,0)),0)&gt;0,INDEX(Clients!$O$5:$O$204,MATCH(INDEX(Jobs!$G$5:$G$604,MATCH(G742,Jobs!$A$5:$A$604,0)),Clients!$A$5:$A$204,0)),HourlyRate),2)))</f>
        <v>0</v>
      </c>
      <c r="Z742" s="39">
        <f>IF(F742="","",IF(U742=0,"Add - no hours recorded",IF(O742="Absent - no show","Action - no show",IF(U742&gt;10,"Check - over ten hours in a day",IF(Q742&lt;&gt;"Yes","Due - needs approving",IF(R742&lt;&gt;"Yes","Due - not paid yet","OK"))))))</f>
        <v>0</v>
      </c>
    </row>
    <row r="743" spans="1:26">
      <c r="A743" s="43">
        <f>IF(F743="","","TS-"&amp;TEXT(ROW()-4,"0000"))</f>
        <v>0</v>
      </c>
      <c r="C743" s="23">
        <f>IF(B743="","",TEXT(B743,"ddd"))</f>
        <v>0</v>
      </c>
      <c r="D743" s="31">
        <f>IF(B743="","",WEEKNUM(B743,IF(WeekStart="Sunday",1,2)))</f>
        <v>0</v>
      </c>
      <c r="E743" s="23">
        <f>IF(B743="","",TEXT(B743,"yyyy-mm"))</f>
        <v>0</v>
      </c>
      <c r="H743" s="23">
        <f>IF(G743="","",IFERROR(INDEX(Jobs!$H$5:$H$604,MATCH(G743,Jobs!$A$5:$A$604,0)),""))</f>
        <v>0</v>
      </c>
      <c r="T743" s="34">
        <f>IF(OR(J743="",K743=""),"",ROUND((K743-J743)*24-IF(L743="",0,L743)/60,2))</f>
        <v>0</v>
      </c>
      <c r="U743" s="34">
        <f>IF(F743="","",IF(M743&lt;&gt;"",M743,IF(T743="",0,T743)))</f>
        <v>0</v>
      </c>
      <c r="V743" s="21">
        <f>IF(F743="","",IFERROR(INDEX(Employees!$U$5:$U$44,MATCH(F743,Employees!$B$5:$B$44,0)),PayRate*(1+EmployerOncost)))</f>
        <v>0</v>
      </c>
      <c r="W743" s="34">
        <f>IF(F743="","",MAX(0,U743-IF(N743="",0,N743)))</f>
        <v>0</v>
      </c>
      <c r="X743" s="21">
        <f>IF(F743="","",ROUND(W743*V743+IF(N743="",0,N743)*V743*OvertimeRate,2))</f>
        <v>0</v>
      </c>
      <c r="Y743" s="21">
        <f>IF(F743="","",IF(P743&lt;&gt;"Yes",0,ROUND(U743*IF(IFERROR(INDEX(Clients!$O$5:$O$204,MATCH(IFERROR(INDEX(Jobs!$G$5:$G$604,MATCH(G743,Jobs!$A$5:$A$604,0)),""),Clients!$A$5:$A$204,0)),0)&gt;0,INDEX(Clients!$O$5:$O$204,MATCH(INDEX(Jobs!$G$5:$G$604,MATCH(G743,Jobs!$A$5:$A$604,0)),Clients!$A$5:$A$204,0)),HourlyRate),2)))</f>
        <v>0</v>
      </c>
      <c r="Z743" s="39">
        <f>IF(F743="","",IF(U743=0,"Add - no hours recorded",IF(O743="Absent - no show","Action - no show",IF(U743&gt;10,"Check - over ten hours in a day",IF(Q743&lt;&gt;"Yes","Due - needs approving",IF(R743&lt;&gt;"Yes","Due - not paid yet","OK"))))))</f>
        <v>0</v>
      </c>
    </row>
    <row r="744" spans="1:26">
      <c r="A744" s="43">
        <f>IF(F744="","","TS-"&amp;TEXT(ROW()-4,"0000"))</f>
        <v>0</v>
      </c>
      <c r="C744" s="23">
        <f>IF(B744="","",TEXT(B744,"ddd"))</f>
        <v>0</v>
      </c>
      <c r="D744" s="31">
        <f>IF(B744="","",WEEKNUM(B744,IF(WeekStart="Sunday",1,2)))</f>
        <v>0</v>
      </c>
      <c r="E744" s="23">
        <f>IF(B744="","",TEXT(B744,"yyyy-mm"))</f>
        <v>0</v>
      </c>
      <c r="H744" s="23">
        <f>IF(G744="","",IFERROR(INDEX(Jobs!$H$5:$H$604,MATCH(G744,Jobs!$A$5:$A$604,0)),""))</f>
        <v>0</v>
      </c>
      <c r="T744" s="34">
        <f>IF(OR(J744="",K744=""),"",ROUND((K744-J744)*24-IF(L744="",0,L744)/60,2))</f>
        <v>0</v>
      </c>
      <c r="U744" s="34">
        <f>IF(F744="","",IF(M744&lt;&gt;"",M744,IF(T744="",0,T744)))</f>
        <v>0</v>
      </c>
      <c r="V744" s="21">
        <f>IF(F744="","",IFERROR(INDEX(Employees!$U$5:$U$44,MATCH(F744,Employees!$B$5:$B$44,0)),PayRate*(1+EmployerOncost)))</f>
        <v>0</v>
      </c>
      <c r="W744" s="34">
        <f>IF(F744="","",MAX(0,U744-IF(N744="",0,N744)))</f>
        <v>0</v>
      </c>
      <c r="X744" s="21">
        <f>IF(F744="","",ROUND(W744*V744+IF(N744="",0,N744)*V744*OvertimeRate,2))</f>
        <v>0</v>
      </c>
      <c r="Y744" s="21">
        <f>IF(F744="","",IF(P744&lt;&gt;"Yes",0,ROUND(U744*IF(IFERROR(INDEX(Clients!$O$5:$O$204,MATCH(IFERROR(INDEX(Jobs!$G$5:$G$604,MATCH(G744,Jobs!$A$5:$A$604,0)),""),Clients!$A$5:$A$204,0)),0)&gt;0,INDEX(Clients!$O$5:$O$204,MATCH(INDEX(Jobs!$G$5:$G$604,MATCH(G744,Jobs!$A$5:$A$604,0)),Clients!$A$5:$A$204,0)),HourlyRate),2)))</f>
        <v>0</v>
      </c>
      <c r="Z744" s="39">
        <f>IF(F744="","",IF(U744=0,"Add - no hours recorded",IF(O744="Absent - no show","Action - no show",IF(U744&gt;10,"Check - over ten hours in a day",IF(Q744&lt;&gt;"Yes","Due - needs approving",IF(R744&lt;&gt;"Yes","Due - not paid yet","OK"))))))</f>
        <v>0</v>
      </c>
    </row>
    <row r="745" spans="1:26">
      <c r="A745" s="43">
        <f>IF(F745="","","TS-"&amp;TEXT(ROW()-4,"0000"))</f>
        <v>0</v>
      </c>
      <c r="C745" s="23">
        <f>IF(B745="","",TEXT(B745,"ddd"))</f>
        <v>0</v>
      </c>
      <c r="D745" s="31">
        <f>IF(B745="","",WEEKNUM(B745,IF(WeekStart="Sunday",1,2)))</f>
        <v>0</v>
      </c>
      <c r="E745" s="23">
        <f>IF(B745="","",TEXT(B745,"yyyy-mm"))</f>
        <v>0</v>
      </c>
      <c r="H745" s="23">
        <f>IF(G745="","",IFERROR(INDEX(Jobs!$H$5:$H$604,MATCH(G745,Jobs!$A$5:$A$604,0)),""))</f>
        <v>0</v>
      </c>
      <c r="T745" s="34">
        <f>IF(OR(J745="",K745=""),"",ROUND((K745-J745)*24-IF(L745="",0,L745)/60,2))</f>
        <v>0</v>
      </c>
      <c r="U745" s="34">
        <f>IF(F745="","",IF(M745&lt;&gt;"",M745,IF(T745="",0,T745)))</f>
        <v>0</v>
      </c>
      <c r="V745" s="21">
        <f>IF(F745="","",IFERROR(INDEX(Employees!$U$5:$U$44,MATCH(F745,Employees!$B$5:$B$44,0)),PayRate*(1+EmployerOncost)))</f>
        <v>0</v>
      </c>
      <c r="W745" s="34">
        <f>IF(F745="","",MAX(0,U745-IF(N745="",0,N745)))</f>
        <v>0</v>
      </c>
      <c r="X745" s="21">
        <f>IF(F745="","",ROUND(W745*V745+IF(N745="",0,N745)*V745*OvertimeRate,2))</f>
        <v>0</v>
      </c>
      <c r="Y745" s="21">
        <f>IF(F745="","",IF(P745&lt;&gt;"Yes",0,ROUND(U745*IF(IFERROR(INDEX(Clients!$O$5:$O$204,MATCH(IFERROR(INDEX(Jobs!$G$5:$G$604,MATCH(G745,Jobs!$A$5:$A$604,0)),""),Clients!$A$5:$A$204,0)),0)&gt;0,INDEX(Clients!$O$5:$O$204,MATCH(INDEX(Jobs!$G$5:$G$604,MATCH(G745,Jobs!$A$5:$A$604,0)),Clients!$A$5:$A$204,0)),HourlyRate),2)))</f>
        <v>0</v>
      </c>
      <c r="Z745" s="39">
        <f>IF(F745="","",IF(U745=0,"Add - no hours recorded",IF(O745="Absent - no show","Action - no show",IF(U745&gt;10,"Check - over ten hours in a day",IF(Q745&lt;&gt;"Yes","Due - needs approving",IF(R745&lt;&gt;"Yes","Due - not paid yet","OK"))))))</f>
        <v>0</v>
      </c>
    </row>
    <row r="746" spans="1:26">
      <c r="A746" s="43">
        <f>IF(F746="","","TS-"&amp;TEXT(ROW()-4,"0000"))</f>
        <v>0</v>
      </c>
      <c r="C746" s="23">
        <f>IF(B746="","",TEXT(B746,"ddd"))</f>
        <v>0</v>
      </c>
      <c r="D746" s="31">
        <f>IF(B746="","",WEEKNUM(B746,IF(WeekStart="Sunday",1,2)))</f>
        <v>0</v>
      </c>
      <c r="E746" s="23">
        <f>IF(B746="","",TEXT(B746,"yyyy-mm"))</f>
        <v>0</v>
      </c>
      <c r="H746" s="23">
        <f>IF(G746="","",IFERROR(INDEX(Jobs!$H$5:$H$604,MATCH(G746,Jobs!$A$5:$A$604,0)),""))</f>
        <v>0</v>
      </c>
      <c r="T746" s="34">
        <f>IF(OR(J746="",K746=""),"",ROUND((K746-J746)*24-IF(L746="",0,L746)/60,2))</f>
        <v>0</v>
      </c>
      <c r="U746" s="34">
        <f>IF(F746="","",IF(M746&lt;&gt;"",M746,IF(T746="",0,T746)))</f>
        <v>0</v>
      </c>
      <c r="V746" s="21">
        <f>IF(F746="","",IFERROR(INDEX(Employees!$U$5:$U$44,MATCH(F746,Employees!$B$5:$B$44,0)),PayRate*(1+EmployerOncost)))</f>
        <v>0</v>
      </c>
      <c r="W746" s="34">
        <f>IF(F746="","",MAX(0,U746-IF(N746="",0,N746)))</f>
        <v>0</v>
      </c>
      <c r="X746" s="21">
        <f>IF(F746="","",ROUND(W746*V746+IF(N746="",0,N746)*V746*OvertimeRate,2))</f>
        <v>0</v>
      </c>
      <c r="Y746" s="21">
        <f>IF(F746="","",IF(P746&lt;&gt;"Yes",0,ROUND(U746*IF(IFERROR(INDEX(Clients!$O$5:$O$204,MATCH(IFERROR(INDEX(Jobs!$G$5:$G$604,MATCH(G746,Jobs!$A$5:$A$604,0)),""),Clients!$A$5:$A$204,0)),0)&gt;0,INDEX(Clients!$O$5:$O$204,MATCH(INDEX(Jobs!$G$5:$G$604,MATCH(G746,Jobs!$A$5:$A$604,0)),Clients!$A$5:$A$204,0)),HourlyRate),2)))</f>
        <v>0</v>
      </c>
      <c r="Z746" s="39">
        <f>IF(F746="","",IF(U746=0,"Add - no hours recorded",IF(O746="Absent - no show","Action - no show",IF(U746&gt;10,"Check - over ten hours in a day",IF(Q746&lt;&gt;"Yes","Due - needs approving",IF(R746&lt;&gt;"Yes","Due - not paid yet","OK"))))))</f>
        <v>0</v>
      </c>
    </row>
    <row r="747" spans="1:26">
      <c r="A747" s="43">
        <f>IF(F747="","","TS-"&amp;TEXT(ROW()-4,"0000"))</f>
        <v>0</v>
      </c>
      <c r="C747" s="23">
        <f>IF(B747="","",TEXT(B747,"ddd"))</f>
        <v>0</v>
      </c>
      <c r="D747" s="31">
        <f>IF(B747="","",WEEKNUM(B747,IF(WeekStart="Sunday",1,2)))</f>
        <v>0</v>
      </c>
      <c r="E747" s="23">
        <f>IF(B747="","",TEXT(B747,"yyyy-mm"))</f>
        <v>0</v>
      </c>
      <c r="H747" s="23">
        <f>IF(G747="","",IFERROR(INDEX(Jobs!$H$5:$H$604,MATCH(G747,Jobs!$A$5:$A$604,0)),""))</f>
        <v>0</v>
      </c>
      <c r="T747" s="34">
        <f>IF(OR(J747="",K747=""),"",ROUND((K747-J747)*24-IF(L747="",0,L747)/60,2))</f>
        <v>0</v>
      </c>
      <c r="U747" s="34">
        <f>IF(F747="","",IF(M747&lt;&gt;"",M747,IF(T747="",0,T747)))</f>
        <v>0</v>
      </c>
      <c r="V747" s="21">
        <f>IF(F747="","",IFERROR(INDEX(Employees!$U$5:$U$44,MATCH(F747,Employees!$B$5:$B$44,0)),PayRate*(1+EmployerOncost)))</f>
        <v>0</v>
      </c>
      <c r="W747" s="34">
        <f>IF(F747="","",MAX(0,U747-IF(N747="",0,N747)))</f>
        <v>0</v>
      </c>
      <c r="X747" s="21">
        <f>IF(F747="","",ROUND(W747*V747+IF(N747="",0,N747)*V747*OvertimeRate,2))</f>
        <v>0</v>
      </c>
      <c r="Y747" s="21">
        <f>IF(F747="","",IF(P747&lt;&gt;"Yes",0,ROUND(U747*IF(IFERROR(INDEX(Clients!$O$5:$O$204,MATCH(IFERROR(INDEX(Jobs!$G$5:$G$604,MATCH(G747,Jobs!$A$5:$A$604,0)),""),Clients!$A$5:$A$204,0)),0)&gt;0,INDEX(Clients!$O$5:$O$204,MATCH(INDEX(Jobs!$G$5:$G$604,MATCH(G747,Jobs!$A$5:$A$604,0)),Clients!$A$5:$A$204,0)),HourlyRate),2)))</f>
        <v>0</v>
      </c>
      <c r="Z747" s="39">
        <f>IF(F747="","",IF(U747=0,"Add - no hours recorded",IF(O747="Absent - no show","Action - no show",IF(U747&gt;10,"Check - over ten hours in a day",IF(Q747&lt;&gt;"Yes","Due - needs approving",IF(R747&lt;&gt;"Yes","Due - not paid yet","OK"))))))</f>
        <v>0</v>
      </c>
    </row>
    <row r="748" spans="1:26">
      <c r="A748" s="43">
        <f>IF(F748="","","TS-"&amp;TEXT(ROW()-4,"0000"))</f>
        <v>0</v>
      </c>
      <c r="C748" s="23">
        <f>IF(B748="","",TEXT(B748,"ddd"))</f>
        <v>0</v>
      </c>
      <c r="D748" s="31">
        <f>IF(B748="","",WEEKNUM(B748,IF(WeekStart="Sunday",1,2)))</f>
        <v>0</v>
      </c>
      <c r="E748" s="23">
        <f>IF(B748="","",TEXT(B748,"yyyy-mm"))</f>
        <v>0</v>
      </c>
      <c r="H748" s="23">
        <f>IF(G748="","",IFERROR(INDEX(Jobs!$H$5:$H$604,MATCH(G748,Jobs!$A$5:$A$604,0)),""))</f>
        <v>0</v>
      </c>
      <c r="T748" s="34">
        <f>IF(OR(J748="",K748=""),"",ROUND((K748-J748)*24-IF(L748="",0,L748)/60,2))</f>
        <v>0</v>
      </c>
      <c r="U748" s="34">
        <f>IF(F748="","",IF(M748&lt;&gt;"",M748,IF(T748="",0,T748)))</f>
        <v>0</v>
      </c>
      <c r="V748" s="21">
        <f>IF(F748="","",IFERROR(INDEX(Employees!$U$5:$U$44,MATCH(F748,Employees!$B$5:$B$44,0)),PayRate*(1+EmployerOncost)))</f>
        <v>0</v>
      </c>
      <c r="W748" s="34">
        <f>IF(F748="","",MAX(0,U748-IF(N748="",0,N748)))</f>
        <v>0</v>
      </c>
      <c r="X748" s="21">
        <f>IF(F748="","",ROUND(W748*V748+IF(N748="",0,N748)*V748*OvertimeRate,2))</f>
        <v>0</v>
      </c>
      <c r="Y748" s="21">
        <f>IF(F748="","",IF(P748&lt;&gt;"Yes",0,ROUND(U748*IF(IFERROR(INDEX(Clients!$O$5:$O$204,MATCH(IFERROR(INDEX(Jobs!$G$5:$G$604,MATCH(G748,Jobs!$A$5:$A$604,0)),""),Clients!$A$5:$A$204,0)),0)&gt;0,INDEX(Clients!$O$5:$O$204,MATCH(INDEX(Jobs!$G$5:$G$604,MATCH(G748,Jobs!$A$5:$A$604,0)),Clients!$A$5:$A$204,0)),HourlyRate),2)))</f>
        <v>0</v>
      </c>
      <c r="Z748" s="39">
        <f>IF(F748="","",IF(U748=0,"Add - no hours recorded",IF(O748="Absent - no show","Action - no show",IF(U748&gt;10,"Check - over ten hours in a day",IF(Q748&lt;&gt;"Yes","Due - needs approving",IF(R748&lt;&gt;"Yes","Due - not paid yet","OK"))))))</f>
        <v>0</v>
      </c>
    </row>
    <row r="749" spans="1:26">
      <c r="A749" s="43">
        <f>IF(F749="","","TS-"&amp;TEXT(ROW()-4,"0000"))</f>
        <v>0</v>
      </c>
      <c r="C749" s="23">
        <f>IF(B749="","",TEXT(B749,"ddd"))</f>
        <v>0</v>
      </c>
      <c r="D749" s="31">
        <f>IF(B749="","",WEEKNUM(B749,IF(WeekStart="Sunday",1,2)))</f>
        <v>0</v>
      </c>
      <c r="E749" s="23">
        <f>IF(B749="","",TEXT(B749,"yyyy-mm"))</f>
        <v>0</v>
      </c>
      <c r="H749" s="23">
        <f>IF(G749="","",IFERROR(INDEX(Jobs!$H$5:$H$604,MATCH(G749,Jobs!$A$5:$A$604,0)),""))</f>
        <v>0</v>
      </c>
      <c r="T749" s="34">
        <f>IF(OR(J749="",K749=""),"",ROUND((K749-J749)*24-IF(L749="",0,L749)/60,2))</f>
        <v>0</v>
      </c>
      <c r="U749" s="34">
        <f>IF(F749="","",IF(M749&lt;&gt;"",M749,IF(T749="",0,T749)))</f>
        <v>0</v>
      </c>
      <c r="V749" s="21">
        <f>IF(F749="","",IFERROR(INDEX(Employees!$U$5:$U$44,MATCH(F749,Employees!$B$5:$B$44,0)),PayRate*(1+EmployerOncost)))</f>
        <v>0</v>
      </c>
      <c r="W749" s="34">
        <f>IF(F749="","",MAX(0,U749-IF(N749="",0,N749)))</f>
        <v>0</v>
      </c>
      <c r="X749" s="21">
        <f>IF(F749="","",ROUND(W749*V749+IF(N749="",0,N749)*V749*OvertimeRate,2))</f>
        <v>0</v>
      </c>
      <c r="Y749" s="21">
        <f>IF(F749="","",IF(P749&lt;&gt;"Yes",0,ROUND(U749*IF(IFERROR(INDEX(Clients!$O$5:$O$204,MATCH(IFERROR(INDEX(Jobs!$G$5:$G$604,MATCH(G749,Jobs!$A$5:$A$604,0)),""),Clients!$A$5:$A$204,0)),0)&gt;0,INDEX(Clients!$O$5:$O$204,MATCH(INDEX(Jobs!$G$5:$G$604,MATCH(G749,Jobs!$A$5:$A$604,0)),Clients!$A$5:$A$204,0)),HourlyRate),2)))</f>
        <v>0</v>
      </c>
      <c r="Z749" s="39">
        <f>IF(F749="","",IF(U749=0,"Add - no hours recorded",IF(O749="Absent - no show","Action - no show",IF(U749&gt;10,"Check - over ten hours in a day",IF(Q749&lt;&gt;"Yes","Due - needs approving",IF(R749&lt;&gt;"Yes","Due - not paid yet","OK"))))))</f>
        <v>0</v>
      </c>
    </row>
    <row r="750" spans="1:26">
      <c r="A750" s="43">
        <f>IF(F750="","","TS-"&amp;TEXT(ROW()-4,"0000"))</f>
        <v>0</v>
      </c>
      <c r="C750" s="23">
        <f>IF(B750="","",TEXT(B750,"ddd"))</f>
        <v>0</v>
      </c>
      <c r="D750" s="31">
        <f>IF(B750="","",WEEKNUM(B750,IF(WeekStart="Sunday",1,2)))</f>
        <v>0</v>
      </c>
      <c r="E750" s="23">
        <f>IF(B750="","",TEXT(B750,"yyyy-mm"))</f>
        <v>0</v>
      </c>
      <c r="H750" s="23">
        <f>IF(G750="","",IFERROR(INDEX(Jobs!$H$5:$H$604,MATCH(G750,Jobs!$A$5:$A$604,0)),""))</f>
        <v>0</v>
      </c>
      <c r="T750" s="34">
        <f>IF(OR(J750="",K750=""),"",ROUND((K750-J750)*24-IF(L750="",0,L750)/60,2))</f>
        <v>0</v>
      </c>
      <c r="U750" s="34">
        <f>IF(F750="","",IF(M750&lt;&gt;"",M750,IF(T750="",0,T750)))</f>
        <v>0</v>
      </c>
      <c r="V750" s="21">
        <f>IF(F750="","",IFERROR(INDEX(Employees!$U$5:$U$44,MATCH(F750,Employees!$B$5:$B$44,0)),PayRate*(1+EmployerOncost)))</f>
        <v>0</v>
      </c>
      <c r="W750" s="34">
        <f>IF(F750="","",MAX(0,U750-IF(N750="",0,N750)))</f>
        <v>0</v>
      </c>
      <c r="X750" s="21">
        <f>IF(F750="","",ROUND(W750*V750+IF(N750="",0,N750)*V750*OvertimeRate,2))</f>
        <v>0</v>
      </c>
      <c r="Y750" s="21">
        <f>IF(F750="","",IF(P750&lt;&gt;"Yes",0,ROUND(U750*IF(IFERROR(INDEX(Clients!$O$5:$O$204,MATCH(IFERROR(INDEX(Jobs!$G$5:$G$604,MATCH(G750,Jobs!$A$5:$A$604,0)),""),Clients!$A$5:$A$204,0)),0)&gt;0,INDEX(Clients!$O$5:$O$204,MATCH(INDEX(Jobs!$G$5:$G$604,MATCH(G750,Jobs!$A$5:$A$604,0)),Clients!$A$5:$A$204,0)),HourlyRate),2)))</f>
        <v>0</v>
      </c>
      <c r="Z750" s="39">
        <f>IF(F750="","",IF(U750=0,"Add - no hours recorded",IF(O750="Absent - no show","Action - no show",IF(U750&gt;10,"Check - over ten hours in a day",IF(Q750&lt;&gt;"Yes","Due - needs approving",IF(R750&lt;&gt;"Yes","Due - not paid yet","OK"))))))</f>
        <v>0</v>
      </c>
    </row>
    <row r="751" spans="1:26">
      <c r="A751" s="43">
        <f>IF(F751="","","TS-"&amp;TEXT(ROW()-4,"0000"))</f>
        <v>0</v>
      </c>
      <c r="C751" s="23">
        <f>IF(B751="","",TEXT(B751,"ddd"))</f>
        <v>0</v>
      </c>
      <c r="D751" s="31">
        <f>IF(B751="","",WEEKNUM(B751,IF(WeekStart="Sunday",1,2)))</f>
        <v>0</v>
      </c>
      <c r="E751" s="23">
        <f>IF(B751="","",TEXT(B751,"yyyy-mm"))</f>
        <v>0</v>
      </c>
      <c r="H751" s="23">
        <f>IF(G751="","",IFERROR(INDEX(Jobs!$H$5:$H$604,MATCH(G751,Jobs!$A$5:$A$604,0)),""))</f>
        <v>0</v>
      </c>
      <c r="T751" s="34">
        <f>IF(OR(J751="",K751=""),"",ROUND((K751-J751)*24-IF(L751="",0,L751)/60,2))</f>
        <v>0</v>
      </c>
      <c r="U751" s="34">
        <f>IF(F751="","",IF(M751&lt;&gt;"",M751,IF(T751="",0,T751)))</f>
        <v>0</v>
      </c>
      <c r="V751" s="21">
        <f>IF(F751="","",IFERROR(INDEX(Employees!$U$5:$U$44,MATCH(F751,Employees!$B$5:$B$44,0)),PayRate*(1+EmployerOncost)))</f>
        <v>0</v>
      </c>
      <c r="W751" s="34">
        <f>IF(F751="","",MAX(0,U751-IF(N751="",0,N751)))</f>
        <v>0</v>
      </c>
      <c r="X751" s="21">
        <f>IF(F751="","",ROUND(W751*V751+IF(N751="",0,N751)*V751*OvertimeRate,2))</f>
        <v>0</v>
      </c>
      <c r="Y751" s="21">
        <f>IF(F751="","",IF(P751&lt;&gt;"Yes",0,ROUND(U751*IF(IFERROR(INDEX(Clients!$O$5:$O$204,MATCH(IFERROR(INDEX(Jobs!$G$5:$G$604,MATCH(G751,Jobs!$A$5:$A$604,0)),""),Clients!$A$5:$A$204,0)),0)&gt;0,INDEX(Clients!$O$5:$O$204,MATCH(INDEX(Jobs!$G$5:$G$604,MATCH(G751,Jobs!$A$5:$A$604,0)),Clients!$A$5:$A$204,0)),HourlyRate),2)))</f>
        <v>0</v>
      </c>
      <c r="Z751" s="39">
        <f>IF(F751="","",IF(U751=0,"Add - no hours recorded",IF(O751="Absent - no show","Action - no show",IF(U751&gt;10,"Check - over ten hours in a day",IF(Q751&lt;&gt;"Yes","Due - needs approving",IF(R751&lt;&gt;"Yes","Due - not paid yet","OK"))))))</f>
        <v>0</v>
      </c>
    </row>
    <row r="752" spans="1:26">
      <c r="A752" s="43">
        <f>IF(F752="","","TS-"&amp;TEXT(ROW()-4,"0000"))</f>
        <v>0</v>
      </c>
      <c r="C752" s="23">
        <f>IF(B752="","",TEXT(B752,"ddd"))</f>
        <v>0</v>
      </c>
      <c r="D752" s="31">
        <f>IF(B752="","",WEEKNUM(B752,IF(WeekStart="Sunday",1,2)))</f>
        <v>0</v>
      </c>
      <c r="E752" s="23">
        <f>IF(B752="","",TEXT(B752,"yyyy-mm"))</f>
        <v>0</v>
      </c>
      <c r="H752" s="23">
        <f>IF(G752="","",IFERROR(INDEX(Jobs!$H$5:$H$604,MATCH(G752,Jobs!$A$5:$A$604,0)),""))</f>
        <v>0</v>
      </c>
      <c r="T752" s="34">
        <f>IF(OR(J752="",K752=""),"",ROUND((K752-J752)*24-IF(L752="",0,L752)/60,2))</f>
        <v>0</v>
      </c>
      <c r="U752" s="34">
        <f>IF(F752="","",IF(M752&lt;&gt;"",M752,IF(T752="",0,T752)))</f>
        <v>0</v>
      </c>
      <c r="V752" s="21">
        <f>IF(F752="","",IFERROR(INDEX(Employees!$U$5:$U$44,MATCH(F752,Employees!$B$5:$B$44,0)),PayRate*(1+EmployerOncost)))</f>
        <v>0</v>
      </c>
      <c r="W752" s="34">
        <f>IF(F752="","",MAX(0,U752-IF(N752="",0,N752)))</f>
        <v>0</v>
      </c>
      <c r="X752" s="21">
        <f>IF(F752="","",ROUND(W752*V752+IF(N752="",0,N752)*V752*OvertimeRate,2))</f>
        <v>0</v>
      </c>
      <c r="Y752" s="21">
        <f>IF(F752="","",IF(P752&lt;&gt;"Yes",0,ROUND(U752*IF(IFERROR(INDEX(Clients!$O$5:$O$204,MATCH(IFERROR(INDEX(Jobs!$G$5:$G$604,MATCH(G752,Jobs!$A$5:$A$604,0)),""),Clients!$A$5:$A$204,0)),0)&gt;0,INDEX(Clients!$O$5:$O$204,MATCH(INDEX(Jobs!$G$5:$G$604,MATCH(G752,Jobs!$A$5:$A$604,0)),Clients!$A$5:$A$204,0)),HourlyRate),2)))</f>
        <v>0</v>
      </c>
      <c r="Z752" s="39">
        <f>IF(F752="","",IF(U752=0,"Add - no hours recorded",IF(O752="Absent - no show","Action - no show",IF(U752&gt;10,"Check - over ten hours in a day",IF(Q752&lt;&gt;"Yes","Due - needs approving",IF(R752&lt;&gt;"Yes","Due - not paid yet","OK"))))))</f>
        <v>0</v>
      </c>
    </row>
    <row r="753" spans="1:26">
      <c r="A753" s="43">
        <f>IF(F753="","","TS-"&amp;TEXT(ROW()-4,"0000"))</f>
        <v>0</v>
      </c>
      <c r="C753" s="23">
        <f>IF(B753="","",TEXT(B753,"ddd"))</f>
        <v>0</v>
      </c>
      <c r="D753" s="31">
        <f>IF(B753="","",WEEKNUM(B753,IF(WeekStart="Sunday",1,2)))</f>
        <v>0</v>
      </c>
      <c r="E753" s="23">
        <f>IF(B753="","",TEXT(B753,"yyyy-mm"))</f>
        <v>0</v>
      </c>
      <c r="H753" s="23">
        <f>IF(G753="","",IFERROR(INDEX(Jobs!$H$5:$H$604,MATCH(G753,Jobs!$A$5:$A$604,0)),""))</f>
        <v>0</v>
      </c>
      <c r="T753" s="34">
        <f>IF(OR(J753="",K753=""),"",ROUND((K753-J753)*24-IF(L753="",0,L753)/60,2))</f>
        <v>0</v>
      </c>
      <c r="U753" s="34">
        <f>IF(F753="","",IF(M753&lt;&gt;"",M753,IF(T753="",0,T753)))</f>
        <v>0</v>
      </c>
      <c r="V753" s="21">
        <f>IF(F753="","",IFERROR(INDEX(Employees!$U$5:$U$44,MATCH(F753,Employees!$B$5:$B$44,0)),PayRate*(1+EmployerOncost)))</f>
        <v>0</v>
      </c>
      <c r="W753" s="34">
        <f>IF(F753="","",MAX(0,U753-IF(N753="",0,N753)))</f>
        <v>0</v>
      </c>
      <c r="X753" s="21">
        <f>IF(F753="","",ROUND(W753*V753+IF(N753="",0,N753)*V753*OvertimeRate,2))</f>
        <v>0</v>
      </c>
      <c r="Y753" s="21">
        <f>IF(F753="","",IF(P753&lt;&gt;"Yes",0,ROUND(U753*IF(IFERROR(INDEX(Clients!$O$5:$O$204,MATCH(IFERROR(INDEX(Jobs!$G$5:$G$604,MATCH(G753,Jobs!$A$5:$A$604,0)),""),Clients!$A$5:$A$204,0)),0)&gt;0,INDEX(Clients!$O$5:$O$204,MATCH(INDEX(Jobs!$G$5:$G$604,MATCH(G753,Jobs!$A$5:$A$604,0)),Clients!$A$5:$A$204,0)),HourlyRate),2)))</f>
        <v>0</v>
      </c>
      <c r="Z753" s="39">
        <f>IF(F753="","",IF(U753=0,"Add - no hours recorded",IF(O753="Absent - no show","Action - no show",IF(U753&gt;10,"Check - over ten hours in a day",IF(Q753&lt;&gt;"Yes","Due - needs approving",IF(R753&lt;&gt;"Yes","Due - not paid yet","OK"))))))</f>
        <v>0</v>
      </c>
    </row>
    <row r="754" spans="1:26">
      <c r="A754" s="43">
        <f>IF(F754="","","TS-"&amp;TEXT(ROW()-4,"0000"))</f>
        <v>0</v>
      </c>
      <c r="C754" s="23">
        <f>IF(B754="","",TEXT(B754,"ddd"))</f>
        <v>0</v>
      </c>
      <c r="D754" s="31">
        <f>IF(B754="","",WEEKNUM(B754,IF(WeekStart="Sunday",1,2)))</f>
        <v>0</v>
      </c>
      <c r="E754" s="23">
        <f>IF(B754="","",TEXT(B754,"yyyy-mm"))</f>
        <v>0</v>
      </c>
      <c r="H754" s="23">
        <f>IF(G754="","",IFERROR(INDEX(Jobs!$H$5:$H$604,MATCH(G754,Jobs!$A$5:$A$604,0)),""))</f>
        <v>0</v>
      </c>
      <c r="T754" s="34">
        <f>IF(OR(J754="",K754=""),"",ROUND((K754-J754)*24-IF(L754="",0,L754)/60,2))</f>
        <v>0</v>
      </c>
      <c r="U754" s="34">
        <f>IF(F754="","",IF(M754&lt;&gt;"",M754,IF(T754="",0,T754)))</f>
        <v>0</v>
      </c>
      <c r="V754" s="21">
        <f>IF(F754="","",IFERROR(INDEX(Employees!$U$5:$U$44,MATCH(F754,Employees!$B$5:$B$44,0)),PayRate*(1+EmployerOncost)))</f>
        <v>0</v>
      </c>
      <c r="W754" s="34">
        <f>IF(F754="","",MAX(0,U754-IF(N754="",0,N754)))</f>
        <v>0</v>
      </c>
      <c r="X754" s="21">
        <f>IF(F754="","",ROUND(W754*V754+IF(N754="",0,N754)*V754*OvertimeRate,2))</f>
        <v>0</v>
      </c>
      <c r="Y754" s="21">
        <f>IF(F754="","",IF(P754&lt;&gt;"Yes",0,ROUND(U754*IF(IFERROR(INDEX(Clients!$O$5:$O$204,MATCH(IFERROR(INDEX(Jobs!$G$5:$G$604,MATCH(G754,Jobs!$A$5:$A$604,0)),""),Clients!$A$5:$A$204,0)),0)&gt;0,INDEX(Clients!$O$5:$O$204,MATCH(INDEX(Jobs!$G$5:$G$604,MATCH(G754,Jobs!$A$5:$A$604,0)),Clients!$A$5:$A$204,0)),HourlyRate),2)))</f>
        <v>0</v>
      </c>
      <c r="Z754" s="39">
        <f>IF(F754="","",IF(U754=0,"Add - no hours recorded",IF(O754="Absent - no show","Action - no show",IF(U754&gt;10,"Check - over ten hours in a day",IF(Q754&lt;&gt;"Yes","Due - needs approving",IF(R754&lt;&gt;"Yes","Due - not paid yet","OK"))))))</f>
        <v>0</v>
      </c>
    </row>
    <row r="755" spans="1:26">
      <c r="A755" s="43">
        <f>IF(F755="","","TS-"&amp;TEXT(ROW()-4,"0000"))</f>
        <v>0</v>
      </c>
      <c r="C755" s="23">
        <f>IF(B755="","",TEXT(B755,"ddd"))</f>
        <v>0</v>
      </c>
      <c r="D755" s="31">
        <f>IF(B755="","",WEEKNUM(B755,IF(WeekStart="Sunday",1,2)))</f>
        <v>0</v>
      </c>
      <c r="E755" s="23">
        <f>IF(B755="","",TEXT(B755,"yyyy-mm"))</f>
        <v>0</v>
      </c>
      <c r="H755" s="23">
        <f>IF(G755="","",IFERROR(INDEX(Jobs!$H$5:$H$604,MATCH(G755,Jobs!$A$5:$A$604,0)),""))</f>
        <v>0</v>
      </c>
      <c r="T755" s="34">
        <f>IF(OR(J755="",K755=""),"",ROUND((K755-J755)*24-IF(L755="",0,L755)/60,2))</f>
        <v>0</v>
      </c>
      <c r="U755" s="34">
        <f>IF(F755="","",IF(M755&lt;&gt;"",M755,IF(T755="",0,T755)))</f>
        <v>0</v>
      </c>
      <c r="V755" s="21">
        <f>IF(F755="","",IFERROR(INDEX(Employees!$U$5:$U$44,MATCH(F755,Employees!$B$5:$B$44,0)),PayRate*(1+EmployerOncost)))</f>
        <v>0</v>
      </c>
      <c r="W755" s="34">
        <f>IF(F755="","",MAX(0,U755-IF(N755="",0,N755)))</f>
        <v>0</v>
      </c>
      <c r="X755" s="21">
        <f>IF(F755="","",ROUND(W755*V755+IF(N755="",0,N755)*V755*OvertimeRate,2))</f>
        <v>0</v>
      </c>
      <c r="Y755" s="21">
        <f>IF(F755="","",IF(P755&lt;&gt;"Yes",0,ROUND(U755*IF(IFERROR(INDEX(Clients!$O$5:$O$204,MATCH(IFERROR(INDEX(Jobs!$G$5:$G$604,MATCH(G755,Jobs!$A$5:$A$604,0)),""),Clients!$A$5:$A$204,0)),0)&gt;0,INDEX(Clients!$O$5:$O$204,MATCH(INDEX(Jobs!$G$5:$G$604,MATCH(G755,Jobs!$A$5:$A$604,0)),Clients!$A$5:$A$204,0)),HourlyRate),2)))</f>
        <v>0</v>
      </c>
      <c r="Z755" s="39">
        <f>IF(F755="","",IF(U755=0,"Add - no hours recorded",IF(O755="Absent - no show","Action - no show",IF(U755&gt;10,"Check - over ten hours in a day",IF(Q755&lt;&gt;"Yes","Due - needs approving",IF(R755&lt;&gt;"Yes","Due - not paid yet","OK"))))))</f>
        <v>0</v>
      </c>
    </row>
    <row r="756" spans="1:26">
      <c r="A756" s="43">
        <f>IF(F756="","","TS-"&amp;TEXT(ROW()-4,"0000"))</f>
        <v>0</v>
      </c>
      <c r="C756" s="23">
        <f>IF(B756="","",TEXT(B756,"ddd"))</f>
        <v>0</v>
      </c>
      <c r="D756" s="31">
        <f>IF(B756="","",WEEKNUM(B756,IF(WeekStart="Sunday",1,2)))</f>
        <v>0</v>
      </c>
      <c r="E756" s="23">
        <f>IF(B756="","",TEXT(B756,"yyyy-mm"))</f>
        <v>0</v>
      </c>
      <c r="H756" s="23">
        <f>IF(G756="","",IFERROR(INDEX(Jobs!$H$5:$H$604,MATCH(G756,Jobs!$A$5:$A$604,0)),""))</f>
        <v>0</v>
      </c>
      <c r="T756" s="34">
        <f>IF(OR(J756="",K756=""),"",ROUND((K756-J756)*24-IF(L756="",0,L756)/60,2))</f>
        <v>0</v>
      </c>
      <c r="U756" s="34">
        <f>IF(F756="","",IF(M756&lt;&gt;"",M756,IF(T756="",0,T756)))</f>
        <v>0</v>
      </c>
      <c r="V756" s="21">
        <f>IF(F756="","",IFERROR(INDEX(Employees!$U$5:$U$44,MATCH(F756,Employees!$B$5:$B$44,0)),PayRate*(1+EmployerOncost)))</f>
        <v>0</v>
      </c>
      <c r="W756" s="34">
        <f>IF(F756="","",MAX(0,U756-IF(N756="",0,N756)))</f>
        <v>0</v>
      </c>
      <c r="X756" s="21">
        <f>IF(F756="","",ROUND(W756*V756+IF(N756="",0,N756)*V756*OvertimeRate,2))</f>
        <v>0</v>
      </c>
      <c r="Y756" s="21">
        <f>IF(F756="","",IF(P756&lt;&gt;"Yes",0,ROUND(U756*IF(IFERROR(INDEX(Clients!$O$5:$O$204,MATCH(IFERROR(INDEX(Jobs!$G$5:$G$604,MATCH(G756,Jobs!$A$5:$A$604,0)),""),Clients!$A$5:$A$204,0)),0)&gt;0,INDEX(Clients!$O$5:$O$204,MATCH(INDEX(Jobs!$G$5:$G$604,MATCH(G756,Jobs!$A$5:$A$604,0)),Clients!$A$5:$A$204,0)),HourlyRate),2)))</f>
        <v>0</v>
      </c>
      <c r="Z756" s="39">
        <f>IF(F756="","",IF(U756=0,"Add - no hours recorded",IF(O756="Absent - no show","Action - no show",IF(U756&gt;10,"Check - over ten hours in a day",IF(Q756&lt;&gt;"Yes","Due - needs approving",IF(R756&lt;&gt;"Yes","Due - not paid yet","OK"))))))</f>
        <v>0</v>
      </c>
    </row>
    <row r="757" spans="1:26">
      <c r="A757" s="43">
        <f>IF(F757="","","TS-"&amp;TEXT(ROW()-4,"0000"))</f>
        <v>0</v>
      </c>
      <c r="C757" s="23">
        <f>IF(B757="","",TEXT(B757,"ddd"))</f>
        <v>0</v>
      </c>
      <c r="D757" s="31">
        <f>IF(B757="","",WEEKNUM(B757,IF(WeekStart="Sunday",1,2)))</f>
        <v>0</v>
      </c>
      <c r="E757" s="23">
        <f>IF(B757="","",TEXT(B757,"yyyy-mm"))</f>
        <v>0</v>
      </c>
      <c r="H757" s="23">
        <f>IF(G757="","",IFERROR(INDEX(Jobs!$H$5:$H$604,MATCH(G757,Jobs!$A$5:$A$604,0)),""))</f>
        <v>0</v>
      </c>
      <c r="T757" s="34">
        <f>IF(OR(J757="",K757=""),"",ROUND((K757-J757)*24-IF(L757="",0,L757)/60,2))</f>
        <v>0</v>
      </c>
      <c r="U757" s="34">
        <f>IF(F757="","",IF(M757&lt;&gt;"",M757,IF(T757="",0,T757)))</f>
        <v>0</v>
      </c>
      <c r="V757" s="21">
        <f>IF(F757="","",IFERROR(INDEX(Employees!$U$5:$U$44,MATCH(F757,Employees!$B$5:$B$44,0)),PayRate*(1+EmployerOncost)))</f>
        <v>0</v>
      </c>
      <c r="W757" s="34">
        <f>IF(F757="","",MAX(0,U757-IF(N757="",0,N757)))</f>
        <v>0</v>
      </c>
      <c r="X757" s="21">
        <f>IF(F757="","",ROUND(W757*V757+IF(N757="",0,N757)*V757*OvertimeRate,2))</f>
        <v>0</v>
      </c>
      <c r="Y757" s="21">
        <f>IF(F757="","",IF(P757&lt;&gt;"Yes",0,ROUND(U757*IF(IFERROR(INDEX(Clients!$O$5:$O$204,MATCH(IFERROR(INDEX(Jobs!$G$5:$G$604,MATCH(G757,Jobs!$A$5:$A$604,0)),""),Clients!$A$5:$A$204,0)),0)&gt;0,INDEX(Clients!$O$5:$O$204,MATCH(INDEX(Jobs!$G$5:$G$604,MATCH(G757,Jobs!$A$5:$A$604,0)),Clients!$A$5:$A$204,0)),HourlyRate),2)))</f>
        <v>0</v>
      </c>
      <c r="Z757" s="39">
        <f>IF(F757="","",IF(U757=0,"Add - no hours recorded",IF(O757="Absent - no show","Action - no show",IF(U757&gt;10,"Check - over ten hours in a day",IF(Q757&lt;&gt;"Yes","Due - needs approving",IF(R757&lt;&gt;"Yes","Due - not paid yet","OK"))))))</f>
        <v>0</v>
      </c>
    </row>
    <row r="758" spans="1:26">
      <c r="A758" s="43">
        <f>IF(F758="","","TS-"&amp;TEXT(ROW()-4,"0000"))</f>
        <v>0</v>
      </c>
      <c r="C758" s="23">
        <f>IF(B758="","",TEXT(B758,"ddd"))</f>
        <v>0</v>
      </c>
      <c r="D758" s="31">
        <f>IF(B758="","",WEEKNUM(B758,IF(WeekStart="Sunday",1,2)))</f>
        <v>0</v>
      </c>
      <c r="E758" s="23">
        <f>IF(B758="","",TEXT(B758,"yyyy-mm"))</f>
        <v>0</v>
      </c>
      <c r="H758" s="23">
        <f>IF(G758="","",IFERROR(INDEX(Jobs!$H$5:$H$604,MATCH(G758,Jobs!$A$5:$A$604,0)),""))</f>
        <v>0</v>
      </c>
      <c r="T758" s="34">
        <f>IF(OR(J758="",K758=""),"",ROUND((K758-J758)*24-IF(L758="",0,L758)/60,2))</f>
        <v>0</v>
      </c>
      <c r="U758" s="34">
        <f>IF(F758="","",IF(M758&lt;&gt;"",M758,IF(T758="",0,T758)))</f>
        <v>0</v>
      </c>
      <c r="V758" s="21">
        <f>IF(F758="","",IFERROR(INDEX(Employees!$U$5:$U$44,MATCH(F758,Employees!$B$5:$B$44,0)),PayRate*(1+EmployerOncost)))</f>
        <v>0</v>
      </c>
      <c r="W758" s="34">
        <f>IF(F758="","",MAX(0,U758-IF(N758="",0,N758)))</f>
        <v>0</v>
      </c>
      <c r="X758" s="21">
        <f>IF(F758="","",ROUND(W758*V758+IF(N758="",0,N758)*V758*OvertimeRate,2))</f>
        <v>0</v>
      </c>
      <c r="Y758" s="21">
        <f>IF(F758="","",IF(P758&lt;&gt;"Yes",0,ROUND(U758*IF(IFERROR(INDEX(Clients!$O$5:$O$204,MATCH(IFERROR(INDEX(Jobs!$G$5:$G$604,MATCH(G758,Jobs!$A$5:$A$604,0)),""),Clients!$A$5:$A$204,0)),0)&gt;0,INDEX(Clients!$O$5:$O$204,MATCH(INDEX(Jobs!$G$5:$G$604,MATCH(G758,Jobs!$A$5:$A$604,0)),Clients!$A$5:$A$204,0)),HourlyRate),2)))</f>
        <v>0</v>
      </c>
      <c r="Z758" s="39">
        <f>IF(F758="","",IF(U758=0,"Add - no hours recorded",IF(O758="Absent - no show","Action - no show",IF(U758&gt;10,"Check - over ten hours in a day",IF(Q758&lt;&gt;"Yes","Due - needs approving",IF(R758&lt;&gt;"Yes","Due - not paid yet","OK"))))))</f>
        <v>0</v>
      </c>
    </row>
    <row r="759" spans="1:26">
      <c r="A759" s="43">
        <f>IF(F759="","","TS-"&amp;TEXT(ROW()-4,"0000"))</f>
        <v>0</v>
      </c>
      <c r="C759" s="23">
        <f>IF(B759="","",TEXT(B759,"ddd"))</f>
        <v>0</v>
      </c>
      <c r="D759" s="31">
        <f>IF(B759="","",WEEKNUM(B759,IF(WeekStart="Sunday",1,2)))</f>
        <v>0</v>
      </c>
      <c r="E759" s="23">
        <f>IF(B759="","",TEXT(B759,"yyyy-mm"))</f>
        <v>0</v>
      </c>
      <c r="H759" s="23">
        <f>IF(G759="","",IFERROR(INDEX(Jobs!$H$5:$H$604,MATCH(G759,Jobs!$A$5:$A$604,0)),""))</f>
        <v>0</v>
      </c>
      <c r="T759" s="34">
        <f>IF(OR(J759="",K759=""),"",ROUND((K759-J759)*24-IF(L759="",0,L759)/60,2))</f>
        <v>0</v>
      </c>
      <c r="U759" s="34">
        <f>IF(F759="","",IF(M759&lt;&gt;"",M759,IF(T759="",0,T759)))</f>
        <v>0</v>
      </c>
      <c r="V759" s="21">
        <f>IF(F759="","",IFERROR(INDEX(Employees!$U$5:$U$44,MATCH(F759,Employees!$B$5:$B$44,0)),PayRate*(1+EmployerOncost)))</f>
        <v>0</v>
      </c>
      <c r="W759" s="34">
        <f>IF(F759="","",MAX(0,U759-IF(N759="",0,N759)))</f>
        <v>0</v>
      </c>
      <c r="X759" s="21">
        <f>IF(F759="","",ROUND(W759*V759+IF(N759="",0,N759)*V759*OvertimeRate,2))</f>
        <v>0</v>
      </c>
      <c r="Y759" s="21">
        <f>IF(F759="","",IF(P759&lt;&gt;"Yes",0,ROUND(U759*IF(IFERROR(INDEX(Clients!$O$5:$O$204,MATCH(IFERROR(INDEX(Jobs!$G$5:$G$604,MATCH(G759,Jobs!$A$5:$A$604,0)),""),Clients!$A$5:$A$204,0)),0)&gt;0,INDEX(Clients!$O$5:$O$204,MATCH(INDEX(Jobs!$G$5:$G$604,MATCH(G759,Jobs!$A$5:$A$604,0)),Clients!$A$5:$A$204,0)),HourlyRate),2)))</f>
        <v>0</v>
      </c>
      <c r="Z759" s="39">
        <f>IF(F759="","",IF(U759=0,"Add - no hours recorded",IF(O759="Absent - no show","Action - no show",IF(U759&gt;10,"Check - over ten hours in a day",IF(Q759&lt;&gt;"Yes","Due - needs approving",IF(R759&lt;&gt;"Yes","Due - not paid yet","OK"))))))</f>
        <v>0</v>
      </c>
    </row>
    <row r="760" spans="1:26">
      <c r="A760" s="43">
        <f>IF(F760="","","TS-"&amp;TEXT(ROW()-4,"0000"))</f>
        <v>0</v>
      </c>
      <c r="C760" s="23">
        <f>IF(B760="","",TEXT(B760,"ddd"))</f>
        <v>0</v>
      </c>
      <c r="D760" s="31">
        <f>IF(B760="","",WEEKNUM(B760,IF(WeekStart="Sunday",1,2)))</f>
        <v>0</v>
      </c>
      <c r="E760" s="23">
        <f>IF(B760="","",TEXT(B760,"yyyy-mm"))</f>
        <v>0</v>
      </c>
      <c r="H760" s="23">
        <f>IF(G760="","",IFERROR(INDEX(Jobs!$H$5:$H$604,MATCH(G760,Jobs!$A$5:$A$604,0)),""))</f>
        <v>0</v>
      </c>
      <c r="T760" s="34">
        <f>IF(OR(J760="",K760=""),"",ROUND((K760-J760)*24-IF(L760="",0,L760)/60,2))</f>
        <v>0</v>
      </c>
      <c r="U760" s="34">
        <f>IF(F760="","",IF(M760&lt;&gt;"",M760,IF(T760="",0,T760)))</f>
        <v>0</v>
      </c>
      <c r="V760" s="21">
        <f>IF(F760="","",IFERROR(INDEX(Employees!$U$5:$U$44,MATCH(F760,Employees!$B$5:$B$44,0)),PayRate*(1+EmployerOncost)))</f>
        <v>0</v>
      </c>
      <c r="W760" s="34">
        <f>IF(F760="","",MAX(0,U760-IF(N760="",0,N760)))</f>
        <v>0</v>
      </c>
      <c r="X760" s="21">
        <f>IF(F760="","",ROUND(W760*V760+IF(N760="",0,N760)*V760*OvertimeRate,2))</f>
        <v>0</v>
      </c>
      <c r="Y760" s="21">
        <f>IF(F760="","",IF(P760&lt;&gt;"Yes",0,ROUND(U760*IF(IFERROR(INDEX(Clients!$O$5:$O$204,MATCH(IFERROR(INDEX(Jobs!$G$5:$G$604,MATCH(G760,Jobs!$A$5:$A$604,0)),""),Clients!$A$5:$A$204,0)),0)&gt;0,INDEX(Clients!$O$5:$O$204,MATCH(INDEX(Jobs!$G$5:$G$604,MATCH(G760,Jobs!$A$5:$A$604,0)),Clients!$A$5:$A$204,0)),HourlyRate),2)))</f>
        <v>0</v>
      </c>
      <c r="Z760" s="39">
        <f>IF(F760="","",IF(U760=0,"Add - no hours recorded",IF(O760="Absent - no show","Action - no show",IF(U760&gt;10,"Check - over ten hours in a day",IF(Q760&lt;&gt;"Yes","Due - needs approving",IF(R760&lt;&gt;"Yes","Due - not paid yet","OK"))))))</f>
        <v>0</v>
      </c>
    </row>
    <row r="761" spans="1:26">
      <c r="A761" s="43">
        <f>IF(F761="","","TS-"&amp;TEXT(ROW()-4,"0000"))</f>
        <v>0</v>
      </c>
      <c r="C761" s="23">
        <f>IF(B761="","",TEXT(B761,"ddd"))</f>
        <v>0</v>
      </c>
      <c r="D761" s="31">
        <f>IF(B761="","",WEEKNUM(B761,IF(WeekStart="Sunday",1,2)))</f>
        <v>0</v>
      </c>
      <c r="E761" s="23">
        <f>IF(B761="","",TEXT(B761,"yyyy-mm"))</f>
        <v>0</v>
      </c>
      <c r="H761" s="23">
        <f>IF(G761="","",IFERROR(INDEX(Jobs!$H$5:$H$604,MATCH(G761,Jobs!$A$5:$A$604,0)),""))</f>
        <v>0</v>
      </c>
      <c r="T761" s="34">
        <f>IF(OR(J761="",K761=""),"",ROUND((K761-J761)*24-IF(L761="",0,L761)/60,2))</f>
        <v>0</v>
      </c>
      <c r="U761" s="34">
        <f>IF(F761="","",IF(M761&lt;&gt;"",M761,IF(T761="",0,T761)))</f>
        <v>0</v>
      </c>
      <c r="V761" s="21">
        <f>IF(F761="","",IFERROR(INDEX(Employees!$U$5:$U$44,MATCH(F761,Employees!$B$5:$B$44,0)),PayRate*(1+EmployerOncost)))</f>
        <v>0</v>
      </c>
      <c r="W761" s="34">
        <f>IF(F761="","",MAX(0,U761-IF(N761="",0,N761)))</f>
        <v>0</v>
      </c>
      <c r="X761" s="21">
        <f>IF(F761="","",ROUND(W761*V761+IF(N761="",0,N761)*V761*OvertimeRate,2))</f>
        <v>0</v>
      </c>
      <c r="Y761" s="21">
        <f>IF(F761="","",IF(P761&lt;&gt;"Yes",0,ROUND(U761*IF(IFERROR(INDEX(Clients!$O$5:$O$204,MATCH(IFERROR(INDEX(Jobs!$G$5:$G$604,MATCH(G761,Jobs!$A$5:$A$604,0)),""),Clients!$A$5:$A$204,0)),0)&gt;0,INDEX(Clients!$O$5:$O$204,MATCH(INDEX(Jobs!$G$5:$G$604,MATCH(G761,Jobs!$A$5:$A$604,0)),Clients!$A$5:$A$204,0)),HourlyRate),2)))</f>
        <v>0</v>
      </c>
      <c r="Z761" s="39">
        <f>IF(F761="","",IF(U761=0,"Add - no hours recorded",IF(O761="Absent - no show","Action - no show",IF(U761&gt;10,"Check - over ten hours in a day",IF(Q761&lt;&gt;"Yes","Due - needs approving",IF(R761&lt;&gt;"Yes","Due - not paid yet","OK"))))))</f>
        <v>0</v>
      </c>
    </row>
    <row r="762" spans="1:26">
      <c r="A762" s="43">
        <f>IF(F762="","","TS-"&amp;TEXT(ROW()-4,"0000"))</f>
        <v>0</v>
      </c>
      <c r="C762" s="23">
        <f>IF(B762="","",TEXT(B762,"ddd"))</f>
        <v>0</v>
      </c>
      <c r="D762" s="31">
        <f>IF(B762="","",WEEKNUM(B762,IF(WeekStart="Sunday",1,2)))</f>
        <v>0</v>
      </c>
      <c r="E762" s="23">
        <f>IF(B762="","",TEXT(B762,"yyyy-mm"))</f>
        <v>0</v>
      </c>
      <c r="H762" s="23">
        <f>IF(G762="","",IFERROR(INDEX(Jobs!$H$5:$H$604,MATCH(G762,Jobs!$A$5:$A$604,0)),""))</f>
        <v>0</v>
      </c>
      <c r="T762" s="34">
        <f>IF(OR(J762="",K762=""),"",ROUND((K762-J762)*24-IF(L762="",0,L762)/60,2))</f>
        <v>0</v>
      </c>
      <c r="U762" s="34">
        <f>IF(F762="","",IF(M762&lt;&gt;"",M762,IF(T762="",0,T762)))</f>
        <v>0</v>
      </c>
      <c r="V762" s="21">
        <f>IF(F762="","",IFERROR(INDEX(Employees!$U$5:$U$44,MATCH(F762,Employees!$B$5:$B$44,0)),PayRate*(1+EmployerOncost)))</f>
        <v>0</v>
      </c>
      <c r="W762" s="34">
        <f>IF(F762="","",MAX(0,U762-IF(N762="",0,N762)))</f>
        <v>0</v>
      </c>
      <c r="X762" s="21">
        <f>IF(F762="","",ROUND(W762*V762+IF(N762="",0,N762)*V762*OvertimeRate,2))</f>
        <v>0</v>
      </c>
      <c r="Y762" s="21">
        <f>IF(F762="","",IF(P762&lt;&gt;"Yes",0,ROUND(U762*IF(IFERROR(INDEX(Clients!$O$5:$O$204,MATCH(IFERROR(INDEX(Jobs!$G$5:$G$604,MATCH(G762,Jobs!$A$5:$A$604,0)),""),Clients!$A$5:$A$204,0)),0)&gt;0,INDEX(Clients!$O$5:$O$204,MATCH(INDEX(Jobs!$G$5:$G$604,MATCH(G762,Jobs!$A$5:$A$604,0)),Clients!$A$5:$A$204,0)),HourlyRate),2)))</f>
        <v>0</v>
      </c>
      <c r="Z762" s="39">
        <f>IF(F762="","",IF(U762=0,"Add - no hours recorded",IF(O762="Absent - no show","Action - no show",IF(U762&gt;10,"Check - over ten hours in a day",IF(Q762&lt;&gt;"Yes","Due - needs approving",IF(R762&lt;&gt;"Yes","Due - not paid yet","OK"))))))</f>
        <v>0</v>
      </c>
    </row>
    <row r="763" spans="1:26">
      <c r="A763" s="43">
        <f>IF(F763="","","TS-"&amp;TEXT(ROW()-4,"0000"))</f>
        <v>0</v>
      </c>
      <c r="C763" s="23">
        <f>IF(B763="","",TEXT(B763,"ddd"))</f>
        <v>0</v>
      </c>
      <c r="D763" s="31">
        <f>IF(B763="","",WEEKNUM(B763,IF(WeekStart="Sunday",1,2)))</f>
        <v>0</v>
      </c>
      <c r="E763" s="23">
        <f>IF(B763="","",TEXT(B763,"yyyy-mm"))</f>
        <v>0</v>
      </c>
      <c r="H763" s="23">
        <f>IF(G763="","",IFERROR(INDEX(Jobs!$H$5:$H$604,MATCH(G763,Jobs!$A$5:$A$604,0)),""))</f>
        <v>0</v>
      </c>
      <c r="T763" s="34">
        <f>IF(OR(J763="",K763=""),"",ROUND((K763-J763)*24-IF(L763="",0,L763)/60,2))</f>
        <v>0</v>
      </c>
      <c r="U763" s="34">
        <f>IF(F763="","",IF(M763&lt;&gt;"",M763,IF(T763="",0,T763)))</f>
        <v>0</v>
      </c>
      <c r="V763" s="21">
        <f>IF(F763="","",IFERROR(INDEX(Employees!$U$5:$U$44,MATCH(F763,Employees!$B$5:$B$44,0)),PayRate*(1+EmployerOncost)))</f>
        <v>0</v>
      </c>
      <c r="W763" s="34">
        <f>IF(F763="","",MAX(0,U763-IF(N763="",0,N763)))</f>
        <v>0</v>
      </c>
      <c r="X763" s="21">
        <f>IF(F763="","",ROUND(W763*V763+IF(N763="",0,N763)*V763*OvertimeRate,2))</f>
        <v>0</v>
      </c>
      <c r="Y763" s="21">
        <f>IF(F763="","",IF(P763&lt;&gt;"Yes",0,ROUND(U763*IF(IFERROR(INDEX(Clients!$O$5:$O$204,MATCH(IFERROR(INDEX(Jobs!$G$5:$G$604,MATCH(G763,Jobs!$A$5:$A$604,0)),""),Clients!$A$5:$A$204,0)),0)&gt;0,INDEX(Clients!$O$5:$O$204,MATCH(INDEX(Jobs!$G$5:$G$604,MATCH(G763,Jobs!$A$5:$A$604,0)),Clients!$A$5:$A$204,0)),HourlyRate),2)))</f>
        <v>0</v>
      </c>
      <c r="Z763" s="39">
        <f>IF(F763="","",IF(U763=0,"Add - no hours recorded",IF(O763="Absent - no show","Action - no show",IF(U763&gt;10,"Check - over ten hours in a day",IF(Q763&lt;&gt;"Yes","Due - needs approving",IF(R763&lt;&gt;"Yes","Due - not paid yet","OK"))))))</f>
        <v>0</v>
      </c>
    </row>
    <row r="764" spans="1:26">
      <c r="A764" s="43">
        <f>IF(F764="","","TS-"&amp;TEXT(ROW()-4,"0000"))</f>
        <v>0</v>
      </c>
      <c r="C764" s="23">
        <f>IF(B764="","",TEXT(B764,"ddd"))</f>
        <v>0</v>
      </c>
      <c r="D764" s="31">
        <f>IF(B764="","",WEEKNUM(B764,IF(WeekStart="Sunday",1,2)))</f>
        <v>0</v>
      </c>
      <c r="E764" s="23">
        <f>IF(B764="","",TEXT(B764,"yyyy-mm"))</f>
        <v>0</v>
      </c>
      <c r="H764" s="23">
        <f>IF(G764="","",IFERROR(INDEX(Jobs!$H$5:$H$604,MATCH(G764,Jobs!$A$5:$A$604,0)),""))</f>
        <v>0</v>
      </c>
      <c r="T764" s="34">
        <f>IF(OR(J764="",K764=""),"",ROUND((K764-J764)*24-IF(L764="",0,L764)/60,2))</f>
        <v>0</v>
      </c>
      <c r="U764" s="34">
        <f>IF(F764="","",IF(M764&lt;&gt;"",M764,IF(T764="",0,T764)))</f>
        <v>0</v>
      </c>
      <c r="V764" s="21">
        <f>IF(F764="","",IFERROR(INDEX(Employees!$U$5:$U$44,MATCH(F764,Employees!$B$5:$B$44,0)),PayRate*(1+EmployerOncost)))</f>
        <v>0</v>
      </c>
      <c r="W764" s="34">
        <f>IF(F764="","",MAX(0,U764-IF(N764="",0,N764)))</f>
        <v>0</v>
      </c>
      <c r="X764" s="21">
        <f>IF(F764="","",ROUND(W764*V764+IF(N764="",0,N764)*V764*OvertimeRate,2))</f>
        <v>0</v>
      </c>
      <c r="Y764" s="21">
        <f>IF(F764="","",IF(P764&lt;&gt;"Yes",0,ROUND(U764*IF(IFERROR(INDEX(Clients!$O$5:$O$204,MATCH(IFERROR(INDEX(Jobs!$G$5:$G$604,MATCH(G764,Jobs!$A$5:$A$604,0)),""),Clients!$A$5:$A$204,0)),0)&gt;0,INDEX(Clients!$O$5:$O$204,MATCH(INDEX(Jobs!$G$5:$G$604,MATCH(G764,Jobs!$A$5:$A$604,0)),Clients!$A$5:$A$204,0)),HourlyRate),2)))</f>
        <v>0</v>
      </c>
      <c r="Z764" s="39">
        <f>IF(F764="","",IF(U764=0,"Add - no hours recorded",IF(O764="Absent - no show","Action - no show",IF(U764&gt;10,"Check - over ten hours in a day",IF(Q764&lt;&gt;"Yes","Due - needs approving",IF(R764&lt;&gt;"Yes","Due - not paid yet","OK"))))))</f>
        <v>0</v>
      </c>
    </row>
    <row r="765" spans="1:26">
      <c r="A765" s="43">
        <f>IF(F765="","","TS-"&amp;TEXT(ROW()-4,"0000"))</f>
        <v>0</v>
      </c>
      <c r="C765" s="23">
        <f>IF(B765="","",TEXT(B765,"ddd"))</f>
        <v>0</v>
      </c>
      <c r="D765" s="31">
        <f>IF(B765="","",WEEKNUM(B765,IF(WeekStart="Sunday",1,2)))</f>
        <v>0</v>
      </c>
      <c r="E765" s="23">
        <f>IF(B765="","",TEXT(B765,"yyyy-mm"))</f>
        <v>0</v>
      </c>
      <c r="H765" s="23">
        <f>IF(G765="","",IFERROR(INDEX(Jobs!$H$5:$H$604,MATCH(G765,Jobs!$A$5:$A$604,0)),""))</f>
        <v>0</v>
      </c>
      <c r="T765" s="34">
        <f>IF(OR(J765="",K765=""),"",ROUND((K765-J765)*24-IF(L765="",0,L765)/60,2))</f>
        <v>0</v>
      </c>
      <c r="U765" s="34">
        <f>IF(F765="","",IF(M765&lt;&gt;"",M765,IF(T765="",0,T765)))</f>
        <v>0</v>
      </c>
      <c r="V765" s="21">
        <f>IF(F765="","",IFERROR(INDEX(Employees!$U$5:$U$44,MATCH(F765,Employees!$B$5:$B$44,0)),PayRate*(1+EmployerOncost)))</f>
        <v>0</v>
      </c>
      <c r="W765" s="34">
        <f>IF(F765="","",MAX(0,U765-IF(N765="",0,N765)))</f>
        <v>0</v>
      </c>
      <c r="X765" s="21">
        <f>IF(F765="","",ROUND(W765*V765+IF(N765="",0,N765)*V765*OvertimeRate,2))</f>
        <v>0</v>
      </c>
      <c r="Y765" s="21">
        <f>IF(F765="","",IF(P765&lt;&gt;"Yes",0,ROUND(U765*IF(IFERROR(INDEX(Clients!$O$5:$O$204,MATCH(IFERROR(INDEX(Jobs!$G$5:$G$604,MATCH(G765,Jobs!$A$5:$A$604,0)),""),Clients!$A$5:$A$204,0)),0)&gt;0,INDEX(Clients!$O$5:$O$204,MATCH(INDEX(Jobs!$G$5:$G$604,MATCH(G765,Jobs!$A$5:$A$604,0)),Clients!$A$5:$A$204,0)),HourlyRate),2)))</f>
        <v>0</v>
      </c>
      <c r="Z765" s="39">
        <f>IF(F765="","",IF(U765=0,"Add - no hours recorded",IF(O765="Absent - no show","Action - no show",IF(U765&gt;10,"Check - over ten hours in a day",IF(Q765&lt;&gt;"Yes","Due - needs approving",IF(R765&lt;&gt;"Yes","Due - not paid yet","OK"))))))</f>
        <v>0</v>
      </c>
    </row>
    <row r="766" spans="1:26">
      <c r="A766" s="43">
        <f>IF(F766="","","TS-"&amp;TEXT(ROW()-4,"0000"))</f>
        <v>0</v>
      </c>
      <c r="C766" s="23">
        <f>IF(B766="","",TEXT(B766,"ddd"))</f>
        <v>0</v>
      </c>
      <c r="D766" s="31">
        <f>IF(B766="","",WEEKNUM(B766,IF(WeekStart="Sunday",1,2)))</f>
        <v>0</v>
      </c>
      <c r="E766" s="23">
        <f>IF(B766="","",TEXT(B766,"yyyy-mm"))</f>
        <v>0</v>
      </c>
      <c r="H766" s="23">
        <f>IF(G766="","",IFERROR(INDEX(Jobs!$H$5:$H$604,MATCH(G766,Jobs!$A$5:$A$604,0)),""))</f>
        <v>0</v>
      </c>
      <c r="T766" s="34">
        <f>IF(OR(J766="",K766=""),"",ROUND((K766-J766)*24-IF(L766="",0,L766)/60,2))</f>
        <v>0</v>
      </c>
      <c r="U766" s="34">
        <f>IF(F766="","",IF(M766&lt;&gt;"",M766,IF(T766="",0,T766)))</f>
        <v>0</v>
      </c>
      <c r="V766" s="21">
        <f>IF(F766="","",IFERROR(INDEX(Employees!$U$5:$U$44,MATCH(F766,Employees!$B$5:$B$44,0)),PayRate*(1+EmployerOncost)))</f>
        <v>0</v>
      </c>
      <c r="W766" s="34">
        <f>IF(F766="","",MAX(0,U766-IF(N766="",0,N766)))</f>
        <v>0</v>
      </c>
      <c r="X766" s="21">
        <f>IF(F766="","",ROUND(W766*V766+IF(N766="",0,N766)*V766*OvertimeRate,2))</f>
        <v>0</v>
      </c>
      <c r="Y766" s="21">
        <f>IF(F766="","",IF(P766&lt;&gt;"Yes",0,ROUND(U766*IF(IFERROR(INDEX(Clients!$O$5:$O$204,MATCH(IFERROR(INDEX(Jobs!$G$5:$G$604,MATCH(G766,Jobs!$A$5:$A$604,0)),""),Clients!$A$5:$A$204,0)),0)&gt;0,INDEX(Clients!$O$5:$O$204,MATCH(INDEX(Jobs!$G$5:$G$604,MATCH(G766,Jobs!$A$5:$A$604,0)),Clients!$A$5:$A$204,0)),HourlyRate),2)))</f>
        <v>0</v>
      </c>
      <c r="Z766" s="39">
        <f>IF(F766="","",IF(U766=0,"Add - no hours recorded",IF(O766="Absent - no show","Action - no show",IF(U766&gt;10,"Check - over ten hours in a day",IF(Q766&lt;&gt;"Yes","Due - needs approving",IF(R766&lt;&gt;"Yes","Due - not paid yet","OK"))))))</f>
        <v>0</v>
      </c>
    </row>
    <row r="767" spans="1:26">
      <c r="A767" s="43">
        <f>IF(F767="","","TS-"&amp;TEXT(ROW()-4,"0000"))</f>
        <v>0</v>
      </c>
      <c r="C767" s="23">
        <f>IF(B767="","",TEXT(B767,"ddd"))</f>
        <v>0</v>
      </c>
      <c r="D767" s="31">
        <f>IF(B767="","",WEEKNUM(B767,IF(WeekStart="Sunday",1,2)))</f>
        <v>0</v>
      </c>
      <c r="E767" s="23">
        <f>IF(B767="","",TEXT(B767,"yyyy-mm"))</f>
        <v>0</v>
      </c>
      <c r="H767" s="23">
        <f>IF(G767="","",IFERROR(INDEX(Jobs!$H$5:$H$604,MATCH(G767,Jobs!$A$5:$A$604,0)),""))</f>
        <v>0</v>
      </c>
      <c r="T767" s="34">
        <f>IF(OR(J767="",K767=""),"",ROUND((K767-J767)*24-IF(L767="",0,L767)/60,2))</f>
        <v>0</v>
      </c>
      <c r="U767" s="34">
        <f>IF(F767="","",IF(M767&lt;&gt;"",M767,IF(T767="",0,T767)))</f>
        <v>0</v>
      </c>
      <c r="V767" s="21">
        <f>IF(F767="","",IFERROR(INDEX(Employees!$U$5:$U$44,MATCH(F767,Employees!$B$5:$B$44,0)),PayRate*(1+EmployerOncost)))</f>
        <v>0</v>
      </c>
      <c r="W767" s="34">
        <f>IF(F767="","",MAX(0,U767-IF(N767="",0,N767)))</f>
        <v>0</v>
      </c>
      <c r="X767" s="21">
        <f>IF(F767="","",ROUND(W767*V767+IF(N767="",0,N767)*V767*OvertimeRate,2))</f>
        <v>0</v>
      </c>
      <c r="Y767" s="21">
        <f>IF(F767="","",IF(P767&lt;&gt;"Yes",0,ROUND(U767*IF(IFERROR(INDEX(Clients!$O$5:$O$204,MATCH(IFERROR(INDEX(Jobs!$G$5:$G$604,MATCH(G767,Jobs!$A$5:$A$604,0)),""),Clients!$A$5:$A$204,0)),0)&gt;0,INDEX(Clients!$O$5:$O$204,MATCH(INDEX(Jobs!$G$5:$G$604,MATCH(G767,Jobs!$A$5:$A$604,0)),Clients!$A$5:$A$204,0)),HourlyRate),2)))</f>
        <v>0</v>
      </c>
      <c r="Z767" s="39">
        <f>IF(F767="","",IF(U767=0,"Add - no hours recorded",IF(O767="Absent - no show","Action - no show",IF(U767&gt;10,"Check - over ten hours in a day",IF(Q767&lt;&gt;"Yes","Due - needs approving",IF(R767&lt;&gt;"Yes","Due - not paid yet","OK"))))))</f>
        <v>0</v>
      </c>
    </row>
    <row r="768" spans="1:26">
      <c r="A768" s="43">
        <f>IF(F768="","","TS-"&amp;TEXT(ROW()-4,"0000"))</f>
        <v>0</v>
      </c>
      <c r="C768" s="23">
        <f>IF(B768="","",TEXT(B768,"ddd"))</f>
        <v>0</v>
      </c>
      <c r="D768" s="31">
        <f>IF(B768="","",WEEKNUM(B768,IF(WeekStart="Sunday",1,2)))</f>
        <v>0</v>
      </c>
      <c r="E768" s="23">
        <f>IF(B768="","",TEXT(B768,"yyyy-mm"))</f>
        <v>0</v>
      </c>
      <c r="H768" s="23">
        <f>IF(G768="","",IFERROR(INDEX(Jobs!$H$5:$H$604,MATCH(G768,Jobs!$A$5:$A$604,0)),""))</f>
        <v>0</v>
      </c>
      <c r="T768" s="34">
        <f>IF(OR(J768="",K768=""),"",ROUND((K768-J768)*24-IF(L768="",0,L768)/60,2))</f>
        <v>0</v>
      </c>
      <c r="U768" s="34">
        <f>IF(F768="","",IF(M768&lt;&gt;"",M768,IF(T768="",0,T768)))</f>
        <v>0</v>
      </c>
      <c r="V768" s="21">
        <f>IF(F768="","",IFERROR(INDEX(Employees!$U$5:$U$44,MATCH(F768,Employees!$B$5:$B$44,0)),PayRate*(1+EmployerOncost)))</f>
        <v>0</v>
      </c>
      <c r="W768" s="34">
        <f>IF(F768="","",MAX(0,U768-IF(N768="",0,N768)))</f>
        <v>0</v>
      </c>
      <c r="X768" s="21">
        <f>IF(F768="","",ROUND(W768*V768+IF(N768="",0,N768)*V768*OvertimeRate,2))</f>
        <v>0</v>
      </c>
      <c r="Y768" s="21">
        <f>IF(F768="","",IF(P768&lt;&gt;"Yes",0,ROUND(U768*IF(IFERROR(INDEX(Clients!$O$5:$O$204,MATCH(IFERROR(INDEX(Jobs!$G$5:$G$604,MATCH(G768,Jobs!$A$5:$A$604,0)),""),Clients!$A$5:$A$204,0)),0)&gt;0,INDEX(Clients!$O$5:$O$204,MATCH(INDEX(Jobs!$G$5:$G$604,MATCH(G768,Jobs!$A$5:$A$604,0)),Clients!$A$5:$A$204,0)),HourlyRate),2)))</f>
        <v>0</v>
      </c>
      <c r="Z768" s="39">
        <f>IF(F768="","",IF(U768=0,"Add - no hours recorded",IF(O768="Absent - no show","Action - no show",IF(U768&gt;10,"Check - over ten hours in a day",IF(Q768&lt;&gt;"Yes","Due - needs approving",IF(R768&lt;&gt;"Yes","Due - not paid yet","OK"))))))</f>
        <v>0</v>
      </c>
    </row>
    <row r="769" spans="1:26">
      <c r="A769" s="43">
        <f>IF(F769="","","TS-"&amp;TEXT(ROW()-4,"0000"))</f>
        <v>0</v>
      </c>
      <c r="C769" s="23">
        <f>IF(B769="","",TEXT(B769,"ddd"))</f>
        <v>0</v>
      </c>
      <c r="D769" s="31">
        <f>IF(B769="","",WEEKNUM(B769,IF(WeekStart="Sunday",1,2)))</f>
        <v>0</v>
      </c>
      <c r="E769" s="23">
        <f>IF(B769="","",TEXT(B769,"yyyy-mm"))</f>
        <v>0</v>
      </c>
      <c r="H769" s="23">
        <f>IF(G769="","",IFERROR(INDEX(Jobs!$H$5:$H$604,MATCH(G769,Jobs!$A$5:$A$604,0)),""))</f>
        <v>0</v>
      </c>
      <c r="T769" s="34">
        <f>IF(OR(J769="",K769=""),"",ROUND((K769-J769)*24-IF(L769="",0,L769)/60,2))</f>
        <v>0</v>
      </c>
      <c r="U769" s="34">
        <f>IF(F769="","",IF(M769&lt;&gt;"",M769,IF(T769="",0,T769)))</f>
        <v>0</v>
      </c>
      <c r="V769" s="21">
        <f>IF(F769="","",IFERROR(INDEX(Employees!$U$5:$U$44,MATCH(F769,Employees!$B$5:$B$44,0)),PayRate*(1+EmployerOncost)))</f>
        <v>0</v>
      </c>
      <c r="W769" s="34">
        <f>IF(F769="","",MAX(0,U769-IF(N769="",0,N769)))</f>
        <v>0</v>
      </c>
      <c r="X769" s="21">
        <f>IF(F769="","",ROUND(W769*V769+IF(N769="",0,N769)*V769*OvertimeRate,2))</f>
        <v>0</v>
      </c>
      <c r="Y769" s="21">
        <f>IF(F769="","",IF(P769&lt;&gt;"Yes",0,ROUND(U769*IF(IFERROR(INDEX(Clients!$O$5:$O$204,MATCH(IFERROR(INDEX(Jobs!$G$5:$G$604,MATCH(G769,Jobs!$A$5:$A$604,0)),""),Clients!$A$5:$A$204,0)),0)&gt;0,INDEX(Clients!$O$5:$O$204,MATCH(INDEX(Jobs!$G$5:$G$604,MATCH(G769,Jobs!$A$5:$A$604,0)),Clients!$A$5:$A$204,0)),HourlyRate),2)))</f>
        <v>0</v>
      </c>
      <c r="Z769" s="39">
        <f>IF(F769="","",IF(U769=0,"Add - no hours recorded",IF(O769="Absent - no show","Action - no show",IF(U769&gt;10,"Check - over ten hours in a day",IF(Q769&lt;&gt;"Yes","Due - needs approving",IF(R769&lt;&gt;"Yes","Due - not paid yet","OK"))))))</f>
        <v>0</v>
      </c>
    </row>
    <row r="770" spans="1:26">
      <c r="A770" s="43">
        <f>IF(F770="","","TS-"&amp;TEXT(ROW()-4,"0000"))</f>
        <v>0</v>
      </c>
      <c r="C770" s="23">
        <f>IF(B770="","",TEXT(B770,"ddd"))</f>
        <v>0</v>
      </c>
      <c r="D770" s="31">
        <f>IF(B770="","",WEEKNUM(B770,IF(WeekStart="Sunday",1,2)))</f>
        <v>0</v>
      </c>
      <c r="E770" s="23">
        <f>IF(B770="","",TEXT(B770,"yyyy-mm"))</f>
        <v>0</v>
      </c>
      <c r="H770" s="23">
        <f>IF(G770="","",IFERROR(INDEX(Jobs!$H$5:$H$604,MATCH(G770,Jobs!$A$5:$A$604,0)),""))</f>
        <v>0</v>
      </c>
      <c r="T770" s="34">
        <f>IF(OR(J770="",K770=""),"",ROUND((K770-J770)*24-IF(L770="",0,L770)/60,2))</f>
        <v>0</v>
      </c>
      <c r="U770" s="34">
        <f>IF(F770="","",IF(M770&lt;&gt;"",M770,IF(T770="",0,T770)))</f>
        <v>0</v>
      </c>
      <c r="V770" s="21">
        <f>IF(F770="","",IFERROR(INDEX(Employees!$U$5:$U$44,MATCH(F770,Employees!$B$5:$B$44,0)),PayRate*(1+EmployerOncost)))</f>
        <v>0</v>
      </c>
      <c r="W770" s="34">
        <f>IF(F770="","",MAX(0,U770-IF(N770="",0,N770)))</f>
        <v>0</v>
      </c>
      <c r="X770" s="21">
        <f>IF(F770="","",ROUND(W770*V770+IF(N770="",0,N770)*V770*OvertimeRate,2))</f>
        <v>0</v>
      </c>
      <c r="Y770" s="21">
        <f>IF(F770="","",IF(P770&lt;&gt;"Yes",0,ROUND(U770*IF(IFERROR(INDEX(Clients!$O$5:$O$204,MATCH(IFERROR(INDEX(Jobs!$G$5:$G$604,MATCH(G770,Jobs!$A$5:$A$604,0)),""),Clients!$A$5:$A$204,0)),0)&gt;0,INDEX(Clients!$O$5:$O$204,MATCH(INDEX(Jobs!$G$5:$G$604,MATCH(G770,Jobs!$A$5:$A$604,0)),Clients!$A$5:$A$204,0)),HourlyRate),2)))</f>
        <v>0</v>
      </c>
      <c r="Z770" s="39">
        <f>IF(F770="","",IF(U770=0,"Add - no hours recorded",IF(O770="Absent - no show","Action - no show",IF(U770&gt;10,"Check - over ten hours in a day",IF(Q770&lt;&gt;"Yes","Due - needs approving",IF(R770&lt;&gt;"Yes","Due - not paid yet","OK"))))))</f>
        <v>0</v>
      </c>
    </row>
    <row r="771" spans="1:26">
      <c r="A771" s="43">
        <f>IF(F771="","","TS-"&amp;TEXT(ROW()-4,"0000"))</f>
        <v>0</v>
      </c>
      <c r="C771" s="23">
        <f>IF(B771="","",TEXT(B771,"ddd"))</f>
        <v>0</v>
      </c>
      <c r="D771" s="31">
        <f>IF(B771="","",WEEKNUM(B771,IF(WeekStart="Sunday",1,2)))</f>
        <v>0</v>
      </c>
      <c r="E771" s="23">
        <f>IF(B771="","",TEXT(B771,"yyyy-mm"))</f>
        <v>0</v>
      </c>
      <c r="H771" s="23">
        <f>IF(G771="","",IFERROR(INDEX(Jobs!$H$5:$H$604,MATCH(G771,Jobs!$A$5:$A$604,0)),""))</f>
        <v>0</v>
      </c>
      <c r="T771" s="34">
        <f>IF(OR(J771="",K771=""),"",ROUND((K771-J771)*24-IF(L771="",0,L771)/60,2))</f>
        <v>0</v>
      </c>
      <c r="U771" s="34">
        <f>IF(F771="","",IF(M771&lt;&gt;"",M771,IF(T771="",0,T771)))</f>
        <v>0</v>
      </c>
      <c r="V771" s="21">
        <f>IF(F771="","",IFERROR(INDEX(Employees!$U$5:$U$44,MATCH(F771,Employees!$B$5:$B$44,0)),PayRate*(1+EmployerOncost)))</f>
        <v>0</v>
      </c>
      <c r="W771" s="34">
        <f>IF(F771="","",MAX(0,U771-IF(N771="",0,N771)))</f>
        <v>0</v>
      </c>
      <c r="X771" s="21">
        <f>IF(F771="","",ROUND(W771*V771+IF(N771="",0,N771)*V771*OvertimeRate,2))</f>
        <v>0</v>
      </c>
      <c r="Y771" s="21">
        <f>IF(F771="","",IF(P771&lt;&gt;"Yes",0,ROUND(U771*IF(IFERROR(INDEX(Clients!$O$5:$O$204,MATCH(IFERROR(INDEX(Jobs!$G$5:$G$604,MATCH(G771,Jobs!$A$5:$A$604,0)),""),Clients!$A$5:$A$204,0)),0)&gt;0,INDEX(Clients!$O$5:$O$204,MATCH(INDEX(Jobs!$G$5:$G$604,MATCH(G771,Jobs!$A$5:$A$604,0)),Clients!$A$5:$A$204,0)),HourlyRate),2)))</f>
        <v>0</v>
      </c>
      <c r="Z771" s="39">
        <f>IF(F771="","",IF(U771=0,"Add - no hours recorded",IF(O771="Absent - no show","Action - no show",IF(U771&gt;10,"Check - over ten hours in a day",IF(Q771&lt;&gt;"Yes","Due - needs approving",IF(R771&lt;&gt;"Yes","Due - not paid yet","OK"))))))</f>
        <v>0</v>
      </c>
    </row>
    <row r="772" spans="1:26">
      <c r="A772" s="43">
        <f>IF(F772="","","TS-"&amp;TEXT(ROW()-4,"0000"))</f>
        <v>0</v>
      </c>
      <c r="C772" s="23">
        <f>IF(B772="","",TEXT(B772,"ddd"))</f>
        <v>0</v>
      </c>
      <c r="D772" s="31">
        <f>IF(B772="","",WEEKNUM(B772,IF(WeekStart="Sunday",1,2)))</f>
        <v>0</v>
      </c>
      <c r="E772" s="23">
        <f>IF(B772="","",TEXT(B772,"yyyy-mm"))</f>
        <v>0</v>
      </c>
      <c r="H772" s="23">
        <f>IF(G772="","",IFERROR(INDEX(Jobs!$H$5:$H$604,MATCH(G772,Jobs!$A$5:$A$604,0)),""))</f>
        <v>0</v>
      </c>
      <c r="T772" s="34">
        <f>IF(OR(J772="",K772=""),"",ROUND((K772-J772)*24-IF(L772="",0,L772)/60,2))</f>
        <v>0</v>
      </c>
      <c r="U772" s="34">
        <f>IF(F772="","",IF(M772&lt;&gt;"",M772,IF(T772="",0,T772)))</f>
        <v>0</v>
      </c>
      <c r="V772" s="21">
        <f>IF(F772="","",IFERROR(INDEX(Employees!$U$5:$U$44,MATCH(F772,Employees!$B$5:$B$44,0)),PayRate*(1+EmployerOncost)))</f>
        <v>0</v>
      </c>
      <c r="W772" s="34">
        <f>IF(F772="","",MAX(0,U772-IF(N772="",0,N772)))</f>
        <v>0</v>
      </c>
      <c r="X772" s="21">
        <f>IF(F772="","",ROUND(W772*V772+IF(N772="",0,N772)*V772*OvertimeRate,2))</f>
        <v>0</v>
      </c>
      <c r="Y772" s="21">
        <f>IF(F772="","",IF(P772&lt;&gt;"Yes",0,ROUND(U772*IF(IFERROR(INDEX(Clients!$O$5:$O$204,MATCH(IFERROR(INDEX(Jobs!$G$5:$G$604,MATCH(G772,Jobs!$A$5:$A$604,0)),""),Clients!$A$5:$A$204,0)),0)&gt;0,INDEX(Clients!$O$5:$O$204,MATCH(INDEX(Jobs!$G$5:$G$604,MATCH(G772,Jobs!$A$5:$A$604,0)),Clients!$A$5:$A$204,0)),HourlyRate),2)))</f>
        <v>0</v>
      </c>
      <c r="Z772" s="39">
        <f>IF(F772="","",IF(U772=0,"Add - no hours recorded",IF(O772="Absent - no show","Action - no show",IF(U772&gt;10,"Check - over ten hours in a day",IF(Q772&lt;&gt;"Yes","Due - needs approving",IF(R772&lt;&gt;"Yes","Due - not paid yet","OK"))))))</f>
        <v>0</v>
      </c>
    </row>
    <row r="773" spans="1:26">
      <c r="A773" s="43">
        <f>IF(F773="","","TS-"&amp;TEXT(ROW()-4,"0000"))</f>
        <v>0</v>
      </c>
      <c r="C773" s="23">
        <f>IF(B773="","",TEXT(B773,"ddd"))</f>
        <v>0</v>
      </c>
      <c r="D773" s="31">
        <f>IF(B773="","",WEEKNUM(B773,IF(WeekStart="Sunday",1,2)))</f>
        <v>0</v>
      </c>
      <c r="E773" s="23">
        <f>IF(B773="","",TEXT(B773,"yyyy-mm"))</f>
        <v>0</v>
      </c>
      <c r="H773" s="23">
        <f>IF(G773="","",IFERROR(INDEX(Jobs!$H$5:$H$604,MATCH(G773,Jobs!$A$5:$A$604,0)),""))</f>
        <v>0</v>
      </c>
      <c r="T773" s="34">
        <f>IF(OR(J773="",K773=""),"",ROUND((K773-J773)*24-IF(L773="",0,L773)/60,2))</f>
        <v>0</v>
      </c>
      <c r="U773" s="34">
        <f>IF(F773="","",IF(M773&lt;&gt;"",M773,IF(T773="",0,T773)))</f>
        <v>0</v>
      </c>
      <c r="V773" s="21">
        <f>IF(F773="","",IFERROR(INDEX(Employees!$U$5:$U$44,MATCH(F773,Employees!$B$5:$B$44,0)),PayRate*(1+EmployerOncost)))</f>
        <v>0</v>
      </c>
      <c r="W773" s="34">
        <f>IF(F773="","",MAX(0,U773-IF(N773="",0,N773)))</f>
        <v>0</v>
      </c>
      <c r="X773" s="21">
        <f>IF(F773="","",ROUND(W773*V773+IF(N773="",0,N773)*V773*OvertimeRate,2))</f>
        <v>0</v>
      </c>
      <c r="Y773" s="21">
        <f>IF(F773="","",IF(P773&lt;&gt;"Yes",0,ROUND(U773*IF(IFERROR(INDEX(Clients!$O$5:$O$204,MATCH(IFERROR(INDEX(Jobs!$G$5:$G$604,MATCH(G773,Jobs!$A$5:$A$604,0)),""),Clients!$A$5:$A$204,0)),0)&gt;0,INDEX(Clients!$O$5:$O$204,MATCH(INDEX(Jobs!$G$5:$G$604,MATCH(G773,Jobs!$A$5:$A$604,0)),Clients!$A$5:$A$204,0)),HourlyRate),2)))</f>
        <v>0</v>
      </c>
      <c r="Z773" s="39">
        <f>IF(F773="","",IF(U773=0,"Add - no hours recorded",IF(O773="Absent - no show","Action - no show",IF(U773&gt;10,"Check - over ten hours in a day",IF(Q773&lt;&gt;"Yes","Due - needs approving",IF(R773&lt;&gt;"Yes","Due - not paid yet","OK"))))))</f>
        <v>0</v>
      </c>
    </row>
    <row r="774" spans="1:26">
      <c r="A774" s="43">
        <f>IF(F774="","","TS-"&amp;TEXT(ROW()-4,"0000"))</f>
        <v>0</v>
      </c>
      <c r="C774" s="23">
        <f>IF(B774="","",TEXT(B774,"ddd"))</f>
        <v>0</v>
      </c>
      <c r="D774" s="31">
        <f>IF(B774="","",WEEKNUM(B774,IF(WeekStart="Sunday",1,2)))</f>
        <v>0</v>
      </c>
      <c r="E774" s="23">
        <f>IF(B774="","",TEXT(B774,"yyyy-mm"))</f>
        <v>0</v>
      </c>
      <c r="H774" s="23">
        <f>IF(G774="","",IFERROR(INDEX(Jobs!$H$5:$H$604,MATCH(G774,Jobs!$A$5:$A$604,0)),""))</f>
        <v>0</v>
      </c>
      <c r="T774" s="34">
        <f>IF(OR(J774="",K774=""),"",ROUND((K774-J774)*24-IF(L774="",0,L774)/60,2))</f>
        <v>0</v>
      </c>
      <c r="U774" s="34">
        <f>IF(F774="","",IF(M774&lt;&gt;"",M774,IF(T774="",0,T774)))</f>
        <v>0</v>
      </c>
      <c r="V774" s="21">
        <f>IF(F774="","",IFERROR(INDEX(Employees!$U$5:$U$44,MATCH(F774,Employees!$B$5:$B$44,0)),PayRate*(1+EmployerOncost)))</f>
        <v>0</v>
      </c>
      <c r="W774" s="34">
        <f>IF(F774="","",MAX(0,U774-IF(N774="",0,N774)))</f>
        <v>0</v>
      </c>
      <c r="X774" s="21">
        <f>IF(F774="","",ROUND(W774*V774+IF(N774="",0,N774)*V774*OvertimeRate,2))</f>
        <v>0</v>
      </c>
      <c r="Y774" s="21">
        <f>IF(F774="","",IF(P774&lt;&gt;"Yes",0,ROUND(U774*IF(IFERROR(INDEX(Clients!$O$5:$O$204,MATCH(IFERROR(INDEX(Jobs!$G$5:$G$604,MATCH(G774,Jobs!$A$5:$A$604,0)),""),Clients!$A$5:$A$204,0)),0)&gt;0,INDEX(Clients!$O$5:$O$204,MATCH(INDEX(Jobs!$G$5:$G$604,MATCH(G774,Jobs!$A$5:$A$604,0)),Clients!$A$5:$A$204,0)),HourlyRate),2)))</f>
        <v>0</v>
      </c>
      <c r="Z774" s="39">
        <f>IF(F774="","",IF(U774=0,"Add - no hours recorded",IF(O774="Absent - no show","Action - no show",IF(U774&gt;10,"Check - over ten hours in a day",IF(Q774&lt;&gt;"Yes","Due - needs approving",IF(R774&lt;&gt;"Yes","Due - not paid yet","OK"))))))</f>
        <v>0</v>
      </c>
    </row>
    <row r="775" spans="1:26">
      <c r="A775" s="43">
        <f>IF(F775="","","TS-"&amp;TEXT(ROW()-4,"0000"))</f>
        <v>0</v>
      </c>
      <c r="C775" s="23">
        <f>IF(B775="","",TEXT(B775,"ddd"))</f>
        <v>0</v>
      </c>
      <c r="D775" s="31">
        <f>IF(B775="","",WEEKNUM(B775,IF(WeekStart="Sunday",1,2)))</f>
        <v>0</v>
      </c>
      <c r="E775" s="23">
        <f>IF(B775="","",TEXT(B775,"yyyy-mm"))</f>
        <v>0</v>
      </c>
      <c r="H775" s="23">
        <f>IF(G775="","",IFERROR(INDEX(Jobs!$H$5:$H$604,MATCH(G775,Jobs!$A$5:$A$604,0)),""))</f>
        <v>0</v>
      </c>
      <c r="T775" s="34">
        <f>IF(OR(J775="",K775=""),"",ROUND((K775-J775)*24-IF(L775="",0,L775)/60,2))</f>
        <v>0</v>
      </c>
      <c r="U775" s="34">
        <f>IF(F775="","",IF(M775&lt;&gt;"",M775,IF(T775="",0,T775)))</f>
        <v>0</v>
      </c>
      <c r="V775" s="21">
        <f>IF(F775="","",IFERROR(INDEX(Employees!$U$5:$U$44,MATCH(F775,Employees!$B$5:$B$44,0)),PayRate*(1+EmployerOncost)))</f>
        <v>0</v>
      </c>
      <c r="W775" s="34">
        <f>IF(F775="","",MAX(0,U775-IF(N775="",0,N775)))</f>
        <v>0</v>
      </c>
      <c r="X775" s="21">
        <f>IF(F775="","",ROUND(W775*V775+IF(N775="",0,N775)*V775*OvertimeRate,2))</f>
        <v>0</v>
      </c>
      <c r="Y775" s="21">
        <f>IF(F775="","",IF(P775&lt;&gt;"Yes",0,ROUND(U775*IF(IFERROR(INDEX(Clients!$O$5:$O$204,MATCH(IFERROR(INDEX(Jobs!$G$5:$G$604,MATCH(G775,Jobs!$A$5:$A$604,0)),""),Clients!$A$5:$A$204,0)),0)&gt;0,INDEX(Clients!$O$5:$O$204,MATCH(INDEX(Jobs!$G$5:$G$604,MATCH(G775,Jobs!$A$5:$A$604,0)),Clients!$A$5:$A$204,0)),HourlyRate),2)))</f>
        <v>0</v>
      </c>
      <c r="Z775" s="39">
        <f>IF(F775="","",IF(U775=0,"Add - no hours recorded",IF(O775="Absent - no show","Action - no show",IF(U775&gt;10,"Check - over ten hours in a day",IF(Q775&lt;&gt;"Yes","Due - needs approving",IF(R775&lt;&gt;"Yes","Due - not paid yet","OK"))))))</f>
        <v>0</v>
      </c>
    </row>
    <row r="776" spans="1:26">
      <c r="A776" s="43">
        <f>IF(F776="","","TS-"&amp;TEXT(ROW()-4,"0000"))</f>
        <v>0</v>
      </c>
      <c r="C776" s="23">
        <f>IF(B776="","",TEXT(B776,"ddd"))</f>
        <v>0</v>
      </c>
      <c r="D776" s="31">
        <f>IF(B776="","",WEEKNUM(B776,IF(WeekStart="Sunday",1,2)))</f>
        <v>0</v>
      </c>
      <c r="E776" s="23">
        <f>IF(B776="","",TEXT(B776,"yyyy-mm"))</f>
        <v>0</v>
      </c>
      <c r="H776" s="23">
        <f>IF(G776="","",IFERROR(INDEX(Jobs!$H$5:$H$604,MATCH(G776,Jobs!$A$5:$A$604,0)),""))</f>
        <v>0</v>
      </c>
      <c r="T776" s="34">
        <f>IF(OR(J776="",K776=""),"",ROUND((K776-J776)*24-IF(L776="",0,L776)/60,2))</f>
        <v>0</v>
      </c>
      <c r="U776" s="34">
        <f>IF(F776="","",IF(M776&lt;&gt;"",M776,IF(T776="",0,T776)))</f>
        <v>0</v>
      </c>
      <c r="V776" s="21">
        <f>IF(F776="","",IFERROR(INDEX(Employees!$U$5:$U$44,MATCH(F776,Employees!$B$5:$B$44,0)),PayRate*(1+EmployerOncost)))</f>
        <v>0</v>
      </c>
      <c r="W776" s="34">
        <f>IF(F776="","",MAX(0,U776-IF(N776="",0,N776)))</f>
        <v>0</v>
      </c>
      <c r="X776" s="21">
        <f>IF(F776="","",ROUND(W776*V776+IF(N776="",0,N776)*V776*OvertimeRate,2))</f>
        <v>0</v>
      </c>
      <c r="Y776" s="21">
        <f>IF(F776="","",IF(P776&lt;&gt;"Yes",0,ROUND(U776*IF(IFERROR(INDEX(Clients!$O$5:$O$204,MATCH(IFERROR(INDEX(Jobs!$G$5:$G$604,MATCH(G776,Jobs!$A$5:$A$604,0)),""),Clients!$A$5:$A$204,0)),0)&gt;0,INDEX(Clients!$O$5:$O$204,MATCH(INDEX(Jobs!$G$5:$G$604,MATCH(G776,Jobs!$A$5:$A$604,0)),Clients!$A$5:$A$204,0)),HourlyRate),2)))</f>
        <v>0</v>
      </c>
      <c r="Z776" s="39">
        <f>IF(F776="","",IF(U776=0,"Add - no hours recorded",IF(O776="Absent - no show","Action - no show",IF(U776&gt;10,"Check - over ten hours in a day",IF(Q776&lt;&gt;"Yes","Due - needs approving",IF(R776&lt;&gt;"Yes","Due - not paid yet","OK"))))))</f>
        <v>0</v>
      </c>
    </row>
    <row r="777" spans="1:26">
      <c r="A777" s="43">
        <f>IF(F777="","","TS-"&amp;TEXT(ROW()-4,"0000"))</f>
        <v>0</v>
      </c>
      <c r="C777" s="23">
        <f>IF(B777="","",TEXT(B777,"ddd"))</f>
        <v>0</v>
      </c>
      <c r="D777" s="31">
        <f>IF(B777="","",WEEKNUM(B777,IF(WeekStart="Sunday",1,2)))</f>
        <v>0</v>
      </c>
      <c r="E777" s="23">
        <f>IF(B777="","",TEXT(B777,"yyyy-mm"))</f>
        <v>0</v>
      </c>
      <c r="H777" s="23">
        <f>IF(G777="","",IFERROR(INDEX(Jobs!$H$5:$H$604,MATCH(G777,Jobs!$A$5:$A$604,0)),""))</f>
        <v>0</v>
      </c>
      <c r="T777" s="34">
        <f>IF(OR(J777="",K777=""),"",ROUND((K777-J777)*24-IF(L777="",0,L777)/60,2))</f>
        <v>0</v>
      </c>
      <c r="U777" s="34">
        <f>IF(F777="","",IF(M777&lt;&gt;"",M777,IF(T777="",0,T777)))</f>
        <v>0</v>
      </c>
      <c r="V777" s="21">
        <f>IF(F777="","",IFERROR(INDEX(Employees!$U$5:$U$44,MATCH(F777,Employees!$B$5:$B$44,0)),PayRate*(1+EmployerOncost)))</f>
        <v>0</v>
      </c>
      <c r="W777" s="34">
        <f>IF(F777="","",MAX(0,U777-IF(N777="",0,N777)))</f>
        <v>0</v>
      </c>
      <c r="X777" s="21">
        <f>IF(F777="","",ROUND(W777*V777+IF(N777="",0,N777)*V777*OvertimeRate,2))</f>
        <v>0</v>
      </c>
      <c r="Y777" s="21">
        <f>IF(F777="","",IF(P777&lt;&gt;"Yes",0,ROUND(U777*IF(IFERROR(INDEX(Clients!$O$5:$O$204,MATCH(IFERROR(INDEX(Jobs!$G$5:$G$604,MATCH(G777,Jobs!$A$5:$A$604,0)),""),Clients!$A$5:$A$204,0)),0)&gt;0,INDEX(Clients!$O$5:$O$204,MATCH(INDEX(Jobs!$G$5:$G$604,MATCH(G777,Jobs!$A$5:$A$604,0)),Clients!$A$5:$A$204,0)),HourlyRate),2)))</f>
        <v>0</v>
      </c>
      <c r="Z777" s="39">
        <f>IF(F777="","",IF(U777=0,"Add - no hours recorded",IF(O777="Absent - no show","Action - no show",IF(U777&gt;10,"Check - over ten hours in a day",IF(Q777&lt;&gt;"Yes","Due - needs approving",IF(R777&lt;&gt;"Yes","Due - not paid yet","OK"))))))</f>
        <v>0</v>
      </c>
    </row>
    <row r="778" spans="1:26">
      <c r="A778" s="43">
        <f>IF(F778="","","TS-"&amp;TEXT(ROW()-4,"0000"))</f>
        <v>0</v>
      </c>
      <c r="C778" s="23">
        <f>IF(B778="","",TEXT(B778,"ddd"))</f>
        <v>0</v>
      </c>
      <c r="D778" s="31">
        <f>IF(B778="","",WEEKNUM(B778,IF(WeekStart="Sunday",1,2)))</f>
        <v>0</v>
      </c>
      <c r="E778" s="23">
        <f>IF(B778="","",TEXT(B778,"yyyy-mm"))</f>
        <v>0</v>
      </c>
      <c r="H778" s="23">
        <f>IF(G778="","",IFERROR(INDEX(Jobs!$H$5:$H$604,MATCH(G778,Jobs!$A$5:$A$604,0)),""))</f>
        <v>0</v>
      </c>
      <c r="T778" s="34">
        <f>IF(OR(J778="",K778=""),"",ROUND((K778-J778)*24-IF(L778="",0,L778)/60,2))</f>
        <v>0</v>
      </c>
      <c r="U778" s="34">
        <f>IF(F778="","",IF(M778&lt;&gt;"",M778,IF(T778="",0,T778)))</f>
        <v>0</v>
      </c>
      <c r="V778" s="21">
        <f>IF(F778="","",IFERROR(INDEX(Employees!$U$5:$U$44,MATCH(F778,Employees!$B$5:$B$44,0)),PayRate*(1+EmployerOncost)))</f>
        <v>0</v>
      </c>
      <c r="W778" s="34">
        <f>IF(F778="","",MAX(0,U778-IF(N778="",0,N778)))</f>
        <v>0</v>
      </c>
      <c r="X778" s="21">
        <f>IF(F778="","",ROUND(W778*V778+IF(N778="",0,N778)*V778*OvertimeRate,2))</f>
        <v>0</v>
      </c>
      <c r="Y778" s="21">
        <f>IF(F778="","",IF(P778&lt;&gt;"Yes",0,ROUND(U778*IF(IFERROR(INDEX(Clients!$O$5:$O$204,MATCH(IFERROR(INDEX(Jobs!$G$5:$G$604,MATCH(G778,Jobs!$A$5:$A$604,0)),""),Clients!$A$5:$A$204,0)),0)&gt;0,INDEX(Clients!$O$5:$O$204,MATCH(INDEX(Jobs!$G$5:$G$604,MATCH(G778,Jobs!$A$5:$A$604,0)),Clients!$A$5:$A$204,0)),HourlyRate),2)))</f>
        <v>0</v>
      </c>
      <c r="Z778" s="39">
        <f>IF(F778="","",IF(U778=0,"Add - no hours recorded",IF(O778="Absent - no show","Action - no show",IF(U778&gt;10,"Check - over ten hours in a day",IF(Q778&lt;&gt;"Yes","Due - needs approving",IF(R778&lt;&gt;"Yes","Due - not paid yet","OK"))))))</f>
        <v>0</v>
      </c>
    </row>
    <row r="779" spans="1:26">
      <c r="A779" s="43">
        <f>IF(F779="","","TS-"&amp;TEXT(ROW()-4,"0000"))</f>
        <v>0</v>
      </c>
      <c r="C779" s="23">
        <f>IF(B779="","",TEXT(B779,"ddd"))</f>
        <v>0</v>
      </c>
      <c r="D779" s="31">
        <f>IF(B779="","",WEEKNUM(B779,IF(WeekStart="Sunday",1,2)))</f>
        <v>0</v>
      </c>
      <c r="E779" s="23">
        <f>IF(B779="","",TEXT(B779,"yyyy-mm"))</f>
        <v>0</v>
      </c>
      <c r="H779" s="23">
        <f>IF(G779="","",IFERROR(INDEX(Jobs!$H$5:$H$604,MATCH(G779,Jobs!$A$5:$A$604,0)),""))</f>
        <v>0</v>
      </c>
      <c r="T779" s="34">
        <f>IF(OR(J779="",K779=""),"",ROUND((K779-J779)*24-IF(L779="",0,L779)/60,2))</f>
        <v>0</v>
      </c>
      <c r="U779" s="34">
        <f>IF(F779="","",IF(M779&lt;&gt;"",M779,IF(T779="",0,T779)))</f>
        <v>0</v>
      </c>
      <c r="V779" s="21">
        <f>IF(F779="","",IFERROR(INDEX(Employees!$U$5:$U$44,MATCH(F779,Employees!$B$5:$B$44,0)),PayRate*(1+EmployerOncost)))</f>
        <v>0</v>
      </c>
      <c r="W779" s="34">
        <f>IF(F779="","",MAX(0,U779-IF(N779="",0,N779)))</f>
        <v>0</v>
      </c>
      <c r="X779" s="21">
        <f>IF(F779="","",ROUND(W779*V779+IF(N779="",0,N779)*V779*OvertimeRate,2))</f>
        <v>0</v>
      </c>
      <c r="Y779" s="21">
        <f>IF(F779="","",IF(P779&lt;&gt;"Yes",0,ROUND(U779*IF(IFERROR(INDEX(Clients!$O$5:$O$204,MATCH(IFERROR(INDEX(Jobs!$G$5:$G$604,MATCH(G779,Jobs!$A$5:$A$604,0)),""),Clients!$A$5:$A$204,0)),0)&gt;0,INDEX(Clients!$O$5:$O$204,MATCH(INDEX(Jobs!$G$5:$G$604,MATCH(G779,Jobs!$A$5:$A$604,0)),Clients!$A$5:$A$204,0)),HourlyRate),2)))</f>
        <v>0</v>
      </c>
      <c r="Z779" s="39">
        <f>IF(F779="","",IF(U779=0,"Add - no hours recorded",IF(O779="Absent - no show","Action - no show",IF(U779&gt;10,"Check - over ten hours in a day",IF(Q779&lt;&gt;"Yes","Due - needs approving",IF(R779&lt;&gt;"Yes","Due - not paid yet","OK"))))))</f>
        <v>0</v>
      </c>
    </row>
    <row r="780" spans="1:26">
      <c r="A780" s="43">
        <f>IF(F780="","","TS-"&amp;TEXT(ROW()-4,"0000"))</f>
        <v>0</v>
      </c>
      <c r="C780" s="23">
        <f>IF(B780="","",TEXT(B780,"ddd"))</f>
        <v>0</v>
      </c>
      <c r="D780" s="31">
        <f>IF(B780="","",WEEKNUM(B780,IF(WeekStart="Sunday",1,2)))</f>
        <v>0</v>
      </c>
      <c r="E780" s="23">
        <f>IF(B780="","",TEXT(B780,"yyyy-mm"))</f>
        <v>0</v>
      </c>
      <c r="H780" s="23">
        <f>IF(G780="","",IFERROR(INDEX(Jobs!$H$5:$H$604,MATCH(G780,Jobs!$A$5:$A$604,0)),""))</f>
        <v>0</v>
      </c>
      <c r="T780" s="34">
        <f>IF(OR(J780="",K780=""),"",ROUND((K780-J780)*24-IF(L780="",0,L780)/60,2))</f>
        <v>0</v>
      </c>
      <c r="U780" s="34">
        <f>IF(F780="","",IF(M780&lt;&gt;"",M780,IF(T780="",0,T780)))</f>
        <v>0</v>
      </c>
      <c r="V780" s="21">
        <f>IF(F780="","",IFERROR(INDEX(Employees!$U$5:$U$44,MATCH(F780,Employees!$B$5:$B$44,0)),PayRate*(1+EmployerOncost)))</f>
        <v>0</v>
      </c>
      <c r="W780" s="34">
        <f>IF(F780="","",MAX(0,U780-IF(N780="",0,N780)))</f>
        <v>0</v>
      </c>
      <c r="X780" s="21">
        <f>IF(F780="","",ROUND(W780*V780+IF(N780="",0,N780)*V780*OvertimeRate,2))</f>
        <v>0</v>
      </c>
      <c r="Y780" s="21">
        <f>IF(F780="","",IF(P780&lt;&gt;"Yes",0,ROUND(U780*IF(IFERROR(INDEX(Clients!$O$5:$O$204,MATCH(IFERROR(INDEX(Jobs!$G$5:$G$604,MATCH(G780,Jobs!$A$5:$A$604,0)),""),Clients!$A$5:$A$204,0)),0)&gt;0,INDEX(Clients!$O$5:$O$204,MATCH(INDEX(Jobs!$G$5:$G$604,MATCH(G780,Jobs!$A$5:$A$604,0)),Clients!$A$5:$A$204,0)),HourlyRate),2)))</f>
        <v>0</v>
      </c>
      <c r="Z780" s="39">
        <f>IF(F780="","",IF(U780=0,"Add - no hours recorded",IF(O780="Absent - no show","Action - no show",IF(U780&gt;10,"Check - over ten hours in a day",IF(Q780&lt;&gt;"Yes","Due - needs approving",IF(R780&lt;&gt;"Yes","Due - not paid yet","OK"))))))</f>
        <v>0</v>
      </c>
    </row>
    <row r="781" spans="1:26">
      <c r="A781" s="43">
        <f>IF(F781="","","TS-"&amp;TEXT(ROW()-4,"0000"))</f>
        <v>0</v>
      </c>
      <c r="C781" s="23">
        <f>IF(B781="","",TEXT(B781,"ddd"))</f>
        <v>0</v>
      </c>
      <c r="D781" s="31">
        <f>IF(B781="","",WEEKNUM(B781,IF(WeekStart="Sunday",1,2)))</f>
        <v>0</v>
      </c>
      <c r="E781" s="23">
        <f>IF(B781="","",TEXT(B781,"yyyy-mm"))</f>
        <v>0</v>
      </c>
      <c r="H781" s="23">
        <f>IF(G781="","",IFERROR(INDEX(Jobs!$H$5:$H$604,MATCH(G781,Jobs!$A$5:$A$604,0)),""))</f>
        <v>0</v>
      </c>
      <c r="T781" s="34">
        <f>IF(OR(J781="",K781=""),"",ROUND((K781-J781)*24-IF(L781="",0,L781)/60,2))</f>
        <v>0</v>
      </c>
      <c r="U781" s="34">
        <f>IF(F781="","",IF(M781&lt;&gt;"",M781,IF(T781="",0,T781)))</f>
        <v>0</v>
      </c>
      <c r="V781" s="21">
        <f>IF(F781="","",IFERROR(INDEX(Employees!$U$5:$U$44,MATCH(F781,Employees!$B$5:$B$44,0)),PayRate*(1+EmployerOncost)))</f>
        <v>0</v>
      </c>
      <c r="W781" s="34">
        <f>IF(F781="","",MAX(0,U781-IF(N781="",0,N781)))</f>
        <v>0</v>
      </c>
      <c r="X781" s="21">
        <f>IF(F781="","",ROUND(W781*V781+IF(N781="",0,N781)*V781*OvertimeRate,2))</f>
        <v>0</v>
      </c>
      <c r="Y781" s="21">
        <f>IF(F781="","",IF(P781&lt;&gt;"Yes",0,ROUND(U781*IF(IFERROR(INDEX(Clients!$O$5:$O$204,MATCH(IFERROR(INDEX(Jobs!$G$5:$G$604,MATCH(G781,Jobs!$A$5:$A$604,0)),""),Clients!$A$5:$A$204,0)),0)&gt;0,INDEX(Clients!$O$5:$O$204,MATCH(INDEX(Jobs!$G$5:$G$604,MATCH(G781,Jobs!$A$5:$A$604,0)),Clients!$A$5:$A$204,0)),HourlyRate),2)))</f>
        <v>0</v>
      </c>
      <c r="Z781" s="39">
        <f>IF(F781="","",IF(U781=0,"Add - no hours recorded",IF(O781="Absent - no show","Action - no show",IF(U781&gt;10,"Check - over ten hours in a day",IF(Q781&lt;&gt;"Yes","Due - needs approving",IF(R781&lt;&gt;"Yes","Due - not paid yet","OK"))))))</f>
        <v>0</v>
      </c>
    </row>
    <row r="782" spans="1:26">
      <c r="A782" s="43">
        <f>IF(F782="","","TS-"&amp;TEXT(ROW()-4,"0000"))</f>
        <v>0</v>
      </c>
      <c r="C782" s="23">
        <f>IF(B782="","",TEXT(B782,"ddd"))</f>
        <v>0</v>
      </c>
      <c r="D782" s="31">
        <f>IF(B782="","",WEEKNUM(B782,IF(WeekStart="Sunday",1,2)))</f>
        <v>0</v>
      </c>
      <c r="E782" s="23">
        <f>IF(B782="","",TEXT(B782,"yyyy-mm"))</f>
        <v>0</v>
      </c>
      <c r="H782" s="23">
        <f>IF(G782="","",IFERROR(INDEX(Jobs!$H$5:$H$604,MATCH(G782,Jobs!$A$5:$A$604,0)),""))</f>
        <v>0</v>
      </c>
      <c r="T782" s="34">
        <f>IF(OR(J782="",K782=""),"",ROUND((K782-J782)*24-IF(L782="",0,L782)/60,2))</f>
        <v>0</v>
      </c>
      <c r="U782" s="34">
        <f>IF(F782="","",IF(M782&lt;&gt;"",M782,IF(T782="",0,T782)))</f>
        <v>0</v>
      </c>
      <c r="V782" s="21">
        <f>IF(F782="","",IFERROR(INDEX(Employees!$U$5:$U$44,MATCH(F782,Employees!$B$5:$B$44,0)),PayRate*(1+EmployerOncost)))</f>
        <v>0</v>
      </c>
      <c r="W782" s="34">
        <f>IF(F782="","",MAX(0,U782-IF(N782="",0,N782)))</f>
        <v>0</v>
      </c>
      <c r="X782" s="21">
        <f>IF(F782="","",ROUND(W782*V782+IF(N782="",0,N782)*V782*OvertimeRate,2))</f>
        <v>0</v>
      </c>
      <c r="Y782" s="21">
        <f>IF(F782="","",IF(P782&lt;&gt;"Yes",0,ROUND(U782*IF(IFERROR(INDEX(Clients!$O$5:$O$204,MATCH(IFERROR(INDEX(Jobs!$G$5:$G$604,MATCH(G782,Jobs!$A$5:$A$604,0)),""),Clients!$A$5:$A$204,0)),0)&gt;0,INDEX(Clients!$O$5:$O$204,MATCH(INDEX(Jobs!$G$5:$G$604,MATCH(G782,Jobs!$A$5:$A$604,0)),Clients!$A$5:$A$204,0)),HourlyRate),2)))</f>
        <v>0</v>
      </c>
      <c r="Z782" s="39">
        <f>IF(F782="","",IF(U782=0,"Add - no hours recorded",IF(O782="Absent - no show","Action - no show",IF(U782&gt;10,"Check - over ten hours in a day",IF(Q782&lt;&gt;"Yes","Due - needs approving",IF(R782&lt;&gt;"Yes","Due - not paid yet","OK"))))))</f>
        <v>0</v>
      </c>
    </row>
    <row r="783" spans="1:26">
      <c r="A783" s="43">
        <f>IF(F783="","","TS-"&amp;TEXT(ROW()-4,"0000"))</f>
        <v>0</v>
      </c>
      <c r="C783" s="23">
        <f>IF(B783="","",TEXT(B783,"ddd"))</f>
        <v>0</v>
      </c>
      <c r="D783" s="31">
        <f>IF(B783="","",WEEKNUM(B783,IF(WeekStart="Sunday",1,2)))</f>
        <v>0</v>
      </c>
      <c r="E783" s="23">
        <f>IF(B783="","",TEXT(B783,"yyyy-mm"))</f>
        <v>0</v>
      </c>
      <c r="H783" s="23">
        <f>IF(G783="","",IFERROR(INDEX(Jobs!$H$5:$H$604,MATCH(G783,Jobs!$A$5:$A$604,0)),""))</f>
        <v>0</v>
      </c>
      <c r="T783" s="34">
        <f>IF(OR(J783="",K783=""),"",ROUND((K783-J783)*24-IF(L783="",0,L783)/60,2))</f>
        <v>0</v>
      </c>
      <c r="U783" s="34">
        <f>IF(F783="","",IF(M783&lt;&gt;"",M783,IF(T783="",0,T783)))</f>
        <v>0</v>
      </c>
      <c r="V783" s="21">
        <f>IF(F783="","",IFERROR(INDEX(Employees!$U$5:$U$44,MATCH(F783,Employees!$B$5:$B$44,0)),PayRate*(1+EmployerOncost)))</f>
        <v>0</v>
      </c>
      <c r="W783" s="34">
        <f>IF(F783="","",MAX(0,U783-IF(N783="",0,N783)))</f>
        <v>0</v>
      </c>
      <c r="X783" s="21">
        <f>IF(F783="","",ROUND(W783*V783+IF(N783="",0,N783)*V783*OvertimeRate,2))</f>
        <v>0</v>
      </c>
      <c r="Y783" s="21">
        <f>IF(F783="","",IF(P783&lt;&gt;"Yes",0,ROUND(U783*IF(IFERROR(INDEX(Clients!$O$5:$O$204,MATCH(IFERROR(INDEX(Jobs!$G$5:$G$604,MATCH(G783,Jobs!$A$5:$A$604,0)),""),Clients!$A$5:$A$204,0)),0)&gt;0,INDEX(Clients!$O$5:$O$204,MATCH(INDEX(Jobs!$G$5:$G$604,MATCH(G783,Jobs!$A$5:$A$604,0)),Clients!$A$5:$A$204,0)),HourlyRate),2)))</f>
        <v>0</v>
      </c>
      <c r="Z783" s="39">
        <f>IF(F783="","",IF(U783=0,"Add - no hours recorded",IF(O783="Absent - no show","Action - no show",IF(U783&gt;10,"Check - over ten hours in a day",IF(Q783&lt;&gt;"Yes","Due - needs approving",IF(R783&lt;&gt;"Yes","Due - not paid yet","OK"))))))</f>
        <v>0</v>
      </c>
    </row>
    <row r="784" spans="1:26">
      <c r="A784" s="43">
        <f>IF(F784="","","TS-"&amp;TEXT(ROW()-4,"0000"))</f>
        <v>0</v>
      </c>
      <c r="C784" s="23">
        <f>IF(B784="","",TEXT(B784,"ddd"))</f>
        <v>0</v>
      </c>
      <c r="D784" s="31">
        <f>IF(B784="","",WEEKNUM(B784,IF(WeekStart="Sunday",1,2)))</f>
        <v>0</v>
      </c>
      <c r="E784" s="23">
        <f>IF(B784="","",TEXT(B784,"yyyy-mm"))</f>
        <v>0</v>
      </c>
      <c r="H784" s="23">
        <f>IF(G784="","",IFERROR(INDEX(Jobs!$H$5:$H$604,MATCH(G784,Jobs!$A$5:$A$604,0)),""))</f>
        <v>0</v>
      </c>
      <c r="T784" s="34">
        <f>IF(OR(J784="",K784=""),"",ROUND((K784-J784)*24-IF(L784="",0,L784)/60,2))</f>
        <v>0</v>
      </c>
      <c r="U784" s="34">
        <f>IF(F784="","",IF(M784&lt;&gt;"",M784,IF(T784="",0,T784)))</f>
        <v>0</v>
      </c>
      <c r="V784" s="21">
        <f>IF(F784="","",IFERROR(INDEX(Employees!$U$5:$U$44,MATCH(F784,Employees!$B$5:$B$44,0)),PayRate*(1+EmployerOncost)))</f>
        <v>0</v>
      </c>
      <c r="W784" s="34">
        <f>IF(F784="","",MAX(0,U784-IF(N784="",0,N784)))</f>
        <v>0</v>
      </c>
      <c r="X784" s="21">
        <f>IF(F784="","",ROUND(W784*V784+IF(N784="",0,N784)*V784*OvertimeRate,2))</f>
        <v>0</v>
      </c>
      <c r="Y784" s="21">
        <f>IF(F784="","",IF(P784&lt;&gt;"Yes",0,ROUND(U784*IF(IFERROR(INDEX(Clients!$O$5:$O$204,MATCH(IFERROR(INDEX(Jobs!$G$5:$G$604,MATCH(G784,Jobs!$A$5:$A$604,0)),""),Clients!$A$5:$A$204,0)),0)&gt;0,INDEX(Clients!$O$5:$O$204,MATCH(INDEX(Jobs!$G$5:$G$604,MATCH(G784,Jobs!$A$5:$A$604,0)),Clients!$A$5:$A$204,0)),HourlyRate),2)))</f>
        <v>0</v>
      </c>
      <c r="Z784" s="39">
        <f>IF(F784="","",IF(U784=0,"Add - no hours recorded",IF(O784="Absent - no show","Action - no show",IF(U784&gt;10,"Check - over ten hours in a day",IF(Q784&lt;&gt;"Yes","Due - needs approving",IF(R784&lt;&gt;"Yes","Due - not paid yet","OK"))))))</f>
        <v>0</v>
      </c>
    </row>
    <row r="785" spans="1:26">
      <c r="A785" s="43">
        <f>IF(F785="","","TS-"&amp;TEXT(ROW()-4,"0000"))</f>
        <v>0</v>
      </c>
      <c r="C785" s="23">
        <f>IF(B785="","",TEXT(B785,"ddd"))</f>
        <v>0</v>
      </c>
      <c r="D785" s="31">
        <f>IF(B785="","",WEEKNUM(B785,IF(WeekStart="Sunday",1,2)))</f>
        <v>0</v>
      </c>
      <c r="E785" s="23">
        <f>IF(B785="","",TEXT(B785,"yyyy-mm"))</f>
        <v>0</v>
      </c>
      <c r="H785" s="23">
        <f>IF(G785="","",IFERROR(INDEX(Jobs!$H$5:$H$604,MATCH(G785,Jobs!$A$5:$A$604,0)),""))</f>
        <v>0</v>
      </c>
      <c r="T785" s="34">
        <f>IF(OR(J785="",K785=""),"",ROUND((K785-J785)*24-IF(L785="",0,L785)/60,2))</f>
        <v>0</v>
      </c>
      <c r="U785" s="34">
        <f>IF(F785="","",IF(M785&lt;&gt;"",M785,IF(T785="",0,T785)))</f>
        <v>0</v>
      </c>
      <c r="V785" s="21">
        <f>IF(F785="","",IFERROR(INDEX(Employees!$U$5:$U$44,MATCH(F785,Employees!$B$5:$B$44,0)),PayRate*(1+EmployerOncost)))</f>
        <v>0</v>
      </c>
      <c r="W785" s="34">
        <f>IF(F785="","",MAX(0,U785-IF(N785="",0,N785)))</f>
        <v>0</v>
      </c>
      <c r="X785" s="21">
        <f>IF(F785="","",ROUND(W785*V785+IF(N785="",0,N785)*V785*OvertimeRate,2))</f>
        <v>0</v>
      </c>
      <c r="Y785" s="21">
        <f>IF(F785="","",IF(P785&lt;&gt;"Yes",0,ROUND(U785*IF(IFERROR(INDEX(Clients!$O$5:$O$204,MATCH(IFERROR(INDEX(Jobs!$G$5:$G$604,MATCH(G785,Jobs!$A$5:$A$604,0)),""),Clients!$A$5:$A$204,0)),0)&gt;0,INDEX(Clients!$O$5:$O$204,MATCH(INDEX(Jobs!$G$5:$G$604,MATCH(G785,Jobs!$A$5:$A$604,0)),Clients!$A$5:$A$204,0)),HourlyRate),2)))</f>
        <v>0</v>
      </c>
      <c r="Z785" s="39">
        <f>IF(F785="","",IF(U785=0,"Add - no hours recorded",IF(O785="Absent - no show","Action - no show",IF(U785&gt;10,"Check - over ten hours in a day",IF(Q785&lt;&gt;"Yes","Due - needs approving",IF(R785&lt;&gt;"Yes","Due - not paid yet","OK"))))))</f>
        <v>0</v>
      </c>
    </row>
    <row r="786" spans="1:26">
      <c r="A786" s="43">
        <f>IF(F786="","","TS-"&amp;TEXT(ROW()-4,"0000"))</f>
        <v>0</v>
      </c>
      <c r="C786" s="23">
        <f>IF(B786="","",TEXT(B786,"ddd"))</f>
        <v>0</v>
      </c>
      <c r="D786" s="31">
        <f>IF(B786="","",WEEKNUM(B786,IF(WeekStart="Sunday",1,2)))</f>
        <v>0</v>
      </c>
      <c r="E786" s="23">
        <f>IF(B786="","",TEXT(B786,"yyyy-mm"))</f>
        <v>0</v>
      </c>
      <c r="H786" s="23">
        <f>IF(G786="","",IFERROR(INDEX(Jobs!$H$5:$H$604,MATCH(G786,Jobs!$A$5:$A$604,0)),""))</f>
        <v>0</v>
      </c>
      <c r="T786" s="34">
        <f>IF(OR(J786="",K786=""),"",ROUND((K786-J786)*24-IF(L786="",0,L786)/60,2))</f>
        <v>0</v>
      </c>
      <c r="U786" s="34">
        <f>IF(F786="","",IF(M786&lt;&gt;"",M786,IF(T786="",0,T786)))</f>
        <v>0</v>
      </c>
      <c r="V786" s="21">
        <f>IF(F786="","",IFERROR(INDEX(Employees!$U$5:$U$44,MATCH(F786,Employees!$B$5:$B$44,0)),PayRate*(1+EmployerOncost)))</f>
        <v>0</v>
      </c>
      <c r="W786" s="34">
        <f>IF(F786="","",MAX(0,U786-IF(N786="",0,N786)))</f>
        <v>0</v>
      </c>
      <c r="X786" s="21">
        <f>IF(F786="","",ROUND(W786*V786+IF(N786="",0,N786)*V786*OvertimeRate,2))</f>
        <v>0</v>
      </c>
      <c r="Y786" s="21">
        <f>IF(F786="","",IF(P786&lt;&gt;"Yes",0,ROUND(U786*IF(IFERROR(INDEX(Clients!$O$5:$O$204,MATCH(IFERROR(INDEX(Jobs!$G$5:$G$604,MATCH(G786,Jobs!$A$5:$A$604,0)),""),Clients!$A$5:$A$204,0)),0)&gt;0,INDEX(Clients!$O$5:$O$204,MATCH(INDEX(Jobs!$G$5:$G$604,MATCH(G786,Jobs!$A$5:$A$604,0)),Clients!$A$5:$A$204,0)),HourlyRate),2)))</f>
        <v>0</v>
      </c>
      <c r="Z786" s="39">
        <f>IF(F786="","",IF(U786=0,"Add - no hours recorded",IF(O786="Absent - no show","Action - no show",IF(U786&gt;10,"Check - over ten hours in a day",IF(Q786&lt;&gt;"Yes","Due - needs approving",IF(R786&lt;&gt;"Yes","Due - not paid yet","OK"))))))</f>
        <v>0</v>
      </c>
    </row>
    <row r="787" spans="1:26">
      <c r="A787" s="43">
        <f>IF(F787="","","TS-"&amp;TEXT(ROW()-4,"0000"))</f>
        <v>0</v>
      </c>
      <c r="C787" s="23">
        <f>IF(B787="","",TEXT(B787,"ddd"))</f>
        <v>0</v>
      </c>
      <c r="D787" s="31">
        <f>IF(B787="","",WEEKNUM(B787,IF(WeekStart="Sunday",1,2)))</f>
        <v>0</v>
      </c>
      <c r="E787" s="23">
        <f>IF(B787="","",TEXT(B787,"yyyy-mm"))</f>
        <v>0</v>
      </c>
      <c r="H787" s="23">
        <f>IF(G787="","",IFERROR(INDEX(Jobs!$H$5:$H$604,MATCH(G787,Jobs!$A$5:$A$604,0)),""))</f>
        <v>0</v>
      </c>
      <c r="T787" s="34">
        <f>IF(OR(J787="",K787=""),"",ROUND((K787-J787)*24-IF(L787="",0,L787)/60,2))</f>
        <v>0</v>
      </c>
      <c r="U787" s="34">
        <f>IF(F787="","",IF(M787&lt;&gt;"",M787,IF(T787="",0,T787)))</f>
        <v>0</v>
      </c>
      <c r="V787" s="21">
        <f>IF(F787="","",IFERROR(INDEX(Employees!$U$5:$U$44,MATCH(F787,Employees!$B$5:$B$44,0)),PayRate*(1+EmployerOncost)))</f>
        <v>0</v>
      </c>
      <c r="W787" s="34">
        <f>IF(F787="","",MAX(0,U787-IF(N787="",0,N787)))</f>
        <v>0</v>
      </c>
      <c r="X787" s="21">
        <f>IF(F787="","",ROUND(W787*V787+IF(N787="",0,N787)*V787*OvertimeRate,2))</f>
        <v>0</v>
      </c>
      <c r="Y787" s="21">
        <f>IF(F787="","",IF(P787&lt;&gt;"Yes",0,ROUND(U787*IF(IFERROR(INDEX(Clients!$O$5:$O$204,MATCH(IFERROR(INDEX(Jobs!$G$5:$G$604,MATCH(G787,Jobs!$A$5:$A$604,0)),""),Clients!$A$5:$A$204,0)),0)&gt;0,INDEX(Clients!$O$5:$O$204,MATCH(INDEX(Jobs!$G$5:$G$604,MATCH(G787,Jobs!$A$5:$A$604,0)),Clients!$A$5:$A$204,0)),HourlyRate),2)))</f>
        <v>0</v>
      </c>
      <c r="Z787" s="39">
        <f>IF(F787="","",IF(U787=0,"Add - no hours recorded",IF(O787="Absent - no show","Action - no show",IF(U787&gt;10,"Check - over ten hours in a day",IF(Q787&lt;&gt;"Yes","Due - needs approving",IF(R787&lt;&gt;"Yes","Due - not paid yet","OK"))))))</f>
        <v>0</v>
      </c>
    </row>
    <row r="788" spans="1:26">
      <c r="A788" s="43">
        <f>IF(F788="","","TS-"&amp;TEXT(ROW()-4,"0000"))</f>
        <v>0</v>
      </c>
      <c r="C788" s="23">
        <f>IF(B788="","",TEXT(B788,"ddd"))</f>
        <v>0</v>
      </c>
      <c r="D788" s="31">
        <f>IF(B788="","",WEEKNUM(B788,IF(WeekStart="Sunday",1,2)))</f>
        <v>0</v>
      </c>
      <c r="E788" s="23">
        <f>IF(B788="","",TEXT(B788,"yyyy-mm"))</f>
        <v>0</v>
      </c>
      <c r="H788" s="23">
        <f>IF(G788="","",IFERROR(INDEX(Jobs!$H$5:$H$604,MATCH(G788,Jobs!$A$5:$A$604,0)),""))</f>
        <v>0</v>
      </c>
      <c r="T788" s="34">
        <f>IF(OR(J788="",K788=""),"",ROUND((K788-J788)*24-IF(L788="",0,L788)/60,2))</f>
        <v>0</v>
      </c>
      <c r="U788" s="34">
        <f>IF(F788="","",IF(M788&lt;&gt;"",M788,IF(T788="",0,T788)))</f>
        <v>0</v>
      </c>
      <c r="V788" s="21">
        <f>IF(F788="","",IFERROR(INDEX(Employees!$U$5:$U$44,MATCH(F788,Employees!$B$5:$B$44,0)),PayRate*(1+EmployerOncost)))</f>
        <v>0</v>
      </c>
      <c r="W788" s="34">
        <f>IF(F788="","",MAX(0,U788-IF(N788="",0,N788)))</f>
        <v>0</v>
      </c>
      <c r="X788" s="21">
        <f>IF(F788="","",ROUND(W788*V788+IF(N788="",0,N788)*V788*OvertimeRate,2))</f>
        <v>0</v>
      </c>
      <c r="Y788" s="21">
        <f>IF(F788="","",IF(P788&lt;&gt;"Yes",0,ROUND(U788*IF(IFERROR(INDEX(Clients!$O$5:$O$204,MATCH(IFERROR(INDEX(Jobs!$G$5:$G$604,MATCH(G788,Jobs!$A$5:$A$604,0)),""),Clients!$A$5:$A$204,0)),0)&gt;0,INDEX(Clients!$O$5:$O$204,MATCH(INDEX(Jobs!$G$5:$G$604,MATCH(G788,Jobs!$A$5:$A$604,0)),Clients!$A$5:$A$204,0)),HourlyRate),2)))</f>
        <v>0</v>
      </c>
      <c r="Z788" s="39">
        <f>IF(F788="","",IF(U788=0,"Add - no hours recorded",IF(O788="Absent - no show","Action - no show",IF(U788&gt;10,"Check - over ten hours in a day",IF(Q788&lt;&gt;"Yes","Due - needs approving",IF(R788&lt;&gt;"Yes","Due - not paid yet","OK"))))))</f>
        <v>0</v>
      </c>
    </row>
    <row r="789" spans="1:26">
      <c r="A789" s="43">
        <f>IF(F789="","","TS-"&amp;TEXT(ROW()-4,"0000"))</f>
        <v>0</v>
      </c>
      <c r="C789" s="23">
        <f>IF(B789="","",TEXT(B789,"ddd"))</f>
        <v>0</v>
      </c>
      <c r="D789" s="31">
        <f>IF(B789="","",WEEKNUM(B789,IF(WeekStart="Sunday",1,2)))</f>
        <v>0</v>
      </c>
      <c r="E789" s="23">
        <f>IF(B789="","",TEXT(B789,"yyyy-mm"))</f>
        <v>0</v>
      </c>
      <c r="H789" s="23">
        <f>IF(G789="","",IFERROR(INDEX(Jobs!$H$5:$H$604,MATCH(G789,Jobs!$A$5:$A$604,0)),""))</f>
        <v>0</v>
      </c>
      <c r="T789" s="34">
        <f>IF(OR(J789="",K789=""),"",ROUND((K789-J789)*24-IF(L789="",0,L789)/60,2))</f>
        <v>0</v>
      </c>
      <c r="U789" s="34">
        <f>IF(F789="","",IF(M789&lt;&gt;"",M789,IF(T789="",0,T789)))</f>
        <v>0</v>
      </c>
      <c r="V789" s="21">
        <f>IF(F789="","",IFERROR(INDEX(Employees!$U$5:$U$44,MATCH(F789,Employees!$B$5:$B$44,0)),PayRate*(1+EmployerOncost)))</f>
        <v>0</v>
      </c>
      <c r="W789" s="34">
        <f>IF(F789="","",MAX(0,U789-IF(N789="",0,N789)))</f>
        <v>0</v>
      </c>
      <c r="X789" s="21">
        <f>IF(F789="","",ROUND(W789*V789+IF(N789="",0,N789)*V789*OvertimeRate,2))</f>
        <v>0</v>
      </c>
      <c r="Y789" s="21">
        <f>IF(F789="","",IF(P789&lt;&gt;"Yes",0,ROUND(U789*IF(IFERROR(INDEX(Clients!$O$5:$O$204,MATCH(IFERROR(INDEX(Jobs!$G$5:$G$604,MATCH(G789,Jobs!$A$5:$A$604,0)),""),Clients!$A$5:$A$204,0)),0)&gt;0,INDEX(Clients!$O$5:$O$204,MATCH(INDEX(Jobs!$G$5:$G$604,MATCH(G789,Jobs!$A$5:$A$604,0)),Clients!$A$5:$A$204,0)),HourlyRate),2)))</f>
        <v>0</v>
      </c>
      <c r="Z789" s="39">
        <f>IF(F789="","",IF(U789=0,"Add - no hours recorded",IF(O789="Absent - no show","Action - no show",IF(U789&gt;10,"Check - over ten hours in a day",IF(Q789&lt;&gt;"Yes","Due - needs approving",IF(R789&lt;&gt;"Yes","Due - not paid yet","OK"))))))</f>
        <v>0</v>
      </c>
    </row>
    <row r="790" spans="1:26">
      <c r="A790" s="43">
        <f>IF(F790="","","TS-"&amp;TEXT(ROW()-4,"0000"))</f>
        <v>0</v>
      </c>
      <c r="C790" s="23">
        <f>IF(B790="","",TEXT(B790,"ddd"))</f>
        <v>0</v>
      </c>
      <c r="D790" s="31">
        <f>IF(B790="","",WEEKNUM(B790,IF(WeekStart="Sunday",1,2)))</f>
        <v>0</v>
      </c>
      <c r="E790" s="23">
        <f>IF(B790="","",TEXT(B790,"yyyy-mm"))</f>
        <v>0</v>
      </c>
      <c r="H790" s="23">
        <f>IF(G790="","",IFERROR(INDEX(Jobs!$H$5:$H$604,MATCH(G790,Jobs!$A$5:$A$604,0)),""))</f>
        <v>0</v>
      </c>
      <c r="T790" s="34">
        <f>IF(OR(J790="",K790=""),"",ROUND((K790-J790)*24-IF(L790="",0,L790)/60,2))</f>
        <v>0</v>
      </c>
      <c r="U790" s="34">
        <f>IF(F790="","",IF(M790&lt;&gt;"",M790,IF(T790="",0,T790)))</f>
        <v>0</v>
      </c>
      <c r="V790" s="21">
        <f>IF(F790="","",IFERROR(INDEX(Employees!$U$5:$U$44,MATCH(F790,Employees!$B$5:$B$44,0)),PayRate*(1+EmployerOncost)))</f>
        <v>0</v>
      </c>
      <c r="W790" s="34">
        <f>IF(F790="","",MAX(0,U790-IF(N790="",0,N790)))</f>
        <v>0</v>
      </c>
      <c r="X790" s="21">
        <f>IF(F790="","",ROUND(W790*V790+IF(N790="",0,N790)*V790*OvertimeRate,2))</f>
        <v>0</v>
      </c>
      <c r="Y790" s="21">
        <f>IF(F790="","",IF(P790&lt;&gt;"Yes",0,ROUND(U790*IF(IFERROR(INDEX(Clients!$O$5:$O$204,MATCH(IFERROR(INDEX(Jobs!$G$5:$G$604,MATCH(G790,Jobs!$A$5:$A$604,0)),""),Clients!$A$5:$A$204,0)),0)&gt;0,INDEX(Clients!$O$5:$O$204,MATCH(INDEX(Jobs!$G$5:$G$604,MATCH(G790,Jobs!$A$5:$A$604,0)),Clients!$A$5:$A$204,0)),HourlyRate),2)))</f>
        <v>0</v>
      </c>
      <c r="Z790" s="39">
        <f>IF(F790="","",IF(U790=0,"Add - no hours recorded",IF(O790="Absent - no show","Action - no show",IF(U790&gt;10,"Check - over ten hours in a day",IF(Q790&lt;&gt;"Yes","Due - needs approving",IF(R790&lt;&gt;"Yes","Due - not paid yet","OK"))))))</f>
        <v>0</v>
      </c>
    </row>
    <row r="791" spans="1:26">
      <c r="A791" s="43">
        <f>IF(F791="","","TS-"&amp;TEXT(ROW()-4,"0000"))</f>
        <v>0</v>
      </c>
      <c r="C791" s="23">
        <f>IF(B791="","",TEXT(B791,"ddd"))</f>
        <v>0</v>
      </c>
      <c r="D791" s="31">
        <f>IF(B791="","",WEEKNUM(B791,IF(WeekStart="Sunday",1,2)))</f>
        <v>0</v>
      </c>
      <c r="E791" s="23">
        <f>IF(B791="","",TEXT(B791,"yyyy-mm"))</f>
        <v>0</v>
      </c>
      <c r="H791" s="23">
        <f>IF(G791="","",IFERROR(INDEX(Jobs!$H$5:$H$604,MATCH(G791,Jobs!$A$5:$A$604,0)),""))</f>
        <v>0</v>
      </c>
      <c r="T791" s="34">
        <f>IF(OR(J791="",K791=""),"",ROUND((K791-J791)*24-IF(L791="",0,L791)/60,2))</f>
        <v>0</v>
      </c>
      <c r="U791" s="34">
        <f>IF(F791="","",IF(M791&lt;&gt;"",M791,IF(T791="",0,T791)))</f>
        <v>0</v>
      </c>
      <c r="V791" s="21">
        <f>IF(F791="","",IFERROR(INDEX(Employees!$U$5:$U$44,MATCH(F791,Employees!$B$5:$B$44,0)),PayRate*(1+EmployerOncost)))</f>
        <v>0</v>
      </c>
      <c r="W791" s="34">
        <f>IF(F791="","",MAX(0,U791-IF(N791="",0,N791)))</f>
        <v>0</v>
      </c>
      <c r="X791" s="21">
        <f>IF(F791="","",ROUND(W791*V791+IF(N791="",0,N791)*V791*OvertimeRate,2))</f>
        <v>0</v>
      </c>
      <c r="Y791" s="21">
        <f>IF(F791="","",IF(P791&lt;&gt;"Yes",0,ROUND(U791*IF(IFERROR(INDEX(Clients!$O$5:$O$204,MATCH(IFERROR(INDEX(Jobs!$G$5:$G$604,MATCH(G791,Jobs!$A$5:$A$604,0)),""),Clients!$A$5:$A$204,0)),0)&gt;0,INDEX(Clients!$O$5:$O$204,MATCH(INDEX(Jobs!$G$5:$G$604,MATCH(G791,Jobs!$A$5:$A$604,0)),Clients!$A$5:$A$204,0)),HourlyRate),2)))</f>
        <v>0</v>
      </c>
      <c r="Z791" s="39">
        <f>IF(F791="","",IF(U791=0,"Add - no hours recorded",IF(O791="Absent - no show","Action - no show",IF(U791&gt;10,"Check - over ten hours in a day",IF(Q791&lt;&gt;"Yes","Due - needs approving",IF(R791&lt;&gt;"Yes","Due - not paid yet","OK"))))))</f>
        <v>0</v>
      </c>
    </row>
    <row r="792" spans="1:26">
      <c r="A792" s="43">
        <f>IF(F792="","","TS-"&amp;TEXT(ROW()-4,"0000"))</f>
        <v>0</v>
      </c>
      <c r="C792" s="23">
        <f>IF(B792="","",TEXT(B792,"ddd"))</f>
        <v>0</v>
      </c>
      <c r="D792" s="31">
        <f>IF(B792="","",WEEKNUM(B792,IF(WeekStart="Sunday",1,2)))</f>
        <v>0</v>
      </c>
      <c r="E792" s="23">
        <f>IF(B792="","",TEXT(B792,"yyyy-mm"))</f>
        <v>0</v>
      </c>
      <c r="H792" s="23">
        <f>IF(G792="","",IFERROR(INDEX(Jobs!$H$5:$H$604,MATCH(G792,Jobs!$A$5:$A$604,0)),""))</f>
        <v>0</v>
      </c>
      <c r="T792" s="34">
        <f>IF(OR(J792="",K792=""),"",ROUND((K792-J792)*24-IF(L792="",0,L792)/60,2))</f>
        <v>0</v>
      </c>
      <c r="U792" s="34">
        <f>IF(F792="","",IF(M792&lt;&gt;"",M792,IF(T792="",0,T792)))</f>
        <v>0</v>
      </c>
      <c r="V792" s="21">
        <f>IF(F792="","",IFERROR(INDEX(Employees!$U$5:$U$44,MATCH(F792,Employees!$B$5:$B$44,0)),PayRate*(1+EmployerOncost)))</f>
        <v>0</v>
      </c>
      <c r="W792" s="34">
        <f>IF(F792="","",MAX(0,U792-IF(N792="",0,N792)))</f>
        <v>0</v>
      </c>
      <c r="X792" s="21">
        <f>IF(F792="","",ROUND(W792*V792+IF(N792="",0,N792)*V792*OvertimeRate,2))</f>
        <v>0</v>
      </c>
      <c r="Y792" s="21">
        <f>IF(F792="","",IF(P792&lt;&gt;"Yes",0,ROUND(U792*IF(IFERROR(INDEX(Clients!$O$5:$O$204,MATCH(IFERROR(INDEX(Jobs!$G$5:$G$604,MATCH(G792,Jobs!$A$5:$A$604,0)),""),Clients!$A$5:$A$204,0)),0)&gt;0,INDEX(Clients!$O$5:$O$204,MATCH(INDEX(Jobs!$G$5:$G$604,MATCH(G792,Jobs!$A$5:$A$604,0)),Clients!$A$5:$A$204,0)),HourlyRate),2)))</f>
        <v>0</v>
      </c>
      <c r="Z792" s="39">
        <f>IF(F792="","",IF(U792=0,"Add - no hours recorded",IF(O792="Absent - no show","Action - no show",IF(U792&gt;10,"Check - over ten hours in a day",IF(Q792&lt;&gt;"Yes","Due - needs approving",IF(R792&lt;&gt;"Yes","Due - not paid yet","OK"))))))</f>
        <v>0</v>
      </c>
    </row>
    <row r="793" spans="1:26">
      <c r="A793" s="43">
        <f>IF(F793="","","TS-"&amp;TEXT(ROW()-4,"0000"))</f>
        <v>0</v>
      </c>
      <c r="C793" s="23">
        <f>IF(B793="","",TEXT(B793,"ddd"))</f>
        <v>0</v>
      </c>
      <c r="D793" s="31">
        <f>IF(B793="","",WEEKNUM(B793,IF(WeekStart="Sunday",1,2)))</f>
        <v>0</v>
      </c>
      <c r="E793" s="23">
        <f>IF(B793="","",TEXT(B793,"yyyy-mm"))</f>
        <v>0</v>
      </c>
      <c r="H793" s="23">
        <f>IF(G793="","",IFERROR(INDEX(Jobs!$H$5:$H$604,MATCH(G793,Jobs!$A$5:$A$604,0)),""))</f>
        <v>0</v>
      </c>
      <c r="T793" s="34">
        <f>IF(OR(J793="",K793=""),"",ROUND((K793-J793)*24-IF(L793="",0,L793)/60,2))</f>
        <v>0</v>
      </c>
      <c r="U793" s="34">
        <f>IF(F793="","",IF(M793&lt;&gt;"",M793,IF(T793="",0,T793)))</f>
        <v>0</v>
      </c>
      <c r="V793" s="21">
        <f>IF(F793="","",IFERROR(INDEX(Employees!$U$5:$U$44,MATCH(F793,Employees!$B$5:$B$44,0)),PayRate*(1+EmployerOncost)))</f>
        <v>0</v>
      </c>
      <c r="W793" s="34">
        <f>IF(F793="","",MAX(0,U793-IF(N793="",0,N793)))</f>
        <v>0</v>
      </c>
      <c r="X793" s="21">
        <f>IF(F793="","",ROUND(W793*V793+IF(N793="",0,N793)*V793*OvertimeRate,2))</f>
        <v>0</v>
      </c>
      <c r="Y793" s="21">
        <f>IF(F793="","",IF(P793&lt;&gt;"Yes",0,ROUND(U793*IF(IFERROR(INDEX(Clients!$O$5:$O$204,MATCH(IFERROR(INDEX(Jobs!$G$5:$G$604,MATCH(G793,Jobs!$A$5:$A$604,0)),""),Clients!$A$5:$A$204,0)),0)&gt;0,INDEX(Clients!$O$5:$O$204,MATCH(INDEX(Jobs!$G$5:$G$604,MATCH(G793,Jobs!$A$5:$A$604,0)),Clients!$A$5:$A$204,0)),HourlyRate),2)))</f>
        <v>0</v>
      </c>
      <c r="Z793" s="39">
        <f>IF(F793="","",IF(U793=0,"Add - no hours recorded",IF(O793="Absent - no show","Action - no show",IF(U793&gt;10,"Check - over ten hours in a day",IF(Q793&lt;&gt;"Yes","Due - needs approving",IF(R793&lt;&gt;"Yes","Due - not paid yet","OK"))))))</f>
        <v>0</v>
      </c>
    </row>
    <row r="794" spans="1:26">
      <c r="A794" s="43">
        <f>IF(F794="","","TS-"&amp;TEXT(ROW()-4,"0000"))</f>
        <v>0</v>
      </c>
      <c r="C794" s="23">
        <f>IF(B794="","",TEXT(B794,"ddd"))</f>
        <v>0</v>
      </c>
      <c r="D794" s="31">
        <f>IF(B794="","",WEEKNUM(B794,IF(WeekStart="Sunday",1,2)))</f>
        <v>0</v>
      </c>
      <c r="E794" s="23">
        <f>IF(B794="","",TEXT(B794,"yyyy-mm"))</f>
        <v>0</v>
      </c>
      <c r="H794" s="23">
        <f>IF(G794="","",IFERROR(INDEX(Jobs!$H$5:$H$604,MATCH(G794,Jobs!$A$5:$A$604,0)),""))</f>
        <v>0</v>
      </c>
      <c r="T794" s="34">
        <f>IF(OR(J794="",K794=""),"",ROUND((K794-J794)*24-IF(L794="",0,L794)/60,2))</f>
        <v>0</v>
      </c>
      <c r="U794" s="34">
        <f>IF(F794="","",IF(M794&lt;&gt;"",M794,IF(T794="",0,T794)))</f>
        <v>0</v>
      </c>
      <c r="V794" s="21">
        <f>IF(F794="","",IFERROR(INDEX(Employees!$U$5:$U$44,MATCH(F794,Employees!$B$5:$B$44,0)),PayRate*(1+EmployerOncost)))</f>
        <v>0</v>
      </c>
      <c r="W794" s="34">
        <f>IF(F794="","",MAX(0,U794-IF(N794="",0,N794)))</f>
        <v>0</v>
      </c>
      <c r="X794" s="21">
        <f>IF(F794="","",ROUND(W794*V794+IF(N794="",0,N794)*V794*OvertimeRate,2))</f>
        <v>0</v>
      </c>
      <c r="Y794" s="21">
        <f>IF(F794="","",IF(P794&lt;&gt;"Yes",0,ROUND(U794*IF(IFERROR(INDEX(Clients!$O$5:$O$204,MATCH(IFERROR(INDEX(Jobs!$G$5:$G$604,MATCH(G794,Jobs!$A$5:$A$604,0)),""),Clients!$A$5:$A$204,0)),0)&gt;0,INDEX(Clients!$O$5:$O$204,MATCH(INDEX(Jobs!$G$5:$G$604,MATCH(G794,Jobs!$A$5:$A$604,0)),Clients!$A$5:$A$204,0)),HourlyRate),2)))</f>
        <v>0</v>
      </c>
      <c r="Z794" s="39">
        <f>IF(F794="","",IF(U794=0,"Add - no hours recorded",IF(O794="Absent - no show","Action - no show",IF(U794&gt;10,"Check - over ten hours in a day",IF(Q794&lt;&gt;"Yes","Due - needs approving",IF(R794&lt;&gt;"Yes","Due - not paid yet","OK"))))))</f>
        <v>0</v>
      </c>
    </row>
    <row r="795" spans="1:26">
      <c r="A795" s="43">
        <f>IF(F795="","","TS-"&amp;TEXT(ROW()-4,"0000"))</f>
        <v>0</v>
      </c>
      <c r="C795" s="23">
        <f>IF(B795="","",TEXT(B795,"ddd"))</f>
        <v>0</v>
      </c>
      <c r="D795" s="31">
        <f>IF(B795="","",WEEKNUM(B795,IF(WeekStart="Sunday",1,2)))</f>
        <v>0</v>
      </c>
      <c r="E795" s="23">
        <f>IF(B795="","",TEXT(B795,"yyyy-mm"))</f>
        <v>0</v>
      </c>
      <c r="H795" s="23">
        <f>IF(G795="","",IFERROR(INDEX(Jobs!$H$5:$H$604,MATCH(G795,Jobs!$A$5:$A$604,0)),""))</f>
        <v>0</v>
      </c>
      <c r="T795" s="34">
        <f>IF(OR(J795="",K795=""),"",ROUND((K795-J795)*24-IF(L795="",0,L795)/60,2))</f>
        <v>0</v>
      </c>
      <c r="U795" s="34">
        <f>IF(F795="","",IF(M795&lt;&gt;"",M795,IF(T795="",0,T795)))</f>
        <v>0</v>
      </c>
      <c r="V795" s="21">
        <f>IF(F795="","",IFERROR(INDEX(Employees!$U$5:$U$44,MATCH(F795,Employees!$B$5:$B$44,0)),PayRate*(1+EmployerOncost)))</f>
        <v>0</v>
      </c>
      <c r="W795" s="34">
        <f>IF(F795="","",MAX(0,U795-IF(N795="",0,N795)))</f>
        <v>0</v>
      </c>
      <c r="X795" s="21">
        <f>IF(F795="","",ROUND(W795*V795+IF(N795="",0,N795)*V795*OvertimeRate,2))</f>
        <v>0</v>
      </c>
      <c r="Y795" s="21">
        <f>IF(F795="","",IF(P795&lt;&gt;"Yes",0,ROUND(U795*IF(IFERROR(INDEX(Clients!$O$5:$O$204,MATCH(IFERROR(INDEX(Jobs!$G$5:$G$604,MATCH(G795,Jobs!$A$5:$A$604,0)),""),Clients!$A$5:$A$204,0)),0)&gt;0,INDEX(Clients!$O$5:$O$204,MATCH(INDEX(Jobs!$G$5:$G$604,MATCH(G795,Jobs!$A$5:$A$604,0)),Clients!$A$5:$A$204,0)),HourlyRate),2)))</f>
        <v>0</v>
      </c>
      <c r="Z795" s="39">
        <f>IF(F795="","",IF(U795=0,"Add - no hours recorded",IF(O795="Absent - no show","Action - no show",IF(U795&gt;10,"Check - over ten hours in a day",IF(Q795&lt;&gt;"Yes","Due - needs approving",IF(R795&lt;&gt;"Yes","Due - not paid yet","OK"))))))</f>
        <v>0</v>
      </c>
    </row>
    <row r="796" spans="1:26">
      <c r="A796" s="43">
        <f>IF(F796="","","TS-"&amp;TEXT(ROW()-4,"0000"))</f>
        <v>0</v>
      </c>
      <c r="C796" s="23">
        <f>IF(B796="","",TEXT(B796,"ddd"))</f>
        <v>0</v>
      </c>
      <c r="D796" s="31">
        <f>IF(B796="","",WEEKNUM(B796,IF(WeekStart="Sunday",1,2)))</f>
        <v>0</v>
      </c>
      <c r="E796" s="23">
        <f>IF(B796="","",TEXT(B796,"yyyy-mm"))</f>
        <v>0</v>
      </c>
      <c r="H796" s="23">
        <f>IF(G796="","",IFERROR(INDEX(Jobs!$H$5:$H$604,MATCH(G796,Jobs!$A$5:$A$604,0)),""))</f>
        <v>0</v>
      </c>
      <c r="T796" s="34">
        <f>IF(OR(J796="",K796=""),"",ROUND((K796-J796)*24-IF(L796="",0,L796)/60,2))</f>
        <v>0</v>
      </c>
      <c r="U796" s="34">
        <f>IF(F796="","",IF(M796&lt;&gt;"",M796,IF(T796="",0,T796)))</f>
        <v>0</v>
      </c>
      <c r="V796" s="21">
        <f>IF(F796="","",IFERROR(INDEX(Employees!$U$5:$U$44,MATCH(F796,Employees!$B$5:$B$44,0)),PayRate*(1+EmployerOncost)))</f>
        <v>0</v>
      </c>
      <c r="W796" s="34">
        <f>IF(F796="","",MAX(0,U796-IF(N796="",0,N796)))</f>
        <v>0</v>
      </c>
      <c r="X796" s="21">
        <f>IF(F796="","",ROUND(W796*V796+IF(N796="",0,N796)*V796*OvertimeRate,2))</f>
        <v>0</v>
      </c>
      <c r="Y796" s="21">
        <f>IF(F796="","",IF(P796&lt;&gt;"Yes",0,ROUND(U796*IF(IFERROR(INDEX(Clients!$O$5:$O$204,MATCH(IFERROR(INDEX(Jobs!$G$5:$G$604,MATCH(G796,Jobs!$A$5:$A$604,0)),""),Clients!$A$5:$A$204,0)),0)&gt;0,INDEX(Clients!$O$5:$O$204,MATCH(INDEX(Jobs!$G$5:$G$604,MATCH(G796,Jobs!$A$5:$A$604,0)),Clients!$A$5:$A$204,0)),HourlyRate),2)))</f>
        <v>0</v>
      </c>
      <c r="Z796" s="39">
        <f>IF(F796="","",IF(U796=0,"Add - no hours recorded",IF(O796="Absent - no show","Action - no show",IF(U796&gt;10,"Check - over ten hours in a day",IF(Q796&lt;&gt;"Yes","Due - needs approving",IF(R796&lt;&gt;"Yes","Due - not paid yet","OK"))))))</f>
        <v>0</v>
      </c>
    </row>
    <row r="797" spans="1:26">
      <c r="A797" s="43">
        <f>IF(F797="","","TS-"&amp;TEXT(ROW()-4,"0000"))</f>
        <v>0</v>
      </c>
      <c r="C797" s="23">
        <f>IF(B797="","",TEXT(B797,"ddd"))</f>
        <v>0</v>
      </c>
      <c r="D797" s="31">
        <f>IF(B797="","",WEEKNUM(B797,IF(WeekStart="Sunday",1,2)))</f>
        <v>0</v>
      </c>
      <c r="E797" s="23">
        <f>IF(B797="","",TEXT(B797,"yyyy-mm"))</f>
        <v>0</v>
      </c>
      <c r="H797" s="23">
        <f>IF(G797="","",IFERROR(INDEX(Jobs!$H$5:$H$604,MATCH(G797,Jobs!$A$5:$A$604,0)),""))</f>
        <v>0</v>
      </c>
      <c r="T797" s="34">
        <f>IF(OR(J797="",K797=""),"",ROUND((K797-J797)*24-IF(L797="",0,L797)/60,2))</f>
        <v>0</v>
      </c>
      <c r="U797" s="34">
        <f>IF(F797="","",IF(M797&lt;&gt;"",M797,IF(T797="",0,T797)))</f>
        <v>0</v>
      </c>
      <c r="V797" s="21">
        <f>IF(F797="","",IFERROR(INDEX(Employees!$U$5:$U$44,MATCH(F797,Employees!$B$5:$B$44,0)),PayRate*(1+EmployerOncost)))</f>
        <v>0</v>
      </c>
      <c r="W797" s="34">
        <f>IF(F797="","",MAX(0,U797-IF(N797="",0,N797)))</f>
        <v>0</v>
      </c>
      <c r="X797" s="21">
        <f>IF(F797="","",ROUND(W797*V797+IF(N797="",0,N797)*V797*OvertimeRate,2))</f>
        <v>0</v>
      </c>
      <c r="Y797" s="21">
        <f>IF(F797="","",IF(P797&lt;&gt;"Yes",0,ROUND(U797*IF(IFERROR(INDEX(Clients!$O$5:$O$204,MATCH(IFERROR(INDEX(Jobs!$G$5:$G$604,MATCH(G797,Jobs!$A$5:$A$604,0)),""),Clients!$A$5:$A$204,0)),0)&gt;0,INDEX(Clients!$O$5:$O$204,MATCH(INDEX(Jobs!$G$5:$G$604,MATCH(G797,Jobs!$A$5:$A$604,0)),Clients!$A$5:$A$204,0)),HourlyRate),2)))</f>
        <v>0</v>
      </c>
      <c r="Z797" s="39">
        <f>IF(F797="","",IF(U797=0,"Add - no hours recorded",IF(O797="Absent - no show","Action - no show",IF(U797&gt;10,"Check - over ten hours in a day",IF(Q797&lt;&gt;"Yes","Due - needs approving",IF(R797&lt;&gt;"Yes","Due - not paid yet","OK"))))))</f>
        <v>0</v>
      </c>
    </row>
    <row r="798" spans="1:26">
      <c r="A798" s="43">
        <f>IF(F798="","","TS-"&amp;TEXT(ROW()-4,"0000"))</f>
        <v>0</v>
      </c>
      <c r="C798" s="23">
        <f>IF(B798="","",TEXT(B798,"ddd"))</f>
        <v>0</v>
      </c>
      <c r="D798" s="31">
        <f>IF(B798="","",WEEKNUM(B798,IF(WeekStart="Sunday",1,2)))</f>
        <v>0</v>
      </c>
      <c r="E798" s="23">
        <f>IF(B798="","",TEXT(B798,"yyyy-mm"))</f>
        <v>0</v>
      </c>
      <c r="H798" s="23">
        <f>IF(G798="","",IFERROR(INDEX(Jobs!$H$5:$H$604,MATCH(G798,Jobs!$A$5:$A$604,0)),""))</f>
        <v>0</v>
      </c>
      <c r="T798" s="34">
        <f>IF(OR(J798="",K798=""),"",ROUND((K798-J798)*24-IF(L798="",0,L798)/60,2))</f>
        <v>0</v>
      </c>
      <c r="U798" s="34">
        <f>IF(F798="","",IF(M798&lt;&gt;"",M798,IF(T798="",0,T798)))</f>
        <v>0</v>
      </c>
      <c r="V798" s="21">
        <f>IF(F798="","",IFERROR(INDEX(Employees!$U$5:$U$44,MATCH(F798,Employees!$B$5:$B$44,0)),PayRate*(1+EmployerOncost)))</f>
        <v>0</v>
      </c>
      <c r="W798" s="34">
        <f>IF(F798="","",MAX(0,U798-IF(N798="",0,N798)))</f>
        <v>0</v>
      </c>
      <c r="X798" s="21">
        <f>IF(F798="","",ROUND(W798*V798+IF(N798="",0,N798)*V798*OvertimeRate,2))</f>
        <v>0</v>
      </c>
      <c r="Y798" s="21">
        <f>IF(F798="","",IF(P798&lt;&gt;"Yes",0,ROUND(U798*IF(IFERROR(INDEX(Clients!$O$5:$O$204,MATCH(IFERROR(INDEX(Jobs!$G$5:$G$604,MATCH(G798,Jobs!$A$5:$A$604,0)),""),Clients!$A$5:$A$204,0)),0)&gt;0,INDEX(Clients!$O$5:$O$204,MATCH(INDEX(Jobs!$G$5:$G$604,MATCH(G798,Jobs!$A$5:$A$604,0)),Clients!$A$5:$A$204,0)),HourlyRate),2)))</f>
        <v>0</v>
      </c>
      <c r="Z798" s="39">
        <f>IF(F798="","",IF(U798=0,"Add - no hours recorded",IF(O798="Absent - no show","Action - no show",IF(U798&gt;10,"Check - over ten hours in a day",IF(Q798&lt;&gt;"Yes","Due - needs approving",IF(R798&lt;&gt;"Yes","Due - not paid yet","OK"))))))</f>
        <v>0</v>
      </c>
    </row>
    <row r="799" spans="1:26">
      <c r="A799" s="43">
        <f>IF(F799="","","TS-"&amp;TEXT(ROW()-4,"0000"))</f>
        <v>0</v>
      </c>
      <c r="C799" s="23">
        <f>IF(B799="","",TEXT(B799,"ddd"))</f>
        <v>0</v>
      </c>
      <c r="D799" s="31">
        <f>IF(B799="","",WEEKNUM(B799,IF(WeekStart="Sunday",1,2)))</f>
        <v>0</v>
      </c>
      <c r="E799" s="23">
        <f>IF(B799="","",TEXT(B799,"yyyy-mm"))</f>
        <v>0</v>
      </c>
      <c r="H799" s="23">
        <f>IF(G799="","",IFERROR(INDEX(Jobs!$H$5:$H$604,MATCH(G799,Jobs!$A$5:$A$604,0)),""))</f>
        <v>0</v>
      </c>
      <c r="T799" s="34">
        <f>IF(OR(J799="",K799=""),"",ROUND((K799-J799)*24-IF(L799="",0,L799)/60,2))</f>
        <v>0</v>
      </c>
      <c r="U799" s="34">
        <f>IF(F799="","",IF(M799&lt;&gt;"",M799,IF(T799="",0,T799)))</f>
        <v>0</v>
      </c>
      <c r="V799" s="21">
        <f>IF(F799="","",IFERROR(INDEX(Employees!$U$5:$U$44,MATCH(F799,Employees!$B$5:$B$44,0)),PayRate*(1+EmployerOncost)))</f>
        <v>0</v>
      </c>
      <c r="W799" s="34">
        <f>IF(F799="","",MAX(0,U799-IF(N799="",0,N799)))</f>
        <v>0</v>
      </c>
      <c r="X799" s="21">
        <f>IF(F799="","",ROUND(W799*V799+IF(N799="",0,N799)*V799*OvertimeRate,2))</f>
        <v>0</v>
      </c>
      <c r="Y799" s="21">
        <f>IF(F799="","",IF(P799&lt;&gt;"Yes",0,ROUND(U799*IF(IFERROR(INDEX(Clients!$O$5:$O$204,MATCH(IFERROR(INDEX(Jobs!$G$5:$G$604,MATCH(G799,Jobs!$A$5:$A$604,0)),""),Clients!$A$5:$A$204,0)),0)&gt;0,INDEX(Clients!$O$5:$O$204,MATCH(INDEX(Jobs!$G$5:$G$604,MATCH(G799,Jobs!$A$5:$A$604,0)),Clients!$A$5:$A$204,0)),HourlyRate),2)))</f>
        <v>0</v>
      </c>
      <c r="Z799" s="39">
        <f>IF(F799="","",IF(U799=0,"Add - no hours recorded",IF(O799="Absent - no show","Action - no show",IF(U799&gt;10,"Check - over ten hours in a day",IF(Q799&lt;&gt;"Yes","Due - needs approving",IF(R799&lt;&gt;"Yes","Due - not paid yet","OK"))))))</f>
        <v>0</v>
      </c>
    </row>
    <row r="800" spans="1:26">
      <c r="A800" s="43">
        <f>IF(F800="","","TS-"&amp;TEXT(ROW()-4,"0000"))</f>
        <v>0</v>
      </c>
      <c r="C800" s="23">
        <f>IF(B800="","",TEXT(B800,"ddd"))</f>
        <v>0</v>
      </c>
      <c r="D800" s="31">
        <f>IF(B800="","",WEEKNUM(B800,IF(WeekStart="Sunday",1,2)))</f>
        <v>0</v>
      </c>
      <c r="E800" s="23">
        <f>IF(B800="","",TEXT(B800,"yyyy-mm"))</f>
        <v>0</v>
      </c>
      <c r="H800" s="23">
        <f>IF(G800="","",IFERROR(INDEX(Jobs!$H$5:$H$604,MATCH(G800,Jobs!$A$5:$A$604,0)),""))</f>
        <v>0</v>
      </c>
      <c r="T800" s="34">
        <f>IF(OR(J800="",K800=""),"",ROUND((K800-J800)*24-IF(L800="",0,L800)/60,2))</f>
        <v>0</v>
      </c>
      <c r="U800" s="34">
        <f>IF(F800="","",IF(M800&lt;&gt;"",M800,IF(T800="",0,T800)))</f>
        <v>0</v>
      </c>
      <c r="V800" s="21">
        <f>IF(F800="","",IFERROR(INDEX(Employees!$U$5:$U$44,MATCH(F800,Employees!$B$5:$B$44,0)),PayRate*(1+EmployerOncost)))</f>
        <v>0</v>
      </c>
      <c r="W800" s="34">
        <f>IF(F800="","",MAX(0,U800-IF(N800="",0,N800)))</f>
        <v>0</v>
      </c>
      <c r="X800" s="21">
        <f>IF(F800="","",ROUND(W800*V800+IF(N800="",0,N800)*V800*OvertimeRate,2))</f>
        <v>0</v>
      </c>
      <c r="Y800" s="21">
        <f>IF(F800="","",IF(P800&lt;&gt;"Yes",0,ROUND(U800*IF(IFERROR(INDEX(Clients!$O$5:$O$204,MATCH(IFERROR(INDEX(Jobs!$G$5:$G$604,MATCH(G800,Jobs!$A$5:$A$604,0)),""),Clients!$A$5:$A$204,0)),0)&gt;0,INDEX(Clients!$O$5:$O$204,MATCH(INDEX(Jobs!$G$5:$G$604,MATCH(G800,Jobs!$A$5:$A$604,0)),Clients!$A$5:$A$204,0)),HourlyRate),2)))</f>
        <v>0</v>
      </c>
      <c r="Z800" s="39">
        <f>IF(F800="","",IF(U800=0,"Add - no hours recorded",IF(O800="Absent - no show","Action - no show",IF(U800&gt;10,"Check - over ten hours in a day",IF(Q800&lt;&gt;"Yes","Due - needs approving",IF(R800&lt;&gt;"Yes","Due - not paid yet","OK"))))))</f>
        <v>0</v>
      </c>
    </row>
    <row r="801" spans="1:26">
      <c r="A801" s="43">
        <f>IF(F801="","","TS-"&amp;TEXT(ROW()-4,"0000"))</f>
        <v>0</v>
      </c>
      <c r="C801" s="23">
        <f>IF(B801="","",TEXT(B801,"ddd"))</f>
        <v>0</v>
      </c>
      <c r="D801" s="31">
        <f>IF(B801="","",WEEKNUM(B801,IF(WeekStart="Sunday",1,2)))</f>
        <v>0</v>
      </c>
      <c r="E801" s="23">
        <f>IF(B801="","",TEXT(B801,"yyyy-mm"))</f>
        <v>0</v>
      </c>
      <c r="H801" s="23">
        <f>IF(G801="","",IFERROR(INDEX(Jobs!$H$5:$H$604,MATCH(G801,Jobs!$A$5:$A$604,0)),""))</f>
        <v>0</v>
      </c>
      <c r="T801" s="34">
        <f>IF(OR(J801="",K801=""),"",ROUND((K801-J801)*24-IF(L801="",0,L801)/60,2))</f>
        <v>0</v>
      </c>
      <c r="U801" s="34">
        <f>IF(F801="","",IF(M801&lt;&gt;"",M801,IF(T801="",0,T801)))</f>
        <v>0</v>
      </c>
      <c r="V801" s="21">
        <f>IF(F801="","",IFERROR(INDEX(Employees!$U$5:$U$44,MATCH(F801,Employees!$B$5:$B$44,0)),PayRate*(1+EmployerOncost)))</f>
        <v>0</v>
      </c>
      <c r="W801" s="34">
        <f>IF(F801="","",MAX(0,U801-IF(N801="",0,N801)))</f>
        <v>0</v>
      </c>
      <c r="X801" s="21">
        <f>IF(F801="","",ROUND(W801*V801+IF(N801="",0,N801)*V801*OvertimeRate,2))</f>
        <v>0</v>
      </c>
      <c r="Y801" s="21">
        <f>IF(F801="","",IF(P801&lt;&gt;"Yes",0,ROUND(U801*IF(IFERROR(INDEX(Clients!$O$5:$O$204,MATCH(IFERROR(INDEX(Jobs!$G$5:$G$604,MATCH(G801,Jobs!$A$5:$A$604,0)),""),Clients!$A$5:$A$204,0)),0)&gt;0,INDEX(Clients!$O$5:$O$204,MATCH(INDEX(Jobs!$G$5:$G$604,MATCH(G801,Jobs!$A$5:$A$604,0)),Clients!$A$5:$A$204,0)),HourlyRate),2)))</f>
        <v>0</v>
      </c>
      <c r="Z801" s="39">
        <f>IF(F801="","",IF(U801=0,"Add - no hours recorded",IF(O801="Absent - no show","Action - no show",IF(U801&gt;10,"Check - over ten hours in a day",IF(Q801&lt;&gt;"Yes","Due - needs approving",IF(R801&lt;&gt;"Yes","Due - not paid yet","OK"))))))</f>
        <v>0</v>
      </c>
    </row>
    <row r="802" spans="1:26">
      <c r="A802" s="43">
        <f>IF(F802="","","TS-"&amp;TEXT(ROW()-4,"0000"))</f>
        <v>0</v>
      </c>
      <c r="C802" s="23">
        <f>IF(B802="","",TEXT(B802,"ddd"))</f>
        <v>0</v>
      </c>
      <c r="D802" s="31">
        <f>IF(B802="","",WEEKNUM(B802,IF(WeekStart="Sunday",1,2)))</f>
        <v>0</v>
      </c>
      <c r="E802" s="23">
        <f>IF(B802="","",TEXT(B802,"yyyy-mm"))</f>
        <v>0</v>
      </c>
      <c r="H802" s="23">
        <f>IF(G802="","",IFERROR(INDEX(Jobs!$H$5:$H$604,MATCH(G802,Jobs!$A$5:$A$604,0)),""))</f>
        <v>0</v>
      </c>
      <c r="T802" s="34">
        <f>IF(OR(J802="",K802=""),"",ROUND((K802-J802)*24-IF(L802="",0,L802)/60,2))</f>
        <v>0</v>
      </c>
      <c r="U802" s="34">
        <f>IF(F802="","",IF(M802&lt;&gt;"",M802,IF(T802="",0,T802)))</f>
        <v>0</v>
      </c>
      <c r="V802" s="21">
        <f>IF(F802="","",IFERROR(INDEX(Employees!$U$5:$U$44,MATCH(F802,Employees!$B$5:$B$44,0)),PayRate*(1+EmployerOncost)))</f>
        <v>0</v>
      </c>
      <c r="W802" s="34">
        <f>IF(F802="","",MAX(0,U802-IF(N802="",0,N802)))</f>
        <v>0</v>
      </c>
      <c r="X802" s="21">
        <f>IF(F802="","",ROUND(W802*V802+IF(N802="",0,N802)*V802*OvertimeRate,2))</f>
        <v>0</v>
      </c>
      <c r="Y802" s="21">
        <f>IF(F802="","",IF(P802&lt;&gt;"Yes",0,ROUND(U802*IF(IFERROR(INDEX(Clients!$O$5:$O$204,MATCH(IFERROR(INDEX(Jobs!$G$5:$G$604,MATCH(G802,Jobs!$A$5:$A$604,0)),""),Clients!$A$5:$A$204,0)),0)&gt;0,INDEX(Clients!$O$5:$O$204,MATCH(INDEX(Jobs!$G$5:$G$604,MATCH(G802,Jobs!$A$5:$A$604,0)),Clients!$A$5:$A$204,0)),HourlyRate),2)))</f>
        <v>0</v>
      </c>
      <c r="Z802" s="39">
        <f>IF(F802="","",IF(U802=0,"Add - no hours recorded",IF(O802="Absent - no show","Action - no show",IF(U802&gt;10,"Check - over ten hours in a day",IF(Q802&lt;&gt;"Yes","Due - needs approving",IF(R802&lt;&gt;"Yes","Due - not paid yet","OK"))))))</f>
        <v>0</v>
      </c>
    </row>
    <row r="803" spans="1:26">
      <c r="A803" s="43">
        <f>IF(F803="","","TS-"&amp;TEXT(ROW()-4,"0000"))</f>
        <v>0</v>
      </c>
      <c r="C803" s="23">
        <f>IF(B803="","",TEXT(B803,"ddd"))</f>
        <v>0</v>
      </c>
      <c r="D803" s="31">
        <f>IF(B803="","",WEEKNUM(B803,IF(WeekStart="Sunday",1,2)))</f>
        <v>0</v>
      </c>
      <c r="E803" s="23">
        <f>IF(B803="","",TEXT(B803,"yyyy-mm"))</f>
        <v>0</v>
      </c>
      <c r="H803" s="23">
        <f>IF(G803="","",IFERROR(INDEX(Jobs!$H$5:$H$604,MATCH(G803,Jobs!$A$5:$A$604,0)),""))</f>
        <v>0</v>
      </c>
      <c r="T803" s="34">
        <f>IF(OR(J803="",K803=""),"",ROUND((K803-J803)*24-IF(L803="",0,L803)/60,2))</f>
        <v>0</v>
      </c>
      <c r="U803" s="34">
        <f>IF(F803="","",IF(M803&lt;&gt;"",M803,IF(T803="",0,T803)))</f>
        <v>0</v>
      </c>
      <c r="V803" s="21">
        <f>IF(F803="","",IFERROR(INDEX(Employees!$U$5:$U$44,MATCH(F803,Employees!$B$5:$B$44,0)),PayRate*(1+EmployerOncost)))</f>
        <v>0</v>
      </c>
      <c r="W803" s="34">
        <f>IF(F803="","",MAX(0,U803-IF(N803="",0,N803)))</f>
        <v>0</v>
      </c>
      <c r="X803" s="21">
        <f>IF(F803="","",ROUND(W803*V803+IF(N803="",0,N803)*V803*OvertimeRate,2))</f>
        <v>0</v>
      </c>
      <c r="Y803" s="21">
        <f>IF(F803="","",IF(P803&lt;&gt;"Yes",0,ROUND(U803*IF(IFERROR(INDEX(Clients!$O$5:$O$204,MATCH(IFERROR(INDEX(Jobs!$G$5:$G$604,MATCH(G803,Jobs!$A$5:$A$604,0)),""),Clients!$A$5:$A$204,0)),0)&gt;0,INDEX(Clients!$O$5:$O$204,MATCH(INDEX(Jobs!$G$5:$G$604,MATCH(G803,Jobs!$A$5:$A$604,0)),Clients!$A$5:$A$204,0)),HourlyRate),2)))</f>
        <v>0</v>
      </c>
      <c r="Z803" s="39">
        <f>IF(F803="","",IF(U803=0,"Add - no hours recorded",IF(O803="Absent - no show","Action - no show",IF(U803&gt;10,"Check - over ten hours in a day",IF(Q803&lt;&gt;"Yes","Due - needs approving",IF(R803&lt;&gt;"Yes","Due - not paid yet","OK"))))))</f>
        <v>0</v>
      </c>
    </row>
    <row r="804" spans="1:26">
      <c r="A804" s="43">
        <f>IF(F804="","","TS-"&amp;TEXT(ROW()-4,"0000"))</f>
        <v>0</v>
      </c>
      <c r="C804" s="23">
        <f>IF(B804="","",TEXT(B804,"ddd"))</f>
        <v>0</v>
      </c>
      <c r="D804" s="31">
        <f>IF(B804="","",WEEKNUM(B804,IF(WeekStart="Sunday",1,2)))</f>
        <v>0</v>
      </c>
      <c r="E804" s="23">
        <f>IF(B804="","",TEXT(B804,"yyyy-mm"))</f>
        <v>0</v>
      </c>
      <c r="H804" s="23">
        <f>IF(G804="","",IFERROR(INDEX(Jobs!$H$5:$H$604,MATCH(G804,Jobs!$A$5:$A$604,0)),""))</f>
        <v>0</v>
      </c>
      <c r="T804" s="34">
        <f>IF(OR(J804="",K804=""),"",ROUND((K804-J804)*24-IF(L804="",0,L804)/60,2))</f>
        <v>0</v>
      </c>
      <c r="U804" s="34">
        <f>IF(F804="","",IF(M804&lt;&gt;"",M804,IF(T804="",0,T804)))</f>
        <v>0</v>
      </c>
      <c r="V804" s="21">
        <f>IF(F804="","",IFERROR(INDEX(Employees!$U$5:$U$44,MATCH(F804,Employees!$B$5:$B$44,0)),PayRate*(1+EmployerOncost)))</f>
        <v>0</v>
      </c>
      <c r="W804" s="34">
        <f>IF(F804="","",MAX(0,U804-IF(N804="",0,N804)))</f>
        <v>0</v>
      </c>
      <c r="X804" s="21">
        <f>IF(F804="","",ROUND(W804*V804+IF(N804="",0,N804)*V804*OvertimeRate,2))</f>
        <v>0</v>
      </c>
      <c r="Y804" s="21">
        <f>IF(F804="","",IF(P804&lt;&gt;"Yes",0,ROUND(U804*IF(IFERROR(INDEX(Clients!$O$5:$O$204,MATCH(IFERROR(INDEX(Jobs!$G$5:$G$604,MATCH(G804,Jobs!$A$5:$A$604,0)),""),Clients!$A$5:$A$204,0)),0)&gt;0,INDEX(Clients!$O$5:$O$204,MATCH(INDEX(Jobs!$G$5:$G$604,MATCH(G804,Jobs!$A$5:$A$604,0)),Clients!$A$5:$A$204,0)),HourlyRate),2)))</f>
        <v>0</v>
      </c>
      <c r="Z804" s="39">
        <f>IF(F804="","",IF(U804=0,"Add - no hours recorded",IF(O804="Absent - no show","Action - no show",IF(U804&gt;10,"Check - over ten hours in a day",IF(Q804&lt;&gt;"Yes","Due - needs approving",IF(R804&lt;&gt;"Yes","Due - not paid yet","OK"))))))</f>
        <v>0</v>
      </c>
    </row>
  </sheetData>
  <sheetProtection password="EC7C" sheet="1" objects="1" scenarios="1" formatCells="0" formatColumns="0" formatRows="0" insertRows="0" insertHyperlinks="0" deleteRows="0" autoFilter="0"/>
  <autoFilter ref="A4:Z804"/>
  <mergeCells count="13">
    <mergeCell ref="A1:W1"/>
    <mergeCell ref="X1:Z1"/>
    <mergeCell ref="A2:Z2"/>
    <mergeCell ref="A3:B3"/>
    <mergeCell ref="C3:D3"/>
    <mergeCell ref="E3:F3"/>
    <mergeCell ref="G3:H3"/>
    <mergeCell ref="I3:J3"/>
    <mergeCell ref="K3:L3"/>
    <mergeCell ref="M3:N3"/>
    <mergeCell ref="O3:P3"/>
    <mergeCell ref="Q3:R3"/>
    <mergeCell ref="S3:Z3"/>
  </mergeCells>
  <conditionalFormatting sqref="O5:O804">
    <cfRule type="containsText" dxfId="1" priority="1" operator="containsText" text="Completed">
      <formula>NOT(ISERROR(SEARCH("Completed",O5)))</formula>
    </cfRule>
    <cfRule type="containsText" dxfId="1" priority="2" operator="containsText" text="Complete">
      <formula>NOT(ISERROR(SEARCH("Complete",O5)))</formula>
    </cfRule>
    <cfRule type="containsText" dxfId="1" priority="3" operator="containsText" text="Done">
      <formula>NOT(ISERROR(SEARCH("Done",O5)))</formula>
    </cfRule>
    <cfRule type="containsText" dxfId="1" priority="4" operator="containsText" text="Paid">
      <formula>NOT(ISERROR(SEARCH("Paid",O5)))</formula>
    </cfRule>
    <cfRule type="containsText" dxfId="1" priority="5" operator="containsText" text="Accepted">
      <formula>NOT(ISERROR(SEARCH("Accepted",O5)))</formula>
    </cfRule>
    <cfRule type="containsText" dxfId="1" priority="6" operator="containsText" text="Won">
      <formula>NOT(ISERROR(SEARCH("Won",O5)))</formula>
    </cfRule>
    <cfRule type="containsText" dxfId="1" priority="7" operator="containsText" text="Active">
      <formula>NOT(ISERROR(SEARCH("Active",O5)))</formula>
    </cfRule>
    <cfRule type="containsText" dxfId="1" priority="8" operator="containsText" text="In stock">
      <formula>NOT(ISERROR(SEARCH("In stock",O5)))</formula>
    </cfRule>
    <cfRule type="containsText" dxfId="1" priority="9" operator="containsText" text="Resolved">
      <formula>NOT(ISERROR(SEARCH("Resolved",O5)))</formula>
    </cfRule>
    <cfRule type="containsText" dxfId="1" priority="10" operator="containsText" text="Signed">
      <formula>NOT(ISERROR(SEARCH("Signed",O5)))</formula>
    </cfRule>
    <cfRule type="containsText" dxfId="1" priority="11" operator="containsText" text="Yes">
      <formula>NOT(ISERROR(SEARCH("Yes",O5)))</formula>
    </cfRule>
    <cfRule type="containsText" dxfId="3" priority="12" operator="containsText" text="Booked">
      <formula>NOT(ISERROR(SEARCH("Booked",O5)))</formula>
    </cfRule>
    <cfRule type="containsText" dxfId="3" priority="13" operator="containsText" text="Confirmed">
      <formula>NOT(ISERROR(SEARCH("Confirmed",O5)))</formula>
    </cfRule>
    <cfRule type="containsText" dxfId="3" priority="14" operator="containsText" text="Scheduled">
      <formula>NOT(ISERROR(SEARCH("Scheduled",O5)))</formula>
    </cfRule>
    <cfRule type="containsText" dxfId="3" priority="15" operator="containsText" text="In progress">
      <formula>NOT(ISERROR(SEARCH("In progress",O5)))</formula>
    </cfRule>
    <cfRule type="containsText" dxfId="3" priority="16" operator="containsText" text="Sent">
      <formula>NOT(ISERROR(SEARCH("Sent",O5)))</formula>
    </cfRule>
    <cfRule type="containsText" dxfId="3" priority="17" operator="containsText" text="Invoiced">
      <formula>NOT(ISERROR(SEARCH("Invoiced",O5)))</formula>
    </cfRule>
    <cfRule type="containsText" dxfId="3" priority="18" operator="containsText" text="Quoted">
      <formula>NOT(ISERROR(SEARCH("Quoted",O5)))</formula>
    </cfRule>
    <cfRule type="containsText" dxfId="3" priority="19" operator="containsText" text="Prospect">
      <formula>NOT(ISERROR(SEARCH("Prospect",O5)))</formula>
    </cfRule>
    <cfRule type="containsText" dxfId="0" priority="20" operator="containsText" text="Draft">
      <formula>NOT(ISERROR(SEARCH("Draft",O5)))</formula>
    </cfRule>
    <cfRule type="containsText" dxfId="0" priority="21" operator="containsText" text="Enquiry">
      <formula>NOT(ISERROR(SEARCH("Enquiry",O5)))</formula>
    </cfRule>
    <cfRule type="containsText" dxfId="0" priority="22" operator="containsText" text="Pending">
      <formula>NOT(ISERROR(SEARCH("Pending",O5)))</formula>
    </cfRule>
    <cfRule type="containsText" dxfId="0" priority="23" operator="containsText" text="Part paid">
      <formula>NOT(ISERROR(SEARCH("Part paid",O5)))</formula>
    </cfRule>
    <cfRule type="containsText" dxfId="0" priority="24" operator="containsText" text="Followed up">
      <formula>NOT(ISERROR(SEARCH("Followed up",O5)))</formula>
    </cfRule>
    <cfRule type="containsText" dxfId="0" priority="25" operator="containsText" text="Low stock">
      <formula>NOT(ISERROR(SEARCH("Low stock",O5)))</formula>
    </cfRule>
    <cfRule type="containsText" dxfId="0" priority="26" operator="containsText" text="Due soon">
      <formula>NOT(ISERROR(SEARCH("Due soon",O5)))</formula>
    </cfRule>
    <cfRule type="containsText" dxfId="0" priority="27" operator="containsText" text="On hold">
      <formula>NOT(ISERROR(SEARCH("On hold",O5)))</formula>
    </cfRule>
    <cfRule type="containsText" dxfId="0" priority="28" operator="containsText" text="Unassigned">
      <formula>NOT(ISERROR(SEARCH("Unassigned",O5)))</formula>
    </cfRule>
    <cfRule type="containsText" dxfId="2" priority="29" operator="containsText" text="Overdue">
      <formula>NOT(ISERROR(SEARCH("Overdue",O5)))</formula>
    </cfRule>
    <cfRule type="containsText" dxfId="2" priority="30" operator="containsText" text="Cancelled">
      <formula>NOT(ISERROR(SEARCH("Cancelled",O5)))</formula>
    </cfRule>
    <cfRule type="containsText" dxfId="2" priority="31" operator="containsText" text="Declined">
      <formula>NOT(ISERROR(SEARCH("Declined",O5)))</formula>
    </cfRule>
    <cfRule type="containsText" dxfId="2" priority="32" operator="containsText" text="Lost">
      <formula>NOT(ISERROR(SEARCH("Lost",O5)))</formula>
    </cfRule>
    <cfRule type="containsText" dxfId="2" priority="33" operator="containsText" text="No access">
      <formula>NOT(ISERROR(SEARCH("No access",O5)))</formula>
    </cfRule>
    <cfRule type="containsText" dxfId="2" priority="34" operator="containsText" text="Out of stock">
      <formula>NOT(ISERROR(SEARCH("Out of stock",O5)))</formula>
    </cfRule>
    <cfRule type="containsText" dxfId="2" priority="35" operator="containsText" text="Written off">
      <formula>NOT(ISERROR(SEARCH("Written off",O5)))</formula>
    </cfRule>
    <cfRule type="containsText" dxfId="2" priority="36" operator="containsText" text="Expired">
      <formula>NOT(ISERROR(SEARCH("Expired",O5)))</formula>
    </cfRule>
    <cfRule type="containsText" dxfId="4" priority="37" operator="containsText" text="Inactive">
      <formula>NOT(ISERROR(SEARCH("Inactive",O5)))</formula>
    </cfRule>
    <cfRule type="containsText" dxfId="4" priority="38" operator="containsText" text="Archived">
      <formula>NOT(ISERROR(SEARCH("Archived",O5)))</formula>
    </cfRule>
    <cfRule type="containsText" dxfId="4" priority="39" operator="containsText" text="Not needed">
      <formula>NOT(ISERROR(SEARCH("Not needed",O5)))</formula>
    </cfRule>
  </conditionalFormatting>
  <conditionalFormatting sqref="P5:P804">
    <cfRule type="containsText" dxfId="0" priority="40" operator="containsText" text="No">
      <formula>NOT(ISERROR(SEARCH("No",P5)))</formula>
    </cfRule>
    <cfRule type="containsText" dxfId="1" priority="41" operator="containsText" text="Yes">
      <formula>NOT(ISERROR(SEARCH("Yes",P5)))</formula>
    </cfRule>
  </conditionalFormatting>
  <conditionalFormatting sqref="Q5:Q804">
    <cfRule type="containsText" dxfId="0" priority="42" operator="containsText" text="No">
      <formula>NOT(ISERROR(SEARCH("No",Q5)))</formula>
    </cfRule>
    <cfRule type="containsText" dxfId="1" priority="43" operator="containsText" text="Yes">
      <formula>NOT(ISERROR(SEARCH("Yes",Q5)))</formula>
    </cfRule>
  </conditionalFormatting>
  <conditionalFormatting sqref="R5:R804">
    <cfRule type="containsText" dxfId="0" priority="44" operator="containsText" text="No">
      <formula>NOT(ISERROR(SEARCH("No",R5)))</formula>
    </cfRule>
    <cfRule type="containsText" dxfId="1" priority="45" operator="containsText" text="Yes">
      <formula>NOT(ISERROR(SEARCH("Yes",R5)))</formula>
    </cfRule>
  </conditionalFormatting>
  <conditionalFormatting sqref="U5:U804">
    <cfRule type="dataBar" priority="46">
      <dataBar>
        <cfvo type="min" val="0"/>
        <cfvo type="max" val="0"/>
        <color rgb="FF2F8F9D"/>
      </dataBar>
    </cfRule>
  </conditionalFormatting>
  <conditionalFormatting sqref="Z5:Z804">
    <cfRule type="beginsWith" dxfId="1" priority="47" operator="beginsWith" text="OK">
      <formula>LEFT(Z5,2)="OK"</formula>
    </cfRule>
    <cfRule type="containsText" dxfId="2" priority="48" operator="containsText" text="Overdue">
      <formula>NOT(ISERROR(SEARCH("Overdue",Z5)))</formula>
    </cfRule>
    <cfRule type="containsText" dxfId="2" priority="49" operator="containsText" text="Late">
      <formula>NOT(ISERROR(SEARCH("Late",Z5)))</formula>
    </cfRule>
    <cfRule type="containsText" dxfId="2" priority="50" operator="containsText" text="Missing">
      <formula>NOT(ISERROR(SEARCH("Missing",Z5)))</formula>
    </cfRule>
    <cfRule type="containsText" dxfId="2" priority="51" operator="containsText" text="Conflict">
      <formula>NOT(ISERROR(SEARCH("Conflict",Z5)))</formula>
    </cfRule>
    <cfRule type="containsText" dxfId="2" priority="52" operator="containsText" text="Clash">
      <formula>NOT(ISERROR(SEARCH("Clash",Z5)))</formula>
    </cfRule>
    <cfRule type="containsText" dxfId="2" priority="53" operator="containsText" text="Expired">
      <formula>NOT(ISERROR(SEARCH("Expired",Z5)))</formula>
    </cfRule>
    <cfRule type="containsText" dxfId="2" priority="54" operator="containsText" text="Duplicate">
      <formula>NOT(ISERROR(SEARCH("Duplicate",Z5)))</formula>
    </cfRule>
    <cfRule type="containsText" dxfId="2" priority="55" operator="containsText" text="Unpaid">
      <formula>NOT(ISERROR(SEARCH("Unpaid",Z5)))</formula>
    </cfRule>
    <cfRule type="containsText" dxfId="2" priority="56" operator="containsText" text="Loss">
      <formula>NOT(ISERROR(SEARCH("Loss",Z5)))</formula>
    </cfRule>
    <cfRule type="containsText" dxfId="2" priority="57" operator="containsText" text="Below">
      <formula>NOT(ISERROR(SEARCH("Below",Z5)))</formula>
    </cfRule>
    <cfRule type="containsText" dxfId="0" priority="58" operator="containsText" text="Action">
      <formula>NOT(ISERROR(SEARCH("Action",Z5)))</formula>
    </cfRule>
    <cfRule type="containsText" dxfId="0" priority="59" operator="containsText" text="Due">
      <formula>NOT(ISERROR(SEARCH("Due",Z5)))</formula>
    </cfRule>
    <cfRule type="containsText" dxfId="0" priority="60" operator="containsText" text="Check">
      <formula>NOT(ISERROR(SEARCH("Check",Z5)))</formula>
    </cfRule>
    <cfRule type="containsText" dxfId="0" priority="61" operator="containsText" text="Chase">
      <formula>NOT(ISERROR(SEARCH("Chase",Z5)))</formula>
    </cfRule>
    <cfRule type="containsText" dxfId="0" priority="62" operator="containsText" text="Assign">
      <formula>NOT(ISERROR(SEARCH("Assign",Z5)))</formula>
    </cfRule>
    <cfRule type="containsText" dxfId="0" priority="63" operator="containsText" text="Confirm">
      <formula>NOT(ISERROR(SEARCH("Confirm",Z5)))</formula>
    </cfRule>
    <cfRule type="containsText" dxfId="0" priority="64" operator="containsText" text="Order">
      <formula>NOT(ISERROR(SEARCH("Order",Z5)))</formula>
    </cfRule>
    <cfRule type="containsText" dxfId="3" priority="65" operator="containsText" text="Today">
      <formula>NOT(ISERROR(SEARCH("Today",Z5)))</formula>
    </cfRule>
    <cfRule type="containsText" dxfId="3" priority="66" operator="containsText" text="Upcoming">
      <formula>NOT(ISERROR(SEARCH("Upcoming",Z5)))</formula>
    </cfRule>
    <cfRule type="containsText" dxfId="3" priority="67" operator="containsText" text="Tomorrow">
      <formula>NOT(ISERROR(SEARCH("Tomorrow",Z5)))</formula>
    </cfRule>
  </conditionalFormatting>
  <dataValidations count="13">
    <dataValidation type="date" allowBlank="1" showInputMessage="1" showErrorMessage="1" errorTitle="Check the date" error="Enter a real date between 2000 and 2100." sqref="B5:B804">
      <formula1>36526</formula1>
      <formula2>73415</formula2>
    </dataValidation>
    <dataValidation type="list" allowBlank="1" showInputMessage="1" showErrorMessage="1" sqref="F5:F804">
      <formula1>EmployeeNames</formula1>
    </dataValidation>
    <dataValidation type="list" allowBlank="1" showInputMessage="1" showErrorMessage="1" promptTitle="Job ID" prompt="Leave blank for time that is not against a job - training, admin, a supply run." sqref="G5:G804">
      <formula1>JobIDs</formula1>
    </dataValidation>
    <dataValidation type="list" allowBlank="1" showInputMessage="1" showErrorMessage="1" promptTitle="Activity" prompt="Only needed for non-job time. Blank means cleaning." sqref="I5:I804">
      <formula1>MileagePurposeList</formula1>
    </dataValidation>
    <dataValidation type="time" allowBlank="1" showInputMessage="1" showErrorMessage="1" errorTitle="Check the time" error="Enter a time of day, for example 9:00 AM or 14:30." sqref="J5:J804">
      <formula1>0</formula1>
      <formula2>0.999305555555556</formula2>
    </dataValidation>
    <dataValidation type="time" allowBlank="1" showInputMessage="1" showErrorMessage="1" errorTitle="Check the time" error="Enter a time of day, for example 9:00 AM or 14:30." sqref="K5:K804">
      <formula1>0</formula1>
      <formula2>0.999305555555556</formula2>
    </dataValidation>
    <dataValidation type="whole" allowBlank="1" showInputMessage="1" showErrorMessage="1" errorTitle="Check the value" error="Enter a number between 0 and 480." sqref="L5:L804">
      <formula1>0</formula1>
      <formula2>480</formula2>
    </dataValidation>
    <dataValidation type="decimal" allowBlank="1" showInputMessage="1" showErrorMessage="1" errorTitle="Check the value" error="Enter a number between 0 and 24." promptTitle="Hours (override)" prompt="Only if you are not recording start and finish times. Otherwise leave it blank." sqref="M5:M804">
      <formula1>0</formula1>
      <formula2>24</formula2>
    </dataValidation>
    <dataValidation type="decimal" allowBlank="1" showInputMessage="1" showErrorMessage="1" errorTitle="Check the value" error="Enter a number between 0 and 24." promptTitle="Of which overtime" prompt="Hours paid at the overtime multiplier from the Settings tab." sqref="N5:N804">
      <formula1>0</formula1>
      <formula2>24</formula2>
    </dataValidation>
    <dataValidation type="list" allowBlank="1" showInputMessage="1" showErrorMessage="1" sqref="O5:O804">
      <formula1>AttendanceList</formula1>
    </dataValidation>
    <dataValidation type="list" allowBlank="1" showInputMessage="1" showErrorMessage="1" promptTitle="Billable?" prompt="Yes for time a client pays for. Travel, training and admin are No - and that gap is your utilisation." sqref="P5:P804">
      <formula1>YesNoList</formula1>
    </dataValidation>
    <dataValidation type="list" allowBlank="1" showInputMessage="1" showErrorMessage="1" sqref="Q5:Q804">
      <formula1>YesNoList</formula1>
    </dataValidation>
    <dataValidation type="list" allowBlank="1" showInputMessage="1" showErrorMessage="1" sqref="R5:R804">
      <formula1>YesNoList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&amp;L&amp;"Calibri,Bold"&amp;12&amp;C&amp;"Calibri,Bold"&amp;11Timesheets&amp;R&amp;"Calibri,Italic"&amp;9Cleaning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18.xml><?xml version="1.0" encoding="utf-8"?>
<worksheet xmlns="http://schemas.openxmlformats.org/spreadsheetml/2006/main" xmlns:r="http://schemas.openxmlformats.org/officeDocument/2006/relationships">
  <sheetPr>
    <tabColor rgb="FF14616B"/>
    <pageSetUpPr fitToPage="1"/>
  </sheetPr>
  <dimension ref="A1:AB6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3" customWidth="1"/>
    <col min="2" max="2" width="11.7109375" style="18" customWidth="1"/>
    <col min="3" max="3" width="10.7109375" style="23" customWidth="1"/>
    <col min="4" max="4" width="11.7109375" style="43" customWidth="1"/>
    <col min="5" max="5" width="20.7109375" style="23" customWidth="1"/>
    <col min="6" max="6" width="20.7109375" style="23" customWidth="1"/>
    <col min="7" max="7" width="20.7109375" style="23" customWidth="1"/>
    <col min="8" max="8" width="16.7109375" style="23" customWidth="1"/>
    <col min="9" max="9" width="13.7109375" style="39" customWidth="1"/>
    <col min="10" max="10" width="12.7109375" style="21" customWidth="1"/>
    <col min="11" max="11" width="10.7109375" style="34" hidden="1" customWidth="1"/>
    <col min="12" max="12" width="10.7109375" style="34" customWidth="1"/>
    <col min="13" max="13" width="10.7109375" style="34" hidden="1" customWidth="1"/>
    <col min="14" max="14" width="11.7109375" style="21" hidden="1" customWidth="1"/>
    <col min="15" max="15" width="11.7109375" style="21" customWidth="1"/>
    <col min="16" max="16" width="11.7109375" style="21" hidden="1" customWidth="1"/>
    <col min="17" max="17" width="11.7109375" style="21" customWidth="1"/>
    <col min="18" max="18" width="10.7109375" style="21" customWidth="1"/>
    <col min="19" max="19" width="10.7109375" style="19" customWidth="1"/>
    <col min="20" max="20" width="12.7109375" style="21" customWidth="1"/>
    <col min="21" max="21" width="12.7109375" style="21" customWidth="1"/>
    <col min="22" max="22" width="9.7109375" style="38" customWidth="1"/>
    <col min="23" max="23" width="11.7109375" style="21" customWidth="1"/>
    <col min="24" max="24" width="10.7109375" style="34" hidden="1" customWidth="1"/>
    <col min="25" max="25" width="9.7109375" style="31" hidden="1" customWidth="1"/>
    <col min="26" max="26" width="9.7109375" style="31" hidden="1" customWidth="1"/>
    <col min="27" max="27" width="28.7109375" style="39" customWidth="1"/>
    <col min="28" max="28" width="28.7109375" style="44" customWidth="1"/>
  </cols>
  <sheetData>
    <row r="1" spans="1:28" ht="34" customHeight="1">
      <c r="A1" s="2" t="s">
        <v>52</v>
      </c>
      <c r="B1" s="2"/>
      <c r="C1" s="2"/>
      <c r="D1" s="2"/>
      <c r="E1" s="2"/>
      <c r="F1" s="2"/>
      <c r="G1" s="2"/>
      <c r="H1" s="2"/>
      <c r="I1" s="2"/>
      <c r="J1" s="2"/>
      <c r="K1" s="2"/>
      <c r="L1" s="2"/>
      <c r="M1" s="2"/>
      <c r="N1" s="2"/>
      <c r="O1" s="2"/>
      <c r="P1" s="2"/>
      <c r="Q1" s="2"/>
      <c r="R1" s="2"/>
      <c r="S1" s="2"/>
      <c r="T1" s="2"/>
      <c r="U1" s="2"/>
      <c r="V1" s="2"/>
      <c r="W1" s="2"/>
      <c r="X1" s="2"/>
      <c r="Y1" s="2"/>
      <c r="Z1" s="3" t="s">
        <v>1</v>
      </c>
      <c r="AA1" s="3"/>
      <c r="AB1" s="3"/>
    </row>
    <row r="2" spans="1:28" ht="18" customHeight="1">
      <c r="A2" s="4" t="s">
        <v>1561</v>
      </c>
      <c r="B2" s="4"/>
      <c r="C2" s="4"/>
      <c r="D2" s="4"/>
      <c r="E2" s="4"/>
      <c r="F2" s="4"/>
      <c r="G2" s="4"/>
      <c r="H2" s="4"/>
      <c r="I2" s="4"/>
      <c r="J2" s="4"/>
      <c r="K2" s="4"/>
      <c r="L2" s="4"/>
      <c r="M2" s="4"/>
      <c r="N2" s="4"/>
      <c r="O2" s="4"/>
      <c r="P2" s="4"/>
      <c r="Q2" s="4"/>
      <c r="R2" s="4"/>
      <c r="S2" s="4"/>
      <c r="T2" s="4"/>
      <c r="U2" s="4"/>
      <c r="V2" s="4"/>
      <c r="W2" s="4"/>
      <c r="X2" s="4"/>
      <c r="Y2" s="4"/>
      <c r="Z2" s="4"/>
      <c r="AA2" s="4"/>
      <c r="AB2" s="4"/>
    </row>
    <row r="3" spans="1:28"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1562</v>
      </c>
      <c r="T3" s="48"/>
      <c r="U3" s="48"/>
      <c r="V3" s="48"/>
      <c r="W3" s="48"/>
      <c r="X3" s="48"/>
      <c r="Y3" s="48"/>
      <c r="Z3" s="48"/>
      <c r="AA3" s="48"/>
      <c r="AB3" s="48"/>
    </row>
    <row r="4" spans="1:28" ht="30" customHeight="1">
      <c r="A4" s="8" t="s">
        <v>1169</v>
      </c>
      <c r="B4" s="8" t="s">
        <v>1100</v>
      </c>
      <c r="C4" s="9" t="s">
        <v>340</v>
      </c>
      <c r="D4" s="9" t="s">
        <v>719</v>
      </c>
      <c r="E4" s="9" t="s">
        <v>403</v>
      </c>
      <c r="F4" s="9" t="s">
        <v>718</v>
      </c>
      <c r="G4" s="9" t="s">
        <v>436</v>
      </c>
      <c r="H4" s="9" t="s">
        <v>1104</v>
      </c>
      <c r="I4" s="9" t="s">
        <v>548</v>
      </c>
      <c r="J4" s="9" t="s">
        <v>413</v>
      </c>
      <c r="K4" s="9" t="s">
        <v>1040</v>
      </c>
      <c r="L4" s="9" t="s">
        <v>1563</v>
      </c>
      <c r="M4" s="9" t="s">
        <v>1564</v>
      </c>
      <c r="N4" s="9" t="s">
        <v>1565</v>
      </c>
      <c r="O4" s="9" t="s">
        <v>506</v>
      </c>
      <c r="P4" s="9" t="s">
        <v>1566</v>
      </c>
      <c r="Q4" s="9" t="s">
        <v>383</v>
      </c>
      <c r="R4" s="9" t="s">
        <v>508</v>
      </c>
      <c r="S4" s="9" t="s">
        <v>1567</v>
      </c>
      <c r="T4" s="9" t="s">
        <v>1568</v>
      </c>
      <c r="U4" s="9" t="s">
        <v>407</v>
      </c>
      <c r="V4" s="9" t="s">
        <v>408</v>
      </c>
      <c r="W4" s="9" t="s">
        <v>1569</v>
      </c>
      <c r="X4" s="9" t="s">
        <v>1570</v>
      </c>
      <c r="Y4" s="9" t="s">
        <v>571</v>
      </c>
      <c r="Z4" s="9" t="s">
        <v>571</v>
      </c>
      <c r="AA4" s="9" t="s">
        <v>529</v>
      </c>
      <c r="AB4" s="9" t="s">
        <v>421</v>
      </c>
    </row>
    <row r="5" spans="1:28">
      <c r="A5" s="43">
        <f>IF(IFERROR(INDEX(Jobs!$A$5:$A$604,ROW()-4),"")="","",IFERROR(INDEX(Jobs!$A$5:$A$604,ROW()-4),""))</f>
        <v>0</v>
      </c>
      <c r="B5" s="18">
        <f>IF(A5="","",IFERROR(INDEX(Jobs!$B$5:$B$604,MATCH(A5,Jobs!$A$5:$A$604,0)),""))</f>
        <v>0</v>
      </c>
      <c r="C5" s="23">
        <f>IF(B5="","",TEXT(B5,"yyyy-mm"))</f>
        <v>0</v>
      </c>
      <c r="D5" s="43">
        <f>IF(A5="","",IFERROR(INDEX(Jobs!$G$5:$G$604,MATCH(A5,Jobs!$A$5:$A$604,0)),""))</f>
        <v>0</v>
      </c>
      <c r="E5" s="23">
        <f>IF(A5="","",IFERROR(INDEX(Jobs!$H$5:$H$604,MATCH(A5,Jobs!$A$5:$A$604,0)),""))</f>
        <v>0</v>
      </c>
      <c r="F5" s="23">
        <f>IF(A5="","",IFERROR(INDEX(Jobs!$K$5:$K$604,MATCH(A5,Jobs!$A$5:$A$604,0)),""))</f>
        <v>0</v>
      </c>
      <c r="G5" s="23">
        <f>IF(A5="","",IFERROR(INDEX(Jobs!$M$5:$M$604,MATCH(A5,Jobs!$A$5:$A$604,0)),""))</f>
        <v>0</v>
      </c>
      <c r="H5" s="23">
        <f>IF(A5="","",IFERROR(INDEX(Jobs!$R$5:$R$604,MATCH(A5,Jobs!$A$5:$A$604,0)),""))</f>
        <v>0</v>
      </c>
      <c r="I5" s="39">
        <f>IF(A5="","",IFERROR(INDEX(Jobs!$P$5:$P$604,MATCH(A5,Jobs!$A$5:$A$604,0)),""))</f>
        <v>0</v>
      </c>
      <c r="J5" s="21">
        <f>IF(A5="","",IF(OR(I5="Completed",I5="Invoiced"),IFERROR(INDEX(Jobs!$AJ$5:$AJ$604,MATCH(A5,Jobs!$A$5:$A$604,0)),0),0))</f>
        <v>0</v>
      </c>
      <c r="K5" s="34">
        <f>IF(A5="","",IFERROR(INDEX(Jobs!$AD$5:$AD$604,MATCH(A5,Jobs!$A$5:$A$604,0)),0))</f>
        <v>0</v>
      </c>
      <c r="L5" s="34">
        <f>IF(A5="","",IFERROR(INDEX(Jobs!$AK$5:$AK$604,MATCH(A5,Jobs!$A$5:$A$604,0)),0))</f>
        <v>0</v>
      </c>
      <c r="M5" s="34">
        <f>IF(A5="","",IF(IFERROR(L5*1,0)&gt;0,L5,IFERROR(K5*1,0)))</f>
        <v>0</v>
      </c>
      <c r="N5" s="21">
        <f>IF(A5="","",SUMIFS(Timesheets!$X$5:$X$804,Timesheets!$G$5:$G$804,A5))</f>
        <v>0</v>
      </c>
      <c r="O5" s="21">
        <f>IF(A5="","",IF(N5&gt;0,N5,ROUND(M5*CostPerHour,2)))</f>
        <v>0</v>
      </c>
      <c r="P5" s="21">
        <f>IF(A5="","",SUMIFS('Supply Usage'!$L$5:$L$304,'Supply Usage'!$F$5:$F$304,A5))</f>
        <v>0</v>
      </c>
      <c r="Q5" s="21">
        <f>IF(A5="","",IF(P5&gt;0,P5,ROUND(M5*SuppliesPerHour,2)))</f>
        <v>0</v>
      </c>
      <c r="R5" s="21">
        <f>IF(A5="","",ROUND(IFERROR(INDEX(Jobs!$W$5:$W$604,MATCH(A5,Jobs!$A$5:$A$604,0)),0)*MileageRate,2))</f>
        <v>0</v>
      </c>
      <c r="T5" s="21">
        <f>IF(A5="","",O5+Q5+R5+IF(S5="",0,S5))</f>
        <v>0</v>
      </c>
      <c r="U5" s="21">
        <f>IF(A5="","",J5-T5)</f>
        <v>0</v>
      </c>
      <c r="V5" s="38">
        <f>IF(OR(A5="",J5=0),"",U5/J5)</f>
        <v>0</v>
      </c>
      <c r="W5" s="21">
        <f>IF(OR(A5="",M5=0,J5=0),"",U5/M5)</f>
        <v>0</v>
      </c>
      <c r="X5" s="34">
        <f>IF(OR(A5="",L5="",L5=0,K5=""),"",L5-K5)</f>
        <v>0</v>
      </c>
      <c r="Y5" s="31">
        <f>IF(A5="","",COUNTIFS($U$5:$U$604,"&gt;"&amp;U5)+COUNTIFS($U$5:U5,U5))</f>
        <v>0</v>
      </c>
      <c r="Z5" s="31">
        <f>IF(A5="","",COUNTIFS($W$5:$W$604,"&gt;"&amp;W5)+COUNTIFS($W$5:W5,W5))</f>
        <v>0</v>
      </c>
      <c r="AA5" s="39">
        <f>IF(A5="","",IF(J5=0,"",IF(U5&lt;0,"Loss - this job cost you money",IF(V5&lt;MarginFloor,"Below - margin under the floor",IF(V5&lt;TargetMargin,"Check - under target margin",IF(AND(X5&lt;&gt;"",X5&gt;0.5),"Check - ran over the estimate","OK"))))))</f>
        <v>0</v>
      </c>
    </row>
    <row r="6" spans="1:28">
      <c r="A6" s="43">
        <f>IF(IFERROR(INDEX(Jobs!$A$5:$A$604,ROW()-4),"")="","",IFERROR(INDEX(Jobs!$A$5:$A$604,ROW()-4),""))</f>
        <v>0</v>
      </c>
      <c r="B6" s="18">
        <f>IF(A6="","",IFERROR(INDEX(Jobs!$B$5:$B$604,MATCH(A6,Jobs!$A$5:$A$604,0)),""))</f>
        <v>0</v>
      </c>
      <c r="C6" s="23">
        <f>IF(B6="","",TEXT(B6,"yyyy-mm"))</f>
        <v>0</v>
      </c>
      <c r="D6" s="43">
        <f>IF(A6="","",IFERROR(INDEX(Jobs!$G$5:$G$604,MATCH(A6,Jobs!$A$5:$A$604,0)),""))</f>
        <v>0</v>
      </c>
      <c r="E6" s="23">
        <f>IF(A6="","",IFERROR(INDEX(Jobs!$H$5:$H$604,MATCH(A6,Jobs!$A$5:$A$604,0)),""))</f>
        <v>0</v>
      </c>
      <c r="F6" s="23">
        <f>IF(A6="","",IFERROR(INDEX(Jobs!$K$5:$K$604,MATCH(A6,Jobs!$A$5:$A$604,0)),""))</f>
        <v>0</v>
      </c>
      <c r="G6" s="23">
        <f>IF(A6="","",IFERROR(INDEX(Jobs!$M$5:$M$604,MATCH(A6,Jobs!$A$5:$A$604,0)),""))</f>
        <v>0</v>
      </c>
      <c r="H6" s="23">
        <f>IF(A6="","",IFERROR(INDEX(Jobs!$R$5:$R$604,MATCH(A6,Jobs!$A$5:$A$604,0)),""))</f>
        <v>0</v>
      </c>
      <c r="I6" s="39">
        <f>IF(A6="","",IFERROR(INDEX(Jobs!$P$5:$P$604,MATCH(A6,Jobs!$A$5:$A$604,0)),""))</f>
        <v>0</v>
      </c>
      <c r="J6" s="21">
        <f>IF(A6="","",IF(OR(I6="Completed",I6="Invoiced"),IFERROR(INDEX(Jobs!$AJ$5:$AJ$604,MATCH(A6,Jobs!$A$5:$A$604,0)),0),0))</f>
        <v>0</v>
      </c>
      <c r="K6" s="34">
        <f>IF(A6="","",IFERROR(INDEX(Jobs!$AD$5:$AD$604,MATCH(A6,Jobs!$A$5:$A$604,0)),0))</f>
        <v>0</v>
      </c>
      <c r="L6" s="34">
        <f>IF(A6="","",IFERROR(INDEX(Jobs!$AK$5:$AK$604,MATCH(A6,Jobs!$A$5:$A$604,0)),0))</f>
        <v>0</v>
      </c>
      <c r="M6" s="34">
        <f>IF(A6="","",IF(IFERROR(L6*1,0)&gt;0,L6,IFERROR(K6*1,0)))</f>
        <v>0</v>
      </c>
      <c r="N6" s="21">
        <f>IF(A6="","",SUMIFS(Timesheets!$X$5:$X$804,Timesheets!$G$5:$G$804,A6))</f>
        <v>0</v>
      </c>
      <c r="O6" s="21">
        <f>IF(A6="","",IF(N6&gt;0,N6,ROUND(M6*CostPerHour,2)))</f>
        <v>0</v>
      </c>
      <c r="P6" s="21">
        <f>IF(A6="","",SUMIFS('Supply Usage'!$L$5:$L$304,'Supply Usage'!$F$5:$F$304,A6))</f>
        <v>0</v>
      </c>
      <c r="Q6" s="21">
        <f>IF(A6="","",IF(P6&gt;0,P6,ROUND(M6*SuppliesPerHour,2)))</f>
        <v>0</v>
      </c>
      <c r="R6" s="21">
        <f>IF(A6="","",ROUND(IFERROR(INDEX(Jobs!$W$5:$W$604,MATCH(A6,Jobs!$A$5:$A$604,0)),0)*MileageRate,2))</f>
        <v>0</v>
      </c>
      <c r="T6" s="21">
        <f>IF(A6="","",O6+Q6+R6+IF(S6="",0,S6))</f>
        <v>0</v>
      </c>
      <c r="U6" s="21">
        <f>IF(A6="","",J6-T6)</f>
        <v>0</v>
      </c>
      <c r="V6" s="38">
        <f>IF(OR(A6="",J6=0),"",U6/J6)</f>
        <v>0</v>
      </c>
      <c r="W6" s="21">
        <f>IF(OR(A6="",M6=0,J6=0),"",U6/M6)</f>
        <v>0</v>
      </c>
      <c r="X6" s="34">
        <f>IF(OR(A6="",L6="",L6=0,K6=""),"",L6-K6)</f>
        <v>0</v>
      </c>
      <c r="Y6" s="31">
        <f>IF(A6="","",COUNTIFS($U$5:$U$604,"&gt;"&amp;U6)+COUNTIFS($U$5:U6,U6))</f>
        <v>0</v>
      </c>
      <c r="Z6" s="31">
        <f>IF(A6="","",COUNTIFS($W$5:$W$604,"&gt;"&amp;W6)+COUNTIFS($W$5:W6,W6))</f>
        <v>0</v>
      </c>
      <c r="AA6" s="39">
        <f>IF(A6="","",IF(J6=0,"",IF(U6&lt;0,"Loss - this job cost you money",IF(V6&lt;MarginFloor,"Below - margin under the floor",IF(V6&lt;TargetMargin,"Check - under target margin",IF(AND(X6&lt;&gt;"",X6&gt;0.5),"Check - ran over the estimate","OK"))))))</f>
        <v>0</v>
      </c>
    </row>
    <row r="7" spans="1:28">
      <c r="A7" s="43">
        <f>IF(IFERROR(INDEX(Jobs!$A$5:$A$604,ROW()-4),"")="","",IFERROR(INDEX(Jobs!$A$5:$A$604,ROW()-4),""))</f>
        <v>0</v>
      </c>
      <c r="B7" s="18">
        <f>IF(A7="","",IFERROR(INDEX(Jobs!$B$5:$B$604,MATCH(A7,Jobs!$A$5:$A$604,0)),""))</f>
        <v>0</v>
      </c>
      <c r="C7" s="23">
        <f>IF(B7="","",TEXT(B7,"yyyy-mm"))</f>
        <v>0</v>
      </c>
      <c r="D7" s="43">
        <f>IF(A7="","",IFERROR(INDEX(Jobs!$G$5:$G$604,MATCH(A7,Jobs!$A$5:$A$604,0)),""))</f>
        <v>0</v>
      </c>
      <c r="E7" s="23">
        <f>IF(A7="","",IFERROR(INDEX(Jobs!$H$5:$H$604,MATCH(A7,Jobs!$A$5:$A$604,0)),""))</f>
        <v>0</v>
      </c>
      <c r="F7" s="23">
        <f>IF(A7="","",IFERROR(INDEX(Jobs!$K$5:$K$604,MATCH(A7,Jobs!$A$5:$A$604,0)),""))</f>
        <v>0</v>
      </c>
      <c r="G7" s="23">
        <f>IF(A7="","",IFERROR(INDEX(Jobs!$M$5:$M$604,MATCH(A7,Jobs!$A$5:$A$604,0)),""))</f>
        <v>0</v>
      </c>
      <c r="H7" s="23">
        <f>IF(A7="","",IFERROR(INDEX(Jobs!$R$5:$R$604,MATCH(A7,Jobs!$A$5:$A$604,0)),""))</f>
        <v>0</v>
      </c>
      <c r="I7" s="39">
        <f>IF(A7="","",IFERROR(INDEX(Jobs!$P$5:$P$604,MATCH(A7,Jobs!$A$5:$A$604,0)),""))</f>
        <v>0</v>
      </c>
      <c r="J7" s="21">
        <f>IF(A7="","",IF(OR(I7="Completed",I7="Invoiced"),IFERROR(INDEX(Jobs!$AJ$5:$AJ$604,MATCH(A7,Jobs!$A$5:$A$604,0)),0),0))</f>
        <v>0</v>
      </c>
      <c r="K7" s="34">
        <f>IF(A7="","",IFERROR(INDEX(Jobs!$AD$5:$AD$604,MATCH(A7,Jobs!$A$5:$A$604,0)),0))</f>
        <v>0</v>
      </c>
      <c r="L7" s="34">
        <f>IF(A7="","",IFERROR(INDEX(Jobs!$AK$5:$AK$604,MATCH(A7,Jobs!$A$5:$A$604,0)),0))</f>
        <v>0</v>
      </c>
      <c r="M7" s="34">
        <f>IF(A7="","",IF(IFERROR(L7*1,0)&gt;0,L7,IFERROR(K7*1,0)))</f>
        <v>0</v>
      </c>
      <c r="N7" s="21">
        <f>IF(A7="","",SUMIFS(Timesheets!$X$5:$X$804,Timesheets!$G$5:$G$804,A7))</f>
        <v>0</v>
      </c>
      <c r="O7" s="21">
        <f>IF(A7="","",IF(N7&gt;0,N7,ROUND(M7*CostPerHour,2)))</f>
        <v>0</v>
      </c>
      <c r="P7" s="21">
        <f>IF(A7="","",SUMIFS('Supply Usage'!$L$5:$L$304,'Supply Usage'!$F$5:$F$304,A7))</f>
        <v>0</v>
      </c>
      <c r="Q7" s="21">
        <f>IF(A7="","",IF(P7&gt;0,P7,ROUND(M7*SuppliesPerHour,2)))</f>
        <v>0</v>
      </c>
      <c r="R7" s="21">
        <f>IF(A7="","",ROUND(IFERROR(INDEX(Jobs!$W$5:$W$604,MATCH(A7,Jobs!$A$5:$A$604,0)),0)*MileageRate,2))</f>
        <v>0</v>
      </c>
      <c r="T7" s="21">
        <f>IF(A7="","",O7+Q7+R7+IF(S7="",0,S7))</f>
        <v>0</v>
      </c>
      <c r="U7" s="21">
        <f>IF(A7="","",J7-T7)</f>
        <v>0</v>
      </c>
      <c r="V7" s="38">
        <f>IF(OR(A7="",J7=0),"",U7/J7)</f>
        <v>0</v>
      </c>
      <c r="W7" s="21">
        <f>IF(OR(A7="",M7=0,J7=0),"",U7/M7)</f>
        <v>0</v>
      </c>
      <c r="X7" s="34">
        <f>IF(OR(A7="",L7="",L7=0,K7=""),"",L7-K7)</f>
        <v>0</v>
      </c>
      <c r="Y7" s="31">
        <f>IF(A7="","",COUNTIFS($U$5:$U$604,"&gt;"&amp;U7)+COUNTIFS($U$5:U7,U7))</f>
        <v>0</v>
      </c>
      <c r="Z7" s="31">
        <f>IF(A7="","",COUNTIFS($W$5:$W$604,"&gt;"&amp;W7)+COUNTIFS($W$5:W7,W7))</f>
        <v>0</v>
      </c>
      <c r="AA7" s="39">
        <f>IF(A7="","",IF(J7=0,"",IF(U7&lt;0,"Loss - this job cost you money",IF(V7&lt;MarginFloor,"Below - margin under the floor",IF(V7&lt;TargetMargin,"Check - under target margin",IF(AND(X7&lt;&gt;"",X7&gt;0.5),"Check - ran over the estimate","OK"))))))</f>
        <v>0</v>
      </c>
    </row>
    <row r="8" spans="1:28">
      <c r="A8" s="43">
        <f>IF(IFERROR(INDEX(Jobs!$A$5:$A$604,ROW()-4),"")="","",IFERROR(INDEX(Jobs!$A$5:$A$604,ROW()-4),""))</f>
        <v>0</v>
      </c>
      <c r="B8" s="18">
        <f>IF(A8="","",IFERROR(INDEX(Jobs!$B$5:$B$604,MATCH(A8,Jobs!$A$5:$A$604,0)),""))</f>
        <v>0</v>
      </c>
      <c r="C8" s="23">
        <f>IF(B8="","",TEXT(B8,"yyyy-mm"))</f>
        <v>0</v>
      </c>
      <c r="D8" s="43">
        <f>IF(A8="","",IFERROR(INDEX(Jobs!$G$5:$G$604,MATCH(A8,Jobs!$A$5:$A$604,0)),""))</f>
        <v>0</v>
      </c>
      <c r="E8" s="23">
        <f>IF(A8="","",IFERROR(INDEX(Jobs!$H$5:$H$604,MATCH(A8,Jobs!$A$5:$A$604,0)),""))</f>
        <v>0</v>
      </c>
      <c r="F8" s="23">
        <f>IF(A8="","",IFERROR(INDEX(Jobs!$K$5:$K$604,MATCH(A8,Jobs!$A$5:$A$604,0)),""))</f>
        <v>0</v>
      </c>
      <c r="G8" s="23">
        <f>IF(A8="","",IFERROR(INDEX(Jobs!$M$5:$M$604,MATCH(A8,Jobs!$A$5:$A$604,0)),""))</f>
        <v>0</v>
      </c>
      <c r="H8" s="23">
        <f>IF(A8="","",IFERROR(INDEX(Jobs!$R$5:$R$604,MATCH(A8,Jobs!$A$5:$A$604,0)),""))</f>
        <v>0</v>
      </c>
      <c r="I8" s="39">
        <f>IF(A8="","",IFERROR(INDEX(Jobs!$P$5:$P$604,MATCH(A8,Jobs!$A$5:$A$604,0)),""))</f>
        <v>0</v>
      </c>
      <c r="J8" s="21">
        <f>IF(A8="","",IF(OR(I8="Completed",I8="Invoiced"),IFERROR(INDEX(Jobs!$AJ$5:$AJ$604,MATCH(A8,Jobs!$A$5:$A$604,0)),0),0))</f>
        <v>0</v>
      </c>
      <c r="K8" s="34">
        <f>IF(A8="","",IFERROR(INDEX(Jobs!$AD$5:$AD$604,MATCH(A8,Jobs!$A$5:$A$604,0)),0))</f>
        <v>0</v>
      </c>
      <c r="L8" s="34">
        <f>IF(A8="","",IFERROR(INDEX(Jobs!$AK$5:$AK$604,MATCH(A8,Jobs!$A$5:$A$604,0)),0))</f>
        <v>0</v>
      </c>
      <c r="M8" s="34">
        <f>IF(A8="","",IF(IFERROR(L8*1,0)&gt;0,L8,IFERROR(K8*1,0)))</f>
        <v>0</v>
      </c>
      <c r="N8" s="21">
        <f>IF(A8="","",SUMIFS(Timesheets!$X$5:$X$804,Timesheets!$G$5:$G$804,A8))</f>
        <v>0</v>
      </c>
      <c r="O8" s="21">
        <f>IF(A8="","",IF(N8&gt;0,N8,ROUND(M8*CostPerHour,2)))</f>
        <v>0</v>
      </c>
      <c r="P8" s="21">
        <f>IF(A8="","",SUMIFS('Supply Usage'!$L$5:$L$304,'Supply Usage'!$F$5:$F$304,A8))</f>
        <v>0</v>
      </c>
      <c r="Q8" s="21">
        <f>IF(A8="","",IF(P8&gt;0,P8,ROUND(M8*SuppliesPerHour,2)))</f>
        <v>0</v>
      </c>
      <c r="R8" s="21">
        <f>IF(A8="","",ROUND(IFERROR(INDEX(Jobs!$W$5:$W$604,MATCH(A8,Jobs!$A$5:$A$604,0)),0)*MileageRate,2))</f>
        <v>0</v>
      </c>
      <c r="T8" s="21">
        <f>IF(A8="","",O8+Q8+R8+IF(S8="",0,S8))</f>
        <v>0</v>
      </c>
      <c r="U8" s="21">
        <f>IF(A8="","",J8-T8)</f>
        <v>0</v>
      </c>
      <c r="V8" s="38">
        <f>IF(OR(A8="",J8=0),"",U8/J8)</f>
        <v>0</v>
      </c>
      <c r="W8" s="21">
        <f>IF(OR(A8="",M8=0,J8=0),"",U8/M8)</f>
        <v>0</v>
      </c>
      <c r="X8" s="34">
        <f>IF(OR(A8="",L8="",L8=0,K8=""),"",L8-K8)</f>
        <v>0</v>
      </c>
      <c r="Y8" s="31">
        <f>IF(A8="","",COUNTIFS($U$5:$U$604,"&gt;"&amp;U8)+COUNTIFS($U$5:U8,U8))</f>
        <v>0</v>
      </c>
      <c r="Z8" s="31">
        <f>IF(A8="","",COUNTIFS($W$5:$W$604,"&gt;"&amp;W8)+COUNTIFS($W$5:W8,W8))</f>
        <v>0</v>
      </c>
      <c r="AA8" s="39">
        <f>IF(A8="","",IF(J8=0,"",IF(U8&lt;0,"Loss - this job cost you money",IF(V8&lt;MarginFloor,"Below - margin under the floor",IF(V8&lt;TargetMargin,"Check - under target margin",IF(AND(X8&lt;&gt;"",X8&gt;0.5),"Check - ran over the estimate","OK"))))))</f>
        <v>0</v>
      </c>
    </row>
    <row r="9" spans="1:28">
      <c r="A9" s="43">
        <f>IF(IFERROR(INDEX(Jobs!$A$5:$A$604,ROW()-4),"")="","",IFERROR(INDEX(Jobs!$A$5:$A$604,ROW()-4),""))</f>
        <v>0</v>
      </c>
      <c r="B9" s="18">
        <f>IF(A9="","",IFERROR(INDEX(Jobs!$B$5:$B$604,MATCH(A9,Jobs!$A$5:$A$604,0)),""))</f>
        <v>0</v>
      </c>
      <c r="C9" s="23">
        <f>IF(B9="","",TEXT(B9,"yyyy-mm"))</f>
        <v>0</v>
      </c>
      <c r="D9" s="43">
        <f>IF(A9="","",IFERROR(INDEX(Jobs!$G$5:$G$604,MATCH(A9,Jobs!$A$5:$A$604,0)),""))</f>
        <v>0</v>
      </c>
      <c r="E9" s="23">
        <f>IF(A9="","",IFERROR(INDEX(Jobs!$H$5:$H$604,MATCH(A9,Jobs!$A$5:$A$604,0)),""))</f>
        <v>0</v>
      </c>
      <c r="F9" s="23">
        <f>IF(A9="","",IFERROR(INDEX(Jobs!$K$5:$K$604,MATCH(A9,Jobs!$A$5:$A$604,0)),""))</f>
        <v>0</v>
      </c>
      <c r="G9" s="23">
        <f>IF(A9="","",IFERROR(INDEX(Jobs!$M$5:$M$604,MATCH(A9,Jobs!$A$5:$A$604,0)),""))</f>
        <v>0</v>
      </c>
      <c r="H9" s="23">
        <f>IF(A9="","",IFERROR(INDEX(Jobs!$R$5:$R$604,MATCH(A9,Jobs!$A$5:$A$604,0)),""))</f>
        <v>0</v>
      </c>
      <c r="I9" s="39">
        <f>IF(A9="","",IFERROR(INDEX(Jobs!$P$5:$P$604,MATCH(A9,Jobs!$A$5:$A$604,0)),""))</f>
        <v>0</v>
      </c>
      <c r="J9" s="21">
        <f>IF(A9="","",IF(OR(I9="Completed",I9="Invoiced"),IFERROR(INDEX(Jobs!$AJ$5:$AJ$604,MATCH(A9,Jobs!$A$5:$A$604,0)),0),0))</f>
        <v>0</v>
      </c>
      <c r="K9" s="34">
        <f>IF(A9="","",IFERROR(INDEX(Jobs!$AD$5:$AD$604,MATCH(A9,Jobs!$A$5:$A$604,0)),0))</f>
        <v>0</v>
      </c>
      <c r="L9" s="34">
        <f>IF(A9="","",IFERROR(INDEX(Jobs!$AK$5:$AK$604,MATCH(A9,Jobs!$A$5:$A$604,0)),0))</f>
        <v>0</v>
      </c>
      <c r="M9" s="34">
        <f>IF(A9="","",IF(IFERROR(L9*1,0)&gt;0,L9,IFERROR(K9*1,0)))</f>
        <v>0</v>
      </c>
      <c r="N9" s="21">
        <f>IF(A9="","",SUMIFS(Timesheets!$X$5:$X$804,Timesheets!$G$5:$G$804,A9))</f>
        <v>0</v>
      </c>
      <c r="O9" s="21">
        <f>IF(A9="","",IF(N9&gt;0,N9,ROUND(M9*CostPerHour,2)))</f>
        <v>0</v>
      </c>
      <c r="P9" s="21">
        <f>IF(A9="","",SUMIFS('Supply Usage'!$L$5:$L$304,'Supply Usage'!$F$5:$F$304,A9))</f>
        <v>0</v>
      </c>
      <c r="Q9" s="21">
        <f>IF(A9="","",IF(P9&gt;0,P9,ROUND(M9*SuppliesPerHour,2)))</f>
        <v>0</v>
      </c>
      <c r="R9" s="21">
        <f>IF(A9="","",ROUND(IFERROR(INDEX(Jobs!$W$5:$W$604,MATCH(A9,Jobs!$A$5:$A$604,0)),0)*MileageRate,2))</f>
        <v>0</v>
      </c>
      <c r="T9" s="21">
        <f>IF(A9="","",O9+Q9+R9+IF(S9="",0,S9))</f>
        <v>0</v>
      </c>
      <c r="U9" s="21">
        <f>IF(A9="","",J9-T9)</f>
        <v>0</v>
      </c>
      <c r="V9" s="38">
        <f>IF(OR(A9="",J9=0),"",U9/J9)</f>
        <v>0</v>
      </c>
      <c r="W9" s="21">
        <f>IF(OR(A9="",M9=0,J9=0),"",U9/M9)</f>
        <v>0</v>
      </c>
      <c r="X9" s="34">
        <f>IF(OR(A9="",L9="",L9=0,K9=""),"",L9-K9)</f>
        <v>0</v>
      </c>
      <c r="Y9" s="31">
        <f>IF(A9="","",COUNTIFS($U$5:$U$604,"&gt;"&amp;U9)+COUNTIFS($U$5:U9,U9))</f>
        <v>0</v>
      </c>
      <c r="Z9" s="31">
        <f>IF(A9="","",COUNTIFS($W$5:$W$604,"&gt;"&amp;W9)+COUNTIFS($W$5:W9,W9))</f>
        <v>0</v>
      </c>
      <c r="AA9" s="39">
        <f>IF(A9="","",IF(J9=0,"",IF(U9&lt;0,"Loss - this job cost you money",IF(V9&lt;MarginFloor,"Below - margin under the floor",IF(V9&lt;TargetMargin,"Check - under target margin",IF(AND(X9&lt;&gt;"",X9&gt;0.5),"Check - ran over the estimate","OK"))))))</f>
        <v>0</v>
      </c>
    </row>
    <row r="10" spans="1:28">
      <c r="A10" s="43">
        <f>IF(IFERROR(INDEX(Jobs!$A$5:$A$604,ROW()-4),"")="","",IFERROR(INDEX(Jobs!$A$5:$A$604,ROW()-4),""))</f>
        <v>0</v>
      </c>
      <c r="B10" s="18">
        <f>IF(A10="","",IFERROR(INDEX(Jobs!$B$5:$B$604,MATCH(A10,Jobs!$A$5:$A$604,0)),""))</f>
        <v>0</v>
      </c>
      <c r="C10" s="23">
        <f>IF(B10="","",TEXT(B10,"yyyy-mm"))</f>
        <v>0</v>
      </c>
      <c r="D10" s="43">
        <f>IF(A10="","",IFERROR(INDEX(Jobs!$G$5:$G$604,MATCH(A10,Jobs!$A$5:$A$604,0)),""))</f>
        <v>0</v>
      </c>
      <c r="E10" s="23">
        <f>IF(A10="","",IFERROR(INDEX(Jobs!$H$5:$H$604,MATCH(A10,Jobs!$A$5:$A$604,0)),""))</f>
        <v>0</v>
      </c>
      <c r="F10" s="23">
        <f>IF(A10="","",IFERROR(INDEX(Jobs!$K$5:$K$604,MATCH(A10,Jobs!$A$5:$A$604,0)),""))</f>
        <v>0</v>
      </c>
      <c r="G10" s="23">
        <f>IF(A10="","",IFERROR(INDEX(Jobs!$M$5:$M$604,MATCH(A10,Jobs!$A$5:$A$604,0)),""))</f>
        <v>0</v>
      </c>
      <c r="H10" s="23">
        <f>IF(A10="","",IFERROR(INDEX(Jobs!$R$5:$R$604,MATCH(A10,Jobs!$A$5:$A$604,0)),""))</f>
        <v>0</v>
      </c>
      <c r="I10" s="39">
        <f>IF(A10="","",IFERROR(INDEX(Jobs!$P$5:$P$604,MATCH(A10,Jobs!$A$5:$A$604,0)),""))</f>
        <v>0</v>
      </c>
      <c r="J10" s="21">
        <f>IF(A10="","",IF(OR(I10="Completed",I10="Invoiced"),IFERROR(INDEX(Jobs!$AJ$5:$AJ$604,MATCH(A10,Jobs!$A$5:$A$604,0)),0),0))</f>
        <v>0</v>
      </c>
      <c r="K10" s="34">
        <f>IF(A10="","",IFERROR(INDEX(Jobs!$AD$5:$AD$604,MATCH(A10,Jobs!$A$5:$A$604,0)),0))</f>
        <v>0</v>
      </c>
      <c r="L10" s="34">
        <f>IF(A10="","",IFERROR(INDEX(Jobs!$AK$5:$AK$604,MATCH(A10,Jobs!$A$5:$A$604,0)),0))</f>
        <v>0</v>
      </c>
      <c r="M10" s="34">
        <f>IF(A10="","",IF(IFERROR(L10*1,0)&gt;0,L10,IFERROR(K10*1,0)))</f>
        <v>0</v>
      </c>
      <c r="N10" s="21">
        <f>IF(A10="","",SUMIFS(Timesheets!$X$5:$X$804,Timesheets!$G$5:$G$804,A10))</f>
        <v>0</v>
      </c>
      <c r="O10" s="21">
        <f>IF(A10="","",IF(N10&gt;0,N10,ROUND(M10*CostPerHour,2)))</f>
        <v>0</v>
      </c>
      <c r="P10" s="21">
        <f>IF(A10="","",SUMIFS('Supply Usage'!$L$5:$L$304,'Supply Usage'!$F$5:$F$304,A10))</f>
        <v>0</v>
      </c>
      <c r="Q10" s="21">
        <f>IF(A10="","",IF(P10&gt;0,P10,ROUND(M10*SuppliesPerHour,2)))</f>
        <v>0</v>
      </c>
      <c r="R10" s="21">
        <f>IF(A10="","",ROUND(IFERROR(INDEX(Jobs!$W$5:$W$604,MATCH(A10,Jobs!$A$5:$A$604,0)),0)*MileageRate,2))</f>
        <v>0</v>
      </c>
      <c r="T10" s="21">
        <f>IF(A10="","",O10+Q10+R10+IF(S10="",0,S10))</f>
        <v>0</v>
      </c>
      <c r="U10" s="21">
        <f>IF(A10="","",J10-T10)</f>
        <v>0</v>
      </c>
      <c r="V10" s="38">
        <f>IF(OR(A10="",J10=0),"",U10/J10)</f>
        <v>0</v>
      </c>
      <c r="W10" s="21">
        <f>IF(OR(A10="",M10=0,J10=0),"",U10/M10)</f>
        <v>0</v>
      </c>
      <c r="X10" s="34">
        <f>IF(OR(A10="",L10="",L10=0,K10=""),"",L10-K10)</f>
        <v>0</v>
      </c>
      <c r="Y10" s="31">
        <f>IF(A10="","",COUNTIFS($U$5:$U$604,"&gt;"&amp;U10)+COUNTIFS($U$5:U10,U10))</f>
        <v>0</v>
      </c>
      <c r="Z10" s="31">
        <f>IF(A10="","",COUNTIFS($W$5:$W$604,"&gt;"&amp;W10)+COUNTIFS($W$5:W10,W10))</f>
        <v>0</v>
      </c>
      <c r="AA10" s="39">
        <f>IF(A10="","",IF(J10=0,"",IF(U10&lt;0,"Loss - this job cost you money",IF(V10&lt;MarginFloor,"Below - margin under the floor",IF(V10&lt;TargetMargin,"Check - under target margin",IF(AND(X10&lt;&gt;"",X10&gt;0.5),"Check - ran over the estimate","OK"))))))</f>
        <v>0</v>
      </c>
    </row>
    <row r="11" spans="1:28">
      <c r="A11" s="43">
        <f>IF(IFERROR(INDEX(Jobs!$A$5:$A$604,ROW()-4),"")="","",IFERROR(INDEX(Jobs!$A$5:$A$604,ROW()-4),""))</f>
        <v>0</v>
      </c>
      <c r="B11" s="18">
        <f>IF(A11="","",IFERROR(INDEX(Jobs!$B$5:$B$604,MATCH(A11,Jobs!$A$5:$A$604,0)),""))</f>
        <v>0</v>
      </c>
      <c r="C11" s="23">
        <f>IF(B11="","",TEXT(B11,"yyyy-mm"))</f>
        <v>0</v>
      </c>
      <c r="D11" s="43">
        <f>IF(A11="","",IFERROR(INDEX(Jobs!$G$5:$G$604,MATCH(A11,Jobs!$A$5:$A$604,0)),""))</f>
        <v>0</v>
      </c>
      <c r="E11" s="23">
        <f>IF(A11="","",IFERROR(INDEX(Jobs!$H$5:$H$604,MATCH(A11,Jobs!$A$5:$A$604,0)),""))</f>
        <v>0</v>
      </c>
      <c r="F11" s="23">
        <f>IF(A11="","",IFERROR(INDEX(Jobs!$K$5:$K$604,MATCH(A11,Jobs!$A$5:$A$604,0)),""))</f>
        <v>0</v>
      </c>
      <c r="G11" s="23">
        <f>IF(A11="","",IFERROR(INDEX(Jobs!$M$5:$M$604,MATCH(A11,Jobs!$A$5:$A$604,0)),""))</f>
        <v>0</v>
      </c>
      <c r="H11" s="23">
        <f>IF(A11="","",IFERROR(INDEX(Jobs!$R$5:$R$604,MATCH(A11,Jobs!$A$5:$A$604,0)),""))</f>
        <v>0</v>
      </c>
      <c r="I11" s="39">
        <f>IF(A11="","",IFERROR(INDEX(Jobs!$P$5:$P$604,MATCH(A11,Jobs!$A$5:$A$604,0)),""))</f>
        <v>0</v>
      </c>
      <c r="J11" s="21">
        <f>IF(A11="","",IF(OR(I11="Completed",I11="Invoiced"),IFERROR(INDEX(Jobs!$AJ$5:$AJ$604,MATCH(A11,Jobs!$A$5:$A$604,0)),0),0))</f>
        <v>0</v>
      </c>
      <c r="K11" s="34">
        <f>IF(A11="","",IFERROR(INDEX(Jobs!$AD$5:$AD$604,MATCH(A11,Jobs!$A$5:$A$604,0)),0))</f>
        <v>0</v>
      </c>
      <c r="L11" s="34">
        <f>IF(A11="","",IFERROR(INDEX(Jobs!$AK$5:$AK$604,MATCH(A11,Jobs!$A$5:$A$604,0)),0))</f>
        <v>0</v>
      </c>
      <c r="M11" s="34">
        <f>IF(A11="","",IF(IFERROR(L11*1,0)&gt;0,L11,IFERROR(K11*1,0)))</f>
        <v>0</v>
      </c>
      <c r="N11" s="21">
        <f>IF(A11="","",SUMIFS(Timesheets!$X$5:$X$804,Timesheets!$G$5:$G$804,A11))</f>
        <v>0</v>
      </c>
      <c r="O11" s="21">
        <f>IF(A11="","",IF(N11&gt;0,N11,ROUND(M11*CostPerHour,2)))</f>
        <v>0</v>
      </c>
      <c r="P11" s="21">
        <f>IF(A11="","",SUMIFS('Supply Usage'!$L$5:$L$304,'Supply Usage'!$F$5:$F$304,A11))</f>
        <v>0</v>
      </c>
      <c r="Q11" s="21">
        <f>IF(A11="","",IF(P11&gt;0,P11,ROUND(M11*SuppliesPerHour,2)))</f>
        <v>0</v>
      </c>
      <c r="R11" s="21">
        <f>IF(A11="","",ROUND(IFERROR(INDEX(Jobs!$W$5:$W$604,MATCH(A11,Jobs!$A$5:$A$604,0)),0)*MileageRate,2))</f>
        <v>0</v>
      </c>
      <c r="T11" s="21">
        <f>IF(A11="","",O11+Q11+R11+IF(S11="",0,S11))</f>
        <v>0</v>
      </c>
      <c r="U11" s="21">
        <f>IF(A11="","",J11-T11)</f>
        <v>0</v>
      </c>
      <c r="V11" s="38">
        <f>IF(OR(A11="",J11=0),"",U11/J11)</f>
        <v>0</v>
      </c>
      <c r="W11" s="21">
        <f>IF(OR(A11="",M11=0,J11=0),"",U11/M11)</f>
        <v>0</v>
      </c>
      <c r="X11" s="34">
        <f>IF(OR(A11="",L11="",L11=0,K11=""),"",L11-K11)</f>
        <v>0</v>
      </c>
      <c r="Y11" s="31">
        <f>IF(A11="","",COUNTIFS($U$5:$U$604,"&gt;"&amp;U11)+COUNTIFS($U$5:U11,U11))</f>
        <v>0</v>
      </c>
      <c r="Z11" s="31">
        <f>IF(A11="","",COUNTIFS($W$5:$W$604,"&gt;"&amp;W11)+COUNTIFS($W$5:W11,W11))</f>
        <v>0</v>
      </c>
      <c r="AA11" s="39">
        <f>IF(A11="","",IF(J11=0,"",IF(U11&lt;0,"Loss - this job cost you money",IF(V11&lt;MarginFloor,"Below - margin under the floor",IF(V11&lt;TargetMargin,"Check - under target margin",IF(AND(X11&lt;&gt;"",X11&gt;0.5),"Check - ran over the estimate","OK"))))))</f>
        <v>0</v>
      </c>
    </row>
    <row r="12" spans="1:28">
      <c r="A12" s="43">
        <f>IF(IFERROR(INDEX(Jobs!$A$5:$A$604,ROW()-4),"")="","",IFERROR(INDEX(Jobs!$A$5:$A$604,ROW()-4),""))</f>
        <v>0</v>
      </c>
      <c r="B12" s="18">
        <f>IF(A12="","",IFERROR(INDEX(Jobs!$B$5:$B$604,MATCH(A12,Jobs!$A$5:$A$604,0)),""))</f>
        <v>0</v>
      </c>
      <c r="C12" s="23">
        <f>IF(B12="","",TEXT(B12,"yyyy-mm"))</f>
        <v>0</v>
      </c>
      <c r="D12" s="43">
        <f>IF(A12="","",IFERROR(INDEX(Jobs!$G$5:$G$604,MATCH(A12,Jobs!$A$5:$A$604,0)),""))</f>
        <v>0</v>
      </c>
      <c r="E12" s="23">
        <f>IF(A12="","",IFERROR(INDEX(Jobs!$H$5:$H$604,MATCH(A12,Jobs!$A$5:$A$604,0)),""))</f>
        <v>0</v>
      </c>
      <c r="F12" s="23">
        <f>IF(A12="","",IFERROR(INDEX(Jobs!$K$5:$K$604,MATCH(A12,Jobs!$A$5:$A$604,0)),""))</f>
        <v>0</v>
      </c>
      <c r="G12" s="23">
        <f>IF(A12="","",IFERROR(INDEX(Jobs!$M$5:$M$604,MATCH(A12,Jobs!$A$5:$A$604,0)),""))</f>
        <v>0</v>
      </c>
      <c r="H12" s="23">
        <f>IF(A12="","",IFERROR(INDEX(Jobs!$R$5:$R$604,MATCH(A12,Jobs!$A$5:$A$604,0)),""))</f>
        <v>0</v>
      </c>
      <c r="I12" s="39">
        <f>IF(A12="","",IFERROR(INDEX(Jobs!$P$5:$P$604,MATCH(A12,Jobs!$A$5:$A$604,0)),""))</f>
        <v>0</v>
      </c>
      <c r="J12" s="21">
        <f>IF(A12="","",IF(OR(I12="Completed",I12="Invoiced"),IFERROR(INDEX(Jobs!$AJ$5:$AJ$604,MATCH(A12,Jobs!$A$5:$A$604,0)),0),0))</f>
        <v>0</v>
      </c>
      <c r="K12" s="34">
        <f>IF(A12="","",IFERROR(INDEX(Jobs!$AD$5:$AD$604,MATCH(A12,Jobs!$A$5:$A$604,0)),0))</f>
        <v>0</v>
      </c>
      <c r="L12" s="34">
        <f>IF(A12="","",IFERROR(INDEX(Jobs!$AK$5:$AK$604,MATCH(A12,Jobs!$A$5:$A$604,0)),0))</f>
        <v>0</v>
      </c>
      <c r="M12" s="34">
        <f>IF(A12="","",IF(IFERROR(L12*1,0)&gt;0,L12,IFERROR(K12*1,0)))</f>
        <v>0</v>
      </c>
      <c r="N12" s="21">
        <f>IF(A12="","",SUMIFS(Timesheets!$X$5:$X$804,Timesheets!$G$5:$G$804,A12))</f>
        <v>0</v>
      </c>
      <c r="O12" s="21">
        <f>IF(A12="","",IF(N12&gt;0,N12,ROUND(M12*CostPerHour,2)))</f>
        <v>0</v>
      </c>
      <c r="P12" s="21">
        <f>IF(A12="","",SUMIFS('Supply Usage'!$L$5:$L$304,'Supply Usage'!$F$5:$F$304,A12))</f>
        <v>0</v>
      </c>
      <c r="Q12" s="21">
        <f>IF(A12="","",IF(P12&gt;0,P12,ROUND(M12*SuppliesPerHour,2)))</f>
        <v>0</v>
      </c>
      <c r="R12" s="21">
        <f>IF(A12="","",ROUND(IFERROR(INDEX(Jobs!$W$5:$W$604,MATCH(A12,Jobs!$A$5:$A$604,0)),0)*MileageRate,2))</f>
        <v>0</v>
      </c>
      <c r="T12" s="21">
        <f>IF(A12="","",O12+Q12+R12+IF(S12="",0,S12))</f>
        <v>0</v>
      </c>
      <c r="U12" s="21">
        <f>IF(A12="","",J12-T12)</f>
        <v>0</v>
      </c>
      <c r="V12" s="38">
        <f>IF(OR(A12="",J12=0),"",U12/J12)</f>
        <v>0</v>
      </c>
      <c r="W12" s="21">
        <f>IF(OR(A12="",M12=0,J12=0),"",U12/M12)</f>
        <v>0</v>
      </c>
      <c r="X12" s="34">
        <f>IF(OR(A12="",L12="",L12=0,K12=""),"",L12-K12)</f>
        <v>0</v>
      </c>
      <c r="Y12" s="31">
        <f>IF(A12="","",COUNTIFS($U$5:$U$604,"&gt;"&amp;U12)+COUNTIFS($U$5:U12,U12))</f>
        <v>0</v>
      </c>
      <c r="Z12" s="31">
        <f>IF(A12="","",COUNTIFS($W$5:$W$604,"&gt;"&amp;W12)+COUNTIFS($W$5:W12,W12))</f>
        <v>0</v>
      </c>
      <c r="AA12" s="39">
        <f>IF(A12="","",IF(J12=0,"",IF(U12&lt;0,"Loss - this job cost you money",IF(V12&lt;MarginFloor,"Below - margin under the floor",IF(V12&lt;TargetMargin,"Check - under target margin",IF(AND(X12&lt;&gt;"",X12&gt;0.5),"Check - ran over the estimate","OK"))))))</f>
        <v>0</v>
      </c>
    </row>
    <row r="13" spans="1:28">
      <c r="A13" s="43">
        <f>IF(IFERROR(INDEX(Jobs!$A$5:$A$604,ROW()-4),"")="","",IFERROR(INDEX(Jobs!$A$5:$A$604,ROW()-4),""))</f>
        <v>0</v>
      </c>
      <c r="B13" s="18">
        <f>IF(A13="","",IFERROR(INDEX(Jobs!$B$5:$B$604,MATCH(A13,Jobs!$A$5:$A$604,0)),""))</f>
        <v>0</v>
      </c>
      <c r="C13" s="23">
        <f>IF(B13="","",TEXT(B13,"yyyy-mm"))</f>
        <v>0</v>
      </c>
      <c r="D13" s="43">
        <f>IF(A13="","",IFERROR(INDEX(Jobs!$G$5:$G$604,MATCH(A13,Jobs!$A$5:$A$604,0)),""))</f>
        <v>0</v>
      </c>
      <c r="E13" s="23">
        <f>IF(A13="","",IFERROR(INDEX(Jobs!$H$5:$H$604,MATCH(A13,Jobs!$A$5:$A$604,0)),""))</f>
        <v>0</v>
      </c>
      <c r="F13" s="23">
        <f>IF(A13="","",IFERROR(INDEX(Jobs!$K$5:$K$604,MATCH(A13,Jobs!$A$5:$A$604,0)),""))</f>
        <v>0</v>
      </c>
      <c r="G13" s="23">
        <f>IF(A13="","",IFERROR(INDEX(Jobs!$M$5:$M$604,MATCH(A13,Jobs!$A$5:$A$604,0)),""))</f>
        <v>0</v>
      </c>
      <c r="H13" s="23">
        <f>IF(A13="","",IFERROR(INDEX(Jobs!$R$5:$R$604,MATCH(A13,Jobs!$A$5:$A$604,0)),""))</f>
        <v>0</v>
      </c>
      <c r="I13" s="39">
        <f>IF(A13="","",IFERROR(INDEX(Jobs!$P$5:$P$604,MATCH(A13,Jobs!$A$5:$A$604,0)),""))</f>
        <v>0</v>
      </c>
      <c r="J13" s="21">
        <f>IF(A13="","",IF(OR(I13="Completed",I13="Invoiced"),IFERROR(INDEX(Jobs!$AJ$5:$AJ$604,MATCH(A13,Jobs!$A$5:$A$604,0)),0),0))</f>
        <v>0</v>
      </c>
      <c r="K13" s="34">
        <f>IF(A13="","",IFERROR(INDEX(Jobs!$AD$5:$AD$604,MATCH(A13,Jobs!$A$5:$A$604,0)),0))</f>
        <v>0</v>
      </c>
      <c r="L13" s="34">
        <f>IF(A13="","",IFERROR(INDEX(Jobs!$AK$5:$AK$604,MATCH(A13,Jobs!$A$5:$A$604,0)),0))</f>
        <v>0</v>
      </c>
      <c r="M13" s="34">
        <f>IF(A13="","",IF(IFERROR(L13*1,0)&gt;0,L13,IFERROR(K13*1,0)))</f>
        <v>0</v>
      </c>
      <c r="N13" s="21">
        <f>IF(A13="","",SUMIFS(Timesheets!$X$5:$X$804,Timesheets!$G$5:$G$804,A13))</f>
        <v>0</v>
      </c>
      <c r="O13" s="21">
        <f>IF(A13="","",IF(N13&gt;0,N13,ROUND(M13*CostPerHour,2)))</f>
        <v>0</v>
      </c>
      <c r="P13" s="21">
        <f>IF(A13="","",SUMIFS('Supply Usage'!$L$5:$L$304,'Supply Usage'!$F$5:$F$304,A13))</f>
        <v>0</v>
      </c>
      <c r="Q13" s="21">
        <f>IF(A13="","",IF(P13&gt;0,P13,ROUND(M13*SuppliesPerHour,2)))</f>
        <v>0</v>
      </c>
      <c r="R13" s="21">
        <f>IF(A13="","",ROUND(IFERROR(INDEX(Jobs!$W$5:$W$604,MATCH(A13,Jobs!$A$5:$A$604,0)),0)*MileageRate,2))</f>
        <v>0</v>
      </c>
      <c r="T13" s="21">
        <f>IF(A13="","",O13+Q13+R13+IF(S13="",0,S13))</f>
        <v>0</v>
      </c>
      <c r="U13" s="21">
        <f>IF(A13="","",J13-T13)</f>
        <v>0</v>
      </c>
      <c r="V13" s="38">
        <f>IF(OR(A13="",J13=0),"",U13/J13)</f>
        <v>0</v>
      </c>
      <c r="W13" s="21">
        <f>IF(OR(A13="",M13=0,J13=0),"",U13/M13)</f>
        <v>0</v>
      </c>
      <c r="X13" s="34">
        <f>IF(OR(A13="",L13="",L13=0,K13=""),"",L13-K13)</f>
        <v>0</v>
      </c>
      <c r="Y13" s="31">
        <f>IF(A13="","",COUNTIFS($U$5:$U$604,"&gt;"&amp;U13)+COUNTIFS($U$5:U13,U13))</f>
        <v>0</v>
      </c>
      <c r="Z13" s="31">
        <f>IF(A13="","",COUNTIFS($W$5:$W$604,"&gt;"&amp;W13)+COUNTIFS($W$5:W13,W13))</f>
        <v>0</v>
      </c>
      <c r="AA13" s="39">
        <f>IF(A13="","",IF(J13=0,"",IF(U13&lt;0,"Loss - this job cost you money",IF(V13&lt;MarginFloor,"Below - margin under the floor",IF(V13&lt;TargetMargin,"Check - under target margin",IF(AND(X13&lt;&gt;"",X13&gt;0.5),"Check - ran over the estimate","OK"))))))</f>
        <v>0</v>
      </c>
    </row>
    <row r="14" spans="1:28">
      <c r="A14" s="43">
        <f>IF(IFERROR(INDEX(Jobs!$A$5:$A$604,ROW()-4),"")="","",IFERROR(INDEX(Jobs!$A$5:$A$604,ROW()-4),""))</f>
        <v>0</v>
      </c>
      <c r="B14" s="18">
        <f>IF(A14="","",IFERROR(INDEX(Jobs!$B$5:$B$604,MATCH(A14,Jobs!$A$5:$A$604,0)),""))</f>
        <v>0</v>
      </c>
      <c r="C14" s="23">
        <f>IF(B14="","",TEXT(B14,"yyyy-mm"))</f>
        <v>0</v>
      </c>
      <c r="D14" s="43">
        <f>IF(A14="","",IFERROR(INDEX(Jobs!$G$5:$G$604,MATCH(A14,Jobs!$A$5:$A$604,0)),""))</f>
        <v>0</v>
      </c>
      <c r="E14" s="23">
        <f>IF(A14="","",IFERROR(INDEX(Jobs!$H$5:$H$604,MATCH(A14,Jobs!$A$5:$A$604,0)),""))</f>
        <v>0</v>
      </c>
      <c r="F14" s="23">
        <f>IF(A14="","",IFERROR(INDEX(Jobs!$K$5:$K$604,MATCH(A14,Jobs!$A$5:$A$604,0)),""))</f>
        <v>0</v>
      </c>
      <c r="G14" s="23">
        <f>IF(A14="","",IFERROR(INDEX(Jobs!$M$5:$M$604,MATCH(A14,Jobs!$A$5:$A$604,0)),""))</f>
        <v>0</v>
      </c>
      <c r="H14" s="23">
        <f>IF(A14="","",IFERROR(INDEX(Jobs!$R$5:$R$604,MATCH(A14,Jobs!$A$5:$A$604,0)),""))</f>
        <v>0</v>
      </c>
      <c r="I14" s="39">
        <f>IF(A14="","",IFERROR(INDEX(Jobs!$P$5:$P$604,MATCH(A14,Jobs!$A$5:$A$604,0)),""))</f>
        <v>0</v>
      </c>
      <c r="J14" s="21">
        <f>IF(A14="","",IF(OR(I14="Completed",I14="Invoiced"),IFERROR(INDEX(Jobs!$AJ$5:$AJ$604,MATCH(A14,Jobs!$A$5:$A$604,0)),0),0))</f>
        <v>0</v>
      </c>
      <c r="K14" s="34">
        <f>IF(A14="","",IFERROR(INDEX(Jobs!$AD$5:$AD$604,MATCH(A14,Jobs!$A$5:$A$604,0)),0))</f>
        <v>0</v>
      </c>
      <c r="L14" s="34">
        <f>IF(A14="","",IFERROR(INDEX(Jobs!$AK$5:$AK$604,MATCH(A14,Jobs!$A$5:$A$604,0)),0))</f>
        <v>0</v>
      </c>
      <c r="M14" s="34">
        <f>IF(A14="","",IF(IFERROR(L14*1,0)&gt;0,L14,IFERROR(K14*1,0)))</f>
        <v>0</v>
      </c>
      <c r="N14" s="21">
        <f>IF(A14="","",SUMIFS(Timesheets!$X$5:$X$804,Timesheets!$G$5:$G$804,A14))</f>
        <v>0</v>
      </c>
      <c r="O14" s="21">
        <f>IF(A14="","",IF(N14&gt;0,N14,ROUND(M14*CostPerHour,2)))</f>
        <v>0</v>
      </c>
      <c r="P14" s="21">
        <f>IF(A14="","",SUMIFS('Supply Usage'!$L$5:$L$304,'Supply Usage'!$F$5:$F$304,A14))</f>
        <v>0</v>
      </c>
      <c r="Q14" s="21">
        <f>IF(A14="","",IF(P14&gt;0,P14,ROUND(M14*SuppliesPerHour,2)))</f>
        <v>0</v>
      </c>
      <c r="R14" s="21">
        <f>IF(A14="","",ROUND(IFERROR(INDEX(Jobs!$W$5:$W$604,MATCH(A14,Jobs!$A$5:$A$604,0)),0)*MileageRate,2))</f>
        <v>0</v>
      </c>
      <c r="T14" s="21">
        <f>IF(A14="","",O14+Q14+R14+IF(S14="",0,S14))</f>
        <v>0</v>
      </c>
      <c r="U14" s="21">
        <f>IF(A14="","",J14-T14)</f>
        <v>0</v>
      </c>
      <c r="V14" s="38">
        <f>IF(OR(A14="",J14=0),"",U14/J14)</f>
        <v>0</v>
      </c>
      <c r="W14" s="21">
        <f>IF(OR(A14="",M14=0,J14=0),"",U14/M14)</f>
        <v>0</v>
      </c>
      <c r="X14" s="34">
        <f>IF(OR(A14="",L14="",L14=0,K14=""),"",L14-K14)</f>
        <v>0</v>
      </c>
      <c r="Y14" s="31">
        <f>IF(A14="","",COUNTIFS($U$5:$U$604,"&gt;"&amp;U14)+COUNTIFS($U$5:U14,U14))</f>
        <v>0</v>
      </c>
      <c r="Z14" s="31">
        <f>IF(A14="","",COUNTIFS($W$5:$W$604,"&gt;"&amp;W14)+COUNTIFS($W$5:W14,W14))</f>
        <v>0</v>
      </c>
      <c r="AA14" s="39">
        <f>IF(A14="","",IF(J14=0,"",IF(U14&lt;0,"Loss - this job cost you money",IF(V14&lt;MarginFloor,"Below - margin under the floor",IF(V14&lt;TargetMargin,"Check - under target margin",IF(AND(X14&lt;&gt;"",X14&gt;0.5),"Check - ran over the estimate","OK"))))))</f>
        <v>0</v>
      </c>
    </row>
    <row r="15" spans="1:28">
      <c r="A15" s="43">
        <f>IF(IFERROR(INDEX(Jobs!$A$5:$A$604,ROW()-4),"")="","",IFERROR(INDEX(Jobs!$A$5:$A$604,ROW()-4),""))</f>
        <v>0</v>
      </c>
      <c r="B15" s="18">
        <f>IF(A15="","",IFERROR(INDEX(Jobs!$B$5:$B$604,MATCH(A15,Jobs!$A$5:$A$604,0)),""))</f>
        <v>0</v>
      </c>
      <c r="C15" s="23">
        <f>IF(B15="","",TEXT(B15,"yyyy-mm"))</f>
        <v>0</v>
      </c>
      <c r="D15" s="43">
        <f>IF(A15="","",IFERROR(INDEX(Jobs!$G$5:$G$604,MATCH(A15,Jobs!$A$5:$A$604,0)),""))</f>
        <v>0</v>
      </c>
      <c r="E15" s="23">
        <f>IF(A15="","",IFERROR(INDEX(Jobs!$H$5:$H$604,MATCH(A15,Jobs!$A$5:$A$604,0)),""))</f>
        <v>0</v>
      </c>
      <c r="F15" s="23">
        <f>IF(A15="","",IFERROR(INDEX(Jobs!$K$5:$K$604,MATCH(A15,Jobs!$A$5:$A$604,0)),""))</f>
        <v>0</v>
      </c>
      <c r="G15" s="23">
        <f>IF(A15="","",IFERROR(INDEX(Jobs!$M$5:$M$604,MATCH(A15,Jobs!$A$5:$A$604,0)),""))</f>
        <v>0</v>
      </c>
      <c r="H15" s="23">
        <f>IF(A15="","",IFERROR(INDEX(Jobs!$R$5:$R$604,MATCH(A15,Jobs!$A$5:$A$604,0)),""))</f>
        <v>0</v>
      </c>
      <c r="I15" s="39">
        <f>IF(A15="","",IFERROR(INDEX(Jobs!$P$5:$P$604,MATCH(A15,Jobs!$A$5:$A$604,0)),""))</f>
        <v>0</v>
      </c>
      <c r="J15" s="21">
        <f>IF(A15="","",IF(OR(I15="Completed",I15="Invoiced"),IFERROR(INDEX(Jobs!$AJ$5:$AJ$604,MATCH(A15,Jobs!$A$5:$A$604,0)),0),0))</f>
        <v>0</v>
      </c>
      <c r="K15" s="34">
        <f>IF(A15="","",IFERROR(INDEX(Jobs!$AD$5:$AD$604,MATCH(A15,Jobs!$A$5:$A$604,0)),0))</f>
        <v>0</v>
      </c>
      <c r="L15" s="34">
        <f>IF(A15="","",IFERROR(INDEX(Jobs!$AK$5:$AK$604,MATCH(A15,Jobs!$A$5:$A$604,0)),0))</f>
        <v>0</v>
      </c>
      <c r="M15" s="34">
        <f>IF(A15="","",IF(IFERROR(L15*1,0)&gt;0,L15,IFERROR(K15*1,0)))</f>
        <v>0</v>
      </c>
      <c r="N15" s="21">
        <f>IF(A15="","",SUMIFS(Timesheets!$X$5:$X$804,Timesheets!$G$5:$G$804,A15))</f>
        <v>0</v>
      </c>
      <c r="O15" s="21">
        <f>IF(A15="","",IF(N15&gt;0,N15,ROUND(M15*CostPerHour,2)))</f>
        <v>0</v>
      </c>
      <c r="P15" s="21">
        <f>IF(A15="","",SUMIFS('Supply Usage'!$L$5:$L$304,'Supply Usage'!$F$5:$F$304,A15))</f>
        <v>0</v>
      </c>
      <c r="Q15" s="21">
        <f>IF(A15="","",IF(P15&gt;0,P15,ROUND(M15*SuppliesPerHour,2)))</f>
        <v>0</v>
      </c>
      <c r="R15" s="21">
        <f>IF(A15="","",ROUND(IFERROR(INDEX(Jobs!$W$5:$W$604,MATCH(A15,Jobs!$A$5:$A$604,0)),0)*MileageRate,2))</f>
        <v>0</v>
      </c>
      <c r="T15" s="21">
        <f>IF(A15="","",O15+Q15+R15+IF(S15="",0,S15))</f>
        <v>0</v>
      </c>
      <c r="U15" s="21">
        <f>IF(A15="","",J15-T15)</f>
        <v>0</v>
      </c>
      <c r="V15" s="38">
        <f>IF(OR(A15="",J15=0),"",U15/J15)</f>
        <v>0</v>
      </c>
      <c r="W15" s="21">
        <f>IF(OR(A15="",M15=0,J15=0),"",U15/M15)</f>
        <v>0</v>
      </c>
      <c r="X15" s="34">
        <f>IF(OR(A15="",L15="",L15=0,K15=""),"",L15-K15)</f>
        <v>0</v>
      </c>
      <c r="Y15" s="31">
        <f>IF(A15="","",COUNTIFS($U$5:$U$604,"&gt;"&amp;U15)+COUNTIFS($U$5:U15,U15))</f>
        <v>0</v>
      </c>
      <c r="Z15" s="31">
        <f>IF(A15="","",COUNTIFS($W$5:$W$604,"&gt;"&amp;W15)+COUNTIFS($W$5:W15,W15))</f>
        <v>0</v>
      </c>
      <c r="AA15" s="39">
        <f>IF(A15="","",IF(J15=0,"",IF(U15&lt;0,"Loss - this job cost you money",IF(V15&lt;MarginFloor,"Below - margin under the floor",IF(V15&lt;TargetMargin,"Check - under target margin",IF(AND(X15&lt;&gt;"",X15&gt;0.5),"Check - ran over the estimate","OK"))))))</f>
        <v>0</v>
      </c>
    </row>
    <row r="16" spans="1:28">
      <c r="A16" s="43">
        <f>IF(IFERROR(INDEX(Jobs!$A$5:$A$604,ROW()-4),"")="","",IFERROR(INDEX(Jobs!$A$5:$A$604,ROW()-4),""))</f>
        <v>0</v>
      </c>
      <c r="B16" s="18">
        <f>IF(A16="","",IFERROR(INDEX(Jobs!$B$5:$B$604,MATCH(A16,Jobs!$A$5:$A$604,0)),""))</f>
        <v>0</v>
      </c>
      <c r="C16" s="23">
        <f>IF(B16="","",TEXT(B16,"yyyy-mm"))</f>
        <v>0</v>
      </c>
      <c r="D16" s="43">
        <f>IF(A16="","",IFERROR(INDEX(Jobs!$G$5:$G$604,MATCH(A16,Jobs!$A$5:$A$604,0)),""))</f>
        <v>0</v>
      </c>
      <c r="E16" s="23">
        <f>IF(A16="","",IFERROR(INDEX(Jobs!$H$5:$H$604,MATCH(A16,Jobs!$A$5:$A$604,0)),""))</f>
        <v>0</v>
      </c>
      <c r="F16" s="23">
        <f>IF(A16="","",IFERROR(INDEX(Jobs!$K$5:$K$604,MATCH(A16,Jobs!$A$5:$A$604,0)),""))</f>
        <v>0</v>
      </c>
      <c r="G16" s="23">
        <f>IF(A16="","",IFERROR(INDEX(Jobs!$M$5:$M$604,MATCH(A16,Jobs!$A$5:$A$604,0)),""))</f>
        <v>0</v>
      </c>
      <c r="H16" s="23">
        <f>IF(A16="","",IFERROR(INDEX(Jobs!$R$5:$R$604,MATCH(A16,Jobs!$A$5:$A$604,0)),""))</f>
        <v>0</v>
      </c>
      <c r="I16" s="39">
        <f>IF(A16="","",IFERROR(INDEX(Jobs!$P$5:$P$604,MATCH(A16,Jobs!$A$5:$A$604,0)),""))</f>
        <v>0</v>
      </c>
      <c r="J16" s="21">
        <f>IF(A16="","",IF(OR(I16="Completed",I16="Invoiced"),IFERROR(INDEX(Jobs!$AJ$5:$AJ$604,MATCH(A16,Jobs!$A$5:$A$604,0)),0),0))</f>
        <v>0</v>
      </c>
      <c r="K16" s="34">
        <f>IF(A16="","",IFERROR(INDEX(Jobs!$AD$5:$AD$604,MATCH(A16,Jobs!$A$5:$A$604,0)),0))</f>
        <v>0</v>
      </c>
      <c r="L16" s="34">
        <f>IF(A16="","",IFERROR(INDEX(Jobs!$AK$5:$AK$604,MATCH(A16,Jobs!$A$5:$A$604,0)),0))</f>
        <v>0</v>
      </c>
      <c r="M16" s="34">
        <f>IF(A16="","",IF(IFERROR(L16*1,0)&gt;0,L16,IFERROR(K16*1,0)))</f>
        <v>0</v>
      </c>
      <c r="N16" s="21">
        <f>IF(A16="","",SUMIFS(Timesheets!$X$5:$X$804,Timesheets!$G$5:$G$804,A16))</f>
        <v>0</v>
      </c>
      <c r="O16" s="21">
        <f>IF(A16="","",IF(N16&gt;0,N16,ROUND(M16*CostPerHour,2)))</f>
        <v>0</v>
      </c>
      <c r="P16" s="21">
        <f>IF(A16="","",SUMIFS('Supply Usage'!$L$5:$L$304,'Supply Usage'!$F$5:$F$304,A16))</f>
        <v>0</v>
      </c>
      <c r="Q16" s="21">
        <f>IF(A16="","",IF(P16&gt;0,P16,ROUND(M16*SuppliesPerHour,2)))</f>
        <v>0</v>
      </c>
      <c r="R16" s="21">
        <f>IF(A16="","",ROUND(IFERROR(INDEX(Jobs!$W$5:$W$604,MATCH(A16,Jobs!$A$5:$A$604,0)),0)*MileageRate,2))</f>
        <v>0</v>
      </c>
      <c r="T16" s="21">
        <f>IF(A16="","",O16+Q16+R16+IF(S16="",0,S16))</f>
        <v>0</v>
      </c>
      <c r="U16" s="21">
        <f>IF(A16="","",J16-T16)</f>
        <v>0</v>
      </c>
      <c r="V16" s="38">
        <f>IF(OR(A16="",J16=0),"",U16/J16)</f>
        <v>0</v>
      </c>
      <c r="W16" s="21">
        <f>IF(OR(A16="",M16=0,J16=0),"",U16/M16)</f>
        <v>0</v>
      </c>
      <c r="X16" s="34">
        <f>IF(OR(A16="",L16="",L16=0,K16=""),"",L16-K16)</f>
        <v>0</v>
      </c>
      <c r="Y16" s="31">
        <f>IF(A16="","",COUNTIFS($U$5:$U$604,"&gt;"&amp;U16)+COUNTIFS($U$5:U16,U16))</f>
        <v>0</v>
      </c>
      <c r="Z16" s="31">
        <f>IF(A16="","",COUNTIFS($W$5:$W$604,"&gt;"&amp;W16)+COUNTIFS($W$5:W16,W16))</f>
        <v>0</v>
      </c>
      <c r="AA16" s="39">
        <f>IF(A16="","",IF(J16=0,"",IF(U16&lt;0,"Loss - this job cost you money",IF(V16&lt;MarginFloor,"Below - margin under the floor",IF(V16&lt;TargetMargin,"Check - under target margin",IF(AND(X16&lt;&gt;"",X16&gt;0.5),"Check - ran over the estimate","OK"))))))</f>
        <v>0</v>
      </c>
    </row>
    <row r="17" spans="1:27">
      <c r="A17" s="43">
        <f>IF(IFERROR(INDEX(Jobs!$A$5:$A$604,ROW()-4),"")="","",IFERROR(INDEX(Jobs!$A$5:$A$604,ROW()-4),""))</f>
        <v>0</v>
      </c>
      <c r="B17" s="18">
        <f>IF(A17="","",IFERROR(INDEX(Jobs!$B$5:$B$604,MATCH(A17,Jobs!$A$5:$A$604,0)),""))</f>
        <v>0</v>
      </c>
      <c r="C17" s="23">
        <f>IF(B17="","",TEXT(B17,"yyyy-mm"))</f>
        <v>0</v>
      </c>
      <c r="D17" s="43">
        <f>IF(A17="","",IFERROR(INDEX(Jobs!$G$5:$G$604,MATCH(A17,Jobs!$A$5:$A$604,0)),""))</f>
        <v>0</v>
      </c>
      <c r="E17" s="23">
        <f>IF(A17="","",IFERROR(INDEX(Jobs!$H$5:$H$604,MATCH(A17,Jobs!$A$5:$A$604,0)),""))</f>
        <v>0</v>
      </c>
      <c r="F17" s="23">
        <f>IF(A17="","",IFERROR(INDEX(Jobs!$K$5:$K$604,MATCH(A17,Jobs!$A$5:$A$604,0)),""))</f>
        <v>0</v>
      </c>
      <c r="G17" s="23">
        <f>IF(A17="","",IFERROR(INDEX(Jobs!$M$5:$M$604,MATCH(A17,Jobs!$A$5:$A$604,0)),""))</f>
        <v>0</v>
      </c>
      <c r="H17" s="23">
        <f>IF(A17="","",IFERROR(INDEX(Jobs!$R$5:$R$604,MATCH(A17,Jobs!$A$5:$A$604,0)),""))</f>
        <v>0</v>
      </c>
      <c r="I17" s="39">
        <f>IF(A17="","",IFERROR(INDEX(Jobs!$P$5:$P$604,MATCH(A17,Jobs!$A$5:$A$604,0)),""))</f>
        <v>0</v>
      </c>
      <c r="J17" s="21">
        <f>IF(A17="","",IF(OR(I17="Completed",I17="Invoiced"),IFERROR(INDEX(Jobs!$AJ$5:$AJ$604,MATCH(A17,Jobs!$A$5:$A$604,0)),0),0))</f>
        <v>0</v>
      </c>
      <c r="K17" s="34">
        <f>IF(A17="","",IFERROR(INDEX(Jobs!$AD$5:$AD$604,MATCH(A17,Jobs!$A$5:$A$604,0)),0))</f>
        <v>0</v>
      </c>
      <c r="L17" s="34">
        <f>IF(A17="","",IFERROR(INDEX(Jobs!$AK$5:$AK$604,MATCH(A17,Jobs!$A$5:$A$604,0)),0))</f>
        <v>0</v>
      </c>
      <c r="M17" s="34">
        <f>IF(A17="","",IF(IFERROR(L17*1,0)&gt;0,L17,IFERROR(K17*1,0)))</f>
        <v>0</v>
      </c>
      <c r="N17" s="21">
        <f>IF(A17="","",SUMIFS(Timesheets!$X$5:$X$804,Timesheets!$G$5:$G$804,A17))</f>
        <v>0</v>
      </c>
      <c r="O17" s="21">
        <f>IF(A17="","",IF(N17&gt;0,N17,ROUND(M17*CostPerHour,2)))</f>
        <v>0</v>
      </c>
      <c r="P17" s="21">
        <f>IF(A17="","",SUMIFS('Supply Usage'!$L$5:$L$304,'Supply Usage'!$F$5:$F$304,A17))</f>
        <v>0</v>
      </c>
      <c r="Q17" s="21">
        <f>IF(A17="","",IF(P17&gt;0,P17,ROUND(M17*SuppliesPerHour,2)))</f>
        <v>0</v>
      </c>
      <c r="R17" s="21">
        <f>IF(A17="","",ROUND(IFERROR(INDEX(Jobs!$W$5:$W$604,MATCH(A17,Jobs!$A$5:$A$604,0)),0)*MileageRate,2))</f>
        <v>0</v>
      </c>
      <c r="T17" s="21">
        <f>IF(A17="","",O17+Q17+R17+IF(S17="",0,S17))</f>
        <v>0</v>
      </c>
      <c r="U17" s="21">
        <f>IF(A17="","",J17-T17)</f>
        <v>0</v>
      </c>
      <c r="V17" s="38">
        <f>IF(OR(A17="",J17=0),"",U17/J17)</f>
        <v>0</v>
      </c>
      <c r="W17" s="21">
        <f>IF(OR(A17="",M17=0,J17=0),"",U17/M17)</f>
        <v>0</v>
      </c>
      <c r="X17" s="34">
        <f>IF(OR(A17="",L17="",L17=0,K17=""),"",L17-K17)</f>
        <v>0</v>
      </c>
      <c r="Y17" s="31">
        <f>IF(A17="","",COUNTIFS($U$5:$U$604,"&gt;"&amp;U17)+COUNTIFS($U$5:U17,U17))</f>
        <v>0</v>
      </c>
      <c r="Z17" s="31">
        <f>IF(A17="","",COUNTIFS($W$5:$W$604,"&gt;"&amp;W17)+COUNTIFS($W$5:W17,W17))</f>
        <v>0</v>
      </c>
      <c r="AA17" s="39">
        <f>IF(A17="","",IF(J17=0,"",IF(U17&lt;0,"Loss - this job cost you money",IF(V17&lt;MarginFloor,"Below - margin under the floor",IF(V17&lt;TargetMargin,"Check - under target margin",IF(AND(X17&lt;&gt;"",X17&gt;0.5),"Check - ran over the estimate","OK"))))))</f>
        <v>0</v>
      </c>
    </row>
    <row r="18" spans="1:27">
      <c r="A18" s="43">
        <f>IF(IFERROR(INDEX(Jobs!$A$5:$A$604,ROW()-4),"")="","",IFERROR(INDEX(Jobs!$A$5:$A$604,ROW()-4),""))</f>
        <v>0</v>
      </c>
      <c r="B18" s="18">
        <f>IF(A18="","",IFERROR(INDEX(Jobs!$B$5:$B$604,MATCH(A18,Jobs!$A$5:$A$604,0)),""))</f>
        <v>0</v>
      </c>
      <c r="C18" s="23">
        <f>IF(B18="","",TEXT(B18,"yyyy-mm"))</f>
        <v>0</v>
      </c>
      <c r="D18" s="43">
        <f>IF(A18="","",IFERROR(INDEX(Jobs!$G$5:$G$604,MATCH(A18,Jobs!$A$5:$A$604,0)),""))</f>
        <v>0</v>
      </c>
      <c r="E18" s="23">
        <f>IF(A18="","",IFERROR(INDEX(Jobs!$H$5:$H$604,MATCH(A18,Jobs!$A$5:$A$604,0)),""))</f>
        <v>0</v>
      </c>
      <c r="F18" s="23">
        <f>IF(A18="","",IFERROR(INDEX(Jobs!$K$5:$K$604,MATCH(A18,Jobs!$A$5:$A$604,0)),""))</f>
        <v>0</v>
      </c>
      <c r="G18" s="23">
        <f>IF(A18="","",IFERROR(INDEX(Jobs!$M$5:$M$604,MATCH(A18,Jobs!$A$5:$A$604,0)),""))</f>
        <v>0</v>
      </c>
      <c r="H18" s="23">
        <f>IF(A18="","",IFERROR(INDEX(Jobs!$R$5:$R$604,MATCH(A18,Jobs!$A$5:$A$604,0)),""))</f>
        <v>0</v>
      </c>
      <c r="I18" s="39">
        <f>IF(A18="","",IFERROR(INDEX(Jobs!$P$5:$P$604,MATCH(A18,Jobs!$A$5:$A$604,0)),""))</f>
        <v>0</v>
      </c>
      <c r="J18" s="21">
        <f>IF(A18="","",IF(OR(I18="Completed",I18="Invoiced"),IFERROR(INDEX(Jobs!$AJ$5:$AJ$604,MATCH(A18,Jobs!$A$5:$A$604,0)),0),0))</f>
        <v>0</v>
      </c>
      <c r="K18" s="34">
        <f>IF(A18="","",IFERROR(INDEX(Jobs!$AD$5:$AD$604,MATCH(A18,Jobs!$A$5:$A$604,0)),0))</f>
        <v>0</v>
      </c>
      <c r="L18" s="34">
        <f>IF(A18="","",IFERROR(INDEX(Jobs!$AK$5:$AK$604,MATCH(A18,Jobs!$A$5:$A$604,0)),0))</f>
        <v>0</v>
      </c>
      <c r="M18" s="34">
        <f>IF(A18="","",IF(IFERROR(L18*1,0)&gt;0,L18,IFERROR(K18*1,0)))</f>
        <v>0</v>
      </c>
      <c r="N18" s="21">
        <f>IF(A18="","",SUMIFS(Timesheets!$X$5:$X$804,Timesheets!$G$5:$G$804,A18))</f>
        <v>0</v>
      </c>
      <c r="O18" s="21">
        <f>IF(A18="","",IF(N18&gt;0,N18,ROUND(M18*CostPerHour,2)))</f>
        <v>0</v>
      </c>
      <c r="P18" s="21">
        <f>IF(A18="","",SUMIFS('Supply Usage'!$L$5:$L$304,'Supply Usage'!$F$5:$F$304,A18))</f>
        <v>0</v>
      </c>
      <c r="Q18" s="21">
        <f>IF(A18="","",IF(P18&gt;0,P18,ROUND(M18*SuppliesPerHour,2)))</f>
        <v>0</v>
      </c>
      <c r="R18" s="21">
        <f>IF(A18="","",ROUND(IFERROR(INDEX(Jobs!$W$5:$W$604,MATCH(A18,Jobs!$A$5:$A$604,0)),0)*MileageRate,2))</f>
        <v>0</v>
      </c>
      <c r="T18" s="21">
        <f>IF(A18="","",O18+Q18+R18+IF(S18="",0,S18))</f>
        <v>0</v>
      </c>
      <c r="U18" s="21">
        <f>IF(A18="","",J18-T18)</f>
        <v>0</v>
      </c>
      <c r="V18" s="38">
        <f>IF(OR(A18="",J18=0),"",U18/J18)</f>
        <v>0</v>
      </c>
      <c r="W18" s="21">
        <f>IF(OR(A18="",M18=0,J18=0),"",U18/M18)</f>
        <v>0</v>
      </c>
      <c r="X18" s="34">
        <f>IF(OR(A18="",L18="",L18=0,K18=""),"",L18-K18)</f>
        <v>0</v>
      </c>
      <c r="Y18" s="31">
        <f>IF(A18="","",COUNTIFS($U$5:$U$604,"&gt;"&amp;U18)+COUNTIFS($U$5:U18,U18))</f>
        <v>0</v>
      </c>
      <c r="Z18" s="31">
        <f>IF(A18="","",COUNTIFS($W$5:$W$604,"&gt;"&amp;W18)+COUNTIFS($W$5:W18,W18))</f>
        <v>0</v>
      </c>
      <c r="AA18" s="39">
        <f>IF(A18="","",IF(J18=0,"",IF(U18&lt;0,"Loss - this job cost you money",IF(V18&lt;MarginFloor,"Below - margin under the floor",IF(V18&lt;TargetMargin,"Check - under target margin",IF(AND(X18&lt;&gt;"",X18&gt;0.5),"Check - ran over the estimate","OK"))))))</f>
        <v>0</v>
      </c>
    </row>
    <row r="19" spans="1:27">
      <c r="A19" s="43">
        <f>IF(IFERROR(INDEX(Jobs!$A$5:$A$604,ROW()-4),"")="","",IFERROR(INDEX(Jobs!$A$5:$A$604,ROW()-4),""))</f>
        <v>0</v>
      </c>
      <c r="B19" s="18">
        <f>IF(A19="","",IFERROR(INDEX(Jobs!$B$5:$B$604,MATCH(A19,Jobs!$A$5:$A$604,0)),""))</f>
        <v>0</v>
      </c>
      <c r="C19" s="23">
        <f>IF(B19="","",TEXT(B19,"yyyy-mm"))</f>
        <v>0</v>
      </c>
      <c r="D19" s="43">
        <f>IF(A19="","",IFERROR(INDEX(Jobs!$G$5:$G$604,MATCH(A19,Jobs!$A$5:$A$604,0)),""))</f>
        <v>0</v>
      </c>
      <c r="E19" s="23">
        <f>IF(A19="","",IFERROR(INDEX(Jobs!$H$5:$H$604,MATCH(A19,Jobs!$A$5:$A$604,0)),""))</f>
        <v>0</v>
      </c>
      <c r="F19" s="23">
        <f>IF(A19="","",IFERROR(INDEX(Jobs!$K$5:$K$604,MATCH(A19,Jobs!$A$5:$A$604,0)),""))</f>
        <v>0</v>
      </c>
      <c r="G19" s="23">
        <f>IF(A19="","",IFERROR(INDEX(Jobs!$M$5:$M$604,MATCH(A19,Jobs!$A$5:$A$604,0)),""))</f>
        <v>0</v>
      </c>
      <c r="H19" s="23">
        <f>IF(A19="","",IFERROR(INDEX(Jobs!$R$5:$R$604,MATCH(A19,Jobs!$A$5:$A$604,0)),""))</f>
        <v>0</v>
      </c>
      <c r="I19" s="39">
        <f>IF(A19="","",IFERROR(INDEX(Jobs!$P$5:$P$604,MATCH(A19,Jobs!$A$5:$A$604,0)),""))</f>
        <v>0</v>
      </c>
      <c r="J19" s="21">
        <f>IF(A19="","",IF(OR(I19="Completed",I19="Invoiced"),IFERROR(INDEX(Jobs!$AJ$5:$AJ$604,MATCH(A19,Jobs!$A$5:$A$604,0)),0),0))</f>
        <v>0</v>
      </c>
      <c r="K19" s="34">
        <f>IF(A19="","",IFERROR(INDEX(Jobs!$AD$5:$AD$604,MATCH(A19,Jobs!$A$5:$A$604,0)),0))</f>
        <v>0</v>
      </c>
      <c r="L19" s="34">
        <f>IF(A19="","",IFERROR(INDEX(Jobs!$AK$5:$AK$604,MATCH(A19,Jobs!$A$5:$A$604,0)),0))</f>
        <v>0</v>
      </c>
      <c r="M19" s="34">
        <f>IF(A19="","",IF(IFERROR(L19*1,0)&gt;0,L19,IFERROR(K19*1,0)))</f>
        <v>0</v>
      </c>
      <c r="N19" s="21">
        <f>IF(A19="","",SUMIFS(Timesheets!$X$5:$X$804,Timesheets!$G$5:$G$804,A19))</f>
        <v>0</v>
      </c>
      <c r="O19" s="21">
        <f>IF(A19="","",IF(N19&gt;0,N19,ROUND(M19*CostPerHour,2)))</f>
        <v>0</v>
      </c>
      <c r="P19" s="21">
        <f>IF(A19="","",SUMIFS('Supply Usage'!$L$5:$L$304,'Supply Usage'!$F$5:$F$304,A19))</f>
        <v>0</v>
      </c>
      <c r="Q19" s="21">
        <f>IF(A19="","",IF(P19&gt;0,P19,ROUND(M19*SuppliesPerHour,2)))</f>
        <v>0</v>
      </c>
      <c r="R19" s="21">
        <f>IF(A19="","",ROUND(IFERROR(INDEX(Jobs!$W$5:$W$604,MATCH(A19,Jobs!$A$5:$A$604,0)),0)*MileageRate,2))</f>
        <v>0</v>
      </c>
      <c r="T19" s="21">
        <f>IF(A19="","",O19+Q19+R19+IF(S19="",0,S19))</f>
        <v>0</v>
      </c>
      <c r="U19" s="21">
        <f>IF(A19="","",J19-T19)</f>
        <v>0</v>
      </c>
      <c r="V19" s="38">
        <f>IF(OR(A19="",J19=0),"",U19/J19)</f>
        <v>0</v>
      </c>
      <c r="W19" s="21">
        <f>IF(OR(A19="",M19=0,J19=0),"",U19/M19)</f>
        <v>0</v>
      </c>
      <c r="X19" s="34">
        <f>IF(OR(A19="",L19="",L19=0,K19=""),"",L19-K19)</f>
        <v>0</v>
      </c>
      <c r="Y19" s="31">
        <f>IF(A19="","",COUNTIFS($U$5:$U$604,"&gt;"&amp;U19)+COUNTIFS($U$5:U19,U19))</f>
        <v>0</v>
      </c>
      <c r="Z19" s="31">
        <f>IF(A19="","",COUNTIFS($W$5:$W$604,"&gt;"&amp;W19)+COUNTIFS($W$5:W19,W19))</f>
        <v>0</v>
      </c>
      <c r="AA19" s="39">
        <f>IF(A19="","",IF(J19=0,"",IF(U19&lt;0,"Loss - this job cost you money",IF(V19&lt;MarginFloor,"Below - margin under the floor",IF(V19&lt;TargetMargin,"Check - under target margin",IF(AND(X19&lt;&gt;"",X19&gt;0.5),"Check - ran over the estimate","OK"))))))</f>
        <v>0</v>
      </c>
    </row>
    <row r="20" spans="1:27">
      <c r="A20" s="43">
        <f>IF(IFERROR(INDEX(Jobs!$A$5:$A$604,ROW()-4),"")="","",IFERROR(INDEX(Jobs!$A$5:$A$604,ROW()-4),""))</f>
        <v>0</v>
      </c>
      <c r="B20" s="18">
        <f>IF(A20="","",IFERROR(INDEX(Jobs!$B$5:$B$604,MATCH(A20,Jobs!$A$5:$A$604,0)),""))</f>
        <v>0</v>
      </c>
      <c r="C20" s="23">
        <f>IF(B20="","",TEXT(B20,"yyyy-mm"))</f>
        <v>0</v>
      </c>
      <c r="D20" s="43">
        <f>IF(A20="","",IFERROR(INDEX(Jobs!$G$5:$G$604,MATCH(A20,Jobs!$A$5:$A$604,0)),""))</f>
        <v>0</v>
      </c>
      <c r="E20" s="23">
        <f>IF(A20="","",IFERROR(INDEX(Jobs!$H$5:$H$604,MATCH(A20,Jobs!$A$5:$A$604,0)),""))</f>
        <v>0</v>
      </c>
      <c r="F20" s="23">
        <f>IF(A20="","",IFERROR(INDEX(Jobs!$K$5:$K$604,MATCH(A20,Jobs!$A$5:$A$604,0)),""))</f>
        <v>0</v>
      </c>
      <c r="G20" s="23">
        <f>IF(A20="","",IFERROR(INDEX(Jobs!$M$5:$M$604,MATCH(A20,Jobs!$A$5:$A$604,0)),""))</f>
        <v>0</v>
      </c>
      <c r="H20" s="23">
        <f>IF(A20="","",IFERROR(INDEX(Jobs!$R$5:$R$604,MATCH(A20,Jobs!$A$5:$A$604,0)),""))</f>
        <v>0</v>
      </c>
      <c r="I20" s="39">
        <f>IF(A20="","",IFERROR(INDEX(Jobs!$P$5:$P$604,MATCH(A20,Jobs!$A$5:$A$604,0)),""))</f>
        <v>0</v>
      </c>
      <c r="J20" s="21">
        <f>IF(A20="","",IF(OR(I20="Completed",I20="Invoiced"),IFERROR(INDEX(Jobs!$AJ$5:$AJ$604,MATCH(A20,Jobs!$A$5:$A$604,0)),0),0))</f>
        <v>0</v>
      </c>
      <c r="K20" s="34">
        <f>IF(A20="","",IFERROR(INDEX(Jobs!$AD$5:$AD$604,MATCH(A20,Jobs!$A$5:$A$604,0)),0))</f>
        <v>0</v>
      </c>
      <c r="L20" s="34">
        <f>IF(A20="","",IFERROR(INDEX(Jobs!$AK$5:$AK$604,MATCH(A20,Jobs!$A$5:$A$604,0)),0))</f>
        <v>0</v>
      </c>
      <c r="M20" s="34">
        <f>IF(A20="","",IF(IFERROR(L20*1,0)&gt;0,L20,IFERROR(K20*1,0)))</f>
        <v>0</v>
      </c>
      <c r="N20" s="21">
        <f>IF(A20="","",SUMIFS(Timesheets!$X$5:$X$804,Timesheets!$G$5:$G$804,A20))</f>
        <v>0</v>
      </c>
      <c r="O20" s="21">
        <f>IF(A20="","",IF(N20&gt;0,N20,ROUND(M20*CostPerHour,2)))</f>
        <v>0</v>
      </c>
      <c r="P20" s="21">
        <f>IF(A20="","",SUMIFS('Supply Usage'!$L$5:$L$304,'Supply Usage'!$F$5:$F$304,A20))</f>
        <v>0</v>
      </c>
      <c r="Q20" s="21">
        <f>IF(A20="","",IF(P20&gt;0,P20,ROUND(M20*SuppliesPerHour,2)))</f>
        <v>0</v>
      </c>
      <c r="R20" s="21">
        <f>IF(A20="","",ROUND(IFERROR(INDEX(Jobs!$W$5:$W$604,MATCH(A20,Jobs!$A$5:$A$604,0)),0)*MileageRate,2))</f>
        <v>0</v>
      </c>
      <c r="T20" s="21">
        <f>IF(A20="","",O20+Q20+R20+IF(S20="",0,S20))</f>
        <v>0</v>
      </c>
      <c r="U20" s="21">
        <f>IF(A20="","",J20-T20)</f>
        <v>0</v>
      </c>
      <c r="V20" s="38">
        <f>IF(OR(A20="",J20=0),"",U20/J20)</f>
        <v>0</v>
      </c>
      <c r="W20" s="21">
        <f>IF(OR(A20="",M20=0,J20=0),"",U20/M20)</f>
        <v>0</v>
      </c>
      <c r="X20" s="34">
        <f>IF(OR(A20="",L20="",L20=0,K20=""),"",L20-K20)</f>
        <v>0</v>
      </c>
      <c r="Y20" s="31">
        <f>IF(A20="","",COUNTIFS($U$5:$U$604,"&gt;"&amp;U20)+COUNTIFS($U$5:U20,U20))</f>
        <v>0</v>
      </c>
      <c r="Z20" s="31">
        <f>IF(A20="","",COUNTIFS($W$5:$W$604,"&gt;"&amp;W20)+COUNTIFS($W$5:W20,W20))</f>
        <v>0</v>
      </c>
      <c r="AA20" s="39">
        <f>IF(A20="","",IF(J20=0,"",IF(U20&lt;0,"Loss - this job cost you money",IF(V20&lt;MarginFloor,"Below - margin under the floor",IF(V20&lt;TargetMargin,"Check - under target margin",IF(AND(X20&lt;&gt;"",X20&gt;0.5),"Check - ran over the estimate","OK"))))))</f>
        <v>0</v>
      </c>
    </row>
    <row r="21" spans="1:27">
      <c r="A21" s="43">
        <f>IF(IFERROR(INDEX(Jobs!$A$5:$A$604,ROW()-4),"")="","",IFERROR(INDEX(Jobs!$A$5:$A$604,ROW()-4),""))</f>
        <v>0</v>
      </c>
      <c r="B21" s="18">
        <f>IF(A21="","",IFERROR(INDEX(Jobs!$B$5:$B$604,MATCH(A21,Jobs!$A$5:$A$604,0)),""))</f>
        <v>0</v>
      </c>
      <c r="C21" s="23">
        <f>IF(B21="","",TEXT(B21,"yyyy-mm"))</f>
        <v>0</v>
      </c>
      <c r="D21" s="43">
        <f>IF(A21="","",IFERROR(INDEX(Jobs!$G$5:$G$604,MATCH(A21,Jobs!$A$5:$A$604,0)),""))</f>
        <v>0</v>
      </c>
      <c r="E21" s="23">
        <f>IF(A21="","",IFERROR(INDEX(Jobs!$H$5:$H$604,MATCH(A21,Jobs!$A$5:$A$604,0)),""))</f>
        <v>0</v>
      </c>
      <c r="F21" s="23">
        <f>IF(A21="","",IFERROR(INDEX(Jobs!$K$5:$K$604,MATCH(A21,Jobs!$A$5:$A$604,0)),""))</f>
        <v>0</v>
      </c>
      <c r="G21" s="23">
        <f>IF(A21="","",IFERROR(INDEX(Jobs!$M$5:$M$604,MATCH(A21,Jobs!$A$5:$A$604,0)),""))</f>
        <v>0</v>
      </c>
      <c r="H21" s="23">
        <f>IF(A21="","",IFERROR(INDEX(Jobs!$R$5:$R$604,MATCH(A21,Jobs!$A$5:$A$604,0)),""))</f>
        <v>0</v>
      </c>
      <c r="I21" s="39">
        <f>IF(A21="","",IFERROR(INDEX(Jobs!$P$5:$P$604,MATCH(A21,Jobs!$A$5:$A$604,0)),""))</f>
        <v>0</v>
      </c>
      <c r="J21" s="21">
        <f>IF(A21="","",IF(OR(I21="Completed",I21="Invoiced"),IFERROR(INDEX(Jobs!$AJ$5:$AJ$604,MATCH(A21,Jobs!$A$5:$A$604,0)),0),0))</f>
        <v>0</v>
      </c>
      <c r="K21" s="34">
        <f>IF(A21="","",IFERROR(INDEX(Jobs!$AD$5:$AD$604,MATCH(A21,Jobs!$A$5:$A$604,0)),0))</f>
        <v>0</v>
      </c>
      <c r="L21" s="34">
        <f>IF(A21="","",IFERROR(INDEX(Jobs!$AK$5:$AK$604,MATCH(A21,Jobs!$A$5:$A$604,0)),0))</f>
        <v>0</v>
      </c>
      <c r="M21" s="34">
        <f>IF(A21="","",IF(IFERROR(L21*1,0)&gt;0,L21,IFERROR(K21*1,0)))</f>
        <v>0</v>
      </c>
      <c r="N21" s="21">
        <f>IF(A21="","",SUMIFS(Timesheets!$X$5:$X$804,Timesheets!$G$5:$G$804,A21))</f>
        <v>0</v>
      </c>
      <c r="O21" s="21">
        <f>IF(A21="","",IF(N21&gt;0,N21,ROUND(M21*CostPerHour,2)))</f>
        <v>0</v>
      </c>
      <c r="P21" s="21">
        <f>IF(A21="","",SUMIFS('Supply Usage'!$L$5:$L$304,'Supply Usage'!$F$5:$F$304,A21))</f>
        <v>0</v>
      </c>
      <c r="Q21" s="21">
        <f>IF(A21="","",IF(P21&gt;0,P21,ROUND(M21*SuppliesPerHour,2)))</f>
        <v>0</v>
      </c>
      <c r="R21" s="21">
        <f>IF(A21="","",ROUND(IFERROR(INDEX(Jobs!$W$5:$W$604,MATCH(A21,Jobs!$A$5:$A$604,0)),0)*MileageRate,2))</f>
        <v>0</v>
      </c>
      <c r="T21" s="21">
        <f>IF(A21="","",O21+Q21+R21+IF(S21="",0,S21))</f>
        <v>0</v>
      </c>
      <c r="U21" s="21">
        <f>IF(A21="","",J21-T21)</f>
        <v>0</v>
      </c>
      <c r="V21" s="38">
        <f>IF(OR(A21="",J21=0),"",U21/J21)</f>
        <v>0</v>
      </c>
      <c r="W21" s="21">
        <f>IF(OR(A21="",M21=0,J21=0),"",U21/M21)</f>
        <v>0</v>
      </c>
      <c r="X21" s="34">
        <f>IF(OR(A21="",L21="",L21=0,K21=""),"",L21-K21)</f>
        <v>0</v>
      </c>
      <c r="Y21" s="31">
        <f>IF(A21="","",COUNTIFS($U$5:$U$604,"&gt;"&amp;U21)+COUNTIFS($U$5:U21,U21))</f>
        <v>0</v>
      </c>
      <c r="Z21" s="31">
        <f>IF(A21="","",COUNTIFS($W$5:$W$604,"&gt;"&amp;W21)+COUNTIFS($W$5:W21,W21))</f>
        <v>0</v>
      </c>
      <c r="AA21" s="39">
        <f>IF(A21="","",IF(J21=0,"",IF(U21&lt;0,"Loss - this job cost you money",IF(V21&lt;MarginFloor,"Below - margin under the floor",IF(V21&lt;TargetMargin,"Check - under target margin",IF(AND(X21&lt;&gt;"",X21&gt;0.5),"Check - ran over the estimate","OK"))))))</f>
        <v>0</v>
      </c>
    </row>
    <row r="22" spans="1:27">
      <c r="A22" s="43">
        <f>IF(IFERROR(INDEX(Jobs!$A$5:$A$604,ROW()-4),"")="","",IFERROR(INDEX(Jobs!$A$5:$A$604,ROW()-4),""))</f>
        <v>0</v>
      </c>
      <c r="B22" s="18">
        <f>IF(A22="","",IFERROR(INDEX(Jobs!$B$5:$B$604,MATCH(A22,Jobs!$A$5:$A$604,0)),""))</f>
        <v>0</v>
      </c>
      <c r="C22" s="23">
        <f>IF(B22="","",TEXT(B22,"yyyy-mm"))</f>
        <v>0</v>
      </c>
      <c r="D22" s="43">
        <f>IF(A22="","",IFERROR(INDEX(Jobs!$G$5:$G$604,MATCH(A22,Jobs!$A$5:$A$604,0)),""))</f>
        <v>0</v>
      </c>
      <c r="E22" s="23">
        <f>IF(A22="","",IFERROR(INDEX(Jobs!$H$5:$H$604,MATCH(A22,Jobs!$A$5:$A$604,0)),""))</f>
        <v>0</v>
      </c>
      <c r="F22" s="23">
        <f>IF(A22="","",IFERROR(INDEX(Jobs!$K$5:$K$604,MATCH(A22,Jobs!$A$5:$A$604,0)),""))</f>
        <v>0</v>
      </c>
      <c r="G22" s="23">
        <f>IF(A22="","",IFERROR(INDEX(Jobs!$M$5:$M$604,MATCH(A22,Jobs!$A$5:$A$604,0)),""))</f>
        <v>0</v>
      </c>
      <c r="H22" s="23">
        <f>IF(A22="","",IFERROR(INDEX(Jobs!$R$5:$R$604,MATCH(A22,Jobs!$A$5:$A$604,0)),""))</f>
        <v>0</v>
      </c>
      <c r="I22" s="39">
        <f>IF(A22="","",IFERROR(INDEX(Jobs!$P$5:$P$604,MATCH(A22,Jobs!$A$5:$A$604,0)),""))</f>
        <v>0</v>
      </c>
      <c r="J22" s="21">
        <f>IF(A22="","",IF(OR(I22="Completed",I22="Invoiced"),IFERROR(INDEX(Jobs!$AJ$5:$AJ$604,MATCH(A22,Jobs!$A$5:$A$604,0)),0),0))</f>
        <v>0</v>
      </c>
      <c r="K22" s="34">
        <f>IF(A22="","",IFERROR(INDEX(Jobs!$AD$5:$AD$604,MATCH(A22,Jobs!$A$5:$A$604,0)),0))</f>
        <v>0</v>
      </c>
      <c r="L22" s="34">
        <f>IF(A22="","",IFERROR(INDEX(Jobs!$AK$5:$AK$604,MATCH(A22,Jobs!$A$5:$A$604,0)),0))</f>
        <v>0</v>
      </c>
      <c r="M22" s="34">
        <f>IF(A22="","",IF(IFERROR(L22*1,0)&gt;0,L22,IFERROR(K22*1,0)))</f>
        <v>0</v>
      </c>
      <c r="N22" s="21">
        <f>IF(A22="","",SUMIFS(Timesheets!$X$5:$X$804,Timesheets!$G$5:$G$804,A22))</f>
        <v>0</v>
      </c>
      <c r="O22" s="21">
        <f>IF(A22="","",IF(N22&gt;0,N22,ROUND(M22*CostPerHour,2)))</f>
        <v>0</v>
      </c>
      <c r="P22" s="21">
        <f>IF(A22="","",SUMIFS('Supply Usage'!$L$5:$L$304,'Supply Usage'!$F$5:$F$304,A22))</f>
        <v>0</v>
      </c>
      <c r="Q22" s="21">
        <f>IF(A22="","",IF(P22&gt;0,P22,ROUND(M22*SuppliesPerHour,2)))</f>
        <v>0</v>
      </c>
      <c r="R22" s="21">
        <f>IF(A22="","",ROUND(IFERROR(INDEX(Jobs!$W$5:$W$604,MATCH(A22,Jobs!$A$5:$A$604,0)),0)*MileageRate,2))</f>
        <v>0</v>
      </c>
      <c r="T22" s="21">
        <f>IF(A22="","",O22+Q22+R22+IF(S22="",0,S22))</f>
        <v>0</v>
      </c>
      <c r="U22" s="21">
        <f>IF(A22="","",J22-T22)</f>
        <v>0</v>
      </c>
      <c r="V22" s="38">
        <f>IF(OR(A22="",J22=0),"",U22/J22)</f>
        <v>0</v>
      </c>
      <c r="W22" s="21">
        <f>IF(OR(A22="",M22=0,J22=0),"",U22/M22)</f>
        <v>0</v>
      </c>
      <c r="X22" s="34">
        <f>IF(OR(A22="",L22="",L22=0,K22=""),"",L22-K22)</f>
        <v>0</v>
      </c>
      <c r="Y22" s="31">
        <f>IF(A22="","",COUNTIFS($U$5:$U$604,"&gt;"&amp;U22)+COUNTIFS($U$5:U22,U22))</f>
        <v>0</v>
      </c>
      <c r="Z22" s="31">
        <f>IF(A22="","",COUNTIFS($W$5:$W$604,"&gt;"&amp;W22)+COUNTIFS($W$5:W22,W22))</f>
        <v>0</v>
      </c>
      <c r="AA22" s="39">
        <f>IF(A22="","",IF(J22=0,"",IF(U22&lt;0,"Loss - this job cost you money",IF(V22&lt;MarginFloor,"Below - margin under the floor",IF(V22&lt;TargetMargin,"Check - under target margin",IF(AND(X22&lt;&gt;"",X22&gt;0.5),"Check - ran over the estimate","OK"))))))</f>
        <v>0</v>
      </c>
    </row>
    <row r="23" spans="1:27">
      <c r="A23" s="43">
        <f>IF(IFERROR(INDEX(Jobs!$A$5:$A$604,ROW()-4),"")="","",IFERROR(INDEX(Jobs!$A$5:$A$604,ROW()-4),""))</f>
        <v>0</v>
      </c>
      <c r="B23" s="18">
        <f>IF(A23="","",IFERROR(INDEX(Jobs!$B$5:$B$604,MATCH(A23,Jobs!$A$5:$A$604,0)),""))</f>
        <v>0</v>
      </c>
      <c r="C23" s="23">
        <f>IF(B23="","",TEXT(B23,"yyyy-mm"))</f>
        <v>0</v>
      </c>
      <c r="D23" s="43">
        <f>IF(A23="","",IFERROR(INDEX(Jobs!$G$5:$G$604,MATCH(A23,Jobs!$A$5:$A$604,0)),""))</f>
        <v>0</v>
      </c>
      <c r="E23" s="23">
        <f>IF(A23="","",IFERROR(INDEX(Jobs!$H$5:$H$604,MATCH(A23,Jobs!$A$5:$A$604,0)),""))</f>
        <v>0</v>
      </c>
      <c r="F23" s="23">
        <f>IF(A23="","",IFERROR(INDEX(Jobs!$K$5:$K$604,MATCH(A23,Jobs!$A$5:$A$604,0)),""))</f>
        <v>0</v>
      </c>
      <c r="G23" s="23">
        <f>IF(A23="","",IFERROR(INDEX(Jobs!$M$5:$M$604,MATCH(A23,Jobs!$A$5:$A$604,0)),""))</f>
        <v>0</v>
      </c>
      <c r="H23" s="23">
        <f>IF(A23="","",IFERROR(INDEX(Jobs!$R$5:$R$604,MATCH(A23,Jobs!$A$5:$A$604,0)),""))</f>
        <v>0</v>
      </c>
      <c r="I23" s="39">
        <f>IF(A23="","",IFERROR(INDEX(Jobs!$P$5:$P$604,MATCH(A23,Jobs!$A$5:$A$604,0)),""))</f>
        <v>0</v>
      </c>
      <c r="J23" s="21">
        <f>IF(A23="","",IF(OR(I23="Completed",I23="Invoiced"),IFERROR(INDEX(Jobs!$AJ$5:$AJ$604,MATCH(A23,Jobs!$A$5:$A$604,0)),0),0))</f>
        <v>0</v>
      </c>
      <c r="K23" s="34">
        <f>IF(A23="","",IFERROR(INDEX(Jobs!$AD$5:$AD$604,MATCH(A23,Jobs!$A$5:$A$604,0)),0))</f>
        <v>0</v>
      </c>
      <c r="L23" s="34">
        <f>IF(A23="","",IFERROR(INDEX(Jobs!$AK$5:$AK$604,MATCH(A23,Jobs!$A$5:$A$604,0)),0))</f>
        <v>0</v>
      </c>
      <c r="M23" s="34">
        <f>IF(A23="","",IF(IFERROR(L23*1,0)&gt;0,L23,IFERROR(K23*1,0)))</f>
        <v>0</v>
      </c>
      <c r="N23" s="21">
        <f>IF(A23="","",SUMIFS(Timesheets!$X$5:$X$804,Timesheets!$G$5:$G$804,A23))</f>
        <v>0</v>
      </c>
      <c r="O23" s="21">
        <f>IF(A23="","",IF(N23&gt;0,N23,ROUND(M23*CostPerHour,2)))</f>
        <v>0</v>
      </c>
      <c r="P23" s="21">
        <f>IF(A23="","",SUMIFS('Supply Usage'!$L$5:$L$304,'Supply Usage'!$F$5:$F$304,A23))</f>
        <v>0</v>
      </c>
      <c r="Q23" s="21">
        <f>IF(A23="","",IF(P23&gt;0,P23,ROUND(M23*SuppliesPerHour,2)))</f>
        <v>0</v>
      </c>
      <c r="R23" s="21">
        <f>IF(A23="","",ROUND(IFERROR(INDEX(Jobs!$W$5:$W$604,MATCH(A23,Jobs!$A$5:$A$604,0)),0)*MileageRate,2))</f>
        <v>0</v>
      </c>
      <c r="T23" s="21">
        <f>IF(A23="","",O23+Q23+R23+IF(S23="",0,S23))</f>
        <v>0</v>
      </c>
      <c r="U23" s="21">
        <f>IF(A23="","",J23-T23)</f>
        <v>0</v>
      </c>
      <c r="V23" s="38">
        <f>IF(OR(A23="",J23=0),"",U23/J23)</f>
        <v>0</v>
      </c>
      <c r="W23" s="21">
        <f>IF(OR(A23="",M23=0,J23=0),"",U23/M23)</f>
        <v>0</v>
      </c>
      <c r="X23" s="34">
        <f>IF(OR(A23="",L23="",L23=0,K23=""),"",L23-K23)</f>
        <v>0</v>
      </c>
      <c r="Y23" s="31">
        <f>IF(A23="","",COUNTIFS($U$5:$U$604,"&gt;"&amp;U23)+COUNTIFS($U$5:U23,U23))</f>
        <v>0</v>
      </c>
      <c r="Z23" s="31">
        <f>IF(A23="","",COUNTIFS($W$5:$W$604,"&gt;"&amp;W23)+COUNTIFS($W$5:W23,W23))</f>
        <v>0</v>
      </c>
      <c r="AA23" s="39">
        <f>IF(A23="","",IF(J23=0,"",IF(U23&lt;0,"Loss - this job cost you money",IF(V23&lt;MarginFloor,"Below - margin under the floor",IF(V23&lt;TargetMargin,"Check - under target margin",IF(AND(X23&lt;&gt;"",X23&gt;0.5),"Check - ran over the estimate","OK"))))))</f>
        <v>0</v>
      </c>
    </row>
    <row r="24" spans="1:27">
      <c r="A24" s="43">
        <f>IF(IFERROR(INDEX(Jobs!$A$5:$A$604,ROW()-4),"")="","",IFERROR(INDEX(Jobs!$A$5:$A$604,ROW()-4),""))</f>
        <v>0</v>
      </c>
      <c r="B24" s="18">
        <f>IF(A24="","",IFERROR(INDEX(Jobs!$B$5:$B$604,MATCH(A24,Jobs!$A$5:$A$604,0)),""))</f>
        <v>0</v>
      </c>
      <c r="C24" s="23">
        <f>IF(B24="","",TEXT(B24,"yyyy-mm"))</f>
        <v>0</v>
      </c>
      <c r="D24" s="43">
        <f>IF(A24="","",IFERROR(INDEX(Jobs!$G$5:$G$604,MATCH(A24,Jobs!$A$5:$A$604,0)),""))</f>
        <v>0</v>
      </c>
      <c r="E24" s="23">
        <f>IF(A24="","",IFERROR(INDEX(Jobs!$H$5:$H$604,MATCH(A24,Jobs!$A$5:$A$604,0)),""))</f>
        <v>0</v>
      </c>
      <c r="F24" s="23">
        <f>IF(A24="","",IFERROR(INDEX(Jobs!$K$5:$K$604,MATCH(A24,Jobs!$A$5:$A$604,0)),""))</f>
        <v>0</v>
      </c>
      <c r="G24" s="23">
        <f>IF(A24="","",IFERROR(INDEX(Jobs!$M$5:$M$604,MATCH(A24,Jobs!$A$5:$A$604,0)),""))</f>
        <v>0</v>
      </c>
      <c r="H24" s="23">
        <f>IF(A24="","",IFERROR(INDEX(Jobs!$R$5:$R$604,MATCH(A24,Jobs!$A$5:$A$604,0)),""))</f>
        <v>0</v>
      </c>
      <c r="I24" s="39">
        <f>IF(A24="","",IFERROR(INDEX(Jobs!$P$5:$P$604,MATCH(A24,Jobs!$A$5:$A$604,0)),""))</f>
        <v>0</v>
      </c>
      <c r="J24" s="21">
        <f>IF(A24="","",IF(OR(I24="Completed",I24="Invoiced"),IFERROR(INDEX(Jobs!$AJ$5:$AJ$604,MATCH(A24,Jobs!$A$5:$A$604,0)),0),0))</f>
        <v>0</v>
      </c>
      <c r="K24" s="34">
        <f>IF(A24="","",IFERROR(INDEX(Jobs!$AD$5:$AD$604,MATCH(A24,Jobs!$A$5:$A$604,0)),0))</f>
        <v>0</v>
      </c>
      <c r="L24" s="34">
        <f>IF(A24="","",IFERROR(INDEX(Jobs!$AK$5:$AK$604,MATCH(A24,Jobs!$A$5:$A$604,0)),0))</f>
        <v>0</v>
      </c>
      <c r="M24" s="34">
        <f>IF(A24="","",IF(IFERROR(L24*1,0)&gt;0,L24,IFERROR(K24*1,0)))</f>
        <v>0</v>
      </c>
      <c r="N24" s="21">
        <f>IF(A24="","",SUMIFS(Timesheets!$X$5:$X$804,Timesheets!$G$5:$G$804,A24))</f>
        <v>0</v>
      </c>
      <c r="O24" s="21">
        <f>IF(A24="","",IF(N24&gt;0,N24,ROUND(M24*CostPerHour,2)))</f>
        <v>0</v>
      </c>
      <c r="P24" s="21">
        <f>IF(A24="","",SUMIFS('Supply Usage'!$L$5:$L$304,'Supply Usage'!$F$5:$F$304,A24))</f>
        <v>0</v>
      </c>
      <c r="Q24" s="21">
        <f>IF(A24="","",IF(P24&gt;0,P24,ROUND(M24*SuppliesPerHour,2)))</f>
        <v>0</v>
      </c>
      <c r="R24" s="21">
        <f>IF(A24="","",ROUND(IFERROR(INDEX(Jobs!$W$5:$W$604,MATCH(A24,Jobs!$A$5:$A$604,0)),0)*MileageRate,2))</f>
        <v>0</v>
      </c>
      <c r="T24" s="21">
        <f>IF(A24="","",O24+Q24+R24+IF(S24="",0,S24))</f>
        <v>0</v>
      </c>
      <c r="U24" s="21">
        <f>IF(A24="","",J24-T24)</f>
        <v>0</v>
      </c>
      <c r="V24" s="38">
        <f>IF(OR(A24="",J24=0),"",U24/J24)</f>
        <v>0</v>
      </c>
      <c r="W24" s="21">
        <f>IF(OR(A24="",M24=0,J24=0),"",U24/M24)</f>
        <v>0</v>
      </c>
      <c r="X24" s="34">
        <f>IF(OR(A24="",L24="",L24=0,K24=""),"",L24-K24)</f>
        <v>0</v>
      </c>
      <c r="Y24" s="31">
        <f>IF(A24="","",COUNTIFS($U$5:$U$604,"&gt;"&amp;U24)+COUNTIFS($U$5:U24,U24))</f>
        <v>0</v>
      </c>
      <c r="Z24" s="31">
        <f>IF(A24="","",COUNTIFS($W$5:$W$604,"&gt;"&amp;W24)+COUNTIFS($W$5:W24,W24))</f>
        <v>0</v>
      </c>
      <c r="AA24" s="39">
        <f>IF(A24="","",IF(J24=0,"",IF(U24&lt;0,"Loss - this job cost you money",IF(V24&lt;MarginFloor,"Below - margin under the floor",IF(V24&lt;TargetMargin,"Check - under target margin",IF(AND(X24&lt;&gt;"",X24&gt;0.5),"Check - ran over the estimate","OK"))))))</f>
        <v>0</v>
      </c>
    </row>
    <row r="25" spans="1:27">
      <c r="A25" s="43">
        <f>IF(IFERROR(INDEX(Jobs!$A$5:$A$604,ROW()-4),"")="","",IFERROR(INDEX(Jobs!$A$5:$A$604,ROW()-4),""))</f>
        <v>0</v>
      </c>
      <c r="B25" s="18">
        <f>IF(A25="","",IFERROR(INDEX(Jobs!$B$5:$B$604,MATCH(A25,Jobs!$A$5:$A$604,0)),""))</f>
        <v>0</v>
      </c>
      <c r="C25" s="23">
        <f>IF(B25="","",TEXT(B25,"yyyy-mm"))</f>
        <v>0</v>
      </c>
      <c r="D25" s="43">
        <f>IF(A25="","",IFERROR(INDEX(Jobs!$G$5:$G$604,MATCH(A25,Jobs!$A$5:$A$604,0)),""))</f>
        <v>0</v>
      </c>
      <c r="E25" s="23">
        <f>IF(A25="","",IFERROR(INDEX(Jobs!$H$5:$H$604,MATCH(A25,Jobs!$A$5:$A$604,0)),""))</f>
        <v>0</v>
      </c>
      <c r="F25" s="23">
        <f>IF(A25="","",IFERROR(INDEX(Jobs!$K$5:$K$604,MATCH(A25,Jobs!$A$5:$A$604,0)),""))</f>
        <v>0</v>
      </c>
      <c r="G25" s="23">
        <f>IF(A25="","",IFERROR(INDEX(Jobs!$M$5:$M$604,MATCH(A25,Jobs!$A$5:$A$604,0)),""))</f>
        <v>0</v>
      </c>
      <c r="H25" s="23">
        <f>IF(A25="","",IFERROR(INDEX(Jobs!$R$5:$R$604,MATCH(A25,Jobs!$A$5:$A$604,0)),""))</f>
        <v>0</v>
      </c>
      <c r="I25" s="39">
        <f>IF(A25="","",IFERROR(INDEX(Jobs!$P$5:$P$604,MATCH(A25,Jobs!$A$5:$A$604,0)),""))</f>
        <v>0</v>
      </c>
      <c r="J25" s="21">
        <f>IF(A25="","",IF(OR(I25="Completed",I25="Invoiced"),IFERROR(INDEX(Jobs!$AJ$5:$AJ$604,MATCH(A25,Jobs!$A$5:$A$604,0)),0),0))</f>
        <v>0</v>
      </c>
      <c r="K25" s="34">
        <f>IF(A25="","",IFERROR(INDEX(Jobs!$AD$5:$AD$604,MATCH(A25,Jobs!$A$5:$A$604,0)),0))</f>
        <v>0</v>
      </c>
      <c r="L25" s="34">
        <f>IF(A25="","",IFERROR(INDEX(Jobs!$AK$5:$AK$604,MATCH(A25,Jobs!$A$5:$A$604,0)),0))</f>
        <v>0</v>
      </c>
      <c r="M25" s="34">
        <f>IF(A25="","",IF(IFERROR(L25*1,0)&gt;0,L25,IFERROR(K25*1,0)))</f>
        <v>0</v>
      </c>
      <c r="N25" s="21">
        <f>IF(A25="","",SUMIFS(Timesheets!$X$5:$X$804,Timesheets!$G$5:$G$804,A25))</f>
        <v>0</v>
      </c>
      <c r="O25" s="21">
        <f>IF(A25="","",IF(N25&gt;0,N25,ROUND(M25*CostPerHour,2)))</f>
        <v>0</v>
      </c>
      <c r="P25" s="21">
        <f>IF(A25="","",SUMIFS('Supply Usage'!$L$5:$L$304,'Supply Usage'!$F$5:$F$304,A25))</f>
        <v>0</v>
      </c>
      <c r="Q25" s="21">
        <f>IF(A25="","",IF(P25&gt;0,P25,ROUND(M25*SuppliesPerHour,2)))</f>
        <v>0</v>
      </c>
      <c r="R25" s="21">
        <f>IF(A25="","",ROUND(IFERROR(INDEX(Jobs!$W$5:$W$604,MATCH(A25,Jobs!$A$5:$A$604,0)),0)*MileageRate,2))</f>
        <v>0</v>
      </c>
      <c r="T25" s="21">
        <f>IF(A25="","",O25+Q25+R25+IF(S25="",0,S25))</f>
        <v>0</v>
      </c>
      <c r="U25" s="21">
        <f>IF(A25="","",J25-T25)</f>
        <v>0</v>
      </c>
      <c r="V25" s="38">
        <f>IF(OR(A25="",J25=0),"",U25/J25)</f>
        <v>0</v>
      </c>
      <c r="W25" s="21">
        <f>IF(OR(A25="",M25=0,J25=0),"",U25/M25)</f>
        <v>0</v>
      </c>
      <c r="X25" s="34">
        <f>IF(OR(A25="",L25="",L25=0,K25=""),"",L25-K25)</f>
        <v>0</v>
      </c>
      <c r="Y25" s="31">
        <f>IF(A25="","",COUNTIFS($U$5:$U$604,"&gt;"&amp;U25)+COUNTIFS($U$5:U25,U25))</f>
        <v>0</v>
      </c>
      <c r="Z25" s="31">
        <f>IF(A25="","",COUNTIFS($W$5:$W$604,"&gt;"&amp;W25)+COUNTIFS($W$5:W25,W25))</f>
        <v>0</v>
      </c>
      <c r="AA25" s="39">
        <f>IF(A25="","",IF(J25=0,"",IF(U25&lt;0,"Loss - this job cost you money",IF(V25&lt;MarginFloor,"Below - margin under the floor",IF(V25&lt;TargetMargin,"Check - under target margin",IF(AND(X25&lt;&gt;"",X25&gt;0.5),"Check - ran over the estimate","OK"))))))</f>
        <v>0</v>
      </c>
    </row>
    <row r="26" spans="1:27">
      <c r="A26" s="43">
        <f>IF(IFERROR(INDEX(Jobs!$A$5:$A$604,ROW()-4),"")="","",IFERROR(INDEX(Jobs!$A$5:$A$604,ROW()-4),""))</f>
        <v>0</v>
      </c>
      <c r="B26" s="18">
        <f>IF(A26="","",IFERROR(INDEX(Jobs!$B$5:$B$604,MATCH(A26,Jobs!$A$5:$A$604,0)),""))</f>
        <v>0</v>
      </c>
      <c r="C26" s="23">
        <f>IF(B26="","",TEXT(B26,"yyyy-mm"))</f>
        <v>0</v>
      </c>
      <c r="D26" s="43">
        <f>IF(A26="","",IFERROR(INDEX(Jobs!$G$5:$G$604,MATCH(A26,Jobs!$A$5:$A$604,0)),""))</f>
        <v>0</v>
      </c>
      <c r="E26" s="23">
        <f>IF(A26="","",IFERROR(INDEX(Jobs!$H$5:$H$604,MATCH(A26,Jobs!$A$5:$A$604,0)),""))</f>
        <v>0</v>
      </c>
      <c r="F26" s="23">
        <f>IF(A26="","",IFERROR(INDEX(Jobs!$K$5:$K$604,MATCH(A26,Jobs!$A$5:$A$604,0)),""))</f>
        <v>0</v>
      </c>
      <c r="G26" s="23">
        <f>IF(A26="","",IFERROR(INDEX(Jobs!$M$5:$M$604,MATCH(A26,Jobs!$A$5:$A$604,0)),""))</f>
        <v>0</v>
      </c>
      <c r="H26" s="23">
        <f>IF(A26="","",IFERROR(INDEX(Jobs!$R$5:$R$604,MATCH(A26,Jobs!$A$5:$A$604,0)),""))</f>
        <v>0</v>
      </c>
      <c r="I26" s="39">
        <f>IF(A26="","",IFERROR(INDEX(Jobs!$P$5:$P$604,MATCH(A26,Jobs!$A$5:$A$604,0)),""))</f>
        <v>0</v>
      </c>
      <c r="J26" s="21">
        <f>IF(A26="","",IF(OR(I26="Completed",I26="Invoiced"),IFERROR(INDEX(Jobs!$AJ$5:$AJ$604,MATCH(A26,Jobs!$A$5:$A$604,0)),0),0))</f>
        <v>0</v>
      </c>
      <c r="K26" s="34">
        <f>IF(A26="","",IFERROR(INDEX(Jobs!$AD$5:$AD$604,MATCH(A26,Jobs!$A$5:$A$604,0)),0))</f>
        <v>0</v>
      </c>
      <c r="L26" s="34">
        <f>IF(A26="","",IFERROR(INDEX(Jobs!$AK$5:$AK$604,MATCH(A26,Jobs!$A$5:$A$604,0)),0))</f>
        <v>0</v>
      </c>
      <c r="M26" s="34">
        <f>IF(A26="","",IF(IFERROR(L26*1,0)&gt;0,L26,IFERROR(K26*1,0)))</f>
        <v>0</v>
      </c>
      <c r="N26" s="21">
        <f>IF(A26="","",SUMIFS(Timesheets!$X$5:$X$804,Timesheets!$G$5:$G$804,A26))</f>
        <v>0</v>
      </c>
      <c r="O26" s="21">
        <f>IF(A26="","",IF(N26&gt;0,N26,ROUND(M26*CostPerHour,2)))</f>
        <v>0</v>
      </c>
      <c r="P26" s="21">
        <f>IF(A26="","",SUMIFS('Supply Usage'!$L$5:$L$304,'Supply Usage'!$F$5:$F$304,A26))</f>
        <v>0</v>
      </c>
      <c r="Q26" s="21">
        <f>IF(A26="","",IF(P26&gt;0,P26,ROUND(M26*SuppliesPerHour,2)))</f>
        <v>0</v>
      </c>
      <c r="R26" s="21">
        <f>IF(A26="","",ROUND(IFERROR(INDEX(Jobs!$W$5:$W$604,MATCH(A26,Jobs!$A$5:$A$604,0)),0)*MileageRate,2))</f>
        <v>0</v>
      </c>
      <c r="T26" s="21">
        <f>IF(A26="","",O26+Q26+R26+IF(S26="",0,S26))</f>
        <v>0</v>
      </c>
      <c r="U26" s="21">
        <f>IF(A26="","",J26-T26)</f>
        <v>0</v>
      </c>
      <c r="V26" s="38">
        <f>IF(OR(A26="",J26=0),"",U26/J26)</f>
        <v>0</v>
      </c>
      <c r="W26" s="21">
        <f>IF(OR(A26="",M26=0,J26=0),"",U26/M26)</f>
        <v>0</v>
      </c>
      <c r="X26" s="34">
        <f>IF(OR(A26="",L26="",L26=0,K26=""),"",L26-K26)</f>
        <v>0</v>
      </c>
      <c r="Y26" s="31">
        <f>IF(A26="","",COUNTIFS($U$5:$U$604,"&gt;"&amp;U26)+COUNTIFS($U$5:U26,U26))</f>
        <v>0</v>
      </c>
      <c r="Z26" s="31">
        <f>IF(A26="","",COUNTIFS($W$5:$W$604,"&gt;"&amp;W26)+COUNTIFS($W$5:W26,W26))</f>
        <v>0</v>
      </c>
      <c r="AA26" s="39">
        <f>IF(A26="","",IF(J26=0,"",IF(U26&lt;0,"Loss - this job cost you money",IF(V26&lt;MarginFloor,"Below - margin under the floor",IF(V26&lt;TargetMargin,"Check - under target margin",IF(AND(X26&lt;&gt;"",X26&gt;0.5),"Check - ran over the estimate","OK"))))))</f>
        <v>0</v>
      </c>
    </row>
    <row r="27" spans="1:27">
      <c r="A27" s="43">
        <f>IF(IFERROR(INDEX(Jobs!$A$5:$A$604,ROW()-4),"")="","",IFERROR(INDEX(Jobs!$A$5:$A$604,ROW()-4),""))</f>
        <v>0</v>
      </c>
      <c r="B27" s="18">
        <f>IF(A27="","",IFERROR(INDEX(Jobs!$B$5:$B$604,MATCH(A27,Jobs!$A$5:$A$604,0)),""))</f>
        <v>0</v>
      </c>
      <c r="C27" s="23">
        <f>IF(B27="","",TEXT(B27,"yyyy-mm"))</f>
        <v>0</v>
      </c>
      <c r="D27" s="43">
        <f>IF(A27="","",IFERROR(INDEX(Jobs!$G$5:$G$604,MATCH(A27,Jobs!$A$5:$A$604,0)),""))</f>
        <v>0</v>
      </c>
      <c r="E27" s="23">
        <f>IF(A27="","",IFERROR(INDEX(Jobs!$H$5:$H$604,MATCH(A27,Jobs!$A$5:$A$604,0)),""))</f>
        <v>0</v>
      </c>
      <c r="F27" s="23">
        <f>IF(A27="","",IFERROR(INDEX(Jobs!$K$5:$K$604,MATCH(A27,Jobs!$A$5:$A$604,0)),""))</f>
        <v>0</v>
      </c>
      <c r="G27" s="23">
        <f>IF(A27="","",IFERROR(INDEX(Jobs!$M$5:$M$604,MATCH(A27,Jobs!$A$5:$A$604,0)),""))</f>
        <v>0</v>
      </c>
      <c r="H27" s="23">
        <f>IF(A27="","",IFERROR(INDEX(Jobs!$R$5:$R$604,MATCH(A27,Jobs!$A$5:$A$604,0)),""))</f>
        <v>0</v>
      </c>
      <c r="I27" s="39">
        <f>IF(A27="","",IFERROR(INDEX(Jobs!$P$5:$P$604,MATCH(A27,Jobs!$A$5:$A$604,0)),""))</f>
        <v>0</v>
      </c>
      <c r="J27" s="21">
        <f>IF(A27="","",IF(OR(I27="Completed",I27="Invoiced"),IFERROR(INDEX(Jobs!$AJ$5:$AJ$604,MATCH(A27,Jobs!$A$5:$A$604,0)),0),0))</f>
        <v>0</v>
      </c>
      <c r="K27" s="34">
        <f>IF(A27="","",IFERROR(INDEX(Jobs!$AD$5:$AD$604,MATCH(A27,Jobs!$A$5:$A$604,0)),0))</f>
        <v>0</v>
      </c>
      <c r="L27" s="34">
        <f>IF(A27="","",IFERROR(INDEX(Jobs!$AK$5:$AK$604,MATCH(A27,Jobs!$A$5:$A$604,0)),0))</f>
        <v>0</v>
      </c>
      <c r="M27" s="34">
        <f>IF(A27="","",IF(IFERROR(L27*1,0)&gt;0,L27,IFERROR(K27*1,0)))</f>
        <v>0</v>
      </c>
      <c r="N27" s="21">
        <f>IF(A27="","",SUMIFS(Timesheets!$X$5:$X$804,Timesheets!$G$5:$G$804,A27))</f>
        <v>0</v>
      </c>
      <c r="O27" s="21">
        <f>IF(A27="","",IF(N27&gt;0,N27,ROUND(M27*CostPerHour,2)))</f>
        <v>0</v>
      </c>
      <c r="P27" s="21">
        <f>IF(A27="","",SUMIFS('Supply Usage'!$L$5:$L$304,'Supply Usage'!$F$5:$F$304,A27))</f>
        <v>0</v>
      </c>
      <c r="Q27" s="21">
        <f>IF(A27="","",IF(P27&gt;0,P27,ROUND(M27*SuppliesPerHour,2)))</f>
        <v>0</v>
      </c>
      <c r="R27" s="21">
        <f>IF(A27="","",ROUND(IFERROR(INDEX(Jobs!$W$5:$W$604,MATCH(A27,Jobs!$A$5:$A$604,0)),0)*MileageRate,2))</f>
        <v>0</v>
      </c>
      <c r="T27" s="21">
        <f>IF(A27="","",O27+Q27+R27+IF(S27="",0,S27))</f>
        <v>0</v>
      </c>
      <c r="U27" s="21">
        <f>IF(A27="","",J27-T27)</f>
        <v>0</v>
      </c>
      <c r="V27" s="38">
        <f>IF(OR(A27="",J27=0),"",U27/J27)</f>
        <v>0</v>
      </c>
      <c r="W27" s="21">
        <f>IF(OR(A27="",M27=0,J27=0),"",U27/M27)</f>
        <v>0</v>
      </c>
      <c r="X27" s="34">
        <f>IF(OR(A27="",L27="",L27=0,K27=""),"",L27-K27)</f>
        <v>0</v>
      </c>
      <c r="Y27" s="31">
        <f>IF(A27="","",COUNTIFS($U$5:$U$604,"&gt;"&amp;U27)+COUNTIFS($U$5:U27,U27))</f>
        <v>0</v>
      </c>
      <c r="Z27" s="31">
        <f>IF(A27="","",COUNTIFS($W$5:$W$604,"&gt;"&amp;W27)+COUNTIFS($W$5:W27,W27))</f>
        <v>0</v>
      </c>
      <c r="AA27" s="39">
        <f>IF(A27="","",IF(J27=0,"",IF(U27&lt;0,"Loss - this job cost you money",IF(V27&lt;MarginFloor,"Below - margin under the floor",IF(V27&lt;TargetMargin,"Check - under target margin",IF(AND(X27&lt;&gt;"",X27&gt;0.5),"Check - ran over the estimate","OK"))))))</f>
        <v>0</v>
      </c>
    </row>
    <row r="28" spans="1:27">
      <c r="A28" s="43">
        <f>IF(IFERROR(INDEX(Jobs!$A$5:$A$604,ROW()-4),"")="","",IFERROR(INDEX(Jobs!$A$5:$A$604,ROW()-4),""))</f>
        <v>0</v>
      </c>
      <c r="B28" s="18">
        <f>IF(A28="","",IFERROR(INDEX(Jobs!$B$5:$B$604,MATCH(A28,Jobs!$A$5:$A$604,0)),""))</f>
        <v>0</v>
      </c>
      <c r="C28" s="23">
        <f>IF(B28="","",TEXT(B28,"yyyy-mm"))</f>
        <v>0</v>
      </c>
      <c r="D28" s="43">
        <f>IF(A28="","",IFERROR(INDEX(Jobs!$G$5:$G$604,MATCH(A28,Jobs!$A$5:$A$604,0)),""))</f>
        <v>0</v>
      </c>
      <c r="E28" s="23">
        <f>IF(A28="","",IFERROR(INDEX(Jobs!$H$5:$H$604,MATCH(A28,Jobs!$A$5:$A$604,0)),""))</f>
        <v>0</v>
      </c>
      <c r="F28" s="23">
        <f>IF(A28="","",IFERROR(INDEX(Jobs!$K$5:$K$604,MATCH(A28,Jobs!$A$5:$A$604,0)),""))</f>
        <v>0</v>
      </c>
      <c r="G28" s="23">
        <f>IF(A28="","",IFERROR(INDEX(Jobs!$M$5:$M$604,MATCH(A28,Jobs!$A$5:$A$604,0)),""))</f>
        <v>0</v>
      </c>
      <c r="H28" s="23">
        <f>IF(A28="","",IFERROR(INDEX(Jobs!$R$5:$R$604,MATCH(A28,Jobs!$A$5:$A$604,0)),""))</f>
        <v>0</v>
      </c>
      <c r="I28" s="39">
        <f>IF(A28="","",IFERROR(INDEX(Jobs!$P$5:$P$604,MATCH(A28,Jobs!$A$5:$A$604,0)),""))</f>
        <v>0</v>
      </c>
      <c r="J28" s="21">
        <f>IF(A28="","",IF(OR(I28="Completed",I28="Invoiced"),IFERROR(INDEX(Jobs!$AJ$5:$AJ$604,MATCH(A28,Jobs!$A$5:$A$604,0)),0),0))</f>
        <v>0</v>
      </c>
      <c r="K28" s="34">
        <f>IF(A28="","",IFERROR(INDEX(Jobs!$AD$5:$AD$604,MATCH(A28,Jobs!$A$5:$A$604,0)),0))</f>
        <v>0</v>
      </c>
      <c r="L28" s="34">
        <f>IF(A28="","",IFERROR(INDEX(Jobs!$AK$5:$AK$604,MATCH(A28,Jobs!$A$5:$A$604,0)),0))</f>
        <v>0</v>
      </c>
      <c r="M28" s="34">
        <f>IF(A28="","",IF(IFERROR(L28*1,0)&gt;0,L28,IFERROR(K28*1,0)))</f>
        <v>0</v>
      </c>
      <c r="N28" s="21">
        <f>IF(A28="","",SUMIFS(Timesheets!$X$5:$X$804,Timesheets!$G$5:$G$804,A28))</f>
        <v>0</v>
      </c>
      <c r="O28" s="21">
        <f>IF(A28="","",IF(N28&gt;0,N28,ROUND(M28*CostPerHour,2)))</f>
        <v>0</v>
      </c>
      <c r="P28" s="21">
        <f>IF(A28="","",SUMIFS('Supply Usage'!$L$5:$L$304,'Supply Usage'!$F$5:$F$304,A28))</f>
        <v>0</v>
      </c>
      <c r="Q28" s="21">
        <f>IF(A28="","",IF(P28&gt;0,P28,ROUND(M28*SuppliesPerHour,2)))</f>
        <v>0</v>
      </c>
      <c r="R28" s="21">
        <f>IF(A28="","",ROUND(IFERROR(INDEX(Jobs!$W$5:$W$604,MATCH(A28,Jobs!$A$5:$A$604,0)),0)*MileageRate,2))</f>
        <v>0</v>
      </c>
      <c r="T28" s="21">
        <f>IF(A28="","",O28+Q28+R28+IF(S28="",0,S28))</f>
        <v>0</v>
      </c>
      <c r="U28" s="21">
        <f>IF(A28="","",J28-T28)</f>
        <v>0</v>
      </c>
      <c r="V28" s="38">
        <f>IF(OR(A28="",J28=0),"",U28/J28)</f>
        <v>0</v>
      </c>
      <c r="W28" s="21">
        <f>IF(OR(A28="",M28=0,J28=0),"",U28/M28)</f>
        <v>0</v>
      </c>
      <c r="X28" s="34">
        <f>IF(OR(A28="",L28="",L28=0,K28=""),"",L28-K28)</f>
        <v>0</v>
      </c>
      <c r="Y28" s="31">
        <f>IF(A28="","",COUNTIFS($U$5:$U$604,"&gt;"&amp;U28)+COUNTIFS($U$5:U28,U28))</f>
        <v>0</v>
      </c>
      <c r="Z28" s="31">
        <f>IF(A28="","",COUNTIFS($W$5:$W$604,"&gt;"&amp;W28)+COUNTIFS($W$5:W28,W28))</f>
        <v>0</v>
      </c>
      <c r="AA28" s="39">
        <f>IF(A28="","",IF(J28=0,"",IF(U28&lt;0,"Loss - this job cost you money",IF(V28&lt;MarginFloor,"Below - margin under the floor",IF(V28&lt;TargetMargin,"Check - under target margin",IF(AND(X28&lt;&gt;"",X28&gt;0.5),"Check - ran over the estimate","OK"))))))</f>
        <v>0</v>
      </c>
    </row>
    <row r="29" spans="1:27">
      <c r="A29" s="43">
        <f>IF(IFERROR(INDEX(Jobs!$A$5:$A$604,ROW()-4),"")="","",IFERROR(INDEX(Jobs!$A$5:$A$604,ROW()-4),""))</f>
        <v>0</v>
      </c>
      <c r="B29" s="18">
        <f>IF(A29="","",IFERROR(INDEX(Jobs!$B$5:$B$604,MATCH(A29,Jobs!$A$5:$A$604,0)),""))</f>
        <v>0</v>
      </c>
      <c r="C29" s="23">
        <f>IF(B29="","",TEXT(B29,"yyyy-mm"))</f>
        <v>0</v>
      </c>
      <c r="D29" s="43">
        <f>IF(A29="","",IFERROR(INDEX(Jobs!$G$5:$G$604,MATCH(A29,Jobs!$A$5:$A$604,0)),""))</f>
        <v>0</v>
      </c>
      <c r="E29" s="23">
        <f>IF(A29="","",IFERROR(INDEX(Jobs!$H$5:$H$604,MATCH(A29,Jobs!$A$5:$A$604,0)),""))</f>
        <v>0</v>
      </c>
      <c r="F29" s="23">
        <f>IF(A29="","",IFERROR(INDEX(Jobs!$K$5:$K$604,MATCH(A29,Jobs!$A$5:$A$604,0)),""))</f>
        <v>0</v>
      </c>
      <c r="G29" s="23">
        <f>IF(A29="","",IFERROR(INDEX(Jobs!$M$5:$M$604,MATCH(A29,Jobs!$A$5:$A$604,0)),""))</f>
        <v>0</v>
      </c>
      <c r="H29" s="23">
        <f>IF(A29="","",IFERROR(INDEX(Jobs!$R$5:$R$604,MATCH(A29,Jobs!$A$5:$A$604,0)),""))</f>
        <v>0</v>
      </c>
      <c r="I29" s="39">
        <f>IF(A29="","",IFERROR(INDEX(Jobs!$P$5:$P$604,MATCH(A29,Jobs!$A$5:$A$604,0)),""))</f>
        <v>0</v>
      </c>
      <c r="J29" s="21">
        <f>IF(A29="","",IF(OR(I29="Completed",I29="Invoiced"),IFERROR(INDEX(Jobs!$AJ$5:$AJ$604,MATCH(A29,Jobs!$A$5:$A$604,0)),0),0))</f>
        <v>0</v>
      </c>
      <c r="K29" s="34">
        <f>IF(A29="","",IFERROR(INDEX(Jobs!$AD$5:$AD$604,MATCH(A29,Jobs!$A$5:$A$604,0)),0))</f>
        <v>0</v>
      </c>
      <c r="L29" s="34">
        <f>IF(A29="","",IFERROR(INDEX(Jobs!$AK$5:$AK$604,MATCH(A29,Jobs!$A$5:$A$604,0)),0))</f>
        <v>0</v>
      </c>
      <c r="M29" s="34">
        <f>IF(A29="","",IF(IFERROR(L29*1,0)&gt;0,L29,IFERROR(K29*1,0)))</f>
        <v>0</v>
      </c>
      <c r="N29" s="21">
        <f>IF(A29="","",SUMIFS(Timesheets!$X$5:$X$804,Timesheets!$G$5:$G$804,A29))</f>
        <v>0</v>
      </c>
      <c r="O29" s="21">
        <f>IF(A29="","",IF(N29&gt;0,N29,ROUND(M29*CostPerHour,2)))</f>
        <v>0</v>
      </c>
      <c r="P29" s="21">
        <f>IF(A29="","",SUMIFS('Supply Usage'!$L$5:$L$304,'Supply Usage'!$F$5:$F$304,A29))</f>
        <v>0</v>
      </c>
      <c r="Q29" s="21">
        <f>IF(A29="","",IF(P29&gt;0,P29,ROUND(M29*SuppliesPerHour,2)))</f>
        <v>0</v>
      </c>
      <c r="R29" s="21">
        <f>IF(A29="","",ROUND(IFERROR(INDEX(Jobs!$W$5:$W$604,MATCH(A29,Jobs!$A$5:$A$604,0)),0)*MileageRate,2))</f>
        <v>0</v>
      </c>
      <c r="T29" s="21">
        <f>IF(A29="","",O29+Q29+R29+IF(S29="",0,S29))</f>
        <v>0</v>
      </c>
      <c r="U29" s="21">
        <f>IF(A29="","",J29-T29)</f>
        <v>0</v>
      </c>
      <c r="V29" s="38">
        <f>IF(OR(A29="",J29=0),"",U29/J29)</f>
        <v>0</v>
      </c>
      <c r="W29" s="21">
        <f>IF(OR(A29="",M29=0,J29=0),"",U29/M29)</f>
        <v>0</v>
      </c>
      <c r="X29" s="34">
        <f>IF(OR(A29="",L29="",L29=0,K29=""),"",L29-K29)</f>
        <v>0</v>
      </c>
      <c r="Y29" s="31">
        <f>IF(A29="","",COUNTIFS($U$5:$U$604,"&gt;"&amp;U29)+COUNTIFS($U$5:U29,U29))</f>
        <v>0</v>
      </c>
      <c r="Z29" s="31">
        <f>IF(A29="","",COUNTIFS($W$5:$W$604,"&gt;"&amp;W29)+COUNTIFS($W$5:W29,W29))</f>
        <v>0</v>
      </c>
      <c r="AA29" s="39">
        <f>IF(A29="","",IF(J29=0,"",IF(U29&lt;0,"Loss - this job cost you money",IF(V29&lt;MarginFloor,"Below - margin under the floor",IF(V29&lt;TargetMargin,"Check - under target margin",IF(AND(X29&lt;&gt;"",X29&gt;0.5),"Check - ran over the estimate","OK"))))))</f>
        <v>0</v>
      </c>
    </row>
    <row r="30" spans="1:27">
      <c r="A30" s="43">
        <f>IF(IFERROR(INDEX(Jobs!$A$5:$A$604,ROW()-4),"")="","",IFERROR(INDEX(Jobs!$A$5:$A$604,ROW()-4),""))</f>
        <v>0</v>
      </c>
      <c r="B30" s="18">
        <f>IF(A30="","",IFERROR(INDEX(Jobs!$B$5:$B$604,MATCH(A30,Jobs!$A$5:$A$604,0)),""))</f>
        <v>0</v>
      </c>
      <c r="C30" s="23">
        <f>IF(B30="","",TEXT(B30,"yyyy-mm"))</f>
        <v>0</v>
      </c>
      <c r="D30" s="43">
        <f>IF(A30="","",IFERROR(INDEX(Jobs!$G$5:$G$604,MATCH(A30,Jobs!$A$5:$A$604,0)),""))</f>
        <v>0</v>
      </c>
      <c r="E30" s="23">
        <f>IF(A30="","",IFERROR(INDEX(Jobs!$H$5:$H$604,MATCH(A30,Jobs!$A$5:$A$604,0)),""))</f>
        <v>0</v>
      </c>
      <c r="F30" s="23">
        <f>IF(A30="","",IFERROR(INDEX(Jobs!$K$5:$K$604,MATCH(A30,Jobs!$A$5:$A$604,0)),""))</f>
        <v>0</v>
      </c>
      <c r="G30" s="23">
        <f>IF(A30="","",IFERROR(INDEX(Jobs!$M$5:$M$604,MATCH(A30,Jobs!$A$5:$A$604,0)),""))</f>
        <v>0</v>
      </c>
      <c r="H30" s="23">
        <f>IF(A30="","",IFERROR(INDEX(Jobs!$R$5:$R$604,MATCH(A30,Jobs!$A$5:$A$604,0)),""))</f>
        <v>0</v>
      </c>
      <c r="I30" s="39">
        <f>IF(A30="","",IFERROR(INDEX(Jobs!$P$5:$P$604,MATCH(A30,Jobs!$A$5:$A$604,0)),""))</f>
        <v>0</v>
      </c>
      <c r="J30" s="21">
        <f>IF(A30="","",IF(OR(I30="Completed",I30="Invoiced"),IFERROR(INDEX(Jobs!$AJ$5:$AJ$604,MATCH(A30,Jobs!$A$5:$A$604,0)),0),0))</f>
        <v>0</v>
      </c>
      <c r="K30" s="34">
        <f>IF(A30="","",IFERROR(INDEX(Jobs!$AD$5:$AD$604,MATCH(A30,Jobs!$A$5:$A$604,0)),0))</f>
        <v>0</v>
      </c>
      <c r="L30" s="34">
        <f>IF(A30="","",IFERROR(INDEX(Jobs!$AK$5:$AK$604,MATCH(A30,Jobs!$A$5:$A$604,0)),0))</f>
        <v>0</v>
      </c>
      <c r="M30" s="34">
        <f>IF(A30="","",IF(IFERROR(L30*1,0)&gt;0,L30,IFERROR(K30*1,0)))</f>
        <v>0</v>
      </c>
      <c r="N30" s="21">
        <f>IF(A30="","",SUMIFS(Timesheets!$X$5:$X$804,Timesheets!$G$5:$G$804,A30))</f>
        <v>0</v>
      </c>
      <c r="O30" s="21">
        <f>IF(A30="","",IF(N30&gt;0,N30,ROUND(M30*CostPerHour,2)))</f>
        <v>0</v>
      </c>
      <c r="P30" s="21">
        <f>IF(A30="","",SUMIFS('Supply Usage'!$L$5:$L$304,'Supply Usage'!$F$5:$F$304,A30))</f>
        <v>0</v>
      </c>
      <c r="Q30" s="21">
        <f>IF(A30="","",IF(P30&gt;0,P30,ROUND(M30*SuppliesPerHour,2)))</f>
        <v>0</v>
      </c>
      <c r="R30" s="21">
        <f>IF(A30="","",ROUND(IFERROR(INDEX(Jobs!$W$5:$W$604,MATCH(A30,Jobs!$A$5:$A$604,0)),0)*MileageRate,2))</f>
        <v>0</v>
      </c>
      <c r="T30" s="21">
        <f>IF(A30="","",O30+Q30+R30+IF(S30="",0,S30))</f>
        <v>0</v>
      </c>
      <c r="U30" s="21">
        <f>IF(A30="","",J30-T30)</f>
        <v>0</v>
      </c>
      <c r="V30" s="38">
        <f>IF(OR(A30="",J30=0),"",U30/J30)</f>
        <v>0</v>
      </c>
      <c r="W30" s="21">
        <f>IF(OR(A30="",M30=0,J30=0),"",U30/M30)</f>
        <v>0</v>
      </c>
      <c r="X30" s="34">
        <f>IF(OR(A30="",L30="",L30=0,K30=""),"",L30-K30)</f>
        <v>0</v>
      </c>
      <c r="Y30" s="31">
        <f>IF(A30="","",COUNTIFS($U$5:$U$604,"&gt;"&amp;U30)+COUNTIFS($U$5:U30,U30))</f>
        <v>0</v>
      </c>
      <c r="Z30" s="31">
        <f>IF(A30="","",COUNTIFS($W$5:$W$604,"&gt;"&amp;W30)+COUNTIFS($W$5:W30,W30))</f>
        <v>0</v>
      </c>
      <c r="AA30" s="39">
        <f>IF(A30="","",IF(J30=0,"",IF(U30&lt;0,"Loss - this job cost you money",IF(V30&lt;MarginFloor,"Below - margin under the floor",IF(V30&lt;TargetMargin,"Check - under target margin",IF(AND(X30&lt;&gt;"",X30&gt;0.5),"Check - ran over the estimate","OK"))))))</f>
        <v>0</v>
      </c>
    </row>
    <row r="31" spans="1:27">
      <c r="A31" s="43">
        <f>IF(IFERROR(INDEX(Jobs!$A$5:$A$604,ROW()-4),"")="","",IFERROR(INDEX(Jobs!$A$5:$A$604,ROW()-4),""))</f>
        <v>0</v>
      </c>
      <c r="B31" s="18">
        <f>IF(A31="","",IFERROR(INDEX(Jobs!$B$5:$B$604,MATCH(A31,Jobs!$A$5:$A$604,0)),""))</f>
        <v>0</v>
      </c>
      <c r="C31" s="23">
        <f>IF(B31="","",TEXT(B31,"yyyy-mm"))</f>
        <v>0</v>
      </c>
      <c r="D31" s="43">
        <f>IF(A31="","",IFERROR(INDEX(Jobs!$G$5:$G$604,MATCH(A31,Jobs!$A$5:$A$604,0)),""))</f>
        <v>0</v>
      </c>
      <c r="E31" s="23">
        <f>IF(A31="","",IFERROR(INDEX(Jobs!$H$5:$H$604,MATCH(A31,Jobs!$A$5:$A$604,0)),""))</f>
        <v>0</v>
      </c>
      <c r="F31" s="23">
        <f>IF(A31="","",IFERROR(INDEX(Jobs!$K$5:$K$604,MATCH(A31,Jobs!$A$5:$A$604,0)),""))</f>
        <v>0</v>
      </c>
      <c r="G31" s="23">
        <f>IF(A31="","",IFERROR(INDEX(Jobs!$M$5:$M$604,MATCH(A31,Jobs!$A$5:$A$604,0)),""))</f>
        <v>0</v>
      </c>
      <c r="H31" s="23">
        <f>IF(A31="","",IFERROR(INDEX(Jobs!$R$5:$R$604,MATCH(A31,Jobs!$A$5:$A$604,0)),""))</f>
        <v>0</v>
      </c>
      <c r="I31" s="39">
        <f>IF(A31="","",IFERROR(INDEX(Jobs!$P$5:$P$604,MATCH(A31,Jobs!$A$5:$A$604,0)),""))</f>
        <v>0</v>
      </c>
      <c r="J31" s="21">
        <f>IF(A31="","",IF(OR(I31="Completed",I31="Invoiced"),IFERROR(INDEX(Jobs!$AJ$5:$AJ$604,MATCH(A31,Jobs!$A$5:$A$604,0)),0),0))</f>
        <v>0</v>
      </c>
      <c r="K31" s="34">
        <f>IF(A31="","",IFERROR(INDEX(Jobs!$AD$5:$AD$604,MATCH(A31,Jobs!$A$5:$A$604,0)),0))</f>
        <v>0</v>
      </c>
      <c r="L31" s="34">
        <f>IF(A31="","",IFERROR(INDEX(Jobs!$AK$5:$AK$604,MATCH(A31,Jobs!$A$5:$A$604,0)),0))</f>
        <v>0</v>
      </c>
      <c r="M31" s="34">
        <f>IF(A31="","",IF(IFERROR(L31*1,0)&gt;0,L31,IFERROR(K31*1,0)))</f>
        <v>0</v>
      </c>
      <c r="N31" s="21">
        <f>IF(A31="","",SUMIFS(Timesheets!$X$5:$X$804,Timesheets!$G$5:$G$804,A31))</f>
        <v>0</v>
      </c>
      <c r="O31" s="21">
        <f>IF(A31="","",IF(N31&gt;0,N31,ROUND(M31*CostPerHour,2)))</f>
        <v>0</v>
      </c>
      <c r="P31" s="21">
        <f>IF(A31="","",SUMIFS('Supply Usage'!$L$5:$L$304,'Supply Usage'!$F$5:$F$304,A31))</f>
        <v>0</v>
      </c>
      <c r="Q31" s="21">
        <f>IF(A31="","",IF(P31&gt;0,P31,ROUND(M31*SuppliesPerHour,2)))</f>
        <v>0</v>
      </c>
      <c r="R31" s="21">
        <f>IF(A31="","",ROUND(IFERROR(INDEX(Jobs!$W$5:$W$604,MATCH(A31,Jobs!$A$5:$A$604,0)),0)*MileageRate,2))</f>
        <v>0</v>
      </c>
      <c r="T31" s="21">
        <f>IF(A31="","",O31+Q31+R31+IF(S31="",0,S31))</f>
        <v>0</v>
      </c>
      <c r="U31" s="21">
        <f>IF(A31="","",J31-T31)</f>
        <v>0</v>
      </c>
      <c r="V31" s="38">
        <f>IF(OR(A31="",J31=0),"",U31/J31)</f>
        <v>0</v>
      </c>
      <c r="W31" s="21">
        <f>IF(OR(A31="",M31=0,J31=0),"",U31/M31)</f>
        <v>0</v>
      </c>
      <c r="X31" s="34">
        <f>IF(OR(A31="",L31="",L31=0,K31=""),"",L31-K31)</f>
        <v>0</v>
      </c>
      <c r="Y31" s="31">
        <f>IF(A31="","",COUNTIFS($U$5:$U$604,"&gt;"&amp;U31)+COUNTIFS($U$5:U31,U31))</f>
        <v>0</v>
      </c>
      <c r="Z31" s="31">
        <f>IF(A31="","",COUNTIFS($W$5:$W$604,"&gt;"&amp;W31)+COUNTIFS($W$5:W31,W31))</f>
        <v>0</v>
      </c>
      <c r="AA31" s="39">
        <f>IF(A31="","",IF(J31=0,"",IF(U31&lt;0,"Loss - this job cost you money",IF(V31&lt;MarginFloor,"Below - margin under the floor",IF(V31&lt;TargetMargin,"Check - under target margin",IF(AND(X31&lt;&gt;"",X31&gt;0.5),"Check - ran over the estimate","OK"))))))</f>
        <v>0</v>
      </c>
    </row>
    <row r="32" spans="1:27">
      <c r="A32" s="43">
        <f>IF(IFERROR(INDEX(Jobs!$A$5:$A$604,ROW()-4),"")="","",IFERROR(INDEX(Jobs!$A$5:$A$604,ROW()-4),""))</f>
        <v>0</v>
      </c>
      <c r="B32" s="18">
        <f>IF(A32="","",IFERROR(INDEX(Jobs!$B$5:$B$604,MATCH(A32,Jobs!$A$5:$A$604,0)),""))</f>
        <v>0</v>
      </c>
      <c r="C32" s="23">
        <f>IF(B32="","",TEXT(B32,"yyyy-mm"))</f>
        <v>0</v>
      </c>
      <c r="D32" s="43">
        <f>IF(A32="","",IFERROR(INDEX(Jobs!$G$5:$G$604,MATCH(A32,Jobs!$A$5:$A$604,0)),""))</f>
        <v>0</v>
      </c>
      <c r="E32" s="23">
        <f>IF(A32="","",IFERROR(INDEX(Jobs!$H$5:$H$604,MATCH(A32,Jobs!$A$5:$A$604,0)),""))</f>
        <v>0</v>
      </c>
      <c r="F32" s="23">
        <f>IF(A32="","",IFERROR(INDEX(Jobs!$K$5:$K$604,MATCH(A32,Jobs!$A$5:$A$604,0)),""))</f>
        <v>0</v>
      </c>
      <c r="G32" s="23">
        <f>IF(A32="","",IFERROR(INDEX(Jobs!$M$5:$M$604,MATCH(A32,Jobs!$A$5:$A$604,0)),""))</f>
        <v>0</v>
      </c>
      <c r="H32" s="23">
        <f>IF(A32="","",IFERROR(INDEX(Jobs!$R$5:$R$604,MATCH(A32,Jobs!$A$5:$A$604,0)),""))</f>
        <v>0</v>
      </c>
      <c r="I32" s="39">
        <f>IF(A32="","",IFERROR(INDEX(Jobs!$P$5:$P$604,MATCH(A32,Jobs!$A$5:$A$604,0)),""))</f>
        <v>0</v>
      </c>
      <c r="J32" s="21">
        <f>IF(A32="","",IF(OR(I32="Completed",I32="Invoiced"),IFERROR(INDEX(Jobs!$AJ$5:$AJ$604,MATCH(A32,Jobs!$A$5:$A$604,0)),0),0))</f>
        <v>0</v>
      </c>
      <c r="K32" s="34">
        <f>IF(A32="","",IFERROR(INDEX(Jobs!$AD$5:$AD$604,MATCH(A32,Jobs!$A$5:$A$604,0)),0))</f>
        <v>0</v>
      </c>
      <c r="L32" s="34">
        <f>IF(A32="","",IFERROR(INDEX(Jobs!$AK$5:$AK$604,MATCH(A32,Jobs!$A$5:$A$604,0)),0))</f>
        <v>0</v>
      </c>
      <c r="M32" s="34">
        <f>IF(A32="","",IF(IFERROR(L32*1,0)&gt;0,L32,IFERROR(K32*1,0)))</f>
        <v>0</v>
      </c>
      <c r="N32" s="21">
        <f>IF(A32="","",SUMIFS(Timesheets!$X$5:$X$804,Timesheets!$G$5:$G$804,A32))</f>
        <v>0</v>
      </c>
      <c r="O32" s="21">
        <f>IF(A32="","",IF(N32&gt;0,N32,ROUND(M32*CostPerHour,2)))</f>
        <v>0</v>
      </c>
      <c r="P32" s="21">
        <f>IF(A32="","",SUMIFS('Supply Usage'!$L$5:$L$304,'Supply Usage'!$F$5:$F$304,A32))</f>
        <v>0</v>
      </c>
      <c r="Q32" s="21">
        <f>IF(A32="","",IF(P32&gt;0,P32,ROUND(M32*SuppliesPerHour,2)))</f>
        <v>0</v>
      </c>
      <c r="R32" s="21">
        <f>IF(A32="","",ROUND(IFERROR(INDEX(Jobs!$W$5:$W$604,MATCH(A32,Jobs!$A$5:$A$604,0)),0)*MileageRate,2))</f>
        <v>0</v>
      </c>
      <c r="T32" s="21">
        <f>IF(A32="","",O32+Q32+R32+IF(S32="",0,S32))</f>
        <v>0</v>
      </c>
      <c r="U32" s="21">
        <f>IF(A32="","",J32-T32)</f>
        <v>0</v>
      </c>
      <c r="V32" s="38">
        <f>IF(OR(A32="",J32=0),"",U32/J32)</f>
        <v>0</v>
      </c>
      <c r="W32" s="21">
        <f>IF(OR(A32="",M32=0,J32=0),"",U32/M32)</f>
        <v>0</v>
      </c>
      <c r="X32" s="34">
        <f>IF(OR(A32="",L32="",L32=0,K32=""),"",L32-K32)</f>
        <v>0</v>
      </c>
      <c r="Y32" s="31">
        <f>IF(A32="","",COUNTIFS($U$5:$U$604,"&gt;"&amp;U32)+COUNTIFS($U$5:U32,U32))</f>
        <v>0</v>
      </c>
      <c r="Z32" s="31">
        <f>IF(A32="","",COUNTIFS($W$5:$W$604,"&gt;"&amp;W32)+COUNTIFS($W$5:W32,W32))</f>
        <v>0</v>
      </c>
      <c r="AA32" s="39">
        <f>IF(A32="","",IF(J32=0,"",IF(U32&lt;0,"Loss - this job cost you money",IF(V32&lt;MarginFloor,"Below - margin under the floor",IF(V32&lt;TargetMargin,"Check - under target margin",IF(AND(X32&lt;&gt;"",X32&gt;0.5),"Check - ran over the estimate","OK"))))))</f>
        <v>0</v>
      </c>
    </row>
    <row r="33" spans="1:27">
      <c r="A33" s="43">
        <f>IF(IFERROR(INDEX(Jobs!$A$5:$A$604,ROW()-4),"")="","",IFERROR(INDEX(Jobs!$A$5:$A$604,ROW()-4),""))</f>
        <v>0</v>
      </c>
      <c r="B33" s="18">
        <f>IF(A33="","",IFERROR(INDEX(Jobs!$B$5:$B$604,MATCH(A33,Jobs!$A$5:$A$604,0)),""))</f>
        <v>0</v>
      </c>
      <c r="C33" s="23">
        <f>IF(B33="","",TEXT(B33,"yyyy-mm"))</f>
        <v>0</v>
      </c>
      <c r="D33" s="43">
        <f>IF(A33="","",IFERROR(INDEX(Jobs!$G$5:$G$604,MATCH(A33,Jobs!$A$5:$A$604,0)),""))</f>
        <v>0</v>
      </c>
      <c r="E33" s="23">
        <f>IF(A33="","",IFERROR(INDEX(Jobs!$H$5:$H$604,MATCH(A33,Jobs!$A$5:$A$604,0)),""))</f>
        <v>0</v>
      </c>
      <c r="F33" s="23">
        <f>IF(A33="","",IFERROR(INDEX(Jobs!$K$5:$K$604,MATCH(A33,Jobs!$A$5:$A$604,0)),""))</f>
        <v>0</v>
      </c>
      <c r="G33" s="23">
        <f>IF(A33="","",IFERROR(INDEX(Jobs!$M$5:$M$604,MATCH(A33,Jobs!$A$5:$A$604,0)),""))</f>
        <v>0</v>
      </c>
      <c r="H33" s="23">
        <f>IF(A33="","",IFERROR(INDEX(Jobs!$R$5:$R$604,MATCH(A33,Jobs!$A$5:$A$604,0)),""))</f>
        <v>0</v>
      </c>
      <c r="I33" s="39">
        <f>IF(A33="","",IFERROR(INDEX(Jobs!$P$5:$P$604,MATCH(A33,Jobs!$A$5:$A$604,0)),""))</f>
        <v>0</v>
      </c>
      <c r="J33" s="21">
        <f>IF(A33="","",IF(OR(I33="Completed",I33="Invoiced"),IFERROR(INDEX(Jobs!$AJ$5:$AJ$604,MATCH(A33,Jobs!$A$5:$A$604,0)),0),0))</f>
        <v>0</v>
      </c>
      <c r="K33" s="34">
        <f>IF(A33="","",IFERROR(INDEX(Jobs!$AD$5:$AD$604,MATCH(A33,Jobs!$A$5:$A$604,0)),0))</f>
        <v>0</v>
      </c>
      <c r="L33" s="34">
        <f>IF(A33="","",IFERROR(INDEX(Jobs!$AK$5:$AK$604,MATCH(A33,Jobs!$A$5:$A$604,0)),0))</f>
        <v>0</v>
      </c>
      <c r="M33" s="34">
        <f>IF(A33="","",IF(IFERROR(L33*1,0)&gt;0,L33,IFERROR(K33*1,0)))</f>
        <v>0</v>
      </c>
      <c r="N33" s="21">
        <f>IF(A33="","",SUMIFS(Timesheets!$X$5:$X$804,Timesheets!$G$5:$G$804,A33))</f>
        <v>0</v>
      </c>
      <c r="O33" s="21">
        <f>IF(A33="","",IF(N33&gt;0,N33,ROUND(M33*CostPerHour,2)))</f>
        <v>0</v>
      </c>
      <c r="P33" s="21">
        <f>IF(A33="","",SUMIFS('Supply Usage'!$L$5:$L$304,'Supply Usage'!$F$5:$F$304,A33))</f>
        <v>0</v>
      </c>
      <c r="Q33" s="21">
        <f>IF(A33="","",IF(P33&gt;0,P33,ROUND(M33*SuppliesPerHour,2)))</f>
        <v>0</v>
      </c>
      <c r="R33" s="21">
        <f>IF(A33="","",ROUND(IFERROR(INDEX(Jobs!$W$5:$W$604,MATCH(A33,Jobs!$A$5:$A$604,0)),0)*MileageRate,2))</f>
        <v>0</v>
      </c>
      <c r="T33" s="21">
        <f>IF(A33="","",O33+Q33+R33+IF(S33="",0,S33))</f>
        <v>0</v>
      </c>
      <c r="U33" s="21">
        <f>IF(A33="","",J33-T33)</f>
        <v>0</v>
      </c>
      <c r="V33" s="38">
        <f>IF(OR(A33="",J33=0),"",U33/J33)</f>
        <v>0</v>
      </c>
      <c r="W33" s="21">
        <f>IF(OR(A33="",M33=0,J33=0),"",U33/M33)</f>
        <v>0</v>
      </c>
      <c r="X33" s="34">
        <f>IF(OR(A33="",L33="",L33=0,K33=""),"",L33-K33)</f>
        <v>0</v>
      </c>
      <c r="Y33" s="31">
        <f>IF(A33="","",COUNTIFS($U$5:$U$604,"&gt;"&amp;U33)+COUNTIFS($U$5:U33,U33))</f>
        <v>0</v>
      </c>
      <c r="Z33" s="31">
        <f>IF(A33="","",COUNTIFS($W$5:$W$604,"&gt;"&amp;W33)+COUNTIFS($W$5:W33,W33))</f>
        <v>0</v>
      </c>
      <c r="AA33" s="39">
        <f>IF(A33="","",IF(J33=0,"",IF(U33&lt;0,"Loss - this job cost you money",IF(V33&lt;MarginFloor,"Below - margin under the floor",IF(V33&lt;TargetMargin,"Check - under target margin",IF(AND(X33&lt;&gt;"",X33&gt;0.5),"Check - ran over the estimate","OK"))))))</f>
        <v>0</v>
      </c>
    </row>
    <row r="34" spans="1:27">
      <c r="A34" s="43">
        <f>IF(IFERROR(INDEX(Jobs!$A$5:$A$604,ROW()-4),"")="","",IFERROR(INDEX(Jobs!$A$5:$A$604,ROW()-4),""))</f>
        <v>0</v>
      </c>
      <c r="B34" s="18">
        <f>IF(A34="","",IFERROR(INDEX(Jobs!$B$5:$B$604,MATCH(A34,Jobs!$A$5:$A$604,0)),""))</f>
        <v>0</v>
      </c>
      <c r="C34" s="23">
        <f>IF(B34="","",TEXT(B34,"yyyy-mm"))</f>
        <v>0</v>
      </c>
      <c r="D34" s="43">
        <f>IF(A34="","",IFERROR(INDEX(Jobs!$G$5:$G$604,MATCH(A34,Jobs!$A$5:$A$604,0)),""))</f>
        <v>0</v>
      </c>
      <c r="E34" s="23">
        <f>IF(A34="","",IFERROR(INDEX(Jobs!$H$5:$H$604,MATCH(A34,Jobs!$A$5:$A$604,0)),""))</f>
        <v>0</v>
      </c>
      <c r="F34" s="23">
        <f>IF(A34="","",IFERROR(INDEX(Jobs!$K$5:$K$604,MATCH(A34,Jobs!$A$5:$A$604,0)),""))</f>
        <v>0</v>
      </c>
      <c r="G34" s="23">
        <f>IF(A34="","",IFERROR(INDEX(Jobs!$M$5:$M$604,MATCH(A34,Jobs!$A$5:$A$604,0)),""))</f>
        <v>0</v>
      </c>
      <c r="H34" s="23">
        <f>IF(A34="","",IFERROR(INDEX(Jobs!$R$5:$R$604,MATCH(A34,Jobs!$A$5:$A$604,0)),""))</f>
        <v>0</v>
      </c>
      <c r="I34" s="39">
        <f>IF(A34="","",IFERROR(INDEX(Jobs!$P$5:$P$604,MATCH(A34,Jobs!$A$5:$A$604,0)),""))</f>
        <v>0</v>
      </c>
      <c r="J34" s="21">
        <f>IF(A34="","",IF(OR(I34="Completed",I34="Invoiced"),IFERROR(INDEX(Jobs!$AJ$5:$AJ$604,MATCH(A34,Jobs!$A$5:$A$604,0)),0),0))</f>
        <v>0</v>
      </c>
      <c r="K34" s="34">
        <f>IF(A34="","",IFERROR(INDEX(Jobs!$AD$5:$AD$604,MATCH(A34,Jobs!$A$5:$A$604,0)),0))</f>
        <v>0</v>
      </c>
      <c r="L34" s="34">
        <f>IF(A34="","",IFERROR(INDEX(Jobs!$AK$5:$AK$604,MATCH(A34,Jobs!$A$5:$A$604,0)),0))</f>
        <v>0</v>
      </c>
      <c r="M34" s="34">
        <f>IF(A34="","",IF(IFERROR(L34*1,0)&gt;0,L34,IFERROR(K34*1,0)))</f>
        <v>0</v>
      </c>
      <c r="N34" s="21">
        <f>IF(A34="","",SUMIFS(Timesheets!$X$5:$X$804,Timesheets!$G$5:$G$804,A34))</f>
        <v>0</v>
      </c>
      <c r="O34" s="21">
        <f>IF(A34="","",IF(N34&gt;0,N34,ROUND(M34*CostPerHour,2)))</f>
        <v>0</v>
      </c>
      <c r="P34" s="21">
        <f>IF(A34="","",SUMIFS('Supply Usage'!$L$5:$L$304,'Supply Usage'!$F$5:$F$304,A34))</f>
        <v>0</v>
      </c>
      <c r="Q34" s="21">
        <f>IF(A34="","",IF(P34&gt;0,P34,ROUND(M34*SuppliesPerHour,2)))</f>
        <v>0</v>
      </c>
      <c r="R34" s="21">
        <f>IF(A34="","",ROUND(IFERROR(INDEX(Jobs!$W$5:$W$604,MATCH(A34,Jobs!$A$5:$A$604,0)),0)*MileageRate,2))</f>
        <v>0</v>
      </c>
      <c r="T34" s="21">
        <f>IF(A34="","",O34+Q34+R34+IF(S34="",0,S34))</f>
        <v>0</v>
      </c>
      <c r="U34" s="21">
        <f>IF(A34="","",J34-T34)</f>
        <v>0</v>
      </c>
      <c r="V34" s="38">
        <f>IF(OR(A34="",J34=0),"",U34/J34)</f>
        <v>0</v>
      </c>
      <c r="W34" s="21">
        <f>IF(OR(A34="",M34=0,J34=0),"",U34/M34)</f>
        <v>0</v>
      </c>
      <c r="X34" s="34">
        <f>IF(OR(A34="",L34="",L34=0,K34=""),"",L34-K34)</f>
        <v>0</v>
      </c>
      <c r="Y34" s="31">
        <f>IF(A34="","",COUNTIFS($U$5:$U$604,"&gt;"&amp;U34)+COUNTIFS($U$5:U34,U34))</f>
        <v>0</v>
      </c>
      <c r="Z34" s="31">
        <f>IF(A34="","",COUNTIFS($W$5:$W$604,"&gt;"&amp;W34)+COUNTIFS($W$5:W34,W34))</f>
        <v>0</v>
      </c>
      <c r="AA34" s="39">
        <f>IF(A34="","",IF(J34=0,"",IF(U34&lt;0,"Loss - this job cost you money",IF(V34&lt;MarginFloor,"Below - margin under the floor",IF(V34&lt;TargetMargin,"Check - under target margin",IF(AND(X34&lt;&gt;"",X34&gt;0.5),"Check - ran over the estimate","OK"))))))</f>
        <v>0</v>
      </c>
    </row>
    <row r="35" spans="1:27">
      <c r="A35" s="43">
        <f>IF(IFERROR(INDEX(Jobs!$A$5:$A$604,ROW()-4),"")="","",IFERROR(INDEX(Jobs!$A$5:$A$604,ROW()-4),""))</f>
        <v>0</v>
      </c>
      <c r="B35" s="18">
        <f>IF(A35="","",IFERROR(INDEX(Jobs!$B$5:$B$604,MATCH(A35,Jobs!$A$5:$A$604,0)),""))</f>
        <v>0</v>
      </c>
      <c r="C35" s="23">
        <f>IF(B35="","",TEXT(B35,"yyyy-mm"))</f>
        <v>0</v>
      </c>
      <c r="D35" s="43">
        <f>IF(A35="","",IFERROR(INDEX(Jobs!$G$5:$G$604,MATCH(A35,Jobs!$A$5:$A$604,0)),""))</f>
        <v>0</v>
      </c>
      <c r="E35" s="23">
        <f>IF(A35="","",IFERROR(INDEX(Jobs!$H$5:$H$604,MATCH(A35,Jobs!$A$5:$A$604,0)),""))</f>
        <v>0</v>
      </c>
      <c r="F35" s="23">
        <f>IF(A35="","",IFERROR(INDEX(Jobs!$K$5:$K$604,MATCH(A35,Jobs!$A$5:$A$604,0)),""))</f>
        <v>0</v>
      </c>
      <c r="G35" s="23">
        <f>IF(A35="","",IFERROR(INDEX(Jobs!$M$5:$M$604,MATCH(A35,Jobs!$A$5:$A$604,0)),""))</f>
        <v>0</v>
      </c>
      <c r="H35" s="23">
        <f>IF(A35="","",IFERROR(INDEX(Jobs!$R$5:$R$604,MATCH(A35,Jobs!$A$5:$A$604,0)),""))</f>
        <v>0</v>
      </c>
      <c r="I35" s="39">
        <f>IF(A35="","",IFERROR(INDEX(Jobs!$P$5:$P$604,MATCH(A35,Jobs!$A$5:$A$604,0)),""))</f>
        <v>0</v>
      </c>
      <c r="J35" s="21">
        <f>IF(A35="","",IF(OR(I35="Completed",I35="Invoiced"),IFERROR(INDEX(Jobs!$AJ$5:$AJ$604,MATCH(A35,Jobs!$A$5:$A$604,0)),0),0))</f>
        <v>0</v>
      </c>
      <c r="K35" s="34">
        <f>IF(A35="","",IFERROR(INDEX(Jobs!$AD$5:$AD$604,MATCH(A35,Jobs!$A$5:$A$604,0)),0))</f>
        <v>0</v>
      </c>
      <c r="L35" s="34">
        <f>IF(A35="","",IFERROR(INDEX(Jobs!$AK$5:$AK$604,MATCH(A35,Jobs!$A$5:$A$604,0)),0))</f>
        <v>0</v>
      </c>
      <c r="M35" s="34">
        <f>IF(A35="","",IF(IFERROR(L35*1,0)&gt;0,L35,IFERROR(K35*1,0)))</f>
        <v>0</v>
      </c>
      <c r="N35" s="21">
        <f>IF(A35="","",SUMIFS(Timesheets!$X$5:$X$804,Timesheets!$G$5:$G$804,A35))</f>
        <v>0</v>
      </c>
      <c r="O35" s="21">
        <f>IF(A35="","",IF(N35&gt;0,N35,ROUND(M35*CostPerHour,2)))</f>
        <v>0</v>
      </c>
      <c r="P35" s="21">
        <f>IF(A35="","",SUMIFS('Supply Usage'!$L$5:$L$304,'Supply Usage'!$F$5:$F$304,A35))</f>
        <v>0</v>
      </c>
      <c r="Q35" s="21">
        <f>IF(A35="","",IF(P35&gt;0,P35,ROUND(M35*SuppliesPerHour,2)))</f>
        <v>0</v>
      </c>
      <c r="R35" s="21">
        <f>IF(A35="","",ROUND(IFERROR(INDEX(Jobs!$W$5:$W$604,MATCH(A35,Jobs!$A$5:$A$604,0)),0)*MileageRate,2))</f>
        <v>0</v>
      </c>
      <c r="T35" s="21">
        <f>IF(A35="","",O35+Q35+R35+IF(S35="",0,S35))</f>
        <v>0</v>
      </c>
      <c r="U35" s="21">
        <f>IF(A35="","",J35-T35)</f>
        <v>0</v>
      </c>
      <c r="V35" s="38">
        <f>IF(OR(A35="",J35=0),"",U35/J35)</f>
        <v>0</v>
      </c>
      <c r="W35" s="21">
        <f>IF(OR(A35="",M35=0,J35=0),"",U35/M35)</f>
        <v>0</v>
      </c>
      <c r="X35" s="34">
        <f>IF(OR(A35="",L35="",L35=0,K35=""),"",L35-K35)</f>
        <v>0</v>
      </c>
      <c r="Y35" s="31">
        <f>IF(A35="","",COUNTIFS($U$5:$U$604,"&gt;"&amp;U35)+COUNTIFS($U$5:U35,U35))</f>
        <v>0</v>
      </c>
      <c r="Z35" s="31">
        <f>IF(A35="","",COUNTIFS($W$5:$W$604,"&gt;"&amp;W35)+COUNTIFS($W$5:W35,W35))</f>
        <v>0</v>
      </c>
      <c r="AA35" s="39">
        <f>IF(A35="","",IF(J35=0,"",IF(U35&lt;0,"Loss - this job cost you money",IF(V35&lt;MarginFloor,"Below - margin under the floor",IF(V35&lt;TargetMargin,"Check - under target margin",IF(AND(X35&lt;&gt;"",X35&gt;0.5),"Check - ran over the estimate","OK"))))))</f>
        <v>0</v>
      </c>
    </row>
    <row r="36" spans="1:27">
      <c r="A36" s="43">
        <f>IF(IFERROR(INDEX(Jobs!$A$5:$A$604,ROW()-4),"")="","",IFERROR(INDEX(Jobs!$A$5:$A$604,ROW()-4),""))</f>
        <v>0</v>
      </c>
      <c r="B36" s="18">
        <f>IF(A36="","",IFERROR(INDEX(Jobs!$B$5:$B$604,MATCH(A36,Jobs!$A$5:$A$604,0)),""))</f>
        <v>0</v>
      </c>
      <c r="C36" s="23">
        <f>IF(B36="","",TEXT(B36,"yyyy-mm"))</f>
        <v>0</v>
      </c>
      <c r="D36" s="43">
        <f>IF(A36="","",IFERROR(INDEX(Jobs!$G$5:$G$604,MATCH(A36,Jobs!$A$5:$A$604,0)),""))</f>
        <v>0</v>
      </c>
      <c r="E36" s="23">
        <f>IF(A36="","",IFERROR(INDEX(Jobs!$H$5:$H$604,MATCH(A36,Jobs!$A$5:$A$604,0)),""))</f>
        <v>0</v>
      </c>
      <c r="F36" s="23">
        <f>IF(A36="","",IFERROR(INDEX(Jobs!$K$5:$K$604,MATCH(A36,Jobs!$A$5:$A$604,0)),""))</f>
        <v>0</v>
      </c>
      <c r="G36" s="23">
        <f>IF(A36="","",IFERROR(INDEX(Jobs!$M$5:$M$604,MATCH(A36,Jobs!$A$5:$A$604,0)),""))</f>
        <v>0</v>
      </c>
      <c r="H36" s="23">
        <f>IF(A36="","",IFERROR(INDEX(Jobs!$R$5:$R$604,MATCH(A36,Jobs!$A$5:$A$604,0)),""))</f>
        <v>0</v>
      </c>
      <c r="I36" s="39">
        <f>IF(A36="","",IFERROR(INDEX(Jobs!$P$5:$P$604,MATCH(A36,Jobs!$A$5:$A$604,0)),""))</f>
        <v>0</v>
      </c>
      <c r="J36" s="21">
        <f>IF(A36="","",IF(OR(I36="Completed",I36="Invoiced"),IFERROR(INDEX(Jobs!$AJ$5:$AJ$604,MATCH(A36,Jobs!$A$5:$A$604,0)),0),0))</f>
        <v>0</v>
      </c>
      <c r="K36" s="34">
        <f>IF(A36="","",IFERROR(INDEX(Jobs!$AD$5:$AD$604,MATCH(A36,Jobs!$A$5:$A$604,0)),0))</f>
        <v>0</v>
      </c>
      <c r="L36" s="34">
        <f>IF(A36="","",IFERROR(INDEX(Jobs!$AK$5:$AK$604,MATCH(A36,Jobs!$A$5:$A$604,0)),0))</f>
        <v>0</v>
      </c>
      <c r="M36" s="34">
        <f>IF(A36="","",IF(IFERROR(L36*1,0)&gt;0,L36,IFERROR(K36*1,0)))</f>
        <v>0</v>
      </c>
      <c r="N36" s="21">
        <f>IF(A36="","",SUMIFS(Timesheets!$X$5:$X$804,Timesheets!$G$5:$G$804,A36))</f>
        <v>0</v>
      </c>
      <c r="O36" s="21">
        <f>IF(A36="","",IF(N36&gt;0,N36,ROUND(M36*CostPerHour,2)))</f>
        <v>0</v>
      </c>
      <c r="P36" s="21">
        <f>IF(A36="","",SUMIFS('Supply Usage'!$L$5:$L$304,'Supply Usage'!$F$5:$F$304,A36))</f>
        <v>0</v>
      </c>
      <c r="Q36" s="21">
        <f>IF(A36="","",IF(P36&gt;0,P36,ROUND(M36*SuppliesPerHour,2)))</f>
        <v>0</v>
      </c>
      <c r="R36" s="21">
        <f>IF(A36="","",ROUND(IFERROR(INDEX(Jobs!$W$5:$W$604,MATCH(A36,Jobs!$A$5:$A$604,0)),0)*MileageRate,2))</f>
        <v>0</v>
      </c>
      <c r="T36" s="21">
        <f>IF(A36="","",O36+Q36+R36+IF(S36="",0,S36))</f>
        <v>0</v>
      </c>
      <c r="U36" s="21">
        <f>IF(A36="","",J36-T36)</f>
        <v>0</v>
      </c>
      <c r="V36" s="38">
        <f>IF(OR(A36="",J36=0),"",U36/J36)</f>
        <v>0</v>
      </c>
      <c r="W36" s="21">
        <f>IF(OR(A36="",M36=0,J36=0),"",U36/M36)</f>
        <v>0</v>
      </c>
      <c r="X36" s="34">
        <f>IF(OR(A36="",L36="",L36=0,K36=""),"",L36-K36)</f>
        <v>0</v>
      </c>
      <c r="Y36" s="31">
        <f>IF(A36="","",COUNTIFS($U$5:$U$604,"&gt;"&amp;U36)+COUNTIFS($U$5:U36,U36))</f>
        <v>0</v>
      </c>
      <c r="Z36" s="31">
        <f>IF(A36="","",COUNTIFS($W$5:$W$604,"&gt;"&amp;W36)+COUNTIFS($W$5:W36,W36))</f>
        <v>0</v>
      </c>
      <c r="AA36" s="39">
        <f>IF(A36="","",IF(J36=0,"",IF(U36&lt;0,"Loss - this job cost you money",IF(V36&lt;MarginFloor,"Below - margin under the floor",IF(V36&lt;TargetMargin,"Check - under target margin",IF(AND(X36&lt;&gt;"",X36&gt;0.5),"Check - ran over the estimate","OK"))))))</f>
        <v>0</v>
      </c>
    </row>
    <row r="37" spans="1:27">
      <c r="A37" s="43">
        <f>IF(IFERROR(INDEX(Jobs!$A$5:$A$604,ROW()-4),"")="","",IFERROR(INDEX(Jobs!$A$5:$A$604,ROW()-4),""))</f>
        <v>0</v>
      </c>
      <c r="B37" s="18">
        <f>IF(A37="","",IFERROR(INDEX(Jobs!$B$5:$B$604,MATCH(A37,Jobs!$A$5:$A$604,0)),""))</f>
        <v>0</v>
      </c>
      <c r="C37" s="23">
        <f>IF(B37="","",TEXT(B37,"yyyy-mm"))</f>
        <v>0</v>
      </c>
      <c r="D37" s="43">
        <f>IF(A37="","",IFERROR(INDEX(Jobs!$G$5:$G$604,MATCH(A37,Jobs!$A$5:$A$604,0)),""))</f>
        <v>0</v>
      </c>
      <c r="E37" s="23">
        <f>IF(A37="","",IFERROR(INDEX(Jobs!$H$5:$H$604,MATCH(A37,Jobs!$A$5:$A$604,0)),""))</f>
        <v>0</v>
      </c>
      <c r="F37" s="23">
        <f>IF(A37="","",IFERROR(INDEX(Jobs!$K$5:$K$604,MATCH(A37,Jobs!$A$5:$A$604,0)),""))</f>
        <v>0</v>
      </c>
      <c r="G37" s="23">
        <f>IF(A37="","",IFERROR(INDEX(Jobs!$M$5:$M$604,MATCH(A37,Jobs!$A$5:$A$604,0)),""))</f>
        <v>0</v>
      </c>
      <c r="H37" s="23">
        <f>IF(A37="","",IFERROR(INDEX(Jobs!$R$5:$R$604,MATCH(A37,Jobs!$A$5:$A$604,0)),""))</f>
        <v>0</v>
      </c>
      <c r="I37" s="39">
        <f>IF(A37="","",IFERROR(INDEX(Jobs!$P$5:$P$604,MATCH(A37,Jobs!$A$5:$A$604,0)),""))</f>
        <v>0</v>
      </c>
      <c r="J37" s="21">
        <f>IF(A37="","",IF(OR(I37="Completed",I37="Invoiced"),IFERROR(INDEX(Jobs!$AJ$5:$AJ$604,MATCH(A37,Jobs!$A$5:$A$604,0)),0),0))</f>
        <v>0</v>
      </c>
      <c r="K37" s="34">
        <f>IF(A37="","",IFERROR(INDEX(Jobs!$AD$5:$AD$604,MATCH(A37,Jobs!$A$5:$A$604,0)),0))</f>
        <v>0</v>
      </c>
      <c r="L37" s="34">
        <f>IF(A37="","",IFERROR(INDEX(Jobs!$AK$5:$AK$604,MATCH(A37,Jobs!$A$5:$A$604,0)),0))</f>
        <v>0</v>
      </c>
      <c r="M37" s="34">
        <f>IF(A37="","",IF(IFERROR(L37*1,0)&gt;0,L37,IFERROR(K37*1,0)))</f>
        <v>0</v>
      </c>
      <c r="N37" s="21">
        <f>IF(A37="","",SUMIFS(Timesheets!$X$5:$X$804,Timesheets!$G$5:$G$804,A37))</f>
        <v>0</v>
      </c>
      <c r="O37" s="21">
        <f>IF(A37="","",IF(N37&gt;0,N37,ROUND(M37*CostPerHour,2)))</f>
        <v>0</v>
      </c>
      <c r="P37" s="21">
        <f>IF(A37="","",SUMIFS('Supply Usage'!$L$5:$L$304,'Supply Usage'!$F$5:$F$304,A37))</f>
        <v>0</v>
      </c>
      <c r="Q37" s="21">
        <f>IF(A37="","",IF(P37&gt;0,P37,ROUND(M37*SuppliesPerHour,2)))</f>
        <v>0</v>
      </c>
      <c r="R37" s="21">
        <f>IF(A37="","",ROUND(IFERROR(INDEX(Jobs!$W$5:$W$604,MATCH(A37,Jobs!$A$5:$A$604,0)),0)*MileageRate,2))</f>
        <v>0</v>
      </c>
      <c r="T37" s="21">
        <f>IF(A37="","",O37+Q37+R37+IF(S37="",0,S37))</f>
        <v>0</v>
      </c>
      <c r="U37" s="21">
        <f>IF(A37="","",J37-T37)</f>
        <v>0</v>
      </c>
      <c r="V37" s="38">
        <f>IF(OR(A37="",J37=0),"",U37/J37)</f>
        <v>0</v>
      </c>
      <c r="W37" s="21">
        <f>IF(OR(A37="",M37=0,J37=0),"",U37/M37)</f>
        <v>0</v>
      </c>
      <c r="X37" s="34">
        <f>IF(OR(A37="",L37="",L37=0,K37=""),"",L37-K37)</f>
        <v>0</v>
      </c>
      <c r="Y37" s="31">
        <f>IF(A37="","",COUNTIFS($U$5:$U$604,"&gt;"&amp;U37)+COUNTIFS($U$5:U37,U37))</f>
        <v>0</v>
      </c>
      <c r="Z37" s="31">
        <f>IF(A37="","",COUNTIFS($W$5:$W$604,"&gt;"&amp;W37)+COUNTIFS($W$5:W37,W37))</f>
        <v>0</v>
      </c>
      <c r="AA37" s="39">
        <f>IF(A37="","",IF(J37=0,"",IF(U37&lt;0,"Loss - this job cost you money",IF(V37&lt;MarginFloor,"Below - margin under the floor",IF(V37&lt;TargetMargin,"Check - under target margin",IF(AND(X37&lt;&gt;"",X37&gt;0.5),"Check - ran over the estimate","OK"))))))</f>
        <v>0</v>
      </c>
    </row>
    <row r="38" spans="1:27">
      <c r="A38" s="43">
        <f>IF(IFERROR(INDEX(Jobs!$A$5:$A$604,ROW()-4),"")="","",IFERROR(INDEX(Jobs!$A$5:$A$604,ROW()-4),""))</f>
        <v>0</v>
      </c>
      <c r="B38" s="18">
        <f>IF(A38="","",IFERROR(INDEX(Jobs!$B$5:$B$604,MATCH(A38,Jobs!$A$5:$A$604,0)),""))</f>
        <v>0</v>
      </c>
      <c r="C38" s="23">
        <f>IF(B38="","",TEXT(B38,"yyyy-mm"))</f>
        <v>0</v>
      </c>
      <c r="D38" s="43">
        <f>IF(A38="","",IFERROR(INDEX(Jobs!$G$5:$G$604,MATCH(A38,Jobs!$A$5:$A$604,0)),""))</f>
        <v>0</v>
      </c>
      <c r="E38" s="23">
        <f>IF(A38="","",IFERROR(INDEX(Jobs!$H$5:$H$604,MATCH(A38,Jobs!$A$5:$A$604,0)),""))</f>
        <v>0</v>
      </c>
      <c r="F38" s="23">
        <f>IF(A38="","",IFERROR(INDEX(Jobs!$K$5:$K$604,MATCH(A38,Jobs!$A$5:$A$604,0)),""))</f>
        <v>0</v>
      </c>
      <c r="G38" s="23">
        <f>IF(A38="","",IFERROR(INDEX(Jobs!$M$5:$M$604,MATCH(A38,Jobs!$A$5:$A$604,0)),""))</f>
        <v>0</v>
      </c>
      <c r="H38" s="23">
        <f>IF(A38="","",IFERROR(INDEX(Jobs!$R$5:$R$604,MATCH(A38,Jobs!$A$5:$A$604,0)),""))</f>
        <v>0</v>
      </c>
      <c r="I38" s="39">
        <f>IF(A38="","",IFERROR(INDEX(Jobs!$P$5:$P$604,MATCH(A38,Jobs!$A$5:$A$604,0)),""))</f>
        <v>0</v>
      </c>
      <c r="J38" s="21">
        <f>IF(A38="","",IF(OR(I38="Completed",I38="Invoiced"),IFERROR(INDEX(Jobs!$AJ$5:$AJ$604,MATCH(A38,Jobs!$A$5:$A$604,0)),0),0))</f>
        <v>0</v>
      </c>
      <c r="K38" s="34">
        <f>IF(A38="","",IFERROR(INDEX(Jobs!$AD$5:$AD$604,MATCH(A38,Jobs!$A$5:$A$604,0)),0))</f>
        <v>0</v>
      </c>
      <c r="L38" s="34">
        <f>IF(A38="","",IFERROR(INDEX(Jobs!$AK$5:$AK$604,MATCH(A38,Jobs!$A$5:$A$604,0)),0))</f>
        <v>0</v>
      </c>
      <c r="M38" s="34">
        <f>IF(A38="","",IF(IFERROR(L38*1,0)&gt;0,L38,IFERROR(K38*1,0)))</f>
        <v>0</v>
      </c>
      <c r="N38" s="21">
        <f>IF(A38="","",SUMIFS(Timesheets!$X$5:$X$804,Timesheets!$G$5:$G$804,A38))</f>
        <v>0</v>
      </c>
      <c r="O38" s="21">
        <f>IF(A38="","",IF(N38&gt;0,N38,ROUND(M38*CostPerHour,2)))</f>
        <v>0</v>
      </c>
      <c r="P38" s="21">
        <f>IF(A38="","",SUMIFS('Supply Usage'!$L$5:$L$304,'Supply Usage'!$F$5:$F$304,A38))</f>
        <v>0</v>
      </c>
      <c r="Q38" s="21">
        <f>IF(A38="","",IF(P38&gt;0,P38,ROUND(M38*SuppliesPerHour,2)))</f>
        <v>0</v>
      </c>
      <c r="R38" s="21">
        <f>IF(A38="","",ROUND(IFERROR(INDEX(Jobs!$W$5:$W$604,MATCH(A38,Jobs!$A$5:$A$604,0)),0)*MileageRate,2))</f>
        <v>0</v>
      </c>
      <c r="T38" s="21">
        <f>IF(A38="","",O38+Q38+R38+IF(S38="",0,S38))</f>
        <v>0</v>
      </c>
      <c r="U38" s="21">
        <f>IF(A38="","",J38-T38)</f>
        <v>0</v>
      </c>
      <c r="V38" s="38">
        <f>IF(OR(A38="",J38=0),"",U38/J38)</f>
        <v>0</v>
      </c>
      <c r="W38" s="21">
        <f>IF(OR(A38="",M38=0,J38=0),"",U38/M38)</f>
        <v>0</v>
      </c>
      <c r="X38" s="34">
        <f>IF(OR(A38="",L38="",L38=0,K38=""),"",L38-K38)</f>
        <v>0</v>
      </c>
      <c r="Y38" s="31">
        <f>IF(A38="","",COUNTIFS($U$5:$U$604,"&gt;"&amp;U38)+COUNTIFS($U$5:U38,U38))</f>
        <v>0</v>
      </c>
      <c r="Z38" s="31">
        <f>IF(A38="","",COUNTIFS($W$5:$W$604,"&gt;"&amp;W38)+COUNTIFS($W$5:W38,W38))</f>
        <v>0</v>
      </c>
      <c r="AA38" s="39">
        <f>IF(A38="","",IF(J38=0,"",IF(U38&lt;0,"Loss - this job cost you money",IF(V38&lt;MarginFloor,"Below - margin under the floor",IF(V38&lt;TargetMargin,"Check - under target margin",IF(AND(X38&lt;&gt;"",X38&gt;0.5),"Check - ran over the estimate","OK"))))))</f>
        <v>0</v>
      </c>
    </row>
    <row r="39" spans="1:27">
      <c r="A39" s="43">
        <f>IF(IFERROR(INDEX(Jobs!$A$5:$A$604,ROW()-4),"")="","",IFERROR(INDEX(Jobs!$A$5:$A$604,ROW()-4),""))</f>
        <v>0</v>
      </c>
      <c r="B39" s="18">
        <f>IF(A39="","",IFERROR(INDEX(Jobs!$B$5:$B$604,MATCH(A39,Jobs!$A$5:$A$604,0)),""))</f>
        <v>0</v>
      </c>
      <c r="C39" s="23">
        <f>IF(B39="","",TEXT(B39,"yyyy-mm"))</f>
        <v>0</v>
      </c>
      <c r="D39" s="43">
        <f>IF(A39="","",IFERROR(INDEX(Jobs!$G$5:$G$604,MATCH(A39,Jobs!$A$5:$A$604,0)),""))</f>
        <v>0</v>
      </c>
      <c r="E39" s="23">
        <f>IF(A39="","",IFERROR(INDEX(Jobs!$H$5:$H$604,MATCH(A39,Jobs!$A$5:$A$604,0)),""))</f>
        <v>0</v>
      </c>
      <c r="F39" s="23">
        <f>IF(A39="","",IFERROR(INDEX(Jobs!$K$5:$K$604,MATCH(A39,Jobs!$A$5:$A$604,0)),""))</f>
        <v>0</v>
      </c>
      <c r="G39" s="23">
        <f>IF(A39="","",IFERROR(INDEX(Jobs!$M$5:$M$604,MATCH(A39,Jobs!$A$5:$A$604,0)),""))</f>
        <v>0</v>
      </c>
      <c r="H39" s="23">
        <f>IF(A39="","",IFERROR(INDEX(Jobs!$R$5:$R$604,MATCH(A39,Jobs!$A$5:$A$604,0)),""))</f>
        <v>0</v>
      </c>
      <c r="I39" s="39">
        <f>IF(A39="","",IFERROR(INDEX(Jobs!$P$5:$P$604,MATCH(A39,Jobs!$A$5:$A$604,0)),""))</f>
        <v>0</v>
      </c>
      <c r="J39" s="21">
        <f>IF(A39="","",IF(OR(I39="Completed",I39="Invoiced"),IFERROR(INDEX(Jobs!$AJ$5:$AJ$604,MATCH(A39,Jobs!$A$5:$A$604,0)),0),0))</f>
        <v>0</v>
      </c>
      <c r="K39" s="34">
        <f>IF(A39="","",IFERROR(INDEX(Jobs!$AD$5:$AD$604,MATCH(A39,Jobs!$A$5:$A$604,0)),0))</f>
        <v>0</v>
      </c>
      <c r="L39" s="34">
        <f>IF(A39="","",IFERROR(INDEX(Jobs!$AK$5:$AK$604,MATCH(A39,Jobs!$A$5:$A$604,0)),0))</f>
        <v>0</v>
      </c>
      <c r="M39" s="34">
        <f>IF(A39="","",IF(IFERROR(L39*1,0)&gt;0,L39,IFERROR(K39*1,0)))</f>
        <v>0</v>
      </c>
      <c r="N39" s="21">
        <f>IF(A39="","",SUMIFS(Timesheets!$X$5:$X$804,Timesheets!$G$5:$G$804,A39))</f>
        <v>0</v>
      </c>
      <c r="O39" s="21">
        <f>IF(A39="","",IF(N39&gt;0,N39,ROUND(M39*CostPerHour,2)))</f>
        <v>0</v>
      </c>
      <c r="P39" s="21">
        <f>IF(A39="","",SUMIFS('Supply Usage'!$L$5:$L$304,'Supply Usage'!$F$5:$F$304,A39))</f>
        <v>0</v>
      </c>
      <c r="Q39" s="21">
        <f>IF(A39="","",IF(P39&gt;0,P39,ROUND(M39*SuppliesPerHour,2)))</f>
        <v>0</v>
      </c>
      <c r="R39" s="21">
        <f>IF(A39="","",ROUND(IFERROR(INDEX(Jobs!$W$5:$W$604,MATCH(A39,Jobs!$A$5:$A$604,0)),0)*MileageRate,2))</f>
        <v>0</v>
      </c>
      <c r="T39" s="21">
        <f>IF(A39="","",O39+Q39+R39+IF(S39="",0,S39))</f>
        <v>0</v>
      </c>
      <c r="U39" s="21">
        <f>IF(A39="","",J39-T39)</f>
        <v>0</v>
      </c>
      <c r="V39" s="38">
        <f>IF(OR(A39="",J39=0),"",U39/J39)</f>
        <v>0</v>
      </c>
      <c r="W39" s="21">
        <f>IF(OR(A39="",M39=0,J39=0),"",U39/M39)</f>
        <v>0</v>
      </c>
      <c r="X39" s="34">
        <f>IF(OR(A39="",L39="",L39=0,K39=""),"",L39-K39)</f>
        <v>0</v>
      </c>
      <c r="Y39" s="31">
        <f>IF(A39="","",COUNTIFS($U$5:$U$604,"&gt;"&amp;U39)+COUNTIFS($U$5:U39,U39))</f>
        <v>0</v>
      </c>
      <c r="Z39" s="31">
        <f>IF(A39="","",COUNTIFS($W$5:$W$604,"&gt;"&amp;W39)+COUNTIFS($W$5:W39,W39))</f>
        <v>0</v>
      </c>
      <c r="AA39" s="39">
        <f>IF(A39="","",IF(J39=0,"",IF(U39&lt;0,"Loss - this job cost you money",IF(V39&lt;MarginFloor,"Below - margin under the floor",IF(V39&lt;TargetMargin,"Check - under target margin",IF(AND(X39&lt;&gt;"",X39&gt;0.5),"Check - ran over the estimate","OK"))))))</f>
        <v>0</v>
      </c>
    </row>
    <row r="40" spans="1:27">
      <c r="A40" s="43">
        <f>IF(IFERROR(INDEX(Jobs!$A$5:$A$604,ROW()-4),"")="","",IFERROR(INDEX(Jobs!$A$5:$A$604,ROW()-4),""))</f>
        <v>0</v>
      </c>
      <c r="B40" s="18">
        <f>IF(A40="","",IFERROR(INDEX(Jobs!$B$5:$B$604,MATCH(A40,Jobs!$A$5:$A$604,0)),""))</f>
        <v>0</v>
      </c>
      <c r="C40" s="23">
        <f>IF(B40="","",TEXT(B40,"yyyy-mm"))</f>
        <v>0</v>
      </c>
      <c r="D40" s="43">
        <f>IF(A40="","",IFERROR(INDEX(Jobs!$G$5:$G$604,MATCH(A40,Jobs!$A$5:$A$604,0)),""))</f>
        <v>0</v>
      </c>
      <c r="E40" s="23">
        <f>IF(A40="","",IFERROR(INDEX(Jobs!$H$5:$H$604,MATCH(A40,Jobs!$A$5:$A$604,0)),""))</f>
        <v>0</v>
      </c>
      <c r="F40" s="23">
        <f>IF(A40="","",IFERROR(INDEX(Jobs!$K$5:$K$604,MATCH(A40,Jobs!$A$5:$A$604,0)),""))</f>
        <v>0</v>
      </c>
      <c r="G40" s="23">
        <f>IF(A40="","",IFERROR(INDEX(Jobs!$M$5:$M$604,MATCH(A40,Jobs!$A$5:$A$604,0)),""))</f>
        <v>0</v>
      </c>
      <c r="H40" s="23">
        <f>IF(A40="","",IFERROR(INDEX(Jobs!$R$5:$R$604,MATCH(A40,Jobs!$A$5:$A$604,0)),""))</f>
        <v>0</v>
      </c>
      <c r="I40" s="39">
        <f>IF(A40="","",IFERROR(INDEX(Jobs!$P$5:$P$604,MATCH(A40,Jobs!$A$5:$A$604,0)),""))</f>
        <v>0</v>
      </c>
      <c r="J40" s="21">
        <f>IF(A40="","",IF(OR(I40="Completed",I40="Invoiced"),IFERROR(INDEX(Jobs!$AJ$5:$AJ$604,MATCH(A40,Jobs!$A$5:$A$604,0)),0),0))</f>
        <v>0</v>
      </c>
      <c r="K40" s="34">
        <f>IF(A40="","",IFERROR(INDEX(Jobs!$AD$5:$AD$604,MATCH(A40,Jobs!$A$5:$A$604,0)),0))</f>
        <v>0</v>
      </c>
      <c r="L40" s="34">
        <f>IF(A40="","",IFERROR(INDEX(Jobs!$AK$5:$AK$604,MATCH(A40,Jobs!$A$5:$A$604,0)),0))</f>
        <v>0</v>
      </c>
      <c r="M40" s="34">
        <f>IF(A40="","",IF(IFERROR(L40*1,0)&gt;0,L40,IFERROR(K40*1,0)))</f>
        <v>0</v>
      </c>
      <c r="N40" s="21">
        <f>IF(A40="","",SUMIFS(Timesheets!$X$5:$X$804,Timesheets!$G$5:$G$804,A40))</f>
        <v>0</v>
      </c>
      <c r="O40" s="21">
        <f>IF(A40="","",IF(N40&gt;0,N40,ROUND(M40*CostPerHour,2)))</f>
        <v>0</v>
      </c>
      <c r="P40" s="21">
        <f>IF(A40="","",SUMIFS('Supply Usage'!$L$5:$L$304,'Supply Usage'!$F$5:$F$304,A40))</f>
        <v>0</v>
      </c>
      <c r="Q40" s="21">
        <f>IF(A40="","",IF(P40&gt;0,P40,ROUND(M40*SuppliesPerHour,2)))</f>
        <v>0</v>
      </c>
      <c r="R40" s="21">
        <f>IF(A40="","",ROUND(IFERROR(INDEX(Jobs!$W$5:$W$604,MATCH(A40,Jobs!$A$5:$A$604,0)),0)*MileageRate,2))</f>
        <v>0</v>
      </c>
      <c r="T40" s="21">
        <f>IF(A40="","",O40+Q40+R40+IF(S40="",0,S40))</f>
        <v>0</v>
      </c>
      <c r="U40" s="21">
        <f>IF(A40="","",J40-T40)</f>
        <v>0</v>
      </c>
      <c r="V40" s="38">
        <f>IF(OR(A40="",J40=0),"",U40/J40)</f>
        <v>0</v>
      </c>
      <c r="W40" s="21">
        <f>IF(OR(A40="",M40=0,J40=0),"",U40/M40)</f>
        <v>0</v>
      </c>
      <c r="X40" s="34">
        <f>IF(OR(A40="",L40="",L40=0,K40=""),"",L40-K40)</f>
        <v>0</v>
      </c>
      <c r="Y40" s="31">
        <f>IF(A40="","",COUNTIFS($U$5:$U$604,"&gt;"&amp;U40)+COUNTIFS($U$5:U40,U40))</f>
        <v>0</v>
      </c>
      <c r="Z40" s="31">
        <f>IF(A40="","",COUNTIFS($W$5:$W$604,"&gt;"&amp;W40)+COUNTIFS($W$5:W40,W40))</f>
        <v>0</v>
      </c>
      <c r="AA40" s="39">
        <f>IF(A40="","",IF(J40=0,"",IF(U40&lt;0,"Loss - this job cost you money",IF(V40&lt;MarginFloor,"Below - margin under the floor",IF(V40&lt;TargetMargin,"Check - under target margin",IF(AND(X40&lt;&gt;"",X40&gt;0.5),"Check - ran over the estimate","OK"))))))</f>
        <v>0</v>
      </c>
    </row>
    <row r="41" spans="1:27">
      <c r="A41" s="43">
        <f>IF(IFERROR(INDEX(Jobs!$A$5:$A$604,ROW()-4),"")="","",IFERROR(INDEX(Jobs!$A$5:$A$604,ROW()-4),""))</f>
        <v>0</v>
      </c>
      <c r="B41" s="18">
        <f>IF(A41="","",IFERROR(INDEX(Jobs!$B$5:$B$604,MATCH(A41,Jobs!$A$5:$A$604,0)),""))</f>
        <v>0</v>
      </c>
      <c r="C41" s="23">
        <f>IF(B41="","",TEXT(B41,"yyyy-mm"))</f>
        <v>0</v>
      </c>
      <c r="D41" s="43">
        <f>IF(A41="","",IFERROR(INDEX(Jobs!$G$5:$G$604,MATCH(A41,Jobs!$A$5:$A$604,0)),""))</f>
        <v>0</v>
      </c>
      <c r="E41" s="23">
        <f>IF(A41="","",IFERROR(INDEX(Jobs!$H$5:$H$604,MATCH(A41,Jobs!$A$5:$A$604,0)),""))</f>
        <v>0</v>
      </c>
      <c r="F41" s="23">
        <f>IF(A41="","",IFERROR(INDEX(Jobs!$K$5:$K$604,MATCH(A41,Jobs!$A$5:$A$604,0)),""))</f>
        <v>0</v>
      </c>
      <c r="G41" s="23">
        <f>IF(A41="","",IFERROR(INDEX(Jobs!$M$5:$M$604,MATCH(A41,Jobs!$A$5:$A$604,0)),""))</f>
        <v>0</v>
      </c>
      <c r="H41" s="23">
        <f>IF(A41="","",IFERROR(INDEX(Jobs!$R$5:$R$604,MATCH(A41,Jobs!$A$5:$A$604,0)),""))</f>
        <v>0</v>
      </c>
      <c r="I41" s="39">
        <f>IF(A41="","",IFERROR(INDEX(Jobs!$P$5:$P$604,MATCH(A41,Jobs!$A$5:$A$604,0)),""))</f>
        <v>0</v>
      </c>
      <c r="J41" s="21">
        <f>IF(A41="","",IF(OR(I41="Completed",I41="Invoiced"),IFERROR(INDEX(Jobs!$AJ$5:$AJ$604,MATCH(A41,Jobs!$A$5:$A$604,0)),0),0))</f>
        <v>0</v>
      </c>
      <c r="K41" s="34">
        <f>IF(A41="","",IFERROR(INDEX(Jobs!$AD$5:$AD$604,MATCH(A41,Jobs!$A$5:$A$604,0)),0))</f>
        <v>0</v>
      </c>
      <c r="L41" s="34">
        <f>IF(A41="","",IFERROR(INDEX(Jobs!$AK$5:$AK$604,MATCH(A41,Jobs!$A$5:$A$604,0)),0))</f>
        <v>0</v>
      </c>
      <c r="M41" s="34">
        <f>IF(A41="","",IF(IFERROR(L41*1,0)&gt;0,L41,IFERROR(K41*1,0)))</f>
        <v>0</v>
      </c>
      <c r="N41" s="21">
        <f>IF(A41="","",SUMIFS(Timesheets!$X$5:$X$804,Timesheets!$G$5:$G$804,A41))</f>
        <v>0</v>
      </c>
      <c r="O41" s="21">
        <f>IF(A41="","",IF(N41&gt;0,N41,ROUND(M41*CostPerHour,2)))</f>
        <v>0</v>
      </c>
      <c r="P41" s="21">
        <f>IF(A41="","",SUMIFS('Supply Usage'!$L$5:$L$304,'Supply Usage'!$F$5:$F$304,A41))</f>
        <v>0</v>
      </c>
      <c r="Q41" s="21">
        <f>IF(A41="","",IF(P41&gt;0,P41,ROUND(M41*SuppliesPerHour,2)))</f>
        <v>0</v>
      </c>
      <c r="R41" s="21">
        <f>IF(A41="","",ROUND(IFERROR(INDEX(Jobs!$W$5:$W$604,MATCH(A41,Jobs!$A$5:$A$604,0)),0)*MileageRate,2))</f>
        <v>0</v>
      </c>
      <c r="T41" s="21">
        <f>IF(A41="","",O41+Q41+R41+IF(S41="",0,S41))</f>
        <v>0</v>
      </c>
      <c r="U41" s="21">
        <f>IF(A41="","",J41-T41)</f>
        <v>0</v>
      </c>
      <c r="V41" s="38">
        <f>IF(OR(A41="",J41=0),"",U41/J41)</f>
        <v>0</v>
      </c>
      <c r="W41" s="21">
        <f>IF(OR(A41="",M41=0,J41=0),"",U41/M41)</f>
        <v>0</v>
      </c>
      <c r="X41" s="34">
        <f>IF(OR(A41="",L41="",L41=0,K41=""),"",L41-K41)</f>
        <v>0</v>
      </c>
      <c r="Y41" s="31">
        <f>IF(A41="","",COUNTIFS($U$5:$U$604,"&gt;"&amp;U41)+COUNTIFS($U$5:U41,U41))</f>
        <v>0</v>
      </c>
      <c r="Z41" s="31">
        <f>IF(A41="","",COUNTIFS($W$5:$W$604,"&gt;"&amp;W41)+COUNTIFS($W$5:W41,W41))</f>
        <v>0</v>
      </c>
      <c r="AA41" s="39">
        <f>IF(A41="","",IF(J41=0,"",IF(U41&lt;0,"Loss - this job cost you money",IF(V41&lt;MarginFloor,"Below - margin under the floor",IF(V41&lt;TargetMargin,"Check - under target margin",IF(AND(X41&lt;&gt;"",X41&gt;0.5),"Check - ran over the estimate","OK"))))))</f>
        <v>0</v>
      </c>
    </row>
    <row r="42" spans="1:27">
      <c r="A42" s="43">
        <f>IF(IFERROR(INDEX(Jobs!$A$5:$A$604,ROW()-4),"")="","",IFERROR(INDEX(Jobs!$A$5:$A$604,ROW()-4),""))</f>
        <v>0</v>
      </c>
      <c r="B42" s="18">
        <f>IF(A42="","",IFERROR(INDEX(Jobs!$B$5:$B$604,MATCH(A42,Jobs!$A$5:$A$604,0)),""))</f>
        <v>0</v>
      </c>
      <c r="C42" s="23">
        <f>IF(B42="","",TEXT(B42,"yyyy-mm"))</f>
        <v>0</v>
      </c>
      <c r="D42" s="43">
        <f>IF(A42="","",IFERROR(INDEX(Jobs!$G$5:$G$604,MATCH(A42,Jobs!$A$5:$A$604,0)),""))</f>
        <v>0</v>
      </c>
      <c r="E42" s="23">
        <f>IF(A42="","",IFERROR(INDEX(Jobs!$H$5:$H$604,MATCH(A42,Jobs!$A$5:$A$604,0)),""))</f>
        <v>0</v>
      </c>
      <c r="F42" s="23">
        <f>IF(A42="","",IFERROR(INDEX(Jobs!$K$5:$K$604,MATCH(A42,Jobs!$A$5:$A$604,0)),""))</f>
        <v>0</v>
      </c>
      <c r="G42" s="23">
        <f>IF(A42="","",IFERROR(INDEX(Jobs!$M$5:$M$604,MATCH(A42,Jobs!$A$5:$A$604,0)),""))</f>
        <v>0</v>
      </c>
      <c r="H42" s="23">
        <f>IF(A42="","",IFERROR(INDEX(Jobs!$R$5:$R$604,MATCH(A42,Jobs!$A$5:$A$604,0)),""))</f>
        <v>0</v>
      </c>
      <c r="I42" s="39">
        <f>IF(A42="","",IFERROR(INDEX(Jobs!$P$5:$P$604,MATCH(A42,Jobs!$A$5:$A$604,0)),""))</f>
        <v>0</v>
      </c>
      <c r="J42" s="21">
        <f>IF(A42="","",IF(OR(I42="Completed",I42="Invoiced"),IFERROR(INDEX(Jobs!$AJ$5:$AJ$604,MATCH(A42,Jobs!$A$5:$A$604,0)),0),0))</f>
        <v>0</v>
      </c>
      <c r="K42" s="34">
        <f>IF(A42="","",IFERROR(INDEX(Jobs!$AD$5:$AD$604,MATCH(A42,Jobs!$A$5:$A$604,0)),0))</f>
        <v>0</v>
      </c>
      <c r="L42" s="34">
        <f>IF(A42="","",IFERROR(INDEX(Jobs!$AK$5:$AK$604,MATCH(A42,Jobs!$A$5:$A$604,0)),0))</f>
        <v>0</v>
      </c>
      <c r="M42" s="34">
        <f>IF(A42="","",IF(IFERROR(L42*1,0)&gt;0,L42,IFERROR(K42*1,0)))</f>
        <v>0</v>
      </c>
      <c r="N42" s="21">
        <f>IF(A42="","",SUMIFS(Timesheets!$X$5:$X$804,Timesheets!$G$5:$G$804,A42))</f>
        <v>0</v>
      </c>
      <c r="O42" s="21">
        <f>IF(A42="","",IF(N42&gt;0,N42,ROUND(M42*CostPerHour,2)))</f>
        <v>0</v>
      </c>
      <c r="P42" s="21">
        <f>IF(A42="","",SUMIFS('Supply Usage'!$L$5:$L$304,'Supply Usage'!$F$5:$F$304,A42))</f>
        <v>0</v>
      </c>
      <c r="Q42" s="21">
        <f>IF(A42="","",IF(P42&gt;0,P42,ROUND(M42*SuppliesPerHour,2)))</f>
        <v>0</v>
      </c>
      <c r="R42" s="21">
        <f>IF(A42="","",ROUND(IFERROR(INDEX(Jobs!$W$5:$W$604,MATCH(A42,Jobs!$A$5:$A$604,0)),0)*MileageRate,2))</f>
        <v>0</v>
      </c>
      <c r="T42" s="21">
        <f>IF(A42="","",O42+Q42+R42+IF(S42="",0,S42))</f>
        <v>0</v>
      </c>
      <c r="U42" s="21">
        <f>IF(A42="","",J42-T42)</f>
        <v>0</v>
      </c>
      <c r="V42" s="38">
        <f>IF(OR(A42="",J42=0),"",U42/J42)</f>
        <v>0</v>
      </c>
      <c r="W42" s="21">
        <f>IF(OR(A42="",M42=0,J42=0),"",U42/M42)</f>
        <v>0</v>
      </c>
      <c r="X42" s="34">
        <f>IF(OR(A42="",L42="",L42=0,K42=""),"",L42-K42)</f>
        <v>0</v>
      </c>
      <c r="Y42" s="31">
        <f>IF(A42="","",COUNTIFS($U$5:$U$604,"&gt;"&amp;U42)+COUNTIFS($U$5:U42,U42))</f>
        <v>0</v>
      </c>
      <c r="Z42" s="31">
        <f>IF(A42="","",COUNTIFS($W$5:$W$604,"&gt;"&amp;W42)+COUNTIFS($W$5:W42,W42))</f>
        <v>0</v>
      </c>
      <c r="AA42" s="39">
        <f>IF(A42="","",IF(J42=0,"",IF(U42&lt;0,"Loss - this job cost you money",IF(V42&lt;MarginFloor,"Below - margin under the floor",IF(V42&lt;TargetMargin,"Check - under target margin",IF(AND(X42&lt;&gt;"",X42&gt;0.5),"Check - ran over the estimate","OK"))))))</f>
        <v>0</v>
      </c>
    </row>
    <row r="43" spans="1:27">
      <c r="A43" s="43">
        <f>IF(IFERROR(INDEX(Jobs!$A$5:$A$604,ROW()-4),"")="","",IFERROR(INDEX(Jobs!$A$5:$A$604,ROW()-4),""))</f>
        <v>0</v>
      </c>
      <c r="B43" s="18">
        <f>IF(A43="","",IFERROR(INDEX(Jobs!$B$5:$B$604,MATCH(A43,Jobs!$A$5:$A$604,0)),""))</f>
        <v>0</v>
      </c>
      <c r="C43" s="23">
        <f>IF(B43="","",TEXT(B43,"yyyy-mm"))</f>
        <v>0</v>
      </c>
      <c r="D43" s="43">
        <f>IF(A43="","",IFERROR(INDEX(Jobs!$G$5:$G$604,MATCH(A43,Jobs!$A$5:$A$604,0)),""))</f>
        <v>0</v>
      </c>
      <c r="E43" s="23">
        <f>IF(A43="","",IFERROR(INDEX(Jobs!$H$5:$H$604,MATCH(A43,Jobs!$A$5:$A$604,0)),""))</f>
        <v>0</v>
      </c>
      <c r="F43" s="23">
        <f>IF(A43="","",IFERROR(INDEX(Jobs!$K$5:$K$604,MATCH(A43,Jobs!$A$5:$A$604,0)),""))</f>
        <v>0</v>
      </c>
      <c r="G43" s="23">
        <f>IF(A43="","",IFERROR(INDEX(Jobs!$M$5:$M$604,MATCH(A43,Jobs!$A$5:$A$604,0)),""))</f>
        <v>0</v>
      </c>
      <c r="H43" s="23">
        <f>IF(A43="","",IFERROR(INDEX(Jobs!$R$5:$R$604,MATCH(A43,Jobs!$A$5:$A$604,0)),""))</f>
        <v>0</v>
      </c>
      <c r="I43" s="39">
        <f>IF(A43="","",IFERROR(INDEX(Jobs!$P$5:$P$604,MATCH(A43,Jobs!$A$5:$A$604,0)),""))</f>
        <v>0</v>
      </c>
      <c r="J43" s="21">
        <f>IF(A43="","",IF(OR(I43="Completed",I43="Invoiced"),IFERROR(INDEX(Jobs!$AJ$5:$AJ$604,MATCH(A43,Jobs!$A$5:$A$604,0)),0),0))</f>
        <v>0</v>
      </c>
      <c r="K43" s="34">
        <f>IF(A43="","",IFERROR(INDEX(Jobs!$AD$5:$AD$604,MATCH(A43,Jobs!$A$5:$A$604,0)),0))</f>
        <v>0</v>
      </c>
      <c r="L43" s="34">
        <f>IF(A43="","",IFERROR(INDEX(Jobs!$AK$5:$AK$604,MATCH(A43,Jobs!$A$5:$A$604,0)),0))</f>
        <v>0</v>
      </c>
      <c r="M43" s="34">
        <f>IF(A43="","",IF(IFERROR(L43*1,0)&gt;0,L43,IFERROR(K43*1,0)))</f>
        <v>0</v>
      </c>
      <c r="N43" s="21">
        <f>IF(A43="","",SUMIFS(Timesheets!$X$5:$X$804,Timesheets!$G$5:$G$804,A43))</f>
        <v>0</v>
      </c>
      <c r="O43" s="21">
        <f>IF(A43="","",IF(N43&gt;0,N43,ROUND(M43*CostPerHour,2)))</f>
        <v>0</v>
      </c>
      <c r="P43" s="21">
        <f>IF(A43="","",SUMIFS('Supply Usage'!$L$5:$L$304,'Supply Usage'!$F$5:$F$304,A43))</f>
        <v>0</v>
      </c>
      <c r="Q43" s="21">
        <f>IF(A43="","",IF(P43&gt;0,P43,ROUND(M43*SuppliesPerHour,2)))</f>
        <v>0</v>
      </c>
      <c r="R43" s="21">
        <f>IF(A43="","",ROUND(IFERROR(INDEX(Jobs!$W$5:$W$604,MATCH(A43,Jobs!$A$5:$A$604,0)),0)*MileageRate,2))</f>
        <v>0</v>
      </c>
      <c r="T43" s="21">
        <f>IF(A43="","",O43+Q43+R43+IF(S43="",0,S43))</f>
        <v>0</v>
      </c>
      <c r="U43" s="21">
        <f>IF(A43="","",J43-T43)</f>
        <v>0</v>
      </c>
      <c r="V43" s="38">
        <f>IF(OR(A43="",J43=0),"",U43/J43)</f>
        <v>0</v>
      </c>
      <c r="W43" s="21">
        <f>IF(OR(A43="",M43=0,J43=0),"",U43/M43)</f>
        <v>0</v>
      </c>
      <c r="X43" s="34">
        <f>IF(OR(A43="",L43="",L43=0,K43=""),"",L43-K43)</f>
        <v>0</v>
      </c>
      <c r="Y43" s="31">
        <f>IF(A43="","",COUNTIFS($U$5:$U$604,"&gt;"&amp;U43)+COUNTIFS($U$5:U43,U43))</f>
        <v>0</v>
      </c>
      <c r="Z43" s="31">
        <f>IF(A43="","",COUNTIFS($W$5:$W$604,"&gt;"&amp;W43)+COUNTIFS($W$5:W43,W43))</f>
        <v>0</v>
      </c>
      <c r="AA43" s="39">
        <f>IF(A43="","",IF(J43=0,"",IF(U43&lt;0,"Loss - this job cost you money",IF(V43&lt;MarginFloor,"Below - margin under the floor",IF(V43&lt;TargetMargin,"Check - under target margin",IF(AND(X43&lt;&gt;"",X43&gt;0.5),"Check - ran over the estimate","OK"))))))</f>
        <v>0</v>
      </c>
    </row>
    <row r="44" spans="1:27">
      <c r="A44" s="43">
        <f>IF(IFERROR(INDEX(Jobs!$A$5:$A$604,ROW()-4),"")="","",IFERROR(INDEX(Jobs!$A$5:$A$604,ROW()-4),""))</f>
        <v>0</v>
      </c>
      <c r="B44" s="18">
        <f>IF(A44="","",IFERROR(INDEX(Jobs!$B$5:$B$604,MATCH(A44,Jobs!$A$5:$A$604,0)),""))</f>
        <v>0</v>
      </c>
      <c r="C44" s="23">
        <f>IF(B44="","",TEXT(B44,"yyyy-mm"))</f>
        <v>0</v>
      </c>
      <c r="D44" s="43">
        <f>IF(A44="","",IFERROR(INDEX(Jobs!$G$5:$G$604,MATCH(A44,Jobs!$A$5:$A$604,0)),""))</f>
        <v>0</v>
      </c>
      <c r="E44" s="23">
        <f>IF(A44="","",IFERROR(INDEX(Jobs!$H$5:$H$604,MATCH(A44,Jobs!$A$5:$A$604,0)),""))</f>
        <v>0</v>
      </c>
      <c r="F44" s="23">
        <f>IF(A44="","",IFERROR(INDEX(Jobs!$K$5:$K$604,MATCH(A44,Jobs!$A$5:$A$604,0)),""))</f>
        <v>0</v>
      </c>
      <c r="G44" s="23">
        <f>IF(A44="","",IFERROR(INDEX(Jobs!$M$5:$M$604,MATCH(A44,Jobs!$A$5:$A$604,0)),""))</f>
        <v>0</v>
      </c>
      <c r="H44" s="23">
        <f>IF(A44="","",IFERROR(INDEX(Jobs!$R$5:$R$604,MATCH(A44,Jobs!$A$5:$A$604,0)),""))</f>
        <v>0</v>
      </c>
      <c r="I44" s="39">
        <f>IF(A44="","",IFERROR(INDEX(Jobs!$P$5:$P$604,MATCH(A44,Jobs!$A$5:$A$604,0)),""))</f>
        <v>0</v>
      </c>
      <c r="J44" s="21">
        <f>IF(A44="","",IF(OR(I44="Completed",I44="Invoiced"),IFERROR(INDEX(Jobs!$AJ$5:$AJ$604,MATCH(A44,Jobs!$A$5:$A$604,0)),0),0))</f>
        <v>0</v>
      </c>
      <c r="K44" s="34">
        <f>IF(A44="","",IFERROR(INDEX(Jobs!$AD$5:$AD$604,MATCH(A44,Jobs!$A$5:$A$604,0)),0))</f>
        <v>0</v>
      </c>
      <c r="L44" s="34">
        <f>IF(A44="","",IFERROR(INDEX(Jobs!$AK$5:$AK$604,MATCH(A44,Jobs!$A$5:$A$604,0)),0))</f>
        <v>0</v>
      </c>
      <c r="M44" s="34">
        <f>IF(A44="","",IF(IFERROR(L44*1,0)&gt;0,L44,IFERROR(K44*1,0)))</f>
        <v>0</v>
      </c>
      <c r="N44" s="21">
        <f>IF(A44="","",SUMIFS(Timesheets!$X$5:$X$804,Timesheets!$G$5:$G$804,A44))</f>
        <v>0</v>
      </c>
      <c r="O44" s="21">
        <f>IF(A44="","",IF(N44&gt;0,N44,ROUND(M44*CostPerHour,2)))</f>
        <v>0</v>
      </c>
      <c r="P44" s="21">
        <f>IF(A44="","",SUMIFS('Supply Usage'!$L$5:$L$304,'Supply Usage'!$F$5:$F$304,A44))</f>
        <v>0</v>
      </c>
      <c r="Q44" s="21">
        <f>IF(A44="","",IF(P44&gt;0,P44,ROUND(M44*SuppliesPerHour,2)))</f>
        <v>0</v>
      </c>
      <c r="R44" s="21">
        <f>IF(A44="","",ROUND(IFERROR(INDEX(Jobs!$W$5:$W$604,MATCH(A44,Jobs!$A$5:$A$604,0)),0)*MileageRate,2))</f>
        <v>0</v>
      </c>
      <c r="T44" s="21">
        <f>IF(A44="","",O44+Q44+R44+IF(S44="",0,S44))</f>
        <v>0</v>
      </c>
      <c r="U44" s="21">
        <f>IF(A44="","",J44-T44)</f>
        <v>0</v>
      </c>
      <c r="V44" s="38">
        <f>IF(OR(A44="",J44=0),"",U44/J44)</f>
        <v>0</v>
      </c>
      <c r="W44" s="21">
        <f>IF(OR(A44="",M44=0,J44=0),"",U44/M44)</f>
        <v>0</v>
      </c>
      <c r="X44" s="34">
        <f>IF(OR(A44="",L44="",L44=0,K44=""),"",L44-K44)</f>
        <v>0</v>
      </c>
      <c r="Y44" s="31">
        <f>IF(A44="","",COUNTIFS($U$5:$U$604,"&gt;"&amp;U44)+COUNTIFS($U$5:U44,U44))</f>
        <v>0</v>
      </c>
      <c r="Z44" s="31">
        <f>IF(A44="","",COUNTIFS($W$5:$W$604,"&gt;"&amp;W44)+COUNTIFS($W$5:W44,W44))</f>
        <v>0</v>
      </c>
      <c r="AA44" s="39">
        <f>IF(A44="","",IF(J44=0,"",IF(U44&lt;0,"Loss - this job cost you money",IF(V44&lt;MarginFloor,"Below - margin under the floor",IF(V44&lt;TargetMargin,"Check - under target margin",IF(AND(X44&lt;&gt;"",X44&gt;0.5),"Check - ran over the estimate","OK"))))))</f>
        <v>0</v>
      </c>
    </row>
    <row r="45" spans="1:27">
      <c r="A45" s="43">
        <f>IF(IFERROR(INDEX(Jobs!$A$5:$A$604,ROW()-4),"")="","",IFERROR(INDEX(Jobs!$A$5:$A$604,ROW()-4),""))</f>
        <v>0</v>
      </c>
      <c r="B45" s="18">
        <f>IF(A45="","",IFERROR(INDEX(Jobs!$B$5:$B$604,MATCH(A45,Jobs!$A$5:$A$604,0)),""))</f>
        <v>0</v>
      </c>
      <c r="C45" s="23">
        <f>IF(B45="","",TEXT(B45,"yyyy-mm"))</f>
        <v>0</v>
      </c>
      <c r="D45" s="43">
        <f>IF(A45="","",IFERROR(INDEX(Jobs!$G$5:$G$604,MATCH(A45,Jobs!$A$5:$A$604,0)),""))</f>
        <v>0</v>
      </c>
      <c r="E45" s="23">
        <f>IF(A45="","",IFERROR(INDEX(Jobs!$H$5:$H$604,MATCH(A45,Jobs!$A$5:$A$604,0)),""))</f>
        <v>0</v>
      </c>
      <c r="F45" s="23">
        <f>IF(A45="","",IFERROR(INDEX(Jobs!$K$5:$K$604,MATCH(A45,Jobs!$A$5:$A$604,0)),""))</f>
        <v>0</v>
      </c>
      <c r="G45" s="23">
        <f>IF(A45="","",IFERROR(INDEX(Jobs!$M$5:$M$604,MATCH(A45,Jobs!$A$5:$A$604,0)),""))</f>
        <v>0</v>
      </c>
      <c r="H45" s="23">
        <f>IF(A45="","",IFERROR(INDEX(Jobs!$R$5:$R$604,MATCH(A45,Jobs!$A$5:$A$604,0)),""))</f>
        <v>0</v>
      </c>
      <c r="I45" s="39">
        <f>IF(A45="","",IFERROR(INDEX(Jobs!$P$5:$P$604,MATCH(A45,Jobs!$A$5:$A$604,0)),""))</f>
        <v>0</v>
      </c>
      <c r="J45" s="21">
        <f>IF(A45="","",IF(OR(I45="Completed",I45="Invoiced"),IFERROR(INDEX(Jobs!$AJ$5:$AJ$604,MATCH(A45,Jobs!$A$5:$A$604,0)),0),0))</f>
        <v>0</v>
      </c>
      <c r="K45" s="34">
        <f>IF(A45="","",IFERROR(INDEX(Jobs!$AD$5:$AD$604,MATCH(A45,Jobs!$A$5:$A$604,0)),0))</f>
        <v>0</v>
      </c>
      <c r="L45" s="34">
        <f>IF(A45="","",IFERROR(INDEX(Jobs!$AK$5:$AK$604,MATCH(A45,Jobs!$A$5:$A$604,0)),0))</f>
        <v>0</v>
      </c>
      <c r="M45" s="34">
        <f>IF(A45="","",IF(IFERROR(L45*1,0)&gt;0,L45,IFERROR(K45*1,0)))</f>
        <v>0</v>
      </c>
      <c r="N45" s="21">
        <f>IF(A45="","",SUMIFS(Timesheets!$X$5:$X$804,Timesheets!$G$5:$G$804,A45))</f>
        <v>0</v>
      </c>
      <c r="O45" s="21">
        <f>IF(A45="","",IF(N45&gt;0,N45,ROUND(M45*CostPerHour,2)))</f>
        <v>0</v>
      </c>
      <c r="P45" s="21">
        <f>IF(A45="","",SUMIFS('Supply Usage'!$L$5:$L$304,'Supply Usage'!$F$5:$F$304,A45))</f>
        <v>0</v>
      </c>
      <c r="Q45" s="21">
        <f>IF(A45="","",IF(P45&gt;0,P45,ROUND(M45*SuppliesPerHour,2)))</f>
        <v>0</v>
      </c>
      <c r="R45" s="21">
        <f>IF(A45="","",ROUND(IFERROR(INDEX(Jobs!$W$5:$W$604,MATCH(A45,Jobs!$A$5:$A$604,0)),0)*MileageRate,2))</f>
        <v>0</v>
      </c>
      <c r="T45" s="21">
        <f>IF(A45="","",O45+Q45+R45+IF(S45="",0,S45))</f>
        <v>0</v>
      </c>
      <c r="U45" s="21">
        <f>IF(A45="","",J45-T45)</f>
        <v>0</v>
      </c>
      <c r="V45" s="38">
        <f>IF(OR(A45="",J45=0),"",U45/J45)</f>
        <v>0</v>
      </c>
      <c r="W45" s="21">
        <f>IF(OR(A45="",M45=0,J45=0),"",U45/M45)</f>
        <v>0</v>
      </c>
      <c r="X45" s="34">
        <f>IF(OR(A45="",L45="",L45=0,K45=""),"",L45-K45)</f>
        <v>0</v>
      </c>
      <c r="Y45" s="31">
        <f>IF(A45="","",COUNTIFS($U$5:$U$604,"&gt;"&amp;U45)+COUNTIFS($U$5:U45,U45))</f>
        <v>0</v>
      </c>
      <c r="Z45" s="31">
        <f>IF(A45="","",COUNTIFS($W$5:$W$604,"&gt;"&amp;W45)+COUNTIFS($W$5:W45,W45))</f>
        <v>0</v>
      </c>
      <c r="AA45" s="39">
        <f>IF(A45="","",IF(J45=0,"",IF(U45&lt;0,"Loss - this job cost you money",IF(V45&lt;MarginFloor,"Below - margin under the floor",IF(V45&lt;TargetMargin,"Check - under target margin",IF(AND(X45&lt;&gt;"",X45&gt;0.5),"Check - ran over the estimate","OK"))))))</f>
        <v>0</v>
      </c>
    </row>
    <row r="46" spans="1:27">
      <c r="A46" s="43">
        <f>IF(IFERROR(INDEX(Jobs!$A$5:$A$604,ROW()-4),"")="","",IFERROR(INDEX(Jobs!$A$5:$A$604,ROW()-4),""))</f>
        <v>0</v>
      </c>
      <c r="B46" s="18">
        <f>IF(A46="","",IFERROR(INDEX(Jobs!$B$5:$B$604,MATCH(A46,Jobs!$A$5:$A$604,0)),""))</f>
        <v>0</v>
      </c>
      <c r="C46" s="23">
        <f>IF(B46="","",TEXT(B46,"yyyy-mm"))</f>
        <v>0</v>
      </c>
      <c r="D46" s="43">
        <f>IF(A46="","",IFERROR(INDEX(Jobs!$G$5:$G$604,MATCH(A46,Jobs!$A$5:$A$604,0)),""))</f>
        <v>0</v>
      </c>
      <c r="E46" s="23">
        <f>IF(A46="","",IFERROR(INDEX(Jobs!$H$5:$H$604,MATCH(A46,Jobs!$A$5:$A$604,0)),""))</f>
        <v>0</v>
      </c>
      <c r="F46" s="23">
        <f>IF(A46="","",IFERROR(INDEX(Jobs!$K$5:$K$604,MATCH(A46,Jobs!$A$5:$A$604,0)),""))</f>
        <v>0</v>
      </c>
      <c r="G46" s="23">
        <f>IF(A46="","",IFERROR(INDEX(Jobs!$M$5:$M$604,MATCH(A46,Jobs!$A$5:$A$604,0)),""))</f>
        <v>0</v>
      </c>
      <c r="H46" s="23">
        <f>IF(A46="","",IFERROR(INDEX(Jobs!$R$5:$R$604,MATCH(A46,Jobs!$A$5:$A$604,0)),""))</f>
        <v>0</v>
      </c>
      <c r="I46" s="39">
        <f>IF(A46="","",IFERROR(INDEX(Jobs!$P$5:$P$604,MATCH(A46,Jobs!$A$5:$A$604,0)),""))</f>
        <v>0</v>
      </c>
      <c r="J46" s="21">
        <f>IF(A46="","",IF(OR(I46="Completed",I46="Invoiced"),IFERROR(INDEX(Jobs!$AJ$5:$AJ$604,MATCH(A46,Jobs!$A$5:$A$604,0)),0),0))</f>
        <v>0</v>
      </c>
      <c r="K46" s="34">
        <f>IF(A46="","",IFERROR(INDEX(Jobs!$AD$5:$AD$604,MATCH(A46,Jobs!$A$5:$A$604,0)),0))</f>
        <v>0</v>
      </c>
      <c r="L46" s="34">
        <f>IF(A46="","",IFERROR(INDEX(Jobs!$AK$5:$AK$604,MATCH(A46,Jobs!$A$5:$A$604,0)),0))</f>
        <v>0</v>
      </c>
      <c r="M46" s="34">
        <f>IF(A46="","",IF(IFERROR(L46*1,0)&gt;0,L46,IFERROR(K46*1,0)))</f>
        <v>0</v>
      </c>
      <c r="N46" s="21">
        <f>IF(A46="","",SUMIFS(Timesheets!$X$5:$X$804,Timesheets!$G$5:$G$804,A46))</f>
        <v>0</v>
      </c>
      <c r="O46" s="21">
        <f>IF(A46="","",IF(N46&gt;0,N46,ROUND(M46*CostPerHour,2)))</f>
        <v>0</v>
      </c>
      <c r="P46" s="21">
        <f>IF(A46="","",SUMIFS('Supply Usage'!$L$5:$L$304,'Supply Usage'!$F$5:$F$304,A46))</f>
        <v>0</v>
      </c>
      <c r="Q46" s="21">
        <f>IF(A46="","",IF(P46&gt;0,P46,ROUND(M46*SuppliesPerHour,2)))</f>
        <v>0</v>
      </c>
      <c r="R46" s="21">
        <f>IF(A46="","",ROUND(IFERROR(INDEX(Jobs!$W$5:$W$604,MATCH(A46,Jobs!$A$5:$A$604,0)),0)*MileageRate,2))</f>
        <v>0</v>
      </c>
      <c r="T46" s="21">
        <f>IF(A46="","",O46+Q46+R46+IF(S46="",0,S46))</f>
        <v>0</v>
      </c>
      <c r="U46" s="21">
        <f>IF(A46="","",J46-T46)</f>
        <v>0</v>
      </c>
      <c r="V46" s="38">
        <f>IF(OR(A46="",J46=0),"",U46/J46)</f>
        <v>0</v>
      </c>
      <c r="W46" s="21">
        <f>IF(OR(A46="",M46=0,J46=0),"",U46/M46)</f>
        <v>0</v>
      </c>
      <c r="X46" s="34">
        <f>IF(OR(A46="",L46="",L46=0,K46=""),"",L46-K46)</f>
        <v>0</v>
      </c>
      <c r="Y46" s="31">
        <f>IF(A46="","",COUNTIFS($U$5:$U$604,"&gt;"&amp;U46)+COUNTIFS($U$5:U46,U46))</f>
        <v>0</v>
      </c>
      <c r="Z46" s="31">
        <f>IF(A46="","",COUNTIFS($W$5:$W$604,"&gt;"&amp;W46)+COUNTIFS($W$5:W46,W46))</f>
        <v>0</v>
      </c>
      <c r="AA46" s="39">
        <f>IF(A46="","",IF(J46=0,"",IF(U46&lt;0,"Loss - this job cost you money",IF(V46&lt;MarginFloor,"Below - margin under the floor",IF(V46&lt;TargetMargin,"Check - under target margin",IF(AND(X46&lt;&gt;"",X46&gt;0.5),"Check - ran over the estimate","OK"))))))</f>
        <v>0</v>
      </c>
    </row>
    <row r="47" spans="1:27">
      <c r="A47" s="43">
        <f>IF(IFERROR(INDEX(Jobs!$A$5:$A$604,ROW()-4),"")="","",IFERROR(INDEX(Jobs!$A$5:$A$604,ROW()-4),""))</f>
        <v>0</v>
      </c>
      <c r="B47" s="18">
        <f>IF(A47="","",IFERROR(INDEX(Jobs!$B$5:$B$604,MATCH(A47,Jobs!$A$5:$A$604,0)),""))</f>
        <v>0</v>
      </c>
      <c r="C47" s="23">
        <f>IF(B47="","",TEXT(B47,"yyyy-mm"))</f>
        <v>0</v>
      </c>
      <c r="D47" s="43">
        <f>IF(A47="","",IFERROR(INDEX(Jobs!$G$5:$G$604,MATCH(A47,Jobs!$A$5:$A$604,0)),""))</f>
        <v>0</v>
      </c>
      <c r="E47" s="23">
        <f>IF(A47="","",IFERROR(INDEX(Jobs!$H$5:$H$604,MATCH(A47,Jobs!$A$5:$A$604,0)),""))</f>
        <v>0</v>
      </c>
      <c r="F47" s="23">
        <f>IF(A47="","",IFERROR(INDEX(Jobs!$K$5:$K$604,MATCH(A47,Jobs!$A$5:$A$604,0)),""))</f>
        <v>0</v>
      </c>
      <c r="G47" s="23">
        <f>IF(A47="","",IFERROR(INDEX(Jobs!$M$5:$M$604,MATCH(A47,Jobs!$A$5:$A$604,0)),""))</f>
        <v>0</v>
      </c>
      <c r="H47" s="23">
        <f>IF(A47="","",IFERROR(INDEX(Jobs!$R$5:$R$604,MATCH(A47,Jobs!$A$5:$A$604,0)),""))</f>
        <v>0</v>
      </c>
      <c r="I47" s="39">
        <f>IF(A47="","",IFERROR(INDEX(Jobs!$P$5:$P$604,MATCH(A47,Jobs!$A$5:$A$604,0)),""))</f>
        <v>0</v>
      </c>
      <c r="J47" s="21">
        <f>IF(A47="","",IF(OR(I47="Completed",I47="Invoiced"),IFERROR(INDEX(Jobs!$AJ$5:$AJ$604,MATCH(A47,Jobs!$A$5:$A$604,0)),0),0))</f>
        <v>0</v>
      </c>
      <c r="K47" s="34">
        <f>IF(A47="","",IFERROR(INDEX(Jobs!$AD$5:$AD$604,MATCH(A47,Jobs!$A$5:$A$604,0)),0))</f>
        <v>0</v>
      </c>
      <c r="L47" s="34">
        <f>IF(A47="","",IFERROR(INDEX(Jobs!$AK$5:$AK$604,MATCH(A47,Jobs!$A$5:$A$604,0)),0))</f>
        <v>0</v>
      </c>
      <c r="M47" s="34">
        <f>IF(A47="","",IF(IFERROR(L47*1,0)&gt;0,L47,IFERROR(K47*1,0)))</f>
        <v>0</v>
      </c>
      <c r="N47" s="21">
        <f>IF(A47="","",SUMIFS(Timesheets!$X$5:$X$804,Timesheets!$G$5:$G$804,A47))</f>
        <v>0</v>
      </c>
      <c r="O47" s="21">
        <f>IF(A47="","",IF(N47&gt;0,N47,ROUND(M47*CostPerHour,2)))</f>
        <v>0</v>
      </c>
      <c r="P47" s="21">
        <f>IF(A47="","",SUMIFS('Supply Usage'!$L$5:$L$304,'Supply Usage'!$F$5:$F$304,A47))</f>
        <v>0</v>
      </c>
      <c r="Q47" s="21">
        <f>IF(A47="","",IF(P47&gt;0,P47,ROUND(M47*SuppliesPerHour,2)))</f>
        <v>0</v>
      </c>
      <c r="R47" s="21">
        <f>IF(A47="","",ROUND(IFERROR(INDEX(Jobs!$W$5:$W$604,MATCH(A47,Jobs!$A$5:$A$604,0)),0)*MileageRate,2))</f>
        <v>0</v>
      </c>
      <c r="T47" s="21">
        <f>IF(A47="","",O47+Q47+R47+IF(S47="",0,S47))</f>
        <v>0</v>
      </c>
      <c r="U47" s="21">
        <f>IF(A47="","",J47-T47)</f>
        <v>0</v>
      </c>
      <c r="V47" s="38">
        <f>IF(OR(A47="",J47=0),"",U47/J47)</f>
        <v>0</v>
      </c>
      <c r="W47" s="21">
        <f>IF(OR(A47="",M47=0,J47=0),"",U47/M47)</f>
        <v>0</v>
      </c>
      <c r="X47" s="34">
        <f>IF(OR(A47="",L47="",L47=0,K47=""),"",L47-K47)</f>
        <v>0</v>
      </c>
      <c r="Y47" s="31">
        <f>IF(A47="","",COUNTIFS($U$5:$U$604,"&gt;"&amp;U47)+COUNTIFS($U$5:U47,U47))</f>
        <v>0</v>
      </c>
      <c r="Z47" s="31">
        <f>IF(A47="","",COUNTIFS($W$5:$W$604,"&gt;"&amp;W47)+COUNTIFS($W$5:W47,W47))</f>
        <v>0</v>
      </c>
      <c r="AA47" s="39">
        <f>IF(A47="","",IF(J47=0,"",IF(U47&lt;0,"Loss - this job cost you money",IF(V47&lt;MarginFloor,"Below - margin under the floor",IF(V47&lt;TargetMargin,"Check - under target margin",IF(AND(X47&lt;&gt;"",X47&gt;0.5),"Check - ran over the estimate","OK"))))))</f>
        <v>0</v>
      </c>
    </row>
    <row r="48" spans="1:27">
      <c r="A48" s="43">
        <f>IF(IFERROR(INDEX(Jobs!$A$5:$A$604,ROW()-4),"")="","",IFERROR(INDEX(Jobs!$A$5:$A$604,ROW()-4),""))</f>
        <v>0</v>
      </c>
      <c r="B48" s="18">
        <f>IF(A48="","",IFERROR(INDEX(Jobs!$B$5:$B$604,MATCH(A48,Jobs!$A$5:$A$604,0)),""))</f>
        <v>0</v>
      </c>
      <c r="C48" s="23">
        <f>IF(B48="","",TEXT(B48,"yyyy-mm"))</f>
        <v>0</v>
      </c>
      <c r="D48" s="43">
        <f>IF(A48="","",IFERROR(INDEX(Jobs!$G$5:$G$604,MATCH(A48,Jobs!$A$5:$A$604,0)),""))</f>
        <v>0</v>
      </c>
      <c r="E48" s="23">
        <f>IF(A48="","",IFERROR(INDEX(Jobs!$H$5:$H$604,MATCH(A48,Jobs!$A$5:$A$604,0)),""))</f>
        <v>0</v>
      </c>
      <c r="F48" s="23">
        <f>IF(A48="","",IFERROR(INDEX(Jobs!$K$5:$K$604,MATCH(A48,Jobs!$A$5:$A$604,0)),""))</f>
        <v>0</v>
      </c>
      <c r="G48" s="23">
        <f>IF(A48="","",IFERROR(INDEX(Jobs!$M$5:$M$604,MATCH(A48,Jobs!$A$5:$A$604,0)),""))</f>
        <v>0</v>
      </c>
      <c r="H48" s="23">
        <f>IF(A48="","",IFERROR(INDEX(Jobs!$R$5:$R$604,MATCH(A48,Jobs!$A$5:$A$604,0)),""))</f>
        <v>0</v>
      </c>
      <c r="I48" s="39">
        <f>IF(A48="","",IFERROR(INDEX(Jobs!$P$5:$P$604,MATCH(A48,Jobs!$A$5:$A$604,0)),""))</f>
        <v>0</v>
      </c>
      <c r="J48" s="21">
        <f>IF(A48="","",IF(OR(I48="Completed",I48="Invoiced"),IFERROR(INDEX(Jobs!$AJ$5:$AJ$604,MATCH(A48,Jobs!$A$5:$A$604,0)),0),0))</f>
        <v>0</v>
      </c>
      <c r="K48" s="34">
        <f>IF(A48="","",IFERROR(INDEX(Jobs!$AD$5:$AD$604,MATCH(A48,Jobs!$A$5:$A$604,0)),0))</f>
        <v>0</v>
      </c>
      <c r="L48" s="34">
        <f>IF(A48="","",IFERROR(INDEX(Jobs!$AK$5:$AK$604,MATCH(A48,Jobs!$A$5:$A$604,0)),0))</f>
        <v>0</v>
      </c>
      <c r="M48" s="34">
        <f>IF(A48="","",IF(IFERROR(L48*1,0)&gt;0,L48,IFERROR(K48*1,0)))</f>
        <v>0</v>
      </c>
      <c r="N48" s="21">
        <f>IF(A48="","",SUMIFS(Timesheets!$X$5:$X$804,Timesheets!$G$5:$G$804,A48))</f>
        <v>0</v>
      </c>
      <c r="O48" s="21">
        <f>IF(A48="","",IF(N48&gt;0,N48,ROUND(M48*CostPerHour,2)))</f>
        <v>0</v>
      </c>
      <c r="P48" s="21">
        <f>IF(A48="","",SUMIFS('Supply Usage'!$L$5:$L$304,'Supply Usage'!$F$5:$F$304,A48))</f>
        <v>0</v>
      </c>
      <c r="Q48" s="21">
        <f>IF(A48="","",IF(P48&gt;0,P48,ROUND(M48*SuppliesPerHour,2)))</f>
        <v>0</v>
      </c>
      <c r="R48" s="21">
        <f>IF(A48="","",ROUND(IFERROR(INDEX(Jobs!$W$5:$W$604,MATCH(A48,Jobs!$A$5:$A$604,0)),0)*MileageRate,2))</f>
        <v>0</v>
      </c>
      <c r="T48" s="21">
        <f>IF(A48="","",O48+Q48+R48+IF(S48="",0,S48))</f>
        <v>0</v>
      </c>
      <c r="U48" s="21">
        <f>IF(A48="","",J48-T48)</f>
        <v>0</v>
      </c>
      <c r="V48" s="38">
        <f>IF(OR(A48="",J48=0),"",U48/J48)</f>
        <v>0</v>
      </c>
      <c r="W48" s="21">
        <f>IF(OR(A48="",M48=0,J48=0),"",U48/M48)</f>
        <v>0</v>
      </c>
      <c r="X48" s="34">
        <f>IF(OR(A48="",L48="",L48=0,K48=""),"",L48-K48)</f>
        <v>0</v>
      </c>
      <c r="Y48" s="31">
        <f>IF(A48="","",COUNTIFS($U$5:$U$604,"&gt;"&amp;U48)+COUNTIFS($U$5:U48,U48))</f>
        <v>0</v>
      </c>
      <c r="Z48" s="31">
        <f>IF(A48="","",COUNTIFS($W$5:$W$604,"&gt;"&amp;W48)+COUNTIFS($W$5:W48,W48))</f>
        <v>0</v>
      </c>
      <c r="AA48" s="39">
        <f>IF(A48="","",IF(J48=0,"",IF(U48&lt;0,"Loss - this job cost you money",IF(V48&lt;MarginFloor,"Below - margin under the floor",IF(V48&lt;TargetMargin,"Check - under target margin",IF(AND(X48&lt;&gt;"",X48&gt;0.5),"Check - ran over the estimate","OK"))))))</f>
        <v>0</v>
      </c>
    </row>
    <row r="49" spans="1:27">
      <c r="A49" s="43">
        <f>IF(IFERROR(INDEX(Jobs!$A$5:$A$604,ROW()-4),"")="","",IFERROR(INDEX(Jobs!$A$5:$A$604,ROW()-4),""))</f>
        <v>0</v>
      </c>
      <c r="B49" s="18">
        <f>IF(A49="","",IFERROR(INDEX(Jobs!$B$5:$B$604,MATCH(A49,Jobs!$A$5:$A$604,0)),""))</f>
        <v>0</v>
      </c>
      <c r="C49" s="23">
        <f>IF(B49="","",TEXT(B49,"yyyy-mm"))</f>
        <v>0</v>
      </c>
      <c r="D49" s="43">
        <f>IF(A49="","",IFERROR(INDEX(Jobs!$G$5:$G$604,MATCH(A49,Jobs!$A$5:$A$604,0)),""))</f>
        <v>0</v>
      </c>
      <c r="E49" s="23">
        <f>IF(A49="","",IFERROR(INDEX(Jobs!$H$5:$H$604,MATCH(A49,Jobs!$A$5:$A$604,0)),""))</f>
        <v>0</v>
      </c>
      <c r="F49" s="23">
        <f>IF(A49="","",IFERROR(INDEX(Jobs!$K$5:$K$604,MATCH(A49,Jobs!$A$5:$A$604,0)),""))</f>
        <v>0</v>
      </c>
      <c r="G49" s="23">
        <f>IF(A49="","",IFERROR(INDEX(Jobs!$M$5:$M$604,MATCH(A49,Jobs!$A$5:$A$604,0)),""))</f>
        <v>0</v>
      </c>
      <c r="H49" s="23">
        <f>IF(A49="","",IFERROR(INDEX(Jobs!$R$5:$R$604,MATCH(A49,Jobs!$A$5:$A$604,0)),""))</f>
        <v>0</v>
      </c>
      <c r="I49" s="39">
        <f>IF(A49="","",IFERROR(INDEX(Jobs!$P$5:$P$604,MATCH(A49,Jobs!$A$5:$A$604,0)),""))</f>
        <v>0</v>
      </c>
      <c r="J49" s="21">
        <f>IF(A49="","",IF(OR(I49="Completed",I49="Invoiced"),IFERROR(INDEX(Jobs!$AJ$5:$AJ$604,MATCH(A49,Jobs!$A$5:$A$604,0)),0),0))</f>
        <v>0</v>
      </c>
      <c r="K49" s="34">
        <f>IF(A49="","",IFERROR(INDEX(Jobs!$AD$5:$AD$604,MATCH(A49,Jobs!$A$5:$A$604,0)),0))</f>
        <v>0</v>
      </c>
      <c r="L49" s="34">
        <f>IF(A49="","",IFERROR(INDEX(Jobs!$AK$5:$AK$604,MATCH(A49,Jobs!$A$5:$A$604,0)),0))</f>
        <v>0</v>
      </c>
      <c r="M49" s="34">
        <f>IF(A49="","",IF(IFERROR(L49*1,0)&gt;0,L49,IFERROR(K49*1,0)))</f>
        <v>0</v>
      </c>
      <c r="N49" s="21">
        <f>IF(A49="","",SUMIFS(Timesheets!$X$5:$X$804,Timesheets!$G$5:$G$804,A49))</f>
        <v>0</v>
      </c>
      <c r="O49" s="21">
        <f>IF(A49="","",IF(N49&gt;0,N49,ROUND(M49*CostPerHour,2)))</f>
        <v>0</v>
      </c>
      <c r="P49" s="21">
        <f>IF(A49="","",SUMIFS('Supply Usage'!$L$5:$L$304,'Supply Usage'!$F$5:$F$304,A49))</f>
        <v>0</v>
      </c>
      <c r="Q49" s="21">
        <f>IF(A49="","",IF(P49&gt;0,P49,ROUND(M49*SuppliesPerHour,2)))</f>
        <v>0</v>
      </c>
      <c r="R49" s="21">
        <f>IF(A49="","",ROUND(IFERROR(INDEX(Jobs!$W$5:$W$604,MATCH(A49,Jobs!$A$5:$A$604,0)),0)*MileageRate,2))</f>
        <v>0</v>
      </c>
      <c r="T49" s="21">
        <f>IF(A49="","",O49+Q49+R49+IF(S49="",0,S49))</f>
        <v>0</v>
      </c>
      <c r="U49" s="21">
        <f>IF(A49="","",J49-T49)</f>
        <v>0</v>
      </c>
      <c r="V49" s="38">
        <f>IF(OR(A49="",J49=0),"",U49/J49)</f>
        <v>0</v>
      </c>
      <c r="W49" s="21">
        <f>IF(OR(A49="",M49=0,J49=0),"",U49/M49)</f>
        <v>0</v>
      </c>
      <c r="X49" s="34">
        <f>IF(OR(A49="",L49="",L49=0,K49=""),"",L49-K49)</f>
        <v>0</v>
      </c>
      <c r="Y49" s="31">
        <f>IF(A49="","",COUNTIFS($U$5:$U$604,"&gt;"&amp;U49)+COUNTIFS($U$5:U49,U49))</f>
        <v>0</v>
      </c>
      <c r="Z49" s="31">
        <f>IF(A49="","",COUNTIFS($W$5:$W$604,"&gt;"&amp;W49)+COUNTIFS($W$5:W49,W49))</f>
        <v>0</v>
      </c>
      <c r="AA49" s="39">
        <f>IF(A49="","",IF(J49=0,"",IF(U49&lt;0,"Loss - this job cost you money",IF(V49&lt;MarginFloor,"Below - margin under the floor",IF(V49&lt;TargetMargin,"Check - under target margin",IF(AND(X49&lt;&gt;"",X49&gt;0.5),"Check - ran over the estimate","OK"))))))</f>
        <v>0</v>
      </c>
    </row>
    <row r="50" spans="1:27">
      <c r="A50" s="43">
        <f>IF(IFERROR(INDEX(Jobs!$A$5:$A$604,ROW()-4),"")="","",IFERROR(INDEX(Jobs!$A$5:$A$604,ROW()-4),""))</f>
        <v>0</v>
      </c>
      <c r="B50" s="18">
        <f>IF(A50="","",IFERROR(INDEX(Jobs!$B$5:$B$604,MATCH(A50,Jobs!$A$5:$A$604,0)),""))</f>
        <v>0</v>
      </c>
      <c r="C50" s="23">
        <f>IF(B50="","",TEXT(B50,"yyyy-mm"))</f>
        <v>0</v>
      </c>
      <c r="D50" s="43">
        <f>IF(A50="","",IFERROR(INDEX(Jobs!$G$5:$G$604,MATCH(A50,Jobs!$A$5:$A$604,0)),""))</f>
        <v>0</v>
      </c>
      <c r="E50" s="23">
        <f>IF(A50="","",IFERROR(INDEX(Jobs!$H$5:$H$604,MATCH(A50,Jobs!$A$5:$A$604,0)),""))</f>
        <v>0</v>
      </c>
      <c r="F50" s="23">
        <f>IF(A50="","",IFERROR(INDEX(Jobs!$K$5:$K$604,MATCH(A50,Jobs!$A$5:$A$604,0)),""))</f>
        <v>0</v>
      </c>
      <c r="G50" s="23">
        <f>IF(A50="","",IFERROR(INDEX(Jobs!$M$5:$M$604,MATCH(A50,Jobs!$A$5:$A$604,0)),""))</f>
        <v>0</v>
      </c>
      <c r="H50" s="23">
        <f>IF(A50="","",IFERROR(INDEX(Jobs!$R$5:$R$604,MATCH(A50,Jobs!$A$5:$A$604,0)),""))</f>
        <v>0</v>
      </c>
      <c r="I50" s="39">
        <f>IF(A50="","",IFERROR(INDEX(Jobs!$P$5:$P$604,MATCH(A50,Jobs!$A$5:$A$604,0)),""))</f>
        <v>0</v>
      </c>
      <c r="J50" s="21">
        <f>IF(A50="","",IF(OR(I50="Completed",I50="Invoiced"),IFERROR(INDEX(Jobs!$AJ$5:$AJ$604,MATCH(A50,Jobs!$A$5:$A$604,0)),0),0))</f>
        <v>0</v>
      </c>
      <c r="K50" s="34">
        <f>IF(A50="","",IFERROR(INDEX(Jobs!$AD$5:$AD$604,MATCH(A50,Jobs!$A$5:$A$604,0)),0))</f>
        <v>0</v>
      </c>
      <c r="L50" s="34">
        <f>IF(A50="","",IFERROR(INDEX(Jobs!$AK$5:$AK$604,MATCH(A50,Jobs!$A$5:$A$604,0)),0))</f>
        <v>0</v>
      </c>
      <c r="M50" s="34">
        <f>IF(A50="","",IF(IFERROR(L50*1,0)&gt;0,L50,IFERROR(K50*1,0)))</f>
        <v>0</v>
      </c>
      <c r="N50" s="21">
        <f>IF(A50="","",SUMIFS(Timesheets!$X$5:$X$804,Timesheets!$G$5:$G$804,A50))</f>
        <v>0</v>
      </c>
      <c r="O50" s="21">
        <f>IF(A50="","",IF(N50&gt;0,N50,ROUND(M50*CostPerHour,2)))</f>
        <v>0</v>
      </c>
      <c r="P50" s="21">
        <f>IF(A50="","",SUMIFS('Supply Usage'!$L$5:$L$304,'Supply Usage'!$F$5:$F$304,A50))</f>
        <v>0</v>
      </c>
      <c r="Q50" s="21">
        <f>IF(A50="","",IF(P50&gt;0,P50,ROUND(M50*SuppliesPerHour,2)))</f>
        <v>0</v>
      </c>
      <c r="R50" s="21">
        <f>IF(A50="","",ROUND(IFERROR(INDEX(Jobs!$W$5:$W$604,MATCH(A50,Jobs!$A$5:$A$604,0)),0)*MileageRate,2))</f>
        <v>0</v>
      </c>
      <c r="T50" s="21">
        <f>IF(A50="","",O50+Q50+R50+IF(S50="",0,S50))</f>
        <v>0</v>
      </c>
      <c r="U50" s="21">
        <f>IF(A50="","",J50-T50)</f>
        <v>0</v>
      </c>
      <c r="V50" s="38">
        <f>IF(OR(A50="",J50=0),"",U50/J50)</f>
        <v>0</v>
      </c>
      <c r="W50" s="21">
        <f>IF(OR(A50="",M50=0,J50=0),"",U50/M50)</f>
        <v>0</v>
      </c>
      <c r="X50" s="34">
        <f>IF(OR(A50="",L50="",L50=0,K50=""),"",L50-K50)</f>
        <v>0</v>
      </c>
      <c r="Y50" s="31">
        <f>IF(A50="","",COUNTIFS($U$5:$U$604,"&gt;"&amp;U50)+COUNTIFS($U$5:U50,U50))</f>
        <v>0</v>
      </c>
      <c r="Z50" s="31">
        <f>IF(A50="","",COUNTIFS($W$5:$W$604,"&gt;"&amp;W50)+COUNTIFS($W$5:W50,W50))</f>
        <v>0</v>
      </c>
      <c r="AA50" s="39">
        <f>IF(A50="","",IF(J50=0,"",IF(U50&lt;0,"Loss - this job cost you money",IF(V50&lt;MarginFloor,"Below - margin under the floor",IF(V50&lt;TargetMargin,"Check - under target margin",IF(AND(X50&lt;&gt;"",X50&gt;0.5),"Check - ran over the estimate","OK"))))))</f>
        <v>0</v>
      </c>
    </row>
    <row r="51" spans="1:27">
      <c r="A51" s="43">
        <f>IF(IFERROR(INDEX(Jobs!$A$5:$A$604,ROW()-4),"")="","",IFERROR(INDEX(Jobs!$A$5:$A$604,ROW()-4),""))</f>
        <v>0</v>
      </c>
      <c r="B51" s="18">
        <f>IF(A51="","",IFERROR(INDEX(Jobs!$B$5:$B$604,MATCH(A51,Jobs!$A$5:$A$604,0)),""))</f>
        <v>0</v>
      </c>
      <c r="C51" s="23">
        <f>IF(B51="","",TEXT(B51,"yyyy-mm"))</f>
        <v>0</v>
      </c>
      <c r="D51" s="43">
        <f>IF(A51="","",IFERROR(INDEX(Jobs!$G$5:$G$604,MATCH(A51,Jobs!$A$5:$A$604,0)),""))</f>
        <v>0</v>
      </c>
      <c r="E51" s="23">
        <f>IF(A51="","",IFERROR(INDEX(Jobs!$H$5:$H$604,MATCH(A51,Jobs!$A$5:$A$604,0)),""))</f>
        <v>0</v>
      </c>
      <c r="F51" s="23">
        <f>IF(A51="","",IFERROR(INDEX(Jobs!$K$5:$K$604,MATCH(A51,Jobs!$A$5:$A$604,0)),""))</f>
        <v>0</v>
      </c>
      <c r="G51" s="23">
        <f>IF(A51="","",IFERROR(INDEX(Jobs!$M$5:$M$604,MATCH(A51,Jobs!$A$5:$A$604,0)),""))</f>
        <v>0</v>
      </c>
      <c r="H51" s="23">
        <f>IF(A51="","",IFERROR(INDEX(Jobs!$R$5:$R$604,MATCH(A51,Jobs!$A$5:$A$604,0)),""))</f>
        <v>0</v>
      </c>
      <c r="I51" s="39">
        <f>IF(A51="","",IFERROR(INDEX(Jobs!$P$5:$P$604,MATCH(A51,Jobs!$A$5:$A$604,0)),""))</f>
        <v>0</v>
      </c>
      <c r="J51" s="21">
        <f>IF(A51="","",IF(OR(I51="Completed",I51="Invoiced"),IFERROR(INDEX(Jobs!$AJ$5:$AJ$604,MATCH(A51,Jobs!$A$5:$A$604,0)),0),0))</f>
        <v>0</v>
      </c>
      <c r="K51" s="34">
        <f>IF(A51="","",IFERROR(INDEX(Jobs!$AD$5:$AD$604,MATCH(A51,Jobs!$A$5:$A$604,0)),0))</f>
        <v>0</v>
      </c>
      <c r="L51" s="34">
        <f>IF(A51="","",IFERROR(INDEX(Jobs!$AK$5:$AK$604,MATCH(A51,Jobs!$A$5:$A$604,0)),0))</f>
        <v>0</v>
      </c>
      <c r="M51" s="34">
        <f>IF(A51="","",IF(IFERROR(L51*1,0)&gt;0,L51,IFERROR(K51*1,0)))</f>
        <v>0</v>
      </c>
      <c r="N51" s="21">
        <f>IF(A51="","",SUMIFS(Timesheets!$X$5:$X$804,Timesheets!$G$5:$G$804,A51))</f>
        <v>0</v>
      </c>
      <c r="O51" s="21">
        <f>IF(A51="","",IF(N51&gt;0,N51,ROUND(M51*CostPerHour,2)))</f>
        <v>0</v>
      </c>
      <c r="P51" s="21">
        <f>IF(A51="","",SUMIFS('Supply Usage'!$L$5:$L$304,'Supply Usage'!$F$5:$F$304,A51))</f>
        <v>0</v>
      </c>
      <c r="Q51" s="21">
        <f>IF(A51="","",IF(P51&gt;0,P51,ROUND(M51*SuppliesPerHour,2)))</f>
        <v>0</v>
      </c>
      <c r="R51" s="21">
        <f>IF(A51="","",ROUND(IFERROR(INDEX(Jobs!$W$5:$W$604,MATCH(A51,Jobs!$A$5:$A$604,0)),0)*MileageRate,2))</f>
        <v>0</v>
      </c>
      <c r="T51" s="21">
        <f>IF(A51="","",O51+Q51+R51+IF(S51="",0,S51))</f>
        <v>0</v>
      </c>
      <c r="U51" s="21">
        <f>IF(A51="","",J51-T51)</f>
        <v>0</v>
      </c>
      <c r="V51" s="38">
        <f>IF(OR(A51="",J51=0),"",U51/J51)</f>
        <v>0</v>
      </c>
      <c r="W51" s="21">
        <f>IF(OR(A51="",M51=0,J51=0),"",U51/M51)</f>
        <v>0</v>
      </c>
      <c r="X51" s="34">
        <f>IF(OR(A51="",L51="",L51=0,K51=""),"",L51-K51)</f>
        <v>0</v>
      </c>
      <c r="Y51" s="31">
        <f>IF(A51="","",COUNTIFS($U$5:$U$604,"&gt;"&amp;U51)+COUNTIFS($U$5:U51,U51))</f>
        <v>0</v>
      </c>
      <c r="Z51" s="31">
        <f>IF(A51="","",COUNTIFS($W$5:$W$604,"&gt;"&amp;W51)+COUNTIFS($W$5:W51,W51))</f>
        <v>0</v>
      </c>
      <c r="AA51" s="39">
        <f>IF(A51="","",IF(J51=0,"",IF(U51&lt;0,"Loss - this job cost you money",IF(V51&lt;MarginFloor,"Below - margin under the floor",IF(V51&lt;TargetMargin,"Check - under target margin",IF(AND(X51&lt;&gt;"",X51&gt;0.5),"Check - ran over the estimate","OK"))))))</f>
        <v>0</v>
      </c>
    </row>
    <row r="52" spans="1:27">
      <c r="A52" s="43">
        <f>IF(IFERROR(INDEX(Jobs!$A$5:$A$604,ROW()-4),"")="","",IFERROR(INDEX(Jobs!$A$5:$A$604,ROW()-4),""))</f>
        <v>0</v>
      </c>
      <c r="B52" s="18">
        <f>IF(A52="","",IFERROR(INDEX(Jobs!$B$5:$B$604,MATCH(A52,Jobs!$A$5:$A$604,0)),""))</f>
        <v>0</v>
      </c>
      <c r="C52" s="23">
        <f>IF(B52="","",TEXT(B52,"yyyy-mm"))</f>
        <v>0</v>
      </c>
      <c r="D52" s="43">
        <f>IF(A52="","",IFERROR(INDEX(Jobs!$G$5:$G$604,MATCH(A52,Jobs!$A$5:$A$604,0)),""))</f>
        <v>0</v>
      </c>
      <c r="E52" s="23">
        <f>IF(A52="","",IFERROR(INDEX(Jobs!$H$5:$H$604,MATCH(A52,Jobs!$A$5:$A$604,0)),""))</f>
        <v>0</v>
      </c>
      <c r="F52" s="23">
        <f>IF(A52="","",IFERROR(INDEX(Jobs!$K$5:$K$604,MATCH(A52,Jobs!$A$5:$A$604,0)),""))</f>
        <v>0</v>
      </c>
      <c r="G52" s="23">
        <f>IF(A52="","",IFERROR(INDEX(Jobs!$M$5:$M$604,MATCH(A52,Jobs!$A$5:$A$604,0)),""))</f>
        <v>0</v>
      </c>
      <c r="H52" s="23">
        <f>IF(A52="","",IFERROR(INDEX(Jobs!$R$5:$R$604,MATCH(A52,Jobs!$A$5:$A$604,0)),""))</f>
        <v>0</v>
      </c>
      <c r="I52" s="39">
        <f>IF(A52="","",IFERROR(INDEX(Jobs!$P$5:$P$604,MATCH(A52,Jobs!$A$5:$A$604,0)),""))</f>
        <v>0</v>
      </c>
      <c r="J52" s="21">
        <f>IF(A52="","",IF(OR(I52="Completed",I52="Invoiced"),IFERROR(INDEX(Jobs!$AJ$5:$AJ$604,MATCH(A52,Jobs!$A$5:$A$604,0)),0),0))</f>
        <v>0</v>
      </c>
      <c r="K52" s="34">
        <f>IF(A52="","",IFERROR(INDEX(Jobs!$AD$5:$AD$604,MATCH(A52,Jobs!$A$5:$A$604,0)),0))</f>
        <v>0</v>
      </c>
      <c r="L52" s="34">
        <f>IF(A52="","",IFERROR(INDEX(Jobs!$AK$5:$AK$604,MATCH(A52,Jobs!$A$5:$A$604,0)),0))</f>
        <v>0</v>
      </c>
      <c r="M52" s="34">
        <f>IF(A52="","",IF(IFERROR(L52*1,0)&gt;0,L52,IFERROR(K52*1,0)))</f>
        <v>0</v>
      </c>
      <c r="N52" s="21">
        <f>IF(A52="","",SUMIFS(Timesheets!$X$5:$X$804,Timesheets!$G$5:$G$804,A52))</f>
        <v>0</v>
      </c>
      <c r="O52" s="21">
        <f>IF(A52="","",IF(N52&gt;0,N52,ROUND(M52*CostPerHour,2)))</f>
        <v>0</v>
      </c>
      <c r="P52" s="21">
        <f>IF(A52="","",SUMIFS('Supply Usage'!$L$5:$L$304,'Supply Usage'!$F$5:$F$304,A52))</f>
        <v>0</v>
      </c>
      <c r="Q52" s="21">
        <f>IF(A52="","",IF(P52&gt;0,P52,ROUND(M52*SuppliesPerHour,2)))</f>
        <v>0</v>
      </c>
      <c r="R52" s="21">
        <f>IF(A52="","",ROUND(IFERROR(INDEX(Jobs!$W$5:$W$604,MATCH(A52,Jobs!$A$5:$A$604,0)),0)*MileageRate,2))</f>
        <v>0</v>
      </c>
      <c r="T52" s="21">
        <f>IF(A52="","",O52+Q52+R52+IF(S52="",0,S52))</f>
        <v>0</v>
      </c>
      <c r="U52" s="21">
        <f>IF(A52="","",J52-T52)</f>
        <v>0</v>
      </c>
      <c r="V52" s="38">
        <f>IF(OR(A52="",J52=0),"",U52/J52)</f>
        <v>0</v>
      </c>
      <c r="W52" s="21">
        <f>IF(OR(A52="",M52=0,J52=0),"",U52/M52)</f>
        <v>0</v>
      </c>
      <c r="X52" s="34">
        <f>IF(OR(A52="",L52="",L52=0,K52=""),"",L52-K52)</f>
        <v>0</v>
      </c>
      <c r="Y52" s="31">
        <f>IF(A52="","",COUNTIFS($U$5:$U$604,"&gt;"&amp;U52)+COUNTIFS($U$5:U52,U52))</f>
        <v>0</v>
      </c>
      <c r="Z52" s="31">
        <f>IF(A52="","",COUNTIFS($W$5:$W$604,"&gt;"&amp;W52)+COUNTIFS($W$5:W52,W52))</f>
        <v>0</v>
      </c>
      <c r="AA52" s="39">
        <f>IF(A52="","",IF(J52=0,"",IF(U52&lt;0,"Loss - this job cost you money",IF(V52&lt;MarginFloor,"Below - margin under the floor",IF(V52&lt;TargetMargin,"Check - under target margin",IF(AND(X52&lt;&gt;"",X52&gt;0.5),"Check - ran over the estimate","OK"))))))</f>
        <v>0</v>
      </c>
    </row>
    <row r="53" spans="1:27">
      <c r="A53" s="43">
        <f>IF(IFERROR(INDEX(Jobs!$A$5:$A$604,ROW()-4),"")="","",IFERROR(INDEX(Jobs!$A$5:$A$604,ROW()-4),""))</f>
        <v>0</v>
      </c>
      <c r="B53" s="18">
        <f>IF(A53="","",IFERROR(INDEX(Jobs!$B$5:$B$604,MATCH(A53,Jobs!$A$5:$A$604,0)),""))</f>
        <v>0</v>
      </c>
      <c r="C53" s="23">
        <f>IF(B53="","",TEXT(B53,"yyyy-mm"))</f>
        <v>0</v>
      </c>
      <c r="D53" s="43">
        <f>IF(A53="","",IFERROR(INDEX(Jobs!$G$5:$G$604,MATCH(A53,Jobs!$A$5:$A$604,0)),""))</f>
        <v>0</v>
      </c>
      <c r="E53" s="23">
        <f>IF(A53="","",IFERROR(INDEX(Jobs!$H$5:$H$604,MATCH(A53,Jobs!$A$5:$A$604,0)),""))</f>
        <v>0</v>
      </c>
      <c r="F53" s="23">
        <f>IF(A53="","",IFERROR(INDEX(Jobs!$K$5:$K$604,MATCH(A53,Jobs!$A$5:$A$604,0)),""))</f>
        <v>0</v>
      </c>
      <c r="G53" s="23">
        <f>IF(A53="","",IFERROR(INDEX(Jobs!$M$5:$M$604,MATCH(A53,Jobs!$A$5:$A$604,0)),""))</f>
        <v>0</v>
      </c>
      <c r="H53" s="23">
        <f>IF(A53="","",IFERROR(INDEX(Jobs!$R$5:$R$604,MATCH(A53,Jobs!$A$5:$A$604,0)),""))</f>
        <v>0</v>
      </c>
      <c r="I53" s="39">
        <f>IF(A53="","",IFERROR(INDEX(Jobs!$P$5:$P$604,MATCH(A53,Jobs!$A$5:$A$604,0)),""))</f>
        <v>0</v>
      </c>
      <c r="J53" s="21">
        <f>IF(A53="","",IF(OR(I53="Completed",I53="Invoiced"),IFERROR(INDEX(Jobs!$AJ$5:$AJ$604,MATCH(A53,Jobs!$A$5:$A$604,0)),0),0))</f>
        <v>0</v>
      </c>
      <c r="K53" s="34">
        <f>IF(A53="","",IFERROR(INDEX(Jobs!$AD$5:$AD$604,MATCH(A53,Jobs!$A$5:$A$604,0)),0))</f>
        <v>0</v>
      </c>
      <c r="L53" s="34">
        <f>IF(A53="","",IFERROR(INDEX(Jobs!$AK$5:$AK$604,MATCH(A53,Jobs!$A$5:$A$604,0)),0))</f>
        <v>0</v>
      </c>
      <c r="M53" s="34">
        <f>IF(A53="","",IF(IFERROR(L53*1,0)&gt;0,L53,IFERROR(K53*1,0)))</f>
        <v>0</v>
      </c>
      <c r="N53" s="21">
        <f>IF(A53="","",SUMIFS(Timesheets!$X$5:$X$804,Timesheets!$G$5:$G$804,A53))</f>
        <v>0</v>
      </c>
      <c r="O53" s="21">
        <f>IF(A53="","",IF(N53&gt;0,N53,ROUND(M53*CostPerHour,2)))</f>
        <v>0</v>
      </c>
      <c r="P53" s="21">
        <f>IF(A53="","",SUMIFS('Supply Usage'!$L$5:$L$304,'Supply Usage'!$F$5:$F$304,A53))</f>
        <v>0</v>
      </c>
      <c r="Q53" s="21">
        <f>IF(A53="","",IF(P53&gt;0,P53,ROUND(M53*SuppliesPerHour,2)))</f>
        <v>0</v>
      </c>
      <c r="R53" s="21">
        <f>IF(A53="","",ROUND(IFERROR(INDEX(Jobs!$W$5:$W$604,MATCH(A53,Jobs!$A$5:$A$604,0)),0)*MileageRate,2))</f>
        <v>0</v>
      </c>
      <c r="T53" s="21">
        <f>IF(A53="","",O53+Q53+R53+IF(S53="",0,S53))</f>
        <v>0</v>
      </c>
      <c r="U53" s="21">
        <f>IF(A53="","",J53-T53)</f>
        <v>0</v>
      </c>
      <c r="V53" s="38">
        <f>IF(OR(A53="",J53=0),"",U53/J53)</f>
        <v>0</v>
      </c>
      <c r="W53" s="21">
        <f>IF(OR(A53="",M53=0,J53=0),"",U53/M53)</f>
        <v>0</v>
      </c>
      <c r="X53" s="34">
        <f>IF(OR(A53="",L53="",L53=0,K53=""),"",L53-K53)</f>
        <v>0</v>
      </c>
      <c r="Y53" s="31">
        <f>IF(A53="","",COUNTIFS($U$5:$U$604,"&gt;"&amp;U53)+COUNTIFS($U$5:U53,U53))</f>
        <v>0</v>
      </c>
      <c r="Z53" s="31">
        <f>IF(A53="","",COUNTIFS($W$5:$W$604,"&gt;"&amp;W53)+COUNTIFS($W$5:W53,W53))</f>
        <v>0</v>
      </c>
      <c r="AA53" s="39">
        <f>IF(A53="","",IF(J53=0,"",IF(U53&lt;0,"Loss - this job cost you money",IF(V53&lt;MarginFloor,"Below - margin under the floor",IF(V53&lt;TargetMargin,"Check - under target margin",IF(AND(X53&lt;&gt;"",X53&gt;0.5),"Check - ran over the estimate","OK"))))))</f>
        <v>0</v>
      </c>
    </row>
    <row r="54" spans="1:27">
      <c r="A54" s="43">
        <f>IF(IFERROR(INDEX(Jobs!$A$5:$A$604,ROW()-4),"")="","",IFERROR(INDEX(Jobs!$A$5:$A$604,ROW()-4),""))</f>
        <v>0</v>
      </c>
      <c r="B54" s="18">
        <f>IF(A54="","",IFERROR(INDEX(Jobs!$B$5:$B$604,MATCH(A54,Jobs!$A$5:$A$604,0)),""))</f>
        <v>0</v>
      </c>
      <c r="C54" s="23">
        <f>IF(B54="","",TEXT(B54,"yyyy-mm"))</f>
        <v>0</v>
      </c>
      <c r="D54" s="43">
        <f>IF(A54="","",IFERROR(INDEX(Jobs!$G$5:$G$604,MATCH(A54,Jobs!$A$5:$A$604,0)),""))</f>
        <v>0</v>
      </c>
      <c r="E54" s="23">
        <f>IF(A54="","",IFERROR(INDEX(Jobs!$H$5:$H$604,MATCH(A54,Jobs!$A$5:$A$604,0)),""))</f>
        <v>0</v>
      </c>
      <c r="F54" s="23">
        <f>IF(A54="","",IFERROR(INDEX(Jobs!$K$5:$K$604,MATCH(A54,Jobs!$A$5:$A$604,0)),""))</f>
        <v>0</v>
      </c>
      <c r="G54" s="23">
        <f>IF(A54="","",IFERROR(INDEX(Jobs!$M$5:$M$604,MATCH(A54,Jobs!$A$5:$A$604,0)),""))</f>
        <v>0</v>
      </c>
      <c r="H54" s="23">
        <f>IF(A54="","",IFERROR(INDEX(Jobs!$R$5:$R$604,MATCH(A54,Jobs!$A$5:$A$604,0)),""))</f>
        <v>0</v>
      </c>
      <c r="I54" s="39">
        <f>IF(A54="","",IFERROR(INDEX(Jobs!$P$5:$P$604,MATCH(A54,Jobs!$A$5:$A$604,0)),""))</f>
        <v>0</v>
      </c>
      <c r="J54" s="21">
        <f>IF(A54="","",IF(OR(I54="Completed",I54="Invoiced"),IFERROR(INDEX(Jobs!$AJ$5:$AJ$604,MATCH(A54,Jobs!$A$5:$A$604,0)),0),0))</f>
        <v>0</v>
      </c>
      <c r="K54" s="34">
        <f>IF(A54="","",IFERROR(INDEX(Jobs!$AD$5:$AD$604,MATCH(A54,Jobs!$A$5:$A$604,0)),0))</f>
        <v>0</v>
      </c>
      <c r="L54" s="34">
        <f>IF(A54="","",IFERROR(INDEX(Jobs!$AK$5:$AK$604,MATCH(A54,Jobs!$A$5:$A$604,0)),0))</f>
        <v>0</v>
      </c>
      <c r="M54" s="34">
        <f>IF(A54="","",IF(IFERROR(L54*1,0)&gt;0,L54,IFERROR(K54*1,0)))</f>
        <v>0</v>
      </c>
      <c r="N54" s="21">
        <f>IF(A54="","",SUMIFS(Timesheets!$X$5:$X$804,Timesheets!$G$5:$G$804,A54))</f>
        <v>0</v>
      </c>
      <c r="O54" s="21">
        <f>IF(A54="","",IF(N54&gt;0,N54,ROUND(M54*CostPerHour,2)))</f>
        <v>0</v>
      </c>
      <c r="P54" s="21">
        <f>IF(A54="","",SUMIFS('Supply Usage'!$L$5:$L$304,'Supply Usage'!$F$5:$F$304,A54))</f>
        <v>0</v>
      </c>
      <c r="Q54" s="21">
        <f>IF(A54="","",IF(P54&gt;0,P54,ROUND(M54*SuppliesPerHour,2)))</f>
        <v>0</v>
      </c>
      <c r="R54" s="21">
        <f>IF(A54="","",ROUND(IFERROR(INDEX(Jobs!$W$5:$W$604,MATCH(A54,Jobs!$A$5:$A$604,0)),0)*MileageRate,2))</f>
        <v>0</v>
      </c>
      <c r="T54" s="21">
        <f>IF(A54="","",O54+Q54+R54+IF(S54="",0,S54))</f>
        <v>0</v>
      </c>
      <c r="U54" s="21">
        <f>IF(A54="","",J54-T54)</f>
        <v>0</v>
      </c>
      <c r="V54" s="38">
        <f>IF(OR(A54="",J54=0),"",U54/J54)</f>
        <v>0</v>
      </c>
      <c r="W54" s="21">
        <f>IF(OR(A54="",M54=0,J54=0),"",U54/M54)</f>
        <v>0</v>
      </c>
      <c r="X54" s="34">
        <f>IF(OR(A54="",L54="",L54=0,K54=""),"",L54-K54)</f>
        <v>0</v>
      </c>
      <c r="Y54" s="31">
        <f>IF(A54="","",COUNTIFS($U$5:$U$604,"&gt;"&amp;U54)+COUNTIFS($U$5:U54,U54))</f>
        <v>0</v>
      </c>
      <c r="Z54" s="31">
        <f>IF(A54="","",COUNTIFS($W$5:$W$604,"&gt;"&amp;W54)+COUNTIFS($W$5:W54,W54))</f>
        <v>0</v>
      </c>
      <c r="AA54" s="39">
        <f>IF(A54="","",IF(J54=0,"",IF(U54&lt;0,"Loss - this job cost you money",IF(V54&lt;MarginFloor,"Below - margin under the floor",IF(V54&lt;TargetMargin,"Check - under target margin",IF(AND(X54&lt;&gt;"",X54&gt;0.5),"Check - ran over the estimate","OK"))))))</f>
        <v>0</v>
      </c>
    </row>
    <row r="55" spans="1:27">
      <c r="A55" s="43">
        <f>IF(IFERROR(INDEX(Jobs!$A$5:$A$604,ROW()-4),"")="","",IFERROR(INDEX(Jobs!$A$5:$A$604,ROW()-4),""))</f>
        <v>0</v>
      </c>
      <c r="B55" s="18">
        <f>IF(A55="","",IFERROR(INDEX(Jobs!$B$5:$B$604,MATCH(A55,Jobs!$A$5:$A$604,0)),""))</f>
        <v>0</v>
      </c>
      <c r="C55" s="23">
        <f>IF(B55="","",TEXT(B55,"yyyy-mm"))</f>
        <v>0</v>
      </c>
      <c r="D55" s="43">
        <f>IF(A55="","",IFERROR(INDEX(Jobs!$G$5:$G$604,MATCH(A55,Jobs!$A$5:$A$604,0)),""))</f>
        <v>0</v>
      </c>
      <c r="E55" s="23">
        <f>IF(A55="","",IFERROR(INDEX(Jobs!$H$5:$H$604,MATCH(A55,Jobs!$A$5:$A$604,0)),""))</f>
        <v>0</v>
      </c>
      <c r="F55" s="23">
        <f>IF(A55="","",IFERROR(INDEX(Jobs!$K$5:$K$604,MATCH(A55,Jobs!$A$5:$A$604,0)),""))</f>
        <v>0</v>
      </c>
      <c r="G55" s="23">
        <f>IF(A55="","",IFERROR(INDEX(Jobs!$M$5:$M$604,MATCH(A55,Jobs!$A$5:$A$604,0)),""))</f>
        <v>0</v>
      </c>
      <c r="H55" s="23">
        <f>IF(A55="","",IFERROR(INDEX(Jobs!$R$5:$R$604,MATCH(A55,Jobs!$A$5:$A$604,0)),""))</f>
        <v>0</v>
      </c>
      <c r="I55" s="39">
        <f>IF(A55="","",IFERROR(INDEX(Jobs!$P$5:$P$604,MATCH(A55,Jobs!$A$5:$A$604,0)),""))</f>
        <v>0</v>
      </c>
      <c r="J55" s="21">
        <f>IF(A55="","",IF(OR(I55="Completed",I55="Invoiced"),IFERROR(INDEX(Jobs!$AJ$5:$AJ$604,MATCH(A55,Jobs!$A$5:$A$604,0)),0),0))</f>
        <v>0</v>
      </c>
      <c r="K55" s="34">
        <f>IF(A55="","",IFERROR(INDEX(Jobs!$AD$5:$AD$604,MATCH(A55,Jobs!$A$5:$A$604,0)),0))</f>
        <v>0</v>
      </c>
      <c r="L55" s="34">
        <f>IF(A55="","",IFERROR(INDEX(Jobs!$AK$5:$AK$604,MATCH(A55,Jobs!$A$5:$A$604,0)),0))</f>
        <v>0</v>
      </c>
      <c r="M55" s="34">
        <f>IF(A55="","",IF(IFERROR(L55*1,0)&gt;0,L55,IFERROR(K55*1,0)))</f>
        <v>0</v>
      </c>
      <c r="N55" s="21">
        <f>IF(A55="","",SUMIFS(Timesheets!$X$5:$X$804,Timesheets!$G$5:$G$804,A55))</f>
        <v>0</v>
      </c>
      <c r="O55" s="21">
        <f>IF(A55="","",IF(N55&gt;0,N55,ROUND(M55*CostPerHour,2)))</f>
        <v>0</v>
      </c>
      <c r="P55" s="21">
        <f>IF(A55="","",SUMIFS('Supply Usage'!$L$5:$L$304,'Supply Usage'!$F$5:$F$304,A55))</f>
        <v>0</v>
      </c>
      <c r="Q55" s="21">
        <f>IF(A55="","",IF(P55&gt;0,P55,ROUND(M55*SuppliesPerHour,2)))</f>
        <v>0</v>
      </c>
      <c r="R55" s="21">
        <f>IF(A55="","",ROUND(IFERROR(INDEX(Jobs!$W$5:$W$604,MATCH(A55,Jobs!$A$5:$A$604,0)),0)*MileageRate,2))</f>
        <v>0</v>
      </c>
      <c r="T55" s="21">
        <f>IF(A55="","",O55+Q55+R55+IF(S55="",0,S55))</f>
        <v>0</v>
      </c>
      <c r="U55" s="21">
        <f>IF(A55="","",J55-T55)</f>
        <v>0</v>
      </c>
      <c r="V55" s="38">
        <f>IF(OR(A55="",J55=0),"",U55/J55)</f>
        <v>0</v>
      </c>
      <c r="W55" s="21">
        <f>IF(OR(A55="",M55=0,J55=0),"",U55/M55)</f>
        <v>0</v>
      </c>
      <c r="X55" s="34">
        <f>IF(OR(A55="",L55="",L55=0,K55=""),"",L55-K55)</f>
        <v>0</v>
      </c>
      <c r="Y55" s="31">
        <f>IF(A55="","",COUNTIFS($U$5:$U$604,"&gt;"&amp;U55)+COUNTIFS($U$5:U55,U55))</f>
        <v>0</v>
      </c>
      <c r="Z55" s="31">
        <f>IF(A55="","",COUNTIFS($W$5:$W$604,"&gt;"&amp;W55)+COUNTIFS($W$5:W55,W55))</f>
        <v>0</v>
      </c>
      <c r="AA55" s="39">
        <f>IF(A55="","",IF(J55=0,"",IF(U55&lt;0,"Loss - this job cost you money",IF(V55&lt;MarginFloor,"Below - margin under the floor",IF(V55&lt;TargetMargin,"Check - under target margin",IF(AND(X55&lt;&gt;"",X55&gt;0.5),"Check - ran over the estimate","OK"))))))</f>
        <v>0</v>
      </c>
    </row>
    <row r="56" spans="1:27">
      <c r="A56" s="43">
        <f>IF(IFERROR(INDEX(Jobs!$A$5:$A$604,ROW()-4),"")="","",IFERROR(INDEX(Jobs!$A$5:$A$604,ROW()-4),""))</f>
        <v>0</v>
      </c>
      <c r="B56" s="18">
        <f>IF(A56="","",IFERROR(INDEX(Jobs!$B$5:$B$604,MATCH(A56,Jobs!$A$5:$A$604,0)),""))</f>
        <v>0</v>
      </c>
      <c r="C56" s="23">
        <f>IF(B56="","",TEXT(B56,"yyyy-mm"))</f>
        <v>0</v>
      </c>
      <c r="D56" s="43">
        <f>IF(A56="","",IFERROR(INDEX(Jobs!$G$5:$G$604,MATCH(A56,Jobs!$A$5:$A$604,0)),""))</f>
        <v>0</v>
      </c>
      <c r="E56" s="23">
        <f>IF(A56="","",IFERROR(INDEX(Jobs!$H$5:$H$604,MATCH(A56,Jobs!$A$5:$A$604,0)),""))</f>
        <v>0</v>
      </c>
      <c r="F56" s="23">
        <f>IF(A56="","",IFERROR(INDEX(Jobs!$K$5:$K$604,MATCH(A56,Jobs!$A$5:$A$604,0)),""))</f>
        <v>0</v>
      </c>
      <c r="G56" s="23">
        <f>IF(A56="","",IFERROR(INDEX(Jobs!$M$5:$M$604,MATCH(A56,Jobs!$A$5:$A$604,0)),""))</f>
        <v>0</v>
      </c>
      <c r="H56" s="23">
        <f>IF(A56="","",IFERROR(INDEX(Jobs!$R$5:$R$604,MATCH(A56,Jobs!$A$5:$A$604,0)),""))</f>
        <v>0</v>
      </c>
      <c r="I56" s="39">
        <f>IF(A56="","",IFERROR(INDEX(Jobs!$P$5:$P$604,MATCH(A56,Jobs!$A$5:$A$604,0)),""))</f>
        <v>0</v>
      </c>
      <c r="J56" s="21">
        <f>IF(A56="","",IF(OR(I56="Completed",I56="Invoiced"),IFERROR(INDEX(Jobs!$AJ$5:$AJ$604,MATCH(A56,Jobs!$A$5:$A$604,0)),0),0))</f>
        <v>0</v>
      </c>
      <c r="K56" s="34">
        <f>IF(A56="","",IFERROR(INDEX(Jobs!$AD$5:$AD$604,MATCH(A56,Jobs!$A$5:$A$604,0)),0))</f>
        <v>0</v>
      </c>
      <c r="L56" s="34">
        <f>IF(A56="","",IFERROR(INDEX(Jobs!$AK$5:$AK$604,MATCH(A56,Jobs!$A$5:$A$604,0)),0))</f>
        <v>0</v>
      </c>
      <c r="M56" s="34">
        <f>IF(A56="","",IF(IFERROR(L56*1,0)&gt;0,L56,IFERROR(K56*1,0)))</f>
        <v>0</v>
      </c>
      <c r="N56" s="21">
        <f>IF(A56="","",SUMIFS(Timesheets!$X$5:$X$804,Timesheets!$G$5:$G$804,A56))</f>
        <v>0</v>
      </c>
      <c r="O56" s="21">
        <f>IF(A56="","",IF(N56&gt;0,N56,ROUND(M56*CostPerHour,2)))</f>
        <v>0</v>
      </c>
      <c r="P56" s="21">
        <f>IF(A56="","",SUMIFS('Supply Usage'!$L$5:$L$304,'Supply Usage'!$F$5:$F$304,A56))</f>
        <v>0</v>
      </c>
      <c r="Q56" s="21">
        <f>IF(A56="","",IF(P56&gt;0,P56,ROUND(M56*SuppliesPerHour,2)))</f>
        <v>0</v>
      </c>
      <c r="R56" s="21">
        <f>IF(A56="","",ROUND(IFERROR(INDEX(Jobs!$W$5:$W$604,MATCH(A56,Jobs!$A$5:$A$604,0)),0)*MileageRate,2))</f>
        <v>0</v>
      </c>
      <c r="T56" s="21">
        <f>IF(A56="","",O56+Q56+R56+IF(S56="",0,S56))</f>
        <v>0</v>
      </c>
      <c r="U56" s="21">
        <f>IF(A56="","",J56-T56)</f>
        <v>0</v>
      </c>
      <c r="V56" s="38">
        <f>IF(OR(A56="",J56=0),"",U56/J56)</f>
        <v>0</v>
      </c>
      <c r="W56" s="21">
        <f>IF(OR(A56="",M56=0,J56=0),"",U56/M56)</f>
        <v>0</v>
      </c>
      <c r="X56" s="34">
        <f>IF(OR(A56="",L56="",L56=0,K56=""),"",L56-K56)</f>
        <v>0</v>
      </c>
      <c r="Y56" s="31">
        <f>IF(A56="","",COUNTIFS($U$5:$U$604,"&gt;"&amp;U56)+COUNTIFS($U$5:U56,U56))</f>
        <v>0</v>
      </c>
      <c r="Z56" s="31">
        <f>IF(A56="","",COUNTIFS($W$5:$W$604,"&gt;"&amp;W56)+COUNTIFS($W$5:W56,W56))</f>
        <v>0</v>
      </c>
      <c r="AA56" s="39">
        <f>IF(A56="","",IF(J56=0,"",IF(U56&lt;0,"Loss - this job cost you money",IF(V56&lt;MarginFloor,"Below - margin under the floor",IF(V56&lt;TargetMargin,"Check - under target margin",IF(AND(X56&lt;&gt;"",X56&gt;0.5),"Check - ran over the estimate","OK"))))))</f>
        <v>0</v>
      </c>
    </row>
    <row r="57" spans="1:27">
      <c r="A57" s="43">
        <f>IF(IFERROR(INDEX(Jobs!$A$5:$A$604,ROW()-4),"")="","",IFERROR(INDEX(Jobs!$A$5:$A$604,ROW()-4),""))</f>
        <v>0</v>
      </c>
      <c r="B57" s="18">
        <f>IF(A57="","",IFERROR(INDEX(Jobs!$B$5:$B$604,MATCH(A57,Jobs!$A$5:$A$604,0)),""))</f>
        <v>0</v>
      </c>
      <c r="C57" s="23">
        <f>IF(B57="","",TEXT(B57,"yyyy-mm"))</f>
        <v>0</v>
      </c>
      <c r="D57" s="43">
        <f>IF(A57="","",IFERROR(INDEX(Jobs!$G$5:$G$604,MATCH(A57,Jobs!$A$5:$A$604,0)),""))</f>
        <v>0</v>
      </c>
      <c r="E57" s="23">
        <f>IF(A57="","",IFERROR(INDEX(Jobs!$H$5:$H$604,MATCH(A57,Jobs!$A$5:$A$604,0)),""))</f>
        <v>0</v>
      </c>
      <c r="F57" s="23">
        <f>IF(A57="","",IFERROR(INDEX(Jobs!$K$5:$K$604,MATCH(A57,Jobs!$A$5:$A$604,0)),""))</f>
        <v>0</v>
      </c>
      <c r="G57" s="23">
        <f>IF(A57="","",IFERROR(INDEX(Jobs!$M$5:$M$604,MATCH(A57,Jobs!$A$5:$A$604,0)),""))</f>
        <v>0</v>
      </c>
      <c r="H57" s="23">
        <f>IF(A57="","",IFERROR(INDEX(Jobs!$R$5:$R$604,MATCH(A57,Jobs!$A$5:$A$604,0)),""))</f>
        <v>0</v>
      </c>
      <c r="I57" s="39">
        <f>IF(A57="","",IFERROR(INDEX(Jobs!$P$5:$P$604,MATCH(A57,Jobs!$A$5:$A$604,0)),""))</f>
        <v>0</v>
      </c>
      <c r="J57" s="21">
        <f>IF(A57="","",IF(OR(I57="Completed",I57="Invoiced"),IFERROR(INDEX(Jobs!$AJ$5:$AJ$604,MATCH(A57,Jobs!$A$5:$A$604,0)),0),0))</f>
        <v>0</v>
      </c>
      <c r="K57" s="34">
        <f>IF(A57="","",IFERROR(INDEX(Jobs!$AD$5:$AD$604,MATCH(A57,Jobs!$A$5:$A$604,0)),0))</f>
        <v>0</v>
      </c>
      <c r="L57" s="34">
        <f>IF(A57="","",IFERROR(INDEX(Jobs!$AK$5:$AK$604,MATCH(A57,Jobs!$A$5:$A$604,0)),0))</f>
        <v>0</v>
      </c>
      <c r="M57" s="34">
        <f>IF(A57="","",IF(IFERROR(L57*1,0)&gt;0,L57,IFERROR(K57*1,0)))</f>
        <v>0</v>
      </c>
      <c r="N57" s="21">
        <f>IF(A57="","",SUMIFS(Timesheets!$X$5:$X$804,Timesheets!$G$5:$G$804,A57))</f>
        <v>0</v>
      </c>
      <c r="O57" s="21">
        <f>IF(A57="","",IF(N57&gt;0,N57,ROUND(M57*CostPerHour,2)))</f>
        <v>0</v>
      </c>
      <c r="P57" s="21">
        <f>IF(A57="","",SUMIFS('Supply Usage'!$L$5:$L$304,'Supply Usage'!$F$5:$F$304,A57))</f>
        <v>0</v>
      </c>
      <c r="Q57" s="21">
        <f>IF(A57="","",IF(P57&gt;0,P57,ROUND(M57*SuppliesPerHour,2)))</f>
        <v>0</v>
      </c>
      <c r="R57" s="21">
        <f>IF(A57="","",ROUND(IFERROR(INDEX(Jobs!$W$5:$W$604,MATCH(A57,Jobs!$A$5:$A$604,0)),0)*MileageRate,2))</f>
        <v>0</v>
      </c>
      <c r="T57" s="21">
        <f>IF(A57="","",O57+Q57+R57+IF(S57="",0,S57))</f>
        <v>0</v>
      </c>
      <c r="U57" s="21">
        <f>IF(A57="","",J57-T57)</f>
        <v>0</v>
      </c>
      <c r="V57" s="38">
        <f>IF(OR(A57="",J57=0),"",U57/J57)</f>
        <v>0</v>
      </c>
      <c r="W57" s="21">
        <f>IF(OR(A57="",M57=0,J57=0),"",U57/M57)</f>
        <v>0</v>
      </c>
      <c r="X57" s="34">
        <f>IF(OR(A57="",L57="",L57=0,K57=""),"",L57-K57)</f>
        <v>0</v>
      </c>
      <c r="Y57" s="31">
        <f>IF(A57="","",COUNTIFS($U$5:$U$604,"&gt;"&amp;U57)+COUNTIFS($U$5:U57,U57))</f>
        <v>0</v>
      </c>
      <c r="Z57" s="31">
        <f>IF(A57="","",COUNTIFS($W$5:$W$604,"&gt;"&amp;W57)+COUNTIFS($W$5:W57,W57))</f>
        <v>0</v>
      </c>
      <c r="AA57" s="39">
        <f>IF(A57="","",IF(J57=0,"",IF(U57&lt;0,"Loss - this job cost you money",IF(V57&lt;MarginFloor,"Below - margin under the floor",IF(V57&lt;TargetMargin,"Check - under target margin",IF(AND(X57&lt;&gt;"",X57&gt;0.5),"Check - ran over the estimate","OK"))))))</f>
        <v>0</v>
      </c>
    </row>
    <row r="58" spans="1:27">
      <c r="A58" s="43">
        <f>IF(IFERROR(INDEX(Jobs!$A$5:$A$604,ROW()-4),"")="","",IFERROR(INDEX(Jobs!$A$5:$A$604,ROW()-4),""))</f>
        <v>0</v>
      </c>
      <c r="B58" s="18">
        <f>IF(A58="","",IFERROR(INDEX(Jobs!$B$5:$B$604,MATCH(A58,Jobs!$A$5:$A$604,0)),""))</f>
        <v>0</v>
      </c>
      <c r="C58" s="23">
        <f>IF(B58="","",TEXT(B58,"yyyy-mm"))</f>
        <v>0</v>
      </c>
      <c r="D58" s="43">
        <f>IF(A58="","",IFERROR(INDEX(Jobs!$G$5:$G$604,MATCH(A58,Jobs!$A$5:$A$604,0)),""))</f>
        <v>0</v>
      </c>
      <c r="E58" s="23">
        <f>IF(A58="","",IFERROR(INDEX(Jobs!$H$5:$H$604,MATCH(A58,Jobs!$A$5:$A$604,0)),""))</f>
        <v>0</v>
      </c>
      <c r="F58" s="23">
        <f>IF(A58="","",IFERROR(INDEX(Jobs!$K$5:$K$604,MATCH(A58,Jobs!$A$5:$A$604,0)),""))</f>
        <v>0</v>
      </c>
      <c r="G58" s="23">
        <f>IF(A58="","",IFERROR(INDEX(Jobs!$M$5:$M$604,MATCH(A58,Jobs!$A$5:$A$604,0)),""))</f>
        <v>0</v>
      </c>
      <c r="H58" s="23">
        <f>IF(A58="","",IFERROR(INDEX(Jobs!$R$5:$R$604,MATCH(A58,Jobs!$A$5:$A$604,0)),""))</f>
        <v>0</v>
      </c>
      <c r="I58" s="39">
        <f>IF(A58="","",IFERROR(INDEX(Jobs!$P$5:$P$604,MATCH(A58,Jobs!$A$5:$A$604,0)),""))</f>
        <v>0</v>
      </c>
      <c r="J58" s="21">
        <f>IF(A58="","",IF(OR(I58="Completed",I58="Invoiced"),IFERROR(INDEX(Jobs!$AJ$5:$AJ$604,MATCH(A58,Jobs!$A$5:$A$604,0)),0),0))</f>
        <v>0</v>
      </c>
      <c r="K58" s="34">
        <f>IF(A58="","",IFERROR(INDEX(Jobs!$AD$5:$AD$604,MATCH(A58,Jobs!$A$5:$A$604,0)),0))</f>
        <v>0</v>
      </c>
      <c r="L58" s="34">
        <f>IF(A58="","",IFERROR(INDEX(Jobs!$AK$5:$AK$604,MATCH(A58,Jobs!$A$5:$A$604,0)),0))</f>
        <v>0</v>
      </c>
      <c r="M58" s="34">
        <f>IF(A58="","",IF(IFERROR(L58*1,0)&gt;0,L58,IFERROR(K58*1,0)))</f>
        <v>0</v>
      </c>
      <c r="N58" s="21">
        <f>IF(A58="","",SUMIFS(Timesheets!$X$5:$X$804,Timesheets!$G$5:$G$804,A58))</f>
        <v>0</v>
      </c>
      <c r="O58" s="21">
        <f>IF(A58="","",IF(N58&gt;0,N58,ROUND(M58*CostPerHour,2)))</f>
        <v>0</v>
      </c>
      <c r="P58" s="21">
        <f>IF(A58="","",SUMIFS('Supply Usage'!$L$5:$L$304,'Supply Usage'!$F$5:$F$304,A58))</f>
        <v>0</v>
      </c>
      <c r="Q58" s="21">
        <f>IF(A58="","",IF(P58&gt;0,P58,ROUND(M58*SuppliesPerHour,2)))</f>
        <v>0</v>
      </c>
      <c r="R58" s="21">
        <f>IF(A58="","",ROUND(IFERROR(INDEX(Jobs!$W$5:$W$604,MATCH(A58,Jobs!$A$5:$A$604,0)),0)*MileageRate,2))</f>
        <v>0</v>
      </c>
      <c r="T58" s="21">
        <f>IF(A58="","",O58+Q58+R58+IF(S58="",0,S58))</f>
        <v>0</v>
      </c>
      <c r="U58" s="21">
        <f>IF(A58="","",J58-T58)</f>
        <v>0</v>
      </c>
      <c r="V58" s="38">
        <f>IF(OR(A58="",J58=0),"",U58/J58)</f>
        <v>0</v>
      </c>
      <c r="W58" s="21">
        <f>IF(OR(A58="",M58=0,J58=0),"",U58/M58)</f>
        <v>0</v>
      </c>
      <c r="X58" s="34">
        <f>IF(OR(A58="",L58="",L58=0,K58=""),"",L58-K58)</f>
        <v>0</v>
      </c>
      <c r="Y58" s="31">
        <f>IF(A58="","",COUNTIFS($U$5:$U$604,"&gt;"&amp;U58)+COUNTIFS($U$5:U58,U58))</f>
        <v>0</v>
      </c>
      <c r="Z58" s="31">
        <f>IF(A58="","",COUNTIFS($W$5:$W$604,"&gt;"&amp;W58)+COUNTIFS($W$5:W58,W58))</f>
        <v>0</v>
      </c>
      <c r="AA58" s="39">
        <f>IF(A58="","",IF(J58=0,"",IF(U58&lt;0,"Loss - this job cost you money",IF(V58&lt;MarginFloor,"Below - margin under the floor",IF(V58&lt;TargetMargin,"Check - under target margin",IF(AND(X58&lt;&gt;"",X58&gt;0.5),"Check - ran over the estimate","OK"))))))</f>
        <v>0</v>
      </c>
    </row>
    <row r="59" spans="1:27">
      <c r="A59" s="43">
        <f>IF(IFERROR(INDEX(Jobs!$A$5:$A$604,ROW()-4),"")="","",IFERROR(INDEX(Jobs!$A$5:$A$604,ROW()-4),""))</f>
        <v>0</v>
      </c>
      <c r="B59" s="18">
        <f>IF(A59="","",IFERROR(INDEX(Jobs!$B$5:$B$604,MATCH(A59,Jobs!$A$5:$A$604,0)),""))</f>
        <v>0</v>
      </c>
      <c r="C59" s="23">
        <f>IF(B59="","",TEXT(B59,"yyyy-mm"))</f>
        <v>0</v>
      </c>
      <c r="D59" s="43">
        <f>IF(A59="","",IFERROR(INDEX(Jobs!$G$5:$G$604,MATCH(A59,Jobs!$A$5:$A$604,0)),""))</f>
        <v>0</v>
      </c>
      <c r="E59" s="23">
        <f>IF(A59="","",IFERROR(INDEX(Jobs!$H$5:$H$604,MATCH(A59,Jobs!$A$5:$A$604,0)),""))</f>
        <v>0</v>
      </c>
      <c r="F59" s="23">
        <f>IF(A59="","",IFERROR(INDEX(Jobs!$K$5:$K$604,MATCH(A59,Jobs!$A$5:$A$604,0)),""))</f>
        <v>0</v>
      </c>
      <c r="G59" s="23">
        <f>IF(A59="","",IFERROR(INDEX(Jobs!$M$5:$M$604,MATCH(A59,Jobs!$A$5:$A$604,0)),""))</f>
        <v>0</v>
      </c>
      <c r="H59" s="23">
        <f>IF(A59="","",IFERROR(INDEX(Jobs!$R$5:$R$604,MATCH(A59,Jobs!$A$5:$A$604,0)),""))</f>
        <v>0</v>
      </c>
      <c r="I59" s="39">
        <f>IF(A59="","",IFERROR(INDEX(Jobs!$P$5:$P$604,MATCH(A59,Jobs!$A$5:$A$604,0)),""))</f>
        <v>0</v>
      </c>
      <c r="J59" s="21">
        <f>IF(A59="","",IF(OR(I59="Completed",I59="Invoiced"),IFERROR(INDEX(Jobs!$AJ$5:$AJ$604,MATCH(A59,Jobs!$A$5:$A$604,0)),0),0))</f>
        <v>0</v>
      </c>
      <c r="K59" s="34">
        <f>IF(A59="","",IFERROR(INDEX(Jobs!$AD$5:$AD$604,MATCH(A59,Jobs!$A$5:$A$604,0)),0))</f>
        <v>0</v>
      </c>
      <c r="L59" s="34">
        <f>IF(A59="","",IFERROR(INDEX(Jobs!$AK$5:$AK$604,MATCH(A59,Jobs!$A$5:$A$604,0)),0))</f>
        <v>0</v>
      </c>
      <c r="M59" s="34">
        <f>IF(A59="","",IF(IFERROR(L59*1,0)&gt;0,L59,IFERROR(K59*1,0)))</f>
        <v>0</v>
      </c>
      <c r="N59" s="21">
        <f>IF(A59="","",SUMIFS(Timesheets!$X$5:$X$804,Timesheets!$G$5:$G$804,A59))</f>
        <v>0</v>
      </c>
      <c r="O59" s="21">
        <f>IF(A59="","",IF(N59&gt;0,N59,ROUND(M59*CostPerHour,2)))</f>
        <v>0</v>
      </c>
      <c r="P59" s="21">
        <f>IF(A59="","",SUMIFS('Supply Usage'!$L$5:$L$304,'Supply Usage'!$F$5:$F$304,A59))</f>
        <v>0</v>
      </c>
      <c r="Q59" s="21">
        <f>IF(A59="","",IF(P59&gt;0,P59,ROUND(M59*SuppliesPerHour,2)))</f>
        <v>0</v>
      </c>
      <c r="R59" s="21">
        <f>IF(A59="","",ROUND(IFERROR(INDEX(Jobs!$W$5:$W$604,MATCH(A59,Jobs!$A$5:$A$604,0)),0)*MileageRate,2))</f>
        <v>0</v>
      </c>
      <c r="T59" s="21">
        <f>IF(A59="","",O59+Q59+R59+IF(S59="",0,S59))</f>
        <v>0</v>
      </c>
      <c r="U59" s="21">
        <f>IF(A59="","",J59-T59)</f>
        <v>0</v>
      </c>
      <c r="V59" s="38">
        <f>IF(OR(A59="",J59=0),"",U59/J59)</f>
        <v>0</v>
      </c>
      <c r="W59" s="21">
        <f>IF(OR(A59="",M59=0,J59=0),"",U59/M59)</f>
        <v>0</v>
      </c>
      <c r="X59" s="34">
        <f>IF(OR(A59="",L59="",L59=0,K59=""),"",L59-K59)</f>
        <v>0</v>
      </c>
      <c r="Y59" s="31">
        <f>IF(A59="","",COUNTIFS($U$5:$U$604,"&gt;"&amp;U59)+COUNTIFS($U$5:U59,U59))</f>
        <v>0</v>
      </c>
      <c r="Z59" s="31">
        <f>IF(A59="","",COUNTIFS($W$5:$W$604,"&gt;"&amp;W59)+COUNTIFS($W$5:W59,W59))</f>
        <v>0</v>
      </c>
      <c r="AA59" s="39">
        <f>IF(A59="","",IF(J59=0,"",IF(U59&lt;0,"Loss - this job cost you money",IF(V59&lt;MarginFloor,"Below - margin under the floor",IF(V59&lt;TargetMargin,"Check - under target margin",IF(AND(X59&lt;&gt;"",X59&gt;0.5),"Check - ran over the estimate","OK"))))))</f>
        <v>0</v>
      </c>
    </row>
    <row r="60" spans="1:27">
      <c r="A60" s="43">
        <f>IF(IFERROR(INDEX(Jobs!$A$5:$A$604,ROW()-4),"")="","",IFERROR(INDEX(Jobs!$A$5:$A$604,ROW()-4),""))</f>
        <v>0</v>
      </c>
      <c r="B60" s="18">
        <f>IF(A60="","",IFERROR(INDEX(Jobs!$B$5:$B$604,MATCH(A60,Jobs!$A$5:$A$604,0)),""))</f>
        <v>0</v>
      </c>
      <c r="C60" s="23">
        <f>IF(B60="","",TEXT(B60,"yyyy-mm"))</f>
        <v>0</v>
      </c>
      <c r="D60" s="43">
        <f>IF(A60="","",IFERROR(INDEX(Jobs!$G$5:$G$604,MATCH(A60,Jobs!$A$5:$A$604,0)),""))</f>
        <v>0</v>
      </c>
      <c r="E60" s="23">
        <f>IF(A60="","",IFERROR(INDEX(Jobs!$H$5:$H$604,MATCH(A60,Jobs!$A$5:$A$604,0)),""))</f>
        <v>0</v>
      </c>
      <c r="F60" s="23">
        <f>IF(A60="","",IFERROR(INDEX(Jobs!$K$5:$K$604,MATCH(A60,Jobs!$A$5:$A$604,0)),""))</f>
        <v>0</v>
      </c>
      <c r="G60" s="23">
        <f>IF(A60="","",IFERROR(INDEX(Jobs!$M$5:$M$604,MATCH(A60,Jobs!$A$5:$A$604,0)),""))</f>
        <v>0</v>
      </c>
      <c r="H60" s="23">
        <f>IF(A60="","",IFERROR(INDEX(Jobs!$R$5:$R$604,MATCH(A60,Jobs!$A$5:$A$604,0)),""))</f>
        <v>0</v>
      </c>
      <c r="I60" s="39">
        <f>IF(A60="","",IFERROR(INDEX(Jobs!$P$5:$P$604,MATCH(A60,Jobs!$A$5:$A$604,0)),""))</f>
        <v>0</v>
      </c>
      <c r="J60" s="21">
        <f>IF(A60="","",IF(OR(I60="Completed",I60="Invoiced"),IFERROR(INDEX(Jobs!$AJ$5:$AJ$604,MATCH(A60,Jobs!$A$5:$A$604,0)),0),0))</f>
        <v>0</v>
      </c>
      <c r="K60" s="34">
        <f>IF(A60="","",IFERROR(INDEX(Jobs!$AD$5:$AD$604,MATCH(A60,Jobs!$A$5:$A$604,0)),0))</f>
        <v>0</v>
      </c>
      <c r="L60" s="34">
        <f>IF(A60="","",IFERROR(INDEX(Jobs!$AK$5:$AK$604,MATCH(A60,Jobs!$A$5:$A$604,0)),0))</f>
        <v>0</v>
      </c>
      <c r="M60" s="34">
        <f>IF(A60="","",IF(IFERROR(L60*1,0)&gt;0,L60,IFERROR(K60*1,0)))</f>
        <v>0</v>
      </c>
      <c r="N60" s="21">
        <f>IF(A60="","",SUMIFS(Timesheets!$X$5:$X$804,Timesheets!$G$5:$G$804,A60))</f>
        <v>0</v>
      </c>
      <c r="O60" s="21">
        <f>IF(A60="","",IF(N60&gt;0,N60,ROUND(M60*CostPerHour,2)))</f>
        <v>0</v>
      </c>
      <c r="P60" s="21">
        <f>IF(A60="","",SUMIFS('Supply Usage'!$L$5:$L$304,'Supply Usage'!$F$5:$F$304,A60))</f>
        <v>0</v>
      </c>
      <c r="Q60" s="21">
        <f>IF(A60="","",IF(P60&gt;0,P60,ROUND(M60*SuppliesPerHour,2)))</f>
        <v>0</v>
      </c>
      <c r="R60" s="21">
        <f>IF(A60="","",ROUND(IFERROR(INDEX(Jobs!$W$5:$W$604,MATCH(A60,Jobs!$A$5:$A$604,0)),0)*MileageRate,2))</f>
        <v>0</v>
      </c>
      <c r="T60" s="21">
        <f>IF(A60="","",O60+Q60+R60+IF(S60="",0,S60))</f>
        <v>0</v>
      </c>
      <c r="U60" s="21">
        <f>IF(A60="","",J60-T60)</f>
        <v>0</v>
      </c>
      <c r="V60" s="38">
        <f>IF(OR(A60="",J60=0),"",U60/J60)</f>
        <v>0</v>
      </c>
      <c r="W60" s="21">
        <f>IF(OR(A60="",M60=0,J60=0),"",U60/M60)</f>
        <v>0</v>
      </c>
      <c r="X60" s="34">
        <f>IF(OR(A60="",L60="",L60=0,K60=""),"",L60-K60)</f>
        <v>0</v>
      </c>
      <c r="Y60" s="31">
        <f>IF(A60="","",COUNTIFS($U$5:$U$604,"&gt;"&amp;U60)+COUNTIFS($U$5:U60,U60))</f>
        <v>0</v>
      </c>
      <c r="Z60" s="31">
        <f>IF(A60="","",COUNTIFS($W$5:$W$604,"&gt;"&amp;W60)+COUNTIFS($W$5:W60,W60))</f>
        <v>0</v>
      </c>
      <c r="AA60" s="39">
        <f>IF(A60="","",IF(J60=0,"",IF(U60&lt;0,"Loss - this job cost you money",IF(V60&lt;MarginFloor,"Below - margin under the floor",IF(V60&lt;TargetMargin,"Check - under target margin",IF(AND(X60&lt;&gt;"",X60&gt;0.5),"Check - ran over the estimate","OK"))))))</f>
        <v>0</v>
      </c>
    </row>
    <row r="61" spans="1:27">
      <c r="A61" s="43">
        <f>IF(IFERROR(INDEX(Jobs!$A$5:$A$604,ROW()-4),"")="","",IFERROR(INDEX(Jobs!$A$5:$A$604,ROW()-4),""))</f>
        <v>0</v>
      </c>
      <c r="B61" s="18">
        <f>IF(A61="","",IFERROR(INDEX(Jobs!$B$5:$B$604,MATCH(A61,Jobs!$A$5:$A$604,0)),""))</f>
        <v>0</v>
      </c>
      <c r="C61" s="23">
        <f>IF(B61="","",TEXT(B61,"yyyy-mm"))</f>
        <v>0</v>
      </c>
      <c r="D61" s="43">
        <f>IF(A61="","",IFERROR(INDEX(Jobs!$G$5:$G$604,MATCH(A61,Jobs!$A$5:$A$604,0)),""))</f>
        <v>0</v>
      </c>
      <c r="E61" s="23">
        <f>IF(A61="","",IFERROR(INDEX(Jobs!$H$5:$H$604,MATCH(A61,Jobs!$A$5:$A$604,0)),""))</f>
        <v>0</v>
      </c>
      <c r="F61" s="23">
        <f>IF(A61="","",IFERROR(INDEX(Jobs!$K$5:$K$604,MATCH(A61,Jobs!$A$5:$A$604,0)),""))</f>
        <v>0</v>
      </c>
      <c r="G61" s="23">
        <f>IF(A61="","",IFERROR(INDEX(Jobs!$M$5:$M$604,MATCH(A61,Jobs!$A$5:$A$604,0)),""))</f>
        <v>0</v>
      </c>
      <c r="H61" s="23">
        <f>IF(A61="","",IFERROR(INDEX(Jobs!$R$5:$R$604,MATCH(A61,Jobs!$A$5:$A$604,0)),""))</f>
        <v>0</v>
      </c>
      <c r="I61" s="39">
        <f>IF(A61="","",IFERROR(INDEX(Jobs!$P$5:$P$604,MATCH(A61,Jobs!$A$5:$A$604,0)),""))</f>
        <v>0</v>
      </c>
      <c r="J61" s="21">
        <f>IF(A61="","",IF(OR(I61="Completed",I61="Invoiced"),IFERROR(INDEX(Jobs!$AJ$5:$AJ$604,MATCH(A61,Jobs!$A$5:$A$604,0)),0),0))</f>
        <v>0</v>
      </c>
      <c r="K61" s="34">
        <f>IF(A61="","",IFERROR(INDEX(Jobs!$AD$5:$AD$604,MATCH(A61,Jobs!$A$5:$A$604,0)),0))</f>
        <v>0</v>
      </c>
      <c r="L61" s="34">
        <f>IF(A61="","",IFERROR(INDEX(Jobs!$AK$5:$AK$604,MATCH(A61,Jobs!$A$5:$A$604,0)),0))</f>
        <v>0</v>
      </c>
      <c r="M61" s="34">
        <f>IF(A61="","",IF(IFERROR(L61*1,0)&gt;0,L61,IFERROR(K61*1,0)))</f>
        <v>0</v>
      </c>
      <c r="N61" s="21">
        <f>IF(A61="","",SUMIFS(Timesheets!$X$5:$X$804,Timesheets!$G$5:$G$804,A61))</f>
        <v>0</v>
      </c>
      <c r="O61" s="21">
        <f>IF(A61="","",IF(N61&gt;0,N61,ROUND(M61*CostPerHour,2)))</f>
        <v>0</v>
      </c>
      <c r="P61" s="21">
        <f>IF(A61="","",SUMIFS('Supply Usage'!$L$5:$L$304,'Supply Usage'!$F$5:$F$304,A61))</f>
        <v>0</v>
      </c>
      <c r="Q61" s="21">
        <f>IF(A61="","",IF(P61&gt;0,P61,ROUND(M61*SuppliesPerHour,2)))</f>
        <v>0</v>
      </c>
      <c r="R61" s="21">
        <f>IF(A61="","",ROUND(IFERROR(INDEX(Jobs!$W$5:$W$604,MATCH(A61,Jobs!$A$5:$A$604,0)),0)*MileageRate,2))</f>
        <v>0</v>
      </c>
      <c r="T61" s="21">
        <f>IF(A61="","",O61+Q61+R61+IF(S61="",0,S61))</f>
        <v>0</v>
      </c>
      <c r="U61" s="21">
        <f>IF(A61="","",J61-T61)</f>
        <v>0</v>
      </c>
      <c r="V61" s="38">
        <f>IF(OR(A61="",J61=0),"",U61/J61)</f>
        <v>0</v>
      </c>
      <c r="W61" s="21">
        <f>IF(OR(A61="",M61=0,J61=0),"",U61/M61)</f>
        <v>0</v>
      </c>
      <c r="X61" s="34">
        <f>IF(OR(A61="",L61="",L61=0,K61=""),"",L61-K61)</f>
        <v>0</v>
      </c>
      <c r="Y61" s="31">
        <f>IF(A61="","",COUNTIFS($U$5:$U$604,"&gt;"&amp;U61)+COUNTIFS($U$5:U61,U61))</f>
        <v>0</v>
      </c>
      <c r="Z61" s="31">
        <f>IF(A61="","",COUNTIFS($W$5:$W$604,"&gt;"&amp;W61)+COUNTIFS($W$5:W61,W61))</f>
        <v>0</v>
      </c>
      <c r="AA61" s="39">
        <f>IF(A61="","",IF(J61=0,"",IF(U61&lt;0,"Loss - this job cost you money",IF(V61&lt;MarginFloor,"Below - margin under the floor",IF(V61&lt;TargetMargin,"Check - under target margin",IF(AND(X61&lt;&gt;"",X61&gt;0.5),"Check - ran over the estimate","OK"))))))</f>
        <v>0</v>
      </c>
    </row>
    <row r="62" spans="1:27">
      <c r="A62" s="43">
        <f>IF(IFERROR(INDEX(Jobs!$A$5:$A$604,ROW()-4),"")="","",IFERROR(INDEX(Jobs!$A$5:$A$604,ROW()-4),""))</f>
        <v>0</v>
      </c>
      <c r="B62" s="18">
        <f>IF(A62="","",IFERROR(INDEX(Jobs!$B$5:$B$604,MATCH(A62,Jobs!$A$5:$A$604,0)),""))</f>
        <v>0</v>
      </c>
      <c r="C62" s="23">
        <f>IF(B62="","",TEXT(B62,"yyyy-mm"))</f>
        <v>0</v>
      </c>
      <c r="D62" s="43">
        <f>IF(A62="","",IFERROR(INDEX(Jobs!$G$5:$G$604,MATCH(A62,Jobs!$A$5:$A$604,0)),""))</f>
        <v>0</v>
      </c>
      <c r="E62" s="23">
        <f>IF(A62="","",IFERROR(INDEX(Jobs!$H$5:$H$604,MATCH(A62,Jobs!$A$5:$A$604,0)),""))</f>
        <v>0</v>
      </c>
      <c r="F62" s="23">
        <f>IF(A62="","",IFERROR(INDEX(Jobs!$K$5:$K$604,MATCH(A62,Jobs!$A$5:$A$604,0)),""))</f>
        <v>0</v>
      </c>
      <c r="G62" s="23">
        <f>IF(A62="","",IFERROR(INDEX(Jobs!$M$5:$M$604,MATCH(A62,Jobs!$A$5:$A$604,0)),""))</f>
        <v>0</v>
      </c>
      <c r="H62" s="23">
        <f>IF(A62="","",IFERROR(INDEX(Jobs!$R$5:$R$604,MATCH(A62,Jobs!$A$5:$A$604,0)),""))</f>
        <v>0</v>
      </c>
      <c r="I62" s="39">
        <f>IF(A62="","",IFERROR(INDEX(Jobs!$P$5:$P$604,MATCH(A62,Jobs!$A$5:$A$604,0)),""))</f>
        <v>0</v>
      </c>
      <c r="J62" s="21">
        <f>IF(A62="","",IF(OR(I62="Completed",I62="Invoiced"),IFERROR(INDEX(Jobs!$AJ$5:$AJ$604,MATCH(A62,Jobs!$A$5:$A$604,0)),0),0))</f>
        <v>0</v>
      </c>
      <c r="K62" s="34">
        <f>IF(A62="","",IFERROR(INDEX(Jobs!$AD$5:$AD$604,MATCH(A62,Jobs!$A$5:$A$604,0)),0))</f>
        <v>0</v>
      </c>
      <c r="L62" s="34">
        <f>IF(A62="","",IFERROR(INDEX(Jobs!$AK$5:$AK$604,MATCH(A62,Jobs!$A$5:$A$604,0)),0))</f>
        <v>0</v>
      </c>
      <c r="M62" s="34">
        <f>IF(A62="","",IF(IFERROR(L62*1,0)&gt;0,L62,IFERROR(K62*1,0)))</f>
        <v>0</v>
      </c>
      <c r="N62" s="21">
        <f>IF(A62="","",SUMIFS(Timesheets!$X$5:$X$804,Timesheets!$G$5:$G$804,A62))</f>
        <v>0</v>
      </c>
      <c r="O62" s="21">
        <f>IF(A62="","",IF(N62&gt;0,N62,ROUND(M62*CostPerHour,2)))</f>
        <v>0</v>
      </c>
      <c r="P62" s="21">
        <f>IF(A62="","",SUMIFS('Supply Usage'!$L$5:$L$304,'Supply Usage'!$F$5:$F$304,A62))</f>
        <v>0</v>
      </c>
      <c r="Q62" s="21">
        <f>IF(A62="","",IF(P62&gt;0,P62,ROUND(M62*SuppliesPerHour,2)))</f>
        <v>0</v>
      </c>
      <c r="R62" s="21">
        <f>IF(A62="","",ROUND(IFERROR(INDEX(Jobs!$W$5:$W$604,MATCH(A62,Jobs!$A$5:$A$604,0)),0)*MileageRate,2))</f>
        <v>0</v>
      </c>
      <c r="T62" s="21">
        <f>IF(A62="","",O62+Q62+R62+IF(S62="",0,S62))</f>
        <v>0</v>
      </c>
      <c r="U62" s="21">
        <f>IF(A62="","",J62-T62)</f>
        <v>0</v>
      </c>
      <c r="V62" s="38">
        <f>IF(OR(A62="",J62=0),"",U62/J62)</f>
        <v>0</v>
      </c>
      <c r="W62" s="21">
        <f>IF(OR(A62="",M62=0,J62=0),"",U62/M62)</f>
        <v>0</v>
      </c>
      <c r="X62" s="34">
        <f>IF(OR(A62="",L62="",L62=0,K62=""),"",L62-K62)</f>
        <v>0</v>
      </c>
      <c r="Y62" s="31">
        <f>IF(A62="","",COUNTIFS($U$5:$U$604,"&gt;"&amp;U62)+COUNTIFS($U$5:U62,U62))</f>
        <v>0</v>
      </c>
      <c r="Z62" s="31">
        <f>IF(A62="","",COUNTIFS($W$5:$W$604,"&gt;"&amp;W62)+COUNTIFS($W$5:W62,W62))</f>
        <v>0</v>
      </c>
      <c r="AA62" s="39">
        <f>IF(A62="","",IF(J62=0,"",IF(U62&lt;0,"Loss - this job cost you money",IF(V62&lt;MarginFloor,"Below - margin under the floor",IF(V62&lt;TargetMargin,"Check - under target margin",IF(AND(X62&lt;&gt;"",X62&gt;0.5),"Check - ran over the estimate","OK"))))))</f>
        <v>0</v>
      </c>
    </row>
    <row r="63" spans="1:27">
      <c r="A63" s="43">
        <f>IF(IFERROR(INDEX(Jobs!$A$5:$A$604,ROW()-4),"")="","",IFERROR(INDEX(Jobs!$A$5:$A$604,ROW()-4),""))</f>
        <v>0</v>
      </c>
      <c r="B63" s="18">
        <f>IF(A63="","",IFERROR(INDEX(Jobs!$B$5:$B$604,MATCH(A63,Jobs!$A$5:$A$604,0)),""))</f>
        <v>0</v>
      </c>
      <c r="C63" s="23">
        <f>IF(B63="","",TEXT(B63,"yyyy-mm"))</f>
        <v>0</v>
      </c>
      <c r="D63" s="43">
        <f>IF(A63="","",IFERROR(INDEX(Jobs!$G$5:$G$604,MATCH(A63,Jobs!$A$5:$A$604,0)),""))</f>
        <v>0</v>
      </c>
      <c r="E63" s="23">
        <f>IF(A63="","",IFERROR(INDEX(Jobs!$H$5:$H$604,MATCH(A63,Jobs!$A$5:$A$604,0)),""))</f>
        <v>0</v>
      </c>
      <c r="F63" s="23">
        <f>IF(A63="","",IFERROR(INDEX(Jobs!$K$5:$K$604,MATCH(A63,Jobs!$A$5:$A$604,0)),""))</f>
        <v>0</v>
      </c>
      <c r="G63" s="23">
        <f>IF(A63="","",IFERROR(INDEX(Jobs!$M$5:$M$604,MATCH(A63,Jobs!$A$5:$A$604,0)),""))</f>
        <v>0</v>
      </c>
      <c r="H63" s="23">
        <f>IF(A63="","",IFERROR(INDEX(Jobs!$R$5:$R$604,MATCH(A63,Jobs!$A$5:$A$604,0)),""))</f>
        <v>0</v>
      </c>
      <c r="I63" s="39">
        <f>IF(A63="","",IFERROR(INDEX(Jobs!$P$5:$P$604,MATCH(A63,Jobs!$A$5:$A$604,0)),""))</f>
        <v>0</v>
      </c>
      <c r="J63" s="21">
        <f>IF(A63="","",IF(OR(I63="Completed",I63="Invoiced"),IFERROR(INDEX(Jobs!$AJ$5:$AJ$604,MATCH(A63,Jobs!$A$5:$A$604,0)),0),0))</f>
        <v>0</v>
      </c>
      <c r="K63" s="34">
        <f>IF(A63="","",IFERROR(INDEX(Jobs!$AD$5:$AD$604,MATCH(A63,Jobs!$A$5:$A$604,0)),0))</f>
        <v>0</v>
      </c>
      <c r="L63" s="34">
        <f>IF(A63="","",IFERROR(INDEX(Jobs!$AK$5:$AK$604,MATCH(A63,Jobs!$A$5:$A$604,0)),0))</f>
        <v>0</v>
      </c>
      <c r="M63" s="34">
        <f>IF(A63="","",IF(IFERROR(L63*1,0)&gt;0,L63,IFERROR(K63*1,0)))</f>
        <v>0</v>
      </c>
      <c r="N63" s="21">
        <f>IF(A63="","",SUMIFS(Timesheets!$X$5:$X$804,Timesheets!$G$5:$G$804,A63))</f>
        <v>0</v>
      </c>
      <c r="O63" s="21">
        <f>IF(A63="","",IF(N63&gt;0,N63,ROUND(M63*CostPerHour,2)))</f>
        <v>0</v>
      </c>
      <c r="P63" s="21">
        <f>IF(A63="","",SUMIFS('Supply Usage'!$L$5:$L$304,'Supply Usage'!$F$5:$F$304,A63))</f>
        <v>0</v>
      </c>
      <c r="Q63" s="21">
        <f>IF(A63="","",IF(P63&gt;0,P63,ROUND(M63*SuppliesPerHour,2)))</f>
        <v>0</v>
      </c>
      <c r="R63" s="21">
        <f>IF(A63="","",ROUND(IFERROR(INDEX(Jobs!$W$5:$W$604,MATCH(A63,Jobs!$A$5:$A$604,0)),0)*MileageRate,2))</f>
        <v>0</v>
      </c>
      <c r="T63" s="21">
        <f>IF(A63="","",O63+Q63+R63+IF(S63="",0,S63))</f>
        <v>0</v>
      </c>
      <c r="U63" s="21">
        <f>IF(A63="","",J63-T63)</f>
        <v>0</v>
      </c>
      <c r="V63" s="38">
        <f>IF(OR(A63="",J63=0),"",U63/J63)</f>
        <v>0</v>
      </c>
      <c r="W63" s="21">
        <f>IF(OR(A63="",M63=0,J63=0),"",U63/M63)</f>
        <v>0</v>
      </c>
      <c r="X63" s="34">
        <f>IF(OR(A63="",L63="",L63=0,K63=""),"",L63-K63)</f>
        <v>0</v>
      </c>
      <c r="Y63" s="31">
        <f>IF(A63="","",COUNTIFS($U$5:$U$604,"&gt;"&amp;U63)+COUNTIFS($U$5:U63,U63))</f>
        <v>0</v>
      </c>
      <c r="Z63" s="31">
        <f>IF(A63="","",COUNTIFS($W$5:$W$604,"&gt;"&amp;W63)+COUNTIFS($W$5:W63,W63))</f>
        <v>0</v>
      </c>
      <c r="AA63" s="39">
        <f>IF(A63="","",IF(J63=0,"",IF(U63&lt;0,"Loss - this job cost you money",IF(V63&lt;MarginFloor,"Below - margin under the floor",IF(V63&lt;TargetMargin,"Check - under target margin",IF(AND(X63&lt;&gt;"",X63&gt;0.5),"Check - ran over the estimate","OK"))))))</f>
        <v>0</v>
      </c>
    </row>
    <row r="64" spans="1:27">
      <c r="A64" s="43">
        <f>IF(IFERROR(INDEX(Jobs!$A$5:$A$604,ROW()-4),"")="","",IFERROR(INDEX(Jobs!$A$5:$A$604,ROW()-4),""))</f>
        <v>0</v>
      </c>
      <c r="B64" s="18">
        <f>IF(A64="","",IFERROR(INDEX(Jobs!$B$5:$B$604,MATCH(A64,Jobs!$A$5:$A$604,0)),""))</f>
        <v>0</v>
      </c>
      <c r="C64" s="23">
        <f>IF(B64="","",TEXT(B64,"yyyy-mm"))</f>
        <v>0</v>
      </c>
      <c r="D64" s="43">
        <f>IF(A64="","",IFERROR(INDEX(Jobs!$G$5:$G$604,MATCH(A64,Jobs!$A$5:$A$604,0)),""))</f>
        <v>0</v>
      </c>
      <c r="E64" s="23">
        <f>IF(A64="","",IFERROR(INDEX(Jobs!$H$5:$H$604,MATCH(A64,Jobs!$A$5:$A$604,0)),""))</f>
        <v>0</v>
      </c>
      <c r="F64" s="23">
        <f>IF(A64="","",IFERROR(INDEX(Jobs!$K$5:$K$604,MATCH(A64,Jobs!$A$5:$A$604,0)),""))</f>
        <v>0</v>
      </c>
      <c r="G64" s="23">
        <f>IF(A64="","",IFERROR(INDEX(Jobs!$M$5:$M$604,MATCH(A64,Jobs!$A$5:$A$604,0)),""))</f>
        <v>0</v>
      </c>
      <c r="H64" s="23">
        <f>IF(A64="","",IFERROR(INDEX(Jobs!$R$5:$R$604,MATCH(A64,Jobs!$A$5:$A$604,0)),""))</f>
        <v>0</v>
      </c>
      <c r="I64" s="39">
        <f>IF(A64="","",IFERROR(INDEX(Jobs!$P$5:$P$604,MATCH(A64,Jobs!$A$5:$A$604,0)),""))</f>
        <v>0</v>
      </c>
      <c r="J64" s="21">
        <f>IF(A64="","",IF(OR(I64="Completed",I64="Invoiced"),IFERROR(INDEX(Jobs!$AJ$5:$AJ$604,MATCH(A64,Jobs!$A$5:$A$604,0)),0),0))</f>
        <v>0</v>
      </c>
      <c r="K64" s="34">
        <f>IF(A64="","",IFERROR(INDEX(Jobs!$AD$5:$AD$604,MATCH(A64,Jobs!$A$5:$A$604,0)),0))</f>
        <v>0</v>
      </c>
      <c r="L64" s="34">
        <f>IF(A64="","",IFERROR(INDEX(Jobs!$AK$5:$AK$604,MATCH(A64,Jobs!$A$5:$A$604,0)),0))</f>
        <v>0</v>
      </c>
      <c r="M64" s="34">
        <f>IF(A64="","",IF(IFERROR(L64*1,0)&gt;0,L64,IFERROR(K64*1,0)))</f>
        <v>0</v>
      </c>
      <c r="N64" s="21">
        <f>IF(A64="","",SUMIFS(Timesheets!$X$5:$X$804,Timesheets!$G$5:$G$804,A64))</f>
        <v>0</v>
      </c>
      <c r="O64" s="21">
        <f>IF(A64="","",IF(N64&gt;0,N64,ROUND(M64*CostPerHour,2)))</f>
        <v>0</v>
      </c>
      <c r="P64" s="21">
        <f>IF(A64="","",SUMIFS('Supply Usage'!$L$5:$L$304,'Supply Usage'!$F$5:$F$304,A64))</f>
        <v>0</v>
      </c>
      <c r="Q64" s="21">
        <f>IF(A64="","",IF(P64&gt;0,P64,ROUND(M64*SuppliesPerHour,2)))</f>
        <v>0</v>
      </c>
      <c r="R64" s="21">
        <f>IF(A64="","",ROUND(IFERROR(INDEX(Jobs!$W$5:$W$604,MATCH(A64,Jobs!$A$5:$A$604,0)),0)*MileageRate,2))</f>
        <v>0</v>
      </c>
      <c r="T64" s="21">
        <f>IF(A64="","",O64+Q64+R64+IF(S64="",0,S64))</f>
        <v>0</v>
      </c>
      <c r="U64" s="21">
        <f>IF(A64="","",J64-T64)</f>
        <v>0</v>
      </c>
      <c r="V64" s="38">
        <f>IF(OR(A64="",J64=0),"",U64/J64)</f>
        <v>0</v>
      </c>
      <c r="W64" s="21">
        <f>IF(OR(A64="",M64=0,J64=0),"",U64/M64)</f>
        <v>0</v>
      </c>
      <c r="X64" s="34">
        <f>IF(OR(A64="",L64="",L64=0,K64=""),"",L64-K64)</f>
        <v>0</v>
      </c>
      <c r="Y64" s="31">
        <f>IF(A64="","",COUNTIFS($U$5:$U$604,"&gt;"&amp;U64)+COUNTIFS($U$5:U64,U64))</f>
        <v>0</v>
      </c>
      <c r="Z64" s="31">
        <f>IF(A64="","",COUNTIFS($W$5:$W$604,"&gt;"&amp;W64)+COUNTIFS($W$5:W64,W64))</f>
        <v>0</v>
      </c>
      <c r="AA64" s="39">
        <f>IF(A64="","",IF(J64=0,"",IF(U64&lt;0,"Loss - this job cost you money",IF(V64&lt;MarginFloor,"Below - margin under the floor",IF(V64&lt;TargetMargin,"Check - under target margin",IF(AND(X64&lt;&gt;"",X64&gt;0.5),"Check - ran over the estimate","OK"))))))</f>
        <v>0</v>
      </c>
    </row>
    <row r="65" spans="1:27">
      <c r="A65" s="43">
        <f>IF(IFERROR(INDEX(Jobs!$A$5:$A$604,ROW()-4),"")="","",IFERROR(INDEX(Jobs!$A$5:$A$604,ROW()-4),""))</f>
        <v>0</v>
      </c>
      <c r="B65" s="18">
        <f>IF(A65="","",IFERROR(INDEX(Jobs!$B$5:$B$604,MATCH(A65,Jobs!$A$5:$A$604,0)),""))</f>
        <v>0</v>
      </c>
      <c r="C65" s="23">
        <f>IF(B65="","",TEXT(B65,"yyyy-mm"))</f>
        <v>0</v>
      </c>
      <c r="D65" s="43">
        <f>IF(A65="","",IFERROR(INDEX(Jobs!$G$5:$G$604,MATCH(A65,Jobs!$A$5:$A$604,0)),""))</f>
        <v>0</v>
      </c>
      <c r="E65" s="23">
        <f>IF(A65="","",IFERROR(INDEX(Jobs!$H$5:$H$604,MATCH(A65,Jobs!$A$5:$A$604,0)),""))</f>
        <v>0</v>
      </c>
      <c r="F65" s="23">
        <f>IF(A65="","",IFERROR(INDEX(Jobs!$K$5:$K$604,MATCH(A65,Jobs!$A$5:$A$604,0)),""))</f>
        <v>0</v>
      </c>
      <c r="G65" s="23">
        <f>IF(A65="","",IFERROR(INDEX(Jobs!$M$5:$M$604,MATCH(A65,Jobs!$A$5:$A$604,0)),""))</f>
        <v>0</v>
      </c>
      <c r="H65" s="23">
        <f>IF(A65="","",IFERROR(INDEX(Jobs!$R$5:$R$604,MATCH(A65,Jobs!$A$5:$A$604,0)),""))</f>
        <v>0</v>
      </c>
      <c r="I65" s="39">
        <f>IF(A65="","",IFERROR(INDEX(Jobs!$P$5:$P$604,MATCH(A65,Jobs!$A$5:$A$604,0)),""))</f>
        <v>0</v>
      </c>
      <c r="J65" s="21">
        <f>IF(A65="","",IF(OR(I65="Completed",I65="Invoiced"),IFERROR(INDEX(Jobs!$AJ$5:$AJ$604,MATCH(A65,Jobs!$A$5:$A$604,0)),0),0))</f>
        <v>0</v>
      </c>
      <c r="K65" s="34">
        <f>IF(A65="","",IFERROR(INDEX(Jobs!$AD$5:$AD$604,MATCH(A65,Jobs!$A$5:$A$604,0)),0))</f>
        <v>0</v>
      </c>
      <c r="L65" s="34">
        <f>IF(A65="","",IFERROR(INDEX(Jobs!$AK$5:$AK$604,MATCH(A65,Jobs!$A$5:$A$604,0)),0))</f>
        <v>0</v>
      </c>
      <c r="M65" s="34">
        <f>IF(A65="","",IF(IFERROR(L65*1,0)&gt;0,L65,IFERROR(K65*1,0)))</f>
        <v>0</v>
      </c>
      <c r="N65" s="21">
        <f>IF(A65="","",SUMIFS(Timesheets!$X$5:$X$804,Timesheets!$G$5:$G$804,A65))</f>
        <v>0</v>
      </c>
      <c r="O65" s="21">
        <f>IF(A65="","",IF(N65&gt;0,N65,ROUND(M65*CostPerHour,2)))</f>
        <v>0</v>
      </c>
      <c r="P65" s="21">
        <f>IF(A65="","",SUMIFS('Supply Usage'!$L$5:$L$304,'Supply Usage'!$F$5:$F$304,A65))</f>
        <v>0</v>
      </c>
      <c r="Q65" s="21">
        <f>IF(A65="","",IF(P65&gt;0,P65,ROUND(M65*SuppliesPerHour,2)))</f>
        <v>0</v>
      </c>
      <c r="R65" s="21">
        <f>IF(A65="","",ROUND(IFERROR(INDEX(Jobs!$W$5:$W$604,MATCH(A65,Jobs!$A$5:$A$604,0)),0)*MileageRate,2))</f>
        <v>0</v>
      </c>
      <c r="T65" s="21">
        <f>IF(A65="","",O65+Q65+R65+IF(S65="",0,S65))</f>
        <v>0</v>
      </c>
      <c r="U65" s="21">
        <f>IF(A65="","",J65-T65)</f>
        <v>0</v>
      </c>
      <c r="V65" s="38">
        <f>IF(OR(A65="",J65=0),"",U65/J65)</f>
        <v>0</v>
      </c>
      <c r="W65" s="21">
        <f>IF(OR(A65="",M65=0,J65=0),"",U65/M65)</f>
        <v>0</v>
      </c>
      <c r="X65" s="34">
        <f>IF(OR(A65="",L65="",L65=0,K65=""),"",L65-K65)</f>
        <v>0</v>
      </c>
      <c r="Y65" s="31">
        <f>IF(A65="","",COUNTIFS($U$5:$U$604,"&gt;"&amp;U65)+COUNTIFS($U$5:U65,U65))</f>
        <v>0</v>
      </c>
      <c r="Z65" s="31">
        <f>IF(A65="","",COUNTIFS($W$5:$W$604,"&gt;"&amp;W65)+COUNTIFS($W$5:W65,W65))</f>
        <v>0</v>
      </c>
      <c r="AA65" s="39">
        <f>IF(A65="","",IF(J65=0,"",IF(U65&lt;0,"Loss - this job cost you money",IF(V65&lt;MarginFloor,"Below - margin under the floor",IF(V65&lt;TargetMargin,"Check - under target margin",IF(AND(X65&lt;&gt;"",X65&gt;0.5),"Check - ran over the estimate","OK"))))))</f>
        <v>0</v>
      </c>
    </row>
    <row r="66" spans="1:27">
      <c r="A66" s="43">
        <f>IF(IFERROR(INDEX(Jobs!$A$5:$A$604,ROW()-4),"")="","",IFERROR(INDEX(Jobs!$A$5:$A$604,ROW()-4),""))</f>
        <v>0</v>
      </c>
      <c r="B66" s="18">
        <f>IF(A66="","",IFERROR(INDEX(Jobs!$B$5:$B$604,MATCH(A66,Jobs!$A$5:$A$604,0)),""))</f>
        <v>0</v>
      </c>
      <c r="C66" s="23">
        <f>IF(B66="","",TEXT(B66,"yyyy-mm"))</f>
        <v>0</v>
      </c>
      <c r="D66" s="43">
        <f>IF(A66="","",IFERROR(INDEX(Jobs!$G$5:$G$604,MATCH(A66,Jobs!$A$5:$A$604,0)),""))</f>
        <v>0</v>
      </c>
      <c r="E66" s="23">
        <f>IF(A66="","",IFERROR(INDEX(Jobs!$H$5:$H$604,MATCH(A66,Jobs!$A$5:$A$604,0)),""))</f>
        <v>0</v>
      </c>
      <c r="F66" s="23">
        <f>IF(A66="","",IFERROR(INDEX(Jobs!$K$5:$K$604,MATCH(A66,Jobs!$A$5:$A$604,0)),""))</f>
        <v>0</v>
      </c>
      <c r="G66" s="23">
        <f>IF(A66="","",IFERROR(INDEX(Jobs!$M$5:$M$604,MATCH(A66,Jobs!$A$5:$A$604,0)),""))</f>
        <v>0</v>
      </c>
      <c r="H66" s="23">
        <f>IF(A66="","",IFERROR(INDEX(Jobs!$R$5:$R$604,MATCH(A66,Jobs!$A$5:$A$604,0)),""))</f>
        <v>0</v>
      </c>
      <c r="I66" s="39">
        <f>IF(A66="","",IFERROR(INDEX(Jobs!$P$5:$P$604,MATCH(A66,Jobs!$A$5:$A$604,0)),""))</f>
        <v>0</v>
      </c>
      <c r="J66" s="21">
        <f>IF(A66="","",IF(OR(I66="Completed",I66="Invoiced"),IFERROR(INDEX(Jobs!$AJ$5:$AJ$604,MATCH(A66,Jobs!$A$5:$A$604,0)),0),0))</f>
        <v>0</v>
      </c>
      <c r="K66" s="34">
        <f>IF(A66="","",IFERROR(INDEX(Jobs!$AD$5:$AD$604,MATCH(A66,Jobs!$A$5:$A$604,0)),0))</f>
        <v>0</v>
      </c>
      <c r="L66" s="34">
        <f>IF(A66="","",IFERROR(INDEX(Jobs!$AK$5:$AK$604,MATCH(A66,Jobs!$A$5:$A$604,0)),0))</f>
        <v>0</v>
      </c>
      <c r="M66" s="34">
        <f>IF(A66="","",IF(IFERROR(L66*1,0)&gt;0,L66,IFERROR(K66*1,0)))</f>
        <v>0</v>
      </c>
      <c r="N66" s="21">
        <f>IF(A66="","",SUMIFS(Timesheets!$X$5:$X$804,Timesheets!$G$5:$G$804,A66))</f>
        <v>0</v>
      </c>
      <c r="O66" s="21">
        <f>IF(A66="","",IF(N66&gt;0,N66,ROUND(M66*CostPerHour,2)))</f>
        <v>0</v>
      </c>
      <c r="P66" s="21">
        <f>IF(A66="","",SUMIFS('Supply Usage'!$L$5:$L$304,'Supply Usage'!$F$5:$F$304,A66))</f>
        <v>0</v>
      </c>
      <c r="Q66" s="21">
        <f>IF(A66="","",IF(P66&gt;0,P66,ROUND(M66*SuppliesPerHour,2)))</f>
        <v>0</v>
      </c>
      <c r="R66" s="21">
        <f>IF(A66="","",ROUND(IFERROR(INDEX(Jobs!$W$5:$W$604,MATCH(A66,Jobs!$A$5:$A$604,0)),0)*MileageRate,2))</f>
        <v>0</v>
      </c>
      <c r="T66" s="21">
        <f>IF(A66="","",O66+Q66+R66+IF(S66="",0,S66))</f>
        <v>0</v>
      </c>
      <c r="U66" s="21">
        <f>IF(A66="","",J66-T66)</f>
        <v>0</v>
      </c>
      <c r="V66" s="38">
        <f>IF(OR(A66="",J66=0),"",U66/J66)</f>
        <v>0</v>
      </c>
      <c r="W66" s="21">
        <f>IF(OR(A66="",M66=0,J66=0),"",U66/M66)</f>
        <v>0</v>
      </c>
      <c r="X66" s="34">
        <f>IF(OR(A66="",L66="",L66=0,K66=""),"",L66-K66)</f>
        <v>0</v>
      </c>
      <c r="Y66" s="31">
        <f>IF(A66="","",COUNTIFS($U$5:$U$604,"&gt;"&amp;U66)+COUNTIFS($U$5:U66,U66))</f>
        <v>0</v>
      </c>
      <c r="Z66" s="31">
        <f>IF(A66="","",COUNTIFS($W$5:$W$604,"&gt;"&amp;W66)+COUNTIFS($W$5:W66,W66))</f>
        <v>0</v>
      </c>
      <c r="AA66" s="39">
        <f>IF(A66="","",IF(J66=0,"",IF(U66&lt;0,"Loss - this job cost you money",IF(V66&lt;MarginFloor,"Below - margin under the floor",IF(V66&lt;TargetMargin,"Check - under target margin",IF(AND(X66&lt;&gt;"",X66&gt;0.5),"Check - ran over the estimate","OK"))))))</f>
        <v>0</v>
      </c>
    </row>
    <row r="67" spans="1:27">
      <c r="A67" s="43">
        <f>IF(IFERROR(INDEX(Jobs!$A$5:$A$604,ROW()-4),"")="","",IFERROR(INDEX(Jobs!$A$5:$A$604,ROW()-4),""))</f>
        <v>0</v>
      </c>
      <c r="B67" s="18">
        <f>IF(A67="","",IFERROR(INDEX(Jobs!$B$5:$B$604,MATCH(A67,Jobs!$A$5:$A$604,0)),""))</f>
        <v>0</v>
      </c>
      <c r="C67" s="23">
        <f>IF(B67="","",TEXT(B67,"yyyy-mm"))</f>
        <v>0</v>
      </c>
      <c r="D67" s="43">
        <f>IF(A67="","",IFERROR(INDEX(Jobs!$G$5:$G$604,MATCH(A67,Jobs!$A$5:$A$604,0)),""))</f>
        <v>0</v>
      </c>
      <c r="E67" s="23">
        <f>IF(A67="","",IFERROR(INDEX(Jobs!$H$5:$H$604,MATCH(A67,Jobs!$A$5:$A$604,0)),""))</f>
        <v>0</v>
      </c>
      <c r="F67" s="23">
        <f>IF(A67="","",IFERROR(INDEX(Jobs!$K$5:$K$604,MATCH(A67,Jobs!$A$5:$A$604,0)),""))</f>
        <v>0</v>
      </c>
      <c r="G67" s="23">
        <f>IF(A67="","",IFERROR(INDEX(Jobs!$M$5:$M$604,MATCH(A67,Jobs!$A$5:$A$604,0)),""))</f>
        <v>0</v>
      </c>
      <c r="H67" s="23">
        <f>IF(A67="","",IFERROR(INDEX(Jobs!$R$5:$R$604,MATCH(A67,Jobs!$A$5:$A$604,0)),""))</f>
        <v>0</v>
      </c>
      <c r="I67" s="39">
        <f>IF(A67="","",IFERROR(INDEX(Jobs!$P$5:$P$604,MATCH(A67,Jobs!$A$5:$A$604,0)),""))</f>
        <v>0</v>
      </c>
      <c r="J67" s="21">
        <f>IF(A67="","",IF(OR(I67="Completed",I67="Invoiced"),IFERROR(INDEX(Jobs!$AJ$5:$AJ$604,MATCH(A67,Jobs!$A$5:$A$604,0)),0),0))</f>
        <v>0</v>
      </c>
      <c r="K67" s="34">
        <f>IF(A67="","",IFERROR(INDEX(Jobs!$AD$5:$AD$604,MATCH(A67,Jobs!$A$5:$A$604,0)),0))</f>
        <v>0</v>
      </c>
      <c r="L67" s="34">
        <f>IF(A67="","",IFERROR(INDEX(Jobs!$AK$5:$AK$604,MATCH(A67,Jobs!$A$5:$A$604,0)),0))</f>
        <v>0</v>
      </c>
      <c r="M67" s="34">
        <f>IF(A67="","",IF(IFERROR(L67*1,0)&gt;0,L67,IFERROR(K67*1,0)))</f>
        <v>0</v>
      </c>
      <c r="N67" s="21">
        <f>IF(A67="","",SUMIFS(Timesheets!$X$5:$X$804,Timesheets!$G$5:$G$804,A67))</f>
        <v>0</v>
      </c>
      <c r="O67" s="21">
        <f>IF(A67="","",IF(N67&gt;0,N67,ROUND(M67*CostPerHour,2)))</f>
        <v>0</v>
      </c>
      <c r="P67" s="21">
        <f>IF(A67="","",SUMIFS('Supply Usage'!$L$5:$L$304,'Supply Usage'!$F$5:$F$304,A67))</f>
        <v>0</v>
      </c>
      <c r="Q67" s="21">
        <f>IF(A67="","",IF(P67&gt;0,P67,ROUND(M67*SuppliesPerHour,2)))</f>
        <v>0</v>
      </c>
      <c r="R67" s="21">
        <f>IF(A67="","",ROUND(IFERROR(INDEX(Jobs!$W$5:$W$604,MATCH(A67,Jobs!$A$5:$A$604,0)),0)*MileageRate,2))</f>
        <v>0</v>
      </c>
      <c r="T67" s="21">
        <f>IF(A67="","",O67+Q67+R67+IF(S67="",0,S67))</f>
        <v>0</v>
      </c>
      <c r="U67" s="21">
        <f>IF(A67="","",J67-T67)</f>
        <v>0</v>
      </c>
      <c r="V67" s="38">
        <f>IF(OR(A67="",J67=0),"",U67/J67)</f>
        <v>0</v>
      </c>
      <c r="W67" s="21">
        <f>IF(OR(A67="",M67=0,J67=0),"",U67/M67)</f>
        <v>0</v>
      </c>
      <c r="X67" s="34">
        <f>IF(OR(A67="",L67="",L67=0,K67=""),"",L67-K67)</f>
        <v>0</v>
      </c>
      <c r="Y67" s="31">
        <f>IF(A67="","",COUNTIFS($U$5:$U$604,"&gt;"&amp;U67)+COUNTIFS($U$5:U67,U67))</f>
        <v>0</v>
      </c>
      <c r="Z67" s="31">
        <f>IF(A67="","",COUNTIFS($W$5:$W$604,"&gt;"&amp;W67)+COUNTIFS($W$5:W67,W67))</f>
        <v>0</v>
      </c>
      <c r="AA67" s="39">
        <f>IF(A67="","",IF(J67=0,"",IF(U67&lt;0,"Loss - this job cost you money",IF(V67&lt;MarginFloor,"Below - margin under the floor",IF(V67&lt;TargetMargin,"Check - under target margin",IF(AND(X67&lt;&gt;"",X67&gt;0.5),"Check - ran over the estimate","OK"))))))</f>
        <v>0</v>
      </c>
    </row>
    <row r="68" spans="1:27">
      <c r="A68" s="43">
        <f>IF(IFERROR(INDEX(Jobs!$A$5:$A$604,ROW()-4),"")="","",IFERROR(INDEX(Jobs!$A$5:$A$604,ROW()-4),""))</f>
        <v>0</v>
      </c>
      <c r="B68" s="18">
        <f>IF(A68="","",IFERROR(INDEX(Jobs!$B$5:$B$604,MATCH(A68,Jobs!$A$5:$A$604,0)),""))</f>
        <v>0</v>
      </c>
      <c r="C68" s="23">
        <f>IF(B68="","",TEXT(B68,"yyyy-mm"))</f>
        <v>0</v>
      </c>
      <c r="D68" s="43">
        <f>IF(A68="","",IFERROR(INDEX(Jobs!$G$5:$G$604,MATCH(A68,Jobs!$A$5:$A$604,0)),""))</f>
        <v>0</v>
      </c>
      <c r="E68" s="23">
        <f>IF(A68="","",IFERROR(INDEX(Jobs!$H$5:$H$604,MATCH(A68,Jobs!$A$5:$A$604,0)),""))</f>
        <v>0</v>
      </c>
      <c r="F68" s="23">
        <f>IF(A68="","",IFERROR(INDEX(Jobs!$K$5:$K$604,MATCH(A68,Jobs!$A$5:$A$604,0)),""))</f>
        <v>0</v>
      </c>
      <c r="G68" s="23">
        <f>IF(A68="","",IFERROR(INDEX(Jobs!$M$5:$M$604,MATCH(A68,Jobs!$A$5:$A$604,0)),""))</f>
        <v>0</v>
      </c>
      <c r="H68" s="23">
        <f>IF(A68="","",IFERROR(INDEX(Jobs!$R$5:$R$604,MATCH(A68,Jobs!$A$5:$A$604,0)),""))</f>
        <v>0</v>
      </c>
      <c r="I68" s="39">
        <f>IF(A68="","",IFERROR(INDEX(Jobs!$P$5:$P$604,MATCH(A68,Jobs!$A$5:$A$604,0)),""))</f>
        <v>0</v>
      </c>
      <c r="J68" s="21">
        <f>IF(A68="","",IF(OR(I68="Completed",I68="Invoiced"),IFERROR(INDEX(Jobs!$AJ$5:$AJ$604,MATCH(A68,Jobs!$A$5:$A$604,0)),0),0))</f>
        <v>0</v>
      </c>
      <c r="K68" s="34">
        <f>IF(A68="","",IFERROR(INDEX(Jobs!$AD$5:$AD$604,MATCH(A68,Jobs!$A$5:$A$604,0)),0))</f>
        <v>0</v>
      </c>
      <c r="L68" s="34">
        <f>IF(A68="","",IFERROR(INDEX(Jobs!$AK$5:$AK$604,MATCH(A68,Jobs!$A$5:$A$604,0)),0))</f>
        <v>0</v>
      </c>
      <c r="M68" s="34">
        <f>IF(A68="","",IF(IFERROR(L68*1,0)&gt;0,L68,IFERROR(K68*1,0)))</f>
        <v>0</v>
      </c>
      <c r="N68" s="21">
        <f>IF(A68="","",SUMIFS(Timesheets!$X$5:$X$804,Timesheets!$G$5:$G$804,A68))</f>
        <v>0</v>
      </c>
      <c r="O68" s="21">
        <f>IF(A68="","",IF(N68&gt;0,N68,ROUND(M68*CostPerHour,2)))</f>
        <v>0</v>
      </c>
      <c r="P68" s="21">
        <f>IF(A68="","",SUMIFS('Supply Usage'!$L$5:$L$304,'Supply Usage'!$F$5:$F$304,A68))</f>
        <v>0</v>
      </c>
      <c r="Q68" s="21">
        <f>IF(A68="","",IF(P68&gt;0,P68,ROUND(M68*SuppliesPerHour,2)))</f>
        <v>0</v>
      </c>
      <c r="R68" s="21">
        <f>IF(A68="","",ROUND(IFERROR(INDEX(Jobs!$W$5:$W$604,MATCH(A68,Jobs!$A$5:$A$604,0)),0)*MileageRate,2))</f>
        <v>0</v>
      </c>
      <c r="T68" s="21">
        <f>IF(A68="","",O68+Q68+R68+IF(S68="",0,S68))</f>
        <v>0</v>
      </c>
      <c r="U68" s="21">
        <f>IF(A68="","",J68-T68)</f>
        <v>0</v>
      </c>
      <c r="V68" s="38">
        <f>IF(OR(A68="",J68=0),"",U68/J68)</f>
        <v>0</v>
      </c>
      <c r="W68" s="21">
        <f>IF(OR(A68="",M68=0,J68=0),"",U68/M68)</f>
        <v>0</v>
      </c>
      <c r="X68" s="34">
        <f>IF(OR(A68="",L68="",L68=0,K68=""),"",L68-K68)</f>
        <v>0</v>
      </c>
      <c r="Y68" s="31">
        <f>IF(A68="","",COUNTIFS($U$5:$U$604,"&gt;"&amp;U68)+COUNTIFS($U$5:U68,U68))</f>
        <v>0</v>
      </c>
      <c r="Z68" s="31">
        <f>IF(A68="","",COUNTIFS($W$5:$W$604,"&gt;"&amp;W68)+COUNTIFS($W$5:W68,W68))</f>
        <v>0</v>
      </c>
      <c r="AA68" s="39">
        <f>IF(A68="","",IF(J68=0,"",IF(U68&lt;0,"Loss - this job cost you money",IF(V68&lt;MarginFloor,"Below - margin under the floor",IF(V68&lt;TargetMargin,"Check - under target margin",IF(AND(X68&lt;&gt;"",X68&gt;0.5),"Check - ran over the estimate","OK"))))))</f>
        <v>0</v>
      </c>
    </row>
    <row r="69" spans="1:27">
      <c r="A69" s="43">
        <f>IF(IFERROR(INDEX(Jobs!$A$5:$A$604,ROW()-4),"")="","",IFERROR(INDEX(Jobs!$A$5:$A$604,ROW()-4),""))</f>
        <v>0</v>
      </c>
      <c r="B69" s="18">
        <f>IF(A69="","",IFERROR(INDEX(Jobs!$B$5:$B$604,MATCH(A69,Jobs!$A$5:$A$604,0)),""))</f>
        <v>0</v>
      </c>
      <c r="C69" s="23">
        <f>IF(B69="","",TEXT(B69,"yyyy-mm"))</f>
        <v>0</v>
      </c>
      <c r="D69" s="43">
        <f>IF(A69="","",IFERROR(INDEX(Jobs!$G$5:$G$604,MATCH(A69,Jobs!$A$5:$A$604,0)),""))</f>
        <v>0</v>
      </c>
      <c r="E69" s="23">
        <f>IF(A69="","",IFERROR(INDEX(Jobs!$H$5:$H$604,MATCH(A69,Jobs!$A$5:$A$604,0)),""))</f>
        <v>0</v>
      </c>
      <c r="F69" s="23">
        <f>IF(A69="","",IFERROR(INDEX(Jobs!$K$5:$K$604,MATCH(A69,Jobs!$A$5:$A$604,0)),""))</f>
        <v>0</v>
      </c>
      <c r="G69" s="23">
        <f>IF(A69="","",IFERROR(INDEX(Jobs!$M$5:$M$604,MATCH(A69,Jobs!$A$5:$A$604,0)),""))</f>
        <v>0</v>
      </c>
      <c r="H69" s="23">
        <f>IF(A69="","",IFERROR(INDEX(Jobs!$R$5:$R$604,MATCH(A69,Jobs!$A$5:$A$604,0)),""))</f>
        <v>0</v>
      </c>
      <c r="I69" s="39">
        <f>IF(A69="","",IFERROR(INDEX(Jobs!$P$5:$P$604,MATCH(A69,Jobs!$A$5:$A$604,0)),""))</f>
        <v>0</v>
      </c>
      <c r="J69" s="21">
        <f>IF(A69="","",IF(OR(I69="Completed",I69="Invoiced"),IFERROR(INDEX(Jobs!$AJ$5:$AJ$604,MATCH(A69,Jobs!$A$5:$A$604,0)),0),0))</f>
        <v>0</v>
      </c>
      <c r="K69" s="34">
        <f>IF(A69="","",IFERROR(INDEX(Jobs!$AD$5:$AD$604,MATCH(A69,Jobs!$A$5:$A$604,0)),0))</f>
        <v>0</v>
      </c>
      <c r="L69" s="34">
        <f>IF(A69="","",IFERROR(INDEX(Jobs!$AK$5:$AK$604,MATCH(A69,Jobs!$A$5:$A$604,0)),0))</f>
        <v>0</v>
      </c>
      <c r="M69" s="34">
        <f>IF(A69="","",IF(IFERROR(L69*1,0)&gt;0,L69,IFERROR(K69*1,0)))</f>
        <v>0</v>
      </c>
      <c r="N69" s="21">
        <f>IF(A69="","",SUMIFS(Timesheets!$X$5:$X$804,Timesheets!$G$5:$G$804,A69))</f>
        <v>0</v>
      </c>
      <c r="O69" s="21">
        <f>IF(A69="","",IF(N69&gt;0,N69,ROUND(M69*CostPerHour,2)))</f>
        <v>0</v>
      </c>
      <c r="P69" s="21">
        <f>IF(A69="","",SUMIFS('Supply Usage'!$L$5:$L$304,'Supply Usage'!$F$5:$F$304,A69))</f>
        <v>0</v>
      </c>
      <c r="Q69" s="21">
        <f>IF(A69="","",IF(P69&gt;0,P69,ROUND(M69*SuppliesPerHour,2)))</f>
        <v>0</v>
      </c>
      <c r="R69" s="21">
        <f>IF(A69="","",ROUND(IFERROR(INDEX(Jobs!$W$5:$W$604,MATCH(A69,Jobs!$A$5:$A$604,0)),0)*MileageRate,2))</f>
        <v>0</v>
      </c>
      <c r="T69" s="21">
        <f>IF(A69="","",O69+Q69+R69+IF(S69="",0,S69))</f>
        <v>0</v>
      </c>
      <c r="U69" s="21">
        <f>IF(A69="","",J69-T69)</f>
        <v>0</v>
      </c>
      <c r="V69" s="38">
        <f>IF(OR(A69="",J69=0),"",U69/J69)</f>
        <v>0</v>
      </c>
      <c r="W69" s="21">
        <f>IF(OR(A69="",M69=0,J69=0),"",U69/M69)</f>
        <v>0</v>
      </c>
      <c r="X69" s="34">
        <f>IF(OR(A69="",L69="",L69=0,K69=""),"",L69-K69)</f>
        <v>0</v>
      </c>
      <c r="Y69" s="31">
        <f>IF(A69="","",COUNTIFS($U$5:$U$604,"&gt;"&amp;U69)+COUNTIFS($U$5:U69,U69))</f>
        <v>0</v>
      </c>
      <c r="Z69" s="31">
        <f>IF(A69="","",COUNTIFS($W$5:$W$604,"&gt;"&amp;W69)+COUNTIFS($W$5:W69,W69))</f>
        <v>0</v>
      </c>
      <c r="AA69" s="39">
        <f>IF(A69="","",IF(J69=0,"",IF(U69&lt;0,"Loss - this job cost you money",IF(V69&lt;MarginFloor,"Below - margin under the floor",IF(V69&lt;TargetMargin,"Check - under target margin",IF(AND(X69&lt;&gt;"",X69&gt;0.5),"Check - ran over the estimate","OK"))))))</f>
        <v>0</v>
      </c>
    </row>
    <row r="70" spans="1:27">
      <c r="A70" s="43">
        <f>IF(IFERROR(INDEX(Jobs!$A$5:$A$604,ROW()-4),"")="","",IFERROR(INDEX(Jobs!$A$5:$A$604,ROW()-4),""))</f>
        <v>0</v>
      </c>
      <c r="B70" s="18">
        <f>IF(A70="","",IFERROR(INDEX(Jobs!$B$5:$B$604,MATCH(A70,Jobs!$A$5:$A$604,0)),""))</f>
        <v>0</v>
      </c>
      <c r="C70" s="23">
        <f>IF(B70="","",TEXT(B70,"yyyy-mm"))</f>
        <v>0</v>
      </c>
      <c r="D70" s="43">
        <f>IF(A70="","",IFERROR(INDEX(Jobs!$G$5:$G$604,MATCH(A70,Jobs!$A$5:$A$604,0)),""))</f>
        <v>0</v>
      </c>
      <c r="E70" s="23">
        <f>IF(A70="","",IFERROR(INDEX(Jobs!$H$5:$H$604,MATCH(A70,Jobs!$A$5:$A$604,0)),""))</f>
        <v>0</v>
      </c>
      <c r="F70" s="23">
        <f>IF(A70="","",IFERROR(INDEX(Jobs!$K$5:$K$604,MATCH(A70,Jobs!$A$5:$A$604,0)),""))</f>
        <v>0</v>
      </c>
      <c r="G70" s="23">
        <f>IF(A70="","",IFERROR(INDEX(Jobs!$M$5:$M$604,MATCH(A70,Jobs!$A$5:$A$604,0)),""))</f>
        <v>0</v>
      </c>
      <c r="H70" s="23">
        <f>IF(A70="","",IFERROR(INDEX(Jobs!$R$5:$R$604,MATCH(A70,Jobs!$A$5:$A$604,0)),""))</f>
        <v>0</v>
      </c>
      <c r="I70" s="39">
        <f>IF(A70="","",IFERROR(INDEX(Jobs!$P$5:$P$604,MATCH(A70,Jobs!$A$5:$A$604,0)),""))</f>
        <v>0</v>
      </c>
      <c r="J70" s="21">
        <f>IF(A70="","",IF(OR(I70="Completed",I70="Invoiced"),IFERROR(INDEX(Jobs!$AJ$5:$AJ$604,MATCH(A70,Jobs!$A$5:$A$604,0)),0),0))</f>
        <v>0</v>
      </c>
      <c r="K70" s="34">
        <f>IF(A70="","",IFERROR(INDEX(Jobs!$AD$5:$AD$604,MATCH(A70,Jobs!$A$5:$A$604,0)),0))</f>
        <v>0</v>
      </c>
      <c r="L70" s="34">
        <f>IF(A70="","",IFERROR(INDEX(Jobs!$AK$5:$AK$604,MATCH(A70,Jobs!$A$5:$A$604,0)),0))</f>
        <v>0</v>
      </c>
      <c r="M70" s="34">
        <f>IF(A70="","",IF(IFERROR(L70*1,0)&gt;0,L70,IFERROR(K70*1,0)))</f>
        <v>0</v>
      </c>
      <c r="N70" s="21">
        <f>IF(A70="","",SUMIFS(Timesheets!$X$5:$X$804,Timesheets!$G$5:$G$804,A70))</f>
        <v>0</v>
      </c>
      <c r="O70" s="21">
        <f>IF(A70="","",IF(N70&gt;0,N70,ROUND(M70*CostPerHour,2)))</f>
        <v>0</v>
      </c>
      <c r="P70" s="21">
        <f>IF(A70="","",SUMIFS('Supply Usage'!$L$5:$L$304,'Supply Usage'!$F$5:$F$304,A70))</f>
        <v>0</v>
      </c>
      <c r="Q70" s="21">
        <f>IF(A70="","",IF(P70&gt;0,P70,ROUND(M70*SuppliesPerHour,2)))</f>
        <v>0</v>
      </c>
      <c r="R70" s="21">
        <f>IF(A70="","",ROUND(IFERROR(INDEX(Jobs!$W$5:$W$604,MATCH(A70,Jobs!$A$5:$A$604,0)),0)*MileageRate,2))</f>
        <v>0</v>
      </c>
      <c r="T70" s="21">
        <f>IF(A70="","",O70+Q70+R70+IF(S70="",0,S70))</f>
        <v>0</v>
      </c>
      <c r="U70" s="21">
        <f>IF(A70="","",J70-T70)</f>
        <v>0</v>
      </c>
      <c r="V70" s="38">
        <f>IF(OR(A70="",J70=0),"",U70/J70)</f>
        <v>0</v>
      </c>
      <c r="W70" s="21">
        <f>IF(OR(A70="",M70=0,J70=0),"",U70/M70)</f>
        <v>0</v>
      </c>
      <c r="X70" s="34">
        <f>IF(OR(A70="",L70="",L70=0,K70=""),"",L70-K70)</f>
        <v>0</v>
      </c>
      <c r="Y70" s="31">
        <f>IF(A70="","",COUNTIFS($U$5:$U$604,"&gt;"&amp;U70)+COUNTIFS($U$5:U70,U70))</f>
        <v>0</v>
      </c>
      <c r="Z70" s="31">
        <f>IF(A70="","",COUNTIFS($W$5:$W$604,"&gt;"&amp;W70)+COUNTIFS($W$5:W70,W70))</f>
        <v>0</v>
      </c>
      <c r="AA70" s="39">
        <f>IF(A70="","",IF(J70=0,"",IF(U70&lt;0,"Loss - this job cost you money",IF(V70&lt;MarginFloor,"Below - margin under the floor",IF(V70&lt;TargetMargin,"Check - under target margin",IF(AND(X70&lt;&gt;"",X70&gt;0.5),"Check - ran over the estimate","OK"))))))</f>
        <v>0</v>
      </c>
    </row>
    <row r="71" spans="1:27">
      <c r="A71" s="43">
        <f>IF(IFERROR(INDEX(Jobs!$A$5:$A$604,ROW()-4),"")="","",IFERROR(INDEX(Jobs!$A$5:$A$604,ROW()-4),""))</f>
        <v>0</v>
      </c>
      <c r="B71" s="18">
        <f>IF(A71="","",IFERROR(INDEX(Jobs!$B$5:$B$604,MATCH(A71,Jobs!$A$5:$A$604,0)),""))</f>
        <v>0</v>
      </c>
      <c r="C71" s="23">
        <f>IF(B71="","",TEXT(B71,"yyyy-mm"))</f>
        <v>0</v>
      </c>
      <c r="D71" s="43">
        <f>IF(A71="","",IFERROR(INDEX(Jobs!$G$5:$G$604,MATCH(A71,Jobs!$A$5:$A$604,0)),""))</f>
        <v>0</v>
      </c>
      <c r="E71" s="23">
        <f>IF(A71="","",IFERROR(INDEX(Jobs!$H$5:$H$604,MATCH(A71,Jobs!$A$5:$A$604,0)),""))</f>
        <v>0</v>
      </c>
      <c r="F71" s="23">
        <f>IF(A71="","",IFERROR(INDEX(Jobs!$K$5:$K$604,MATCH(A71,Jobs!$A$5:$A$604,0)),""))</f>
        <v>0</v>
      </c>
      <c r="G71" s="23">
        <f>IF(A71="","",IFERROR(INDEX(Jobs!$M$5:$M$604,MATCH(A71,Jobs!$A$5:$A$604,0)),""))</f>
        <v>0</v>
      </c>
      <c r="H71" s="23">
        <f>IF(A71="","",IFERROR(INDEX(Jobs!$R$5:$R$604,MATCH(A71,Jobs!$A$5:$A$604,0)),""))</f>
        <v>0</v>
      </c>
      <c r="I71" s="39">
        <f>IF(A71="","",IFERROR(INDEX(Jobs!$P$5:$P$604,MATCH(A71,Jobs!$A$5:$A$604,0)),""))</f>
        <v>0</v>
      </c>
      <c r="J71" s="21">
        <f>IF(A71="","",IF(OR(I71="Completed",I71="Invoiced"),IFERROR(INDEX(Jobs!$AJ$5:$AJ$604,MATCH(A71,Jobs!$A$5:$A$604,0)),0),0))</f>
        <v>0</v>
      </c>
      <c r="K71" s="34">
        <f>IF(A71="","",IFERROR(INDEX(Jobs!$AD$5:$AD$604,MATCH(A71,Jobs!$A$5:$A$604,0)),0))</f>
        <v>0</v>
      </c>
      <c r="L71" s="34">
        <f>IF(A71="","",IFERROR(INDEX(Jobs!$AK$5:$AK$604,MATCH(A71,Jobs!$A$5:$A$604,0)),0))</f>
        <v>0</v>
      </c>
      <c r="M71" s="34">
        <f>IF(A71="","",IF(IFERROR(L71*1,0)&gt;0,L71,IFERROR(K71*1,0)))</f>
        <v>0</v>
      </c>
      <c r="N71" s="21">
        <f>IF(A71="","",SUMIFS(Timesheets!$X$5:$X$804,Timesheets!$G$5:$G$804,A71))</f>
        <v>0</v>
      </c>
      <c r="O71" s="21">
        <f>IF(A71="","",IF(N71&gt;0,N71,ROUND(M71*CostPerHour,2)))</f>
        <v>0</v>
      </c>
      <c r="P71" s="21">
        <f>IF(A71="","",SUMIFS('Supply Usage'!$L$5:$L$304,'Supply Usage'!$F$5:$F$304,A71))</f>
        <v>0</v>
      </c>
      <c r="Q71" s="21">
        <f>IF(A71="","",IF(P71&gt;0,P71,ROUND(M71*SuppliesPerHour,2)))</f>
        <v>0</v>
      </c>
      <c r="R71" s="21">
        <f>IF(A71="","",ROUND(IFERROR(INDEX(Jobs!$W$5:$W$604,MATCH(A71,Jobs!$A$5:$A$604,0)),0)*MileageRate,2))</f>
        <v>0</v>
      </c>
      <c r="T71" s="21">
        <f>IF(A71="","",O71+Q71+R71+IF(S71="",0,S71))</f>
        <v>0</v>
      </c>
      <c r="U71" s="21">
        <f>IF(A71="","",J71-T71)</f>
        <v>0</v>
      </c>
      <c r="V71" s="38">
        <f>IF(OR(A71="",J71=0),"",U71/J71)</f>
        <v>0</v>
      </c>
      <c r="W71" s="21">
        <f>IF(OR(A71="",M71=0,J71=0),"",U71/M71)</f>
        <v>0</v>
      </c>
      <c r="X71" s="34">
        <f>IF(OR(A71="",L71="",L71=0,K71=""),"",L71-K71)</f>
        <v>0</v>
      </c>
      <c r="Y71" s="31">
        <f>IF(A71="","",COUNTIFS($U$5:$U$604,"&gt;"&amp;U71)+COUNTIFS($U$5:U71,U71))</f>
        <v>0</v>
      </c>
      <c r="Z71" s="31">
        <f>IF(A71="","",COUNTIFS($W$5:$W$604,"&gt;"&amp;W71)+COUNTIFS($W$5:W71,W71))</f>
        <v>0</v>
      </c>
      <c r="AA71" s="39">
        <f>IF(A71="","",IF(J71=0,"",IF(U71&lt;0,"Loss - this job cost you money",IF(V71&lt;MarginFloor,"Below - margin under the floor",IF(V71&lt;TargetMargin,"Check - under target margin",IF(AND(X71&lt;&gt;"",X71&gt;0.5),"Check - ran over the estimate","OK"))))))</f>
        <v>0</v>
      </c>
    </row>
    <row r="72" spans="1:27">
      <c r="A72" s="43">
        <f>IF(IFERROR(INDEX(Jobs!$A$5:$A$604,ROW()-4),"")="","",IFERROR(INDEX(Jobs!$A$5:$A$604,ROW()-4),""))</f>
        <v>0</v>
      </c>
      <c r="B72" s="18">
        <f>IF(A72="","",IFERROR(INDEX(Jobs!$B$5:$B$604,MATCH(A72,Jobs!$A$5:$A$604,0)),""))</f>
        <v>0</v>
      </c>
      <c r="C72" s="23">
        <f>IF(B72="","",TEXT(B72,"yyyy-mm"))</f>
        <v>0</v>
      </c>
      <c r="D72" s="43">
        <f>IF(A72="","",IFERROR(INDEX(Jobs!$G$5:$G$604,MATCH(A72,Jobs!$A$5:$A$604,0)),""))</f>
        <v>0</v>
      </c>
      <c r="E72" s="23">
        <f>IF(A72="","",IFERROR(INDEX(Jobs!$H$5:$H$604,MATCH(A72,Jobs!$A$5:$A$604,0)),""))</f>
        <v>0</v>
      </c>
      <c r="F72" s="23">
        <f>IF(A72="","",IFERROR(INDEX(Jobs!$K$5:$K$604,MATCH(A72,Jobs!$A$5:$A$604,0)),""))</f>
        <v>0</v>
      </c>
      <c r="G72" s="23">
        <f>IF(A72="","",IFERROR(INDEX(Jobs!$M$5:$M$604,MATCH(A72,Jobs!$A$5:$A$604,0)),""))</f>
        <v>0</v>
      </c>
      <c r="H72" s="23">
        <f>IF(A72="","",IFERROR(INDEX(Jobs!$R$5:$R$604,MATCH(A72,Jobs!$A$5:$A$604,0)),""))</f>
        <v>0</v>
      </c>
      <c r="I72" s="39">
        <f>IF(A72="","",IFERROR(INDEX(Jobs!$P$5:$P$604,MATCH(A72,Jobs!$A$5:$A$604,0)),""))</f>
        <v>0</v>
      </c>
      <c r="J72" s="21">
        <f>IF(A72="","",IF(OR(I72="Completed",I72="Invoiced"),IFERROR(INDEX(Jobs!$AJ$5:$AJ$604,MATCH(A72,Jobs!$A$5:$A$604,0)),0),0))</f>
        <v>0</v>
      </c>
      <c r="K72" s="34">
        <f>IF(A72="","",IFERROR(INDEX(Jobs!$AD$5:$AD$604,MATCH(A72,Jobs!$A$5:$A$604,0)),0))</f>
        <v>0</v>
      </c>
      <c r="L72" s="34">
        <f>IF(A72="","",IFERROR(INDEX(Jobs!$AK$5:$AK$604,MATCH(A72,Jobs!$A$5:$A$604,0)),0))</f>
        <v>0</v>
      </c>
      <c r="M72" s="34">
        <f>IF(A72="","",IF(IFERROR(L72*1,0)&gt;0,L72,IFERROR(K72*1,0)))</f>
        <v>0</v>
      </c>
      <c r="N72" s="21">
        <f>IF(A72="","",SUMIFS(Timesheets!$X$5:$X$804,Timesheets!$G$5:$G$804,A72))</f>
        <v>0</v>
      </c>
      <c r="O72" s="21">
        <f>IF(A72="","",IF(N72&gt;0,N72,ROUND(M72*CostPerHour,2)))</f>
        <v>0</v>
      </c>
      <c r="P72" s="21">
        <f>IF(A72="","",SUMIFS('Supply Usage'!$L$5:$L$304,'Supply Usage'!$F$5:$F$304,A72))</f>
        <v>0</v>
      </c>
      <c r="Q72" s="21">
        <f>IF(A72="","",IF(P72&gt;0,P72,ROUND(M72*SuppliesPerHour,2)))</f>
        <v>0</v>
      </c>
      <c r="R72" s="21">
        <f>IF(A72="","",ROUND(IFERROR(INDEX(Jobs!$W$5:$W$604,MATCH(A72,Jobs!$A$5:$A$604,0)),0)*MileageRate,2))</f>
        <v>0</v>
      </c>
      <c r="T72" s="21">
        <f>IF(A72="","",O72+Q72+R72+IF(S72="",0,S72))</f>
        <v>0</v>
      </c>
      <c r="U72" s="21">
        <f>IF(A72="","",J72-T72)</f>
        <v>0</v>
      </c>
      <c r="V72" s="38">
        <f>IF(OR(A72="",J72=0),"",U72/J72)</f>
        <v>0</v>
      </c>
      <c r="W72" s="21">
        <f>IF(OR(A72="",M72=0,J72=0),"",U72/M72)</f>
        <v>0</v>
      </c>
      <c r="X72" s="34">
        <f>IF(OR(A72="",L72="",L72=0,K72=""),"",L72-K72)</f>
        <v>0</v>
      </c>
      <c r="Y72" s="31">
        <f>IF(A72="","",COUNTIFS($U$5:$U$604,"&gt;"&amp;U72)+COUNTIFS($U$5:U72,U72))</f>
        <v>0</v>
      </c>
      <c r="Z72" s="31">
        <f>IF(A72="","",COUNTIFS($W$5:$W$604,"&gt;"&amp;W72)+COUNTIFS($W$5:W72,W72))</f>
        <v>0</v>
      </c>
      <c r="AA72" s="39">
        <f>IF(A72="","",IF(J72=0,"",IF(U72&lt;0,"Loss - this job cost you money",IF(V72&lt;MarginFloor,"Below - margin under the floor",IF(V72&lt;TargetMargin,"Check - under target margin",IF(AND(X72&lt;&gt;"",X72&gt;0.5),"Check - ran over the estimate","OK"))))))</f>
        <v>0</v>
      </c>
    </row>
    <row r="73" spans="1:27">
      <c r="A73" s="43">
        <f>IF(IFERROR(INDEX(Jobs!$A$5:$A$604,ROW()-4),"")="","",IFERROR(INDEX(Jobs!$A$5:$A$604,ROW()-4),""))</f>
        <v>0</v>
      </c>
      <c r="B73" s="18">
        <f>IF(A73="","",IFERROR(INDEX(Jobs!$B$5:$B$604,MATCH(A73,Jobs!$A$5:$A$604,0)),""))</f>
        <v>0</v>
      </c>
      <c r="C73" s="23">
        <f>IF(B73="","",TEXT(B73,"yyyy-mm"))</f>
        <v>0</v>
      </c>
      <c r="D73" s="43">
        <f>IF(A73="","",IFERROR(INDEX(Jobs!$G$5:$G$604,MATCH(A73,Jobs!$A$5:$A$604,0)),""))</f>
        <v>0</v>
      </c>
      <c r="E73" s="23">
        <f>IF(A73="","",IFERROR(INDEX(Jobs!$H$5:$H$604,MATCH(A73,Jobs!$A$5:$A$604,0)),""))</f>
        <v>0</v>
      </c>
      <c r="F73" s="23">
        <f>IF(A73="","",IFERROR(INDEX(Jobs!$K$5:$K$604,MATCH(A73,Jobs!$A$5:$A$604,0)),""))</f>
        <v>0</v>
      </c>
      <c r="G73" s="23">
        <f>IF(A73="","",IFERROR(INDEX(Jobs!$M$5:$M$604,MATCH(A73,Jobs!$A$5:$A$604,0)),""))</f>
        <v>0</v>
      </c>
      <c r="H73" s="23">
        <f>IF(A73="","",IFERROR(INDEX(Jobs!$R$5:$R$604,MATCH(A73,Jobs!$A$5:$A$604,0)),""))</f>
        <v>0</v>
      </c>
      <c r="I73" s="39">
        <f>IF(A73="","",IFERROR(INDEX(Jobs!$P$5:$P$604,MATCH(A73,Jobs!$A$5:$A$604,0)),""))</f>
        <v>0</v>
      </c>
      <c r="J73" s="21">
        <f>IF(A73="","",IF(OR(I73="Completed",I73="Invoiced"),IFERROR(INDEX(Jobs!$AJ$5:$AJ$604,MATCH(A73,Jobs!$A$5:$A$604,0)),0),0))</f>
        <v>0</v>
      </c>
      <c r="K73" s="34">
        <f>IF(A73="","",IFERROR(INDEX(Jobs!$AD$5:$AD$604,MATCH(A73,Jobs!$A$5:$A$604,0)),0))</f>
        <v>0</v>
      </c>
      <c r="L73" s="34">
        <f>IF(A73="","",IFERROR(INDEX(Jobs!$AK$5:$AK$604,MATCH(A73,Jobs!$A$5:$A$604,0)),0))</f>
        <v>0</v>
      </c>
      <c r="M73" s="34">
        <f>IF(A73="","",IF(IFERROR(L73*1,0)&gt;0,L73,IFERROR(K73*1,0)))</f>
        <v>0</v>
      </c>
      <c r="N73" s="21">
        <f>IF(A73="","",SUMIFS(Timesheets!$X$5:$X$804,Timesheets!$G$5:$G$804,A73))</f>
        <v>0</v>
      </c>
      <c r="O73" s="21">
        <f>IF(A73="","",IF(N73&gt;0,N73,ROUND(M73*CostPerHour,2)))</f>
        <v>0</v>
      </c>
      <c r="P73" s="21">
        <f>IF(A73="","",SUMIFS('Supply Usage'!$L$5:$L$304,'Supply Usage'!$F$5:$F$304,A73))</f>
        <v>0</v>
      </c>
      <c r="Q73" s="21">
        <f>IF(A73="","",IF(P73&gt;0,P73,ROUND(M73*SuppliesPerHour,2)))</f>
        <v>0</v>
      </c>
      <c r="R73" s="21">
        <f>IF(A73="","",ROUND(IFERROR(INDEX(Jobs!$W$5:$W$604,MATCH(A73,Jobs!$A$5:$A$604,0)),0)*MileageRate,2))</f>
        <v>0</v>
      </c>
      <c r="T73" s="21">
        <f>IF(A73="","",O73+Q73+R73+IF(S73="",0,S73))</f>
        <v>0</v>
      </c>
      <c r="U73" s="21">
        <f>IF(A73="","",J73-T73)</f>
        <v>0</v>
      </c>
      <c r="V73" s="38">
        <f>IF(OR(A73="",J73=0),"",U73/J73)</f>
        <v>0</v>
      </c>
      <c r="W73" s="21">
        <f>IF(OR(A73="",M73=0,J73=0),"",U73/M73)</f>
        <v>0</v>
      </c>
      <c r="X73" s="34">
        <f>IF(OR(A73="",L73="",L73=0,K73=""),"",L73-K73)</f>
        <v>0</v>
      </c>
      <c r="Y73" s="31">
        <f>IF(A73="","",COUNTIFS($U$5:$U$604,"&gt;"&amp;U73)+COUNTIFS($U$5:U73,U73))</f>
        <v>0</v>
      </c>
      <c r="Z73" s="31">
        <f>IF(A73="","",COUNTIFS($W$5:$W$604,"&gt;"&amp;W73)+COUNTIFS($W$5:W73,W73))</f>
        <v>0</v>
      </c>
      <c r="AA73" s="39">
        <f>IF(A73="","",IF(J73=0,"",IF(U73&lt;0,"Loss - this job cost you money",IF(V73&lt;MarginFloor,"Below - margin under the floor",IF(V73&lt;TargetMargin,"Check - under target margin",IF(AND(X73&lt;&gt;"",X73&gt;0.5),"Check - ran over the estimate","OK"))))))</f>
        <v>0</v>
      </c>
    </row>
    <row r="74" spans="1:27">
      <c r="A74" s="43">
        <f>IF(IFERROR(INDEX(Jobs!$A$5:$A$604,ROW()-4),"")="","",IFERROR(INDEX(Jobs!$A$5:$A$604,ROW()-4),""))</f>
        <v>0</v>
      </c>
      <c r="B74" s="18">
        <f>IF(A74="","",IFERROR(INDEX(Jobs!$B$5:$B$604,MATCH(A74,Jobs!$A$5:$A$604,0)),""))</f>
        <v>0</v>
      </c>
      <c r="C74" s="23">
        <f>IF(B74="","",TEXT(B74,"yyyy-mm"))</f>
        <v>0</v>
      </c>
      <c r="D74" s="43">
        <f>IF(A74="","",IFERROR(INDEX(Jobs!$G$5:$G$604,MATCH(A74,Jobs!$A$5:$A$604,0)),""))</f>
        <v>0</v>
      </c>
      <c r="E74" s="23">
        <f>IF(A74="","",IFERROR(INDEX(Jobs!$H$5:$H$604,MATCH(A74,Jobs!$A$5:$A$604,0)),""))</f>
        <v>0</v>
      </c>
      <c r="F74" s="23">
        <f>IF(A74="","",IFERROR(INDEX(Jobs!$K$5:$K$604,MATCH(A74,Jobs!$A$5:$A$604,0)),""))</f>
        <v>0</v>
      </c>
      <c r="G74" s="23">
        <f>IF(A74="","",IFERROR(INDEX(Jobs!$M$5:$M$604,MATCH(A74,Jobs!$A$5:$A$604,0)),""))</f>
        <v>0</v>
      </c>
      <c r="H74" s="23">
        <f>IF(A74="","",IFERROR(INDEX(Jobs!$R$5:$R$604,MATCH(A74,Jobs!$A$5:$A$604,0)),""))</f>
        <v>0</v>
      </c>
      <c r="I74" s="39">
        <f>IF(A74="","",IFERROR(INDEX(Jobs!$P$5:$P$604,MATCH(A74,Jobs!$A$5:$A$604,0)),""))</f>
        <v>0</v>
      </c>
      <c r="J74" s="21">
        <f>IF(A74="","",IF(OR(I74="Completed",I74="Invoiced"),IFERROR(INDEX(Jobs!$AJ$5:$AJ$604,MATCH(A74,Jobs!$A$5:$A$604,0)),0),0))</f>
        <v>0</v>
      </c>
      <c r="K74" s="34">
        <f>IF(A74="","",IFERROR(INDEX(Jobs!$AD$5:$AD$604,MATCH(A74,Jobs!$A$5:$A$604,0)),0))</f>
        <v>0</v>
      </c>
      <c r="L74" s="34">
        <f>IF(A74="","",IFERROR(INDEX(Jobs!$AK$5:$AK$604,MATCH(A74,Jobs!$A$5:$A$604,0)),0))</f>
        <v>0</v>
      </c>
      <c r="M74" s="34">
        <f>IF(A74="","",IF(IFERROR(L74*1,0)&gt;0,L74,IFERROR(K74*1,0)))</f>
        <v>0</v>
      </c>
      <c r="N74" s="21">
        <f>IF(A74="","",SUMIFS(Timesheets!$X$5:$X$804,Timesheets!$G$5:$G$804,A74))</f>
        <v>0</v>
      </c>
      <c r="O74" s="21">
        <f>IF(A74="","",IF(N74&gt;0,N74,ROUND(M74*CostPerHour,2)))</f>
        <v>0</v>
      </c>
      <c r="P74" s="21">
        <f>IF(A74="","",SUMIFS('Supply Usage'!$L$5:$L$304,'Supply Usage'!$F$5:$F$304,A74))</f>
        <v>0</v>
      </c>
      <c r="Q74" s="21">
        <f>IF(A74="","",IF(P74&gt;0,P74,ROUND(M74*SuppliesPerHour,2)))</f>
        <v>0</v>
      </c>
      <c r="R74" s="21">
        <f>IF(A74="","",ROUND(IFERROR(INDEX(Jobs!$W$5:$W$604,MATCH(A74,Jobs!$A$5:$A$604,0)),0)*MileageRate,2))</f>
        <v>0</v>
      </c>
      <c r="T74" s="21">
        <f>IF(A74="","",O74+Q74+R74+IF(S74="",0,S74))</f>
        <v>0</v>
      </c>
      <c r="U74" s="21">
        <f>IF(A74="","",J74-T74)</f>
        <v>0</v>
      </c>
      <c r="V74" s="38">
        <f>IF(OR(A74="",J74=0),"",U74/J74)</f>
        <v>0</v>
      </c>
      <c r="W74" s="21">
        <f>IF(OR(A74="",M74=0,J74=0),"",U74/M74)</f>
        <v>0</v>
      </c>
      <c r="X74" s="34">
        <f>IF(OR(A74="",L74="",L74=0,K74=""),"",L74-K74)</f>
        <v>0</v>
      </c>
      <c r="Y74" s="31">
        <f>IF(A74="","",COUNTIFS($U$5:$U$604,"&gt;"&amp;U74)+COUNTIFS($U$5:U74,U74))</f>
        <v>0</v>
      </c>
      <c r="Z74" s="31">
        <f>IF(A74="","",COUNTIFS($W$5:$W$604,"&gt;"&amp;W74)+COUNTIFS($W$5:W74,W74))</f>
        <v>0</v>
      </c>
      <c r="AA74" s="39">
        <f>IF(A74="","",IF(J74=0,"",IF(U74&lt;0,"Loss - this job cost you money",IF(V74&lt;MarginFloor,"Below - margin under the floor",IF(V74&lt;TargetMargin,"Check - under target margin",IF(AND(X74&lt;&gt;"",X74&gt;0.5),"Check - ran over the estimate","OK"))))))</f>
        <v>0</v>
      </c>
    </row>
    <row r="75" spans="1:27">
      <c r="A75" s="43">
        <f>IF(IFERROR(INDEX(Jobs!$A$5:$A$604,ROW()-4),"")="","",IFERROR(INDEX(Jobs!$A$5:$A$604,ROW()-4),""))</f>
        <v>0</v>
      </c>
      <c r="B75" s="18">
        <f>IF(A75="","",IFERROR(INDEX(Jobs!$B$5:$B$604,MATCH(A75,Jobs!$A$5:$A$604,0)),""))</f>
        <v>0</v>
      </c>
      <c r="C75" s="23">
        <f>IF(B75="","",TEXT(B75,"yyyy-mm"))</f>
        <v>0</v>
      </c>
      <c r="D75" s="43">
        <f>IF(A75="","",IFERROR(INDEX(Jobs!$G$5:$G$604,MATCH(A75,Jobs!$A$5:$A$604,0)),""))</f>
        <v>0</v>
      </c>
      <c r="E75" s="23">
        <f>IF(A75="","",IFERROR(INDEX(Jobs!$H$5:$H$604,MATCH(A75,Jobs!$A$5:$A$604,0)),""))</f>
        <v>0</v>
      </c>
      <c r="F75" s="23">
        <f>IF(A75="","",IFERROR(INDEX(Jobs!$K$5:$K$604,MATCH(A75,Jobs!$A$5:$A$604,0)),""))</f>
        <v>0</v>
      </c>
      <c r="G75" s="23">
        <f>IF(A75="","",IFERROR(INDEX(Jobs!$M$5:$M$604,MATCH(A75,Jobs!$A$5:$A$604,0)),""))</f>
        <v>0</v>
      </c>
      <c r="H75" s="23">
        <f>IF(A75="","",IFERROR(INDEX(Jobs!$R$5:$R$604,MATCH(A75,Jobs!$A$5:$A$604,0)),""))</f>
        <v>0</v>
      </c>
      <c r="I75" s="39">
        <f>IF(A75="","",IFERROR(INDEX(Jobs!$P$5:$P$604,MATCH(A75,Jobs!$A$5:$A$604,0)),""))</f>
        <v>0</v>
      </c>
      <c r="J75" s="21">
        <f>IF(A75="","",IF(OR(I75="Completed",I75="Invoiced"),IFERROR(INDEX(Jobs!$AJ$5:$AJ$604,MATCH(A75,Jobs!$A$5:$A$604,0)),0),0))</f>
        <v>0</v>
      </c>
      <c r="K75" s="34">
        <f>IF(A75="","",IFERROR(INDEX(Jobs!$AD$5:$AD$604,MATCH(A75,Jobs!$A$5:$A$604,0)),0))</f>
        <v>0</v>
      </c>
      <c r="L75" s="34">
        <f>IF(A75="","",IFERROR(INDEX(Jobs!$AK$5:$AK$604,MATCH(A75,Jobs!$A$5:$A$604,0)),0))</f>
        <v>0</v>
      </c>
      <c r="M75" s="34">
        <f>IF(A75="","",IF(IFERROR(L75*1,0)&gt;0,L75,IFERROR(K75*1,0)))</f>
        <v>0</v>
      </c>
      <c r="N75" s="21">
        <f>IF(A75="","",SUMIFS(Timesheets!$X$5:$X$804,Timesheets!$G$5:$G$804,A75))</f>
        <v>0</v>
      </c>
      <c r="O75" s="21">
        <f>IF(A75="","",IF(N75&gt;0,N75,ROUND(M75*CostPerHour,2)))</f>
        <v>0</v>
      </c>
      <c r="P75" s="21">
        <f>IF(A75="","",SUMIFS('Supply Usage'!$L$5:$L$304,'Supply Usage'!$F$5:$F$304,A75))</f>
        <v>0</v>
      </c>
      <c r="Q75" s="21">
        <f>IF(A75="","",IF(P75&gt;0,P75,ROUND(M75*SuppliesPerHour,2)))</f>
        <v>0</v>
      </c>
      <c r="R75" s="21">
        <f>IF(A75="","",ROUND(IFERROR(INDEX(Jobs!$W$5:$W$604,MATCH(A75,Jobs!$A$5:$A$604,0)),0)*MileageRate,2))</f>
        <v>0</v>
      </c>
      <c r="T75" s="21">
        <f>IF(A75="","",O75+Q75+R75+IF(S75="",0,S75))</f>
        <v>0</v>
      </c>
      <c r="U75" s="21">
        <f>IF(A75="","",J75-T75)</f>
        <v>0</v>
      </c>
      <c r="V75" s="38">
        <f>IF(OR(A75="",J75=0),"",U75/J75)</f>
        <v>0</v>
      </c>
      <c r="W75" s="21">
        <f>IF(OR(A75="",M75=0,J75=0),"",U75/M75)</f>
        <v>0</v>
      </c>
      <c r="X75" s="34">
        <f>IF(OR(A75="",L75="",L75=0,K75=""),"",L75-K75)</f>
        <v>0</v>
      </c>
      <c r="Y75" s="31">
        <f>IF(A75="","",COUNTIFS($U$5:$U$604,"&gt;"&amp;U75)+COUNTIFS($U$5:U75,U75))</f>
        <v>0</v>
      </c>
      <c r="Z75" s="31">
        <f>IF(A75="","",COUNTIFS($W$5:$W$604,"&gt;"&amp;W75)+COUNTIFS($W$5:W75,W75))</f>
        <v>0</v>
      </c>
      <c r="AA75" s="39">
        <f>IF(A75="","",IF(J75=0,"",IF(U75&lt;0,"Loss - this job cost you money",IF(V75&lt;MarginFloor,"Below - margin under the floor",IF(V75&lt;TargetMargin,"Check - under target margin",IF(AND(X75&lt;&gt;"",X75&gt;0.5),"Check - ran over the estimate","OK"))))))</f>
        <v>0</v>
      </c>
    </row>
    <row r="76" spans="1:27">
      <c r="A76" s="43">
        <f>IF(IFERROR(INDEX(Jobs!$A$5:$A$604,ROW()-4),"")="","",IFERROR(INDEX(Jobs!$A$5:$A$604,ROW()-4),""))</f>
        <v>0</v>
      </c>
      <c r="B76" s="18">
        <f>IF(A76="","",IFERROR(INDEX(Jobs!$B$5:$B$604,MATCH(A76,Jobs!$A$5:$A$604,0)),""))</f>
        <v>0</v>
      </c>
      <c r="C76" s="23">
        <f>IF(B76="","",TEXT(B76,"yyyy-mm"))</f>
        <v>0</v>
      </c>
      <c r="D76" s="43">
        <f>IF(A76="","",IFERROR(INDEX(Jobs!$G$5:$G$604,MATCH(A76,Jobs!$A$5:$A$604,0)),""))</f>
        <v>0</v>
      </c>
      <c r="E76" s="23">
        <f>IF(A76="","",IFERROR(INDEX(Jobs!$H$5:$H$604,MATCH(A76,Jobs!$A$5:$A$604,0)),""))</f>
        <v>0</v>
      </c>
      <c r="F76" s="23">
        <f>IF(A76="","",IFERROR(INDEX(Jobs!$K$5:$K$604,MATCH(A76,Jobs!$A$5:$A$604,0)),""))</f>
        <v>0</v>
      </c>
      <c r="G76" s="23">
        <f>IF(A76="","",IFERROR(INDEX(Jobs!$M$5:$M$604,MATCH(A76,Jobs!$A$5:$A$604,0)),""))</f>
        <v>0</v>
      </c>
      <c r="H76" s="23">
        <f>IF(A76="","",IFERROR(INDEX(Jobs!$R$5:$R$604,MATCH(A76,Jobs!$A$5:$A$604,0)),""))</f>
        <v>0</v>
      </c>
      <c r="I76" s="39">
        <f>IF(A76="","",IFERROR(INDEX(Jobs!$P$5:$P$604,MATCH(A76,Jobs!$A$5:$A$604,0)),""))</f>
        <v>0</v>
      </c>
      <c r="J76" s="21">
        <f>IF(A76="","",IF(OR(I76="Completed",I76="Invoiced"),IFERROR(INDEX(Jobs!$AJ$5:$AJ$604,MATCH(A76,Jobs!$A$5:$A$604,0)),0),0))</f>
        <v>0</v>
      </c>
      <c r="K76" s="34">
        <f>IF(A76="","",IFERROR(INDEX(Jobs!$AD$5:$AD$604,MATCH(A76,Jobs!$A$5:$A$604,0)),0))</f>
        <v>0</v>
      </c>
      <c r="L76" s="34">
        <f>IF(A76="","",IFERROR(INDEX(Jobs!$AK$5:$AK$604,MATCH(A76,Jobs!$A$5:$A$604,0)),0))</f>
        <v>0</v>
      </c>
      <c r="M76" s="34">
        <f>IF(A76="","",IF(IFERROR(L76*1,0)&gt;0,L76,IFERROR(K76*1,0)))</f>
        <v>0</v>
      </c>
      <c r="N76" s="21">
        <f>IF(A76="","",SUMIFS(Timesheets!$X$5:$X$804,Timesheets!$G$5:$G$804,A76))</f>
        <v>0</v>
      </c>
      <c r="O76" s="21">
        <f>IF(A76="","",IF(N76&gt;0,N76,ROUND(M76*CostPerHour,2)))</f>
        <v>0</v>
      </c>
      <c r="P76" s="21">
        <f>IF(A76="","",SUMIFS('Supply Usage'!$L$5:$L$304,'Supply Usage'!$F$5:$F$304,A76))</f>
        <v>0</v>
      </c>
      <c r="Q76" s="21">
        <f>IF(A76="","",IF(P76&gt;0,P76,ROUND(M76*SuppliesPerHour,2)))</f>
        <v>0</v>
      </c>
      <c r="R76" s="21">
        <f>IF(A76="","",ROUND(IFERROR(INDEX(Jobs!$W$5:$W$604,MATCH(A76,Jobs!$A$5:$A$604,0)),0)*MileageRate,2))</f>
        <v>0</v>
      </c>
      <c r="T76" s="21">
        <f>IF(A76="","",O76+Q76+R76+IF(S76="",0,S76))</f>
        <v>0</v>
      </c>
      <c r="U76" s="21">
        <f>IF(A76="","",J76-T76)</f>
        <v>0</v>
      </c>
      <c r="V76" s="38">
        <f>IF(OR(A76="",J76=0),"",U76/J76)</f>
        <v>0</v>
      </c>
      <c r="W76" s="21">
        <f>IF(OR(A76="",M76=0,J76=0),"",U76/M76)</f>
        <v>0</v>
      </c>
      <c r="X76" s="34">
        <f>IF(OR(A76="",L76="",L76=0,K76=""),"",L76-K76)</f>
        <v>0</v>
      </c>
      <c r="Y76" s="31">
        <f>IF(A76="","",COUNTIFS($U$5:$U$604,"&gt;"&amp;U76)+COUNTIFS($U$5:U76,U76))</f>
        <v>0</v>
      </c>
      <c r="Z76" s="31">
        <f>IF(A76="","",COUNTIFS($W$5:$W$604,"&gt;"&amp;W76)+COUNTIFS($W$5:W76,W76))</f>
        <v>0</v>
      </c>
      <c r="AA76" s="39">
        <f>IF(A76="","",IF(J76=0,"",IF(U76&lt;0,"Loss - this job cost you money",IF(V76&lt;MarginFloor,"Below - margin under the floor",IF(V76&lt;TargetMargin,"Check - under target margin",IF(AND(X76&lt;&gt;"",X76&gt;0.5),"Check - ran over the estimate","OK"))))))</f>
        <v>0</v>
      </c>
    </row>
    <row r="77" spans="1:27">
      <c r="A77" s="43">
        <f>IF(IFERROR(INDEX(Jobs!$A$5:$A$604,ROW()-4),"")="","",IFERROR(INDEX(Jobs!$A$5:$A$604,ROW()-4),""))</f>
        <v>0</v>
      </c>
      <c r="B77" s="18">
        <f>IF(A77="","",IFERROR(INDEX(Jobs!$B$5:$B$604,MATCH(A77,Jobs!$A$5:$A$604,0)),""))</f>
        <v>0</v>
      </c>
      <c r="C77" s="23">
        <f>IF(B77="","",TEXT(B77,"yyyy-mm"))</f>
        <v>0</v>
      </c>
      <c r="D77" s="43">
        <f>IF(A77="","",IFERROR(INDEX(Jobs!$G$5:$G$604,MATCH(A77,Jobs!$A$5:$A$604,0)),""))</f>
        <v>0</v>
      </c>
      <c r="E77" s="23">
        <f>IF(A77="","",IFERROR(INDEX(Jobs!$H$5:$H$604,MATCH(A77,Jobs!$A$5:$A$604,0)),""))</f>
        <v>0</v>
      </c>
      <c r="F77" s="23">
        <f>IF(A77="","",IFERROR(INDEX(Jobs!$K$5:$K$604,MATCH(A77,Jobs!$A$5:$A$604,0)),""))</f>
        <v>0</v>
      </c>
      <c r="G77" s="23">
        <f>IF(A77="","",IFERROR(INDEX(Jobs!$M$5:$M$604,MATCH(A77,Jobs!$A$5:$A$604,0)),""))</f>
        <v>0</v>
      </c>
      <c r="H77" s="23">
        <f>IF(A77="","",IFERROR(INDEX(Jobs!$R$5:$R$604,MATCH(A77,Jobs!$A$5:$A$604,0)),""))</f>
        <v>0</v>
      </c>
      <c r="I77" s="39">
        <f>IF(A77="","",IFERROR(INDEX(Jobs!$P$5:$P$604,MATCH(A77,Jobs!$A$5:$A$604,0)),""))</f>
        <v>0</v>
      </c>
      <c r="J77" s="21">
        <f>IF(A77="","",IF(OR(I77="Completed",I77="Invoiced"),IFERROR(INDEX(Jobs!$AJ$5:$AJ$604,MATCH(A77,Jobs!$A$5:$A$604,0)),0),0))</f>
        <v>0</v>
      </c>
      <c r="K77" s="34">
        <f>IF(A77="","",IFERROR(INDEX(Jobs!$AD$5:$AD$604,MATCH(A77,Jobs!$A$5:$A$604,0)),0))</f>
        <v>0</v>
      </c>
      <c r="L77" s="34">
        <f>IF(A77="","",IFERROR(INDEX(Jobs!$AK$5:$AK$604,MATCH(A77,Jobs!$A$5:$A$604,0)),0))</f>
        <v>0</v>
      </c>
      <c r="M77" s="34">
        <f>IF(A77="","",IF(IFERROR(L77*1,0)&gt;0,L77,IFERROR(K77*1,0)))</f>
        <v>0</v>
      </c>
      <c r="N77" s="21">
        <f>IF(A77="","",SUMIFS(Timesheets!$X$5:$X$804,Timesheets!$G$5:$G$804,A77))</f>
        <v>0</v>
      </c>
      <c r="O77" s="21">
        <f>IF(A77="","",IF(N77&gt;0,N77,ROUND(M77*CostPerHour,2)))</f>
        <v>0</v>
      </c>
      <c r="P77" s="21">
        <f>IF(A77="","",SUMIFS('Supply Usage'!$L$5:$L$304,'Supply Usage'!$F$5:$F$304,A77))</f>
        <v>0</v>
      </c>
      <c r="Q77" s="21">
        <f>IF(A77="","",IF(P77&gt;0,P77,ROUND(M77*SuppliesPerHour,2)))</f>
        <v>0</v>
      </c>
      <c r="R77" s="21">
        <f>IF(A77="","",ROUND(IFERROR(INDEX(Jobs!$W$5:$W$604,MATCH(A77,Jobs!$A$5:$A$604,0)),0)*MileageRate,2))</f>
        <v>0</v>
      </c>
      <c r="T77" s="21">
        <f>IF(A77="","",O77+Q77+R77+IF(S77="",0,S77))</f>
        <v>0</v>
      </c>
      <c r="U77" s="21">
        <f>IF(A77="","",J77-T77)</f>
        <v>0</v>
      </c>
      <c r="V77" s="38">
        <f>IF(OR(A77="",J77=0),"",U77/J77)</f>
        <v>0</v>
      </c>
      <c r="W77" s="21">
        <f>IF(OR(A77="",M77=0,J77=0),"",U77/M77)</f>
        <v>0</v>
      </c>
      <c r="X77" s="34">
        <f>IF(OR(A77="",L77="",L77=0,K77=""),"",L77-K77)</f>
        <v>0</v>
      </c>
      <c r="Y77" s="31">
        <f>IF(A77="","",COUNTIFS($U$5:$U$604,"&gt;"&amp;U77)+COUNTIFS($U$5:U77,U77))</f>
        <v>0</v>
      </c>
      <c r="Z77" s="31">
        <f>IF(A77="","",COUNTIFS($W$5:$W$604,"&gt;"&amp;W77)+COUNTIFS($W$5:W77,W77))</f>
        <v>0</v>
      </c>
      <c r="AA77" s="39">
        <f>IF(A77="","",IF(J77=0,"",IF(U77&lt;0,"Loss - this job cost you money",IF(V77&lt;MarginFloor,"Below - margin under the floor",IF(V77&lt;TargetMargin,"Check - under target margin",IF(AND(X77&lt;&gt;"",X77&gt;0.5),"Check - ran over the estimate","OK"))))))</f>
        <v>0</v>
      </c>
    </row>
    <row r="78" spans="1:27">
      <c r="A78" s="43">
        <f>IF(IFERROR(INDEX(Jobs!$A$5:$A$604,ROW()-4),"")="","",IFERROR(INDEX(Jobs!$A$5:$A$604,ROW()-4),""))</f>
        <v>0</v>
      </c>
      <c r="B78" s="18">
        <f>IF(A78="","",IFERROR(INDEX(Jobs!$B$5:$B$604,MATCH(A78,Jobs!$A$5:$A$604,0)),""))</f>
        <v>0</v>
      </c>
      <c r="C78" s="23">
        <f>IF(B78="","",TEXT(B78,"yyyy-mm"))</f>
        <v>0</v>
      </c>
      <c r="D78" s="43">
        <f>IF(A78="","",IFERROR(INDEX(Jobs!$G$5:$G$604,MATCH(A78,Jobs!$A$5:$A$604,0)),""))</f>
        <v>0</v>
      </c>
      <c r="E78" s="23">
        <f>IF(A78="","",IFERROR(INDEX(Jobs!$H$5:$H$604,MATCH(A78,Jobs!$A$5:$A$604,0)),""))</f>
        <v>0</v>
      </c>
      <c r="F78" s="23">
        <f>IF(A78="","",IFERROR(INDEX(Jobs!$K$5:$K$604,MATCH(A78,Jobs!$A$5:$A$604,0)),""))</f>
        <v>0</v>
      </c>
      <c r="G78" s="23">
        <f>IF(A78="","",IFERROR(INDEX(Jobs!$M$5:$M$604,MATCH(A78,Jobs!$A$5:$A$604,0)),""))</f>
        <v>0</v>
      </c>
      <c r="H78" s="23">
        <f>IF(A78="","",IFERROR(INDEX(Jobs!$R$5:$R$604,MATCH(A78,Jobs!$A$5:$A$604,0)),""))</f>
        <v>0</v>
      </c>
      <c r="I78" s="39">
        <f>IF(A78="","",IFERROR(INDEX(Jobs!$P$5:$P$604,MATCH(A78,Jobs!$A$5:$A$604,0)),""))</f>
        <v>0</v>
      </c>
      <c r="J78" s="21">
        <f>IF(A78="","",IF(OR(I78="Completed",I78="Invoiced"),IFERROR(INDEX(Jobs!$AJ$5:$AJ$604,MATCH(A78,Jobs!$A$5:$A$604,0)),0),0))</f>
        <v>0</v>
      </c>
      <c r="K78" s="34">
        <f>IF(A78="","",IFERROR(INDEX(Jobs!$AD$5:$AD$604,MATCH(A78,Jobs!$A$5:$A$604,0)),0))</f>
        <v>0</v>
      </c>
      <c r="L78" s="34">
        <f>IF(A78="","",IFERROR(INDEX(Jobs!$AK$5:$AK$604,MATCH(A78,Jobs!$A$5:$A$604,0)),0))</f>
        <v>0</v>
      </c>
      <c r="M78" s="34">
        <f>IF(A78="","",IF(IFERROR(L78*1,0)&gt;0,L78,IFERROR(K78*1,0)))</f>
        <v>0</v>
      </c>
      <c r="N78" s="21">
        <f>IF(A78="","",SUMIFS(Timesheets!$X$5:$X$804,Timesheets!$G$5:$G$804,A78))</f>
        <v>0</v>
      </c>
      <c r="O78" s="21">
        <f>IF(A78="","",IF(N78&gt;0,N78,ROUND(M78*CostPerHour,2)))</f>
        <v>0</v>
      </c>
      <c r="P78" s="21">
        <f>IF(A78="","",SUMIFS('Supply Usage'!$L$5:$L$304,'Supply Usage'!$F$5:$F$304,A78))</f>
        <v>0</v>
      </c>
      <c r="Q78" s="21">
        <f>IF(A78="","",IF(P78&gt;0,P78,ROUND(M78*SuppliesPerHour,2)))</f>
        <v>0</v>
      </c>
      <c r="R78" s="21">
        <f>IF(A78="","",ROUND(IFERROR(INDEX(Jobs!$W$5:$W$604,MATCH(A78,Jobs!$A$5:$A$604,0)),0)*MileageRate,2))</f>
        <v>0</v>
      </c>
      <c r="T78" s="21">
        <f>IF(A78="","",O78+Q78+R78+IF(S78="",0,S78))</f>
        <v>0</v>
      </c>
      <c r="U78" s="21">
        <f>IF(A78="","",J78-T78)</f>
        <v>0</v>
      </c>
      <c r="V78" s="38">
        <f>IF(OR(A78="",J78=0),"",U78/J78)</f>
        <v>0</v>
      </c>
      <c r="W78" s="21">
        <f>IF(OR(A78="",M78=0,J78=0),"",U78/M78)</f>
        <v>0</v>
      </c>
      <c r="X78" s="34">
        <f>IF(OR(A78="",L78="",L78=0,K78=""),"",L78-K78)</f>
        <v>0</v>
      </c>
      <c r="Y78" s="31">
        <f>IF(A78="","",COUNTIFS($U$5:$U$604,"&gt;"&amp;U78)+COUNTIFS($U$5:U78,U78))</f>
        <v>0</v>
      </c>
      <c r="Z78" s="31">
        <f>IF(A78="","",COUNTIFS($W$5:$W$604,"&gt;"&amp;W78)+COUNTIFS($W$5:W78,W78))</f>
        <v>0</v>
      </c>
      <c r="AA78" s="39">
        <f>IF(A78="","",IF(J78=0,"",IF(U78&lt;0,"Loss - this job cost you money",IF(V78&lt;MarginFloor,"Below - margin under the floor",IF(V78&lt;TargetMargin,"Check - under target margin",IF(AND(X78&lt;&gt;"",X78&gt;0.5),"Check - ran over the estimate","OK"))))))</f>
        <v>0</v>
      </c>
    </row>
    <row r="79" spans="1:27">
      <c r="A79" s="43">
        <f>IF(IFERROR(INDEX(Jobs!$A$5:$A$604,ROW()-4),"")="","",IFERROR(INDEX(Jobs!$A$5:$A$604,ROW()-4),""))</f>
        <v>0</v>
      </c>
      <c r="B79" s="18">
        <f>IF(A79="","",IFERROR(INDEX(Jobs!$B$5:$B$604,MATCH(A79,Jobs!$A$5:$A$604,0)),""))</f>
        <v>0</v>
      </c>
      <c r="C79" s="23">
        <f>IF(B79="","",TEXT(B79,"yyyy-mm"))</f>
        <v>0</v>
      </c>
      <c r="D79" s="43">
        <f>IF(A79="","",IFERROR(INDEX(Jobs!$G$5:$G$604,MATCH(A79,Jobs!$A$5:$A$604,0)),""))</f>
        <v>0</v>
      </c>
      <c r="E79" s="23">
        <f>IF(A79="","",IFERROR(INDEX(Jobs!$H$5:$H$604,MATCH(A79,Jobs!$A$5:$A$604,0)),""))</f>
        <v>0</v>
      </c>
      <c r="F79" s="23">
        <f>IF(A79="","",IFERROR(INDEX(Jobs!$K$5:$K$604,MATCH(A79,Jobs!$A$5:$A$604,0)),""))</f>
        <v>0</v>
      </c>
      <c r="G79" s="23">
        <f>IF(A79="","",IFERROR(INDEX(Jobs!$M$5:$M$604,MATCH(A79,Jobs!$A$5:$A$604,0)),""))</f>
        <v>0</v>
      </c>
      <c r="H79" s="23">
        <f>IF(A79="","",IFERROR(INDEX(Jobs!$R$5:$R$604,MATCH(A79,Jobs!$A$5:$A$604,0)),""))</f>
        <v>0</v>
      </c>
      <c r="I79" s="39">
        <f>IF(A79="","",IFERROR(INDEX(Jobs!$P$5:$P$604,MATCH(A79,Jobs!$A$5:$A$604,0)),""))</f>
        <v>0</v>
      </c>
      <c r="J79" s="21">
        <f>IF(A79="","",IF(OR(I79="Completed",I79="Invoiced"),IFERROR(INDEX(Jobs!$AJ$5:$AJ$604,MATCH(A79,Jobs!$A$5:$A$604,0)),0),0))</f>
        <v>0</v>
      </c>
      <c r="K79" s="34">
        <f>IF(A79="","",IFERROR(INDEX(Jobs!$AD$5:$AD$604,MATCH(A79,Jobs!$A$5:$A$604,0)),0))</f>
        <v>0</v>
      </c>
      <c r="L79" s="34">
        <f>IF(A79="","",IFERROR(INDEX(Jobs!$AK$5:$AK$604,MATCH(A79,Jobs!$A$5:$A$604,0)),0))</f>
        <v>0</v>
      </c>
      <c r="M79" s="34">
        <f>IF(A79="","",IF(IFERROR(L79*1,0)&gt;0,L79,IFERROR(K79*1,0)))</f>
        <v>0</v>
      </c>
      <c r="N79" s="21">
        <f>IF(A79="","",SUMIFS(Timesheets!$X$5:$X$804,Timesheets!$G$5:$G$804,A79))</f>
        <v>0</v>
      </c>
      <c r="O79" s="21">
        <f>IF(A79="","",IF(N79&gt;0,N79,ROUND(M79*CostPerHour,2)))</f>
        <v>0</v>
      </c>
      <c r="P79" s="21">
        <f>IF(A79="","",SUMIFS('Supply Usage'!$L$5:$L$304,'Supply Usage'!$F$5:$F$304,A79))</f>
        <v>0</v>
      </c>
      <c r="Q79" s="21">
        <f>IF(A79="","",IF(P79&gt;0,P79,ROUND(M79*SuppliesPerHour,2)))</f>
        <v>0</v>
      </c>
      <c r="R79" s="21">
        <f>IF(A79="","",ROUND(IFERROR(INDEX(Jobs!$W$5:$W$604,MATCH(A79,Jobs!$A$5:$A$604,0)),0)*MileageRate,2))</f>
        <v>0</v>
      </c>
      <c r="T79" s="21">
        <f>IF(A79="","",O79+Q79+R79+IF(S79="",0,S79))</f>
        <v>0</v>
      </c>
      <c r="U79" s="21">
        <f>IF(A79="","",J79-T79)</f>
        <v>0</v>
      </c>
      <c r="V79" s="38">
        <f>IF(OR(A79="",J79=0),"",U79/J79)</f>
        <v>0</v>
      </c>
      <c r="W79" s="21">
        <f>IF(OR(A79="",M79=0,J79=0),"",U79/M79)</f>
        <v>0</v>
      </c>
      <c r="X79" s="34">
        <f>IF(OR(A79="",L79="",L79=0,K79=""),"",L79-K79)</f>
        <v>0</v>
      </c>
      <c r="Y79" s="31">
        <f>IF(A79="","",COUNTIFS($U$5:$U$604,"&gt;"&amp;U79)+COUNTIFS($U$5:U79,U79))</f>
        <v>0</v>
      </c>
      <c r="Z79" s="31">
        <f>IF(A79="","",COUNTIFS($W$5:$W$604,"&gt;"&amp;W79)+COUNTIFS($W$5:W79,W79))</f>
        <v>0</v>
      </c>
      <c r="AA79" s="39">
        <f>IF(A79="","",IF(J79=0,"",IF(U79&lt;0,"Loss - this job cost you money",IF(V79&lt;MarginFloor,"Below - margin under the floor",IF(V79&lt;TargetMargin,"Check - under target margin",IF(AND(X79&lt;&gt;"",X79&gt;0.5),"Check - ran over the estimate","OK"))))))</f>
        <v>0</v>
      </c>
    </row>
    <row r="80" spans="1:27">
      <c r="A80" s="43">
        <f>IF(IFERROR(INDEX(Jobs!$A$5:$A$604,ROW()-4),"")="","",IFERROR(INDEX(Jobs!$A$5:$A$604,ROW()-4),""))</f>
        <v>0</v>
      </c>
      <c r="B80" s="18">
        <f>IF(A80="","",IFERROR(INDEX(Jobs!$B$5:$B$604,MATCH(A80,Jobs!$A$5:$A$604,0)),""))</f>
        <v>0</v>
      </c>
      <c r="C80" s="23">
        <f>IF(B80="","",TEXT(B80,"yyyy-mm"))</f>
        <v>0</v>
      </c>
      <c r="D80" s="43">
        <f>IF(A80="","",IFERROR(INDEX(Jobs!$G$5:$G$604,MATCH(A80,Jobs!$A$5:$A$604,0)),""))</f>
        <v>0</v>
      </c>
      <c r="E80" s="23">
        <f>IF(A80="","",IFERROR(INDEX(Jobs!$H$5:$H$604,MATCH(A80,Jobs!$A$5:$A$604,0)),""))</f>
        <v>0</v>
      </c>
      <c r="F80" s="23">
        <f>IF(A80="","",IFERROR(INDEX(Jobs!$K$5:$K$604,MATCH(A80,Jobs!$A$5:$A$604,0)),""))</f>
        <v>0</v>
      </c>
      <c r="G80" s="23">
        <f>IF(A80="","",IFERROR(INDEX(Jobs!$M$5:$M$604,MATCH(A80,Jobs!$A$5:$A$604,0)),""))</f>
        <v>0</v>
      </c>
      <c r="H80" s="23">
        <f>IF(A80="","",IFERROR(INDEX(Jobs!$R$5:$R$604,MATCH(A80,Jobs!$A$5:$A$604,0)),""))</f>
        <v>0</v>
      </c>
      <c r="I80" s="39">
        <f>IF(A80="","",IFERROR(INDEX(Jobs!$P$5:$P$604,MATCH(A80,Jobs!$A$5:$A$604,0)),""))</f>
        <v>0</v>
      </c>
      <c r="J80" s="21">
        <f>IF(A80="","",IF(OR(I80="Completed",I80="Invoiced"),IFERROR(INDEX(Jobs!$AJ$5:$AJ$604,MATCH(A80,Jobs!$A$5:$A$604,0)),0),0))</f>
        <v>0</v>
      </c>
      <c r="K80" s="34">
        <f>IF(A80="","",IFERROR(INDEX(Jobs!$AD$5:$AD$604,MATCH(A80,Jobs!$A$5:$A$604,0)),0))</f>
        <v>0</v>
      </c>
      <c r="L80" s="34">
        <f>IF(A80="","",IFERROR(INDEX(Jobs!$AK$5:$AK$604,MATCH(A80,Jobs!$A$5:$A$604,0)),0))</f>
        <v>0</v>
      </c>
      <c r="M80" s="34">
        <f>IF(A80="","",IF(IFERROR(L80*1,0)&gt;0,L80,IFERROR(K80*1,0)))</f>
        <v>0</v>
      </c>
      <c r="N80" s="21">
        <f>IF(A80="","",SUMIFS(Timesheets!$X$5:$X$804,Timesheets!$G$5:$G$804,A80))</f>
        <v>0</v>
      </c>
      <c r="O80" s="21">
        <f>IF(A80="","",IF(N80&gt;0,N80,ROUND(M80*CostPerHour,2)))</f>
        <v>0</v>
      </c>
      <c r="P80" s="21">
        <f>IF(A80="","",SUMIFS('Supply Usage'!$L$5:$L$304,'Supply Usage'!$F$5:$F$304,A80))</f>
        <v>0</v>
      </c>
      <c r="Q80" s="21">
        <f>IF(A80="","",IF(P80&gt;0,P80,ROUND(M80*SuppliesPerHour,2)))</f>
        <v>0</v>
      </c>
      <c r="R80" s="21">
        <f>IF(A80="","",ROUND(IFERROR(INDEX(Jobs!$W$5:$W$604,MATCH(A80,Jobs!$A$5:$A$604,0)),0)*MileageRate,2))</f>
        <v>0</v>
      </c>
      <c r="T80" s="21">
        <f>IF(A80="","",O80+Q80+R80+IF(S80="",0,S80))</f>
        <v>0</v>
      </c>
      <c r="U80" s="21">
        <f>IF(A80="","",J80-T80)</f>
        <v>0</v>
      </c>
      <c r="V80" s="38">
        <f>IF(OR(A80="",J80=0),"",U80/J80)</f>
        <v>0</v>
      </c>
      <c r="W80" s="21">
        <f>IF(OR(A80="",M80=0,J80=0),"",U80/M80)</f>
        <v>0</v>
      </c>
      <c r="X80" s="34">
        <f>IF(OR(A80="",L80="",L80=0,K80=""),"",L80-K80)</f>
        <v>0</v>
      </c>
      <c r="Y80" s="31">
        <f>IF(A80="","",COUNTIFS($U$5:$U$604,"&gt;"&amp;U80)+COUNTIFS($U$5:U80,U80))</f>
        <v>0</v>
      </c>
      <c r="Z80" s="31">
        <f>IF(A80="","",COUNTIFS($W$5:$W$604,"&gt;"&amp;W80)+COUNTIFS($W$5:W80,W80))</f>
        <v>0</v>
      </c>
      <c r="AA80" s="39">
        <f>IF(A80="","",IF(J80=0,"",IF(U80&lt;0,"Loss - this job cost you money",IF(V80&lt;MarginFloor,"Below - margin under the floor",IF(V80&lt;TargetMargin,"Check - under target margin",IF(AND(X80&lt;&gt;"",X80&gt;0.5),"Check - ran over the estimate","OK"))))))</f>
        <v>0</v>
      </c>
    </row>
    <row r="81" spans="1:27">
      <c r="A81" s="43">
        <f>IF(IFERROR(INDEX(Jobs!$A$5:$A$604,ROW()-4),"")="","",IFERROR(INDEX(Jobs!$A$5:$A$604,ROW()-4),""))</f>
        <v>0</v>
      </c>
      <c r="B81" s="18">
        <f>IF(A81="","",IFERROR(INDEX(Jobs!$B$5:$B$604,MATCH(A81,Jobs!$A$5:$A$604,0)),""))</f>
        <v>0</v>
      </c>
      <c r="C81" s="23">
        <f>IF(B81="","",TEXT(B81,"yyyy-mm"))</f>
        <v>0</v>
      </c>
      <c r="D81" s="43">
        <f>IF(A81="","",IFERROR(INDEX(Jobs!$G$5:$G$604,MATCH(A81,Jobs!$A$5:$A$604,0)),""))</f>
        <v>0</v>
      </c>
      <c r="E81" s="23">
        <f>IF(A81="","",IFERROR(INDEX(Jobs!$H$5:$H$604,MATCH(A81,Jobs!$A$5:$A$604,0)),""))</f>
        <v>0</v>
      </c>
      <c r="F81" s="23">
        <f>IF(A81="","",IFERROR(INDEX(Jobs!$K$5:$K$604,MATCH(A81,Jobs!$A$5:$A$604,0)),""))</f>
        <v>0</v>
      </c>
      <c r="G81" s="23">
        <f>IF(A81="","",IFERROR(INDEX(Jobs!$M$5:$M$604,MATCH(A81,Jobs!$A$5:$A$604,0)),""))</f>
        <v>0</v>
      </c>
      <c r="H81" s="23">
        <f>IF(A81="","",IFERROR(INDEX(Jobs!$R$5:$R$604,MATCH(A81,Jobs!$A$5:$A$604,0)),""))</f>
        <v>0</v>
      </c>
      <c r="I81" s="39">
        <f>IF(A81="","",IFERROR(INDEX(Jobs!$P$5:$P$604,MATCH(A81,Jobs!$A$5:$A$604,0)),""))</f>
        <v>0</v>
      </c>
      <c r="J81" s="21">
        <f>IF(A81="","",IF(OR(I81="Completed",I81="Invoiced"),IFERROR(INDEX(Jobs!$AJ$5:$AJ$604,MATCH(A81,Jobs!$A$5:$A$604,0)),0),0))</f>
        <v>0</v>
      </c>
      <c r="K81" s="34">
        <f>IF(A81="","",IFERROR(INDEX(Jobs!$AD$5:$AD$604,MATCH(A81,Jobs!$A$5:$A$604,0)),0))</f>
        <v>0</v>
      </c>
      <c r="L81" s="34">
        <f>IF(A81="","",IFERROR(INDEX(Jobs!$AK$5:$AK$604,MATCH(A81,Jobs!$A$5:$A$604,0)),0))</f>
        <v>0</v>
      </c>
      <c r="M81" s="34">
        <f>IF(A81="","",IF(IFERROR(L81*1,0)&gt;0,L81,IFERROR(K81*1,0)))</f>
        <v>0</v>
      </c>
      <c r="N81" s="21">
        <f>IF(A81="","",SUMIFS(Timesheets!$X$5:$X$804,Timesheets!$G$5:$G$804,A81))</f>
        <v>0</v>
      </c>
      <c r="O81" s="21">
        <f>IF(A81="","",IF(N81&gt;0,N81,ROUND(M81*CostPerHour,2)))</f>
        <v>0</v>
      </c>
      <c r="P81" s="21">
        <f>IF(A81="","",SUMIFS('Supply Usage'!$L$5:$L$304,'Supply Usage'!$F$5:$F$304,A81))</f>
        <v>0</v>
      </c>
      <c r="Q81" s="21">
        <f>IF(A81="","",IF(P81&gt;0,P81,ROUND(M81*SuppliesPerHour,2)))</f>
        <v>0</v>
      </c>
      <c r="R81" s="21">
        <f>IF(A81="","",ROUND(IFERROR(INDEX(Jobs!$W$5:$W$604,MATCH(A81,Jobs!$A$5:$A$604,0)),0)*MileageRate,2))</f>
        <v>0</v>
      </c>
      <c r="T81" s="21">
        <f>IF(A81="","",O81+Q81+R81+IF(S81="",0,S81))</f>
        <v>0</v>
      </c>
      <c r="U81" s="21">
        <f>IF(A81="","",J81-T81)</f>
        <v>0</v>
      </c>
      <c r="V81" s="38">
        <f>IF(OR(A81="",J81=0),"",U81/J81)</f>
        <v>0</v>
      </c>
      <c r="W81" s="21">
        <f>IF(OR(A81="",M81=0,J81=0),"",U81/M81)</f>
        <v>0</v>
      </c>
      <c r="X81" s="34">
        <f>IF(OR(A81="",L81="",L81=0,K81=""),"",L81-K81)</f>
        <v>0</v>
      </c>
      <c r="Y81" s="31">
        <f>IF(A81="","",COUNTIFS($U$5:$U$604,"&gt;"&amp;U81)+COUNTIFS($U$5:U81,U81))</f>
        <v>0</v>
      </c>
      <c r="Z81" s="31">
        <f>IF(A81="","",COUNTIFS($W$5:$W$604,"&gt;"&amp;W81)+COUNTIFS($W$5:W81,W81))</f>
        <v>0</v>
      </c>
      <c r="AA81" s="39">
        <f>IF(A81="","",IF(J81=0,"",IF(U81&lt;0,"Loss - this job cost you money",IF(V81&lt;MarginFloor,"Below - margin under the floor",IF(V81&lt;TargetMargin,"Check - under target margin",IF(AND(X81&lt;&gt;"",X81&gt;0.5),"Check - ran over the estimate","OK"))))))</f>
        <v>0</v>
      </c>
    </row>
    <row r="82" spans="1:27">
      <c r="A82" s="43">
        <f>IF(IFERROR(INDEX(Jobs!$A$5:$A$604,ROW()-4),"")="","",IFERROR(INDEX(Jobs!$A$5:$A$604,ROW()-4),""))</f>
        <v>0</v>
      </c>
      <c r="B82" s="18">
        <f>IF(A82="","",IFERROR(INDEX(Jobs!$B$5:$B$604,MATCH(A82,Jobs!$A$5:$A$604,0)),""))</f>
        <v>0</v>
      </c>
      <c r="C82" s="23">
        <f>IF(B82="","",TEXT(B82,"yyyy-mm"))</f>
        <v>0</v>
      </c>
      <c r="D82" s="43">
        <f>IF(A82="","",IFERROR(INDEX(Jobs!$G$5:$G$604,MATCH(A82,Jobs!$A$5:$A$604,0)),""))</f>
        <v>0</v>
      </c>
      <c r="E82" s="23">
        <f>IF(A82="","",IFERROR(INDEX(Jobs!$H$5:$H$604,MATCH(A82,Jobs!$A$5:$A$604,0)),""))</f>
        <v>0</v>
      </c>
      <c r="F82" s="23">
        <f>IF(A82="","",IFERROR(INDEX(Jobs!$K$5:$K$604,MATCH(A82,Jobs!$A$5:$A$604,0)),""))</f>
        <v>0</v>
      </c>
      <c r="G82" s="23">
        <f>IF(A82="","",IFERROR(INDEX(Jobs!$M$5:$M$604,MATCH(A82,Jobs!$A$5:$A$604,0)),""))</f>
        <v>0</v>
      </c>
      <c r="H82" s="23">
        <f>IF(A82="","",IFERROR(INDEX(Jobs!$R$5:$R$604,MATCH(A82,Jobs!$A$5:$A$604,0)),""))</f>
        <v>0</v>
      </c>
      <c r="I82" s="39">
        <f>IF(A82="","",IFERROR(INDEX(Jobs!$P$5:$P$604,MATCH(A82,Jobs!$A$5:$A$604,0)),""))</f>
        <v>0</v>
      </c>
      <c r="J82" s="21">
        <f>IF(A82="","",IF(OR(I82="Completed",I82="Invoiced"),IFERROR(INDEX(Jobs!$AJ$5:$AJ$604,MATCH(A82,Jobs!$A$5:$A$604,0)),0),0))</f>
        <v>0</v>
      </c>
      <c r="K82" s="34">
        <f>IF(A82="","",IFERROR(INDEX(Jobs!$AD$5:$AD$604,MATCH(A82,Jobs!$A$5:$A$604,0)),0))</f>
        <v>0</v>
      </c>
      <c r="L82" s="34">
        <f>IF(A82="","",IFERROR(INDEX(Jobs!$AK$5:$AK$604,MATCH(A82,Jobs!$A$5:$A$604,0)),0))</f>
        <v>0</v>
      </c>
      <c r="M82" s="34">
        <f>IF(A82="","",IF(IFERROR(L82*1,0)&gt;0,L82,IFERROR(K82*1,0)))</f>
        <v>0</v>
      </c>
      <c r="N82" s="21">
        <f>IF(A82="","",SUMIFS(Timesheets!$X$5:$X$804,Timesheets!$G$5:$G$804,A82))</f>
        <v>0</v>
      </c>
      <c r="O82" s="21">
        <f>IF(A82="","",IF(N82&gt;0,N82,ROUND(M82*CostPerHour,2)))</f>
        <v>0</v>
      </c>
      <c r="P82" s="21">
        <f>IF(A82="","",SUMIFS('Supply Usage'!$L$5:$L$304,'Supply Usage'!$F$5:$F$304,A82))</f>
        <v>0</v>
      </c>
      <c r="Q82" s="21">
        <f>IF(A82="","",IF(P82&gt;0,P82,ROUND(M82*SuppliesPerHour,2)))</f>
        <v>0</v>
      </c>
      <c r="R82" s="21">
        <f>IF(A82="","",ROUND(IFERROR(INDEX(Jobs!$W$5:$W$604,MATCH(A82,Jobs!$A$5:$A$604,0)),0)*MileageRate,2))</f>
        <v>0</v>
      </c>
      <c r="T82" s="21">
        <f>IF(A82="","",O82+Q82+R82+IF(S82="",0,S82))</f>
        <v>0</v>
      </c>
      <c r="U82" s="21">
        <f>IF(A82="","",J82-T82)</f>
        <v>0</v>
      </c>
      <c r="V82" s="38">
        <f>IF(OR(A82="",J82=0),"",U82/J82)</f>
        <v>0</v>
      </c>
      <c r="W82" s="21">
        <f>IF(OR(A82="",M82=0,J82=0),"",U82/M82)</f>
        <v>0</v>
      </c>
      <c r="X82" s="34">
        <f>IF(OR(A82="",L82="",L82=0,K82=""),"",L82-K82)</f>
        <v>0</v>
      </c>
      <c r="Y82" s="31">
        <f>IF(A82="","",COUNTIFS($U$5:$U$604,"&gt;"&amp;U82)+COUNTIFS($U$5:U82,U82))</f>
        <v>0</v>
      </c>
      <c r="Z82" s="31">
        <f>IF(A82="","",COUNTIFS($W$5:$W$604,"&gt;"&amp;W82)+COUNTIFS($W$5:W82,W82))</f>
        <v>0</v>
      </c>
      <c r="AA82" s="39">
        <f>IF(A82="","",IF(J82=0,"",IF(U82&lt;0,"Loss - this job cost you money",IF(V82&lt;MarginFloor,"Below - margin under the floor",IF(V82&lt;TargetMargin,"Check - under target margin",IF(AND(X82&lt;&gt;"",X82&gt;0.5),"Check - ran over the estimate","OK"))))))</f>
        <v>0</v>
      </c>
    </row>
    <row r="83" spans="1:27">
      <c r="A83" s="43">
        <f>IF(IFERROR(INDEX(Jobs!$A$5:$A$604,ROW()-4),"")="","",IFERROR(INDEX(Jobs!$A$5:$A$604,ROW()-4),""))</f>
        <v>0</v>
      </c>
      <c r="B83" s="18">
        <f>IF(A83="","",IFERROR(INDEX(Jobs!$B$5:$B$604,MATCH(A83,Jobs!$A$5:$A$604,0)),""))</f>
        <v>0</v>
      </c>
      <c r="C83" s="23">
        <f>IF(B83="","",TEXT(B83,"yyyy-mm"))</f>
        <v>0</v>
      </c>
      <c r="D83" s="43">
        <f>IF(A83="","",IFERROR(INDEX(Jobs!$G$5:$G$604,MATCH(A83,Jobs!$A$5:$A$604,0)),""))</f>
        <v>0</v>
      </c>
      <c r="E83" s="23">
        <f>IF(A83="","",IFERROR(INDEX(Jobs!$H$5:$H$604,MATCH(A83,Jobs!$A$5:$A$604,0)),""))</f>
        <v>0</v>
      </c>
      <c r="F83" s="23">
        <f>IF(A83="","",IFERROR(INDEX(Jobs!$K$5:$K$604,MATCH(A83,Jobs!$A$5:$A$604,0)),""))</f>
        <v>0</v>
      </c>
      <c r="G83" s="23">
        <f>IF(A83="","",IFERROR(INDEX(Jobs!$M$5:$M$604,MATCH(A83,Jobs!$A$5:$A$604,0)),""))</f>
        <v>0</v>
      </c>
      <c r="H83" s="23">
        <f>IF(A83="","",IFERROR(INDEX(Jobs!$R$5:$R$604,MATCH(A83,Jobs!$A$5:$A$604,0)),""))</f>
        <v>0</v>
      </c>
      <c r="I83" s="39">
        <f>IF(A83="","",IFERROR(INDEX(Jobs!$P$5:$P$604,MATCH(A83,Jobs!$A$5:$A$604,0)),""))</f>
        <v>0</v>
      </c>
      <c r="J83" s="21">
        <f>IF(A83="","",IF(OR(I83="Completed",I83="Invoiced"),IFERROR(INDEX(Jobs!$AJ$5:$AJ$604,MATCH(A83,Jobs!$A$5:$A$604,0)),0),0))</f>
        <v>0</v>
      </c>
      <c r="K83" s="34">
        <f>IF(A83="","",IFERROR(INDEX(Jobs!$AD$5:$AD$604,MATCH(A83,Jobs!$A$5:$A$604,0)),0))</f>
        <v>0</v>
      </c>
      <c r="L83" s="34">
        <f>IF(A83="","",IFERROR(INDEX(Jobs!$AK$5:$AK$604,MATCH(A83,Jobs!$A$5:$A$604,0)),0))</f>
        <v>0</v>
      </c>
      <c r="M83" s="34">
        <f>IF(A83="","",IF(IFERROR(L83*1,0)&gt;0,L83,IFERROR(K83*1,0)))</f>
        <v>0</v>
      </c>
      <c r="N83" s="21">
        <f>IF(A83="","",SUMIFS(Timesheets!$X$5:$X$804,Timesheets!$G$5:$G$804,A83))</f>
        <v>0</v>
      </c>
      <c r="O83" s="21">
        <f>IF(A83="","",IF(N83&gt;0,N83,ROUND(M83*CostPerHour,2)))</f>
        <v>0</v>
      </c>
      <c r="P83" s="21">
        <f>IF(A83="","",SUMIFS('Supply Usage'!$L$5:$L$304,'Supply Usage'!$F$5:$F$304,A83))</f>
        <v>0</v>
      </c>
      <c r="Q83" s="21">
        <f>IF(A83="","",IF(P83&gt;0,P83,ROUND(M83*SuppliesPerHour,2)))</f>
        <v>0</v>
      </c>
      <c r="R83" s="21">
        <f>IF(A83="","",ROUND(IFERROR(INDEX(Jobs!$W$5:$W$604,MATCH(A83,Jobs!$A$5:$A$604,0)),0)*MileageRate,2))</f>
        <v>0</v>
      </c>
      <c r="T83" s="21">
        <f>IF(A83="","",O83+Q83+R83+IF(S83="",0,S83))</f>
        <v>0</v>
      </c>
      <c r="U83" s="21">
        <f>IF(A83="","",J83-T83)</f>
        <v>0</v>
      </c>
      <c r="V83" s="38">
        <f>IF(OR(A83="",J83=0),"",U83/J83)</f>
        <v>0</v>
      </c>
      <c r="W83" s="21">
        <f>IF(OR(A83="",M83=0,J83=0),"",U83/M83)</f>
        <v>0</v>
      </c>
      <c r="X83" s="34">
        <f>IF(OR(A83="",L83="",L83=0,K83=""),"",L83-K83)</f>
        <v>0</v>
      </c>
      <c r="Y83" s="31">
        <f>IF(A83="","",COUNTIFS($U$5:$U$604,"&gt;"&amp;U83)+COUNTIFS($U$5:U83,U83))</f>
        <v>0</v>
      </c>
      <c r="Z83" s="31">
        <f>IF(A83="","",COUNTIFS($W$5:$W$604,"&gt;"&amp;W83)+COUNTIFS($W$5:W83,W83))</f>
        <v>0</v>
      </c>
      <c r="AA83" s="39">
        <f>IF(A83="","",IF(J83=0,"",IF(U83&lt;0,"Loss - this job cost you money",IF(V83&lt;MarginFloor,"Below - margin under the floor",IF(V83&lt;TargetMargin,"Check - under target margin",IF(AND(X83&lt;&gt;"",X83&gt;0.5),"Check - ran over the estimate","OK"))))))</f>
        <v>0</v>
      </c>
    </row>
    <row r="84" spans="1:27">
      <c r="A84" s="43">
        <f>IF(IFERROR(INDEX(Jobs!$A$5:$A$604,ROW()-4),"")="","",IFERROR(INDEX(Jobs!$A$5:$A$604,ROW()-4),""))</f>
        <v>0</v>
      </c>
      <c r="B84" s="18">
        <f>IF(A84="","",IFERROR(INDEX(Jobs!$B$5:$B$604,MATCH(A84,Jobs!$A$5:$A$604,0)),""))</f>
        <v>0</v>
      </c>
      <c r="C84" s="23">
        <f>IF(B84="","",TEXT(B84,"yyyy-mm"))</f>
        <v>0</v>
      </c>
      <c r="D84" s="43">
        <f>IF(A84="","",IFERROR(INDEX(Jobs!$G$5:$G$604,MATCH(A84,Jobs!$A$5:$A$604,0)),""))</f>
        <v>0</v>
      </c>
      <c r="E84" s="23">
        <f>IF(A84="","",IFERROR(INDEX(Jobs!$H$5:$H$604,MATCH(A84,Jobs!$A$5:$A$604,0)),""))</f>
        <v>0</v>
      </c>
      <c r="F84" s="23">
        <f>IF(A84="","",IFERROR(INDEX(Jobs!$K$5:$K$604,MATCH(A84,Jobs!$A$5:$A$604,0)),""))</f>
        <v>0</v>
      </c>
      <c r="G84" s="23">
        <f>IF(A84="","",IFERROR(INDEX(Jobs!$M$5:$M$604,MATCH(A84,Jobs!$A$5:$A$604,0)),""))</f>
        <v>0</v>
      </c>
      <c r="H84" s="23">
        <f>IF(A84="","",IFERROR(INDEX(Jobs!$R$5:$R$604,MATCH(A84,Jobs!$A$5:$A$604,0)),""))</f>
        <v>0</v>
      </c>
      <c r="I84" s="39">
        <f>IF(A84="","",IFERROR(INDEX(Jobs!$P$5:$P$604,MATCH(A84,Jobs!$A$5:$A$604,0)),""))</f>
        <v>0</v>
      </c>
      <c r="J84" s="21">
        <f>IF(A84="","",IF(OR(I84="Completed",I84="Invoiced"),IFERROR(INDEX(Jobs!$AJ$5:$AJ$604,MATCH(A84,Jobs!$A$5:$A$604,0)),0),0))</f>
        <v>0</v>
      </c>
      <c r="K84" s="34">
        <f>IF(A84="","",IFERROR(INDEX(Jobs!$AD$5:$AD$604,MATCH(A84,Jobs!$A$5:$A$604,0)),0))</f>
        <v>0</v>
      </c>
      <c r="L84" s="34">
        <f>IF(A84="","",IFERROR(INDEX(Jobs!$AK$5:$AK$604,MATCH(A84,Jobs!$A$5:$A$604,0)),0))</f>
        <v>0</v>
      </c>
      <c r="M84" s="34">
        <f>IF(A84="","",IF(IFERROR(L84*1,0)&gt;0,L84,IFERROR(K84*1,0)))</f>
        <v>0</v>
      </c>
      <c r="N84" s="21">
        <f>IF(A84="","",SUMIFS(Timesheets!$X$5:$X$804,Timesheets!$G$5:$G$804,A84))</f>
        <v>0</v>
      </c>
      <c r="O84" s="21">
        <f>IF(A84="","",IF(N84&gt;0,N84,ROUND(M84*CostPerHour,2)))</f>
        <v>0</v>
      </c>
      <c r="P84" s="21">
        <f>IF(A84="","",SUMIFS('Supply Usage'!$L$5:$L$304,'Supply Usage'!$F$5:$F$304,A84))</f>
        <v>0</v>
      </c>
      <c r="Q84" s="21">
        <f>IF(A84="","",IF(P84&gt;0,P84,ROUND(M84*SuppliesPerHour,2)))</f>
        <v>0</v>
      </c>
      <c r="R84" s="21">
        <f>IF(A84="","",ROUND(IFERROR(INDEX(Jobs!$W$5:$W$604,MATCH(A84,Jobs!$A$5:$A$604,0)),0)*MileageRate,2))</f>
        <v>0</v>
      </c>
      <c r="T84" s="21">
        <f>IF(A84="","",O84+Q84+R84+IF(S84="",0,S84))</f>
        <v>0</v>
      </c>
      <c r="U84" s="21">
        <f>IF(A84="","",J84-T84)</f>
        <v>0</v>
      </c>
      <c r="V84" s="38">
        <f>IF(OR(A84="",J84=0),"",U84/J84)</f>
        <v>0</v>
      </c>
      <c r="W84" s="21">
        <f>IF(OR(A84="",M84=0,J84=0),"",U84/M84)</f>
        <v>0</v>
      </c>
      <c r="X84" s="34">
        <f>IF(OR(A84="",L84="",L84=0,K84=""),"",L84-K84)</f>
        <v>0</v>
      </c>
      <c r="Y84" s="31">
        <f>IF(A84="","",COUNTIFS($U$5:$U$604,"&gt;"&amp;U84)+COUNTIFS($U$5:U84,U84))</f>
        <v>0</v>
      </c>
      <c r="Z84" s="31">
        <f>IF(A84="","",COUNTIFS($W$5:$W$604,"&gt;"&amp;W84)+COUNTIFS($W$5:W84,W84))</f>
        <v>0</v>
      </c>
      <c r="AA84" s="39">
        <f>IF(A84="","",IF(J84=0,"",IF(U84&lt;0,"Loss - this job cost you money",IF(V84&lt;MarginFloor,"Below - margin under the floor",IF(V84&lt;TargetMargin,"Check - under target margin",IF(AND(X84&lt;&gt;"",X84&gt;0.5),"Check - ran over the estimate","OK"))))))</f>
        <v>0</v>
      </c>
    </row>
    <row r="85" spans="1:27">
      <c r="A85" s="43">
        <f>IF(IFERROR(INDEX(Jobs!$A$5:$A$604,ROW()-4),"")="","",IFERROR(INDEX(Jobs!$A$5:$A$604,ROW()-4),""))</f>
        <v>0</v>
      </c>
      <c r="B85" s="18">
        <f>IF(A85="","",IFERROR(INDEX(Jobs!$B$5:$B$604,MATCH(A85,Jobs!$A$5:$A$604,0)),""))</f>
        <v>0</v>
      </c>
      <c r="C85" s="23">
        <f>IF(B85="","",TEXT(B85,"yyyy-mm"))</f>
        <v>0</v>
      </c>
      <c r="D85" s="43">
        <f>IF(A85="","",IFERROR(INDEX(Jobs!$G$5:$G$604,MATCH(A85,Jobs!$A$5:$A$604,0)),""))</f>
        <v>0</v>
      </c>
      <c r="E85" s="23">
        <f>IF(A85="","",IFERROR(INDEX(Jobs!$H$5:$H$604,MATCH(A85,Jobs!$A$5:$A$604,0)),""))</f>
        <v>0</v>
      </c>
      <c r="F85" s="23">
        <f>IF(A85="","",IFERROR(INDEX(Jobs!$K$5:$K$604,MATCH(A85,Jobs!$A$5:$A$604,0)),""))</f>
        <v>0</v>
      </c>
      <c r="G85" s="23">
        <f>IF(A85="","",IFERROR(INDEX(Jobs!$M$5:$M$604,MATCH(A85,Jobs!$A$5:$A$604,0)),""))</f>
        <v>0</v>
      </c>
      <c r="H85" s="23">
        <f>IF(A85="","",IFERROR(INDEX(Jobs!$R$5:$R$604,MATCH(A85,Jobs!$A$5:$A$604,0)),""))</f>
        <v>0</v>
      </c>
      <c r="I85" s="39">
        <f>IF(A85="","",IFERROR(INDEX(Jobs!$P$5:$P$604,MATCH(A85,Jobs!$A$5:$A$604,0)),""))</f>
        <v>0</v>
      </c>
      <c r="J85" s="21">
        <f>IF(A85="","",IF(OR(I85="Completed",I85="Invoiced"),IFERROR(INDEX(Jobs!$AJ$5:$AJ$604,MATCH(A85,Jobs!$A$5:$A$604,0)),0),0))</f>
        <v>0</v>
      </c>
      <c r="K85" s="34">
        <f>IF(A85="","",IFERROR(INDEX(Jobs!$AD$5:$AD$604,MATCH(A85,Jobs!$A$5:$A$604,0)),0))</f>
        <v>0</v>
      </c>
      <c r="L85" s="34">
        <f>IF(A85="","",IFERROR(INDEX(Jobs!$AK$5:$AK$604,MATCH(A85,Jobs!$A$5:$A$604,0)),0))</f>
        <v>0</v>
      </c>
      <c r="M85" s="34">
        <f>IF(A85="","",IF(IFERROR(L85*1,0)&gt;0,L85,IFERROR(K85*1,0)))</f>
        <v>0</v>
      </c>
      <c r="N85" s="21">
        <f>IF(A85="","",SUMIFS(Timesheets!$X$5:$X$804,Timesheets!$G$5:$G$804,A85))</f>
        <v>0</v>
      </c>
      <c r="O85" s="21">
        <f>IF(A85="","",IF(N85&gt;0,N85,ROUND(M85*CostPerHour,2)))</f>
        <v>0</v>
      </c>
      <c r="P85" s="21">
        <f>IF(A85="","",SUMIFS('Supply Usage'!$L$5:$L$304,'Supply Usage'!$F$5:$F$304,A85))</f>
        <v>0</v>
      </c>
      <c r="Q85" s="21">
        <f>IF(A85="","",IF(P85&gt;0,P85,ROUND(M85*SuppliesPerHour,2)))</f>
        <v>0</v>
      </c>
      <c r="R85" s="21">
        <f>IF(A85="","",ROUND(IFERROR(INDEX(Jobs!$W$5:$W$604,MATCH(A85,Jobs!$A$5:$A$604,0)),0)*MileageRate,2))</f>
        <v>0</v>
      </c>
      <c r="T85" s="21">
        <f>IF(A85="","",O85+Q85+R85+IF(S85="",0,S85))</f>
        <v>0</v>
      </c>
      <c r="U85" s="21">
        <f>IF(A85="","",J85-T85)</f>
        <v>0</v>
      </c>
      <c r="V85" s="38">
        <f>IF(OR(A85="",J85=0),"",U85/J85)</f>
        <v>0</v>
      </c>
      <c r="W85" s="21">
        <f>IF(OR(A85="",M85=0,J85=0),"",U85/M85)</f>
        <v>0</v>
      </c>
      <c r="X85" s="34">
        <f>IF(OR(A85="",L85="",L85=0,K85=""),"",L85-K85)</f>
        <v>0</v>
      </c>
      <c r="Y85" s="31">
        <f>IF(A85="","",COUNTIFS($U$5:$U$604,"&gt;"&amp;U85)+COUNTIFS($U$5:U85,U85))</f>
        <v>0</v>
      </c>
      <c r="Z85" s="31">
        <f>IF(A85="","",COUNTIFS($W$5:$W$604,"&gt;"&amp;W85)+COUNTIFS($W$5:W85,W85))</f>
        <v>0</v>
      </c>
      <c r="AA85" s="39">
        <f>IF(A85="","",IF(J85=0,"",IF(U85&lt;0,"Loss - this job cost you money",IF(V85&lt;MarginFloor,"Below - margin under the floor",IF(V85&lt;TargetMargin,"Check - under target margin",IF(AND(X85&lt;&gt;"",X85&gt;0.5),"Check - ran over the estimate","OK"))))))</f>
        <v>0</v>
      </c>
    </row>
    <row r="86" spans="1:27">
      <c r="A86" s="43">
        <f>IF(IFERROR(INDEX(Jobs!$A$5:$A$604,ROW()-4),"")="","",IFERROR(INDEX(Jobs!$A$5:$A$604,ROW()-4),""))</f>
        <v>0</v>
      </c>
      <c r="B86" s="18">
        <f>IF(A86="","",IFERROR(INDEX(Jobs!$B$5:$B$604,MATCH(A86,Jobs!$A$5:$A$604,0)),""))</f>
        <v>0</v>
      </c>
      <c r="C86" s="23">
        <f>IF(B86="","",TEXT(B86,"yyyy-mm"))</f>
        <v>0</v>
      </c>
      <c r="D86" s="43">
        <f>IF(A86="","",IFERROR(INDEX(Jobs!$G$5:$G$604,MATCH(A86,Jobs!$A$5:$A$604,0)),""))</f>
        <v>0</v>
      </c>
      <c r="E86" s="23">
        <f>IF(A86="","",IFERROR(INDEX(Jobs!$H$5:$H$604,MATCH(A86,Jobs!$A$5:$A$604,0)),""))</f>
        <v>0</v>
      </c>
      <c r="F86" s="23">
        <f>IF(A86="","",IFERROR(INDEX(Jobs!$K$5:$K$604,MATCH(A86,Jobs!$A$5:$A$604,0)),""))</f>
        <v>0</v>
      </c>
      <c r="G86" s="23">
        <f>IF(A86="","",IFERROR(INDEX(Jobs!$M$5:$M$604,MATCH(A86,Jobs!$A$5:$A$604,0)),""))</f>
        <v>0</v>
      </c>
      <c r="H86" s="23">
        <f>IF(A86="","",IFERROR(INDEX(Jobs!$R$5:$R$604,MATCH(A86,Jobs!$A$5:$A$604,0)),""))</f>
        <v>0</v>
      </c>
      <c r="I86" s="39">
        <f>IF(A86="","",IFERROR(INDEX(Jobs!$P$5:$P$604,MATCH(A86,Jobs!$A$5:$A$604,0)),""))</f>
        <v>0</v>
      </c>
      <c r="J86" s="21">
        <f>IF(A86="","",IF(OR(I86="Completed",I86="Invoiced"),IFERROR(INDEX(Jobs!$AJ$5:$AJ$604,MATCH(A86,Jobs!$A$5:$A$604,0)),0),0))</f>
        <v>0</v>
      </c>
      <c r="K86" s="34">
        <f>IF(A86="","",IFERROR(INDEX(Jobs!$AD$5:$AD$604,MATCH(A86,Jobs!$A$5:$A$604,0)),0))</f>
        <v>0</v>
      </c>
      <c r="L86" s="34">
        <f>IF(A86="","",IFERROR(INDEX(Jobs!$AK$5:$AK$604,MATCH(A86,Jobs!$A$5:$A$604,0)),0))</f>
        <v>0</v>
      </c>
      <c r="M86" s="34">
        <f>IF(A86="","",IF(IFERROR(L86*1,0)&gt;0,L86,IFERROR(K86*1,0)))</f>
        <v>0</v>
      </c>
      <c r="N86" s="21">
        <f>IF(A86="","",SUMIFS(Timesheets!$X$5:$X$804,Timesheets!$G$5:$G$804,A86))</f>
        <v>0</v>
      </c>
      <c r="O86" s="21">
        <f>IF(A86="","",IF(N86&gt;0,N86,ROUND(M86*CostPerHour,2)))</f>
        <v>0</v>
      </c>
      <c r="P86" s="21">
        <f>IF(A86="","",SUMIFS('Supply Usage'!$L$5:$L$304,'Supply Usage'!$F$5:$F$304,A86))</f>
        <v>0</v>
      </c>
      <c r="Q86" s="21">
        <f>IF(A86="","",IF(P86&gt;0,P86,ROUND(M86*SuppliesPerHour,2)))</f>
        <v>0</v>
      </c>
      <c r="R86" s="21">
        <f>IF(A86="","",ROUND(IFERROR(INDEX(Jobs!$W$5:$W$604,MATCH(A86,Jobs!$A$5:$A$604,0)),0)*MileageRate,2))</f>
        <v>0</v>
      </c>
      <c r="T86" s="21">
        <f>IF(A86="","",O86+Q86+R86+IF(S86="",0,S86))</f>
        <v>0</v>
      </c>
      <c r="U86" s="21">
        <f>IF(A86="","",J86-T86)</f>
        <v>0</v>
      </c>
      <c r="V86" s="38">
        <f>IF(OR(A86="",J86=0),"",U86/J86)</f>
        <v>0</v>
      </c>
      <c r="W86" s="21">
        <f>IF(OR(A86="",M86=0,J86=0),"",U86/M86)</f>
        <v>0</v>
      </c>
      <c r="X86" s="34">
        <f>IF(OR(A86="",L86="",L86=0,K86=""),"",L86-K86)</f>
        <v>0</v>
      </c>
      <c r="Y86" s="31">
        <f>IF(A86="","",COUNTIFS($U$5:$U$604,"&gt;"&amp;U86)+COUNTIFS($U$5:U86,U86))</f>
        <v>0</v>
      </c>
      <c r="Z86" s="31">
        <f>IF(A86="","",COUNTIFS($W$5:$W$604,"&gt;"&amp;W86)+COUNTIFS($W$5:W86,W86))</f>
        <v>0</v>
      </c>
      <c r="AA86" s="39">
        <f>IF(A86="","",IF(J86=0,"",IF(U86&lt;0,"Loss - this job cost you money",IF(V86&lt;MarginFloor,"Below - margin under the floor",IF(V86&lt;TargetMargin,"Check - under target margin",IF(AND(X86&lt;&gt;"",X86&gt;0.5),"Check - ran over the estimate","OK"))))))</f>
        <v>0</v>
      </c>
    </row>
    <row r="87" spans="1:27">
      <c r="A87" s="43">
        <f>IF(IFERROR(INDEX(Jobs!$A$5:$A$604,ROW()-4),"")="","",IFERROR(INDEX(Jobs!$A$5:$A$604,ROW()-4),""))</f>
        <v>0</v>
      </c>
      <c r="B87" s="18">
        <f>IF(A87="","",IFERROR(INDEX(Jobs!$B$5:$B$604,MATCH(A87,Jobs!$A$5:$A$604,0)),""))</f>
        <v>0</v>
      </c>
      <c r="C87" s="23">
        <f>IF(B87="","",TEXT(B87,"yyyy-mm"))</f>
        <v>0</v>
      </c>
      <c r="D87" s="43">
        <f>IF(A87="","",IFERROR(INDEX(Jobs!$G$5:$G$604,MATCH(A87,Jobs!$A$5:$A$604,0)),""))</f>
        <v>0</v>
      </c>
      <c r="E87" s="23">
        <f>IF(A87="","",IFERROR(INDEX(Jobs!$H$5:$H$604,MATCH(A87,Jobs!$A$5:$A$604,0)),""))</f>
        <v>0</v>
      </c>
      <c r="F87" s="23">
        <f>IF(A87="","",IFERROR(INDEX(Jobs!$K$5:$K$604,MATCH(A87,Jobs!$A$5:$A$604,0)),""))</f>
        <v>0</v>
      </c>
      <c r="G87" s="23">
        <f>IF(A87="","",IFERROR(INDEX(Jobs!$M$5:$M$604,MATCH(A87,Jobs!$A$5:$A$604,0)),""))</f>
        <v>0</v>
      </c>
      <c r="H87" s="23">
        <f>IF(A87="","",IFERROR(INDEX(Jobs!$R$5:$R$604,MATCH(A87,Jobs!$A$5:$A$604,0)),""))</f>
        <v>0</v>
      </c>
      <c r="I87" s="39">
        <f>IF(A87="","",IFERROR(INDEX(Jobs!$P$5:$P$604,MATCH(A87,Jobs!$A$5:$A$604,0)),""))</f>
        <v>0</v>
      </c>
      <c r="J87" s="21">
        <f>IF(A87="","",IF(OR(I87="Completed",I87="Invoiced"),IFERROR(INDEX(Jobs!$AJ$5:$AJ$604,MATCH(A87,Jobs!$A$5:$A$604,0)),0),0))</f>
        <v>0</v>
      </c>
      <c r="K87" s="34">
        <f>IF(A87="","",IFERROR(INDEX(Jobs!$AD$5:$AD$604,MATCH(A87,Jobs!$A$5:$A$604,0)),0))</f>
        <v>0</v>
      </c>
      <c r="L87" s="34">
        <f>IF(A87="","",IFERROR(INDEX(Jobs!$AK$5:$AK$604,MATCH(A87,Jobs!$A$5:$A$604,0)),0))</f>
        <v>0</v>
      </c>
      <c r="M87" s="34">
        <f>IF(A87="","",IF(IFERROR(L87*1,0)&gt;0,L87,IFERROR(K87*1,0)))</f>
        <v>0</v>
      </c>
      <c r="N87" s="21">
        <f>IF(A87="","",SUMIFS(Timesheets!$X$5:$X$804,Timesheets!$G$5:$G$804,A87))</f>
        <v>0</v>
      </c>
      <c r="O87" s="21">
        <f>IF(A87="","",IF(N87&gt;0,N87,ROUND(M87*CostPerHour,2)))</f>
        <v>0</v>
      </c>
      <c r="P87" s="21">
        <f>IF(A87="","",SUMIFS('Supply Usage'!$L$5:$L$304,'Supply Usage'!$F$5:$F$304,A87))</f>
        <v>0</v>
      </c>
      <c r="Q87" s="21">
        <f>IF(A87="","",IF(P87&gt;0,P87,ROUND(M87*SuppliesPerHour,2)))</f>
        <v>0</v>
      </c>
      <c r="R87" s="21">
        <f>IF(A87="","",ROUND(IFERROR(INDEX(Jobs!$W$5:$W$604,MATCH(A87,Jobs!$A$5:$A$604,0)),0)*MileageRate,2))</f>
        <v>0</v>
      </c>
      <c r="T87" s="21">
        <f>IF(A87="","",O87+Q87+R87+IF(S87="",0,S87))</f>
        <v>0</v>
      </c>
      <c r="U87" s="21">
        <f>IF(A87="","",J87-T87)</f>
        <v>0</v>
      </c>
      <c r="V87" s="38">
        <f>IF(OR(A87="",J87=0),"",U87/J87)</f>
        <v>0</v>
      </c>
      <c r="W87" s="21">
        <f>IF(OR(A87="",M87=0,J87=0),"",U87/M87)</f>
        <v>0</v>
      </c>
      <c r="X87" s="34">
        <f>IF(OR(A87="",L87="",L87=0,K87=""),"",L87-K87)</f>
        <v>0</v>
      </c>
      <c r="Y87" s="31">
        <f>IF(A87="","",COUNTIFS($U$5:$U$604,"&gt;"&amp;U87)+COUNTIFS($U$5:U87,U87))</f>
        <v>0</v>
      </c>
      <c r="Z87" s="31">
        <f>IF(A87="","",COUNTIFS($W$5:$W$604,"&gt;"&amp;W87)+COUNTIFS($W$5:W87,W87))</f>
        <v>0</v>
      </c>
      <c r="AA87" s="39">
        <f>IF(A87="","",IF(J87=0,"",IF(U87&lt;0,"Loss - this job cost you money",IF(V87&lt;MarginFloor,"Below - margin under the floor",IF(V87&lt;TargetMargin,"Check - under target margin",IF(AND(X87&lt;&gt;"",X87&gt;0.5),"Check - ran over the estimate","OK"))))))</f>
        <v>0</v>
      </c>
    </row>
    <row r="88" spans="1:27">
      <c r="A88" s="43">
        <f>IF(IFERROR(INDEX(Jobs!$A$5:$A$604,ROW()-4),"")="","",IFERROR(INDEX(Jobs!$A$5:$A$604,ROW()-4),""))</f>
        <v>0</v>
      </c>
      <c r="B88" s="18">
        <f>IF(A88="","",IFERROR(INDEX(Jobs!$B$5:$B$604,MATCH(A88,Jobs!$A$5:$A$604,0)),""))</f>
        <v>0</v>
      </c>
      <c r="C88" s="23">
        <f>IF(B88="","",TEXT(B88,"yyyy-mm"))</f>
        <v>0</v>
      </c>
      <c r="D88" s="43">
        <f>IF(A88="","",IFERROR(INDEX(Jobs!$G$5:$G$604,MATCH(A88,Jobs!$A$5:$A$604,0)),""))</f>
        <v>0</v>
      </c>
      <c r="E88" s="23">
        <f>IF(A88="","",IFERROR(INDEX(Jobs!$H$5:$H$604,MATCH(A88,Jobs!$A$5:$A$604,0)),""))</f>
        <v>0</v>
      </c>
      <c r="F88" s="23">
        <f>IF(A88="","",IFERROR(INDEX(Jobs!$K$5:$K$604,MATCH(A88,Jobs!$A$5:$A$604,0)),""))</f>
        <v>0</v>
      </c>
      <c r="G88" s="23">
        <f>IF(A88="","",IFERROR(INDEX(Jobs!$M$5:$M$604,MATCH(A88,Jobs!$A$5:$A$604,0)),""))</f>
        <v>0</v>
      </c>
      <c r="H88" s="23">
        <f>IF(A88="","",IFERROR(INDEX(Jobs!$R$5:$R$604,MATCH(A88,Jobs!$A$5:$A$604,0)),""))</f>
        <v>0</v>
      </c>
      <c r="I88" s="39">
        <f>IF(A88="","",IFERROR(INDEX(Jobs!$P$5:$P$604,MATCH(A88,Jobs!$A$5:$A$604,0)),""))</f>
        <v>0</v>
      </c>
      <c r="J88" s="21">
        <f>IF(A88="","",IF(OR(I88="Completed",I88="Invoiced"),IFERROR(INDEX(Jobs!$AJ$5:$AJ$604,MATCH(A88,Jobs!$A$5:$A$604,0)),0),0))</f>
        <v>0</v>
      </c>
      <c r="K88" s="34">
        <f>IF(A88="","",IFERROR(INDEX(Jobs!$AD$5:$AD$604,MATCH(A88,Jobs!$A$5:$A$604,0)),0))</f>
        <v>0</v>
      </c>
      <c r="L88" s="34">
        <f>IF(A88="","",IFERROR(INDEX(Jobs!$AK$5:$AK$604,MATCH(A88,Jobs!$A$5:$A$604,0)),0))</f>
        <v>0</v>
      </c>
      <c r="M88" s="34">
        <f>IF(A88="","",IF(IFERROR(L88*1,0)&gt;0,L88,IFERROR(K88*1,0)))</f>
        <v>0</v>
      </c>
      <c r="N88" s="21">
        <f>IF(A88="","",SUMIFS(Timesheets!$X$5:$X$804,Timesheets!$G$5:$G$804,A88))</f>
        <v>0</v>
      </c>
      <c r="O88" s="21">
        <f>IF(A88="","",IF(N88&gt;0,N88,ROUND(M88*CostPerHour,2)))</f>
        <v>0</v>
      </c>
      <c r="P88" s="21">
        <f>IF(A88="","",SUMIFS('Supply Usage'!$L$5:$L$304,'Supply Usage'!$F$5:$F$304,A88))</f>
        <v>0</v>
      </c>
      <c r="Q88" s="21">
        <f>IF(A88="","",IF(P88&gt;0,P88,ROUND(M88*SuppliesPerHour,2)))</f>
        <v>0</v>
      </c>
      <c r="R88" s="21">
        <f>IF(A88="","",ROUND(IFERROR(INDEX(Jobs!$W$5:$W$604,MATCH(A88,Jobs!$A$5:$A$604,0)),0)*MileageRate,2))</f>
        <v>0</v>
      </c>
      <c r="T88" s="21">
        <f>IF(A88="","",O88+Q88+R88+IF(S88="",0,S88))</f>
        <v>0</v>
      </c>
      <c r="U88" s="21">
        <f>IF(A88="","",J88-T88)</f>
        <v>0</v>
      </c>
      <c r="V88" s="38">
        <f>IF(OR(A88="",J88=0),"",U88/J88)</f>
        <v>0</v>
      </c>
      <c r="W88" s="21">
        <f>IF(OR(A88="",M88=0,J88=0),"",U88/M88)</f>
        <v>0</v>
      </c>
      <c r="X88" s="34">
        <f>IF(OR(A88="",L88="",L88=0,K88=""),"",L88-K88)</f>
        <v>0</v>
      </c>
      <c r="Y88" s="31">
        <f>IF(A88="","",COUNTIFS($U$5:$U$604,"&gt;"&amp;U88)+COUNTIFS($U$5:U88,U88))</f>
        <v>0</v>
      </c>
      <c r="Z88" s="31">
        <f>IF(A88="","",COUNTIFS($W$5:$W$604,"&gt;"&amp;W88)+COUNTIFS($W$5:W88,W88))</f>
        <v>0</v>
      </c>
      <c r="AA88" s="39">
        <f>IF(A88="","",IF(J88=0,"",IF(U88&lt;0,"Loss - this job cost you money",IF(V88&lt;MarginFloor,"Below - margin under the floor",IF(V88&lt;TargetMargin,"Check - under target margin",IF(AND(X88&lt;&gt;"",X88&gt;0.5),"Check - ran over the estimate","OK"))))))</f>
        <v>0</v>
      </c>
    </row>
    <row r="89" spans="1:27">
      <c r="A89" s="43">
        <f>IF(IFERROR(INDEX(Jobs!$A$5:$A$604,ROW()-4),"")="","",IFERROR(INDEX(Jobs!$A$5:$A$604,ROW()-4),""))</f>
        <v>0</v>
      </c>
      <c r="B89" s="18">
        <f>IF(A89="","",IFERROR(INDEX(Jobs!$B$5:$B$604,MATCH(A89,Jobs!$A$5:$A$604,0)),""))</f>
        <v>0</v>
      </c>
      <c r="C89" s="23">
        <f>IF(B89="","",TEXT(B89,"yyyy-mm"))</f>
        <v>0</v>
      </c>
      <c r="D89" s="43">
        <f>IF(A89="","",IFERROR(INDEX(Jobs!$G$5:$G$604,MATCH(A89,Jobs!$A$5:$A$604,0)),""))</f>
        <v>0</v>
      </c>
      <c r="E89" s="23">
        <f>IF(A89="","",IFERROR(INDEX(Jobs!$H$5:$H$604,MATCH(A89,Jobs!$A$5:$A$604,0)),""))</f>
        <v>0</v>
      </c>
      <c r="F89" s="23">
        <f>IF(A89="","",IFERROR(INDEX(Jobs!$K$5:$K$604,MATCH(A89,Jobs!$A$5:$A$604,0)),""))</f>
        <v>0</v>
      </c>
      <c r="G89" s="23">
        <f>IF(A89="","",IFERROR(INDEX(Jobs!$M$5:$M$604,MATCH(A89,Jobs!$A$5:$A$604,0)),""))</f>
        <v>0</v>
      </c>
      <c r="H89" s="23">
        <f>IF(A89="","",IFERROR(INDEX(Jobs!$R$5:$R$604,MATCH(A89,Jobs!$A$5:$A$604,0)),""))</f>
        <v>0</v>
      </c>
      <c r="I89" s="39">
        <f>IF(A89="","",IFERROR(INDEX(Jobs!$P$5:$P$604,MATCH(A89,Jobs!$A$5:$A$604,0)),""))</f>
        <v>0</v>
      </c>
      <c r="J89" s="21">
        <f>IF(A89="","",IF(OR(I89="Completed",I89="Invoiced"),IFERROR(INDEX(Jobs!$AJ$5:$AJ$604,MATCH(A89,Jobs!$A$5:$A$604,0)),0),0))</f>
        <v>0</v>
      </c>
      <c r="K89" s="34">
        <f>IF(A89="","",IFERROR(INDEX(Jobs!$AD$5:$AD$604,MATCH(A89,Jobs!$A$5:$A$604,0)),0))</f>
        <v>0</v>
      </c>
      <c r="L89" s="34">
        <f>IF(A89="","",IFERROR(INDEX(Jobs!$AK$5:$AK$604,MATCH(A89,Jobs!$A$5:$A$604,0)),0))</f>
        <v>0</v>
      </c>
      <c r="M89" s="34">
        <f>IF(A89="","",IF(IFERROR(L89*1,0)&gt;0,L89,IFERROR(K89*1,0)))</f>
        <v>0</v>
      </c>
      <c r="N89" s="21">
        <f>IF(A89="","",SUMIFS(Timesheets!$X$5:$X$804,Timesheets!$G$5:$G$804,A89))</f>
        <v>0</v>
      </c>
      <c r="O89" s="21">
        <f>IF(A89="","",IF(N89&gt;0,N89,ROUND(M89*CostPerHour,2)))</f>
        <v>0</v>
      </c>
      <c r="P89" s="21">
        <f>IF(A89="","",SUMIFS('Supply Usage'!$L$5:$L$304,'Supply Usage'!$F$5:$F$304,A89))</f>
        <v>0</v>
      </c>
      <c r="Q89" s="21">
        <f>IF(A89="","",IF(P89&gt;0,P89,ROUND(M89*SuppliesPerHour,2)))</f>
        <v>0</v>
      </c>
      <c r="R89" s="21">
        <f>IF(A89="","",ROUND(IFERROR(INDEX(Jobs!$W$5:$W$604,MATCH(A89,Jobs!$A$5:$A$604,0)),0)*MileageRate,2))</f>
        <v>0</v>
      </c>
      <c r="T89" s="21">
        <f>IF(A89="","",O89+Q89+R89+IF(S89="",0,S89))</f>
        <v>0</v>
      </c>
      <c r="U89" s="21">
        <f>IF(A89="","",J89-T89)</f>
        <v>0</v>
      </c>
      <c r="V89" s="38">
        <f>IF(OR(A89="",J89=0),"",U89/J89)</f>
        <v>0</v>
      </c>
      <c r="W89" s="21">
        <f>IF(OR(A89="",M89=0,J89=0),"",U89/M89)</f>
        <v>0</v>
      </c>
      <c r="X89" s="34">
        <f>IF(OR(A89="",L89="",L89=0,K89=""),"",L89-K89)</f>
        <v>0</v>
      </c>
      <c r="Y89" s="31">
        <f>IF(A89="","",COUNTIFS($U$5:$U$604,"&gt;"&amp;U89)+COUNTIFS($U$5:U89,U89))</f>
        <v>0</v>
      </c>
      <c r="Z89" s="31">
        <f>IF(A89="","",COUNTIFS($W$5:$W$604,"&gt;"&amp;W89)+COUNTIFS($W$5:W89,W89))</f>
        <v>0</v>
      </c>
      <c r="AA89" s="39">
        <f>IF(A89="","",IF(J89=0,"",IF(U89&lt;0,"Loss - this job cost you money",IF(V89&lt;MarginFloor,"Below - margin under the floor",IF(V89&lt;TargetMargin,"Check - under target margin",IF(AND(X89&lt;&gt;"",X89&gt;0.5),"Check - ran over the estimate","OK"))))))</f>
        <v>0</v>
      </c>
    </row>
    <row r="90" spans="1:27">
      <c r="A90" s="43">
        <f>IF(IFERROR(INDEX(Jobs!$A$5:$A$604,ROW()-4),"")="","",IFERROR(INDEX(Jobs!$A$5:$A$604,ROW()-4),""))</f>
        <v>0</v>
      </c>
      <c r="B90" s="18">
        <f>IF(A90="","",IFERROR(INDEX(Jobs!$B$5:$B$604,MATCH(A90,Jobs!$A$5:$A$604,0)),""))</f>
        <v>0</v>
      </c>
      <c r="C90" s="23">
        <f>IF(B90="","",TEXT(B90,"yyyy-mm"))</f>
        <v>0</v>
      </c>
      <c r="D90" s="43">
        <f>IF(A90="","",IFERROR(INDEX(Jobs!$G$5:$G$604,MATCH(A90,Jobs!$A$5:$A$604,0)),""))</f>
        <v>0</v>
      </c>
      <c r="E90" s="23">
        <f>IF(A90="","",IFERROR(INDEX(Jobs!$H$5:$H$604,MATCH(A90,Jobs!$A$5:$A$604,0)),""))</f>
        <v>0</v>
      </c>
      <c r="F90" s="23">
        <f>IF(A90="","",IFERROR(INDEX(Jobs!$K$5:$K$604,MATCH(A90,Jobs!$A$5:$A$604,0)),""))</f>
        <v>0</v>
      </c>
      <c r="G90" s="23">
        <f>IF(A90="","",IFERROR(INDEX(Jobs!$M$5:$M$604,MATCH(A90,Jobs!$A$5:$A$604,0)),""))</f>
        <v>0</v>
      </c>
      <c r="H90" s="23">
        <f>IF(A90="","",IFERROR(INDEX(Jobs!$R$5:$R$604,MATCH(A90,Jobs!$A$5:$A$604,0)),""))</f>
        <v>0</v>
      </c>
      <c r="I90" s="39">
        <f>IF(A90="","",IFERROR(INDEX(Jobs!$P$5:$P$604,MATCH(A90,Jobs!$A$5:$A$604,0)),""))</f>
        <v>0</v>
      </c>
      <c r="J90" s="21">
        <f>IF(A90="","",IF(OR(I90="Completed",I90="Invoiced"),IFERROR(INDEX(Jobs!$AJ$5:$AJ$604,MATCH(A90,Jobs!$A$5:$A$604,0)),0),0))</f>
        <v>0</v>
      </c>
      <c r="K90" s="34">
        <f>IF(A90="","",IFERROR(INDEX(Jobs!$AD$5:$AD$604,MATCH(A90,Jobs!$A$5:$A$604,0)),0))</f>
        <v>0</v>
      </c>
      <c r="L90" s="34">
        <f>IF(A90="","",IFERROR(INDEX(Jobs!$AK$5:$AK$604,MATCH(A90,Jobs!$A$5:$A$604,0)),0))</f>
        <v>0</v>
      </c>
      <c r="M90" s="34">
        <f>IF(A90="","",IF(IFERROR(L90*1,0)&gt;0,L90,IFERROR(K90*1,0)))</f>
        <v>0</v>
      </c>
      <c r="N90" s="21">
        <f>IF(A90="","",SUMIFS(Timesheets!$X$5:$X$804,Timesheets!$G$5:$G$804,A90))</f>
        <v>0</v>
      </c>
      <c r="O90" s="21">
        <f>IF(A90="","",IF(N90&gt;0,N90,ROUND(M90*CostPerHour,2)))</f>
        <v>0</v>
      </c>
      <c r="P90" s="21">
        <f>IF(A90="","",SUMIFS('Supply Usage'!$L$5:$L$304,'Supply Usage'!$F$5:$F$304,A90))</f>
        <v>0</v>
      </c>
      <c r="Q90" s="21">
        <f>IF(A90="","",IF(P90&gt;0,P90,ROUND(M90*SuppliesPerHour,2)))</f>
        <v>0</v>
      </c>
      <c r="R90" s="21">
        <f>IF(A90="","",ROUND(IFERROR(INDEX(Jobs!$W$5:$W$604,MATCH(A90,Jobs!$A$5:$A$604,0)),0)*MileageRate,2))</f>
        <v>0</v>
      </c>
      <c r="T90" s="21">
        <f>IF(A90="","",O90+Q90+R90+IF(S90="",0,S90))</f>
        <v>0</v>
      </c>
      <c r="U90" s="21">
        <f>IF(A90="","",J90-T90)</f>
        <v>0</v>
      </c>
      <c r="V90" s="38">
        <f>IF(OR(A90="",J90=0),"",U90/J90)</f>
        <v>0</v>
      </c>
      <c r="W90" s="21">
        <f>IF(OR(A90="",M90=0,J90=0),"",U90/M90)</f>
        <v>0</v>
      </c>
      <c r="X90" s="34">
        <f>IF(OR(A90="",L90="",L90=0,K90=""),"",L90-K90)</f>
        <v>0</v>
      </c>
      <c r="Y90" s="31">
        <f>IF(A90="","",COUNTIFS($U$5:$U$604,"&gt;"&amp;U90)+COUNTIFS($U$5:U90,U90))</f>
        <v>0</v>
      </c>
      <c r="Z90" s="31">
        <f>IF(A90="","",COUNTIFS($W$5:$W$604,"&gt;"&amp;W90)+COUNTIFS($W$5:W90,W90))</f>
        <v>0</v>
      </c>
      <c r="AA90" s="39">
        <f>IF(A90="","",IF(J90=0,"",IF(U90&lt;0,"Loss - this job cost you money",IF(V90&lt;MarginFloor,"Below - margin under the floor",IF(V90&lt;TargetMargin,"Check - under target margin",IF(AND(X90&lt;&gt;"",X90&gt;0.5),"Check - ran over the estimate","OK"))))))</f>
        <v>0</v>
      </c>
    </row>
    <row r="91" spans="1:27">
      <c r="A91" s="43">
        <f>IF(IFERROR(INDEX(Jobs!$A$5:$A$604,ROW()-4),"")="","",IFERROR(INDEX(Jobs!$A$5:$A$604,ROW()-4),""))</f>
        <v>0</v>
      </c>
      <c r="B91" s="18">
        <f>IF(A91="","",IFERROR(INDEX(Jobs!$B$5:$B$604,MATCH(A91,Jobs!$A$5:$A$604,0)),""))</f>
        <v>0</v>
      </c>
      <c r="C91" s="23">
        <f>IF(B91="","",TEXT(B91,"yyyy-mm"))</f>
        <v>0</v>
      </c>
      <c r="D91" s="43">
        <f>IF(A91="","",IFERROR(INDEX(Jobs!$G$5:$G$604,MATCH(A91,Jobs!$A$5:$A$604,0)),""))</f>
        <v>0</v>
      </c>
      <c r="E91" s="23">
        <f>IF(A91="","",IFERROR(INDEX(Jobs!$H$5:$H$604,MATCH(A91,Jobs!$A$5:$A$604,0)),""))</f>
        <v>0</v>
      </c>
      <c r="F91" s="23">
        <f>IF(A91="","",IFERROR(INDEX(Jobs!$K$5:$K$604,MATCH(A91,Jobs!$A$5:$A$604,0)),""))</f>
        <v>0</v>
      </c>
      <c r="G91" s="23">
        <f>IF(A91="","",IFERROR(INDEX(Jobs!$M$5:$M$604,MATCH(A91,Jobs!$A$5:$A$604,0)),""))</f>
        <v>0</v>
      </c>
      <c r="H91" s="23">
        <f>IF(A91="","",IFERROR(INDEX(Jobs!$R$5:$R$604,MATCH(A91,Jobs!$A$5:$A$604,0)),""))</f>
        <v>0</v>
      </c>
      <c r="I91" s="39">
        <f>IF(A91="","",IFERROR(INDEX(Jobs!$P$5:$P$604,MATCH(A91,Jobs!$A$5:$A$604,0)),""))</f>
        <v>0</v>
      </c>
      <c r="J91" s="21">
        <f>IF(A91="","",IF(OR(I91="Completed",I91="Invoiced"),IFERROR(INDEX(Jobs!$AJ$5:$AJ$604,MATCH(A91,Jobs!$A$5:$A$604,0)),0),0))</f>
        <v>0</v>
      </c>
      <c r="K91" s="34">
        <f>IF(A91="","",IFERROR(INDEX(Jobs!$AD$5:$AD$604,MATCH(A91,Jobs!$A$5:$A$604,0)),0))</f>
        <v>0</v>
      </c>
      <c r="L91" s="34">
        <f>IF(A91="","",IFERROR(INDEX(Jobs!$AK$5:$AK$604,MATCH(A91,Jobs!$A$5:$A$604,0)),0))</f>
        <v>0</v>
      </c>
      <c r="M91" s="34">
        <f>IF(A91="","",IF(IFERROR(L91*1,0)&gt;0,L91,IFERROR(K91*1,0)))</f>
        <v>0</v>
      </c>
      <c r="N91" s="21">
        <f>IF(A91="","",SUMIFS(Timesheets!$X$5:$X$804,Timesheets!$G$5:$G$804,A91))</f>
        <v>0</v>
      </c>
      <c r="O91" s="21">
        <f>IF(A91="","",IF(N91&gt;0,N91,ROUND(M91*CostPerHour,2)))</f>
        <v>0</v>
      </c>
      <c r="P91" s="21">
        <f>IF(A91="","",SUMIFS('Supply Usage'!$L$5:$L$304,'Supply Usage'!$F$5:$F$304,A91))</f>
        <v>0</v>
      </c>
      <c r="Q91" s="21">
        <f>IF(A91="","",IF(P91&gt;0,P91,ROUND(M91*SuppliesPerHour,2)))</f>
        <v>0</v>
      </c>
      <c r="R91" s="21">
        <f>IF(A91="","",ROUND(IFERROR(INDEX(Jobs!$W$5:$W$604,MATCH(A91,Jobs!$A$5:$A$604,0)),0)*MileageRate,2))</f>
        <v>0</v>
      </c>
      <c r="T91" s="21">
        <f>IF(A91="","",O91+Q91+R91+IF(S91="",0,S91))</f>
        <v>0</v>
      </c>
      <c r="U91" s="21">
        <f>IF(A91="","",J91-T91)</f>
        <v>0</v>
      </c>
      <c r="V91" s="38">
        <f>IF(OR(A91="",J91=0),"",U91/J91)</f>
        <v>0</v>
      </c>
      <c r="W91" s="21">
        <f>IF(OR(A91="",M91=0,J91=0),"",U91/M91)</f>
        <v>0</v>
      </c>
      <c r="X91" s="34">
        <f>IF(OR(A91="",L91="",L91=0,K91=""),"",L91-K91)</f>
        <v>0</v>
      </c>
      <c r="Y91" s="31">
        <f>IF(A91="","",COUNTIFS($U$5:$U$604,"&gt;"&amp;U91)+COUNTIFS($U$5:U91,U91))</f>
        <v>0</v>
      </c>
      <c r="Z91" s="31">
        <f>IF(A91="","",COUNTIFS($W$5:$W$604,"&gt;"&amp;W91)+COUNTIFS($W$5:W91,W91))</f>
        <v>0</v>
      </c>
      <c r="AA91" s="39">
        <f>IF(A91="","",IF(J91=0,"",IF(U91&lt;0,"Loss - this job cost you money",IF(V91&lt;MarginFloor,"Below - margin under the floor",IF(V91&lt;TargetMargin,"Check - under target margin",IF(AND(X91&lt;&gt;"",X91&gt;0.5),"Check - ran over the estimate","OK"))))))</f>
        <v>0</v>
      </c>
    </row>
    <row r="92" spans="1:27">
      <c r="A92" s="43">
        <f>IF(IFERROR(INDEX(Jobs!$A$5:$A$604,ROW()-4),"")="","",IFERROR(INDEX(Jobs!$A$5:$A$604,ROW()-4),""))</f>
        <v>0</v>
      </c>
      <c r="B92" s="18">
        <f>IF(A92="","",IFERROR(INDEX(Jobs!$B$5:$B$604,MATCH(A92,Jobs!$A$5:$A$604,0)),""))</f>
        <v>0</v>
      </c>
      <c r="C92" s="23">
        <f>IF(B92="","",TEXT(B92,"yyyy-mm"))</f>
        <v>0</v>
      </c>
      <c r="D92" s="43">
        <f>IF(A92="","",IFERROR(INDEX(Jobs!$G$5:$G$604,MATCH(A92,Jobs!$A$5:$A$604,0)),""))</f>
        <v>0</v>
      </c>
      <c r="E92" s="23">
        <f>IF(A92="","",IFERROR(INDEX(Jobs!$H$5:$H$604,MATCH(A92,Jobs!$A$5:$A$604,0)),""))</f>
        <v>0</v>
      </c>
      <c r="F92" s="23">
        <f>IF(A92="","",IFERROR(INDEX(Jobs!$K$5:$K$604,MATCH(A92,Jobs!$A$5:$A$604,0)),""))</f>
        <v>0</v>
      </c>
      <c r="G92" s="23">
        <f>IF(A92="","",IFERROR(INDEX(Jobs!$M$5:$M$604,MATCH(A92,Jobs!$A$5:$A$604,0)),""))</f>
        <v>0</v>
      </c>
      <c r="H92" s="23">
        <f>IF(A92="","",IFERROR(INDEX(Jobs!$R$5:$R$604,MATCH(A92,Jobs!$A$5:$A$604,0)),""))</f>
        <v>0</v>
      </c>
      <c r="I92" s="39">
        <f>IF(A92="","",IFERROR(INDEX(Jobs!$P$5:$P$604,MATCH(A92,Jobs!$A$5:$A$604,0)),""))</f>
        <v>0</v>
      </c>
      <c r="J92" s="21">
        <f>IF(A92="","",IF(OR(I92="Completed",I92="Invoiced"),IFERROR(INDEX(Jobs!$AJ$5:$AJ$604,MATCH(A92,Jobs!$A$5:$A$604,0)),0),0))</f>
        <v>0</v>
      </c>
      <c r="K92" s="34">
        <f>IF(A92="","",IFERROR(INDEX(Jobs!$AD$5:$AD$604,MATCH(A92,Jobs!$A$5:$A$604,0)),0))</f>
        <v>0</v>
      </c>
      <c r="L92" s="34">
        <f>IF(A92="","",IFERROR(INDEX(Jobs!$AK$5:$AK$604,MATCH(A92,Jobs!$A$5:$A$604,0)),0))</f>
        <v>0</v>
      </c>
      <c r="M92" s="34">
        <f>IF(A92="","",IF(IFERROR(L92*1,0)&gt;0,L92,IFERROR(K92*1,0)))</f>
        <v>0</v>
      </c>
      <c r="N92" s="21">
        <f>IF(A92="","",SUMIFS(Timesheets!$X$5:$X$804,Timesheets!$G$5:$G$804,A92))</f>
        <v>0</v>
      </c>
      <c r="O92" s="21">
        <f>IF(A92="","",IF(N92&gt;0,N92,ROUND(M92*CostPerHour,2)))</f>
        <v>0</v>
      </c>
      <c r="P92" s="21">
        <f>IF(A92="","",SUMIFS('Supply Usage'!$L$5:$L$304,'Supply Usage'!$F$5:$F$304,A92))</f>
        <v>0</v>
      </c>
      <c r="Q92" s="21">
        <f>IF(A92="","",IF(P92&gt;0,P92,ROUND(M92*SuppliesPerHour,2)))</f>
        <v>0</v>
      </c>
      <c r="R92" s="21">
        <f>IF(A92="","",ROUND(IFERROR(INDEX(Jobs!$W$5:$W$604,MATCH(A92,Jobs!$A$5:$A$604,0)),0)*MileageRate,2))</f>
        <v>0</v>
      </c>
      <c r="T92" s="21">
        <f>IF(A92="","",O92+Q92+R92+IF(S92="",0,S92))</f>
        <v>0</v>
      </c>
      <c r="U92" s="21">
        <f>IF(A92="","",J92-T92)</f>
        <v>0</v>
      </c>
      <c r="V92" s="38">
        <f>IF(OR(A92="",J92=0),"",U92/J92)</f>
        <v>0</v>
      </c>
      <c r="W92" s="21">
        <f>IF(OR(A92="",M92=0,J92=0),"",U92/M92)</f>
        <v>0</v>
      </c>
      <c r="X92" s="34">
        <f>IF(OR(A92="",L92="",L92=0,K92=""),"",L92-K92)</f>
        <v>0</v>
      </c>
      <c r="Y92" s="31">
        <f>IF(A92="","",COUNTIFS($U$5:$U$604,"&gt;"&amp;U92)+COUNTIFS($U$5:U92,U92))</f>
        <v>0</v>
      </c>
      <c r="Z92" s="31">
        <f>IF(A92="","",COUNTIFS($W$5:$W$604,"&gt;"&amp;W92)+COUNTIFS($W$5:W92,W92))</f>
        <v>0</v>
      </c>
      <c r="AA92" s="39">
        <f>IF(A92="","",IF(J92=0,"",IF(U92&lt;0,"Loss - this job cost you money",IF(V92&lt;MarginFloor,"Below - margin under the floor",IF(V92&lt;TargetMargin,"Check - under target margin",IF(AND(X92&lt;&gt;"",X92&gt;0.5),"Check - ran over the estimate","OK"))))))</f>
        <v>0</v>
      </c>
    </row>
    <row r="93" spans="1:27">
      <c r="A93" s="43">
        <f>IF(IFERROR(INDEX(Jobs!$A$5:$A$604,ROW()-4),"")="","",IFERROR(INDEX(Jobs!$A$5:$A$604,ROW()-4),""))</f>
        <v>0</v>
      </c>
      <c r="B93" s="18">
        <f>IF(A93="","",IFERROR(INDEX(Jobs!$B$5:$B$604,MATCH(A93,Jobs!$A$5:$A$604,0)),""))</f>
        <v>0</v>
      </c>
      <c r="C93" s="23">
        <f>IF(B93="","",TEXT(B93,"yyyy-mm"))</f>
        <v>0</v>
      </c>
      <c r="D93" s="43">
        <f>IF(A93="","",IFERROR(INDEX(Jobs!$G$5:$G$604,MATCH(A93,Jobs!$A$5:$A$604,0)),""))</f>
        <v>0</v>
      </c>
      <c r="E93" s="23">
        <f>IF(A93="","",IFERROR(INDEX(Jobs!$H$5:$H$604,MATCH(A93,Jobs!$A$5:$A$604,0)),""))</f>
        <v>0</v>
      </c>
      <c r="F93" s="23">
        <f>IF(A93="","",IFERROR(INDEX(Jobs!$K$5:$K$604,MATCH(A93,Jobs!$A$5:$A$604,0)),""))</f>
        <v>0</v>
      </c>
      <c r="G93" s="23">
        <f>IF(A93="","",IFERROR(INDEX(Jobs!$M$5:$M$604,MATCH(A93,Jobs!$A$5:$A$604,0)),""))</f>
        <v>0</v>
      </c>
      <c r="H93" s="23">
        <f>IF(A93="","",IFERROR(INDEX(Jobs!$R$5:$R$604,MATCH(A93,Jobs!$A$5:$A$604,0)),""))</f>
        <v>0</v>
      </c>
      <c r="I93" s="39">
        <f>IF(A93="","",IFERROR(INDEX(Jobs!$P$5:$P$604,MATCH(A93,Jobs!$A$5:$A$604,0)),""))</f>
        <v>0</v>
      </c>
      <c r="J93" s="21">
        <f>IF(A93="","",IF(OR(I93="Completed",I93="Invoiced"),IFERROR(INDEX(Jobs!$AJ$5:$AJ$604,MATCH(A93,Jobs!$A$5:$A$604,0)),0),0))</f>
        <v>0</v>
      </c>
      <c r="K93" s="34">
        <f>IF(A93="","",IFERROR(INDEX(Jobs!$AD$5:$AD$604,MATCH(A93,Jobs!$A$5:$A$604,0)),0))</f>
        <v>0</v>
      </c>
      <c r="L93" s="34">
        <f>IF(A93="","",IFERROR(INDEX(Jobs!$AK$5:$AK$604,MATCH(A93,Jobs!$A$5:$A$604,0)),0))</f>
        <v>0</v>
      </c>
      <c r="M93" s="34">
        <f>IF(A93="","",IF(IFERROR(L93*1,0)&gt;0,L93,IFERROR(K93*1,0)))</f>
        <v>0</v>
      </c>
      <c r="N93" s="21">
        <f>IF(A93="","",SUMIFS(Timesheets!$X$5:$X$804,Timesheets!$G$5:$G$804,A93))</f>
        <v>0</v>
      </c>
      <c r="O93" s="21">
        <f>IF(A93="","",IF(N93&gt;0,N93,ROUND(M93*CostPerHour,2)))</f>
        <v>0</v>
      </c>
      <c r="P93" s="21">
        <f>IF(A93="","",SUMIFS('Supply Usage'!$L$5:$L$304,'Supply Usage'!$F$5:$F$304,A93))</f>
        <v>0</v>
      </c>
      <c r="Q93" s="21">
        <f>IF(A93="","",IF(P93&gt;0,P93,ROUND(M93*SuppliesPerHour,2)))</f>
        <v>0</v>
      </c>
      <c r="R93" s="21">
        <f>IF(A93="","",ROUND(IFERROR(INDEX(Jobs!$W$5:$W$604,MATCH(A93,Jobs!$A$5:$A$604,0)),0)*MileageRate,2))</f>
        <v>0</v>
      </c>
      <c r="T93" s="21">
        <f>IF(A93="","",O93+Q93+R93+IF(S93="",0,S93))</f>
        <v>0</v>
      </c>
      <c r="U93" s="21">
        <f>IF(A93="","",J93-T93)</f>
        <v>0</v>
      </c>
      <c r="V93" s="38">
        <f>IF(OR(A93="",J93=0),"",U93/J93)</f>
        <v>0</v>
      </c>
      <c r="W93" s="21">
        <f>IF(OR(A93="",M93=0,J93=0),"",U93/M93)</f>
        <v>0</v>
      </c>
      <c r="X93" s="34">
        <f>IF(OR(A93="",L93="",L93=0,K93=""),"",L93-K93)</f>
        <v>0</v>
      </c>
      <c r="Y93" s="31">
        <f>IF(A93="","",COUNTIFS($U$5:$U$604,"&gt;"&amp;U93)+COUNTIFS($U$5:U93,U93))</f>
        <v>0</v>
      </c>
      <c r="Z93" s="31">
        <f>IF(A93="","",COUNTIFS($W$5:$W$604,"&gt;"&amp;W93)+COUNTIFS($W$5:W93,W93))</f>
        <v>0</v>
      </c>
      <c r="AA93" s="39">
        <f>IF(A93="","",IF(J93=0,"",IF(U93&lt;0,"Loss - this job cost you money",IF(V93&lt;MarginFloor,"Below - margin under the floor",IF(V93&lt;TargetMargin,"Check - under target margin",IF(AND(X93&lt;&gt;"",X93&gt;0.5),"Check - ran over the estimate","OK"))))))</f>
        <v>0</v>
      </c>
    </row>
    <row r="94" spans="1:27">
      <c r="A94" s="43">
        <f>IF(IFERROR(INDEX(Jobs!$A$5:$A$604,ROW()-4),"")="","",IFERROR(INDEX(Jobs!$A$5:$A$604,ROW()-4),""))</f>
        <v>0</v>
      </c>
      <c r="B94" s="18">
        <f>IF(A94="","",IFERROR(INDEX(Jobs!$B$5:$B$604,MATCH(A94,Jobs!$A$5:$A$604,0)),""))</f>
        <v>0</v>
      </c>
      <c r="C94" s="23">
        <f>IF(B94="","",TEXT(B94,"yyyy-mm"))</f>
        <v>0</v>
      </c>
      <c r="D94" s="43">
        <f>IF(A94="","",IFERROR(INDEX(Jobs!$G$5:$G$604,MATCH(A94,Jobs!$A$5:$A$604,0)),""))</f>
        <v>0</v>
      </c>
      <c r="E94" s="23">
        <f>IF(A94="","",IFERROR(INDEX(Jobs!$H$5:$H$604,MATCH(A94,Jobs!$A$5:$A$604,0)),""))</f>
        <v>0</v>
      </c>
      <c r="F94" s="23">
        <f>IF(A94="","",IFERROR(INDEX(Jobs!$K$5:$K$604,MATCH(A94,Jobs!$A$5:$A$604,0)),""))</f>
        <v>0</v>
      </c>
      <c r="G94" s="23">
        <f>IF(A94="","",IFERROR(INDEX(Jobs!$M$5:$M$604,MATCH(A94,Jobs!$A$5:$A$604,0)),""))</f>
        <v>0</v>
      </c>
      <c r="H94" s="23">
        <f>IF(A94="","",IFERROR(INDEX(Jobs!$R$5:$R$604,MATCH(A94,Jobs!$A$5:$A$604,0)),""))</f>
        <v>0</v>
      </c>
      <c r="I94" s="39">
        <f>IF(A94="","",IFERROR(INDEX(Jobs!$P$5:$P$604,MATCH(A94,Jobs!$A$5:$A$604,0)),""))</f>
        <v>0</v>
      </c>
      <c r="J94" s="21">
        <f>IF(A94="","",IF(OR(I94="Completed",I94="Invoiced"),IFERROR(INDEX(Jobs!$AJ$5:$AJ$604,MATCH(A94,Jobs!$A$5:$A$604,0)),0),0))</f>
        <v>0</v>
      </c>
      <c r="K94" s="34">
        <f>IF(A94="","",IFERROR(INDEX(Jobs!$AD$5:$AD$604,MATCH(A94,Jobs!$A$5:$A$604,0)),0))</f>
        <v>0</v>
      </c>
      <c r="L94" s="34">
        <f>IF(A94="","",IFERROR(INDEX(Jobs!$AK$5:$AK$604,MATCH(A94,Jobs!$A$5:$A$604,0)),0))</f>
        <v>0</v>
      </c>
      <c r="M94" s="34">
        <f>IF(A94="","",IF(IFERROR(L94*1,0)&gt;0,L94,IFERROR(K94*1,0)))</f>
        <v>0</v>
      </c>
      <c r="N94" s="21">
        <f>IF(A94="","",SUMIFS(Timesheets!$X$5:$X$804,Timesheets!$G$5:$G$804,A94))</f>
        <v>0</v>
      </c>
      <c r="O94" s="21">
        <f>IF(A94="","",IF(N94&gt;0,N94,ROUND(M94*CostPerHour,2)))</f>
        <v>0</v>
      </c>
      <c r="P94" s="21">
        <f>IF(A94="","",SUMIFS('Supply Usage'!$L$5:$L$304,'Supply Usage'!$F$5:$F$304,A94))</f>
        <v>0</v>
      </c>
      <c r="Q94" s="21">
        <f>IF(A94="","",IF(P94&gt;0,P94,ROUND(M94*SuppliesPerHour,2)))</f>
        <v>0</v>
      </c>
      <c r="R94" s="21">
        <f>IF(A94="","",ROUND(IFERROR(INDEX(Jobs!$W$5:$W$604,MATCH(A94,Jobs!$A$5:$A$604,0)),0)*MileageRate,2))</f>
        <v>0</v>
      </c>
      <c r="T94" s="21">
        <f>IF(A94="","",O94+Q94+R94+IF(S94="",0,S94))</f>
        <v>0</v>
      </c>
      <c r="U94" s="21">
        <f>IF(A94="","",J94-T94)</f>
        <v>0</v>
      </c>
      <c r="V94" s="38">
        <f>IF(OR(A94="",J94=0),"",U94/J94)</f>
        <v>0</v>
      </c>
      <c r="W94" s="21">
        <f>IF(OR(A94="",M94=0,J94=0),"",U94/M94)</f>
        <v>0</v>
      </c>
      <c r="X94" s="34">
        <f>IF(OR(A94="",L94="",L94=0,K94=""),"",L94-K94)</f>
        <v>0</v>
      </c>
      <c r="Y94" s="31">
        <f>IF(A94="","",COUNTIFS($U$5:$U$604,"&gt;"&amp;U94)+COUNTIFS($U$5:U94,U94))</f>
        <v>0</v>
      </c>
      <c r="Z94" s="31">
        <f>IF(A94="","",COUNTIFS($W$5:$W$604,"&gt;"&amp;W94)+COUNTIFS($W$5:W94,W94))</f>
        <v>0</v>
      </c>
      <c r="AA94" s="39">
        <f>IF(A94="","",IF(J94=0,"",IF(U94&lt;0,"Loss - this job cost you money",IF(V94&lt;MarginFloor,"Below - margin under the floor",IF(V94&lt;TargetMargin,"Check - under target margin",IF(AND(X94&lt;&gt;"",X94&gt;0.5),"Check - ran over the estimate","OK"))))))</f>
        <v>0</v>
      </c>
    </row>
    <row r="95" spans="1:27">
      <c r="A95" s="43">
        <f>IF(IFERROR(INDEX(Jobs!$A$5:$A$604,ROW()-4),"")="","",IFERROR(INDEX(Jobs!$A$5:$A$604,ROW()-4),""))</f>
        <v>0</v>
      </c>
      <c r="B95" s="18">
        <f>IF(A95="","",IFERROR(INDEX(Jobs!$B$5:$B$604,MATCH(A95,Jobs!$A$5:$A$604,0)),""))</f>
        <v>0</v>
      </c>
      <c r="C95" s="23">
        <f>IF(B95="","",TEXT(B95,"yyyy-mm"))</f>
        <v>0</v>
      </c>
      <c r="D95" s="43">
        <f>IF(A95="","",IFERROR(INDEX(Jobs!$G$5:$G$604,MATCH(A95,Jobs!$A$5:$A$604,0)),""))</f>
        <v>0</v>
      </c>
      <c r="E95" s="23">
        <f>IF(A95="","",IFERROR(INDEX(Jobs!$H$5:$H$604,MATCH(A95,Jobs!$A$5:$A$604,0)),""))</f>
        <v>0</v>
      </c>
      <c r="F95" s="23">
        <f>IF(A95="","",IFERROR(INDEX(Jobs!$K$5:$K$604,MATCH(A95,Jobs!$A$5:$A$604,0)),""))</f>
        <v>0</v>
      </c>
      <c r="G95" s="23">
        <f>IF(A95="","",IFERROR(INDEX(Jobs!$M$5:$M$604,MATCH(A95,Jobs!$A$5:$A$604,0)),""))</f>
        <v>0</v>
      </c>
      <c r="H95" s="23">
        <f>IF(A95="","",IFERROR(INDEX(Jobs!$R$5:$R$604,MATCH(A95,Jobs!$A$5:$A$604,0)),""))</f>
        <v>0</v>
      </c>
      <c r="I95" s="39">
        <f>IF(A95="","",IFERROR(INDEX(Jobs!$P$5:$P$604,MATCH(A95,Jobs!$A$5:$A$604,0)),""))</f>
        <v>0</v>
      </c>
      <c r="J95" s="21">
        <f>IF(A95="","",IF(OR(I95="Completed",I95="Invoiced"),IFERROR(INDEX(Jobs!$AJ$5:$AJ$604,MATCH(A95,Jobs!$A$5:$A$604,0)),0),0))</f>
        <v>0</v>
      </c>
      <c r="K95" s="34">
        <f>IF(A95="","",IFERROR(INDEX(Jobs!$AD$5:$AD$604,MATCH(A95,Jobs!$A$5:$A$604,0)),0))</f>
        <v>0</v>
      </c>
      <c r="L95" s="34">
        <f>IF(A95="","",IFERROR(INDEX(Jobs!$AK$5:$AK$604,MATCH(A95,Jobs!$A$5:$A$604,0)),0))</f>
        <v>0</v>
      </c>
      <c r="M95" s="34">
        <f>IF(A95="","",IF(IFERROR(L95*1,0)&gt;0,L95,IFERROR(K95*1,0)))</f>
        <v>0</v>
      </c>
      <c r="N95" s="21">
        <f>IF(A95="","",SUMIFS(Timesheets!$X$5:$X$804,Timesheets!$G$5:$G$804,A95))</f>
        <v>0</v>
      </c>
      <c r="O95" s="21">
        <f>IF(A95="","",IF(N95&gt;0,N95,ROUND(M95*CostPerHour,2)))</f>
        <v>0</v>
      </c>
      <c r="P95" s="21">
        <f>IF(A95="","",SUMIFS('Supply Usage'!$L$5:$L$304,'Supply Usage'!$F$5:$F$304,A95))</f>
        <v>0</v>
      </c>
      <c r="Q95" s="21">
        <f>IF(A95="","",IF(P95&gt;0,P95,ROUND(M95*SuppliesPerHour,2)))</f>
        <v>0</v>
      </c>
      <c r="R95" s="21">
        <f>IF(A95="","",ROUND(IFERROR(INDEX(Jobs!$W$5:$W$604,MATCH(A95,Jobs!$A$5:$A$604,0)),0)*MileageRate,2))</f>
        <v>0</v>
      </c>
      <c r="T95" s="21">
        <f>IF(A95="","",O95+Q95+R95+IF(S95="",0,S95))</f>
        <v>0</v>
      </c>
      <c r="U95" s="21">
        <f>IF(A95="","",J95-T95)</f>
        <v>0</v>
      </c>
      <c r="V95" s="38">
        <f>IF(OR(A95="",J95=0),"",U95/J95)</f>
        <v>0</v>
      </c>
      <c r="W95" s="21">
        <f>IF(OR(A95="",M95=0,J95=0),"",U95/M95)</f>
        <v>0</v>
      </c>
      <c r="X95" s="34">
        <f>IF(OR(A95="",L95="",L95=0,K95=""),"",L95-K95)</f>
        <v>0</v>
      </c>
      <c r="Y95" s="31">
        <f>IF(A95="","",COUNTIFS($U$5:$U$604,"&gt;"&amp;U95)+COUNTIFS($U$5:U95,U95))</f>
        <v>0</v>
      </c>
      <c r="Z95" s="31">
        <f>IF(A95="","",COUNTIFS($W$5:$W$604,"&gt;"&amp;W95)+COUNTIFS($W$5:W95,W95))</f>
        <v>0</v>
      </c>
      <c r="AA95" s="39">
        <f>IF(A95="","",IF(J95=0,"",IF(U95&lt;0,"Loss - this job cost you money",IF(V95&lt;MarginFloor,"Below - margin under the floor",IF(V95&lt;TargetMargin,"Check - under target margin",IF(AND(X95&lt;&gt;"",X95&gt;0.5),"Check - ran over the estimate","OK"))))))</f>
        <v>0</v>
      </c>
    </row>
    <row r="96" spans="1:27">
      <c r="A96" s="43">
        <f>IF(IFERROR(INDEX(Jobs!$A$5:$A$604,ROW()-4),"")="","",IFERROR(INDEX(Jobs!$A$5:$A$604,ROW()-4),""))</f>
        <v>0</v>
      </c>
      <c r="B96" s="18">
        <f>IF(A96="","",IFERROR(INDEX(Jobs!$B$5:$B$604,MATCH(A96,Jobs!$A$5:$A$604,0)),""))</f>
        <v>0</v>
      </c>
      <c r="C96" s="23">
        <f>IF(B96="","",TEXT(B96,"yyyy-mm"))</f>
        <v>0</v>
      </c>
      <c r="D96" s="43">
        <f>IF(A96="","",IFERROR(INDEX(Jobs!$G$5:$G$604,MATCH(A96,Jobs!$A$5:$A$604,0)),""))</f>
        <v>0</v>
      </c>
      <c r="E96" s="23">
        <f>IF(A96="","",IFERROR(INDEX(Jobs!$H$5:$H$604,MATCH(A96,Jobs!$A$5:$A$604,0)),""))</f>
        <v>0</v>
      </c>
      <c r="F96" s="23">
        <f>IF(A96="","",IFERROR(INDEX(Jobs!$K$5:$K$604,MATCH(A96,Jobs!$A$5:$A$604,0)),""))</f>
        <v>0</v>
      </c>
      <c r="G96" s="23">
        <f>IF(A96="","",IFERROR(INDEX(Jobs!$M$5:$M$604,MATCH(A96,Jobs!$A$5:$A$604,0)),""))</f>
        <v>0</v>
      </c>
      <c r="H96" s="23">
        <f>IF(A96="","",IFERROR(INDEX(Jobs!$R$5:$R$604,MATCH(A96,Jobs!$A$5:$A$604,0)),""))</f>
        <v>0</v>
      </c>
      <c r="I96" s="39">
        <f>IF(A96="","",IFERROR(INDEX(Jobs!$P$5:$P$604,MATCH(A96,Jobs!$A$5:$A$604,0)),""))</f>
        <v>0</v>
      </c>
      <c r="J96" s="21">
        <f>IF(A96="","",IF(OR(I96="Completed",I96="Invoiced"),IFERROR(INDEX(Jobs!$AJ$5:$AJ$604,MATCH(A96,Jobs!$A$5:$A$604,0)),0),0))</f>
        <v>0</v>
      </c>
      <c r="K96" s="34">
        <f>IF(A96="","",IFERROR(INDEX(Jobs!$AD$5:$AD$604,MATCH(A96,Jobs!$A$5:$A$604,0)),0))</f>
        <v>0</v>
      </c>
      <c r="L96" s="34">
        <f>IF(A96="","",IFERROR(INDEX(Jobs!$AK$5:$AK$604,MATCH(A96,Jobs!$A$5:$A$604,0)),0))</f>
        <v>0</v>
      </c>
      <c r="M96" s="34">
        <f>IF(A96="","",IF(IFERROR(L96*1,0)&gt;0,L96,IFERROR(K96*1,0)))</f>
        <v>0</v>
      </c>
      <c r="N96" s="21">
        <f>IF(A96="","",SUMIFS(Timesheets!$X$5:$X$804,Timesheets!$G$5:$G$804,A96))</f>
        <v>0</v>
      </c>
      <c r="O96" s="21">
        <f>IF(A96="","",IF(N96&gt;0,N96,ROUND(M96*CostPerHour,2)))</f>
        <v>0</v>
      </c>
      <c r="P96" s="21">
        <f>IF(A96="","",SUMIFS('Supply Usage'!$L$5:$L$304,'Supply Usage'!$F$5:$F$304,A96))</f>
        <v>0</v>
      </c>
      <c r="Q96" s="21">
        <f>IF(A96="","",IF(P96&gt;0,P96,ROUND(M96*SuppliesPerHour,2)))</f>
        <v>0</v>
      </c>
      <c r="R96" s="21">
        <f>IF(A96="","",ROUND(IFERROR(INDEX(Jobs!$W$5:$W$604,MATCH(A96,Jobs!$A$5:$A$604,0)),0)*MileageRate,2))</f>
        <v>0</v>
      </c>
      <c r="T96" s="21">
        <f>IF(A96="","",O96+Q96+R96+IF(S96="",0,S96))</f>
        <v>0</v>
      </c>
      <c r="U96" s="21">
        <f>IF(A96="","",J96-T96)</f>
        <v>0</v>
      </c>
      <c r="V96" s="38">
        <f>IF(OR(A96="",J96=0),"",U96/J96)</f>
        <v>0</v>
      </c>
      <c r="W96" s="21">
        <f>IF(OR(A96="",M96=0,J96=0),"",U96/M96)</f>
        <v>0</v>
      </c>
      <c r="X96" s="34">
        <f>IF(OR(A96="",L96="",L96=0,K96=""),"",L96-K96)</f>
        <v>0</v>
      </c>
      <c r="Y96" s="31">
        <f>IF(A96="","",COUNTIFS($U$5:$U$604,"&gt;"&amp;U96)+COUNTIFS($U$5:U96,U96))</f>
        <v>0</v>
      </c>
      <c r="Z96" s="31">
        <f>IF(A96="","",COUNTIFS($W$5:$W$604,"&gt;"&amp;W96)+COUNTIFS($W$5:W96,W96))</f>
        <v>0</v>
      </c>
      <c r="AA96" s="39">
        <f>IF(A96="","",IF(J96=0,"",IF(U96&lt;0,"Loss - this job cost you money",IF(V96&lt;MarginFloor,"Below - margin under the floor",IF(V96&lt;TargetMargin,"Check - under target margin",IF(AND(X96&lt;&gt;"",X96&gt;0.5),"Check - ran over the estimate","OK"))))))</f>
        <v>0</v>
      </c>
    </row>
    <row r="97" spans="1:27">
      <c r="A97" s="43">
        <f>IF(IFERROR(INDEX(Jobs!$A$5:$A$604,ROW()-4),"")="","",IFERROR(INDEX(Jobs!$A$5:$A$604,ROW()-4),""))</f>
        <v>0</v>
      </c>
      <c r="B97" s="18">
        <f>IF(A97="","",IFERROR(INDEX(Jobs!$B$5:$B$604,MATCH(A97,Jobs!$A$5:$A$604,0)),""))</f>
        <v>0</v>
      </c>
      <c r="C97" s="23">
        <f>IF(B97="","",TEXT(B97,"yyyy-mm"))</f>
        <v>0</v>
      </c>
      <c r="D97" s="43">
        <f>IF(A97="","",IFERROR(INDEX(Jobs!$G$5:$G$604,MATCH(A97,Jobs!$A$5:$A$604,0)),""))</f>
        <v>0</v>
      </c>
      <c r="E97" s="23">
        <f>IF(A97="","",IFERROR(INDEX(Jobs!$H$5:$H$604,MATCH(A97,Jobs!$A$5:$A$604,0)),""))</f>
        <v>0</v>
      </c>
      <c r="F97" s="23">
        <f>IF(A97="","",IFERROR(INDEX(Jobs!$K$5:$K$604,MATCH(A97,Jobs!$A$5:$A$604,0)),""))</f>
        <v>0</v>
      </c>
      <c r="G97" s="23">
        <f>IF(A97="","",IFERROR(INDEX(Jobs!$M$5:$M$604,MATCH(A97,Jobs!$A$5:$A$604,0)),""))</f>
        <v>0</v>
      </c>
      <c r="H97" s="23">
        <f>IF(A97="","",IFERROR(INDEX(Jobs!$R$5:$R$604,MATCH(A97,Jobs!$A$5:$A$604,0)),""))</f>
        <v>0</v>
      </c>
      <c r="I97" s="39">
        <f>IF(A97="","",IFERROR(INDEX(Jobs!$P$5:$P$604,MATCH(A97,Jobs!$A$5:$A$604,0)),""))</f>
        <v>0</v>
      </c>
      <c r="J97" s="21">
        <f>IF(A97="","",IF(OR(I97="Completed",I97="Invoiced"),IFERROR(INDEX(Jobs!$AJ$5:$AJ$604,MATCH(A97,Jobs!$A$5:$A$604,0)),0),0))</f>
        <v>0</v>
      </c>
      <c r="K97" s="34">
        <f>IF(A97="","",IFERROR(INDEX(Jobs!$AD$5:$AD$604,MATCH(A97,Jobs!$A$5:$A$604,0)),0))</f>
        <v>0</v>
      </c>
      <c r="L97" s="34">
        <f>IF(A97="","",IFERROR(INDEX(Jobs!$AK$5:$AK$604,MATCH(A97,Jobs!$A$5:$A$604,0)),0))</f>
        <v>0</v>
      </c>
      <c r="M97" s="34">
        <f>IF(A97="","",IF(IFERROR(L97*1,0)&gt;0,L97,IFERROR(K97*1,0)))</f>
        <v>0</v>
      </c>
      <c r="N97" s="21">
        <f>IF(A97="","",SUMIFS(Timesheets!$X$5:$X$804,Timesheets!$G$5:$G$804,A97))</f>
        <v>0</v>
      </c>
      <c r="O97" s="21">
        <f>IF(A97="","",IF(N97&gt;0,N97,ROUND(M97*CostPerHour,2)))</f>
        <v>0</v>
      </c>
      <c r="P97" s="21">
        <f>IF(A97="","",SUMIFS('Supply Usage'!$L$5:$L$304,'Supply Usage'!$F$5:$F$304,A97))</f>
        <v>0</v>
      </c>
      <c r="Q97" s="21">
        <f>IF(A97="","",IF(P97&gt;0,P97,ROUND(M97*SuppliesPerHour,2)))</f>
        <v>0</v>
      </c>
      <c r="R97" s="21">
        <f>IF(A97="","",ROUND(IFERROR(INDEX(Jobs!$W$5:$W$604,MATCH(A97,Jobs!$A$5:$A$604,0)),0)*MileageRate,2))</f>
        <v>0</v>
      </c>
      <c r="T97" s="21">
        <f>IF(A97="","",O97+Q97+R97+IF(S97="",0,S97))</f>
        <v>0</v>
      </c>
      <c r="U97" s="21">
        <f>IF(A97="","",J97-T97)</f>
        <v>0</v>
      </c>
      <c r="V97" s="38">
        <f>IF(OR(A97="",J97=0),"",U97/J97)</f>
        <v>0</v>
      </c>
      <c r="W97" s="21">
        <f>IF(OR(A97="",M97=0,J97=0),"",U97/M97)</f>
        <v>0</v>
      </c>
      <c r="X97" s="34">
        <f>IF(OR(A97="",L97="",L97=0,K97=""),"",L97-K97)</f>
        <v>0</v>
      </c>
      <c r="Y97" s="31">
        <f>IF(A97="","",COUNTIFS($U$5:$U$604,"&gt;"&amp;U97)+COUNTIFS($U$5:U97,U97))</f>
        <v>0</v>
      </c>
      <c r="Z97" s="31">
        <f>IF(A97="","",COUNTIFS($W$5:$W$604,"&gt;"&amp;W97)+COUNTIFS($W$5:W97,W97))</f>
        <v>0</v>
      </c>
      <c r="AA97" s="39">
        <f>IF(A97="","",IF(J97=0,"",IF(U97&lt;0,"Loss - this job cost you money",IF(V97&lt;MarginFloor,"Below - margin under the floor",IF(V97&lt;TargetMargin,"Check - under target margin",IF(AND(X97&lt;&gt;"",X97&gt;0.5),"Check - ran over the estimate","OK"))))))</f>
        <v>0</v>
      </c>
    </row>
    <row r="98" spans="1:27">
      <c r="A98" s="43">
        <f>IF(IFERROR(INDEX(Jobs!$A$5:$A$604,ROW()-4),"")="","",IFERROR(INDEX(Jobs!$A$5:$A$604,ROW()-4),""))</f>
        <v>0</v>
      </c>
      <c r="B98" s="18">
        <f>IF(A98="","",IFERROR(INDEX(Jobs!$B$5:$B$604,MATCH(A98,Jobs!$A$5:$A$604,0)),""))</f>
        <v>0</v>
      </c>
      <c r="C98" s="23">
        <f>IF(B98="","",TEXT(B98,"yyyy-mm"))</f>
        <v>0</v>
      </c>
      <c r="D98" s="43">
        <f>IF(A98="","",IFERROR(INDEX(Jobs!$G$5:$G$604,MATCH(A98,Jobs!$A$5:$A$604,0)),""))</f>
        <v>0</v>
      </c>
      <c r="E98" s="23">
        <f>IF(A98="","",IFERROR(INDEX(Jobs!$H$5:$H$604,MATCH(A98,Jobs!$A$5:$A$604,0)),""))</f>
        <v>0</v>
      </c>
      <c r="F98" s="23">
        <f>IF(A98="","",IFERROR(INDEX(Jobs!$K$5:$K$604,MATCH(A98,Jobs!$A$5:$A$604,0)),""))</f>
        <v>0</v>
      </c>
      <c r="G98" s="23">
        <f>IF(A98="","",IFERROR(INDEX(Jobs!$M$5:$M$604,MATCH(A98,Jobs!$A$5:$A$604,0)),""))</f>
        <v>0</v>
      </c>
      <c r="H98" s="23">
        <f>IF(A98="","",IFERROR(INDEX(Jobs!$R$5:$R$604,MATCH(A98,Jobs!$A$5:$A$604,0)),""))</f>
        <v>0</v>
      </c>
      <c r="I98" s="39">
        <f>IF(A98="","",IFERROR(INDEX(Jobs!$P$5:$P$604,MATCH(A98,Jobs!$A$5:$A$604,0)),""))</f>
        <v>0</v>
      </c>
      <c r="J98" s="21">
        <f>IF(A98="","",IF(OR(I98="Completed",I98="Invoiced"),IFERROR(INDEX(Jobs!$AJ$5:$AJ$604,MATCH(A98,Jobs!$A$5:$A$604,0)),0),0))</f>
        <v>0</v>
      </c>
      <c r="K98" s="34">
        <f>IF(A98="","",IFERROR(INDEX(Jobs!$AD$5:$AD$604,MATCH(A98,Jobs!$A$5:$A$604,0)),0))</f>
        <v>0</v>
      </c>
      <c r="L98" s="34">
        <f>IF(A98="","",IFERROR(INDEX(Jobs!$AK$5:$AK$604,MATCH(A98,Jobs!$A$5:$A$604,0)),0))</f>
        <v>0</v>
      </c>
      <c r="M98" s="34">
        <f>IF(A98="","",IF(IFERROR(L98*1,0)&gt;0,L98,IFERROR(K98*1,0)))</f>
        <v>0</v>
      </c>
      <c r="N98" s="21">
        <f>IF(A98="","",SUMIFS(Timesheets!$X$5:$X$804,Timesheets!$G$5:$G$804,A98))</f>
        <v>0</v>
      </c>
      <c r="O98" s="21">
        <f>IF(A98="","",IF(N98&gt;0,N98,ROUND(M98*CostPerHour,2)))</f>
        <v>0</v>
      </c>
      <c r="P98" s="21">
        <f>IF(A98="","",SUMIFS('Supply Usage'!$L$5:$L$304,'Supply Usage'!$F$5:$F$304,A98))</f>
        <v>0</v>
      </c>
      <c r="Q98" s="21">
        <f>IF(A98="","",IF(P98&gt;0,P98,ROUND(M98*SuppliesPerHour,2)))</f>
        <v>0</v>
      </c>
      <c r="R98" s="21">
        <f>IF(A98="","",ROUND(IFERROR(INDEX(Jobs!$W$5:$W$604,MATCH(A98,Jobs!$A$5:$A$604,0)),0)*MileageRate,2))</f>
        <v>0</v>
      </c>
      <c r="T98" s="21">
        <f>IF(A98="","",O98+Q98+R98+IF(S98="",0,S98))</f>
        <v>0</v>
      </c>
      <c r="U98" s="21">
        <f>IF(A98="","",J98-T98)</f>
        <v>0</v>
      </c>
      <c r="V98" s="38">
        <f>IF(OR(A98="",J98=0),"",U98/J98)</f>
        <v>0</v>
      </c>
      <c r="W98" s="21">
        <f>IF(OR(A98="",M98=0,J98=0),"",U98/M98)</f>
        <v>0</v>
      </c>
      <c r="X98" s="34">
        <f>IF(OR(A98="",L98="",L98=0,K98=""),"",L98-K98)</f>
        <v>0</v>
      </c>
      <c r="Y98" s="31">
        <f>IF(A98="","",COUNTIFS($U$5:$U$604,"&gt;"&amp;U98)+COUNTIFS($U$5:U98,U98))</f>
        <v>0</v>
      </c>
      <c r="Z98" s="31">
        <f>IF(A98="","",COUNTIFS($W$5:$W$604,"&gt;"&amp;W98)+COUNTIFS($W$5:W98,W98))</f>
        <v>0</v>
      </c>
      <c r="AA98" s="39">
        <f>IF(A98="","",IF(J98=0,"",IF(U98&lt;0,"Loss - this job cost you money",IF(V98&lt;MarginFloor,"Below - margin under the floor",IF(V98&lt;TargetMargin,"Check - under target margin",IF(AND(X98&lt;&gt;"",X98&gt;0.5),"Check - ran over the estimate","OK"))))))</f>
        <v>0</v>
      </c>
    </row>
    <row r="99" spans="1:27">
      <c r="A99" s="43">
        <f>IF(IFERROR(INDEX(Jobs!$A$5:$A$604,ROW()-4),"")="","",IFERROR(INDEX(Jobs!$A$5:$A$604,ROW()-4),""))</f>
        <v>0</v>
      </c>
      <c r="B99" s="18">
        <f>IF(A99="","",IFERROR(INDEX(Jobs!$B$5:$B$604,MATCH(A99,Jobs!$A$5:$A$604,0)),""))</f>
        <v>0</v>
      </c>
      <c r="C99" s="23">
        <f>IF(B99="","",TEXT(B99,"yyyy-mm"))</f>
        <v>0</v>
      </c>
      <c r="D99" s="43">
        <f>IF(A99="","",IFERROR(INDEX(Jobs!$G$5:$G$604,MATCH(A99,Jobs!$A$5:$A$604,0)),""))</f>
        <v>0</v>
      </c>
      <c r="E99" s="23">
        <f>IF(A99="","",IFERROR(INDEX(Jobs!$H$5:$H$604,MATCH(A99,Jobs!$A$5:$A$604,0)),""))</f>
        <v>0</v>
      </c>
      <c r="F99" s="23">
        <f>IF(A99="","",IFERROR(INDEX(Jobs!$K$5:$K$604,MATCH(A99,Jobs!$A$5:$A$604,0)),""))</f>
        <v>0</v>
      </c>
      <c r="G99" s="23">
        <f>IF(A99="","",IFERROR(INDEX(Jobs!$M$5:$M$604,MATCH(A99,Jobs!$A$5:$A$604,0)),""))</f>
        <v>0</v>
      </c>
      <c r="H99" s="23">
        <f>IF(A99="","",IFERROR(INDEX(Jobs!$R$5:$R$604,MATCH(A99,Jobs!$A$5:$A$604,0)),""))</f>
        <v>0</v>
      </c>
      <c r="I99" s="39">
        <f>IF(A99="","",IFERROR(INDEX(Jobs!$P$5:$P$604,MATCH(A99,Jobs!$A$5:$A$604,0)),""))</f>
        <v>0</v>
      </c>
      <c r="J99" s="21">
        <f>IF(A99="","",IF(OR(I99="Completed",I99="Invoiced"),IFERROR(INDEX(Jobs!$AJ$5:$AJ$604,MATCH(A99,Jobs!$A$5:$A$604,0)),0),0))</f>
        <v>0</v>
      </c>
      <c r="K99" s="34">
        <f>IF(A99="","",IFERROR(INDEX(Jobs!$AD$5:$AD$604,MATCH(A99,Jobs!$A$5:$A$604,0)),0))</f>
        <v>0</v>
      </c>
      <c r="L99" s="34">
        <f>IF(A99="","",IFERROR(INDEX(Jobs!$AK$5:$AK$604,MATCH(A99,Jobs!$A$5:$A$604,0)),0))</f>
        <v>0</v>
      </c>
      <c r="M99" s="34">
        <f>IF(A99="","",IF(IFERROR(L99*1,0)&gt;0,L99,IFERROR(K99*1,0)))</f>
        <v>0</v>
      </c>
      <c r="N99" s="21">
        <f>IF(A99="","",SUMIFS(Timesheets!$X$5:$X$804,Timesheets!$G$5:$G$804,A99))</f>
        <v>0</v>
      </c>
      <c r="O99" s="21">
        <f>IF(A99="","",IF(N99&gt;0,N99,ROUND(M99*CostPerHour,2)))</f>
        <v>0</v>
      </c>
      <c r="P99" s="21">
        <f>IF(A99="","",SUMIFS('Supply Usage'!$L$5:$L$304,'Supply Usage'!$F$5:$F$304,A99))</f>
        <v>0</v>
      </c>
      <c r="Q99" s="21">
        <f>IF(A99="","",IF(P99&gt;0,P99,ROUND(M99*SuppliesPerHour,2)))</f>
        <v>0</v>
      </c>
      <c r="R99" s="21">
        <f>IF(A99="","",ROUND(IFERROR(INDEX(Jobs!$W$5:$W$604,MATCH(A99,Jobs!$A$5:$A$604,0)),0)*MileageRate,2))</f>
        <v>0</v>
      </c>
      <c r="T99" s="21">
        <f>IF(A99="","",O99+Q99+R99+IF(S99="",0,S99))</f>
        <v>0</v>
      </c>
      <c r="U99" s="21">
        <f>IF(A99="","",J99-T99)</f>
        <v>0</v>
      </c>
      <c r="V99" s="38">
        <f>IF(OR(A99="",J99=0),"",U99/J99)</f>
        <v>0</v>
      </c>
      <c r="W99" s="21">
        <f>IF(OR(A99="",M99=0,J99=0),"",U99/M99)</f>
        <v>0</v>
      </c>
      <c r="X99" s="34">
        <f>IF(OR(A99="",L99="",L99=0,K99=""),"",L99-K99)</f>
        <v>0</v>
      </c>
      <c r="Y99" s="31">
        <f>IF(A99="","",COUNTIFS($U$5:$U$604,"&gt;"&amp;U99)+COUNTIFS($U$5:U99,U99))</f>
        <v>0</v>
      </c>
      <c r="Z99" s="31">
        <f>IF(A99="","",COUNTIFS($W$5:$W$604,"&gt;"&amp;W99)+COUNTIFS($W$5:W99,W99))</f>
        <v>0</v>
      </c>
      <c r="AA99" s="39">
        <f>IF(A99="","",IF(J99=0,"",IF(U99&lt;0,"Loss - this job cost you money",IF(V99&lt;MarginFloor,"Below - margin under the floor",IF(V99&lt;TargetMargin,"Check - under target margin",IF(AND(X99&lt;&gt;"",X99&gt;0.5),"Check - ran over the estimate","OK"))))))</f>
        <v>0</v>
      </c>
    </row>
    <row r="100" spans="1:27">
      <c r="A100" s="43">
        <f>IF(IFERROR(INDEX(Jobs!$A$5:$A$604,ROW()-4),"")="","",IFERROR(INDEX(Jobs!$A$5:$A$604,ROW()-4),""))</f>
        <v>0</v>
      </c>
      <c r="B100" s="18">
        <f>IF(A100="","",IFERROR(INDEX(Jobs!$B$5:$B$604,MATCH(A100,Jobs!$A$5:$A$604,0)),""))</f>
        <v>0</v>
      </c>
      <c r="C100" s="23">
        <f>IF(B100="","",TEXT(B100,"yyyy-mm"))</f>
        <v>0</v>
      </c>
      <c r="D100" s="43">
        <f>IF(A100="","",IFERROR(INDEX(Jobs!$G$5:$G$604,MATCH(A100,Jobs!$A$5:$A$604,0)),""))</f>
        <v>0</v>
      </c>
      <c r="E100" s="23">
        <f>IF(A100="","",IFERROR(INDEX(Jobs!$H$5:$H$604,MATCH(A100,Jobs!$A$5:$A$604,0)),""))</f>
        <v>0</v>
      </c>
      <c r="F100" s="23">
        <f>IF(A100="","",IFERROR(INDEX(Jobs!$K$5:$K$604,MATCH(A100,Jobs!$A$5:$A$604,0)),""))</f>
        <v>0</v>
      </c>
      <c r="G100" s="23">
        <f>IF(A100="","",IFERROR(INDEX(Jobs!$M$5:$M$604,MATCH(A100,Jobs!$A$5:$A$604,0)),""))</f>
        <v>0</v>
      </c>
      <c r="H100" s="23">
        <f>IF(A100="","",IFERROR(INDEX(Jobs!$R$5:$R$604,MATCH(A100,Jobs!$A$5:$A$604,0)),""))</f>
        <v>0</v>
      </c>
      <c r="I100" s="39">
        <f>IF(A100="","",IFERROR(INDEX(Jobs!$P$5:$P$604,MATCH(A100,Jobs!$A$5:$A$604,0)),""))</f>
        <v>0</v>
      </c>
      <c r="J100" s="21">
        <f>IF(A100="","",IF(OR(I100="Completed",I100="Invoiced"),IFERROR(INDEX(Jobs!$AJ$5:$AJ$604,MATCH(A100,Jobs!$A$5:$A$604,0)),0),0))</f>
        <v>0</v>
      </c>
      <c r="K100" s="34">
        <f>IF(A100="","",IFERROR(INDEX(Jobs!$AD$5:$AD$604,MATCH(A100,Jobs!$A$5:$A$604,0)),0))</f>
        <v>0</v>
      </c>
      <c r="L100" s="34">
        <f>IF(A100="","",IFERROR(INDEX(Jobs!$AK$5:$AK$604,MATCH(A100,Jobs!$A$5:$A$604,0)),0))</f>
        <v>0</v>
      </c>
      <c r="M100" s="34">
        <f>IF(A100="","",IF(IFERROR(L100*1,0)&gt;0,L100,IFERROR(K100*1,0)))</f>
        <v>0</v>
      </c>
      <c r="N100" s="21">
        <f>IF(A100="","",SUMIFS(Timesheets!$X$5:$X$804,Timesheets!$G$5:$G$804,A100))</f>
        <v>0</v>
      </c>
      <c r="O100" s="21">
        <f>IF(A100="","",IF(N100&gt;0,N100,ROUND(M100*CostPerHour,2)))</f>
        <v>0</v>
      </c>
      <c r="P100" s="21">
        <f>IF(A100="","",SUMIFS('Supply Usage'!$L$5:$L$304,'Supply Usage'!$F$5:$F$304,A100))</f>
        <v>0</v>
      </c>
      <c r="Q100" s="21">
        <f>IF(A100="","",IF(P100&gt;0,P100,ROUND(M100*SuppliesPerHour,2)))</f>
        <v>0</v>
      </c>
      <c r="R100" s="21">
        <f>IF(A100="","",ROUND(IFERROR(INDEX(Jobs!$W$5:$W$604,MATCH(A100,Jobs!$A$5:$A$604,0)),0)*MileageRate,2))</f>
        <v>0</v>
      </c>
      <c r="T100" s="21">
        <f>IF(A100="","",O100+Q100+R100+IF(S100="",0,S100))</f>
        <v>0</v>
      </c>
      <c r="U100" s="21">
        <f>IF(A100="","",J100-T100)</f>
        <v>0</v>
      </c>
      <c r="V100" s="38">
        <f>IF(OR(A100="",J100=0),"",U100/J100)</f>
        <v>0</v>
      </c>
      <c r="W100" s="21">
        <f>IF(OR(A100="",M100=0,J100=0),"",U100/M100)</f>
        <v>0</v>
      </c>
      <c r="X100" s="34">
        <f>IF(OR(A100="",L100="",L100=0,K100=""),"",L100-K100)</f>
        <v>0</v>
      </c>
      <c r="Y100" s="31">
        <f>IF(A100="","",COUNTIFS($U$5:$U$604,"&gt;"&amp;U100)+COUNTIFS($U$5:U100,U100))</f>
        <v>0</v>
      </c>
      <c r="Z100" s="31">
        <f>IF(A100="","",COUNTIFS($W$5:$W$604,"&gt;"&amp;W100)+COUNTIFS($W$5:W100,W100))</f>
        <v>0</v>
      </c>
      <c r="AA100" s="39">
        <f>IF(A100="","",IF(J100=0,"",IF(U100&lt;0,"Loss - this job cost you money",IF(V100&lt;MarginFloor,"Below - margin under the floor",IF(V100&lt;TargetMargin,"Check - under target margin",IF(AND(X100&lt;&gt;"",X100&gt;0.5),"Check - ran over the estimate","OK"))))))</f>
        <v>0</v>
      </c>
    </row>
    <row r="101" spans="1:27">
      <c r="A101" s="43">
        <f>IF(IFERROR(INDEX(Jobs!$A$5:$A$604,ROW()-4),"")="","",IFERROR(INDEX(Jobs!$A$5:$A$604,ROW()-4),""))</f>
        <v>0</v>
      </c>
      <c r="B101" s="18">
        <f>IF(A101="","",IFERROR(INDEX(Jobs!$B$5:$B$604,MATCH(A101,Jobs!$A$5:$A$604,0)),""))</f>
        <v>0</v>
      </c>
      <c r="C101" s="23">
        <f>IF(B101="","",TEXT(B101,"yyyy-mm"))</f>
        <v>0</v>
      </c>
      <c r="D101" s="43">
        <f>IF(A101="","",IFERROR(INDEX(Jobs!$G$5:$G$604,MATCH(A101,Jobs!$A$5:$A$604,0)),""))</f>
        <v>0</v>
      </c>
      <c r="E101" s="23">
        <f>IF(A101="","",IFERROR(INDEX(Jobs!$H$5:$H$604,MATCH(A101,Jobs!$A$5:$A$604,0)),""))</f>
        <v>0</v>
      </c>
      <c r="F101" s="23">
        <f>IF(A101="","",IFERROR(INDEX(Jobs!$K$5:$K$604,MATCH(A101,Jobs!$A$5:$A$604,0)),""))</f>
        <v>0</v>
      </c>
      <c r="G101" s="23">
        <f>IF(A101="","",IFERROR(INDEX(Jobs!$M$5:$M$604,MATCH(A101,Jobs!$A$5:$A$604,0)),""))</f>
        <v>0</v>
      </c>
      <c r="H101" s="23">
        <f>IF(A101="","",IFERROR(INDEX(Jobs!$R$5:$R$604,MATCH(A101,Jobs!$A$5:$A$604,0)),""))</f>
        <v>0</v>
      </c>
      <c r="I101" s="39">
        <f>IF(A101="","",IFERROR(INDEX(Jobs!$P$5:$P$604,MATCH(A101,Jobs!$A$5:$A$604,0)),""))</f>
        <v>0</v>
      </c>
      <c r="J101" s="21">
        <f>IF(A101="","",IF(OR(I101="Completed",I101="Invoiced"),IFERROR(INDEX(Jobs!$AJ$5:$AJ$604,MATCH(A101,Jobs!$A$5:$A$604,0)),0),0))</f>
        <v>0</v>
      </c>
      <c r="K101" s="34">
        <f>IF(A101="","",IFERROR(INDEX(Jobs!$AD$5:$AD$604,MATCH(A101,Jobs!$A$5:$A$604,0)),0))</f>
        <v>0</v>
      </c>
      <c r="L101" s="34">
        <f>IF(A101="","",IFERROR(INDEX(Jobs!$AK$5:$AK$604,MATCH(A101,Jobs!$A$5:$A$604,0)),0))</f>
        <v>0</v>
      </c>
      <c r="M101" s="34">
        <f>IF(A101="","",IF(IFERROR(L101*1,0)&gt;0,L101,IFERROR(K101*1,0)))</f>
        <v>0</v>
      </c>
      <c r="N101" s="21">
        <f>IF(A101="","",SUMIFS(Timesheets!$X$5:$X$804,Timesheets!$G$5:$G$804,A101))</f>
        <v>0</v>
      </c>
      <c r="O101" s="21">
        <f>IF(A101="","",IF(N101&gt;0,N101,ROUND(M101*CostPerHour,2)))</f>
        <v>0</v>
      </c>
      <c r="P101" s="21">
        <f>IF(A101="","",SUMIFS('Supply Usage'!$L$5:$L$304,'Supply Usage'!$F$5:$F$304,A101))</f>
        <v>0</v>
      </c>
      <c r="Q101" s="21">
        <f>IF(A101="","",IF(P101&gt;0,P101,ROUND(M101*SuppliesPerHour,2)))</f>
        <v>0</v>
      </c>
      <c r="R101" s="21">
        <f>IF(A101="","",ROUND(IFERROR(INDEX(Jobs!$W$5:$W$604,MATCH(A101,Jobs!$A$5:$A$604,0)),0)*MileageRate,2))</f>
        <v>0</v>
      </c>
      <c r="T101" s="21">
        <f>IF(A101="","",O101+Q101+R101+IF(S101="",0,S101))</f>
        <v>0</v>
      </c>
      <c r="U101" s="21">
        <f>IF(A101="","",J101-T101)</f>
        <v>0</v>
      </c>
      <c r="V101" s="38">
        <f>IF(OR(A101="",J101=0),"",U101/J101)</f>
        <v>0</v>
      </c>
      <c r="W101" s="21">
        <f>IF(OR(A101="",M101=0,J101=0),"",U101/M101)</f>
        <v>0</v>
      </c>
      <c r="X101" s="34">
        <f>IF(OR(A101="",L101="",L101=0,K101=""),"",L101-K101)</f>
        <v>0</v>
      </c>
      <c r="Y101" s="31">
        <f>IF(A101="","",COUNTIFS($U$5:$U$604,"&gt;"&amp;U101)+COUNTIFS($U$5:U101,U101))</f>
        <v>0</v>
      </c>
      <c r="Z101" s="31">
        <f>IF(A101="","",COUNTIFS($W$5:$W$604,"&gt;"&amp;W101)+COUNTIFS($W$5:W101,W101))</f>
        <v>0</v>
      </c>
      <c r="AA101" s="39">
        <f>IF(A101="","",IF(J101=0,"",IF(U101&lt;0,"Loss - this job cost you money",IF(V101&lt;MarginFloor,"Below - margin under the floor",IF(V101&lt;TargetMargin,"Check - under target margin",IF(AND(X101&lt;&gt;"",X101&gt;0.5),"Check - ran over the estimate","OK"))))))</f>
        <v>0</v>
      </c>
    </row>
    <row r="102" spans="1:27">
      <c r="A102" s="43">
        <f>IF(IFERROR(INDEX(Jobs!$A$5:$A$604,ROW()-4),"")="","",IFERROR(INDEX(Jobs!$A$5:$A$604,ROW()-4),""))</f>
        <v>0</v>
      </c>
      <c r="B102" s="18">
        <f>IF(A102="","",IFERROR(INDEX(Jobs!$B$5:$B$604,MATCH(A102,Jobs!$A$5:$A$604,0)),""))</f>
        <v>0</v>
      </c>
      <c r="C102" s="23">
        <f>IF(B102="","",TEXT(B102,"yyyy-mm"))</f>
        <v>0</v>
      </c>
      <c r="D102" s="43">
        <f>IF(A102="","",IFERROR(INDEX(Jobs!$G$5:$G$604,MATCH(A102,Jobs!$A$5:$A$604,0)),""))</f>
        <v>0</v>
      </c>
      <c r="E102" s="23">
        <f>IF(A102="","",IFERROR(INDEX(Jobs!$H$5:$H$604,MATCH(A102,Jobs!$A$5:$A$604,0)),""))</f>
        <v>0</v>
      </c>
      <c r="F102" s="23">
        <f>IF(A102="","",IFERROR(INDEX(Jobs!$K$5:$K$604,MATCH(A102,Jobs!$A$5:$A$604,0)),""))</f>
        <v>0</v>
      </c>
      <c r="G102" s="23">
        <f>IF(A102="","",IFERROR(INDEX(Jobs!$M$5:$M$604,MATCH(A102,Jobs!$A$5:$A$604,0)),""))</f>
        <v>0</v>
      </c>
      <c r="H102" s="23">
        <f>IF(A102="","",IFERROR(INDEX(Jobs!$R$5:$R$604,MATCH(A102,Jobs!$A$5:$A$604,0)),""))</f>
        <v>0</v>
      </c>
      <c r="I102" s="39">
        <f>IF(A102="","",IFERROR(INDEX(Jobs!$P$5:$P$604,MATCH(A102,Jobs!$A$5:$A$604,0)),""))</f>
        <v>0</v>
      </c>
      <c r="J102" s="21">
        <f>IF(A102="","",IF(OR(I102="Completed",I102="Invoiced"),IFERROR(INDEX(Jobs!$AJ$5:$AJ$604,MATCH(A102,Jobs!$A$5:$A$604,0)),0),0))</f>
        <v>0</v>
      </c>
      <c r="K102" s="34">
        <f>IF(A102="","",IFERROR(INDEX(Jobs!$AD$5:$AD$604,MATCH(A102,Jobs!$A$5:$A$604,0)),0))</f>
        <v>0</v>
      </c>
      <c r="L102" s="34">
        <f>IF(A102="","",IFERROR(INDEX(Jobs!$AK$5:$AK$604,MATCH(A102,Jobs!$A$5:$A$604,0)),0))</f>
        <v>0</v>
      </c>
      <c r="M102" s="34">
        <f>IF(A102="","",IF(IFERROR(L102*1,0)&gt;0,L102,IFERROR(K102*1,0)))</f>
        <v>0</v>
      </c>
      <c r="N102" s="21">
        <f>IF(A102="","",SUMIFS(Timesheets!$X$5:$X$804,Timesheets!$G$5:$G$804,A102))</f>
        <v>0</v>
      </c>
      <c r="O102" s="21">
        <f>IF(A102="","",IF(N102&gt;0,N102,ROUND(M102*CostPerHour,2)))</f>
        <v>0</v>
      </c>
      <c r="P102" s="21">
        <f>IF(A102="","",SUMIFS('Supply Usage'!$L$5:$L$304,'Supply Usage'!$F$5:$F$304,A102))</f>
        <v>0</v>
      </c>
      <c r="Q102" s="21">
        <f>IF(A102="","",IF(P102&gt;0,P102,ROUND(M102*SuppliesPerHour,2)))</f>
        <v>0</v>
      </c>
      <c r="R102" s="21">
        <f>IF(A102="","",ROUND(IFERROR(INDEX(Jobs!$W$5:$W$604,MATCH(A102,Jobs!$A$5:$A$604,0)),0)*MileageRate,2))</f>
        <v>0</v>
      </c>
      <c r="T102" s="21">
        <f>IF(A102="","",O102+Q102+R102+IF(S102="",0,S102))</f>
        <v>0</v>
      </c>
      <c r="U102" s="21">
        <f>IF(A102="","",J102-T102)</f>
        <v>0</v>
      </c>
      <c r="V102" s="38">
        <f>IF(OR(A102="",J102=0),"",U102/J102)</f>
        <v>0</v>
      </c>
      <c r="W102" s="21">
        <f>IF(OR(A102="",M102=0,J102=0),"",U102/M102)</f>
        <v>0</v>
      </c>
      <c r="X102" s="34">
        <f>IF(OR(A102="",L102="",L102=0,K102=""),"",L102-K102)</f>
        <v>0</v>
      </c>
      <c r="Y102" s="31">
        <f>IF(A102="","",COUNTIFS($U$5:$U$604,"&gt;"&amp;U102)+COUNTIFS($U$5:U102,U102))</f>
        <v>0</v>
      </c>
      <c r="Z102" s="31">
        <f>IF(A102="","",COUNTIFS($W$5:$W$604,"&gt;"&amp;W102)+COUNTIFS($W$5:W102,W102))</f>
        <v>0</v>
      </c>
      <c r="AA102" s="39">
        <f>IF(A102="","",IF(J102=0,"",IF(U102&lt;0,"Loss - this job cost you money",IF(V102&lt;MarginFloor,"Below - margin under the floor",IF(V102&lt;TargetMargin,"Check - under target margin",IF(AND(X102&lt;&gt;"",X102&gt;0.5),"Check - ran over the estimate","OK"))))))</f>
        <v>0</v>
      </c>
    </row>
    <row r="103" spans="1:27">
      <c r="A103" s="43">
        <f>IF(IFERROR(INDEX(Jobs!$A$5:$A$604,ROW()-4),"")="","",IFERROR(INDEX(Jobs!$A$5:$A$604,ROW()-4),""))</f>
        <v>0</v>
      </c>
      <c r="B103" s="18">
        <f>IF(A103="","",IFERROR(INDEX(Jobs!$B$5:$B$604,MATCH(A103,Jobs!$A$5:$A$604,0)),""))</f>
        <v>0</v>
      </c>
      <c r="C103" s="23">
        <f>IF(B103="","",TEXT(B103,"yyyy-mm"))</f>
        <v>0</v>
      </c>
      <c r="D103" s="43">
        <f>IF(A103="","",IFERROR(INDEX(Jobs!$G$5:$G$604,MATCH(A103,Jobs!$A$5:$A$604,0)),""))</f>
        <v>0</v>
      </c>
      <c r="E103" s="23">
        <f>IF(A103="","",IFERROR(INDEX(Jobs!$H$5:$H$604,MATCH(A103,Jobs!$A$5:$A$604,0)),""))</f>
        <v>0</v>
      </c>
      <c r="F103" s="23">
        <f>IF(A103="","",IFERROR(INDEX(Jobs!$K$5:$K$604,MATCH(A103,Jobs!$A$5:$A$604,0)),""))</f>
        <v>0</v>
      </c>
      <c r="G103" s="23">
        <f>IF(A103="","",IFERROR(INDEX(Jobs!$M$5:$M$604,MATCH(A103,Jobs!$A$5:$A$604,0)),""))</f>
        <v>0</v>
      </c>
      <c r="H103" s="23">
        <f>IF(A103="","",IFERROR(INDEX(Jobs!$R$5:$R$604,MATCH(A103,Jobs!$A$5:$A$604,0)),""))</f>
        <v>0</v>
      </c>
      <c r="I103" s="39">
        <f>IF(A103="","",IFERROR(INDEX(Jobs!$P$5:$P$604,MATCH(A103,Jobs!$A$5:$A$604,0)),""))</f>
        <v>0</v>
      </c>
      <c r="J103" s="21">
        <f>IF(A103="","",IF(OR(I103="Completed",I103="Invoiced"),IFERROR(INDEX(Jobs!$AJ$5:$AJ$604,MATCH(A103,Jobs!$A$5:$A$604,0)),0),0))</f>
        <v>0</v>
      </c>
      <c r="K103" s="34">
        <f>IF(A103="","",IFERROR(INDEX(Jobs!$AD$5:$AD$604,MATCH(A103,Jobs!$A$5:$A$604,0)),0))</f>
        <v>0</v>
      </c>
      <c r="L103" s="34">
        <f>IF(A103="","",IFERROR(INDEX(Jobs!$AK$5:$AK$604,MATCH(A103,Jobs!$A$5:$A$604,0)),0))</f>
        <v>0</v>
      </c>
      <c r="M103" s="34">
        <f>IF(A103="","",IF(IFERROR(L103*1,0)&gt;0,L103,IFERROR(K103*1,0)))</f>
        <v>0</v>
      </c>
      <c r="N103" s="21">
        <f>IF(A103="","",SUMIFS(Timesheets!$X$5:$X$804,Timesheets!$G$5:$G$804,A103))</f>
        <v>0</v>
      </c>
      <c r="O103" s="21">
        <f>IF(A103="","",IF(N103&gt;0,N103,ROUND(M103*CostPerHour,2)))</f>
        <v>0</v>
      </c>
      <c r="P103" s="21">
        <f>IF(A103="","",SUMIFS('Supply Usage'!$L$5:$L$304,'Supply Usage'!$F$5:$F$304,A103))</f>
        <v>0</v>
      </c>
      <c r="Q103" s="21">
        <f>IF(A103="","",IF(P103&gt;0,P103,ROUND(M103*SuppliesPerHour,2)))</f>
        <v>0</v>
      </c>
      <c r="R103" s="21">
        <f>IF(A103="","",ROUND(IFERROR(INDEX(Jobs!$W$5:$W$604,MATCH(A103,Jobs!$A$5:$A$604,0)),0)*MileageRate,2))</f>
        <v>0</v>
      </c>
      <c r="T103" s="21">
        <f>IF(A103="","",O103+Q103+R103+IF(S103="",0,S103))</f>
        <v>0</v>
      </c>
      <c r="U103" s="21">
        <f>IF(A103="","",J103-T103)</f>
        <v>0</v>
      </c>
      <c r="V103" s="38">
        <f>IF(OR(A103="",J103=0),"",U103/J103)</f>
        <v>0</v>
      </c>
      <c r="W103" s="21">
        <f>IF(OR(A103="",M103=0,J103=0),"",U103/M103)</f>
        <v>0</v>
      </c>
      <c r="X103" s="34">
        <f>IF(OR(A103="",L103="",L103=0,K103=""),"",L103-K103)</f>
        <v>0</v>
      </c>
      <c r="Y103" s="31">
        <f>IF(A103="","",COUNTIFS($U$5:$U$604,"&gt;"&amp;U103)+COUNTIFS($U$5:U103,U103))</f>
        <v>0</v>
      </c>
      <c r="Z103" s="31">
        <f>IF(A103="","",COUNTIFS($W$5:$W$604,"&gt;"&amp;W103)+COUNTIFS($W$5:W103,W103))</f>
        <v>0</v>
      </c>
      <c r="AA103" s="39">
        <f>IF(A103="","",IF(J103=0,"",IF(U103&lt;0,"Loss - this job cost you money",IF(V103&lt;MarginFloor,"Below - margin under the floor",IF(V103&lt;TargetMargin,"Check - under target margin",IF(AND(X103&lt;&gt;"",X103&gt;0.5),"Check - ran over the estimate","OK"))))))</f>
        <v>0</v>
      </c>
    </row>
    <row r="104" spans="1:27">
      <c r="A104" s="43">
        <f>IF(IFERROR(INDEX(Jobs!$A$5:$A$604,ROW()-4),"")="","",IFERROR(INDEX(Jobs!$A$5:$A$604,ROW()-4),""))</f>
        <v>0</v>
      </c>
      <c r="B104" s="18">
        <f>IF(A104="","",IFERROR(INDEX(Jobs!$B$5:$B$604,MATCH(A104,Jobs!$A$5:$A$604,0)),""))</f>
        <v>0</v>
      </c>
      <c r="C104" s="23">
        <f>IF(B104="","",TEXT(B104,"yyyy-mm"))</f>
        <v>0</v>
      </c>
      <c r="D104" s="43">
        <f>IF(A104="","",IFERROR(INDEX(Jobs!$G$5:$G$604,MATCH(A104,Jobs!$A$5:$A$604,0)),""))</f>
        <v>0</v>
      </c>
      <c r="E104" s="23">
        <f>IF(A104="","",IFERROR(INDEX(Jobs!$H$5:$H$604,MATCH(A104,Jobs!$A$5:$A$604,0)),""))</f>
        <v>0</v>
      </c>
      <c r="F104" s="23">
        <f>IF(A104="","",IFERROR(INDEX(Jobs!$K$5:$K$604,MATCH(A104,Jobs!$A$5:$A$604,0)),""))</f>
        <v>0</v>
      </c>
      <c r="G104" s="23">
        <f>IF(A104="","",IFERROR(INDEX(Jobs!$M$5:$M$604,MATCH(A104,Jobs!$A$5:$A$604,0)),""))</f>
        <v>0</v>
      </c>
      <c r="H104" s="23">
        <f>IF(A104="","",IFERROR(INDEX(Jobs!$R$5:$R$604,MATCH(A104,Jobs!$A$5:$A$604,0)),""))</f>
        <v>0</v>
      </c>
      <c r="I104" s="39">
        <f>IF(A104="","",IFERROR(INDEX(Jobs!$P$5:$P$604,MATCH(A104,Jobs!$A$5:$A$604,0)),""))</f>
        <v>0</v>
      </c>
      <c r="J104" s="21">
        <f>IF(A104="","",IF(OR(I104="Completed",I104="Invoiced"),IFERROR(INDEX(Jobs!$AJ$5:$AJ$604,MATCH(A104,Jobs!$A$5:$A$604,0)),0),0))</f>
        <v>0</v>
      </c>
      <c r="K104" s="34">
        <f>IF(A104="","",IFERROR(INDEX(Jobs!$AD$5:$AD$604,MATCH(A104,Jobs!$A$5:$A$604,0)),0))</f>
        <v>0</v>
      </c>
      <c r="L104" s="34">
        <f>IF(A104="","",IFERROR(INDEX(Jobs!$AK$5:$AK$604,MATCH(A104,Jobs!$A$5:$A$604,0)),0))</f>
        <v>0</v>
      </c>
      <c r="M104" s="34">
        <f>IF(A104="","",IF(IFERROR(L104*1,0)&gt;0,L104,IFERROR(K104*1,0)))</f>
        <v>0</v>
      </c>
      <c r="N104" s="21">
        <f>IF(A104="","",SUMIFS(Timesheets!$X$5:$X$804,Timesheets!$G$5:$G$804,A104))</f>
        <v>0</v>
      </c>
      <c r="O104" s="21">
        <f>IF(A104="","",IF(N104&gt;0,N104,ROUND(M104*CostPerHour,2)))</f>
        <v>0</v>
      </c>
      <c r="P104" s="21">
        <f>IF(A104="","",SUMIFS('Supply Usage'!$L$5:$L$304,'Supply Usage'!$F$5:$F$304,A104))</f>
        <v>0</v>
      </c>
      <c r="Q104" s="21">
        <f>IF(A104="","",IF(P104&gt;0,P104,ROUND(M104*SuppliesPerHour,2)))</f>
        <v>0</v>
      </c>
      <c r="R104" s="21">
        <f>IF(A104="","",ROUND(IFERROR(INDEX(Jobs!$W$5:$W$604,MATCH(A104,Jobs!$A$5:$A$604,0)),0)*MileageRate,2))</f>
        <v>0</v>
      </c>
      <c r="T104" s="21">
        <f>IF(A104="","",O104+Q104+R104+IF(S104="",0,S104))</f>
        <v>0</v>
      </c>
      <c r="U104" s="21">
        <f>IF(A104="","",J104-T104)</f>
        <v>0</v>
      </c>
      <c r="V104" s="38">
        <f>IF(OR(A104="",J104=0),"",U104/J104)</f>
        <v>0</v>
      </c>
      <c r="W104" s="21">
        <f>IF(OR(A104="",M104=0,J104=0),"",U104/M104)</f>
        <v>0</v>
      </c>
      <c r="X104" s="34">
        <f>IF(OR(A104="",L104="",L104=0,K104=""),"",L104-K104)</f>
        <v>0</v>
      </c>
      <c r="Y104" s="31">
        <f>IF(A104="","",COUNTIFS($U$5:$U$604,"&gt;"&amp;U104)+COUNTIFS($U$5:U104,U104))</f>
        <v>0</v>
      </c>
      <c r="Z104" s="31">
        <f>IF(A104="","",COUNTIFS($W$5:$W$604,"&gt;"&amp;W104)+COUNTIFS($W$5:W104,W104))</f>
        <v>0</v>
      </c>
      <c r="AA104" s="39">
        <f>IF(A104="","",IF(J104=0,"",IF(U104&lt;0,"Loss - this job cost you money",IF(V104&lt;MarginFloor,"Below - margin under the floor",IF(V104&lt;TargetMargin,"Check - under target margin",IF(AND(X104&lt;&gt;"",X104&gt;0.5),"Check - ran over the estimate","OK"))))))</f>
        <v>0</v>
      </c>
    </row>
    <row r="105" spans="1:27">
      <c r="A105" s="43">
        <f>IF(IFERROR(INDEX(Jobs!$A$5:$A$604,ROW()-4),"")="","",IFERROR(INDEX(Jobs!$A$5:$A$604,ROW()-4),""))</f>
        <v>0</v>
      </c>
      <c r="B105" s="18">
        <f>IF(A105="","",IFERROR(INDEX(Jobs!$B$5:$B$604,MATCH(A105,Jobs!$A$5:$A$604,0)),""))</f>
        <v>0</v>
      </c>
      <c r="C105" s="23">
        <f>IF(B105="","",TEXT(B105,"yyyy-mm"))</f>
        <v>0</v>
      </c>
      <c r="D105" s="43">
        <f>IF(A105="","",IFERROR(INDEX(Jobs!$G$5:$G$604,MATCH(A105,Jobs!$A$5:$A$604,0)),""))</f>
        <v>0</v>
      </c>
      <c r="E105" s="23">
        <f>IF(A105="","",IFERROR(INDEX(Jobs!$H$5:$H$604,MATCH(A105,Jobs!$A$5:$A$604,0)),""))</f>
        <v>0</v>
      </c>
      <c r="F105" s="23">
        <f>IF(A105="","",IFERROR(INDEX(Jobs!$K$5:$K$604,MATCH(A105,Jobs!$A$5:$A$604,0)),""))</f>
        <v>0</v>
      </c>
      <c r="G105" s="23">
        <f>IF(A105="","",IFERROR(INDEX(Jobs!$M$5:$M$604,MATCH(A105,Jobs!$A$5:$A$604,0)),""))</f>
        <v>0</v>
      </c>
      <c r="H105" s="23">
        <f>IF(A105="","",IFERROR(INDEX(Jobs!$R$5:$R$604,MATCH(A105,Jobs!$A$5:$A$604,0)),""))</f>
        <v>0</v>
      </c>
      <c r="I105" s="39">
        <f>IF(A105="","",IFERROR(INDEX(Jobs!$P$5:$P$604,MATCH(A105,Jobs!$A$5:$A$604,0)),""))</f>
        <v>0</v>
      </c>
      <c r="J105" s="21">
        <f>IF(A105="","",IF(OR(I105="Completed",I105="Invoiced"),IFERROR(INDEX(Jobs!$AJ$5:$AJ$604,MATCH(A105,Jobs!$A$5:$A$604,0)),0),0))</f>
        <v>0</v>
      </c>
      <c r="K105" s="34">
        <f>IF(A105="","",IFERROR(INDEX(Jobs!$AD$5:$AD$604,MATCH(A105,Jobs!$A$5:$A$604,0)),0))</f>
        <v>0</v>
      </c>
      <c r="L105" s="34">
        <f>IF(A105="","",IFERROR(INDEX(Jobs!$AK$5:$AK$604,MATCH(A105,Jobs!$A$5:$A$604,0)),0))</f>
        <v>0</v>
      </c>
      <c r="M105" s="34">
        <f>IF(A105="","",IF(IFERROR(L105*1,0)&gt;0,L105,IFERROR(K105*1,0)))</f>
        <v>0</v>
      </c>
      <c r="N105" s="21">
        <f>IF(A105="","",SUMIFS(Timesheets!$X$5:$X$804,Timesheets!$G$5:$G$804,A105))</f>
        <v>0</v>
      </c>
      <c r="O105" s="21">
        <f>IF(A105="","",IF(N105&gt;0,N105,ROUND(M105*CostPerHour,2)))</f>
        <v>0</v>
      </c>
      <c r="P105" s="21">
        <f>IF(A105="","",SUMIFS('Supply Usage'!$L$5:$L$304,'Supply Usage'!$F$5:$F$304,A105))</f>
        <v>0</v>
      </c>
      <c r="Q105" s="21">
        <f>IF(A105="","",IF(P105&gt;0,P105,ROUND(M105*SuppliesPerHour,2)))</f>
        <v>0</v>
      </c>
      <c r="R105" s="21">
        <f>IF(A105="","",ROUND(IFERROR(INDEX(Jobs!$W$5:$W$604,MATCH(A105,Jobs!$A$5:$A$604,0)),0)*MileageRate,2))</f>
        <v>0</v>
      </c>
      <c r="T105" s="21">
        <f>IF(A105="","",O105+Q105+R105+IF(S105="",0,S105))</f>
        <v>0</v>
      </c>
      <c r="U105" s="21">
        <f>IF(A105="","",J105-T105)</f>
        <v>0</v>
      </c>
      <c r="V105" s="38">
        <f>IF(OR(A105="",J105=0),"",U105/J105)</f>
        <v>0</v>
      </c>
      <c r="W105" s="21">
        <f>IF(OR(A105="",M105=0,J105=0),"",U105/M105)</f>
        <v>0</v>
      </c>
      <c r="X105" s="34">
        <f>IF(OR(A105="",L105="",L105=0,K105=""),"",L105-K105)</f>
        <v>0</v>
      </c>
      <c r="Y105" s="31">
        <f>IF(A105="","",COUNTIFS($U$5:$U$604,"&gt;"&amp;U105)+COUNTIFS($U$5:U105,U105))</f>
        <v>0</v>
      </c>
      <c r="Z105" s="31">
        <f>IF(A105="","",COUNTIFS($W$5:$W$604,"&gt;"&amp;W105)+COUNTIFS($W$5:W105,W105))</f>
        <v>0</v>
      </c>
      <c r="AA105" s="39">
        <f>IF(A105="","",IF(J105=0,"",IF(U105&lt;0,"Loss - this job cost you money",IF(V105&lt;MarginFloor,"Below - margin under the floor",IF(V105&lt;TargetMargin,"Check - under target margin",IF(AND(X105&lt;&gt;"",X105&gt;0.5),"Check - ran over the estimate","OK"))))))</f>
        <v>0</v>
      </c>
    </row>
    <row r="106" spans="1:27">
      <c r="A106" s="43">
        <f>IF(IFERROR(INDEX(Jobs!$A$5:$A$604,ROW()-4),"")="","",IFERROR(INDEX(Jobs!$A$5:$A$604,ROW()-4),""))</f>
        <v>0</v>
      </c>
      <c r="B106" s="18">
        <f>IF(A106="","",IFERROR(INDEX(Jobs!$B$5:$B$604,MATCH(A106,Jobs!$A$5:$A$604,0)),""))</f>
        <v>0</v>
      </c>
      <c r="C106" s="23">
        <f>IF(B106="","",TEXT(B106,"yyyy-mm"))</f>
        <v>0</v>
      </c>
      <c r="D106" s="43">
        <f>IF(A106="","",IFERROR(INDEX(Jobs!$G$5:$G$604,MATCH(A106,Jobs!$A$5:$A$604,0)),""))</f>
        <v>0</v>
      </c>
      <c r="E106" s="23">
        <f>IF(A106="","",IFERROR(INDEX(Jobs!$H$5:$H$604,MATCH(A106,Jobs!$A$5:$A$604,0)),""))</f>
        <v>0</v>
      </c>
      <c r="F106" s="23">
        <f>IF(A106="","",IFERROR(INDEX(Jobs!$K$5:$K$604,MATCH(A106,Jobs!$A$5:$A$604,0)),""))</f>
        <v>0</v>
      </c>
      <c r="G106" s="23">
        <f>IF(A106="","",IFERROR(INDEX(Jobs!$M$5:$M$604,MATCH(A106,Jobs!$A$5:$A$604,0)),""))</f>
        <v>0</v>
      </c>
      <c r="H106" s="23">
        <f>IF(A106="","",IFERROR(INDEX(Jobs!$R$5:$R$604,MATCH(A106,Jobs!$A$5:$A$604,0)),""))</f>
        <v>0</v>
      </c>
      <c r="I106" s="39">
        <f>IF(A106="","",IFERROR(INDEX(Jobs!$P$5:$P$604,MATCH(A106,Jobs!$A$5:$A$604,0)),""))</f>
        <v>0</v>
      </c>
      <c r="J106" s="21">
        <f>IF(A106="","",IF(OR(I106="Completed",I106="Invoiced"),IFERROR(INDEX(Jobs!$AJ$5:$AJ$604,MATCH(A106,Jobs!$A$5:$A$604,0)),0),0))</f>
        <v>0</v>
      </c>
      <c r="K106" s="34">
        <f>IF(A106="","",IFERROR(INDEX(Jobs!$AD$5:$AD$604,MATCH(A106,Jobs!$A$5:$A$604,0)),0))</f>
        <v>0</v>
      </c>
      <c r="L106" s="34">
        <f>IF(A106="","",IFERROR(INDEX(Jobs!$AK$5:$AK$604,MATCH(A106,Jobs!$A$5:$A$604,0)),0))</f>
        <v>0</v>
      </c>
      <c r="M106" s="34">
        <f>IF(A106="","",IF(IFERROR(L106*1,0)&gt;0,L106,IFERROR(K106*1,0)))</f>
        <v>0</v>
      </c>
      <c r="N106" s="21">
        <f>IF(A106="","",SUMIFS(Timesheets!$X$5:$X$804,Timesheets!$G$5:$G$804,A106))</f>
        <v>0</v>
      </c>
      <c r="O106" s="21">
        <f>IF(A106="","",IF(N106&gt;0,N106,ROUND(M106*CostPerHour,2)))</f>
        <v>0</v>
      </c>
      <c r="P106" s="21">
        <f>IF(A106="","",SUMIFS('Supply Usage'!$L$5:$L$304,'Supply Usage'!$F$5:$F$304,A106))</f>
        <v>0</v>
      </c>
      <c r="Q106" s="21">
        <f>IF(A106="","",IF(P106&gt;0,P106,ROUND(M106*SuppliesPerHour,2)))</f>
        <v>0</v>
      </c>
      <c r="R106" s="21">
        <f>IF(A106="","",ROUND(IFERROR(INDEX(Jobs!$W$5:$W$604,MATCH(A106,Jobs!$A$5:$A$604,0)),0)*MileageRate,2))</f>
        <v>0</v>
      </c>
      <c r="T106" s="21">
        <f>IF(A106="","",O106+Q106+R106+IF(S106="",0,S106))</f>
        <v>0</v>
      </c>
      <c r="U106" s="21">
        <f>IF(A106="","",J106-T106)</f>
        <v>0</v>
      </c>
      <c r="V106" s="38">
        <f>IF(OR(A106="",J106=0),"",U106/J106)</f>
        <v>0</v>
      </c>
      <c r="W106" s="21">
        <f>IF(OR(A106="",M106=0,J106=0),"",U106/M106)</f>
        <v>0</v>
      </c>
      <c r="X106" s="34">
        <f>IF(OR(A106="",L106="",L106=0,K106=""),"",L106-K106)</f>
        <v>0</v>
      </c>
      <c r="Y106" s="31">
        <f>IF(A106="","",COUNTIFS($U$5:$U$604,"&gt;"&amp;U106)+COUNTIFS($U$5:U106,U106))</f>
        <v>0</v>
      </c>
      <c r="Z106" s="31">
        <f>IF(A106="","",COUNTIFS($W$5:$W$604,"&gt;"&amp;W106)+COUNTIFS($W$5:W106,W106))</f>
        <v>0</v>
      </c>
      <c r="AA106" s="39">
        <f>IF(A106="","",IF(J106=0,"",IF(U106&lt;0,"Loss - this job cost you money",IF(V106&lt;MarginFloor,"Below - margin under the floor",IF(V106&lt;TargetMargin,"Check - under target margin",IF(AND(X106&lt;&gt;"",X106&gt;0.5),"Check - ran over the estimate","OK"))))))</f>
        <v>0</v>
      </c>
    </row>
    <row r="107" spans="1:27">
      <c r="A107" s="43">
        <f>IF(IFERROR(INDEX(Jobs!$A$5:$A$604,ROW()-4),"")="","",IFERROR(INDEX(Jobs!$A$5:$A$604,ROW()-4),""))</f>
        <v>0</v>
      </c>
      <c r="B107" s="18">
        <f>IF(A107="","",IFERROR(INDEX(Jobs!$B$5:$B$604,MATCH(A107,Jobs!$A$5:$A$604,0)),""))</f>
        <v>0</v>
      </c>
      <c r="C107" s="23">
        <f>IF(B107="","",TEXT(B107,"yyyy-mm"))</f>
        <v>0</v>
      </c>
      <c r="D107" s="43">
        <f>IF(A107="","",IFERROR(INDEX(Jobs!$G$5:$G$604,MATCH(A107,Jobs!$A$5:$A$604,0)),""))</f>
        <v>0</v>
      </c>
      <c r="E107" s="23">
        <f>IF(A107="","",IFERROR(INDEX(Jobs!$H$5:$H$604,MATCH(A107,Jobs!$A$5:$A$604,0)),""))</f>
        <v>0</v>
      </c>
      <c r="F107" s="23">
        <f>IF(A107="","",IFERROR(INDEX(Jobs!$K$5:$K$604,MATCH(A107,Jobs!$A$5:$A$604,0)),""))</f>
        <v>0</v>
      </c>
      <c r="G107" s="23">
        <f>IF(A107="","",IFERROR(INDEX(Jobs!$M$5:$M$604,MATCH(A107,Jobs!$A$5:$A$604,0)),""))</f>
        <v>0</v>
      </c>
      <c r="H107" s="23">
        <f>IF(A107="","",IFERROR(INDEX(Jobs!$R$5:$R$604,MATCH(A107,Jobs!$A$5:$A$604,0)),""))</f>
        <v>0</v>
      </c>
      <c r="I107" s="39">
        <f>IF(A107="","",IFERROR(INDEX(Jobs!$P$5:$P$604,MATCH(A107,Jobs!$A$5:$A$604,0)),""))</f>
        <v>0</v>
      </c>
      <c r="J107" s="21">
        <f>IF(A107="","",IF(OR(I107="Completed",I107="Invoiced"),IFERROR(INDEX(Jobs!$AJ$5:$AJ$604,MATCH(A107,Jobs!$A$5:$A$604,0)),0),0))</f>
        <v>0</v>
      </c>
      <c r="K107" s="34">
        <f>IF(A107="","",IFERROR(INDEX(Jobs!$AD$5:$AD$604,MATCH(A107,Jobs!$A$5:$A$604,0)),0))</f>
        <v>0</v>
      </c>
      <c r="L107" s="34">
        <f>IF(A107="","",IFERROR(INDEX(Jobs!$AK$5:$AK$604,MATCH(A107,Jobs!$A$5:$A$604,0)),0))</f>
        <v>0</v>
      </c>
      <c r="M107" s="34">
        <f>IF(A107="","",IF(IFERROR(L107*1,0)&gt;0,L107,IFERROR(K107*1,0)))</f>
        <v>0</v>
      </c>
      <c r="N107" s="21">
        <f>IF(A107="","",SUMIFS(Timesheets!$X$5:$X$804,Timesheets!$G$5:$G$804,A107))</f>
        <v>0</v>
      </c>
      <c r="O107" s="21">
        <f>IF(A107="","",IF(N107&gt;0,N107,ROUND(M107*CostPerHour,2)))</f>
        <v>0</v>
      </c>
      <c r="P107" s="21">
        <f>IF(A107="","",SUMIFS('Supply Usage'!$L$5:$L$304,'Supply Usage'!$F$5:$F$304,A107))</f>
        <v>0</v>
      </c>
      <c r="Q107" s="21">
        <f>IF(A107="","",IF(P107&gt;0,P107,ROUND(M107*SuppliesPerHour,2)))</f>
        <v>0</v>
      </c>
      <c r="R107" s="21">
        <f>IF(A107="","",ROUND(IFERROR(INDEX(Jobs!$W$5:$W$604,MATCH(A107,Jobs!$A$5:$A$604,0)),0)*MileageRate,2))</f>
        <v>0</v>
      </c>
      <c r="T107" s="21">
        <f>IF(A107="","",O107+Q107+R107+IF(S107="",0,S107))</f>
        <v>0</v>
      </c>
      <c r="U107" s="21">
        <f>IF(A107="","",J107-T107)</f>
        <v>0</v>
      </c>
      <c r="V107" s="38">
        <f>IF(OR(A107="",J107=0),"",U107/J107)</f>
        <v>0</v>
      </c>
      <c r="W107" s="21">
        <f>IF(OR(A107="",M107=0,J107=0),"",U107/M107)</f>
        <v>0</v>
      </c>
      <c r="X107" s="34">
        <f>IF(OR(A107="",L107="",L107=0,K107=""),"",L107-K107)</f>
        <v>0</v>
      </c>
      <c r="Y107" s="31">
        <f>IF(A107="","",COUNTIFS($U$5:$U$604,"&gt;"&amp;U107)+COUNTIFS($U$5:U107,U107))</f>
        <v>0</v>
      </c>
      <c r="Z107" s="31">
        <f>IF(A107="","",COUNTIFS($W$5:$W$604,"&gt;"&amp;W107)+COUNTIFS($W$5:W107,W107))</f>
        <v>0</v>
      </c>
      <c r="AA107" s="39">
        <f>IF(A107="","",IF(J107=0,"",IF(U107&lt;0,"Loss - this job cost you money",IF(V107&lt;MarginFloor,"Below - margin under the floor",IF(V107&lt;TargetMargin,"Check - under target margin",IF(AND(X107&lt;&gt;"",X107&gt;0.5),"Check - ran over the estimate","OK"))))))</f>
        <v>0</v>
      </c>
    </row>
    <row r="108" spans="1:27">
      <c r="A108" s="43">
        <f>IF(IFERROR(INDEX(Jobs!$A$5:$A$604,ROW()-4),"")="","",IFERROR(INDEX(Jobs!$A$5:$A$604,ROW()-4),""))</f>
        <v>0</v>
      </c>
      <c r="B108" s="18">
        <f>IF(A108="","",IFERROR(INDEX(Jobs!$B$5:$B$604,MATCH(A108,Jobs!$A$5:$A$604,0)),""))</f>
        <v>0</v>
      </c>
      <c r="C108" s="23">
        <f>IF(B108="","",TEXT(B108,"yyyy-mm"))</f>
        <v>0</v>
      </c>
      <c r="D108" s="43">
        <f>IF(A108="","",IFERROR(INDEX(Jobs!$G$5:$G$604,MATCH(A108,Jobs!$A$5:$A$604,0)),""))</f>
        <v>0</v>
      </c>
      <c r="E108" s="23">
        <f>IF(A108="","",IFERROR(INDEX(Jobs!$H$5:$H$604,MATCH(A108,Jobs!$A$5:$A$604,0)),""))</f>
        <v>0</v>
      </c>
      <c r="F108" s="23">
        <f>IF(A108="","",IFERROR(INDEX(Jobs!$K$5:$K$604,MATCH(A108,Jobs!$A$5:$A$604,0)),""))</f>
        <v>0</v>
      </c>
      <c r="G108" s="23">
        <f>IF(A108="","",IFERROR(INDEX(Jobs!$M$5:$M$604,MATCH(A108,Jobs!$A$5:$A$604,0)),""))</f>
        <v>0</v>
      </c>
      <c r="H108" s="23">
        <f>IF(A108="","",IFERROR(INDEX(Jobs!$R$5:$R$604,MATCH(A108,Jobs!$A$5:$A$604,0)),""))</f>
        <v>0</v>
      </c>
      <c r="I108" s="39">
        <f>IF(A108="","",IFERROR(INDEX(Jobs!$P$5:$P$604,MATCH(A108,Jobs!$A$5:$A$604,0)),""))</f>
        <v>0</v>
      </c>
      <c r="J108" s="21">
        <f>IF(A108="","",IF(OR(I108="Completed",I108="Invoiced"),IFERROR(INDEX(Jobs!$AJ$5:$AJ$604,MATCH(A108,Jobs!$A$5:$A$604,0)),0),0))</f>
        <v>0</v>
      </c>
      <c r="K108" s="34">
        <f>IF(A108="","",IFERROR(INDEX(Jobs!$AD$5:$AD$604,MATCH(A108,Jobs!$A$5:$A$604,0)),0))</f>
        <v>0</v>
      </c>
      <c r="L108" s="34">
        <f>IF(A108="","",IFERROR(INDEX(Jobs!$AK$5:$AK$604,MATCH(A108,Jobs!$A$5:$A$604,0)),0))</f>
        <v>0</v>
      </c>
      <c r="M108" s="34">
        <f>IF(A108="","",IF(IFERROR(L108*1,0)&gt;0,L108,IFERROR(K108*1,0)))</f>
        <v>0</v>
      </c>
      <c r="N108" s="21">
        <f>IF(A108="","",SUMIFS(Timesheets!$X$5:$X$804,Timesheets!$G$5:$G$804,A108))</f>
        <v>0</v>
      </c>
      <c r="O108" s="21">
        <f>IF(A108="","",IF(N108&gt;0,N108,ROUND(M108*CostPerHour,2)))</f>
        <v>0</v>
      </c>
      <c r="P108" s="21">
        <f>IF(A108="","",SUMIFS('Supply Usage'!$L$5:$L$304,'Supply Usage'!$F$5:$F$304,A108))</f>
        <v>0</v>
      </c>
      <c r="Q108" s="21">
        <f>IF(A108="","",IF(P108&gt;0,P108,ROUND(M108*SuppliesPerHour,2)))</f>
        <v>0</v>
      </c>
      <c r="R108" s="21">
        <f>IF(A108="","",ROUND(IFERROR(INDEX(Jobs!$W$5:$W$604,MATCH(A108,Jobs!$A$5:$A$604,0)),0)*MileageRate,2))</f>
        <v>0</v>
      </c>
      <c r="T108" s="21">
        <f>IF(A108="","",O108+Q108+R108+IF(S108="",0,S108))</f>
        <v>0</v>
      </c>
      <c r="U108" s="21">
        <f>IF(A108="","",J108-T108)</f>
        <v>0</v>
      </c>
      <c r="V108" s="38">
        <f>IF(OR(A108="",J108=0),"",U108/J108)</f>
        <v>0</v>
      </c>
      <c r="W108" s="21">
        <f>IF(OR(A108="",M108=0,J108=0),"",U108/M108)</f>
        <v>0</v>
      </c>
      <c r="X108" s="34">
        <f>IF(OR(A108="",L108="",L108=0,K108=""),"",L108-K108)</f>
        <v>0</v>
      </c>
      <c r="Y108" s="31">
        <f>IF(A108="","",COUNTIFS($U$5:$U$604,"&gt;"&amp;U108)+COUNTIFS($U$5:U108,U108))</f>
        <v>0</v>
      </c>
      <c r="Z108" s="31">
        <f>IF(A108="","",COUNTIFS($W$5:$W$604,"&gt;"&amp;W108)+COUNTIFS($W$5:W108,W108))</f>
        <v>0</v>
      </c>
      <c r="AA108" s="39">
        <f>IF(A108="","",IF(J108=0,"",IF(U108&lt;0,"Loss - this job cost you money",IF(V108&lt;MarginFloor,"Below - margin under the floor",IF(V108&lt;TargetMargin,"Check - under target margin",IF(AND(X108&lt;&gt;"",X108&gt;0.5),"Check - ran over the estimate","OK"))))))</f>
        <v>0</v>
      </c>
    </row>
    <row r="109" spans="1:27">
      <c r="A109" s="43">
        <f>IF(IFERROR(INDEX(Jobs!$A$5:$A$604,ROW()-4),"")="","",IFERROR(INDEX(Jobs!$A$5:$A$604,ROW()-4),""))</f>
        <v>0</v>
      </c>
      <c r="B109" s="18">
        <f>IF(A109="","",IFERROR(INDEX(Jobs!$B$5:$B$604,MATCH(A109,Jobs!$A$5:$A$604,0)),""))</f>
        <v>0</v>
      </c>
      <c r="C109" s="23">
        <f>IF(B109="","",TEXT(B109,"yyyy-mm"))</f>
        <v>0</v>
      </c>
      <c r="D109" s="43">
        <f>IF(A109="","",IFERROR(INDEX(Jobs!$G$5:$G$604,MATCH(A109,Jobs!$A$5:$A$604,0)),""))</f>
        <v>0</v>
      </c>
      <c r="E109" s="23">
        <f>IF(A109="","",IFERROR(INDEX(Jobs!$H$5:$H$604,MATCH(A109,Jobs!$A$5:$A$604,0)),""))</f>
        <v>0</v>
      </c>
      <c r="F109" s="23">
        <f>IF(A109="","",IFERROR(INDEX(Jobs!$K$5:$K$604,MATCH(A109,Jobs!$A$5:$A$604,0)),""))</f>
        <v>0</v>
      </c>
      <c r="G109" s="23">
        <f>IF(A109="","",IFERROR(INDEX(Jobs!$M$5:$M$604,MATCH(A109,Jobs!$A$5:$A$604,0)),""))</f>
        <v>0</v>
      </c>
      <c r="H109" s="23">
        <f>IF(A109="","",IFERROR(INDEX(Jobs!$R$5:$R$604,MATCH(A109,Jobs!$A$5:$A$604,0)),""))</f>
        <v>0</v>
      </c>
      <c r="I109" s="39">
        <f>IF(A109="","",IFERROR(INDEX(Jobs!$P$5:$P$604,MATCH(A109,Jobs!$A$5:$A$604,0)),""))</f>
        <v>0</v>
      </c>
      <c r="J109" s="21">
        <f>IF(A109="","",IF(OR(I109="Completed",I109="Invoiced"),IFERROR(INDEX(Jobs!$AJ$5:$AJ$604,MATCH(A109,Jobs!$A$5:$A$604,0)),0),0))</f>
        <v>0</v>
      </c>
      <c r="K109" s="34">
        <f>IF(A109="","",IFERROR(INDEX(Jobs!$AD$5:$AD$604,MATCH(A109,Jobs!$A$5:$A$604,0)),0))</f>
        <v>0</v>
      </c>
      <c r="L109" s="34">
        <f>IF(A109="","",IFERROR(INDEX(Jobs!$AK$5:$AK$604,MATCH(A109,Jobs!$A$5:$A$604,0)),0))</f>
        <v>0</v>
      </c>
      <c r="M109" s="34">
        <f>IF(A109="","",IF(IFERROR(L109*1,0)&gt;0,L109,IFERROR(K109*1,0)))</f>
        <v>0</v>
      </c>
      <c r="N109" s="21">
        <f>IF(A109="","",SUMIFS(Timesheets!$X$5:$X$804,Timesheets!$G$5:$G$804,A109))</f>
        <v>0</v>
      </c>
      <c r="O109" s="21">
        <f>IF(A109="","",IF(N109&gt;0,N109,ROUND(M109*CostPerHour,2)))</f>
        <v>0</v>
      </c>
      <c r="P109" s="21">
        <f>IF(A109="","",SUMIFS('Supply Usage'!$L$5:$L$304,'Supply Usage'!$F$5:$F$304,A109))</f>
        <v>0</v>
      </c>
      <c r="Q109" s="21">
        <f>IF(A109="","",IF(P109&gt;0,P109,ROUND(M109*SuppliesPerHour,2)))</f>
        <v>0</v>
      </c>
      <c r="R109" s="21">
        <f>IF(A109="","",ROUND(IFERROR(INDEX(Jobs!$W$5:$W$604,MATCH(A109,Jobs!$A$5:$A$604,0)),0)*MileageRate,2))</f>
        <v>0</v>
      </c>
      <c r="T109" s="21">
        <f>IF(A109="","",O109+Q109+R109+IF(S109="",0,S109))</f>
        <v>0</v>
      </c>
      <c r="U109" s="21">
        <f>IF(A109="","",J109-T109)</f>
        <v>0</v>
      </c>
      <c r="V109" s="38">
        <f>IF(OR(A109="",J109=0),"",U109/J109)</f>
        <v>0</v>
      </c>
      <c r="W109" s="21">
        <f>IF(OR(A109="",M109=0,J109=0),"",U109/M109)</f>
        <v>0</v>
      </c>
      <c r="X109" s="34">
        <f>IF(OR(A109="",L109="",L109=0,K109=""),"",L109-K109)</f>
        <v>0</v>
      </c>
      <c r="Y109" s="31">
        <f>IF(A109="","",COUNTIFS($U$5:$U$604,"&gt;"&amp;U109)+COUNTIFS($U$5:U109,U109))</f>
        <v>0</v>
      </c>
      <c r="Z109" s="31">
        <f>IF(A109="","",COUNTIFS($W$5:$W$604,"&gt;"&amp;W109)+COUNTIFS($W$5:W109,W109))</f>
        <v>0</v>
      </c>
      <c r="AA109" s="39">
        <f>IF(A109="","",IF(J109=0,"",IF(U109&lt;0,"Loss - this job cost you money",IF(V109&lt;MarginFloor,"Below - margin under the floor",IF(V109&lt;TargetMargin,"Check - under target margin",IF(AND(X109&lt;&gt;"",X109&gt;0.5),"Check - ran over the estimate","OK"))))))</f>
        <v>0</v>
      </c>
    </row>
    <row r="110" spans="1:27">
      <c r="A110" s="43">
        <f>IF(IFERROR(INDEX(Jobs!$A$5:$A$604,ROW()-4),"")="","",IFERROR(INDEX(Jobs!$A$5:$A$604,ROW()-4),""))</f>
        <v>0</v>
      </c>
      <c r="B110" s="18">
        <f>IF(A110="","",IFERROR(INDEX(Jobs!$B$5:$B$604,MATCH(A110,Jobs!$A$5:$A$604,0)),""))</f>
        <v>0</v>
      </c>
      <c r="C110" s="23">
        <f>IF(B110="","",TEXT(B110,"yyyy-mm"))</f>
        <v>0</v>
      </c>
      <c r="D110" s="43">
        <f>IF(A110="","",IFERROR(INDEX(Jobs!$G$5:$G$604,MATCH(A110,Jobs!$A$5:$A$604,0)),""))</f>
        <v>0</v>
      </c>
      <c r="E110" s="23">
        <f>IF(A110="","",IFERROR(INDEX(Jobs!$H$5:$H$604,MATCH(A110,Jobs!$A$5:$A$604,0)),""))</f>
        <v>0</v>
      </c>
      <c r="F110" s="23">
        <f>IF(A110="","",IFERROR(INDEX(Jobs!$K$5:$K$604,MATCH(A110,Jobs!$A$5:$A$604,0)),""))</f>
        <v>0</v>
      </c>
      <c r="G110" s="23">
        <f>IF(A110="","",IFERROR(INDEX(Jobs!$M$5:$M$604,MATCH(A110,Jobs!$A$5:$A$604,0)),""))</f>
        <v>0</v>
      </c>
      <c r="H110" s="23">
        <f>IF(A110="","",IFERROR(INDEX(Jobs!$R$5:$R$604,MATCH(A110,Jobs!$A$5:$A$604,0)),""))</f>
        <v>0</v>
      </c>
      <c r="I110" s="39">
        <f>IF(A110="","",IFERROR(INDEX(Jobs!$P$5:$P$604,MATCH(A110,Jobs!$A$5:$A$604,0)),""))</f>
        <v>0</v>
      </c>
      <c r="J110" s="21">
        <f>IF(A110="","",IF(OR(I110="Completed",I110="Invoiced"),IFERROR(INDEX(Jobs!$AJ$5:$AJ$604,MATCH(A110,Jobs!$A$5:$A$604,0)),0),0))</f>
        <v>0</v>
      </c>
      <c r="K110" s="34">
        <f>IF(A110="","",IFERROR(INDEX(Jobs!$AD$5:$AD$604,MATCH(A110,Jobs!$A$5:$A$604,0)),0))</f>
        <v>0</v>
      </c>
      <c r="L110" s="34">
        <f>IF(A110="","",IFERROR(INDEX(Jobs!$AK$5:$AK$604,MATCH(A110,Jobs!$A$5:$A$604,0)),0))</f>
        <v>0</v>
      </c>
      <c r="M110" s="34">
        <f>IF(A110="","",IF(IFERROR(L110*1,0)&gt;0,L110,IFERROR(K110*1,0)))</f>
        <v>0</v>
      </c>
      <c r="N110" s="21">
        <f>IF(A110="","",SUMIFS(Timesheets!$X$5:$X$804,Timesheets!$G$5:$G$804,A110))</f>
        <v>0</v>
      </c>
      <c r="O110" s="21">
        <f>IF(A110="","",IF(N110&gt;0,N110,ROUND(M110*CostPerHour,2)))</f>
        <v>0</v>
      </c>
      <c r="P110" s="21">
        <f>IF(A110="","",SUMIFS('Supply Usage'!$L$5:$L$304,'Supply Usage'!$F$5:$F$304,A110))</f>
        <v>0</v>
      </c>
      <c r="Q110" s="21">
        <f>IF(A110="","",IF(P110&gt;0,P110,ROUND(M110*SuppliesPerHour,2)))</f>
        <v>0</v>
      </c>
      <c r="R110" s="21">
        <f>IF(A110="","",ROUND(IFERROR(INDEX(Jobs!$W$5:$W$604,MATCH(A110,Jobs!$A$5:$A$604,0)),0)*MileageRate,2))</f>
        <v>0</v>
      </c>
      <c r="T110" s="21">
        <f>IF(A110="","",O110+Q110+R110+IF(S110="",0,S110))</f>
        <v>0</v>
      </c>
      <c r="U110" s="21">
        <f>IF(A110="","",J110-T110)</f>
        <v>0</v>
      </c>
      <c r="V110" s="38">
        <f>IF(OR(A110="",J110=0),"",U110/J110)</f>
        <v>0</v>
      </c>
      <c r="W110" s="21">
        <f>IF(OR(A110="",M110=0,J110=0),"",U110/M110)</f>
        <v>0</v>
      </c>
      <c r="X110" s="34">
        <f>IF(OR(A110="",L110="",L110=0,K110=""),"",L110-K110)</f>
        <v>0</v>
      </c>
      <c r="Y110" s="31">
        <f>IF(A110="","",COUNTIFS($U$5:$U$604,"&gt;"&amp;U110)+COUNTIFS($U$5:U110,U110))</f>
        <v>0</v>
      </c>
      <c r="Z110" s="31">
        <f>IF(A110="","",COUNTIFS($W$5:$W$604,"&gt;"&amp;W110)+COUNTIFS($W$5:W110,W110))</f>
        <v>0</v>
      </c>
      <c r="AA110" s="39">
        <f>IF(A110="","",IF(J110=0,"",IF(U110&lt;0,"Loss - this job cost you money",IF(V110&lt;MarginFloor,"Below - margin under the floor",IF(V110&lt;TargetMargin,"Check - under target margin",IF(AND(X110&lt;&gt;"",X110&gt;0.5),"Check - ran over the estimate","OK"))))))</f>
        <v>0</v>
      </c>
    </row>
    <row r="111" spans="1:27">
      <c r="A111" s="43">
        <f>IF(IFERROR(INDEX(Jobs!$A$5:$A$604,ROW()-4),"")="","",IFERROR(INDEX(Jobs!$A$5:$A$604,ROW()-4),""))</f>
        <v>0</v>
      </c>
      <c r="B111" s="18">
        <f>IF(A111="","",IFERROR(INDEX(Jobs!$B$5:$B$604,MATCH(A111,Jobs!$A$5:$A$604,0)),""))</f>
        <v>0</v>
      </c>
      <c r="C111" s="23">
        <f>IF(B111="","",TEXT(B111,"yyyy-mm"))</f>
        <v>0</v>
      </c>
      <c r="D111" s="43">
        <f>IF(A111="","",IFERROR(INDEX(Jobs!$G$5:$G$604,MATCH(A111,Jobs!$A$5:$A$604,0)),""))</f>
        <v>0</v>
      </c>
      <c r="E111" s="23">
        <f>IF(A111="","",IFERROR(INDEX(Jobs!$H$5:$H$604,MATCH(A111,Jobs!$A$5:$A$604,0)),""))</f>
        <v>0</v>
      </c>
      <c r="F111" s="23">
        <f>IF(A111="","",IFERROR(INDEX(Jobs!$K$5:$K$604,MATCH(A111,Jobs!$A$5:$A$604,0)),""))</f>
        <v>0</v>
      </c>
      <c r="G111" s="23">
        <f>IF(A111="","",IFERROR(INDEX(Jobs!$M$5:$M$604,MATCH(A111,Jobs!$A$5:$A$604,0)),""))</f>
        <v>0</v>
      </c>
      <c r="H111" s="23">
        <f>IF(A111="","",IFERROR(INDEX(Jobs!$R$5:$R$604,MATCH(A111,Jobs!$A$5:$A$604,0)),""))</f>
        <v>0</v>
      </c>
      <c r="I111" s="39">
        <f>IF(A111="","",IFERROR(INDEX(Jobs!$P$5:$P$604,MATCH(A111,Jobs!$A$5:$A$604,0)),""))</f>
        <v>0</v>
      </c>
      <c r="J111" s="21">
        <f>IF(A111="","",IF(OR(I111="Completed",I111="Invoiced"),IFERROR(INDEX(Jobs!$AJ$5:$AJ$604,MATCH(A111,Jobs!$A$5:$A$604,0)),0),0))</f>
        <v>0</v>
      </c>
      <c r="K111" s="34">
        <f>IF(A111="","",IFERROR(INDEX(Jobs!$AD$5:$AD$604,MATCH(A111,Jobs!$A$5:$A$604,0)),0))</f>
        <v>0</v>
      </c>
      <c r="L111" s="34">
        <f>IF(A111="","",IFERROR(INDEX(Jobs!$AK$5:$AK$604,MATCH(A111,Jobs!$A$5:$A$604,0)),0))</f>
        <v>0</v>
      </c>
      <c r="M111" s="34">
        <f>IF(A111="","",IF(IFERROR(L111*1,0)&gt;0,L111,IFERROR(K111*1,0)))</f>
        <v>0</v>
      </c>
      <c r="N111" s="21">
        <f>IF(A111="","",SUMIFS(Timesheets!$X$5:$X$804,Timesheets!$G$5:$G$804,A111))</f>
        <v>0</v>
      </c>
      <c r="O111" s="21">
        <f>IF(A111="","",IF(N111&gt;0,N111,ROUND(M111*CostPerHour,2)))</f>
        <v>0</v>
      </c>
      <c r="P111" s="21">
        <f>IF(A111="","",SUMIFS('Supply Usage'!$L$5:$L$304,'Supply Usage'!$F$5:$F$304,A111))</f>
        <v>0</v>
      </c>
      <c r="Q111" s="21">
        <f>IF(A111="","",IF(P111&gt;0,P111,ROUND(M111*SuppliesPerHour,2)))</f>
        <v>0</v>
      </c>
      <c r="R111" s="21">
        <f>IF(A111="","",ROUND(IFERROR(INDEX(Jobs!$W$5:$W$604,MATCH(A111,Jobs!$A$5:$A$604,0)),0)*MileageRate,2))</f>
        <v>0</v>
      </c>
      <c r="T111" s="21">
        <f>IF(A111="","",O111+Q111+R111+IF(S111="",0,S111))</f>
        <v>0</v>
      </c>
      <c r="U111" s="21">
        <f>IF(A111="","",J111-T111)</f>
        <v>0</v>
      </c>
      <c r="V111" s="38">
        <f>IF(OR(A111="",J111=0),"",U111/J111)</f>
        <v>0</v>
      </c>
      <c r="W111" s="21">
        <f>IF(OR(A111="",M111=0,J111=0),"",U111/M111)</f>
        <v>0</v>
      </c>
      <c r="X111" s="34">
        <f>IF(OR(A111="",L111="",L111=0,K111=""),"",L111-K111)</f>
        <v>0</v>
      </c>
      <c r="Y111" s="31">
        <f>IF(A111="","",COUNTIFS($U$5:$U$604,"&gt;"&amp;U111)+COUNTIFS($U$5:U111,U111))</f>
        <v>0</v>
      </c>
      <c r="Z111" s="31">
        <f>IF(A111="","",COUNTIFS($W$5:$W$604,"&gt;"&amp;W111)+COUNTIFS($W$5:W111,W111))</f>
        <v>0</v>
      </c>
      <c r="AA111" s="39">
        <f>IF(A111="","",IF(J111=0,"",IF(U111&lt;0,"Loss - this job cost you money",IF(V111&lt;MarginFloor,"Below - margin under the floor",IF(V111&lt;TargetMargin,"Check - under target margin",IF(AND(X111&lt;&gt;"",X111&gt;0.5),"Check - ran over the estimate","OK"))))))</f>
        <v>0</v>
      </c>
    </row>
    <row r="112" spans="1:27">
      <c r="A112" s="43">
        <f>IF(IFERROR(INDEX(Jobs!$A$5:$A$604,ROW()-4),"")="","",IFERROR(INDEX(Jobs!$A$5:$A$604,ROW()-4),""))</f>
        <v>0</v>
      </c>
      <c r="B112" s="18">
        <f>IF(A112="","",IFERROR(INDEX(Jobs!$B$5:$B$604,MATCH(A112,Jobs!$A$5:$A$604,0)),""))</f>
        <v>0</v>
      </c>
      <c r="C112" s="23">
        <f>IF(B112="","",TEXT(B112,"yyyy-mm"))</f>
        <v>0</v>
      </c>
      <c r="D112" s="43">
        <f>IF(A112="","",IFERROR(INDEX(Jobs!$G$5:$G$604,MATCH(A112,Jobs!$A$5:$A$604,0)),""))</f>
        <v>0</v>
      </c>
      <c r="E112" s="23">
        <f>IF(A112="","",IFERROR(INDEX(Jobs!$H$5:$H$604,MATCH(A112,Jobs!$A$5:$A$604,0)),""))</f>
        <v>0</v>
      </c>
      <c r="F112" s="23">
        <f>IF(A112="","",IFERROR(INDEX(Jobs!$K$5:$K$604,MATCH(A112,Jobs!$A$5:$A$604,0)),""))</f>
        <v>0</v>
      </c>
      <c r="G112" s="23">
        <f>IF(A112="","",IFERROR(INDEX(Jobs!$M$5:$M$604,MATCH(A112,Jobs!$A$5:$A$604,0)),""))</f>
        <v>0</v>
      </c>
      <c r="H112" s="23">
        <f>IF(A112="","",IFERROR(INDEX(Jobs!$R$5:$R$604,MATCH(A112,Jobs!$A$5:$A$604,0)),""))</f>
        <v>0</v>
      </c>
      <c r="I112" s="39">
        <f>IF(A112="","",IFERROR(INDEX(Jobs!$P$5:$P$604,MATCH(A112,Jobs!$A$5:$A$604,0)),""))</f>
        <v>0</v>
      </c>
      <c r="J112" s="21">
        <f>IF(A112="","",IF(OR(I112="Completed",I112="Invoiced"),IFERROR(INDEX(Jobs!$AJ$5:$AJ$604,MATCH(A112,Jobs!$A$5:$A$604,0)),0),0))</f>
        <v>0</v>
      </c>
      <c r="K112" s="34">
        <f>IF(A112="","",IFERROR(INDEX(Jobs!$AD$5:$AD$604,MATCH(A112,Jobs!$A$5:$A$604,0)),0))</f>
        <v>0</v>
      </c>
      <c r="L112" s="34">
        <f>IF(A112="","",IFERROR(INDEX(Jobs!$AK$5:$AK$604,MATCH(A112,Jobs!$A$5:$A$604,0)),0))</f>
        <v>0</v>
      </c>
      <c r="M112" s="34">
        <f>IF(A112="","",IF(IFERROR(L112*1,0)&gt;0,L112,IFERROR(K112*1,0)))</f>
        <v>0</v>
      </c>
      <c r="N112" s="21">
        <f>IF(A112="","",SUMIFS(Timesheets!$X$5:$X$804,Timesheets!$G$5:$G$804,A112))</f>
        <v>0</v>
      </c>
      <c r="O112" s="21">
        <f>IF(A112="","",IF(N112&gt;0,N112,ROUND(M112*CostPerHour,2)))</f>
        <v>0</v>
      </c>
      <c r="P112" s="21">
        <f>IF(A112="","",SUMIFS('Supply Usage'!$L$5:$L$304,'Supply Usage'!$F$5:$F$304,A112))</f>
        <v>0</v>
      </c>
      <c r="Q112" s="21">
        <f>IF(A112="","",IF(P112&gt;0,P112,ROUND(M112*SuppliesPerHour,2)))</f>
        <v>0</v>
      </c>
      <c r="R112" s="21">
        <f>IF(A112="","",ROUND(IFERROR(INDEX(Jobs!$W$5:$W$604,MATCH(A112,Jobs!$A$5:$A$604,0)),0)*MileageRate,2))</f>
        <v>0</v>
      </c>
      <c r="T112" s="21">
        <f>IF(A112="","",O112+Q112+R112+IF(S112="",0,S112))</f>
        <v>0</v>
      </c>
      <c r="U112" s="21">
        <f>IF(A112="","",J112-T112)</f>
        <v>0</v>
      </c>
      <c r="V112" s="38">
        <f>IF(OR(A112="",J112=0),"",U112/J112)</f>
        <v>0</v>
      </c>
      <c r="W112" s="21">
        <f>IF(OR(A112="",M112=0,J112=0),"",U112/M112)</f>
        <v>0</v>
      </c>
      <c r="X112" s="34">
        <f>IF(OR(A112="",L112="",L112=0,K112=""),"",L112-K112)</f>
        <v>0</v>
      </c>
      <c r="Y112" s="31">
        <f>IF(A112="","",COUNTIFS($U$5:$U$604,"&gt;"&amp;U112)+COUNTIFS($U$5:U112,U112))</f>
        <v>0</v>
      </c>
      <c r="Z112" s="31">
        <f>IF(A112="","",COUNTIFS($W$5:$W$604,"&gt;"&amp;W112)+COUNTIFS($W$5:W112,W112))</f>
        <v>0</v>
      </c>
      <c r="AA112" s="39">
        <f>IF(A112="","",IF(J112=0,"",IF(U112&lt;0,"Loss - this job cost you money",IF(V112&lt;MarginFloor,"Below - margin under the floor",IF(V112&lt;TargetMargin,"Check - under target margin",IF(AND(X112&lt;&gt;"",X112&gt;0.5),"Check - ran over the estimate","OK"))))))</f>
        <v>0</v>
      </c>
    </row>
    <row r="113" spans="1:27">
      <c r="A113" s="43">
        <f>IF(IFERROR(INDEX(Jobs!$A$5:$A$604,ROW()-4),"")="","",IFERROR(INDEX(Jobs!$A$5:$A$604,ROW()-4),""))</f>
        <v>0</v>
      </c>
      <c r="B113" s="18">
        <f>IF(A113="","",IFERROR(INDEX(Jobs!$B$5:$B$604,MATCH(A113,Jobs!$A$5:$A$604,0)),""))</f>
        <v>0</v>
      </c>
      <c r="C113" s="23">
        <f>IF(B113="","",TEXT(B113,"yyyy-mm"))</f>
        <v>0</v>
      </c>
      <c r="D113" s="43">
        <f>IF(A113="","",IFERROR(INDEX(Jobs!$G$5:$G$604,MATCH(A113,Jobs!$A$5:$A$604,0)),""))</f>
        <v>0</v>
      </c>
      <c r="E113" s="23">
        <f>IF(A113="","",IFERROR(INDEX(Jobs!$H$5:$H$604,MATCH(A113,Jobs!$A$5:$A$604,0)),""))</f>
        <v>0</v>
      </c>
      <c r="F113" s="23">
        <f>IF(A113="","",IFERROR(INDEX(Jobs!$K$5:$K$604,MATCH(A113,Jobs!$A$5:$A$604,0)),""))</f>
        <v>0</v>
      </c>
      <c r="G113" s="23">
        <f>IF(A113="","",IFERROR(INDEX(Jobs!$M$5:$M$604,MATCH(A113,Jobs!$A$5:$A$604,0)),""))</f>
        <v>0</v>
      </c>
      <c r="H113" s="23">
        <f>IF(A113="","",IFERROR(INDEX(Jobs!$R$5:$R$604,MATCH(A113,Jobs!$A$5:$A$604,0)),""))</f>
        <v>0</v>
      </c>
      <c r="I113" s="39">
        <f>IF(A113="","",IFERROR(INDEX(Jobs!$P$5:$P$604,MATCH(A113,Jobs!$A$5:$A$604,0)),""))</f>
        <v>0</v>
      </c>
      <c r="J113" s="21">
        <f>IF(A113="","",IF(OR(I113="Completed",I113="Invoiced"),IFERROR(INDEX(Jobs!$AJ$5:$AJ$604,MATCH(A113,Jobs!$A$5:$A$604,0)),0),0))</f>
        <v>0</v>
      </c>
      <c r="K113" s="34">
        <f>IF(A113="","",IFERROR(INDEX(Jobs!$AD$5:$AD$604,MATCH(A113,Jobs!$A$5:$A$604,0)),0))</f>
        <v>0</v>
      </c>
      <c r="L113" s="34">
        <f>IF(A113="","",IFERROR(INDEX(Jobs!$AK$5:$AK$604,MATCH(A113,Jobs!$A$5:$A$604,0)),0))</f>
        <v>0</v>
      </c>
      <c r="M113" s="34">
        <f>IF(A113="","",IF(IFERROR(L113*1,0)&gt;0,L113,IFERROR(K113*1,0)))</f>
        <v>0</v>
      </c>
      <c r="N113" s="21">
        <f>IF(A113="","",SUMIFS(Timesheets!$X$5:$X$804,Timesheets!$G$5:$G$804,A113))</f>
        <v>0</v>
      </c>
      <c r="O113" s="21">
        <f>IF(A113="","",IF(N113&gt;0,N113,ROUND(M113*CostPerHour,2)))</f>
        <v>0</v>
      </c>
      <c r="P113" s="21">
        <f>IF(A113="","",SUMIFS('Supply Usage'!$L$5:$L$304,'Supply Usage'!$F$5:$F$304,A113))</f>
        <v>0</v>
      </c>
      <c r="Q113" s="21">
        <f>IF(A113="","",IF(P113&gt;0,P113,ROUND(M113*SuppliesPerHour,2)))</f>
        <v>0</v>
      </c>
      <c r="R113" s="21">
        <f>IF(A113="","",ROUND(IFERROR(INDEX(Jobs!$W$5:$W$604,MATCH(A113,Jobs!$A$5:$A$604,0)),0)*MileageRate,2))</f>
        <v>0</v>
      </c>
      <c r="T113" s="21">
        <f>IF(A113="","",O113+Q113+R113+IF(S113="",0,S113))</f>
        <v>0</v>
      </c>
      <c r="U113" s="21">
        <f>IF(A113="","",J113-T113)</f>
        <v>0</v>
      </c>
      <c r="V113" s="38">
        <f>IF(OR(A113="",J113=0),"",U113/J113)</f>
        <v>0</v>
      </c>
      <c r="W113" s="21">
        <f>IF(OR(A113="",M113=0,J113=0),"",U113/M113)</f>
        <v>0</v>
      </c>
      <c r="X113" s="34">
        <f>IF(OR(A113="",L113="",L113=0,K113=""),"",L113-K113)</f>
        <v>0</v>
      </c>
      <c r="Y113" s="31">
        <f>IF(A113="","",COUNTIFS($U$5:$U$604,"&gt;"&amp;U113)+COUNTIFS($U$5:U113,U113))</f>
        <v>0</v>
      </c>
      <c r="Z113" s="31">
        <f>IF(A113="","",COUNTIFS($W$5:$W$604,"&gt;"&amp;W113)+COUNTIFS($W$5:W113,W113))</f>
        <v>0</v>
      </c>
      <c r="AA113" s="39">
        <f>IF(A113="","",IF(J113=0,"",IF(U113&lt;0,"Loss - this job cost you money",IF(V113&lt;MarginFloor,"Below - margin under the floor",IF(V113&lt;TargetMargin,"Check - under target margin",IF(AND(X113&lt;&gt;"",X113&gt;0.5),"Check - ran over the estimate","OK"))))))</f>
        <v>0</v>
      </c>
    </row>
    <row r="114" spans="1:27">
      <c r="A114" s="43">
        <f>IF(IFERROR(INDEX(Jobs!$A$5:$A$604,ROW()-4),"")="","",IFERROR(INDEX(Jobs!$A$5:$A$604,ROW()-4),""))</f>
        <v>0</v>
      </c>
      <c r="B114" s="18">
        <f>IF(A114="","",IFERROR(INDEX(Jobs!$B$5:$B$604,MATCH(A114,Jobs!$A$5:$A$604,0)),""))</f>
        <v>0</v>
      </c>
      <c r="C114" s="23">
        <f>IF(B114="","",TEXT(B114,"yyyy-mm"))</f>
        <v>0</v>
      </c>
      <c r="D114" s="43">
        <f>IF(A114="","",IFERROR(INDEX(Jobs!$G$5:$G$604,MATCH(A114,Jobs!$A$5:$A$604,0)),""))</f>
        <v>0</v>
      </c>
      <c r="E114" s="23">
        <f>IF(A114="","",IFERROR(INDEX(Jobs!$H$5:$H$604,MATCH(A114,Jobs!$A$5:$A$604,0)),""))</f>
        <v>0</v>
      </c>
      <c r="F114" s="23">
        <f>IF(A114="","",IFERROR(INDEX(Jobs!$K$5:$K$604,MATCH(A114,Jobs!$A$5:$A$604,0)),""))</f>
        <v>0</v>
      </c>
      <c r="G114" s="23">
        <f>IF(A114="","",IFERROR(INDEX(Jobs!$M$5:$M$604,MATCH(A114,Jobs!$A$5:$A$604,0)),""))</f>
        <v>0</v>
      </c>
      <c r="H114" s="23">
        <f>IF(A114="","",IFERROR(INDEX(Jobs!$R$5:$R$604,MATCH(A114,Jobs!$A$5:$A$604,0)),""))</f>
        <v>0</v>
      </c>
      <c r="I114" s="39">
        <f>IF(A114="","",IFERROR(INDEX(Jobs!$P$5:$P$604,MATCH(A114,Jobs!$A$5:$A$604,0)),""))</f>
        <v>0</v>
      </c>
      <c r="J114" s="21">
        <f>IF(A114="","",IF(OR(I114="Completed",I114="Invoiced"),IFERROR(INDEX(Jobs!$AJ$5:$AJ$604,MATCH(A114,Jobs!$A$5:$A$604,0)),0),0))</f>
        <v>0</v>
      </c>
      <c r="K114" s="34">
        <f>IF(A114="","",IFERROR(INDEX(Jobs!$AD$5:$AD$604,MATCH(A114,Jobs!$A$5:$A$604,0)),0))</f>
        <v>0</v>
      </c>
      <c r="L114" s="34">
        <f>IF(A114="","",IFERROR(INDEX(Jobs!$AK$5:$AK$604,MATCH(A114,Jobs!$A$5:$A$604,0)),0))</f>
        <v>0</v>
      </c>
      <c r="M114" s="34">
        <f>IF(A114="","",IF(IFERROR(L114*1,0)&gt;0,L114,IFERROR(K114*1,0)))</f>
        <v>0</v>
      </c>
      <c r="N114" s="21">
        <f>IF(A114="","",SUMIFS(Timesheets!$X$5:$X$804,Timesheets!$G$5:$G$804,A114))</f>
        <v>0</v>
      </c>
      <c r="O114" s="21">
        <f>IF(A114="","",IF(N114&gt;0,N114,ROUND(M114*CostPerHour,2)))</f>
        <v>0</v>
      </c>
      <c r="P114" s="21">
        <f>IF(A114="","",SUMIFS('Supply Usage'!$L$5:$L$304,'Supply Usage'!$F$5:$F$304,A114))</f>
        <v>0</v>
      </c>
      <c r="Q114" s="21">
        <f>IF(A114="","",IF(P114&gt;0,P114,ROUND(M114*SuppliesPerHour,2)))</f>
        <v>0</v>
      </c>
      <c r="R114" s="21">
        <f>IF(A114="","",ROUND(IFERROR(INDEX(Jobs!$W$5:$W$604,MATCH(A114,Jobs!$A$5:$A$604,0)),0)*MileageRate,2))</f>
        <v>0</v>
      </c>
      <c r="T114" s="21">
        <f>IF(A114="","",O114+Q114+R114+IF(S114="",0,S114))</f>
        <v>0</v>
      </c>
      <c r="U114" s="21">
        <f>IF(A114="","",J114-T114)</f>
        <v>0</v>
      </c>
      <c r="V114" s="38">
        <f>IF(OR(A114="",J114=0),"",U114/J114)</f>
        <v>0</v>
      </c>
      <c r="W114" s="21">
        <f>IF(OR(A114="",M114=0,J114=0),"",U114/M114)</f>
        <v>0</v>
      </c>
      <c r="X114" s="34">
        <f>IF(OR(A114="",L114="",L114=0,K114=""),"",L114-K114)</f>
        <v>0</v>
      </c>
      <c r="Y114" s="31">
        <f>IF(A114="","",COUNTIFS($U$5:$U$604,"&gt;"&amp;U114)+COUNTIFS($U$5:U114,U114))</f>
        <v>0</v>
      </c>
      <c r="Z114" s="31">
        <f>IF(A114="","",COUNTIFS($W$5:$W$604,"&gt;"&amp;W114)+COUNTIFS($W$5:W114,W114))</f>
        <v>0</v>
      </c>
      <c r="AA114" s="39">
        <f>IF(A114="","",IF(J114=0,"",IF(U114&lt;0,"Loss - this job cost you money",IF(V114&lt;MarginFloor,"Below - margin under the floor",IF(V114&lt;TargetMargin,"Check - under target margin",IF(AND(X114&lt;&gt;"",X114&gt;0.5),"Check - ran over the estimate","OK"))))))</f>
        <v>0</v>
      </c>
    </row>
    <row r="115" spans="1:27">
      <c r="A115" s="43">
        <f>IF(IFERROR(INDEX(Jobs!$A$5:$A$604,ROW()-4),"")="","",IFERROR(INDEX(Jobs!$A$5:$A$604,ROW()-4),""))</f>
        <v>0</v>
      </c>
      <c r="B115" s="18">
        <f>IF(A115="","",IFERROR(INDEX(Jobs!$B$5:$B$604,MATCH(A115,Jobs!$A$5:$A$604,0)),""))</f>
        <v>0</v>
      </c>
      <c r="C115" s="23">
        <f>IF(B115="","",TEXT(B115,"yyyy-mm"))</f>
        <v>0</v>
      </c>
      <c r="D115" s="43">
        <f>IF(A115="","",IFERROR(INDEX(Jobs!$G$5:$G$604,MATCH(A115,Jobs!$A$5:$A$604,0)),""))</f>
        <v>0</v>
      </c>
      <c r="E115" s="23">
        <f>IF(A115="","",IFERROR(INDEX(Jobs!$H$5:$H$604,MATCH(A115,Jobs!$A$5:$A$604,0)),""))</f>
        <v>0</v>
      </c>
      <c r="F115" s="23">
        <f>IF(A115="","",IFERROR(INDEX(Jobs!$K$5:$K$604,MATCH(A115,Jobs!$A$5:$A$604,0)),""))</f>
        <v>0</v>
      </c>
      <c r="G115" s="23">
        <f>IF(A115="","",IFERROR(INDEX(Jobs!$M$5:$M$604,MATCH(A115,Jobs!$A$5:$A$604,0)),""))</f>
        <v>0</v>
      </c>
      <c r="H115" s="23">
        <f>IF(A115="","",IFERROR(INDEX(Jobs!$R$5:$R$604,MATCH(A115,Jobs!$A$5:$A$604,0)),""))</f>
        <v>0</v>
      </c>
      <c r="I115" s="39">
        <f>IF(A115="","",IFERROR(INDEX(Jobs!$P$5:$P$604,MATCH(A115,Jobs!$A$5:$A$604,0)),""))</f>
        <v>0</v>
      </c>
      <c r="J115" s="21">
        <f>IF(A115="","",IF(OR(I115="Completed",I115="Invoiced"),IFERROR(INDEX(Jobs!$AJ$5:$AJ$604,MATCH(A115,Jobs!$A$5:$A$604,0)),0),0))</f>
        <v>0</v>
      </c>
      <c r="K115" s="34">
        <f>IF(A115="","",IFERROR(INDEX(Jobs!$AD$5:$AD$604,MATCH(A115,Jobs!$A$5:$A$604,0)),0))</f>
        <v>0</v>
      </c>
      <c r="L115" s="34">
        <f>IF(A115="","",IFERROR(INDEX(Jobs!$AK$5:$AK$604,MATCH(A115,Jobs!$A$5:$A$604,0)),0))</f>
        <v>0</v>
      </c>
      <c r="M115" s="34">
        <f>IF(A115="","",IF(IFERROR(L115*1,0)&gt;0,L115,IFERROR(K115*1,0)))</f>
        <v>0</v>
      </c>
      <c r="N115" s="21">
        <f>IF(A115="","",SUMIFS(Timesheets!$X$5:$X$804,Timesheets!$G$5:$G$804,A115))</f>
        <v>0</v>
      </c>
      <c r="O115" s="21">
        <f>IF(A115="","",IF(N115&gt;0,N115,ROUND(M115*CostPerHour,2)))</f>
        <v>0</v>
      </c>
      <c r="P115" s="21">
        <f>IF(A115="","",SUMIFS('Supply Usage'!$L$5:$L$304,'Supply Usage'!$F$5:$F$304,A115))</f>
        <v>0</v>
      </c>
      <c r="Q115" s="21">
        <f>IF(A115="","",IF(P115&gt;0,P115,ROUND(M115*SuppliesPerHour,2)))</f>
        <v>0</v>
      </c>
      <c r="R115" s="21">
        <f>IF(A115="","",ROUND(IFERROR(INDEX(Jobs!$W$5:$W$604,MATCH(A115,Jobs!$A$5:$A$604,0)),0)*MileageRate,2))</f>
        <v>0</v>
      </c>
      <c r="T115" s="21">
        <f>IF(A115="","",O115+Q115+R115+IF(S115="",0,S115))</f>
        <v>0</v>
      </c>
      <c r="U115" s="21">
        <f>IF(A115="","",J115-T115)</f>
        <v>0</v>
      </c>
      <c r="V115" s="38">
        <f>IF(OR(A115="",J115=0),"",U115/J115)</f>
        <v>0</v>
      </c>
      <c r="W115" s="21">
        <f>IF(OR(A115="",M115=0,J115=0),"",U115/M115)</f>
        <v>0</v>
      </c>
      <c r="X115" s="34">
        <f>IF(OR(A115="",L115="",L115=0,K115=""),"",L115-K115)</f>
        <v>0</v>
      </c>
      <c r="Y115" s="31">
        <f>IF(A115="","",COUNTIFS($U$5:$U$604,"&gt;"&amp;U115)+COUNTIFS($U$5:U115,U115))</f>
        <v>0</v>
      </c>
      <c r="Z115" s="31">
        <f>IF(A115="","",COUNTIFS($W$5:$W$604,"&gt;"&amp;W115)+COUNTIFS($W$5:W115,W115))</f>
        <v>0</v>
      </c>
      <c r="AA115" s="39">
        <f>IF(A115="","",IF(J115=0,"",IF(U115&lt;0,"Loss - this job cost you money",IF(V115&lt;MarginFloor,"Below - margin under the floor",IF(V115&lt;TargetMargin,"Check - under target margin",IF(AND(X115&lt;&gt;"",X115&gt;0.5),"Check - ran over the estimate","OK"))))))</f>
        <v>0</v>
      </c>
    </row>
    <row r="116" spans="1:27">
      <c r="A116" s="43">
        <f>IF(IFERROR(INDEX(Jobs!$A$5:$A$604,ROW()-4),"")="","",IFERROR(INDEX(Jobs!$A$5:$A$604,ROW()-4),""))</f>
        <v>0</v>
      </c>
      <c r="B116" s="18">
        <f>IF(A116="","",IFERROR(INDEX(Jobs!$B$5:$B$604,MATCH(A116,Jobs!$A$5:$A$604,0)),""))</f>
        <v>0</v>
      </c>
      <c r="C116" s="23">
        <f>IF(B116="","",TEXT(B116,"yyyy-mm"))</f>
        <v>0</v>
      </c>
      <c r="D116" s="43">
        <f>IF(A116="","",IFERROR(INDEX(Jobs!$G$5:$G$604,MATCH(A116,Jobs!$A$5:$A$604,0)),""))</f>
        <v>0</v>
      </c>
      <c r="E116" s="23">
        <f>IF(A116="","",IFERROR(INDEX(Jobs!$H$5:$H$604,MATCH(A116,Jobs!$A$5:$A$604,0)),""))</f>
        <v>0</v>
      </c>
      <c r="F116" s="23">
        <f>IF(A116="","",IFERROR(INDEX(Jobs!$K$5:$K$604,MATCH(A116,Jobs!$A$5:$A$604,0)),""))</f>
        <v>0</v>
      </c>
      <c r="G116" s="23">
        <f>IF(A116="","",IFERROR(INDEX(Jobs!$M$5:$M$604,MATCH(A116,Jobs!$A$5:$A$604,0)),""))</f>
        <v>0</v>
      </c>
      <c r="H116" s="23">
        <f>IF(A116="","",IFERROR(INDEX(Jobs!$R$5:$R$604,MATCH(A116,Jobs!$A$5:$A$604,0)),""))</f>
        <v>0</v>
      </c>
      <c r="I116" s="39">
        <f>IF(A116="","",IFERROR(INDEX(Jobs!$P$5:$P$604,MATCH(A116,Jobs!$A$5:$A$604,0)),""))</f>
        <v>0</v>
      </c>
      <c r="J116" s="21">
        <f>IF(A116="","",IF(OR(I116="Completed",I116="Invoiced"),IFERROR(INDEX(Jobs!$AJ$5:$AJ$604,MATCH(A116,Jobs!$A$5:$A$604,0)),0),0))</f>
        <v>0</v>
      </c>
      <c r="K116" s="34">
        <f>IF(A116="","",IFERROR(INDEX(Jobs!$AD$5:$AD$604,MATCH(A116,Jobs!$A$5:$A$604,0)),0))</f>
        <v>0</v>
      </c>
      <c r="L116" s="34">
        <f>IF(A116="","",IFERROR(INDEX(Jobs!$AK$5:$AK$604,MATCH(A116,Jobs!$A$5:$A$604,0)),0))</f>
        <v>0</v>
      </c>
      <c r="M116" s="34">
        <f>IF(A116="","",IF(IFERROR(L116*1,0)&gt;0,L116,IFERROR(K116*1,0)))</f>
        <v>0</v>
      </c>
      <c r="N116" s="21">
        <f>IF(A116="","",SUMIFS(Timesheets!$X$5:$X$804,Timesheets!$G$5:$G$804,A116))</f>
        <v>0</v>
      </c>
      <c r="O116" s="21">
        <f>IF(A116="","",IF(N116&gt;0,N116,ROUND(M116*CostPerHour,2)))</f>
        <v>0</v>
      </c>
      <c r="P116" s="21">
        <f>IF(A116="","",SUMIFS('Supply Usage'!$L$5:$L$304,'Supply Usage'!$F$5:$F$304,A116))</f>
        <v>0</v>
      </c>
      <c r="Q116" s="21">
        <f>IF(A116="","",IF(P116&gt;0,P116,ROUND(M116*SuppliesPerHour,2)))</f>
        <v>0</v>
      </c>
      <c r="R116" s="21">
        <f>IF(A116="","",ROUND(IFERROR(INDEX(Jobs!$W$5:$W$604,MATCH(A116,Jobs!$A$5:$A$604,0)),0)*MileageRate,2))</f>
        <v>0</v>
      </c>
      <c r="T116" s="21">
        <f>IF(A116="","",O116+Q116+R116+IF(S116="",0,S116))</f>
        <v>0</v>
      </c>
      <c r="U116" s="21">
        <f>IF(A116="","",J116-T116)</f>
        <v>0</v>
      </c>
      <c r="V116" s="38">
        <f>IF(OR(A116="",J116=0),"",U116/J116)</f>
        <v>0</v>
      </c>
      <c r="W116" s="21">
        <f>IF(OR(A116="",M116=0,J116=0),"",U116/M116)</f>
        <v>0</v>
      </c>
      <c r="X116" s="34">
        <f>IF(OR(A116="",L116="",L116=0,K116=""),"",L116-K116)</f>
        <v>0</v>
      </c>
      <c r="Y116" s="31">
        <f>IF(A116="","",COUNTIFS($U$5:$U$604,"&gt;"&amp;U116)+COUNTIFS($U$5:U116,U116))</f>
        <v>0</v>
      </c>
      <c r="Z116" s="31">
        <f>IF(A116="","",COUNTIFS($W$5:$W$604,"&gt;"&amp;W116)+COUNTIFS($W$5:W116,W116))</f>
        <v>0</v>
      </c>
      <c r="AA116" s="39">
        <f>IF(A116="","",IF(J116=0,"",IF(U116&lt;0,"Loss - this job cost you money",IF(V116&lt;MarginFloor,"Below - margin under the floor",IF(V116&lt;TargetMargin,"Check - under target margin",IF(AND(X116&lt;&gt;"",X116&gt;0.5),"Check - ran over the estimate","OK"))))))</f>
        <v>0</v>
      </c>
    </row>
    <row r="117" spans="1:27">
      <c r="A117" s="43">
        <f>IF(IFERROR(INDEX(Jobs!$A$5:$A$604,ROW()-4),"")="","",IFERROR(INDEX(Jobs!$A$5:$A$604,ROW()-4),""))</f>
        <v>0</v>
      </c>
      <c r="B117" s="18">
        <f>IF(A117="","",IFERROR(INDEX(Jobs!$B$5:$B$604,MATCH(A117,Jobs!$A$5:$A$604,0)),""))</f>
        <v>0</v>
      </c>
      <c r="C117" s="23">
        <f>IF(B117="","",TEXT(B117,"yyyy-mm"))</f>
        <v>0</v>
      </c>
      <c r="D117" s="43">
        <f>IF(A117="","",IFERROR(INDEX(Jobs!$G$5:$G$604,MATCH(A117,Jobs!$A$5:$A$604,0)),""))</f>
        <v>0</v>
      </c>
      <c r="E117" s="23">
        <f>IF(A117="","",IFERROR(INDEX(Jobs!$H$5:$H$604,MATCH(A117,Jobs!$A$5:$A$604,0)),""))</f>
        <v>0</v>
      </c>
      <c r="F117" s="23">
        <f>IF(A117="","",IFERROR(INDEX(Jobs!$K$5:$K$604,MATCH(A117,Jobs!$A$5:$A$604,0)),""))</f>
        <v>0</v>
      </c>
      <c r="G117" s="23">
        <f>IF(A117="","",IFERROR(INDEX(Jobs!$M$5:$M$604,MATCH(A117,Jobs!$A$5:$A$604,0)),""))</f>
        <v>0</v>
      </c>
      <c r="H117" s="23">
        <f>IF(A117="","",IFERROR(INDEX(Jobs!$R$5:$R$604,MATCH(A117,Jobs!$A$5:$A$604,0)),""))</f>
        <v>0</v>
      </c>
      <c r="I117" s="39">
        <f>IF(A117="","",IFERROR(INDEX(Jobs!$P$5:$P$604,MATCH(A117,Jobs!$A$5:$A$604,0)),""))</f>
        <v>0</v>
      </c>
      <c r="J117" s="21">
        <f>IF(A117="","",IF(OR(I117="Completed",I117="Invoiced"),IFERROR(INDEX(Jobs!$AJ$5:$AJ$604,MATCH(A117,Jobs!$A$5:$A$604,0)),0),0))</f>
        <v>0</v>
      </c>
      <c r="K117" s="34">
        <f>IF(A117="","",IFERROR(INDEX(Jobs!$AD$5:$AD$604,MATCH(A117,Jobs!$A$5:$A$604,0)),0))</f>
        <v>0</v>
      </c>
      <c r="L117" s="34">
        <f>IF(A117="","",IFERROR(INDEX(Jobs!$AK$5:$AK$604,MATCH(A117,Jobs!$A$5:$A$604,0)),0))</f>
        <v>0</v>
      </c>
      <c r="M117" s="34">
        <f>IF(A117="","",IF(IFERROR(L117*1,0)&gt;0,L117,IFERROR(K117*1,0)))</f>
        <v>0</v>
      </c>
      <c r="N117" s="21">
        <f>IF(A117="","",SUMIFS(Timesheets!$X$5:$X$804,Timesheets!$G$5:$G$804,A117))</f>
        <v>0</v>
      </c>
      <c r="O117" s="21">
        <f>IF(A117="","",IF(N117&gt;0,N117,ROUND(M117*CostPerHour,2)))</f>
        <v>0</v>
      </c>
      <c r="P117" s="21">
        <f>IF(A117="","",SUMIFS('Supply Usage'!$L$5:$L$304,'Supply Usage'!$F$5:$F$304,A117))</f>
        <v>0</v>
      </c>
      <c r="Q117" s="21">
        <f>IF(A117="","",IF(P117&gt;0,P117,ROUND(M117*SuppliesPerHour,2)))</f>
        <v>0</v>
      </c>
      <c r="R117" s="21">
        <f>IF(A117="","",ROUND(IFERROR(INDEX(Jobs!$W$5:$W$604,MATCH(A117,Jobs!$A$5:$A$604,0)),0)*MileageRate,2))</f>
        <v>0</v>
      </c>
      <c r="T117" s="21">
        <f>IF(A117="","",O117+Q117+R117+IF(S117="",0,S117))</f>
        <v>0</v>
      </c>
      <c r="U117" s="21">
        <f>IF(A117="","",J117-T117)</f>
        <v>0</v>
      </c>
      <c r="V117" s="38">
        <f>IF(OR(A117="",J117=0),"",U117/J117)</f>
        <v>0</v>
      </c>
      <c r="W117" s="21">
        <f>IF(OR(A117="",M117=0,J117=0),"",U117/M117)</f>
        <v>0</v>
      </c>
      <c r="X117" s="34">
        <f>IF(OR(A117="",L117="",L117=0,K117=""),"",L117-K117)</f>
        <v>0</v>
      </c>
      <c r="Y117" s="31">
        <f>IF(A117="","",COUNTIFS($U$5:$U$604,"&gt;"&amp;U117)+COUNTIFS($U$5:U117,U117))</f>
        <v>0</v>
      </c>
      <c r="Z117" s="31">
        <f>IF(A117="","",COUNTIFS($W$5:$W$604,"&gt;"&amp;W117)+COUNTIFS($W$5:W117,W117))</f>
        <v>0</v>
      </c>
      <c r="AA117" s="39">
        <f>IF(A117="","",IF(J117=0,"",IF(U117&lt;0,"Loss - this job cost you money",IF(V117&lt;MarginFloor,"Below - margin under the floor",IF(V117&lt;TargetMargin,"Check - under target margin",IF(AND(X117&lt;&gt;"",X117&gt;0.5),"Check - ran over the estimate","OK"))))))</f>
        <v>0</v>
      </c>
    </row>
    <row r="118" spans="1:27">
      <c r="A118" s="43">
        <f>IF(IFERROR(INDEX(Jobs!$A$5:$A$604,ROW()-4),"")="","",IFERROR(INDEX(Jobs!$A$5:$A$604,ROW()-4),""))</f>
        <v>0</v>
      </c>
      <c r="B118" s="18">
        <f>IF(A118="","",IFERROR(INDEX(Jobs!$B$5:$B$604,MATCH(A118,Jobs!$A$5:$A$604,0)),""))</f>
        <v>0</v>
      </c>
      <c r="C118" s="23">
        <f>IF(B118="","",TEXT(B118,"yyyy-mm"))</f>
        <v>0</v>
      </c>
      <c r="D118" s="43">
        <f>IF(A118="","",IFERROR(INDEX(Jobs!$G$5:$G$604,MATCH(A118,Jobs!$A$5:$A$604,0)),""))</f>
        <v>0</v>
      </c>
      <c r="E118" s="23">
        <f>IF(A118="","",IFERROR(INDEX(Jobs!$H$5:$H$604,MATCH(A118,Jobs!$A$5:$A$604,0)),""))</f>
        <v>0</v>
      </c>
      <c r="F118" s="23">
        <f>IF(A118="","",IFERROR(INDEX(Jobs!$K$5:$K$604,MATCH(A118,Jobs!$A$5:$A$604,0)),""))</f>
        <v>0</v>
      </c>
      <c r="G118" s="23">
        <f>IF(A118="","",IFERROR(INDEX(Jobs!$M$5:$M$604,MATCH(A118,Jobs!$A$5:$A$604,0)),""))</f>
        <v>0</v>
      </c>
      <c r="H118" s="23">
        <f>IF(A118="","",IFERROR(INDEX(Jobs!$R$5:$R$604,MATCH(A118,Jobs!$A$5:$A$604,0)),""))</f>
        <v>0</v>
      </c>
      <c r="I118" s="39">
        <f>IF(A118="","",IFERROR(INDEX(Jobs!$P$5:$P$604,MATCH(A118,Jobs!$A$5:$A$604,0)),""))</f>
        <v>0</v>
      </c>
      <c r="J118" s="21">
        <f>IF(A118="","",IF(OR(I118="Completed",I118="Invoiced"),IFERROR(INDEX(Jobs!$AJ$5:$AJ$604,MATCH(A118,Jobs!$A$5:$A$604,0)),0),0))</f>
        <v>0</v>
      </c>
      <c r="K118" s="34">
        <f>IF(A118="","",IFERROR(INDEX(Jobs!$AD$5:$AD$604,MATCH(A118,Jobs!$A$5:$A$604,0)),0))</f>
        <v>0</v>
      </c>
      <c r="L118" s="34">
        <f>IF(A118="","",IFERROR(INDEX(Jobs!$AK$5:$AK$604,MATCH(A118,Jobs!$A$5:$A$604,0)),0))</f>
        <v>0</v>
      </c>
      <c r="M118" s="34">
        <f>IF(A118="","",IF(IFERROR(L118*1,0)&gt;0,L118,IFERROR(K118*1,0)))</f>
        <v>0</v>
      </c>
      <c r="N118" s="21">
        <f>IF(A118="","",SUMIFS(Timesheets!$X$5:$X$804,Timesheets!$G$5:$G$804,A118))</f>
        <v>0</v>
      </c>
      <c r="O118" s="21">
        <f>IF(A118="","",IF(N118&gt;0,N118,ROUND(M118*CostPerHour,2)))</f>
        <v>0</v>
      </c>
      <c r="P118" s="21">
        <f>IF(A118="","",SUMIFS('Supply Usage'!$L$5:$L$304,'Supply Usage'!$F$5:$F$304,A118))</f>
        <v>0</v>
      </c>
      <c r="Q118" s="21">
        <f>IF(A118="","",IF(P118&gt;0,P118,ROUND(M118*SuppliesPerHour,2)))</f>
        <v>0</v>
      </c>
      <c r="R118" s="21">
        <f>IF(A118="","",ROUND(IFERROR(INDEX(Jobs!$W$5:$W$604,MATCH(A118,Jobs!$A$5:$A$604,0)),0)*MileageRate,2))</f>
        <v>0</v>
      </c>
      <c r="T118" s="21">
        <f>IF(A118="","",O118+Q118+R118+IF(S118="",0,S118))</f>
        <v>0</v>
      </c>
      <c r="U118" s="21">
        <f>IF(A118="","",J118-T118)</f>
        <v>0</v>
      </c>
      <c r="V118" s="38">
        <f>IF(OR(A118="",J118=0),"",U118/J118)</f>
        <v>0</v>
      </c>
      <c r="W118" s="21">
        <f>IF(OR(A118="",M118=0,J118=0),"",U118/M118)</f>
        <v>0</v>
      </c>
      <c r="X118" s="34">
        <f>IF(OR(A118="",L118="",L118=0,K118=""),"",L118-K118)</f>
        <v>0</v>
      </c>
      <c r="Y118" s="31">
        <f>IF(A118="","",COUNTIFS($U$5:$U$604,"&gt;"&amp;U118)+COUNTIFS($U$5:U118,U118))</f>
        <v>0</v>
      </c>
      <c r="Z118" s="31">
        <f>IF(A118="","",COUNTIFS($W$5:$W$604,"&gt;"&amp;W118)+COUNTIFS($W$5:W118,W118))</f>
        <v>0</v>
      </c>
      <c r="AA118" s="39">
        <f>IF(A118="","",IF(J118=0,"",IF(U118&lt;0,"Loss - this job cost you money",IF(V118&lt;MarginFloor,"Below - margin under the floor",IF(V118&lt;TargetMargin,"Check - under target margin",IF(AND(X118&lt;&gt;"",X118&gt;0.5),"Check - ran over the estimate","OK"))))))</f>
        <v>0</v>
      </c>
    </row>
    <row r="119" spans="1:27">
      <c r="A119" s="43">
        <f>IF(IFERROR(INDEX(Jobs!$A$5:$A$604,ROW()-4),"")="","",IFERROR(INDEX(Jobs!$A$5:$A$604,ROW()-4),""))</f>
        <v>0</v>
      </c>
      <c r="B119" s="18">
        <f>IF(A119="","",IFERROR(INDEX(Jobs!$B$5:$B$604,MATCH(A119,Jobs!$A$5:$A$604,0)),""))</f>
        <v>0</v>
      </c>
      <c r="C119" s="23">
        <f>IF(B119="","",TEXT(B119,"yyyy-mm"))</f>
        <v>0</v>
      </c>
      <c r="D119" s="43">
        <f>IF(A119="","",IFERROR(INDEX(Jobs!$G$5:$G$604,MATCH(A119,Jobs!$A$5:$A$604,0)),""))</f>
        <v>0</v>
      </c>
      <c r="E119" s="23">
        <f>IF(A119="","",IFERROR(INDEX(Jobs!$H$5:$H$604,MATCH(A119,Jobs!$A$5:$A$604,0)),""))</f>
        <v>0</v>
      </c>
      <c r="F119" s="23">
        <f>IF(A119="","",IFERROR(INDEX(Jobs!$K$5:$K$604,MATCH(A119,Jobs!$A$5:$A$604,0)),""))</f>
        <v>0</v>
      </c>
      <c r="G119" s="23">
        <f>IF(A119="","",IFERROR(INDEX(Jobs!$M$5:$M$604,MATCH(A119,Jobs!$A$5:$A$604,0)),""))</f>
        <v>0</v>
      </c>
      <c r="H119" s="23">
        <f>IF(A119="","",IFERROR(INDEX(Jobs!$R$5:$R$604,MATCH(A119,Jobs!$A$5:$A$604,0)),""))</f>
        <v>0</v>
      </c>
      <c r="I119" s="39">
        <f>IF(A119="","",IFERROR(INDEX(Jobs!$P$5:$P$604,MATCH(A119,Jobs!$A$5:$A$604,0)),""))</f>
        <v>0</v>
      </c>
      <c r="J119" s="21">
        <f>IF(A119="","",IF(OR(I119="Completed",I119="Invoiced"),IFERROR(INDEX(Jobs!$AJ$5:$AJ$604,MATCH(A119,Jobs!$A$5:$A$604,0)),0),0))</f>
        <v>0</v>
      </c>
      <c r="K119" s="34">
        <f>IF(A119="","",IFERROR(INDEX(Jobs!$AD$5:$AD$604,MATCH(A119,Jobs!$A$5:$A$604,0)),0))</f>
        <v>0</v>
      </c>
      <c r="L119" s="34">
        <f>IF(A119="","",IFERROR(INDEX(Jobs!$AK$5:$AK$604,MATCH(A119,Jobs!$A$5:$A$604,0)),0))</f>
        <v>0</v>
      </c>
      <c r="M119" s="34">
        <f>IF(A119="","",IF(IFERROR(L119*1,0)&gt;0,L119,IFERROR(K119*1,0)))</f>
        <v>0</v>
      </c>
      <c r="N119" s="21">
        <f>IF(A119="","",SUMIFS(Timesheets!$X$5:$X$804,Timesheets!$G$5:$G$804,A119))</f>
        <v>0</v>
      </c>
      <c r="O119" s="21">
        <f>IF(A119="","",IF(N119&gt;0,N119,ROUND(M119*CostPerHour,2)))</f>
        <v>0</v>
      </c>
      <c r="P119" s="21">
        <f>IF(A119="","",SUMIFS('Supply Usage'!$L$5:$L$304,'Supply Usage'!$F$5:$F$304,A119))</f>
        <v>0</v>
      </c>
      <c r="Q119" s="21">
        <f>IF(A119="","",IF(P119&gt;0,P119,ROUND(M119*SuppliesPerHour,2)))</f>
        <v>0</v>
      </c>
      <c r="R119" s="21">
        <f>IF(A119="","",ROUND(IFERROR(INDEX(Jobs!$W$5:$W$604,MATCH(A119,Jobs!$A$5:$A$604,0)),0)*MileageRate,2))</f>
        <v>0</v>
      </c>
      <c r="T119" s="21">
        <f>IF(A119="","",O119+Q119+R119+IF(S119="",0,S119))</f>
        <v>0</v>
      </c>
      <c r="U119" s="21">
        <f>IF(A119="","",J119-T119)</f>
        <v>0</v>
      </c>
      <c r="V119" s="38">
        <f>IF(OR(A119="",J119=0),"",U119/J119)</f>
        <v>0</v>
      </c>
      <c r="W119" s="21">
        <f>IF(OR(A119="",M119=0,J119=0),"",U119/M119)</f>
        <v>0</v>
      </c>
      <c r="X119" s="34">
        <f>IF(OR(A119="",L119="",L119=0,K119=""),"",L119-K119)</f>
        <v>0</v>
      </c>
      <c r="Y119" s="31">
        <f>IF(A119="","",COUNTIFS($U$5:$U$604,"&gt;"&amp;U119)+COUNTIFS($U$5:U119,U119))</f>
        <v>0</v>
      </c>
      <c r="Z119" s="31">
        <f>IF(A119="","",COUNTIFS($W$5:$W$604,"&gt;"&amp;W119)+COUNTIFS($W$5:W119,W119))</f>
        <v>0</v>
      </c>
      <c r="AA119" s="39">
        <f>IF(A119="","",IF(J119=0,"",IF(U119&lt;0,"Loss - this job cost you money",IF(V119&lt;MarginFloor,"Below - margin under the floor",IF(V119&lt;TargetMargin,"Check - under target margin",IF(AND(X119&lt;&gt;"",X119&gt;0.5),"Check - ran over the estimate","OK"))))))</f>
        <v>0</v>
      </c>
    </row>
    <row r="120" spans="1:27">
      <c r="A120" s="43">
        <f>IF(IFERROR(INDEX(Jobs!$A$5:$A$604,ROW()-4),"")="","",IFERROR(INDEX(Jobs!$A$5:$A$604,ROW()-4),""))</f>
        <v>0</v>
      </c>
      <c r="B120" s="18">
        <f>IF(A120="","",IFERROR(INDEX(Jobs!$B$5:$B$604,MATCH(A120,Jobs!$A$5:$A$604,0)),""))</f>
        <v>0</v>
      </c>
      <c r="C120" s="23">
        <f>IF(B120="","",TEXT(B120,"yyyy-mm"))</f>
        <v>0</v>
      </c>
      <c r="D120" s="43">
        <f>IF(A120="","",IFERROR(INDEX(Jobs!$G$5:$G$604,MATCH(A120,Jobs!$A$5:$A$604,0)),""))</f>
        <v>0</v>
      </c>
      <c r="E120" s="23">
        <f>IF(A120="","",IFERROR(INDEX(Jobs!$H$5:$H$604,MATCH(A120,Jobs!$A$5:$A$604,0)),""))</f>
        <v>0</v>
      </c>
      <c r="F120" s="23">
        <f>IF(A120="","",IFERROR(INDEX(Jobs!$K$5:$K$604,MATCH(A120,Jobs!$A$5:$A$604,0)),""))</f>
        <v>0</v>
      </c>
      <c r="G120" s="23">
        <f>IF(A120="","",IFERROR(INDEX(Jobs!$M$5:$M$604,MATCH(A120,Jobs!$A$5:$A$604,0)),""))</f>
        <v>0</v>
      </c>
      <c r="H120" s="23">
        <f>IF(A120="","",IFERROR(INDEX(Jobs!$R$5:$R$604,MATCH(A120,Jobs!$A$5:$A$604,0)),""))</f>
        <v>0</v>
      </c>
      <c r="I120" s="39">
        <f>IF(A120="","",IFERROR(INDEX(Jobs!$P$5:$P$604,MATCH(A120,Jobs!$A$5:$A$604,0)),""))</f>
        <v>0</v>
      </c>
      <c r="J120" s="21">
        <f>IF(A120="","",IF(OR(I120="Completed",I120="Invoiced"),IFERROR(INDEX(Jobs!$AJ$5:$AJ$604,MATCH(A120,Jobs!$A$5:$A$604,0)),0),0))</f>
        <v>0</v>
      </c>
      <c r="K120" s="34">
        <f>IF(A120="","",IFERROR(INDEX(Jobs!$AD$5:$AD$604,MATCH(A120,Jobs!$A$5:$A$604,0)),0))</f>
        <v>0</v>
      </c>
      <c r="L120" s="34">
        <f>IF(A120="","",IFERROR(INDEX(Jobs!$AK$5:$AK$604,MATCH(A120,Jobs!$A$5:$A$604,0)),0))</f>
        <v>0</v>
      </c>
      <c r="M120" s="34">
        <f>IF(A120="","",IF(IFERROR(L120*1,0)&gt;0,L120,IFERROR(K120*1,0)))</f>
        <v>0</v>
      </c>
      <c r="N120" s="21">
        <f>IF(A120="","",SUMIFS(Timesheets!$X$5:$X$804,Timesheets!$G$5:$G$804,A120))</f>
        <v>0</v>
      </c>
      <c r="O120" s="21">
        <f>IF(A120="","",IF(N120&gt;0,N120,ROUND(M120*CostPerHour,2)))</f>
        <v>0</v>
      </c>
      <c r="P120" s="21">
        <f>IF(A120="","",SUMIFS('Supply Usage'!$L$5:$L$304,'Supply Usage'!$F$5:$F$304,A120))</f>
        <v>0</v>
      </c>
      <c r="Q120" s="21">
        <f>IF(A120="","",IF(P120&gt;0,P120,ROUND(M120*SuppliesPerHour,2)))</f>
        <v>0</v>
      </c>
      <c r="R120" s="21">
        <f>IF(A120="","",ROUND(IFERROR(INDEX(Jobs!$W$5:$W$604,MATCH(A120,Jobs!$A$5:$A$604,0)),0)*MileageRate,2))</f>
        <v>0</v>
      </c>
      <c r="T120" s="21">
        <f>IF(A120="","",O120+Q120+R120+IF(S120="",0,S120))</f>
        <v>0</v>
      </c>
      <c r="U120" s="21">
        <f>IF(A120="","",J120-T120)</f>
        <v>0</v>
      </c>
      <c r="V120" s="38">
        <f>IF(OR(A120="",J120=0),"",U120/J120)</f>
        <v>0</v>
      </c>
      <c r="W120" s="21">
        <f>IF(OR(A120="",M120=0,J120=0),"",U120/M120)</f>
        <v>0</v>
      </c>
      <c r="X120" s="34">
        <f>IF(OR(A120="",L120="",L120=0,K120=""),"",L120-K120)</f>
        <v>0</v>
      </c>
      <c r="Y120" s="31">
        <f>IF(A120="","",COUNTIFS($U$5:$U$604,"&gt;"&amp;U120)+COUNTIFS($U$5:U120,U120))</f>
        <v>0</v>
      </c>
      <c r="Z120" s="31">
        <f>IF(A120="","",COUNTIFS($W$5:$W$604,"&gt;"&amp;W120)+COUNTIFS($W$5:W120,W120))</f>
        <v>0</v>
      </c>
      <c r="AA120" s="39">
        <f>IF(A120="","",IF(J120=0,"",IF(U120&lt;0,"Loss - this job cost you money",IF(V120&lt;MarginFloor,"Below - margin under the floor",IF(V120&lt;TargetMargin,"Check - under target margin",IF(AND(X120&lt;&gt;"",X120&gt;0.5),"Check - ran over the estimate","OK"))))))</f>
        <v>0</v>
      </c>
    </row>
    <row r="121" spans="1:27">
      <c r="A121" s="43">
        <f>IF(IFERROR(INDEX(Jobs!$A$5:$A$604,ROW()-4),"")="","",IFERROR(INDEX(Jobs!$A$5:$A$604,ROW()-4),""))</f>
        <v>0</v>
      </c>
      <c r="B121" s="18">
        <f>IF(A121="","",IFERROR(INDEX(Jobs!$B$5:$B$604,MATCH(A121,Jobs!$A$5:$A$604,0)),""))</f>
        <v>0</v>
      </c>
      <c r="C121" s="23">
        <f>IF(B121="","",TEXT(B121,"yyyy-mm"))</f>
        <v>0</v>
      </c>
      <c r="D121" s="43">
        <f>IF(A121="","",IFERROR(INDEX(Jobs!$G$5:$G$604,MATCH(A121,Jobs!$A$5:$A$604,0)),""))</f>
        <v>0</v>
      </c>
      <c r="E121" s="23">
        <f>IF(A121="","",IFERROR(INDEX(Jobs!$H$5:$H$604,MATCH(A121,Jobs!$A$5:$A$604,0)),""))</f>
        <v>0</v>
      </c>
      <c r="F121" s="23">
        <f>IF(A121="","",IFERROR(INDEX(Jobs!$K$5:$K$604,MATCH(A121,Jobs!$A$5:$A$604,0)),""))</f>
        <v>0</v>
      </c>
      <c r="G121" s="23">
        <f>IF(A121="","",IFERROR(INDEX(Jobs!$M$5:$M$604,MATCH(A121,Jobs!$A$5:$A$604,0)),""))</f>
        <v>0</v>
      </c>
      <c r="H121" s="23">
        <f>IF(A121="","",IFERROR(INDEX(Jobs!$R$5:$R$604,MATCH(A121,Jobs!$A$5:$A$604,0)),""))</f>
        <v>0</v>
      </c>
      <c r="I121" s="39">
        <f>IF(A121="","",IFERROR(INDEX(Jobs!$P$5:$P$604,MATCH(A121,Jobs!$A$5:$A$604,0)),""))</f>
        <v>0</v>
      </c>
      <c r="J121" s="21">
        <f>IF(A121="","",IF(OR(I121="Completed",I121="Invoiced"),IFERROR(INDEX(Jobs!$AJ$5:$AJ$604,MATCH(A121,Jobs!$A$5:$A$604,0)),0),0))</f>
        <v>0</v>
      </c>
      <c r="K121" s="34">
        <f>IF(A121="","",IFERROR(INDEX(Jobs!$AD$5:$AD$604,MATCH(A121,Jobs!$A$5:$A$604,0)),0))</f>
        <v>0</v>
      </c>
      <c r="L121" s="34">
        <f>IF(A121="","",IFERROR(INDEX(Jobs!$AK$5:$AK$604,MATCH(A121,Jobs!$A$5:$A$604,0)),0))</f>
        <v>0</v>
      </c>
      <c r="M121" s="34">
        <f>IF(A121="","",IF(IFERROR(L121*1,0)&gt;0,L121,IFERROR(K121*1,0)))</f>
        <v>0</v>
      </c>
      <c r="N121" s="21">
        <f>IF(A121="","",SUMIFS(Timesheets!$X$5:$X$804,Timesheets!$G$5:$G$804,A121))</f>
        <v>0</v>
      </c>
      <c r="O121" s="21">
        <f>IF(A121="","",IF(N121&gt;0,N121,ROUND(M121*CostPerHour,2)))</f>
        <v>0</v>
      </c>
      <c r="P121" s="21">
        <f>IF(A121="","",SUMIFS('Supply Usage'!$L$5:$L$304,'Supply Usage'!$F$5:$F$304,A121))</f>
        <v>0</v>
      </c>
      <c r="Q121" s="21">
        <f>IF(A121="","",IF(P121&gt;0,P121,ROUND(M121*SuppliesPerHour,2)))</f>
        <v>0</v>
      </c>
      <c r="R121" s="21">
        <f>IF(A121="","",ROUND(IFERROR(INDEX(Jobs!$W$5:$W$604,MATCH(A121,Jobs!$A$5:$A$604,0)),0)*MileageRate,2))</f>
        <v>0</v>
      </c>
      <c r="T121" s="21">
        <f>IF(A121="","",O121+Q121+R121+IF(S121="",0,S121))</f>
        <v>0</v>
      </c>
      <c r="U121" s="21">
        <f>IF(A121="","",J121-T121)</f>
        <v>0</v>
      </c>
      <c r="V121" s="38">
        <f>IF(OR(A121="",J121=0),"",U121/J121)</f>
        <v>0</v>
      </c>
      <c r="W121" s="21">
        <f>IF(OR(A121="",M121=0,J121=0),"",U121/M121)</f>
        <v>0</v>
      </c>
      <c r="X121" s="34">
        <f>IF(OR(A121="",L121="",L121=0,K121=""),"",L121-K121)</f>
        <v>0</v>
      </c>
      <c r="Y121" s="31">
        <f>IF(A121="","",COUNTIFS($U$5:$U$604,"&gt;"&amp;U121)+COUNTIFS($U$5:U121,U121))</f>
        <v>0</v>
      </c>
      <c r="Z121" s="31">
        <f>IF(A121="","",COUNTIFS($W$5:$W$604,"&gt;"&amp;W121)+COUNTIFS($W$5:W121,W121))</f>
        <v>0</v>
      </c>
      <c r="AA121" s="39">
        <f>IF(A121="","",IF(J121=0,"",IF(U121&lt;0,"Loss - this job cost you money",IF(V121&lt;MarginFloor,"Below - margin under the floor",IF(V121&lt;TargetMargin,"Check - under target margin",IF(AND(X121&lt;&gt;"",X121&gt;0.5),"Check - ran over the estimate","OK"))))))</f>
        <v>0</v>
      </c>
    </row>
    <row r="122" spans="1:27">
      <c r="A122" s="43">
        <f>IF(IFERROR(INDEX(Jobs!$A$5:$A$604,ROW()-4),"")="","",IFERROR(INDEX(Jobs!$A$5:$A$604,ROW()-4),""))</f>
        <v>0</v>
      </c>
      <c r="B122" s="18">
        <f>IF(A122="","",IFERROR(INDEX(Jobs!$B$5:$B$604,MATCH(A122,Jobs!$A$5:$A$604,0)),""))</f>
        <v>0</v>
      </c>
      <c r="C122" s="23">
        <f>IF(B122="","",TEXT(B122,"yyyy-mm"))</f>
        <v>0</v>
      </c>
      <c r="D122" s="43">
        <f>IF(A122="","",IFERROR(INDEX(Jobs!$G$5:$G$604,MATCH(A122,Jobs!$A$5:$A$604,0)),""))</f>
        <v>0</v>
      </c>
      <c r="E122" s="23">
        <f>IF(A122="","",IFERROR(INDEX(Jobs!$H$5:$H$604,MATCH(A122,Jobs!$A$5:$A$604,0)),""))</f>
        <v>0</v>
      </c>
      <c r="F122" s="23">
        <f>IF(A122="","",IFERROR(INDEX(Jobs!$K$5:$K$604,MATCH(A122,Jobs!$A$5:$A$604,0)),""))</f>
        <v>0</v>
      </c>
      <c r="G122" s="23">
        <f>IF(A122="","",IFERROR(INDEX(Jobs!$M$5:$M$604,MATCH(A122,Jobs!$A$5:$A$604,0)),""))</f>
        <v>0</v>
      </c>
      <c r="H122" s="23">
        <f>IF(A122="","",IFERROR(INDEX(Jobs!$R$5:$R$604,MATCH(A122,Jobs!$A$5:$A$604,0)),""))</f>
        <v>0</v>
      </c>
      <c r="I122" s="39">
        <f>IF(A122="","",IFERROR(INDEX(Jobs!$P$5:$P$604,MATCH(A122,Jobs!$A$5:$A$604,0)),""))</f>
        <v>0</v>
      </c>
      <c r="J122" s="21">
        <f>IF(A122="","",IF(OR(I122="Completed",I122="Invoiced"),IFERROR(INDEX(Jobs!$AJ$5:$AJ$604,MATCH(A122,Jobs!$A$5:$A$604,0)),0),0))</f>
        <v>0</v>
      </c>
      <c r="K122" s="34">
        <f>IF(A122="","",IFERROR(INDEX(Jobs!$AD$5:$AD$604,MATCH(A122,Jobs!$A$5:$A$604,0)),0))</f>
        <v>0</v>
      </c>
      <c r="L122" s="34">
        <f>IF(A122="","",IFERROR(INDEX(Jobs!$AK$5:$AK$604,MATCH(A122,Jobs!$A$5:$A$604,0)),0))</f>
        <v>0</v>
      </c>
      <c r="M122" s="34">
        <f>IF(A122="","",IF(IFERROR(L122*1,0)&gt;0,L122,IFERROR(K122*1,0)))</f>
        <v>0</v>
      </c>
      <c r="N122" s="21">
        <f>IF(A122="","",SUMIFS(Timesheets!$X$5:$X$804,Timesheets!$G$5:$G$804,A122))</f>
        <v>0</v>
      </c>
      <c r="O122" s="21">
        <f>IF(A122="","",IF(N122&gt;0,N122,ROUND(M122*CostPerHour,2)))</f>
        <v>0</v>
      </c>
      <c r="P122" s="21">
        <f>IF(A122="","",SUMIFS('Supply Usage'!$L$5:$L$304,'Supply Usage'!$F$5:$F$304,A122))</f>
        <v>0</v>
      </c>
      <c r="Q122" s="21">
        <f>IF(A122="","",IF(P122&gt;0,P122,ROUND(M122*SuppliesPerHour,2)))</f>
        <v>0</v>
      </c>
      <c r="R122" s="21">
        <f>IF(A122="","",ROUND(IFERROR(INDEX(Jobs!$W$5:$W$604,MATCH(A122,Jobs!$A$5:$A$604,0)),0)*MileageRate,2))</f>
        <v>0</v>
      </c>
      <c r="T122" s="21">
        <f>IF(A122="","",O122+Q122+R122+IF(S122="",0,S122))</f>
        <v>0</v>
      </c>
      <c r="U122" s="21">
        <f>IF(A122="","",J122-T122)</f>
        <v>0</v>
      </c>
      <c r="V122" s="38">
        <f>IF(OR(A122="",J122=0),"",U122/J122)</f>
        <v>0</v>
      </c>
      <c r="W122" s="21">
        <f>IF(OR(A122="",M122=0,J122=0),"",U122/M122)</f>
        <v>0</v>
      </c>
      <c r="X122" s="34">
        <f>IF(OR(A122="",L122="",L122=0,K122=""),"",L122-K122)</f>
        <v>0</v>
      </c>
      <c r="Y122" s="31">
        <f>IF(A122="","",COUNTIFS($U$5:$U$604,"&gt;"&amp;U122)+COUNTIFS($U$5:U122,U122))</f>
        <v>0</v>
      </c>
      <c r="Z122" s="31">
        <f>IF(A122="","",COUNTIFS($W$5:$W$604,"&gt;"&amp;W122)+COUNTIFS($W$5:W122,W122))</f>
        <v>0</v>
      </c>
      <c r="AA122" s="39">
        <f>IF(A122="","",IF(J122=0,"",IF(U122&lt;0,"Loss - this job cost you money",IF(V122&lt;MarginFloor,"Below - margin under the floor",IF(V122&lt;TargetMargin,"Check - under target margin",IF(AND(X122&lt;&gt;"",X122&gt;0.5),"Check - ran over the estimate","OK"))))))</f>
        <v>0</v>
      </c>
    </row>
    <row r="123" spans="1:27">
      <c r="A123" s="43">
        <f>IF(IFERROR(INDEX(Jobs!$A$5:$A$604,ROW()-4),"")="","",IFERROR(INDEX(Jobs!$A$5:$A$604,ROW()-4),""))</f>
        <v>0</v>
      </c>
      <c r="B123" s="18">
        <f>IF(A123="","",IFERROR(INDEX(Jobs!$B$5:$B$604,MATCH(A123,Jobs!$A$5:$A$604,0)),""))</f>
        <v>0</v>
      </c>
      <c r="C123" s="23">
        <f>IF(B123="","",TEXT(B123,"yyyy-mm"))</f>
        <v>0</v>
      </c>
      <c r="D123" s="43">
        <f>IF(A123="","",IFERROR(INDEX(Jobs!$G$5:$G$604,MATCH(A123,Jobs!$A$5:$A$604,0)),""))</f>
        <v>0</v>
      </c>
      <c r="E123" s="23">
        <f>IF(A123="","",IFERROR(INDEX(Jobs!$H$5:$H$604,MATCH(A123,Jobs!$A$5:$A$604,0)),""))</f>
        <v>0</v>
      </c>
      <c r="F123" s="23">
        <f>IF(A123="","",IFERROR(INDEX(Jobs!$K$5:$K$604,MATCH(A123,Jobs!$A$5:$A$604,0)),""))</f>
        <v>0</v>
      </c>
      <c r="G123" s="23">
        <f>IF(A123="","",IFERROR(INDEX(Jobs!$M$5:$M$604,MATCH(A123,Jobs!$A$5:$A$604,0)),""))</f>
        <v>0</v>
      </c>
      <c r="H123" s="23">
        <f>IF(A123="","",IFERROR(INDEX(Jobs!$R$5:$R$604,MATCH(A123,Jobs!$A$5:$A$604,0)),""))</f>
        <v>0</v>
      </c>
      <c r="I123" s="39">
        <f>IF(A123="","",IFERROR(INDEX(Jobs!$P$5:$P$604,MATCH(A123,Jobs!$A$5:$A$604,0)),""))</f>
        <v>0</v>
      </c>
      <c r="J123" s="21">
        <f>IF(A123="","",IF(OR(I123="Completed",I123="Invoiced"),IFERROR(INDEX(Jobs!$AJ$5:$AJ$604,MATCH(A123,Jobs!$A$5:$A$604,0)),0),0))</f>
        <v>0</v>
      </c>
      <c r="K123" s="34">
        <f>IF(A123="","",IFERROR(INDEX(Jobs!$AD$5:$AD$604,MATCH(A123,Jobs!$A$5:$A$604,0)),0))</f>
        <v>0</v>
      </c>
      <c r="L123" s="34">
        <f>IF(A123="","",IFERROR(INDEX(Jobs!$AK$5:$AK$604,MATCH(A123,Jobs!$A$5:$A$604,0)),0))</f>
        <v>0</v>
      </c>
      <c r="M123" s="34">
        <f>IF(A123="","",IF(IFERROR(L123*1,0)&gt;0,L123,IFERROR(K123*1,0)))</f>
        <v>0</v>
      </c>
      <c r="N123" s="21">
        <f>IF(A123="","",SUMIFS(Timesheets!$X$5:$X$804,Timesheets!$G$5:$G$804,A123))</f>
        <v>0</v>
      </c>
      <c r="O123" s="21">
        <f>IF(A123="","",IF(N123&gt;0,N123,ROUND(M123*CostPerHour,2)))</f>
        <v>0</v>
      </c>
      <c r="P123" s="21">
        <f>IF(A123="","",SUMIFS('Supply Usage'!$L$5:$L$304,'Supply Usage'!$F$5:$F$304,A123))</f>
        <v>0</v>
      </c>
      <c r="Q123" s="21">
        <f>IF(A123="","",IF(P123&gt;0,P123,ROUND(M123*SuppliesPerHour,2)))</f>
        <v>0</v>
      </c>
      <c r="R123" s="21">
        <f>IF(A123="","",ROUND(IFERROR(INDEX(Jobs!$W$5:$W$604,MATCH(A123,Jobs!$A$5:$A$604,0)),0)*MileageRate,2))</f>
        <v>0</v>
      </c>
      <c r="T123" s="21">
        <f>IF(A123="","",O123+Q123+R123+IF(S123="",0,S123))</f>
        <v>0</v>
      </c>
      <c r="U123" s="21">
        <f>IF(A123="","",J123-T123)</f>
        <v>0</v>
      </c>
      <c r="V123" s="38">
        <f>IF(OR(A123="",J123=0),"",U123/J123)</f>
        <v>0</v>
      </c>
      <c r="W123" s="21">
        <f>IF(OR(A123="",M123=0,J123=0),"",U123/M123)</f>
        <v>0</v>
      </c>
      <c r="X123" s="34">
        <f>IF(OR(A123="",L123="",L123=0,K123=""),"",L123-K123)</f>
        <v>0</v>
      </c>
      <c r="Y123" s="31">
        <f>IF(A123="","",COUNTIFS($U$5:$U$604,"&gt;"&amp;U123)+COUNTIFS($U$5:U123,U123))</f>
        <v>0</v>
      </c>
      <c r="Z123" s="31">
        <f>IF(A123="","",COUNTIFS($W$5:$W$604,"&gt;"&amp;W123)+COUNTIFS($W$5:W123,W123))</f>
        <v>0</v>
      </c>
      <c r="AA123" s="39">
        <f>IF(A123="","",IF(J123=0,"",IF(U123&lt;0,"Loss - this job cost you money",IF(V123&lt;MarginFloor,"Below - margin under the floor",IF(V123&lt;TargetMargin,"Check - under target margin",IF(AND(X123&lt;&gt;"",X123&gt;0.5),"Check - ran over the estimate","OK"))))))</f>
        <v>0</v>
      </c>
    </row>
    <row r="124" spans="1:27">
      <c r="A124" s="43">
        <f>IF(IFERROR(INDEX(Jobs!$A$5:$A$604,ROW()-4),"")="","",IFERROR(INDEX(Jobs!$A$5:$A$604,ROW()-4),""))</f>
        <v>0</v>
      </c>
      <c r="B124" s="18">
        <f>IF(A124="","",IFERROR(INDEX(Jobs!$B$5:$B$604,MATCH(A124,Jobs!$A$5:$A$604,0)),""))</f>
        <v>0</v>
      </c>
      <c r="C124" s="23">
        <f>IF(B124="","",TEXT(B124,"yyyy-mm"))</f>
        <v>0</v>
      </c>
      <c r="D124" s="43">
        <f>IF(A124="","",IFERROR(INDEX(Jobs!$G$5:$G$604,MATCH(A124,Jobs!$A$5:$A$604,0)),""))</f>
        <v>0</v>
      </c>
      <c r="E124" s="23">
        <f>IF(A124="","",IFERROR(INDEX(Jobs!$H$5:$H$604,MATCH(A124,Jobs!$A$5:$A$604,0)),""))</f>
        <v>0</v>
      </c>
      <c r="F124" s="23">
        <f>IF(A124="","",IFERROR(INDEX(Jobs!$K$5:$K$604,MATCH(A124,Jobs!$A$5:$A$604,0)),""))</f>
        <v>0</v>
      </c>
      <c r="G124" s="23">
        <f>IF(A124="","",IFERROR(INDEX(Jobs!$M$5:$M$604,MATCH(A124,Jobs!$A$5:$A$604,0)),""))</f>
        <v>0</v>
      </c>
      <c r="H124" s="23">
        <f>IF(A124="","",IFERROR(INDEX(Jobs!$R$5:$R$604,MATCH(A124,Jobs!$A$5:$A$604,0)),""))</f>
        <v>0</v>
      </c>
      <c r="I124" s="39">
        <f>IF(A124="","",IFERROR(INDEX(Jobs!$P$5:$P$604,MATCH(A124,Jobs!$A$5:$A$604,0)),""))</f>
        <v>0</v>
      </c>
      <c r="J124" s="21">
        <f>IF(A124="","",IF(OR(I124="Completed",I124="Invoiced"),IFERROR(INDEX(Jobs!$AJ$5:$AJ$604,MATCH(A124,Jobs!$A$5:$A$604,0)),0),0))</f>
        <v>0</v>
      </c>
      <c r="K124" s="34">
        <f>IF(A124="","",IFERROR(INDEX(Jobs!$AD$5:$AD$604,MATCH(A124,Jobs!$A$5:$A$604,0)),0))</f>
        <v>0</v>
      </c>
      <c r="L124" s="34">
        <f>IF(A124="","",IFERROR(INDEX(Jobs!$AK$5:$AK$604,MATCH(A124,Jobs!$A$5:$A$604,0)),0))</f>
        <v>0</v>
      </c>
      <c r="M124" s="34">
        <f>IF(A124="","",IF(IFERROR(L124*1,0)&gt;0,L124,IFERROR(K124*1,0)))</f>
        <v>0</v>
      </c>
      <c r="N124" s="21">
        <f>IF(A124="","",SUMIFS(Timesheets!$X$5:$X$804,Timesheets!$G$5:$G$804,A124))</f>
        <v>0</v>
      </c>
      <c r="O124" s="21">
        <f>IF(A124="","",IF(N124&gt;0,N124,ROUND(M124*CostPerHour,2)))</f>
        <v>0</v>
      </c>
      <c r="P124" s="21">
        <f>IF(A124="","",SUMIFS('Supply Usage'!$L$5:$L$304,'Supply Usage'!$F$5:$F$304,A124))</f>
        <v>0</v>
      </c>
      <c r="Q124" s="21">
        <f>IF(A124="","",IF(P124&gt;0,P124,ROUND(M124*SuppliesPerHour,2)))</f>
        <v>0</v>
      </c>
      <c r="R124" s="21">
        <f>IF(A124="","",ROUND(IFERROR(INDEX(Jobs!$W$5:$W$604,MATCH(A124,Jobs!$A$5:$A$604,0)),0)*MileageRate,2))</f>
        <v>0</v>
      </c>
      <c r="T124" s="21">
        <f>IF(A124="","",O124+Q124+R124+IF(S124="",0,S124))</f>
        <v>0</v>
      </c>
      <c r="U124" s="21">
        <f>IF(A124="","",J124-T124)</f>
        <v>0</v>
      </c>
      <c r="V124" s="38">
        <f>IF(OR(A124="",J124=0),"",U124/J124)</f>
        <v>0</v>
      </c>
      <c r="W124" s="21">
        <f>IF(OR(A124="",M124=0,J124=0),"",U124/M124)</f>
        <v>0</v>
      </c>
      <c r="X124" s="34">
        <f>IF(OR(A124="",L124="",L124=0,K124=""),"",L124-K124)</f>
        <v>0</v>
      </c>
      <c r="Y124" s="31">
        <f>IF(A124="","",COUNTIFS($U$5:$U$604,"&gt;"&amp;U124)+COUNTIFS($U$5:U124,U124))</f>
        <v>0</v>
      </c>
      <c r="Z124" s="31">
        <f>IF(A124="","",COUNTIFS($W$5:$W$604,"&gt;"&amp;W124)+COUNTIFS($W$5:W124,W124))</f>
        <v>0</v>
      </c>
      <c r="AA124" s="39">
        <f>IF(A124="","",IF(J124=0,"",IF(U124&lt;0,"Loss - this job cost you money",IF(V124&lt;MarginFloor,"Below - margin under the floor",IF(V124&lt;TargetMargin,"Check - under target margin",IF(AND(X124&lt;&gt;"",X124&gt;0.5),"Check - ran over the estimate","OK"))))))</f>
        <v>0</v>
      </c>
    </row>
    <row r="125" spans="1:27">
      <c r="A125" s="43">
        <f>IF(IFERROR(INDEX(Jobs!$A$5:$A$604,ROW()-4),"")="","",IFERROR(INDEX(Jobs!$A$5:$A$604,ROW()-4),""))</f>
        <v>0</v>
      </c>
      <c r="B125" s="18">
        <f>IF(A125="","",IFERROR(INDEX(Jobs!$B$5:$B$604,MATCH(A125,Jobs!$A$5:$A$604,0)),""))</f>
        <v>0</v>
      </c>
      <c r="C125" s="23">
        <f>IF(B125="","",TEXT(B125,"yyyy-mm"))</f>
        <v>0</v>
      </c>
      <c r="D125" s="43">
        <f>IF(A125="","",IFERROR(INDEX(Jobs!$G$5:$G$604,MATCH(A125,Jobs!$A$5:$A$604,0)),""))</f>
        <v>0</v>
      </c>
      <c r="E125" s="23">
        <f>IF(A125="","",IFERROR(INDEX(Jobs!$H$5:$H$604,MATCH(A125,Jobs!$A$5:$A$604,0)),""))</f>
        <v>0</v>
      </c>
      <c r="F125" s="23">
        <f>IF(A125="","",IFERROR(INDEX(Jobs!$K$5:$K$604,MATCH(A125,Jobs!$A$5:$A$604,0)),""))</f>
        <v>0</v>
      </c>
      <c r="G125" s="23">
        <f>IF(A125="","",IFERROR(INDEX(Jobs!$M$5:$M$604,MATCH(A125,Jobs!$A$5:$A$604,0)),""))</f>
        <v>0</v>
      </c>
      <c r="H125" s="23">
        <f>IF(A125="","",IFERROR(INDEX(Jobs!$R$5:$R$604,MATCH(A125,Jobs!$A$5:$A$604,0)),""))</f>
        <v>0</v>
      </c>
      <c r="I125" s="39">
        <f>IF(A125="","",IFERROR(INDEX(Jobs!$P$5:$P$604,MATCH(A125,Jobs!$A$5:$A$604,0)),""))</f>
        <v>0</v>
      </c>
      <c r="J125" s="21">
        <f>IF(A125="","",IF(OR(I125="Completed",I125="Invoiced"),IFERROR(INDEX(Jobs!$AJ$5:$AJ$604,MATCH(A125,Jobs!$A$5:$A$604,0)),0),0))</f>
        <v>0</v>
      </c>
      <c r="K125" s="34">
        <f>IF(A125="","",IFERROR(INDEX(Jobs!$AD$5:$AD$604,MATCH(A125,Jobs!$A$5:$A$604,0)),0))</f>
        <v>0</v>
      </c>
      <c r="L125" s="34">
        <f>IF(A125="","",IFERROR(INDEX(Jobs!$AK$5:$AK$604,MATCH(A125,Jobs!$A$5:$A$604,0)),0))</f>
        <v>0</v>
      </c>
      <c r="M125" s="34">
        <f>IF(A125="","",IF(IFERROR(L125*1,0)&gt;0,L125,IFERROR(K125*1,0)))</f>
        <v>0</v>
      </c>
      <c r="N125" s="21">
        <f>IF(A125="","",SUMIFS(Timesheets!$X$5:$X$804,Timesheets!$G$5:$G$804,A125))</f>
        <v>0</v>
      </c>
      <c r="O125" s="21">
        <f>IF(A125="","",IF(N125&gt;0,N125,ROUND(M125*CostPerHour,2)))</f>
        <v>0</v>
      </c>
      <c r="P125" s="21">
        <f>IF(A125="","",SUMIFS('Supply Usage'!$L$5:$L$304,'Supply Usage'!$F$5:$F$304,A125))</f>
        <v>0</v>
      </c>
      <c r="Q125" s="21">
        <f>IF(A125="","",IF(P125&gt;0,P125,ROUND(M125*SuppliesPerHour,2)))</f>
        <v>0</v>
      </c>
      <c r="R125" s="21">
        <f>IF(A125="","",ROUND(IFERROR(INDEX(Jobs!$W$5:$W$604,MATCH(A125,Jobs!$A$5:$A$604,0)),0)*MileageRate,2))</f>
        <v>0</v>
      </c>
      <c r="T125" s="21">
        <f>IF(A125="","",O125+Q125+R125+IF(S125="",0,S125))</f>
        <v>0</v>
      </c>
      <c r="U125" s="21">
        <f>IF(A125="","",J125-T125)</f>
        <v>0</v>
      </c>
      <c r="V125" s="38">
        <f>IF(OR(A125="",J125=0),"",U125/J125)</f>
        <v>0</v>
      </c>
      <c r="W125" s="21">
        <f>IF(OR(A125="",M125=0,J125=0),"",U125/M125)</f>
        <v>0</v>
      </c>
      <c r="X125" s="34">
        <f>IF(OR(A125="",L125="",L125=0,K125=""),"",L125-K125)</f>
        <v>0</v>
      </c>
      <c r="Y125" s="31">
        <f>IF(A125="","",COUNTIFS($U$5:$U$604,"&gt;"&amp;U125)+COUNTIFS($U$5:U125,U125))</f>
        <v>0</v>
      </c>
      <c r="Z125" s="31">
        <f>IF(A125="","",COUNTIFS($W$5:$W$604,"&gt;"&amp;W125)+COUNTIFS($W$5:W125,W125))</f>
        <v>0</v>
      </c>
      <c r="AA125" s="39">
        <f>IF(A125="","",IF(J125=0,"",IF(U125&lt;0,"Loss - this job cost you money",IF(V125&lt;MarginFloor,"Below - margin under the floor",IF(V125&lt;TargetMargin,"Check - under target margin",IF(AND(X125&lt;&gt;"",X125&gt;0.5),"Check - ran over the estimate","OK"))))))</f>
        <v>0</v>
      </c>
    </row>
    <row r="126" spans="1:27">
      <c r="A126" s="43">
        <f>IF(IFERROR(INDEX(Jobs!$A$5:$A$604,ROW()-4),"")="","",IFERROR(INDEX(Jobs!$A$5:$A$604,ROW()-4),""))</f>
        <v>0</v>
      </c>
      <c r="B126" s="18">
        <f>IF(A126="","",IFERROR(INDEX(Jobs!$B$5:$B$604,MATCH(A126,Jobs!$A$5:$A$604,0)),""))</f>
        <v>0</v>
      </c>
      <c r="C126" s="23">
        <f>IF(B126="","",TEXT(B126,"yyyy-mm"))</f>
        <v>0</v>
      </c>
      <c r="D126" s="43">
        <f>IF(A126="","",IFERROR(INDEX(Jobs!$G$5:$G$604,MATCH(A126,Jobs!$A$5:$A$604,0)),""))</f>
        <v>0</v>
      </c>
      <c r="E126" s="23">
        <f>IF(A126="","",IFERROR(INDEX(Jobs!$H$5:$H$604,MATCH(A126,Jobs!$A$5:$A$604,0)),""))</f>
        <v>0</v>
      </c>
      <c r="F126" s="23">
        <f>IF(A126="","",IFERROR(INDEX(Jobs!$K$5:$K$604,MATCH(A126,Jobs!$A$5:$A$604,0)),""))</f>
        <v>0</v>
      </c>
      <c r="G126" s="23">
        <f>IF(A126="","",IFERROR(INDEX(Jobs!$M$5:$M$604,MATCH(A126,Jobs!$A$5:$A$604,0)),""))</f>
        <v>0</v>
      </c>
      <c r="H126" s="23">
        <f>IF(A126="","",IFERROR(INDEX(Jobs!$R$5:$R$604,MATCH(A126,Jobs!$A$5:$A$604,0)),""))</f>
        <v>0</v>
      </c>
      <c r="I126" s="39">
        <f>IF(A126="","",IFERROR(INDEX(Jobs!$P$5:$P$604,MATCH(A126,Jobs!$A$5:$A$604,0)),""))</f>
        <v>0</v>
      </c>
      <c r="J126" s="21">
        <f>IF(A126="","",IF(OR(I126="Completed",I126="Invoiced"),IFERROR(INDEX(Jobs!$AJ$5:$AJ$604,MATCH(A126,Jobs!$A$5:$A$604,0)),0),0))</f>
        <v>0</v>
      </c>
      <c r="K126" s="34">
        <f>IF(A126="","",IFERROR(INDEX(Jobs!$AD$5:$AD$604,MATCH(A126,Jobs!$A$5:$A$604,0)),0))</f>
        <v>0</v>
      </c>
      <c r="L126" s="34">
        <f>IF(A126="","",IFERROR(INDEX(Jobs!$AK$5:$AK$604,MATCH(A126,Jobs!$A$5:$A$604,0)),0))</f>
        <v>0</v>
      </c>
      <c r="M126" s="34">
        <f>IF(A126="","",IF(IFERROR(L126*1,0)&gt;0,L126,IFERROR(K126*1,0)))</f>
        <v>0</v>
      </c>
      <c r="N126" s="21">
        <f>IF(A126="","",SUMIFS(Timesheets!$X$5:$X$804,Timesheets!$G$5:$G$804,A126))</f>
        <v>0</v>
      </c>
      <c r="O126" s="21">
        <f>IF(A126="","",IF(N126&gt;0,N126,ROUND(M126*CostPerHour,2)))</f>
        <v>0</v>
      </c>
      <c r="P126" s="21">
        <f>IF(A126="","",SUMIFS('Supply Usage'!$L$5:$L$304,'Supply Usage'!$F$5:$F$304,A126))</f>
        <v>0</v>
      </c>
      <c r="Q126" s="21">
        <f>IF(A126="","",IF(P126&gt;0,P126,ROUND(M126*SuppliesPerHour,2)))</f>
        <v>0</v>
      </c>
      <c r="R126" s="21">
        <f>IF(A126="","",ROUND(IFERROR(INDEX(Jobs!$W$5:$W$604,MATCH(A126,Jobs!$A$5:$A$604,0)),0)*MileageRate,2))</f>
        <v>0</v>
      </c>
      <c r="T126" s="21">
        <f>IF(A126="","",O126+Q126+R126+IF(S126="",0,S126))</f>
        <v>0</v>
      </c>
      <c r="U126" s="21">
        <f>IF(A126="","",J126-T126)</f>
        <v>0</v>
      </c>
      <c r="V126" s="38">
        <f>IF(OR(A126="",J126=0),"",U126/J126)</f>
        <v>0</v>
      </c>
      <c r="W126" s="21">
        <f>IF(OR(A126="",M126=0,J126=0),"",U126/M126)</f>
        <v>0</v>
      </c>
      <c r="X126" s="34">
        <f>IF(OR(A126="",L126="",L126=0,K126=""),"",L126-K126)</f>
        <v>0</v>
      </c>
      <c r="Y126" s="31">
        <f>IF(A126="","",COUNTIFS($U$5:$U$604,"&gt;"&amp;U126)+COUNTIFS($U$5:U126,U126))</f>
        <v>0</v>
      </c>
      <c r="Z126" s="31">
        <f>IF(A126="","",COUNTIFS($W$5:$W$604,"&gt;"&amp;W126)+COUNTIFS($W$5:W126,W126))</f>
        <v>0</v>
      </c>
      <c r="AA126" s="39">
        <f>IF(A126="","",IF(J126=0,"",IF(U126&lt;0,"Loss - this job cost you money",IF(V126&lt;MarginFloor,"Below - margin under the floor",IF(V126&lt;TargetMargin,"Check - under target margin",IF(AND(X126&lt;&gt;"",X126&gt;0.5),"Check - ran over the estimate","OK"))))))</f>
        <v>0</v>
      </c>
    </row>
    <row r="127" spans="1:27">
      <c r="A127" s="43">
        <f>IF(IFERROR(INDEX(Jobs!$A$5:$A$604,ROW()-4),"")="","",IFERROR(INDEX(Jobs!$A$5:$A$604,ROW()-4),""))</f>
        <v>0</v>
      </c>
      <c r="B127" s="18">
        <f>IF(A127="","",IFERROR(INDEX(Jobs!$B$5:$B$604,MATCH(A127,Jobs!$A$5:$A$604,0)),""))</f>
        <v>0</v>
      </c>
      <c r="C127" s="23">
        <f>IF(B127="","",TEXT(B127,"yyyy-mm"))</f>
        <v>0</v>
      </c>
      <c r="D127" s="43">
        <f>IF(A127="","",IFERROR(INDEX(Jobs!$G$5:$G$604,MATCH(A127,Jobs!$A$5:$A$604,0)),""))</f>
        <v>0</v>
      </c>
      <c r="E127" s="23">
        <f>IF(A127="","",IFERROR(INDEX(Jobs!$H$5:$H$604,MATCH(A127,Jobs!$A$5:$A$604,0)),""))</f>
        <v>0</v>
      </c>
      <c r="F127" s="23">
        <f>IF(A127="","",IFERROR(INDEX(Jobs!$K$5:$K$604,MATCH(A127,Jobs!$A$5:$A$604,0)),""))</f>
        <v>0</v>
      </c>
      <c r="G127" s="23">
        <f>IF(A127="","",IFERROR(INDEX(Jobs!$M$5:$M$604,MATCH(A127,Jobs!$A$5:$A$604,0)),""))</f>
        <v>0</v>
      </c>
      <c r="H127" s="23">
        <f>IF(A127="","",IFERROR(INDEX(Jobs!$R$5:$R$604,MATCH(A127,Jobs!$A$5:$A$604,0)),""))</f>
        <v>0</v>
      </c>
      <c r="I127" s="39">
        <f>IF(A127="","",IFERROR(INDEX(Jobs!$P$5:$P$604,MATCH(A127,Jobs!$A$5:$A$604,0)),""))</f>
        <v>0</v>
      </c>
      <c r="J127" s="21">
        <f>IF(A127="","",IF(OR(I127="Completed",I127="Invoiced"),IFERROR(INDEX(Jobs!$AJ$5:$AJ$604,MATCH(A127,Jobs!$A$5:$A$604,0)),0),0))</f>
        <v>0</v>
      </c>
      <c r="K127" s="34">
        <f>IF(A127="","",IFERROR(INDEX(Jobs!$AD$5:$AD$604,MATCH(A127,Jobs!$A$5:$A$604,0)),0))</f>
        <v>0</v>
      </c>
      <c r="L127" s="34">
        <f>IF(A127="","",IFERROR(INDEX(Jobs!$AK$5:$AK$604,MATCH(A127,Jobs!$A$5:$A$604,0)),0))</f>
        <v>0</v>
      </c>
      <c r="M127" s="34">
        <f>IF(A127="","",IF(IFERROR(L127*1,0)&gt;0,L127,IFERROR(K127*1,0)))</f>
        <v>0</v>
      </c>
      <c r="N127" s="21">
        <f>IF(A127="","",SUMIFS(Timesheets!$X$5:$X$804,Timesheets!$G$5:$G$804,A127))</f>
        <v>0</v>
      </c>
      <c r="O127" s="21">
        <f>IF(A127="","",IF(N127&gt;0,N127,ROUND(M127*CostPerHour,2)))</f>
        <v>0</v>
      </c>
      <c r="P127" s="21">
        <f>IF(A127="","",SUMIFS('Supply Usage'!$L$5:$L$304,'Supply Usage'!$F$5:$F$304,A127))</f>
        <v>0</v>
      </c>
      <c r="Q127" s="21">
        <f>IF(A127="","",IF(P127&gt;0,P127,ROUND(M127*SuppliesPerHour,2)))</f>
        <v>0</v>
      </c>
      <c r="R127" s="21">
        <f>IF(A127="","",ROUND(IFERROR(INDEX(Jobs!$W$5:$W$604,MATCH(A127,Jobs!$A$5:$A$604,0)),0)*MileageRate,2))</f>
        <v>0</v>
      </c>
      <c r="T127" s="21">
        <f>IF(A127="","",O127+Q127+R127+IF(S127="",0,S127))</f>
        <v>0</v>
      </c>
      <c r="U127" s="21">
        <f>IF(A127="","",J127-T127)</f>
        <v>0</v>
      </c>
      <c r="V127" s="38">
        <f>IF(OR(A127="",J127=0),"",U127/J127)</f>
        <v>0</v>
      </c>
      <c r="W127" s="21">
        <f>IF(OR(A127="",M127=0,J127=0),"",U127/M127)</f>
        <v>0</v>
      </c>
      <c r="X127" s="34">
        <f>IF(OR(A127="",L127="",L127=0,K127=""),"",L127-K127)</f>
        <v>0</v>
      </c>
      <c r="Y127" s="31">
        <f>IF(A127="","",COUNTIFS($U$5:$U$604,"&gt;"&amp;U127)+COUNTIFS($U$5:U127,U127))</f>
        <v>0</v>
      </c>
      <c r="Z127" s="31">
        <f>IF(A127="","",COUNTIFS($W$5:$W$604,"&gt;"&amp;W127)+COUNTIFS($W$5:W127,W127))</f>
        <v>0</v>
      </c>
      <c r="AA127" s="39">
        <f>IF(A127="","",IF(J127=0,"",IF(U127&lt;0,"Loss - this job cost you money",IF(V127&lt;MarginFloor,"Below - margin under the floor",IF(V127&lt;TargetMargin,"Check - under target margin",IF(AND(X127&lt;&gt;"",X127&gt;0.5),"Check - ran over the estimate","OK"))))))</f>
        <v>0</v>
      </c>
    </row>
    <row r="128" spans="1:27">
      <c r="A128" s="43">
        <f>IF(IFERROR(INDEX(Jobs!$A$5:$A$604,ROW()-4),"")="","",IFERROR(INDEX(Jobs!$A$5:$A$604,ROW()-4),""))</f>
        <v>0</v>
      </c>
      <c r="B128" s="18">
        <f>IF(A128="","",IFERROR(INDEX(Jobs!$B$5:$B$604,MATCH(A128,Jobs!$A$5:$A$604,0)),""))</f>
        <v>0</v>
      </c>
      <c r="C128" s="23">
        <f>IF(B128="","",TEXT(B128,"yyyy-mm"))</f>
        <v>0</v>
      </c>
      <c r="D128" s="43">
        <f>IF(A128="","",IFERROR(INDEX(Jobs!$G$5:$G$604,MATCH(A128,Jobs!$A$5:$A$604,0)),""))</f>
        <v>0</v>
      </c>
      <c r="E128" s="23">
        <f>IF(A128="","",IFERROR(INDEX(Jobs!$H$5:$H$604,MATCH(A128,Jobs!$A$5:$A$604,0)),""))</f>
        <v>0</v>
      </c>
      <c r="F128" s="23">
        <f>IF(A128="","",IFERROR(INDEX(Jobs!$K$5:$K$604,MATCH(A128,Jobs!$A$5:$A$604,0)),""))</f>
        <v>0</v>
      </c>
      <c r="G128" s="23">
        <f>IF(A128="","",IFERROR(INDEX(Jobs!$M$5:$M$604,MATCH(A128,Jobs!$A$5:$A$604,0)),""))</f>
        <v>0</v>
      </c>
      <c r="H128" s="23">
        <f>IF(A128="","",IFERROR(INDEX(Jobs!$R$5:$R$604,MATCH(A128,Jobs!$A$5:$A$604,0)),""))</f>
        <v>0</v>
      </c>
      <c r="I128" s="39">
        <f>IF(A128="","",IFERROR(INDEX(Jobs!$P$5:$P$604,MATCH(A128,Jobs!$A$5:$A$604,0)),""))</f>
        <v>0</v>
      </c>
      <c r="J128" s="21">
        <f>IF(A128="","",IF(OR(I128="Completed",I128="Invoiced"),IFERROR(INDEX(Jobs!$AJ$5:$AJ$604,MATCH(A128,Jobs!$A$5:$A$604,0)),0),0))</f>
        <v>0</v>
      </c>
      <c r="K128" s="34">
        <f>IF(A128="","",IFERROR(INDEX(Jobs!$AD$5:$AD$604,MATCH(A128,Jobs!$A$5:$A$604,0)),0))</f>
        <v>0</v>
      </c>
      <c r="L128" s="34">
        <f>IF(A128="","",IFERROR(INDEX(Jobs!$AK$5:$AK$604,MATCH(A128,Jobs!$A$5:$A$604,0)),0))</f>
        <v>0</v>
      </c>
      <c r="M128" s="34">
        <f>IF(A128="","",IF(IFERROR(L128*1,0)&gt;0,L128,IFERROR(K128*1,0)))</f>
        <v>0</v>
      </c>
      <c r="N128" s="21">
        <f>IF(A128="","",SUMIFS(Timesheets!$X$5:$X$804,Timesheets!$G$5:$G$804,A128))</f>
        <v>0</v>
      </c>
      <c r="O128" s="21">
        <f>IF(A128="","",IF(N128&gt;0,N128,ROUND(M128*CostPerHour,2)))</f>
        <v>0</v>
      </c>
      <c r="P128" s="21">
        <f>IF(A128="","",SUMIFS('Supply Usage'!$L$5:$L$304,'Supply Usage'!$F$5:$F$304,A128))</f>
        <v>0</v>
      </c>
      <c r="Q128" s="21">
        <f>IF(A128="","",IF(P128&gt;0,P128,ROUND(M128*SuppliesPerHour,2)))</f>
        <v>0</v>
      </c>
      <c r="R128" s="21">
        <f>IF(A128="","",ROUND(IFERROR(INDEX(Jobs!$W$5:$W$604,MATCH(A128,Jobs!$A$5:$A$604,0)),0)*MileageRate,2))</f>
        <v>0</v>
      </c>
      <c r="T128" s="21">
        <f>IF(A128="","",O128+Q128+R128+IF(S128="",0,S128))</f>
        <v>0</v>
      </c>
      <c r="U128" s="21">
        <f>IF(A128="","",J128-T128)</f>
        <v>0</v>
      </c>
      <c r="V128" s="38">
        <f>IF(OR(A128="",J128=0),"",U128/J128)</f>
        <v>0</v>
      </c>
      <c r="W128" s="21">
        <f>IF(OR(A128="",M128=0,J128=0),"",U128/M128)</f>
        <v>0</v>
      </c>
      <c r="X128" s="34">
        <f>IF(OR(A128="",L128="",L128=0,K128=""),"",L128-K128)</f>
        <v>0</v>
      </c>
      <c r="Y128" s="31">
        <f>IF(A128="","",COUNTIFS($U$5:$U$604,"&gt;"&amp;U128)+COUNTIFS($U$5:U128,U128))</f>
        <v>0</v>
      </c>
      <c r="Z128" s="31">
        <f>IF(A128="","",COUNTIFS($W$5:$W$604,"&gt;"&amp;W128)+COUNTIFS($W$5:W128,W128))</f>
        <v>0</v>
      </c>
      <c r="AA128" s="39">
        <f>IF(A128="","",IF(J128=0,"",IF(U128&lt;0,"Loss - this job cost you money",IF(V128&lt;MarginFloor,"Below - margin under the floor",IF(V128&lt;TargetMargin,"Check - under target margin",IF(AND(X128&lt;&gt;"",X128&gt;0.5),"Check - ran over the estimate","OK"))))))</f>
        <v>0</v>
      </c>
    </row>
    <row r="129" spans="1:27">
      <c r="A129" s="43">
        <f>IF(IFERROR(INDEX(Jobs!$A$5:$A$604,ROW()-4),"")="","",IFERROR(INDEX(Jobs!$A$5:$A$604,ROW()-4),""))</f>
        <v>0</v>
      </c>
      <c r="B129" s="18">
        <f>IF(A129="","",IFERROR(INDEX(Jobs!$B$5:$B$604,MATCH(A129,Jobs!$A$5:$A$604,0)),""))</f>
        <v>0</v>
      </c>
      <c r="C129" s="23">
        <f>IF(B129="","",TEXT(B129,"yyyy-mm"))</f>
        <v>0</v>
      </c>
      <c r="D129" s="43">
        <f>IF(A129="","",IFERROR(INDEX(Jobs!$G$5:$G$604,MATCH(A129,Jobs!$A$5:$A$604,0)),""))</f>
        <v>0</v>
      </c>
      <c r="E129" s="23">
        <f>IF(A129="","",IFERROR(INDEX(Jobs!$H$5:$H$604,MATCH(A129,Jobs!$A$5:$A$604,0)),""))</f>
        <v>0</v>
      </c>
      <c r="F129" s="23">
        <f>IF(A129="","",IFERROR(INDEX(Jobs!$K$5:$K$604,MATCH(A129,Jobs!$A$5:$A$604,0)),""))</f>
        <v>0</v>
      </c>
      <c r="G129" s="23">
        <f>IF(A129="","",IFERROR(INDEX(Jobs!$M$5:$M$604,MATCH(A129,Jobs!$A$5:$A$604,0)),""))</f>
        <v>0</v>
      </c>
      <c r="H129" s="23">
        <f>IF(A129="","",IFERROR(INDEX(Jobs!$R$5:$R$604,MATCH(A129,Jobs!$A$5:$A$604,0)),""))</f>
        <v>0</v>
      </c>
      <c r="I129" s="39">
        <f>IF(A129="","",IFERROR(INDEX(Jobs!$P$5:$P$604,MATCH(A129,Jobs!$A$5:$A$604,0)),""))</f>
        <v>0</v>
      </c>
      <c r="J129" s="21">
        <f>IF(A129="","",IF(OR(I129="Completed",I129="Invoiced"),IFERROR(INDEX(Jobs!$AJ$5:$AJ$604,MATCH(A129,Jobs!$A$5:$A$604,0)),0),0))</f>
        <v>0</v>
      </c>
      <c r="K129" s="34">
        <f>IF(A129="","",IFERROR(INDEX(Jobs!$AD$5:$AD$604,MATCH(A129,Jobs!$A$5:$A$604,0)),0))</f>
        <v>0</v>
      </c>
      <c r="L129" s="34">
        <f>IF(A129="","",IFERROR(INDEX(Jobs!$AK$5:$AK$604,MATCH(A129,Jobs!$A$5:$A$604,0)),0))</f>
        <v>0</v>
      </c>
      <c r="M129" s="34">
        <f>IF(A129="","",IF(IFERROR(L129*1,0)&gt;0,L129,IFERROR(K129*1,0)))</f>
        <v>0</v>
      </c>
      <c r="N129" s="21">
        <f>IF(A129="","",SUMIFS(Timesheets!$X$5:$X$804,Timesheets!$G$5:$G$804,A129))</f>
        <v>0</v>
      </c>
      <c r="O129" s="21">
        <f>IF(A129="","",IF(N129&gt;0,N129,ROUND(M129*CostPerHour,2)))</f>
        <v>0</v>
      </c>
      <c r="P129" s="21">
        <f>IF(A129="","",SUMIFS('Supply Usage'!$L$5:$L$304,'Supply Usage'!$F$5:$F$304,A129))</f>
        <v>0</v>
      </c>
      <c r="Q129" s="21">
        <f>IF(A129="","",IF(P129&gt;0,P129,ROUND(M129*SuppliesPerHour,2)))</f>
        <v>0</v>
      </c>
      <c r="R129" s="21">
        <f>IF(A129="","",ROUND(IFERROR(INDEX(Jobs!$W$5:$W$604,MATCH(A129,Jobs!$A$5:$A$604,0)),0)*MileageRate,2))</f>
        <v>0</v>
      </c>
      <c r="T129" s="21">
        <f>IF(A129="","",O129+Q129+R129+IF(S129="",0,S129))</f>
        <v>0</v>
      </c>
      <c r="U129" s="21">
        <f>IF(A129="","",J129-T129)</f>
        <v>0</v>
      </c>
      <c r="V129" s="38">
        <f>IF(OR(A129="",J129=0),"",U129/J129)</f>
        <v>0</v>
      </c>
      <c r="W129" s="21">
        <f>IF(OR(A129="",M129=0,J129=0),"",U129/M129)</f>
        <v>0</v>
      </c>
      <c r="X129" s="34">
        <f>IF(OR(A129="",L129="",L129=0,K129=""),"",L129-K129)</f>
        <v>0</v>
      </c>
      <c r="Y129" s="31">
        <f>IF(A129="","",COUNTIFS($U$5:$U$604,"&gt;"&amp;U129)+COUNTIFS($U$5:U129,U129))</f>
        <v>0</v>
      </c>
      <c r="Z129" s="31">
        <f>IF(A129="","",COUNTIFS($W$5:$W$604,"&gt;"&amp;W129)+COUNTIFS($W$5:W129,W129))</f>
        <v>0</v>
      </c>
      <c r="AA129" s="39">
        <f>IF(A129="","",IF(J129=0,"",IF(U129&lt;0,"Loss - this job cost you money",IF(V129&lt;MarginFloor,"Below - margin under the floor",IF(V129&lt;TargetMargin,"Check - under target margin",IF(AND(X129&lt;&gt;"",X129&gt;0.5),"Check - ran over the estimate","OK"))))))</f>
        <v>0</v>
      </c>
    </row>
    <row r="130" spans="1:27">
      <c r="A130" s="43">
        <f>IF(IFERROR(INDEX(Jobs!$A$5:$A$604,ROW()-4),"")="","",IFERROR(INDEX(Jobs!$A$5:$A$604,ROW()-4),""))</f>
        <v>0</v>
      </c>
      <c r="B130" s="18">
        <f>IF(A130="","",IFERROR(INDEX(Jobs!$B$5:$B$604,MATCH(A130,Jobs!$A$5:$A$604,0)),""))</f>
        <v>0</v>
      </c>
      <c r="C130" s="23">
        <f>IF(B130="","",TEXT(B130,"yyyy-mm"))</f>
        <v>0</v>
      </c>
      <c r="D130" s="43">
        <f>IF(A130="","",IFERROR(INDEX(Jobs!$G$5:$G$604,MATCH(A130,Jobs!$A$5:$A$604,0)),""))</f>
        <v>0</v>
      </c>
      <c r="E130" s="23">
        <f>IF(A130="","",IFERROR(INDEX(Jobs!$H$5:$H$604,MATCH(A130,Jobs!$A$5:$A$604,0)),""))</f>
        <v>0</v>
      </c>
      <c r="F130" s="23">
        <f>IF(A130="","",IFERROR(INDEX(Jobs!$K$5:$K$604,MATCH(A130,Jobs!$A$5:$A$604,0)),""))</f>
        <v>0</v>
      </c>
      <c r="G130" s="23">
        <f>IF(A130="","",IFERROR(INDEX(Jobs!$M$5:$M$604,MATCH(A130,Jobs!$A$5:$A$604,0)),""))</f>
        <v>0</v>
      </c>
      <c r="H130" s="23">
        <f>IF(A130="","",IFERROR(INDEX(Jobs!$R$5:$R$604,MATCH(A130,Jobs!$A$5:$A$604,0)),""))</f>
        <v>0</v>
      </c>
      <c r="I130" s="39">
        <f>IF(A130="","",IFERROR(INDEX(Jobs!$P$5:$P$604,MATCH(A130,Jobs!$A$5:$A$604,0)),""))</f>
        <v>0</v>
      </c>
      <c r="J130" s="21">
        <f>IF(A130="","",IF(OR(I130="Completed",I130="Invoiced"),IFERROR(INDEX(Jobs!$AJ$5:$AJ$604,MATCH(A130,Jobs!$A$5:$A$604,0)),0),0))</f>
        <v>0</v>
      </c>
      <c r="K130" s="34">
        <f>IF(A130="","",IFERROR(INDEX(Jobs!$AD$5:$AD$604,MATCH(A130,Jobs!$A$5:$A$604,0)),0))</f>
        <v>0</v>
      </c>
      <c r="L130" s="34">
        <f>IF(A130="","",IFERROR(INDEX(Jobs!$AK$5:$AK$604,MATCH(A130,Jobs!$A$5:$A$604,0)),0))</f>
        <v>0</v>
      </c>
      <c r="M130" s="34">
        <f>IF(A130="","",IF(IFERROR(L130*1,0)&gt;0,L130,IFERROR(K130*1,0)))</f>
        <v>0</v>
      </c>
      <c r="N130" s="21">
        <f>IF(A130="","",SUMIFS(Timesheets!$X$5:$X$804,Timesheets!$G$5:$G$804,A130))</f>
        <v>0</v>
      </c>
      <c r="O130" s="21">
        <f>IF(A130="","",IF(N130&gt;0,N130,ROUND(M130*CostPerHour,2)))</f>
        <v>0</v>
      </c>
      <c r="P130" s="21">
        <f>IF(A130="","",SUMIFS('Supply Usage'!$L$5:$L$304,'Supply Usage'!$F$5:$F$304,A130))</f>
        <v>0</v>
      </c>
      <c r="Q130" s="21">
        <f>IF(A130="","",IF(P130&gt;0,P130,ROUND(M130*SuppliesPerHour,2)))</f>
        <v>0</v>
      </c>
      <c r="R130" s="21">
        <f>IF(A130="","",ROUND(IFERROR(INDEX(Jobs!$W$5:$W$604,MATCH(A130,Jobs!$A$5:$A$604,0)),0)*MileageRate,2))</f>
        <v>0</v>
      </c>
      <c r="T130" s="21">
        <f>IF(A130="","",O130+Q130+R130+IF(S130="",0,S130))</f>
        <v>0</v>
      </c>
      <c r="U130" s="21">
        <f>IF(A130="","",J130-T130)</f>
        <v>0</v>
      </c>
      <c r="V130" s="38">
        <f>IF(OR(A130="",J130=0),"",U130/J130)</f>
        <v>0</v>
      </c>
      <c r="W130" s="21">
        <f>IF(OR(A130="",M130=0,J130=0),"",U130/M130)</f>
        <v>0</v>
      </c>
      <c r="X130" s="34">
        <f>IF(OR(A130="",L130="",L130=0,K130=""),"",L130-K130)</f>
        <v>0</v>
      </c>
      <c r="Y130" s="31">
        <f>IF(A130="","",COUNTIFS($U$5:$U$604,"&gt;"&amp;U130)+COUNTIFS($U$5:U130,U130))</f>
        <v>0</v>
      </c>
      <c r="Z130" s="31">
        <f>IF(A130="","",COUNTIFS($W$5:$W$604,"&gt;"&amp;W130)+COUNTIFS($W$5:W130,W130))</f>
        <v>0</v>
      </c>
      <c r="AA130" s="39">
        <f>IF(A130="","",IF(J130=0,"",IF(U130&lt;0,"Loss - this job cost you money",IF(V130&lt;MarginFloor,"Below - margin under the floor",IF(V130&lt;TargetMargin,"Check - under target margin",IF(AND(X130&lt;&gt;"",X130&gt;0.5),"Check - ran over the estimate","OK"))))))</f>
        <v>0</v>
      </c>
    </row>
    <row r="131" spans="1:27">
      <c r="A131" s="43">
        <f>IF(IFERROR(INDEX(Jobs!$A$5:$A$604,ROW()-4),"")="","",IFERROR(INDEX(Jobs!$A$5:$A$604,ROW()-4),""))</f>
        <v>0</v>
      </c>
      <c r="B131" s="18">
        <f>IF(A131="","",IFERROR(INDEX(Jobs!$B$5:$B$604,MATCH(A131,Jobs!$A$5:$A$604,0)),""))</f>
        <v>0</v>
      </c>
      <c r="C131" s="23">
        <f>IF(B131="","",TEXT(B131,"yyyy-mm"))</f>
        <v>0</v>
      </c>
      <c r="D131" s="43">
        <f>IF(A131="","",IFERROR(INDEX(Jobs!$G$5:$G$604,MATCH(A131,Jobs!$A$5:$A$604,0)),""))</f>
        <v>0</v>
      </c>
      <c r="E131" s="23">
        <f>IF(A131="","",IFERROR(INDEX(Jobs!$H$5:$H$604,MATCH(A131,Jobs!$A$5:$A$604,0)),""))</f>
        <v>0</v>
      </c>
      <c r="F131" s="23">
        <f>IF(A131="","",IFERROR(INDEX(Jobs!$K$5:$K$604,MATCH(A131,Jobs!$A$5:$A$604,0)),""))</f>
        <v>0</v>
      </c>
      <c r="G131" s="23">
        <f>IF(A131="","",IFERROR(INDEX(Jobs!$M$5:$M$604,MATCH(A131,Jobs!$A$5:$A$604,0)),""))</f>
        <v>0</v>
      </c>
      <c r="H131" s="23">
        <f>IF(A131="","",IFERROR(INDEX(Jobs!$R$5:$R$604,MATCH(A131,Jobs!$A$5:$A$604,0)),""))</f>
        <v>0</v>
      </c>
      <c r="I131" s="39">
        <f>IF(A131="","",IFERROR(INDEX(Jobs!$P$5:$P$604,MATCH(A131,Jobs!$A$5:$A$604,0)),""))</f>
        <v>0</v>
      </c>
      <c r="J131" s="21">
        <f>IF(A131="","",IF(OR(I131="Completed",I131="Invoiced"),IFERROR(INDEX(Jobs!$AJ$5:$AJ$604,MATCH(A131,Jobs!$A$5:$A$604,0)),0),0))</f>
        <v>0</v>
      </c>
      <c r="K131" s="34">
        <f>IF(A131="","",IFERROR(INDEX(Jobs!$AD$5:$AD$604,MATCH(A131,Jobs!$A$5:$A$604,0)),0))</f>
        <v>0</v>
      </c>
      <c r="L131" s="34">
        <f>IF(A131="","",IFERROR(INDEX(Jobs!$AK$5:$AK$604,MATCH(A131,Jobs!$A$5:$A$604,0)),0))</f>
        <v>0</v>
      </c>
      <c r="M131" s="34">
        <f>IF(A131="","",IF(IFERROR(L131*1,0)&gt;0,L131,IFERROR(K131*1,0)))</f>
        <v>0</v>
      </c>
      <c r="N131" s="21">
        <f>IF(A131="","",SUMIFS(Timesheets!$X$5:$X$804,Timesheets!$G$5:$G$804,A131))</f>
        <v>0</v>
      </c>
      <c r="O131" s="21">
        <f>IF(A131="","",IF(N131&gt;0,N131,ROUND(M131*CostPerHour,2)))</f>
        <v>0</v>
      </c>
      <c r="P131" s="21">
        <f>IF(A131="","",SUMIFS('Supply Usage'!$L$5:$L$304,'Supply Usage'!$F$5:$F$304,A131))</f>
        <v>0</v>
      </c>
      <c r="Q131" s="21">
        <f>IF(A131="","",IF(P131&gt;0,P131,ROUND(M131*SuppliesPerHour,2)))</f>
        <v>0</v>
      </c>
      <c r="R131" s="21">
        <f>IF(A131="","",ROUND(IFERROR(INDEX(Jobs!$W$5:$W$604,MATCH(A131,Jobs!$A$5:$A$604,0)),0)*MileageRate,2))</f>
        <v>0</v>
      </c>
      <c r="T131" s="21">
        <f>IF(A131="","",O131+Q131+R131+IF(S131="",0,S131))</f>
        <v>0</v>
      </c>
      <c r="U131" s="21">
        <f>IF(A131="","",J131-T131)</f>
        <v>0</v>
      </c>
      <c r="V131" s="38">
        <f>IF(OR(A131="",J131=0),"",U131/J131)</f>
        <v>0</v>
      </c>
      <c r="W131" s="21">
        <f>IF(OR(A131="",M131=0,J131=0),"",U131/M131)</f>
        <v>0</v>
      </c>
      <c r="X131" s="34">
        <f>IF(OR(A131="",L131="",L131=0,K131=""),"",L131-K131)</f>
        <v>0</v>
      </c>
      <c r="Y131" s="31">
        <f>IF(A131="","",COUNTIFS($U$5:$U$604,"&gt;"&amp;U131)+COUNTIFS($U$5:U131,U131))</f>
        <v>0</v>
      </c>
      <c r="Z131" s="31">
        <f>IF(A131="","",COUNTIFS($W$5:$W$604,"&gt;"&amp;W131)+COUNTIFS($W$5:W131,W131))</f>
        <v>0</v>
      </c>
      <c r="AA131" s="39">
        <f>IF(A131="","",IF(J131=0,"",IF(U131&lt;0,"Loss - this job cost you money",IF(V131&lt;MarginFloor,"Below - margin under the floor",IF(V131&lt;TargetMargin,"Check - under target margin",IF(AND(X131&lt;&gt;"",X131&gt;0.5),"Check - ran over the estimate","OK"))))))</f>
        <v>0</v>
      </c>
    </row>
    <row r="132" spans="1:27">
      <c r="A132" s="43">
        <f>IF(IFERROR(INDEX(Jobs!$A$5:$A$604,ROW()-4),"")="","",IFERROR(INDEX(Jobs!$A$5:$A$604,ROW()-4),""))</f>
        <v>0</v>
      </c>
      <c r="B132" s="18">
        <f>IF(A132="","",IFERROR(INDEX(Jobs!$B$5:$B$604,MATCH(A132,Jobs!$A$5:$A$604,0)),""))</f>
        <v>0</v>
      </c>
      <c r="C132" s="23">
        <f>IF(B132="","",TEXT(B132,"yyyy-mm"))</f>
        <v>0</v>
      </c>
      <c r="D132" s="43">
        <f>IF(A132="","",IFERROR(INDEX(Jobs!$G$5:$G$604,MATCH(A132,Jobs!$A$5:$A$604,0)),""))</f>
        <v>0</v>
      </c>
      <c r="E132" s="23">
        <f>IF(A132="","",IFERROR(INDEX(Jobs!$H$5:$H$604,MATCH(A132,Jobs!$A$5:$A$604,0)),""))</f>
        <v>0</v>
      </c>
      <c r="F132" s="23">
        <f>IF(A132="","",IFERROR(INDEX(Jobs!$K$5:$K$604,MATCH(A132,Jobs!$A$5:$A$604,0)),""))</f>
        <v>0</v>
      </c>
      <c r="G132" s="23">
        <f>IF(A132="","",IFERROR(INDEX(Jobs!$M$5:$M$604,MATCH(A132,Jobs!$A$5:$A$604,0)),""))</f>
        <v>0</v>
      </c>
      <c r="H132" s="23">
        <f>IF(A132="","",IFERROR(INDEX(Jobs!$R$5:$R$604,MATCH(A132,Jobs!$A$5:$A$604,0)),""))</f>
        <v>0</v>
      </c>
      <c r="I132" s="39">
        <f>IF(A132="","",IFERROR(INDEX(Jobs!$P$5:$P$604,MATCH(A132,Jobs!$A$5:$A$604,0)),""))</f>
        <v>0</v>
      </c>
      <c r="J132" s="21">
        <f>IF(A132="","",IF(OR(I132="Completed",I132="Invoiced"),IFERROR(INDEX(Jobs!$AJ$5:$AJ$604,MATCH(A132,Jobs!$A$5:$A$604,0)),0),0))</f>
        <v>0</v>
      </c>
      <c r="K132" s="34">
        <f>IF(A132="","",IFERROR(INDEX(Jobs!$AD$5:$AD$604,MATCH(A132,Jobs!$A$5:$A$604,0)),0))</f>
        <v>0</v>
      </c>
      <c r="L132" s="34">
        <f>IF(A132="","",IFERROR(INDEX(Jobs!$AK$5:$AK$604,MATCH(A132,Jobs!$A$5:$A$604,0)),0))</f>
        <v>0</v>
      </c>
      <c r="M132" s="34">
        <f>IF(A132="","",IF(IFERROR(L132*1,0)&gt;0,L132,IFERROR(K132*1,0)))</f>
        <v>0</v>
      </c>
      <c r="N132" s="21">
        <f>IF(A132="","",SUMIFS(Timesheets!$X$5:$X$804,Timesheets!$G$5:$G$804,A132))</f>
        <v>0</v>
      </c>
      <c r="O132" s="21">
        <f>IF(A132="","",IF(N132&gt;0,N132,ROUND(M132*CostPerHour,2)))</f>
        <v>0</v>
      </c>
      <c r="P132" s="21">
        <f>IF(A132="","",SUMIFS('Supply Usage'!$L$5:$L$304,'Supply Usage'!$F$5:$F$304,A132))</f>
        <v>0</v>
      </c>
      <c r="Q132" s="21">
        <f>IF(A132="","",IF(P132&gt;0,P132,ROUND(M132*SuppliesPerHour,2)))</f>
        <v>0</v>
      </c>
      <c r="R132" s="21">
        <f>IF(A132="","",ROUND(IFERROR(INDEX(Jobs!$W$5:$W$604,MATCH(A132,Jobs!$A$5:$A$604,0)),0)*MileageRate,2))</f>
        <v>0</v>
      </c>
      <c r="T132" s="21">
        <f>IF(A132="","",O132+Q132+R132+IF(S132="",0,S132))</f>
        <v>0</v>
      </c>
      <c r="U132" s="21">
        <f>IF(A132="","",J132-T132)</f>
        <v>0</v>
      </c>
      <c r="V132" s="38">
        <f>IF(OR(A132="",J132=0),"",U132/J132)</f>
        <v>0</v>
      </c>
      <c r="W132" s="21">
        <f>IF(OR(A132="",M132=0,J132=0),"",U132/M132)</f>
        <v>0</v>
      </c>
      <c r="X132" s="34">
        <f>IF(OR(A132="",L132="",L132=0,K132=""),"",L132-K132)</f>
        <v>0</v>
      </c>
      <c r="Y132" s="31">
        <f>IF(A132="","",COUNTIFS($U$5:$U$604,"&gt;"&amp;U132)+COUNTIFS($U$5:U132,U132))</f>
        <v>0</v>
      </c>
      <c r="Z132" s="31">
        <f>IF(A132="","",COUNTIFS($W$5:$W$604,"&gt;"&amp;W132)+COUNTIFS($W$5:W132,W132))</f>
        <v>0</v>
      </c>
      <c r="AA132" s="39">
        <f>IF(A132="","",IF(J132=0,"",IF(U132&lt;0,"Loss - this job cost you money",IF(V132&lt;MarginFloor,"Below - margin under the floor",IF(V132&lt;TargetMargin,"Check - under target margin",IF(AND(X132&lt;&gt;"",X132&gt;0.5),"Check - ran over the estimate","OK"))))))</f>
        <v>0</v>
      </c>
    </row>
    <row r="133" spans="1:27">
      <c r="A133" s="43">
        <f>IF(IFERROR(INDEX(Jobs!$A$5:$A$604,ROW()-4),"")="","",IFERROR(INDEX(Jobs!$A$5:$A$604,ROW()-4),""))</f>
        <v>0</v>
      </c>
      <c r="B133" s="18">
        <f>IF(A133="","",IFERROR(INDEX(Jobs!$B$5:$B$604,MATCH(A133,Jobs!$A$5:$A$604,0)),""))</f>
        <v>0</v>
      </c>
      <c r="C133" s="23">
        <f>IF(B133="","",TEXT(B133,"yyyy-mm"))</f>
        <v>0</v>
      </c>
      <c r="D133" s="43">
        <f>IF(A133="","",IFERROR(INDEX(Jobs!$G$5:$G$604,MATCH(A133,Jobs!$A$5:$A$604,0)),""))</f>
        <v>0</v>
      </c>
      <c r="E133" s="23">
        <f>IF(A133="","",IFERROR(INDEX(Jobs!$H$5:$H$604,MATCH(A133,Jobs!$A$5:$A$604,0)),""))</f>
        <v>0</v>
      </c>
      <c r="F133" s="23">
        <f>IF(A133="","",IFERROR(INDEX(Jobs!$K$5:$K$604,MATCH(A133,Jobs!$A$5:$A$604,0)),""))</f>
        <v>0</v>
      </c>
      <c r="G133" s="23">
        <f>IF(A133="","",IFERROR(INDEX(Jobs!$M$5:$M$604,MATCH(A133,Jobs!$A$5:$A$604,0)),""))</f>
        <v>0</v>
      </c>
      <c r="H133" s="23">
        <f>IF(A133="","",IFERROR(INDEX(Jobs!$R$5:$R$604,MATCH(A133,Jobs!$A$5:$A$604,0)),""))</f>
        <v>0</v>
      </c>
      <c r="I133" s="39">
        <f>IF(A133="","",IFERROR(INDEX(Jobs!$P$5:$P$604,MATCH(A133,Jobs!$A$5:$A$604,0)),""))</f>
        <v>0</v>
      </c>
      <c r="J133" s="21">
        <f>IF(A133="","",IF(OR(I133="Completed",I133="Invoiced"),IFERROR(INDEX(Jobs!$AJ$5:$AJ$604,MATCH(A133,Jobs!$A$5:$A$604,0)),0),0))</f>
        <v>0</v>
      </c>
      <c r="K133" s="34">
        <f>IF(A133="","",IFERROR(INDEX(Jobs!$AD$5:$AD$604,MATCH(A133,Jobs!$A$5:$A$604,0)),0))</f>
        <v>0</v>
      </c>
      <c r="L133" s="34">
        <f>IF(A133="","",IFERROR(INDEX(Jobs!$AK$5:$AK$604,MATCH(A133,Jobs!$A$5:$A$604,0)),0))</f>
        <v>0</v>
      </c>
      <c r="M133" s="34">
        <f>IF(A133="","",IF(IFERROR(L133*1,0)&gt;0,L133,IFERROR(K133*1,0)))</f>
        <v>0</v>
      </c>
      <c r="N133" s="21">
        <f>IF(A133="","",SUMIFS(Timesheets!$X$5:$X$804,Timesheets!$G$5:$G$804,A133))</f>
        <v>0</v>
      </c>
      <c r="O133" s="21">
        <f>IF(A133="","",IF(N133&gt;0,N133,ROUND(M133*CostPerHour,2)))</f>
        <v>0</v>
      </c>
      <c r="P133" s="21">
        <f>IF(A133="","",SUMIFS('Supply Usage'!$L$5:$L$304,'Supply Usage'!$F$5:$F$304,A133))</f>
        <v>0</v>
      </c>
      <c r="Q133" s="21">
        <f>IF(A133="","",IF(P133&gt;0,P133,ROUND(M133*SuppliesPerHour,2)))</f>
        <v>0</v>
      </c>
      <c r="R133" s="21">
        <f>IF(A133="","",ROUND(IFERROR(INDEX(Jobs!$W$5:$W$604,MATCH(A133,Jobs!$A$5:$A$604,0)),0)*MileageRate,2))</f>
        <v>0</v>
      </c>
      <c r="T133" s="21">
        <f>IF(A133="","",O133+Q133+R133+IF(S133="",0,S133))</f>
        <v>0</v>
      </c>
      <c r="U133" s="21">
        <f>IF(A133="","",J133-T133)</f>
        <v>0</v>
      </c>
      <c r="V133" s="38">
        <f>IF(OR(A133="",J133=0),"",U133/J133)</f>
        <v>0</v>
      </c>
      <c r="W133" s="21">
        <f>IF(OR(A133="",M133=0,J133=0),"",U133/M133)</f>
        <v>0</v>
      </c>
      <c r="X133" s="34">
        <f>IF(OR(A133="",L133="",L133=0,K133=""),"",L133-K133)</f>
        <v>0</v>
      </c>
      <c r="Y133" s="31">
        <f>IF(A133="","",COUNTIFS($U$5:$U$604,"&gt;"&amp;U133)+COUNTIFS($U$5:U133,U133))</f>
        <v>0</v>
      </c>
      <c r="Z133" s="31">
        <f>IF(A133="","",COUNTIFS($W$5:$W$604,"&gt;"&amp;W133)+COUNTIFS($W$5:W133,W133))</f>
        <v>0</v>
      </c>
      <c r="AA133" s="39">
        <f>IF(A133="","",IF(J133=0,"",IF(U133&lt;0,"Loss - this job cost you money",IF(V133&lt;MarginFloor,"Below - margin under the floor",IF(V133&lt;TargetMargin,"Check - under target margin",IF(AND(X133&lt;&gt;"",X133&gt;0.5),"Check - ran over the estimate","OK"))))))</f>
        <v>0</v>
      </c>
    </row>
    <row r="134" spans="1:27">
      <c r="A134" s="43">
        <f>IF(IFERROR(INDEX(Jobs!$A$5:$A$604,ROW()-4),"")="","",IFERROR(INDEX(Jobs!$A$5:$A$604,ROW()-4),""))</f>
        <v>0</v>
      </c>
      <c r="B134" s="18">
        <f>IF(A134="","",IFERROR(INDEX(Jobs!$B$5:$B$604,MATCH(A134,Jobs!$A$5:$A$604,0)),""))</f>
        <v>0</v>
      </c>
      <c r="C134" s="23">
        <f>IF(B134="","",TEXT(B134,"yyyy-mm"))</f>
        <v>0</v>
      </c>
      <c r="D134" s="43">
        <f>IF(A134="","",IFERROR(INDEX(Jobs!$G$5:$G$604,MATCH(A134,Jobs!$A$5:$A$604,0)),""))</f>
        <v>0</v>
      </c>
      <c r="E134" s="23">
        <f>IF(A134="","",IFERROR(INDEX(Jobs!$H$5:$H$604,MATCH(A134,Jobs!$A$5:$A$604,0)),""))</f>
        <v>0</v>
      </c>
      <c r="F134" s="23">
        <f>IF(A134="","",IFERROR(INDEX(Jobs!$K$5:$K$604,MATCH(A134,Jobs!$A$5:$A$604,0)),""))</f>
        <v>0</v>
      </c>
      <c r="G134" s="23">
        <f>IF(A134="","",IFERROR(INDEX(Jobs!$M$5:$M$604,MATCH(A134,Jobs!$A$5:$A$604,0)),""))</f>
        <v>0</v>
      </c>
      <c r="H134" s="23">
        <f>IF(A134="","",IFERROR(INDEX(Jobs!$R$5:$R$604,MATCH(A134,Jobs!$A$5:$A$604,0)),""))</f>
        <v>0</v>
      </c>
      <c r="I134" s="39">
        <f>IF(A134="","",IFERROR(INDEX(Jobs!$P$5:$P$604,MATCH(A134,Jobs!$A$5:$A$604,0)),""))</f>
        <v>0</v>
      </c>
      <c r="J134" s="21">
        <f>IF(A134="","",IF(OR(I134="Completed",I134="Invoiced"),IFERROR(INDEX(Jobs!$AJ$5:$AJ$604,MATCH(A134,Jobs!$A$5:$A$604,0)),0),0))</f>
        <v>0</v>
      </c>
      <c r="K134" s="34">
        <f>IF(A134="","",IFERROR(INDEX(Jobs!$AD$5:$AD$604,MATCH(A134,Jobs!$A$5:$A$604,0)),0))</f>
        <v>0</v>
      </c>
      <c r="L134" s="34">
        <f>IF(A134="","",IFERROR(INDEX(Jobs!$AK$5:$AK$604,MATCH(A134,Jobs!$A$5:$A$604,0)),0))</f>
        <v>0</v>
      </c>
      <c r="M134" s="34">
        <f>IF(A134="","",IF(IFERROR(L134*1,0)&gt;0,L134,IFERROR(K134*1,0)))</f>
        <v>0</v>
      </c>
      <c r="N134" s="21">
        <f>IF(A134="","",SUMIFS(Timesheets!$X$5:$X$804,Timesheets!$G$5:$G$804,A134))</f>
        <v>0</v>
      </c>
      <c r="O134" s="21">
        <f>IF(A134="","",IF(N134&gt;0,N134,ROUND(M134*CostPerHour,2)))</f>
        <v>0</v>
      </c>
      <c r="P134" s="21">
        <f>IF(A134="","",SUMIFS('Supply Usage'!$L$5:$L$304,'Supply Usage'!$F$5:$F$304,A134))</f>
        <v>0</v>
      </c>
      <c r="Q134" s="21">
        <f>IF(A134="","",IF(P134&gt;0,P134,ROUND(M134*SuppliesPerHour,2)))</f>
        <v>0</v>
      </c>
      <c r="R134" s="21">
        <f>IF(A134="","",ROUND(IFERROR(INDEX(Jobs!$W$5:$W$604,MATCH(A134,Jobs!$A$5:$A$604,0)),0)*MileageRate,2))</f>
        <v>0</v>
      </c>
      <c r="T134" s="21">
        <f>IF(A134="","",O134+Q134+R134+IF(S134="",0,S134))</f>
        <v>0</v>
      </c>
      <c r="U134" s="21">
        <f>IF(A134="","",J134-T134)</f>
        <v>0</v>
      </c>
      <c r="V134" s="38">
        <f>IF(OR(A134="",J134=0),"",U134/J134)</f>
        <v>0</v>
      </c>
      <c r="W134" s="21">
        <f>IF(OR(A134="",M134=0,J134=0),"",U134/M134)</f>
        <v>0</v>
      </c>
      <c r="X134" s="34">
        <f>IF(OR(A134="",L134="",L134=0,K134=""),"",L134-K134)</f>
        <v>0</v>
      </c>
      <c r="Y134" s="31">
        <f>IF(A134="","",COUNTIFS($U$5:$U$604,"&gt;"&amp;U134)+COUNTIFS($U$5:U134,U134))</f>
        <v>0</v>
      </c>
      <c r="Z134" s="31">
        <f>IF(A134="","",COUNTIFS($W$5:$W$604,"&gt;"&amp;W134)+COUNTIFS($W$5:W134,W134))</f>
        <v>0</v>
      </c>
      <c r="AA134" s="39">
        <f>IF(A134="","",IF(J134=0,"",IF(U134&lt;0,"Loss - this job cost you money",IF(V134&lt;MarginFloor,"Below - margin under the floor",IF(V134&lt;TargetMargin,"Check - under target margin",IF(AND(X134&lt;&gt;"",X134&gt;0.5),"Check - ran over the estimate","OK"))))))</f>
        <v>0</v>
      </c>
    </row>
    <row r="135" spans="1:27">
      <c r="A135" s="43">
        <f>IF(IFERROR(INDEX(Jobs!$A$5:$A$604,ROW()-4),"")="","",IFERROR(INDEX(Jobs!$A$5:$A$604,ROW()-4),""))</f>
        <v>0</v>
      </c>
      <c r="B135" s="18">
        <f>IF(A135="","",IFERROR(INDEX(Jobs!$B$5:$B$604,MATCH(A135,Jobs!$A$5:$A$604,0)),""))</f>
        <v>0</v>
      </c>
      <c r="C135" s="23">
        <f>IF(B135="","",TEXT(B135,"yyyy-mm"))</f>
        <v>0</v>
      </c>
      <c r="D135" s="43">
        <f>IF(A135="","",IFERROR(INDEX(Jobs!$G$5:$G$604,MATCH(A135,Jobs!$A$5:$A$604,0)),""))</f>
        <v>0</v>
      </c>
      <c r="E135" s="23">
        <f>IF(A135="","",IFERROR(INDEX(Jobs!$H$5:$H$604,MATCH(A135,Jobs!$A$5:$A$604,0)),""))</f>
        <v>0</v>
      </c>
      <c r="F135" s="23">
        <f>IF(A135="","",IFERROR(INDEX(Jobs!$K$5:$K$604,MATCH(A135,Jobs!$A$5:$A$604,0)),""))</f>
        <v>0</v>
      </c>
      <c r="G135" s="23">
        <f>IF(A135="","",IFERROR(INDEX(Jobs!$M$5:$M$604,MATCH(A135,Jobs!$A$5:$A$604,0)),""))</f>
        <v>0</v>
      </c>
      <c r="H135" s="23">
        <f>IF(A135="","",IFERROR(INDEX(Jobs!$R$5:$R$604,MATCH(A135,Jobs!$A$5:$A$604,0)),""))</f>
        <v>0</v>
      </c>
      <c r="I135" s="39">
        <f>IF(A135="","",IFERROR(INDEX(Jobs!$P$5:$P$604,MATCH(A135,Jobs!$A$5:$A$604,0)),""))</f>
        <v>0</v>
      </c>
      <c r="J135" s="21">
        <f>IF(A135="","",IF(OR(I135="Completed",I135="Invoiced"),IFERROR(INDEX(Jobs!$AJ$5:$AJ$604,MATCH(A135,Jobs!$A$5:$A$604,0)),0),0))</f>
        <v>0</v>
      </c>
      <c r="K135" s="34">
        <f>IF(A135="","",IFERROR(INDEX(Jobs!$AD$5:$AD$604,MATCH(A135,Jobs!$A$5:$A$604,0)),0))</f>
        <v>0</v>
      </c>
      <c r="L135" s="34">
        <f>IF(A135="","",IFERROR(INDEX(Jobs!$AK$5:$AK$604,MATCH(A135,Jobs!$A$5:$A$604,0)),0))</f>
        <v>0</v>
      </c>
      <c r="M135" s="34">
        <f>IF(A135="","",IF(IFERROR(L135*1,0)&gt;0,L135,IFERROR(K135*1,0)))</f>
        <v>0</v>
      </c>
      <c r="N135" s="21">
        <f>IF(A135="","",SUMIFS(Timesheets!$X$5:$X$804,Timesheets!$G$5:$G$804,A135))</f>
        <v>0</v>
      </c>
      <c r="O135" s="21">
        <f>IF(A135="","",IF(N135&gt;0,N135,ROUND(M135*CostPerHour,2)))</f>
        <v>0</v>
      </c>
      <c r="P135" s="21">
        <f>IF(A135="","",SUMIFS('Supply Usage'!$L$5:$L$304,'Supply Usage'!$F$5:$F$304,A135))</f>
        <v>0</v>
      </c>
      <c r="Q135" s="21">
        <f>IF(A135="","",IF(P135&gt;0,P135,ROUND(M135*SuppliesPerHour,2)))</f>
        <v>0</v>
      </c>
      <c r="R135" s="21">
        <f>IF(A135="","",ROUND(IFERROR(INDEX(Jobs!$W$5:$W$604,MATCH(A135,Jobs!$A$5:$A$604,0)),0)*MileageRate,2))</f>
        <v>0</v>
      </c>
      <c r="T135" s="21">
        <f>IF(A135="","",O135+Q135+R135+IF(S135="",0,S135))</f>
        <v>0</v>
      </c>
      <c r="U135" s="21">
        <f>IF(A135="","",J135-T135)</f>
        <v>0</v>
      </c>
      <c r="V135" s="38">
        <f>IF(OR(A135="",J135=0),"",U135/J135)</f>
        <v>0</v>
      </c>
      <c r="W135" s="21">
        <f>IF(OR(A135="",M135=0,J135=0),"",U135/M135)</f>
        <v>0</v>
      </c>
      <c r="X135" s="34">
        <f>IF(OR(A135="",L135="",L135=0,K135=""),"",L135-K135)</f>
        <v>0</v>
      </c>
      <c r="Y135" s="31">
        <f>IF(A135="","",COUNTIFS($U$5:$U$604,"&gt;"&amp;U135)+COUNTIFS($U$5:U135,U135))</f>
        <v>0</v>
      </c>
      <c r="Z135" s="31">
        <f>IF(A135="","",COUNTIFS($W$5:$W$604,"&gt;"&amp;W135)+COUNTIFS($W$5:W135,W135))</f>
        <v>0</v>
      </c>
      <c r="AA135" s="39">
        <f>IF(A135="","",IF(J135=0,"",IF(U135&lt;0,"Loss - this job cost you money",IF(V135&lt;MarginFloor,"Below - margin under the floor",IF(V135&lt;TargetMargin,"Check - under target margin",IF(AND(X135&lt;&gt;"",X135&gt;0.5),"Check - ran over the estimate","OK"))))))</f>
        <v>0</v>
      </c>
    </row>
    <row r="136" spans="1:27">
      <c r="A136" s="43">
        <f>IF(IFERROR(INDEX(Jobs!$A$5:$A$604,ROW()-4),"")="","",IFERROR(INDEX(Jobs!$A$5:$A$604,ROW()-4),""))</f>
        <v>0</v>
      </c>
      <c r="B136" s="18">
        <f>IF(A136="","",IFERROR(INDEX(Jobs!$B$5:$B$604,MATCH(A136,Jobs!$A$5:$A$604,0)),""))</f>
        <v>0</v>
      </c>
      <c r="C136" s="23">
        <f>IF(B136="","",TEXT(B136,"yyyy-mm"))</f>
        <v>0</v>
      </c>
      <c r="D136" s="43">
        <f>IF(A136="","",IFERROR(INDEX(Jobs!$G$5:$G$604,MATCH(A136,Jobs!$A$5:$A$604,0)),""))</f>
        <v>0</v>
      </c>
      <c r="E136" s="23">
        <f>IF(A136="","",IFERROR(INDEX(Jobs!$H$5:$H$604,MATCH(A136,Jobs!$A$5:$A$604,0)),""))</f>
        <v>0</v>
      </c>
      <c r="F136" s="23">
        <f>IF(A136="","",IFERROR(INDEX(Jobs!$K$5:$K$604,MATCH(A136,Jobs!$A$5:$A$604,0)),""))</f>
        <v>0</v>
      </c>
      <c r="G136" s="23">
        <f>IF(A136="","",IFERROR(INDEX(Jobs!$M$5:$M$604,MATCH(A136,Jobs!$A$5:$A$604,0)),""))</f>
        <v>0</v>
      </c>
      <c r="H136" s="23">
        <f>IF(A136="","",IFERROR(INDEX(Jobs!$R$5:$R$604,MATCH(A136,Jobs!$A$5:$A$604,0)),""))</f>
        <v>0</v>
      </c>
      <c r="I136" s="39">
        <f>IF(A136="","",IFERROR(INDEX(Jobs!$P$5:$P$604,MATCH(A136,Jobs!$A$5:$A$604,0)),""))</f>
        <v>0</v>
      </c>
      <c r="J136" s="21">
        <f>IF(A136="","",IF(OR(I136="Completed",I136="Invoiced"),IFERROR(INDEX(Jobs!$AJ$5:$AJ$604,MATCH(A136,Jobs!$A$5:$A$604,0)),0),0))</f>
        <v>0</v>
      </c>
      <c r="K136" s="34">
        <f>IF(A136="","",IFERROR(INDEX(Jobs!$AD$5:$AD$604,MATCH(A136,Jobs!$A$5:$A$604,0)),0))</f>
        <v>0</v>
      </c>
      <c r="L136" s="34">
        <f>IF(A136="","",IFERROR(INDEX(Jobs!$AK$5:$AK$604,MATCH(A136,Jobs!$A$5:$A$604,0)),0))</f>
        <v>0</v>
      </c>
      <c r="M136" s="34">
        <f>IF(A136="","",IF(IFERROR(L136*1,0)&gt;0,L136,IFERROR(K136*1,0)))</f>
        <v>0</v>
      </c>
      <c r="N136" s="21">
        <f>IF(A136="","",SUMIFS(Timesheets!$X$5:$X$804,Timesheets!$G$5:$G$804,A136))</f>
        <v>0</v>
      </c>
      <c r="O136" s="21">
        <f>IF(A136="","",IF(N136&gt;0,N136,ROUND(M136*CostPerHour,2)))</f>
        <v>0</v>
      </c>
      <c r="P136" s="21">
        <f>IF(A136="","",SUMIFS('Supply Usage'!$L$5:$L$304,'Supply Usage'!$F$5:$F$304,A136))</f>
        <v>0</v>
      </c>
      <c r="Q136" s="21">
        <f>IF(A136="","",IF(P136&gt;0,P136,ROUND(M136*SuppliesPerHour,2)))</f>
        <v>0</v>
      </c>
      <c r="R136" s="21">
        <f>IF(A136="","",ROUND(IFERROR(INDEX(Jobs!$W$5:$W$604,MATCH(A136,Jobs!$A$5:$A$604,0)),0)*MileageRate,2))</f>
        <v>0</v>
      </c>
      <c r="T136" s="21">
        <f>IF(A136="","",O136+Q136+R136+IF(S136="",0,S136))</f>
        <v>0</v>
      </c>
      <c r="U136" s="21">
        <f>IF(A136="","",J136-T136)</f>
        <v>0</v>
      </c>
      <c r="V136" s="38">
        <f>IF(OR(A136="",J136=0),"",U136/J136)</f>
        <v>0</v>
      </c>
      <c r="W136" s="21">
        <f>IF(OR(A136="",M136=0,J136=0),"",U136/M136)</f>
        <v>0</v>
      </c>
      <c r="X136" s="34">
        <f>IF(OR(A136="",L136="",L136=0,K136=""),"",L136-K136)</f>
        <v>0</v>
      </c>
      <c r="Y136" s="31">
        <f>IF(A136="","",COUNTIFS($U$5:$U$604,"&gt;"&amp;U136)+COUNTIFS($U$5:U136,U136))</f>
        <v>0</v>
      </c>
      <c r="Z136" s="31">
        <f>IF(A136="","",COUNTIFS($W$5:$W$604,"&gt;"&amp;W136)+COUNTIFS($W$5:W136,W136))</f>
        <v>0</v>
      </c>
      <c r="AA136" s="39">
        <f>IF(A136="","",IF(J136=0,"",IF(U136&lt;0,"Loss - this job cost you money",IF(V136&lt;MarginFloor,"Below - margin under the floor",IF(V136&lt;TargetMargin,"Check - under target margin",IF(AND(X136&lt;&gt;"",X136&gt;0.5),"Check - ran over the estimate","OK"))))))</f>
        <v>0</v>
      </c>
    </row>
    <row r="137" spans="1:27">
      <c r="A137" s="43">
        <f>IF(IFERROR(INDEX(Jobs!$A$5:$A$604,ROW()-4),"")="","",IFERROR(INDEX(Jobs!$A$5:$A$604,ROW()-4),""))</f>
        <v>0</v>
      </c>
      <c r="B137" s="18">
        <f>IF(A137="","",IFERROR(INDEX(Jobs!$B$5:$B$604,MATCH(A137,Jobs!$A$5:$A$604,0)),""))</f>
        <v>0</v>
      </c>
      <c r="C137" s="23">
        <f>IF(B137="","",TEXT(B137,"yyyy-mm"))</f>
        <v>0</v>
      </c>
      <c r="D137" s="43">
        <f>IF(A137="","",IFERROR(INDEX(Jobs!$G$5:$G$604,MATCH(A137,Jobs!$A$5:$A$604,0)),""))</f>
        <v>0</v>
      </c>
      <c r="E137" s="23">
        <f>IF(A137="","",IFERROR(INDEX(Jobs!$H$5:$H$604,MATCH(A137,Jobs!$A$5:$A$604,0)),""))</f>
        <v>0</v>
      </c>
      <c r="F137" s="23">
        <f>IF(A137="","",IFERROR(INDEX(Jobs!$K$5:$K$604,MATCH(A137,Jobs!$A$5:$A$604,0)),""))</f>
        <v>0</v>
      </c>
      <c r="G137" s="23">
        <f>IF(A137="","",IFERROR(INDEX(Jobs!$M$5:$M$604,MATCH(A137,Jobs!$A$5:$A$604,0)),""))</f>
        <v>0</v>
      </c>
      <c r="H137" s="23">
        <f>IF(A137="","",IFERROR(INDEX(Jobs!$R$5:$R$604,MATCH(A137,Jobs!$A$5:$A$604,0)),""))</f>
        <v>0</v>
      </c>
      <c r="I137" s="39">
        <f>IF(A137="","",IFERROR(INDEX(Jobs!$P$5:$P$604,MATCH(A137,Jobs!$A$5:$A$604,0)),""))</f>
        <v>0</v>
      </c>
      <c r="J137" s="21">
        <f>IF(A137="","",IF(OR(I137="Completed",I137="Invoiced"),IFERROR(INDEX(Jobs!$AJ$5:$AJ$604,MATCH(A137,Jobs!$A$5:$A$604,0)),0),0))</f>
        <v>0</v>
      </c>
      <c r="K137" s="34">
        <f>IF(A137="","",IFERROR(INDEX(Jobs!$AD$5:$AD$604,MATCH(A137,Jobs!$A$5:$A$604,0)),0))</f>
        <v>0</v>
      </c>
      <c r="L137" s="34">
        <f>IF(A137="","",IFERROR(INDEX(Jobs!$AK$5:$AK$604,MATCH(A137,Jobs!$A$5:$A$604,0)),0))</f>
        <v>0</v>
      </c>
      <c r="M137" s="34">
        <f>IF(A137="","",IF(IFERROR(L137*1,0)&gt;0,L137,IFERROR(K137*1,0)))</f>
        <v>0</v>
      </c>
      <c r="N137" s="21">
        <f>IF(A137="","",SUMIFS(Timesheets!$X$5:$X$804,Timesheets!$G$5:$G$804,A137))</f>
        <v>0</v>
      </c>
      <c r="O137" s="21">
        <f>IF(A137="","",IF(N137&gt;0,N137,ROUND(M137*CostPerHour,2)))</f>
        <v>0</v>
      </c>
      <c r="P137" s="21">
        <f>IF(A137="","",SUMIFS('Supply Usage'!$L$5:$L$304,'Supply Usage'!$F$5:$F$304,A137))</f>
        <v>0</v>
      </c>
      <c r="Q137" s="21">
        <f>IF(A137="","",IF(P137&gt;0,P137,ROUND(M137*SuppliesPerHour,2)))</f>
        <v>0</v>
      </c>
      <c r="R137" s="21">
        <f>IF(A137="","",ROUND(IFERROR(INDEX(Jobs!$W$5:$W$604,MATCH(A137,Jobs!$A$5:$A$604,0)),0)*MileageRate,2))</f>
        <v>0</v>
      </c>
      <c r="T137" s="21">
        <f>IF(A137="","",O137+Q137+R137+IF(S137="",0,S137))</f>
        <v>0</v>
      </c>
      <c r="U137" s="21">
        <f>IF(A137="","",J137-T137)</f>
        <v>0</v>
      </c>
      <c r="V137" s="38">
        <f>IF(OR(A137="",J137=0),"",U137/J137)</f>
        <v>0</v>
      </c>
      <c r="W137" s="21">
        <f>IF(OR(A137="",M137=0,J137=0),"",U137/M137)</f>
        <v>0</v>
      </c>
      <c r="X137" s="34">
        <f>IF(OR(A137="",L137="",L137=0,K137=""),"",L137-K137)</f>
        <v>0</v>
      </c>
      <c r="Y137" s="31">
        <f>IF(A137="","",COUNTIFS($U$5:$U$604,"&gt;"&amp;U137)+COUNTIFS($U$5:U137,U137))</f>
        <v>0</v>
      </c>
      <c r="Z137" s="31">
        <f>IF(A137="","",COUNTIFS($W$5:$W$604,"&gt;"&amp;W137)+COUNTIFS($W$5:W137,W137))</f>
        <v>0</v>
      </c>
      <c r="AA137" s="39">
        <f>IF(A137="","",IF(J137=0,"",IF(U137&lt;0,"Loss - this job cost you money",IF(V137&lt;MarginFloor,"Below - margin under the floor",IF(V137&lt;TargetMargin,"Check - under target margin",IF(AND(X137&lt;&gt;"",X137&gt;0.5),"Check - ran over the estimate","OK"))))))</f>
        <v>0</v>
      </c>
    </row>
    <row r="138" spans="1:27">
      <c r="A138" s="43">
        <f>IF(IFERROR(INDEX(Jobs!$A$5:$A$604,ROW()-4),"")="","",IFERROR(INDEX(Jobs!$A$5:$A$604,ROW()-4),""))</f>
        <v>0</v>
      </c>
      <c r="B138" s="18">
        <f>IF(A138="","",IFERROR(INDEX(Jobs!$B$5:$B$604,MATCH(A138,Jobs!$A$5:$A$604,0)),""))</f>
        <v>0</v>
      </c>
      <c r="C138" s="23">
        <f>IF(B138="","",TEXT(B138,"yyyy-mm"))</f>
        <v>0</v>
      </c>
      <c r="D138" s="43">
        <f>IF(A138="","",IFERROR(INDEX(Jobs!$G$5:$G$604,MATCH(A138,Jobs!$A$5:$A$604,0)),""))</f>
        <v>0</v>
      </c>
      <c r="E138" s="23">
        <f>IF(A138="","",IFERROR(INDEX(Jobs!$H$5:$H$604,MATCH(A138,Jobs!$A$5:$A$604,0)),""))</f>
        <v>0</v>
      </c>
      <c r="F138" s="23">
        <f>IF(A138="","",IFERROR(INDEX(Jobs!$K$5:$K$604,MATCH(A138,Jobs!$A$5:$A$604,0)),""))</f>
        <v>0</v>
      </c>
      <c r="G138" s="23">
        <f>IF(A138="","",IFERROR(INDEX(Jobs!$M$5:$M$604,MATCH(A138,Jobs!$A$5:$A$604,0)),""))</f>
        <v>0</v>
      </c>
      <c r="H138" s="23">
        <f>IF(A138="","",IFERROR(INDEX(Jobs!$R$5:$R$604,MATCH(A138,Jobs!$A$5:$A$604,0)),""))</f>
        <v>0</v>
      </c>
      <c r="I138" s="39">
        <f>IF(A138="","",IFERROR(INDEX(Jobs!$P$5:$P$604,MATCH(A138,Jobs!$A$5:$A$604,0)),""))</f>
        <v>0</v>
      </c>
      <c r="J138" s="21">
        <f>IF(A138="","",IF(OR(I138="Completed",I138="Invoiced"),IFERROR(INDEX(Jobs!$AJ$5:$AJ$604,MATCH(A138,Jobs!$A$5:$A$604,0)),0),0))</f>
        <v>0</v>
      </c>
      <c r="K138" s="34">
        <f>IF(A138="","",IFERROR(INDEX(Jobs!$AD$5:$AD$604,MATCH(A138,Jobs!$A$5:$A$604,0)),0))</f>
        <v>0</v>
      </c>
      <c r="L138" s="34">
        <f>IF(A138="","",IFERROR(INDEX(Jobs!$AK$5:$AK$604,MATCH(A138,Jobs!$A$5:$A$604,0)),0))</f>
        <v>0</v>
      </c>
      <c r="M138" s="34">
        <f>IF(A138="","",IF(IFERROR(L138*1,0)&gt;0,L138,IFERROR(K138*1,0)))</f>
        <v>0</v>
      </c>
      <c r="N138" s="21">
        <f>IF(A138="","",SUMIFS(Timesheets!$X$5:$X$804,Timesheets!$G$5:$G$804,A138))</f>
        <v>0</v>
      </c>
      <c r="O138" s="21">
        <f>IF(A138="","",IF(N138&gt;0,N138,ROUND(M138*CostPerHour,2)))</f>
        <v>0</v>
      </c>
      <c r="P138" s="21">
        <f>IF(A138="","",SUMIFS('Supply Usage'!$L$5:$L$304,'Supply Usage'!$F$5:$F$304,A138))</f>
        <v>0</v>
      </c>
      <c r="Q138" s="21">
        <f>IF(A138="","",IF(P138&gt;0,P138,ROUND(M138*SuppliesPerHour,2)))</f>
        <v>0</v>
      </c>
      <c r="R138" s="21">
        <f>IF(A138="","",ROUND(IFERROR(INDEX(Jobs!$W$5:$W$604,MATCH(A138,Jobs!$A$5:$A$604,0)),0)*MileageRate,2))</f>
        <v>0</v>
      </c>
      <c r="T138" s="21">
        <f>IF(A138="","",O138+Q138+R138+IF(S138="",0,S138))</f>
        <v>0</v>
      </c>
      <c r="U138" s="21">
        <f>IF(A138="","",J138-T138)</f>
        <v>0</v>
      </c>
      <c r="V138" s="38">
        <f>IF(OR(A138="",J138=0),"",U138/J138)</f>
        <v>0</v>
      </c>
      <c r="W138" s="21">
        <f>IF(OR(A138="",M138=0,J138=0),"",U138/M138)</f>
        <v>0</v>
      </c>
      <c r="X138" s="34">
        <f>IF(OR(A138="",L138="",L138=0,K138=""),"",L138-K138)</f>
        <v>0</v>
      </c>
      <c r="Y138" s="31">
        <f>IF(A138="","",COUNTIFS($U$5:$U$604,"&gt;"&amp;U138)+COUNTIFS($U$5:U138,U138))</f>
        <v>0</v>
      </c>
      <c r="Z138" s="31">
        <f>IF(A138="","",COUNTIFS($W$5:$W$604,"&gt;"&amp;W138)+COUNTIFS($W$5:W138,W138))</f>
        <v>0</v>
      </c>
      <c r="AA138" s="39">
        <f>IF(A138="","",IF(J138=0,"",IF(U138&lt;0,"Loss - this job cost you money",IF(V138&lt;MarginFloor,"Below - margin under the floor",IF(V138&lt;TargetMargin,"Check - under target margin",IF(AND(X138&lt;&gt;"",X138&gt;0.5),"Check - ran over the estimate","OK"))))))</f>
        <v>0</v>
      </c>
    </row>
    <row r="139" spans="1:27">
      <c r="A139" s="43">
        <f>IF(IFERROR(INDEX(Jobs!$A$5:$A$604,ROW()-4),"")="","",IFERROR(INDEX(Jobs!$A$5:$A$604,ROW()-4),""))</f>
        <v>0</v>
      </c>
      <c r="B139" s="18">
        <f>IF(A139="","",IFERROR(INDEX(Jobs!$B$5:$B$604,MATCH(A139,Jobs!$A$5:$A$604,0)),""))</f>
        <v>0</v>
      </c>
      <c r="C139" s="23">
        <f>IF(B139="","",TEXT(B139,"yyyy-mm"))</f>
        <v>0</v>
      </c>
      <c r="D139" s="43">
        <f>IF(A139="","",IFERROR(INDEX(Jobs!$G$5:$G$604,MATCH(A139,Jobs!$A$5:$A$604,0)),""))</f>
        <v>0</v>
      </c>
      <c r="E139" s="23">
        <f>IF(A139="","",IFERROR(INDEX(Jobs!$H$5:$H$604,MATCH(A139,Jobs!$A$5:$A$604,0)),""))</f>
        <v>0</v>
      </c>
      <c r="F139" s="23">
        <f>IF(A139="","",IFERROR(INDEX(Jobs!$K$5:$K$604,MATCH(A139,Jobs!$A$5:$A$604,0)),""))</f>
        <v>0</v>
      </c>
      <c r="G139" s="23">
        <f>IF(A139="","",IFERROR(INDEX(Jobs!$M$5:$M$604,MATCH(A139,Jobs!$A$5:$A$604,0)),""))</f>
        <v>0</v>
      </c>
      <c r="H139" s="23">
        <f>IF(A139="","",IFERROR(INDEX(Jobs!$R$5:$R$604,MATCH(A139,Jobs!$A$5:$A$604,0)),""))</f>
        <v>0</v>
      </c>
      <c r="I139" s="39">
        <f>IF(A139="","",IFERROR(INDEX(Jobs!$P$5:$P$604,MATCH(A139,Jobs!$A$5:$A$604,0)),""))</f>
        <v>0</v>
      </c>
      <c r="J139" s="21">
        <f>IF(A139="","",IF(OR(I139="Completed",I139="Invoiced"),IFERROR(INDEX(Jobs!$AJ$5:$AJ$604,MATCH(A139,Jobs!$A$5:$A$604,0)),0),0))</f>
        <v>0</v>
      </c>
      <c r="K139" s="34">
        <f>IF(A139="","",IFERROR(INDEX(Jobs!$AD$5:$AD$604,MATCH(A139,Jobs!$A$5:$A$604,0)),0))</f>
        <v>0</v>
      </c>
      <c r="L139" s="34">
        <f>IF(A139="","",IFERROR(INDEX(Jobs!$AK$5:$AK$604,MATCH(A139,Jobs!$A$5:$A$604,0)),0))</f>
        <v>0</v>
      </c>
      <c r="M139" s="34">
        <f>IF(A139="","",IF(IFERROR(L139*1,0)&gt;0,L139,IFERROR(K139*1,0)))</f>
        <v>0</v>
      </c>
      <c r="N139" s="21">
        <f>IF(A139="","",SUMIFS(Timesheets!$X$5:$X$804,Timesheets!$G$5:$G$804,A139))</f>
        <v>0</v>
      </c>
      <c r="O139" s="21">
        <f>IF(A139="","",IF(N139&gt;0,N139,ROUND(M139*CostPerHour,2)))</f>
        <v>0</v>
      </c>
      <c r="P139" s="21">
        <f>IF(A139="","",SUMIFS('Supply Usage'!$L$5:$L$304,'Supply Usage'!$F$5:$F$304,A139))</f>
        <v>0</v>
      </c>
      <c r="Q139" s="21">
        <f>IF(A139="","",IF(P139&gt;0,P139,ROUND(M139*SuppliesPerHour,2)))</f>
        <v>0</v>
      </c>
      <c r="R139" s="21">
        <f>IF(A139="","",ROUND(IFERROR(INDEX(Jobs!$W$5:$W$604,MATCH(A139,Jobs!$A$5:$A$604,0)),0)*MileageRate,2))</f>
        <v>0</v>
      </c>
      <c r="T139" s="21">
        <f>IF(A139="","",O139+Q139+R139+IF(S139="",0,S139))</f>
        <v>0</v>
      </c>
      <c r="U139" s="21">
        <f>IF(A139="","",J139-T139)</f>
        <v>0</v>
      </c>
      <c r="V139" s="38">
        <f>IF(OR(A139="",J139=0),"",U139/J139)</f>
        <v>0</v>
      </c>
      <c r="W139" s="21">
        <f>IF(OR(A139="",M139=0,J139=0),"",U139/M139)</f>
        <v>0</v>
      </c>
      <c r="X139" s="34">
        <f>IF(OR(A139="",L139="",L139=0,K139=""),"",L139-K139)</f>
        <v>0</v>
      </c>
      <c r="Y139" s="31">
        <f>IF(A139="","",COUNTIFS($U$5:$U$604,"&gt;"&amp;U139)+COUNTIFS($U$5:U139,U139))</f>
        <v>0</v>
      </c>
      <c r="Z139" s="31">
        <f>IF(A139="","",COUNTIFS($W$5:$W$604,"&gt;"&amp;W139)+COUNTIFS($W$5:W139,W139))</f>
        <v>0</v>
      </c>
      <c r="AA139" s="39">
        <f>IF(A139="","",IF(J139=0,"",IF(U139&lt;0,"Loss - this job cost you money",IF(V139&lt;MarginFloor,"Below - margin under the floor",IF(V139&lt;TargetMargin,"Check - under target margin",IF(AND(X139&lt;&gt;"",X139&gt;0.5),"Check - ran over the estimate","OK"))))))</f>
        <v>0</v>
      </c>
    </row>
    <row r="140" spans="1:27">
      <c r="A140" s="43">
        <f>IF(IFERROR(INDEX(Jobs!$A$5:$A$604,ROW()-4),"")="","",IFERROR(INDEX(Jobs!$A$5:$A$604,ROW()-4),""))</f>
        <v>0</v>
      </c>
      <c r="B140" s="18">
        <f>IF(A140="","",IFERROR(INDEX(Jobs!$B$5:$B$604,MATCH(A140,Jobs!$A$5:$A$604,0)),""))</f>
        <v>0</v>
      </c>
      <c r="C140" s="23">
        <f>IF(B140="","",TEXT(B140,"yyyy-mm"))</f>
        <v>0</v>
      </c>
      <c r="D140" s="43">
        <f>IF(A140="","",IFERROR(INDEX(Jobs!$G$5:$G$604,MATCH(A140,Jobs!$A$5:$A$604,0)),""))</f>
        <v>0</v>
      </c>
      <c r="E140" s="23">
        <f>IF(A140="","",IFERROR(INDEX(Jobs!$H$5:$H$604,MATCH(A140,Jobs!$A$5:$A$604,0)),""))</f>
        <v>0</v>
      </c>
      <c r="F140" s="23">
        <f>IF(A140="","",IFERROR(INDEX(Jobs!$K$5:$K$604,MATCH(A140,Jobs!$A$5:$A$604,0)),""))</f>
        <v>0</v>
      </c>
      <c r="G140" s="23">
        <f>IF(A140="","",IFERROR(INDEX(Jobs!$M$5:$M$604,MATCH(A140,Jobs!$A$5:$A$604,0)),""))</f>
        <v>0</v>
      </c>
      <c r="H140" s="23">
        <f>IF(A140="","",IFERROR(INDEX(Jobs!$R$5:$R$604,MATCH(A140,Jobs!$A$5:$A$604,0)),""))</f>
        <v>0</v>
      </c>
      <c r="I140" s="39">
        <f>IF(A140="","",IFERROR(INDEX(Jobs!$P$5:$P$604,MATCH(A140,Jobs!$A$5:$A$604,0)),""))</f>
        <v>0</v>
      </c>
      <c r="J140" s="21">
        <f>IF(A140="","",IF(OR(I140="Completed",I140="Invoiced"),IFERROR(INDEX(Jobs!$AJ$5:$AJ$604,MATCH(A140,Jobs!$A$5:$A$604,0)),0),0))</f>
        <v>0</v>
      </c>
      <c r="K140" s="34">
        <f>IF(A140="","",IFERROR(INDEX(Jobs!$AD$5:$AD$604,MATCH(A140,Jobs!$A$5:$A$604,0)),0))</f>
        <v>0</v>
      </c>
      <c r="L140" s="34">
        <f>IF(A140="","",IFERROR(INDEX(Jobs!$AK$5:$AK$604,MATCH(A140,Jobs!$A$5:$A$604,0)),0))</f>
        <v>0</v>
      </c>
      <c r="M140" s="34">
        <f>IF(A140="","",IF(IFERROR(L140*1,0)&gt;0,L140,IFERROR(K140*1,0)))</f>
        <v>0</v>
      </c>
      <c r="N140" s="21">
        <f>IF(A140="","",SUMIFS(Timesheets!$X$5:$X$804,Timesheets!$G$5:$G$804,A140))</f>
        <v>0</v>
      </c>
      <c r="O140" s="21">
        <f>IF(A140="","",IF(N140&gt;0,N140,ROUND(M140*CostPerHour,2)))</f>
        <v>0</v>
      </c>
      <c r="P140" s="21">
        <f>IF(A140="","",SUMIFS('Supply Usage'!$L$5:$L$304,'Supply Usage'!$F$5:$F$304,A140))</f>
        <v>0</v>
      </c>
      <c r="Q140" s="21">
        <f>IF(A140="","",IF(P140&gt;0,P140,ROUND(M140*SuppliesPerHour,2)))</f>
        <v>0</v>
      </c>
      <c r="R140" s="21">
        <f>IF(A140="","",ROUND(IFERROR(INDEX(Jobs!$W$5:$W$604,MATCH(A140,Jobs!$A$5:$A$604,0)),0)*MileageRate,2))</f>
        <v>0</v>
      </c>
      <c r="T140" s="21">
        <f>IF(A140="","",O140+Q140+R140+IF(S140="",0,S140))</f>
        <v>0</v>
      </c>
      <c r="U140" s="21">
        <f>IF(A140="","",J140-T140)</f>
        <v>0</v>
      </c>
      <c r="V140" s="38">
        <f>IF(OR(A140="",J140=0),"",U140/J140)</f>
        <v>0</v>
      </c>
      <c r="W140" s="21">
        <f>IF(OR(A140="",M140=0,J140=0),"",U140/M140)</f>
        <v>0</v>
      </c>
      <c r="X140" s="34">
        <f>IF(OR(A140="",L140="",L140=0,K140=""),"",L140-K140)</f>
        <v>0</v>
      </c>
      <c r="Y140" s="31">
        <f>IF(A140="","",COUNTIFS($U$5:$U$604,"&gt;"&amp;U140)+COUNTIFS($U$5:U140,U140))</f>
        <v>0</v>
      </c>
      <c r="Z140" s="31">
        <f>IF(A140="","",COUNTIFS($W$5:$W$604,"&gt;"&amp;W140)+COUNTIFS($W$5:W140,W140))</f>
        <v>0</v>
      </c>
      <c r="AA140" s="39">
        <f>IF(A140="","",IF(J140=0,"",IF(U140&lt;0,"Loss - this job cost you money",IF(V140&lt;MarginFloor,"Below - margin under the floor",IF(V140&lt;TargetMargin,"Check - under target margin",IF(AND(X140&lt;&gt;"",X140&gt;0.5),"Check - ran over the estimate","OK"))))))</f>
        <v>0</v>
      </c>
    </row>
    <row r="141" spans="1:27">
      <c r="A141" s="43">
        <f>IF(IFERROR(INDEX(Jobs!$A$5:$A$604,ROW()-4),"")="","",IFERROR(INDEX(Jobs!$A$5:$A$604,ROW()-4),""))</f>
        <v>0</v>
      </c>
      <c r="B141" s="18">
        <f>IF(A141="","",IFERROR(INDEX(Jobs!$B$5:$B$604,MATCH(A141,Jobs!$A$5:$A$604,0)),""))</f>
        <v>0</v>
      </c>
      <c r="C141" s="23">
        <f>IF(B141="","",TEXT(B141,"yyyy-mm"))</f>
        <v>0</v>
      </c>
      <c r="D141" s="43">
        <f>IF(A141="","",IFERROR(INDEX(Jobs!$G$5:$G$604,MATCH(A141,Jobs!$A$5:$A$604,0)),""))</f>
        <v>0</v>
      </c>
      <c r="E141" s="23">
        <f>IF(A141="","",IFERROR(INDEX(Jobs!$H$5:$H$604,MATCH(A141,Jobs!$A$5:$A$604,0)),""))</f>
        <v>0</v>
      </c>
      <c r="F141" s="23">
        <f>IF(A141="","",IFERROR(INDEX(Jobs!$K$5:$K$604,MATCH(A141,Jobs!$A$5:$A$604,0)),""))</f>
        <v>0</v>
      </c>
      <c r="G141" s="23">
        <f>IF(A141="","",IFERROR(INDEX(Jobs!$M$5:$M$604,MATCH(A141,Jobs!$A$5:$A$604,0)),""))</f>
        <v>0</v>
      </c>
      <c r="H141" s="23">
        <f>IF(A141="","",IFERROR(INDEX(Jobs!$R$5:$R$604,MATCH(A141,Jobs!$A$5:$A$604,0)),""))</f>
        <v>0</v>
      </c>
      <c r="I141" s="39">
        <f>IF(A141="","",IFERROR(INDEX(Jobs!$P$5:$P$604,MATCH(A141,Jobs!$A$5:$A$604,0)),""))</f>
        <v>0</v>
      </c>
      <c r="J141" s="21">
        <f>IF(A141="","",IF(OR(I141="Completed",I141="Invoiced"),IFERROR(INDEX(Jobs!$AJ$5:$AJ$604,MATCH(A141,Jobs!$A$5:$A$604,0)),0),0))</f>
        <v>0</v>
      </c>
      <c r="K141" s="34">
        <f>IF(A141="","",IFERROR(INDEX(Jobs!$AD$5:$AD$604,MATCH(A141,Jobs!$A$5:$A$604,0)),0))</f>
        <v>0</v>
      </c>
      <c r="L141" s="34">
        <f>IF(A141="","",IFERROR(INDEX(Jobs!$AK$5:$AK$604,MATCH(A141,Jobs!$A$5:$A$604,0)),0))</f>
        <v>0</v>
      </c>
      <c r="M141" s="34">
        <f>IF(A141="","",IF(IFERROR(L141*1,0)&gt;0,L141,IFERROR(K141*1,0)))</f>
        <v>0</v>
      </c>
      <c r="N141" s="21">
        <f>IF(A141="","",SUMIFS(Timesheets!$X$5:$X$804,Timesheets!$G$5:$G$804,A141))</f>
        <v>0</v>
      </c>
      <c r="O141" s="21">
        <f>IF(A141="","",IF(N141&gt;0,N141,ROUND(M141*CostPerHour,2)))</f>
        <v>0</v>
      </c>
      <c r="P141" s="21">
        <f>IF(A141="","",SUMIFS('Supply Usage'!$L$5:$L$304,'Supply Usage'!$F$5:$F$304,A141))</f>
        <v>0</v>
      </c>
      <c r="Q141" s="21">
        <f>IF(A141="","",IF(P141&gt;0,P141,ROUND(M141*SuppliesPerHour,2)))</f>
        <v>0</v>
      </c>
      <c r="R141" s="21">
        <f>IF(A141="","",ROUND(IFERROR(INDEX(Jobs!$W$5:$W$604,MATCH(A141,Jobs!$A$5:$A$604,0)),0)*MileageRate,2))</f>
        <v>0</v>
      </c>
      <c r="T141" s="21">
        <f>IF(A141="","",O141+Q141+R141+IF(S141="",0,S141))</f>
        <v>0</v>
      </c>
      <c r="U141" s="21">
        <f>IF(A141="","",J141-T141)</f>
        <v>0</v>
      </c>
      <c r="V141" s="38">
        <f>IF(OR(A141="",J141=0),"",U141/J141)</f>
        <v>0</v>
      </c>
      <c r="W141" s="21">
        <f>IF(OR(A141="",M141=0,J141=0),"",U141/M141)</f>
        <v>0</v>
      </c>
      <c r="X141" s="34">
        <f>IF(OR(A141="",L141="",L141=0,K141=""),"",L141-K141)</f>
        <v>0</v>
      </c>
      <c r="Y141" s="31">
        <f>IF(A141="","",COUNTIFS($U$5:$U$604,"&gt;"&amp;U141)+COUNTIFS($U$5:U141,U141))</f>
        <v>0</v>
      </c>
      <c r="Z141" s="31">
        <f>IF(A141="","",COUNTIFS($W$5:$W$604,"&gt;"&amp;W141)+COUNTIFS($W$5:W141,W141))</f>
        <v>0</v>
      </c>
      <c r="AA141" s="39">
        <f>IF(A141="","",IF(J141=0,"",IF(U141&lt;0,"Loss - this job cost you money",IF(V141&lt;MarginFloor,"Below - margin under the floor",IF(V141&lt;TargetMargin,"Check - under target margin",IF(AND(X141&lt;&gt;"",X141&gt;0.5),"Check - ran over the estimate","OK"))))))</f>
        <v>0</v>
      </c>
    </row>
    <row r="142" spans="1:27">
      <c r="A142" s="43">
        <f>IF(IFERROR(INDEX(Jobs!$A$5:$A$604,ROW()-4),"")="","",IFERROR(INDEX(Jobs!$A$5:$A$604,ROW()-4),""))</f>
        <v>0</v>
      </c>
      <c r="B142" s="18">
        <f>IF(A142="","",IFERROR(INDEX(Jobs!$B$5:$B$604,MATCH(A142,Jobs!$A$5:$A$604,0)),""))</f>
        <v>0</v>
      </c>
      <c r="C142" s="23">
        <f>IF(B142="","",TEXT(B142,"yyyy-mm"))</f>
        <v>0</v>
      </c>
      <c r="D142" s="43">
        <f>IF(A142="","",IFERROR(INDEX(Jobs!$G$5:$G$604,MATCH(A142,Jobs!$A$5:$A$604,0)),""))</f>
        <v>0</v>
      </c>
      <c r="E142" s="23">
        <f>IF(A142="","",IFERROR(INDEX(Jobs!$H$5:$H$604,MATCH(A142,Jobs!$A$5:$A$604,0)),""))</f>
        <v>0</v>
      </c>
      <c r="F142" s="23">
        <f>IF(A142="","",IFERROR(INDEX(Jobs!$K$5:$K$604,MATCH(A142,Jobs!$A$5:$A$604,0)),""))</f>
        <v>0</v>
      </c>
      <c r="G142" s="23">
        <f>IF(A142="","",IFERROR(INDEX(Jobs!$M$5:$M$604,MATCH(A142,Jobs!$A$5:$A$604,0)),""))</f>
        <v>0</v>
      </c>
      <c r="H142" s="23">
        <f>IF(A142="","",IFERROR(INDEX(Jobs!$R$5:$R$604,MATCH(A142,Jobs!$A$5:$A$604,0)),""))</f>
        <v>0</v>
      </c>
      <c r="I142" s="39">
        <f>IF(A142="","",IFERROR(INDEX(Jobs!$P$5:$P$604,MATCH(A142,Jobs!$A$5:$A$604,0)),""))</f>
        <v>0</v>
      </c>
      <c r="J142" s="21">
        <f>IF(A142="","",IF(OR(I142="Completed",I142="Invoiced"),IFERROR(INDEX(Jobs!$AJ$5:$AJ$604,MATCH(A142,Jobs!$A$5:$A$604,0)),0),0))</f>
        <v>0</v>
      </c>
      <c r="K142" s="34">
        <f>IF(A142="","",IFERROR(INDEX(Jobs!$AD$5:$AD$604,MATCH(A142,Jobs!$A$5:$A$604,0)),0))</f>
        <v>0</v>
      </c>
      <c r="L142" s="34">
        <f>IF(A142="","",IFERROR(INDEX(Jobs!$AK$5:$AK$604,MATCH(A142,Jobs!$A$5:$A$604,0)),0))</f>
        <v>0</v>
      </c>
      <c r="M142" s="34">
        <f>IF(A142="","",IF(IFERROR(L142*1,0)&gt;0,L142,IFERROR(K142*1,0)))</f>
        <v>0</v>
      </c>
      <c r="N142" s="21">
        <f>IF(A142="","",SUMIFS(Timesheets!$X$5:$X$804,Timesheets!$G$5:$G$804,A142))</f>
        <v>0</v>
      </c>
      <c r="O142" s="21">
        <f>IF(A142="","",IF(N142&gt;0,N142,ROUND(M142*CostPerHour,2)))</f>
        <v>0</v>
      </c>
      <c r="P142" s="21">
        <f>IF(A142="","",SUMIFS('Supply Usage'!$L$5:$L$304,'Supply Usage'!$F$5:$F$304,A142))</f>
        <v>0</v>
      </c>
      <c r="Q142" s="21">
        <f>IF(A142="","",IF(P142&gt;0,P142,ROUND(M142*SuppliesPerHour,2)))</f>
        <v>0</v>
      </c>
      <c r="R142" s="21">
        <f>IF(A142="","",ROUND(IFERROR(INDEX(Jobs!$W$5:$W$604,MATCH(A142,Jobs!$A$5:$A$604,0)),0)*MileageRate,2))</f>
        <v>0</v>
      </c>
      <c r="T142" s="21">
        <f>IF(A142="","",O142+Q142+R142+IF(S142="",0,S142))</f>
        <v>0</v>
      </c>
      <c r="U142" s="21">
        <f>IF(A142="","",J142-T142)</f>
        <v>0</v>
      </c>
      <c r="V142" s="38">
        <f>IF(OR(A142="",J142=0),"",U142/J142)</f>
        <v>0</v>
      </c>
      <c r="W142" s="21">
        <f>IF(OR(A142="",M142=0,J142=0),"",U142/M142)</f>
        <v>0</v>
      </c>
      <c r="X142" s="34">
        <f>IF(OR(A142="",L142="",L142=0,K142=""),"",L142-K142)</f>
        <v>0</v>
      </c>
      <c r="Y142" s="31">
        <f>IF(A142="","",COUNTIFS($U$5:$U$604,"&gt;"&amp;U142)+COUNTIFS($U$5:U142,U142))</f>
        <v>0</v>
      </c>
      <c r="Z142" s="31">
        <f>IF(A142="","",COUNTIFS($W$5:$W$604,"&gt;"&amp;W142)+COUNTIFS($W$5:W142,W142))</f>
        <v>0</v>
      </c>
      <c r="AA142" s="39">
        <f>IF(A142="","",IF(J142=0,"",IF(U142&lt;0,"Loss - this job cost you money",IF(V142&lt;MarginFloor,"Below - margin under the floor",IF(V142&lt;TargetMargin,"Check - under target margin",IF(AND(X142&lt;&gt;"",X142&gt;0.5),"Check - ran over the estimate","OK"))))))</f>
        <v>0</v>
      </c>
    </row>
    <row r="143" spans="1:27">
      <c r="A143" s="43">
        <f>IF(IFERROR(INDEX(Jobs!$A$5:$A$604,ROW()-4),"")="","",IFERROR(INDEX(Jobs!$A$5:$A$604,ROW()-4),""))</f>
        <v>0</v>
      </c>
      <c r="B143" s="18">
        <f>IF(A143="","",IFERROR(INDEX(Jobs!$B$5:$B$604,MATCH(A143,Jobs!$A$5:$A$604,0)),""))</f>
        <v>0</v>
      </c>
      <c r="C143" s="23">
        <f>IF(B143="","",TEXT(B143,"yyyy-mm"))</f>
        <v>0</v>
      </c>
      <c r="D143" s="43">
        <f>IF(A143="","",IFERROR(INDEX(Jobs!$G$5:$G$604,MATCH(A143,Jobs!$A$5:$A$604,0)),""))</f>
        <v>0</v>
      </c>
      <c r="E143" s="23">
        <f>IF(A143="","",IFERROR(INDEX(Jobs!$H$5:$H$604,MATCH(A143,Jobs!$A$5:$A$604,0)),""))</f>
        <v>0</v>
      </c>
      <c r="F143" s="23">
        <f>IF(A143="","",IFERROR(INDEX(Jobs!$K$5:$K$604,MATCH(A143,Jobs!$A$5:$A$604,0)),""))</f>
        <v>0</v>
      </c>
      <c r="G143" s="23">
        <f>IF(A143="","",IFERROR(INDEX(Jobs!$M$5:$M$604,MATCH(A143,Jobs!$A$5:$A$604,0)),""))</f>
        <v>0</v>
      </c>
      <c r="H143" s="23">
        <f>IF(A143="","",IFERROR(INDEX(Jobs!$R$5:$R$604,MATCH(A143,Jobs!$A$5:$A$604,0)),""))</f>
        <v>0</v>
      </c>
      <c r="I143" s="39">
        <f>IF(A143="","",IFERROR(INDEX(Jobs!$P$5:$P$604,MATCH(A143,Jobs!$A$5:$A$604,0)),""))</f>
        <v>0</v>
      </c>
      <c r="J143" s="21">
        <f>IF(A143="","",IF(OR(I143="Completed",I143="Invoiced"),IFERROR(INDEX(Jobs!$AJ$5:$AJ$604,MATCH(A143,Jobs!$A$5:$A$604,0)),0),0))</f>
        <v>0</v>
      </c>
      <c r="K143" s="34">
        <f>IF(A143="","",IFERROR(INDEX(Jobs!$AD$5:$AD$604,MATCH(A143,Jobs!$A$5:$A$604,0)),0))</f>
        <v>0</v>
      </c>
      <c r="L143" s="34">
        <f>IF(A143="","",IFERROR(INDEX(Jobs!$AK$5:$AK$604,MATCH(A143,Jobs!$A$5:$A$604,0)),0))</f>
        <v>0</v>
      </c>
      <c r="M143" s="34">
        <f>IF(A143="","",IF(IFERROR(L143*1,0)&gt;0,L143,IFERROR(K143*1,0)))</f>
        <v>0</v>
      </c>
      <c r="N143" s="21">
        <f>IF(A143="","",SUMIFS(Timesheets!$X$5:$X$804,Timesheets!$G$5:$G$804,A143))</f>
        <v>0</v>
      </c>
      <c r="O143" s="21">
        <f>IF(A143="","",IF(N143&gt;0,N143,ROUND(M143*CostPerHour,2)))</f>
        <v>0</v>
      </c>
      <c r="P143" s="21">
        <f>IF(A143="","",SUMIFS('Supply Usage'!$L$5:$L$304,'Supply Usage'!$F$5:$F$304,A143))</f>
        <v>0</v>
      </c>
      <c r="Q143" s="21">
        <f>IF(A143="","",IF(P143&gt;0,P143,ROUND(M143*SuppliesPerHour,2)))</f>
        <v>0</v>
      </c>
      <c r="R143" s="21">
        <f>IF(A143="","",ROUND(IFERROR(INDEX(Jobs!$W$5:$W$604,MATCH(A143,Jobs!$A$5:$A$604,0)),0)*MileageRate,2))</f>
        <v>0</v>
      </c>
      <c r="T143" s="21">
        <f>IF(A143="","",O143+Q143+R143+IF(S143="",0,S143))</f>
        <v>0</v>
      </c>
      <c r="U143" s="21">
        <f>IF(A143="","",J143-T143)</f>
        <v>0</v>
      </c>
      <c r="V143" s="38">
        <f>IF(OR(A143="",J143=0),"",U143/J143)</f>
        <v>0</v>
      </c>
      <c r="W143" s="21">
        <f>IF(OR(A143="",M143=0,J143=0),"",U143/M143)</f>
        <v>0</v>
      </c>
      <c r="X143" s="34">
        <f>IF(OR(A143="",L143="",L143=0,K143=""),"",L143-K143)</f>
        <v>0</v>
      </c>
      <c r="Y143" s="31">
        <f>IF(A143="","",COUNTIFS($U$5:$U$604,"&gt;"&amp;U143)+COUNTIFS($U$5:U143,U143))</f>
        <v>0</v>
      </c>
      <c r="Z143" s="31">
        <f>IF(A143="","",COUNTIFS($W$5:$W$604,"&gt;"&amp;W143)+COUNTIFS($W$5:W143,W143))</f>
        <v>0</v>
      </c>
      <c r="AA143" s="39">
        <f>IF(A143="","",IF(J143=0,"",IF(U143&lt;0,"Loss - this job cost you money",IF(V143&lt;MarginFloor,"Below - margin under the floor",IF(V143&lt;TargetMargin,"Check - under target margin",IF(AND(X143&lt;&gt;"",X143&gt;0.5),"Check - ran over the estimate","OK"))))))</f>
        <v>0</v>
      </c>
    </row>
    <row r="144" spans="1:27">
      <c r="A144" s="43">
        <f>IF(IFERROR(INDEX(Jobs!$A$5:$A$604,ROW()-4),"")="","",IFERROR(INDEX(Jobs!$A$5:$A$604,ROW()-4),""))</f>
        <v>0</v>
      </c>
      <c r="B144" s="18">
        <f>IF(A144="","",IFERROR(INDEX(Jobs!$B$5:$B$604,MATCH(A144,Jobs!$A$5:$A$604,0)),""))</f>
        <v>0</v>
      </c>
      <c r="C144" s="23">
        <f>IF(B144="","",TEXT(B144,"yyyy-mm"))</f>
        <v>0</v>
      </c>
      <c r="D144" s="43">
        <f>IF(A144="","",IFERROR(INDEX(Jobs!$G$5:$G$604,MATCH(A144,Jobs!$A$5:$A$604,0)),""))</f>
        <v>0</v>
      </c>
      <c r="E144" s="23">
        <f>IF(A144="","",IFERROR(INDEX(Jobs!$H$5:$H$604,MATCH(A144,Jobs!$A$5:$A$604,0)),""))</f>
        <v>0</v>
      </c>
      <c r="F144" s="23">
        <f>IF(A144="","",IFERROR(INDEX(Jobs!$K$5:$K$604,MATCH(A144,Jobs!$A$5:$A$604,0)),""))</f>
        <v>0</v>
      </c>
      <c r="G144" s="23">
        <f>IF(A144="","",IFERROR(INDEX(Jobs!$M$5:$M$604,MATCH(A144,Jobs!$A$5:$A$604,0)),""))</f>
        <v>0</v>
      </c>
      <c r="H144" s="23">
        <f>IF(A144="","",IFERROR(INDEX(Jobs!$R$5:$R$604,MATCH(A144,Jobs!$A$5:$A$604,0)),""))</f>
        <v>0</v>
      </c>
      <c r="I144" s="39">
        <f>IF(A144="","",IFERROR(INDEX(Jobs!$P$5:$P$604,MATCH(A144,Jobs!$A$5:$A$604,0)),""))</f>
        <v>0</v>
      </c>
      <c r="J144" s="21">
        <f>IF(A144="","",IF(OR(I144="Completed",I144="Invoiced"),IFERROR(INDEX(Jobs!$AJ$5:$AJ$604,MATCH(A144,Jobs!$A$5:$A$604,0)),0),0))</f>
        <v>0</v>
      </c>
      <c r="K144" s="34">
        <f>IF(A144="","",IFERROR(INDEX(Jobs!$AD$5:$AD$604,MATCH(A144,Jobs!$A$5:$A$604,0)),0))</f>
        <v>0</v>
      </c>
      <c r="L144" s="34">
        <f>IF(A144="","",IFERROR(INDEX(Jobs!$AK$5:$AK$604,MATCH(A144,Jobs!$A$5:$A$604,0)),0))</f>
        <v>0</v>
      </c>
      <c r="M144" s="34">
        <f>IF(A144="","",IF(IFERROR(L144*1,0)&gt;0,L144,IFERROR(K144*1,0)))</f>
        <v>0</v>
      </c>
      <c r="N144" s="21">
        <f>IF(A144="","",SUMIFS(Timesheets!$X$5:$X$804,Timesheets!$G$5:$G$804,A144))</f>
        <v>0</v>
      </c>
      <c r="O144" s="21">
        <f>IF(A144="","",IF(N144&gt;0,N144,ROUND(M144*CostPerHour,2)))</f>
        <v>0</v>
      </c>
      <c r="P144" s="21">
        <f>IF(A144="","",SUMIFS('Supply Usage'!$L$5:$L$304,'Supply Usage'!$F$5:$F$304,A144))</f>
        <v>0</v>
      </c>
      <c r="Q144" s="21">
        <f>IF(A144="","",IF(P144&gt;0,P144,ROUND(M144*SuppliesPerHour,2)))</f>
        <v>0</v>
      </c>
      <c r="R144" s="21">
        <f>IF(A144="","",ROUND(IFERROR(INDEX(Jobs!$W$5:$W$604,MATCH(A144,Jobs!$A$5:$A$604,0)),0)*MileageRate,2))</f>
        <v>0</v>
      </c>
      <c r="T144" s="21">
        <f>IF(A144="","",O144+Q144+R144+IF(S144="",0,S144))</f>
        <v>0</v>
      </c>
      <c r="U144" s="21">
        <f>IF(A144="","",J144-T144)</f>
        <v>0</v>
      </c>
      <c r="V144" s="38">
        <f>IF(OR(A144="",J144=0),"",U144/J144)</f>
        <v>0</v>
      </c>
      <c r="W144" s="21">
        <f>IF(OR(A144="",M144=0,J144=0),"",U144/M144)</f>
        <v>0</v>
      </c>
      <c r="X144" s="34">
        <f>IF(OR(A144="",L144="",L144=0,K144=""),"",L144-K144)</f>
        <v>0</v>
      </c>
      <c r="Y144" s="31">
        <f>IF(A144="","",COUNTIFS($U$5:$U$604,"&gt;"&amp;U144)+COUNTIFS($U$5:U144,U144))</f>
        <v>0</v>
      </c>
      <c r="Z144" s="31">
        <f>IF(A144="","",COUNTIFS($W$5:$W$604,"&gt;"&amp;W144)+COUNTIFS($W$5:W144,W144))</f>
        <v>0</v>
      </c>
      <c r="AA144" s="39">
        <f>IF(A144="","",IF(J144=0,"",IF(U144&lt;0,"Loss - this job cost you money",IF(V144&lt;MarginFloor,"Below - margin under the floor",IF(V144&lt;TargetMargin,"Check - under target margin",IF(AND(X144&lt;&gt;"",X144&gt;0.5),"Check - ran over the estimate","OK"))))))</f>
        <v>0</v>
      </c>
    </row>
    <row r="145" spans="1:27">
      <c r="A145" s="43">
        <f>IF(IFERROR(INDEX(Jobs!$A$5:$A$604,ROW()-4),"")="","",IFERROR(INDEX(Jobs!$A$5:$A$604,ROW()-4),""))</f>
        <v>0</v>
      </c>
      <c r="B145" s="18">
        <f>IF(A145="","",IFERROR(INDEX(Jobs!$B$5:$B$604,MATCH(A145,Jobs!$A$5:$A$604,0)),""))</f>
        <v>0</v>
      </c>
      <c r="C145" s="23">
        <f>IF(B145="","",TEXT(B145,"yyyy-mm"))</f>
        <v>0</v>
      </c>
      <c r="D145" s="43">
        <f>IF(A145="","",IFERROR(INDEX(Jobs!$G$5:$G$604,MATCH(A145,Jobs!$A$5:$A$604,0)),""))</f>
        <v>0</v>
      </c>
      <c r="E145" s="23">
        <f>IF(A145="","",IFERROR(INDEX(Jobs!$H$5:$H$604,MATCH(A145,Jobs!$A$5:$A$604,0)),""))</f>
        <v>0</v>
      </c>
      <c r="F145" s="23">
        <f>IF(A145="","",IFERROR(INDEX(Jobs!$K$5:$K$604,MATCH(A145,Jobs!$A$5:$A$604,0)),""))</f>
        <v>0</v>
      </c>
      <c r="G145" s="23">
        <f>IF(A145="","",IFERROR(INDEX(Jobs!$M$5:$M$604,MATCH(A145,Jobs!$A$5:$A$604,0)),""))</f>
        <v>0</v>
      </c>
      <c r="H145" s="23">
        <f>IF(A145="","",IFERROR(INDEX(Jobs!$R$5:$R$604,MATCH(A145,Jobs!$A$5:$A$604,0)),""))</f>
        <v>0</v>
      </c>
      <c r="I145" s="39">
        <f>IF(A145="","",IFERROR(INDEX(Jobs!$P$5:$P$604,MATCH(A145,Jobs!$A$5:$A$604,0)),""))</f>
        <v>0</v>
      </c>
      <c r="J145" s="21">
        <f>IF(A145="","",IF(OR(I145="Completed",I145="Invoiced"),IFERROR(INDEX(Jobs!$AJ$5:$AJ$604,MATCH(A145,Jobs!$A$5:$A$604,0)),0),0))</f>
        <v>0</v>
      </c>
      <c r="K145" s="34">
        <f>IF(A145="","",IFERROR(INDEX(Jobs!$AD$5:$AD$604,MATCH(A145,Jobs!$A$5:$A$604,0)),0))</f>
        <v>0</v>
      </c>
      <c r="L145" s="34">
        <f>IF(A145="","",IFERROR(INDEX(Jobs!$AK$5:$AK$604,MATCH(A145,Jobs!$A$5:$A$604,0)),0))</f>
        <v>0</v>
      </c>
      <c r="M145" s="34">
        <f>IF(A145="","",IF(IFERROR(L145*1,0)&gt;0,L145,IFERROR(K145*1,0)))</f>
        <v>0</v>
      </c>
      <c r="N145" s="21">
        <f>IF(A145="","",SUMIFS(Timesheets!$X$5:$X$804,Timesheets!$G$5:$G$804,A145))</f>
        <v>0</v>
      </c>
      <c r="O145" s="21">
        <f>IF(A145="","",IF(N145&gt;0,N145,ROUND(M145*CostPerHour,2)))</f>
        <v>0</v>
      </c>
      <c r="P145" s="21">
        <f>IF(A145="","",SUMIFS('Supply Usage'!$L$5:$L$304,'Supply Usage'!$F$5:$F$304,A145))</f>
        <v>0</v>
      </c>
      <c r="Q145" s="21">
        <f>IF(A145="","",IF(P145&gt;0,P145,ROUND(M145*SuppliesPerHour,2)))</f>
        <v>0</v>
      </c>
      <c r="R145" s="21">
        <f>IF(A145="","",ROUND(IFERROR(INDEX(Jobs!$W$5:$W$604,MATCH(A145,Jobs!$A$5:$A$604,0)),0)*MileageRate,2))</f>
        <v>0</v>
      </c>
      <c r="T145" s="21">
        <f>IF(A145="","",O145+Q145+R145+IF(S145="",0,S145))</f>
        <v>0</v>
      </c>
      <c r="U145" s="21">
        <f>IF(A145="","",J145-T145)</f>
        <v>0</v>
      </c>
      <c r="V145" s="38">
        <f>IF(OR(A145="",J145=0),"",U145/J145)</f>
        <v>0</v>
      </c>
      <c r="W145" s="21">
        <f>IF(OR(A145="",M145=0,J145=0),"",U145/M145)</f>
        <v>0</v>
      </c>
      <c r="X145" s="34">
        <f>IF(OR(A145="",L145="",L145=0,K145=""),"",L145-K145)</f>
        <v>0</v>
      </c>
      <c r="Y145" s="31">
        <f>IF(A145="","",COUNTIFS($U$5:$U$604,"&gt;"&amp;U145)+COUNTIFS($U$5:U145,U145))</f>
        <v>0</v>
      </c>
      <c r="Z145" s="31">
        <f>IF(A145="","",COUNTIFS($W$5:$W$604,"&gt;"&amp;W145)+COUNTIFS($W$5:W145,W145))</f>
        <v>0</v>
      </c>
      <c r="AA145" s="39">
        <f>IF(A145="","",IF(J145=0,"",IF(U145&lt;0,"Loss - this job cost you money",IF(V145&lt;MarginFloor,"Below - margin under the floor",IF(V145&lt;TargetMargin,"Check - under target margin",IF(AND(X145&lt;&gt;"",X145&gt;0.5),"Check - ran over the estimate","OK"))))))</f>
        <v>0</v>
      </c>
    </row>
    <row r="146" spans="1:27">
      <c r="A146" s="43">
        <f>IF(IFERROR(INDEX(Jobs!$A$5:$A$604,ROW()-4),"")="","",IFERROR(INDEX(Jobs!$A$5:$A$604,ROW()-4),""))</f>
        <v>0</v>
      </c>
      <c r="B146" s="18">
        <f>IF(A146="","",IFERROR(INDEX(Jobs!$B$5:$B$604,MATCH(A146,Jobs!$A$5:$A$604,0)),""))</f>
        <v>0</v>
      </c>
      <c r="C146" s="23">
        <f>IF(B146="","",TEXT(B146,"yyyy-mm"))</f>
        <v>0</v>
      </c>
      <c r="D146" s="43">
        <f>IF(A146="","",IFERROR(INDEX(Jobs!$G$5:$G$604,MATCH(A146,Jobs!$A$5:$A$604,0)),""))</f>
        <v>0</v>
      </c>
      <c r="E146" s="23">
        <f>IF(A146="","",IFERROR(INDEX(Jobs!$H$5:$H$604,MATCH(A146,Jobs!$A$5:$A$604,0)),""))</f>
        <v>0</v>
      </c>
      <c r="F146" s="23">
        <f>IF(A146="","",IFERROR(INDEX(Jobs!$K$5:$K$604,MATCH(A146,Jobs!$A$5:$A$604,0)),""))</f>
        <v>0</v>
      </c>
      <c r="G146" s="23">
        <f>IF(A146="","",IFERROR(INDEX(Jobs!$M$5:$M$604,MATCH(A146,Jobs!$A$5:$A$604,0)),""))</f>
        <v>0</v>
      </c>
      <c r="H146" s="23">
        <f>IF(A146="","",IFERROR(INDEX(Jobs!$R$5:$R$604,MATCH(A146,Jobs!$A$5:$A$604,0)),""))</f>
        <v>0</v>
      </c>
      <c r="I146" s="39">
        <f>IF(A146="","",IFERROR(INDEX(Jobs!$P$5:$P$604,MATCH(A146,Jobs!$A$5:$A$604,0)),""))</f>
        <v>0</v>
      </c>
      <c r="J146" s="21">
        <f>IF(A146="","",IF(OR(I146="Completed",I146="Invoiced"),IFERROR(INDEX(Jobs!$AJ$5:$AJ$604,MATCH(A146,Jobs!$A$5:$A$604,0)),0),0))</f>
        <v>0</v>
      </c>
      <c r="K146" s="34">
        <f>IF(A146="","",IFERROR(INDEX(Jobs!$AD$5:$AD$604,MATCH(A146,Jobs!$A$5:$A$604,0)),0))</f>
        <v>0</v>
      </c>
      <c r="L146" s="34">
        <f>IF(A146="","",IFERROR(INDEX(Jobs!$AK$5:$AK$604,MATCH(A146,Jobs!$A$5:$A$604,0)),0))</f>
        <v>0</v>
      </c>
      <c r="M146" s="34">
        <f>IF(A146="","",IF(IFERROR(L146*1,0)&gt;0,L146,IFERROR(K146*1,0)))</f>
        <v>0</v>
      </c>
      <c r="N146" s="21">
        <f>IF(A146="","",SUMIFS(Timesheets!$X$5:$X$804,Timesheets!$G$5:$G$804,A146))</f>
        <v>0</v>
      </c>
      <c r="O146" s="21">
        <f>IF(A146="","",IF(N146&gt;0,N146,ROUND(M146*CostPerHour,2)))</f>
        <v>0</v>
      </c>
      <c r="P146" s="21">
        <f>IF(A146="","",SUMIFS('Supply Usage'!$L$5:$L$304,'Supply Usage'!$F$5:$F$304,A146))</f>
        <v>0</v>
      </c>
      <c r="Q146" s="21">
        <f>IF(A146="","",IF(P146&gt;0,P146,ROUND(M146*SuppliesPerHour,2)))</f>
        <v>0</v>
      </c>
      <c r="R146" s="21">
        <f>IF(A146="","",ROUND(IFERROR(INDEX(Jobs!$W$5:$W$604,MATCH(A146,Jobs!$A$5:$A$604,0)),0)*MileageRate,2))</f>
        <v>0</v>
      </c>
      <c r="T146" s="21">
        <f>IF(A146="","",O146+Q146+R146+IF(S146="",0,S146))</f>
        <v>0</v>
      </c>
      <c r="U146" s="21">
        <f>IF(A146="","",J146-T146)</f>
        <v>0</v>
      </c>
      <c r="V146" s="38">
        <f>IF(OR(A146="",J146=0),"",U146/J146)</f>
        <v>0</v>
      </c>
      <c r="W146" s="21">
        <f>IF(OR(A146="",M146=0,J146=0),"",U146/M146)</f>
        <v>0</v>
      </c>
      <c r="X146" s="34">
        <f>IF(OR(A146="",L146="",L146=0,K146=""),"",L146-K146)</f>
        <v>0</v>
      </c>
      <c r="Y146" s="31">
        <f>IF(A146="","",COUNTIFS($U$5:$U$604,"&gt;"&amp;U146)+COUNTIFS($U$5:U146,U146))</f>
        <v>0</v>
      </c>
      <c r="Z146" s="31">
        <f>IF(A146="","",COUNTIFS($W$5:$W$604,"&gt;"&amp;W146)+COUNTIFS($W$5:W146,W146))</f>
        <v>0</v>
      </c>
      <c r="AA146" s="39">
        <f>IF(A146="","",IF(J146=0,"",IF(U146&lt;0,"Loss - this job cost you money",IF(V146&lt;MarginFloor,"Below - margin under the floor",IF(V146&lt;TargetMargin,"Check - under target margin",IF(AND(X146&lt;&gt;"",X146&gt;0.5),"Check - ran over the estimate","OK"))))))</f>
        <v>0</v>
      </c>
    </row>
    <row r="147" spans="1:27">
      <c r="A147" s="43">
        <f>IF(IFERROR(INDEX(Jobs!$A$5:$A$604,ROW()-4),"")="","",IFERROR(INDEX(Jobs!$A$5:$A$604,ROW()-4),""))</f>
        <v>0</v>
      </c>
      <c r="B147" s="18">
        <f>IF(A147="","",IFERROR(INDEX(Jobs!$B$5:$B$604,MATCH(A147,Jobs!$A$5:$A$604,0)),""))</f>
        <v>0</v>
      </c>
      <c r="C147" s="23">
        <f>IF(B147="","",TEXT(B147,"yyyy-mm"))</f>
        <v>0</v>
      </c>
      <c r="D147" s="43">
        <f>IF(A147="","",IFERROR(INDEX(Jobs!$G$5:$G$604,MATCH(A147,Jobs!$A$5:$A$604,0)),""))</f>
        <v>0</v>
      </c>
      <c r="E147" s="23">
        <f>IF(A147="","",IFERROR(INDEX(Jobs!$H$5:$H$604,MATCH(A147,Jobs!$A$5:$A$604,0)),""))</f>
        <v>0</v>
      </c>
      <c r="F147" s="23">
        <f>IF(A147="","",IFERROR(INDEX(Jobs!$K$5:$K$604,MATCH(A147,Jobs!$A$5:$A$604,0)),""))</f>
        <v>0</v>
      </c>
      <c r="G147" s="23">
        <f>IF(A147="","",IFERROR(INDEX(Jobs!$M$5:$M$604,MATCH(A147,Jobs!$A$5:$A$604,0)),""))</f>
        <v>0</v>
      </c>
      <c r="H147" s="23">
        <f>IF(A147="","",IFERROR(INDEX(Jobs!$R$5:$R$604,MATCH(A147,Jobs!$A$5:$A$604,0)),""))</f>
        <v>0</v>
      </c>
      <c r="I147" s="39">
        <f>IF(A147="","",IFERROR(INDEX(Jobs!$P$5:$P$604,MATCH(A147,Jobs!$A$5:$A$604,0)),""))</f>
        <v>0</v>
      </c>
      <c r="J147" s="21">
        <f>IF(A147="","",IF(OR(I147="Completed",I147="Invoiced"),IFERROR(INDEX(Jobs!$AJ$5:$AJ$604,MATCH(A147,Jobs!$A$5:$A$604,0)),0),0))</f>
        <v>0</v>
      </c>
      <c r="K147" s="34">
        <f>IF(A147="","",IFERROR(INDEX(Jobs!$AD$5:$AD$604,MATCH(A147,Jobs!$A$5:$A$604,0)),0))</f>
        <v>0</v>
      </c>
      <c r="L147" s="34">
        <f>IF(A147="","",IFERROR(INDEX(Jobs!$AK$5:$AK$604,MATCH(A147,Jobs!$A$5:$A$604,0)),0))</f>
        <v>0</v>
      </c>
      <c r="M147" s="34">
        <f>IF(A147="","",IF(IFERROR(L147*1,0)&gt;0,L147,IFERROR(K147*1,0)))</f>
        <v>0</v>
      </c>
      <c r="N147" s="21">
        <f>IF(A147="","",SUMIFS(Timesheets!$X$5:$X$804,Timesheets!$G$5:$G$804,A147))</f>
        <v>0</v>
      </c>
      <c r="O147" s="21">
        <f>IF(A147="","",IF(N147&gt;0,N147,ROUND(M147*CostPerHour,2)))</f>
        <v>0</v>
      </c>
      <c r="P147" s="21">
        <f>IF(A147="","",SUMIFS('Supply Usage'!$L$5:$L$304,'Supply Usage'!$F$5:$F$304,A147))</f>
        <v>0</v>
      </c>
      <c r="Q147" s="21">
        <f>IF(A147="","",IF(P147&gt;0,P147,ROUND(M147*SuppliesPerHour,2)))</f>
        <v>0</v>
      </c>
      <c r="R147" s="21">
        <f>IF(A147="","",ROUND(IFERROR(INDEX(Jobs!$W$5:$W$604,MATCH(A147,Jobs!$A$5:$A$604,0)),0)*MileageRate,2))</f>
        <v>0</v>
      </c>
      <c r="T147" s="21">
        <f>IF(A147="","",O147+Q147+R147+IF(S147="",0,S147))</f>
        <v>0</v>
      </c>
      <c r="U147" s="21">
        <f>IF(A147="","",J147-T147)</f>
        <v>0</v>
      </c>
      <c r="V147" s="38">
        <f>IF(OR(A147="",J147=0),"",U147/J147)</f>
        <v>0</v>
      </c>
      <c r="W147" s="21">
        <f>IF(OR(A147="",M147=0,J147=0),"",U147/M147)</f>
        <v>0</v>
      </c>
      <c r="X147" s="34">
        <f>IF(OR(A147="",L147="",L147=0,K147=""),"",L147-K147)</f>
        <v>0</v>
      </c>
      <c r="Y147" s="31">
        <f>IF(A147="","",COUNTIFS($U$5:$U$604,"&gt;"&amp;U147)+COUNTIFS($U$5:U147,U147))</f>
        <v>0</v>
      </c>
      <c r="Z147" s="31">
        <f>IF(A147="","",COUNTIFS($W$5:$W$604,"&gt;"&amp;W147)+COUNTIFS($W$5:W147,W147))</f>
        <v>0</v>
      </c>
      <c r="AA147" s="39">
        <f>IF(A147="","",IF(J147=0,"",IF(U147&lt;0,"Loss - this job cost you money",IF(V147&lt;MarginFloor,"Below - margin under the floor",IF(V147&lt;TargetMargin,"Check - under target margin",IF(AND(X147&lt;&gt;"",X147&gt;0.5),"Check - ran over the estimate","OK"))))))</f>
        <v>0</v>
      </c>
    </row>
    <row r="148" spans="1:27">
      <c r="A148" s="43">
        <f>IF(IFERROR(INDEX(Jobs!$A$5:$A$604,ROW()-4),"")="","",IFERROR(INDEX(Jobs!$A$5:$A$604,ROW()-4),""))</f>
        <v>0</v>
      </c>
      <c r="B148" s="18">
        <f>IF(A148="","",IFERROR(INDEX(Jobs!$B$5:$B$604,MATCH(A148,Jobs!$A$5:$A$604,0)),""))</f>
        <v>0</v>
      </c>
      <c r="C148" s="23">
        <f>IF(B148="","",TEXT(B148,"yyyy-mm"))</f>
        <v>0</v>
      </c>
      <c r="D148" s="43">
        <f>IF(A148="","",IFERROR(INDEX(Jobs!$G$5:$G$604,MATCH(A148,Jobs!$A$5:$A$604,0)),""))</f>
        <v>0</v>
      </c>
      <c r="E148" s="23">
        <f>IF(A148="","",IFERROR(INDEX(Jobs!$H$5:$H$604,MATCH(A148,Jobs!$A$5:$A$604,0)),""))</f>
        <v>0</v>
      </c>
      <c r="F148" s="23">
        <f>IF(A148="","",IFERROR(INDEX(Jobs!$K$5:$K$604,MATCH(A148,Jobs!$A$5:$A$604,0)),""))</f>
        <v>0</v>
      </c>
      <c r="G148" s="23">
        <f>IF(A148="","",IFERROR(INDEX(Jobs!$M$5:$M$604,MATCH(A148,Jobs!$A$5:$A$604,0)),""))</f>
        <v>0</v>
      </c>
      <c r="H148" s="23">
        <f>IF(A148="","",IFERROR(INDEX(Jobs!$R$5:$R$604,MATCH(A148,Jobs!$A$5:$A$604,0)),""))</f>
        <v>0</v>
      </c>
      <c r="I148" s="39">
        <f>IF(A148="","",IFERROR(INDEX(Jobs!$P$5:$P$604,MATCH(A148,Jobs!$A$5:$A$604,0)),""))</f>
        <v>0</v>
      </c>
      <c r="J148" s="21">
        <f>IF(A148="","",IF(OR(I148="Completed",I148="Invoiced"),IFERROR(INDEX(Jobs!$AJ$5:$AJ$604,MATCH(A148,Jobs!$A$5:$A$604,0)),0),0))</f>
        <v>0</v>
      </c>
      <c r="K148" s="34">
        <f>IF(A148="","",IFERROR(INDEX(Jobs!$AD$5:$AD$604,MATCH(A148,Jobs!$A$5:$A$604,0)),0))</f>
        <v>0</v>
      </c>
      <c r="L148" s="34">
        <f>IF(A148="","",IFERROR(INDEX(Jobs!$AK$5:$AK$604,MATCH(A148,Jobs!$A$5:$A$604,0)),0))</f>
        <v>0</v>
      </c>
      <c r="M148" s="34">
        <f>IF(A148="","",IF(IFERROR(L148*1,0)&gt;0,L148,IFERROR(K148*1,0)))</f>
        <v>0</v>
      </c>
      <c r="N148" s="21">
        <f>IF(A148="","",SUMIFS(Timesheets!$X$5:$X$804,Timesheets!$G$5:$G$804,A148))</f>
        <v>0</v>
      </c>
      <c r="O148" s="21">
        <f>IF(A148="","",IF(N148&gt;0,N148,ROUND(M148*CostPerHour,2)))</f>
        <v>0</v>
      </c>
      <c r="P148" s="21">
        <f>IF(A148="","",SUMIFS('Supply Usage'!$L$5:$L$304,'Supply Usage'!$F$5:$F$304,A148))</f>
        <v>0</v>
      </c>
      <c r="Q148" s="21">
        <f>IF(A148="","",IF(P148&gt;0,P148,ROUND(M148*SuppliesPerHour,2)))</f>
        <v>0</v>
      </c>
      <c r="R148" s="21">
        <f>IF(A148="","",ROUND(IFERROR(INDEX(Jobs!$W$5:$W$604,MATCH(A148,Jobs!$A$5:$A$604,0)),0)*MileageRate,2))</f>
        <v>0</v>
      </c>
      <c r="T148" s="21">
        <f>IF(A148="","",O148+Q148+R148+IF(S148="",0,S148))</f>
        <v>0</v>
      </c>
      <c r="U148" s="21">
        <f>IF(A148="","",J148-T148)</f>
        <v>0</v>
      </c>
      <c r="V148" s="38">
        <f>IF(OR(A148="",J148=0),"",U148/J148)</f>
        <v>0</v>
      </c>
      <c r="W148" s="21">
        <f>IF(OR(A148="",M148=0,J148=0),"",U148/M148)</f>
        <v>0</v>
      </c>
      <c r="X148" s="34">
        <f>IF(OR(A148="",L148="",L148=0,K148=""),"",L148-K148)</f>
        <v>0</v>
      </c>
      <c r="Y148" s="31">
        <f>IF(A148="","",COUNTIFS($U$5:$U$604,"&gt;"&amp;U148)+COUNTIFS($U$5:U148,U148))</f>
        <v>0</v>
      </c>
      <c r="Z148" s="31">
        <f>IF(A148="","",COUNTIFS($W$5:$W$604,"&gt;"&amp;W148)+COUNTIFS($W$5:W148,W148))</f>
        <v>0</v>
      </c>
      <c r="AA148" s="39">
        <f>IF(A148="","",IF(J148=0,"",IF(U148&lt;0,"Loss - this job cost you money",IF(V148&lt;MarginFloor,"Below - margin under the floor",IF(V148&lt;TargetMargin,"Check - under target margin",IF(AND(X148&lt;&gt;"",X148&gt;0.5),"Check - ran over the estimate","OK"))))))</f>
        <v>0</v>
      </c>
    </row>
    <row r="149" spans="1:27">
      <c r="A149" s="43">
        <f>IF(IFERROR(INDEX(Jobs!$A$5:$A$604,ROW()-4),"")="","",IFERROR(INDEX(Jobs!$A$5:$A$604,ROW()-4),""))</f>
        <v>0</v>
      </c>
      <c r="B149" s="18">
        <f>IF(A149="","",IFERROR(INDEX(Jobs!$B$5:$B$604,MATCH(A149,Jobs!$A$5:$A$604,0)),""))</f>
        <v>0</v>
      </c>
      <c r="C149" s="23">
        <f>IF(B149="","",TEXT(B149,"yyyy-mm"))</f>
        <v>0</v>
      </c>
      <c r="D149" s="43">
        <f>IF(A149="","",IFERROR(INDEX(Jobs!$G$5:$G$604,MATCH(A149,Jobs!$A$5:$A$604,0)),""))</f>
        <v>0</v>
      </c>
      <c r="E149" s="23">
        <f>IF(A149="","",IFERROR(INDEX(Jobs!$H$5:$H$604,MATCH(A149,Jobs!$A$5:$A$604,0)),""))</f>
        <v>0</v>
      </c>
      <c r="F149" s="23">
        <f>IF(A149="","",IFERROR(INDEX(Jobs!$K$5:$K$604,MATCH(A149,Jobs!$A$5:$A$604,0)),""))</f>
        <v>0</v>
      </c>
      <c r="G149" s="23">
        <f>IF(A149="","",IFERROR(INDEX(Jobs!$M$5:$M$604,MATCH(A149,Jobs!$A$5:$A$604,0)),""))</f>
        <v>0</v>
      </c>
      <c r="H149" s="23">
        <f>IF(A149="","",IFERROR(INDEX(Jobs!$R$5:$R$604,MATCH(A149,Jobs!$A$5:$A$604,0)),""))</f>
        <v>0</v>
      </c>
      <c r="I149" s="39">
        <f>IF(A149="","",IFERROR(INDEX(Jobs!$P$5:$P$604,MATCH(A149,Jobs!$A$5:$A$604,0)),""))</f>
        <v>0</v>
      </c>
      <c r="J149" s="21">
        <f>IF(A149="","",IF(OR(I149="Completed",I149="Invoiced"),IFERROR(INDEX(Jobs!$AJ$5:$AJ$604,MATCH(A149,Jobs!$A$5:$A$604,0)),0),0))</f>
        <v>0</v>
      </c>
      <c r="K149" s="34">
        <f>IF(A149="","",IFERROR(INDEX(Jobs!$AD$5:$AD$604,MATCH(A149,Jobs!$A$5:$A$604,0)),0))</f>
        <v>0</v>
      </c>
      <c r="L149" s="34">
        <f>IF(A149="","",IFERROR(INDEX(Jobs!$AK$5:$AK$604,MATCH(A149,Jobs!$A$5:$A$604,0)),0))</f>
        <v>0</v>
      </c>
      <c r="M149" s="34">
        <f>IF(A149="","",IF(IFERROR(L149*1,0)&gt;0,L149,IFERROR(K149*1,0)))</f>
        <v>0</v>
      </c>
      <c r="N149" s="21">
        <f>IF(A149="","",SUMIFS(Timesheets!$X$5:$X$804,Timesheets!$G$5:$G$804,A149))</f>
        <v>0</v>
      </c>
      <c r="O149" s="21">
        <f>IF(A149="","",IF(N149&gt;0,N149,ROUND(M149*CostPerHour,2)))</f>
        <v>0</v>
      </c>
      <c r="P149" s="21">
        <f>IF(A149="","",SUMIFS('Supply Usage'!$L$5:$L$304,'Supply Usage'!$F$5:$F$304,A149))</f>
        <v>0</v>
      </c>
      <c r="Q149" s="21">
        <f>IF(A149="","",IF(P149&gt;0,P149,ROUND(M149*SuppliesPerHour,2)))</f>
        <v>0</v>
      </c>
      <c r="R149" s="21">
        <f>IF(A149="","",ROUND(IFERROR(INDEX(Jobs!$W$5:$W$604,MATCH(A149,Jobs!$A$5:$A$604,0)),0)*MileageRate,2))</f>
        <v>0</v>
      </c>
      <c r="T149" s="21">
        <f>IF(A149="","",O149+Q149+R149+IF(S149="",0,S149))</f>
        <v>0</v>
      </c>
      <c r="U149" s="21">
        <f>IF(A149="","",J149-T149)</f>
        <v>0</v>
      </c>
      <c r="V149" s="38">
        <f>IF(OR(A149="",J149=0),"",U149/J149)</f>
        <v>0</v>
      </c>
      <c r="W149" s="21">
        <f>IF(OR(A149="",M149=0,J149=0),"",U149/M149)</f>
        <v>0</v>
      </c>
      <c r="X149" s="34">
        <f>IF(OR(A149="",L149="",L149=0,K149=""),"",L149-K149)</f>
        <v>0</v>
      </c>
      <c r="Y149" s="31">
        <f>IF(A149="","",COUNTIFS($U$5:$U$604,"&gt;"&amp;U149)+COUNTIFS($U$5:U149,U149))</f>
        <v>0</v>
      </c>
      <c r="Z149" s="31">
        <f>IF(A149="","",COUNTIFS($W$5:$W$604,"&gt;"&amp;W149)+COUNTIFS($W$5:W149,W149))</f>
        <v>0</v>
      </c>
      <c r="AA149" s="39">
        <f>IF(A149="","",IF(J149=0,"",IF(U149&lt;0,"Loss - this job cost you money",IF(V149&lt;MarginFloor,"Below - margin under the floor",IF(V149&lt;TargetMargin,"Check - under target margin",IF(AND(X149&lt;&gt;"",X149&gt;0.5),"Check - ran over the estimate","OK"))))))</f>
        <v>0</v>
      </c>
    </row>
    <row r="150" spans="1:27">
      <c r="A150" s="43">
        <f>IF(IFERROR(INDEX(Jobs!$A$5:$A$604,ROW()-4),"")="","",IFERROR(INDEX(Jobs!$A$5:$A$604,ROW()-4),""))</f>
        <v>0</v>
      </c>
      <c r="B150" s="18">
        <f>IF(A150="","",IFERROR(INDEX(Jobs!$B$5:$B$604,MATCH(A150,Jobs!$A$5:$A$604,0)),""))</f>
        <v>0</v>
      </c>
      <c r="C150" s="23">
        <f>IF(B150="","",TEXT(B150,"yyyy-mm"))</f>
        <v>0</v>
      </c>
      <c r="D150" s="43">
        <f>IF(A150="","",IFERROR(INDEX(Jobs!$G$5:$G$604,MATCH(A150,Jobs!$A$5:$A$604,0)),""))</f>
        <v>0</v>
      </c>
      <c r="E150" s="23">
        <f>IF(A150="","",IFERROR(INDEX(Jobs!$H$5:$H$604,MATCH(A150,Jobs!$A$5:$A$604,0)),""))</f>
        <v>0</v>
      </c>
      <c r="F150" s="23">
        <f>IF(A150="","",IFERROR(INDEX(Jobs!$K$5:$K$604,MATCH(A150,Jobs!$A$5:$A$604,0)),""))</f>
        <v>0</v>
      </c>
      <c r="G150" s="23">
        <f>IF(A150="","",IFERROR(INDEX(Jobs!$M$5:$M$604,MATCH(A150,Jobs!$A$5:$A$604,0)),""))</f>
        <v>0</v>
      </c>
      <c r="H150" s="23">
        <f>IF(A150="","",IFERROR(INDEX(Jobs!$R$5:$R$604,MATCH(A150,Jobs!$A$5:$A$604,0)),""))</f>
        <v>0</v>
      </c>
      <c r="I150" s="39">
        <f>IF(A150="","",IFERROR(INDEX(Jobs!$P$5:$P$604,MATCH(A150,Jobs!$A$5:$A$604,0)),""))</f>
        <v>0</v>
      </c>
      <c r="J150" s="21">
        <f>IF(A150="","",IF(OR(I150="Completed",I150="Invoiced"),IFERROR(INDEX(Jobs!$AJ$5:$AJ$604,MATCH(A150,Jobs!$A$5:$A$604,0)),0),0))</f>
        <v>0</v>
      </c>
      <c r="K150" s="34">
        <f>IF(A150="","",IFERROR(INDEX(Jobs!$AD$5:$AD$604,MATCH(A150,Jobs!$A$5:$A$604,0)),0))</f>
        <v>0</v>
      </c>
      <c r="L150" s="34">
        <f>IF(A150="","",IFERROR(INDEX(Jobs!$AK$5:$AK$604,MATCH(A150,Jobs!$A$5:$A$604,0)),0))</f>
        <v>0</v>
      </c>
      <c r="M150" s="34">
        <f>IF(A150="","",IF(IFERROR(L150*1,0)&gt;0,L150,IFERROR(K150*1,0)))</f>
        <v>0</v>
      </c>
      <c r="N150" s="21">
        <f>IF(A150="","",SUMIFS(Timesheets!$X$5:$X$804,Timesheets!$G$5:$G$804,A150))</f>
        <v>0</v>
      </c>
      <c r="O150" s="21">
        <f>IF(A150="","",IF(N150&gt;0,N150,ROUND(M150*CostPerHour,2)))</f>
        <v>0</v>
      </c>
      <c r="P150" s="21">
        <f>IF(A150="","",SUMIFS('Supply Usage'!$L$5:$L$304,'Supply Usage'!$F$5:$F$304,A150))</f>
        <v>0</v>
      </c>
      <c r="Q150" s="21">
        <f>IF(A150="","",IF(P150&gt;0,P150,ROUND(M150*SuppliesPerHour,2)))</f>
        <v>0</v>
      </c>
      <c r="R150" s="21">
        <f>IF(A150="","",ROUND(IFERROR(INDEX(Jobs!$W$5:$W$604,MATCH(A150,Jobs!$A$5:$A$604,0)),0)*MileageRate,2))</f>
        <v>0</v>
      </c>
      <c r="T150" s="21">
        <f>IF(A150="","",O150+Q150+R150+IF(S150="",0,S150))</f>
        <v>0</v>
      </c>
      <c r="U150" s="21">
        <f>IF(A150="","",J150-T150)</f>
        <v>0</v>
      </c>
      <c r="V150" s="38">
        <f>IF(OR(A150="",J150=0),"",U150/J150)</f>
        <v>0</v>
      </c>
      <c r="W150" s="21">
        <f>IF(OR(A150="",M150=0,J150=0),"",U150/M150)</f>
        <v>0</v>
      </c>
      <c r="X150" s="34">
        <f>IF(OR(A150="",L150="",L150=0,K150=""),"",L150-K150)</f>
        <v>0</v>
      </c>
      <c r="Y150" s="31">
        <f>IF(A150="","",COUNTIFS($U$5:$U$604,"&gt;"&amp;U150)+COUNTIFS($U$5:U150,U150))</f>
        <v>0</v>
      </c>
      <c r="Z150" s="31">
        <f>IF(A150="","",COUNTIFS($W$5:$W$604,"&gt;"&amp;W150)+COUNTIFS($W$5:W150,W150))</f>
        <v>0</v>
      </c>
      <c r="AA150" s="39">
        <f>IF(A150="","",IF(J150=0,"",IF(U150&lt;0,"Loss - this job cost you money",IF(V150&lt;MarginFloor,"Below - margin under the floor",IF(V150&lt;TargetMargin,"Check - under target margin",IF(AND(X150&lt;&gt;"",X150&gt;0.5),"Check - ran over the estimate","OK"))))))</f>
        <v>0</v>
      </c>
    </row>
    <row r="151" spans="1:27">
      <c r="A151" s="43">
        <f>IF(IFERROR(INDEX(Jobs!$A$5:$A$604,ROW()-4),"")="","",IFERROR(INDEX(Jobs!$A$5:$A$604,ROW()-4),""))</f>
        <v>0</v>
      </c>
      <c r="B151" s="18">
        <f>IF(A151="","",IFERROR(INDEX(Jobs!$B$5:$B$604,MATCH(A151,Jobs!$A$5:$A$604,0)),""))</f>
        <v>0</v>
      </c>
      <c r="C151" s="23">
        <f>IF(B151="","",TEXT(B151,"yyyy-mm"))</f>
        <v>0</v>
      </c>
      <c r="D151" s="43">
        <f>IF(A151="","",IFERROR(INDEX(Jobs!$G$5:$G$604,MATCH(A151,Jobs!$A$5:$A$604,0)),""))</f>
        <v>0</v>
      </c>
      <c r="E151" s="23">
        <f>IF(A151="","",IFERROR(INDEX(Jobs!$H$5:$H$604,MATCH(A151,Jobs!$A$5:$A$604,0)),""))</f>
        <v>0</v>
      </c>
      <c r="F151" s="23">
        <f>IF(A151="","",IFERROR(INDEX(Jobs!$K$5:$K$604,MATCH(A151,Jobs!$A$5:$A$604,0)),""))</f>
        <v>0</v>
      </c>
      <c r="G151" s="23">
        <f>IF(A151="","",IFERROR(INDEX(Jobs!$M$5:$M$604,MATCH(A151,Jobs!$A$5:$A$604,0)),""))</f>
        <v>0</v>
      </c>
      <c r="H151" s="23">
        <f>IF(A151="","",IFERROR(INDEX(Jobs!$R$5:$R$604,MATCH(A151,Jobs!$A$5:$A$604,0)),""))</f>
        <v>0</v>
      </c>
      <c r="I151" s="39">
        <f>IF(A151="","",IFERROR(INDEX(Jobs!$P$5:$P$604,MATCH(A151,Jobs!$A$5:$A$604,0)),""))</f>
        <v>0</v>
      </c>
      <c r="J151" s="21">
        <f>IF(A151="","",IF(OR(I151="Completed",I151="Invoiced"),IFERROR(INDEX(Jobs!$AJ$5:$AJ$604,MATCH(A151,Jobs!$A$5:$A$604,0)),0),0))</f>
        <v>0</v>
      </c>
      <c r="K151" s="34">
        <f>IF(A151="","",IFERROR(INDEX(Jobs!$AD$5:$AD$604,MATCH(A151,Jobs!$A$5:$A$604,0)),0))</f>
        <v>0</v>
      </c>
      <c r="L151" s="34">
        <f>IF(A151="","",IFERROR(INDEX(Jobs!$AK$5:$AK$604,MATCH(A151,Jobs!$A$5:$A$604,0)),0))</f>
        <v>0</v>
      </c>
      <c r="M151" s="34">
        <f>IF(A151="","",IF(IFERROR(L151*1,0)&gt;0,L151,IFERROR(K151*1,0)))</f>
        <v>0</v>
      </c>
      <c r="N151" s="21">
        <f>IF(A151="","",SUMIFS(Timesheets!$X$5:$X$804,Timesheets!$G$5:$G$804,A151))</f>
        <v>0</v>
      </c>
      <c r="O151" s="21">
        <f>IF(A151="","",IF(N151&gt;0,N151,ROUND(M151*CostPerHour,2)))</f>
        <v>0</v>
      </c>
      <c r="P151" s="21">
        <f>IF(A151="","",SUMIFS('Supply Usage'!$L$5:$L$304,'Supply Usage'!$F$5:$F$304,A151))</f>
        <v>0</v>
      </c>
      <c r="Q151" s="21">
        <f>IF(A151="","",IF(P151&gt;0,P151,ROUND(M151*SuppliesPerHour,2)))</f>
        <v>0</v>
      </c>
      <c r="R151" s="21">
        <f>IF(A151="","",ROUND(IFERROR(INDEX(Jobs!$W$5:$W$604,MATCH(A151,Jobs!$A$5:$A$604,0)),0)*MileageRate,2))</f>
        <v>0</v>
      </c>
      <c r="T151" s="21">
        <f>IF(A151="","",O151+Q151+R151+IF(S151="",0,S151))</f>
        <v>0</v>
      </c>
      <c r="U151" s="21">
        <f>IF(A151="","",J151-T151)</f>
        <v>0</v>
      </c>
      <c r="V151" s="38">
        <f>IF(OR(A151="",J151=0),"",U151/J151)</f>
        <v>0</v>
      </c>
      <c r="W151" s="21">
        <f>IF(OR(A151="",M151=0,J151=0),"",U151/M151)</f>
        <v>0</v>
      </c>
      <c r="X151" s="34">
        <f>IF(OR(A151="",L151="",L151=0,K151=""),"",L151-K151)</f>
        <v>0</v>
      </c>
      <c r="Y151" s="31">
        <f>IF(A151="","",COUNTIFS($U$5:$U$604,"&gt;"&amp;U151)+COUNTIFS($U$5:U151,U151))</f>
        <v>0</v>
      </c>
      <c r="Z151" s="31">
        <f>IF(A151="","",COUNTIFS($W$5:$W$604,"&gt;"&amp;W151)+COUNTIFS($W$5:W151,W151))</f>
        <v>0</v>
      </c>
      <c r="AA151" s="39">
        <f>IF(A151="","",IF(J151=0,"",IF(U151&lt;0,"Loss - this job cost you money",IF(V151&lt;MarginFloor,"Below - margin under the floor",IF(V151&lt;TargetMargin,"Check - under target margin",IF(AND(X151&lt;&gt;"",X151&gt;0.5),"Check - ran over the estimate","OK"))))))</f>
        <v>0</v>
      </c>
    </row>
    <row r="152" spans="1:27">
      <c r="A152" s="43">
        <f>IF(IFERROR(INDEX(Jobs!$A$5:$A$604,ROW()-4),"")="","",IFERROR(INDEX(Jobs!$A$5:$A$604,ROW()-4),""))</f>
        <v>0</v>
      </c>
      <c r="B152" s="18">
        <f>IF(A152="","",IFERROR(INDEX(Jobs!$B$5:$B$604,MATCH(A152,Jobs!$A$5:$A$604,0)),""))</f>
        <v>0</v>
      </c>
      <c r="C152" s="23">
        <f>IF(B152="","",TEXT(B152,"yyyy-mm"))</f>
        <v>0</v>
      </c>
      <c r="D152" s="43">
        <f>IF(A152="","",IFERROR(INDEX(Jobs!$G$5:$G$604,MATCH(A152,Jobs!$A$5:$A$604,0)),""))</f>
        <v>0</v>
      </c>
      <c r="E152" s="23">
        <f>IF(A152="","",IFERROR(INDEX(Jobs!$H$5:$H$604,MATCH(A152,Jobs!$A$5:$A$604,0)),""))</f>
        <v>0</v>
      </c>
      <c r="F152" s="23">
        <f>IF(A152="","",IFERROR(INDEX(Jobs!$K$5:$K$604,MATCH(A152,Jobs!$A$5:$A$604,0)),""))</f>
        <v>0</v>
      </c>
      <c r="G152" s="23">
        <f>IF(A152="","",IFERROR(INDEX(Jobs!$M$5:$M$604,MATCH(A152,Jobs!$A$5:$A$604,0)),""))</f>
        <v>0</v>
      </c>
      <c r="H152" s="23">
        <f>IF(A152="","",IFERROR(INDEX(Jobs!$R$5:$R$604,MATCH(A152,Jobs!$A$5:$A$604,0)),""))</f>
        <v>0</v>
      </c>
      <c r="I152" s="39">
        <f>IF(A152="","",IFERROR(INDEX(Jobs!$P$5:$P$604,MATCH(A152,Jobs!$A$5:$A$604,0)),""))</f>
        <v>0</v>
      </c>
      <c r="J152" s="21">
        <f>IF(A152="","",IF(OR(I152="Completed",I152="Invoiced"),IFERROR(INDEX(Jobs!$AJ$5:$AJ$604,MATCH(A152,Jobs!$A$5:$A$604,0)),0),0))</f>
        <v>0</v>
      </c>
      <c r="K152" s="34">
        <f>IF(A152="","",IFERROR(INDEX(Jobs!$AD$5:$AD$604,MATCH(A152,Jobs!$A$5:$A$604,0)),0))</f>
        <v>0</v>
      </c>
      <c r="L152" s="34">
        <f>IF(A152="","",IFERROR(INDEX(Jobs!$AK$5:$AK$604,MATCH(A152,Jobs!$A$5:$A$604,0)),0))</f>
        <v>0</v>
      </c>
      <c r="M152" s="34">
        <f>IF(A152="","",IF(IFERROR(L152*1,0)&gt;0,L152,IFERROR(K152*1,0)))</f>
        <v>0</v>
      </c>
      <c r="N152" s="21">
        <f>IF(A152="","",SUMIFS(Timesheets!$X$5:$X$804,Timesheets!$G$5:$G$804,A152))</f>
        <v>0</v>
      </c>
      <c r="O152" s="21">
        <f>IF(A152="","",IF(N152&gt;0,N152,ROUND(M152*CostPerHour,2)))</f>
        <v>0</v>
      </c>
      <c r="P152" s="21">
        <f>IF(A152="","",SUMIFS('Supply Usage'!$L$5:$L$304,'Supply Usage'!$F$5:$F$304,A152))</f>
        <v>0</v>
      </c>
      <c r="Q152" s="21">
        <f>IF(A152="","",IF(P152&gt;0,P152,ROUND(M152*SuppliesPerHour,2)))</f>
        <v>0</v>
      </c>
      <c r="R152" s="21">
        <f>IF(A152="","",ROUND(IFERROR(INDEX(Jobs!$W$5:$W$604,MATCH(A152,Jobs!$A$5:$A$604,0)),0)*MileageRate,2))</f>
        <v>0</v>
      </c>
      <c r="T152" s="21">
        <f>IF(A152="","",O152+Q152+R152+IF(S152="",0,S152))</f>
        <v>0</v>
      </c>
      <c r="U152" s="21">
        <f>IF(A152="","",J152-T152)</f>
        <v>0</v>
      </c>
      <c r="V152" s="38">
        <f>IF(OR(A152="",J152=0),"",U152/J152)</f>
        <v>0</v>
      </c>
      <c r="W152" s="21">
        <f>IF(OR(A152="",M152=0,J152=0),"",U152/M152)</f>
        <v>0</v>
      </c>
      <c r="X152" s="34">
        <f>IF(OR(A152="",L152="",L152=0,K152=""),"",L152-K152)</f>
        <v>0</v>
      </c>
      <c r="Y152" s="31">
        <f>IF(A152="","",COUNTIFS($U$5:$U$604,"&gt;"&amp;U152)+COUNTIFS($U$5:U152,U152))</f>
        <v>0</v>
      </c>
      <c r="Z152" s="31">
        <f>IF(A152="","",COUNTIFS($W$5:$W$604,"&gt;"&amp;W152)+COUNTIFS($W$5:W152,W152))</f>
        <v>0</v>
      </c>
      <c r="AA152" s="39">
        <f>IF(A152="","",IF(J152=0,"",IF(U152&lt;0,"Loss - this job cost you money",IF(V152&lt;MarginFloor,"Below - margin under the floor",IF(V152&lt;TargetMargin,"Check - under target margin",IF(AND(X152&lt;&gt;"",X152&gt;0.5),"Check - ran over the estimate","OK"))))))</f>
        <v>0</v>
      </c>
    </row>
    <row r="153" spans="1:27">
      <c r="A153" s="43">
        <f>IF(IFERROR(INDEX(Jobs!$A$5:$A$604,ROW()-4),"")="","",IFERROR(INDEX(Jobs!$A$5:$A$604,ROW()-4),""))</f>
        <v>0</v>
      </c>
      <c r="B153" s="18">
        <f>IF(A153="","",IFERROR(INDEX(Jobs!$B$5:$B$604,MATCH(A153,Jobs!$A$5:$A$604,0)),""))</f>
        <v>0</v>
      </c>
      <c r="C153" s="23">
        <f>IF(B153="","",TEXT(B153,"yyyy-mm"))</f>
        <v>0</v>
      </c>
      <c r="D153" s="43">
        <f>IF(A153="","",IFERROR(INDEX(Jobs!$G$5:$G$604,MATCH(A153,Jobs!$A$5:$A$604,0)),""))</f>
        <v>0</v>
      </c>
      <c r="E153" s="23">
        <f>IF(A153="","",IFERROR(INDEX(Jobs!$H$5:$H$604,MATCH(A153,Jobs!$A$5:$A$604,0)),""))</f>
        <v>0</v>
      </c>
      <c r="F153" s="23">
        <f>IF(A153="","",IFERROR(INDEX(Jobs!$K$5:$K$604,MATCH(A153,Jobs!$A$5:$A$604,0)),""))</f>
        <v>0</v>
      </c>
      <c r="G153" s="23">
        <f>IF(A153="","",IFERROR(INDEX(Jobs!$M$5:$M$604,MATCH(A153,Jobs!$A$5:$A$604,0)),""))</f>
        <v>0</v>
      </c>
      <c r="H153" s="23">
        <f>IF(A153="","",IFERROR(INDEX(Jobs!$R$5:$R$604,MATCH(A153,Jobs!$A$5:$A$604,0)),""))</f>
        <v>0</v>
      </c>
      <c r="I153" s="39">
        <f>IF(A153="","",IFERROR(INDEX(Jobs!$P$5:$P$604,MATCH(A153,Jobs!$A$5:$A$604,0)),""))</f>
        <v>0</v>
      </c>
      <c r="J153" s="21">
        <f>IF(A153="","",IF(OR(I153="Completed",I153="Invoiced"),IFERROR(INDEX(Jobs!$AJ$5:$AJ$604,MATCH(A153,Jobs!$A$5:$A$604,0)),0),0))</f>
        <v>0</v>
      </c>
      <c r="K153" s="34">
        <f>IF(A153="","",IFERROR(INDEX(Jobs!$AD$5:$AD$604,MATCH(A153,Jobs!$A$5:$A$604,0)),0))</f>
        <v>0</v>
      </c>
      <c r="L153" s="34">
        <f>IF(A153="","",IFERROR(INDEX(Jobs!$AK$5:$AK$604,MATCH(A153,Jobs!$A$5:$A$604,0)),0))</f>
        <v>0</v>
      </c>
      <c r="M153" s="34">
        <f>IF(A153="","",IF(IFERROR(L153*1,0)&gt;0,L153,IFERROR(K153*1,0)))</f>
        <v>0</v>
      </c>
      <c r="N153" s="21">
        <f>IF(A153="","",SUMIFS(Timesheets!$X$5:$X$804,Timesheets!$G$5:$G$804,A153))</f>
        <v>0</v>
      </c>
      <c r="O153" s="21">
        <f>IF(A153="","",IF(N153&gt;0,N153,ROUND(M153*CostPerHour,2)))</f>
        <v>0</v>
      </c>
      <c r="P153" s="21">
        <f>IF(A153="","",SUMIFS('Supply Usage'!$L$5:$L$304,'Supply Usage'!$F$5:$F$304,A153))</f>
        <v>0</v>
      </c>
      <c r="Q153" s="21">
        <f>IF(A153="","",IF(P153&gt;0,P153,ROUND(M153*SuppliesPerHour,2)))</f>
        <v>0</v>
      </c>
      <c r="R153" s="21">
        <f>IF(A153="","",ROUND(IFERROR(INDEX(Jobs!$W$5:$W$604,MATCH(A153,Jobs!$A$5:$A$604,0)),0)*MileageRate,2))</f>
        <v>0</v>
      </c>
      <c r="T153" s="21">
        <f>IF(A153="","",O153+Q153+R153+IF(S153="",0,S153))</f>
        <v>0</v>
      </c>
      <c r="U153" s="21">
        <f>IF(A153="","",J153-T153)</f>
        <v>0</v>
      </c>
      <c r="V153" s="38">
        <f>IF(OR(A153="",J153=0),"",U153/J153)</f>
        <v>0</v>
      </c>
      <c r="W153" s="21">
        <f>IF(OR(A153="",M153=0,J153=0),"",U153/M153)</f>
        <v>0</v>
      </c>
      <c r="X153" s="34">
        <f>IF(OR(A153="",L153="",L153=0,K153=""),"",L153-K153)</f>
        <v>0</v>
      </c>
      <c r="Y153" s="31">
        <f>IF(A153="","",COUNTIFS($U$5:$U$604,"&gt;"&amp;U153)+COUNTIFS($U$5:U153,U153))</f>
        <v>0</v>
      </c>
      <c r="Z153" s="31">
        <f>IF(A153="","",COUNTIFS($W$5:$W$604,"&gt;"&amp;W153)+COUNTIFS($W$5:W153,W153))</f>
        <v>0</v>
      </c>
      <c r="AA153" s="39">
        <f>IF(A153="","",IF(J153=0,"",IF(U153&lt;0,"Loss - this job cost you money",IF(V153&lt;MarginFloor,"Below - margin under the floor",IF(V153&lt;TargetMargin,"Check - under target margin",IF(AND(X153&lt;&gt;"",X153&gt;0.5),"Check - ran over the estimate","OK"))))))</f>
        <v>0</v>
      </c>
    </row>
    <row r="154" spans="1:27">
      <c r="A154" s="43">
        <f>IF(IFERROR(INDEX(Jobs!$A$5:$A$604,ROW()-4),"")="","",IFERROR(INDEX(Jobs!$A$5:$A$604,ROW()-4),""))</f>
        <v>0</v>
      </c>
      <c r="B154" s="18">
        <f>IF(A154="","",IFERROR(INDEX(Jobs!$B$5:$B$604,MATCH(A154,Jobs!$A$5:$A$604,0)),""))</f>
        <v>0</v>
      </c>
      <c r="C154" s="23">
        <f>IF(B154="","",TEXT(B154,"yyyy-mm"))</f>
        <v>0</v>
      </c>
      <c r="D154" s="43">
        <f>IF(A154="","",IFERROR(INDEX(Jobs!$G$5:$G$604,MATCH(A154,Jobs!$A$5:$A$604,0)),""))</f>
        <v>0</v>
      </c>
      <c r="E154" s="23">
        <f>IF(A154="","",IFERROR(INDEX(Jobs!$H$5:$H$604,MATCH(A154,Jobs!$A$5:$A$604,0)),""))</f>
        <v>0</v>
      </c>
      <c r="F154" s="23">
        <f>IF(A154="","",IFERROR(INDEX(Jobs!$K$5:$K$604,MATCH(A154,Jobs!$A$5:$A$604,0)),""))</f>
        <v>0</v>
      </c>
      <c r="G154" s="23">
        <f>IF(A154="","",IFERROR(INDEX(Jobs!$M$5:$M$604,MATCH(A154,Jobs!$A$5:$A$604,0)),""))</f>
        <v>0</v>
      </c>
      <c r="H154" s="23">
        <f>IF(A154="","",IFERROR(INDEX(Jobs!$R$5:$R$604,MATCH(A154,Jobs!$A$5:$A$604,0)),""))</f>
        <v>0</v>
      </c>
      <c r="I154" s="39">
        <f>IF(A154="","",IFERROR(INDEX(Jobs!$P$5:$P$604,MATCH(A154,Jobs!$A$5:$A$604,0)),""))</f>
        <v>0</v>
      </c>
      <c r="J154" s="21">
        <f>IF(A154="","",IF(OR(I154="Completed",I154="Invoiced"),IFERROR(INDEX(Jobs!$AJ$5:$AJ$604,MATCH(A154,Jobs!$A$5:$A$604,0)),0),0))</f>
        <v>0</v>
      </c>
      <c r="K154" s="34">
        <f>IF(A154="","",IFERROR(INDEX(Jobs!$AD$5:$AD$604,MATCH(A154,Jobs!$A$5:$A$604,0)),0))</f>
        <v>0</v>
      </c>
      <c r="L154" s="34">
        <f>IF(A154="","",IFERROR(INDEX(Jobs!$AK$5:$AK$604,MATCH(A154,Jobs!$A$5:$A$604,0)),0))</f>
        <v>0</v>
      </c>
      <c r="M154" s="34">
        <f>IF(A154="","",IF(IFERROR(L154*1,0)&gt;0,L154,IFERROR(K154*1,0)))</f>
        <v>0</v>
      </c>
      <c r="N154" s="21">
        <f>IF(A154="","",SUMIFS(Timesheets!$X$5:$X$804,Timesheets!$G$5:$G$804,A154))</f>
        <v>0</v>
      </c>
      <c r="O154" s="21">
        <f>IF(A154="","",IF(N154&gt;0,N154,ROUND(M154*CostPerHour,2)))</f>
        <v>0</v>
      </c>
      <c r="P154" s="21">
        <f>IF(A154="","",SUMIFS('Supply Usage'!$L$5:$L$304,'Supply Usage'!$F$5:$F$304,A154))</f>
        <v>0</v>
      </c>
      <c r="Q154" s="21">
        <f>IF(A154="","",IF(P154&gt;0,P154,ROUND(M154*SuppliesPerHour,2)))</f>
        <v>0</v>
      </c>
      <c r="R154" s="21">
        <f>IF(A154="","",ROUND(IFERROR(INDEX(Jobs!$W$5:$W$604,MATCH(A154,Jobs!$A$5:$A$604,0)),0)*MileageRate,2))</f>
        <v>0</v>
      </c>
      <c r="T154" s="21">
        <f>IF(A154="","",O154+Q154+R154+IF(S154="",0,S154))</f>
        <v>0</v>
      </c>
      <c r="U154" s="21">
        <f>IF(A154="","",J154-T154)</f>
        <v>0</v>
      </c>
      <c r="V154" s="38">
        <f>IF(OR(A154="",J154=0),"",U154/J154)</f>
        <v>0</v>
      </c>
      <c r="W154" s="21">
        <f>IF(OR(A154="",M154=0,J154=0),"",U154/M154)</f>
        <v>0</v>
      </c>
      <c r="X154" s="34">
        <f>IF(OR(A154="",L154="",L154=0,K154=""),"",L154-K154)</f>
        <v>0</v>
      </c>
      <c r="Y154" s="31">
        <f>IF(A154="","",COUNTIFS($U$5:$U$604,"&gt;"&amp;U154)+COUNTIFS($U$5:U154,U154))</f>
        <v>0</v>
      </c>
      <c r="Z154" s="31">
        <f>IF(A154="","",COUNTIFS($W$5:$W$604,"&gt;"&amp;W154)+COUNTIFS($W$5:W154,W154))</f>
        <v>0</v>
      </c>
      <c r="AA154" s="39">
        <f>IF(A154="","",IF(J154=0,"",IF(U154&lt;0,"Loss - this job cost you money",IF(V154&lt;MarginFloor,"Below - margin under the floor",IF(V154&lt;TargetMargin,"Check - under target margin",IF(AND(X154&lt;&gt;"",X154&gt;0.5),"Check - ran over the estimate","OK"))))))</f>
        <v>0</v>
      </c>
    </row>
    <row r="155" spans="1:27">
      <c r="A155" s="43">
        <f>IF(IFERROR(INDEX(Jobs!$A$5:$A$604,ROW()-4),"")="","",IFERROR(INDEX(Jobs!$A$5:$A$604,ROW()-4),""))</f>
        <v>0</v>
      </c>
      <c r="B155" s="18">
        <f>IF(A155="","",IFERROR(INDEX(Jobs!$B$5:$B$604,MATCH(A155,Jobs!$A$5:$A$604,0)),""))</f>
        <v>0</v>
      </c>
      <c r="C155" s="23">
        <f>IF(B155="","",TEXT(B155,"yyyy-mm"))</f>
        <v>0</v>
      </c>
      <c r="D155" s="43">
        <f>IF(A155="","",IFERROR(INDEX(Jobs!$G$5:$G$604,MATCH(A155,Jobs!$A$5:$A$604,0)),""))</f>
        <v>0</v>
      </c>
      <c r="E155" s="23">
        <f>IF(A155="","",IFERROR(INDEX(Jobs!$H$5:$H$604,MATCH(A155,Jobs!$A$5:$A$604,0)),""))</f>
        <v>0</v>
      </c>
      <c r="F155" s="23">
        <f>IF(A155="","",IFERROR(INDEX(Jobs!$K$5:$K$604,MATCH(A155,Jobs!$A$5:$A$604,0)),""))</f>
        <v>0</v>
      </c>
      <c r="G155" s="23">
        <f>IF(A155="","",IFERROR(INDEX(Jobs!$M$5:$M$604,MATCH(A155,Jobs!$A$5:$A$604,0)),""))</f>
        <v>0</v>
      </c>
      <c r="H155" s="23">
        <f>IF(A155="","",IFERROR(INDEX(Jobs!$R$5:$R$604,MATCH(A155,Jobs!$A$5:$A$604,0)),""))</f>
        <v>0</v>
      </c>
      <c r="I155" s="39">
        <f>IF(A155="","",IFERROR(INDEX(Jobs!$P$5:$P$604,MATCH(A155,Jobs!$A$5:$A$604,0)),""))</f>
        <v>0</v>
      </c>
      <c r="J155" s="21">
        <f>IF(A155="","",IF(OR(I155="Completed",I155="Invoiced"),IFERROR(INDEX(Jobs!$AJ$5:$AJ$604,MATCH(A155,Jobs!$A$5:$A$604,0)),0),0))</f>
        <v>0</v>
      </c>
      <c r="K155" s="34">
        <f>IF(A155="","",IFERROR(INDEX(Jobs!$AD$5:$AD$604,MATCH(A155,Jobs!$A$5:$A$604,0)),0))</f>
        <v>0</v>
      </c>
      <c r="L155" s="34">
        <f>IF(A155="","",IFERROR(INDEX(Jobs!$AK$5:$AK$604,MATCH(A155,Jobs!$A$5:$A$604,0)),0))</f>
        <v>0</v>
      </c>
      <c r="M155" s="34">
        <f>IF(A155="","",IF(IFERROR(L155*1,0)&gt;0,L155,IFERROR(K155*1,0)))</f>
        <v>0</v>
      </c>
      <c r="N155" s="21">
        <f>IF(A155="","",SUMIFS(Timesheets!$X$5:$X$804,Timesheets!$G$5:$G$804,A155))</f>
        <v>0</v>
      </c>
      <c r="O155" s="21">
        <f>IF(A155="","",IF(N155&gt;0,N155,ROUND(M155*CostPerHour,2)))</f>
        <v>0</v>
      </c>
      <c r="P155" s="21">
        <f>IF(A155="","",SUMIFS('Supply Usage'!$L$5:$L$304,'Supply Usage'!$F$5:$F$304,A155))</f>
        <v>0</v>
      </c>
      <c r="Q155" s="21">
        <f>IF(A155="","",IF(P155&gt;0,P155,ROUND(M155*SuppliesPerHour,2)))</f>
        <v>0</v>
      </c>
      <c r="R155" s="21">
        <f>IF(A155="","",ROUND(IFERROR(INDEX(Jobs!$W$5:$W$604,MATCH(A155,Jobs!$A$5:$A$604,0)),0)*MileageRate,2))</f>
        <v>0</v>
      </c>
      <c r="T155" s="21">
        <f>IF(A155="","",O155+Q155+R155+IF(S155="",0,S155))</f>
        <v>0</v>
      </c>
      <c r="U155" s="21">
        <f>IF(A155="","",J155-T155)</f>
        <v>0</v>
      </c>
      <c r="V155" s="38">
        <f>IF(OR(A155="",J155=0),"",U155/J155)</f>
        <v>0</v>
      </c>
      <c r="W155" s="21">
        <f>IF(OR(A155="",M155=0,J155=0),"",U155/M155)</f>
        <v>0</v>
      </c>
      <c r="X155" s="34">
        <f>IF(OR(A155="",L155="",L155=0,K155=""),"",L155-K155)</f>
        <v>0</v>
      </c>
      <c r="Y155" s="31">
        <f>IF(A155="","",COUNTIFS($U$5:$U$604,"&gt;"&amp;U155)+COUNTIFS($U$5:U155,U155))</f>
        <v>0</v>
      </c>
      <c r="Z155" s="31">
        <f>IF(A155="","",COUNTIFS($W$5:$W$604,"&gt;"&amp;W155)+COUNTIFS($W$5:W155,W155))</f>
        <v>0</v>
      </c>
      <c r="AA155" s="39">
        <f>IF(A155="","",IF(J155=0,"",IF(U155&lt;0,"Loss - this job cost you money",IF(V155&lt;MarginFloor,"Below - margin under the floor",IF(V155&lt;TargetMargin,"Check - under target margin",IF(AND(X155&lt;&gt;"",X155&gt;0.5),"Check - ran over the estimate","OK"))))))</f>
        <v>0</v>
      </c>
    </row>
    <row r="156" spans="1:27">
      <c r="A156" s="43">
        <f>IF(IFERROR(INDEX(Jobs!$A$5:$A$604,ROW()-4),"")="","",IFERROR(INDEX(Jobs!$A$5:$A$604,ROW()-4),""))</f>
        <v>0</v>
      </c>
      <c r="B156" s="18">
        <f>IF(A156="","",IFERROR(INDEX(Jobs!$B$5:$B$604,MATCH(A156,Jobs!$A$5:$A$604,0)),""))</f>
        <v>0</v>
      </c>
      <c r="C156" s="23">
        <f>IF(B156="","",TEXT(B156,"yyyy-mm"))</f>
        <v>0</v>
      </c>
      <c r="D156" s="43">
        <f>IF(A156="","",IFERROR(INDEX(Jobs!$G$5:$G$604,MATCH(A156,Jobs!$A$5:$A$604,0)),""))</f>
        <v>0</v>
      </c>
      <c r="E156" s="23">
        <f>IF(A156="","",IFERROR(INDEX(Jobs!$H$5:$H$604,MATCH(A156,Jobs!$A$5:$A$604,0)),""))</f>
        <v>0</v>
      </c>
      <c r="F156" s="23">
        <f>IF(A156="","",IFERROR(INDEX(Jobs!$K$5:$K$604,MATCH(A156,Jobs!$A$5:$A$604,0)),""))</f>
        <v>0</v>
      </c>
      <c r="G156" s="23">
        <f>IF(A156="","",IFERROR(INDEX(Jobs!$M$5:$M$604,MATCH(A156,Jobs!$A$5:$A$604,0)),""))</f>
        <v>0</v>
      </c>
      <c r="H156" s="23">
        <f>IF(A156="","",IFERROR(INDEX(Jobs!$R$5:$R$604,MATCH(A156,Jobs!$A$5:$A$604,0)),""))</f>
        <v>0</v>
      </c>
      <c r="I156" s="39">
        <f>IF(A156="","",IFERROR(INDEX(Jobs!$P$5:$P$604,MATCH(A156,Jobs!$A$5:$A$604,0)),""))</f>
        <v>0</v>
      </c>
      <c r="J156" s="21">
        <f>IF(A156="","",IF(OR(I156="Completed",I156="Invoiced"),IFERROR(INDEX(Jobs!$AJ$5:$AJ$604,MATCH(A156,Jobs!$A$5:$A$604,0)),0),0))</f>
        <v>0</v>
      </c>
      <c r="K156" s="34">
        <f>IF(A156="","",IFERROR(INDEX(Jobs!$AD$5:$AD$604,MATCH(A156,Jobs!$A$5:$A$604,0)),0))</f>
        <v>0</v>
      </c>
      <c r="L156" s="34">
        <f>IF(A156="","",IFERROR(INDEX(Jobs!$AK$5:$AK$604,MATCH(A156,Jobs!$A$5:$A$604,0)),0))</f>
        <v>0</v>
      </c>
      <c r="M156" s="34">
        <f>IF(A156="","",IF(IFERROR(L156*1,0)&gt;0,L156,IFERROR(K156*1,0)))</f>
        <v>0</v>
      </c>
      <c r="N156" s="21">
        <f>IF(A156="","",SUMIFS(Timesheets!$X$5:$X$804,Timesheets!$G$5:$G$804,A156))</f>
        <v>0</v>
      </c>
      <c r="O156" s="21">
        <f>IF(A156="","",IF(N156&gt;0,N156,ROUND(M156*CostPerHour,2)))</f>
        <v>0</v>
      </c>
      <c r="P156" s="21">
        <f>IF(A156="","",SUMIFS('Supply Usage'!$L$5:$L$304,'Supply Usage'!$F$5:$F$304,A156))</f>
        <v>0</v>
      </c>
      <c r="Q156" s="21">
        <f>IF(A156="","",IF(P156&gt;0,P156,ROUND(M156*SuppliesPerHour,2)))</f>
        <v>0</v>
      </c>
      <c r="R156" s="21">
        <f>IF(A156="","",ROUND(IFERROR(INDEX(Jobs!$W$5:$W$604,MATCH(A156,Jobs!$A$5:$A$604,0)),0)*MileageRate,2))</f>
        <v>0</v>
      </c>
      <c r="T156" s="21">
        <f>IF(A156="","",O156+Q156+R156+IF(S156="",0,S156))</f>
        <v>0</v>
      </c>
      <c r="U156" s="21">
        <f>IF(A156="","",J156-T156)</f>
        <v>0</v>
      </c>
      <c r="V156" s="38">
        <f>IF(OR(A156="",J156=0),"",U156/J156)</f>
        <v>0</v>
      </c>
      <c r="W156" s="21">
        <f>IF(OR(A156="",M156=0,J156=0),"",U156/M156)</f>
        <v>0</v>
      </c>
      <c r="X156" s="34">
        <f>IF(OR(A156="",L156="",L156=0,K156=""),"",L156-K156)</f>
        <v>0</v>
      </c>
      <c r="Y156" s="31">
        <f>IF(A156="","",COUNTIFS($U$5:$U$604,"&gt;"&amp;U156)+COUNTIFS($U$5:U156,U156))</f>
        <v>0</v>
      </c>
      <c r="Z156" s="31">
        <f>IF(A156="","",COUNTIFS($W$5:$W$604,"&gt;"&amp;W156)+COUNTIFS($W$5:W156,W156))</f>
        <v>0</v>
      </c>
      <c r="AA156" s="39">
        <f>IF(A156="","",IF(J156=0,"",IF(U156&lt;0,"Loss - this job cost you money",IF(V156&lt;MarginFloor,"Below - margin under the floor",IF(V156&lt;TargetMargin,"Check - under target margin",IF(AND(X156&lt;&gt;"",X156&gt;0.5),"Check - ran over the estimate","OK"))))))</f>
        <v>0</v>
      </c>
    </row>
    <row r="157" spans="1:27">
      <c r="A157" s="43">
        <f>IF(IFERROR(INDEX(Jobs!$A$5:$A$604,ROW()-4),"")="","",IFERROR(INDEX(Jobs!$A$5:$A$604,ROW()-4),""))</f>
        <v>0</v>
      </c>
      <c r="B157" s="18">
        <f>IF(A157="","",IFERROR(INDEX(Jobs!$B$5:$B$604,MATCH(A157,Jobs!$A$5:$A$604,0)),""))</f>
        <v>0</v>
      </c>
      <c r="C157" s="23">
        <f>IF(B157="","",TEXT(B157,"yyyy-mm"))</f>
        <v>0</v>
      </c>
      <c r="D157" s="43">
        <f>IF(A157="","",IFERROR(INDEX(Jobs!$G$5:$G$604,MATCH(A157,Jobs!$A$5:$A$604,0)),""))</f>
        <v>0</v>
      </c>
      <c r="E157" s="23">
        <f>IF(A157="","",IFERROR(INDEX(Jobs!$H$5:$H$604,MATCH(A157,Jobs!$A$5:$A$604,0)),""))</f>
        <v>0</v>
      </c>
      <c r="F157" s="23">
        <f>IF(A157="","",IFERROR(INDEX(Jobs!$K$5:$K$604,MATCH(A157,Jobs!$A$5:$A$604,0)),""))</f>
        <v>0</v>
      </c>
      <c r="G157" s="23">
        <f>IF(A157="","",IFERROR(INDEX(Jobs!$M$5:$M$604,MATCH(A157,Jobs!$A$5:$A$604,0)),""))</f>
        <v>0</v>
      </c>
      <c r="H157" s="23">
        <f>IF(A157="","",IFERROR(INDEX(Jobs!$R$5:$R$604,MATCH(A157,Jobs!$A$5:$A$604,0)),""))</f>
        <v>0</v>
      </c>
      <c r="I157" s="39">
        <f>IF(A157="","",IFERROR(INDEX(Jobs!$P$5:$P$604,MATCH(A157,Jobs!$A$5:$A$604,0)),""))</f>
        <v>0</v>
      </c>
      <c r="J157" s="21">
        <f>IF(A157="","",IF(OR(I157="Completed",I157="Invoiced"),IFERROR(INDEX(Jobs!$AJ$5:$AJ$604,MATCH(A157,Jobs!$A$5:$A$604,0)),0),0))</f>
        <v>0</v>
      </c>
      <c r="K157" s="34">
        <f>IF(A157="","",IFERROR(INDEX(Jobs!$AD$5:$AD$604,MATCH(A157,Jobs!$A$5:$A$604,0)),0))</f>
        <v>0</v>
      </c>
      <c r="L157" s="34">
        <f>IF(A157="","",IFERROR(INDEX(Jobs!$AK$5:$AK$604,MATCH(A157,Jobs!$A$5:$A$604,0)),0))</f>
        <v>0</v>
      </c>
      <c r="M157" s="34">
        <f>IF(A157="","",IF(IFERROR(L157*1,0)&gt;0,L157,IFERROR(K157*1,0)))</f>
        <v>0</v>
      </c>
      <c r="N157" s="21">
        <f>IF(A157="","",SUMIFS(Timesheets!$X$5:$X$804,Timesheets!$G$5:$G$804,A157))</f>
        <v>0</v>
      </c>
      <c r="O157" s="21">
        <f>IF(A157="","",IF(N157&gt;0,N157,ROUND(M157*CostPerHour,2)))</f>
        <v>0</v>
      </c>
      <c r="P157" s="21">
        <f>IF(A157="","",SUMIFS('Supply Usage'!$L$5:$L$304,'Supply Usage'!$F$5:$F$304,A157))</f>
        <v>0</v>
      </c>
      <c r="Q157" s="21">
        <f>IF(A157="","",IF(P157&gt;0,P157,ROUND(M157*SuppliesPerHour,2)))</f>
        <v>0</v>
      </c>
      <c r="R157" s="21">
        <f>IF(A157="","",ROUND(IFERROR(INDEX(Jobs!$W$5:$W$604,MATCH(A157,Jobs!$A$5:$A$604,0)),0)*MileageRate,2))</f>
        <v>0</v>
      </c>
      <c r="T157" s="21">
        <f>IF(A157="","",O157+Q157+R157+IF(S157="",0,S157))</f>
        <v>0</v>
      </c>
      <c r="U157" s="21">
        <f>IF(A157="","",J157-T157)</f>
        <v>0</v>
      </c>
      <c r="V157" s="38">
        <f>IF(OR(A157="",J157=0),"",U157/J157)</f>
        <v>0</v>
      </c>
      <c r="W157" s="21">
        <f>IF(OR(A157="",M157=0,J157=0),"",U157/M157)</f>
        <v>0</v>
      </c>
      <c r="X157" s="34">
        <f>IF(OR(A157="",L157="",L157=0,K157=""),"",L157-K157)</f>
        <v>0</v>
      </c>
      <c r="Y157" s="31">
        <f>IF(A157="","",COUNTIFS($U$5:$U$604,"&gt;"&amp;U157)+COUNTIFS($U$5:U157,U157))</f>
        <v>0</v>
      </c>
      <c r="Z157" s="31">
        <f>IF(A157="","",COUNTIFS($W$5:$W$604,"&gt;"&amp;W157)+COUNTIFS($W$5:W157,W157))</f>
        <v>0</v>
      </c>
      <c r="AA157" s="39">
        <f>IF(A157="","",IF(J157=0,"",IF(U157&lt;0,"Loss - this job cost you money",IF(V157&lt;MarginFloor,"Below - margin under the floor",IF(V157&lt;TargetMargin,"Check - under target margin",IF(AND(X157&lt;&gt;"",X157&gt;0.5),"Check - ran over the estimate","OK"))))))</f>
        <v>0</v>
      </c>
    </row>
    <row r="158" spans="1:27">
      <c r="A158" s="43">
        <f>IF(IFERROR(INDEX(Jobs!$A$5:$A$604,ROW()-4),"")="","",IFERROR(INDEX(Jobs!$A$5:$A$604,ROW()-4),""))</f>
        <v>0</v>
      </c>
      <c r="B158" s="18">
        <f>IF(A158="","",IFERROR(INDEX(Jobs!$B$5:$B$604,MATCH(A158,Jobs!$A$5:$A$604,0)),""))</f>
        <v>0</v>
      </c>
      <c r="C158" s="23">
        <f>IF(B158="","",TEXT(B158,"yyyy-mm"))</f>
        <v>0</v>
      </c>
      <c r="D158" s="43">
        <f>IF(A158="","",IFERROR(INDEX(Jobs!$G$5:$G$604,MATCH(A158,Jobs!$A$5:$A$604,0)),""))</f>
        <v>0</v>
      </c>
      <c r="E158" s="23">
        <f>IF(A158="","",IFERROR(INDEX(Jobs!$H$5:$H$604,MATCH(A158,Jobs!$A$5:$A$604,0)),""))</f>
        <v>0</v>
      </c>
      <c r="F158" s="23">
        <f>IF(A158="","",IFERROR(INDEX(Jobs!$K$5:$K$604,MATCH(A158,Jobs!$A$5:$A$604,0)),""))</f>
        <v>0</v>
      </c>
      <c r="G158" s="23">
        <f>IF(A158="","",IFERROR(INDEX(Jobs!$M$5:$M$604,MATCH(A158,Jobs!$A$5:$A$604,0)),""))</f>
        <v>0</v>
      </c>
      <c r="H158" s="23">
        <f>IF(A158="","",IFERROR(INDEX(Jobs!$R$5:$R$604,MATCH(A158,Jobs!$A$5:$A$604,0)),""))</f>
        <v>0</v>
      </c>
      <c r="I158" s="39">
        <f>IF(A158="","",IFERROR(INDEX(Jobs!$P$5:$P$604,MATCH(A158,Jobs!$A$5:$A$604,0)),""))</f>
        <v>0</v>
      </c>
      <c r="J158" s="21">
        <f>IF(A158="","",IF(OR(I158="Completed",I158="Invoiced"),IFERROR(INDEX(Jobs!$AJ$5:$AJ$604,MATCH(A158,Jobs!$A$5:$A$604,0)),0),0))</f>
        <v>0</v>
      </c>
      <c r="K158" s="34">
        <f>IF(A158="","",IFERROR(INDEX(Jobs!$AD$5:$AD$604,MATCH(A158,Jobs!$A$5:$A$604,0)),0))</f>
        <v>0</v>
      </c>
      <c r="L158" s="34">
        <f>IF(A158="","",IFERROR(INDEX(Jobs!$AK$5:$AK$604,MATCH(A158,Jobs!$A$5:$A$604,0)),0))</f>
        <v>0</v>
      </c>
      <c r="M158" s="34">
        <f>IF(A158="","",IF(IFERROR(L158*1,0)&gt;0,L158,IFERROR(K158*1,0)))</f>
        <v>0</v>
      </c>
      <c r="N158" s="21">
        <f>IF(A158="","",SUMIFS(Timesheets!$X$5:$X$804,Timesheets!$G$5:$G$804,A158))</f>
        <v>0</v>
      </c>
      <c r="O158" s="21">
        <f>IF(A158="","",IF(N158&gt;0,N158,ROUND(M158*CostPerHour,2)))</f>
        <v>0</v>
      </c>
      <c r="P158" s="21">
        <f>IF(A158="","",SUMIFS('Supply Usage'!$L$5:$L$304,'Supply Usage'!$F$5:$F$304,A158))</f>
        <v>0</v>
      </c>
      <c r="Q158" s="21">
        <f>IF(A158="","",IF(P158&gt;0,P158,ROUND(M158*SuppliesPerHour,2)))</f>
        <v>0</v>
      </c>
      <c r="R158" s="21">
        <f>IF(A158="","",ROUND(IFERROR(INDEX(Jobs!$W$5:$W$604,MATCH(A158,Jobs!$A$5:$A$604,0)),0)*MileageRate,2))</f>
        <v>0</v>
      </c>
      <c r="T158" s="21">
        <f>IF(A158="","",O158+Q158+R158+IF(S158="",0,S158))</f>
        <v>0</v>
      </c>
      <c r="U158" s="21">
        <f>IF(A158="","",J158-T158)</f>
        <v>0</v>
      </c>
      <c r="V158" s="38">
        <f>IF(OR(A158="",J158=0),"",U158/J158)</f>
        <v>0</v>
      </c>
      <c r="W158" s="21">
        <f>IF(OR(A158="",M158=0,J158=0),"",U158/M158)</f>
        <v>0</v>
      </c>
      <c r="X158" s="34">
        <f>IF(OR(A158="",L158="",L158=0,K158=""),"",L158-K158)</f>
        <v>0</v>
      </c>
      <c r="Y158" s="31">
        <f>IF(A158="","",COUNTIFS($U$5:$U$604,"&gt;"&amp;U158)+COUNTIFS($U$5:U158,U158))</f>
        <v>0</v>
      </c>
      <c r="Z158" s="31">
        <f>IF(A158="","",COUNTIFS($W$5:$W$604,"&gt;"&amp;W158)+COUNTIFS($W$5:W158,W158))</f>
        <v>0</v>
      </c>
      <c r="AA158" s="39">
        <f>IF(A158="","",IF(J158=0,"",IF(U158&lt;0,"Loss - this job cost you money",IF(V158&lt;MarginFloor,"Below - margin under the floor",IF(V158&lt;TargetMargin,"Check - under target margin",IF(AND(X158&lt;&gt;"",X158&gt;0.5),"Check - ran over the estimate","OK"))))))</f>
        <v>0</v>
      </c>
    </row>
    <row r="159" spans="1:27">
      <c r="A159" s="43">
        <f>IF(IFERROR(INDEX(Jobs!$A$5:$A$604,ROW()-4),"")="","",IFERROR(INDEX(Jobs!$A$5:$A$604,ROW()-4),""))</f>
        <v>0</v>
      </c>
      <c r="B159" s="18">
        <f>IF(A159="","",IFERROR(INDEX(Jobs!$B$5:$B$604,MATCH(A159,Jobs!$A$5:$A$604,0)),""))</f>
        <v>0</v>
      </c>
      <c r="C159" s="23">
        <f>IF(B159="","",TEXT(B159,"yyyy-mm"))</f>
        <v>0</v>
      </c>
      <c r="D159" s="43">
        <f>IF(A159="","",IFERROR(INDEX(Jobs!$G$5:$G$604,MATCH(A159,Jobs!$A$5:$A$604,0)),""))</f>
        <v>0</v>
      </c>
      <c r="E159" s="23">
        <f>IF(A159="","",IFERROR(INDEX(Jobs!$H$5:$H$604,MATCH(A159,Jobs!$A$5:$A$604,0)),""))</f>
        <v>0</v>
      </c>
      <c r="F159" s="23">
        <f>IF(A159="","",IFERROR(INDEX(Jobs!$K$5:$K$604,MATCH(A159,Jobs!$A$5:$A$604,0)),""))</f>
        <v>0</v>
      </c>
      <c r="G159" s="23">
        <f>IF(A159="","",IFERROR(INDEX(Jobs!$M$5:$M$604,MATCH(A159,Jobs!$A$5:$A$604,0)),""))</f>
        <v>0</v>
      </c>
      <c r="H159" s="23">
        <f>IF(A159="","",IFERROR(INDEX(Jobs!$R$5:$R$604,MATCH(A159,Jobs!$A$5:$A$604,0)),""))</f>
        <v>0</v>
      </c>
      <c r="I159" s="39">
        <f>IF(A159="","",IFERROR(INDEX(Jobs!$P$5:$P$604,MATCH(A159,Jobs!$A$5:$A$604,0)),""))</f>
        <v>0</v>
      </c>
      <c r="J159" s="21">
        <f>IF(A159="","",IF(OR(I159="Completed",I159="Invoiced"),IFERROR(INDEX(Jobs!$AJ$5:$AJ$604,MATCH(A159,Jobs!$A$5:$A$604,0)),0),0))</f>
        <v>0</v>
      </c>
      <c r="K159" s="34">
        <f>IF(A159="","",IFERROR(INDEX(Jobs!$AD$5:$AD$604,MATCH(A159,Jobs!$A$5:$A$604,0)),0))</f>
        <v>0</v>
      </c>
      <c r="L159" s="34">
        <f>IF(A159="","",IFERROR(INDEX(Jobs!$AK$5:$AK$604,MATCH(A159,Jobs!$A$5:$A$604,0)),0))</f>
        <v>0</v>
      </c>
      <c r="M159" s="34">
        <f>IF(A159="","",IF(IFERROR(L159*1,0)&gt;0,L159,IFERROR(K159*1,0)))</f>
        <v>0</v>
      </c>
      <c r="N159" s="21">
        <f>IF(A159="","",SUMIFS(Timesheets!$X$5:$X$804,Timesheets!$G$5:$G$804,A159))</f>
        <v>0</v>
      </c>
      <c r="O159" s="21">
        <f>IF(A159="","",IF(N159&gt;0,N159,ROUND(M159*CostPerHour,2)))</f>
        <v>0</v>
      </c>
      <c r="P159" s="21">
        <f>IF(A159="","",SUMIFS('Supply Usage'!$L$5:$L$304,'Supply Usage'!$F$5:$F$304,A159))</f>
        <v>0</v>
      </c>
      <c r="Q159" s="21">
        <f>IF(A159="","",IF(P159&gt;0,P159,ROUND(M159*SuppliesPerHour,2)))</f>
        <v>0</v>
      </c>
      <c r="R159" s="21">
        <f>IF(A159="","",ROUND(IFERROR(INDEX(Jobs!$W$5:$W$604,MATCH(A159,Jobs!$A$5:$A$604,0)),0)*MileageRate,2))</f>
        <v>0</v>
      </c>
      <c r="T159" s="21">
        <f>IF(A159="","",O159+Q159+R159+IF(S159="",0,S159))</f>
        <v>0</v>
      </c>
      <c r="U159" s="21">
        <f>IF(A159="","",J159-T159)</f>
        <v>0</v>
      </c>
      <c r="V159" s="38">
        <f>IF(OR(A159="",J159=0),"",U159/J159)</f>
        <v>0</v>
      </c>
      <c r="W159" s="21">
        <f>IF(OR(A159="",M159=0,J159=0),"",U159/M159)</f>
        <v>0</v>
      </c>
      <c r="X159" s="34">
        <f>IF(OR(A159="",L159="",L159=0,K159=""),"",L159-K159)</f>
        <v>0</v>
      </c>
      <c r="Y159" s="31">
        <f>IF(A159="","",COUNTIFS($U$5:$U$604,"&gt;"&amp;U159)+COUNTIFS($U$5:U159,U159))</f>
        <v>0</v>
      </c>
      <c r="Z159" s="31">
        <f>IF(A159="","",COUNTIFS($W$5:$W$604,"&gt;"&amp;W159)+COUNTIFS($W$5:W159,W159))</f>
        <v>0</v>
      </c>
      <c r="AA159" s="39">
        <f>IF(A159="","",IF(J159=0,"",IF(U159&lt;0,"Loss - this job cost you money",IF(V159&lt;MarginFloor,"Below - margin under the floor",IF(V159&lt;TargetMargin,"Check - under target margin",IF(AND(X159&lt;&gt;"",X159&gt;0.5),"Check - ran over the estimate","OK"))))))</f>
        <v>0</v>
      </c>
    </row>
    <row r="160" spans="1:27">
      <c r="A160" s="43">
        <f>IF(IFERROR(INDEX(Jobs!$A$5:$A$604,ROW()-4),"")="","",IFERROR(INDEX(Jobs!$A$5:$A$604,ROW()-4),""))</f>
        <v>0</v>
      </c>
      <c r="B160" s="18">
        <f>IF(A160="","",IFERROR(INDEX(Jobs!$B$5:$B$604,MATCH(A160,Jobs!$A$5:$A$604,0)),""))</f>
        <v>0</v>
      </c>
      <c r="C160" s="23">
        <f>IF(B160="","",TEXT(B160,"yyyy-mm"))</f>
        <v>0</v>
      </c>
      <c r="D160" s="43">
        <f>IF(A160="","",IFERROR(INDEX(Jobs!$G$5:$G$604,MATCH(A160,Jobs!$A$5:$A$604,0)),""))</f>
        <v>0</v>
      </c>
      <c r="E160" s="23">
        <f>IF(A160="","",IFERROR(INDEX(Jobs!$H$5:$H$604,MATCH(A160,Jobs!$A$5:$A$604,0)),""))</f>
        <v>0</v>
      </c>
      <c r="F160" s="23">
        <f>IF(A160="","",IFERROR(INDEX(Jobs!$K$5:$K$604,MATCH(A160,Jobs!$A$5:$A$604,0)),""))</f>
        <v>0</v>
      </c>
      <c r="G160" s="23">
        <f>IF(A160="","",IFERROR(INDEX(Jobs!$M$5:$M$604,MATCH(A160,Jobs!$A$5:$A$604,0)),""))</f>
        <v>0</v>
      </c>
      <c r="H160" s="23">
        <f>IF(A160="","",IFERROR(INDEX(Jobs!$R$5:$R$604,MATCH(A160,Jobs!$A$5:$A$604,0)),""))</f>
        <v>0</v>
      </c>
      <c r="I160" s="39">
        <f>IF(A160="","",IFERROR(INDEX(Jobs!$P$5:$P$604,MATCH(A160,Jobs!$A$5:$A$604,0)),""))</f>
        <v>0</v>
      </c>
      <c r="J160" s="21">
        <f>IF(A160="","",IF(OR(I160="Completed",I160="Invoiced"),IFERROR(INDEX(Jobs!$AJ$5:$AJ$604,MATCH(A160,Jobs!$A$5:$A$604,0)),0),0))</f>
        <v>0</v>
      </c>
      <c r="K160" s="34">
        <f>IF(A160="","",IFERROR(INDEX(Jobs!$AD$5:$AD$604,MATCH(A160,Jobs!$A$5:$A$604,0)),0))</f>
        <v>0</v>
      </c>
      <c r="L160" s="34">
        <f>IF(A160="","",IFERROR(INDEX(Jobs!$AK$5:$AK$604,MATCH(A160,Jobs!$A$5:$A$604,0)),0))</f>
        <v>0</v>
      </c>
      <c r="M160" s="34">
        <f>IF(A160="","",IF(IFERROR(L160*1,0)&gt;0,L160,IFERROR(K160*1,0)))</f>
        <v>0</v>
      </c>
      <c r="N160" s="21">
        <f>IF(A160="","",SUMIFS(Timesheets!$X$5:$X$804,Timesheets!$G$5:$G$804,A160))</f>
        <v>0</v>
      </c>
      <c r="O160" s="21">
        <f>IF(A160="","",IF(N160&gt;0,N160,ROUND(M160*CostPerHour,2)))</f>
        <v>0</v>
      </c>
      <c r="P160" s="21">
        <f>IF(A160="","",SUMIFS('Supply Usage'!$L$5:$L$304,'Supply Usage'!$F$5:$F$304,A160))</f>
        <v>0</v>
      </c>
      <c r="Q160" s="21">
        <f>IF(A160="","",IF(P160&gt;0,P160,ROUND(M160*SuppliesPerHour,2)))</f>
        <v>0</v>
      </c>
      <c r="R160" s="21">
        <f>IF(A160="","",ROUND(IFERROR(INDEX(Jobs!$W$5:$W$604,MATCH(A160,Jobs!$A$5:$A$604,0)),0)*MileageRate,2))</f>
        <v>0</v>
      </c>
      <c r="T160" s="21">
        <f>IF(A160="","",O160+Q160+R160+IF(S160="",0,S160))</f>
        <v>0</v>
      </c>
      <c r="U160" s="21">
        <f>IF(A160="","",J160-T160)</f>
        <v>0</v>
      </c>
      <c r="V160" s="38">
        <f>IF(OR(A160="",J160=0),"",U160/J160)</f>
        <v>0</v>
      </c>
      <c r="W160" s="21">
        <f>IF(OR(A160="",M160=0,J160=0),"",U160/M160)</f>
        <v>0</v>
      </c>
      <c r="X160" s="34">
        <f>IF(OR(A160="",L160="",L160=0,K160=""),"",L160-K160)</f>
        <v>0</v>
      </c>
      <c r="Y160" s="31">
        <f>IF(A160="","",COUNTIFS($U$5:$U$604,"&gt;"&amp;U160)+COUNTIFS($U$5:U160,U160))</f>
        <v>0</v>
      </c>
      <c r="Z160" s="31">
        <f>IF(A160="","",COUNTIFS($W$5:$W$604,"&gt;"&amp;W160)+COUNTIFS($W$5:W160,W160))</f>
        <v>0</v>
      </c>
      <c r="AA160" s="39">
        <f>IF(A160="","",IF(J160=0,"",IF(U160&lt;0,"Loss - this job cost you money",IF(V160&lt;MarginFloor,"Below - margin under the floor",IF(V160&lt;TargetMargin,"Check - under target margin",IF(AND(X160&lt;&gt;"",X160&gt;0.5),"Check - ran over the estimate","OK"))))))</f>
        <v>0</v>
      </c>
    </row>
    <row r="161" spans="1:27">
      <c r="A161" s="43">
        <f>IF(IFERROR(INDEX(Jobs!$A$5:$A$604,ROW()-4),"")="","",IFERROR(INDEX(Jobs!$A$5:$A$604,ROW()-4),""))</f>
        <v>0</v>
      </c>
      <c r="B161" s="18">
        <f>IF(A161="","",IFERROR(INDEX(Jobs!$B$5:$B$604,MATCH(A161,Jobs!$A$5:$A$604,0)),""))</f>
        <v>0</v>
      </c>
      <c r="C161" s="23">
        <f>IF(B161="","",TEXT(B161,"yyyy-mm"))</f>
        <v>0</v>
      </c>
      <c r="D161" s="43">
        <f>IF(A161="","",IFERROR(INDEX(Jobs!$G$5:$G$604,MATCH(A161,Jobs!$A$5:$A$604,0)),""))</f>
        <v>0</v>
      </c>
      <c r="E161" s="23">
        <f>IF(A161="","",IFERROR(INDEX(Jobs!$H$5:$H$604,MATCH(A161,Jobs!$A$5:$A$604,0)),""))</f>
        <v>0</v>
      </c>
      <c r="F161" s="23">
        <f>IF(A161="","",IFERROR(INDEX(Jobs!$K$5:$K$604,MATCH(A161,Jobs!$A$5:$A$604,0)),""))</f>
        <v>0</v>
      </c>
      <c r="G161" s="23">
        <f>IF(A161="","",IFERROR(INDEX(Jobs!$M$5:$M$604,MATCH(A161,Jobs!$A$5:$A$604,0)),""))</f>
        <v>0</v>
      </c>
      <c r="H161" s="23">
        <f>IF(A161="","",IFERROR(INDEX(Jobs!$R$5:$R$604,MATCH(A161,Jobs!$A$5:$A$604,0)),""))</f>
        <v>0</v>
      </c>
      <c r="I161" s="39">
        <f>IF(A161="","",IFERROR(INDEX(Jobs!$P$5:$P$604,MATCH(A161,Jobs!$A$5:$A$604,0)),""))</f>
        <v>0</v>
      </c>
      <c r="J161" s="21">
        <f>IF(A161="","",IF(OR(I161="Completed",I161="Invoiced"),IFERROR(INDEX(Jobs!$AJ$5:$AJ$604,MATCH(A161,Jobs!$A$5:$A$604,0)),0),0))</f>
        <v>0</v>
      </c>
      <c r="K161" s="34">
        <f>IF(A161="","",IFERROR(INDEX(Jobs!$AD$5:$AD$604,MATCH(A161,Jobs!$A$5:$A$604,0)),0))</f>
        <v>0</v>
      </c>
      <c r="L161" s="34">
        <f>IF(A161="","",IFERROR(INDEX(Jobs!$AK$5:$AK$604,MATCH(A161,Jobs!$A$5:$A$604,0)),0))</f>
        <v>0</v>
      </c>
      <c r="M161" s="34">
        <f>IF(A161="","",IF(IFERROR(L161*1,0)&gt;0,L161,IFERROR(K161*1,0)))</f>
        <v>0</v>
      </c>
      <c r="N161" s="21">
        <f>IF(A161="","",SUMIFS(Timesheets!$X$5:$X$804,Timesheets!$G$5:$G$804,A161))</f>
        <v>0</v>
      </c>
      <c r="O161" s="21">
        <f>IF(A161="","",IF(N161&gt;0,N161,ROUND(M161*CostPerHour,2)))</f>
        <v>0</v>
      </c>
      <c r="P161" s="21">
        <f>IF(A161="","",SUMIFS('Supply Usage'!$L$5:$L$304,'Supply Usage'!$F$5:$F$304,A161))</f>
        <v>0</v>
      </c>
      <c r="Q161" s="21">
        <f>IF(A161="","",IF(P161&gt;0,P161,ROUND(M161*SuppliesPerHour,2)))</f>
        <v>0</v>
      </c>
      <c r="R161" s="21">
        <f>IF(A161="","",ROUND(IFERROR(INDEX(Jobs!$W$5:$W$604,MATCH(A161,Jobs!$A$5:$A$604,0)),0)*MileageRate,2))</f>
        <v>0</v>
      </c>
      <c r="T161" s="21">
        <f>IF(A161="","",O161+Q161+R161+IF(S161="",0,S161))</f>
        <v>0</v>
      </c>
      <c r="U161" s="21">
        <f>IF(A161="","",J161-T161)</f>
        <v>0</v>
      </c>
      <c r="V161" s="38">
        <f>IF(OR(A161="",J161=0),"",U161/J161)</f>
        <v>0</v>
      </c>
      <c r="W161" s="21">
        <f>IF(OR(A161="",M161=0,J161=0),"",U161/M161)</f>
        <v>0</v>
      </c>
      <c r="X161" s="34">
        <f>IF(OR(A161="",L161="",L161=0,K161=""),"",L161-K161)</f>
        <v>0</v>
      </c>
      <c r="Y161" s="31">
        <f>IF(A161="","",COUNTIFS($U$5:$U$604,"&gt;"&amp;U161)+COUNTIFS($U$5:U161,U161))</f>
        <v>0</v>
      </c>
      <c r="Z161" s="31">
        <f>IF(A161="","",COUNTIFS($W$5:$W$604,"&gt;"&amp;W161)+COUNTIFS($W$5:W161,W161))</f>
        <v>0</v>
      </c>
      <c r="AA161" s="39">
        <f>IF(A161="","",IF(J161=0,"",IF(U161&lt;0,"Loss - this job cost you money",IF(V161&lt;MarginFloor,"Below - margin under the floor",IF(V161&lt;TargetMargin,"Check - under target margin",IF(AND(X161&lt;&gt;"",X161&gt;0.5),"Check - ran over the estimate","OK"))))))</f>
        <v>0</v>
      </c>
    </row>
    <row r="162" spans="1:27">
      <c r="A162" s="43">
        <f>IF(IFERROR(INDEX(Jobs!$A$5:$A$604,ROW()-4),"")="","",IFERROR(INDEX(Jobs!$A$5:$A$604,ROW()-4),""))</f>
        <v>0</v>
      </c>
      <c r="B162" s="18">
        <f>IF(A162="","",IFERROR(INDEX(Jobs!$B$5:$B$604,MATCH(A162,Jobs!$A$5:$A$604,0)),""))</f>
        <v>0</v>
      </c>
      <c r="C162" s="23">
        <f>IF(B162="","",TEXT(B162,"yyyy-mm"))</f>
        <v>0</v>
      </c>
      <c r="D162" s="43">
        <f>IF(A162="","",IFERROR(INDEX(Jobs!$G$5:$G$604,MATCH(A162,Jobs!$A$5:$A$604,0)),""))</f>
        <v>0</v>
      </c>
      <c r="E162" s="23">
        <f>IF(A162="","",IFERROR(INDEX(Jobs!$H$5:$H$604,MATCH(A162,Jobs!$A$5:$A$604,0)),""))</f>
        <v>0</v>
      </c>
      <c r="F162" s="23">
        <f>IF(A162="","",IFERROR(INDEX(Jobs!$K$5:$K$604,MATCH(A162,Jobs!$A$5:$A$604,0)),""))</f>
        <v>0</v>
      </c>
      <c r="G162" s="23">
        <f>IF(A162="","",IFERROR(INDEX(Jobs!$M$5:$M$604,MATCH(A162,Jobs!$A$5:$A$604,0)),""))</f>
        <v>0</v>
      </c>
      <c r="H162" s="23">
        <f>IF(A162="","",IFERROR(INDEX(Jobs!$R$5:$R$604,MATCH(A162,Jobs!$A$5:$A$604,0)),""))</f>
        <v>0</v>
      </c>
      <c r="I162" s="39">
        <f>IF(A162="","",IFERROR(INDEX(Jobs!$P$5:$P$604,MATCH(A162,Jobs!$A$5:$A$604,0)),""))</f>
        <v>0</v>
      </c>
      <c r="J162" s="21">
        <f>IF(A162="","",IF(OR(I162="Completed",I162="Invoiced"),IFERROR(INDEX(Jobs!$AJ$5:$AJ$604,MATCH(A162,Jobs!$A$5:$A$604,0)),0),0))</f>
        <v>0</v>
      </c>
      <c r="K162" s="34">
        <f>IF(A162="","",IFERROR(INDEX(Jobs!$AD$5:$AD$604,MATCH(A162,Jobs!$A$5:$A$604,0)),0))</f>
        <v>0</v>
      </c>
      <c r="L162" s="34">
        <f>IF(A162="","",IFERROR(INDEX(Jobs!$AK$5:$AK$604,MATCH(A162,Jobs!$A$5:$A$604,0)),0))</f>
        <v>0</v>
      </c>
      <c r="M162" s="34">
        <f>IF(A162="","",IF(IFERROR(L162*1,0)&gt;0,L162,IFERROR(K162*1,0)))</f>
        <v>0</v>
      </c>
      <c r="N162" s="21">
        <f>IF(A162="","",SUMIFS(Timesheets!$X$5:$X$804,Timesheets!$G$5:$G$804,A162))</f>
        <v>0</v>
      </c>
      <c r="O162" s="21">
        <f>IF(A162="","",IF(N162&gt;0,N162,ROUND(M162*CostPerHour,2)))</f>
        <v>0</v>
      </c>
      <c r="P162" s="21">
        <f>IF(A162="","",SUMIFS('Supply Usage'!$L$5:$L$304,'Supply Usage'!$F$5:$F$304,A162))</f>
        <v>0</v>
      </c>
      <c r="Q162" s="21">
        <f>IF(A162="","",IF(P162&gt;0,P162,ROUND(M162*SuppliesPerHour,2)))</f>
        <v>0</v>
      </c>
      <c r="R162" s="21">
        <f>IF(A162="","",ROUND(IFERROR(INDEX(Jobs!$W$5:$W$604,MATCH(A162,Jobs!$A$5:$A$604,0)),0)*MileageRate,2))</f>
        <v>0</v>
      </c>
      <c r="T162" s="21">
        <f>IF(A162="","",O162+Q162+R162+IF(S162="",0,S162))</f>
        <v>0</v>
      </c>
      <c r="U162" s="21">
        <f>IF(A162="","",J162-T162)</f>
        <v>0</v>
      </c>
      <c r="V162" s="38">
        <f>IF(OR(A162="",J162=0),"",U162/J162)</f>
        <v>0</v>
      </c>
      <c r="W162" s="21">
        <f>IF(OR(A162="",M162=0,J162=0),"",U162/M162)</f>
        <v>0</v>
      </c>
      <c r="X162" s="34">
        <f>IF(OR(A162="",L162="",L162=0,K162=""),"",L162-K162)</f>
        <v>0</v>
      </c>
      <c r="Y162" s="31">
        <f>IF(A162="","",COUNTIFS($U$5:$U$604,"&gt;"&amp;U162)+COUNTIFS($U$5:U162,U162))</f>
        <v>0</v>
      </c>
      <c r="Z162" s="31">
        <f>IF(A162="","",COUNTIFS($W$5:$W$604,"&gt;"&amp;W162)+COUNTIFS($W$5:W162,W162))</f>
        <v>0</v>
      </c>
      <c r="AA162" s="39">
        <f>IF(A162="","",IF(J162=0,"",IF(U162&lt;0,"Loss - this job cost you money",IF(V162&lt;MarginFloor,"Below - margin under the floor",IF(V162&lt;TargetMargin,"Check - under target margin",IF(AND(X162&lt;&gt;"",X162&gt;0.5),"Check - ran over the estimate","OK"))))))</f>
        <v>0</v>
      </c>
    </row>
    <row r="163" spans="1:27">
      <c r="A163" s="43">
        <f>IF(IFERROR(INDEX(Jobs!$A$5:$A$604,ROW()-4),"")="","",IFERROR(INDEX(Jobs!$A$5:$A$604,ROW()-4),""))</f>
        <v>0</v>
      </c>
      <c r="B163" s="18">
        <f>IF(A163="","",IFERROR(INDEX(Jobs!$B$5:$B$604,MATCH(A163,Jobs!$A$5:$A$604,0)),""))</f>
        <v>0</v>
      </c>
      <c r="C163" s="23">
        <f>IF(B163="","",TEXT(B163,"yyyy-mm"))</f>
        <v>0</v>
      </c>
      <c r="D163" s="43">
        <f>IF(A163="","",IFERROR(INDEX(Jobs!$G$5:$G$604,MATCH(A163,Jobs!$A$5:$A$604,0)),""))</f>
        <v>0</v>
      </c>
      <c r="E163" s="23">
        <f>IF(A163="","",IFERROR(INDEX(Jobs!$H$5:$H$604,MATCH(A163,Jobs!$A$5:$A$604,0)),""))</f>
        <v>0</v>
      </c>
      <c r="F163" s="23">
        <f>IF(A163="","",IFERROR(INDEX(Jobs!$K$5:$K$604,MATCH(A163,Jobs!$A$5:$A$604,0)),""))</f>
        <v>0</v>
      </c>
      <c r="G163" s="23">
        <f>IF(A163="","",IFERROR(INDEX(Jobs!$M$5:$M$604,MATCH(A163,Jobs!$A$5:$A$604,0)),""))</f>
        <v>0</v>
      </c>
      <c r="H163" s="23">
        <f>IF(A163="","",IFERROR(INDEX(Jobs!$R$5:$R$604,MATCH(A163,Jobs!$A$5:$A$604,0)),""))</f>
        <v>0</v>
      </c>
      <c r="I163" s="39">
        <f>IF(A163="","",IFERROR(INDEX(Jobs!$P$5:$P$604,MATCH(A163,Jobs!$A$5:$A$604,0)),""))</f>
        <v>0</v>
      </c>
      <c r="J163" s="21">
        <f>IF(A163="","",IF(OR(I163="Completed",I163="Invoiced"),IFERROR(INDEX(Jobs!$AJ$5:$AJ$604,MATCH(A163,Jobs!$A$5:$A$604,0)),0),0))</f>
        <v>0</v>
      </c>
      <c r="K163" s="34">
        <f>IF(A163="","",IFERROR(INDEX(Jobs!$AD$5:$AD$604,MATCH(A163,Jobs!$A$5:$A$604,0)),0))</f>
        <v>0</v>
      </c>
      <c r="L163" s="34">
        <f>IF(A163="","",IFERROR(INDEX(Jobs!$AK$5:$AK$604,MATCH(A163,Jobs!$A$5:$A$604,0)),0))</f>
        <v>0</v>
      </c>
      <c r="M163" s="34">
        <f>IF(A163="","",IF(IFERROR(L163*1,0)&gt;0,L163,IFERROR(K163*1,0)))</f>
        <v>0</v>
      </c>
      <c r="N163" s="21">
        <f>IF(A163="","",SUMIFS(Timesheets!$X$5:$X$804,Timesheets!$G$5:$G$804,A163))</f>
        <v>0</v>
      </c>
      <c r="O163" s="21">
        <f>IF(A163="","",IF(N163&gt;0,N163,ROUND(M163*CostPerHour,2)))</f>
        <v>0</v>
      </c>
      <c r="P163" s="21">
        <f>IF(A163="","",SUMIFS('Supply Usage'!$L$5:$L$304,'Supply Usage'!$F$5:$F$304,A163))</f>
        <v>0</v>
      </c>
      <c r="Q163" s="21">
        <f>IF(A163="","",IF(P163&gt;0,P163,ROUND(M163*SuppliesPerHour,2)))</f>
        <v>0</v>
      </c>
      <c r="R163" s="21">
        <f>IF(A163="","",ROUND(IFERROR(INDEX(Jobs!$W$5:$W$604,MATCH(A163,Jobs!$A$5:$A$604,0)),0)*MileageRate,2))</f>
        <v>0</v>
      </c>
      <c r="T163" s="21">
        <f>IF(A163="","",O163+Q163+R163+IF(S163="",0,S163))</f>
        <v>0</v>
      </c>
      <c r="U163" s="21">
        <f>IF(A163="","",J163-T163)</f>
        <v>0</v>
      </c>
      <c r="V163" s="38">
        <f>IF(OR(A163="",J163=0),"",U163/J163)</f>
        <v>0</v>
      </c>
      <c r="W163" s="21">
        <f>IF(OR(A163="",M163=0,J163=0),"",U163/M163)</f>
        <v>0</v>
      </c>
      <c r="X163" s="34">
        <f>IF(OR(A163="",L163="",L163=0,K163=""),"",L163-K163)</f>
        <v>0</v>
      </c>
      <c r="Y163" s="31">
        <f>IF(A163="","",COUNTIFS($U$5:$U$604,"&gt;"&amp;U163)+COUNTIFS($U$5:U163,U163))</f>
        <v>0</v>
      </c>
      <c r="Z163" s="31">
        <f>IF(A163="","",COUNTIFS($W$5:$W$604,"&gt;"&amp;W163)+COUNTIFS($W$5:W163,W163))</f>
        <v>0</v>
      </c>
      <c r="AA163" s="39">
        <f>IF(A163="","",IF(J163=0,"",IF(U163&lt;0,"Loss - this job cost you money",IF(V163&lt;MarginFloor,"Below - margin under the floor",IF(V163&lt;TargetMargin,"Check - under target margin",IF(AND(X163&lt;&gt;"",X163&gt;0.5),"Check - ran over the estimate","OK"))))))</f>
        <v>0</v>
      </c>
    </row>
    <row r="164" spans="1:27">
      <c r="A164" s="43">
        <f>IF(IFERROR(INDEX(Jobs!$A$5:$A$604,ROW()-4),"")="","",IFERROR(INDEX(Jobs!$A$5:$A$604,ROW()-4),""))</f>
        <v>0</v>
      </c>
      <c r="B164" s="18">
        <f>IF(A164="","",IFERROR(INDEX(Jobs!$B$5:$B$604,MATCH(A164,Jobs!$A$5:$A$604,0)),""))</f>
        <v>0</v>
      </c>
      <c r="C164" s="23">
        <f>IF(B164="","",TEXT(B164,"yyyy-mm"))</f>
        <v>0</v>
      </c>
      <c r="D164" s="43">
        <f>IF(A164="","",IFERROR(INDEX(Jobs!$G$5:$G$604,MATCH(A164,Jobs!$A$5:$A$604,0)),""))</f>
        <v>0</v>
      </c>
      <c r="E164" s="23">
        <f>IF(A164="","",IFERROR(INDEX(Jobs!$H$5:$H$604,MATCH(A164,Jobs!$A$5:$A$604,0)),""))</f>
        <v>0</v>
      </c>
      <c r="F164" s="23">
        <f>IF(A164="","",IFERROR(INDEX(Jobs!$K$5:$K$604,MATCH(A164,Jobs!$A$5:$A$604,0)),""))</f>
        <v>0</v>
      </c>
      <c r="G164" s="23">
        <f>IF(A164="","",IFERROR(INDEX(Jobs!$M$5:$M$604,MATCH(A164,Jobs!$A$5:$A$604,0)),""))</f>
        <v>0</v>
      </c>
      <c r="H164" s="23">
        <f>IF(A164="","",IFERROR(INDEX(Jobs!$R$5:$R$604,MATCH(A164,Jobs!$A$5:$A$604,0)),""))</f>
        <v>0</v>
      </c>
      <c r="I164" s="39">
        <f>IF(A164="","",IFERROR(INDEX(Jobs!$P$5:$P$604,MATCH(A164,Jobs!$A$5:$A$604,0)),""))</f>
        <v>0</v>
      </c>
      <c r="J164" s="21">
        <f>IF(A164="","",IF(OR(I164="Completed",I164="Invoiced"),IFERROR(INDEX(Jobs!$AJ$5:$AJ$604,MATCH(A164,Jobs!$A$5:$A$604,0)),0),0))</f>
        <v>0</v>
      </c>
      <c r="K164" s="34">
        <f>IF(A164="","",IFERROR(INDEX(Jobs!$AD$5:$AD$604,MATCH(A164,Jobs!$A$5:$A$604,0)),0))</f>
        <v>0</v>
      </c>
      <c r="L164" s="34">
        <f>IF(A164="","",IFERROR(INDEX(Jobs!$AK$5:$AK$604,MATCH(A164,Jobs!$A$5:$A$604,0)),0))</f>
        <v>0</v>
      </c>
      <c r="M164" s="34">
        <f>IF(A164="","",IF(IFERROR(L164*1,0)&gt;0,L164,IFERROR(K164*1,0)))</f>
        <v>0</v>
      </c>
      <c r="N164" s="21">
        <f>IF(A164="","",SUMIFS(Timesheets!$X$5:$X$804,Timesheets!$G$5:$G$804,A164))</f>
        <v>0</v>
      </c>
      <c r="O164" s="21">
        <f>IF(A164="","",IF(N164&gt;0,N164,ROUND(M164*CostPerHour,2)))</f>
        <v>0</v>
      </c>
      <c r="P164" s="21">
        <f>IF(A164="","",SUMIFS('Supply Usage'!$L$5:$L$304,'Supply Usage'!$F$5:$F$304,A164))</f>
        <v>0</v>
      </c>
      <c r="Q164" s="21">
        <f>IF(A164="","",IF(P164&gt;0,P164,ROUND(M164*SuppliesPerHour,2)))</f>
        <v>0</v>
      </c>
      <c r="R164" s="21">
        <f>IF(A164="","",ROUND(IFERROR(INDEX(Jobs!$W$5:$W$604,MATCH(A164,Jobs!$A$5:$A$604,0)),0)*MileageRate,2))</f>
        <v>0</v>
      </c>
      <c r="T164" s="21">
        <f>IF(A164="","",O164+Q164+R164+IF(S164="",0,S164))</f>
        <v>0</v>
      </c>
      <c r="U164" s="21">
        <f>IF(A164="","",J164-T164)</f>
        <v>0</v>
      </c>
      <c r="V164" s="38">
        <f>IF(OR(A164="",J164=0),"",U164/J164)</f>
        <v>0</v>
      </c>
      <c r="W164" s="21">
        <f>IF(OR(A164="",M164=0,J164=0),"",U164/M164)</f>
        <v>0</v>
      </c>
      <c r="X164" s="34">
        <f>IF(OR(A164="",L164="",L164=0,K164=""),"",L164-K164)</f>
        <v>0</v>
      </c>
      <c r="Y164" s="31">
        <f>IF(A164="","",COUNTIFS($U$5:$U$604,"&gt;"&amp;U164)+COUNTIFS($U$5:U164,U164))</f>
        <v>0</v>
      </c>
      <c r="Z164" s="31">
        <f>IF(A164="","",COUNTIFS($W$5:$W$604,"&gt;"&amp;W164)+COUNTIFS($W$5:W164,W164))</f>
        <v>0</v>
      </c>
      <c r="AA164" s="39">
        <f>IF(A164="","",IF(J164=0,"",IF(U164&lt;0,"Loss - this job cost you money",IF(V164&lt;MarginFloor,"Below - margin under the floor",IF(V164&lt;TargetMargin,"Check - under target margin",IF(AND(X164&lt;&gt;"",X164&gt;0.5),"Check - ran over the estimate","OK"))))))</f>
        <v>0</v>
      </c>
    </row>
    <row r="165" spans="1:27">
      <c r="A165" s="43">
        <f>IF(IFERROR(INDEX(Jobs!$A$5:$A$604,ROW()-4),"")="","",IFERROR(INDEX(Jobs!$A$5:$A$604,ROW()-4),""))</f>
        <v>0</v>
      </c>
      <c r="B165" s="18">
        <f>IF(A165="","",IFERROR(INDEX(Jobs!$B$5:$B$604,MATCH(A165,Jobs!$A$5:$A$604,0)),""))</f>
        <v>0</v>
      </c>
      <c r="C165" s="23">
        <f>IF(B165="","",TEXT(B165,"yyyy-mm"))</f>
        <v>0</v>
      </c>
      <c r="D165" s="43">
        <f>IF(A165="","",IFERROR(INDEX(Jobs!$G$5:$G$604,MATCH(A165,Jobs!$A$5:$A$604,0)),""))</f>
        <v>0</v>
      </c>
      <c r="E165" s="23">
        <f>IF(A165="","",IFERROR(INDEX(Jobs!$H$5:$H$604,MATCH(A165,Jobs!$A$5:$A$604,0)),""))</f>
        <v>0</v>
      </c>
      <c r="F165" s="23">
        <f>IF(A165="","",IFERROR(INDEX(Jobs!$K$5:$K$604,MATCH(A165,Jobs!$A$5:$A$604,0)),""))</f>
        <v>0</v>
      </c>
      <c r="G165" s="23">
        <f>IF(A165="","",IFERROR(INDEX(Jobs!$M$5:$M$604,MATCH(A165,Jobs!$A$5:$A$604,0)),""))</f>
        <v>0</v>
      </c>
      <c r="H165" s="23">
        <f>IF(A165="","",IFERROR(INDEX(Jobs!$R$5:$R$604,MATCH(A165,Jobs!$A$5:$A$604,0)),""))</f>
        <v>0</v>
      </c>
      <c r="I165" s="39">
        <f>IF(A165="","",IFERROR(INDEX(Jobs!$P$5:$P$604,MATCH(A165,Jobs!$A$5:$A$604,0)),""))</f>
        <v>0</v>
      </c>
      <c r="J165" s="21">
        <f>IF(A165="","",IF(OR(I165="Completed",I165="Invoiced"),IFERROR(INDEX(Jobs!$AJ$5:$AJ$604,MATCH(A165,Jobs!$A$5:$A$604,0)),0),0))</f>
        <v>0</v>
      </c>
      <c r="K165" s="34">
        <f>IF(A165="","",IFERROR(INDEX(Jobs!$AD$5:$AD$604,MATCH(A165,Jobs!$A$5:$A$604,0)),0))</f>
        <v>0</v>
      </c>
      <c r="L165" s="34">
        <f>IF(A165="","",IFERROR(INDEX(Jobs!$AK$5:$AK$604,MATCH(A165,Jobs!$A$5:$A$604,0)),0))</f>
        <v>0</v>
      </c>
      <c r="M165" s="34">
        <f>IF(A165="","",IF(IFERROR(L165*1,0)&gt;0,L165,IFERROR(K165*1,0)))</f>
        <v>0</v>
      </c>
      <c r="N165" s="21">
        <f>IF(A165="","",SUMIFS(Timesheets!$X$5:$X$804,Timesheets!$G$5:$G$804,A165))</f>
        <v>0</v>
      </c>
      <c r="O165" s="21">
        <f>IF(A165="","",IF(N165&gt;0,N165,ROUND(M165*CostPerHour,2)))</f>
        <v>0</v>
      </c>
      <c r="P165" s="21">
        <f>IF(A165="","",SUMIFS('Supply Usage'!$L$5:$L$304,'Supply Usage'!$F$5:$F$304,A165))</f>
        <v>0</v>
      </c>
      <c r="Q165" s="21">
        <f>IF(A165="","",IF(P165&gt;0,P165,ROUND(M165*SuppliesPerHour,2)))</f>
        <v>0</v>
      </c>
      <c r="R165" s="21">
        <f>IF(A165="","",ROUND(IFERROR(INDEX(Jobs!$W$5:$W$604,MATCH(A165,Jobs!$A$5:$A$604,0)),0)*MileageRate,2))</f>
        <v>0</v>
      </c>
      <c r="T165" s="21">
        <f>IF(A165="","",O165+Q165+R165+IF(S165="",0,S165))</f>
        <v>0</v>
      </c>
      <c r="U165" s="21">
        <f>IF(A165="","",J165-T165)</f>
        <v>0</v>
      </c>
      <c r="V165" s="38">
        <f>IF(OR(A165="",J165=0),"",U165/J165)</f>
        <v>0</v>
      </c>
      <c r="W165" s="21">
        <f>IF(OR(A165="",M165=0,J165=0),"",U165/M165)</f>
        <v>0</v>
      </c>
      <c r="X165" s="34">
        <f>IF(OR(A165="",L165="",L165=0,K165=""),"",L165-K165)</f>
        <v>0</v>
      </c>
      <c r="Y165" s="31">
        <f>IF(A165="","",COUNTIFS($U$5:$U$604,"&gt;"&amp;U165)+COUNTIFS($U$5:U165,U165))</f>
        <v>0</v>
      </c>
      <c r="Z165" s="31">
        <f>IF(A165="","",COUNTIFS($W$5:$W$604,"&gt;"&amp;W165)+COUNTIFS($W$5:W165,W165))</f>
        <v>0</v>
      </c>
      <c r="AA165" s="39">
        <f>IF(A165="","",IF(J165=0,"",IF(U165&lt;0,"Loss - this job cost you money",IF(V165&lt;MarginFloor,"Below - margin under the floor",IF(V165&lt;TargetMargin,"Check - under target margin",IF(AND(X165&lt;&gt;"",X165&gt;0.5),"Check - ran over the estimate","OK"))))))</f>
        <v>0</v>
      </c>
    </row>
    <row r="166" spans="1:27">
      <c r="A166" s="43">
        <f>IF(IFERROR(INDEX(Jobs!$A$5:$A$604,ROW()-4),"")="","",IFERROR(INDEX(Jobs!$A$5:$A$604,ROW()-4),""))</f>
        <v>0</v>
      </c>
      <c r="B166" s="18">
        <f>IF(A166="","",IFERROR(INDEX(Jobs!$B$5:$B$604,MATCH(A166,Jobs!$A$5:$A$604,0)),""))</f>
        <v>0</v>
      </c>
      <c r="C166" s="23">
        <f>IF(B166="","",TEXT(B166,"yyyy-mm"))</f>
        <v>0</v>
      </c>
      <c r="D166" s="43">
        <f>IF(A166="","",IFERROR(INDEX(Jobs!$G$5:$G$604,MATCH(A166,Jobs!$A$5:$A$604,0)),""))</f>
        <v>0</v>
      </c>
      <c r="E166" s="23">
        <f>IF(A166="","",IFERROR(INDEX(Jobs!$H$5:$H$604,MATCH(A166,Jobs!$A$5:$A$604,0)),""))</f>
        <v>0</v>
      </c>
      <c r="F166" s="23">
        <f>IF(A166="","",IFERROR(INDEX(Jobs!$K$5:$K$604,MATCH(A166,Jobs!$A$5:$A$604,0)),""))</f>
        <v>0</v>
      </c>
      <c r="G166" s="23">
        <f>IF(A166="","",IFERROR(INDEX(Jobs!$M$5:$M$604,MATCH(A166,Jobs!$A$5:$A$604,0)),""))</f>
        <v>0</v>
      </c>
      <c r="H166" s="23">
        <f>IF(A166="","",IFERROR(INDEX(Jobs!$R$5:$R$604,MATCH(A166,Jobs!$A$5:$A$604,0)),""))</f>
        <v>0</v>
      </c>
      <c r="I166" s="39">
        <f>IF(A166="","",IFERROR(INDEX(Jobs!$P$5:$P$604,MATCH(A166,Jobs!$A$5:$A$604,0)),""))</f>
        <v>0</v>
      </c>
      <c r="J166" s="21">
        <f>IF(A166="","",IF(OR(I166="Completed",I166="Invoiced"),IFERROR(INDEX(Jobs!$AJ$5:$AJ$604,MATCH(A166,Jobs!$A$5:$A$604,0)),0),0))</f>
        <v>0</v>
      </c>
      <c r="K166" s="34">
        <f>IF(A166="","",IFERROR(INDEX(Jobs!$AD$5:$AD$604,MATCH(A166,Jobs!$A$5:$A$604,0)),0))</f>
        <v>0</v>
      </c>
      <c r="L166" s="34">
        <f>IF(A166="","",IFERROR(INDEX(Jobs!$AK$5:$AK$604,MATCH(A166,Jobs!$A$5:$A$604,0)),0))</f>
        <v>0</v>
      </c>
      <c r="M166" s="34">
        <f>IF(A166="","",IF(IFERROR(L166*1,0)&gt;0,L166,IFERROR(K166*1,0)))</f>
        <v>0</v>
      </c>
      <c r="N166" s="21">
        <f>IF(A166="","",SUMIFS(Timesheets!$X$5:$X$804,Timesheets!$G$5:$G$804,A166))</f>
        <v>0</v>
      </c>
      <c r="O166" s="21">
        <f>IF(A166="","",IF(N166&gt;0,N166,ROUND(M166*CostPerHour,2)))</f>
        <v>0</v>
      </c>
      <c r="P166" s="21">
        <f>IF(A166="","",SUMIFS('Supply Usage'!$L$5:$L$304,'Supply Usage'!$F$5:$F$304,A166))</f>
        <v>0</v>
      </c>
      <c r="Q166" s="21">
        <f>IF(A166="","",IF(P166&gt;0,P166,ROUND(M166*SuppliesPerHour,2)))</f>
        <v>0</v>
      </c>
      <c r="R166" s="21">
        <f>IF(A166="","",ROUND(IFERROR(INDEX(Jobs!$W$5:$W$604,MATCH(A166,Jobs!$A$5:$A$604,0)),0)*MileageRate,2))</f>
        <v>0</v>
      </c>
      <c r="T166" s="21">
        <f>IF(A166="","",O166+Q166+R166+IF(S166="",0,S166))</f>
        <v>0</v>
      </c>
      <c r="U166" s="21">
        <f>IF(A166="","",J166-T166)</f>
        <v>0</v>
      </c>
      <c r="V166" s="38">
        <f>IF(OR(A166="",J166=0),"",U166/J166)</f>
        <v>0</v>
      </c>
      <c r="W166" s="21">
        <f>IF(OR(A166="",M166=0,J166=0),"",U166/M166)</f>
        <v>0</v>
      </c>
      <c r="X166" s="34">
        <f>IF(OR(A166="",L166="",L166=0,K166=""),"",L166-K166)</f>
        <v>0</v>
      </c>
      <c r="Y166" s="31">
        <f>IF(A166="","",COUNTIFS($U$5:$U$604,"&gt;"&amp;U166)+COUNTIFS($U$5:U166,U166))</f>
        <v>0</v>
      </c>
      <c r="Z166" s="31">
        <f>IF(A166="","",COUNTIFS($W$5:$W$604,"&gt;"&amp;W166)+COUNTIFS($W$5:W166,W166))</f>
        <v>0</v>
      </c>
      <c r="AA166" s="39">
        <f>IF(A166="","",IF(J166=0,"",IF(U166&lt;0,"Loss - this job cost you money",IF(V166&lt;MarginFloor,"Below - margin under the floor",IF(V166&lt;TargetMargin,"Check - under target margin",IF(AND(X166&lt;&gt;"",X166&gt;0.5),"Check - ran over the estimate","OK"))))))</f>
        <v>0</v>
      </c>
    </row>
    <row r="167" spans="1:27">
      <c r="A167" s="43">
        <f>IF(IFERROR(INDEX(Jobs!$A$5:$A$604,ROW()-4),"")="","",IFERROR(INDEX(Jobs!$A$5:$A$604,ROW()-4),""))</f>
        <v>0</v>
      </c>
      <c r="B167" s="18">
        <f>IF(A167="","",IFERROR(INDEX(Jobs!$B$5:$B$604,MATCH(A167,Jobs!$A$5:$A$604,0)),""))</f>
        <v>0</v>
      </c>
      <c r="C167" s="23">
        <f>IF(B167="","",TEXT(B167,"yyyy-mm"))</f>
        <v>0</v>
      </c>
      <c r="D167" s="43">
        <f>IF(A167="","",IFERROR(INDEX(Jobs!$G$5:$G$604,MATCH(A167,Jobs!$A$5:$A$604,0)),""))</f>
        <v>0</v>
      </c>
      <c r="E167" s="23">
        <f>IF(A167="","",IFERROR(INDEX(Jobs!$H$5:$H$604,MATCH(A167,Jobs!$A$5:$A$604,0)),""))</f>
        <v>0</v>
      </c>
      <c r="F167" s="23">
        <f>IF(A167="","",IFERROR(INDEX(Jobs!$K$5:$K$604,MATCH(A167,Jobs!$A$5:$A$604,0)),""))</f>
        <v>0</v>
      </c>
      <c r="G167" s="23">
        <f>IF(A167="","",IFERROR(INDEX(Jobs!$M$5:$M$604,MATCH(A167,Jobs!$A$5:$A$604,0)),""))</f>
        <v>0</v>
      </c>
      <c r="H167" s="23">
        <f>IF(A167="","",IFERROR(INDEX(Jobs!$R$5:$R$604,MATCH(A167,Jobs!$A$5:$A$604,0)),""))</f>
        <v>0</v>
      </c>
      <c r="I167" s="39">
        <f>IF(A167="","",IFERROR(INDEX(Jobs!$P$5:$P$604,MATCH(A167,Jobs!$A$5:$A$604,0)),""))</f>
        <v>0</v>
      </c>
      <c r="J167" s="21">
        <f>IF(A167="","",IF(OR(I167="Completed",I167="Invoiced"),IFERROR(INDEX(Jobs!$AJ$5:$AJ$604,MATCH(A167,Jobs!$A$5:$A$604,0)),0),0))</f>
        <v>0</v>
      </c>
      <c r="K167" s="34">
        <f>IF(A167="","",IFERROR(INDEX(Jobs!$AD$5:$AD$604,MATCH(A167,Jobs!$A$5:$A$604,0)),0))</f>
        <v>0</v>
      </c>
      <c r="L167" s="34">
        <f>IF(A167="","",IFERROR(INDEX(Jobs!$AK$5:$AK$604,MATCH(A167,Jobs!$A$5:$A$604,0)),0))</f>
        <v>0</v>
      </c>
      <c r="M167" s="34">
        <f>IF(A167="","",IF(IFERROR(L167*1,0)&gt;0,L167,IFERROR(K167*1,0)))</f>
        <v>0</v>
      </c>
      <c r="N167" s="21">
        <f>IF(A167="","",SUMIFS(Timesheets!$X$5:$X$804,Timesheets!$G$5:$G$804,A167))</f>
        <v>0</v>
      </c>
      <c r="O167" s="21">
        <f>IF(A167="","",IF(N167&gt;0,N167,ROUND(M167*CostPerHour,2)))</f>
        <v>0</v>
      </c>
      <c r="P167" s="21">
        <f>IF(A167="","",SUMIFS('Supply Usage'!$L$5:$L$304,'Supply Usage'!$F$5:$F$304,A167))</f>
        <v>0</v>
      </c>
      <c r="Q167" s="21">
        <f>IF(A167="","",IF(P167&gt;0,P167,ROUND(M167*SuppliesPerHour,2)))</f>
        <v>0</v>
      </c>
      <c r="R167" s="21">
        <f>IF(A167="","",ROUND(IFERROR(INDEX(Jobs!$W$5:$W$604,MATCH(A167,Jobs!$A$5:$A$604,0)),0)*MileageRate,2))</f>
        <v>0</v>
      </c>
      <c r="T167" s="21">
        <f>IF(A167="","",O167+Q167+R167+IF(S167="",0,S167))</f>
        <v>0</v>
      </c>
      <c r="U167" s="21">
        <f>IF(A167="","",J167-T167)</f>
        <v>0</v>
      </c>
      <c r="V167" s="38">
        <f>IF(OR(A167="",J167=0),"",U167/J167)</f>
        <v>0</v>
      </c>
      <c r="W167" s="21">
        <f>IF(OR(A167="",M167=0,J167=0),"",U167/M167)</f>
        <v>0</v>
      </c>
      <c r="X167" s="34">
        <f>IF(OR(A167="",L167="",L167=0,K167=""),"",L167-K167)</f>
        <v>0</v>
      </c>
      <c r="Y167" s="31">
        <f>IF(A167="","",COUNTIFS($U$5:$U$604,"&gt;"&amp;U167)+COUNTIFS($U$5:U167,U167))</f>
        <v>0</v>
      </c>
      <c r="Z167" s="31">
        <f>IF(A167="","",COUNTIFS($W$5:$W$604,"&gt;"&amp;W167)+COUNTIFS($W$5:W167,W167))</f>
        <v>0</v>
      </c>
      <c r="AA167" s="39">
        <f>IF(A167="","",IF(J167=0,"",IF(U167&lt;0,"Loss - this job cost you money",IF(V167&lt;MarginFloor,"Below - margin under the floor",IF(V167&lt;TargetMargin,"Check - under target margin",IF(AND(X167&lt;&gt;"",X167&gt;0.5),"Check - ran over the estimate","OK"))))))</f>
        <v>0</v>
      </c>
    </row>
    <row r="168" spans="1:27">
      <c r="A168" s="43">
        <f>IF(IFERROR(INDEX(Jobs!$A$5:$A$604,ROW()-4),"")="","",IFERROR(INDEX(Jobs!$A$5:$A$604,ROW()-4),""))</f>
        <v>0</v>
      </c>
      <c r="B168" s="18">
        <f>IF(A168="","",IFERROR(INDEX(Jobs!$B$5:$B$604,MATCH(A168,Jobs!$A$5:$A$604,0)),""))</f>
        <v>0</v>
      </c>
      <c r="C168" s="23">
        <f>IF(B168="","",TEXT(B168,"yyyy-mm"))</f>
        <v>0</v>
      </c>
      <c r="D168" s="43">
        <f>IF(A168="","",IFERROR(INDEX(Jobs!$G$5:$G$604,MATCH(A168,Jobs!$A$5:$A$604,0)),""))</f>
        <v>0</v>
      </c>
      <c r="E168" s="23">
        <f>IF(A168="","",IFERROR(INDEX(Jobs!$H$5:$H$604,MATCH(A168,Jobs!$A$5:$A$604,0)),""))</f>
        <v>0</v>
      </c>
      <c r="F168" s="23">
        <f>IF(A168="","",IFERROR(INDEX(Jobs!$K$5:$K$604,MATCH(A168,Jobs!$A$5:$A$604,0)),""))</f>
        <v>0</v>
      </c>
      <c r="G168" s="23">
        <f>IF(A168="","",IFERROR(INDEX(Jobs!$M$5:$M$604,MATCH(A168,Jobs!$A$5:$A$604,0)),""))</f>
        <v>0</v>
      </c>
      <c r="H168" s="23">
        <f>IF(A168="","",IFERROR(INDEX(Jobs!$R$5:$R$604,MATCH(A168,Jobs!$A$5:$A$604,0)),""))</f>
        <v>0</v>
      </c>
      <c r="I168" s="39">
        <f>IF(A168="","",IFERROR(INDEX(Jobs!$P$5:$P$604,MATCH(A168,Jobs!$A$5:$A$604,0)),""))</f>
        <v>0</v>
      </c>
      <c r="J168" s="21">
        <f>IF(A168="","",IF(OR(I168="Completed",I168="Invoiced"),IFERROR(INDEX(Jobs!$AJ$5:$AJ$604,MATCH(A168,Jobs!$A$5:$A$604,0)),0),0))</f>
        <v>0</v>
      </c>
      <c r="K168" s="34">
        <f>IF(A168="","",IFERROR(INDEX(Jobs!$AD$5:$AD$604,MATCH(A168,Jobs!$A$5:$A$604,0)),0))</f>
        <v>0</v>
      </c>
      <c r="L168" s="34">
        <f>IF(A168="","",IFERROR(INDEX(Jobs!$AK$5:$AK$604,MATCH(A168,Jobs!$A$5:$A$604,0)),0))</f>
        <v>0</v>
      </c>
      <c r="M168" s="34">
        <f>IF(A168="","",IF(IFERROR(L168*1,0)&gt;0,L168,IFERROR(K168*1,0)))</f>
        <v>0</v>
      </c>
      <c r="N168" s="21">
        <f>IF(A168="","",SUMIFS(Timesheets!$X$5:$X$804,Timesheets!$G$5:$G$804,A168))</f>
        <v>0</v>
      </c>
      <c r="O168" s="21">
        <f>IF(A168="","",IF(N168&gt;0,N168,ROUND(M168*CostPerHour,2)))</f>
        <v>0</v>
      </c>
      <c r="P168" s="21">
        <f>IF(A168="","",SUMIFS('Supply Usage'!$L$5:$L$304,'Supply Usage'!$F$5:$F$304,A168))</f>
        <v>0</v>
      </c>
      <c r="Q168" s="21">
        <f>IF(A168="","",IF(P168&gt;0,P168,ROUND(M168*SuppliesPerHour,2)))</f>
        <v>0</v>
      </c>
      <c r="R168" s="21">
        <f>IF(A168="","",ROUND(IFERROR(INDEX(Jobs!$W$5:$W$604,MATCH(A168,Jobs!$A$5:$A$604,0)),0)*MileageRate,2))</f>
        <v>0</v>
      </c>
      <c r="T168" s="21">
        <f>IF(A168="","",O168+Q168+R168+IF(S168="",0,S168))</f>
        <v>0</v>
      </c>
      <c r="U168" s="21">
        <f>IF(A168="","",J168-T168)</f>
        <v>0</v>
      </c>
      <c r="V168" s="38">
        <f>IF(OR(A168="",J168=0),"",U168/J168)</f>
        <v>0</v>
      </c>
      <c r="W168" s="21">
        <f>IF(OR(A168="",M168=0,J168=0),"",U168/M168)</f>
        <v>0</v>
      </c>
      <c r="X168" s="34">
        <f>IF(OR(A168="",L168="",L168=0,K168=""),"",L168-K168)</f>
        <v>0</v>
      </c>
      <c r="Y168" s="31">
        <f>IF(A168="","",COUNTIFS($U$5:$U$604,"&gt;"&amp;U168)+COUNTIFS($U$5:U168,U168))</f>
        <v>0</v>
      </c>
      <c r="Z168" s="31">
        <f>IF(A168="","",COUNTIFS($W$5:$W$604,"&gt;"&amp;W168)+COUNTIFS($W$5:W168,W168))</f>
        <v>0</v>
      </c>
      <c r="AA168" s="39">
        <f>IF(A168="","",IF(J168=0,"",IF(U168&lt;0,"Loss - this job cost you money",IF(V168&lt;MarginFloor,"Below - margin under the floor",IF(V168&lt;TargetMargin,"Check - under target margin",IF(AND(X168&lt;&gt;"",X168&gt;0.5),"Check - ran over the estimate","OK"))))))</f>
        <v>0</v>
      </c>
    </row>
    <row r="169" spans="1:27">
      <c r="A169" s="43">
        <f>IF(IFERROR(INDEX(Jobs!$A$5:$A$604,ROW()-4),"")="","",IFERROR(INDEX(Jobs!$A$5:$A$604,ROW()-4),""))</f>
        <v>0</v>
      </c>
      <c r="B169" s="18">
        <f>IF(A169="","",IFERROR(INDEX(Jobs!$B$5:$B$604,MATCH(A169,Jobs!$A$5:$A$604,0)),""))</f>
        <v>0</v>
      </c>
      <c r="C169" s="23">
        <f>IF(B169="","",TEXT(B169,"yyyy-mm"))</f>
        <v>0</v>
      </c>
      <c r="D169" s="43">
        <f>IF(A169="","",IFERROR(INDEX(Jobs!$G$5:$G$604,MATCH(A169,Jobs!$A$5:$A$604,0)),""))</f>
        <v>0</v>
      </c>
      <c r="E169" s="23">
        <f>IF(A169="","",IFERROR(INDEX(Jobs!$H$5:$H$604,MATCH(A169,Jobs!$A$5:$A$604,0)),""))</f>
        <v>0</v>
      </c>
      <c r="F169" s="23">
        <f>IF(A169="","",IFERROR(INDEX(Jobs!$K$5:$K$604,MATCH(A169,Jobs!$A$5:$A$604,0)),""))</f>
        <v>0</v>
      </c>
      <c r="G169" s="23">
        <f>IF(A169="","",IFERROR(INDEX(Jobs!$M$5:$M$604,MATCH(A169,Jobs!$A$5:$A$604,0)),""))</f>
        <v>0</v>
      </c>
      <c r="H169" s="23">
        <f>IF(A169="","",IFERROR(INDEX(Jobs!$R$5:$R$604,MATCH(A169,Jobs!$A$5:$A$604,0)),""))</f>
        <v>0</v>
      </c>
      <c r="I169" s="39">
        <f>IF(A169="","",IFERROR(INDEX(Jobs!$P$5:$P$604,MATCH(A169,Jobs!$A$5:$A$604,0)),""))</f>
        <v>0</v>
      </c>
      <c r="J169" s="21">
        <f>IF(A169="","",IF(OR(I169="Completed",I169="Invoiced"),IFERROR(INDEX(Jobs!$AJ$5:$AJ$604,MATCH(A169,Jobs!$A$5:$A$604,0)),0),0))</f>
        <v>0</v>
      </c>
      <c r="K169" s="34">
        <f>IF(A169="","",IFERROR(INDEX(Jobs!$AD$5:$AD$604,MATCH(A169,Jobs!$A$5:$A$604,0)),0))</f>
        <v>0</v>
      </c>
      <c r="L169" s="34">
        <f>IF(A169="","",IFERROR(INDEX(Jobs!$AK$5:$AK$604,MATCH(A169,Jobs!$A$5:$A$604,0)),0))</f>
        <v>0</v>
      </c>
      <c r="M169" s="34">
        <f>IF(A169="","",IF(IFERROR(L169*1,0)&gt;0,L169,IFERROR(K169*1,0)))</f>
        <v>0</v>
      </c>
      <c r="N169" s="21">
        <f>IF(A169="","",SUMIFS(Timesheets!$X$5:$X$804,Timesheets!$G$5:$G$804,A169))</f>
        <v>0</v>
      </c>
      <c r="O169" s="21">
        <f>IF(A169="","",IF(N169&gt;0,N169,ROUND(M169*CostPerHour,2)))</f>
        <v>0</v>
      </c>
      <c r="P169" s="21">
        <f>IF(A169="","",SUMIFS('Supply Usage'!$L$5:$L$304,'Supply Usage'!$F$5:$F$304,A169))</f>
        <v>0</v>
      </c>
      <c r="Q169" s="21">
        <f>IF(A169="","",IF(P169&gt;0,P169,ROUND(M169*SuppliesPerHour,2)))</f>
        <v>0</v>
      </c>
      <c r="R169" s="21">
        <f>IF(A169="","",ROUND(IFERROR(INDEX(Jobs!$W$5:$W$604,MATCH(A169,Jobs!$A$5:$A$604,0)),0)*MileageRate,2))</f>
        <v>0</v>
      </c>
      <c r="T169" s="21">
        <f>IF(A169="","",O169+Q169+R169+IF(S169="",0,S169))</f>
        <v>0</v>
      </c>
      <c r="U169" s="21">
        <f>IF(A169="","",J169-T169)</f>
        <v>0</v>
      </c>
      <c r="V169" s="38">
        <f>IF(OR(A169="",J169=0),"",U169/J169)</f>
        <v>0</v>
      </c>
      <c r="W169" s="21">
        <f>IF(OR(A169="",M169=0,J169=0),"",U169/M169)</f>
        <v>0</v>
      </c>
      <c r="X169" s="34">
        <f>IF(OR(A169="",L169="",L169=0,K169=""),"",L169-K169)</f>
        <v>0</v>
      </c>
      <c r="Y169" s="31">
        <f>IF(A169="","",COUNTIFS($U$5:$U$604,"&gt;"&amp;U169)+COUNTIFS($U$5:U169,U169))</f>
        <v>0</v>
      </c>
      <c r="Z169" s="31">
        <f>IF(A169="","",COUNTIFS($W$5:$W$604,"&gt;"&amp;W169)+COUNTIFS($W$5:W169,W169))</f>
        <v>0</v>
      </c>
      <c r="AA169" s="39">
        <f>IF(A169="","",IF(J169=0,"",IF(U169&lt;0,"Loss - this job cost you money",IF(V169&lt;MarginFloor,"Below - margin under the floor",IF(V169&lt;TargetMargin,"Check - under target margin",IF(AND(X169&lt;&gt;"",X169&gt;0.5),"Check - ran over the estimate","OK"))))))</f>
        <v>0</v>
      </c>
    </row>
    <row r="170" spans="1:27">
      <c r="A170" s="43">
        <f>IF(IFERROR(INDEX(Jobs!$A$5:$A$604,ROW()-4),"")="","",IFERROR(INDEX(Jobs!$A$5:$A$604,ROW()-4),""))</f>
        <v>0</v>
      </c>
      <c r="B170" s="18">
        <f>IF(A170="","",IFERROR(INDEX(Jobs!$B$5:$B$604,MATCH(A170,Jobs!$A$5:$A$604,0)),""))</f>
        <v>0</v>
      </c>
      <c r="C170" s="23">
        <f>IF(B170="","",TEXT(B170,"yyyy-mm"))</f>
        <v>0</v>
      </c>
      <c r="D170" s="43">
        <f>IF(A170="","",IFERROR(INDEX(Jobs!$G$5:$G$604,MATCH(A170,Jobs!$A$5:$A$604,0)),""))</f>
        <v>0</v>
      </c>
      <c r="E170" s="23">
        <f>IF(A170="","",IFERROR(INDEX(Jobs!$H$5:$H$604,MATCH(A170,Jobs!$A$5:$A$604,0)),""))</f>
        <v>0</v>
      </c>
      <c r="F170" s="23">
        <f>IF(A170="","",IFERROR(INDEX(Jobs!$K$5:$K$604,MATCH(A170,Jobs!$A$5:$A$604,0)),""))</f>
        <v>0</v>
      </c>
      <c r="G170" s="23">
        <f>IF(A170="","",IFERROR(INDEX(Jobs!$M$5:$M$604,MATCH(A170,Jobs!$A$5:$A$604,0)),""))</f>
        <v>0</v>
      </c>
      <c r="H170" s="23">
        <f>IF(A170="","",IFERROR(INDEX(Jobs!$R$5:$R$604,MATCH(A170,Jobs!$A$5:$A$604,0)),""))</f>
        <v>0</v>
      </c>
      <c r="I170" s="39">
        <f>IF(A170="","",IFERROR(INDEX(Jobs!$P$5:$P$604,MATCH(A170,Jobs!$A$5:$A$604,0)),""))</f>
        <v>0</v>
      </c>
      <c r="J170" s="21">
        <f>IF(A170="","",IF(OR(I170="Completed",I170="Invoiced"),IFERROR(INDEX(Jobs!$AJ$5:$AJ$604,MATCH(A170,Jobs!$A$5:$A$604,0)),0),0))</f>
        <v>0</v>
      </c>
      <c r="K170" s="34">
        <f>IF(A170="","",IFERROR(INDEX(Jobs!$AD$5:$AD$604,MATCH(A170,Jobs!$A$5:$A$604,0)),0))</f>
        <v>0</v>
      </c>
      <c r="L170" s="34">
        <f>IF(A170="","",IFERROR(INDEX(Jobs!$AK$5:$AK$604,MATCH(A170,Jobs!$A$5:$A$604,0)),0))</f>
        <v>0</v>
      </c>
      <c r="M170" s="34">
        <f>IF(A170="","",IF(IFERROR(L170*1,0)&gt;0,L170,IFERROR(K170*1,0)))</f>
        <v>0</v>
      </c>
      <c r="N170" s="21">
        <f>IF(A170="","",SUMIFS(Timesheets!$X$5:$X$804,Timesheets!$G$5:$G$804,A170))</f>
        <v>0</v>
      </c>
      <c r="O170" s="21">
        <f>IF(A170="","",IF(N170&gt;0,N170,ROUND(M170*CostPerHour,2)))</f>
        <v>0</v>
      </c>
      <c r="P170" s="21">
        <f>IF(A170="","",SUMIFS('Supply Usage'!$L$5:$L$304,'Supply Usage'!$F$5:$F$304,A170))</f>
        <v>0</v>
      </c>
      <c r="Q170" s="21">
        <f>IF(A170="","",IF(P170&gt;0,P170,ROUND(M170*SuppliesPerHour,2)))</f>
        <v>0</v>
      </c>
      <c r="R170" s="21">
        <f>IF(A170="","",ROUND(IFERROR(INDEX(Jobs!$W$5:$W$604,MATCH(A170,Jobs!$A$5:$A$604,0)),0)*MileageRate,2))</f>
        <v>0</v>
      </c>
      <c r="T170" s="21">
        <f>IF(A170="","",O170+Q170+R170+IF(S170="",0,S170))</f>
        <v>0</v>
      </c>
      <c r="U170" s="21">
        <f>IF(A170="","",J170-T170)</f>
        <v>0</v>
      </c>
      <c r="V170" s="38">
        <f>IF(OR(A170="",J170=0),"",U170/J170)</f>
        <v>0</v>
      </c>
      <c r="W170" s="21">
        <f>IF(OR(A170="",M170=0,J170=0),"",U170/M170)</f>
        <v>0</v>
      </c>
      <c r="X170" s="34">
        <f>IF(OR(A170="",L170="",L170=0,K170=""),"",L170-K170)</f>
        <v>0</v>
      </c>
      <c r="Y170" s="31">
        <f>IF(A170="","",COUNTIFS($U$5:$U$604,"&gt;"&amp;U170)+COUNTIFS($U$5:U170,U170))</f>
        <v>0</v>
      </c>
      <c r="Z170" s="31">
        <f>IF(A170="","",COUNTIFS($W$5:$W$604,"&gt;"&amp;W170)+COUNTIFS($W$5:W170,W170))</f>
        <v>0</v>
      </c>
      <c r="AA170" s="39">
        <f>IF(A170="","",IF(J170=0,"",IF(U170&lt;0,"Loss - this job cost you money",IF(V170&lt;MarginFloor,"Below - margin under the floor",IF(V170&lt;TargetMargin,"Check - under target margin",IF(AND(X170&lt;&gt;"",X170&gt;0.5),"Check - ran over the estimate","OK"))))))</f>
        <v>0</v>
      </c>
    </row>
    <row r="171" spans="1:27">
      <c r="A171" s="43">
        <f>IF(IFERROR(INDEX(Jobs!$A$5:$A$604,ROW()-4),"")="","",IFERROR(INDEX(Jobs!$A$5:$A$604,ROW()-4),""))</f>
        <v>0</v>
      </c>
      <c r="B171" s="18">
        <f>IF(A171="","",IFERROR(INDEX(Jobs!$B$5:$B$604,MATCH(A171,Jobs!$A$5:$A$604,0)),""))</f>
        <v>0</v>
      </c>
      <c r="C171" s="23">
        <f>IF(B171="","",TEXT(B171,"yyyy-mm"))</f>
        <v>0</v>
      </c>
      <c r="D171" s="43">
        <f>IF(A171="","",IFERROR(INDEX(Jobs!$G$5:$G$604,MATCH(A171,Jobs!$A$5:$A$604,0)),""))</f>
        <v>0</v>
      </c>
      <c r="E171" s="23">
        <f>IF(A171="","",IFERROR(INDEX(Jobs!$H$5:$H$604,MATCH(A171,Jobs!$A$5:$A$604,0)),""))</f>
        <v>0</v>
      </c>
      <c r="F171" s="23">
        <f>IF(A171="","",IFERROR(INDEX(Jobs!$K$5:$K$604,MATCH(A171,Jobs!$A$5:$A$604,0)),""))</f>
        <v>0</v>
      </c>
      <c r="G171" s="23">
        <f>IF(A171="","",IFERROR(INDEX(Jobs!$M$5:$M$604,MATCH(A171,Jobs!$A$5:$A$604,0)),""))</f>
        <v>0</v>
      </c>
      <c r="H171" s="23">
        <f>IF(A171="","",IFERROR(INDEX(Jobs!$R$5:$R$604,MATCH(A171,Jobs!$A$5:$A$604,0)),""))</f>
        <v>0</v>
      </c>
      <c r="I171" s="39">
        <f>IF(A171="","",IFERROR(INDEX(Jobs!$P$5:$P$604,MATCH(A171,Jobs!$A$5:$A$604,0)),""))</f>
        <v>0</v>
      </c>
      <c r="J171" s="21">
        <f>IF(A171="","",IF(OR(I171="Completed",I171="Invoiced"),IFERROR(INDEX(Jobs!$AJ$5:$AJ$604,MATCH(A171,Jobs!$A$5:$A$604,0)),0),0))</f>
        <v>0</v>
      </c>
      <c r="K171" s="34">
        <f>IF(A171="","",IFERROR(INDEX(Jobs!$AD$5:$AD$604,MATCH(A171,Jobs!$A$5:$A$604,0)),0))</f>
        <v>0</v>
      </c>
      <c r="L171" s="34">
        <f>IF(A171="","",IFERROR(INDEX(Jobs!$AK$5:$AK$604,MATCH(A171,Jobs!$A$5:$A$604,0)),0))</f>
        <v>0</v>
      </c>
      <c r="M171" s="34">
        <f>IF(A171="","",IF(IFERROR(L171*1,0)&gt;0,L171,IFERROR(K171*1,0)))</f>
        <v>0</v>
      </c>
      <c r="N171" s="21">
        <f>IF(A171="","",SUMIFS(Timesheets!$X$5:$X$804,Timesheets!$G$5:$G$804,A171))</f>
        <v>0</v>
      </c>
      <c r="O171" s="21">
        <f>IF(A171="","",IF(N171&gt;0,N171,ROUND(M171*CostPerHour,2)))</f>
        <v>0</v>
      </c>
      <c r="P171" s="21">
        <f>IF(A171="","",SUMIFS('Supply Usage'!$L$5:$L$304,'Supply Usage'!$F$5:$F$304,A171))</f>
        <v>0</v>
      </c>
      <c r="Q171" s="21">
        <f>IF(A171="","",IF(P171&gt;0,P171,ROUND(M171*SuppliesPerHour,2)))</f>
        <v>0</v>
      </c>
      <c r="R171" s="21">
        <f>IF(A171="","",ROUND(IFERROR(INDEX(Jobs!$W$5:$W$604,MATCH(A171,Jobs!$A$5:$A$604,0)),0)*MileageRate,2))</f>
        <v>0</v>
      </c>
      <c r="T171" s="21">
        <f>IF(A171="","",O171+Q171+R171+IF(S171="",0,S171))</f>
        <v>0</v>
      </c>
      <c r="U171" s="21">
        <f>IF(A171="","",J171-T171)</f>
        <v>0</v>
      </c>
      <c r="V171" s="38">
        <f>IF(OR(A171="",J171=0),"",U171/J171)</f>
        <v>0</v>
      </c>
      <c r="W171" s="21">
        <f>IF(OR(A171="",M171=0,J171=0),"",U171/M171)</f>
        <v>0</v>
      </c>
      <c r="X171" s="34">
        <f>IF(OR(A171="",L171="",L171=0,K171=""),"",L171-K171)</f>
        <v>0</v>
      </c>
      <c r="Y171" s="31">
        <f>IF(A171="","",COUNTIFS($U$5:$U$604,"&gt;"&amp;U171)+COUNTIFS($U$5:U171,U171))</f>
        <v>0</v>
      </c>
      <c r="Z171" s="31">
        <f>IF(A171="","",COUNTIFS($W$5:$W$604,"&gt;"&amp;W171)+COUNTIFS($W$5:W171,W171))</f>
        <v>0</v>
      </c>
      <c r="AA171" s="39">
        <f>IF(A171="","",IF(J171=0,"",IF(U171&lt;0,"Loss - this job cost you money",IF(V171&lt;MarginFloor,"Below - margin under the floor",IF(V171&lt;TargetMargin,"Check - under target margin",IF(AND(X171&lt;&gt;"",X171&gt;0.5),"Check - ran over the estimate","OK"))))))</f>
        <v>0</v>
      </c>
    </row>
    <row r="172" spans="1:27">
      <c r="A172" s="43">
        <f>IF(IFERROR(INDEX(Jobs!$A$5:$A$604,ROW()-4),"")="","",IFERROR(INDEX(Jobs!$A$5:$A$604,ROW()-4),""))</f>
        <v>0</v>
      </c>
      <c r="B172" s="18">
        <f>IF(A172="","",IFERROR(INDEX(Jobs!$B$5:$B$604,MATCH(A172,Jobs!$A$5:$A$604,0)),""))</f>
        <v>0</v>
      </c>
      <c r="C172" s="23">
        <f>IF(B172="","",TEXT(B172,"yyyy-mm"))</f>
        <v>0</v>
      </c>
      <c r="D172" s="43">
        <f>IF(A172="","",IFERROR(INDEX(Jobs!$G$5:$G$604,MATCH(A172,Jobs!$A$5:$A$604,0)),""))</f>
        <v>0</v>
      </c>
      <c r="E172" s="23">
        <f>IF(A172="","",IFERROR(INDEX(Jobs!$H$5:$H$604,MATCH(A172,Jobs!$A$5:$A$604,0)),""))</f>
        <v>0</v>
      </c>
      <c r="F172" s="23">
        <f>IF(A172="","",IFERROR(INDEX(Jobs!$K$5:$K$604,MATCH(A172,Jobs!$A$5:$A$604,0)),""))</f>
        <v>0</v>
      </c>
      <c r="G172" s="23">
        <f>IF(A172="","",IFERROR(INDEX(Jobs!$M$5:$M$604,MATCH(A172,Jobs!$A$5:$A$604,0)),""))</f>
        <v>0</v>
      </c>
      <c r="H172" s="23">
        <f>IF(A172="","",IFERROR(INDEX(Jobs!$R$5:$R$604,MATCH(A172,Jobs!$A$5:$A$604,0)),""))</f>
        <v>0</v>
      </c>
      <c r="I172" s="39">
        <f>IF(A172="","",IFERROR(INDEX(Jobs!$P$5:$P$604,MATCH(A172,Jobs!$A$5:$A$604,0)),""))</f>
        <v>0</v>
      </c>
      <c r="J172" s="21">
        <f>IF(A172="","",IF(OR(I172="Completed",I172="Invoiced"),IFERROR(INDEX(Jobs!$AJ$5:$AJ$604,MATCH(A172,Jobs!$A$5:$A$604,0)),0),0))</f>
        <v>0</v>
      </c>
      <c r="K172" s="34">
        <f>IF(A172="","",IFERROR(INDEX(Jobs!$AD$5:$AD$604,MATCH(A172,Jobs!$A$5:$A$604,0)),0))</f>
        <v>0</v>
      </c>
      <c r="L172" s="34">
        <f>IF(A172="","",IFERROR(INDEX(Jobs!$AK$5:$AK$604,MATCH(A172,Jobs!$A$5:$A$604,0)),0))</f>
        <v>0</v>
      </c>
      <c r="M172" s="34">
        <f>IF(A172="","",IF(IFERROR(L172*1,0)&gt;0,L172,IFERROR(K172*1,0)))</f>
        <v>0</v>
      </c>
      <c r="N172" s="21">
        <f>IF(A172="","",SUMIFS(Timesheets!$X$5:$X$804,Timesheets!$G$5:$G$804,A172))</f>
        <v>0</v>
      </c>
      <c r="O172" s="21">
        <f>IF(A172="","",IF(N172&gt;0,N172,ROUND(M172*CostPerHour,2)))</f>
        <v>0</v>
      </c>
      <c r="P172" s="21">
        <f>IF(A172="","",SUMIFS('Supply Usage'!$L$5:$L$304,'Supply Usage'!$F$5:$F$304,A172))</f>
        <v>0</v>
      </c>
      <c r="Q172" s="21">
        <f>IF(A172="","",IF(P172&gt;0,P172,ROUND(M172*SuppliesPerHour,2)))</f>
        <v>0</v>
      </c>
      <c r="R172" s="21">
        <f>IF(A172="","",ROUND(IFERROR(INDEX(Jobs!$W$5:$W$604,MATCH(A172,Jobs!$A$5:$A$604,0)),0)*MileageRate,2))</f>
        <v>0</v>
      </c>
      <c r="T172" s="21">
        <f>IF(A172="","",O172+Q172+R172+IF(S172="",0,S172))</f>
        <v>0</v>
      </c>
      <c r="U172" s="21">
        <f>IF(A172="","",J172-T172)</f>
        <v>0</v>
      </c>
      <c r="V172" s="38">
        <f>IF(OR(A172="",J172=0),"",U172/J172)</f>
        <v>0</v>
      </c>
      <c r="W172" s="21">
        <f>IF(OR(A172="",M172=0,J172=0),"",U172/M172)</f>
        <v>0</v>
      </c>
      <c r="X172" s="34">
        <f>IF(OR(A172="",L172="",L172=0,K172=""),"",L172-K172)</f>
        <v>0</v>
      </c>
      <c r="Y172" s="31">
        <f>IF(A172="","",COUNTIFS($U$5:$U$604,"&gt;"&amp;U172)+COUNTIFS($U$5:U172,U172))</f>
        <v>0</v>
      </c>
      <c r="Z172" s="31">
        <f>IF(A172="","",COUNTIFS($W$5:$W$604,"&gt;"&amp;W172)+COUNTIFS($W$5:W172,W172))</f>
        <v>0</v>
      </c>
      <c r="AA172" s="39">
        <f>IF(A172="","",IF(J172=0,"",IF(U172&lt;0,"Loss - this job cost you money",IF(V172&lt;MarginFloor,"Below - margin under the floor",IF(V172&lt;TargetMargin,"Check - under target margin",IF(AND(X172&lt;&gt;"",X172&gt;0.5),"Check - ran over the estimate","OK"))))))</f>
        <v>0</v>
      </c>
    </row>
    <row r="173" spans="1:27">
      <c r="A173" s="43">
        <f>IF(IFERROR(INDEX(Jobs!$A$5:$A$604,ROW()-4),"")="","",IFERROR(INDEX(Jobs!$A$5:$A$604,ROW()-4),""))</f>
        <v>0</v>
      </c>
      <c r="B173" s="18">
        <f>IF(A173="","",IFERROR(INDEX(Jobs!$B$5:$B$604,MATCH(A173,Jobs!$A$5:$A$604,0)),""))</f>
        <v>0</v>
      </c>
      <c r="C173" s="23">
        <f>IF(B173="","",TEXT(B173,"yyyy-mm"))</f>
        <v>0</v>
      </c>
      <c r="D173" s="43">
        <f>IF(A173="","",IFERROR(INDEX(Jobs!$G$5:$G$604,MATCH(A173,Jobs!$A$5:$A$604,0)),""))</f>
        <v>0</v>
      </c>
      <c r="E173" s="23">
        <f>IF(A173="","",IFERROR(INDEX(Jobs!$H$5:$H$604,MATCH(A173,Jobs!$A$5:$A$604,0)),""))</f>
        <v>0</v>
      </c>
      <c r="F173" s="23">
        <f>IF(A173="","",IFERROR(INDEX(Jobs!$K$5:$K$604,MATCH(A173,Jobs!$A$5:$A$604,0)),""))</f>
        <v>0</v>
      </c>
      <c r="G173" s="23">
        <f>IF(A173="","",IFERROR(INDEX(Jobs!$M$5:$M$604,MATCH(A173,Jobs!$A$5:$A$604,0)),""))</f>
        <v>0</v>
      </c>
      <c r="H173" s="23">
        <f>IF(A173="","",IFERROR(INDEX(Jobs!$R$5:$R$604,MATCH(A173,Jobs!$A$5:$A$604,0)),""))</f>
        <v>0</v>
      </c>
      <c r="I173" s="39">
        <f>IF(A173="","",IFERROR(INDEX(Jobs!$P$5:$P$604,MATCH(A173,Jobs!$A$5:$A$604,0)),""))</f>
        <v>0</v>
      </c>
      <c r="J173" s="21">
        <f>IF(A173="","",IF(OR(I173="Completed",I173="Invoiced"),IFERROR(INDEX(Jobs!$AJ$5:$AJ$604,MATCH(A173,Jobs!$A$5:$A$604,0)),0),0))</f>
        <v>0</v>
      </c>
      <c r="K173" s="34">
        <f>IF(A173="","",IFERROR(INDEX(Jobs!$AD$5:$AD$604,MATCH(A173,Jobs!$A$5:$A$604,0)),0))</f>
        <v>0</v>
      </c>
      <c r="L173" s="34">
        <f>IF(A173="","",IFERROR(INDEX(Jobs!$AK$5:$AK$604,MATCH(A173,Jobs!$A$5:$A$604,0)),0))</f>
        <v>0</v>
      </c>
      <c r="M173" s="34">
        <f>IF(A173="","",IF(IFERROR(L173*1,0)&gt;0,L173,IFERROR(K173*1,0)))</f>
        <v>0</v>
      </c>
      <c r="N173" s="21">
        <f>IF(A173="","",SUMIFS(Timesheets!$X$5:$X$804,Timesheets!$G$5:$G$804,A173))</f>
        <v>0</v>
      </c>
      <c r="O173" s="21">
        <f>IF(A173="","",IF(N173&gt;0,N173,ROUND(M173*CostPerHour,2)))</f>
        <v>0</v>
      </c>
      <c r="P173" s="21">
        <f>IF(A173="","",SUMIFS('Supply Usage'!$L$5:$L$304,'Supply Usage'!$F$5:$F$304,A173))</f>
        <v>0</v>
      </c>
      <c r="Q173" s="21">
        <f>IF(A173="","",IF(P173&gt;0,P173,ROUND(M173*SuppliesPerHour,2)))</f>
        <v>0</v>
      </c>
      <c r="R173" s="21">
        <f>IF(A173="","",ROUND(IFERROR(INDEX(Jobs!$W$5:$W$604,MATCH(A173,Jobs!$A$5:$A$604,0)),0)*MileageRate,2))</f>
        <v>0</v>
      </c>
      <c r="T173" s="21">
        <f>IF(A173="","",O173+Q173+R173+IF(S173="",0,S173))</f>
        <v>0</v>
      </c>
      <c r="U173" s="21">
        <f>IF(A173="","",J173-T173)</f>
        <v>0</v>
      </c>
      <c r="V173" s="38">
        <f>IF(OR(A173="",J173=0),"",U173/J173)</f>
        <v>0</v>
      </c>
      <c r="W173" s="21">
        <f>IF(OR(A173="",M173=0,J173=0),"",U173/M173)</f>
        <v>0</v>
      </c>
      <c r="X173" s="34">
        <f>IF(OR(A173="",L173="",L173=0,K173=""),"",L173-K173)</f>
        <v>0</v>
      </c>
      <c r="Y173" s="31">
        <f>IF(A173="","",COUNTIFS($U$5:$U$604,"&gt;"&amp;U173)+COUNTIFS($U$5:U173,U173))</f>
        <v>0</v>
      </c>
      <c r="Z173" s="31">
        <f>IF(A173="","",COUNTIFS($W$5:$W$604,"&gt;"&amp;W173)+COUNTIFS($W$5:W173,W173))</f>
        <v>0</v>
      </c>
      <c r="AA173" s="39">
        <f>IF(A173="","",IF(J173=0,"",IF(U173&lt;0,"Loss - this job cost you money",IF(V173&lt;MarginFloor,"Below - margin under the floor",IF(V173&lt;TargetMargin,"Check - under target margin",IF(AND(X173&lt;&gt;"",X173&gt;0.5),"Check - ran over the estimate","OK"))))))</f>
        <v>0</v>
      </c>
    </row>
    <row r="174" spans="1:27">
      <c r="A174" s="43">
        <f>IF(IFERROR(INDEX(Jobs!$A$5:$A$604,ROW()-4),"")="","",IFERROR(INDEX(Jobs!$A$5:$A$604,ROW()-4),""))</f>
        <v>0</v>
      </c>
      <c r="B174" s="18">
        <f>IF(A174="","",IFERROR(INDEX(Jobs!$B$5:$B$604,MATCH(A174,Jobs!$A$5:$A$604,0)),""))</f>
        <v>0</v>
      </c>
      <c r="C174" s="23">
        <f>IF(B174="","",TEXT(B174,"yyyy-mm"))</f>
        <v>0</v>
      </c>
      <c r="D174" s="43">
        <f>IF(A174="","",IFERROR(INDEX(Jobs!$G$5:$G$604,MATCH(A174,Jobs!$A$5:$A$604,0)),""))</f>
        <v>0</v>
      </c>
      <c r="E174" s="23">
        <f>IF(A174="","",IFERROR(INDEX(Jobs!$H$5:$H$604,MATCH(A174,Jobs!$A$5:$A$604,0)),""))</f>
        <v>0</v>
      </c>
      <c r="F174" s="23">
        <f>IF(A174="","",IFERROR(INDEX(Jobs!$K$5:$K$604,MATCH(A174,Jobs!$A$5:$A$604,0)),""))</f>
        <v>0</v>
      </c>
      <c r="G174" s="23">
        <f>IF(A174="","",IFERROR(INDEX(Jobs!$M$5:$M$604,MATCH(A174,Jobs!$A$5:$A$604,0)),""))</f>
        <v>0</v>
      </c>
      <c r="H174" s="23">
        <f>IF(A174="","",IFERROR(INDEX(Jobs!$R$5:$R$604,MATCH(A174,Jobs!$A$5:$A$604,0)),""))</f>
        <v>0</v>
      </c>
      <c r="I174" s="39">
        <f>IF(A174="","",IFERROR(INDEX(Jobs!$P$5:$P$604,MATCH(A174,Jobs!$A$5:$A$604,0)),""))</f>
        <v>0</v>
      </c>
      <c r="J174" s="21">
        <f>IF(A174="","",IF(OR(I174="Completed",I174="Invoiced"),IFERROR(INDEX(Jobs!$AJ$5:$AJ$604,MATCH(A174,Jobs!$A$5:$A$604,0)),0),0))</f>
        <v>0</v>
      </c>
      <c r="K174" s="34">
        <f>IF(A174="","",IFERROR(INDEX(Jobs!$AD$5:$AD$604,MATCH(A174,Jobs!$A$5:$A$604,0)),0))</f>
        <v>0</v>
      </c>
      <c r="L174" s="34">
        <f>IF(A174="","",IFERROR(INDEX(Jobs!$AK$5:$AK$604,MATCH(A174,Jobs!$A$5:$A$604,0)),0))</f>
        <v>0</v>
      </c>
      <c r="M174" s="34">
        <f>IF(A174="","",IF(IFERROR(L174*1,0)&gt;0,L174,IFERROR(K174*1,0)))</f>
        <v>0</v>
      </c>
      <c r="N174" s="21">
        <f>IF(A174="","",SUMIFS(Timesheets!$X$5:$X$804,Timesheets!$G$5:$G$804,A174))</f>
        <v>0</v>
      </c>
      <c r="O174" s="21">
        <f>IF(A174="","",IF(N174&gt;0,N174,ROUND(M174*CostPerHour,2)))</f>
        <v>0</v>
      </c>
      <c r="P174" s="21">
        <f>IF(A174="","",SUMIFS('Supply Usage'!$L$5:$L$304,'Supply Usage'!$F$5:$F$304,A174))</f>
        <v>0</v>
      </c>
      <c r="Q174" s="21">
        <f>IF(A174="","",IF(P174&gt;0,P174,ROUND(M174*SuppliesPerHour,2)))</f>
        <v>0</v>
      </c>
      <c r="R174" s="21">
        <f>IF(A174="","",ROUND(IFERROR(INDEX(Jobs!$W$5:$W$604,MATCH(A174,Jobs!$A$5:$A$604,0)),0)*MileageRate,2))</f>
        <v>0</v>
      </c>
      <c r="T174" s="21">
        <f>IF(A174="","",O174+Q174+R174+IF(S174="",0,S174))</f>
        <v>0</v>
      </c>
      <c r="U174" s="21">
        <f>IF(A174="","",J174-T174)</f>
        <v>0</v>
      </c>
      <c r="V174" s="38">
        <f>IF(OR(A174="",J174=0),"",U174/J174)</f>
        <v>0</v>
      </c>
      <c r="W174" s="21">
        <f>IF(OR(A174="",M174=0,J174=0),"",U174/M174)</f>
        <v>0</v>
      </c>
      <c r="X174" s="34">
        <f>IF(OR(A174="",L174="",L174=0,K174=""),"",L174-K174)</f>
        <v>0</v>
      </c>
      <c r="Y174" s="31">
        <f>IF(A174="","",COUNTIFS($U$5:$U$604,"&gt;"&amp;U174)+COUNTIFS($U$5:U174,U174))</f>
        <v>0</v>
      </c>
      <c r="Z174" s="31">
        <f>IF(A174="","",COUNTIFS($W$5:$W$604,"&gt;"&amp;W174)+COUNTIFS($W$5:W174,W174))</f>
        <v>0</v>
      </c>
      <c r="AA174" s="39">
        <f>IF(A174="","",IF(J174=0,"",IF(U174&lt;0,"Loss - this job cost you money",IF(V174&lt;MarginFloor,"Below - margin under the floor",IF(V174&lt;TargetMargin,"Check - under target margin",IF(AND(X174&lt;&gt;"",X174&gt;0.5),"Check - ran over the estimate","OK"))))))</f>
        <v>0</v>
      </c>
    </row>
    <row r="175" spans="1:27">
      <c r="A175" s="43">
        <f>IF(IFERROR(INDEX(Jobs!$A$5:$A$604,ROW()-4),"")="","",IFERROR(INDEX(Jobs!$A$5:$A$604,ROW()-4),""))</f>
        <v>0</v>
      </c>
      <c r="B175" s="18">
        <f>IF(A175="","",IFERROR(INDEX(Jobs!$B$5:$B$604,MATCH(A175,Jobs!$A$5:$A$604,0)),""))</f>
        <v>0</v>
      </c>
      <c r="C175" s="23">
        <f>IF(B175="","",TEXT(B175,"yyyy-mm"))</f>
        <v>0</v>
      </c>
      <c r="D175" s="43">
        <f>IF(A175="","",IFERROR(INDEX(Jobs!$G$5:$G$604,MATCH(A175,Jobs!$A$5:$A$604,0)),""))</f>
        <v>0</v>
      </c>
      <c r="E175" s="23">
        <f>IF(A175="","",IFERROR(INDEX(Jobs!$H$5:$H$604,MATCH(A175,Jobs!$A$5:$A$604,0)),""))</f>
        <v>0</v>
      </c>
      <c r="F175" s="23">
        <f>IF(A175="","",IFERROR(INDEX(Jobs!$K$5:$K$604,MATCH(A175,Jobs!$A$5:$A$604,0)),""))</f>
        <v>0</v>
      </c>
      <c r="G175" s="23">
        <f>IF(A175="","",IFERROR(INDEX(Jobs!$M$5:$M$604,MATCH(A175,Jobs!$A$5:$A$604,0)),""))</f>
        <v>0</v>
      </c>
      <c r="H175" s="23">
        <f>IF(A175="","",IFERROR(INDEX(Jobs!$R$5:$R$604,MATCH(A175,Jobs!$A$5:$A$604,0)),""))</f>
        <v>0</v>
      </c>
      <c r="I175" s="39">
        <f>IF(A175="","",IFERROR(INDEX(Jobs!$P$5:$P$604,MATCH(A175,Jobs!$A$5:$A$604,0)),""))</f>
        <v>0</v>
      </c>
      <c r="J175" s="21">
        <f>IF(A175="","",IF(OR(I175="Completed",I175="Invoiced"),IFERROR(INDEX(Jobs!$AJ$5:$AJ$604,MATCH(A175,Jobs!$A$5:$A$604,0)),0),0))</f>
        <v>0</v>
      </c>
      <c r="K175" s="34">
        <f>IF(A175="","",IFERROR(INDEX(Jobs!$AD$5:$AD$604,MATCH(A175,Jobs!$A$5:$A$604,0)),0))</f>
        <v>0</v>
      </c>
      <c r="L175" s="34">
        <f>IF(A175="","",IFERROR(INDEX(Jobs!$AK$5:$AK$604,MATCH(A175,Jobs!$A$5:$A$604,0)),0))</f>
        <v>0</v>
      </c>
      <c r="M175" s="34">
        <f>IF(A175="","",IF(IFERROR(L175*1,0)&gt;0,L175,IFERROR(K175*1,0)))</f>
        <v>0</v>
      </c>
      <c r="N175" s="21">
        <f>IF(A175="","",SUMIFS(Timesheets!$X$5:$X$804,Timesheets!$G$5:$G$804,A175))</f>
        <v>0</v>
      </c>
      <c r="O175" s="21">
        <f>IF(A175="","",IF(N175&gt;0,N175,ROUND(M175*CostPerHour,2)))</f>
        <v>0</v>
      </c>
      <c r="P175" s="21">
        <f>IF(A175="","",SUMIFS('Supply Usage'!$L$5:$L$304,'Supply Usage'!$F$5:$F$304,A175))</f>
        <v>0</v>
      </c>
      <c r="Q175" s="21">
        <f>IF(A175="","",IF(P175&gt;0,P175,ROUND(M175*SuppliesPerHour,2)))</f>
        <v>0</v>
      </c>
      <c r="R175" s="21">
        <f>IF(A175="","",ROUND(IFERROR(INDEX(Jobs!$W$5:$W$604,MATCH(A175,Jobs!$A$5:$A$604,0)),0)*MileageRate,2))</f>
        <v>0</v>
      </c>
      <c r="T175" s="21">
        <f>IF(A175="","",O175+Q175+R175+IF(S175="",0,S175))</f>
        <v>0</v>
      </c>
      <c r="U175" s="21">
        <f>IF(A175="","",J175-T175)</f>
        <v>0</v>
      </c>
      <c r="V175" s="38">
        <f>IF(OR(A175="",J175=0),"",U175/J175)</f>
        <v>0</v>
      </c>
      <c r="W175" s="21">
        <f>IF(OR(A175="",M175=0,J175=0),"",U175/M175)</f>
        <v>0</v>
      </c>
      <c r="X175" s="34">
        <f>IF(OR(A175="",L175="",L175=0,K175=""),"",L175-K175)</f>
        <v>0</v>
      </c>
      <c r="Y175" s="31">
        <f>IF(A175="","",COUNTIFS($U$5:$U$604,"&gt;"&amp;U175)+COUNTIFS($U$5:U175,U175))</f>
        <v>0</v>
      </c>
      <c r="Z175" s="31">
        <f>IF(A175="","",COUNTIFS($W$5:$W$604,"&gt;"&amp;W175)+COUNTIFS($W$5:W175,W175))</f>
        <v>0</v>
      </c>
      <c r="AA175" s="39">
        <f>IF(A175="","",IF(J175=0,"",IF(U175&lt;0,"Loss - this job cost you money",IF(V175&lt;MarginFloor,"Below - margin under the floor",IF(V175&lt;TargetMargin,"Check - under target margin",IF(AND(X175&lt;&gt;"",X175&gt;0.5),"Check - ran over the estimate","OK"))))))</f>
        <v>0</v>
      </c>
    </row>
    <row r="176" spans="1:27">
      <c r="A176" s="43">
        <f>IF(IFERROR(INDEX(Jobs!$A$5:$A$604,ROW()-4),"")="","",IFERROR(INDEX(Jobs!$A$5:$A$604,ROW()-4),""))</f>
        <v>0</v>
      </c>
      <c r="B176" s="18">
        <f>IF(A176="","",IFERROR(INDEX(Jobs!$B$5:$B$604,MATCH(A176,Jobs!$A$5:$A$604,0)),""))</f>
        <v>0</v>
      </c>
      <c r="C176" s="23">
        <f>IF(B176="","",TEXT(B176,"yyyy-mm"))</f>
        <v>0</v>
      </c>
      <c r="D176" s="43">
        <f>IF(A176="","",IFERROR(INDEX(Jobs!$G$5:$G$604,MATCH(A176,Jobs!$A$5:$A$604,0)),""))</f>
        <v>0</v>
      </c>
      <c r="E176" s="23">
        <f>IF(A176="","",IFERROR(INDEX(Jobs!$H$5:$H$604,MATCH(A176,Jobs!$A$5:$A$604,0)),""))</f>
        <v>0</v>
      </c>
      <c r="F176" s="23">
        <f>IF(A176="","",IFERROR(INDEX(Jobs!$K$5:$K$604,MATCH(A176,Jobs!$A$5:$A$604,0)),""))</f>
        <v>0</v>
      </c>
      <c r="G176" s="23">
        <f>IF(A176="","",IFERROR(INDEX(Jobs!$M$5:$M$604,MATCH(A176,Jobs!$A$5:$A$604,0)),""))</f>
        <v>0</v>
      </c>
      <c r="H176" s="23">
        <f>IF(A176="","",IFERROR(INDEX(Jobs!$R$5:$R$604,MATCH(A176,Jobs!$A$5:$A$604,0)),""))</f>
        <v>0</v>
      </c>
      <c r="I176" s="39">
        <f>IF(A176="","",IFERROR(INDEX(Jobs!$P$5:$P$604,MATCH(A176,Jobs!$A$5:$A$604,0)),""))</f>
        <v>0</v>
      </c>
      <c r="J176" s="21">
        <f>IF(A176="","",IF(OR(I176="Completed",I176="Invoiced"),IFERROR(INDEX(Jobs!$AJ$5:$AJ$604,MATCH(A176,Jobs!$A$5:$A$604,0)),0),0))</f>
        <v>0</v>
      </c>
      <c r="K176" s="34">
        <f>IF(A176="","",IFERROR(INDEX(Jobs!$AD$5:$AD$604,MATCH(A176,Jobs!$A$5:$A$604,0)),0))</f>
        <v>0</v>
      </c>
      <c r="L176" s="34">
        <f>IF(A176="","",IFERROR(INDEX(Jobs!$AK$5:$AK$604,MATCH(A176,Jobs!$A$5:$A$604,0)),0))</f>
        <v>0</v>
      </c>
      <c r="M176" s="34">
        <f>IF(A176="","",IF(IFERROR(L176*1,0)&gt;0,L176,IFERROR(K176*1,0)))</f>
        <v>0</v>
      </c>
      <c r="N176" s="21">
        <f>IF(A176="","",SUMIFS(Timesheets!$X$5:$X$804,Timesheets!$G$5:$G$804,A176))</f>
        <v>0</v>
      </c>
      <c r="O176" s="21">
        <f>IF(A176="","",IF(N176&gt;0,N176,ROUND(M176*CostPerHour,2)))</f>
        <v>0</v>
      </c>
      <c r="P176" s="21">
        <f>IF(A176="","",SUMIFS('Supply Usage'!$L$5:$L$304,'Supply Usage'!$F$5:$F$304,A176))</f>
        <v>0</v>
      </c>
      <c r="Q176" s="21">
        <f>IF(A176="","",IF(P176&gt;0,P176,ROUND(M176*SuppliesPerHour,2)))</f>
        <v>0</v>
      </c>
      <c r="R176" s="21">
        <f>IF(A176="","",ROUND(IFERROR(INDEX(Jobs!$W$5:$W$604,MATCH(A176,Jobs!$A$5:$A$604,0)),0)*MileageRate,2))</f>
        <v>0</v>
      </c>
      <c r="T176" s="21">
        <f>IF(A176="","",O176+Q176+R176+IF(S176="",0,S176))</f>
        <v>0</v>
      </c>
      <c r="U176" s="21">
        <f>IF(A176="","",J176-T176)</f>
        <v>0</v>
      </c>
      <c r="V176" s="38">
        <f>IF(OR(A176="",J176=0),"",U176/J176)</f>
        <v>0</v>
      </c>
      <c r="W176" s="21">
        <f>IF(OR(A176="",M176=0,J176=0),"",U176/M176)</f>
        <v>0</v>
      </c>
      <c r="X176" s="34">
        <f>IF(OR(A176="",L176="",L176=0,K176=""),"",L176-K176)</f>
        <v>0</v>
      </c>
      <c r="Y176" s="31">
        <f>IF(A176="","",COUNTIFS($U$5:$U$604,"&gt;"&amp;U176)+COUNTIFS($U$5:U176,U176))</f>
        <v>0</v>
      </c>
      <c r="Z176" s="31">
        <f>IF(A176="","",COUNTIFS($W$5:$W$604,"&gt;"&amp;W176)+COUNTIFS($W$5:W176,W176))</f>
        <v>0</v>
      </c>
      <c r="AA176" s="39">
        <f>IF(A176="","",IF(J176=0,"",IF(U176&lt;0,"Loss - this job cost you money",IF(V176&lt;MarginFloor,"Below - margin under the floor",IF(V176&lt;TargetMargin,"Check - under target margin",IF(AND(X176&lt;&gt;"",X176&gt;0.5),"Check - ran over the estimate","OK"))))))</f>
        <v>0</v>
      </c>
    </row>
    <row r="177" spans="1:27">
      <c r="A177" s="43">
        <f>IF(IFERROR(INDEX(Jobs!$A$5:$A$604,ROW()-4),"")="","",IFERROR(INDEX(Jobs!$A$5:$A$604,ROW()-4),""))</f>
        <v>0</v>
      </c>
      <c r="B177" s="18">
        <f>IF(A177="","",IFERROR(INDEX(Jobs!$B$5:$B$604,MATCH(A177,Jobs!$A$5:$A$604,0)),""))</f>
        <v>0</v>
      </c>
      <c r="C177" s="23">
        <f>IF(B177="","",TEXT(B177,"yyyy-mm"))</f>
        <v>0</v>
      </c>
      <c r="D177" s="43">
        <f>IF(A177="","",IFERROR(INDEX(Jobs!$G$5:$G$604,MATCH(A177,Jobs!$A$5:$A$604,0)),""))</f>
        <v>0</v>
      </c>
      <c r="E177" s="23">
        <f>IF(A177="","",IFERROR(INDEX(Jobs!$H$5:$H$604,MATCH(A177,Jobs!$A$5:$A$604,0)),""))</f>
        <v>0</v>
      </c>
      <c r="F177" s="23">
        <f>IF(A177="","",IFERROR(INDEX(Jobs!$K$5:$K$604,MATCH(A177,Jobs!$A$5:$A$604,0)),""))</f>
        <v>0</v>
      </c>
      <c r="G177" s="23">
        <f>IF(A177="","",IFERROR(INDEX(Jobs!$M$5:$M$604,MATCH(A177,Jobs!$A$5:$A$604,0)),""))</f>
        <v>0</v>
      </c>
      <c r="H177" s="23">
        <f>IF(A177="","",IFERROR(INDEX(Jobs!$R$5:$R$604,MATCH(A177,Jobs!$A$5:$A$604,0)),""))</f>
        <v>0</v>
      </c>
      <c r="I177" s="39">
        <f>IF(A177="","",IFERROR(INDEX(Jobs!$P$5:$P$604,MATCH(A177,Jobs!$A$5:$A$604,0)),""))</f>
        <v>0</v>
      </c>
      <c r="J177" s="21">
        <f>IF(A177="","",IF(OR(I177="Completed",I177="Invoiced"),IFERROR(INDEX(Jobs!$AJ$5:$AJ$604,MATCH(A177,Jobs!$A$5:$A$604,0)),0),0))</f>
        <v>0</v>
      </c>
      <c r="K177" s="34">
        <f>IF(A177="","",IFERROR(INDEX(Jobs!$AD$5:$AD$604,MATCH(A177,Jobs!$A$5:$A$604,0)),0))</f>
        <v>0</v>
      </c>
      <c r="L177" s="34">
        <f>IF(A177="","",IFERROR(INDEX(Jobs!$AK$5:$AK$604,MATCH(A177,Jobs!$A$5:$A$604,0)),0))</f>
        <v>0</v>
      </c>
      <c r="M177" s="34">
        <f>IF(A177="","",IF(IFERROR(L177*1,0)&gt;0,L177,IFERROR(K177*1,0)))</f>
        <v>0</v>
      </c>
      <c r="N177" s="21">
        <f>IF(A177="","",SUMIFS(Timesheets!$X$5:$X$804,Timesheets!$G$5:$G$804,A177))</f>
        <v>0</v>
      </c>
      <c r="O177" s="21">
        <f>IF(A177="","",IF(N177&gt;0,N177,ROUND(M177*CostPerHour,2)))</f>
        <v>0</v>
      </c>
      <c r="P177" s="21">
        <f>IF(A177="","",SUMIFS('Supply Usage'!$L$5:$L$304,'Supply Usage'!$F$5:$F$304,A177))</f>
        <v>0</v>
      </c>
      <c r="Q177" s="21">
        <f>IF(A177="","",IF(P177&gt;0,P177,ROUND(M177*SuppliesPerHour,2)))</f>
        <v>0</v>
      </c>
      <c r="R177" s="21">
        <f>IF(A177="","",ROUND(IFERROR(INDEX(Jobs!$W$5:$W$604,MATCH(A177,Jobs!$A$5:$A$604,0)),0)*MileageRate,2))</f>
        <v>0</v>
      </c>
      <c r="T177" s="21">
        <f>IF(A177="","",O177+Q177+R177+IF(S177="",0,S177))</f>
        <v>0</v>
      </c>
      <c r="U177" s="21">
        <f>IF(A177="","",J177-T177)</f>
        <v>0</v>
      </c>
      <c r="V177" s="38">
        <f>IF(OR(A177="",J177=0),"",U177/J177)</f>
        <v>0</v>
      </c>
      <c r="W177" s="21">
        <f>IF(OR(A177="",M177=0,J177=0),"",U177/M177)</f>
        <v>0</v>
      </c>
      <c r="X177" s="34">
        <f>IF(OR(A177="",L177="",L177=0,K177=""),"",L177-K177)</f>
        <v>0</v>
      </c>
      <c r="Y177" s="31">
        <f>IF(A177="","",COUNTIFS($U$5:$U$604,"&gt;"&amp;U177)+COUNTIFS($U$5:U177,U177))</f>
        <v>0</v>
      </c>
      <c r="Z177" s="31">
        <f>IF(A177="","",COUNTIFS($W$5:$W$604,"&gt;"&amp;W177)+COUNTIFS($W$5:W177,W177))</f>
        <v>0</v>
      </c>
      <c r="AA177" s="39">
        <f>IF(A177="","",IF(J177=0,"",IF(U177&lt;0,"Loss - this job cost you money",IF(V177&lt;MarginFloor,"Below - margin under the floor",IF(V177&lt;TargetMargin,"Check - under target margin",IF(AND(X177&lt;&gt;"",X177&gt;0.5),"Check - ran over the estimate","OK"))))))</f>
        <v>0</v>
      </c>
    </row>
    <row r="178" spans="1:27">
      <c r="A178" s="43">
        <f>IF(IFERROR(INDEX(Jobs!$A$5:$A$604,ROW()-4),"")="","",IFERROR(INDEX(Jobs!$A$5:$A$604,ROW()-4),""))</f>
        <v>0</v>
      </c>
      <c r="B178" s="18">
        <f>IF(A178="","",IFERROR(INDEX(Jobs!$B$5:$B$604,MATCH(A178,Jobs!$A$5:$A$604,0)),""))</f>
        <v>0</v>
      </c>
      <c r="C178" s="23">
        <f>IF(B178="","",TEXT(B178,"yyyy-mm"))</f>
        <v>0</v>
      </c>
      <c r="D178" s="43">
        <f>IF(A178="","",IFERROR(INDEX(Jobs!$G$5:$G$604,MATCH(A178,Jobs!$A$5:$A$604,0)),""))</f>
        <v>0</v>
      </c>
      <c r="E178" s="23">
        <f>IF(A178="","",IFERROR(INDEX(Jobs!$H$5:$H$604,MATCH(A178,Jobs!$A$5:$A$604,0)),""))</f>
        <v>0</v>
      </c>
      <c r="F178" s="23">
        <f>IF(A178="","",IFERROR(INDEX(Jobs!$K$5:$K$604,MATCH(A178,Jobs!$A$5:$A$604,0)),""))</f>
        <v>0</v>
      </c>
      <c r="G178" s="23">
        <f>IF(A178="","",IFERROR(INDEX(Jobs!$M$5:$M$604,MATCH(A178,Jobs!$A$5:$A$604,0)),""))</f>
        <v>0</v>
      </c>
      <c r="H178" s="23">
        <f>IF(A178="","",IFERROR(INDEX(Jobs!$R$5:$R$604,MATCH(A178,Jobs!$A$5:$A$604,0)),""))</f>
        <v>0</v>
      </c>
      <c r="I178" s="39">
        <f>IF(A178="","",IFERROR(INDEX(Jobs!$P$5:$P$604,MATCH(A178,Jobs!$A$5:$A$604,0)),""))</f>
        <v>0</v>
      </c>
      <c r="J178" s="21">
        <f>IF(A178="","",IF(OR(I178="Completed",I178="Invoiced"),IFERROR(INDEX(Jobs!$AJ$5:$AJ$604,MATCH(A178,Jobs!$A$5:$A$604,0)),0),0))</f>
        <v>0</v>
      </c>
      <c r="K178" s="34">
        <f>IF(A178="","",IFERROR(INDEX(Jobs!$AD$5:$AD$604,MATCH(A178,Jobs!$A$5:$A$604,0)),0))</f>
        <v>0</v>
      </c>
      <c r="L178" s="34">
        <f>IF(A178="","",IFERROR(INDEX(Jobs!$AK$5:$AK$604,MATCH(A178,Jobs!$A$5:$A$604,0)),0))</f>
        <v>0</v>
      </c>
      <c r="M178" s="34">
        <f>IF(A178="","",IF(IFERROR(L178*1,0)&gt;0,L178,IFERROR(K178*1,0)))</f>
        <v>0</v>
      </c>
      <c r="N178" s="21">
        <f>IF(A178="","",SUMIFS(Timesheets!$X$5:$X$804,Timesheets!$G$5:$G$804,A178))</f>
        <v>0</v>
      </c>
      <c r="O178" s="21">
        <f>IF(A178="","",IF(N178&gt;0,N178,ROUND(M178*CostPerHour,2)))</f>
        <v>0</v>
      </c>
      <c r="P178" s="21">
        <f>IF(A178="","",SUMIFS('Supply Usage'!$L$5:$L$304,'Supply Usage'!$F$5:$F$304,A178))</f>
        <v>0</v>
      </c>
      <c r="Q178" s="21">
        <f>IF(A178="","",IF(P178&gt;0,P178,ROUND(M178*SuppliesPerHour,2)))</f>
        <v>0</v>
      </c>
      <c r="R178" s="21">
        <f>IF(A178="","",ROUND(IFERROR(INDEX(Jobs!$W$5:$W$604,MATCH(A178,Jobs!$A$5:$A$604,0)),0)*MileageRate,2))</f>
        <v>0</v>
      </c>
      <c r="T178" s="21">
        <f>IF(A178="","",O178+Q178+R178+IF(S178="",0,S178))</f>
        <v>0</v>
      </c>
      <c r="U178" s="21">
        <f>IF(A178="","",J178-T178)</f>
        <v>0</v>
      </c>
      <c r="V178" s="38">
        <f>IF(OR(A178="",J178=0),"",U178/J178)</f>
        <v>0</v>
      </c>
      <c r="W178" s="21">
        <f>IF(OR(A178="",M178=0,J178=0),"",U178/M178)</f>
        <v>0</v>
      </c>
      <c r="X178" s="34">
        <f>IF(OR(A178="",L178="",L178=0,K178=""),"",L178-K178)</f>
        <v>0</v>
      </c>
      <c r="Y178" s="31">
        <f>IF(A178="","",COUNTIFS($U$5:$U$604,"&gt;"&amp;U178)+COUNTIFS($U$5:U178,U178))</f>
        <v>0</v>
      </c>
      <c r="Z178" s="31">
        <f>IF(A178="","",COUNTIFS($W$5:$W$604,"&gt;"&amp;W178)+COUNTIFS($W$5:W178,W178))</f>
        <v>0</v>
      </c>
      <c r="AA178" s="39">
        <f>IF(A178="","",IF(J178=0,"",IF(U178&lt;0,"Loss - this job cost you money",IF(V178&lt;MarginFloor,"Below - margin under the floor",IF(V178&lt;TargetMargin,"Check - under target margin",IF(AND(X178&lt;&gt;"",X178&gt;0.5),"Check - ran over the estimate","OK"))))))</f>
        <v>0</v>
      </c>
    </row>
    <row r="179" spans="1:27">
      <c r="A179" s="43">
        <f>IF(IFERROR(INDEX(Jobs!$A$5:$A$604,ROW()-4),"")="","",IFERROR(INDEX(Jobs!$A$5:$A$604,ROW()-4),""))</f>
        <v>0</v>
      </c>
      <c r="B179" s="18">
        <f>IF(A179="","",IFERROR(INDEX(Jobs!$B$5:$B$604,MATCH(A179,Jobs!$A$5:$A$604,0)),""))</f>
        <v>0</v>
      </c>
      <c r="C179" s="23">
        <f>IF(B179="","",TEXT(B179,"yyyy-mm"))</f>
        <v>0</v>
      </c>
      <c r="D179" s="43">
        <f>IF(A179="","",IFERROR(INDEX(Jobs!$G$5:$G$604,MATCH(A179,Jobs!$A$5:$A$604,0)),""))</f>
        <v>0</v>
      </c>
      <c r="E179" s="23">
        <f>IF(A179="","",IFERROR(INDEX(Jobs!$H$5:$H$604,MATCH(A179,Jobs!$A$5:$A$604,0)),""))</f>
        <v>0</v>
      </c>
      <c r="F179" s="23">
        <f>IF(A179="","",IFERROR(INDEX(Jobs!$K$5:$K$604,MATCH(A179,Jobs!$A$5:$A$604,0)),""))</f>
        <v>0</v>
      </c>
      <c r="G179" s="23">
        <f>IF(A179="","",IFERROR(INDEX(Jobs!$M$5:$M$604,MATCH(A179,Jobs!$A$5:$A$604,0)),""))</f>
        <v>0</v>
      </c>
      <c r="H179" s="23">
        <f>IF(A179="","",IFERROR(INDEX(Jobs!$R$5:$R$604,MATCH(A179,Jobs!$A$5:$A$604,0)),""))</f>
        <v>0</v>
      </c>
      <c r="I179" s="39">
        <f>IF(A179="","",IFERROR(INDEX(Jobs!$P$5:$P$604,MATCH(A179,Jobs!$A$5:$A$604,0)),""))</f>
        <v>0</v>
      </c>
      <c r="J179" s="21">
        <f>IF(A179="","",IF(OR(I179="Completed",I179="Invoiced"),IFERROR(INDEX(Jobs!$AJ$5:$AJ$604,MATCH(A179,Jobs!$A$5:$A$604,0)),0),0))</f>
        <v>0</v>
      </c>
      <c r="K179" s="34">
        <f>IF(A179="","",IFERROR(INDEX(Jobs!$AD$5:$AD$604,MATCH(A179,Jobs!$A$5:$A$604,0)),0))</f>
        <v>0</v>
      </c>
      <c r="L179" s="34">
        <f>IF(A179="","",IFERROR(INDEX(Jobs!$AK$5:$AK$604,MATCH(A179,Jobs!$A$5:$A$604,0)),0))</f>
        <v>0</v>
      </c>
      <c r="M179" s="34">
        <f>IF(A179="","",IF(IFERROR(L179*1,0)&gt;0,L179,IFERROR(K179*1,0)))</f>
        <v>0</v>
      </c>
      <c r="N179" s="21">
        <f>IF(A179="","",SUMIFS(Timesheets!$X$5:$X$804,Timesheets!$G$5:$G$804,A179))</f>
        <v>0</v>
      </c>
      <c r="O179" s="21">
        <f>IF(A179="","",IF(N179&gt;0,N179,ROUND(M179*CostPerHour,2)))</f>
        <v>0</v>
      </c>
      <c r="P179" s="21">
        <f>IF(A179="","",SUMIFS('Supply Usage'!$L$5:$L$304,'Supply Usage'!$F$5:$F$304,A179))</f>
        <v>0</v>
      </c>
      <c r="Q179" s="21">
        <f>IF(A179="","",IF(P179&gt;0,P179,ROUND(M179*SuppliesPerHour,2)))</f>
        <v>0</v>
      </c>
      <c r="R179" s="21">
        <f>IF(A179="","",ROUND(IFERROR(INDEX(Jobs!$W$5:$W$604,MATCH(A179,Jobs!$A$5:$A$604,0)),0)*MileageRate,2))</f>
        <v>0</v>
      </c>
      <c r="T179" s="21">
        <f>IF(A179="","",O179+Q179+R179+IF(S179="",0,S179))</f>
        <v>0</v>
      </c>
      <c r="U179" s="21">
        <f>IF(A179="","",J179-T179)</f>
        <v>0</v>
      </c>
      <c r="V179" s="38">
        <f>IF(OR(A179="",J179=0),"",U179/J179)</f>
        <v>0</v>
      </c>
      <c r="W179" s="21">
        <f>IF(OR(A179="",M179=0,J179=0),"",U179/M179)</f>
        <v>0</v>
      </c>
      <c r="X179" s="34">
        <f>IF(OR(A179="",L179="",L179=0,K179=""),"",L179-K179)</f>
        <v>0</v>
      </c>
      <c r="Y179" s="31">
        <f>IF(A179="","",COUNTIFS($U$5:$U$604,"&gt;"&amp;U179)+COUNTIFS($U$5:U179,U179))</f>
        <v>0</v>
      </c>
      <c r="Z179" s="31">
        <f>IF(A179="","",COUNTIFS($W$5:$W$604,"&gt;"&amp;W179)+COUNTIFS($W$5:W179,W179))</f>
        <v>0</v>
      </c>
      <c r="AA179" s="39">
        <f>IF(A179="","",IF(J179=0,"",IF(U179&lt;0,"Loss - this job cost you money",IF(V179&lt;MarginFloor,"Below - margin under the floor",IF(V179&lt;TargetMargin,"Check - under target margin",IF(AND(X179&lt;&gt;"",X179&gt;0.5),"Check - ran over the estimate","OK"))))))</f>
        <v>0</v>
      </c>
    </row>
    <row r="180" spans="1:27">
      <c r="A180" s="43">
        <f>IF(IFERROR(INDEX(Jobs!$A$5:$A$604,ROW()-4),"")="","",IFERROR(INDEX(Jobs!$A$5:$A$604,ROW()-4),""))</f>
        <v>0</v>
      </c>
      <c r="B180" s="18">
        <f>IF(A180="","",IFERROR(INDEX(Jobs!$B$5:$B$604,MATCH(A180,Jobs!$A$5:$A$604,0)),""))</f>
        <v>0</v>
      </c>
      <c r="C180" s="23">
        <f>IF(B180="","",TEXT(B180,"yyyy-mm"))</f>
        <v>0</v>
      </c>
      <c r="D180" s="43">
        <f>IF(A180="","",IFERROR(INDEX(Jobs!$G$5:$G$604,MATCH(A180,Jobs!$A$5:$A$604,0)),""))</f>
        <v>0</v>
      </c>
      <c r="E180" s="23">
        <f>IF(A180="","",IFERROR(INDEX(Jobs!$H$5:$H$604,MATCH(A180,Jobs!$A$5:$A$604,0)),""))</f>
        <v>0</v>
      </c>
      <c r="F180" s="23">
        <f>IF(A180="","",IFERROR(INDEX(Jobs!$K$5:$K$604,MATCH(A180,Jobs!$A$5:$A$604,0)),""))</f>
        <v>0</v>
      </c>
      <c r="G180" s="23">
        <f>IF(A180="","",IFERROR(INDEX(Jobs!$M$5:$M$604,MATCH(A180,Jobs!$A$5:$A$604,0)),""))</f>
        <v>0</v>
      </c>
      <c r="H180" s="23">
        <f>IF(A180="","",IFERROR(INDEX(Jobs!$R$5:$R$604,MATCH(A180,Jobs!$A$5:$A$604,0)),""))</f>
        <v>0</v>
      </c>
      <c r="I180" s="39">
        <f>IF(A180="","",IFERROR(INDEX(Jobs!$P$5:$P$604,MATCH(A180,Jobs!$A$5:$A$604,0)),""))</f>
        <v>0</v>
      </c>
      <c r="J180" s="21">
        <f>IF(A180="","",IF(OR(I180="Completed",I180="Invoiced"),IFERROR(INDEX(Jobs!$AJ$5:$AJ$604,MATCH(A180,Jobs!$A$5:$A$604,0)),0),0))</f>
        <v>0</v>
      </c>
      <c r="K180" s="34">
        <f>IF(A180="","",IFERROR(INDEX(Jobs!$AD$5:$AD$604,MATCH(A180,Jobs!$A$5:$A$604,0)),0))</f>
        <v>0</v>
      </c>
      <c r="L180" s="34">
        <f>IF(A180="","",IFERROR(INDEX(Jobs!$AK$5:$AK$604,MATCH(A180,Jobs!$A$5:$A$604,0)),0))</f>
        <v>0</v>
      </c>
      <c r="M180" s="34">
        <f>IF(A180="","",IF(IFERROR(L180*1,0)&gt;0,L180,IFERROR(K180*1,0)))</f>
        <v>0</v>
      </c>
      <c r="N180" s="21">
        <f>IF(A180="","",SUMIFS(Timesheets!$X$5:$X$804,Timesheets!$G$5:$G$804,A180))</f>
        <v>0</v>
      </c>
      <c r="O180" s="21">
        <f>IF(A180="","",IF(N180&gt;0,N180,ROUND(M180*CostPerHour,2)))</f>
        <v>0</v>
      </c>
      <c r="P180" s="21">
        <f>IF(A180="","",SUMIFS('Supply Usage'!$L$5:$L$304,'Supply Usage'!$F$5:$F$304,A180))</f>
        <v>0</v>
      </c>
      <c r="Q180" s="21">
        <f>IF(A180="","",IF(P180&gt;0,P180,ROUND(M180*SuppliesPerHour,2)))</f>
        <v>0</v>
      </c>
      <c r="R180" s="21">
        <f>IF(A180="","",ROUND(IFERROR(INDEX(Jobs!$W$5:$W$604,MATCH(A180,Jobs!$A$5:$A$604,0)),0)*MileageRate,2))</f>
        <v>0</v>
      </c>
      <c r="T180" s="21">
        <f>IF(A180="","",O180+Q180+R180+IF(S180="",0,S180))</f>
        <v>0</v>
      </c>
      <c r="U180" s="21">
        <f>IF(A180="","",J180-T180)</f>
        <v>0</v>
      </c>
      <c r="V180" s="38">
        <f>IF(OR(A180="",J180=0),"",U180/J180)</f>
        <v>0</v>
      </c>
      <c r="W180" s="21">
        <f>IF(OR(A180="",M180=0,J180=0),"",U180/M180)</f>
        <v>0</v>
      </c>
      <c r="X180" s="34">
        <f>IF(OR(A180="",L180="",L180=0,K180=""),"",L180-K180)</f>
        <v>0</v>
      </c>
      <c r="Y180" s="31">
        <f>IF(A180="","",COUNTIFS($U$5:$U$604,"&gt;"&amp;U180)+COUNTIFS($U$5:U180,U180))</f>
        <v>0</v>
      </c>
      <c r="Z180" s="31">
        <f>IF(A180="","",COUNTIFS($W$5:$W$604,"&gt;"&amp;W180)+COUNTIFS($W$5:W180,W180))</f>
        <v>0</v>
      </c>
      <c r="AA180" s="39">
        <f>IF(A180="","",IF(J180=0,"",IF(U180&lt;0,"Loss - this job cost you money",IF(V180&lt;MarginFloor,"Below - margin under the floor",IF(V180&lt;TargetMargin,"Check - under target margin",IF(AND(X180&lt;&gt;"",X180&gt;0.5),"Check - ran over the estimate","OK"))))))</f>
        <v>0</v>
      </c>
    </row>
    <row r="181" spans="1:27">
      <c r="A181" s="43">
        <f>IF(IFERROR(INDEX(Jobs!$A$5:$A$604,ROW()-4),"")="","",IFERROR(INDEX(Jobs!$A$5:$A$604,ROW()-4),""))</f>
        <v>0</v>
      </c>
      <c r="B181" s="18">
        <f>IF(A181="","",IFERROR(INDEX(Jobs!$B$5:$B$604,MATCH(A181,Jobs!$A$5:$A$604,0)),""))</f>
        <v>0</v>
      </c>
      <c r="C181" s="23">
        <f>IF(B181="","",TEXT(B181,"yyyy-mm"))</f>
        <v>0</v>
      </c>
      <c r="D181" s="43">
        <f>IF(A181="","",IFERROR(INDEX(Jobs!$G$5:$G$604,MATCH(A181,Jobs!$A$5:$A$604,0)),""))</f>
        <v>0</v>
      </c>
      <c r="E181" s="23">
        <f>IF(A181="","",IFERROR(INDEX(Jobs!$H$5:$H$604,MATCH(A181,Jobs!$A$5:$A$604,0)),""))</f>
        <v>0</v>
      </c>
      <c r="F181" s="23">
        <f>IF(A181="","",IFERROR(INDEX(Jobs!$K$5:$K$604,MATCH(A181,Jobs!$A$5:$A$604,0)),""))</f>
        <v>0</v>
      </c>
      <c r="G181" s="23">
        <f>IF(A181="","",IFERROR(INDEX(Jobs!$M$5:$M$604,MATCH(A181,Jobs!$A$5:$A$604,0)),""))</f>
        <v>0</v>
      </c>
      <c r="H181" s="23">
        <f>IF(A181="","",IFERROR(INDEX(Jobs!$R$5:$R$604,MATCH(A181,Jobs!$A$5:$A$604,0)),""))</f>
        <v>0</v>
      </c>
      <c r="I181" s="39">
        <f>IF(A181="","",IFERROR(INDEX(Jobs!$P$5:$P$604,MATCH(A181,Jobs!$A$5:$A$604,0)),""))</f>
        <v>0</v>
      </c>
      <c r="J181" s="21">
        <f>IF(A181="","",IF(OR(I181="Completed",I181="Invoiced"),IFERROR(INDEX(Jobs!$AJ$5:$AJ$604,MATCH(A181,Jobs!$A$5:$A$604,0)),0),0))</f>
        <v>0</v>
      </c>
      <c r="K181" s="34">
        <f>IF(A181="","",IFERROR(INDEX(Jobs!$AD$5:$AD$604,MATCH(A181,Jobs!$A$5:$A$604,0)),0))</f>
        <v>0</v>
      </c>
      <c r="L181" s="34">
        <f>IF(A181="","",IFERROR(INDEX(Jobs!$AK$5:$AK$604,MATCH(A181,Jobs!$A$5:$A$604,0)),0))</f>
        <v>0</v>
      </c>
      <c r="M181" s="34">
        <f>IF(A181="","",IF(IFERROR(L181*1,0)&gt;0,L181,IFERROR(K181*1,0)))</f>
        <v>0</v>
      </c>
      <c r="N181" s="21">
        <f>IF(A181="","",SUMIFS(Timesheets!$X$5:$X$804,Timesheets!$G$5:$G$804,A181))</f>
        <v>0</v>
      </c>
      <c r="O181" s="21">
        <f>IF(A181="","",IF(N181&gt;0,N181,ROUND(M181*CostPerHour,2)))</f>
        <v>0</v>
      </c>
      <c r="P181" s="21">
        <f>IF(A181="","",SUMIFS('Supply Usage'!$L$5:$L$304,'Supply Usage'!$F$5:$F$304,A181))</f>
        <v>0</v>
      </c>
      <c r="Q181" s="21">
        <f>IF(A181="","",IF(P181&gt;0,P181,ROUND(M181*SuppliesPerHour,2)))</f>
        <v>0</v>
      </c>
      <c r="R181" s="21">
        <f>IF(A181="","",ROUND(IFERROR(INDEX(Jobs!$W$5:$W$604,MATCH(A181,Jobs!$A$5:$A$604,0)),0)*MileageRate,2))</f>
        <v>0</v>
      </c>
      <c r="T181" s="21">
        <f>IF(A181="","",O181+Q181+R181+IF(S181="",0,S181))</f>
        <v>0</v>
      </c>
      <c r="U181" s="21">
        <f>IF(A181="","",J181-T181)</f>
        <v>0</v>
      </c>
      <c r="V181" s="38">
        <f>IF(OR(A181="",J181=0),"",U181/J181)</f>
        <v>0</v>
      </c>
      <c r="W181" s="21">
        <f>IF(OR(A181="",M181=0,J181=0),"",U181/M181)</f>
        <v>0</v>
      </c>
      <c r="X181" s="34">
        <f>IF(OR(A181="",L181="",L181=0,K181=""),"",L181-K181)</f>
        <v>0</v>
      </c>
      <c r="Y181" s="31">
        <f>IF(A181="","",COUNTIFS($U$5:$U$604,"&gt;"&amp;U181)+COUNTIFS($U$5:U181,U181))</f>
        <v>0</v>
      </c>
      <c r="Z181" s="31">
        <f>IF(A181="","",COUNTIFS($W$5:$W$604,"&gt;"&amp;W181)+COUNTIFS($W$5:W181,W181))</f>
        <v>0</v>
      </c>
      <c r="AA181" s="39">
        <f>IF(A181="","",IF(J181=0,"",IF(U181&lt;0,"Loss - this job cost you money",IF(V181&lt;MarginFloor,"Below - margin under the floor",IF(V181&lt;TargetMargin,"Check - under target margin",IF(AND(X181&lt;&gt;"",X181&gt;0.5),"Check - ran over the estimate","OK"))))))</f>
        <v>0</v>
      </c>
    </row>
    <row r="182" spans="1:27">
      <c r="A182" s="43">
        <f>IF(IFERROR(INDEX(Jobs!$A$5:$A$604,ROW()-4),"")="","",IFERROR(INDEX(Jobs!$A$5:$A$604,ROW()-4),""))</f>
        <v>0</v>
      </c>
      <c r="B182" s="18">
        <f>IF(A182="","",IFERROR(INDEX(Jobs!$B$5:$B$604,MATCH(A182,Jobs!$A$5:$A$604,0)),""))</f>
        <v>0</v>
      </c>
      <c r="C182" s="23">
        <f>IF(B182="","",TEXT(B182,"yyyy-mm"))</f>
        <v>0</v>
      </c>
      <c r="D182" s="43">
        <f>IF(A182="","",IFERROR(INDEX(Jobs!$G$5:$G$604,MATCH(A182,Jobs!$A$5:$A$604,0)),""))</f>
        <v>0</v>
      </c>
      <c r="E182" s="23">
        <f>IF(A182="","",IFERROR(INDEX(Jobs!$H$5:$H$604,MATCH(A182,Jobs!$A$5:$A$604,0)),""))</f>
        <v>0</v>
      </c>
      <c r="F182" s="23">
        <f>IF(A182="","",IFERROR(INDEX(Jobs!$K$5:$K$604,MATCH(A182,Jobs!$A$5:$A$604,0)),""))</f>
        <v>0</v>
      </c>
      <c r="G182" s="23">
        <f>IF(A182="","",IFERROR(INDEX(Jobs!$M$5:$M$604,MATCH(A182,Jobs!$A$5:$A$604,0)),""))</f>
        <v>0</v>
      </c>
      <c r="H182" s="23">
        <f>IF(A182="","",IFERROR(INDEX(Jobs!$R$5:$R$604,MATCH(A182,Jobs!$A$5:$A$604,0)),""))</f>
        <v>0</v>
      </c>
      <c r="I182" s="39">
        <f>IF(A182="","",IFERROR(INDEX(Jobs!$P$5:$P$604,MATCH(A182,Jobs!$A$5:$A$604,0)),""))</f>
        <v>0</v>
      </c>
      <c r="J182" s="21">
        <f>IF(A182="","",IF(OR(I182="Completed",I182="Invoiced"),IFERROR(INDEX(Jobs!$AJ$5:$AJ$604,MATCH(A182,Jobs!$A$5:$A$604,0)),0),0))</f>
        <v>0</v>
      </c>
      <c r="K182" s="34">
        <f>IF(A182="","",IFERROR(INDEX(Jobs!$AD$5:$AD$604,MATCH(A182,Jobs!$A$5:$A$604,0)),0))</f>
        <v>0</v>
      </c>
      <c r="L182" s="34">
        <f>IF(A182="","",IFERROR(INDEX(Jobs!$AK$5:$AK$604,MATCH(A182,Jobs!$A$5:$A$604,0)),0))</f>
        <v>0</v>
      </c>
      <c r="M182" s="34">
        <f>IF(A182="","",IF(IFERROR(L182*1,0)&gt;0,L182,IFERROR(K182*1,0)))</f>
        <v>0</v>
      </c>
      <c r="N182" s="21">
        <f>IF(A182="","",SUMIFS(Timesheets!$X$5:$X$804,Timesheets!$G$5:$G$804,A182))</f>
        <v>0</v>
      </c>
      <c r="O182" s="21">
        <f>IF(A182="","",IF(N182&gt;0,N182,ROUND(M182*CostPerHour,2)))</f>
        <v>0</v>
      </c>
      <c r="P182" s="21">
        <f>IF(A182="","",SUMIFS('Supply Usage'!$L$5:$L$304,'Supply Usage'!$F$5:$F$304,A182))</f>
        <v>0</v>
      </c>
      <c r="Q182" s="21">
        <f>IF(A182="","",IF(P182&gt;0,P182,ROUND(M182*SuppliesPerHour,2)))</f>
        <v>0</v>
      </c>
      <c r="R182" s="21">
        <f>IF(A182="","",ROUND(IFERROR(INDEX(Jobs!$W$5:$W$604,MATCH(A182,Jobs!$A$5:$A$604,0)),0)*MileageRate,2))</f>
        <v>0</v>
      </c>
      <c r="T182" s="21">
        <f>IF(A182="","",O182+Q182+R182+IF(S182="",0,S182))</f>
        <v>0</v>
      </c>
      <c r="U182" s="21">
        <f>IF(A182="","",J182-T182)</f>
        <v>0</v>
      </c>
      <c r="V182" s="38">
        <f>IF(OR(A182="",J182=0),"",U182/J182)</f>
        <v>0</v>
      </c>
      <c r="W182" s="21">
        <f>IF(OR(A182="",M182=0,J182=0),"",U182/M182)</f>
        <v>0</v>
      </c>
      <c r="X182" s="34">
        <f>IF(OR(A182="",L182="",L182=0,K182=""),"",L182-K182)</f>
        <v>0</v>
      </c>
      <c r="Y182" s="31">
        <f>IF(A182="","",COUNTIFS($U$5:$U$604,"&gt;"&amp;U182)+COUNTIFS($U$5:U182,U182))</f>
        <v>0</v>
      </c>
      <c r="Z182" s="31">
        <f>IF(A182="","",COUNTIFS($W$5:$W$604,"&gt;"&amp;W182)+COUNTIFS($W$5:W182,W182))</f>
        <v>0</v>
      </c>
      <c r="AA182" s="39">
        <f>IF(A182="","",IF(J182=0,"",IF(U182&lt;0,"Loss - this job cost you money",IF(V182&lt;MarginFloor,"Below - margin under the floor",IF(V182&lt;TargetMargin,"Check - under target margin",IF(AND(X182&lt;&gt;"",X182&gt;0.5),"Check - ran over the estimate","OK"))))))</f>
        <v>0</v>
      </c>
    </row>
    <row r="183" spans="1:27">
      <c r="A183" s="43">
        <f>IF(IFERROR(INDEX(Jobs!$A$5:$A$604,ROW()-4),"")="","",IFERROR(INDEX(Jobs!$A$5:$A$604,ROW()-4),""))</f>
        <v>0</v>
      </c>
      <c r="B183" s="18">
        <f>IF(A183="","",IFERROR(INDEX(Jobs!$B$5:$B$604,MATCH(A183,Jobs!$A$5:$A$604,0)),""))</f>
        <v>0</v>
      </c>
      <c r="C183" s="23">
        <f>IF(B183="","",TEXT(B183,"yyyy-mm"))</f>
        <v>0</v>
      </c>
      <c r="D183" s="43">
        <f>IF(A183="","",IFERROR(INDEX(Jobs!$G$5:$G$604,MATCH(A183,Jobs!$A$5:$A$604,0)),""))</f>
        <v>0</v>
      </c>
      <c r="E183" s="23">
        <f>IF(A183="","",IFERROR(INDEX(Jobs!$H$5:$H$604,MATCH(A183,Jobs!$A$5:$A$604,0)),""))</f>
        <v>0</v>
      </c>
      <c r="F183" s="23">
        <f>IF(A183="","",IFERROR(INDEX(Jobs!$K$5:$K$604,MATCH(A183,Jobs!$A$5:$A$604,0)),""))</f>
        <v>0</v>
      </c>
      <c r="G183" s="23">
        <f>IF(A183="","",IFERROR(INDEX(Jobs!$M$5:$M$604,MATCH(A183,Jobs!$A$5:$A$604,0)),""))</f>
        <v>0</v>
      </c>
      <c r="H183" s="23">
        <f>IF(A183="","",IFERROR(INDEX(Jobs!$R$5:$R$604,MATCH(A183,Jobs!$A$5:$A$604,0)),""))</f>
        <v>0</v>
      </c>
      <c r="I183" s="39">
        <f>IF(A183="","",IFERROR(INDEX(Jobs!$P$5:$P$604,MATCH(A183,Jobs!$A$5:$A$604,0)),""))</f>
        <v>0</v>
      </c>
      <c r="J183" s="21">
        <f>IF(A183="","",IF(OR(I183="Completed",I183="Invoiced"),IFERROR(INDEX(Jobs!$AJ$5:$AJ$604,MATCH(A183,Jobs!$A$5:$A$604,0)),0),0))</f>
        <v>0</v>
      </c>
      <c r="K183" s="34">
        <f>IF(A183="","",IFERROR(INDEX(Jobs!$AD$5:$AD$604,MATCH(A183,Jobs!$A$5:$A$604,0)),0))</f>
        <v>0</v>
      </c>
      <c r="L183" s="34">
        <f>IF(A183="","",IFERROR(INDEX(Jobs!$AK$5:$AK$604,MATCH(A183,Jobs!$A$5:$A$604,0)),0))</f>
        <v>0</v>
      </c>
      <c r="M183" s="34">
        <f>IF(A183="","",IF(IFERROR(L183*1,0)&gt;0,L183,IFERROR(K183*1,0)))</f>
        <v>0</v>
      </c>
      <c r="N183" s="21">
        <f>IF(A183="","",SUMIFS(Timesheets!$X$5:$X$804,Timesheets!$G$5:$G$804,A183))</f>
        <v>0</v>
      </c>
      <c r="O183" s="21">
        <f>IF(A183="","",IF(N183&gt;0,N183,ROUND(M183*CostPerHour,2)))</f>
        <v>0</v>
      </c>
      <c r="P183" s="21">
        <f>IF(A183="","",SUMIFS('Supply Usage'!$L$5:$L$304,'Supply Usage'!$F$5:$F$304,A183))</f>
        <v>0</v>
      </c>
      <c r="Q183" s="21">
        <f>IF(A183="","",IF(P183&gt;0,P183,ROUND(M183*SuppliesPerHour,2)))</f>
        <v>0</v>
      </c>
      <c r="R183" s="21">
        <f>IF(A183="","",ROUND(IFERROR(INDEX(Jobs!$W$5:$W$604,MATCH(A183,Jobs!$A$5:$A$604,0)),0)*MileageRate,2))</f>
        <v>0</v>
      </c>
      <c r="T183" s="21">
        <f>IF(A183="","",O183+Q183+R183+IF(S183="",0,S183))</f>
        <v>0</v>
      </c>
      <c r="U183" s="21">
        <f>IF(A183="","",J183-T183)</f>
        <v>0</v>
      </c>
      <c r="V183" s="38">
        <f>IF(OR(A183="",J183=0),"",U183/J183)</f>
        <v>0</v>
      </c>
      <c r="W183" s="21">
        <f>IF(OR(A183="",M183=0,J183=0),"",U183/M183)</f>
        <v>0</v>
      </c>
      <c r="X183" s="34">
        <f>IF(OR(A183="",L183="",L183=0,K183=""),"",L183-K183)</f>
        <v>0</v>
      </c>
      <c r="Y183" s="31">
        <f>IF(A183="","",COUNTIFS($U$5:$U$604,"&gt;"&amp;U183)+COUNTIFS($U$5:U183,U183))</f>
        <v>0</v>
      </c>
      <c r="Z183" s="31">
        <f>IF(A183="","",COUNTIFS($W$5:$W$604,"&gt;"&amp;W183)+COUNTIFS($W$5:W183,W183))</f>
        <v>0</v>
      </c>
      <c r="AA183" s="39">
        <f>IF(A183="","",IF(J183=0,"",IF(U183&lt;0,"Loss - this job cost you money",IF(V183&lt;MarginFloor,"Below - margin under the floor",IF(V183&lt;TargetMargin,"Check - under target margin",IF(AND(X183&lt;&gt;"",X183&gt;0.5),"Check - ran over the estimate","OK"))))))</f>
        <v>0</v>
      </c>
    </row>
    <row r="184" spans="1:27">
      <c r="A184" s="43">
        <f>IF(IFERROR(INDEX(Jobs!$A$5:$A$604,ROW()-4),"")="","",IFERROR(INDEX(Jobs!$A$5:$A$604,ROW()-4),""))</f>
        <v>0</v>
      </c>
      <c r="B184" s="18">
        <f>IF(A184="","",IFERROR(INDEX(Jobs!$B$5:$B$604,MATCH(A184,Jobs!$A$5:$A$604,0)),""))</f>
        <v>0</v>
      </c>
      <c r="C184" s="23">
        <f>IF(B184="","",TEXT(B184,"yyyy-mm"))</f>
        <v>0</v>
      </c>
      <c r="D184" s="43">
        <f>IF(A184="","",IFERROR(INDEX(Jobs!$G$5:$G$604,MATCH(A184,Jobs!$A$5:$A$604,0)),""))</f>
        <v>0</v>
      </c>
      <c r="E184" s="23">
        <f>IF(A184="","",IFERROR(INDEX(Jobs!$H$5:$H$604,MATCH(A184,Jobs!$A$5:$A$604,0)),""))</f>
        <v>0</v>
      </c>
      <c r="F184" s="23">
        <f>IF(A184="","",IFERROR(INDEX(Jobs!$K$5:$K$604,MATCH(A184,Jobs!$A$5:$A$604,0)),""))</f>
        <v>0</v>
      </c>
      <c r="G184" s="23">
        <f>IF(A184="","",IFERROR(INDEX(Jobs!$M$5:$M$604,MATCH(A184,Jobs!$A$5:$A$604,0)),""))</f>
        <v>0</v>
      </c>
      <c r="H184" s="23">
        <f>IF(A184="","",IFERROR(INDEX(Jobs!$R$5:$R$604,MATCH(A184,Jobs!$A$5:$A$604,0)),""))</f>
        <v>0</v>
      </c>
      <c r="I184" s="39">
        <f>IF(A184="","",IFERROR(INDEX(Jobs!$P$5:$P$604,MATCH(A184,Jobs!$A$5:$A$604,0)),""))</f>
        <v>0</v>
      </c>
      <c r="J184" s="21">
        <f>IF(A184="","",IF(OR(I184="Completed",I184="Invoiced"),IFERROR(INDEX(Jobs!$AJ$5:$AJ$604,MATCH(A184,Jobs!$A$5:$A$604,0)),0),0))</f>
        <v>0</v>
      </c>
      <c r="K184" s="34">
        <f>IF(A184="","",IFERROR(INDEX(Jobs!$AD$5:$AD$604,MATCH(A184,Jobs!$A$5:$A$604,0)),0))</f>
        <v>0</v>
      </c>
      <c r="L184" s="34">
        <f>IF(A184="","",IFERROR(INDEX(Jobs!$AK$5:$AK$604,MATCH(A184,Jobs!$A$5:$A$604,0)),0))</f>
        <v>0</v>
      </c>
      <c r="M184" s="34">
        <f>IF(A184="","",IF(IFERROR(L184*1,0)&gt;0,L184,IFERROR(K184*1,0)))</f>
        <v>0</v>
      </c>
      <c r="N184" s="21">
        <f>IF(A184="","",SUMIFS(Timesheets!$X$5:$X$804,Timesheets!$G$5:$G$804,A184))</f>
        <v>0</v>
      </c>
      <c r="O184" s="21">
        <f>IF(A184="","",IF(N184&gt;0,N184,ROUND(M184*CostPerHour,2)))</f>
        <v>0</v>
      </c>
      <c r="P184" s="21">
        <f>IF(A184="","",SUMIFS('Supply Usage'!$L$5:$L$304,'Supply Usage'!$F$5:$F$304,A184))</f>
        <v>0</v>
      </c>
      <c r="Q184" s="21">
        <f>IF(A184="","",IF(P184&gt;0,P184,ROUND(M184*SuppliesPerHour,2)))</f>
        <v>0</v>
      </c>
      <c r="R184" s="21">
        <f>IF(A184="","",ROUND(IFERROR(INDEX(Jobs!$W$5:$W$604,MATCH(A184,Jobs!$A$5:$A$604,0)),0)*MileageRate,2))</f>
        <v>0</v>
      </c>
      <c r="T184" s="21">
        <f>IF(A184="","",O184+Q184+R184+IF(S184="",0,S184))</f>
        <v>0</v>
      </c>
      <c r="U184" s="21">
        <f>IF(A184="","",J184-T184)</f>
        <v>0</v>
      </c>
      <c r="V184" s="38">
        <f>IF(OR(A184="",J184=0),"",U184/J184)</f>
        <v>0</v>
      </c>
      <c r="W184" s="21">
        <f>IF(OR(A184="",M184=0,J184=0),"",U184/M184)</f>
        <v>0</v>
      </c>
      <c r="X184" s="34">
        <f>IF(OR(A184="",L184="",L184=0,K184=""),"",L184-K184)</f>
        <v>0</v>
      </c>
      <c r="Y184" s="31">
        <f>IF(A184="","",COUNTIFS($U$5:$U$604,"&gt;"&amp;U184)+COUNTIFS($U$5:U184,U184))</f>
        <v>0</v>
      </c>
      <c r="Z184" s="31">
        <f>IF(A184="","",COUNTIFS($W$5:$W$604,"&gt;"&amp;W184)+COUNTIFS($W$5:W184,W184))</f>
        <v>0</v>
      </c>
      <c r="AA184" s="39">
        <f>IF(A184="","",IF(J184=0,"",IF(U184&lt;0,"Loss - this job cost you money",IF(V184&lt;MarginFloor,"Below - margin under the floor",IF(V184&lt;TargetMargin,"Check - under target margin",IF(AND(X184&lt;&gt;"",X184&gt;0.5),"Check - ran over the estimate","OK"))))))</f>
        <v>0</v>
      </c>
    </row>
    <row r="185" spans="1:27">
      <c r="A185" s="43">
        <f>IF(IFERROR(INDEX(Jobs!$A$5:$A$604,ROW()-4),"")="","",IFERROR(INDEX(Jobs!$A$5:$A$604,ROW()-4),""))</f>
        <v>0</v>
      </c>
      <c r="B185" s="18">
        <f>IF(A185="","",IFERROR(INDEX(Jobs!$B$5:$B$604,MATCH(A185,Jobs!$A$5:$A$604,0)),""))</f>
        <v>0</v>
      </c>
      <c r="C185" s="23">
        <f>IF(B185="","",TEXT(B185,"yyyy-mm"))</f>
        <v>0</v>
      </c>
      <c r="D185" s="43">
        <f>IF(A185="","",IFERROR(INDEX(Jobs!$G$5:$G$604,MATCH(A185,Jobs!$A$5:$A$604,0)),""))</f>
        <v>0</v>
      </c>
      <c r="E185" s="23">
        <f>IF(A185="","",IFERROR(INDEX(Jobs!$H$5:$H$604,MATCH(A185,Jobs!$A$5:$A$604,0)),""))</f>
        <v>0</v>
      </c>
      <c r="F185" s="23">
        <f>IF(A185="","",IFERROR(INDEX(Jobs!$K$5:$K$604,MATCH(A185,Jobs!$A$5:$A$604,0)),""))</f>
        <v>0</v>
      </c>
      <c r="G185" s="23">
        <f>IF(A185="","",IFERROR(INDEX(Jobs!$M$5:$M$604,MATCH(A185,Jobs!$A$5:$A$604,0)),""))</f>
        <v>0</v>
      </c>
      <c r="H185" s="23">
        <f>IF(A185="","",IFERROR(INDEX(Jobs!$R$5:$R$604,MATCH(A185,Jobs!$A$5:$A$604,0)),""))</f>
        <v>0</v>
      </c>
      <c r="I185" s="39">
        <f>IF(A185="","",IFERROR(INDEX(Jobs!$P$5:$P$604,MATCH(A185,Jobs!$A$5:$A$604,0)),""))</f>
        <v>0</v>
      </c>
      <c r="J185" s="21">
        <f>IF(A185="","",IF(OR(I185="Completed",I185="Invoiced"),IFERROR(INDEX(Jobs!$AJ$5:$AJ$604,MATCH(A185,Jobs!$A$5:$A$604,0)),0),0))</f>
        <v>0</v>
      </c>
      <c r="K185" s="34">
        <f>IF(A185="","",IFERROR(INDEX(Jobs!$AD$5:$AD$604,MATCH(A185,Jobs!$A$5:$A$604,0)),0))</f>
        <v>0</v>
      </c>
      <c r="L185" s="34">
        <f>IF(A185="","",IFERROR(INDEX(Jobs!$AK$5:$AK$604,MATCH(A185,Jobs!$A$5:$A$604,0)),0))</f>
        <v>0</v>
      </c>
      <c r="M185" s="34">
        <f>IF(A185="","",IF(IFERROR(L185*1,0)&gt;0,L185,IFERROR(K185*1,0)))</f>
        <v>0</v>
      </c>
      <c r="N185" s="21">
        <f>IF(A185="","",SUMIFS(Timesheets!$X$5:$X$804,Timesheets!$G$5:$G$804,A185))</f>
        <v>0</v>
      </c>
      <c r="O185" s="21">
        <f>IF(A185="","",IF(N185&gt;0,N185,ROUND(M185*CostPerHour,2)))</f>
        <v>0</v>
      </c>
      <c r="P185" s="21">
        <f>IF(A185="","",SUMIFS('Supply Usage'!$L$5:$L$304,'Supply Usage'!$F$5:$F$304,A185))</f>
        <v>0</v>
      </c>
      <c r="Q185" s="21">
        <f>IF(A185="","",IF(P185&gt;0,P185,ROUND(M185*SuppliesPerHour,2)))</f>
        <v>0</v>
      </c>
      <c r="R185" s="21">
        <f>IF(A185="","",ROUND(IFERROR(INDEX(Jobs!$W$5:$W$604,MATCH(A185,Jobs!$A$5:$A$604,0)),0)*MileageRate,2))</f>
        <v>0</v>
      </c>
      <c r="T185" s="21">
        <f>IF(A185="","",O185+Q185+R185+IF(S185="",0,S185))</f>
        <v>0</v>
      </c>
      <c r="U185" s="21">
        <f>IF(A185="","",J185-T185)</f>
        <v>0</v>
      </c>
      <c r="V185" s="38">
        <f>IF(OR(A185="",J185=0),"",U185/J185)</f>
        <v>0</v>
      </c>
      <c r="W185" s="21">
        <f>IF(OR(A185="",M185=0,J185=0),"",U185/M185)</f>
        <v>0</v>
      </c>
      <c r="X185" s="34">
        <f>IF(OR(A185="",L185="",L185=0,K185=""),"",L185-K185)</f>
        <v>0</v>
      </c>
      <c r="Y185" s="31">
        <f>IF(A185="","",COUNTIFS($U$5:$U$604,"&gt;"&amp;U185)+COUNTIFS($U$5:U185,U185))</f>
        <v>0</v>
      </c>
      <c r="Z185" s="31">
        <f>IF(A185="","",COUNTIFS($W$5:$W$604,"&gt;"&amp;W185)+COUNTIFS($W$5:W185,W185))</f>
        <v>0</v>
      </c>
      <c r="AA185" s="39">
        <f>IF(A185="","",IF(J185=0,"",IF(U185&lt;0,"Loss - this job cost you money",IF(V185&lt;MarginFloor,"Below - margin under the floor",IF(V185&lt;TargetMargin,"Check - under target margin",IF(AND(X185&lt;&gt;"",X185&gt;0.5),"Check - ran over the estimate","OK"))))))</f>
        <v>0</v>
      </c>
    </row>
    <row r="186" spans="1:27">
      <c r="A186" s="43">
        <f>IF(IFERROR(INDEX(Jobs!$A$5:$A$604,ROW()-4),"")="","",IFERROR(INDEX(Jobs!$A$5:$A$604,ROW()-4),""))</f>
        <v>0</v>
      </c>
      <c r="B186" s="18">
        <f>IF(A186="","",IFERROR(INDEX(Jobs!$B$5:$B$604,MATCH(A186,Jobs!$A$5:$A$604,0)),""))</f>
        <v>0</v>
      </c>
      <c r="C186" s="23">
        <f>IF(B186="","",TEXT(B186,"yyyy-mm"))</f>
        <v>0</v>
      </c>
      <c r="D186" s="43">
        <f>IF(A186="","",IFERROR(INDEX(Jobs!$G$5:$G$604,MATCH(A186,Jobs!$A$5:$A$604,0)),""))</f>
        <v>0</v>
      </c>
      <c r="E186" s="23">
        <f>IF(A186="","",IFERROR(INDEX(Jobs!$H$5:$H$604,MATCH(A186,Jobs!$A$5:$A$604,0)),""))</f>
        <v>0</v>
      </c>
      <c r="F186" s="23">
        <f>IF(A186="","",IFERROR(INDEX(Jobs!$K$5:$K$604,MATCH(A186,Jobs!$A$5:$A$604,0)),""))</f>
        <v>0</v>
      </c>
      <c r="G186" s="23">
        <f>IF(A186="","",IFERROR(INDEX(Jobs!$M$5:$M$604,MATCH(A186,Jobs!$A$5:$A$604,0)),""))</f>
        <v>0</v>
      </c>
      <c r="H186" s="23">
        <f>IF(A186="","",IFERROR(INDEX(Jobs!$R$5:$R$604,MATCH(A186,Jobs!$A$5:$A$604,0)),""))</f>
        <v>0</v>
      </c>
      <c r="I186" s="39">
        <f>IF(A186="","",IFERROR(INDEX(Jobs!$P$5:$P$604,MATCH(A186,Jobs!$A$5:$A$604,0)),""))</f>
        <v>0</v>
      </c>
      <c r="J186" s="21">
        <f>IF(A186="","",IF(OR(I186="Completed",I186="Invoiced"),IFERROR(INDEX(Jobs!$AJ$5:$AJ$604,MATCH(A186,Jobs!$A$5:$A$604,0)),0),0))</f>
        <v>0</v>
      </c>
      <c r="K186" s="34">
        <f>IF(A186="","",IFERROR(INDEX(Jobs!$AD$5:$AD$604,MATCH(A186,Jobs!$A$5:$A$604,0)),0))</f>
        <v>0</v>
      </c>
      <c r="L186" s="34">
        <f>IF(A186="","",IFERROR(INDEX(Jobs!$AK$5:$AK$604,MATCH(A186,Jobs!$A$5:$A$604,0)),0))</f>
        <v>0</v>
      </c>
      <c r="M186" s="34">
        <f>IF(A186="","",IF(IFERROR(L186*1,0)&gt;0,L186,IFERROR(K186*1,0)))</f>
        <v>0</v>
      </c>
      <c r="N186" s="21">
        <f>IF(A186="","",SUMIFS(Timesheets!$X$5:$X$804,Timesheets!$G$5:$G$804,A186))</f>
        <v>0</v>
      </c>
      <c r="O186" s="21">
        <f>IF(A186="","",IF(N186&gt;0,N186,ROUND(M186*CostPerHour,2)))</f>
        <v>0</v>
      </c>
      <c r="P186" s="21">
        <f>IF(A186="","",SUMIFS('Supply Usage'!$L$5:$L$304,'Supply Usage'!$F$5:$F$304,A186))</f>
        <v>0</v>
      </c>
      <c r="Q186" s="21">
        <f>IF(A186="","",IF(P186&gt;0,P186,ROUND(M186*SuppliesPerHour,2)))</f>
        <v>0</v>
      </c>
      <c r="R186" s="21">
        <f>IF(A186="","",ROUND(IFERROR(INDEX(Jobs!$W$5:$W$604,MATCH(A186,Jobs!$A$5:$A$604,0)),0)*MileageRate,2))</f>
        <v>0</v>
      </c>
      <c r="T186" s="21">
        <f>IF(A186="","",O186+Q186+R186+IF(S186="",0,S186))</f>
        <v>0</v>
      </c>
      <c r="U186" s="21">
        <f>IF(A186="","",J186-T186)</f>
        <v>0</v>
      </c>
      <c r="V186" s="38">
        <f>IF(OR(A186="",J186=0),"",U186/J186)</f>
        <v>0</v>
      </c>
      <c r="W186" s="21">
        <f>IF(OR(A186="",M186=0,J186=0),"",U186/M186)</f>
        <v>0</v>
      </c>
      <c r="X186" s="34">
        <f>IF(OR(A186="",L186="",L186=0,K186=""),"",L186-K186)</f>
        <v>0</v>
      </c>
      <c r="Y186" s="31">
        <f>IF(A186="","",COUNTIFS($U$5:$U$604,"&gt;"&amp;U186)+COUNTIFS($U$5:U186,U186))</f>
        <v>0</v>
      </c>
      <c r="Z186" s="31">
        <f>IF(A186="","",COUNTIFS($W$5:$W$604,"&gt;"&amp;W186)+COUNTIFS($W$5:W186,W186))</f>
        <v>0</v>
      </c>
      <c r="AA186" s="39">
        <f>IF(A186="","",IF(J186=0,"",IF(U186&lt;0,"Loss - this job cost you money",IF(V186&lt;MarginFloor,"Below - margin under the floor",IF(V186&lt;TargetMargin,"Check - under target margin",IF(AND(X186&lt;&gt;"",X186&gt;0.5),"Check - ran over the estimate","OK"))))))</f>
        <v>0</v>
      </c>
    </row>
    <row r="187" spans="1:27">
      <c r="A187" s="43">
        <f>IF(IFERROR(INDEX(Jobs!$A$5:$A$604,ROW()-4),"")="","",IFERROR(INDEX(Jobs!$A$5:$A$604,ROW()-4),""))</f>
        <v>0</v>
      </c>
      <c r="B187" s="18">
        <f>IF(A187="","",IFERROR(INDEX(Jobs!$B$5:$B$604,MATCH(A187,Jobs!$A$5:$A$604,0)),""))</f>
        <v>0</v>
      </c>
      <c r="C187" s="23">
        <f>IF(B187="","",TEXT(B187,"yyyy-mm"))</f>
        <v>0</v>
      </c>
      <c r="D187" s="43">
        <f>IF(A187="","",IFERROR(INDEX(Jobs!$G$5:$G$604,MATCH(A187,Jobs!$A$5:$A$604,0)),""))</f>
        <v>0</v>
      </c>
      <c r="E187" s="23">
        <f>IF(A187="","",IFERROR(INDEX(Jobs!$H$5:$H$604,MATCH(A187,Jobs!$A$5:$A$604,0)),""))</f>
        <v>0</v>
      </c>
      <c r="F187" s="23">
        <f>IF(A187="","",IFERROR(INDEX(Jobs!$K$5:$K$604,MATCH(A187,Jobs!$A$5:$A$604,0)),""))</f>
        <v>0</v>
      </c>
      <c r="G187" s="23">
        <f>IF(A187="","",IFERROR(INDEX(Jobs!$M$5:$M$604,MATCH(A187,Jobs!$A$5:$A$604,0)),""))</f>
        <v>0</v>
      </c>
      <c r="H187" s="23">
        <f>IF(A187="","",IFERROR(INDEX(Jobs!$R$5:$R$604,MATCH(A187,Jobs!$A$5:$A$604,0)),""))</f>
        <v>0</v>
      </c>
      <c r="I187" s="39">
        <f>IF(A187="","",IFERROR(INDEX(Jobs!$P$5:$P$604,MATCH(A187,Jobs!$A$5:$A$604,0)),""))</f>
        <v>0</v>
      </c>
      <c r="J187" s="21">
        <f>IF(A187="","",IF(OR(I187="Completed",I187="Invoiced"),IFERROR(INDEX(Jobs!$AJ$5:$AJ$604,MATCH(A187,Jobs!$A$5:$A$604,0)),0),0))</f>
        <v>0</v>
      </c>
      <c r="K187" s="34">
        <f>IF(A187="","",IFERROR(INDEX(Jobs!$AD$5:$AD$604,MATCH(A187,Jobs!$A$5:$A$604,0)),0))</f>
        <v>0</v>
      </c>
      <c r="L187" s="34">
        <f>IF(A187="","",IFERROR(INDEX(Jobs!$AK$5:$AK$604,MATCH(A187,Jobs!$A$5:$A$604,0)),0))</f>
        <v>0</v>
      </c>
      <c r="M187" s="34">
        <f>IF(A187="","",IF(IFERROR(L187*1,0)&gt;0,L187,IFERROR(K187*1,0)))</f>
        <v>0</v>
      </c>
      <c r="N187" s="21">
        <f>IF(A187="","",SUMIFS(Timesheets!$X$5:$X$804,Timesheets!$G$5:$G$804,A187))</f>
        <v>0</v>
      </c>
      <c r="O187" s="21">
        <f>IF(A187="","",IF(N187&gt;0,N187,ROUND(M187*CostPerHour,2)))</f>
        <v>0</v>
      </c>
      <c r="P187" s="21">
        <f>IF(A187="","",SUMIFS('Supply Usage'!$L$5:$L$304,'Supply Usage'!$F$5:$F$304,A187))</f>
        <v>0</v>
      </c>
      <c r="Q187" s="21">
        <f>IF(A187="","",IF(P187&gt;0,P187,ROUND(M187*SuppliesPerHour,2)))</f>
        <v>0</v>
      </c>
      <c r="R187" s="21">
        <f>IF(A187="","",ROUND(IFERROR(INDEX(Jobs!$W$5:$W$604,MATCH(A187,Jobs!$A$5:$A$604,0)),0)*MileageRate,2))</f>
        <v>0</v>
      </c>
      <c r="T187" s="21">
        <f>IF(A187="","",O187+Q187+R187+IF(S187="",0,S187))</f>
        <v>0</v>
      </c>
      <c r="U187" s="21">
        <f>IF(A187="","",J187-T187)</f>
        <v>0</v>
      </c>
      <c r="V187" s="38">
        <f>IF(OR(A187="",J187=0),"",U187/J187)</f>
        <v>0</v>
      </c>
      <c r="W187" s="21">
        <f>IF(OR(A187="",M187=0,J187=0),"",U187/M187)</f>
        <v>0</v>
      </c>
      <c r="X187" s="34">
        <f>IF(OR(A187="",L187="",L187=0,K187=""),"",L187-K187)</f>
        <v>0</v>
      </c>
      <c r="Y187" s="31">
        <f>IF(A187="","",COUNTIFS($U$5:$U$604,"&gt;"&amp;U187)+COUNTIFS($U$5:U187,U187))</f>
        <v>0</v>
      </c>
      <c r="Z187" s="31">
        <f>IF(A187="","",COUNTIFS($W$5:$W$604,"&gt;"&amp;W187)+COUNTIFS($W$5:W187,W187))</f>
        <v>0</v>
      </c>
      <c r="AA187" s="39">
        <f>IF(A187="","",IF(J187=0,"",IF(U187&lt;0,"Loss - this job cost you money",IF(V187&lt;MarginFloor,"Below - margin under the floor",IF(V187&lt;TargetMargin,"Check - under target margin",IF(AND(X187&lt;&gt;"",X187&gt;0.5),"Check - ran over the estimate","OK"))))))</f>
        <v>0</v>
      </c>
    </row>
    <row r="188" spans="1:27">
      <c r="A188" s="43">
        <f>IF(IFERROR(INDEX(Jobs!$A$5:$A$604,ROW()-4),"")="","",IFERROR(INDEX(Jobs!$A$5:$A$604,ROW()-4),""))</f>
        <v>0</v>
      </c>
      <c r="B188" s="18">
        <f>IF(A188="","",IFERROR(INDEX(Jobs!$B$5:$B$604,MATCH(A188,Jobs!$A$5:$A$604,0)),""))</f>
        <v>0</v>
      </c>
      <c r="C188" s="23">
        <f>IF(B188="","",TEXT(B188,"yyyy-mm"))</f>
        <v>0</v>
      </c>
      <c r="D188" s="43">
        <f>IF(A188="","",IFERROR(INDEX(Jobs!$G$5:$G$604,MATCH(A188,Jobs!$A$5:$A$604,0)),""))</f>
        <v>0</v>
      </c>
      <c r="E188" s="23">
        <f>IF(A188="","",IFERROR(INDEX(Jobs!$H$5:$H$604,MATCH(A188,Jobs!$A$5:$A$604,0)),""))</f>
        <v>0</v>
      </c>
      <c r="F188" s="23">
        <f>IF(A188="","",IFERROR(INDEX(Jobs!$K$5:$K$604,MATCH(A188,Jobs!$A$5:$A$604,0)),""))</f>
        <v>0</v>
      </c>
      <c r="G188" s="23">
        <f>IF(A188="","",IFERROR(INDEX(Jobs!$M$5:$M$604,MATCH(A188,Jobs!$A$5:$A$604,0)),""))</f>
        <v>0</v>
      </c>
      <c r="H188" s="23">
        <f>IF(A188="","",IFERROR(INDEX(Jobs!$R$5:$R$604,MATCH(A188,Jobs!$A$5:$A$604,0)),""))</f>
        <v>0</v>
      </c>
      <c r="I188" s="39">
        <f>IF(A188="","",IFERROR(INDEX(Jobs!$P$5:$P$604,MATCH(A188,Jobs!$A$5:$A$604,0)),""))</f>
        <v>0</v>
      </c>
      <c r="J188" s="21">
        <f>IF(A188="","",IF(OR(I188="Completed",I188="Invoiced"),IFERROR(INDEX(Jobs!$AJ$5:$AJ$604,MATCH(A188,Jobs!$A$5:$A$604,0)),0),0))</f>
        <v>0</v>
      </c>
      <c r="K188" s="34">
        <f>IF(A188="","",IFERROR(INDEX(Jobs!$AD$5:$AD$604,MATCH(A188,Jobs!$A$5:$A$604,0)),0))</f>
        <v>0</v>
      </c>
      <c r="L188" s="34">
        <f>IF(A188="","",IFERROR(INDEX(Jobs!$AK$5:$AK$604,MATCH(A188,Jobs!$A$5:$A$604,0)),0))</f>
        <v>0</v>
      </c>
      <c r="M188" s="34">
        <f>IF(A188="","",IF(IFERROR(L188*1,0)&gt;0,L188,IFERROR(K188*1,0)))</f>
        <v>0</v>
      </c>
      <c r="N188" s="21">
        <f>IF(A188="","",SUMIFS(Timesheets!$X$5:$X$804,Timesheets!$G$5:$G$804,A188))</f>
        <v>0</v>
      </c>
      <c r="O188" s="21">
        <f>IF(A188="","",IF(N188&gt;0,N188,ROUND(M188*CostPerHour,2)))</f>
        <v>0</v>
      </c>
      <c r="P188" s="21">
        <f>IF(A188="","",SUMIFS('Supply Usage'!$L$5:$L$304,'Supply Usage'!$F$5:$F$304,A188))</f>
        <v>0</v>
      </c>
      <c r="Q188" s="21">
        <f>IF(A188="","",IF(P188&gt;0,P188,ROUND(M188*SuppliesPerHour,2)))</f>
        <v>0</v>
      </c>
      <c r="R188" s="21">
        <f>IF(A188="","",ROUND(IFERROR(INDEX(Jobs!$W$5:$W$604,MATCH(A188,Jobs!$A$5:$A$604,0)),0)*MileageRate,2))</f>
        <v>0</v>
      </c>
      <c r="T188" s="21">
        <f>IF(A188="","",O188+Q188+R188+IF(S188="",0,S188))</f>
        <v>0</v>
      </c>
      <c r="U188" s="21">
        <f>IF(A188="","",J188-T188)</f>
        <v>0</v>
      </c>
      <c r="V188" s="38">
        <f>IF(OR(A188="",J188=0),"",U188/J188)</f>
        <v>0</v>
      </c>
      <c r="W188" s="21">
        <f>IF(OR(A188="",M188=0,J188=0),"",U188/M188)</f>
        <v>0</v>
      </c>
      <c r="X188" s="34">
        <f>IF(OR(A188="",L188="",L188=0,K188=""),"",L188-K188)</f>
        <v>0</v>
      </c>
      <c r="Y188" s="31">
        <f>IF(A188="","",COUNTIFS($U$5:$U$604,"&gt;"&amp;U188)+COUNTIFS($U$5:U188,U188))</f>
        <v>0</v>
      </c>
      <c r="Z188" s="31">
        <f>IF(A188="","",COUNTIFS($W$5:$W$604,"&gt;"&amp;W188)+COUNTIFS($W$5:W188,W188))</f>
        <v>0</v>
      </c>
      <c r="AA188" s="39">
        <f>IF(A188="","",IF(J188=0,"",IF(U188&lt;0,"Loss - this job cost you money",IF(V188&lt;MarginFloor,"Below - margin under the floor",IF(V188&lt;TargetMargin,"Check - under target margin",IF(AND(X188&lt;&gt;"",X188&gt;0.5),"Check - ran over the estimate","OK"))))))</f>
        <v>0</v>
      </c>
    </row>
    <row r="189" spans="1:27">
      <c r="A189" s="43">
        <f>IF(IFERROR(INDEX(Jobs!$A$5:$A$604,ROW()-4),"")="","",IFERROR(INDEX(Jobs!$A$5:$A$604,ROW()-4),""))</f>
        <v>0</v>
      </c>
      <c r="B189" s="18">
        <f>IF(A189="","",IFERROR(INDEX(Jobs!$B$5:$B$604,MATCH(A189,Jobs!$A$5:$A$604,0)),""))</f>
        <v>0</v>
      </c>
      <c r="C189" s="23">
        <f>IF(B189="","",TEXT(B189,"yyyy-mm"))</f>
        <v>0</v>
      </c>
      <c r="D189" s="43">
        <f>IF(A189="","",IFERROR(INDEX(Jobs!$G$5:$G$604,MATCH(A189,Jobs!$A$5:$A$604,0)),""))</f>
        <v>0</v>
      </c>
      <c r="E189" s="23">
        <f>IF(A189="","",IFERROR(INDEX(Jobs!$H$5:$H$604,MATCH(A189,Jobs!$A$5:$A$604,0)),""))</f>
        <v>0</v>
      </c>
      <c r="F189" s="23">
        <f>IF(A189="","",IFERROR(INDEX(Jobs!$K$5:$K$604,MATCH(A189,Jobs!$A$5:$A$604,0)),""))</f>
        <v>0</v>
      </c>
      <c r="G189" s="23">
        <f>IF(A189="","",IFERROR(INDEX(Jobs!$M$5:$M$604,MATCH(A189,Jobs!$A$5:$A$604,0)),""))</f>
        <v>0</v>
      </c>
      <c r="H189" s="23">
        <f>IF(A189="","",IFERROR(INDEX(Jobs!$R$5:$R$604,MATCH(A189,Jobs!$A$5:$A$604,0)),""))</f>
        <v>0</v>
      </c>
      <c r="I189" s="39">
        <f>IF(A189="","",IFERROR(INDEX(Jobs!$P$5:$P$604,MATCH(A189,Jobs!$A$5:$A$604,0)),""))</f>
        <v>0</v>
      </c>
      <c r="J189" s="21">
        <f>IF(A189="","",IF(OR(I189="Completed",I189="Invoiced"),IFERROR(INDEX(Jobs!$AJ$5:$AJ$604,MATCH(A189,Jobs!$A$5:$A$604,0)),0),0))</f>
        <v>0</v>
      </c>
      <c r="K189" s="34">
        <f>IF(A189="","",IFERROR(INDEX(Jobs!$AD$5:$AD$604,MATCH(A189,Jobs!$A$5:$A$604,0)),0))</f>
        <v>0</v>
      </c>
      <c r="L189" s="34">
        <f>IF(A189="","",IFERROR(INDEX(Jobs!$AK$5:$AK$604,MATCH(A189,Jobs!$A$5:$A$604,0)),0))</f>
        <v>0</v>
      </c>
      <c r="M189" s="34">
        <f>IF(A189="","",IF(IFERROR(L189*1,0)&gt;0,L189,IFERROR(K189*1,0)))</f>
        <v>0</v>
      </c>
      <c r="N189" s="21">
        <f>IF(A189="","",SUMIFS(Timesheets!$X$5:$X$804,Timesheets!$G$5:$G$804,A189))</f>
        <v>0</v>
      </c>
      <c r="O189" s="21">
        <f>IF(A189="","",IF(N189&gt;0,N189,ROUND(M189*CostPerHour,2)))</f>
        <v>0</v>
      </c>
      <c r="P189" s="21">
        <f>IF(A189="","",SUMIFS('Supply Usage'!$L$5:$L$304,'Supply Usage'!$F$5:$F$304,A189))</f>
        <v>0</v>
      </c>
      <c r="Q189" s="21">
        <f>IF(A189="","",IF(P189&gt;0,P189,ROUND(M189*SuppliesPerHour,2)))</f>
        <v>0</v>
      </c>
      <c r="R189" s="21">
        <f>IF(A189="","",ROUND(IFERROR(INDEX(Jobs!$W$5:$W$604,MATCH(A189,Jobs!$A$5:$A$604,0)),0)*MileageRate,2))</f>
        <v>0</v>
      </c>
      <c r="T189" s="21">
        <f>IF(A189="","",O189+Q189+R189+IF(S189="",0,S189))</f>
        <v>0</v>
      </c>
      <c r="U189" s="21">
        <f>IF(A189="","",J189-T189)</f>
        <v>0</v>
      </c>
      <c r="V189" s="38">
        <f>IF(OR(A189="",J189=0),"",U189/J189)</f>
        <v>0</v>
      </c>
      <c r="W189" s="21">
        <f>IF(OR(A189="",M189=0,J189=0),"",U189/M189)</f>
        <v>0</v>
      </c>
      <c r="X189" s="34">
        <f>IF(OR(A189="",L189="",L189=0,K189=""),"",L189-K189)</f>
        <v>0</v>
      </c>
      <c r="Y189" s="31">
        <f>IF(A189="","",COUNTIFS($U$5:$U$604,"&gt;"&amp;U189)+COUNTIFS($U$5:U189,U189))</f>
        <v>0</v>
      </c>
      <c r="Z189" s="31">
        <f>IF(A189="","",COUNTIFS($W$5:$W$604,"&gt;"&amp;W189)+COUNTIFS($W$5:W189,W189))</f>
        <v>0</v>
      </c>
      <c r="AA189" s="39">
        <f>IF(A189="","",IF(J189=0,"",IF(U189&lt;0,"Loss - this job cost you money",IF(V189&lt;MarginFloor,"Below - margin under the floor",IF(V189&lt;TargetMargin,"Check - under target margin",IF(AND(X189&lt;&gt;"",X189&gt;0.5),"Check - ran over the estimate","OK"))))))</f>
        <v>0</v>
      </c>
    </row>
    <row r="190" spans="1:27">
      <c r="A190" s="43">
        <f>IF(IFERROR(INDEX(Jobs!$A$5:$A$604,ROW()-4),"")="","",IFERROR(INDEX(Jobs!$A$5:$A$604,ROW()-4),""))</f>
        <v>0</v>
      </c>
      <c r="B190" s="18">
        <f>IF(A190="","",IFERROR(INDEX(Jobs!$B$5:$B$604,MATCH(A190,Jobs!$A$5:$A$604,0)),""))</f>
        <v>0</v>
      </c>
      <c r="C190" s="23">
        <f>IF(B190="","",TEXT(B190,"yyyy-mm"))</f>
        <v>0</v>
      </c>
      <c r="D190" s="43">
        <f>IF(A190="","",IFERROR(INDEX(Jobs!$G$5:$G$604,MATCH(A190,Jobs!$A$5:$A$604,0)),""))</f>
        <v>0</v>
      </c>
      <c r="E190" s="23">
        <f>IF(A190="","",IFERROR(INDEX(Jobs!$H$5:$H$604,MATCH(A190,Jobs!$A$5:$A$604,0)),""))</f>
        <v>0</v>
      </c>
      <c r="F190" s="23">
        <f>IF(A190="","",IFERROR(INDEX(Jobs!$K$5:$K$604,MATCH(A190,Jobs!$A$5:$A$604,0)),""))</f>
        <v>0</v>
      </c>
      <c r="G190" s="23">
        <f>IF(A190="","",IFERROR(INDEX(Jobs!$M$5:$M$604,MATCH(A190,Jobs!$A$5:$A$604,0)),""))</f>
        <v>0</v>
      </c>
      <c r="H190" s="23">
        <f>IF(A190="","",IFERROR(INDEX(Jobs!$R$5:$R$604,MATCH(A190,Jobs!$A$5:$A$604,0)),""))</f>
        <v>0</v>
      </c>
      <c r="I190" s="39">
        <f>IF(A190="","",IFERROR(INDEX(Jobs!$P$5:$P$604,MATCH(A190,Jobs!$A$5:$A$604,0)),""))</f>
        <v>0</v>
      </c>
      <c r="J190" s="21">
        <f>IF(A190="","",IF(OR(I190="Completed",I190="Invoiced"),IFERROR(INDEX(Jobs!$AJ$5:$AJ$604,MATCH(A190,Jobs!$A$5:$A$604,0)),0),0))</f>
        <v>0</v>
      </c>
      <c r="K190" s="34">
        <f>IF(A190="","",IFERROR(INDEX(Jobs!$AD$5:$AD$604,MATCH(A190,Jobs!$A$5:$A$604,0)),0))</f>
        <v>0</v>
      </c>
      <c r="L190" s="34">
        <f>IF(A190="","",IFERROR(INDEX(Jobs!$AK$5:$AK$604,MATCH(A190,Jobs!$A$5:$A$604,0)),0))</f>
        <v>0</v>
      </c>
      <c r="M190" s="34">
        <f>IF(A190="","",IF(IFERROR(L190*1,0)&gt;0,L190,IFERROR(K190*1,0)))</f>
        <v>0</v>
      </c>
      <c r="N190" s="21">
        <f>IF(A190="","",SUMIFS(Timesheets!$X$5:$X$804,Timesheets!$G$5:$G$804,A190))</f>
        <v>0</v>
      </c>
      <c r="O190" s="21">
        <f>IF(A190="","",IF(N190&gt;0,N190,ROUND(M190*CostPerHour,2)))</f>
        <v>0</v>
      </c>
      <c r="P190" s="21">
        <f>IF(A190="","",SUMIFS('Supply Usage'!$L$5:$L$304,'Supply Usage'!$F$5:$F$304,A190))</f>
        <v>0</v>
      </c>
      <c r="Q190" s="21">
        <f>IF(A190="","",IF(P190&gt;0,P190,ROUND(M190*SuppliesPerHour,2)))</f>
        <v>0</v>
      </c>
      <c r="R190" s="21">
        <f>IF(A190="","",ROUND(IFERROR(INDEX(Jobs!$W$5:$W$604,MATCH(A190,Jobs!$A$5:$A$604,0)),0)*MileageRate,2))</f>
        <v>0</v>
      </c>
      <c r="T190" s="21">
        <f>IF(A190="","",O190+Q190+R190+IF(S190="",0,S190))</f>
        <v>0</v>
      </c>
      <c r="U190" s="21">
        <f>IF(A190="","",J190-T190)</f>
        <v>0</v>
      </c>
      <c r="V190" s="38">
        <f>IF(OR(A190="",J190=0),"",U190/J190)</f>
        <v>0</v>
      </c>
      <c r="W190" s="21">
        <f>IF(OR(A190="",M190=0,J190=0),"",U190/M190)</f>
        <v>0</v>
      </c>
      <c r="X190" s="34">
        <f>IF(OR(A190="",L190="",L190=0,K190=""),"",L190-K190)</f>
        <v>0</v>
      </c>
      <c r="Y190" s="31">
        <f>IF(A190="","",COUNTIFS($U$5:$U$604,"&gt;"&amp;U190)+COUNTIFS($U$5:U190,U190))</f>
        <v>0</v>
      </c>
      <c r="Z190" s="31">
        <f>IF(A190="","",COUNTIFS($W$5:$W$604,"&gt;"&amp;W190)+COUNTIFS($W$5:W190,W190))</f>
        <v>0</v>
      </c>
      <c r="AA190" s="39">
        <f>IF(A190="","",IF(J190=0,"",IF(U190&lt;0,"Loss - this job cost you money",IF(V190&lt;MarginFloor,"Below - margin under the floor",IF(V190&lt;TargetMargin,"Check - under target margin",IF(AND(X190&lt;&gt;"",X190&gt;0.5),"Check - ran over the estimate","OK"))))))</f>
        <v>0</v>
      </c>
    </row>
    <row r="191" spans="1:27">
      <c r="A191" s="43">
        <f>IF(IFERROR(INDEX(Jobs!$A$5:$A$604,ROW()-4),"")="","",IFERROR(INDEX(Jobs!$A$5:$A$604,ROW()-4),""))</f>
        <v>0</v>
      </c>
      <c r="B191" s="18">
        <f>IF(A191="","",IFERROR(INDEX(Jobs!$B$5:$B$604,MATCH(A191,Jobs!$A$5:$A$604,0)),""))</f>
        <v>0</v>
      </c>
      <c r="C191" s="23">
        <f>IF(B191="","",TEXT(B191,"yyyy-mm"))</f>
        <v>0</v>
      </c>
      <c r="D191" s="43">
        <f>IF(A191="","",IFERROR(INDEX(Jobs!$G$5:$G$604,MATCH(A191,Jobs!$A$5:$A$604,0)),""))</f>
        <v>0</v>
      </c>
      <c r="E191" s="23">
        <f>IF(A191="","",IFERROR(INDEX(Jobs!$H$5:$H$604,MATCH(A191,Jobs!$A$5:$A$604,0)),""))</f>
        <v>0</v>
      </c>
      <c r="F191" s="23">
        <f>IF(A191="","",IFERROR(INDEX(Jobs!$K$5:$K$604,MATCH(A191,Jobs!$A$5:$A$604,0)),""))</f>
        <v>0</v>
      </c>
      <c r="G191" s="23">
        <f>IF(A191="","",IFERROR(INDEX(Jobs!$M$5:$M$604,MATCH(A191,Jobs!$A$5:$A$604,0)),""))</f>
        <v>0</v>
      </c>
      <c r="H191" s="23">
        <f>IF(A191="","",IFERROR(INDEX(Jobs!$R$5:$R$604,MATCH(A191,Jobs!$A$5:$A$604,0)),""))</f>
        <v>0</v>
      </c>
      <c r="I191" s="39">
        <f>IF(A191="","",IFERROR(INDEX(Jobs!$P$5:$P$604,MATCH(A191,Jobs!$A$5:$A$604,0)),""))</f>
        <v>0</v>
      </c>
      <c r="J191" s="21">
        <f>IF(A191="","",IF(OR(I191="Completed",I191="Invoiced"),IFERROR(INDEX(Jobs!$AJ$5:$AJ$604,MATCH(A191,Jobs!$A$5:$A$604,0)),0),0))</f>
        <v>0</v>
      </c>
      <c r="K191" s="34">
        <f>IF(A191="","",IFERROR(INDEX(Jobs!$AD$5:$AD$604,MATCH(A191,Jobs!$A$5:$A$604,0)),0))</f>
        <v>0</v>
      </c>
      <c r="L191" s="34">
        <f>IF(A191="","",IFERROR(INDEX(Jobs!$AK$5:$AK$604,MATCH(A191,Jobs!$A$5:$A$604,0)),0))</f>
        <v>0</v>
      </c>
      <c r="M191" s="34">
        <f>IF(A191="","",IF(IFERROR(L191*1,0)&gt;0,L191,IFERROR(K191*1,0)))</f>
        <v>0</v>
      </c>
      <c r="N191" s="21">
        <f>IF(A191="","",SUMIFS(Timesheets!$X$5:$X$804,Timesheets!$G$5:$G$804,A191))</f>
        <v>0</v>
      </c>
      <c r="O191" s="21">
        <f>IF(A191="","",IF(N191&gt;0,N191,ROUND(M191*CostPerHour,2)))</f>
        <v>0</v>
      </c>
      <c r="P191" s="21">
        <f>IF(A191="","",SUMIFS('Supply Usage'!$L$5:$L$304,'Supply Usage'!$F$5:$F$304,A191))</f>
        <v>0</v>
      </c>
      <c r="Q191" s="21">
        <f>IF(A191="","",IF(P191&gt;0,P191,ROUND(M191*SuppliesPerHour,2)))</f>
        <v>0</v>
      </c>
      <c r="R191" s="21">
        <f>IF(A191="","",ROUND(IFERROR(INDEX(Jobs!$W$5:$W$604,MATCH(A191,Jobs!$A$5:$A$604,0)),0)*MileageRate,2))</f>
        <v>0</v>
      </c>
      <c r="T191" s="21">
        <f>IF(A191="","",O191+Q191+R191+IF(S191="",0,S191))</f>
        <v>0</v>
      </c>
      <c r="U191" s="21">
        <f>IF(A191="","",J191-T191)</f>
        <v>0</v>
      </c>
      <c r="V191" s="38">
        <f>IF(OR(A191="",J191=0),"",U191/J191)</f>
        <v>0</v>
      </c>
      <c r="W191" s="21">
        <f>IF(OR(A191="",M191=0,J191=0),"",U191/M191)</f>
        <v>0</v>
      </c>
      <c r="X191" s="34">
        <f>IF(OR(A191="",L191="",L191=0,K191=""),"",L191-K191)</f>
        <v>0</v>
      </c>
      <c r="Y191" s="31">
        <f>IF(A191="","",COUNTIFS($U$5:$U$604,"&gt;"&amp;U191)+COUNTIFS($U$5:U191,U191))</f>
        <v>0</v>
      </c>
      <c r="Z191" s="31">
        <f>IF(A191="","",COUNTIFS($W$5:$W$604,"&gt;"&amp;W191)+COUNTIFS($W$5:W191,W191))</f>
        <v>0</v>
      </c>
      <c r="AA191" s="39">
        <f>IF(A191="","",IF(J191=0,"",IF(U191&lt;0,"Loss - this job cost you money",IF(V191&lt;MarginFloor,"Below - margin under the floor",IF(V191&lt;TargetMargin,"Check - under target margin",IF(AND(X191&lt;&gt;"",X191&gt;0.5),"Check - ran over the estimate","OK"))))))</f>
        <v>0</v>
      </c>
    </row>
    <row r="192" spans="1:27">
      <c r="A192" s="43">
        <f>IF(IFERROR(INDEX(Jobs!$A$5:$A$604,ROW()-4),"")="","",IFERROR(INDEX(Jobs!$A$5:$A$604,ROW()-4),""))</f>
        <v>0</v>
      </c>
      <c r="B192" s="18">
        <f>IF(A192="","",IFERROR(INDEX(Jobs!$B$5:$B$604,MATCH(A192,Jobs!$A$5:$A$604,0)),""))</f>
        <v>0</v>
      </c>
      <c r="C192" s="23">
        <f>IF(B192="","",TEXT(B192,"yyyy-mm"))</f>
        <v>0</v>
      </c>
      <c r="D192" s="43">
        <f>IF(A192="","",IFERROR(INDEX(Jobs!$G$5:$G$604,MATCH(A192,Jobs!$A$5:$A$604,0)),""))</f>
        <v>0</v>
      </c>
      <c r="E192" s="23">
        <f>IF(A192="","",IFERROR(INDEX(Jobs!$H$5:$H$604,MATCH(A192,Jobs!$A$5:$A$604,0)),""))</f>
        <v>0</v>
      </c>
      <c r="F192" s="23">
        <f>IF(A192="","",IFERROR(INDEX(Jobs!$K$5:$K$604,MATCH(A192,Jobs!$A$5:$A$604,0)),""))</f>
        <v>0</v>
      </c>
      <c r="G192" s="23">
        <f>IF(A192="","",IFERROR(INDEX(Jobs!$M$5:$M$604,MATCH(A192,Jobs!$A$5:$A$604,0)),""))</f>
        <v>0</v>
      </c>
      <c r="H192" s="23">
        <f>IF(A192="","",IFERROR(INDEX(Jobs!$R$5:$R$604,MATCH(A192,Jobs!$A$5:$A$604,0)),""))</f>
        <v>0</v>
      </c>
      <c r="I192" s="39">
        <f>IF(A192="","",IFERROR(INDEX(Jobs!$P$5:$P$604,MATCH(A192,Jobs!$A$5:$A$604,0)),""))</f>
        <v>0</v>
      </c>
      <c r="J192" s="21">
        <f>IF(A192="","",IF(OR(I192="Completed",I192="Invoiced"),IFERROR(INDEX(Jobs!$AJ$5:$AJ$604,MATCH(A192,Jobs!$A$5:$A$604,0)),0),0))</f>
        <v>0</v>
      </c>
      <c r="K192" s="34">
        <f>IF(A192="","",IFERROR(INDEX(Jobs!$AD$5:$AD$604,MATCH(A192,Jobs!$A$5:$A$604,0)),0))</f>
        <v>0</v>
      </c>
      <c r="L192" s="34">
        <f>IF(A192="","",IFERROR(INDEX(Jobs!$AK$5:$AK$604,MATCH(A192,Jobs!$A$5:$A$604,0)),0))</f>
        <v>0</v>
      </c>
      <c r="M192" s="34">
        <f>IF(A192="","",IF(IFERROR(L192*1,0)&gt;0,L192,IFERROR(K192*1,0)))</f>
        <v>0</v>
      </c>
      <c r="N192" s="21">
        <f>IF(A192="","",SUMIFS(Timesheets!$X$5:$X$804,Timesheets!$G$5:$G$804,A192))</f>
        <v>0</v>
      </c>
      <c r="O192" s="21">
        <f>IF(A192="","",IF(N192&gt;0,N192,ROUND(M192*CostPerHour,2)))</f>
        <v>0</v>
      </c>
      <c r="P192" s="21">
        <f>IF(A192="","",SUMIFS('Supply Usage'!$L$5:$L$304,'Supply Usage'!$F$5:$F$304,A192))</f>
        <v>0</v>
      </c>
      <c r="Q192" s="21">
        <f>IF(A192="","",IF(P192&gt;0,P192,ROUND(M192*SuppliesPerHour,2)))</f>
        <v>0</v>
      </c>
      <c r="R192" s="21">
        <f>IF(A192="","",ROUND(IFERROR(INDEX(Jobs!$W$5:$W$604,MATCH(A192,Jobs!$A$5:$A$604,0)),0)*MileageRate,2))</f>
        <v>0</v>
      </c>
      <c r="T192" s="21">
        <f>IF(A192="","",O192+Q192+R192+IF(S192="",0,S192))</f>
        <v>0</v>
      </c>
      <c r="U192" s="21">
        <f>IF(A192="","",J192-T192)</f>
        <v>0</v>
      </c>
      <c r="V192" s="38">
        <f>IF(OR(A192="",J192=0),"",U192/J192)</f>
        <v>0</v>
      </c>
      <c r="W192" s="21">
        <f>IF(OR(A192="",M192=0,J192=0),"",U192/M192)</f>
        <v>0</v>
      </c>
      <c r="X192" s="34">
        <f>IF(OR(A192="",L192="",L192=0,K192=""),"",L192-K192)</f>
        <v>0</v>
      </c>
      <c r="Y192" s="31">
        <f>IF(A192="","",COUNTIFS($U$5:$U$604,"&gt;"&amp;U192)+COUNTIFS($U$5:U192,U192))</f>
        <v>0</v>
      </c>
      <c r="Z192" s="31">
        <f>IF(A192="","",COUNTIFS($W$5:$W$604,"&gt;"&amp;W192)+COUNTIFS($W$5:W192,W192))</f>
        <v>0</v>
      </c>
      <c r="AA192" s="39">
        <f>IF(A192="","",IF(J192=0,"",IF(U192&lt;0,"Loss - this job cost you money",IF(V192&lt;MarginFloor,"Below - margin under the floor",IF(V192&lt;TargetMargin,"Check - under target margin",IF(AND(X192&lt;&gt;"",X192&gt;0.5),"Check - ran over the estimate","OK"))))))</f>
        <v>0</v>
      </c>
    </row>
    <row r="193" spans="1:27">
      <c r="A193" s="43">
        <f>IF(IFERROR(INDEX(Jobs!$A$5:$A$604,ROW()-4),"")="","",IFERROR(INDEX(Jobs!$A$5:$A$604,ROW()-4),""))</f>
        <v>0</v>
      </c>
      <c r="B193" s="18">
        <f>IF(A193="","",IFERROR(INDEX(Jobs!$B$5:$B$604,MATCH(A193,Jobs!$A$5:$A$604,0)),""))</f>
        <v>0</v>
      </c>
      <c r="C193" s="23">
        <f>IF(B193="","",TEXT(B193,"yyyy-mm"))</f>
        <v>0</v>
      </c>
      <c r="D193" s="43">
        <f>IF(A193="","",IFERROR(INDEX(Jobs!$G$5:$G$604,MATCH(A193,Jobs!$A$5:$A$604,0)),""))</f>
        <v>0</v>
      </c>
      <c r="E193" s="23">
        <f>IF(A193="","",IFERROR(INDEX(Jobs!$H$5:$H$604,MATCH(A193,Jobs!$A$5:$A$604,0)),""))</f>
        <v>0</v>
      </c>
      <c r="F193" s="23">
        <f>IF(A193="","",IFERROR(INDEX(Jobs!$K$5:$K$604,MATCH(A193,Jobs!$A$5:$A$604,0)),""))</f>
        <v>0</v>
      </c>
      <c r="G193" s="23">
        <f>IF(A193="","",IFERROR(INDEX(Jobs!$M$5:$M$604,MATCH(A193,Jobs!$A$5:$A$604,0)),""))</f>
        <v>0</v>
      </c>
      <c r="H193" s="23">
        <f>IF(A193="","",IFERROR(INDEX(Jobs!$R$5:$R$604,MATCH(A193,Jobs!$A$5:$A$604,0)),""))</f>
        <v>0</v>
      </c>
      <c r="I193" s="39">
        <f>IF(A193="","",IFERROR(INDEX(Jobs!$P$5:$P$604,MATCH(A193,Jobs!$A$5:$A$604,0)),""))</f>
        <v>0</v>
      </c>
      <c r="J193" s="21">
        <f>IF(A193="","",IF(OR(I193="Completed",I193="Invoiced"),IFERROR(INDEX(Jobs!$AJ$5:$AJ$604,MATCH(A193,Jobs!$A$5:$A$604,0)),0),0))</f>
        <v>0</v>
      </c>
      <c r="K193" s="34">
        <f>IF(A193="","",IFERROR(INDEX(Jobs!$AD$5:$AD$604,MATCH(A193,Jobs!$A$5:$A$604,0)),0))</f>
        <v>0</v>
      </c>
      <c r="L193" s="34">
        <f>IF(A193="","",IFERROR(INDEX(Jobs!$AK$5:$AK$604,MATCH(A193,Jobs!$A$5:$A$604,0)),0))</f>
        <v>0</v>
      </c>
      <c r="M193" s="34">
        <f>IF(A193="","",IF(IFERROR(L193*1,0)&gt;0,L193,IFERROR(K193*1,0)))</f>
        <v>0</v>
      </c>
      <c r="N193" s="21">
        <f>IF(A193="","",SUMIFS(Timesheets!$X$5:$X$804,Timesheets!$G$5:$G$804,A193))</f>
        <v>0</v>
      </c>
      <c r="O193" s="21">
        <f>IF(A193="","",IF(N193&gt;0,N193,ROUND(M193*CostPerHour,2)))</f>
        <v>0</v>
      </c>
      <c r="P193" s="21">
        <f>IF(A193="","",SUMIFS('Supply Usage'!$L$5:$L$304,'Supply Usage'!$F$5:$F$304,A193))</f>
        <v>0</v>
      </c>
      <c r="Q193" s="21">
        <f>IF(A193="","",IF(P193&gt;0,P193,ROUND(M193*SuppliesPerHour,2)))</f>
        <v>0</v>
      </c>
      <c r="R193" s="21">
        <f>IF(A193="","",ROUND(IFERROR(INDEX(Jobs!$W$5:$W$604,MATCH(A193,Jobs!$A$5:$A$604,0)),0)*MileageRate,2))</f>
        <v>0</v>
      </c>
      <c r="T193" s="21">
        <f>IF(A193="","",O193+Q193+R193+IF(S193="",0,S193))</f>
        <v>0</v>
      </c>
      <c r="U193" s="21">
        <f>IF(A193="","",J193-T193)</f>
        <v>0</v>
      </c>
      <c r="V193" s="38">
        <f>IF(OR(A193="",J193=0),"",U193/J193)</f>
        <v>0</v>
      </c>
      <c r="W193" s="21">
        <f>IF(OR(A193="",M193=0,J193=0),"",U193/M193)</f>
        <v>0</v>
      </c>
      <c r="X193" s="34">
        <f>IF(OR(A193="",L193="",L193=0,K193=""),"",L193-K193)</f>
        <v>0</v>
      </c>
      <c r="Y193" s="31">
        <f>IF(A193="","",COUNTIFS($U$5:$U$604,"&gt;"&amp;U193)+COUNTIFS($U$5:U193,U193))</f>
        <v>0</v>
      </c>
      <c r="Z193" s="31">
        <f>IF(A193="","",COUNTIFS($W$5:$W$604,"&gt;"&amp;W193)+COUNTIFS($W$5:W193,W193))</f>
        <v>0</v>
      </c>
      <c r="AA193" s="39">
        <f>IF(A193="","",IF(J193=0,"",IF(U193&lt;0,"Loss - this job cost you money",IF(V193&lt;MarginFloor,"Below - margin under the floor",IF(V193&lt;TargetMargin,"Check - under target margin",IF(AND(X193&lt;&gt;"",X193&gt;0.5),"Check - ran over the estimate","OK"))))))</f>
        <v>0</v>
      </c>
    </row>
    <row r="194" spans="1:27">
      <c r="A194" s="43">
        <f>IF(IFERROR(INDEX(Jobs!$A$5:$A$604,ROW()-4),"")="","",IFERROR(INDEX(Jobs!$A$5:$A$604,ROW()-4),""))</f>
        <v>0</v>
      </c>
      <c r="B194" s="18">
        <f>IF(A194="","",IFERROR(INDEX(Jobs!$B$5:$B$604,MATCH(A194,Jobs!$A$5:$A$604,0)),""))</f>
        <v>0</v>
      </c>
      <c r="C194" s="23">
        <f>IF(B194="","",TEXT(B194,"yyyy-mm"))</f>
        <v>0</v>
      </c>
      <c r="D194" s="43">
        <f>IF(A194="","",IFERROR(INDEX(Jobs!$G$5:$G$604,MATCH(A194,Jobs!$A$5:$A$604,0)),""))</f>
        <v>0</v>
      </c>
      <c r="E194" s="23">
        <f>IF(A194="","",IFERROR(INDEX(Jobs!$H$5:$H$604,MATCH(A194,Jobs!$A$5:$A$604,0)),""))</f>
        <v>0</v>
      </c>
      <c r="F194" s="23">
        <f>IF(A194="","",IFERROR(INDEX(Jobs!$K$5:$K$604,MATCH(A194,Jobs!$A$5:$A$604,0)),""))</f>
        <v>0</v>
      </c>
      <c r="G194" s="23">
        <f>IF(A194="","",IFERROR(INDEX(Jobs!$M$5:$M$604,MATCH(A194,Jobs!$A$5:$A$604,0)),""))</f>
        <v>0</v>
      </c>
      <c r="H194" s="23">
        <f>IF(A194="","",IFERROR(INDEX(Jobs!$R$5:$R$604,MATCH(A194,Jobs!$A$5:$A$604,0)),""))</f>
        <v>0</v>
      </c>
      <c r="I194" s="39">
        <f>IF(A194="","",IFERROR(INDEX(Jobs!$P$5:$P$604,MATCH(A194,Jobs!$A$5:$A$604,0)),""))</f>
        <v>0</v>
      </c>
      <c r="J194" s="21">
        <f>IF(A194="","",IF(OR(I194="Completed",I194="Invoiced"),IFERROR(INDEX(Jobs!$AJ$5:$AJ$604,MATCH(A194,Jobs!$A$5:$A$604,0)),0),0))</f>
        <v>0</v>
      </c>
      <c r="K194" s="34">
        <f>IF(A194="","",IFERROR(INDEX(Jobs!$AD$5:$AD$604,MATCH(A194,Jobs!$A$5:$A$604,0)),0))</f>
        <v>0</v>
      </c>
      <c r="L194" s="34">
        <f>IF(A194="","",IFERROR(INDEX(Jobs!$AK$5:$AK$604,MATCH(A194,Jobs!$A$5:$A$604,0)),0))</f>
        <v>0</v>
      </c>
      <c r="M194" s="34">
        <f>IF(A194="","",IF(IFERROR(L194*1,0)&gt;0,L194,IFERROR(K194*1,0)))</f>
        <v>0</v>
      </c>
      <c r="N194" s="21">
        <f>IF(A194="","",SUMIFS(Timesheets!$X$5:$X$804,Timesheets!$G$5:$G$804,A194))</f>
        <v>0</v>
      </c>
      <c r="O194" s="21">
        <f>IF(A194="","",IF(N194&gt;0,N194,ROUND(M194*CostPerHour,2)))</f>
        <v>0</v>
      </c>
      <c r="P194" s="21">
        <f>IF(A194="","",SUMIFS('Supply Usage'!$L$5:$L$304,'Supply Usage'!$F$5:$F$304,A194))</f>
        <v>0</v>
      </c>
      <c r="Q194" s="21">
        <f>IF(A194="","",IF(P194&gt;0,P194,ROUND(M194*SuppliesPerHour,2)))</f>
        <v>0</v>
      </c>
      <c r="R194" s="21">
        <f>IF(A194="","",ROUND(IFERROR(INDEX(Jobs!$W$5:$W$604,MATCH(A194,Jobs!$A$5:$A$604,0)),0)*MileageRate,2))</f>
        <v>0</v>
      </c>
      <c r="T194" s="21">
        <f>IF(A194="","",O194+Q194+R194+IF(S194="",0,S194))</f>
        <v>0</v>
      </c>
      <c r="U194" s="21">
        <f>IF(A194="","",J194-T194)</f>
        <v>0</v>
      </c>
      <c r="V194" s="38">
        <f>IF(OR(A194="",J194=0),"",U194/J194)</f>
        <v>0</v>
      </c>
      <c r="W194" s="21">
        <f>IF(OR(A194="",M194=0,J194=0),"",U194/M194)</f>
        <v>0</v>
      </c>
      <c r="X194" s="34">
        <f>IF(OR(A194="",L194="",L194=0,K194=""),"",L194-K194)</f>
        <v>0</v>
      </c>
      <c r="Y194" s="31">
        <f>IF(A194="","",COUNTIFS($U$5:$U$604,"&gt;"&amp;U194)+COUNTIFS($U$5:U194,U194))</f>
        <v>0</v>
      </c>
      <c r="Z194" s="31">
        <f>IF(A194="","",COUNTIFS($W$5:$W$604,"&gt;"&amp;W194)+COUNTIFS($W$5:W194,W194))</f>
        <v>0</v>
      </c>
      <c r="AA194" s="39">
        <f>IF(A194="","",IF(J194=0,"",IF(U194&lt;0,"Loss - this job cost you money",IF(V194&lt;MarginFloor,"Below - margin under the floor",IF(V194&lt;TargetMargin,"Check - under target margin",IF(AND(X194&lt;&gt;"",X194&gt;0.5),"Check - ran over the estimate","OK"))))))</f>
        <v>0</v>
      </c>
    </row>
    <row r="195" spans="1:27">
      <c r="A195" s="43">
        <f>IF(IFERROR(INDEX(Jobs!$A$5:$A$604,ROW()-4),"")="","",IFERROR(INDEX(Jobs!$A$5:$A$604,ROW()-4),""))</f>
        <v>0</v>
      </c>
      <c r="B195" s="18">
        <f>IF(A195="","",IFERROR(INDEX(Jobs!$B$5:$B$604,MATCH(A195,Jobs!$A$5:$A$604,0)),""))</f>
        <v>0</v>
      </c>
      <c r="C195" s="23">
        <f>IF(B195="","",TEXT(B195,"yyyy-mm"))</f>
        <v>0</v>
      </c>
      <c r="D195" s="43">
        <f>IF(A195="","",IFERROR(INDEX(Jobs!$G$5:$G$604,MATCH(A195,Jobs!$A$5:$A$604,0)),""))</f>
        <v>0</v>
      </c>
      <c r="E195" s="23">
        <f>IF(A195="","",IFERROR(INDEX(Jobs!$H$5:$H$604,MATCH(A195,Jobs!$A$5:$A$604,0)),""))</f>
        <v>0</v>
      </c>
      <c r="F195" s="23">
        <f>IF(A195="","",IFERROR(INDEX(Jobs!$K$5:$K$604,MATCH(A195,Jobs!$A$5:$A$604,0)),""))</f>
        <v>0</v>
      </c>
      <c r="G195" s="23">
        <f>IF(A195="","",IFERROR(INDEX(Jobs!$M$5:$M$604,MATCH(A195,Jobs!$A$5:$A$604,0)),""))</f>
        <v>0</v>
      </c>
      <c r="H195" s="23">
        <f>IF(A195="","",IFERROR(INDEX(Jobs!$R$5:$R$604,MATCH(A195,Jobs!$A$5:$A$604,0)),""))</f>
        <v>0</v>
      </c>
      <c r="I195" s="39">
        <f>IF(A195="","",IFERROR(INDEX(Jobs!$P$5:$P$604,MATCH(A195,Jobs!$A$5:$A$604,0)),""))</f>
        <v>0</v>
      </c>
      <c r="J195" s="21">
        <f>IF(A195="","",IF(OR(I195="Completed",I195="Invoiced"),IFERROR(INDEX(Jobs!$AJ$5:$AJ$604,MATCH(A195,Jobs!$A$5:$A$604,0)),0),0))</f>
        <v>0</v>
      </c>
      <c r="K195" s="34">
        <f>IF(A195="","",IFERROR(INDEX(Jobs!$AD$5:$AD$604,MATCH(A195,Jobs!$A$5:$A$604,0)),0))</f>
        <v>0</v>
      </c>
      <c r="L195" s="34">
        <f>IF(A195="","",IFERROR(INDEX(Jobs!$AK$5:$AK$604,MATCH(A195,Jobs!$A$5:$A$604,0)),0))</f>
        <v>0</v>
      </c>
      <c r="M195" s="34">
        <f>IF(A195="","",IF(IFERROR(L195*1,0)&gt;0,L195,IFERROR(K195*1,0)))</f>
        <v>0</v>
      </c>
      <c r="N195" s="21">
        <f>IF(A195="","",SUMIFS(Timesheets!$X$5:$X$804,Timesheets!$G$5:$G$804,A195))</f>
        <v>0</v>
      </c>
      <c r="O195" s="21">
        <f>IF(A195="","",IF(N195&gt;0,N195,ROUND(M195*CostPerHour,2)))</f>
        <v>0</v>
      </c>
      <c r="P195" s="21">
        <f>IF(A195="","",SUMIFS('Supply Usage'!$L$5:$L$304,'Supply Usage'!$F$5:$F$304,A195))</f>
        <v>0</v>
      </c>
      <c r="Q195" s="21">
        <f>IF(A195="","",IF(P195&gt;0,P195,ROUND(M195*SuppliesPerHour,2)))</f>
        <v>0</v>
      </c>
      <c r="R195" s="21">
        <f>IF(A195="","",ROUND(IFERROR(INDEX(Jobs!$W$5:$W$604,MATCH(A195,Jobs!$A$5:$A$604,0)),0)*MileageRate,2))</f>
        <v>0</v>
      </c>
      <c r="T195" s="21">
        <f>IF(A195="","",O195+Q195+R195+IF(S195="",0,S195))</f>
        <v>0</v>
      </c>
      <c r="U195" s="21">
        <f>IF(A195="","",J195-T195)</f>
        <v>0</v>
      </c>
      <c r="V195" s="38">
        <f>IF(OR(A195="",J195=0),"",U195/J195)</f>
        <v>0</v>
      </c>
      <c r="W195" s="21">
        <f>IF(OR(A195="",M195=0,J195=0),"",U195/M195)</f>
        <v>0</v>
      </c>
      <c r="X195" s="34">
        <f>IF(OR(A195="",L195="",L195=0,K195=""),"",L195-K195)</f>
        <v>0</v>
      </c>
      <c r="Y195" s="31">
        <f>IF(A195="","",COUNTIFS($U$5:$U$604,"&gt;"&amp;U195)+COUNTIFS($U$5:U195,U195))</f>
        <v>0</v>
      </c>
      <c r="Z195" s="31">
        <f>IF(A195="","",COUNTIFS($W$5:$W$604,"&gt;"&amp;W195)+COUNTIFS($W$5:W195,W195))</f>
        <v>0</v>
      </c>
      <c r="AA195" s="39">
        <f>IF(A195="","",IF(J195=0,"",IF(U195&lt;0,"Loss - this job cost you money",IF(V195&lt;MarginFloor,"Below - margin under the floor",IF(V195&lt;TargetMargin,"Check - under target margin",IF(AND(X195&lt;&gt;"",X195&gt;0.5),"Check - ran over the estimate","OK"))))))</f>
        <v>0</v>
      </c>
    </row>
    <row r="196" spans="1:27">
      <c r="A196" s="43">
        <f>IF(IFERROR(INDEX(Jobs!$A$5:$A$604,ROW()-4),"")="","",IFERROR(INDEX(Jobs!$A$5:$A$604,ROW()-4),""))</f>
        <v>0</v>
      </c>
      <c r="B196" s="18">
        <f>IF(A196="","",IFERROR(INDEX(Jobs!$B$5:$B$604,MATCH(A196,Jobs!$A$5:$A$604,0)),""))</f>
        <v>0</v>
      </c>
      <c r="C196" s="23">
        <f>IF(B196="","",TEXT(B196,"yyyy-mm"))</f>
        <v>0</v>
      </c>
      <c r="D196" s="43">
        <f>IF(A196="","",IFERROR(INDEX(Jobs!$G$5:$G$604,MATCH(A196,Jobs!$A$5:$A$604,0)),""))</f>
        <v>0</v>
      </c>
      <c r="E196" s="23">
        <f>IF(A196="","",IFERROR(INDEX(Jobs!$H$5:$H$604,MATCH(A196,Jobs!$A$5:$A$604,0)),""))</f>
        <v>0</v>
      </c>
      <c r="F196" s="23">
        <f>IF(A196="","",IFERROR(INDEX(Jobs!$K$5:$K$604,MATCH(A196,Jobs!$A$5:$A$604,0)),""))</f>
        <v>0</v>
      </c>
      <c r="G196" s="23">
        <f>IF(A196="","",IFERROR(INDEX(Jobs!$M$5:$M$604,MATCH(A196,Jobs!$A$5:$A$604,0)),""))</f>
        <v>0</v>
      </c>
      <c r="H196" s="23">
        <f>IF(A196="","",IFERROR(INDEX(Jobs!$R$5:$R$604,MATCH(A196,Jobs!$A$5:$A$604,0)),""))</f>
        <v>0</v>
      </c>
      <c r="I196" s="39">
        <f>IF(A196="","",IFERROR(INDEX(Jobs!$P$5:$P$604,MATCH(A196,Jobs!$A$5:$A$604,0)),""))</f>
        <v>0</v>
      </c>
      <c r="J196" s="21">
        <f>IF(A196="","",IF(OR(I196="Completed",I196="Invoiced"),IFERROR(INDEX(Jobs!$AJ$5:$AJ$604,MATCH(A196,Jobs!$A$5:$A$604,0)),0),0))</f>
        <v>0</v>
      </c>
      <c r="K196" s="34">
        <f>IF(A196="","",IFERROR(INDEX(Jobs!$AD$5:$AD$604,MATCH(A196,Jobs!$A$5:$A$604,0)),0))</f>
        <v>0</v>
      </c>
      <c r="L196" s="34">
        <f>IF(A196="","",IFERROR(INDEX(Jobs!$AK$5:$AK$604,MATCH(A196,Jobs!$A$5:$A$604,0)),0))</f>
        <v>0</v>
      </c>
      <c r="M196" s="34">
        <f>IF(A196="","",IF(IFERROR(L196*1,0)&gt;0,L196,IFERROR(K196*1,0)))</f>
        <v>0</v>
      </c>
      <c r="N196" s="21">
        <f>IF(A196="","",SUMIFS(Timesheets!$X$5:$X$804,Timesheets!$G$5:$G$804,A196))</f>
        <v>0</v>
      </c>
      <c r="O196" s="21">
        <f>IF(A196="","",IF(N196&gt;0,N196,ROUND(M196*CostPerHour,2)))</f>
        <v>0</v>
      </c>
      <c r="P196" s="21">
        <f>IF(A196="","",SUMIFS('Supply Usage'!$L$5:$L$304,'Supply Usage'!$F$5:$F$304,A196))</f>
        <v>0</v>
      </c>
      <c r="Q196" s="21">
        <f>IF(A196="","",IF(P196&gt;0,P196,ROUND(M196*SuppliesPerHour,2)))</f>
        <v>0</v>
      </c>
      <c r="R196" s="21">
        <f>IF(A196="","",ROUND(IFERROR(INDEX(Jobs!$W$5:$W$604,MATCH(A196,Jobs!$A$5:$A$604,0)),0)*MileageRate,2))</f>
        <v>0</v>
      </c>
      <c r="T196" s="21">
        <f>IF(A196="","",O196+Q196+R196+IF(S196="",0,S196))</f>
        <v>0</v>
      </c>
      <c r="U196" s="21">
        <f>IF(A196="","",J196-T196)</f>
        <v>0</v>
      </c>
      <c r="V196" s="38">
        <f>IF(OR(A196="",J196=0),"",U196/J196)</f>
        <v>0</v>
      </c>
      <c r="W196" s="21">
        <f>IF(OR(A196="",M196=0,J196=0),"",U196/M196)</f>
        <v>0</v>
      </c>
      <c r="X196" s="34">
        <f>IF(OR(A196="",L196="",L196=0,K196=""),"",L196-K196)</f>
        <v>0</v>
      </c>
      <c r="Y196" s="31">
        <f>IF(A196="","",COUNTIFS($U$5:$U$604,"&gt;"&amp;U196)+COUNTIFS($U$5:U196,U196))</f>
        <v>0</v>
      </c>
      <c r="Z196" s="31">
        <f>IF(A196="","",COUNTIFS($W$5:$W$604,"&gt;"&amp;W196)+COUNTIFS($W$5:W196,W196))</f>
        <v>0</v>
      </c>
      <c r="AA196" s="39">
        <f>IF(A196="","",IF(J196=0,"",IF(U196&lt;0,"Loss - this job cost you money",IF(V196&lt;MarginFloor,"Below - margin under the floor",IF(V196&lt;TargetMargin,"Check - under target margin",IF(AND(X196&lt;&gt;"",X196&gt;0.5),"Check - ran over the estimate","OK"))))))</f>
        <v>0</v>
      </c>
    </row>
    <row r="197" spans="1:27">
      <c r="A197" s="43">
        <f>IF(IFERROR(INDEX(Jobs!$A$5:$A$604,ROW()-4),"")="","",IFERROR(INDEX(Jobs!$A$5:$A$604,ROW()-4),""))</f>
        <v>0</v>
      </c>
      <c r="B197" s="18">
        <f>IF(A197="","",IFERROR(INDEX(Jobs!$B$5:$B$604,MATCH(A197,Jobs!$A$5:$A$604,0)),""))</f>
        <v>0</v>
      </c>
      <c r="C197" s="23">
        <f>IF(B197="","",TEXT(B197,"yyyy-mm"))</f>
        <v>0</v>
      </c>
      <c r="D197" s="43">
        <f>IF(A197="","",IFERROR(INDEX(Jobs!$G$5:$G$604,MATCH(A197,Jobs!$A$5:$A$604,0)),""))</f>
        <v>0</v>
      </c>
      <c r="E197" s="23">
        <f>IF(A197="","",IFERROR(INDEX(Jobs!$H$5:$H$604,MATCH(A197,Jobs!$A$5:$A$604,0)),""))</f>
        <v>0</v>
      </c>
      <c r="F197" s="23">
        <f>IF(A197="","",IFERROR(INDEX(Jobs!$K$5:$K$604,MATCH(A197,Jobs!$A$5:$A$604,0)),""))</f>
        <v>0</v>
      </c>
      <c r="G197" s="23">
        <f>IF(A197="","",IFERROR(INDEX(Jobs!$M$5:$M$604,MATCH(A197,Jobs!$A$5:$A$604,0)),""))</f>
        <v>0</v>
      </c>
      <c r="H197" s="23">
        <f>IF(A197="","",IFERROR(INDEX(Jobs!$R$5:$R$604,MATCH(A197,Jobs!$A$5:$A$604,0)),""))</f>
        <v>0</v>
      </c>
      <c r="I197" s="39">
        <f>IF(A197="","",IFERROR(INDEX(Jobs!$P$5:$P$604,MATCH(A197,Jobs!$A$5:$A$604,0)),""))</f>
        <v>0</v>
      </c>
      <c r="J197" s="21">
        <f>IF(A197="","",IF(OR(I197="Completed",I197="Invoiced"),IFERROR(INDEX(Jobs!$AJ$5:$AJ$604,MATCH(A197,Jobs!$A$5:$A$604,0)),0),0))</f>
        <v>0</v>
      </c>
      <c r="K197" s="34">
        <f>IF(A197="","",IFERROR(INDEX(Jobs!$AD$5:$AD$604,MATCH(A197,Jobs!$A$5:$A$604,0)),0))</f>
        <v>0</v>
      </c>
      <c r="L197" s="34">
        <f>IF(A197="","",IFERROR(INDEX(Jobs!$AK$5:$AK$604,MATCH(A197,Jobs!$A$5:$A$604,0)),0))</f>
        <v>0</v>
      </c>
      <c r="M197" s="34">
        <f>IF(A197="","",IF(IFERROR(L197*1,0)&gt;0,L197,IFERROR(K197*1,0)))</f>
        <v>0</v>
      </c>
      <c r="N197" s="21">
        <f>IF(A197="","",SUMIFS(Timesheets!$X$5:$X$804,Timesheets!$G$5:$G$804,A197))</f>
        <v>0</v>
      </c>
      <c r="O197" s="21">
        <f>IF(A197="","",IF(N197&gt;0,N197,ROUND(M197*CostPerHour,2)))</f>
        <v>0</v>
      </c>
      <c r="P197" s="21">
        <f>IF(A197="","",SUMIFS('Supply Usage'!$L$5:$L$304,'Supply Usage'!$F$5:$F$304,A197))</f>
        <v>0</v>
      </c>
      <c r="Q197" s="21">
        <f>IF(A197="","",IF(P197&gt;0,P197,ROUND(M197*SuppliesPerHour,2)))</f>
        <v>0</v>
      </c>
      <c r="R197" s="21">
        <f>IF(A197="","",ROUND(IFERROR(INDEX(Jobs!$W$5:$W$604,MATCH(A197,Jobs!$A$5:$A$604,0)),0)*MileageRate,2))</f>
        <v>0</v>
      </c>
      <c r="T197" s="21">
        <f>IF(A197="","",O197+Q197+R197+IF(S197="",0,S197))</f>
        <v>0</v>
      </c>
      <c r="U197" s="21">
        <f>IF(A197="","",J197-T197)</f>
        <v>0</v>
      </c>
      <c r="V197" s="38">
        <f>IF(OR(A197="",J197=0),"",U197/J197)</f>
        <v>0</v>
      </c>
      <c r="W197" s="21">
        <f>IF(OR(A197="",M197=0,J197=0),"",U197/M197)</f>
        <v>0</v>
      </c>
      <c r="X197" s="34">
        <f>IF(OR(A197="",L197="",L197=0,K197=""),"",L197-K197)</f>
        <v>0</v>
      </c>
      <c r="Y197" s="31">
        <f>IF(A197="","",COUNTIFS($U$5:$U$604,"&gt;"&amp;U197)+COUNTIFS($U$5:U197,U197))</f>
        <v>0</v>
      </c>
      <c r="Z197" s="31">
        <f>IF(A197="","",COUNTIFS($W$5:$W$604,"&gt;"&amp;W197)+COUNTIFS($W$5:W197,W197))</f>
        <v>0</v>
      </c>
      <c r="AA197" s="39">
        <f>IF(A197="","",IF(J197=0,"",IF(U197&lt;0,"Loss - this job cost you money",IF(V197&lt;MarginFloor,"Below - margin under the floor",IF(V197&lt;TargetMargin,"Check - under target margin",IF(AND(X197&lt;&gt;"",X197&gt;0.5),"Check - ran over the estimate","OK"))))))</f>
        <v>0</v>
      </c>
    </row>
    <row r="198" spans="1:27">
      <c r="A198" s="43">
        <f>IF(IFERROR(INDEX(Jobs!$A$5:$A$604,ROW()-4),"")="","",IFERROR(INDEX(Jobs!$A$5:$A$604,ROW()-4),""))</f>
        <v>0</v>
      </c>
      <c r="B198" s="18">
        <f>IF(A198="","",IFERROR(INDEX(Jobs!$B$5:$B$604,MATCH(A198,Jobs!$A$5:$A$604,0)),""))</f>
        <v>0</v>
      </c>
      <c r="C198" s="23">
        <f>IF(B198="","",TEXT(B198,"yyyy-mm"))</f>
        <v>0</v>
      </c>
      <c r="D198" s="43">
        <f>IF(A198="","",IFERROR(INDEX(Jobs!$G$5:$G$604,MATCH(A198,Jobs!$A$5:$A$604,0)),""))</f>
        <v>0</v>
      </c>
      <c r="E198" s="23">
        <f>IF(A198="","",IFERROR(INDEX(Jobs!$H$5:$H$604,MATCH(A198,Jobs!$A$5:$A$604,0)),""))</f>
        <v>0</v>
      </c>
      <c r="F198" s="23">
        <f>IF(A198="","",IFERROR(INDEX(Jobs!$K$5:$K$604,MATCH(A198,Jobs!$A$5:$A$604,0)),""))</f>
        <v>0</v>
      </c>
      <c r="G198" s="23">
        <f>IF(A198="","",IFERROR(INDEX(Jobs!$M$5:$M$604,MATCH(A198,Jobs!$A$5:$A$604,0)),""))</f>
        <v>0</v>
      </c>
      <c r="H198" s="23">
        <f>IF(A198="","",IFERROR(INDEX(Jobs!$R$5:$R$604,MATCH(A198,Jobs!$A$5:$A$604,0)),""))</f>
        <v>0</v>
      </c>
      <c r="I198" s="39">
        <f>IF(A198="","",IFERROR(INDEX(Jobs!$P$5:$P$604,MATCH(A198,Jobs!$A$5:$A$604,0)),""))</f>
        <v>0</v>
      </c>
      <c r="J198" s="21">
        <f>IF(A198="","",IF(OR(I198="Completed",I198="Invoiced"),IFERROR(INDEX(Jobs!$AJ$5:$AJ$604,MATCH(A198,Jobs!$A$5:$A$604,0)),0),0))</f>
        <v>0</v>
      </c>
      <c r="K198" s="34">
        <f>IF(A198="","",IFERROR(INDEX(Jobs!$AD$5:$AD$604,MATCH(A198,Jobs!$A$5:$A$604,0)),0))</f>
        <v>0</v>
      </c>
      <c r="L198" s="34">
        <f>IF(A198="","",IFERROR(INDEX(Jobs!$AK$5:$AK$604,MATCH(A198,Jobs!$A$5:$A$604,0)),0))</f>
        <v>0</v>
      </c>
      <c r="M198" s="34">
        <f>IF(A198="","",IF(IFERROR(L198*1,0)&gt;0,L198,IFERROR(K198*1,0)))</f>
        <v>0</v>
      </c>
      <c r="N198" s="21">
        <f>IF(A198="","",SUMIFS(Timesheets!$X$5:$X$804,Timesheets!$G$5:$G$804,A198))</f>
        <v>0</v>
      </c>
      <c r="O198" s="21">
        <f>IF(A198="","",IF(N198&gt;0,N198,ROUND(M198*CostPerHour,2)))</f>
        <v>0</v>
      </c>
      <c r="P198" s="21">
        <f>IF(A198="","",SUMIFS('Supply Usage'!$L$5:$L$304,'Supply Usage'!$F$5:$F$304,A198))</f>
        <v>0</v>
      </c>
      <c r="Q198" s="21">
        <f>IF(A198="","",IF(P198&gt;0,P198,ROUND(M198*SuppliesPerHour,2)))</f>
        <v>0</v>
      </c>
      <c r="R198" s="21">
        <f>IF(A198="","",ROUND(IFERROR(INDEX(Jobs!$W$5:$W$604,MATCH(A198,Jobs!$A$5:$A$604,0)),0)*MileageRate,2))</f>
        <v>0</v>
      </c>
      <c r="T198" s="21">
        <f>IF(A198="","",O198+Q198+R198+IF(S198="",0,S198))</f>
        <v>0</v>
      </c>
      <c r="U198" s="21">
        <f>IF(A198="","",J198-T198)</f>
        <v>0</v>
      </c>
      <c r="V198" s="38">
        <f>IF(OR(A198="",J198=0),"",U198/J198)</f>
        <v>0</v>
      </c>
      <c r="W198" s="21">
        <f>IF(OR(A198="",M198=0,J198=0),"",U198/M198)</f>
        <v>0</v>
      </c>
      <c r="X198" s="34">
        <f>IF(OR(A198="",L198="",L198=0,K198=""),"",L198-K198)</f>
        <v>0</v>
      </c>
      <c r="Y198" s="31">
        <f>IF(A198="","",COUNTIFS($U$5:$U$604,"&gt;"&amp;U198)+COUNTIFS($U$5:U198,U198))</f>
        <v>0</v>
      </c>
      <c r="Z198" s="31">
        <f>IF(A198="","",COUNTIFS($W$5:$W$604,"&gt;"&amp;W198)+COUNTIFS($W$5:W198,W198))</f>
        <v>0</v>
      </c>
      <c r="AA198" s="39">
        <f>IF(A198="","",IF(J198=0,"",IF(U198&lt;0,"Loss - this job cost you money",IF(V198&lt;MarginFloor,"Below - margin under the floor",IF(V198&lt;TargetMargin,"Check - under target margin",IF(AND(X198&lt;&gt;"",X198&gt;0.5),"Check - ran over the estimate","OK"))))))</f>
        <v>0</v>
      </c>
    </row>
    <row r="199" spans="1:27">
      <c r="A199" s="43">
        <f>IF(IFERROR(INDEX(Jobs!$A$5:$A$604,ROW()-4),"")="","",IFERROR(INDEX(Jobs!$A$5:$A$604,ROW()-4),""))</f>
        <v>0</v>
      </c>
      <c r="B199" s="18">
        <f>IF(A199="","",IFERROR(INDEX(Jobs!$B$5:$B$604,MATCH(A199,Jobs!$A$5:$A$604,0)),""))</f>
        <v>0</v>
      </c>
      <c r="C199" s="23">
        <f>IF(B199="","",TEXT(B199,"yyyy-mm"))</f>
        <v>0</v>
      </c>
      <c r="D199" s="43">
        <f>IF(A199="","",IFERROR(INDEX(Jobs!$G$5:$G$604,MATCH(A199,Jobs!$A$5:$A$604,0)),""))</f>
        <v>0</v>
      </c>
      <c r="E199" s="23">
        <f>IF(A199="","",IFERROR(INDEX(Jobs!$H$5:$H$604,MATCH(A199,Jobs!$A$5:$A$604,0)),""))</f>
        <v>0</v>
      </c>
      <c r="F199" s="23">
        <f>IF(A199="","",IFERROR(INDEX(Jobs!$K$5:$K$604,MATCH(A199,Jobs!$A$5:$A$604,0)),""))</f>
        <v>0</v>
      </c>
      <c r="G199" s="23">
        <f>IF(A199="","",IFERROR(INDEX(Jobs!$M$5:$M$604,MATCH(A199,Jobs!$A$5:$A$604,0)),""))</f>
        <v>0</v>
      </c>
      <c r="H199" s="23">
        <f>IF(A199="","",IFERROR(INDEX(Jobs!$R$5:$R$604,MATCH(A199,Jobs!$A$5:$A$604,0)),""))</f>
        <v>0</v>
      </c>
      <c r="I199" s="39">
        <f>IF(A199="","",IFERROR(INDEX(Jobs!$P$5:$P$604,MATCH(A199,Jobs!$A$5:$A$604,0)),""))</f>
        <v>0</v>
      </c>
      <c r="J199" s="21">
        <f>IF(A199="","",IF(OR(I199="Completed",I199="Invoiced"),IFERROR(INDEX(Jobs!$AJ$5:$AJ$604,MATCH(A199,Jobs!$A$5:$A$604,0)),0),0))</f>
        <v>0</v>
      </c>
      <c r="K199" s="34">
        <f>IF(A199="","",IFERROR(INDEX(Jobs!$AD$5:$AD$604,MATCH(A199,Jobs!$A$5:$A$604,0)),0))</f>
        <v>0</v>
      </c>
      <c r="L199" s="34">
        <f>IF(A199="","",IFERROR(INDEX(Jobs!$AK$5:$AK$604,MATCH(A199,Jobs!$A$5:$A$604,0)),0))</f>
        <v>0</v>
      </c>
      <c r="M199" s="34">
        <f>IF(A199="","",IF(IFERROR(L199*1,0)&gt;0,L199,IFERROR(K199*1,0)))</f>
        <v>0</v>
      </c>
      <c r="N199" s="21">
        <f>IF(A199="","",SUMIFS(Timesheets!$X$5:$X$804,Timesheets!$G$5:$G$804,A199))</f>
        <v>0</v>
      </c>
      <c r="O199" s="21">
        <f>IF(A199="","",IF(N199&gt;0,N199,ROUND(M199*CostPerHour,2)))</f>
        <v>0</v>
      </c>
      <c r="P199" s="21">
        <f>IF(A199="","",SUMIFS('Supply Usage'!$L$5:$L$304,'Supply Usage'!$F$5:$F$304,A199))</f>
        <v>0</v>
      </c>
      <c r="Q199" s="21">
        <f>IF(A199="","",IF(P199&gt;0,P199,ROUND(M199*SuppliesPerHour,2)))</f>
        <v>0</v>
      </c>
      <c r="R199" s="21">
        <f>IF(A199="","",ROUND(IFERROR(INDEX(Jobs!$W$5:$W$604,MATCH(A199,Jobs!$A$5:$A$604,0)),0)*MileageRate,2))</f>
        <v>0</v>
      </c>
      <c r="T199" s="21">
        <f>IF(A199="","",O199+Q199+R199+IF(S199="",0,S199))</f>
        <v>0</v>
      </c>
      <c r="U199" s="21">
        <f>IF(A199="","",J199-T199)</f>
        <v>0</v>
      </c>
      <c r="V199" s="38">
        <f>IF(OR(A199="",J199=0),"",U199/J199)</f>
        <v>0</v>
      </c>
      <c r="W199" s="21">
        <f>IF(OR(A199="",M199=0,J199=0),"",U199/M199)</f>
        <v>0</v>
      </c>
      <c r="X199" s="34">
        <f>IF(OR(A199="",L199="",L199=0,K199=""),"",L199-K199)</f>
        <v>0</v>
      </c>
      <c r="Y199" s="31">
        <f>IF(A199="","",COUNTIFS($U$5:$U$604,"&gt;"&amp;U199)+COUNTIFS($U$5:U199,U199))</f>
        <v>0</v>
      </c>
      <c r="Z199" s="31">
        <f>IF(A199="","",COUNTIFS($W$5:$W$604,"&gt;"&amp;W199)+COUNTIFS($W$5:W199,W199))</f>
        <v>0</v>
      </c>
      <c r="AA199" s="39">
        <f>IF(A199="","",IF(J199=0,"",IF(U199&lt;0,"Loss - this job cost you money",IF(V199&lt;MarginFloor,"Below - margin under the floor",IF(V199&lt;TargetMargin,"Check - under target margin",IF(AND(X199&lt;&gt;"",X199&gt;0.5),"Check - ran over the estimate","OK"))))))</f>
        <v>0</v>
      </c>
    </row>
    <row r="200" spans="1:27">
      <c r="A200" s="43">
        <f>IF(IFERROR(INDEX(Jobs!$A$5:$A$604,ROW()-4),"")="","",IFERROR(INDEX(Jobs!$A$5:$A$604,ROW()-4),""))</f>
        <v>0</v>
      </c>
      <c r="B200" s="18">
        <f>IF(A200="","",IFERROR(INDEX(Jobs!$B$5:$B$604,MATCH(A200,Jobs!$A$5:$A$604,0)),""))</f>
        <v>0</v>
      </c>
      <c r="C200" s="23">
        <f>IF(B200="","",TEXT(B200,"yyyy-mm"))</f>
        <v>0</v>
      </c>
      <c r="D200" s="43">
        <f>IF(A200="","",IFERROR(INDEX(Jobs!$G$5:$G$604,MATCH(A200,Jobs!$A$5:$A$604,0)),""))</f>
        <v>0</v>
      </c>
      <c r="E200" s="23">
        <f>IF(A200="","",IFERROR(INDEX(Jobs!$H$5:$H$604,MATCH(A200,Jobs!$A$5:$A$604,0)),""))</f>
        <v>0</v>
      </c>
      <c r="F200" s="23">
        <f>IF(A200="","",IFERROR(INDEX(Jobs!$K$5:$K$604,MATCH(A200,Jobs!$A$5:$A$604,0)),""))</f>
        <v>0</v>
      </c>
      <c r="G200" s="23">
        <f>IF(A200="","",IFERROR(INDEX(Jobs!$M$5:$M$604,MATCH(A200,Jobs!$A$5:$A$604,0)),""))</f>
        <v>0</v>
      </c>
      <c r="H200" s="23">
        <f>IF(A200="","",IFERROR(INDEX(Jobs!$R$5:$R$604,MATCH(A200,Jobs!$A$5:$A$604,0)),""))</f>
        <v>0</v>
      </c>
      <c r="I200" s="39">
        <f>IF(A200="","",IFERROR(INDEX(Jobs!$P$5:$P$604,MATCH(A200,Jobs!$A$5:$A$604,0)),""))</f>
        <v>0</v>
      </c>
      <c r="J200" s="21">
        <f>IF(A200="","",IF(OR(I200="Completed",I200="Invoiced"),IFERROR(INDEX(Jobs!$AJ$5:$AJ$604,MATCH(A200,Jobs!$A$5:$A$604,0)),0),0))</f>
        <v>0</v>
      </c>
      <c r="K200" s="34">
        <f>IF(A200="","",IFERROR(INDEX(Jobs!$AD$5:$AD$604,MATCH(A200,Jobs!$A$5:$A$604,0)),0))</f>
        <v>0</v>
      </c>
      <c r="L200" s="34">
        <f>IF(A200="","",IFERROR(INDEX(Jobs!$AK$5:$AK$604,MATCH(A200,Jobs!$A$5:$A$604,0)),0))</f>
        <v>0</v>
      </c>
      <c r="M200" s="34">
        <f>IF(A200="","",IF(IFERROR(L200*1,0)&gt;0,L200,IFERROR(K200*1,0)))</f>
        <v>0</v>
      </c>
      <c r="N200" s="21">
        <f>IF(A200="","",SUMIFS(Timesheets!$X$5:$X$804,Timesheets!$G$5:$G$804,A200))</f>
        <v>0</v>
      </c>
      <c r="O200" s="21">
        <f>IF(A200="","",IF(N200&gt;0,N200,ROUND(M200*CostPerHour,2)))</f>
        <v>0</v>
      </c>
      <c r="P200" s="21">
        <f>IF(A200="","",SUMIFS('Supply Usage'!$L$5:$L$304,'Supply Usage'!$F$5:$F$304,A200))</f>
        <v>0</v>
      </c>
      <c r="Q200" s="21">
        <f>IF(A200="","",IF(P200&gt;0,P200,ROUND(M200*SuppliesPerHour,2)))</f>
        <v>0</v>
      </c>
      <c r="R200" s="21">
        <f>IF(A200="","",ROUND(IFERROR(INDEX(Jobs!$W$5:$W$604,MATCH(A200,Jobs!$A$5:$A$604,0)),0)*MileageRate,2))</f>
        <v>0</v>
      </c>
      <c r="T200" s="21">
        <f>IF(A200="","",O200+Q200+R200+IF(S200="",0,S200))</f>
        <v>0</v>
      </c>
      <c r="U200" s="21">
        <f>IF(A200="","",J200-T200)</f>
        <v>0</v>
      </c>
      <c r="V200" s="38">
        <f>IF(OR(A200="",J200=0),"",U200/J200)</f>
        <v>0</v>
      </c>
      <c r="W200" s="21">
        <f>IF(OR(A200="",M200=0,J200=0),"",U200/M200)</f>
        <v>0</v>
      </c>
      <c r="X200" s="34">
        <f>IF(OR(A200="",L200="",L200=0,K200=""),"",L200-K200)</f>
        <v>0</v>
      </c>
      <c r="Y200" s="31">
        <f>IF(A200="","",COUNTIFS($U$5:$U$604,"&gt;"&amp;U200)+COUNTIFS($U$5:U200,U200))</f>
        <v>0</v>
      </c>
      <c r="Z200" s="31">
        <f>IF(A200="","",COUNTIFS($W$5:$W$604,"&gt;"&amp;W200)+COUNTIFS($W$5:W200,W200))</f>
        <v>0</v>
      </c>
      <c r="AA200" s="39">
        <f>IF(A200="","",IF(J200=0,"",IF(U200&lt;0,"Loss - this job cost you money",IF(V200&lt;MarginFloor,"Below - margin under the floor",IF(V200&lt;TargetMargin,"Check - under target margin",IF(AND(X200&lt;&gt;"",X200&gt;0.5),"Check - ran over the estimate","OK"))))))</f>
        <v>0</v>
      </c>
    </row>
    <row r="201" spans="1:27">
      <c r="A201" s="43">
        <f>IF(IFERROR(INDEX(Jobs!$A$5:$A$604,ROW()-4),"")="","",IFERROR(INDEX(Jobs!$A$5:$A$604,ROW()-4),""))</f>
        <v>0</v>
      </c>
      <c r="B201" s="18">
        <f>IF(A201="","",IFERROR(INDEX(Jobs!$B$5:$B$604,MATCH(A201,Jobs!$A$5:$A$604,0)),""))</f>
        <v>0</v>
      </c>
      <c r="C201" s="23">
        <f>IF(B201="","",TEXT(B201,"yyyy-mm"))</f>
        <v>0</v>
      </c>
      <c r="D201" s="43">
        <f>IF(A201="","",IFERROR(INDEX(Jobs!$G$5:$G$604,MATCH(A201,Jobs!$A$5:$A$604,0)),""))</f>
        <v>0</v>
      </c>
      <c r="E201" s="23">
        <f>IF(A201="","",IFERROR(INDEX(Jobs!$H$5:$H$604,MATCH(A201,Jobs!$A$5:$A$604,0)),""))</f>
        <v>0</v>
      </c>
      <c r="F201" s="23">
        <f>IF(A201="","",IFERROR(INDEX(Jobs!$K$5:$K$604,MATCH(A201,Jobs!$A$5:$A$604,0)),""))</f>
        <v>0</v>
      </c>
      <c r="G201" s="23">
        <f>IF(A201="","",IFERROR(INDEX(Jobs!$M$5:$M$604,MATCH(A201,Jobs!$A$5:$A$604,0)),""))</f>
        <v>0</v>
      </c>
      <c r="H201" s="23">
        <f>IF(A201="","",IFERROR(INDEX(Jobs!$R$5:$R$604,MATCH(A201,Jobs!$A$5:$A$604,0)),""))</f>
        <v>0</v>
      </c>
      <c r="I201" s="39">
        <f>IF(A201="","",IFERROR(INDEX(Jobs!$P$5:$P$604,MATCH(A201,Jobs!$A$5:$A$604,0)),""))</f>
        <v>0</v>
      </c>
      <c r="J201" s="21">
        <f>IF(A201="","",IF(OR(I201="Completed",I201="Invoiced"),IFERROR(INDEX(Jobs!$AJ$5:$AJ$604,MATCH(A201,Jobs!$A$5:$A$604,0)),0),0))</f>
        <v>0</v>
      </c>
      <c r="K201" s="34">
        <f>IF(A201="","",IFERROR(INDEX(Jobs!$AD$5:$AD$604,MATCH(A201,Jobs!$A$5:$A$604,0)),0))</f>
        <v>0</v>
      </c>
      <c r="L201" s="34">
        <f>IF(A201="","",IFERROR(INDEX(Jobs!$AK$5:$AK$604,MATCH(A201,Jobs!$A$5:$A$604,0)),0))</f>
        <v>0</v>
      </c>
      <c r="M201" s="34">
        <f>IF(A201="","",IF(IFERROR(L201*1,0)&gt;0,L201,IFERROR(K201*1,0)))</f>
        <v>0</v>
      </c>
      <c r="N201" s="21">
        <f>IF(A201="","",SUMIFS(Timesheets!$X$5:$X$804,Timesheets!$G$5:$G$804,A201))</f>
        <v>0</v>
      </c>
      <c r="O201" s="21">
        <f>IF(A201="","",IF(N201&gt;0,N201,ROUND(M201*CostPerHour,2)))</f>
        <v>0</v>
      </c>
      <c r="P201" s="21">
        <f>IF(A201="","",SUMIFS('Supply Usage'!$L$5:$L$304,'Supply Usage'!$F$5:$F$304,A201))</f>
        <v>0</v>
      </c>
      <c r="Q201" s="21">
        <f>IF(A201="","",IF(P201&gt;0,P201,ROUND(M201*SuppliesPerHour,2)))</f>
        <v>0</v>
      </c>
      <c r="R201" s="21">
        <f>IF(A201="","",ROUND(IFERROR(INDEX(Jobs!$W$5:$W$604,MATCH(A201,Jobs!$A$5:$A$604,0)),0)*MileageRate,2))</f>
        <v>0</v>
      </c>
      <c r="T201" s="21">
        <f>IF(A201="","",O201+Q201+R201+IF(S201="",0,S201))</f>
        <v>0</v>
      </c>
      <c r="U201" s="21">
        <f>IF(A201="","",J201-T201)</f>
        <v>0</v>
      </c>
      <c r="V201" s="38">
        <f>IF(OR(A201="",J201=0),"",U201/J201)</f>
        <v>0</v>
      </c>
      <c r="W201" s="21">
        <f>IF(OR(A201="",M201=0,J201=0),"",U201/M201)</f>
        <v>0</v>
      </c>
      <c r="X201" s="34">
        <f>IF(OR(A201="",L201="",L201=0,K201=""),"",L201-K201)</f>
        <v>0</v>
      </c>
      <c r="Y201" s="31">
        <f>IF(A201="","",COUNTIFS($U$5:$U$604,"&gt;"&amp;U201)+COUNTIFS($U$5:U201,U201))</f>
        <v>0</v>
      </c>
      <c r="Z201" s="31">
        <f>IF(A201="","",COUNTIFS($W$5:$W$604,"&gt;"&amp;W201)+COUNTIFS($W$5:W201,W201))</f>
        <v>0</v>
      </c>
      <c r="AA201" s="39">
        <f>IF(A201="","",IF(J201=0,"",IF(U201&lt;0,"Loss - this job cost you money",IF(V201&lt;MarginFloor,"Below - margin under the floor",IF(V201&lt;TargetMargin,"Check - under target margin",IF(AND(X201&lt;&gt;"",X201&gt;0.5),"Check - ran over the estimate","OK"))))))</f>
        <v>0</v>
      </c>
    </row>
    <row r="202" spans="1:27">
      <c r="A202" s="43">
        <f>IF(IFERROR(INDEX(Jobs!$A$5:$A$604,ROW()-4),"")="","",IFERROR(INDEX(Jobs!$A$5:$A$604,ROW()-4),""))</f>
        <v>0</v>
      </c>
      <c r="B202" s="18">
        <f>IF(A202="","",IFERROR(INDEX(Jobs!$B$5:$B$604,MATCH(A202,Jobs!$A$5:$A$604,0)),""))</f>
        <v>0</v>
      </c>
      <c r="C202" s="23">
        <f>IF(B202="","",TEXT(B202,"yyyy-mm"))</f>
        <v>0</v>
      </c>
      <c r="D202" s="43">
        <f>IF(A202="","",IFERROR(INDEX(Jobs!$G$5:$G$604,MATCH(A202,Jobs!$A$5:$A$604,0)),""))</f>
        <v>0</v>
      </c>
      <c r="E202" s="23">
        <f>IF(A202="","",IFERROR(INDEX(Jobs!$H$5:$H$604,MATCH(A202,Jobs!$A$5:$A$604,0)),""))</f>
        <v>0</v>
      </c>
      <c r="F202" s="23">
        <f>IF(A202="","",IFERROR(INDEX(Jobs!$K$5:$K$604,MATCH(A202,Jobs!$A$5:$A$604,0)),""))</f>
        <v>0</v>
      </c>
      <c r="G202" s="23">
        <f>IF(A202="","",IFERROR(INDEX(Jobs!$M$5:$M$604,MATCH(A202,Jobs!$A$5:$A$604,0)),""))</f>
        <v>0</v>
      </c>
      <c r="H202" s="23">
        <f>IF(A202="","",IFERROR(INDEX(Jobs!$R$5:$R$604,MATCH(A202,Jobs!$A$5:$A$604,0)),""))</f>
        <v>0</v>
      </c>
      <c r="I202" s="39">
        <f>IF(A202="","",IFERROR(INDEX(Jobs!$P$5:$P$604,MATCH(A202,Jobs!$A$5:$A$604,0)),""))</f>
        <v>0</v>
      </c>
      <c r="J202" s="21">
        <f>IF(A202="","",IF(OR(I202="Completed",I202="Invoiced"),IFERROR(INDEX(Jobs!$AJ$5:$AJ$604,MATCH(A202,Jobs!$A$5:$A$604,0)),0),0))</f>
        <v>0</v>
      </c>
      <c r="K202" s="34">
        <f>IF(A202="","",IFERROR(INDEX(Jobs!$AD$5:$AD$604,MATCH(A202,Jobs!$A$5:$A$604,0)),0))</f>
        <v>0</v>
      </c>
      <c r="L202" s="34">
        <f>IF(A202="","",IFERROR(INDEX(Jobs!$AK$5:$AK$604,MATCH(A202,Jobs!$A$5:$A$604,0)),0))</f>
        <v>0</v>
      </c>
      <c r="M202" s="34">
        <f>IF(A202="","",IF(IFERROR(L202*1,0)&gt;0,L202,IFERROR(K202*1,0)))</f>
        <v>0</v>
      </c>
      <c r="N202" s="21">
        <f>IF(A202="","",SUMIFS(Timesheets!$X$5:$X$804,Timesheets!$G$5:$G$804,A202))</f>
        <v>0</v>
      </c>
      <c r="O202" s="21">
        <f>IF(A202="","",IF(N202&gt;0,N202,ROUND(M202*CostPerHour,2)))</f>
        <v>0</v>
      </c>
      <c r="P202" s="21">
        <f>IF(A202="","",SUMIFS('Supply Usage'!$L$5:$L$304,'Supply Usage'!$F$5:$F$304,A202))</f>
        <v>0</v>
      </c>
      <c r="Q202" s="21">
        <f>IF(A202="","",IF(P202&gt;0,P202,ROUND(M202*SuppliesPerHour,2)))</f>
        <v>0</v>
      </c>
      <c r="R202" s="21">
        <f>IF(A202="","",ROUND(IFERROR(INDEX(Jobs!$W$5:$W$604,MATCH(A202,Jobs!$A$5:$A$604,0)),0)*MileageRate,2))</f>
        <v>0</v>
      </c>
      <c r="T202" s="21">
        <f>IF(A202="","",O202+Q202+R202+IF(S202="",0,S202))</f>
        <v>0</v>
      </c>
      <c r="U202" s="21">
        <f>IF(A202="","",J202-T202)</f>
        <v>0</v>
      </c>
      <c r="V202" s="38">
        <f>IF(OR(A202="",J202=0),"",U202/J202)</f>
        <v>0</v>
      </c>
      <c r="W202" s="21">
        <f>IF(OR(A202="",M202=0,J202=0),"",U202/M202)</f>
        <v>0</v>
      </c>
      <c r="X202" s="34">
        <f>IF(OR(A202="",L202="",L202=0,K202=""),"",L202-K202)</f>
        <v>0</v>
      </c>
      <c r="Y202" s="31">
        <f>IF(A202="","",COUNTIFS($U$5:$U$604,"&gt;"&amp;U202)+COUNTIFS($U$5:U202,U202))</f>
        <v>0</v>
      </c>
      <c r="Z202" s="31">
        <f>IF(A202="","",COUNTIFS($W$5:$W$604,"&gt;"&amp;W202)+COUNTIFS($W$5:W202,W202))</f>
        <v>0</v>
      </c>
      <c r="AA202" s="39">
        <f>IF(A202="","",IF(J202=0,"",IF(U202&lt;0,"Loss - this job cost you money",IF(V202&lt;MarginFloor,"Below - margin under the floor",IF(V202&lt;TargetMargin,"Check - under target margin",IF(AND(X202&lt;&gt;"",X202&gt;0.5),"Check - ran over the estimate","OK"))))))</f>
        <v>0</v>
      </c>
    </row>
    <row r="203" spans="1:27">
      <c r="A203" s="43">
        <f>IF(IFERROR(INDEX(Jobs!$A$5:$A$604,ROW()-4),"")="","",IFERROR(INDEX(Jobs!$A$5:$A$604,ROW()-4),""))</f>
        <v>0</v>
      </c>
      <c r="B203" s="18">
        <f>IF(A203="","",IFERROR(INDEX(Jobs!$B$5:$B$604,MATCH(A203,Jobs!$A$5:$A$604,0)),""))</f>
        <v>0</v>
      </c>
      <c r="C203" s="23">
        <f>IF(B203="","",TEXT(B203,"yyyy-mm"))</f>
        <v>0</v>
      </c>
      <c r="D203" s="43">
        <f>IF(A203="","",IFERROR(INDEX(Jobs!$G$5:$G$604,MATCH(A203,Jobs!$A$5:$A$604,0)),""))</f>
        <v>0</v>
      </c>
      <c r="E203" s="23">
        <f>IF(A203="","",IFERROR(INDEX(Jobs!$H$5:$H$604,MATCH(A203,Jobs!$A$5:$A$604,0)),""))</f>
        <v>0</v>
      </c>
      <c r="F203" s="23">
        <f>IF(A203="","",IFERROR(INDEX(Jobs!$K$5:$K$604,MATCH(A203,Jobs!$A$5:$A$604,0)),""))</f>
        <v>0</v>
      </c>
      <c r="G203" s="23">
        <f>IF(A203="","",IFERROR(INDEX(Jobs!$M$5:$M$604,MATCH(A203,Jobs!$A$5:$A$604,0)),""))</f>
        <v>0</v>
      </c>
      <c r="H203" s="23">
        <f>IF(A203="","",IFERROR(INDEX(Jobs!$R$5:$R$604,MATCH(A203,Jobs!$A$5:$A$604,0)),""))</f>
        <v>0</v>
      </c>
      <c r="I203" s="39">
        <f>IF(A203="","",IFERROR(INDEX(Jobs!$P$5:$P$604,MATCH(A203,Jobs!$A$5:$A$604,0)),""))</f>
        <v>0</v>
      </c>
      <c r="J203" s="21">
        <f>IF(A203="","",IF(OR(I203="Completed",I203="Invoiced"),IFERROR(INDEX(Jobs!$AJ$5:$AJ$604,MATCH(A203,Jobs!$A$5:$A$604,0)),0),0))</f>
        <v>0</v>
      </c>
      <c r="K203" s="34">
        <f>IF(A203="","",IFERROR(INDEX(Jobs!$AD$5:$AD$604,MATCH(A203,Jobs!$A$5:$A$604,0)),0))</f>
        <v>0</v>
      </c>
      <c r="L203" s="34">
        <f>IF(A203="","",IFERROR(INDEX(Jobs!$AK$5:$AK$604,MATCH(A203,Jobs!$A$5:$A$604,0)),0))</f>
        <v>0</v>
      </c>
      <c r="M203" s="34">
        <f>IF(A203="","",IF(IFERROR(L203*1,0)&gt;0,L203,IFERROR(K203*1,0)))</f>
        <v>0</v>
      </c>
      <c r="N203" s="21">
        <f>IF(A203="","",SUMIFS(Timesheets!$X$5:$X$804,Timesheets!$G$5:$G$804,A203))</f>
        <v>0</v>
      </c>
      <c r="O203" s="21">
        <f>IF(A203="","",IF(N203&gt;0,N203,ROUND(M203*CostPerHour,2)))</f>
        <v>0</v>
      </c>
      <c r="P203" s="21">
        <f>IF(A203="","",SUMIFS('Supply Usage'!$L$5:$L$304,'Supply Usage'!$F$5:$F$304,A203))</f>
        <v>0</v>
      </c>
      <c r="Q203" s="21">
        <f>IF(A203="","",IF(P203&gt;0,P203,ROUND(M203*SuppliesPerHour,2)))</f>
        <v>0</v>
      </c>
      <c r="R203" s="21">
        <f>IF(A203="","",ROUND(IFERROR(INDEX(Jobs!$W$5:$W$604,MATCH(A203,Jobs!$A$5:$A$604,0)),0)*MileageRate,2))</f>
        <v>0</v>
      </c>
      <c r="T203" s="21">
        <f>IF(A203="","",O203+Q203+R203+IF(S203="",0,S203))</f>
        <v>0</v>
      </c>
      <c r="U203" s="21">
        <f>IF(A203="","",J203-T203)</f>
        <v>0</v>
      </c>
      <c r="V203" s="38">
        <f>IF(OR(A203="",J203=0),"",U203/J203)</f>
        <v>0</v>
      </c>
      <c r="W203" s="21">
        <f>IF(OR(A203="",M203=0,J203=0),"",U203/M203)</f>
        <v>0</v>
      </c>
      <c r="X203" s="34">
        <f>IF(OR(A203="",L203="",L203=0,K203=""),"",L203-K203)</f>
        <v>0</v>
      </c>
      <c r="Y203" s="31">
        <f>IF(A203="","",COUNTIFS($U$5:$U$604,"&gt;"&amp;U203)+COUNTIFS($U$5:U203,U203))</f>
        <v>0</v>
      </c>
      <c r="Z203" s="31">
        <f>IF(A203="","",COUNTIFS($W$5:$W$604,"&gt;"&amp;W203)+COUNTIFS($W$5:W203,W203))</f>
        <v>0</v>
      </c>
      <c r="AA203" s="39">
        <f>IF(A203="","",IF(J203=0,"",IF(U203&lt;0,"Loss - this job cost you money",IF(V203&lt;MarginFloor,"Below - margin under the floor",IF(V203&lt;TargetMargin,"Check - under target margin",IF(AND(X203&lt;&gt;"",X203&gt;0.5),"Check - ran over the estimate","OK"))))))</f>
        <v>0</v>
      </c>
    </row>
    <row r="204" spans="1:27">
      <c r="A204" s="43">
        <f>IF(IFERROR(INDEX(Jobs!$A$5:$A$604,ROW()-4),"")="","",IFERROR(INDEX(Jobs!$A$5:$A$604,ROW()-4),""))</f>
        <v>0</v>
      </c>
      <c r="B204" s="18">
        <f>IF(A204="","",IFERROR(INDEX(Jobs!$B$5:$B$604,MATCH(A204,Jobs!$A$5:$A$604,0)),""))</f>
        <v>0</v>
      </c>
      <c r="C204" s="23">
        <f>IF(B204="","",TEXT(B204,"yyyy-mm"))</f>
        <v>0</v>
      </c>
      <c r="D204" s="43">
        <f>IF(A204="","",IFERROR(INDEX(Jobs!$G$5:$G$604,MATCH(A204,Jobs!$A$5:$A$604,0)),""))</f>
        <v>0</v>
      </c>
      <c r="E204" s="23">
        <f>IF(A204="","",IFERROR(INDEX(Jobs!$H$5:$H$604,MATCH(A204,Jobs!$A$5:$A$604,0)),""))</f>
        <v>0</v>
      </c>
      <c r="F204" s="23">
        <f>IF(A204="","",IFERROR(INDEX(Jobs!$K$5:$K$604,MATCH(A204,Jobs!$A$5:$A$604,0)),""))</f>
        <v>0</v>
      </c>
      <c r="G204" s="23">
        <f>IF(A204="","",IFERROR(INDEX(Jobs!$M$5:$M$604,MATCH(A204,Jobs!$A$5:$A$604,0)),""))</f>
        <v>0</v>
      </c>
      <c r="H204" s="23">
        <f>IF(A204="","",IFERROR(INDEX(Jobs!$R$5:$R$604,MATCH(A204,Jobs!$A$5:$A$604,0)),""))</f>
        <v>0</v>
      </c>
      <c r="I204" s="39">
        <f>IF(A204="","",IFERROR(INDEX(Jobs!$P$5:$P$604,MATCH(A204,Jobs!$A$5:$A$604,0)),""))</f>
        <v>0</v>
      </c>
      <c r="J204" s="21">
        <f>IF(A204="","",IF(OR(I204="Completed",I204="Invoiced"),IFERROR(INDEX(Jobs!$AJ$5:$AJ$604,MATCH(A204,Jobs!$A$5:$A$604,0)),0),0))</f>
        <v>0</v>
      </c>
      <c r="K204" s="34">
        <f>IF(A204="","",IFERROR(INDEX(Jobs!$AD$5:$AD$604,MATCH(A204,Jobs!$A$5:$A$604,0)),0))</f>
        <v>0</v>
      </c>
      <c r="L204" s="34">
        <f>IF(A204="","",IFERROR(INDEX(Jobs!$AK$5:$AK$604,MATCH(A204,Jobs!$A$5:$A$604,0)),0))</f>
        <v>0</v>
      </c>
      <c r="M204" s="34">
        <f>IF(A204="","",IF(IFERROR(L204*1,0)&gt;0,L204,IFERROR(K204*1,0)))</f>
        <v>0</v>
      </c>
      <c r="N204" s="21">
        <f>IF(A204="","",SUMIFS(Timesheets!$X$5:$X$804,Timesheets!$G$5:$G$804,A204))</f>
        <v>0</v>
      </c>
      <c r="O204" s="21">
        <f>IF(A204="","",IF(N204&gt;0,N204,ROUND(M204*CostPerHour,2)))</f>
        <v>0</v>
      </c>
      <c r="P204" s="21">
        <f>IF(A204="","",SUMIFS('Supply Usage'!$L$5:$L$304,'Supply Usage'!$F$5:$F$304,A204))</f>
        <v>0</v>
      </c>
      <c r="Q204" s="21">
        <f>IF(A204="","",IF(P204&gt;0,P204,ROUND(M204*SuppliesPerHour,2)))</f>
        <v>0</v>
      </c>
      <c r="R204" s="21">
        <f>IF(A204="","",ROUND(IFERROR(INDEX(Jobs!$W$5:$W$604,MATCH(A204,Jobs!$A$5:$A$604,0)),0)*MileageRate,2))</f>
        <v>0</v>
      </c>
      <c r="T204" s="21">
        <f>IF(A204="","",O204+Q204+R204+IF(S204="",0,S204))</f>
        <v>0</v>
      </c>
      <c r="U204" s="21">
        <f>IF(A204="","",J204-T204)</f>
        <v>0</v>
      </c>
      <c r="V204" s="38">
        <f>IF(OR(A204="",J204=0),"",U204/J204)</f>
        <v>0</v>
      </c>
      <c r="W204" s="21">
        <f>IF(OR(A204="",M204=0,J204=0),"",U204/M204)</f>
        <v>0</v>
      </c>
      <c r="X204" s="34">
        <f>IF(OR(A204="",L204="",L204=0,K204=""),"",L204-K204)</f>
        <v>0</v>
      </c>
      <c r="Y204" s="31">
        <f>IF(A204="","",COUNTIFS($U$5:$U$604,"&gt;"&amp;U204)+COUNTIFS($U$5:U204,U204))</f>
        <v>0</v>
      </c>
      <c r="Z204" s="31">
        <f>IF(A204="","",COUNTIFS($W$5:$W$604,"&gt;"&amp;W204)+COUNTIFS($W$5:W204,W204))</f>
        <v>0</v>
      </c>
      <c r="AA204" s="39">
        <f>IF(A204="","",IF(J204=0,"",IF(U204&lt;0,"Loss - this job cost you money",IF(V204&lt;MarginFloor,"Below - margin under the floor",IF(V204&lt;TargetMargin,"Check - under target margin",IF(AND(X204&lt;&gt;"",X204&gt;0.5),"Check - ran over the estimate","OK"))))))</f>
        <v>0</v>
      </c>
    </row>
    <row r="205" spans="1:27">
      <c r="A205" s="43">
        <f>IF(IFERROR(INDEX(Jobs!$A$5:$A$604,ROW()-4),"")="","",IFERROR(INDEX(Jobs!$A$5:$A$604,ROW()-4),""))</f>
        <v>0</v>
      </c>
      <c r="B205" s="18">
        <f>IF(A205="","",IFERROR(INDEX(Jobs!$B$5:$B$604,MATCH(A205,Jobs!$A$5:$A$604,0)),""))</f>
        <v>0</v>
      </c>
      <c r="C205" s="23">
        <f>IF(B205="","",TEXT(B205,"yyyy-mm"))</f>
        <v>0</v>
      </c>
      <c r="D205" s="43">
        <f>IF(A205="","",IFERROR(INDEX(Jobs!$G$5:$G$604,MATCH(A205,Jobs!$A$5:$A$604,0)),""))</f>
        <v>0</v>
      </c>
      <c r="E205" s="23">
        <f>IF(A205="","",IFERROR(INDEX(Jobs!$H$5:$H$604,MATCH(A205,Jobs!$A$5:$A$604,0)),""))</f>
        <v>0</v>
      </c>
      <c r="F205" s="23">
        <f>IF(A205="","",IFERROR(INDEX(Jobs!$K$5:$K$604,MATCH(A205,Jobs!$A$5:$A$604,0)),""))</f>
        <v>0</v>
      </c>
      <c r="G205" s="23">
        <f>IF(A205="","",IFERROR(INDEX(Jobs!$M$5:$M$604,MATCH(A205,Jobs!$A$5:$A$604,0)),""))</f>
        <v>0</v>
      </c>
      <c r="H205" s="23">
        <f>IF(A205="","",IFERROR(INDEX(Jobs!$R$5:$R$604,MATCH(A205,Jobs!$A$5:$A$604,0)),""))</f>
        <v>0</v>
      </c>
      <c r="I205" s="39">
        <f>IF(A205="","",IFERROR(INDEX(Jobs!$P$5:$P$604,MATCH(A205,Jobs!$A$5:$A$604,0)),""))</f>
        <v>0</v>
      </c>
      <c r="J205" s="21">
        <f>IF(A205="","",IF(OR(I205="Completed",I205="Invoiced"),IFERROR(INDEX(Jobs!$AJ$5:$AJ$604,MATCH(A205,Jobs!$A$5:$A$604,0)),0),0))</f>
        <v>0</v>
      </c>
      <c r="K205" s="34">
        <f>IF(A205="","",IFERROR(INDEX(Jobs!$AD$5:$AD$604,MATCH(A205,Jobs!$A$5:$A$604,0)),0))</f>
        <v>0</v>
      </c>
      <c r="L205" s="34">
        <f>IF(A205="","",IFERROR(INDEX(Jobs!$AK$5:$AK$604,MATCH(A205,Jobs!$A$5:$A$604,0)),0))</f>
        <v>0</v>
      </c>
      <c r="M205" s="34">
        <f>IF(A205="","",IF(IFERROR(L205*1,0)&gt;0,L205,IFERROR(K205*1,0)))</f>
        <v>0</v>
      </c>
      <c r="N205" s="21">
        <f>IF(A205="","",SUMIFS(Timesheets!$X$5:$X$804,Timesheets!$G$5:$G$804,A205))</f>
        <v>0</v>
      </c>
      <c r="O205" s="21">
        <f>IF(A205="","",IF(N205&gt;0,N205,ROUND(M205*CostPerHour,2)))</f>
        <v>0</v>
      </c>
      <c r="P205" s="21">
        <f>IF(A205="","",SUMIFS('Supply Usage'!$L$5:$L$304,'Supply Usage'!$F$5:$F$304,A205))</f>
        <v>0</v>
      </c>
      <c r="Q205" s="21">
        <f>IF(A205="","",IF(P205&gt;0,P205,ROUND(M205*SuppliesPerHour,2)))</f>
        <v>0</v>
      </c>
      <c r="R205" s="21">
        <f>IF(A205="","",ROUND(IFERROR(INDEX(Jobs!$W$5:$W$604,MATCH(A205,Jobs!$A$5:$A$604,0)),0)*MileageRate,2))</f>
        <v>0</v>
      </c>
      <c r="T205" s="21">
        <f>IF(A205="","",O205+Q205+R205+IF(S205="",0,S205))</f>
        <v>0</v>
      </c>
      <c r="U205" s="21">
        <f>IF(A205="","",J205-T205)</f>
        <v>0</v>
      </c>
      <c r="V205" s="38">
        <f>IF(OR(A205="",J205=0),"",U205/J205)</f>
        <v>0</v>
      </c>
      <c r="W205" s="21">
        <f>IF(OR(A205="",M205=0,J205=0),"",U205/M205)</f>
        <v>0</v>
      </c>
      <c r="X205" s="34">
        <f>IF(OR(A205="",L205="",L205=0,K205=""),"",L205-K205)</f>
        <v>0</v>
      </c>
      <c r="Y205" s="31">
        <f>IF(A205="","",COUNTIFS($U$5:$U$604,"&gt;"&amp;U205)+COUNTIFS($U$5:U205,U205))</f>
        <v>0</v>
      </c>
      <c r="Z205" s="31">
        <f>IF(A205="","",COUNTIFS($W$5:$W$604,"&gt;"&amp;W205)+COUNTIFS($W$5:W205,W205))</f>
        <v>0</v>
      </c>
      <c r="AA205" s="39">
        <f>IF(A205="","",IF(J205=0,"",IF(U205&lt;0,"Loss - this job cost you money",IF(V205&lt;MarginFloor,"Below - margin under the floor",IF(V205&lt;TargetMargin,"Check - under target margin",IF(AND(X205&lt;&gt;"",X205&gt;0.5),"Check - ran over the estimate","OK"))))))</f>
        <v>0</v>
      </c>
    </row>
    <row r="206" spans="1:27">
      <c r="A206" s="43">
        <f>IF(IFERROR(INDEX(Jobs!$A$5:$A$604,ROW()-4),"")="","",IFERROR(INDEX(Jobs!$A$5:$A$604,ROW()-4),""))</f>
        <v>0</v>
      </c>
      <c r="B206" s="18">
        <f>IF(A206="","",IFERROR(INDEX(Jobs!$B$5:$B$604,MATCH(A206,Jobs!$A$5:$A$604,0)),""))</f>
        <v>0</v>
      </c>
      <c r="C206" s="23">
        <f>IF(B206="","",TEXT(B206,"yyyy-mm"))</f>
        <v>0</v>
      </c>
      <c r="D206" s="43">
        <f>IF(A206="","",IFERROR(INDEX(Jobs!$G$5:$G$604,MATCH(A206,Jobs!$A$5:$A$604,0)),""))</f>
        <v>0</v>
      </c>
      <c r="E206" s="23">
        <f>IF(A206="","",IFERROR(INDEX(Jobs!$H$5:$H$604,MATCH(A206,Jobs!$A$5:$A$604,0)),""))</f>
        <v>0</v>
      </c>
      <c r="F206" s="23">
        <f>IF(A206="","",IFERROR(INDEX(Jobs!$K$5:$K$604,MATCH(A206,Jobs!$A$5:$A$604,0)),""))</f>
        <v>0</v>
      </c>
      <c r="G206" s="23">
        <f>IF(A206="","",IFERROR(INDEX(Jobs!$M$5:$M$604,MATCH(A206,Jobs!$A$5:$A$604,0)),""))</f>
        <v>0</v>
      </c>
      <c r="H206" s="23">
        <f>IF(A206="","",IFERROR(INDEX(Jobs!$R$5:$R$604,MATCH(A206,Jobs!$A$5:$A$604,0)),""))</f>
        <v>0</v>
      </c>
      <c r="I206" s="39">
        <f>IF(A206="","",IFERROR(INDEX(Jobs!$P$5:$P$604,MATCH(A206,Jobs!$A$5:$A$604,0)),""))</f>
        <v>0</v>
      </c>
      <c r="J206" s="21">
        <f>IF(A206="","",IF(OR(I206="Completed",I206="Invoiced"),IFERROR(INDEX(Jobs!$AJ$5:$AJ$604,MATCH(A206,Jobs!$A$5:$A$604,0)),0),0))</f>
        <v>0</v>
      </c>
      <c r="K206" s="34">
        <f>IF(A206="","",IFERROR(INDEX(Jobs!$AD$5:$AD$604,MATCH(A206,Jobs!$A$5:$A$604,0)),0))</f>
        <v>0</v>
      </c>
      <c r="L206" s="34">
        <f>IF(A206="","",IFERROR(INDEX(Jobs!$AK$5:$AK$604,MATCH(A206,Jobs!$A$5:$A$604,0)),0))</f>
        <v>0</v>
      </c>
      <c r="M206" s="34">
        <f>IF(A206="","",IF(IFERROR(L206*1,0)&gt;0,L206,IFERROR(K206*1,0)))</f>
        <v>0</v>
      </c>
      <c r="N206" s="21">
        <f>IF(A206="","",SUMIFS(Timesheets!$X$5:$X$804,Timesheets!$G$5:$G$804,A206))</f>
        <v>0</v>
      </c>
      <c r="O206" s="21">
        <f>IF(A206="","",IF(N206&gt;0,N206,ROUND(M206*CostPerHour,2)))</f>
        <v>0</v>
      </c>
      <c r="P206" s="21">
        <f>IF(A206="","",SUMIFS('Supply Usage'!$L$5:$L$304,'Supply Usage'!$F$5:$F$304,A206))</f>
        <v>0</v>
      </c>
      <c r="Q206" s="21">
        <f>IF(A206="","",IF(P206&gt;0,P206,ROUND(M206*SuppliesPerHour,2)))</f>
        <v>0</v>
      </c>
      <c r="R206" s="21">
        <f>IF(A206="","",ROUND(IFERROR(INDEX(Jobs!$W$5:$W$604,MATCH(A206,Jobs!$A$5:$A$604,0)),0)*MileageRate,2))</f>
        <v>0</v>
      </c>
      <c r="T206" s="21">
        <f>IF(A206="","",O206+Q206+R206+IF(S206="",0,S206))</f>
        <v>0</v>
      </c>
      <c r="U206" s="21">
        <f>IF(A206="","",J206-T206)</f>
        <v>0</v>
      </c>
      <c r="V206" s="38">
        <f>IF(OR(A206="",J206=0),"",U206/J206)</f>
        <v>0</v>
      </c>
      <c r="W206" s="21">
        <f>IF(OR(A206="",M206=0,J206=0),"",U206/M206)</f>
        <v>0</v>
      </c>
      <c r="X206" s="34">
        <f>IF(OR(A206="",L206="",L206=0,K206=""),"",L206-K206)</f>
        <v>0</v>
      </c>
      <c r="Y206" s="31">
        <f>IF(A206="","",COUNTIFS($U$5:$U$604,"&gt;"&amp;U206)+COUNTIFS($U$5:U206,U206))</f>
        <v>0</v>
      </c>
      <c r="Z206" s="31">
        <f>IF(A206="","",COUNTIFS($W$5:$W$604,"&gt;"&amp;W206)+COUNTIFS($W$5:W206,W206))</f>
        <v>0</v>
      </c>
      <c r="AA206" s="39">
        <f>IF(A206="","",IF(J206=0,"",IF(U206&lt;0,"Loss - this job cost you money",IF(V206&lt;MarginFloor,"Below - margin under the floor",IF(V206&lt;TargetMargin,"Check - under target margin",IF(AND(X206&lt;&gt;"",X206&gt;0.5),"Check - ran over the estimate","OK"))))))</f>
        <v>0</v>
      </c>
    </row>
    <row r="207" spans="1:27">
      <c r="A207" s="43">
        <f>IF(IFERROR(INDEX(Jobs!$A$5:$A$604,ROW()-4),"")="","",IFERROR(INDEX(Jobs!$A$5:$A$604,ROW()-4),""))</f>
        <v>0</v>
      </c>
      <c r="B207" s="18">
        <f>IF(A207="","",IFERROR(INDEX(Jobs!$B$5:$B$604,MATCH(A207,Jobs!$A$5:$A$604,0)),""))</f>
        <v>0</v>
      </c>
      <c r="C207" s="23">
        <f>IF(B207="","",TEXT(B207,"yyyy-mm"))</f>
        <v>0</v>
      </c>
      <c r="D207" s="43">
        <f>IF(A207="","",IFERROR(INDEX(Jobs!$G$5:$G$604,MATCH(A207,Jobs!$A$5:$A$604,0)),""))</f>
        <v>0</v>
      </c>
      <c r="E207" s="23">
        <f>IF(A207="","",IFERROR(INDEX(Jobs!$H$5:$H$604,MATCH(A207,Jobs!$A$5:$A$604,0)),""))</f>
        <v>0</v>
      </c>
      <c r="F207" s="23">
        <f>IF(A207="","",IFERROR(INDEX(Jobs!$K$5:$K$604,MATCH(A207,Jobs!$A$5:$A$604,0)),""))</f>
        <v>0</v>
      </c>
      <c r="G207" s="23">
        <f>IF(A207="","",IFERROR(INDEX(Jobs!$M$5:$M$604,MATCH(A207,Jobs!$A$5:$A$604,0)),""))</f>
        <v>0</v>
      </c>
      <c r="H207" s="23">
        <f>IF(A207="","",IFERROR(INDEX(Jobs!$R$5:$R$604,MATCH(A207,Jobs!$A$5:$A$604,0)),""))</f>
        <v>0</v>
      </c>
      <c r="I207" s="39">
        <f>IF(A207="","",IFERROR(INDEX(Jobs!$P$5:$P$604,MATCH(A207,Jobs!$A$5:$A$604,0)),""))</f>
        <v>0</v>
      </c>
      <c r="J207" s="21">
        <f>IF(A207="","",IF(OR(I207="Completed",I207="Invoiced"),IFERROR(INDEX(Jobs!$AJ$5:$AJ$604,MATCH(A207,Jobs!$A$5:$A$604,0)),0),0))</f>
        <v>0</v>
      </c>
      <c r="K207" s="34">
        <f>IF(A207="","",IFERROR(INDEX(Jobs!$AD$5:$AD$604,MATCH(A207,Jobs!$A$5:$A$604,0)),0))</f>
        <v>0</v>
      </c>
      <c r="L207" s="34">
        <f>IF(A207="","",IFERROR(INDEX(Jobs!$AK$5:$AK$604,MATCH(A207,Jobs!$A$5:$A$604,0)),0))</f>
        <v>0</v>
      </c>
      <c r="M207" s="34">
        <f>IF(A207="","",IF(IFERROR(L207*1,0)&gt;0,L207,IFERROR(K207*1,0)))</f>
        <v>0</v>
      </c>
      <c r="N207" s="21">
        <f>IF(A207="","",SUMIFS(Timesheets!$X$5:$X$804,Timesheets!$G$5:$G$804,A207))</f>
        <v>0</v>
      </c>
      <c r="O207" s="21">
        <f>IF(A207="","",IF(N207&gt;0,N207,ROUND(M207*CostPerHour,2)))</f>
        <v>0</v>
      </c>
      <c r="P207" s="21">
        <f>IF(A207="","",SUMIFS('Supply Usage'!$L$5:$L$304,'Supply Usage'!$F$5:$F$304,A207))</f>
        <v>0</v>
      </c>
      <c r="Q207" s="21">
        <f>IF(A207="","",IF(P207&gt;0,P207,ROUND(M207*SuppliesPerHour,2)))</f>
        <v>0</v>
      </c>
      <c r="R207" s="21">
        <f>IF(A207="","",ROUND(IFERROR(INDEX(Jobs!$W$5:$W$604,MATCH(A207,Jobs!$A$5:$A$604,0)),0)*MileageRate,2))</f>
        <v>0</v>
      </c>
      <c r="T207" s="21">
        <f>IF(A207="","",O207+Q207+R207+IF(S207="",0,S207))</f>
        <v>0</v>
      </c>
      <c r="U207" s="21">
        <f>IF(A207="","",J207-T207)</f>
        <v>0</v>
      </c>
      <c r="V207" s="38">
        <f>IF(OR(A207="",J207=0),"",U207/J207)</f>
        <v>0</v>
      </c>
      <c r="W207" s="21">
        <f>IF(OR(A207="",M207=0,J207=0),"",U207/M207)</f>
        <v>0</v>
      </c>
      <c r="X207" s="34">
        <f>IF(OR(A207="",L207="",L207=0,K207=""),"",L207-K207)</f>
        <v>0</v>
      </c>
      <c r="Y207" s="31">
        <f>IF(A207="","",COUNTIFS($U$5:$U$604,"&gt;"&amp;U207)+COUNTIFS($U$5:U207,U207))</f>
        <v>0</v>
      </c>
      <c r="Z207" s="31">
        <f>IF(A207="","",COUNTIFS($W$5:$W$604,"&gt;"&amp;W207)+COUNTIFS($W$5:W207,W207))</f>
        <v>0</v>
      </c>
      <c r="AA207" s="39">
        <f>IF(A207="","",IF(J207=0,"",IF(U207&lt;0,"Loss - this job cost you money",IF(V207&lt;MarginFloor,"Below - margin under the floor",IF(V207&lt;TargetMargin,"Check - under target margin",IF(AND(X207&lt;&gt;"",X207&gt;0.5),"Check - ran over the estimate","OK"))))))</f>
        <v>0</v>
      </c>
    </row>
    <row r="208" spans="1:27">
      <c r="A208" s="43">
        <f>IF(IFERROR(INDEX(Jobs!$A$5:$A$604,ROW()-4),"")="","",IFERROR(INDEX(Jobs!$A$5:$A$604,ROW()-4),""))</f>
        <v>0</v>
      </c>
      <c r="B208" s="18">
        <f>IF(A208="","",IFERROR(INDEX(Jobs!$B$5:$B$604,MATCH(A208,Jobs!$A$5:$A$604,0)),""))</f>
        <v>0</v>
      </c>
      <c r="C208" s="23">
        <f>IF(B208="","",TEXT(B208,"yyyy-mm"))</f>
        <v>0</v>
      </c>
      <c r="D208" s="43">
        <f>IF(A208="","",IFERROR(INDEX(Jobs!$G$5:$G$604,MATCH(A208,Jobs!$A$5:$A$604,0)),""))</f>
        <v>0</v>
      </c>
      <c r="E208" s="23">
        <f>IF(A208="","",IFERROR(INDEX(Jobs!$H$5:$H$604,MATCH(A208,Jobs!$A$5:$A$604,0)),""))</f>
        <v>0</v>
      </c>
      <c r="F208" s="23">
        <f>IF(A208="","",IFERROR(INDEX(Jobs!$K$5:$K$604,MATCH(A208,Jobs!$A$5:$A$604,0)),""))</f>
        <v>0</v>
      </c>
      <c r="G208" s="23">
        <f>IF(A208="","",IFERROR(INDEX(Jobs!$M$5:$M$604,MATCH(A208,Jobs!$A$5:$A$604,0)),""))</f>
        <v>0</v>
      </c>
      <c r="H208" s="23">
        <f>IF(A208="","",IFERROR(INDEX(Jobs!$R$5:$R$604,MATCH(A208,Jobs!$A$5:$A$604,0)),""))</f>
        <v>0</v>
      </c>
      <c r="I208" s="39">
        <f>IF(A208="","",IFERROR(INDEX(Jobs!$P$5:$P$604,MATCH(A208,Jobs!$A$5:$A$604,0)),""))</f>
        <v>0</v>
      </c>
      <c r="J208" s="21">
        <f>IF(A208="","",IF(OR(I208="Completed",I208="Invoiced"),IFERROR(INDEX(Jobs!$AJ$5:$AJ$604,MATCH(A208,Jobs!$A$5:$A$604,0)),0),0))</f>
        <v>0</v>
      </c>
      <c r="K208" s="34">
        <f>IF(A208="","",IFERROR(INDEX(Jobs!$AD$5:$AD$604,MATCH(A208,Jobs!$A$5:$A$604,0)),0))</f>
        <v>0</v>
      </c>
      <c r="L208" s="34">
        <f>IF(A208="","",IFERROR(INDEX(Jobs!$AK$5:$AK$604,MATCH(A208,Jobs!$A$5:$A$604,0)),0))</f>
        <v>0</v>
      </c>
      <c r="M208" s="34">
        <f>IF(A208="","",IF(IFERROR(L208*1,0)&gt;0,L208,IFERROR(K208*1,0)))</f>
        <v>0</v>
      </c>
      <c r="N208" s="21">
        <f>IF(A208="","",SUMIFS(Timesheets!$X$5:$X$804,Timesheets!$G$5:$G$804,A208))</f>
        <v>0</v>
      </c>
      <c r="O208" s="21">
        <f>IF(A208="","",IF(N208&gt;0,N208,ROUND(M208*CostPerHour,2)))</f>
        <v>0</v>
      </c>
      <c r="P208" s="21">
        <f>IF(A208="","",SUMIFS('Supply Usage'!$L$5:$L$304,'Supply Usage'!$F$5:$F$304,A208))</f>
        <v>0</v>
      </c>
      <c r="Q208" s="21">
        <f>IF(A208="","",IF(P208&gt;0,P208,ROUND(M208*SuppliesPerHour,2)))</f>
        <v>0</v>
      </c>
      <c r="R208" s="21">
        <f>IF(A208="","",ROUND(IFERROR(INDEX(Jobs!$W$5:$W$604,MATCH(A208,Jobs!$A$5:$A$604,0)),0)*MileageRate,2))</f>
        <v>0</v>
      </c>
      <c r="T208" s="21">
        <f>IF(A208="","",O208+Q208+R208+IF(S208="",0,S208))</f>
        <v>0</v>
      </c>
      <c r="U208" s="21">
        <f>IF(A208="","",J208-T208)</f>
        <v>0</v>
      </c>
      <c r="V208" s="38">
        <f>IF(OR(A208="",J208=0),"",U208/J208)</f>
        <v>0</v>
      </c>
      <c r="W208" s="21">
        <f>IF(OR(A208="",M208=0,J208=0),"",U208/M208)</f>
        <v>0</v>
      </c>
      <c r="X208" s="34">
        <f>IF(OR(A208="",L208="",L208=0,K208=""),"",L208-K208)</f>
        <v>0</v>
      </c>
      <c r="Y208" s="31">
        <f>IF(A208="","",COUNTIFS($U$5:$U$604,"&gt;"&amp;U208)+COUNTIFS($U$5:U208,U208))</f>
        <v>0</v>
      </c>
      <c r="Z208" s="31">
        <f>IF(A208="","",COUNTIFS($W$5:$W$604,"&gt;"&amp;W208)+COUNTIFS($W$5:W208,W208))</f>
        <v>0</v>
      </c>
      <c r="AA208" s="39">
        <f>IF(A208="","",IF(J208=0,"",IF(U208&lt;0,"Loss - this job cost you money",IF(V208&lt;MarginFloor,"Below - margin under the floor",IF(V208&lt;TargetMargin,"Check - under target margin",IF(AND(X208&lt;&gt;"",X208&gt;0.5),"Check - ran over the estimate","OK"))))))</f>
        <v>0</v>
      </c>
    </row>
    <row r="209" spans="1:27">
      <c r="A209" s="43">
        <f>IF(IFERROR(INDEX(Jobs!$A$5:$A$604,ROW()-4),"")="","",IFERROR(INDEX(Jobs!$A$5:$A$604,ROW()-4),""))</f>
        <v>0</v>
      </c>
      <c r="B209" s="18">
        <f>IF(A209="","",IFERROR(INDEX(Jobs!$B$5:$B$604,MATCH(A209,Jobs!$A$5:$A$604,0)),""))</f>
        <v>0</v>
      </c>
      <c r="C209" s="23">
        <f>IF(B209="","",TEXT(B209,"yyyy-mm"))</f>
        <v>0</v>
      </c>
      <c r="D209" s="43">
        <f>IF(A209="","",IFERROR(INDEX(Jobs!$G$5:$G$604,MATCH(A209,Jobs!$A$5:$A$604,0)),""))</f>
        <v>0</v>
      </c>
      <c r="E209" s="23">
        <f>IF(A209="","",IFERROR(INDEX(Jobs!$H$5:$H$604,MATCH(A209,Jobs!$A$5:$A$604,0)),""))</f>
        <v>0</v>
      </c>
      <c r="F209" s="23">
        <f>IF(A209="","",IFERROR(INDEX(Jobs!$K$5:$K$604,MATCH(A209,Jobs!$A$5:$A$604,0)),""))</f>
        <v>0</v>
      </c>
      <c r="G209" s="23">
        <f>IF(A209="","",IFERROR(INDEX(Jobs!$M$5:$M$604,MATCH(A209,Jobs!$A$5:$A$604,0)),""))</f>
        <v>0</v>
      </c>
      <c r="H209" s="23">
        <f>IF(A209="","",IFERROR(INDEX(Jobs!$R$5:$R$604,MATCH(A209,Jobs!$A$5:$A$604,0)),""))</f>
        <v>0</v>
      </c>
      <c r="I209" s="39">
        <f>IF(A209="","",IFERROR(INDEX(Jobs!$P$5:$P$604,MATCH(A209,Jobs!$A$5:$A$604,0)),""))</f>
        <v>0</v>
      </c>
      <c r="J209" s="21">
        <f>IF(A209="","",IF(OR(I209="Completed",I209="Invoiced"),IFERROR(INDEX(Jobs!$AJ$5:$AJ$604,MATCH(A209,Jobs!$A$5:$A$604,0)),0),0))</f>
        <v>0</v>
      </c>
      <c r="K209" s="34">
        <f>IF(A209="","",IFERROR(INDEX(Jobs!$AD$5:$AD$604,MATCH(A209,Jobs!$A$5:$A$604,0)),0))</f>
        <v>0</v>
      </c>
      <c r="L209" s="34">
        <f>IF(A209="","",IFERROR(INDEX(Jobs!$AK$5:$AK$604,MATCH(A209,Jobs!$A$5:$A$604,0)),0))</f>
        <v>0</v>
      </c>
      <c r="M209" s="34">
        <f>IF(A209="","",IF(IFERROR(L209*1,0)&gt;0,L209,IFERROR(K209*1,0)))</f>
        <v>0</v>
      </c>
      <c r="N209" s="21">
        <f>IF(A209="","",SUMIFS(Timesheets!$X$5:$X$804,Timesheets!$G$5:$G$804,A209))</f>
        <v>0</v>
      </c>
      <c r="O209" s="21">
        <f>IF(A209="","",IF(N209&gt;0,N209,ROUND(M209*CostPerHour,2)))</f>
        <v>0</v>
      </c>
      <c r="P209" s="21">
        <f>IF(A209="","",SUMIFS('Supply Usage'!$L$5:$L$304,'Supply Usage'!$F$5:$F$304,A209))</f>
        <v>0</v>
      </c>
      <c r="Q209" s="21">
        <f>IF(A209="","",IF(P209&gt;0,P209,ROUND(M209*SuppliesPerHour,2)))</f>
        <v>0</v>
      </c>
      <c r="R209" s="21">
        <f>IF(A209="","",ROUND(IFERROR(INDEX(Jobs!$W$5:$W$604,MATCH(A209,Jobs!$A$5:$A$604,0)),0)*MileageRate,2))</f>
        <v>0</v>
      </c>
      <c r="T209" s="21">
        <f>IF(A209="","",O209+Q209+R209+IF(S209="",0,S209))</f>
        <v>0</v>
      </c>
      <c r="U209" s="21">
        <f>IF(A209="","",J209-T209)</f>
        <v>0</v>
      </c>
      <c r="V209" s="38">
        <f>IF(OR(A209="",J209=0),"",U209/J209)</f>
        <v>0</v>
      </c>
      <c r="W209" s="21">
        <f>IF(OR(A209="",M209=0,J209=0),"",U209/M209)</f>
        <v>0</v>
      </c>
      <c r="X209" s="34">
        <f>IF(OR(A209="",L209="",L209=0,K209=""),"",L209-K209)</f>
        <v>0</v>
      </c>
      <c r="Y209" s="31">
        <f>IF(A209="","",COUNTIFS($U$5:$U$604,"&gt;"&amp;U209)+COUNTIFS($U$5:U209,U209))</f>
        <v>0</v>
      </c>
      <c r="Z209" s="31">
        <f>IF(A209="","",COUNTIFS($W$5:$W$604,"&gt;"&amp;W209)+COUNTIFS($W$5:W209,W209))</f>
        <v>0</v>
      </c>
      <c r="AA209" s="39">
        <f>IF(A209="","",IF(J209=0,"",IF(U209&lt;0,"Loss - this job cost you money",IF(V209&lt;MarginFloor,"Below - margin under the floor",IF(V209&lt;TargetMargin,"Check - under target margin",IF(AND(X209&lt;&gt;"",X209&gt;0.5),"Check - ran over the estimate","OK"))))))</f>
        <v>0</v>
      </c>
    </row>
    <row r="210" spans="1:27">
      <c r="A210" s="43">
        <f>IF(IFERROR(INDEX(Jobs!$A$5:$A$604,ROW()-4),"")="","",IFERROR(INDEX(Jobs!$A$5:$A$604,ROW()-4),""))</f>
        <v>0</v>
      </c>
      <c r="B210" s="18">
        <f>IF(A210="","",IFERROR(INDEX(Jobs!$B$5:$B$604,MATCH(A210,Jobs!$A$5:$A$604,0)),""))</f>
        <v>0</v>
      </c>
      <c r="C210" s="23">
        <f>IF(B210="","",TEXT(B210,"yyyy-mm"))</f>
        <v>0</v>
      </c>
      <c r="D210" s="43">
        <f>IF(A210="","",IFERROR(INDEX(Jobs!$G$5:$G$604,MATCH(A210,Jobs!$A$5:$A$604,0)),""))</f>
        <v>0</v>
      </c>
      <c r="E210" s="23">
        <f>IF(A210="","",IFERROR(INDEX(Jobs!$H$5:$H$604,MATCH(A210,Jobs!$A$5:$A$604,0)),""))</f>
        <v>0</v>
      </c>
      <c r="F210" s="23">
        <f>IF(A210="","",IFERROR(INDEX(Jobs!$K$5:$K$604,MATCH(A210,Jobs!$A$5:$A$604,0)),""))</f>
        <v>0</v>
      </c>
      <c r="G210" s="23">
        <f>IF(A210="","",IFERROR(INDEX(Jobs!$M$5:$M$604,MATCH(A210,Jobs!$A$5:$A$604,0)),""))</f>
        <v>0</v>
      </c>
      <c r="H210" s="23">
        <f>IF(A210="","",IFERROR(INDEX(Jobs!$R$5:$R$604,MATCH(A210,Jobs!$A$5:$A$604,0)),""))</f>
        <v>0</v>
      </c>
      <c r="I210" s="39">
        <f>IF(A210="","",IFERROR(INDEX(Jobs!$P$5:$P$604,MATCH(A210,Jobs!$A$5:$A$604,0)),""))</f>
        <v>0</v>
      </c>
      <c r="J210" s="21">
        <f>IF(A210="","",IF(OR(I210="Completed",I210="Invoiced"),IFERROR(INDEX(Jobs!$AJ$5:$AJ$604,MATCH(A210,Jobs!$A$5:$A$604,0)),0),0))</f>
        <v>0</v>
      </c>
      <c r="K210" s="34">
        <f>IF(A210="","",IFERROR(INDEX(Jobs!$AD$5:$AD$604,MATCH(A210,Jobs!$A$5:$A$604,0)),0))</f>
        <v>0</v>
      </c>
      <c r="L210" s="34">
        <f>IF(A210="","",IFERROR(INDEX(Jobs!$AK$5:$AK$604,MATCH(A210,Jobs!$A$5:$A$604,0)),0))</f>
        <v>0</v>
      </c>
      <c r="M210" s="34">
        <f>IF(A210="","",IF(IFERROR(L210*1,0)&gt;0,L210,IFERROR(K210*1,0)))</f>
        <v>0</v>
      </c>
      <c r="N210" s="21">
        <f>IF(A210="","",SUMIFS(Timesheets!$X$5:$X$804,Timesheets!$G$5:$G$804,A210))</f>
        <v>0</v>
      </c>
      <c r="O210" s="21">
        <f>IF(A210="","",IF(N210&gt;0,N210,ROUND(M210*CostPerHour,2)))</f>
        <v>0</v>
      </c>
      <c r="P210" s="21">
        <f>IF(A210="","",SUMIFS('Supply Usage'!$L$5:$L$304,'Supply Usage'!$F$5:$F$304,A210))</f>
        <v>0</v>
      </c>
      <c r="Q210" s="21">
        <f>IF(A210="","",IF(P210&gt;0,P210,ROUND(M210*SuppliesPerHour,2)))</f>
        <v>0</v>
      </c>
      <c r="R210" s="21">
        <f>IF(A210="","",ROUND(IFERROR(INDEX(Jobs!$W$5:$W$604,MATCH(A210,Jobs!$A$5:$A$604,0)),0)*MileageRate,2))</f>
        <v>0</v>
      </c>
      <c r="T210" s="21">
        <f>IF(A210="","",O210+Q210+R210+IF(S210="",0,S210))</f>
        <v>0</v>
      </c>
      <c r="U210" s="21">
        <f>IF(A210="","",J210-T210)</f>
        <v>0</v>
      </c>
      <c r="V210" s="38">
        <f>IF(OR(A210="",J210=0),"",U210/J210)</f>
        <v>0</v>
      </c>
      <c r="W210" s="21">
        <f>IF(OR(A210="",M210=0,J210=0),"",U210/M210)</f>
        <v>0</v>
      </c>
      <c r="X210" s="34">
        <f>IF(OR(A210="",L210="",L210=0,K210=""),"",L210-K210)</f>
        <v>0</v>
      </c>
      <c r="Y210" s="31">
        <f>IF(A210="","",COUNTIFS($U$5:$U$604,"&gt;"&amp;U210)+COUNTIFS($U$5:U210,U210))</f>
        <v>0</v>
      </c>
      <c r="Z210" s="31">
        <f>IF(A210="","",COUNTIFS($W$5:$W$604,"&gt;"&amp;W210)+COUNTIFS($W$5:W210,W210))</f>
        <v>0</v>
      </c>
      <c r="AA210" s="39">
        <f>IF(A210="","",IF(J210=0,"",IF(U210&lt;0,"Loss - this job cost you money",IF(V210&lt;MarginFloor,"Below - margin under the floor",IF(V210&lt;TargetMargin,"Check - under target margin",IF(AND(X210&lt;&gt;"",X210&gt;0.5),"Check - ran over the estimate","OK"))))))</f>
        <v>0</v>
      </c>
    </row>
    <row r="211" spans="1:27">
      <c r="A211" s="43">
        <f>IF(IFERROR(INDEX(Jobs!$A$5:$A$604,ROW()-4),"")="","",IFERROR(INDEX(Jobs!$A$5:$A$604,ROW()-4),""))</f>
        <v>0</v>
      </c>
      <c r="B211" s="18">
        <f>IF(A211="","",IFERROR(INDEX(Jobs!$B$5:$B$604,MATCH(A211,Jobs!$A$5:$A$604,0)),""))</f>
        <v>0</v>
      </c>
      <c r="C211" s="23">
        <f>IF(B211="","",TEXT(B211,"yyyy-mm"))</f>
        <v>0</v>
      </c>
      <c r="D211" s="43">
        <f>IF(A211="","",IFERROR(INDEX(Jobs!$G$5:$G$604,MATCH(A211,Jobs!$A$5:$A$604,0)),""))</f>
        <v>0</v>
      </c>
      <c r="E211" s="23">
        <f>IF(A211="","",IFERROR(INDEX(Jobs!$H$5:$H$604,MATCH(A211,Jobs!$A$5:$A$604,0)),""))</f>
        <v>0</v>
      </c>
      <c r="F211" s="23">
        <f>IF(A211="","",IFERROR(INDEX(Jobs!$K$5:$K$604,MATCH(A211,Jobs!$A$5:$A$604,0)),""))</f>
        <v>0</v>
      </c>
      <c r="G211" s="23">
        <f>IF(A211="","",IFERROR(INDEX(Jobs!$M$5:$M$604,MATCH(A211,Jobs!$A$5:$A$604,0)),""))</f>
        <v>0</v>
      </c>
      <c r="H211" s="23">
        <f>IF(A211="","",IFERROR(INDEX(Jobs!$R$5:$R$604,MATCH(A211,Jobs!$A$5:$A$604,0)),""))</f>
        <v>0</v>
      </c>
      <c r="I211" s="39">
        <f>IF(A211="","",IFERROR(INDEX(Jobs!$P$5:$P$604,MATCH(A211,Jobs!$A$5:$A$604,0)),""))</f>
        <v>0</v>
      </c>
      <c r="J211" s="21">
        <f>IF(A211="","",IF(OR(I211="Completed",I211="Invoiced"),IFERROR(INDEX(Jobs!$AJ$5:$AJ$604,MATCH(A211,Jobs!$A$5:$A$604,0)),0),0))</f>
        <v>0</v>
      </c>
      <c r="K211" s="34">
        <f>IF(A211="","",IFERROR(INDEX(Jobs!$AD$5:$AD$604,MATCH(A211,Jobs!$A$5:$A$604,0)),0))</f>
        <v>0</v>
      </c>
      <c r="L211" s="34">
        <f>IF(A211="","",IFERROR(INDEX(Jobs!$AK$5:$AK$604,MATCH(A211,Jobs!$A$5:$A$604,0)),0))</f>
        <v>0</v>
      </c>
      <c r="M211" s="34">
        <f>IF(A211="","",IF(IFERROR(L211*1,0)&gt;0,L211,IFERROR(K211*1,0)))</f>
        <v>0</v>
      </c>
      <c r="N211" s="21">
        <f>IF(A211="","",SUMIFS(Timesheets!$X$5:$X$804,Timesheets!$G$5:$G$804,A211))</f>
        <v>0</v>
      </c>
      <c r="O211" s="21">
        <f>IF(A211="","",IF(N211&gt;0,N211,ROUND(M211*CostPerHour,2)))</f>
        <v>0</v>
      </c>
      <c r="P211" s="21">
        <f>IF(A211="","",SUMIFS('Supply Usage'!$L$5:$L$304,'Supply Usage'!$F$5:$F$304,A211))</f>
        <v>0</v>
      </c>
      <c r="Q211" s="21">
        <f>IF(A211="","",IF(P211&gt;0,P211,ROUND(M211*SuppliesPerHour,2)))</f>
        <v>0</v>
      </c>
      <c r="R211" s="21">
        <f>IF(A211="","",ROUND(IFERROR(INDEX(Jobs!$W$5:$W$604,MATCH(A211,Jobs!$A$5:$A$604,0)),0)*MileageRate,2))</f>
        <v>0</v>
      </c>
      <c r="T211" s="21">
        <f>IF(A211="","",O211+Q211+R211+IF(S211="",0,S211))</f>
        <v>0</v>
      </c>
      <c r="U211" s="21">
        <f>IF(A211="","",J211-T211)</f>
        <v>0</v>
      </c>
      <c r="V211" s="38">
        <f>IF(OR(A211="",J211=0),"",U211/J211)</f>
        <v>0</v>
      </c>
      <c r="W211" s="21">
        <f>IF(OR(A211="",M211=0,J211=0),"",U211/M211)</f>
        <v>0</v>
      </c>
      <c r="X211" s="34">
        <f>IF(OR(A211="",L211="",L211=0,K211=""),"",L211-K211)</f>
        <v>0</v>
      </c>
      <c r="Y211" s="31">
        <f>IF(A211="","",COUNTIFS($U$5:$U$604,"&gt;"&amp;U211)+COUNTIFS($U$5:U211,U211))</f>
        <v>0</v>
      </c>
      <c r="Z211" s="31">
        <f>IF(A211="","",COUNTIFS($W$5:$W$604,"&gt;"&amp;W211)+COUNTIFS($W$5:W211,W211))</f>
        <v>0</v>
      </c>
      <c r="AA211" s="39">
        <f>IF(A211="","",IF(J211=0,"",IF(U211&lt;0,"Loss - this job cost you money",IF(V211&lt;MarginFloor,"Below - margin under the floor",IF(V211&lt;TargetMargin,"Check - under target margin",IF(AND(X211&lt;&gt;"",X211&gt;0.5),"Check - ran over the estimate","OK"))))))</f>
        <v>0</v>
      </c>
    </row>
    <row r="212" spans="1:27">
      <c r="A212" s="43">
        <f>IF(IFERROR(INDEX(Jobs!$A$5:$A$604,ROW()-4),"")="","",IFERROR(INDEX(Jobs!$A$5:$A$604,ROW()-4),""))</f>
        <v>0</v>
      </c>
      <c r="B212" s="18">
        <f>IF(A212="","",IFERROR(INDEX(Jobs!$B$5:$B$604,MATCH(A212,Jobs!$A$5:$A$604,0)),""))</f>
        <v>0</v>
      </c>
      <c r="C212" s="23">
        <f>IF(B212="","",TEXT(B212,"yyyy-mm"))</f>
        <v>0</v>
      </c>
      <c r="D212" s="43">
        <f>IF(A212="","",IFERROR(INDEX(Jobs!$G$5:$G$604,MATCH(A212,Jobs!$A$5:$A$604,0)),""))</f>
        <v>0</v>
      </c>
      <c r="E212" s="23">
        <f>IF(A212="","",IFERROR(INDEX(Jobs!$H$5:$H$604,MATCH(A212,Jobs!$A$5:$A$604,0)),""))</f>
        <v>0</v>
      </c>
      <c r="F212" s="23">
        <f>IF(A212="","",IFERROR(INDEX(Jobs!$K$5:$K$604,MATCH(A212,Jobs!$A$5:$A$604,0)),""))</f>
        <v>0</v>
      </c>
      <c r="G212" s="23">
        <f>IF(A212="","",IFERROR(INDEX(Jobs!$M$5:$M$604,MATCH(A212,Jobs!$A$5:$A$604,0)),""))</f>
        <v>0</v>
      </c>
      <c r="H212" s="23">
        <f>IF(A212="","",IFERROR(INDEX(Jobs!$R$5:$R$604,MATCH(A212,Jobs!$A$5:$A$604,0)),""))</f>
        <v>0</v>
      </c>
      <c r="I212" s="39">
        <f>IF(A212="","",IFERROR(INDEX(Jobs!$P$5:$P$604,MATCH(A212,Jobs!$A$5:$A$604,0)),""))</f>
        <v>0</v>
      </c>
      <c r="J212" s="21">
        <f>IF(A212="","",IF(OR(I212="Completed",I212="Invoiced"),IFERROR(INDEX(Jobs!$AJ$5:$AJ$604,MATCH(A212,Jobs!$A$5:$A$604,0)),0),0))</f>
        <v>0</v>
      </c>
      <c r="K212" s="34">
        <f>IF(A212="","",IFERROR(INDEX(Jobs!$AD$5:$AD$604,MATCH(A212,Jobs!$A$5:$A$604,0)),0))</f>
        <v>0</v>
      </c>
      <c r="L212" s="34">
        <f>IF(A212="","",IFERROR(INDEX(Jobs!$AK$5:$AK$604,MATCH(A212,Jobs!$A$5:$A$604,0)),0))</f>
        <v>0</v>
      </c>
      <c r="M212" s="34">
        <f>IF(A212="","",IF(IFERROR(L212*1,0)&gt;0,L212,IFERROR(K212*1,0)))</f>
        <v>0</v>
      </c>
      <c r="N212" s="21">
        <f>IF(A212="","",SUMIFS(Timesheets!$X$5:$X$804,Timesheets!$G$5:$G$804,A212))</f>
        <v>0</v>
      </c>
      <c r="O212" s="21">
        <f>IF(A212="","",IF(N212&gt;0,N212,ROUND(M212*CostPerHour,2)))</f>
        <v>0</v>
      </c>
      <c r="P212" s="21">
        <f>IF(A212="","",SUMIFS('Supply Usage'!$L$5:$L$304,'Supply Usage'!$F$5:$F$304,A212))</f>
        <v>0</v>
      </c>
      <c r="Q212" s="21">
        <f>IF(A212="","",IF(P212&gt;0,P212,ROUND(M212*SuppliesPerHour,2)))</f>
        <v>0</v>
      </c>
      <c r="R212" s="21">
        <f>IF(A212="","",ROUND(IFERROR(INDEX(Jobs!$W$5:$W$604,MATCH(A212,Jobs!$A$5:$A$604,0)),0)*MileageRate,2))</f>
        <v>0</v>
      </c>
      <c r="T212" s="21">
        <f>IF(A212="","",O212+Q212+R212+IF(S212="",0,S212))</f>
        <v>0</v>
      </c>
      <c r="U212" s="21">
        <f>IF(A212="","",J212-T212)</f>
        <v>0</v>
      </c>
      <c r="V212" s="38">
        <f>IF(OR(A212="",J212=0),"",U212/J212)</f>
        <v>0</v>
      </c>
      <c r="W212" s="21">
        <f>IF(OR(A212="",M212=0,J212=0),"",U212/M212)</f>
        <v>0</v>
      </c>
      <c r="X212" s="34">
        <f>IF(OR(A212="",L212="",L212=0,K212=""),"",L212-K212)</f>
        <v>0</v>
      </c>
      <c r="Y212" s="31">
        <f>IF(A212="","",COUNTIFS($U$5:$U$604,"&gt;"&amp;U212)+COUNTIFS($U$5:U212,U212))</f>
        <v>0</v>
      </c>
      <c r="Z212" s="31">
        <f>IF(A212="","",COUNTIFS($W$5:$W$604,"&gt;"&amp;W212)+COUNTIFS($W$5:W212,W212))</f>
        <v>0</v>
      </c>
      <c r="AA212" s="39">
        <f>IF(A212="","",IF(J212=0,"",IF(U212&lt;0,"Loss - this job cost you money",IF(V212&lt;MarginFloor,"Below - margin under the floor",IF(V212&lt;TargetMargin,"Check - under target margin",IF(AND(X212&lt;&gt;"",X212&gt;0.5),"Check - ran over the estimate","OK"))))))</f>
        <v>0</v>
      </c>
    </row>
    <row r="213" spans="1:27">
      <c r="A213" s="43">
        <f>IF(IFERROR(INDEX(Jobs!$A$5:$A$604,ROW()-4),"")="","",IFERROR(INDEX(Jobs!$A$5:$A$604,ROW()-4),""))</f>
        <v>0</v>
      </c>
      <c r="B213" s="18">
        <f>IF(A213="","",IFERROR(INDEX(Jobs!$B$5:$B$604,MATCH(A213,Jobs!$A$5:$A$604,0)),""))</f>
        <v>0</v>
      </c>
      <c r="C213" s="23">
        <f>IF(B213="","",TEXT(B213,"yyyy-mm"))</f>
        <v>0</v>
      </c>
      <c r="D213" s="43">
        <f>IF(A213="","",IFERROR(INDEX(Jobs!$G$5:$G$604,MATCH(A213,Jobs!$A$5:$A$604,0)),""))</f>
        <v>0</v>
      </c>
      <c r="E213" s="23">
        <f>IF(A213="","",IFERROR(INDEX(Jobs!$H$5:$H$604,MATCH(A213,Jobs!$A$5:$A$604,0)),""))</f>
        <v>0</v>
      </c>
      <c r="F213" s="23">
        <f>IF(A213="","",IFERROR(INDEX(Jobs!$K$5:$K$604,MATCH(A213,Jobs!$A$5:$A$604,0)),""))</f>
        <v>0</v>
      </c>
      <c r="G213" s="23">
        <f>IF(A213="","",IFERROR(INDEX(Jobs!$M$5:$M$604,MATCH(A213,Jobs!$A$5:$A$604,0)),""))</f>
        <v>0</v>
      </c>
      <c r="H213" s="23">
        <f>IF(A213="","",IFERROR(INDEX(Jobs!$R$5:$R$604,MATCH(A213,Jobs!$A$5:$A$604,0)),""))</f>
        <v>0</v>
      </c>
      <c r="I213" s="39">
        <f>IF(A213="","",IFERROR(INDEX(Jobs!$P$5:$P$604,MATCH(A213,Jobs!$A$5:$A$604,0)),""))</f>
        <v>0</v>
      </c>
      <c r="J213" s="21">
        <f>IF(A213="","",IF(OR(I213="Completed",I213="Invoiced"),IFERROR(INDEX(Jobs!$AJ$5:$AJ$604,MATCH(A213,Jobs!$A$5:$A$604,0)),0),0))</f>
        <v>0</v>
      </c>
      <c r="K213" s="34">
        <f>IF(A213="","",IFERROR(INDEX(Jobs!$AD$5:$AD$604,MATCH(A213,Jobs!$A$5:$A$604,0)),0))</f>
        <v>0</v>
      </c>
      <c r="L213" s="34">
        <f>IF(A213="","",IFERROR(INDEX(Jobs!$AK$5:$AK$604,MATCH(A213,Jobs!$A$5:$A$604,0)),0))</f>
        <v>0</v>
      </c>
      <c r="M213" s="34">
        <f>IF(A213="","",IF(IFERROR(L213*1,0)&gt;0,L213,IFERROR(K213*1,0)))</f>
        <v>0</v>
      </c>
      <c r="N213" s="21">
        <f>IF(A213="","",SUMIFS(Timesheets!$X$5:$X$804,Timesheets!$G$5:$G$804,A213))</f>
        <v>0</v>
      </c>
      <c r="O213" s="21">
        <f>IF(A213="","",IF(N213&gt;0,N213,ROUND(M213*CostPerHour,2)))</f>
        <v>0</v>
      </c>
      <c r="P213" s="21">
        <f>IF(A213="","",SUMIFS('Supply Usage'!$L$5:$L$304,'Supply Usage'!$F$5:$F$304,A213))</f>
        <v>0</v>
      </c>
      <c r="Q213" s="21">
        <f>IF(A213="","",IF(P213&gt;0,P213,ROUND(M213*SuppliesPerHour,2)))</f>
        <v>0</v>
      </c>
      <c r="R213" s="21">
        <f>IF(A213="","",ROUND(IFERROR(INDEX(Jobs!$W$5:$W$604,MATCH(A213,Jobs!$A$5:$A$604,0)),0)*MileageRate,2))</f>
        <v>0</v>
      </c>
      <c r="T213" s="21">
        <f>IF(A213="","",O213+Q213+R213+IF(S213="",0,S213))</f>
        <v>0</v>
      </c>
      <c r="U213" s="21">
        <f>IF(A213="","",J213-T213)</f>
        <v>0</v>
      </c>
      <c r="V213" s="38">
        <f>IF(OR(A213="",J213=0),"",U213/J213)</f>
        <v>0</v>
      </c>
      <c r="W213" s="21">
        <f>IF(OR(A213="",M213=0,J213=0),"",U213/M213)</f>
        <v>0</v>
      </c>
      <c r="X213" s="34">
        <f>IF(OR(A213="",L213="",L213=0,K213=""),"",L213-K213)</f>
        <v>0</v>
      </c>
      <c r="Y213" s="31">
        <f>IF(A213="","",COUNTIFS($U$5:$U$604,"&gt;"&amp;U213)+COUNTIFS($U$5:U213,U213))</f>
        <v>0</v>
      </c>
      <c r="Z213" s="31">
        <f>IF(A213="","",COUNTIFS($W$5:$W$604,"&gt;"&amp;W213)+COUNTIFS($W$5:W213,W213))</f>
        <v>0</v>
      </c>
      <c r="AA213" s="39">
        <f>IF(A213="","",IF(J213=0,"",IF(U213&lt;0,"Loss - this job cost you money",IF(V213&lt;MarginFloor,"Below - margin under the floor",IF(V213&lt;TargetMargin,"Check - under target margin",IF(AND(X213&lt;&gt;"",X213&gt;0.5),"Check - ran over the estimate","OK"))))))</f>
        <v>0</v>
      </c>
    </row>
    <row r="214" spans="1:27">
      <c r="A214" s="43">
        <f>IF(IFERROR(INDEX(Jobs!$A$5:$A$604,ROW()-4),"")="","",IFERROR(INDEX(Jobs!$A$5:$A$604,ROW()-4),""))</f>
        <v>0</v>
      </c>
      <c r="B214" s="18">
        <f>IF(A214="","",IFERROR(INDEX(Jobs!$B$5:$B$604,MATCH(A214,Jobs!$A$5:$A$604,0)),""))</f>
        <v>0</v>
      </c>
      <c r="C214" s="23">
        <f>IF(B214="","",TEXT(B214,"yyyy-mm"))</f>
        <v>0</v>
      </c>
      <c r="D214" s="43">
        <f>IF(A214="","",IFERROR(INDEX(Jobs!$G$5:$G$604,MATCH(A214,Jobs!$A$5:$A$604,0)),""))</f>
        <v>0</v>
      </c>
      <c r="E214" s="23">
        <f>IF(A214="","",IFERROR(INDEX(Jobs!$H$5:$H$604,MATCH(A214,Jobs!$A$5:$A$604,0)),""))</f>
        <v>0</v>
      </c>
      <c r="F214" s="23">
        <f>IF(A214="","",IFERROR(INDEX(Jobs!$K$5:$K$604,MATCH(A214,Jobs!$A$5:$A$604,0)),""))</f>
        <v>0</v>
      </c>
      <c r="G214" s="23">
        <f>IF(A214="","",IFERROR(INDEX(Jobs!$M$5:$M$604,MATCH(A214,Jobs!$A$5:$A$604,0)),""))</f>
        <v>0</v>
      </c>
      <c r="H214" s="23">
        <f>IF(A214="","",IFERROR(INDEX(Jobs!$R$5:$R$604,MATCH(A214,Jobs!$A$5:$A$604,0)),""))</f>
        <v>0</v>
      </c>
      <c r="I214" s="39">
        <f>IF(A214="","",IFERROR(INDEX(Jobs!$P$5:$P$604,MATCH(A214,Jobs!$A$5:$A$604,0)),""))</f>
        <v>0</v>
      </c>
      <c r="J214" s="21">
        <f>IF(A214="","",IF(OR(I214="Completed",I214="Invoiced"),IFERROR(INDEX(Jobs!$AJ$5:$AJ$604,MATCH(A214,Jobs!$A$5:$A$604,0)),0),0))</f>
        <v>0</v>
      </c>
      <c r="K214" s="34">
        <f>IF(A214="","",IFERROR(INDEX(Jobs!$AD$5:$AD$604,MATCH(A214,Jobs!$A$5:$A$604,0)),0))</f>
        <v>0</v>
      </c>
      <c r="L214" s="34">
        <f>IF(A214="","",IFERROR(INDEX(Jobs!$AK$5:$AK$604,MATCH(A214,Jobs!$A$5:$A$604,0)),0))</f>
        <v>0</v>
      </c>
      <c r="M214" s="34">
        <f>IF(A214="","",IF(IFERROR(L214*1,0)&gt;0,L214,IFERROR(K214*1,0)))</f>
        <v>0</v>
      </c>
      <c r="N214" s="21">
        <f>IF(A214="","",SUMIFS(Timesheets!$X$5:$X$804,Timesheets!$G$5:$G$804,A214))</f>
        <v>0</v>
      </c>
      <c r="O214" s="21">
        <f>IF(A214="","",IF(N214&gt;0,N214,ROUND(M214*CostPerHour,2)))</f>
        <v>0</v>
      </c>
      <c r="P214" s="21">
        <f>IF(A214="","",SUMIFS('Supply Usage'!$L$5:$L$304,'Supply Usage'!$F$5:$F$304,A214))</f>
        <v>0</v>
      </c>
      <c r="Q214" s="21">
        <f>IF(A214="","",IF(P214&gt;0,P214,ROUND(M214*SuppliesPerHour,2)))</f>
        <v>0</v>
      </c>
      <c r="R214" s="21">
        <f>IF(A214="","",ROUND(IFERROR(INDEX(Jobs!$W$5:$W$604,MATCH(A214,Jobs!$A$5:$A$604,0)),0)*MileageRate,2))</f>
        <v>0</v>
      </c>
      <c r="T214" s="21">
        <f>IF(A214="","",O214+Q214+R214+IF(S214="",0,S214))</f>
        <v>0</v>
      </c>
      <c r="U214" s="21">
        <f>IF(A214="","",J214-T214)</f>
        <v>0</v>
      </c>
      <c r="V214" s="38">
        <f>IF(OR(A214="",J214=0),"",U214/J214)</f>
        <v>0</v>
      </c>
      <c r="W214" s="21">
        <f>IF(OR(A214="",M214=0,J214=0),"",U214/M214)</f>
        <v>0</v>
      </c>
      <c r="X214" s="34">
        <f>IF(OR(A214="",L214="",L214=0,K214=""),"",L214-K214)</f>
        <v>0</v>
      </c>
      <c r="Y214" s="31">
        <f>IF(A214="","",COUNTIFS($U$5:$U$604,"&gt;"&amp;U214)+COUNTIFS($U$5:U214,U214))</f>
        <v>0</v>
      </c>
      <c r="Z214" s="31">
        <f>IF(A214="","",COUNTIFS($W$5:$W$604,"&gt;"&amp;W214)+COUNTIFS($W$5:W214,W214))</f>
        <v>0</v>
      </c>
      <c r="AA214" s="39">
        <f>IF(A214="","",IF(J214=0,"",IF(U214&lt;0,"Loss - this job cost you money",IF(V214&lt;MarginFloor,"Below - margin under the floor",IF(V214&lt;TargetMargin,"Check - under target margin",IF(AND(X214&lt;&gt;"",X214&gt;0.5),"Check - ran over the estimate","OK"))))))</f>
        <v>0</v>
      </c>
    </row>
    <row r="215" spans="1:27">
      <c r="A215" s="43">
        <f>IF(IFERROR(INDEX(Jobs!$A$5:$A$604,ROW()-4),"")="","",IFERROR(INDEX(Jobs!$A$5:$A$604,ROW()-4),""))</f>
        <v>0</v>
      </c>
      <c r="B215" s="18">
        <f>IF(A215="","",IFERROR(INDEX(Jobs!$B$5:$B$604,MATCH(A215,Jobs!$A$5:$A$604,0)),""))</f>
        <v>0</v>
      </c>
      <c r="C215" s="23">
        <f>IF(B215="","",TEXT(B215,"yyyy-mm"))</f>
        <v>0</v>
      </c>
      <c r="D215" s="43">
        <f>IF(A215="","",IFERROR(INDEX(Jobs!$G$5:$G$604,MATCH(A215,Jobs!$A$5:$A$604,0)),""))</f>
        <v>0</v>
      </c>
      <c r="E215" s="23">
        <f>IF(A215="","",IFERROR(INDEX(Jobs!$H$5:$H$604,MATCH(A215,Jobs!$A$5:$A$604,0)),""))</f>
        <v>0</v>
      </c>
      <c r="F215" s="23">
        <f>IF(A215="","",IFERROR(INDEX(Jobs!$K$5:$K$604,MATCH(A215,Jobs!$A$5:$A$604,0)),""))</f>
        <v>0</v>
      </c>
      <c r="G215" s="23">
        <f>IF(A215="","",IFERROR(INDEX(Jobs!$M$5:$M$604,MATCH(A215,Jobs!$A$5:$A$604,0)),""))</f>
        <v>0</v>
      </c>
      <c r="H215" s="23">
        <f>IF(A215="","",IFERROR(INDEX(Jobs!$R$5:$R$604,MATCH(A215,Jobs!$A$5:$A$604,0)),""))</f>
        <v>0</v>
      </c>
      <c r="I215" s="39">
        <f>IF(A215="","",IFERROR(INDEX(Jobs!$P$5:$P$604,MATCH(A215,Jobs!$A$5:$A$604,0)),""))</f>
        <v>0</v>
      </c>
      <c r="J215" s="21">
        <f>IF(A215="","",IF(OR(I215="Completed",I215="Invoiced"),IFERROR(INDEX(Jobs!$AJ$5:$AJ$604,MATCH(A215,Jobs!$A$5:$A$604,0)),0),0))</f>
        <v>0</v>
      </c>
      <c r="K215" s="34">
        <f>IF(A215="","",IFERROR(INDEX(Jobs!$AD$5:$AD$604,MATCH(A215,Jobs!$A$5:$A$604,0)),0))</f>
        <v>0</v>
      </c>
      <c r="L215" s="34">
        <f>IF(A215="","",IFERROR(INDEX(Jobs!$AK$5:$AK$604,MATCH(A215,Jobs!$A$5:$A$604,0)),0))</f>
        <v>0</v>
      </c>
      <c r="M215" s="34">
        <f>IF(A215="","",IF(IFERROR(L215*1,0)&gt;0,L215,IFERROR(K215*1,0)))</f>
        <v>0</v>
      </c>
      <c r="N215" s="21">
        <f>IF(A215="","",SUMIFS(Timesheets!$X$5:$X$804,Timesheets!$G$5:$G$804,A215))</f>
        <v>0</v>
      </c>
      <c r="O215" s="21">
        <f>IF(A215="","",IF(N215&gt;0,N215,ROUND(M215*CostPerHour,2)))</f>
        <v>0</v>
      </c>
      <c r="P215" s="21">
        <f>IF(A215="","",SUMIFS('Supply Usage'!$L$5:$L$304,'Supply Usage'!$F$5:$F$304,A215))</f>
        <v>0</v>
      </c>
      <c r="Q215" s="21">
        <f>IF(A215="","",IF(P215&gt;0,P215,ROUND(M215*SuppliesPerHour,2)))</f>
        <v>0</v>
      </c>
      <c r="R215" s="21">
        <f>IF(A215="","",ROUND(IFERROR(INDEX(Jobs!$W$5:$W$604,MATCH(A215,Jobs!$A$5:$A$604,0)),0)*MileageRate,2))</f>
        <v>0</v>
      </c>
      <c r="T215" s="21">
        <f>IF(A215="","",O215+Q215+R215+IF(S215="",0,S215))</f>
        <v>0</v>
      </c>
      <c r="U215" s="21">
        <f>IF(A215="","",J215-T215)</f>
        <v>0</v>
      </c>
      <c r="V215" s="38">
        <f>IF(OR(A215="",J215=0),"",U215/J215)</f>
        <v>0</v>
      </c>
      <c r="W215" s="21">
        <f>IF(OR(A215="",M215=0,J215=0),"",U215/M215)</f>
        <v>0</v>
      </c>
      <c r="X215" s="34">
        <f>IF(OR(A215="",L215="",L215=0,K215=""),"",L215-K215)</f>
        <v>0</v>
      </c>
      <c r="Y215" s="31">
        <f>IF(A215="","",COUNTIFS($U$5:$U$604,"&gt;"&amp;U215)+COUNTIFS($U$5:U215,U215))</f>
        <v>0</v>
      </c>
      <c r="Z215" s="31">
        <f>IF(A215="","",COUNTIFS($W$5:$W$604,"&gt;"&amp;W215)+COUNTIFS($W$5:W215,W215))</f>
        <v>0</v>
      </c>
      <c r="AA215" s="39">
        <f>IF(A215="","",IF(J215=0,"",IF(U215&lt;0,"Loss - this job cost you money",IF(V215&lt;MarginFloor,"Below - margin under the floor",IF(V215&lt;TargetMargin,"Check - under target margin",IF(AND(X215&lt;&gt;"",X215&gt;0.5),"Check - ran over the estimate","OK"))))))</f>
        <v>0</v>
      </c>
    </row>
    <row r="216" spans="1:27">
      <c r="A216" s="43">
        <f>IF(IFERROR(INDEX(Jobs!$A$5:$A$604,ROW()-4),"")="","",IFERROR(INDEX(Jobs!$A$5:$A$604,ROW()-4),""))</f>
        <v>0</v>
      </c>
      <c r="B216" s="18">
        <f>IF(A216="","",IFERROR(INDEX(Jobs!$B$5:$B$604,MATCH(A216,Jobs!$A$5:$A$604,0)),""))</f>
        <v>0</v>
      </c>
      <c r="C216" s="23">
        <f>IF(B216="","",TEXT(B216,"yyyy-mm"))</f>
        <v>0</v>
      </c>
      <c r="D216" s="43">
        <f>IF(A216="","",IFERROR(INDEX(Jobs!$G$5:$G$604,MATCH(A216,Jobs!$A$5:$A$604,0)),""))</f>
        <v>0</v>
      </c>
      <c r="E216" s="23">
        <f>IF(A216="","",IFERROR(INDEX(Jobs!$H$5:$H$604,MATCH(A216,Jobs!$A$5:$A$604,0)),""))</f>
        <v>0</v>
      </c>
      <c r="F216" s="23">
        <f>IF(A216="","",IFERROR(INDEX(Jobs!$K$5:$K$604,MATCH(A216,Jobs!$A$5:$A$604,0)),""))</f>
        <v>0</v>
      </c>
      <c r="G216" s="23">
        <f>IF(A216="","",IFERROR(INDEX(Jobs!$M$5:$M$604,MATCH(A216,Jobs!$A$5:$A$604,0)),""))</f>
        <v>0</v>
      </c>
      <c r="H216" s="23">
        <f>IF(A216="","",IFERROR(INDEX(Jobs!$R$5:$R$604,MATCH(A216,Jobs!$A$5:$A$604,0)),""))</f>
        <v>0</v>
      </c>
      <c r="I216" s="39">
        <f>IF(A216="","",IFERROR(INDEX(Jobs!$P$5:$P$604,MATCH(A216,Jobs!$A$5:$A$604,0)),""))</f>
        <v>0</v>
      </c>
      <c r="J216" s="21">
        <f>IF(A216="","",IF(OR(I216="Completed",I216="Invoiced"),IFERROR(INDEX(Jobs!$AJ$5:$AJ$604,MATCH(A216,Jobs!$A$5:$A$604,0)),0),0))</f>
        <v>0</v>
      </c>
      <c r="K216" s="34">
        <f>IF(A216="","",IFERROR(INDEX(Jobs!$AD$5:$AD$604,MATCH(A216,Jobs!$A$5:$A$604,0)),0))</f>
        <v>0</v>
      </c>
      <c r="L216" s="34">
        <f>IF(A216="","",IFERROR(INDEX(Jobs!$AK$5:$AK$604,MATCH(A216,Jobs!$A$5:$A$604,0)),0))</f>
        <v>0</v>
      </c>
      <c r="M216" s="34">
        <f>IF(A216="","",IF(IFERROR(L216*1,0)&gt;0,L216,IFERROR(K216*1,0)))</f>
        <v>0</v>
      </c>
      <c r="N216" s="21">
        <f>IF(A216="","",SUMIFS(Timesheets!$X$5:$X$804,Timesheets!$G$5:$G$804,A216))</f>
        <v>0</v>
      </c>
      <c r="O216" s="21">
        <f>IF(A216="","",IF(N216&gt;0,N216,ROUND(M216*CostPerHour,2)))</f>
        <v>0</v>
      </c>
      <c r="P216" s="21">
        <f>IF(A216="","",SUMIFS('Supply Usage'!$L$5:$L$304,'Supply Usage'!$F$5:$F$304,A216))</f>
        <v>0</v>
      </c>
      <c r="Q216" s="21">
        <f>IF(A216="","",IF(P216&gt;0,P216,ROUND(M216*SuppliesPerHour,2)))</f>
        <v>0</v>
      </c>
      <c r="R216" s="21">
        <f>IF(A216="","",ROUND(IFERROR(INDEX(Jobs!$W$5:$W$604,MATCH(A216,Jobs!$A$5:$A$604,0)),0)*MileageRate,2))</f>
        <v>0</v>
      </c>
      <c r="T216" s="21">
        <f>IF(A216="","",O216+Q216+R216+IF(S216="",0,S216))</f>
        <v>0</v>
      </c>
      <c r="U216" s="21">
        <f>IF(A216="","",J216-T216)</f>
        <v>0</v>
      </c>
      <c r="V216" s="38">
        <f>IF(OR(A216="",J216=0),"",U216/J216)</f>
        <v>0</v>
      </c>
      <c r="W216" s="21">
        <f>IF(OR(A216="",M216=0,J216=0),"",U216/M216)</f>
        <v>0</v>
      </c>
      <c r="X216" s="34">
        <f>IF(OR(A216="",L216="",L216=0,K216=""),"",L216-K216)</f>
        <v>0</v>
      </c>
      <c r="Y216" s="31">
        <f>IF(A216="","",COUNTIFS($U$5:$U$604,"&gt;"&amp;U216)+COUNTIFS($U$5:U216,U216))</f>
        <v>0</v>
      </c>
      <c r="Z216" s="31">
        <f>IF(A216="","",COUNTIFS($W$5:$W$604,"&gt;"&amp;W216)+COUNTIFS($W$5:W216,W216))</f>
        <v>0</v>
      </c>
      <c r="AA216" s="39">
        <f>IF(A216="","",IF(J216=0,"",IF(U216&lt;0,"Loss - this job cost you money",IF(V216&lt;MarginFloor,"Below - margin under the floor",IF(V216&lt;TargetMargin,"Check - under target margin",IF(AND(X216&lt;&gt;"",X216&gt;0.5),"Check - ran over the estimate","OK"))))))</f>
        <v>0</v>
      </c>
    </row>
    <row r="217" spans="1:27">
      <c r="A217" s="43">
        <f>IF(IFERROR(INDEX(Jobs!$A$5:$A$604,ROW()-4),"")="","",IFERROR(INDEX(Jobs!$A$5:$A$604,ROW()-4),""))</f>
        <v>0</v>
      </c>
      <c r="B217" s="18">
        <f>IF(A217="","",IFERROR(INDEX(Jobs!$B$5:$B$604,MATCH(A217,Jobs!$A$5:$A$604,0)),""))</f>
        <v>0</v>
      </c>
      <c r="C217" s="23">
        <f>IF(B217="","",TEXT(B217,"yyyy-mm"))</f>
        <v>0</v>
      </c>
      <c r="D217" s="43">
        <f>IF(A217="","",IFERROR(INDEX(Jobs!$G$5:$G$604,MATCH(A217,Jobs!$A$5:$A$604,0)),""))</f>
        <v>0</v>
      </c>
      <c r="E217" s="23">
        <f>IF(A217="","",IFERROR(INDEX(Jobs!$H$5:$H$604,MATCH(A217,Jobs!$A$5:$A$604,0)),""))</f>
        <v>0</v>
      </c>
      <c r="F217" s="23">
        <f>IF(A217="","",IFERROR(INDEX(Jobs!$K$5:$K$604,MATCH(A217,Jobs!$A$5:$A$604,0)),""))</f>
        <v>0</v>
      </c>
      <c r="G217" s="23">
        <f>IF(A217="","",IFERROR(INDEX(Jobs!$M$5:$M$604,MATCH(A217,Jobs!$A$5:$A$604,0)),""))</f>
        <v>0</v>
      </c>
      <c r="H217" s="23">
        <f>IF(A217="","",IFERROR(INDEX(Jobs!$R$5:$R$604,MATCH(A217,Jobs!$A$5:$A$604,0)),""))</f>
        <v>0</v>
      </c>
      <c r="I217" s="39">
        <f>IF(A217="","",IFERROR(INDEX(Jobs!$P$5:$P$604,MATCH(A217,Jobs!$A$5:$A$604,0)),""))</f>
        <v>0</v>
      </c>
      <c r="J217" s="21">
        <f>IF(A217="","",IF(OR(I217="Completed",I217="Invoiced"),IFERROR(INDEX(Jobs!$AJ$5:$AJ$604,MATCH(A217,Jobs!$A$5:$A$604,0)),0),0))</f>
        <v>0</v>
      </c>
      <c r="K217" s="34">
        <f>IF(A217="","",IFERROR(INDEX(Jobs!$AD$5:$AD$604,MATCH(A217,Jobs!$A$5:$A$604,0)),0))</f>
        <v>0</v>
      </c>
      <c r="L217" s="34">
        <f>IF(A217="","",IFERROR(INDEX(Jobs!$AK$5:$AK$604,MATCH(A217,Jobs!$A$5:$A$604,0)),0))</f>
        <v>0</v>
      </c>
      <c r="M217" s="34">
        <f>IF(A217="","",IF(IFERROR(L217*1,0)&gt;0,L217,IFERROR(K217*1,0)))</f>
        <v>0</v>
      </c>
      <c r="N217" s="21">
        <f>IF(A217="","",SUMIFS(Timesheets!$X$5:$X$804,Timesheets!$G$5:$G$804,A217))</f>
        <v>0</v>
      </c>
      <c r="O217" s="21">
        <f>IF(A217="","",IF(N217&gt;0,N217,ROUND(M217*CostPerHour,2)))</f>
        <v>0</v>
      </c>
      <c r="P217" s="21">
        <f>IF(A217="","",SUMIFS('Supply Usage'!$L$5:$L$304,'Supply Usage'!$F$5:$F$304,A217))</f>
        <v>0</v>
      </c>
      <c r="Q217" s="21">
        <f>IF(A217="","",IF(P217&gt;0,P217,ROUND(M217*SuppliesPerHour,2)))</f>
        <v>0</v>
      </c>
      <c r="R217" s="21">
        <f>IF(A217="","",ROUND(IFERROR(INDEX(Jobs!$W$5:$W$604,MATCH(A217,Jobs!$A$5:$A$604,0)),0)*MileageRate,2))</f>
        <v>0</v>
      </c>
      <c r="T217" s="21">
        <f>IF(A217="","",O217+Q217+R217+IF(S217="",0,S217))</f>
        <v>0</v>
      </c>
      <c r="U217" s="21">
        <f>IF(A217="","",J217-T217)</f>
        <v>0</v>
      </c>
      <c r="V217" s="38">
        <f>IF(OR(A217="",J217=0),"",U217/J217)</f>
        <v>0</v>
      </c>
      <c r="W217" s="21">
        <f>IF(OR(A217="",M217=0,J217=0),"",U217/M217)</f>
        <v>0</v>
      </c>
      <c r="X217" s="34">
        <f>IF(OR(A217="",L217="",L217=0,K217=""),"",L217-K217)</f>
        <v>0</v>
      </c>
      <c r="Y217" s="31">
        <f>IF(A217="","",COUNTIFS($U$5:$U$604,"&gt;"&amp;U217)+COUNTIFS($U$5:U217,U217))</f>
        <v>0</v>
      </c>
      <c r="Z217" s="31">
        <f>IF(A217="","",COUNTIFS($W$5:$W$604,"&gt;"&amp;W217)+COUNTIFS($W$5:W217,W217))</f>
        <v>0</v>
      </c>
      <c r="AA217" s="39">
        <f>IF(A217="","",IF(J217=0,"",IF(U217&lt;0,"Loss - this job cost you money",IF(V217&lt;MarginFloor,"Below - margin under the floor",IF(V217&lt;TargetMargin,"Check - under target margin",IF(AND(X217&lt;&gt;"",X217&gt;0.5),"Check - ran over the estimate","OK"))))))</f>
        <v>0</v>
      </c>
    </row>
    <row r="218" spans="1:27">
      <c r="A218" s="43">
        <f>IF(IFERROR(INDEX(Jobs!$A$5:$A$604,ROW()-4),"")="","",IFERROR(INDEX(Jobs!$A$5:$A$604,ROW()-4),""))</f>
        <v>0</v>
      </c>
      <c r="B218" s="18">
        <f>IF(A218="","",IFERROR(INDEX(Jobs!$B$5:$B$604,MATCH(A218,Jobs!$A$5:$A$604,0)),""))</f>
        <v>0</v>
      </c>
      <c r="C218" s="23">
        <f>IF(B218="","",TEXT(B218,"yyyy-mm"))</f>
        <v>0</v>
      </c>
      <c r="D218" s="43">
        <f>IF(A218="","",IFERROR(INDEX(Jobs!$G$5:$G$604,MATCH(A218,Jobs!$A$5:$A$604,0)),""))</f>
        <v>0</v>
      </c>
      <c r="E218" s="23">
        <f>IF(A218="","",IFERROR(INDEX(Jobs!$H$5:$H$604,MATCH(A218,Jobs!$A$5:$A$604,0)),""))</f>
        <v>0</v>
      </c>
      <c r="F218" s="23">
        <f>IF(A218="","",IFERROR(INDEX(Jobs!$K$5:$K$604,MATCH(A218,Jobs!$A$5:$A$604,0)),""))</f>
        <v>0</v>
      </c>
      <c r="G218" s="23">
        <f>IF(A218="","",IFERROR(INDEX(Jobs!$M$5:$M$604,MATCH(A218,Jobs!$A$5:$A$604,0)),""))</f>
        <v>0</v>
      </c>
      <c r="H218" s="23">
        <f>IF(A218="","",IFERROR(INDEX(Jobs!$R$5:$R$604,MATCH(A218,Jobs!$A$5:$A$604,0)),""))</f>
        <v>0</v>
      </c>
      <c r="I218" s="39">
        <f>IF(A218="","",IFERROR(INDEX(Jobs!$P$5:$P$604,MATCH(A218,Jobs!$A$5:$A$604,0)),""))</f>
        <v>0</v>
      </c>
      <c r="J218" s="21">
        <f>IF(A218="","",IF(OR(I218="Completed",I218="Invoiced"),IFERROR(INDEX(Jobs!$AJ$5:$AJ$604,MATCH(A218,Jobs!$A$5:$A$604,0)),0),0))</f>
        <v>0</v>
      </c>
      <c r="K218" s="34">
        <f>IF(A218="","",IFERROR(INDEX(Jobs!$AD$5:$AD$604,MATCH(A218,Jobs!$A$5:$A$604,0)),0))</f>
        <v>0</v>
      </c>
      <c r="L218" s="34">
        <f>IF(A218="","",IFERROR(INDEX(Jobs!$AK$5:$AK$604,MATCH(A218,Jobs!$A$5:$A$604,0)),0))</f>
        <v>0</v>
      </c>
      <c r="M218" s="34">
        <f>IF(A218="","",IF(IFERROR(L218*1,0)&gt;0,L218,IFERROR(K218*1,0)))</f>
        <v>0</v>
      </c>
      <c r="N218" s="21">
        <f>IF(A218="","",SUMIFS(Timesheets!$X$5:$X$804,Timesheets!$G$5:$G$804,A218))</f>
        <v>0</v>
      </c>
      <c r="O218" s="21">
        <f>IF(A218="","",IF(N218&gt;0,N218,ROUND(M218*CostPerHour,2)))</f>
        <v>0</v>
      </c>
      <c r="P218" s="21">
        <f>IF(A218="","",SUMIFS('Supply Usage'!$L$5:$L$304,'Supply Usage'!$F$5:$F$304,A218))</f>
        <v>0</v>
      </c>
      <c r="Q218" s="21">
        <f>IF(A218="","",IF(P218&gt;0,P218,ROUND(M218*SuppliesPerHour,2)))</f>
        <v>0</v>
      </c>
      <c r="R218" s="21">
        <f>IF(A218="","",ROUND(IFERROR(INDEX(Jobs!$W$5:$W$604,MATCH(A218,Jobs!$A$5:$A$604,0)),0)*MileageRate,2))</f>
        <v>0</v>
      </c>
      <c r="T218" s="21">
        <f>IF(A218="","",O218+Q218+R218+IF(S218="",0,S218))</f>
        <v>0</v>
      </c>
      <c r="U218" s="21">
        <f>IF(A218="","",J218-T218)</f>
        <v>0</v>
      </c>
      <c r="V218" s="38">
        <f>IF(OR(A218="",J218=0),"",U218/J218)</f>
        <v>0</v>
      </c>
      <c r="W218" s="21">
        <f>IF(OR(A218="",M218=0,J218=0),"",U218/M218)</f>
        <v>0</v>
      </c>
      <c r="X218" s="34">
        <f>IF(OR(A218="",L218="",L218=0,K218=""),"",L218-K218)</f>
        <v>0</v>
      </c>
      <c r="Y218" s="31">
        <f>IF(A218="","",COUNTIFS($U$5:$U$604,"&gt;"&amp;U218)+COUNTIFS($U$5:U218,U218))</f>
        <v>0</v>
      </c>
      <c r="Z218" s="31">
        <f>IF(A218="","",COUNTIFS($W$5:$W$604,"&gt;"&amp;W218)+COUNTIFS($W$5:W218,W218))</f>
        <v>0</v>
      </c>
      <c r="AA218" s="39">
        <f>IF(A218="","",IF(J218=0,"",IF(U218&lt;0,"Loss - this job cost you money",IF(V218&lt;MarginFloor,"Below - margin under the floor",IF(V218&lt;TargetMargin,"Check - under target margin",IF(AND(X218&lt;&gt;"",X218&gt;0.5),"Check - ran over the estimate","OK"))))))</f>
        <v>0</v>
      </c>
    </row>
    <row r="219" spans="1:27">
      <c r="A219" s="43">
        <f>IF(IFERROR(INDEX(Jobs!$A$5:$A$604,ROW()-4),"")="","",IFERROR(INDEX(Jobs!$A$5:$A$604,ROW()-4),""))</f>
        <v>0</v>
      </c>
      <c r="B219" s="18">
        <f>IF(A219="","",IFERROR(INDEX(Jobs!$B$5:$B$604,MATCH(A219,Jobs!$A$5:$A$604,0)),""))</f>
        <v>0</v>
      </c>
      <c r="C219" s="23">
        <f>IF(B219="","",TEXT(B219,"yyyy-mm"))</f>
        <v>0</v>
      </c>
      <c r="D219" s="43">
        <f>IF(A219="","",IFERROR(INDEX(Jobs!$G$5:$G$604,MATCH(A219,Jobs!$A$5:$A$604,0)),""))</f>
        <v>0</v>
      </c>
      <c r="E219" s="23">
        <f>IF(A219="","",IFERROR(INDEX(Jobs!$H$5:$H$604,MATCH(A219,Jobs!$A$5:$A$604,0)),""))</f>
        <v>0</v>
      </c>
      <c r="F219" s="23">
        <f>IF(A219="","",IFERROR(INDEX(Jobs!$K$5:$K$604,MATCH(A219,Jobs!$A$5:$A$604,0)),""))</f>
        <v>0</v>
      </c>
      <c r="G219" s="23">
        <f>IF(A219="","",IFERROR(INDEX(Jobs!$M$5:$M$604,MATCH(A219,Jobs!$A$5:$A$604,0)),""))</f>
        <v>0</v>
      </c>
      <c r="H219" s="23">
        <f>IF(A219="","",IFERROR(INDEX(Jobs!$R$5:$R$604,MATCH(A219,Jobs!$A$5:$A$604,0)),""))</f>
        <v>0</v>
      </c>
      <c r="I219" s="39">
        <f>IF(A219="","",IFERROR(INDEX(Jobs!$P$5:$P$604,MATCH(A219,Jobs!$A$5:$A$604,0)),""))</f>
        <v>0</v>
      </c>
      <c r="J219" s="21">
        <f>IF(A219="","",IF(OR(I219="Completed",I219="Invoiced"),IFERROR(INDEX(Jobs!$AJ$5:$AJ$604,MATCH(A219,Jobs!$A$5:$A$604,0)),0),0))</f>
        <v>0</v>
      </c>
      <c r="K219" s="34">
        <f>IF(A219="","",IFERROR(INDEX(Jobs!$AD$5:$AD$604,MATCH(A219,Jobs!$A$5:$A$604,0)),0))</f>
        <v>0</v>
      </c>
      <c r="L219" s="34">
        <f>IF(A219="","",IFERROR(INDEX(Jobs!$AK$5:$AK$604,MATCH(A219,Jobs!$A$5:$A$604,0)),0))</f>
        <v>0</v>
      </c>
      <c r="M219" s="34">
        <f>IF(A219="","",IF(IFERROR(L219*1,0)&gt;0,L219,IFERROR(K219*1,0)))</f>
        <v>0</v>
      </c>
      <c r="N219" s="21">
        <f>IF(A219="","",SUMIFS(Timesheets!$X$5:$X$804,Timesheets!$G$5:$G$804,A219))</f>
        <v>0</v>
      </c>
      <c r="O219" s="21">
        <f>IF(A219="","",IF(N219&gt;0,N219,ROUND(M219*CostPerHour,2)))</f>
        <v>0</v>
      </c>
      <c r="P219" s="21">
        <f>IF(A219="","",SUMIFS('Supply Usage'!$L$5:$L$304,'Supply Usage'!$F$5:$F$304,A219))</f>
        <v>0</v>
      </c>
      <c r="Q219" s="21">
        <f>IF(A219="","",IF(P219&gt;0,P219,ROUND(M219*SuppliesPerHour,2)))</f>
        <v>0</v>
      </c>
      <c r="R219" s="21">
        <f>IF(A219="","",ROUND(IFERROR(INDEX(Jobs!$W$5:$W$604,MATCH(A219,Jobs!$A$5:$A$604,0)),0)*MileageRate,2))</f>
        <v>0</v>
      </c>
      <c r="T219" s="21">
        <f>IF(A219="","",O219+Q219+R219+IF(S219="",0,S219))</f>
        <v>0</v>
      </c>
      <c r="U219" s="21">
        <f>IF(A219="","",J219-T219)</f>
        <v>0</v>
      </c>
      <c r="V219" s="38">
        <f>IF(OR(A219="",J219=0),"",U219/J219)</f>
        <v>0</v>
      </c>
      <c r="W219" s="21">
        <f>IF(OR(A219="",M219=0,J219=0),"",U219/M219)</f>
        <v>0</v>
      </c>
      <c r="X219" s="34">
        <f>IF(OR(A219="",L219="",L219=0,K219=""),"",L219-K219)</f>
        <v>0</v>
      </c>
      <c r="Y219" s="31">
        <f>IF(A219="","",COUNTIFS($U$5:$U$604,"&gt;"&amp;U219)+COUNTIFS($U$5:U219,U219))</f>
        <v>0</v>
      </c>
      <c r="Z219" s="31">
        <f>IF(A219="","",COUNTIFS($W$5:$W$604,"&gt;"&amp;W219)+COUNTIFS($W$5:W219,W219))</f>
        <v>0</v>
      </c>
      <c r="AA219" s="39">
        <f>IF(A219="","",IF(J219=0,"",IF(U219&lt;0,"Loss - this job cost you money",IF(V219&lt;MarginFloor,"Below - margin under the floor",IF(V219&lt;TargetMargin,"Check - under target margin",IF(AND(X219&lt;&gt;"",X219&gt;0.5),"Check - ran over the estimate","OK"))))))</f>
        <v>0</v>
      </c>
    </row>
    <row r="220" spans="1:27">
      <c r="A220" s="43">
        <f>IF(IFERROR(INDEX(Jobs!$A$5:$A$604,ROW()-4),"")="","",IFERROR(INDEX(Jobs!$A$5:$A$604,ROW()-4),""))</f>
        <v>0</v>
      </c>
      <c r="B220" s="18">
        <f>IF(A220="","",IFERROR(INDEX(Jobs!$B$5:$B$604,MATCH(A220,Jobs!$A$5:$A$604,0)),""))</f>
        <v>0</v>
      </c>
      <c r="C220" s="23">
        <f>IF(B220="","",TEXT(B220,"yyyy-mm"))</f>
        <v>0</v>
      </c>
      <c r="D220" s="43">
        <f>IF(A220="","",IFERROR(INDEX(Jobs!$G$5:$G$604,MATCH(A220,Jobs!$A$5:$A$604,0)),""))</f>
        <v>0</v>
      </c>
      <c r="E220" s="23">
        <f>IF(A220="","",IFERROR(INDEX(Jobs!$H$5:$H$604,MATCH(A220,Jobs!$A$5:$A$604,0)),""))</f>
        <v>0</v>
      </c>
      <c r="F220" s="23">
        <f>IF(A220="","",IFERROR(INDEX(Jobs!$K$5:$K$604,MATCH(A220,Jobs!$A$5:$A$604,0)),""))</f>
        <v>0</v>
      </c>
      <c r="G220" s="23">
        <f>IF(A220="","",IFERROR(INDEX(Jobs!$M$5:$M$604,MATCH(A220,Jobs!$A$5:$A$604,0)),""))</f>
        <v>0</v>
      </c>
      <c r="H220" s="23">
        <f>IF(A220="","",IFERROR(INDEX(Jobs!$R$5:$R$604,MATCH(A220,Jobs!$A$5:$A$604,0)),""))</f>
        <v>0</v>
      </c>
      <c r="I220" s="39">
        <f>IF(A220="","",IFERROR(INDEX(Jobs!$P$5:$P$604,MATCH(A220,Jobs!$A$5:$A$604,0)),""))</f>
        <v>0</v>
      </c>
      <c r="J220" s="21">
        <f>IF(A220="","",IF(OR(I220="Completed",I220="Invoiced"),IFERROR(INDEX(Jobs!$AJ$5:$AJ$604,MATCH(A220,Jobs!$A$5:$A$604,0)),0),0))</f>
        <v>0</v>
      </c>
      <c r="K220" s="34">
        <f>IF(A220="","",IFERROR(INDEX(Jobs!$AD$5:$AD$604,MATCH(A220,Jobs!$A$5:$A$604,0)),0))</f>
        <v>0</v>
      </c>
      <c r="L220" s="34">
        <f>IF(A220="","",IFERROR(INDEX(Jobs!$AK$5:$AK$604,MATCH(A220,Jobs!$A$5:$A$604,0)),0))</f>
        <v>0</v>
      </c>
      <c r="M220" s="34">
        <f>IF(A220="","",IF(IFERROR(L220*1,0)&gt;0,L220,IFERROR(K220*1,0)))</f>
        <v>0</v>
      </c>
      <c r="N220" s="21">
        <f>IF(A220="","",SUMIFS(Timesheets!$X$5:$X$804,Timesheets!$G$5:$G$804,A220))</f>
        <v>0</v>
      </c>
      <c r="O220" s="21">
        <f>IF(A220="","",IF(N220&gt;0,N220,ROUND(M220*CostPerHour,2)))</f>
        <v>0</v>
      </c>
      <c r="P220" s="21">
        <f>IF(A220="","",SUMIFS('Supply Usage'!$L$5:$L$304,'Supply Usage'!$F$5:$F$304,A220))</f>
        <v>0</v>
      </c>
      <c r="Q220" s="21">
        <f>IF(A220="","",IF(P220&gt;0,P220,ROUND(M220*SuppliesPerHour,2)))</f>
        <v>0</v>
      </c>
      <c r="R220" s="21">
        <f>IF(A220="","",ROUND(IFERROR(INDEX(Jobs!$W$5:$W$604,MATCH(A220,Jobs!$A$5:$A$604,0)),0)*MileageRate,2))</f>
        <v>0</v>
      </c>
      <c r="T220" s="21">
        <f>IF(A220="","",O220+Q220+R220+IF(S220="",0,S220))</f>
        <v>0</v>
      </c>
      <c r="U220" s="21">
        <f>IF(A220="","",J220-T220)</f>
        <v>0</v>
      </c>
      <c r="V220" s="38">
        <f>IF(OR(A220="",J220=0),"",U220/J220)</f>
        <v>0</v>
      </c>
      <c r="W220" s="21">
        <f>IF(OR(A220="",M220=0,J220=0),"",U220/M220)</f>
        <v>0</v>
      </c>
      <c r="X220" s="34">
        <f>IF(OR(A220="",L220="",L220=0,K220=""),"",L220-K220)</f>
        <v>0</v>
      </c>
      <c r="Y220" s="31">
        <f>IF(A220="","",COUNTIFS($U$5:$U$604,"&gt;"&amp;U220)+COUNTIFS($U$5:U220,U220))</f>
        <v>0</v>
      </c>
      <c r="Z220" s="31">
        <f>IF(A220="","",COUNTIFS($W$5:$W$604,"&gt;"&amp;W220)+COUNTIFS($W$5:W220,W220))</f>
        <v>0</v>
      </c>
      <c r="AA220" s="39">
        <f>IF(A220="","",IF(J220=0,"",IF(U220&lt;0,"Loss - this job cost you money",IF(V220&lt;MarginFloor,"Below - margin under the floor",IF(V220&lt;TargetMargin,"Check - under target margin",IF(AND(X220&lt;&gt;"",X220&gt;0.5),"Check - ran over the estimate","OK"))))))</f>
        <v>0</v>
      </c>
    </row>
    <row r="221" spans="1:27">
      <c r="A221" s="43">
        <f>IF(IFERROR(INDEX(Jobs!$A$5:$A$604,ROW()-4),"")="","",IFERROR(INDEX(Jobs!$A$5:$A$604,ROW()-4),""))</f>
        <v>0</v>
      </c>
      <c r="B221" s="18">
        <f>IF(A221="","",IFERROR(INDEX(Jobs!$B$5:$B$604,MATCH(A221,Jobs!$A$5:$A$604,0)),""))</f>
        <v>0</v>
      </c>
      <c r="C221" s="23">
        <f>IF(B221="","",TEXT(B221,"yyyy-mm"))</f>
        <v>0</v>
      </c>
      <c r="D221" s="43">
        <f>IF(A221="","",IFERROR(INDEX(Jobs!$G$5:$G$604,MATCH(A221,Jobs!$A$5:$A$604,0)),""))</f>
        <v>0</v>
      </c>
      <c r="E221" s="23">
        <f>IF(A221="","",IFERROR(INDEX(Jobs!$H$5:$H$604,MATCH(A221,Jobs!$A$5:$A$604,0)),""))</f>
        <v>0</v>
      </c>
      <c r="F221" s="23">
        <f>IF(A221="","",IFERROR(INDEX(Jobs!$K$5:$K$604,MATCH(A221,Jobs!$A$5:$A$604,0)),""))</f>
        <v>0</v>
      </c>
      <c r="G221" s="23">
        <f>IF(A221="","",IFERROR(INDEX(Jobs!$M$5:$M$604,MATCH(A221,Jobs!$A$5:$A$604,0)),""))</f>
        <v>0</v>
      </c>
      <c r="H221" s="23">
        <f>IF(A221="","",IFERROR(INDEX(Jobs!$R$5:$R$604,MATCH(A221,Jobs!$A$5:$A$604,0)),""))</f>
        <v>0</v>
      </c>
      <c r="I221" s="39">
        <f>IF(A221="","",IFERROR(INDEX(Jobs!$P$5:$P$604,MATCH(A221,Jobs!$A$5:$A$604,0)),""))</f>
        <v>0</v>
      </c>
      <c r="J221" s="21">
        <f>IF(A221="","",IF(OR(I221="Completed",I221="Invoiced"),IFERROR(INDEX(Jobs!$AJ$5:$AJ$604,MATCH(A221,Jobs!$A$5:$A$604,0)),0),0))</f>
        <v>0</v>
      </c>
      <c r="K221" s="34">
        <f>IF(A221="","",IFERROR(INDEX(Jobs!$AD$5:$AD$604,MATCH(A221,Jobs!$A$5:$A$604,0)),0))</f>
        <v>0</v>
      </c>
      <c r="L221" s="34">
        <f>IF(A221="","",IFERROR(INDEX(Jobs!$AK$5:$AK$604,MATCH(A221,Jobs!$A$5:$A$604,0)),0))</f>
        <v>0</v>
      </c>
      <c r="M221" s="34">
        <f>IF(A221="","",IF(IFERROR(L221*1,0)&gt;0,L221,IFERROR(K221*1,0)))</f>
        <v>0</v>
      </c>
      <c r="N221" s="21">
        <f>IF(A221="","",SUMIFS(Timesheets!$X$5:$X$804,Timesheets!$G$5:$G$804,A221))</f>
        <v>0</v>
      </c>
      <c r="O221" s="21">
        <f>IF(A221="","",IF(N221&gt;0,N221,ROUND(M221*CostPerHour,2)))</f>
        <v>0</v>
      </c>
      <c r="P221" s="21">
        <f>IF(A221="","",SUMIFS('Supply Usage'!$L$5:$L$304,'Supply Usage'!$F$5:$F$304,A221))</f>
        <v>0</v>
      </c>
      <c r="Q221" s="21">
        <f>IF(A221="","",IF(P221&gt;0,P221,ROUND(M221*SuppliesPerHour,2)))</f>
        <v>0</v>
      </c>
      <c r="R221" s="21">
        <f>IF(A221="","",ROUND(IFERROR(INDEX(Jobs!$W$5:$W$604,MATCH(A221,Jobs!$A$5:$A$604,0)),0)*MileageRate,2))</f>
        <v>0</v>
      </c>
      <c r="T221" s="21">
        <f>IF(A221="","",O221+Q221+R221+IF(S221="",0,S221))</f>
        <v>0</v>
      </c>
      <c r="U221" s="21">
        <f>IF(A221="","",J221-T221)</f>
        <v>0</v>
      </c>
      <c r="V221" s="38">
        <f>IF(OR(A221="",J221=0),"",U221/J221)</f>
        <v>0</v>
      </c>
      <c r="W221" s="21">
        <f>IF(OR(A221="",M221=0,J221=0),"",U221/M221)</f>
        <v>0</v>
      </c>
      <c r="X221" s="34">
        <f>IF(OR(A221="",L221="",L221=0,K221=""),"",L221-K221)</f>
        <v>0</v>
      </c>
      <c r="Y221" s="31">
        <f>IF(A221="","",COUNTIFS($U$5:$U$604,"&gt;"&amp;U221)+COUNTIFS($U$5:U221,U221))</f>
        <v>0</v>
      </c>
      <c r="Z221" s="31">
        <f>IF(A221="","",COUNTIFS($W$5:$W$604,"&gt;"&amp;W221)+COUNTIFS($W$5:W221,W221))</f>
        <v>0</v>
      </c>
      <c r="AA221" s="39">
        <f>IF(A221="","",IF(J221=0,"",IF(U221&lt;0,"Loss - this job cost you money",IF(V221&lt;MarginFloor,"Below - margin under the floor",IF(V221&lt;TargetMargin,"Check - under target margin",IF(AND(X221&lt;&gt;"",X221&gt;0.5),"Check - ran over the estimate","OK"))))))</f>
        <v>0</v>
      </c>
    </row>
    <row r="222" spans="1:27">
      <c r="A222" s="43">
        <f>IF(IFERROR(INDEX(Jobs!$A$5:$A$604,ROW()-4),"")="","",IFERROR(INDEX(Jobs!$A$5:$A$604,ROW()-4),""))</f>
        <v>0</v>
      </c>
      <c r="B222" s="18">
        <f>IF(A222="","",IFERROR(INDEX(Jobs!$B$5:$B$604,MATCH(A222,Jobs!$A$5:$A$604,0)),""))</f>
        <v>0</v>
      </c>
      <c r="C222" s="23">
        <f>IF(B222="","",TEXT(B222,"yyyy-mm"))</f>
        <v>0</v>
      </c>
      <c r="D222" s="43">
        <f>IF(A222="","",IFERROR(INDEX(Jobs!$G$5:$G$604,MATCH(A222,Jobs!$A$5:$A$604,0)),""))</f>
        <v>0</v>
      </c>
      <c r="E222" s="23">
        <f>IF(A222="","",IFERROR(INDEX(Jobs!$H$5:$H$604,MATCH(A222,Jobs!$A$5:$A$604,0)),""))</f>
        <v>0</v>
      </c>
      <c r="F222" s="23">
        <f>IF(A222="","",IFERROR(INDEX(Jobs!$K$5:$K$604,MATCH(A222,Jobs!$A$5:$A$604,0)),""))</f>
        <v>0</v>
      </c>
      <c r="G222" s="23">
        <f>IF(A222="","",IFERROR(INDEX(Jobs!$M$5:$M$604,MATCH(A222,Jobs!$A$5:$A$604,0)),""))</f>
        <v>0</v>
      </c>
      <c r="H222" s="23">
        <f>IF(A222="","",IFERROR(INDEX(Jobs!$R$5:$R$604,MATCH(A222,Jobs!$A$5:$A$604,0)),""))</f>
        <v>0</v>
      </c>
      <c r="I222" s="39">
        <f>IF(A222="","",IFERROR(INDEX(Jobs!$P$5:$P$604,MATCH(A222,Jobs!$A$5:$A$604,0)),""))</f>
        <v>0</v>
      </c>
      <c r="J222" s="21">
        <f>IF(A222="","",IF(OR(I222="Completed",I222="Invoiced"),IFERROR(INDEX(Jobs!$AJ$5:$AJ$604,MATCH(A222,Jobs!$A$5:$A$604,0)),0),0))</f>
        <v>0</v>
      </c>
      <c r="K222" s="34">
        <f>IF(A222="","",IFERROR(INDEX(Jobs!$AD$5:$AD$604,MATCH(A222,Jobs!$A$5:$A$604,0)),0))</f>
        <v>0</v>
      </c>
      <c r="L222" s="34">
        <f>IF(A222="","",IFERROR(INDEX(Jobs!$AK$5:$AK$604,MATCH(A222,Jobs!$A$5:$A$604,0)),0))</f>
        <v>0</v>
      </c>
      <c r="M222" s="34">
        <f>IF(A222="","",IF(IFERROR(L222*1,0)&gt;0,L222,IFERROR(K222*1,0)))</f>
        <v>0</v>
      </c>
      <c r="N222" s="21">
        <f>IF(A222="","",SUMIFS(Timesheets!$X$5:$X$804,Timesheets!$G$5:$G$804,A222))</f>
        <v>0</v>
      </c>
      <c r="O222" s="21">
        <f>IF(A222="","",IF(N222&gt;0,N222,ROUND(M222*CostPerHour,2)))</f>
        <v>0</v>
      </c>
      <c r="P222" s="21">
        <f>IF(A222="","",SUMIFS('Supply Usage'!$L$5:$L$304,'Supply Usage'!$F$5:$F$304,A222))</f>
        <v>0</v>
      </c>
      <c r="Q222" s="21">
        <f>IF(A222="","",IF(P222&gt;0,P222,ROUND(M222*SuppliesPerHour,2)))</f>
        <v>0</v>
      </c>
      <c r="R222" s="21">
        <f>IF(A222="","",ROUND(IFERROR(INDEX(Jobs!$W$5:$W$604,MATCH(A222,Jobs!$A$5:$A$604,0)),0)*MileageRate,2))</f>
        <v>0</v>
      </c>
      <c r="T222" s="21">
        <f>IF(A222="","",O222+Q222+R222+IF(S222="",0,S222))</f>
        <v>0</v>
      </c>
      <c r="U222" s="21">
        <f>IF(A222="","",J222-T222)</f>
        <v>0</v>
      </c>
      <c r="V222" s="38">
        <f>IF(OR(A222="",J222=0),"",U222/J222)</f>
        <v>0</v>
      </c>
      <c r="W222" s="21">
        <f>IF(OR(A222="",M222=0,J222=0),"",U222/M222)</f>
        <v>0</v>
      </c>
      <c r="X222" s="34">
        <f>IF(OR(A222="",L222="",L222=0,K222=""),"",L222-K222)</f>
        <v>0</v>
      </c>
      <c r="Y222" s="31">
        <f>IF(A222="","",COUNTIFS($U$5:$U$604,"&gt;"&amp;U222)+COUNTIFS($U$5:U222,U222))</f>
        <v>0</v>
      </c>
      <c r="Z222" s="31">
        <f>IF(A222="","",COUNTIFS($W$5:$W$604,"&gt;"&amp;W222)+COUNTIFS($W$5:W222,W222))</f>
        <v>0</v>
      </c>
      <c r="AA222" s="39">
        <f>IF(A222="","",IF(J222=0,"",IF(U222&lt;0,"Loss - this job cost you money",IF(V222&lt;MarginFloor,"Below - margin under the floor",IF(V222&lt;TargetMargin,"Check - under target margin",IF(AND(X222&lt;&gt;"",X222&gt;0.5),"Check - ran over the estimate","OK"))))))</f>
        <v>0</v>
      </c>
    </row>
    <row r="223" spans="1:27">
      <c r="A223" s="43">
        <f>IF(IFERROR(INDEX(Jobs!$A$5:$A$604,ROW()-4),"")="","",IFERROR(INDEX(Jobs!$A$5:$A$604,ROW()-4),""))</f>
        <v>0</v>
      </c>
      <c r="B223" s="18">
        <f>IF(A223="","",IFERROR(INDEX(Jobs!$B$5:$B$604,MATCH(A223,Jobs!$A$5:$A$604,0)),""))</f>
        <v>0</v>
      </c>
      <c r="C223" s="23">
        <f>IF(B223="","",TEXT(B223,"yyyy-mm"))</f>
        <v>0</v>
      </c>
      <c r="D223" s="43">
        <f>IF(A223="","",IFERROR(INDEX(Jobs!$G$5:$G$604,MATCH(A223,Jobs!$A$5:$A$604,0)),""))</f>
        <v>0</v>
      </c>
      <c r="E223" s="23">
        <f>IF(A223="","",IFERROR(INDEX(Jobs!$H$5:$H$604,MATCH(A223,Jobs!$A$5:$A$604,0)),""))</f>
        <v>0</v>
      </c>
      <c r="F223" s="23">
        <f>IF(A223="","",IFERROR(INDEX(Jobs!$K$5:$K$604,MATCH(A223,Jobs!$A$5:$A$604,0)),""))</f>
        <v>0</v>
      </c>
      <c r="G223" s="23">
        <f>IF(A223="","",IFERROR(INDEX(Jobs!$M$5:$M$604,MATCH(A223,Jobs!$A$5:$A$604,0)),""))</f>
        <v>0</v>
      </c>
      <c r="H223" s="23">
        <f>IF(A223="","",IFERROR(INDEX(Jobs!$R$5:$R$604,MATCH(A223,Jobs!$A$5:$A$604,0)),""))</f>
        <v>0</v>
      </c>
      <c r="I223" s="39">
        <f>IF(A223="","",IFERROR(INDEX(Jobs!$P$5:$P$604,MATCH(A223,Jobs!$A$5:$A$604,0)),""))</f>
        <v>0</v>
      </c>
      <c r="J223" s="21">
        <f>IF(A223="","",IF(OR(I223="Completed",I223="Invoiced"),IFERROR(INDEX(Jobs!$AJ$5:$AJ$604,MATCH(A223,Jobs!$A$5:$A$604,0)),0),0))</f>
        <v>0</v>
      </c>
      <c r="K223" s="34">
        <f>IF(A223="","",IFERROR(INDEX(Jobs!$AD$5:$AD$604,MATCH(A223,Jobs!$A$5:$A$604,0)),0))</f>
        <v>0</v>
      </c>
      <c r="L223" s="34">
        <f>IF(A223="","",IFERROR(INDEX(Jobs!$AK$5:$AK$604,MATCH(A223,Jobs!$A$5:$A$604,0)),0))</f>
        <v>0</v>
      </c>
      <c r="M223" s="34">
        <f>IF(A223="","",IF(IFERROR(L223*1,0)&gt;0,L223,IFERROR(K223*1,0)))</f>
        <v>0</v>
      </c>
      <c r="N223" s="21">
        <f>IF(A223="","",SUMIFS(Timesheets!$X$5:$X$804,Timesheets!$G$5:$G$804,A223))</f>
        <v>0</v>
      </c>
      <c r="O223" s="21">
        <f>IF(A223="","",IF(N223&gt;0,N223,ROUND(M223*CostPerHour,2)))</f>
        <v>0</v>
      </c>
      <c r="P223" s="21">
        <f>IF(A223="","",SUMIFS('Supply Usage'!$L$5:$L$304,'Supply Usage'!$F$5:$F$304,A223))</f>
        <v>0</v>
      </c>
      <c r="Q223" s="21">
        <f>IF(A223="","",IF(P223&gt;0,P223,ROUND(M223*SuppliesPerHour,2)))</f>
        <v>0</v>
      </c>
      <c r="R223" s="21">
        <f>IF(A223="","",ROUND(IFERROR(INDEX(Jobs!$W$5:$W$604,MATCH(A223,Jobs!$A$5:$A$604,0)),0)*MileageRate,2))</f>
        <v>0</v>
      </c>
      <c r="T223" s="21">
        <f>IF(A223="","",O223+Q223+R223+IF(S223="",0,S223))</f>
        <v>0</v>
      </c>
      <c r="U223" s="21">
        <f>IF(A223="","",J223-T223)</f>
        <v>0</v>
      </c>
      <c r="V223" s="38">
        <f>IF(OR(A223="",J223=0),"",U223/J223)</f>
        <v>0</v>
      </c>
      <c r="W223" s="21">
        <f>IF(OR(A223="",M223=0,J223=0),"",U223/M223)</f>
        <v>0</v>
      </c>
      <c r="X223" s="34">
        <f>IF(OR(A223="",L223="",L223=0,K223=""),"",L223-K223)</f>
        <v>0</v>
      </c>
      <c r="Y223" s="31">
        <f>IF(A223="","",COUNTIFS($U$5:$U$604,"&gt;"&amp;U223)+COUNTIFS($U$5:U223,U223))</f>
        <v>0</v>
      </c>
      <c r="Z223" s="31">
        <f>IF(A223="","",COUNTIFS($W$5:$W$604,"&gt;"&amp;W223)+COUNTIFS($W$5:W223,W223))</f>
        <v>0</v>
      </c>
      <c r="AA223" s="39">
        <f>IF(A223="","",IF(J223=0,"",IF(U223&lt;0,"Loss - this job cost you money",IF(V223&lt;MarginFloor,"Below - margin under the floor",IF(V223&lt;TargetMargin,"Check - under target margin",IF(AND(X223&lt;&gt;"",X223&gt;0.5),"Check - ran over the estimate","OK"))))))</f>
        <v>0</v>
      </c>
    </row>
    <row r="224" spans="1:27">
      <c r="A224" s="43">
        <f>IF(IFERROR(INDEX(Jobs!$A$5:$A$604,ROW()-4),"")="","",IFERROR(INDEX(Jobs!$A$5:$A$604,ROW()-4),""))</f>
        <v>0</v>
      </c>
      <c r="B224" s="18">
        <f>IF(A224="","",IFERROR(INDEX(Jobs!$B$5:$B$604,MATCH(A224,Jobs!$A$5:$A$604,0)),""))</f>
        <v>0</v>
      </c>
      <c r="C224" s="23">
        <f>IF(B224="","",TEXT(B224,"yyyy-mm"))</f>
        <v>0</v>
      </c>
      <c r="D224" s="43">
        <f>IF(A224="","",IFERROR(INDEX(Jobs!$G$5:$G$604,MATCH(A224,Jobs!$A$5:$A$604,0)),""))</f>
        <v>0</v>
      </c>
      <c r="E224" s="23">
        <f>IF(A224="","",IFERROR(INDEX(Jobs!$H$5:$H$604,MATCH(A224,Jobs!$A$5:$A$604,0)),""))</f>
        <v>0</v>
      </c>
      <c r="F224" s="23">
        <f>IF(A224="","",IFERROR(INDEX(Jobs!$K$5:$K$604,MATCH(A224,Jobs!$A$5:$A$604,0)),""))</f>
        <v>0</v>
      </c>
      <c r="G224" s="23">
        <f>IF(A224="","",IFERROR(INDEX(Jobs!$M$5:$M$604,MATCH(A224,Jobs!$A$5:$A$604,0)),""))</f>
        <v>0</v>
      </c>
      <c r="H224" s="23">
        <f>IF(A224="","",IFERROR(INDEX(Jobs!$R$5:$R$604,MATCH(A224,Jobs!$A$5:$A$604,0)),""))</f>
        <v>0</v>
      </c>
      <c r="I224" s="39">
        <f>IF(A224="","",IFERROR(INDEX(Jobs!$P$5:$P$604,MATCH(A224,Jobs!$A$5:$A$604,0)),""))</f>
        <v>0</v>
      </c>
      <c r="J224" s="21">
        <f>IF(A224="","",IF(OR(I224="Completed",I224="Invoiced"),IFERROR(INDEX(Jobs!$AJ$5:$AJ$604,MATCH(A224,Jobs!$A$5:$A$604,0)),0),0))</f>
        <v>0</v>
      </c>
      <c r="K224" s="34">
        <f>IF(A224="","",IFERROR(INDEX(Jobs!$AD$5:$AD$604,MATCH(A224,Jobs!$A$5:$A$604,0)),0))</f>
        <v>0</v>
      </c>
      <c r="L224" s="34">
        <f>IF(A224="","",IFERROR(INDEX(Jobs!$AK$5:$AK$604,MATCH(A224,Jobs!$A$5:$A$604,0)),0))</f>
        <v>0</v>
      </c>
      <c r="M224" s="34">
        <f>IF(A224="","",IF(IFERROR(L224*1,0)&gt;0,L224,IFERROR(K224*1,0)))</f>
        <v>0</v>
      </c>
      <c r="N224" s="21">
        <f>IF(A224="","",SUMIFS(Timesheets!$X$5:$X$804,Timesheets!$G$5:$G$804,A224))</f>
        <v>0</v>
      </c>
      <c r="O224" s="21">
        <f>IF(A224="","",IF(N224&gt;0,N224,ROUND(M224*CostPerHour,2)))</f>
        <v>0</v>
      </c>
      <c r="P224" s="21">
        <f>IF(A224="","",SUMIFS('Supply Usage'!$L$5:$L$304,'Supply Usage'!$F$5:$F$304,A224))</f>
        <v>0</v>
      </c>
      <c r="Q224" s="21">
        <f>IF(A224="","",IF(P224&gt;0,P224,ROUND(M224*SuppliesPerHour,2)))</f>
        <v>0</v>
      </c>
      <c r="R224" s="21">
        <f>IF(A224="","",ROUND(IFERROR(INDEX(Jobs!$W$5:$W$604,MATCH(A224,Jobs!$A$5:$A$604,0)),0)*MileageRate,2))</f>
        <v>0</v>
      </c>
      <c r="T224" s="21">
        <f>IF(A224="","",O224+Q224+R224+IF(S224="",0,S224))</f>
        <v>0</v>
      </c>
      <c r="U224" s="21">
        <f>IF(A224="","",J224-T224)</f>
        <v>0</v>
      </c>
      <c r="V224" s="38">
        <f>IF(OR(A224="",J224=0),"",U224/J224)</f>
        <v>0</v>
      </c>
      <c r="W224" s="21">
        <f>IF(OR(A224="",M224=0,J224=0),"",U224/M224)</f>
        <v>0</v>
      </c>
      <c r="X224" s="34">
        <f>IF(OR(A224="",L224="",L224=0,K224=""),"",L224-K224)</f>
        <v>0</v>
      </c>
      <c r="Y224" s="31">
        <f>IF(A224="","",COUNTIFS($U$5:$U$604,"&gt;"&amp;U224)+COUNTIFS($U$5:U224,U224))</f>
        <v>0</v>
      </c>
      <c r="Z224" s="31">
        <f>IF(A224="","",COUNTIFS($W$5:$W$604,"&gt;"&amp;W224)+COUNTIFS($W$5:W224,W224))</f>
        <v>0</v>
      </c>
      <c r="AA224" s="39">
        <f>IF(A224="","",IF(J224=0,"",IF(U224&lt;0,"Loss - this job cost you money",IF(V224&lt;MarginFloor,"Below - margin under the floor",IF(V224&lt;TargetMargin,"Check - under target margin",IF(AND(X224&lt;&gt;"",X224&gt;0.5),"Check - ran over the estimate","OK"))))))</f>
        <v>0</v>
      </c>
    </row>
    <row r="225" spans="1:27">
      <c r="A225" s="43">
        <f>IF(IFERROR(INDEX(Jobs!$A$5:$A$604,ROW()-4),"")="","",IFERROR(INDEX(Jobs!$A$5:$A$604,ROW()-4),""))</f>
        <v>0</v>
      </c>
      <c r="B225" s="18">
        <f>IF(A225="","",IFERROR(INDEX(Jobs!$B$5:$B$604,MATCH(A225,Jobs!$A$5:$A$604,0)),""))</f>
        <v>0</v>
      </c>
      <c r="C225" s="23">
        <f>IF(B225="","",TEXT(B225,"yyyy-mm"))</f>
        <v>0</v>
      </c>
      <c r="D225" s="43">
        <f>IF(A225="","",IFERROR(INDEX(Jobs!$G$5:$G$604,MATCH(A225,Jobs!$A$5:$A$604,0)),""))</f>
        <v>0</v>
      </c>
      <c r="E225" s="23">
        <f>IF(A225="","",IFERROR(INDEX(Jobs!$H$5:$H$604,MATCH(A225,Jobs!$A$5:$A$604,0)),""))</f>
        <v>0</v>
      </c>
      <c r="F225" s="23">
        <f>IF(A225="","",IFERROR(INDEX(Jobs!$K$5:$K$604,MATCH(A225,Jobs!$A$5:$A$604,0)),""))</f>
        <v>0</v>
      </c>
      <c r="G225" s="23">
        <f>IF(A225="","",IFERROR(INDEX(Jobs!$M$5:$M$604,MATCH(A225,Jobs!$A$5:$A$604,0)),""))</f>
        <v>0</v>
      </c>
      <c r="H225" s="23">
        <f>IF(A225="","",IFERROR(INDEX(Jobs!$R$5:$R$604,MATCH(A225,Jobs!$A$5:$A$604,0)),""))</f>
        <v>0</v>
      </c>
      <c r="I225" s="39">
        <f>IF(A225="","",IFERROR(INDEX(Jobs!$P$5:$P$604,MATCH(A225,Jobs!$A$5:$A$604,0)),""))</f>
        <v>0</v>
      </c>
      <c r="J225" s="21">
        <f>IF(A225="","",IF(OR(I225="Completed",I225="Invoiced"),IFERROR(INDEX(Jobs!$AJ$5:$AJ$604,MATCH(A225,Jobs!$A$5:$A$604,0)),0),0))</f>
        <v>0</v>
      </c>
      <c r="K225" s="34">
        <f>IF(A225="","",IFERROR(INDEX(Jobs!$AD$5:$AD$604,MATCH(A225,Jobs!$A$5:$A$604,0)),0))</f>
        <v>0</v>
      </c>
      <c r="L225" s="34">
        <f>IF(A225="","",IFERROR(INDEX(Jobs!$AK$5:$AK$604,MATCH(A225,Jobs!$A$5:$A$604,0)),0))</f>
        <v>0</v>
      </c>
      <c r="M225" s="34">
        <f>IF(A225="","",IF(IFERROR(L225*1,0)&gt;0,L225,IFERROR(K225*1,0)))</f>
        <v>0</v>
      </c>
      <c r="N225" s="21">
        <f>IF(A225="","",SUMIFS(Timesheets!$X$5:$X$804,Timesheets!$G$5:$G$804,A225))</f>
        <v>0</v>
      </c>
      <c r="O225" s="21">
        <f>IF(A225="","",IF(N225&gt;0,N225,ROUND(M225*CostPerHour,2)))</f>
        <v>0</v>
      </c>
      <c r="P225" s="21">
        <f>IF(A225="","",SUMIFS('Supply Usage'!$L$5:$L$304,'Supply Usage'!$F$5:$F$304,A225))</f>
        <v>0</v>
      </c>
      <c r="Q225" s="21">
        <f>IF(A225="","",IF(P225&gt;0,P225,ROUND(M225*SuppliesPerHour,2)))</f>
        <v>0</v>
      </c>
      <c r="R225" s="21">
        <f>IF(A225="","",ROUND(IFERROR(INDEX(Jobs!$W$5:$W$604,MATCH(A225,Jobs!$A$5:$A$604,0)),0)*MileageRate,2))</f>
        <v>0</v>
      </c>
      <c r="T225" s="21">
        <f>IF(A225="","",O225+Q225+R225+IF(S225="",0,S225))</f>
        <v>0</v>
      </c>
      <c r="U225" s="21">
        <f>IF(A225="","",J225-T225)</f>
        <v>0</v>
      </c>
      <c r="V225" s="38">
        <f>IF(OR(A225="",J225=0),"",U225/J225)</f>
        <v>0</v>
      </c>
      <c r="W225" s="21">
        <f>IF(OR(A225="",M225=0,J225=0),"",U225/M225)</f>
        <v>0</v>
      </c>
      <c r="X225" s="34">
        <f>IF(OR(A225="",L225="",L225=0,K225=""),"",L225-K225)</f>
        <v>0</v>
      </c>
      <c r="Y225" s="31">
        <f>IF(A225="","",COUNTIFS($U$5:$U$604,"&gt;"&amp;U225)+COUNTIFS($U$5:U225,U225))</f>
        <v>0</v>
      </c>
      <c r="Z225" s="31">
        <f>IF(A225="","",COUNTIFS($W$5:$W$604,"&gt;"&amp;W225)+COUNTIFS($W$5:W225,W225))</f>
        <v>0</v>
      </c>
      <c r="AA225" s="39">
        <f>IF(A225="","",IF(J225=0,"",IF(U225&lt;0,"Loss - this job cost you money",IF(V225&lt;MarginFloor,"Below - margin under the floor",IF(V225&lt;TargetMargin,"Check - under target margin",IF(AND(X225&lt;&gt;"",X225&gt;0.5),"Check - ran over the estimate","OK"))))))</f>
        <v>0</v>
      </c>
    </row>
    <row r="226" spans="1:27">
      <c r="A226" s="43">
        <f>IF(IFERROR(INDEX(Jobs!$A$5:$A$604,ROW()-4),"")="","",IFERROR(INDEX(Jobs!$A$5:$A$604,ROW()-4),""))</f>
        <v>0</v>
      </c>
      <c r="B226" s="18">
        <f>IF(A226="","",IFERROR(INDEX(Jobs!$B$5:$B$604,MATCH(A226,Jobs!$A$5:$A$604,0)),""))</f>
        <v>0</v>
      </c>
      <c r="C226" s="23">
        <f>IF(B226="","",TEXT(B226,"yyyy-mm"))</f>
        <v>0</v>
      </c>
      <c r="D226" s="43">
        <f>IF(A226="","",IFERROR(INDEX(Jobs!$G$5:$G$604,MATCH(A226,Jobs!$A$5:$A$604,0)),""))</f>
        <v>0</v>
      </c>
      <c r="E226" s="23">
        <f>IF(A226="","",IFERROR(INDEX(Jobs!$H$5:$H$604,MATCH(A226,Jobs!$A$5:$A$604,0)),""))</f>
        <v>0</v>
      </c>
      <c r="F226" s="23">
        <f>IF(A226="","",IFERROR(INDEX(Jobs!$K$5:$K$604,MATCH(A226,Jobs!$A$5:$A$604,0)),""))</f>
        <v>0</v>
      </c>
      <c r="G226" s="23">
        <f>IF(A226="","",IFERROR(INDEX(Jobs!$M$5:$M$604,MATCH(A226,Jobs!$A$5:$A$604,0)),""))</f>
        <v>0</v>
      </c>
      <c r="H226" s="23">
        <f>IF(A226="","",IFERROR(INDEX(Jobs!$R$5:$R$604,MATCH(A226,Jobs!$A$5:$A$604,0)),""))</f>
        <v>0</v>
      </c>
      <c r="I226" s="39">
        <f>IF(A226="","",IFERROR(INDEX(Jobs!$P$5:$P$604,MATCH(A226,Jobs!$A$5:$A$604,0)),""))</f>
        <v>0</v>
      </c>
      <c r="J226" s="21">
        <f>IF(A226="","",IF(OR(I226="Completed",I226="Invoiced"),IFERROR(INDEX(Jobs!$AJ$5:$AJ$604,MATCH(A226,Jobs!$A$5:$A$604,0)),0),0))</f>
        <v>0</v>
      </c>
      <c r="K226" s="34">
        <f>IF(A226="","",IFERROR(INDEX(Jobs!$AD$5:$AD$604,MATCH(A226,Jobs!$A$5:$A$604,0)),0))</f>
        <v>0</v>
      </c>
      <c r="L226" s="34">
        <f>IF(A226="","",IFERROR(INDEX(Jobs!$AK$5:$AK$604,MATCH(A226,Jobs!$A$5:$A$604,0)),0))</f>
        <v>0</v>
      </c>
      <c r="M226" s="34">
        <f>IF(A226="","",IF(IFERROR(L226*1,0)&gt;0,L226,IFERROR(K226*1,0)))</f>
        <v>0</v>
      </c>
      <c r="N226" s="21">
        <f>IF(A226="","",SUMIFS(Timesheets!$X$5:$X$804,Timesheets!$G$5:$G$804,A226))</f>
        <v>0</v>
      </c>
      <c r="O226" s="21">
        <f>IF(A226="","",IF(N226&gt;0,N226,ROUND(M226*CostPerHour,2)))</f>
        <v>0</v>
      </c>
      <c r="P226" s="21">
        <f>IF(A226="","",SUMIFS('Supply Usage'!$L$5:$L$304,'Supply Usage'!$F$5:$F$304,A226))</f>
        <v>0</v>
      </c>
      <c r="Q226" s="21">
        <f>IF(A226="","",IF(P226&gt;0,P226,ROUND(M226*SuppliesPerHour,2)))</f>
        <v>0</v>
      </c>
      <c r="R226" s="21">
        <f>IF(A226="","",ROUND(IFERROR(INDEX(Jobs!$W$5:$W$604,MATCH(A226,Jobs!$A$5:$A$604,0)),0)*MileageRate,2))</f>
        <v>0</v>
      </c>
      <c r="T226" s="21">
        <f>IF(A226="","",O226+Q226+R226+IF(S226="",0,S226))</f>
        <v>0</v>
      </c>
      <c r="U226" s="21">
        <f>IF(A226="","",J226-T226)</f>
        <v>0</v>
      </c>
      <c r="V226" s="38">
        <f>IF(OR(A226="",J226=0),"",U226/J226)</f>
        <v>0</v>
      </c>
      <c r="W226" s="21">
        <f>IF(OR(A226="",M226=0,J226=0),"",U226/M226)</f>
        <v>0</v>
      </c>
      <c r="X226" s="34">
        <f>IF(OR(A226="",L226="",L226=0,K226=""),"",L226-K226)</f>
        <v>0</v>
      </c>
      <c r="Y226" s="31">
        <f>IF(A226="","",COUNTIFS($U$5:$U$604,"&gt;"&amp;U226)+COUNTIFS($U$5:U226,U226))</f>
        <v>0</v>
      </c>
      <c r="Z226" s="31">
        <f>IF(A226="","",COUNTIFS($W$5:$W$604,"&gt;"&amp;W226)+COUNTIFS($W$5:W226,W226))</f>
        <v>0</v>
      </c>
      <c r="AA226" s="39">
        <f>IF(A226="","",IF(J226=0,"",IF(U226&lt;0,"Loss - this job cost you money",IF(V226&lt;MarginFloor,"Below - margin under the floor",IF(V226&lt;TargetMargin,"Check - under target margin",IF(AND(X226&lt;&gt;"",X226&gt;0.5),"Check - ran over the estimate","OK"))))))</f>
        <v>0</v>
      </c>
    </row>
    <row r="227" spans="1:27">
      <c r="A227" s="43">
        <f>IF(IFERROR(INDEX(Jobs!$A$5:$A$604,ROW()-4),"")="","",IFERROR(INDEX(Jobs!$A$5:$A$604,ROW()-4),""))</f>
        <v>0</v>
      </c>
      <c r="B227" s="18">
        <f>IF(A227="","",IFERROR(INDEX(Jobs!$B$5:$B$604,MATCH(A227,Jobs!$A$5:$A$604,0)),""))</f>
        <v>0</v>
      </c>
      <c r="C227" s="23">
        <f>IF(B227="","",TEXT(B227,"yyyy-mm"))</f>
        <v>0</v>
      </c>
      <c r="D227" s="43">
        <f>IF(A227="","",IFERROR(INDEX(Jobs!$G$5:$G$604,MATCH(A227,Jobs!$A$5:$A$604,0)),""))</f>
        <v>0</v>
      </c>
      <c r="E227" s="23">
        <f>IF(A227="","",IFERROR(INDEX(Jobs!$H$5:$H$604,MATCH(A227,Jobs!$A$5:$A$604,0)),""))</f>
        <v>0</v>
      </c>
      <c r="F227" s="23">
        <f>IF(A227="","",IFERROR(INDEX(Jobs!$K$5:$K$604,MATCH(A227,Jobs!$A$5:$A$604,0)),""))</f>
        <v>0</v>
      </c>
      <c r="G227" s="23">
        <f>IF(A227="","",IFERROR(INDEX(Jobs!$M$5:$M$604,MATCH(A227,Jobs!$A$5:$A$604,0)),""))</f>
        <v>0</v>
      </c>
      <c r="H227" s="23">
        <f>IF(A227="","",IFERROR(INDEX(Jobs!$R$5:$R$604,MATCH(A227,Jobs!$A$5:$A$604,0)),""))</f>
        <v>0</v>
      </c>
      <c r="I227" s="39">
        <f>IF(A227="","",IFERROR(INDEX(Jobs!$P$5:$P$604,MATCH(A227,Jobs!$A$5:$A$604,0)),""))</f>
        <v>0</v>
      </c>
      <c r="J227" s="21">
        <f>IF(A227="","",IF(OR(I227="Completed",I227="Invoiced"),IFERROR(INDEX(Jobs!$AJ$5:$AJ$604,MATCH(A227,Jobs!$A$5:$A$604,0)),0),0))</f>
        <v>0</v>
      </c>
      <c r="K227" s="34">
        <f>IF(A227="","",IFERROR(INDEX(Jobs!$AD$5:$AD$604,MATCH(A227,Jobs!$A$5:$A$604,0)),0))</f>
        <v>0</v>
      </c>
      <c r="L227" s="34">
        <f>IF(A227="","",IFERROR(INDEX(Jobs!$AK$5:$AK$604,MATCH(A227,Jobs!$A$5:$A$604,0)),0))</f>
        <v>0</v>
      </c>
      <c r="M227" s="34">
        <f>IF(A227="","",IF(IFERROR(L227*1,0)&gt;0,L227,IFERROR(K227*1,0)))</f>
        <v>0</v>
      </c>
      <c r="N227" s="21">
        <f>IF(A227="","",SUMIFS(Timesheets!$X$5:$X$804,Timesheets!$G$5:$G$804,A227))</f>
        <v>0</v>
      </c>
      <c r="O227" s="21">
        <f>IF(A227="","",IF(N227&gt;0,N227,ROUND(M227*CostPerHour,2)))</f>
        <v>0</v>
      </c>
      <c r="P227" s="21">
        <f>IF(A227="","",SUMIFS('Supply Usage'!$L$5:$L$304,'Supply Usage'!$F$5:$F$304,A227))</f>
        <v>0</v>
      </c>
      <c r="Q227" s="21">
        <f>IF(A227="","",IF(P227&gt;0,P227,ROUND(M227*SuppliesPerHour,2)))</f>
        <v>0</v>
      </c>
      <c r="R227" s="21">
        <f>IF(A227="","",ROUND(IFERROR(INDEX(Jobs!$W$5:$W$604,MATCH(A227,Jobs!$A$5:$A$604,0)),0)*MileageRate,2))</f>
        <v>0</v>
      </c>
      <c r="T227" s="21">
        <f>IF(A227="","",O227+Q227+R227+IF(S227="",0,S227))</f>
        <v>0</v>
      </c>
      <c r="U227" s="21">
        <f>IF(A227="","",J227-T227)</f>
        <v>0</v>
      </c>
      <c r="V227" s="38">
        <f>IF(OR(A227="",J227=0),"",U227/J227)</f>
        <v>0</v>
      </c>
      <c r="W227" s="21">
        <f>IF(OR(A227="",M227=0,J227=0),"",U227/M227)</f>
        <v>0</v>
      </c>
      <c r="X227" s="34">
        <f>IF(OR(A227="",L227="",L227=0,K227=""),"",L227-K227)</f>
        <v>0</v>
      </c>
      <c r="Y227" s="31">
        <f>IF(A227="","",COUNTIFS($U$5:$U$604,"&gt;"&amp;U227)+COUNTIFS($U$5:U227,U227))</f>
        <v>0</v>
      </c>
      <c r="Z227" s="31">
        <f>IF(A227="","",COUNTIFS($W$5:$W$604,"&gt;"&amp;W227)+COUNTIFS($W$5:W227,W227))</f>
        <v>0</v>
      </c>
      <c r="AA227" s="39">
        <f>IF(A227="","",IF(J227=0,"",IF(U227&lt;0,"Loss - this job cost you money",IF(V227&lt;MarginFloor,"Below - margin under the floor",IF(V227&lt;TargetMargin,"Check - under target margin",IF(AND(X227&lt;&gt;"",X227&gt;0.5),"Check - ran over the estimate","OK"))))))</f>
        <v>0</v>
      </c>
    </row>
    <row r="228" spans="1:27">
      <c r="A228" s="43">
        <f>IF(IFERROR(INDEX(Jobs!$A$5:$A$604,ROW()-4),"")="","",IFERROR(INDEX(Jobs!$A$5:$A$604,ROW()-4),""))</f>
        <v>0</v>
      </c>
      <c r="B228" s="18">
        <f>IF(A228="","",IFERROR(INDEX(Jobs!$B$5:$B$604,MATCH(A228,Jobs!$A$5:$A$604,0)),""))</f>
        <v>0</v>
      </c>
      <c r="C228" s="23">
        <f>IF(B228="","",TEXT(B228,"yyyy-mm"))</f>
        <v>0</v>
      </c>
      <c r="D228" s="43">
        <f>IF(A228="","",IFERROR(INDEX(Jobs!$G$5:$G$604,MATCH(A228,Jobs!$A$5:$A$604,0)),""))</f>
        <v>0</v>
      </c>
      <c r="E228" s="23">
        <f>IF(A228="","",IFERROR(INDEX(Jobs!$H$5:$H$604,MATCH(A228,Jobs!$A$5:$A$604,0)),""))</f>
        <v>0</v>
      </c>
      <c r="F228" s="23">
        <f>IF(A228="","",IFERROR(INDEX(Jobs!$K$5:$K$604,MATCH(A228,Jobs!$A$5:$A$604,0)),""))</f>
        <v>0</v>
      </c>
      <c r="G228" s="23">
        <f>IF(A228="","",IFERROR(INDEX(Jobs!$M$5:$M$604,MATCH(A228,Jobs!$A$5:$A$604,0)),""))</f>
        <v>0</v>
      </c>
      <c r="H228" s="23">
        <f>IF(A228="","",IFERROR(INDEX(Jobs!$R$5:$R$604,MATCH(A228,Jobs!$A$5:$A$604,0)),""))</f>
        <v>0</v>
      </c>
      <c r="I228" s="39">
        <f>IF(A228="","",IFERROR(INDEX(Jobs!$P$5:$P$604,MATCH(A228,Jobs!$A$5:$A$604,0)),""))</f>
        <v>0</v>
      </c>
      <c r="J228" s="21">
        <f>IF(A228="","",IF(OR(I228="Completed",I228="Invoiced"),IFERROR(INDEX(Jobs!$AJ$5:$AJ$604,MATCH(A228,Jobs!$A$5:$A$604,0)),0),0))</f>
        <v>0</v>
      </c>
      <c r="K228" s="34">
        <f>IF(A228="","",IFERROR(INDEX(Jobs!$AD$5:$AD$604,MATCH(A228,Jobs!$A$5:$A$604,0)),0))</f>
        <v>0</v>
      </c>
      <c r="L228" s="34">
        <f>IF(A228="","",IFERROR(INDEX(Jobs!$AK$5:$AK$604,MATCH(A228,Jobs!$A$5:$A$604,0)),0))</f>
        <v>0</v>
      </c>
      <c r="M228" s="34">
        <f>IF(A228="","",IF(IFERROR(L228*1,0)&gt;0,L228,IFERROR(K228*1,0)))</f>
        <v>0</v>
      </c>
      <c r="N228" s="21">
        <f>IF(A228="","",SUMIFS(Timesheets!$X$5:$X$804,Timesheets!$G$5:$G$804,A228))</f>
        <v>0</v>
      </c>
      <c r="O228" s="21">
        <f>IF(A228="","",IF(N228&gt;0,N228,ROUND(M228*CostPerHour,2)))</f>
        <v>0</v>
      </c>
      <c r="P228" s="21">
        <f>IF(A228="","",SUMIFS('Supply Usage'!$L$5:$L$304,'Supply Usage'!$F$5:$F$304,A228))</f>
        <v>0</v>
      </c>
      <c r="Q228" s="21">
        <f>IF(A228="","",IF(P228&gt;0,P228,ROUND(M228*SuppliesPerHour,2)))</f>
        <v>0</v>
      </c>
      <c r="R228" s="21">
        <f>IF(A228="","",ROUND(IFERROR(INDEX(Jobs!$W$5:$W$604,MATCH(A228,Jobs!$A$5:$A$604,0)),0)*MileageRate,2))</f>
        <v>0</v>
      </c>
      <c r="T228" s="21">
        <f>IF(A228="","",O228+Q228+R228+IF(S228="",0,S228))</f>
        <v>0</v>
      </c>
      <c r="U228" s="21">
        <f>IF(A228="","",J228-T228)</f>
        <v>0</v>
      </c>
      <c r="V228" s="38">
        <f>IF(OR(A228="",J228=0),"",U228/J228)</f>
        <v>0</v>
      </c>
      <c r="W228" s="21">
        <f>IF(OR(A228="",M228=0,J228=0),"",U228/M228)</f>
        <v>0</v>
      </c>
      <c r="X228" s="34">
        <f>IF(OR(A228="",L228="",L228=0,K228=""),"",L228-K228)</f>
        <v>0</v>
      </c>
      <c r="Y228" s="31">
        <f>IF(A228="","",COUNTIFS($U$5:$U$604,"&gt;"&amp;U228)+COUNTIFS($U$5:U228,U228))</f>
        <v>0</v>
      </c>
      <c r="Z228" s="31">
        <f>IF(A228="","",COUNTIFS($W$5:$W$604,"&gt;"&amp;W228)+COUNTIFS($W$5:W228,W228))</f>
        <v>0</v>
      </c>
      <c r="AA228" s="39">
        <f>IF(A228="","",IF(J228=0,"",IF(U228&lt;0,"Loss - this job cost you money",IF(V228&lt;MarginFloor,"Below - margin under the floor",IF(V228&lt;TargetMargin,"Check - under target margin",IF(AND(X228&lt;&gt;"",X228&gt;0.5),"Check - ran over the estimate","OK"))))))</f>
        <v>0</v>
      </c>
    </row>
    <row r="229" spans="1:27">
      <c r="A229" s="43">
        <f>IF(IFERROR(INDEX(Jobs!$A$5:$A$604,ROW()-4),"")="","",IFERROR(INDEX(Jobs!$A$5:$A$604,ROW()-4),""))</f>
        <v>0</v>
      </c>
      <c r="B229" s="18">
        <f>IF(A229="","",IFERROR(INDEX(Jobs!$B$5:$B$604,MATCH(A229,Jobs!$A$5:$A$604,0)),""))</f>
        <v>0</v>
      </c>
      <c r="C229" s="23">
        <f>IF(B229="","",TEXT(B229,"yyyy-mm"))</f>
        <v>0</v>
      </c>
      <c r="D229" s="43">
        <f>IF(A229="","",IFERROR(INDEX(Jobs!$G$5:$G$604,MATCH(A229,Jobs!$A$5:$A$604,0)),""))</f>
        <v>0</v>
      </c>
      <c r="E229" s="23">
        <f>IF(A229="","",IFERROR(INDEX(Jobs!$H$5:$H$604,MATCH(A229,Jobs!$A$5:$A$604,0)),""))</f>
        <v>0</v>
      </c>
      <c r="F229" s="23">
        <f>IF(A229="","",IFERROR(INDEX(Jobs!$K$5:$K$604,MATCH(A229,Jobs!$A$5:$A$604,0)),""))</f>
        <v>0</v>
      </c>
      <c r="G229" s="23">
        <f>IF(A229="","",IFERROR(INDEX(Jobs!$M$5:$M$604,MATCH(A229,Jobs!$A$5:$A$604,0)),""))</f>
        <v>0</v>
      </c>
      <c r="H229" s="23">
        <f>IF(A229="","",IFERROR(INDEX(Jobs!$R$5:$R$604,MATCH(A229,Jobs!$A$5:$A$604,0)),""))</f>
        <v>0</v>
      </c>
      <c r="I229" s="39">
        <f>IF(A229="","",IFERROR(INDEX(Jobs!$P$5:$P$604,MATCH(A229,Jobs!$A$5:$A$604,0)),""))</f>
        <v>0</v>
      </c>
      <c r="J229" s="21">
        <f>IF(A229="","",IF(OR(I229="Completed",I229="Invoiced"),IFERROR(INDEX(Jobs!$AJ$5:$AJ$604,MATCH(A229,Jobs!$A$5:$A$604,0)),0),0))</f>
        <v>0</v>
      </c>
      <c r="K229" s="34">
        <f>IF(A229="","",IFERROR(INDEX(Jobs!$AD$5:$AD$604,MATCH(A229,Jobs!$A$5:$A$604,0)),0))</f>
        <v>0</v>
      </c>
      <c r="L229" s="34">
        <f>IF(A229="","",IFERROR(INDEX(Jobs!$AK$5:$AK$604,MATCH(A229,Jobs!$A$5:$A$604,0)),0))</f>
        <v>0</v>
      </c>
      <c r="M229" s="34">
        <f>IF(A229="","",IF(IFERROR(L229*1,0)&gt;0,L229,IFERROR(K229*1,0)))</f>
        <v>0</v>
      </c>
      <c r="N229" s="21">
        <f>IF(A229="","",SUMIFS(Timesheets!$X$5:$X$804,Timesheets!$G$5:$G$804,A229))</f>
        <v>0</v>
      </c>
      <c r="O229" s="21">
        <f>IF(A229="","",IF(N229&gt;0,N229,ROUND(M229*CostPerHour,2)))</f>
        <v>0</v>
      </c>
      <c r="P229" s="21">
        <f>IF(A229="","",SUMIFS('Supply Usage'!$L$5:$L$304,'Supply Usage'!$F$5:$F$304,A229))</f>
        <v>0</v>
      </c>
      <c r="Q229" s="21">
        <f>IF(A229="","",IF(P229&gt;0,P229,ROUND(M229*SuppliesPerHour,2)))</f>
        <v>0</v>
      </c>
      <c r="R229" s="21">
        <f>IF(A229="","",ROUND(IFERROR(INDEX(Jobs!$W$5:$W$604,MATCH(A229,Jobs!$A$5:$A$604,0)),0)*MileageRate,2))</f>
        <v>0</v>
      </c>
      <c r="T229" s="21">
        <f>IF(A229="","",O229+Q229+R229+IF(S229="",0,S229))</f>
        <v>0</v>
      </c>
      <c r="U229" s="21">
        <f>IF(A229="","",J229-T229)</f>
        <v>0</v>
      </c>
      <c r="V229" s="38">
        <f>IF(OR(A229="",J229=0),"",U229/J229)</f>
        <v>0</v>
      </c>
      <c r="W229" s="21">
        <f>IF(OR(A229="",M229=0,J229=0),"",U229/M229)</f>
        <v>0</v>
      </c>
      <c r="X229" s="34">
        <f>IF(OR(A229="",L229="",L229=0,K229=""),"",L229-K229)</f>
        <v>0</v>
      </c>
      <c r="Y229" s="31">
        <f>IF(A229="","",COUNTIFS($U$5:$U$604,"&gt;"&amp;U229)+COUNTIFS($U$5:U229,U229))</f>
        <v>0</v>
      </c>
      <c r="Z229" s="31">
        <f>IF(A229="","",COUNTIFS($W$5:$W$604,"&gt;"&amp;W229)+COUNTIFS($W$5:W229,W229))</f>
        <v>0</v>
      </c>
      <c r="AA229" s="39">
        <f>IF(A229="","",IF(J229=0,"",IF(U229&lt;0,"Loss - this job cost you money",IF(V229&lt;MarginFloor,"Below - margin under the floor",IF(V229&lt;TargetMargin,"Check - under target margin",IF(AND(X229&lt;&gt;"",X229&gt;0.5),"Check - ran over the estimate","OK"))))))</f>
        <v>0</v>
      </c>
    </row>
    <row r="230" spans="1:27">
      <c r="A230" s="43">
        <f>IF(IFERROR(INDEX(Jobs!$A$5:$A$604,ROW()-4),"")="","",IFERROR(INDEX(Jobs!$A$5:$A$604,ROW()-4),""))</f>
        <v>0</v>
      </c>
      <c r="B230" s="18">
        <f>IF(A230="","",IFERROR(INDEX(Jobs!$B$5:$B$604,MATCH(A230,Jobs!$A$5:$A$604,0)),""))</f>
        <v>0</v>
      </c>
      <c r="C230" s="23">
        <f>IF(B230="","",TEXT(B230,"yyyy-mm"))</f>
        <v>0</v>
      </c>
      <c r="D230" s="43">
        <f>IF(A230="","",IFERROR(INDEX(Jobs!$G$5:$G$604,MATCH(A230,Jobs!$A$5:$A$604,0)),""))</f>
        <v>0</v>
      </c>
      <c r="E230" s="23">
        <f>IF(A230="","",IFERROR(INDEX(Jobs!$H$5:$H$604,MATCH(A230,Jobs!$A$5:$A$604,0)),""))</f>
        <v>0</v>
      </c>
      <c r="F230" s="23">
        <f>IF(A230="","",IFERROR(INDEX(Jobs!$K$5:$K$604,MATCH(A230,Jobs!$A$5:$A$604,0)),""))</f>
        <v>0</v>
      </c>
      <c r="G230" s="23">
        <f>IF(A230="","",IFERROR(INDEX(Jobs!$M$5:$M$604,MATCH(A230,Jobs!$A$5:$A$604,0)),""))</f>
        <v>0</v>
      </c>
      <c r="H230" s="23">
        <f>IF(A230="","",IFERROR(INDEX(Jobs!$R$5:$R$604,MATCH(A230,Jobs!$A$5:$A$604,0)),""))</f>
        <v>0</v>
      </c>
      <c r="I230" s="39">
        <f>IF(A230="","",IFERROR(INDEX(Jobs!$P$5:$P$604,MATCH(A230,Jobs!$A$5:$A$604,0)),""))</f>
        <v>0</v>
      </c>
      <c r="J230" s="21">
        <f>IF(A230="","",IF(OR(I230="Completed",I230="Invoiced"),IFERROR(INDEX(Jobs!$AJ$5:$AJ$604,MATCH(A230,Jobs!$A$5:$A$604,0)),0),0))</f>
        <v>0</v>
      </c>
      <c r="K230" s="34">
        <f>IF(A230="","",IFERROR(INDEX(Jobs!$AD$5:$AD$604,MATCH(A230,Jobs!$A$5:$A$604,0)),0))</f>
        <v>0</v>
      </c>
      <c r="L230" s="34">
        <f>IF(A230="","",IFERROR(INDEX(Jobs!$AK$5:$AK$604,MATCH(A230,Jobs!$A$5:$A$604,0)),0))</f>
        <v>0</v>
      </c>
      <c r="M230" s="34">
        <f>IF(A230="","",IF(IFERROR(L230*1,0)&gt;0,L230,IFERROR(K230*1,0)))</f>
        <v>0</v>
      </c>
      <c r="N230" s="21">
        <f>IF(A230="","",SUMIFS(Timesheets!$X$5:$X$804,Timesheets!$G$5:$G$804,A230))</f>
        <v>0</v>
      </c>
      <c r="O230" s="21">
        <f>IF(A230="","",IF(N230&gt;0,N230,ROUND(M230*CostPerHour,2)))</f>
        <v>0</v>
      </c>
      <c r="P230" s="21">
        <f>IF(A230="","",SUMIFS('Supply Usage'!$L$5:$L$304,'Supply Usage'!$F$5:$F$304,A230))</f>
        <v>0</v>
      </c>
      <c r="Q230" s="21">
        <f>IF(A230="","",IF(P230&gt;0,P230,ROUND(M230*SuppliesPerHour,2)))</f>
        <v>0</v>
      </c>
      <c r="R230" s="21">
        <f>IF(A230="","",ROUND(IFERROR(INDEX(Jobs!$W$5:$W$604,MATCH(A230,Jobs!$A$5:$A$604,0)),0)*MileageRate,2))</f>
        <v>0</v>
      </c>
      <c r="T230" s="21">
        <f>IF(A230="","",O230+Q230+R230+IF(S230="",0,S230))</f>
        <v>0</v>
      </c>
      <c r="U230" s="21">
        <f>IF(A230="","",J230-T230)</f>
        <v>0</v>
      </c>
      <c r="V230" s="38">
        <f>IF(OR(A230="",J230=0),"",U230/J230)</f>
        <v>0</v>
      </c>
      <c r="W230" s="21">
        <f>IF(OR(A230="",M230=0,J230=0),"",U230/M230)</f>
        <v>0</v>
      </c>
      <c r="X230" s="34">
        <f>IF(OR(A230="",L230="",L230=0,K230=""),"",L230-K230)</f>
        <v>0</v>
      </c>
      <c r="Y230" s="31">
        <f>IF(A230="","",COUNTIFS($U$5:$U$604,"&gt;"&amp;U230)+COUNTIFS($U$5:U230,U230))</f>
        <v>0</v>
      </c>
      <c r="Z230" s="31">
        <f>IF(A230="","",COUNTIFS($W$5:$W$604,"&gt;"&amp;W230)+COUNTIFS($W$5:W230,W230))</f>
        <v>0</v>
      </c>
      <c r="AA230" s="39">
        <f>IF(A230="","",IF(J230=0,"",IF(U230&lt;0,"Loss - this job cost you money",IF(V230&lt;MarginFloor,"Below - margin under the floor",IF(V230&lt;TargetMargin,"Check - under target margin",IF(AND(X230&lt;&gt;"",X230&gt;0.5),"Check - ran over the estimate","OK"))))))</f>
        <v>0</v>
      </c>
    </row>
    <row r="231" spans="1:27">
      <c r="A231" s="43">
        <f>IF(IFERROR(INDEX(Jobs!$A$5:$A$604,ROW()-4),"")="","",IFERROR(INDEX(Jobs!$A$5:$A$604,ROW()-4),""))</f>
        <v>0</v>
      </c>
      <c r="B231" s="18">
        <f>IF(A231="","",IFERROR(INDEX(Jobs!$B$5:$B$604,MATCH(A231,Jobs!$A$5:$A$604,0)),""))</f>
        <v>0</v>
      </c>
      <c r="C231" s="23">
        <f>IF(B231="","",TEXT(B231,"yyyy-mm"))</f>
        <v>0</v>
      </c>
      <c r="D231" s="43">
        <f>IF(A231="","",IFERROR(INDEX(Jobs!$G$5:$G$604,MATCH(A231,Jobs!$A$5:$A$604,0)),""))</f>
        <v>0</v>
      </c>
      <c r="E231" s="23">
        <f>IF(A231="","",IFERROR(INDEX(Jobs!$H$5:$H$604,MATCH(A231,Jobs!$A$5:$A$604,0)),""))</f>
        <v>0</v>
      </c>
      <c r="F231" s="23">
        <f>IF(A231="","",IFERROR(INDEX(Jobs!$K$5:$K$604,MATCH(A231,Jobs!$A$5:$A$604,0)),""))</f>
        <v>0</v>
      </c>
      <c r="G231" s="23">
        <f>IF(A231="","",IFERROR(INDEX(Jobs!$M$5:$M$604,MATCH(A231,Jobs!$A$5:$A$604,0)),""))</f>
        <v>0</v>
      </c>
      <c r="H231" s="23">
        <f>IF(A231="","",IFERROR(INDEX(Jobs!$R$5:$R$604,MATCH(A231,Jobs!$A$5:$A$604,0)),""))</f>
        <v>0</v>
      </c>
      <c r="I231" s="39">
        <f>IF(A231="","",IFERROR(INDEX(Jobs!$P$5:$P$604,MATCH(A231,Jobs!$A$5:$A$604,0)),""))</f>
        <v>0</v>
      </c>
      <c r="J231" s="21">
        <f>IF(A231="","",IF(OR(I231="Completed",I231="Invoiced"),IFERROR(INDEX(Jobs!$AJ$5:$AJ$604,MATCH(A231,Jobs!$A$5:$A$604,0)),0),0))</f>
        <v>0</v>
      </c>
      <c r="K231" s="34">
        <f>IF(A231="","",IFERROR(INDEX(Jobs!$AD$5:$AD$604,MATCH(A231,Jobs!$A$5:$A$604,0)),0))</f>
        <v>0</v>
      </c>
      <c r="L231" s="34">
        <f>IF(A231="","",IFERROR(INDEX(Jobs!$AK$5:$AK$604,MATCH(A231,Jobs!$A$5:$A$604,0)),0))</f>
        <v>0</v>
      </c>
      <c r="M231" s="34">
        <f>IF(A231="","",IF(IFERROR(L231*1,0)&gt;0,L231,IFERROR(K231*1,0)))</f>
        <v>0</v>
      </c>
      <c r="N231" s="21">
        <f>IF(A231="","",SUMIFS(Timesheets!$X$5:$X$804,Timesheets!$G$5:$G$804,A231))</f>
        <v>0</v>
      </c>
      <c r="O231" s="21">
        <f>IF(A231="","",IF(N231&gt;0,N231,ROUND(M231*CostPerHour,2)))</f>
        <v>0</v>
      </c>
      <c r="P231" s="21">
        <f>IF(A231="","",SUMIFS('Supply Usage'!$L$5:$L$304,'Supply Usage'!$F$5:$F$304,A231))</f>
        <v>0</v>
      </c>
      <c r="Q231" s="21">
        <f>IF(A231="","",IF(P231&gt;0,P231,ROUND(M231*SuppliesPerHour,2)))</f>
        <v>0</v>
      </c>
      <c r="R231" s="21">
        <f>IF(A231="","",ROUND(IFERROR(INDEX(Jobs!$W$5:$W$604,MATCH(A231,Jobs!$A$5:$A$604,0)),0)*MileageRate,2))</f>
        <v>0</v>
      </c>
      <c r="T231" s="21">
        <f>IF(A231="","",O231+Q231+R231+IF(S231="",0,S231))</f>
        <v>0</v>
      </c>
      <c r="U231" s="21">
        <f>IF(A231="","",J231-T231)</f>
        <v>0</v>
      </c>
      <c r="V231" s="38">
        <f>IF(OR(A231="",J231=0),"",U231/J231)</f>
        <v>0</v>
      </c>
      <c r="W231" s="21">
        <f>IF(OR(A231="",M231=0,J231=0),"",U231/M231)</f>
        <v>0</v>
      </c>
      <c r="X231" s="34">
        <f>IF(OR(A231="",L231="",L231=0,K231=""),"",L231-K231)</f>
        <v>0</v>
      </c>
      <c r="Y231" s="31">
        <f>IF(A231="","",COUNTIFS($U$5:$U$604,"&gt;"&amp;U231)+COUNTIFS($U$5:U231,U231))</f>
        <v>0</v>
      </c>
      <c r="Z231" s="31">
        <f>IF(A231="","",COUNTIFS($W$5:$W$604,"&gt;"&amp;W231)+COUNTIFS($W$5:W231,W231))</f>
        <v>0</v>
      </c>
      <c r="AA231" s="39">
        <f>IF(A231="","",IF(J231=0,"",IF(U231&lt;0,"Loss - this job cost you money",IF(V231&lt;MarginFloor,"Below - margin under the floor",IF(V231&lt;TargetMargin,"Check - under target margin",IF(AND(X231&lt;&gt;"",X231&gt;0.5),"Check - ran over the estimate","OK"))))))</f>
        <v>0</v>
      </c>
    </row>
    <row r="232" spans="1:27">
      <c r="A232" s="43">
        <f>IF(IFERROR(INDEX(Jobs!$A$5:$A$604,ROW()-4),"")="","",IFERROR(INDEX(Jobs!$A$5:$A$604,ROW()-4),""))</f>
        <v>0</v>
      </c>
      <c r="B232" s="18">
        <f>IF(A232="","",IFERROR(INDEX(Jobs!$B$5:$B$604,MATCH(A232,Jobs!$A$5:$A$604,0)),""))</f>
        <v>0</v>
      </c>
      <c r="C232" s="23">
        <f>IF(B232="","",TEXT(B232,"yyyy-mm"))</f>
        <v>0</v>
      </c>
      <c r="D232" s="43">
        <f>IF(A232="","",IFERROR(INDEX(Jobs!$G$5:$G$604,MATCH(A232,Jobs!$A$5:$A$604,0)),""))</f>
        <v>0</v>
      </c>
      <c r="E232" s="23">
        <f>IF(A232="","",IFERROR(INDEX(Jobs!$H$5:$H$604,MATCH(A232,Jobs!$A$5:$A$604,0)),""))</f>
        <v>0</v>
      </c>
      <c r="F232" s="23">
        <f>IF(A232="","",IFERROR(INDEX(Jobs!$K$5:$K$604,MATCH(A232,Jobs!$A$5:$A$604,0)),""))</f>
        <v>0</v>
      </c>
      <c r="G232" s="23">
        <f>IF(A232="","",IFERROR(INDEX(Jobs!$M$5:$M$604,MATCH(A232,Jobs!$A$5:$A$604,0)),""))</f>
        <v>0</v>
      </c>
      <c r="H232" s="23">
        <f>IF(A232="","",IFERROR(INDEX(Jobs!$R$5:$R$604,MATCH(A232,Jobs!$A$5:$A$604,0)),""))</f>
        <v>0</v>
      </c>
      <c r="I232" s="39">
        <f>IF(A232="","",IFERROR(INDEX(Jobs!$P$5:$P$604,MATCH(A232,Jobs!$A$5:$A$604,0)),""))</f>
        <v>0</v>
      </c>
      <c r="J232" s="21">
        <f>IF(A232="","",IF(OR(I232="Completed",I232="Invoiced"),IFERROR(INDEX(Jobs!$AJ$5:$AJ$604,MATCH(A232,Jobs!$A$5:$A$604,0)),0),0))</f>
        <v>0</v>
      </c>
      <c r="K232" s="34">
        <f>IF(A232="","",IFERROR(INDEX(Jobs!$AD$5:$AD$604,MATCH(A232,Jobs!$A$5:$A$604,0)),0))</f>
        <v>0</v>
      </c>
      <c r="L232" s="34">
        <f>IF(A232="","",IFERROR(INDEX(Jobs!$AK$5:$AK$604,MATCH(A232,Jobs!$A$5:$A$604,0)),0))</f>
        <v>0</v>
      </c>
      <c r="M232" s="34">
        <f>IF(A232="","",IF(IFERROR(L232*1,0)&gt;0,L232,IFERROR(K232*1,0)))</f>
        <v>0</v>
      </c>
      <c r="N232" s="21">
        <f>IF(A232="","",SUMIFS(Timesheets!$X$5:$X$804,Timesheets!$G$5:$G$804,A232))</f>
        <v>0</v>
      </c>
      <c r="O232" s="21">
        <f>IF(A232="","",IF(N232&gt;0,N232,ROUND(M232*CostPerHour,2)))</f>
        <v>0</v>
      </c>
      <c r="P232" s="21">
        <f>IF(A232="","",SUMIFS('Supply Usage'!$L$5:$L$304,'Supply Usage'!$F$5:$F$304,A232))</f>
        <v>0</v>
      </c>
      <c r="Q232" s="21">
        <f>IF(A232="","",IF(P232&gt;0,P232,ROUND(M232*SuppliesPerHour,2)))</f>
        <v>0</v>
      </c>
      <c r="R232" s="21">
        <f>IF(A232="","",ROUND(IFERROR(INDEX(Jobs!$W$5:$W$604,MATCH(A232,Jobs!$A$5:$A$604,0)),0)*MileageRate,2))</f>
        <v>0</v>
      </c>
      <c r="T232" s="21">
        <f>IF(A232="","",O232+Q232+R232+IF(S232="",0,S232))</f>
        <v>0</v>
      </c>
      <c r="U232" s="21">
        <f>IF(A232="","",J232-T232)</f>
        <v>0</v>
      </c>
      <c r="V232" s="38">
        <f>IF(OR(A232="",J232=0),"",U232/J232)</f>
        <v>0</v>
      </c>
      <c r="W232" s="21">
        <f>IF(OR(A232="",M232=0,J232=0),"",U232/M232)</f>
        <v>0</v>
      </c>
      <c r="X232" s="34">
        <f>IF(OR(A232="",L232="",L232=0,K232=""),"",L232-K232)</f>
        <v>0</v>
      </c>
      <c r="Y232" s="31">
        <f>IF(A232="","",COUNTIFS($U$5:$U$604,"&gt;"&amp;U232)+COUNTIFS($U$5:U232,U232))</f>
        <v>0</v>
      </c>
      <c r="Z232" s="31">
        <f>IF(A232="","",COUNTIFS($W$5:$W$604,"&gt;"&amp;W232)+COUNTIFS($W$5:W232,W232))</f>
        <v>0</v>
      </c>
      <c r="AA232" s="39">
        <f>IF(A232="","",IF(J232=0,"",IF(U232&lt;0,"Loss - this job cost you money",IF(V232&lt;MarginFloor,"Below - margin under the floor",IF(V232&lt;TargetMargin,"Check - under target margin",IF(AND(X232&lt;&gt;"",X232&gt;0.5),"Check - ran over the estimate","OK"))))))</f>
        <v>0</v>
      </c>
    </row>
    <row r="233" spans="1:27">
      <c r="A233" s="43">
        <f>IF(IFERROR(INDEX(Jobs!$A$5:$A$604,ROW()-4),"")="","",IFERROR(INDEX(Jobs!$A$5:$A$604,ROW()-4),""))</f>
        <v>0</v>
      </c>
      <c r="B233" s="18">
        <f>IF(A233="","",IFERROR(INDEX(Jobs!$B$5:$B$604,MATCH(A233,Jobs!$A$5:$A$604,0)),""))</f>
        <v>0</v>
      </c>
      <c r="C233" s="23">
        <f>IF(B233="","",TEXT(B233,"yyyy-mm"))</f>
        <v>0</v>
      </c>
      <c r="D233" s="43">
        <f>IF(A233="","",IFERROR(INDEX(Jobs!$G$5:$G$604,MATCH(A233,Jobs!$A$5:$A$604,0)),""))</f>
        <v>0</v>
      </c>
      <c r="E233" s="23">
        <f>IF(A233="","",IFERROR(INDEX(Jobs!$H$5:$H$604,MATCH(A233,Jobs!$A$5:$A$604,0)),""))</f>
        <v>0</v>
      </c>
      <c r="F233" s="23">
        <f>IF(A233="","",IFERROR(INDEX(Jobs!$K$5:$K$604,MATCH(A233,Jobs!$A$5:$A$604,0)),""))</f>
        <v>0</v>
      </c>
      <c r="G233" s="23">
        <f>IF(A233="","",IFERROR(INDEX(Jobs!$M$5:$M$604,MATCH(A233,Jobs!$A$5:$A$604,0)),""))</f>
        <v>0</v>
      </c>
      <c r="H233" s="23">
        <f>IF(A233="","",IFERROR(INDEX(Jobs!$R$5:$R$604,MATCH(A233,Jobs!$A$5:$A$604,0)),""))</f>
        <v>0</v>
      </c>
      <c r="I233" s="39">
        <f>IF(A233="","",IFERROR(INDEX(Jobs!$P$5:$P$604,MATCH(A233,Jobs!$A$5:$A$604,0)),""))</f>
        <v>0</v>
      </c>
      <c r="J233" s="21">
        <f>IF(A233="","",IF(OR(I233="Completed",I233="Invoiced"),IFERROR(INDEX(Jobs!$AJ$5:$AJ$604,MATCH(A233,Jobs!$A$5:$A$604,0)),0),0))</f>
        <v>0</v>
      </c>
      <c r="K233" s="34">
        <f>IF(A233="","",IFERROR(INDEX(Jobs!$AD$5:$AD$604,MATCH(A233,Jobs!$A$5:$A$604,0)),0))</f>
        <v>0</v>
      </c>
      <c r="L233" s="34">
        <f>IF(A233="","",IFERROR(INDEX(Jobs!$AK$5:$AK$604,MATCH(A233,Jobs!$A$5:$A$604,0)),0))</f>
        <v>0</v>
      </c>
      <c r="M233" s="34">
        <f>IF(A233="","",IF(IFERROR(L233*1,0)&gt;0,L233,IFERROR(K233*1,0)))</f>
        <v>0</v>
      </c>
      <c r="N233" s="21">
        <f>IF(A233="","",SUMIFS(Timesheets!$X$5:$X$804,Timesheets!$G$5:$G$804,A233))</f>
        <v>0</v>
      </c>
      <c r="O233" s="21">
        <f>IF(A233="","",IF(N233&gt;0,N233,ROUND(M233*CostPerHour,2)))</f>
        <v>0</v>
      </c>
      <c r="P233" s="21">
        <f>IF(A233="","",SUMIFS('Supply Usage'!$L$5:$L$304,'Supply Usage'!$F$5:$F$304,A233))</f>
        <v>0</v>
      </c>
      <c r="Q233" s="21">
        <f>IF(A233="","",IF(P233&gt;0,P233,ROUND(M233*SuppliesPerHour,2)))</f>
        <v>0</v>
      </c>
      <c r="R233" s="21">
        <f>IF(A233="","",ROUND(IFERROR(INDEX(Jobs!$W$5:$W$604,MATCH(A233,Jobs!$A$5:$A$604,0)),0)*MileageRate,2))</f>
        <v>0</v>
      </c>
      <c r="T233" s="21">
        <f>IF(A233="","",O233+Q233+R233+IF(S233="",0,S233))</f>
        <v>0</v>
      </c>
      <c r="U233" s="21">
        <f>IF(A233="","",J233-T233)</f>
        <v>0</v>
      </c>
      <c r="V233" s="38">
        <f>IF(OR(A233="",J233=0),"",U233/J233)</f>
        <v>0</v>
      </c>
      <c r="W233" s="21">
        <f>IF(OR(A233="",M233=0,J233=0),"",U233/M233)</f>
        <v>0</v>
      </c>
      <c r="X233" s="34">
        <f>IF(OR(A233="",L233="",L233=0,K233=""),"",L233-K233)</f>
        <v>0</v>
      </c>
      <c r="Y233" s="31">
        <f>IF(A233="","",COUNTIFS($U$5:$U$604,"&gt;"&amp;U233)+COUNTIFS($U$5:U233,U233))</f>
        <v>0</v>
      </c>
      <c r="Z233" s="31">
        <f>IF(A233="","",COUNTIFS($W$5:$W$604,"&gt;"&amp;W233)+COUNTIFS($W$5:W233,W233))</f>
        <v>0</v>
      </c>
      <c r="AA233" s="39">
        <f>IF(A233="","",IF(J233=0,"",IF(U233&lt;0,"Loss - this job cost you money",IF(V233&lt;MarginFloor,"Below - margin under the floor",IF(V233&lt;TargetMargin,"Check - under target margin",IF(AND(X233&lt;&gt;"",X233&gt;0.5),"Check - ran over the estimate","OK"))))))</f>
        <v>0</v>
      </c>
    </row>
    <row r="234" spans="1:27">
      <c r="A234" s="43">
        <f>IF(IFERROR(INDEX(Jobs!$A$5:$A$604,ROW()-4),"")="","",IFERROR(INDEX(Jobs!$A$5:$A$604,ROW()-4),""))</f>
        <v>0</v>
      </c>
      <c r="B234" s="18">
        <f>IF(A234="","",IFERROR(INDEX(Jobs!$B$5:$B$604,MATCH(A234,Jobs!$A$5:$A$604,0)),""))</f>
        <v>0</v>
      </c>
      <c r="C234" s="23">
        <f>IF(B234="","",TEXT(B234,"yyyy-mm"))</f>
        <v>0</v>
      </c>
      <c r="D234" s="43">
        <f>IF(A234="","",IFERROR(INDEX(Jobs!$G$5:$G$604,MATCH(A234,Jobs!$A$5:$A$604,0)),""))</f>
        <v>0</v>
      </c>
      <c r="E234" s="23">
        <f>IF(A234="","",IFERROR(INDEX(Jobs!$H$5:$H$604,MATCH(A234,Jobs!$A$5:$A$604,0)),""))</f>
        <v>0</v>
      </c>
      <c r="F234" s="23">
        <f>IF(A234="","",IFERROR(INDEX(Jobs!$K$5:$K$604,MATCH(A234,Jobs!$A$5:$A$604,0)),""))</f>
        <v>0</v>
      </c>
      <c r="G234" s="23">
        <f>IF(A234="","",IFERROR(INDEX(Jobs!$M$5:$M$604,MATCH(A234,Jobs!$A$5:$A$604,0)),""))</f>
        <v>0</v>
      </c>
      <c r="H234" s="23">
        <f>IF(A234="","",IFERROR(INDEX(Jobs!$R$5:$R$604,MATCH(A234,Jobs!$A$5:$A$604,0)),""))</f>
        <v>0</v>
      </c>
      <c r="I234" s="39">
        <f>IF(A234="","",IFERROR(INDEX(Jobs!$P$5:$P$604,MATCH(A234,Jobs!$A$5:$A$604,0)),""))</f>
        <v>0</v>
      </c>
      <c r="J234" s="21">
        <f>IF(A234="","",IF(OR(I234="Completed",I234="Invoiced"),IFERROR(INDEX(Jobs!$AJ$5:$AJ$604,MATCH(A234,Jobs!$A$5:$A$604,0)),0),0))</f>
        <v>0</v>
      </c>
      <c r="K234" s="34">
        <f>IF(A234="","",IFERROR(INDEX(Jobs!$AD$5:$AD$604,MATCH(A234,Jobs!$A$5:$A$604,0)),0))</f>
        <v>0</v>
      </c>
      <c r="L234" s="34">
        <f>IF(A234="","",IFERROR(INDEX(Jobs!$AK$5:$AK$604,MATCH(A234,Jobs!$A$5:$A$604,0)),0))</f>
        <v>0</v>
      </c>
      <c r="M234" s="34">
        <f>IF(A234="","",IF(IFERROR(L234*1,0)&gt;0,L234,IFERROR(K234*1,0)))</f>
        <v>0</v>
      </c>
      <c r="N234" s="21">
        <f>IF(A234="","",SUMIFS(Timesheets!$X$5:$X$804,Timesheets!$G$5:$G$804,A234))</f>
        <v>0</v>
      </c>
      <c r="O234" s="21">
        <f>IF(A234="","",IF(N234&gt;0,N234,ROUND(M234*CostPerHour,2)))</f>
        <v>0</v>
      </c>
      <c r="P234" s="21">
        <f>IF(A234="","",SUMIFS('Supply Usage'!$L$5:$L$304,'Supply Usage'!$F$5:$F$304,A234))</f>
        <v>0</v>
      </c>
      <c r="Q234" s="21">
        <f>IF(A234="","",IF(P234&gt;0,P234,ROUND(M234*SuppliesPerHour,2)))</f>
        <v>0</v>
      </c>
      <c r="R234" s="21">
        <f>IF(A234="","",ROUND(IFERROR(INDEX(Jobs!$W$5:$W$604,MATCH(A234,Jobs!$A$5:$A$604,0)),0)*MileageRate,2))</f>
        <v>0</v>
      </c>
      <c r="T234" s="21">
        <f>IF(A234="","",O234+Q234+R234+IF(S234="",0,S234))</f>
        <v>0</v>
      </c>
      <c r="U234" s="21">
        <f>IF(A234="","",J234-T234)</f>
        <v>0</v>
      </c>
      <c r="V234" s="38">
        <f>IF(OR(A234="",J234=0),"",U234/J234)</f>
        <v>0</v>
      </c>
      <c r="W234" s="21">
        <f>IF(OR(A234="",M234=0,J234=0),"",U234/M234)</f>
        <v>0</v>
      </c>
      <c r="X234" s="34">
        <f>IF(OR(A234="",L234="",L234=0,K234=""),"",L234-K234)</f>
        <v>0</v>
      </c>
      <c r="Y234" s="31">
        <f>IF(A234="","",COUNTIFS($U$5:$U$604,"&gt;"&amp;U234)+COUNTIFS($U$5:U234,U234))</f>
        <v>0</v>
      </c>
      <c r="Z234" s="31">
        <f>IF(A234="","",COUNTIFS($W$5:$W$604,"&gt;"&amp;W234)+COUNTIFS($W$5:W234,W234))</f>
        <v>0</v>
      </c>
      <c r="AA234" s="39">
        <f>IF(A234="","",IF(J234=0,"",IF(U234&lt;0,"Loss - this job cost you money",IF(V234&lt;MarginFloor,"Below - margin under the floor",IF(V234&lt;TargetMargin,"Check - under target margin",IF(AND(X234&lt;&gt;"",X234&gt;0.5),"Check - ran over the estimate","OK"))))))</f>
        <v>0</v>
      </c>
    </row>
    <row r="235" spans="1:27">
      <c r="A235" s="43">
        <f>IF(IFERROR(INDEX(Jobs!$A$5:$A$604,ROW()-4),"")="","",IFERROR(INDEX(Jobs!$A$5:$A$604,ROW()-4),""))</f>
        <v>0</v>
      </c>
      <c r="B235" s="18">
        <f>IF(A235="","",IFERROR(INDEX(Jobs!$B$5:$B$604,MATCH(A235,Jobs!$A$5:$A$604,0)),""))</f>
        <v>0</v>
      </c>
      <c r="C235" s="23">
        <f>IF(B235="","",TEXT(B235,"yyyy-mm"))</f>
        <v>0</v>
      </c>
      <c r="D235" s="43">
        <f>IF(A235="","",IFERROR(INDEX(Jobs!$G$5:$G$604,MATCH(A235,Jobs!$A$5:$A$604,0)),""))</f>
        <v>0</v>
      </c>
      <c r="E235" s="23">
        <f>IF(A235="","",IFERROR(INDEX(Jobs!$H$5:$H$604,MATCH(A235,Jobs!$A$5:$A$604,0)),""))</f>
        <v>0</v>
      </c>
      <c r="F235" s="23">
        <f>IF(A235="","",IFERROR(INDEX(Jobs!$K$5:$K$604,MATCH(A235,Jobs!$A$5:$A$604,0)),""))</f>
        <v>0</v>
      </c>
      <c r="G235" s="23">
        <f>IF(A235="","",IFERROR(INDEX(Jobs!$M$5:$M$604,MATCH(A235,Jobs!$A$5:$A$604,0)),""))</f>
        <v>0</v>
      </c>
      <c r="H235" s="23">
        <f>IF(A235="","",IFERROR(INDEX(Jobs!$R$5:$R$604,MATCH(A235,Jobs!$A$5:$A$604,0)),""))</f>
        <v>0</v>
      </c>
      <c r="I235" s="39">
        <f>IF(A235="","",IFERROR(INDEX(Jobs!$P$5:$P$604,MATCH(A235,Jobs!$A$5:$A$604,0)),""))</f>
        <v>0</v>
      </c>
      <c r="J235" s="21">
        <f>IF(A235="","",IF(OR(I235="Completed",I235="Invoiced"),IFERROR(INDEX(Jobs!$AJ$5:$AJ$604,MATCH(A235,Jobs!$A$5:$A$604,0)),0),0))</f>
        <v>0</v>
      </c>
      <c r="K235" s="34">
        <f>IF(A235="","",IFERROR(INDEX(Jobs!$AD$5:$AD$604,MATCH(A235,Jobs!$A$5:$A$604,0)),0))</f>
        <v>0</v>
      </c>
      <c r="L235" s="34">
        <f>IF(A235="","",IFERROR(INDEX(Jobs!$AK$5:$AK$604,MATCH(A235,Jobs!$A$5:$A$604,0)),0))</f>
        <v>0</v>
      </c>
      <c r="M235" s="34">
        <f>IF(A235="","",IF(IFERROR(L235*1,0)&gt;0,L235,IFERROR(K235*1,0)))</f>
        <v>0</v>
      </c>
      <c r="N235" s="21">
        <f>IF(A235="","",SUMIFS(Timesheets!$X$5:$X$804,Timesheets!$G$5:$G$804,A235))</f>
        <v>0</v>
      </c>
      <c r="O235" s="21">
        <f>IF(A235="","",IF(N235&gt;0,N235,ROUND(M235*CostPerHour,2)))</f>
        <v>0</v>
      </c>
      <c r="P235" s="21">
        <f>IF(A235="","",SUMIFS('Supply Usage'!$L$5:$L$304,'Supply Usage'!$F$5:$F$304,A235))</f>
        <v>0</v>
      </c>
      <c r="Q235" s="21">
        <f>IF(A235="","",IF(P235&gt;0,P235,ROUND(M235*SuppliesPerHour,2)))</f>
        <v>0</v>
      </c>
      <c r="R235" s="21">
        <f>IF(A235="","",ROUND(IFERROR(INDEX(Jobs!$W$5:$W$604,MATCH(A235,Jobs!$A$5:$A$604,0)),0)*MileageRate,2))</f>
        <v>0</v>
      </c>
      <c r="T235" s="21">
        <f>IF(A235="","",O235+Q235+R235+IF(S235="",0,S235))</f>
        <v>0</v>
      </c>
      <c r="U235" s="21">
        <f>IF(A235="","",J235-T235)</f>
        <v>0</v>
      </c>
      <c r="V235" s="38">
        <f>IF(OR(A235="",J235=0),"",U235/J235)</f>
        <v>0</v>
      </c>
      <c r="W235" s="21">
        <f>IF(OR(A235="",M235=0,J235=0),"",U235/M235)</f>
        <v>0</v>
      </c>
      <c r="X235" s="34">
        <f>IF(OR(A235="",L235="",L235=0,K235=""),"",L235-K235)</f>
        <v>0</v>
      </c>
      <c r="Y235" s="31">
        <f>IF(A235="","",COUNTIFS($U$5:$U$604,"&gt;"&amp;U235)+COUNTIFS($U$5:U235,U235))</f>
        <v>0</v>
      </c>
      <c r="Z235" s="31">
        <f>IF(A235="","",COUNTIFS($W$5:$W$604,"&gt;"&amp;W235)+COUNTIFS($W$5:W235,W235))</f>
        <v>0</v>
      </c>
      <c r="AA235" s="39">
        <f>IF(A235="","",IF(J235=0,"",IF(U235&lt;0,"Loss - this job cost you money",IF(V235&lt;MarginFloor,"Below - margin under the floor",IF(V235&lt;TargetMargin,"Check - under target margin",IF(AND(X235&lt;&gt;"",X235&gt;0.5),"Check - ran over the estimate","OK"))))))</f>
        <v>0</v>
      </c>
    </row>
    <row r="236" spans="1:27">
      <c r="A236" s="43">
        <f>IF(IFERROR(INDEX(Jobs!$A$5:$A$604,ROW()-4),"")="","",IFERROR(INDEX(Jobs!$A$5:$A$604,ROW()-4),""))</f>
        <v>0</v>
      </c>
      <c r="B236" s="18">
        <f>IF(A236="","",IFERROR(INDEX(Jobs!$B$5:$B$604,MATCH(A236,Jobs!$A$5:$A$604,0)),""))</f>
        <v>0</v>
      </c>
      <c r="C236" s="23">
        <f>IF(B236="","",TEXT(B236,"yyyy-mm"))</f>
        <v>0</v>
      </c>
      <c r="D236" s="43">
        <f>IF(A236="","",IFERROR(INDEX(Jobs!$G$5:$G$604,MATCH(A236,Jobs!$A$5:$A$604,0)),""))</f>
        <v>0</v>
      </c>
      <c r="E236" s="23">
        <f>IF(A236="","",IFERROR(INDEX(Jobs!$H$5:$H$604,MATCH(A236,Jobs!$A$5:$A$604,0)),""))</f>
        <v>0</v>
      </c>
      <c r="F236" s="23">
        <f>IF(A236="","",IFERROR(INDEX(Jobs!$K$5:$K$604,MATCH(A236,Jobs!$A$5:$A$604,0)),""))</f>
        <v>0</v>
      </c>
      <c r="G236" s="23">
        <f>IF(A236="","",IFERROR(INDEX(Jobs!$M$5:$M$604,MATCH(A236,Jobs!$A$5:$A$604,0)),""))</f>
        <v>0</v>
      </c>
      <c r="H236" s="23">
        <f>IF(A236="","",IFERROR(INDEX(Jobs!$R$5:$R$604,MATCH(A236,Jobs!$A$5:$A$604,0)),""))</f>
        <v>0</v>
      </c>
      <c r="I236" s="39">
        <f>IF(A236="","",IFERROR(INDEX(Jobs!$P$5:$P$604,MATCH(A236,Jobs!$A$5:$A$604,0)),""))</f>
        <v>0</v>
      </c>
      <c r="J236" s="21">
        <f>IF(A236="","",IF(OR(I236="Completed",I236="Invoiced"),IFERROR(INDEX(Jobs!$AJ$5:$AJ$604,MATCH(A236,Jobs!$A$5:$A$604,0)),0),0))</f>
        <v>0</v>
      </c>
      <c r="K236" s="34">
        <f>IF(A236="","",IFERROR(INDEX(Jobs!$AD$5:$AD$604,MATCH(A236,Jobs!$A$5:$A$604,0)),0))</f>
        <v>0</v>
      </c>
      <c r="L236" s="34">
        <f>IF(A236="","",IFERROR(INDEX(Jobs!$AK$5:$AK$604,MATCH(A236,Jobs!$A$5:$A$604,0)),0))</f>
        <v>0</v>
      </c>
      <c r="M236" s="34">
        <f>IF(A236="","",IF(IFERROR(L236*1,0)&gt;0,L236,IFERROR(K236*1,0)))</f>
        <v>0</v>
      </c>
      <c r="N236" s="21">
        <f>IF(A236="","",SUMIFS(Timesheets!$X$5:$X$804,Timesheets!$G$5:$G$804,A236))</f>
        <v>0</v>
      </c>
      <c r="O236" s="21">
        <f>IF(A236="","",IF(N236&gt;0,N236,ROUND(M236*CostPerHour,2)))</f>
        <v>0</v>
      </c>
      <c r="P236" s="21">
        <f>IF(A236="","",SUMIFS('Supply Usage'!$L$5:$L$304,'Supply Usage'!$F$5:$F$304,A236))</f>
        <v>0</v>
      </c>
      <c r="Q236" s="21">
        <f>IF(A236="","",IF(P236&gt;0,P236,ROUND(M236*SuppliesPerHour,2)))</f>
        <v>0</v>
      </c>
      <c r="R236" s="21">
        <f>IF(A236="","",ROUND(IFERROR(INDEX(Jobs!$W$5:$W$604,MATCH(A236,Jobs!$A$5:$A$604,0)),0)*MileageRate,2))</f>
        <v>0</v>
      </c>
      <c r="T236" s="21">
        <f>IF(A236="","",O236+Q236+R236+IF(S236="",0,S236))</f>
        <v>0</v>
      </c>
      <c r="U236" s="21">
        <f>IF(A236="","",J236-T236)</f>
        <v>0</v>
      </c>
      <c r="V236" s="38">
        <f>IF(OR(A236="",J236=0),"",U236/J236)</f>
        <v>0</v>
      </c>
      <c r="W236" s="21">
        <f>IF(OR(A236="",M236=0,J236=0),"",U236/M236)</f>
        <v>0</v>
      </c>
      <c r="X236" s="34">
        <f>IF(OR(A236="",L236="",L236=0,K236=""),"",L236-K236)</f>
        <v>0</v>
      </c>
      <c r="Y236" s="31">
        <f>IF(A236="","",COUNTIFS($U$5:$U$604,"&gt;"&amp;U236)+COUNTIFS($U$5:U236,U236))</f>
        <v>0</v>
      </c>
      <c r="Z236" s="31">
        <f>IF(A236="","",COUNTIFS($W$5:$W$604,"&gt;"&amp;W236)+COUNTIFS($W$5:W236,W236))</f>
        <v>0</v>
      </c>
      <c r="AA236" s="39">
        <f>IF(A236="","",IF(J236=0,"",IF(U236&lt;0,"Loss - this job cost you money",IF(V236&lt;MarginFloor,"Below - margin under the floor",IF(V236&lt;TargetMargin,"Check - under target margin",IF(AND(X236&lt;&gt;"",X236&gt;0.5),"Check - ran over the estimate","OK"))))))</f>
        <v>0</v>
      </c>
    </row>
    <row r="237" spans="1:27">
      <c r="A237" s="43">
        <f>IF(IFERROR(INDEX(Jobs!$A$5:$A$604,ROW()-4),"")="","",IFERROR(INDEX(Jobs!$A$5:$A$604,ROW()-4),""))</f>
        <v>0</v>
      </c>
      <c r="B237" s="18">
        <f>IF(A237="","",IFERROR(INDEX(Jobs!$B$5:$B$604,MATCH(A237,Jobs!$A$5:$A$604,0)),""))</f>
        <v>0</v>
      </c>
      <c r="C237" s="23">
        <f>IF(B237="","",TEXT(B237,"yyyy-mm"))</f>
        <v>0</v>
      </c>
      <c r="D237" s="43">
        <f>IF(A237="","",IFERROR(INDEX(Jobs!$G$5:$G$604,MATCH(A237,Jobs!$A$5:$A$604,0)),""))</f>
        <v>0</v>
      </c>
      <c r="E237" s="23">
        <f>IF(A237="","",IFERROR(INDEX(Jobs!$H$5:$H$604,MATCH(A237,Jobs!$A$5:$A$604,0)),""))</f>
        <v>0</v>
      </c>
      <c r="F237" s="23">
        <f>IF(A237="","",IFERROR(INDEX(Jobs!$K$5:$K$604,MATCH(A237,Jobs!$A$5:$A$604,0)),""))</f>
        <v>0</v>
      </c>
      <c r="G237" s="23">
        <f>IF(A237="","",IFERROR(INDEX(Jobs!$M$5:$M$604,MATCH(A237,Jobs!$A$5:$A$604,0)),""))</f>
        <v>0</v>
      </c>
      <c r="H237" s="23">
        <f>IF(A237="","",IFERROR(INDEX(Jobs!$R$5:$R$604,MATCH(A237,Jobs!$A$5:$A$604,0)),""))</f>
        <v>0</v>
      </c>
      <c r="I237" s="39">
        <f>IF(A237="","",IFERROR(INDEX(Jobs!$P$5:$P$604,MATCH(A237,Jobs!$A$5:$A$604,0)),""))</f>
        <v>0</v>
      </c>
      <c r="J237" s="21">
        <f>IF(A237="","",IF(OR(I237="Completed",I237="Invoiced"),IFERROR(INDEX(Jobs!$AJ$5:$AJ$604,MATCH(A237,Jobs!$A$5:$A$604,0)),0),0))</f>
        <v>0</v>
      </c>
      <c r="K237" s="34">
        <f>IF(A237="","",IFERROR(INDEX(Jobs!$AD$5:$AD$604,MATCH(A237,Jobs!$A$5:$A$604,0)),0))</f>
        <v>0</v>
      </c>
      <c r="L237" s="34">
        <f>IF(A237="","",IFERROR(INDEX(Jobs!$AK$5:$AK$604,MATCH(A237,Jobs!$A$5:$A$604,0)),0))</f>
        <v>0</v>
      </c>
      <c r="M237" s="34">
        <f>IF(A237="","",IF(IFERROR(L237*1,0)&gt;0,L237,IFERROR(K237*1,0)))</f>
        <v>0</v>
      </c>
      <c r="N237" s="21">
        <f>IF(A237="","",SUMIFS(Timesheets!$X$5:$X$804,Timesheets!$G$5:$G$804,A237))</f>
        <v>0</v>
      </c>
      <c r="O237" s="21">
        <f>IF(A237="","",IF(N237&gt;0,N237,ROUND(M237*CostPerHour,2)))</f>
        <v>0</v>
      </c>
      <c r="P237" s="21">
        <f>IF(A237="","",SUMIFS('Supply Usage'!$L$5:$L$304,'Supply Usage'!$F$5:$F$304,A237))</f>
        <v>0</v>
      </c>
      <c r="Q237" s="21">
        <f>IF(A237="","",IF(P237&gt;0,P237,ROUND(M237*SuppliesPerHour,2)))</f>
        <v>0</v>
      </c>
      <c r="R237" s="21">
        <f>IF(A237="","",ROUND(IFERROR(INDEX(Jobs!$W$5:$W$604,MATCH(A237,Jobs!$A$5:$A$604,0)),0)*MileageRate,2))</f>
        <v>0</v>
      </c>
      <c r="T237" s="21">
        <f>IF(A237="","",O237+Q237+R237+IF(S237="",0,S237))</f>
        <v>0</v>
      </c>
      <c r="U237" s="21">
        <f>IF(A237="","",J237-T237)</f>
        <v>0</v>
      </c>
      <c r="V237" s="38">
        <f>IF(OR(A237="",J237=0),"",U237/J237)</f>
        <v>0</v>
      </c>
      <c r="W237" s="21">
        <f>IF(OR(A237="",M237=0,J237=0),"",U237/M237)</f>
        <v>0</v>
      </c>
      <c r="X237" s="34">
        <f>IF(OR(A237="",L237="",L237=0,K237=""),"",L237-K237)</f>
        <v>0</v>
      </c>
      <c r="Y237" s="31">
        <f>IF(A237="","",COUNTIFS($U$5:$U$604,"&gt;"&amp;U237)+COUNTIFS($U$5:U237,U237))</f>
        <v>0</v>
      </c>
      <c r="Z237" s="31">
        <f>IF(A237="","",COUNTIFS($W$5:$W$604,"&gt;"&amp;W237)+COUNTIFS($W$5:W237,W237))</f>
        <v>0</v>
      </c>
      <c r="AA237" s="39">
        <f>IF(A237="","",IF(J237=0,"",IF(U237&lt;0,"Loss - this job cost you money",IF(V237&lt;MarginFloor,"Below - margin under the floor",IF(V237&lt;TargetMargin,"Check - under target margin",IF(AND(X237&lt;&gt;"",X237&gt;0.5),"Check - ran over the estimate","OK"))))))</f>
        <v>0</v>
      </c>
    </row>
    <row r="238" spans="1:27">
      <c r="A238" s="43">
        <f>IF(IFERROR(INDEX(Jobs!$A$5:$A$604,ROW()-4),"")="","",IFERROR(INDEX(Jobs!$A$5:$A$604,ROW()-4),""))</f>
        <v>0</v>
      </c>
      <c r="B238" s="18">
        <f>IF(A238="","",IFERROR(INDEX(Jobs!$B$5:$B$604,MATCH(A238,Jobs!$A$5:$A$604,0)),""))</f>
        <v>0</v>
      </c>
      <c r="C238" s="23">
        <f>IF(B238="","",TEXT(B238,"yyyy-mm"))</f>
        <v>0</v>
      </c>
      <c r="D238" s="43">
        <f>IF(A238="","",IFERROR(INDEX(Jobs!$G$5:$G$604,MATCH(A238,Jobs!$A$5:$A$604,0)),""))</f>
        <v>0</v>
      </c>
      <c r="E238" s="23">
        <f>IF(A238="","",IFERROR(INDEX(Jobs!$H$5:$H$604,MATCH(A238,Jobs!$A$5:$A$604,0)),""))</f>
        <v>0</v>
      </c>
      <c r="F238" s="23">
        <f>IF(A238="","",IFERROR(INDEX(Jobs!$K$5:$K$604,MATCH(A238,Jobs!$A$5:$A$604,0)),""))</f>
        <v>0</v>
      </c>
      <c r="G238" s="23">
        <f>IF(A238="","",IFERROR(INDEX(Jobs!$M$5:$M$604,MATCH(A238,Jobs!$A$5:$A$604,0)),""))</f>
        <v>0</v>
      </c>
      <c r="H238" s="23">
        <f>IF(A238="","",IFERROR(INDEX(Jobs!$R$5:$R$604,MATCH(A238,Jobs!$A$5:$A$604,0)),""))</f>
        <v>0</v>
      </c>
      <c r="I238" s="39">
        <f>IF(A238="","",IFERROR(INDEX(Jobs!$P$5:$P$604,MATCH(A238,Jobs!$A$5:$A$604,0)),""))</f>
        <v>0</v>
      </c>
      <c r="J238" s="21">
        <f>IF(A238="","",IF(OR(I238="Completed",I238="Invoiced"),IFERROR(INDEX(Jobs!$AJ$5:$AJ$604,MATCH(A238,Jobs!$A$5:$A$604,0)),0),0))</f>
        <v>0</v>
      </c>
      <c r="K238" s="34">
        <f>IF(A238="","",IFERROR(INDEX(Jobs!$AD$5:$AD$604,MATCH(A238,Jobs!$A$5:$A$604,0)),0))</f>
        <v>0</v>
      </c>
      <c r="L238" s="34">
        <f>IF(A238="","",IFERROR(INDEX(Jobs!$AK$5:$AK$604,MATCH(A238,Jobs!$A$5:$A$604,0)),0))</f>
        <v>0</v>
      </c>
      <c r="M238" s="34">
        <f>IF(A238="","",IF(IFERROR(L238*1,0)&gt;0,L238,IFERROR(K238*1,0)))</f>
        <v>0</v>
      </c>
      <c r="N238" s="21">
        <f>IF(A238="","",SUMIFS(Timesheets!$X$5:$X$804,Timesheets!$G$5:$G$804,A238))</f>
        <v>0</v>
      </c>
      <c r="O238" s="21">
        <f>IF(A238="","",IF(N238&gt;0,N238,ROUND(M238*CostPerHour,2)))</f>
        <v>0</v>
      </c>
      <c r="P238" s="21">
        <f>IF(A238="","",SUMIFS('Supply Usage'!$L$5:$L$304,'Supply Usage'!$F$5:$F$304,A238))</f>
        <v>0</v>
      </c>
      <c r="Q238" s="21">
        <f>IF(A238="","",IF(P238&gt;0,P238,ROUND(M238*SuppliesPerHour,2)))</f>
        <v>0</v>
      </c>
      <c r="R238" s="21">
        <f>IF(A238="","",ROUND(IFERROR(INDEX(Jobs!$W$5:$W$604,MATCH(A238,Jobs!$A$5:$A$604,0)),0)*MileageRate,2))</f>
        <v>0</v>
      </c>
      <c r="T238" s="21">
        <f>IF(A238="","",O238+Q238+R238+IF(S238="",0,S238))</f>
        <v>0</v>
      </c>
      <c r="U238" s="21">
        <f>IF(A238="","",J238-T238)</f>
        <v>0</v>
      </c>
      <c r="V238" s="38">
        <f>IF(OR(A238="",J238=0),"",U238/J238)</f>
        <v>0</v>
      </c>
      <c r="W238" s="21">
        <f>IF(OR(A238="",M238=0,J238=0),"",U238/M238)</f>
        <v>0</v>
      </c>
      <c r="X238" s="34">
        <f>IF(OR(A238="",L238="",L238=0,K238=""),"",L238-K238)</f>
        <v>0</v>
      </c>
      <c r="Y238" s="31">
        <f>IF(A238="","",COUNTIFS($U$5:$U$604,"&gt;"&amp;U238)+COUNTIFS($U$5:U238,U238))</f>
        <v>0</v>
      </c>
      <c r="Z238" s="31">
        <f>IF(A238="","",COUNTIFS($W$5:$W$604,"&gt;"&amp;W238)+COUNTIFS($W$5:W238,W238))</f>
        <v>0</v>
      </c>
      <c r="AA238" s="39">
        <f>IF(A238="","",IF(J238=0,"",IF(U238&lt;0,"Loss - this job cost you money",IF(V238&lt;MarginFloor,"Below - margin under the floor",IF(V238&lt;TargetMargin,"Check - under target margin",IF(AND(X238&lt;&gt;"",X238&gt;0.5),"Check - ran over the estimate","OK"))))))</f>
        <v>0</v>
      </c>
    </row>
    <row r="239" spans="1:27">
      <c r="A239" s="43">
        <f>IF(IFERROR(INDEX(Jobs!$A$5:$A$604,ROW()-4),"")="","",IFERROR(INDEX(Jobs!$A$5:$A$604,ROW()-4),""))</f>
        <v>0</v>
      </c>
      <c r="B239" s="18">
        <f>IF(A239="","",IFERROR(INDEX(Jobs!$B$5:$B$604,MATCH(A239,Jobs!$A$5:$A$604,0)),""))</f>
        <v>0</v>
      </c>
      <c r="C239" s="23">
        <f>IF(B239="","",TEXT(B239,"yyyy-mm"))</f>
        <v>0</v>
      </c>
      <c r="D239" s="43">
        <f>IF(A239="","",IFERROR(INDEX(Jobs!$G$5:$G$604,MATCH(A239,Jobs!$A$5:$A$604,0)),""))</f>
        <v>0</v>
      </c>
      <c r="E239" s="23">
        <f>IF(A239="","",IFERROR(INDEX(Jobs!$H$5:$H$604,MATCH(A239,Jobs!$A$5:$A$604,0)),""))</f>
        <v>0</v>
      </c>
      <c r="F239" s="23">
        <f>IF(A239="","",IFERROR(INDEX(Jobs!$K$5:$K$604,MATCH(A239,Jobs!$A$5:$A$604,0)),""))</f>
        <v>0</v>
      </c>
      <c r="G239" s="23">
        <f>IF(A239="","",IFERROR(INDEX(Jobs!$M$5:$M$604,MATCH(A239,Jobs!$A$5:$A$604,0)),""))</f>
        <v>0</v>
      </c>
      <c r="H239" s="23">
        <f>IF(A239="","",IFERROR(INDEX(Jobs!$R$5:$R$604,MATCH(A239,Jobs!$A$5:$A$604,0)),""))</f>
        <v>0</v>
      </c>
      <c r="I239" s="39">
        <f>IF(A239="","",IFERROR(INDEX(Jobs!$P$5:$P$604,MATCH(A239,Jobs!$A$5:$A$604,0)),""))</f>
        <v>0</v>
      </c>
      <c r="J239" s="21">
        <f>IF(A239="","",IF(OR(I239="Completed",I239="Invoiced"),IFERROR(INDEX(Jobs!$AJ$5:$AJ$604,MATCH(A239,Jobs!$A$5:$A$604,0)),0),0))</f>
        <v>0</v>
      </c>
      <c r="K239" s="34">
        <f>IF(A239="","",IFERROR(INDEX(Jobs!$AD$5:$AD$604,MATCH(A239,Jobs!$A$5:$A$604,0)),0))</f>
        <v>0</v>
      </c>
      <c r="L239" s="34">
        <f>IF(A239="","",IFERROR(INDEX(Jobs!$AK$5:$AK$604,MATCH(A239,Jobs!$A$5:$A$604,0)),0))</f>
        <v>0</v>
      </c>
      <c r="M239" s="34">
        <f>IF(A239="","",IF(IFERROR(L239*1,0)&gt;0,L239,IFERROR(K239*1,0)))</f>
        <v>0</v>
      </c>
      <c r="N239" s="21">
        <f>IF(A239="","",SUMIFS(Timesheets!$X$5:$X$804,Timesheets!$G$5:$G$804,A239))</f>
        <v>0</v>
      </c>
      <c r="O239" s="21">
        <f>IF(A239="","",IF(N239&gt;0,N239,ROUND(M239*CostPerHour,2)))</f>
        <v>0</v>
      </c>
      <c r="P239" s="21">
        <f>IF(A239="","",SUMIFS('Supply Usage'!$L$5:$L$304,'Supply Usage'!$F$5:$F$304,A239))</f>
        <v>0</v>
      </c>
      <c r="Q239" s="21">
        <f>IF(A239="","",IF(P239&gt;0,P239,ROUND(M239*SuppliesPerHour,2)))</f>
        <v>0</v>
      </c>
      <c r="R239" s="21">
        <f>IF(A239="","",ROUND(IFERROR(INDEX(Jobs!$W$5:$W$604,MATCH(A239,Jobs!$A$5:$A$604,0)),0)*MileageRate,2))</f>
        <v>0</v>
      </c>
      <c r="T239" s="21">
        <f>IF(A239="","",O239+Q239+R239+IF(S239="",0,S239))</f>
        <v>0</v>
      </c>
      <c r="U239" s="21">
        <f>IF(A239="","",J239-T239)</f>
        <v>0</v>
      </c>
      <c r="V239" s="38">
        <f>IF(OR(A239="",J239=0),"",U239/J239)</f>
        <v>0</v>
      </c>
      <c r="W239" s="21">
        <f>IF(OR(A239="",M239=0,J239=0),"",U239/M239)</f>
        <v>0</v>
      </c>
      <c r="X239" s="34">
        <f>IF(OR(A239="",L239="",L239=0,K239=""),"",L239-K239)</f>
        <v>0</v>
      </c>
      <c r="Y239" s="31">
        <f>IF(A239="","",COUNTIFS($U$5:$U$604,"&gt;"&amp;U239)+COUNTIFS($U$5:U239,U239))</f>
        <v>0</v>
      </c>
      <c r="Z239" s="31">
        <f>IF(A239="","",COUNTIFS($W$5:$W$604,"&gt;"&amp;W239)+COUNTIFS($W$5:W239,W239))</f>
        <v>0</v>
      </c>
      <c r="AA239" s="39">
        <f>IF(A239="","",IF(J239=0,"",IF(U239&lt;0,"Loss - this job cost you money",IF(V239&lt;MarginFloor,"Below - margin under the floor",IF(V239&lt;TargetMargin,"Check - under target margin",IF(AND(X239&lt;&gt;"",X239&gt;0.5),"Check - ran over the estimate","OK"))))))</f>
        <v>0</v>
      </c>
    </row>
    <row r="240" spans="1:27">
      <c r="A240" s="43">
        <f>IF(IFERROR(INDEX(Jobs!$A$5:$A$604,ROW()-4),"")="","",IFERROR(INDEX(Jobs!$A$5:$A$604,ROW()-4),""))</f>
        <v>0</v>
      </c>
      <c r="B240" s="18">
        <f>IF(A240="","",IFERROR(INDEX(Jobs!$B$5:$B$604,MATCH(A240,Jobs!$A$5:$A$604,0)),""))</f>
        <v>0</v>
      </c>
      <c r="C240" s="23">
        <f>IF(B240="","",TEXT(B240,"yyyy-mm"))</f>
        <v>0</v>
      </c>
      <c r="D240" s="43">
        <f>IF(A240="","",IFERROR(INDEX(Jobs!$G$5:$G$604,MATCH(A240,Jobs!$A$5:$A$604,0)),""))</f>
        <v>0</v>
      </c>
      <c r="E240" s="23">
        <f>IF(A240="","",IFERROR(INDEX(Jobs!$H$5:$H$604,MATCH(A240,Jobs!$A$5:$A$604,0)),""))</f>
        <v>0</v>
      </c>
      <c r="F240" s="23">
        <f>IF(A240="","",IFERROR(INDEX(Jobs!$K$5:$K$604,MATCH(A240,Jobs!$A$5:$A$604,0)),""))</f>
        <v>0</v>
      </c>
      <c r="G240" s="23">
        <f>IF(A240="","",IFERROR(INDEX(Jobs!$M$5:$M$604,MATCH(A240,Jobs!$A$5:$A$604,0)),""))</f>
        <v>0</v>
      </c>
      <c r="H240" s="23">
        <f>IF(A240="","",IFERROR(INDEX(Jobs!$R$5:$R$604,MATCH(A240,Jobs!$A$5:$A$604,0)),""))</f>
        <v>0</v>
      </c>
      <c r="I240" s="39">
        <f>IF(A240="","",IFERROR(INDEX(Jobs!$P$5:$P$604,MATCH(A240,Jobs!$A$5:$A$604,0)),""))</f>
        <v>0</v>
      </c>
      <c r="J240" s="21">
        <f>IF(A240="","",IF(OR(I240="Completed",I240="Invoiced"),IFERROR(INDEX(Jobs!$AJ$5:$AJ$604,MATCH(A240,Jobs!$A$5:$A$604,0)),0),0))</f>
        <v>0</v>
      </c>
      <c r="K240" s="34">
        <f>IF(A240="","",IFERROR(INDEX(Jobs!$AD$5:$AD$604,MATCH(A240,Jobs!$A$5:$A$604,0)),0))</f>
        <v>0</v>
      </c>
      <c r="L240" s="34">
        <f>IF(A240="","",IFERROR(INDEX(Jobs!$AK$5:$AK$604,MATCH(A240,Jobs!$A$5:$A$604,0)),0))</f>
        <v>0</v>
      </c>
      <c r="M240" s="34">
        <f>IF(A240="","",IF(IFERROR(L240*1,0)&gt;0,L240,IFERROR(K240*1,0)))</f>
        <v>0</v>
      </c>
      <c r="N240" s="21">
        <f>IF(A240="","",SUMIFS(Timesheets!$X$5:$X$804,Timesheets!$G$5:$G$804,A240))</f>
        <v>0</v>
      </c>
      <c r="O240" s="21">
        <f>IF(A240="","",IF(N240&gt;0,N240,ROUND(M240*CostPerHour,2)))</f>
        <v>0</v>
      </c>
      <c r="P240" s="21">
        <f>IF(A240="","",SUMIFS('Supply Usage'!$L$5:$L$304,'Supply Usage'!$F$5:$F$304,A240))</f>
        <v>0</v>
      </c>
      <c r="Q240" s="21">
        <f>IF(A240="","",IF(P240&gt;0,P240,ROUND(M240*SuppliesPerHour,2)))</f>
        <v>0</v>
      </c>
      <c r="R240" s="21">
        <f>IF(A240="","",ROUND(IFERROR(INDEX(Jobs!$W$5:$W$604,MATCH(A240,Jobs!$A$5:$A$604,0)),0)*MileageRate,2))</f>
        <v>0</v>
      </c>
      <c r="T240" s="21">
        <f>IF(A240="","",O240+Q240+R240+IF(S240="",0,S240))</f>
        <v>0</v>
      </c>
      <c r="U240" s="21">
        <f>IF(A240="","",J240-T240)</f>
        <v>0</v>
      </c>
      <c r="V240" s="38">
        <f>IF(OR(A240="",J240=0),"",U240/J240)</f>
        <v>0</v>
      </c>
      <c r="W240" s="21">
        <f>IF(OR(A240="",M240=0,J240=0),"",U240/M240)</f>
        <v>0</v>
      </c>
      <c r="X240" s="34">
        <f>IF(OR(A240="",L240="",L240=0,K240=""),"",L240-K240)</f>
        <v>0</v>
      </c>
      <c r="Y240" s="31">
        <f>IF(A240="","",COUNTIFS($U$5:$U$604,"&gt;"&amp;U240)+COUNTIFS($U$5:U240,U240))</f>
        <v>0</v>
      </c>
      <c r="Z240" s="31">
        <f>IF(A240="","",COUNTIFS($W$5:$W$604,"&gt;"&amp;W240)+COUNTIFS($W$5:W240,W240))</f>
        <v>0</v>
      </c>
      <c r="AA240" s="39">
        <f>IF(A240="","",IF(J240=0,"",IF(U240&lt;0,"Loss - this job cost you money",IF(V240&lt;MarginFloor,"Below - margin under the floor",IF(V240&lt;TargetMargin,"Check - under target margin",IF(AND(X240&lt;&gt;"",X240&gt;0.5),"Check - ran over the estimate","OK"))))))</f>
        <v>0</v>
      </c>
    </row>
    <row r="241" spans="1:27">
      <c r="A241" s="43">
        <f>IF(IFERROR(INDEX(Jobs!$A$5:$A$604,ROW()-4),"")="","",IFERROR(INDEX(Jobs!$A$5:$A$604,ROW()-4),""))</f>
        <v>0</v>
      </c>
      <c r="B241" s="18">
        <f>IF(A241="","",IFERROR(INDEX(Jobs!$B$5:$B$604,MATCH(A241,Jobs!$A$5:$A$604,0)),""))</f>
        <v>0</v>
      </c>
      <c r="C241" s="23">
        <f>IF(B241="","",TEXT(B241,"yyyy-mm"))</f>
        <v>0</v>
      </c>
      <c r="D241" s="43">
        <f>IF(A241="","",IFERROR(INDEX(Jobs!$G$5:$G$604,MATCH(A241,Jobs!$A$5:$A$604,0)),""))</f>
        <v>0</v>
      </c>
      <c r="E241" s="23">
        <f>IF(A241="","",IFERROR(INDEX(Jobs!$H$5:$H$604,MATCH(A241,Jobs!$A$5:$A$604,0)),""))</f>
        <v>0</v>
      </c>
      <c r="F241" s="23">
        <f>IF(A241="","",IFERROR(INDEX(Jobs!$K$5:$K$604,MATCH(A241,Jobs!$A$5:$A$604,0)),""))</f>
        <v>0</v>
      </c>
      <c r="G241" s="23">
        <f>IF(A241="","",IFERROR(INDEX(Jobs!$M$5:$M$604,MATCH(A241,Jobs!$A$5:$A$604,0)),""))</f>
        <v>0</v>
      </c>
      <c r="H241" s="23">
        <f>IF(A241="","",IFERROR(INDEX(Jobs!$R$5:$R$604,MATCH(A241,Jobs!$A$5:$A$604,0)),""))</f>
        <v>0</v>
      </c>
      <c r="I241" s="39">
        <f>IF(A241="","",IFERROR(INDEX(Jobs!$P$5:$P$604,MATCH(A241,Jobs!$A$5:$A$604,0)),""))</f>
        <v>0</v>
      </c>
      <c r="J241" s="21">
        <f>IF(A241="","",IF(OR(I241="Completed",I241="Invoiced"),IFERROR(INDEX(Jobs!$AJ$5:$AJ$604,MATCH(A241,Jobs!$A$5:$A$604,0)),0),0))</f>
        <v>0</v>
      </c>
      <c r="K241" s="34">
        <f>IF(A241="","",IFERROR(INDEX(Jobs!$AD$5:$AD$604,MATCH(A241,Jobs!$A$5:$A$604,0)),0))</f>
        <v>0</v>
      </c>
      <c r="L241" s="34">
        <f>IF(A241="","",IFERROR(INDEX(Jobs!$AK$5:$AK$604,MATCH(A241,Jobs!$A$5:$A$604,0)),0))</f>
        <v>0</v>
      </c>
      <c r="M241" s="34">
        <f>IF(A241="","",IF(IFERROR(L241*1,0)&gt;0,L241,IFERROR(K241*1,0)))</f>
        <v>0</v>
      </c>
      <c r="N241" s="21">
        <f>IF(A241="","",SUMIFS(Timesheets!$X$5:$X$804,Timesheets!$G$5:$G$804,A241))</f>
        <v>0</v>
      </c>
      <c r="O241" s="21">
        <f>IF(A241="","",IF(N241&gt;0,N241,ROUND(M241*CostPerHour,2)))</f>
        <v>0</v>
      </c>
      <c r="P241" s="21">
        <f>IF(A241="","",SUMIFS('Supply Usage'!$L$5:$L$304,'Supply Usage'!$F$5:$F$304,A241))</f>
        <v>0</v>
      </c>
      <c r="Q241" s="21">
        <f>IF(A241="","",IF(P241&gt;0,P241,ROUND(M241*SuppliesPerHour,2)))</f>
        <v>0</v>
      </c>
      <c r="R241" s="21">
        <f>IF(A241="","",ROUND(IFERROR(INDEX(Jobs!$W$5:$W$604,MATCH(A241,Jobs!$A$5:$A$604,0)),0)*MileageRate,2))</f>
        <v>0</v>
      </c>
      <c r="T241" s="21">
        <f>IF(A241="","",O241+Q241+R241+IF(S241="",0,S241))</f>
        <v>0</v>
      </c>
      <c r="U241" s="21">
        <f>IF(A241="","",J241-T241)</f>
        <v>0</v>
      </c>
      <c r="V241" s="38">
        <f>IF(OR(A241="",J241=0),"",U241/J241)</f>
        <v>0</v>
      </c>
      <c r="W241" s="21">
        <f>IF(OR(A241="",M241=0,J241=0),"",U241/M241)</f>
        <v>0</v>
      </c>
      <c r="X241" s="34">
        <f>IF(OR(A241="",L241="",L241=0,K241=""),"",L241-K241)</f>
        <v>0</v>
      </c>
      <c r="Y241" s="31">
        <f>IF(A241="","",COUNTIFS($U$5:$U$604,"&gt;"&amp;U241)+COUNTIFS($U$5:U241,U241))</f>
        <v>0</v>
      </c>
      <c r="Z241" s="31">
        <f>IF(A241="","",COUNTIFS($W$5:$W$604,"&gt;"&amp;W241)+COUNTIFS($W$5:W241,W241))</f>
        <v>0</v>
      </c>
      <c r="AA241" s="39">
        <f>IF(A241="","",IF(J241=0,"",IF(U241&lt;0,"Loss - this job cost you money",IF(V241&lt;MarginFloor,"Below - margin under the floor",IF(V241&lt;TargetMargin,"Check - under target margin",IF(AND(X241&lt;&gt;"",X241&gt;0.5),"Check - ran over the estimate","OK"))))))</f>
        <v>0</v>
      </c>
    </row>
    <row r="242" spans="1:27">
      <c r="A242" s="43">
        <f>IF(IFERROR(INDEX(Jobs!$A$5:$A$604,ROW()-4),"")="","",IFERROR(INDEX(Jobs!$A$5:$A$604,ROW()-4),""))</f>
        <v>0</v>
      </c>
      <c r="B242" s="18">
        <f>IF(A242="","",IFERROR(INDEX(Jobs!$B$5:$B$604,MATCH(A242,Jobs!$A$5:$A$604,0)),""))</f>
        <v>0</v>
      </c>
      <c r="C242" s="23">
        <f>IF(B242="","",TEXT(B242,"yyyy-mm"))</f>
        <v>0</v>
      </c>
      <c r="D242" s="43">
        <f>IF(A242="","",IFERROR(INDEX(Jobs!$G$5:$G$604,MATCH(A242,Jobs!$A$5:$A$604,0)),""))</f>
        <v>0</v>
      </c>
      <c r="E242" s="23">
        <f>IF(A242="","",IFERROR(INDEX(Jobs!$H$5:$H$604,MATCH(A242,Jobs!$A$5:$A$604,0)),""))</f>
        <v>0</v>
      </c>
      <c r="F242" s="23">
        <f>IF(A242="","",IFERROR(INDEX(Jobs!$K$5:$K$604,MATCH(A242,Jobs!$A$5:$A$604,0)),""))</f>
        <v>0</v>
      </c>
      <c r="G242" s="23">
        <f>IF(A242="","",IFERROR(INDEX(Jobs!$M$5:$M$604,MATCH(A242,Jobs!$A$5:$A$604,0)),""))</f>
        <v>0</v>
      </c>
      <c r="H242" s="23">
        <f>IF(A242="","",IFERROR(INDEX(Jobs!$R$5:$R$604,MATCH(A242,Jobs!$A$5:$A$604,0)),""))</f>
        <v>0</v>
      </c>
      <c r="I242" s="39">
        <f>IF(A242="","",IFERROR(INDEX(Jobs!$P$5:$P$604,MATCH(A242,Jobs!$A$5:$A$604,0)),""))</f>
        <v>0</v>
      </c>
      <c r="J242" s="21">
        <f>IF(A242="","",IF(OR(I242="Completed",I242="Invoiced"),IFERROR(INDEX(Jobs!$AJ$5:$AJ$604,MATCH(A242,Jobs!$A$5:$A$604,0)),0),0))</f>
        <v>0</v>
      </c>
      <c r="K242" s="34">
        <f>IF(A242="","",IFERROR(INDEX(Jobs!$AD$5:$AD$604,MATCH(A242,Jobs!$A$5:$A$604,0)),0))</f>
        <v>0</v>
      </c>
      <c r="L242" s="34">
        <f>IF(A242="","",IFERROR(INDEX(Jobs!$AK$5:$AK$604,MATCH(A242,Jobs!$A$5:$A$604,0)),0))</f>
        <v>0</v>
      </c>
      <c r="M242" s="34">
        <f>IF(A242="","",IF(IFERROR(L242*1,0)&gt;0,L242,IFERROR(K242*1,0)))</f>
        <v>0</v>
      </c>
      <c r="N242" s="21">
        <f>IF(A242="","",SUMIFS(Timesheets!$X$5:$X$804,Timesheets!$G$5:$G$804,A242))</f>
        <v>0</v>
      </c>
      <c r="O242" s="21">
        <f>IF(A242="","",IF(N242&gt;0,N242,ROUND(M242*CostPerHour,2)))</f>
        <v>0</v>
      </c>
      <c r="P242" s="21">
        <f>IF(A242="","",SUMIFS('Supply Usage'!$L$5:$L$304,'Supply Usage'!$F$5:$F$304,A242))</f>
        <v>0</v>
      </c>
      <c r="Q242" s="21">
        <f>IF(A242="","",IF(P242&gt;0,P242,ROUND(M242*SuppliesPerHour,2)))</f>
        <v>0</v>
      </c>
      <c r="R242" s="21">
        <f>IF(A242="","",ROUND(IFERROR(INDEX(Jobs!$W$5:$W$604,MATCH(A242,Jobs!$A$5:$A$604,0)),0)*MileageRate,2))</f>
        <v>0</v>
      </c>
      <c r="T242" s="21">
        <f>IF(A242="","",O242+Q242+R242+IF(S242="",0,S242))</f>
        <v>0</v>
      </c>
      <c r="U242" s="21">
        <f>IF(A242="","",J242-T242)</f>
        <v>0</v>
      </c>
      <c r="V242" s="38">
        <f>IF(OR(A242="",J242=0),"",U242/J242)</f>
        <v>0</v>
      </c>
      <c r="W242" s="21">
        <f>IF(OR(A242="",M242=0,J242=0),"",U242/M242)</f>
        <v>0</v>
      </c>
      <c r="X242" s="34">
        <f>IF(OR(A242="",L242="",L242=0,K242=""),"",L242-K242)</f>
        <v>0</v>
      </c>
      <c r="Y242" s="31">
        <f>IF(A242="","",COUNTIFS($U$5:$U$604,"&gt;"&amp;U242)+COUNTIFS($U$5:U242,U242))</f>
        <v>0</v>
      </c>
      <c r="Z242" s="31">
        <f>IF(A242="","",COUNTIFS($W$5:$W$604,"&gt;"&amp;W242)+COUNTIFS($W$5:W242,W242))</f>
        <v>0</v>
      </c>
      <c r="AA242" s="39">
        <f>IF(A242="","",IF(J242=0,"",IF(U242&lt;0,"Loss - this job cost you money",IF(V242&lt;MarginFloor,"Below - margin under the floor",IF(V242&lt;TargetMargin,"Check - under target margin",IF(AND(X242&lt;&gt;"",X242&gt;0.5),"Check - ran over the estimate","OK"))))))</f>
        <v>0</v>
      </c>
    </row>
    <row r="243" spans="1:27">
      <c r="A243" s="43">
        <f>IF(IFERROR(INDEX(Jobs!$A$5:$A$604,ROW()-4),"")="","",IFERROR(INDEX(Jobs!$A$5:$A$604,ROW()-4),""))</f>
        <v>0</v>
      </c>
      <c r="B243" s="18">
        <f>IF(A243="","",IFERROR(INDEX(Jobs!$B$5:$B$604,MATCH(A243,Jobs!$A$5:$A$604,0)),""))</f>
        <v>0</v>
      </c>
      <c r="C243" s="23">
        <f>IF(B243="","",TEXT(B243,"yyyy-mm"))</f>
        <v>0</v>
      </c>
      <c r="D243" s="43">
        <f>IF(A243="","",IFERROR(INDEX(Jobs!$G$5:$G$604,MATCH(A243,Jobs!$A$5:$A$604,0)),""))</f>
        <v>0</v>
      </c>
      <c r="E243" s="23">
        <f>IF(A243="","",IFERROR(INDEX(Jobs!$H$5:$H$604,MATCH(A243,Jobs!$A$5:$A$604,0)),""))</f>
        <v>0</v>
      </c>
      <c r="F243" s="23">
        <f>IF(A243="","",IFERROR(INDEX(Jobs!$K$5:$K$604,MATCH(A243,Jobs!$A$5:$A$604,0)),""))</f>
        <v>0</v>
      </c>
      <c r="G243" s="23">
        <f>IF(A243="","",IFERROR(INDEX(Jobs!$M$5:$M$604,MATCH(A243,Jobs!$A$5:$A$604,0)),""))</f>
        <v>0</v>
      </c>
      <c r="H243" s="23">
        <f>IF(A243="","",IFERROR(INDEX(Jobs!$R$5:$R$604,MATCH(A243,Jobs!$A$5:$A$604,0)),""))</f>
        <v>0</v>
      </c>
      <c r="I243" s="39">
        <f>IF(A243="","",IFERROR(INDEX(Jobs!$P$5:$P$604,MATCH(A243,Jobs!$A$5:$A$604,0)),""))</f>
        <v>0</v>
      </c>
      <c r="J243" s="21">
        <f>IF(A243="","",IF(OR(I243="Completed",I243="Invoiced"),IFERROR(INDEX(Jobs!$AJ$5:$AJ$604,MATCH(A243,Jobs!$A$5:$A$604,0)),0),0))</f>
        <v>0</v>
      </c>
      <c r="K243" s="34">
        <f>IF(A243="","",IFERROR(INDEX(Jobs!$AD$5:$AD$604,MATCH(A243,Jobs!$A$5:$A$604,0)),0))</f>
        <v>0</v>
      </c>
      <c r="L243" s="34">
        <f>IF(A243="","",IFERROR(INDEX(Jobs!$AK$5:$AK$604,MATCH(A243,Jobs!$A$5:$A$604,0)),0))</f>
        <v>0</v>
      </c>
      <c r="M243" s="34">
        <f>IF(A243="","",IF(IFERROR(L243*1,0)&gt;0,L243,IFERROR(K243*1,0)))</f>
        <v>0</v>
      </c>
      <c r="N243" s="21">
        <f>IF(A243="","",SUMIFS(Timesheets!$X$5:$X$804,Timesheets!$G$5:$G$804,A243))</f>
        <v>0</v>
      </c>
      <c r="O243" s="21">
        <f>IF(A243="","",IF(N243&gt;0,N243,ROUND(M243*CostPerHour,2)))</f>
        <v>0</v>
      </c>
      <c r="P243" s="21">
        <f>IF(A243="","",SUMIFS('Supply Usage'!$L$5:$L$304,'Supply Usage'!$F$5:$F$304,A243))</f>
        <v>0</v>
      </c>
      <c r="Q243" s="21">
        <f>IF(A243="","",IF(P243&gt;0,P243,ROUND(M243*SuppliesPerHour,2)))</f>
        <v>0</v>
      </c>
      <c r="R243" s="21">
        <f>IF(A243="","",ROUND(IFERROR(INDEX(Jobs!$W$5:$W$604,MATCH(A243,Jobs!$A$5:$A$604,0)),0)*MileageRate,2))</f>
        <v>0</v>
      </c>
      <c r="T243" s="21">
        <f>IF(A243="","",O243+Q243+R243+IF(S243="",0,S243))</f>
        <v>0</v>
      </c>
      <c r="U243" s="21">
        <f>IF(A243="","",J243-T243)</f>
        <v>0</v>
      </c>
      <c r="V243" s="38">
        <f>IF(OR(A243="",J243=0),"",U243/J243)</f>
        <v>0</v>
      </c>
      <c r="W243" s="21">
        <f>IF(OR(A243="",M243=0,J243=0),"",U243/M243)</f>
        <v>0</v>
      </c>
      <c r="X243" s="34">
        <f>IF(OR(A243="",L243="",L243=0,K243=""),"",L243-K243)</f>
        <v>0</v>
      </c>
      <c r="Y243" s="31">
        <f>IF(A243="","",COUNTIFS($U$5:$U$604,"&gt;"&amp;U243)+COUNTIFS($U$5:U243,U243))</f>
        <v>0</v>
      </c>
      <c r="Z243" s="31">
        <f>IF(A243="","",COUNTIFS($W$5:$W$604,"&gt;"&amp;W243)+COUNTIFS($W$5:W243,W243))</f>
        <v>0</v>
      </c>
      <c r="AA243" s="39">
        <f>IF(A243="","",IF(J243=0,"",IF(U243&lt;0,"Loss - this job cost you money",IF(V243&lt;MarginFloor,"Below - margin under the floor",IF(V243&lt;TargetMargin,"Check - under target margin",IF(AND(X243&lt;&gt;"",X243&gt;0.5),"Check - ran over the estimate","OK"))))))</f>
        <v>0</v>
      </c>
    </row>
    <row r="244" spans="1:27">
      <c r="A244" s="43">
        <f>IF(IFERROR(INDEX(Jobs!$A$5:$A$604,ROW()-4),"")="","",IFERROR(INDEX(Jobs!$A$5:$A$604,ROW()-4),""))</f>
        <v>0</v>
      </c>
      <c r="B244" s="18">
        <f>IF(A244="","",IFERROR(INDEX(Jobs!$B$5:$B$604,MATCH(A244,Jobs!$A$5:$A$604,0)),""))</f>
        <v>0</v>
      </c>
      <c r="C244" s="23">
        <f>IF(B244="","",TEXT(B244,"yyyy-mm"))</f>
        <v>0</v>
      </c>
      <c r="D244" s="43">
        <f>IF(A244="","",IFERROR(INDEX(Jobs!$G$5:$G$604,MATCH(A244,Jobs!$A$5:$A$604,0)),""))</f>
        <v>0</v>
      </c>
      <c r="E244" s="23">
        <f>IF(A244="","",IFERROR(INDEX(Jobs!$H$5:$H$604,MATCH(A244,Jobs!$A$5:$A$604,0)),""))</f>
        <v>0</v>
      </c>
      <c r="F244" s="23">
        <f>IF(A244="","",IFERROR(INDEX(Jobs!$K$5:$K$604,MATCH(A244,Jobs!$A$5:$A$604,0)),""))</f>
        <v>0</v>
      </c>
      <c r="G244" s="23">
        <f>IF(A244="","",IFERROR(INDEX(Jobs!$M$5:$M$604,MATCH(A244,Jobs!$A$5:$A$604,0)),""))</f>
        <v>0</v>
      </c>
      <c r="H244" s="23">
        <f>IF(A244="","",IFERROR(INDEX(Jobs!$R$5:$R$604,MATCH(A244,Jobs!$A$5:$A$604,0)),""))</f>
        <v>0</v>
      </c>
      <c r="I244" s="39">
        <f>IF(A244="","",IFERROR(INDEX(Jobs!$P$5:$P$604,MATCH(A244,Jobs!$A$5:$A$604,0)),""))</f>
        <v>0</v>
      </c>
      <c r="J244" s="21">
        <f>IF(A244="","",IF(OR(I244="Completed",I244="Invoiced"),IFERROR(INDEX(Jobs!$AJ$5:$AJ$604,MATCH(A244,Jobs!$A$5:$A$604,0)),0),0))</f>
        <v>0</v>
      </c>
      <c r="K244" s="34">
        <f>IF(A244="","",IFERROR(INDEX(Jobs!$AD$5:$AD$604,MATCH(A244,Jobs!$A$5:$A$604,0)),0))</f>
        <v>0</v>
      </c>
      <c r="L244" s="34">
        <f>IF(A244="","",IFERROR(INDEX(Jobs!$AK$5:$AK$604,MATCH(A244,Jobs!$A$5:$A$604,0)),0))</f>
        <v>0</v>
      </c>
      <c r="M244" s="34">
        <f>IF(A244="","",IF(IFERROR(L244*1,0)&gt;0,L244,IFERROR(K244*1,0)))</f>
        <v>0</v>
      </c>
      <c r="N244" s="21">
        <f>IF(A244="","",SUMIFS(Timesheets!$X$5:$X$804,Timesheets!$G$5:$G$804,A244))</f>
        <v>0</v>
      </c>
      <c r="O244" s="21">
        <f>IF(A244="","",IF(N244&gt;0,N244,ROUND(M244*CostPerHour,2)))</f>
        <v>0</v>
      </c>
      <c r="P244" s="21">
        <f>IF(A244="","",SUMIFS('Supply Usage'!$L$5:$L$304,'Supply Usage'!$F$5:$F$304,A244))</f>
        <v>0</v>
      </c>
      <c r="Q244" s="21">
        <f>IF(A244="","",IF(P244&gt;0,P244,ROUND(M244*SuppliesPerHour,2)))</f>
        <v>0</v>
      </c>
      <c r="R244" s="21">
        <f>IF(A244="","",ROUND(IFERROR(INDEX(Jobs!$W$5:$W$604,MATCH(A244,Jobs!$A$5:$A$604,0)),0)*MileageRate,2))</f>
        <v>0</v>
      </c>
      <c r="T244" s="21">
        <f>IF(A244="","",O244+Q244+R244+IF(S244="",0,S244))</f>
        <v>0</v>
      </c>
      <c r="U244" s="21">
        <f>IF(A244="","",J244-T244)</f>
        <v>0</v>
      </c>
      <c r="V244" s="38">
        <f>IF(OR(A244="",J244=0),"",U244/J244)</f>
        <v>0</v>
      </c>
      <c r="W244" s="21">
        <f>IF(OR(A244="",M244=0,J244=0),"",U244/M244)</f>
        <v>0</v>
      </c>
      <c r="X244" s="34">
        <f>IF(OR(A244="",L244="",L244=0,K244=""),"",L244-K244)</f>
        <v>0</v>
      </c>
      <c r="Y244" s="31">
        <f>IF(A244="","",COUNTIFS($U$5:$U$604,"&gt;"&amp;U244)+COUNTIFS($U$5:U244,U244))</f>
        <v>0</v>
      </c>
      <c r="Z244" s="31">
        <f>IF(A244="","",COUNTIFS($W$5:$W$604,"&gt;"&amp;W244)+COUNTIFS($W$5:W244,W244))</f>
        <v>0</v>
      </c>
      <c r="AA244" s="39">
        <f>IF(A244="","",IF(J244=0,"",IF(U244&lt;0,"Loss - this job cost you money",IF(V244&lt;MarginFloor,"Below - margin under the floor",IF(V244&lt;TargetMargin,"Check - under target margin",IF(AND(X244&lt;&gt;"",X244&gt;0.5),"Check - ran over the estimate","OK"))))))</f>
        <v>0</v>
      </c>
    </row>
    <row r="245" spans="1:27">
      <c r="A245" s="43">
        <f>IF(IFERROR(INDEX(Jobs!$A$5:$A$604,ROW()-4),"")="","",IFERROR(INDEX(Jobs!$A$5:$A$604,ROW()-4),""))</f>
        <v>0</v>
      </c>
      <c r="B245" s="18">
        <f>IF(A245="","",IFERROR(INDEX(Jobs!$B$5:$B$604,MATCH(A245,Jobs!$A$5:$A$604,0)),""))</f>
        <v>0</v>
      </c>
      <c r="C245" s="23">
        <f>IF(B245="","",TEXT(B245,"yyyy-mm"))</f>
        <v>0</v>
      </c>
      <c r="D245" s="43">
        <f>IF(A245="","",IFERROR(INDEX(Jobs!$G$5:$G$604,MATCH(A245,Jobs!$A$5:$A$604,0)),""))</f>
        <v>0</v>
      </c>
      <c r="E245" s="23">
        <f>IF(A245="","",IFERROR(INDEX(Jobs!$H$5:$H$604,MATCH(A245,Jobs!$A$5:$A$604,0)),""))</f>
        <v>0</v>
      </c>
      <c r="F245" s="23">
        <f>IF(A245="","",IFERROR(INDEX(Jobs!$K$5:$K$604,MATCH(A245,Jobs!$A$5:$A$604,0)),""))</f>
        <v>0</v>
      </c>
      <c r="G245" s="23">
        <f>IF(A245="","",IFERROR(INDEX(Jobs!$M$5:$M$604,MATCH(A245,Jobs!$A$5:$A$604,0)),""))</f>
        <v>0</v>
      </c>
      <c r="H245" s="23">
        <f>IF(A245="","",IFERROR(INDEX(Jobs!$R$5:$R$604,MATCH(A245,Jobs!$A$5:$A$604,0)),""))</f>
        <v>0</v>
      </c>
      <c r="I245" s="39">
        <f>IF(A245="","",IFERROR(INDEX(Jobs!$P$5:$P$604,MATCH(A245,Jobs!$A$5:$A$604,0)),""))</f>
        <v>0</v>
      </c>
      <c r="J245" s="21">
        <f>IF(A245="","",IF(OR(I245="Completed",I245="Invoiced"),IFERROR(INDEX(Jobs!$AJ$5:$AJ$604,MATCH(A245,Jobs!$A$5:$A$604,0)),0),0))</f>
        <v>0</v>
      </c>
      <c r="K245" s="34">
        <f>IF(A245="","",IFERROR(INDEX(Jobs!$AD$5:$AD$604,MATCH(A245,Jobs!$A$5:$A$604,0)),0))</f>
        <v>0</v>
      </c>
      <c r="L245" s="34">
        <f>IF(A245="","",IFERROR(INDEX(Jobs!$AK$5:$AK$604,MATCH(A245,Jobs!$A$5:$A$604,0)),0))</f>
        <v>0</v>
      </c>
      <c r="M245" s="34">
        <f>IF(A245="","",IF(IFERROR(L245*1,0)&gt;0,L245,IFERROR(K245*1,0)))</f>
        <v>0</v>
      </c>
      <c r="N245" s="21">
        <f>IF(A245="","",SUMIFS(Timesheets!$X$5:$X$804,Timesheets!$G$5:$G$804,A245))</f>
        <v>0</v>
      </c>
      <c r="O245" s="21">
        <f>IF(A245="","",IF(N245&gt;0,N245,ROUND(M245*CostPerHour,2)))</f>
        <v>0</v>
      </c>
      <c r="P245" s="21">
        <f>IF(A245="","",SUMIFS('Supply Usage'!$L$5:$L$304,'Supply Usage'!$F$5:$F$304,A245))</f>
        <v>0</v>
      </c>
      <c r="Q245" s="21">
        <f>IF(A245="","",IF(P245&gt;0,P245,ROUND(M245*SuppliesPerHour,2)))</f>
        <v>0</v>
      </c>
      <c r="R245" s="21">
        <f>IF(A245="","",ROUND(IFERROR(INDEX(Jobs!$W$5:$W$604,MATCH(A245,Jobs!$A$5:$A$604,0)),0)*MileageRate,2))</f>
        <v>0</v>
      </c>
      <c r="T245" s="21">
        <f>IF(A245="","",O245+Q245+R245+IF(S245="",0,S245))</f>
        <v>0</v>
      </c>
      <c r="U245" s="21">
        <f>IF(A245="","",J245-T245)</f>
        <v>0</v>
      </c>
      <c r="V245" s="38">
        <f>IF(OR(A245="",J245=0),"",U245/J245)</f>
        <v>0</v>
      </c>
      <c r="W245" s="21">
        <f>IF(OR(A245="",M245=0,J245=0),"",U245/M245)</f>
        <v>0</v>
      </c>
      <c r="X245" s="34">
        <f>IF(OR(A245="",L245="",L245=0,K245=""),"",L245-K245)</f>
        <v>0</v>
      </c>
      <c r="Y245" s="31">
        <f>IF(A245="","",COUNTIFS($U$5:$U$604,"&gt;"&amp;U245)+COUNTIFS($U$5:U245,U245))</f>
        <v>0</v>
      </c>
      <c r="Z245" s="31">
        <f>IF(A245="","",COUNTIFS($W$5:$W$604,"&gt;"&amp;W245)+COUNTIFS($W$5:W245,W245))</f>
        <v>0</v>
      </c>
      <c r="AA245" s="39">
        <f>IF(A245="","",IF(J245=0,"",IF(U245&lt;0,"Loss - this job cost you money",IF(V245&lt;MarginFloor,"Below - margin under the floor",IF(V245&lt;TargetMargin,"Check - under target margin",IF(AND(X245&lt;&gt;"",X245&gt;0.5),"Check - ran over the estimate","OK"))))))</f>
        <v>0</v>
      </c>
    </row>
    <row r="246" spans="1:27">
      <c r="A246" s="43">
        <f>IF(IFERROR(INDEX(Jobs!$A$5:$A$604,ROW()-4),"")="","",IFERROR(INDEX(Jobs!$A$5:$A$604,ROW()-4),""))</f>
        <v>0</v>
      </c>
      <c r="B246" s="18">
        <f>IF(A246="","",IFERROR(INDEX(Jobs!$B$5:$B$604,MATCH(A246,Jobs!$A$5:$A$604,0)),""))</f>
        <v>0</v>
      </c>
      <c r="C246" s="23">
        <f>IF(B246="","",TEXT(B246,"yyyy-mm"))</f>
        <v>0</v>
      </c>
      <c r="D246" s="43">
        <f>IF(A246="","",IFERROR(INDEX(Jobs!$G$5:$G$604,MATCH(A246,Jobs!$A$5:$A$604,0)),""))</f>
        <v>0</v>
      </c>
      <c r="E246" s="23">
        <f>IF(A246="","",IFERROR(INDEX(Jobs!$H$5:$H$604,MATCH(A246,Jobs!$A$5:$A$604,0)),""))</f>
        <v>0</v>
      </c>
      <c r="F246" s="23">
        <f>IF(A246="","",IFERROR(INDEX(Jobs!$K$5:$K$604,MATCH(A246,Jobs!$A$5:$A$604,0)),""))</f>
        <v>0</v>
      </c>
      <c r="G246" s="23">
        <f>IF(A246="","",IFERROR(INDEX(Jobs!$M$5:$M$604,MATCH(A246,Jobs!$A$5:$A$604,0)),""))</f>
        <v>0</v>
      </c>
      <c r="H246" s="23">
        <f>IF(A246="","",IFERROR(INDEX(Jobs!$R$5:$R$604,MATCH(A246,Jobs!$A$5:$A$604,0)),""))</f>
        <v>0</v>
      </c>
      <c r="I246" s="39">
        <f>IF(A246="","",IFERROR(INDEX(Jobs!$P$5:$P$604,MATCH(A246,Jobs!$A$5:$A$604,0)),""))</f>
        <v>0</v>
      </c>
      <c r="J246" s="21">
        <f>IF(A246="","",IF(OR(I246="Completed",I246="Invoiced"),IFERROR(INDEX(Jobs!$AJ$5:$AJ$604,MATCH(A246,Jobs!$A$5:$A$604,0)),0),0))</f>
        <v>0</v>
      </c>
      <c r="K246" s="34">
        <f>IF(A246="","",IFERROR(INDEX(Jobs!$AD$5:$AD$604,MATCH(A246,Jobs!$A$5:$A$604,0)),0))</f>
        <v>0</v>
      </c>
      <c r="L246" s="34">
        <f>IF(A246="","",IFERROR(INDEX(Jobs!$AK$5:$AK$604,MATCH(A246,Jobs!$A$5:$A$604,0)),0))</f>
        <v>0</v>
      </c>
      <c r="M246" s="34">
        <f>IF(A246="","",IF(IFERROR(L246*1,0)&gt;0,L246,IFERROR(K246*1,0)))</f>
        <v>0</v>
      </c>
      <c r="N246" s="21">
        <f>IF(A246="","",SUMIFS(Timesheets!$X$5:$X$804,Timesheets!$G$5:$G$804,A246))</f>
        <v>0</v>
      </c>
      <c r="O246" s="21">
        <f>IF(A246="","",IF(N246&gt;0,N246,ROUND(M246*CostPerHour,2)))</f>
        <v>0</v>
      </c>
      <c r="P246" s="21">
        <f>IF(A246="","",SUMIFS('Supply Usage'!$L$5:$L$304,'Supply Usage'!$F$5:$F$304,A246))</f>
        <v>0</v>
      </c>
      <c r="Q246" s="21">
        <f>IF(A246="","",IF(P246&gt;0,P246,ROUND(M246*SuppliesPerHour,2)))</f>
        <v>0</v>
      </c>
      <c r="R246" s="21">
        <f>IF(A246="","",ROUND(IFERROR(INDEX(Jobs!$W$5:$W$604,MATCH(A246,Jobs!$A$5:$A$604,0)),0)*MileageRate,2))</f>
        <v>0</v>
      </c>
      <c r="T246" s="21">
        <f>IF(A246="","",O246+Q246+R246+IF(S246="",0,S246))</f>
        <v>0</v>
      </c>
      <c r="U246" s="21">
        <f>IF(A246="","",J246-T246)</f>
        <v>0</v>
      </c>
      <c r="V246" s="38">
        <f>IF(OR(A246="",J246=0),"",U246/J246)</f>
        <v>0</v>
      </c>
      <c r="W246" s="21">
        <f>IF(OR(A246="",M246=0,J246=0),"",U246/M246)</f>
        <v>0</v>
      </c>
      <c r="X246" s="34">
        <f>IF(OR(A246="",L246="",L246=0,K246=""),"",L246-K246)</f>
        <v>0</v>
      </c>
      <c r="Y246" s="31">
        <f>IF(A246="","",COUNTIFS($U$5:$U$604,"&gt;"&amp;U246)+COUNTIFS($U$5:U246,U246))</f>
        <v>0</v>
      </c>
      <c r="Z246" s="31">
        <f>IF(A246="","",COUNTIFS($W$5:$W$604,"&gt;"&amp;W246)+COUNTIFS($W$5:W246,W246))</f>
        <v>0</v>
      </c>
      <c r="AA246" s="39">
        <f>IF(A246="","",IF(J246=0,"",IF(U246&lt;0,"Loss - this job cost you money",IF(V246&lt;MarginFloor,"Below - margin under the floor",IF(V246&lt;TargetMargin,"Check - under target margin",IF(AND(X246&lt;&gt;"",X246&gt;0.5),"Check - ran over the estimate","OK"))))))</f>
        <v>0</v>
      </c>
    </row>
    <row r="247" spans="1:27">
      <c r="A247" s="43">
        <f>IF(IFERROR(INDEX(Jobs!$A$5:$A$604,ROW()-4),"")="","",IFERROR(INDEX(Jobs!$A$5:$A$604,ROW()-4),""))</f>
        <v>0</v>
      </c>
      <c r="B247" s="18">
        <f>IF(A247="","",IFERROR(INDEX(Jobs!$B$5:$B$604,MATCH(A247,Jobs!$A$5:$A$604,0)),""))</f>
        <v>0</v>
      </c>
      <c r="C247" s="23">
        <f>IF(B247="","",TEXT(B247,"yyyy-mm"))</f>
        <v>0</v>
      </c>
      <c r="D247" s="43">
        <f>IF(A247="","",IFERROR(INDEX(Jobs!$G$5:$G$604,MATCH(A247,Jobs!$A$5:$A$604,0)),""))</f>
        <v>0</v>
      </c>
      <c r="E247" s="23">
        <f>IF(A247="","",IFERROR(INDEX(Jobs!$H$5:$H$604,MATCH(A247,Jobs!$A$5:$A$604,0)),""))</f>
        <v>0</v>
      </c>
      <c r="F247" s="23">
        <f>IF(A247="","",IFERROR(INDEX(Jobs!$K$5:$K$604,MATCH(A247,Jobs!$A$5:$A$604,0)),""))</f>
        <v>0</v>
      </c>
      <c r="G247" s="23">
        <f>IF(A247="","",IFERROR(INDEX(Jobs!$M$5:$M$604,MATCH(A247,Jobs!$A$5:$A$604,0)),""))</f>
        <v>0</v>
      </c>
      <c r="H247" s="23">
        <f>IF(A247="","",IFERROR(INDEX(Jobs!$R$5:$R$604,MATCH(A247,Jobs!$A$5:$A$604,0)),""))</f>
        <v>0</v>
      </c>
      <c r="I247" s="39">
        <f>IF(A247="","",IFERROR(INDEX(Jobs!$P$5:$P$604,MATCH(A247,Jobs!$A$5:$A$604,0)),""))</f>
        <v>0</v>
      </c>
      <c r="J247" s="21">
        <f>IF(A247="","",IF(OR(I247="Completed",I247="Invoiced"),IFERROR(INDEX(Jobs!$AJ$5:$AJ$604,MATCH(A247,Jobs!$A$5:$A$604,0)),0),0))</f>
        <v>0</v>
      </c>
      <c r="K247" s="34">
        <f>IF(A247="","",IFERROR(INDEX(Jobs!$AD$5:$AD$604,MATCH(A247,Jobs!$A$5:$A$604,0)),0))</f>
        <v>0</v>
      </c>
      <c r="L247" s="34">
        <f>IF(A247="","",IFERROR(INDEX(Jobs!$AK$5:$AK$604,MATCH(A247,Jobs!$A$5:$A$604,0)),0))</f>
        <v>0</v>
      </c>
      <c r="M247" s="34">
        <f>IF(A247="","",IF(IFERROR(L247*1,0)&gt;0,L247,IFERROR(K247*1,0)))</f>
        <v>0</v>
      </c>
      <c r="N247" s="21">
        <f>IF(A247="","",SUMIFS(Timesheets!$X$5:$X$804,Timesheets!$G$5:$G$804,A247))</f>
        <v>0</v>
      </c>
      <c r="O247" s="21">
        <f>IF(A247="","",IF(N247&gt;0,N247,ROUND(M247*CostPerHour,2)))</f>
        <v>0</v>
      </c>
      <c r="P247" s="21">
        <f>IF(A247="","",SUMIFS('Supply Usage'!$L$5:$L$304,'Supply Usage'!$F$5:$F$304,A247))</f>
        <v>0</v>
      </c>
      <c r="Q247" s="21">
        <f>IF(A247="","",IF(P247&gt;0,P247,ROUND(M247*SuppliesPerHour,2)))</f>
        <v>0</v>
      </c>
      <c r="R247" s="21">
        <f>IF(A247="","",ROUND(IFERROR(INDEX(Jobs!$W$5:$W$604,MATCH(A247,Jobs!$A$5:$A$604,0)),0)*MileageRate,2))</f>
        <v>0</v>
      </c>
      <c r="T247" s="21">
        <f>IF(A247="","",O247+Q247+R247+IF(S247="",0,S247))</f>
        <v>0</v>
      </c>
      <c r="U247" s="21">
        <f>IF(A247="","",J247-T247)</f>
        <v>0</v>
      </c>
      <c r="V247" s="38">
        <f>IF(OR(A247="",J247=0),"",U247/J247)</f>
        <v>0</v>
      </c>
      <c r="W247" s="21">
        <f>IF(OR(A247="",M247=0,J247=0),"",U247/M247)</f>
        <v>0</v>
      </c>
      <c r="X247" s="34">
        <f>IF(OR(A247="",L247="",L247=0,K247=""),"",L247-K247)</f>
        <v>0</v>
      </c>
      <c r="Y247" s="31">
        <f>IF(A247="","",COUNTIFS($U$5:$U$604,"&gt;"&amp;U247)+COUNTIFS($U$5:U247,U247))</f>
        <v>0</v>
      </c>
      <c r="Z247" s="31">
        <f>IF(A247="","",COUNTIFS($W$5:$W$604,"&gt;"&amp;W247)+COUNTIFS($W$5:W247,W247))</f>
        <v>0</v>
      </c>
      <c r="AA247" s="39">
        <f>IF(A247="","",IF(J247=0,"",IF(U247&lt;0,"Loss - this job cost you money",IF(V247&lt;MarginFloor,"Below - margin under the floor",IF(V247&lt;TargetMargin,"Check - under target margin",IF(AND(X247&lt;&gt;"",X247&gt;0.5),"Check - ran over the estimate","OK"))))))</f>
        <v>0</v>
      </c>
    </row>
    <row r="248" spans="1:27">
      <c r="A248" s="43">
        <f>IF(IFERROR(INDEX(Jobs!$A$5:$A$604,ROW()-4),"")="","",IFERROR(INDEX(Jobs!$A$5:$A$604,ROW()-4),""))</f>
        <v>0</v>
      </c>
      <c r="B248" s="18">
        <f>IF(A248="","",IFERROR(INDEX(Jobs!$B$5:$B$604,MATCH(A248,Jobs!$A$5:$A$604,0)),""))</f>
        <v>0</v>
      </c>
      <c r="C248" s="23">
        <f>IF(B248="","",TEXT(B248,"yyyy-mm"))</f>
        <v>0</v>
      </c>
      <c r="D248" s="43">
        <f>IF(A248="","",IFERROR(INDEX(Jobs!$G$5:$G$604,MATCH(A248,Jobs!$A$5:$A$604,0)),""))</f>
        <v>0</v>
      </c>
      <c r="E248" s="23">
        <f>IF(A248="","",IFERROR(INDEX(Jobs!$H$5:$H$604,MATCH(A248,Jobs!$A$5:$A$604,0)),""))</f>
        <v>0</v>
      </c>
      <c r="F248" s="23">
        <f>IF(A248="","",IFERROR(INDEX(Jobs!$K$5:$K$604,MATCH(A248,Jobs!$A$5:$A$604,0)),""))</f>
        <v>0</v>
      </c>
      <c r="G248" s="23">
        <f>IF(A248="","",IFERROR(INDEX(Jobs!$M$5:$M$604,MATCH(A248,Jobs!$A$5:$A$604,0)),""))</f>
        <v>0</v>
      </c>
      <c r="H248" s="23">
        <f>IF(A248="","",IFERROR(INDEX(Jobs!$R$5:$R$604,MATCH(A248,Jobs!$A$5:$A$604,0)),""))</f>
        <v>0</v>
      </c>
      <c r="I248" s="39">
        <f>IF(A248="","",IFERROR(INDEX(Jobs!$P$5:$P$604,MATCH(A248,Jobs!$A$5:$A$604,0)),""))</f>
        <v>0</v>
      </c>
      <c r="J248" s="21">
        <f>IF(A248="","",IF(OR(I248="Completed",I248="Invoiced"),IFERROR(INDEX(Jobs!$AJ$5:$AJ$604,MATCH(A248,Jobs!$A$5:$A$604,0)),0),0))</f>
        <v>0</v>
      </c>
      <c r="K248" s="34">
        <f>IF(A248="","",IFERROR(INDEX(Jobs!$AD$5:$AD$604,MATCH(A248,Jobs!$A$5:$A$604,0)),0))</f>
        <v>0</v>
      </c>
      <c r="L248" s="34">
        <f>IF(A248="","",IFERROR(INDEX(Jobs!$AK$5:$AK$604,MATCH(A248,Jobs!$A$5:$A$604,0)),0))</f>
        <v>0</v>
      </c>
      <c r="M248" s="34">
        <f>IF(A248="","",IF(IFERROR(L248*1,0)&gt;0,L248,IFERROR(K248*1,0)))</f>
        <v>0</v>
      </c>
      <c r="N248" s="21">
        <f>IF(A248="","",SUMIFS(Timesheets!$X$5:$X$804,Timesheets!$G$5:$G$804,A248))</f>
        <v>0</v>
      </c>
      <c r="O248" s="21">
        <f>IF(A248="","",IF(N248&gt;0,N248,ROUND(M248*CostPerHour,2)))</f>
        <v>0</v>
      </c>
      <c r="P248" s="21">
        <f>IF(A248="","",SUMIFS('Supply Usage'!$L$5:$L$304,'Supply Usage'!$F$5:$F$304,A248))</f>
        <v>0</v>
      </c>
      <c r="Q248" s="21">
        <f>IF(A248="","",IF(P248&gt;0,P248,ROUND(M248*SuppliesPerHour,2)))</f>
        <v>0</v>
      </c>
      <c r="R248" s="21">
        <f>IF(A248="","",ROUND(IFERROR(INDEX(Jobs!$W$5:$W$604,MATCH(A248,Jobs!$A$5:$A$604,0)),0)*MileageRate,2))</f>
        <v>0</v>
      </c>
      <c r="T248" s="21">
        <f>IF(A248="","",O248+Q248+R248+IF(S248="",0,S248))</f>
        <v>0</v>
      </c>
      <c r="U248" s="21">
        <f>IF(A248="","",J248-T248)</f>
        <v>0</v>
      </c>
      <c r="V248" s="38">
        <f>IF(OR(A248="",J248=0),"",U248/J248)</f>
        <v>0</v>
      </c>
      <c r="W248" s="21">
        <f>IF(OR(A248="",M248=0,J248=0),"",U248/M248)</f>
        <v>0</v>
      </c>
      <c r="X248" s="34">
        <f>IF(OR(A248="",L248="",L248=0,K248=""),"",L248-K248)</f>
        <v>0</v>
      </c>
      <c r="Y248" s="31">
        <f>IF(A248="","",COUNTIFS($U$5:$U$604,"&gt;"&amp;U248)+COUNTIFS($U$5:U248,U248))</f>
        <v>0</v>
      </c>
      <c r="Z248" s="31">
        <f>IF(A248="","",COUNTIFS($W$5:$W$604,"&gt;"&amp;W248)+COUNTIFS($W$5:W248,W248))</f>
        <v>0</v>
      </c>
      <c r="AA248" s="39">
        <f>IF(A248="","",IF(J248=0,"",IF(U248&lt;0,"Loss - this job cost you money",IF(V248&lt;MarginFloor,"Below - margin under the floor",IF(V248&lt;TargetMargin,"Check - under target margin",IF(AND(X248&lt;&gt;"",X248&gt;0.5),"Check - ran over the estimate","OK"))))))</f>
        <v>0</v>
      </c>
    </row>
    <row r="249" spans="1:27">
      <c r="A249" s="43">
        <f>IF(IFERROR(INDEX(Jobs!$A$5:$A$604,ROW()-4),"")="","",IFERROR(INDEX(Jobs!$A$5:$A$604,ROW()-4),""))</f>
        <v>0</v>
      </c>
      <c r="B249" s="18">
        <f>IF(A249="","",IFERROR(INDEX(Jobs!$B$5:$B$604,MATCH(A249,Jobs!$A$5:$A$604,0)),""))</f>
        <v>0</v>
      </c>
      <c r="C249" s="23">
        <f>IF(B249="","",TEXT(B249,"yyyy-mm"))</f>
        <v>0</v>
      </c>
      <c r="D249" s="43">
        <f>IF(A249="","",IFERROR(INDEX(Jobs!$G$5:$G$604,MATCH(A249,Jobs!$A$5:$A$604,0)),""))</f>
        <v>0</v>
      </c>
      <c r="E249" s="23">
        <f>IF(A249="","",IFERROR(INDEX(Jobs!$H$5:$H$604,MATCH(A249,Jobs!$A$5:$A$604,0)),""))</f>
        <v>0</v>
      </c>
      <c r="F249" s="23">
        <f>IF(A249="","",IFERROR(INDEX(Jobs!$K$5:$K$604,MATCH(A249,Jobs!$A$5:$A$604,0)),""))</f>
        <v>0</v>
      </c>
      <c r="G249" s="23">
        <f>IF(A249="","",IFERROR(INDEX(Jobs!$M$5:$M$604,MATCH(A249,Jobs!$A$5:$A$604,0)),""))</f>
        <v>0</v>
      </c>
      <c r="H249" s="23">
        <f>IF(A249="","",IFERROR(INDEX(Jobs!$R$5:$R$604,MATCH(A249,Jobs!$A$5:$A$604,0)),""))</f>
        <v>0</v>
      </c>
      <c r="I249" s="39">
        <f>IF(A249="","",IFERROR(INDEX(Jobs!$P$5:$P$604,MATCH(A249,Jobs!$A$5:$A$604,0)),""))</f>
        <v>0</v>
      </c>
      <c r="J249" s="21">
        <f>IF(A249="","",IF(OR(I249="Completed",I249="Invoiced"),IFERROR(INDEX(Jobs!$AJ$5:$AJ$604,MATCH(A249,Jobs!$A$5:$A$604,0)),0),0))</f>
        <v>0</v>
      </c>
      <c r="K249" s="34">
        <f>IF(A249="","",IFERROR(INDEX(Jobs!$AD$5:$AD$604,MATCH(A249,Jobs!$A$5:$A$604,0)),0))</f>
        <v>0</v>
      </c>
      <c r="L249" s="34">
        <f>IF(A249="","",IFERROR(INDEX(Jobs!$AK$5:$AK$604,MATCH(A249,Jobs!$A$5:$A$604,0)),0))</f>
        <v>0</v>
      </c>
      <c r="M249" s="34">
        <f>IF(A249="","",IF(IFERROR(L249*1,0)&gt;0,L249,IFERROR(K249*1,0)))</f>
        <v>0</v>
      </c>
      <c r="N249" s="21">
        <f>IF(A249="","",SUMIFS(Timesheets!$X$5:$X$804,Timesheets!$G$5:$G$804,A249))</f>
        <v>0</v>
      </c>
      <c r="O249" s="21">
        <f>IF(A249="","",IF(N249&gt;0,N249,ROUND(M249*CostPerHour,2)))</f>
        <v>0</v>
      </c>
      <c r="P249" s="21">
        <f>IF(A249="","",SUMIFS('Supply Usage'!$L$5:$L$304,'Supply Usage'!$F$5:$F$304,A249))</f>
        <v>0</v>
      </c>
      <c r="Q249" s="21">
        <f>IF(A249="","",IF(P249&gt;0,P249,ROUND(M249*SuppliesPerHour,2)))</f>
        <v>0</v>
      </c>
      <c r="R249" s="21">
        <f>IF(A249="","",ROUND(IFERROR(INDEX(Jobs!$W$5:$W$604,MATCH(A249,Jobs!$A$5:$A$604,0)),0)*MileageRate,2))</f>
        <v>0</v>
      </c>
      <c r="T249" s="21">
        <f>IF(A249="","",O249+Q249+R249+IF(S249="",0,S249))</f>
        <v>0</v>
      </c>
      <c r="U249" s="21">
        <f>IF(A249="","",J249-T249)</f>
        <v>0</v>
      </c>
      <c r="V249" s="38">
        <f>IF(OR(A249="",J249=0),"",U249/J249)</f>
        <v>0</v>
      </c>
      <c r="W249" s="21">
        <f>IF(OR(A249="",M249=0,J249=0),"",U249/M249)</f>
        <v>0</v>
      </c>
      <c r="X249" s="34">
        <f>IF(OR(A249="",L249="",L249=0,K249=""),"",L249-K249)</f>
        <v>0</v>
      </c>
      <c r="Y249" s="31">
        <f>IF(A249="","",COUNTIFS($U$5:$U$604,"&gt;"&amp;U249)+COUNTIFS($U$5:U249,U249))</f>
        <v>0</v>
      </c>
      <c r="Z249" s="31">
        <f>IF(A249="","",COUNTIFS($W$5:$W$604,"&gt;"&amp;W249)+COUNTIFS($W$5:W249,W249))</f>
        <v>0</v>
      </c>
      <c r="AA249" s="39">
        <f>IF(A249="","",IF(J249=0,"",IF(U249&lt;0,"Loss - this job cost you money",IF(V249&lt;MarginFloor,"Below - margin under the floor",IF(V249&lt;TargetMargin,"Check - under target margin",IF(AND(X249&lt;&gt;"",X249&gt;0.5),"Check - ran over the estimate","OK"))))))</f>
        <v>0</v>
      </c>
    </row>
    <row r="250" spans="1:27">
      <c r="A250" s="43">
        <f>IF(IFERROR(INDEX(Jobs!$A$5:$A$604,ROW()-4),"")="","",IFERROR(INDEX(Jobs!$A$5:$A$604,ROW()-4),""))</f>
        <v>0</v>
      </c>
      <c r="B250" s="18">
        <f>IF(A250="","",IFERROR(INDEX(Jobs!$B$5:$B$604,MATCH(A250,Jobs!$A$5:$A$604,0)),""))</f>
        <v>0</v>
      </c>
      <c r="C250" s="23">
        <f>IF(B250="","",TEXT(B250,"yyyy-mm"))</f>
        <v>0</v>
      </c>
      <c r="D250" s="43">
        <f>IF(A250="","",IFERROR(INDEX(Jobs!$G$5:$G$604,MATCH(A250,Jobs!$A$5:$A$604,0)),""))</f>
        <v>0</v>
      </c>
      <c r="E250" s="23">
        <f>IF(A250="","",IFERROR(INDEX(Jobs!$H$5:$H$604,MATCH(A250,Jobs!$A$5:$A$604,0)),""))</f>
        <v>0</v>
      </c>
      <c r="F250" s="23">
        <f>IF(A250="","",IFERROR(INDEX(Jobs!$K$5:$K$604,MATCH(A250,Jobs!$A$5:$A$604,0)),""))</f>
        <v>0</v>
      </c>
      <c r="G250" s="23">
        <f>IF(A250="","",IFERROR(INDEX(Jobs!$M$5:$M$604,MATCH(A250,Jobs!$A$5:$A$604,0)),""))</f>
        <v>0</v>
      </c>
      <c r="H250" s="23">
        <f>IF(A250="","",IFERROR(INDEX(Jobs!$R$5:$R$604,MATCH(A250,Jobs!$A$5:$A$604,0)),""))</f>
        <v>0</v>
      </c>
      <c r="I250" s="39">
        <f>IF(A250="","",IFERROR(INDEX(Jobs!$P$5:$P$604,MATCH(A250,Jobs!$A$5:$A$604,0)),""))</f>
        <v>0</v>
      </c>
      <c r="J250" s="21">
        <f>IF(A250="","",IF(OR(I250="Completed",I250="Invoiced"),IFERROR(INDEX(Jobs!$AJ$5:$AJ$604,MATCH(A250,Jobs!$A$5:$A$604,0)),0),0))</f>
        <v>0</v>
      </c>
      <c r="K250" s="34">
        <f>IF(A250="","",IFERROR(INDEX(Jobs!$AD$5:$AD$604,MATCH(A250,Jobs!$A$5:$A$604,0)),0))</f>
        <v>0</v>
      </c>
      <c r="L250" s="34">
        <f>IF(A250="","",IFERROR(INDEX(Jobs!$AK$5:$AK$604,MATCH(A250,Jobs!$A$5:$A$604,0)),0))</f>
        <v>0</v>
      </c>
      <c r="M250" s="34">
        <f>IF(A250="","",IF(IFERROR(L250*1,0)&gt;0,L250,IFERROR(K250*1,0)))</f>
        <v>0</v>
      </c>
      <c r="N250" s="21">
        <f>IF(A250="","",SUMIFS(Timesheets!$X$5:$X$804,Timesheets!$G$5:$G$804,A250))</f>
        <v>0</v>
      </c>
      <c r="O250" s="21">
        <f>IF(A250="","",IF(N250&gt;0,N250,ROUND(M250*CostPerHour,2)))</f>
        <v>0</v>
      </c>
      <c r="P250" s="21">
        <f>IF(A250="","",SUMIFS('Supply Usage'!$L$5:$L$304,'Supply Usage'!$F$5:$F$304,A250))</f>
        <v>0</v>
      </c>
      <c r="Q250" s="21">
        <f>IF(A250="","",IF(P250&gt;0,P250,ROUND(M250*SuppliesPerHour,2)))</f>
        <v>0</v>
      </c>
      <c r="R250" s="21">
        <f>IF(A250="","",ROUND(IFERROR(INDEX(Jobs!$W$5:$W$604,MATCH(A250,Jobs!$A$5:$A$604,0)),0)*MileageRate,2))</f>
        <v>0</v>
      </c>
      <c r="T250" s="21">
        <f>IF(A250="","",O250+Q250+R250+IF(S250="",0,S250))</f>
        <v>0</v>
      </c>
      <c r="U250" s="21">
        <f>IF(A250="","",J250-T250)</f>
        <v>0</v>
      </c>
      <c r="V250" s="38">
        <f>IF(OR(A250="",J250=0),"",U250/J250)</f>
        <v>0</v>
      </c>
      <c r="W250" s="21">
        <f>IF(OR(A250="",M250=0,J250=0),"",U250/M250)</f>
        <v>0</v>
      </c>
      <c r="X250" s="34">
        <f>IF(OR(A250="",L250="",L250=0,K250=""),"",L250-K250)</f>
        <v>0</v>
      </c>
      <c r="Y250" s="31">
        <f>IF(A250="","",COUNTIFS($U$5:$U$604,"&gt;"&amp;U250)+COUNTIFS($U$5:U250,U250))</f>
        <v>0</v>
      </c>
      <c r="Z250" s="31">
        <f>IF(A250="","",COUNTIFS($W$5:$W$604,"&gt;"&amp;W250)+COUNTIFS($W$5:W250,W250))</f>
        <v>0</v>
      </c>
      <c r="AA250" s="39">
        <f>IF(A250="","",IF(J250=0,"",IF(U250&lt;0,"Loss - this job cost you money",IF(V250&lt;MarginFloor,"Below - margin under the floor",IF(V250&lt;TargetMargin,"Check - under target margin",IF(AND(X250&lt;&gt;"",X250&gt;0.5),"Check - ran over the estimate","OK"))))))</f>
        <v>0</v>
      </c>
    </row>
    <row r="251" spans="1:27">
      <c r="A251" s="43">
        <f>IF(IFERROR(INDEX(Jobs!$A$5:$A$604,ROW()-4),"")="","",IFERROR(INDEX(Jobs!$A$5:$A$604,ROW()-4),""))</f>
        <v>0</v>
      </c>
      <c r="B251" s="18">
        <f>IF(A251="","",IFERROR(INDEX(Jobs!$B$5:$B$604,MATCH(A251,Jobs!$A$5:$A$604,0)),""))</f>
        <v>0</v>
      </c>
      <c r="C251" s="23">
        <f>IF(B251="","",TEXT(B251,"yyyy-mm"))</f>
        <v>0</v>
      </c>
      <c r="D251" s="43">
        <f>IF(A251="","",IFERROR(INDEX(Jobs!$G$5:$G$604,MATCH(A251,Jobs!$A$5:$A$604,0)),""))</f>
        <v>0</v>
      </c>
      <c r="E251" s="23">
        <f>IF(A251="","",IFERROR(INDEX(Jobs!$H$5:$H$604,MATCH(A251,Jobs!$A$5:$A$604,0)),""))</f>
        <v>0</v>
      </c>
      <c r="F251" s="23">
        <f>IF(A251="","",IFERROR(INDEX(Jobs!$K$5:$K$604,MATCH(A251,Jobs!$A$5:$A$604,0)),""))</f>
        <v>0</v>
      </c>
      <c r="G251" s="23">
        <f>IF(A251="","",IFERROR(INDEX(Jobs!$M$5:$M$604,MATCH(A251,Jobs!$A$5:$A$604,0)),""))</f>
        <v>0</v>
      </c>
      <c r="H251" s="23">
        <f>IF(A251="","",IFERROR(INDEX(Jobs!$R$5:$R$604,MATCH(A251,Jobs!$A$5:$A$604,0)),""))</f>
        <v>0</v>
      </c>
      <c r="I251" s="39">
        <f>IF(A251="","",IFERROR(INDEX(Jobs!$P$5:$P$604,MATCH(A251,Jobs!$A$5:$A$604,0)),""))</f>
        <v>0</v>
      </c>
      <c r="J251" s="21">
        <f>IF(A251="","",IF(OR(I251="Completed",I251="Invoiced"),IFERROR(INDEX(Jobs!$AJ$5:$AJ$604,MATCH(A251,Jobs!$A$5:$A$604,0)),0),0))</f>
        <v>0</v>
      </c>
      <c r="K251" s="34">
        <f>IF(A251="","",IFERROR(INDEX(Jobs!$AD$5:$AD$604,MATCH(A251,Jobs!$A$5:$A$604,0)),0))</f>
        <v>0</v>
      </c>
      <c r="L251" s="34">
        <f>IF(A251="","",IFERROR(INDEX(Jobs!$AK$5:$AK$604,MATCH(A251,Jobs!$A$5:$A$604,0)),0))</f>
        <v>0</v>
      </c>
      <c r="M251" s="34">
        <f>IF(A251="","",IF(IFERROR(L251*1,0)&gt;0,L251,IFERROR(K251*1,0)))</f>
        <v>0</v>
      </c>
      <c r="N251" s="21">
        <f>IF(A251="","",SUMIFS(Timesheets!$X$5:$X$804,Timesheets!$G$5:$G$804,A251))</f>
        <v>0</v>
      </c>
      <c r="O251" s="21">
        <f>IF(A251="","",IF(N251&gt;0,N251,ROUND(M251*CostPerHour,2)))</f>
        <v>0</v>
      </c>
      <c r="P251" s="21">
        <f>IF(A251="","",SUMIFS('Supply Usage'!$L$5:$L$304,'Supply Usage'!$F$5:$F$304,A251))</f>
        <v>0</v>
      </c>
      <c r="Q251" s="21">
        <f>IF(A251="","",IF(P251&gt;0,P251,ROUND(M251*SuppliesPerHour,2)))</f>
        <v>0</v>
      </c>
      <c r="R251" s="21">
        <f>IF(A251="","",ROUND(IFERROR(INDEX(Jobs!$W$5:$W$604,MATCH(A251,Jobs!$A$5:$A$604,0)),0)*MileageRate,2))</f>
        <v>0</v>
      </c>
      <c r="T251" s="21">
        <f>IF(A251="","",O251+Q251+R251+IF(S251="",0,S251))</f>
        <v>0</v>
      </c>
      <c r="U251" s="21">
        <f>IF(A251="","",J251-T251)</f>
        <v>0</v>
      </c>
      <c r="V251" s="38">
        <f>IF(OR(A251="",J251=0),"",U251/J251)</f>
        <v>0</v>
      </c>
      <c r="W251" s="21">
        <f>IF(OR(A251="",M251=0,J251=0),"",U251/M251)</f>
        <v>0</v>
      </c>
      <c r="X251" s="34">
        <f>IF(OR(A251="",L251="",L251=0,K251=""),"",L251-K251)</f>
        <v>0</v>
      </c>
      <c r="Y251" s="31">
        <f>IF(A251="","",COUNTIFS($U$5:$U$604,"&gt;"&amp;U251)+COUNTIFS($U$5:U251,U251))</f>
        <v>0</v>
      </c>
      <c r="Z251" s="31">
        <f>IF(A251="","",COUNTIFS($W$5:$W$604,"&gt;"&amp;W251)+COUNTIFS($W$5:W251,W251))</f>
        <v>0</v>
      </c>
      <c r="AA251" s="39">
        <f>IF(A251="","",IF(J251=0,"",IF(U251&lt;0,"Loss - this job cost you money",IF(V251&lt;MarginFloor,"Below - margin under the floor",IF(V251&lt;TargetMargin,"Check - under target margin",IF(AND(X251&lt;&gt;"",X251&gt;0.5),"Check - ran over the estimate","OK"))))))</f>
        <v>0</v>
      </c>
    </row>
    <row r="252" spans="1:27">
      <c r="A252" s="43">
        <f>IF(IFERROR(INDEX(Jobs!$A$5:$A$604,ROW()-4),"")="","",IFERROR(INDEX(Jobs!$A$5:$A$604,ROW()-4),""))</f>
        <v>0</v>
      </c>
      <c r="B252" s="18">
        <f>IF(A252="","",IFERROR(INDEX(Jobs!$B$5:$B$604,MATCH(A252,Jobs!$A$5:$A$604,0)),""))</f>
        <v>0</v>
      </c>
      <c r="C252" s="23">
        <f>IF(B252="","",TEXT(B252,"yyyy-mm"))</f>
        <v>0</v>
      </c>
      <c r="D252" s="43">
        <f>IF(A252="","",IFERROR(INDEX(Jobs!$G$5:$G$604,MATCH(A252,Jobs!$A$5:$A$604,0)),""))</f>
        <v>0</v>
      </c>
      <c r="E252" s="23">
        <f>IF(A252="","",IFERROR(INDEX(Jobs!$H$5:$H$604,MATCH(A252,Jobs!$A$5:$A$604,0)),""))</f>
        <v>0</v>
      </c>
      <c r="F252" s="23">
        <f>IF(A252="","",IFERROR(INDEX(Jobs!$K$5:$K$604,MATCH(A252,Jobs!$A$5:$A$604,0)),""))</f>
        <v>0</v>
      </c>
      <c r="G252" s="23">
        <f>IF(A252="","",IFERROR(INDEX(Jobs!$M$5:$M$604,MATCH(A252,Jobs!$A$5:$A$604,0)),""))</f>
        <v>0</v>
      </c>
      <c r="H252" s="23">
        <f>IF(A252="","",IFERROR(INDEX(Jobs!$R$5:$R$604,MATCH(A252,Jobs!$A$5:$A$604,0)),""))</f>
        <v>0</v>
      </c>
      <c r="I252" s="39">
        <f>IF(A252="","",IFERROR(INDEX(Jobs!$P$5:$P$604,MATCH(A252,Jobs!$A$5:$A$604,0)),""))</f>
        <v>0</v>
      </c>
      <c r="J252" s="21">
        <f>IF(A252="","",IF(OR(I252="Completed",I252="Invoiced"),IFERROR(INDEX(Jobs!$AJ$5:$AJ$604,MATCH(A252,Jobs!$A$5:$A$604,0)),0),0))</f>
        <v>0</v>
      </c>
      <c r="K252" s="34">
        <f>IF(A252="","",IFERROR(INDEX(Jobs!$AD$5:$AD$604,MATCH(A252,Jobs!$A$5:$A$604,0)),0))</f>
        <v>0</v>
      </c>
      <c r="L252" s="34">
        <f>IF(A252="","",IFERROR(INDEX(Jobs!$AK$5:$AK$604,MATCH(A252,Jobs!$A$5:$A$604,0)),0))</f>
        <v>0</v>
      </c>
      <c r="M252" s="34">
        <f>IF(A252="","",IF(IFERROR(L252*1,0)&gt;0,L252,IFERROR(K252*1,0)))</f>
        <v>0</v>
      </c>
      <c r="N252" s="21">
        <f>IF(A252="","",SUMIFS(Timesheets!$X$5:$X$804,Timesheets!$G$5:$G$804,A252))</f>
        <v>0</v>
      </c>
      <c r="O252" s="21">
        <f>IF(A252="","",IF(N252&gt;0,N252,ROUND(M252*CostPerHour,2)))</f>
        <v>0</v>
      </c>
      <c r="P252" s="21">
        <f>IF(A252="","",SUMIFS('Supply Usage'!$L$5:$L$304,'Supply Usage'!$F$5:$F$304,A252))</f>
        <v>0</v>
      </c>
      <c r="Q252" s="21">
        <f>IF(A252="","",IF(P252&gt;0,P252,ROUND(M252*SuppliesPerHour,2)))</f>
        <v>0</v>
      </c>
      <c r="R252" s="21">
        <f>IF(A252="","",ROUND(IFERROR(INDEX(Jobs!$W$5:$W$604,MATCH(A252,Jobs!$A$5:$A$604,0)),0)*MileageRate,2))</f>
        <v>0</v>
      </c>
      <c r="T252" s="21">
        <f>IF(A252="","",O252+Q252+R252+IF(S252="",0,S252))</f>
        <v>0</v>
      </c>
      <c r="U252" s="21">
        <f>IF(A252="","",J252-T252)</f>
        <v>0</v>
      </c>
      <c r="V252" s="38">
        <f>IF(OR(A252="",J252=0),"",U252/J252)</f>
        <v>0</v>
      </c>
      <c r="W252" s="21">
        <f>IF(OR(A252="",M252=0,J252=0),"",U252/M252)</f>
        <v>0</v>
      </c>
      <c r="X252" s="34">
        <f>IF(OR(A252="",L252="",L252=0,K252=""),"",L252-K252)</f>
        <v>0</v>
      </c>
      <c r="Y252" s="31">
        <f>IF(A252="","",COUNTIFS($U$5:$U$604,"&gt;"&amp;U252)+COUNTIFS($U$5:U252,U252))</f>
        <v>0</v>
      </c>
      <c r="Z252" s="31">
        <f>IF(A252="","",COUNTIFS($W$5:$W$604,"&gt;"&amp;W252)+COUNTIFS($W$5:W252,W252))</f>
        <v>0</v>
      </c>
      <c r="AA252" s="39">
        <f>IF(A252="","",IF(J252=0,"",IF(U252&lt;0,"Loss - this job cost you money",IF(V252&lt;MarginFloor,"Below - margin under the floor",IF(V252&lt;TargetMargin,"Check - under target margin",IF(AND(X252&lt;&gt;"",X252&gt;0.5),"Check - ran over the estimate","OK"))))))</f>
        <v>0</v>
      </c>
    </row>
    <row r="253" spans="1:27">
      <c r="A253" s="43">
        <f>IF(IFERROR(INDEX(Jobs!$A$5:$A$604,ROW()-4),"")="","",IFERROR(INDEX(Jobs!$A$5:$A$604,ROW()-4),""))</f>
        <v>0</v>
      </c>
      <c r="B253" s="18">
        <f>IF(A253="","",IFERROR(INDEX(Jobs!$B$5:$B$604,MATCH(A253,Jobs!$A$5:$A$604,0)),""))</f>
        <v>0</v>
      </c>
      <c r="C253" s="23">
        <f>IF(B253="","",TEXT(B253,"yyyy-mm"))</f>
        <v>0</v>
      </c>
      <c r="D253" s="43">
        <f>IF(A253="","",IFERROR(INDEX(Jobs!$G$5:$G$604,MATCH(A253,Jobs!$A$5:$A$604,0)),""))</f>
        <v>0</v>
      </c>
      <c r="E253" s="23">
        <f>IF(A253="","",IFERROR(INDEX(Jobs!$H$5:$H$604,MATCH(A253,Jobs!$A$5:$A$604,0)),""))</f>
        <v>0</v>
      </c>
      <c r="F253" s="23">
        <f>IF(A253="","",IFERROR(INDEX(Jobs!$K$5:$K$604,MATCH(A253,Jobs!$A$5:$A$604,0)),""))</f>
        <v>0</v>
      </c>
      <c r="G253" s="23">
        <f>IF(A253="","",IFERROR(INDEX(Jobs!$M$5:$M$604,MATCH(A253,Jobs!$A$5:$A$604,0)),""))</f>
        <v>0</v>
      </c>
      <c r="H253" s="23">
        <f>IF(A253="","",IFERROR(INDEX(Jobs!$R$5:$R$604,MATCH(A253,Jobs!$A$5:$A$604,0)),""))</f>
        <v>0</v>
      </c>
      <c r="I253" s="39">
        <f>IF(A253="","",IFERROR(INDEX(Jobs!$P$5:$P$604,MATCH(A253,Jobs!$A$5:$A$604,0)),""))</f>
        <v>0</v>
      </c>
      <c r="J253" s="21">
        <f>IF(A253="","",IF(OR(I253="Completed",I253="Invoiced"),IFERROR(INDEX(Jobs!$AJ$5:$AJ$604,MATCH(A253,Jobs!$A$5:$A$604,0)),0),0))</f>
        <v>0</v>
      </c>
      <c r="K253" s="34">
        <f>IF(A253="","",IFERROR(INDEX(Jobs!$AD$5:$AD$604,MATCH(A253,Jobs!$A$5:$A$604,0)),0))</f>
        <v>0</v>
      </c>
      <c r="L253" s="34">
        <f>IF(A253="","",IFERROR(INDEX(Jobs!$AK$5:$AK$604,MATCH(A253,Jobs!$A$5:$A$604,0)),0))</f>
        <v>0</v>
      </c>
      <c r="M253" s="34">
        <f>IF(A253="","",IF(IFERROR(L253*1,0)&gt;0,L253,IFERROR(K253*1,0)))</f>
        <v>0</v>
      </c>
      <c r="N253" s="21">
        <f>IF(A253="","",SUMIFS(Timesheets!$X$5:$X$804,Timesheets!$G$5:$G$804,A253))</f>
        <v>0</v>
      </c>
      <c r="O253" s="21">
        <f>IF(A253="","",IF(N253&gt;0,N253,ROUND(M253*CostPerHour,2)))</f>
        <v>0</v>
      </c>
      <c r="P253" s="21">
        <f>IF(A253="","",SUMIFS('Supply Usage'!$L$5:$L$304,'Supply Usage'!$F$5:$F$304,A253))</f>
        <v>0</v>
      </c>
      <c r="Q253" s="21">
        <f>IF(A253="","",IF(P253&gt;0,P253,ROUND(M253*SuppliesPerHour,2)))</f>
        <v>0</v>
      </c>
      <c r="R253" s="21">
        <f>IF(A253="","",ROUND(IFERROR(INDEX(Jobs!$W$5:$W$604,MATCH(A253,Jobs!$A$5:$A$604,0)),0)*MileageRate,2))</f>
        <v>0</v>
      </c>
      <c r="T253" s="21">
        <f>IF(A253="","",O253+Q253+R253+IF(S253="",0,S253))</f>
        <v>0</v>
      </c>
      <c r="U253" s="21">
        <f>IF(A253="","",J253-T253)</f>
        <v>0</v>
      </c>
      <c r="V253" s="38">
        <f>IF(OR(A253="",J253=0),"",U253/J253)</f>
        <v>0</v>
      </c>
      <c r="W253" s="21">
        <f>IF(OR(A253="",M253=0,J253=0),"",U253/M253)</f>
        <v>0</v>
      </c>
      <c r="X253" s="34">
        <f>IF(OR(A253="",L253="",L253=0,K253=""),"",L253-K253)</f>
        <v>0</v>
      </c>
      <c r="Y253" s="31">
        <f>IF(A253="","",COUNTIFS($U$5:$U$604,"&gt;"&amp;U253)+COUNTIFS($U$5:U253,U253))</f>
        <v>0</v>
      </c>
      <c r="Z253" s="31">
        <f>IF(A253="","",COUNTIFS($W$5:$W$604,"&gt;"&amp;W253)+COUNTIFS($W$5:W253,W253))</f>
        <v>0</v>
      </c>
      <c r="AA253" s="39">
        <f>IF(A253="","",IF(J253=0,"",IF(U253&lt;0,"Loss - this job cost you money",IF(V253&lt;MarginFloor,"Below - margin under the floor",IF(V253&lt;TargetMargin,"Check - under target margin",IF(AND(X253&lt;&gt;"",X253&gt;0.5),"Check - ran over the estimate","OK"))))))</f>
        <v>0</v>
      </c>
    </row>
    <row r="254" spans="1:27">
      <c r="A254" s="43">
        <f>IF(IFERROR(INDEX(Jobs!$A$5:$A$604,ROW()-4),"")="","",IFERROR(INDEX(Jobs!$A$5:$A$604,ROW()-4),""))</f>
        <v>0</v>
      </c>
      <c r="B254" s="18">
        <f>IF(A254="","",IFERROR(INDEX(Jobs!$B$5:$B$604,MATCH(A254,Jobs!$A$5:$A$604,0)),""))</f>
        <v>0</v>
      </c>
      <c r="C254" s="23">
        <f>IF(B254="","",TEXT(B254,"yyyy-mm"))</f>
        <v>0</v>
      </c>
      <c r="D254" s="43">
        <f>IF(A254="","",IFERROR(INDEX(Jobs!$G$5:$G$604,MATCH(A254,Jobs!$A$5:$A$604,0)),""))</f>
        <v>0</v>
      </c>
      <c r="E254" s="23">
        <f>IF(A254="","",IFERROR(INDEX(Jobs!$H$5:$H$604,MATCH(A254,Jobs!$A$5:$A$604,0)),""))</f>
        <v>0</v>
      </c>
      <c r="F254" s="23">
        <f>IF(A254="","",IFERROR(INDEX(Jobs!$K$5:$K$604,MATCH(A254,Jobs!$A$5:$A$604,0)),""))</f>
        <v>0</v>
      </c>
      <c r="G254" s="23">
        <f>IF(A254="","",IFERROR(INDEX(Jobs!$M$5:$M$604,MATCH(A254,Jobs!$A$5:$A$604,0)),""))</f>
        <v>0</v>
      </c>
      <c r="H254" s="23">
        <f>IF(A254="","",IFERROR(INDEX(Jobs!$R$5:$R$604,MATCH(A254,Jobs!$A$5:$A$604,0)),""))</f>
        <v>0</v>
      </c>
      <c r="I254" s="39">
        <f>IF(A254="","",IFERROR(INDEX(Jobs!$P$5:$P$604,MATCH(A254,Jobs!$A$5:$A$604,0)),""))</f>
        <v>0</v>
      </c>
      <c r="J254" s="21">
        <f>IF(A254="","",IF(OR(I254="Completed",I254="Invoiced"),IFERROR(INDEX(Jobs!$AJ$5:$AJ$604,MATCH(A254,Jobs!$A$5:$A$604,0)),0),0))</f>
        <v>0</v>
      </c>
      <c r="K254" s="34">
        <f>IF(A254="","",IFERROR(INDEX(Jobs!$AD$5:$AD$604,MATCH(A254,Jobs!$A$5:$A$604,0)),0))</f>
        <v>0</v>
      </c>
      <c r="L254" s="34">
        <f>IF(A254="","",IFERROR(INDEX(Jobs!$AK$5:$AK$604,MATCH(A254,Jobs!$A$5:$A$604,0)),0))</f>
        <v>0</v>
      </c>
      <c r="M254" s="34">
        <f>IF(A254="","",IF(IFERROR(L254*1,0)&gt;0,L254,IFERROR(K254*1,0)))</f>
        <v>0</v>
      </c>
      <c r="N254" s="21">
        <f>IF(A254="","",SUMIFS(Timesheets!$X$5:$X$804,Timesheets!$G$5:$G$804,A254))</f>
        <v>0</v>
      </c>
      <c r="O254" s="21">
        <f>IF(A254="","",IF(N254&gt;0,N254,ROUND(M254*CostPerHour,2)))</f>
        <v>0</v>
      </c>
      <c r="P254" s="21">
        <f>IF(A254="","",SUMIFS('Supply Usage'!$L$5:$L$304,'Supply Usage'!$F$5:$F$304,A254))</f>
        <v>0</v>
      </c>
      <c r="Q254" s="21">
        <f>IF(A254="","",IF(P254&gt;0,P254,ROUND(M254*SuppliesPerHour,2)))</f>
        <v>0</v>
      </c>
      <c r="R254" s="21">
        <f>IF(A254="","",ROUND(IFERROR(INDEX(Jobs!$W$5:$W$604,MATCH(A254,Jobs!$A$5:$A$604,0)),0)*MileageRate,2))</f>
        <v>0</v>
      </c>
      <c r="T254" s="21">
        <f>IF(A254="","",O254+Q254+R254+IF(S254="",0,S254))</f>
        <v>0</v>
      </c>
      <c r="U254" s="21">
        <f>IF(A254="","",J254-T254)</f>
        <v>0</v>
      </c>
      <c r="V254" s="38">
        <f>IF(OR(A254="",J254=0),"",U254/J254)</f>
        <v>0</v>
      </c>
      <c r="W254" s="21">
        <f>IF(OR(A254="",M254=0,J254=0),"",U254/M254)</f>
        <v>0</v>
      </c>
      <c r="X254" s="34">
        <f>IF(OR(A254="",L254="",L254=0,K254=""),"",L254-K254)</f>
        <v>0</v>
      </c>
      <c r="Y254" s="31">
        <f>IF(A254="","",COUNTIFS($U$5:$U$604,"&gt;"&amp;U254)+COUNTIFS($U$5:U254,U254))</f>
        <v>0</v>
      </c>
      <c r="Z254" s="31">
        <f>IF(A254="","",COUNTIFS($W$5:$W$604,"&gt;"&amp;W254)+COUNTIFS($W$5:W254,W254))</f>
        <v>0</v>
      </c>
      <c r="AA254" s="39">
        <f>IF(A254="","",IF(J254=0,"",IF(U254&lt;0,"Loss - this job cost you money",IF(V254&lt;MarginFloor,"Below - margin under the floor",IF(V254&lt;TargetMargin,"Check - under target margin",IF(AND(X254&lt;&gt;"",X254&gt;0.5),"Check - ran over the estimate","OK"))))))</f>
        <v>0</v>
      </c>
    </row>
    <row r="255" spans="1:27">
      <c r="A255" s="43">
        <f>IF(IFERROR(INDEX(Jobs!$A$5:$A$604,ROW()-4),"")="","",IFERROR(INDEX(Jobs!$A$5:$A$604,ROW()-4),""))</f>
        <v>0</v>
      </c>
      <c r="B255" s="18">
        <f>IF(A255="","",IFERROR(INDEX(Jobs!$B$5:$B$604,MATCH(A255,Jobs!$A$5:$A$604,0)),""))</f>
        <v>0</v>
      </c>
      <c r="C255" s="23">
        <f>IF(B255="","",TEXT(B255,"yyyy-mm"))</f>
        <v>0</v>
      </c>
      <c r="D255" s="43">
        <f>IF(A255="","",IFERROR(INDEX(Jobs!$G$5:$G$604,MATCH(A255,Jobs!$A$5:$A$604,0)),""))</f>
        <v>0</v>
      </c>
      <c r="E255" s="23">
        <f>IF(A255="","",IFERROR(INDEX(Jobs!$H$5:$H$604,MATCH(A255,Jobs!$A$5:$A$604,0)),""))</f>
        <v>0</v>
      </c>
      <c r="F255" s="23">
        <f>IF(A255="","",IFERROR(INDEX(Jobs!$K$5:$K$604,MATCH(A255,Jobs!$A$5:$A$604,0)),""))</f>
        <v>0</v>
      </c>
      <c r="G255" s="23">
        <f>IF(A255="","",IFERROR(INDEX(Jobs!$M$5:$M$604,MATCH(A255,Jobs!$A$5:$A$604,0)),""))</f>
        <v>0</v>
      </c>
      <c r="H255" s="23">
        <f>IF(A255="","",IFERROR(INDEX(Jobs!$R$5:$R$604,MATCH(A255,Jobs!$A$5:$A$604,0)),""))</f>
        <v>0</v>
      </c>
      <c r="I255" s="39">
        <f>IF(A255="","",IFERROR(INDEX(Jobs!$P$5:$P$604,MATCH(A255,Jobs!$A$5:$A$604,0)),""))</f>
        <v>0</v>
      </c>
      <c r="J255" s="21">
        <f>IF(A255="","",IF(OR(I255="Completed",I255="Invoiced"),IFERROR(INDEX(Jobs!$AJ$5:$AJ$604,MATCH(A255,Jobs!$A$5:$A$604,0)),0),0))</f>
        <v>0</v>
      </c>
      <c r="K255" s="34">
        <f>IF(A255="","",IFERROR(INDEX(Jobs!$AD$5:$AD$604,MATCH(A255,Jobs!$A$5:$A$604,0)),0))</f>
        <v>0</v>
      </c>
      <c r="L255" s="34">
        <f>IF(A255="","",IFERROR(INDEX(Jobs!$AK$5:$AK$604,MATCH(A255,Jobs!$A$5:$A$604,0)),0))</f>
        <v>0</v>
      </c>
      <c r="M255" s="34">
        <f>IF(A255="","",IF(IFERROR(L255*1,0)&gt;0,L255,IFERROR(K255*1,0)))</f>
        <v>0</v>
      </c>
      <c r="N255" s="21">
        <f>IF(A255="","",SUMIFS(Timesheets!$X$5:$X$804,Timesheets!$G$5:$G$804,A255))</f>
        <v>0</v>
      </c>
      <c r="O255" s="21">
        <f>IF(A255="","",IF(N255&gt;0,N255,ROUND(M255*CostPerHour,2)))</f>
        <v>0</v>
      </c>
      <c r="P255" s="21">
        <f>IF(A255="","",SUMIFS('Supply Usage'!$L$5:$L$304,'Supply Usage'!$F$5:$F$304,A255))</f>
        <v>0</v>
      </c>
      <c r="Q255" s="21">
        <f>IF(A255="","",IF(P255&gt;0,P255,ROUND(M255*SuppliesPerHour,2)))</f>
        <v>0</v>
      </c>
      <c r="R255" s="21">
        <f>IF(A255="","",ROUND(IFERROR(INDEX(Jobs!$W$5:$W$604,MATCH(A255,Jobs!$A$5:$A$604,0)),0)*MileageRate,2))</f>
        <v>0</v>
      </c>
      <c r="T255" s="21">
        <f>IF(A255="","",O255+Q255+R255+IF(S255="",0,S255))</f>
        <v>0</v>
      </c>
      <c r="U255" s="21">
        <f>IF(A255="","",J255-T255)</f>
        <v>0</v>
      </c>
      <c r="V255" s="38">
        <f>IF(OR(A255="",J255=0),"",U255/J255)</f>
        <v>0</v>
      </c>
      <c r="W255" s="21">
        <f>IF(OR(A255="",M255=0,J255=0),"",U255/M255)</f>
        <v>0</v>
      </c>
      <c r="X255" s="34">
        <f>IF(OR(A255="",L255="",L255=0,K255=""),"",L255-K255)</f>
        <v>0</v>
      </c>
      <c r="Y255" s="31">
        <f>IF(A255="","",COUNTIFS($U$5:$U$604,"&gt;"&amp;U255)+COUNTIFS($U$5:U255,U255))</f>
        <v>0</v>
      </c>
      <c r="Z255" s="31">
        <f>IF(A255="","",COUNTIFS($W$5:$W$604,"&gt;"&amp;W255)+COUNTIFS($W$5:W255,W255))</f>
        <v>0</v>
      </c>
      <c r="AA255" s="39">
        <f>IF(A255="","",IF(J255=0,"",IF(U255&lt;0,"Loss - this job cost you money",IF(V255&lt;MarginFloor,"Below - margin under the floor",IF(V255&lt;TargetMargin,"Check - under target margin",IF(AND(X255&lt;&gt;"",X255&gt;0.5),"Check - ran over the estimate","OK"))))))</f>
        <v>0</v>
      </c>
    </row>
    <row r="256" spans="1:27">
      <c r="A256" s="43">
        <f>IF(IFERROR(INDEX(Jobs!$A$5:$A$604,ROW()-4),"")="","",IFERROR(INDEX(Jobs!$A$5:$A$604,ROW()-4),""))</f>
        <v>0</v>
      </c>
      <c r="B256" s="18">
        <f>IF(A256="","",IFERROR(INDEX(Jobs!$B$5:$B$604,MATCH(A256,Jobs!$A$5:$A$604,0)),""))</f>
        <v>0</v>
      </c>
      <c r="C256" s="23">
        <f>IF(B256="","",TEXT(B256,"yyyy-mm"))</f>
        <v>0</v>
      </c>
      <c r="D256" s="43">
        <f>IF(A256="","",IFERROR(INDEX(Jobs!$G$5:$G$604,MATCH(A256,Jobs!$A$5:$A$604,0)),""))</f>
        <v>0</v>
      </c>
      <c r="E256" s="23">
        <f>IF(A256="","",IFERROR(INDEX(Jobs!$H$5:$H$604,MATCH(A256,Jobs!$A$5:$A$604,0)),""))</f>
        <v>0</v>
      </c>
      <c r="F256" s="23">
        <f>IF(A256="","",IFERROR(INDEX(Jobs!$K$5:$K$604,MATCH(A256,Jobs!$A$5:$A$604,0)),""))</f>
        <v>0</v>
      </c>
      <c r="G256" s="23">
        <f>IF(A256="","",IFERROR(INDEX(Jobs!$M$5:$M$604,MATCH(A256,Jobs!$A$5:$A$604,0)),""))</f>
        <v>0</v>
      </c>
      <c r="H256" s="23">
        <f>IF(A256="","",IFERROR(INDEX(Jobs!$R$5:$R$604,MATCH(A256,Jobs!$A$5:$A$604,0)),""))</f>
        <v>0</v>
      </c>
      <c r="I256" s="39">
        <f>IF(A256="","",IFERROR(INDEX(Jobs!$P$5:$P$604,MATCH(A256,Jobs!$A$5:$A$604,0)),""))</f>
        <v>0</v>
      </c>
      <c r="J256" s="21">
        <f>IF(A256="","",IF(OR(I256="Completed",I256="Invoiced"),IFERROR(INDEX(Jobs!$AJ$5:$AJ$604,MATCH(A256,Jobs!$A$5:$A$604,0)),0),0))</f>
        <v>0</v>
      </c>
      <c r="K256" s="34">
        <f>IF(A256="","",IFERROR(INDEX(Jobs!$AD$5:$AD$604,MATCH(A256,Jobs!$A$5:$A$604,0)),0))</f>
        <v>0</v>
      </c>
      <c r="L256" s="34">
        <f>IF(A256="","",IFERROR(INDEX(Jobs!$AK$5:$AK$604,MATCH(A256,Jobs!$A$5:$A$604,0)),0))</f>
        <v>0</v>
      </c>
      <c r="M256" s="34">
        <f>IF(A256="","",IF(IFERROR(L256*1,0)&gt;0,L256,IFERROR(K256*1,0)))</f>
        <v>0</v>
      </c>
      <c r="N256" s="21">
        <f>IF(A256="","",SUMIFS(Timesheets!$X$5:$X$804,Timesheets!$G$5:$G$804,A256))</f>
        <v>0</v>
      </c>
      <c r="O256" s="21">
        <f>IF(A256="","",IF(N256&gt;0,N256,ROUND(M256*CostPerHour,2)))</f>
        <v>0</v>
      </c>
      <c r="P256" s="21">
        <f>IF(A256="","",SUMIFS('Supply Usage'!$L$5:$L$304,'Supply Usage'!$F$5:$F$304,A256))</f>
        <v>0</v>
      </c>
      <c r="Q256" s="21">
        <f>IF(A256="","",IF(P256&gt;0,P256,ROUND(M256*SuppliesPerHour,2)))</f>
        <v>0</v>
      </c>
      <c r="R256" s="21">
        <f>IF(A256="","",ROUND(IFERROR(INDEX(Jobs!$W$5:$W$604,MATCH(A256,Jobs!$A$5:$A$604,0)),0)*MileageRate,2))</f>
        <v>0</v>
      </c>
      <c r="T256" s="21">
        <f>IF(A256="","",O256+Q256+R256+IF(S256="",0,S256))</f>
        <v>0</v>
      </c>
      <c r="U256" s="21">
        <f>IF(A256="","",J256-T256)</f>
        <v>0</v>
      </c>
      <c r="V256" s="38">
        <f>IF(OR(A256="",J256=0),"",U256/J256)</f>
        <v>0</v>
      </c>
      <c r="W256" s="21">
        <f>IF(OR(A256="",M256=0,J256=0),"",U256/M256)</f>
        <v>0</v>
      </c>
      <c r="X256" s="34">
        <f>IF(OR(A256="",L256="",L256=0,K256=""),"",L256-K256)</f>
        <v>0</v>
      </c>
      <c r="Y256" s="31">
        <f>IF(A256="","",COUNTIFS($U$5:$U$604,"&gt;"&amp;U256)+COUNTIFS($U$5:U256,U256))</f>
        <v>0</v>
      </c>
      <c r="Z256" s="31">
        <f>IF(A256="","",COUNTIFS($W$5:$W$604,"&gt;"&amp;W256)+COUNTIFS($W$5:W256,W256))</f>
        <v>0</v>
      </c>
      <c r="AA256" s="39">
        <f>IF(A256="","",IF(J256=0,"",IF(U256&lt;0,"Loss - this job cost you money",IF(V256&lt;MarginFloor,"Below - margin under the floor",IF(V256&lt;TargetMargin,"Check - under target margin",IF(AND(X256&lt;&gt;"",X256&gt;0.5),"Check - ran over the estimate","OK"))))))</f>
        <v>0</v>
      </c>
    </row>
    <row r="257" spans="1:27">
      <c r="A257" s="43">
        <f>IF(IFERROR(INDEX(Jobs!$A$5:$A$604,ROW()-4),"")="","",IFERROR(INDEX(Jobs!$A$5:$A$604,ROW()-4),""))</f>
        <v>0</v>
      </c>
      <c r="B257" s="18">
        <f>IF(A257="","",IFERROR(INDEX(Jobs!$B$5:$B$604,MATCH(A257,Jobs!$A$5:$A$604,0)),""))</f>
        <v>0</v>
      </c>
      <c r="C257" s="23">
        <f>IF(B257="","",TEXT(B257,"yyyy-mm"))</f>
        <v>0</v>
      </c>
      <c r="D257" s="43">
        <f>IF(A257="","",IFERROR(INDEX(Jobs!$G$5:$G$604,MATCH(A257,Jobs!$A$5:$A$604,0)),""))</f>
        <v>0</v>
      </c>
      <c r="E257" s="23">
        <f>IF(A257="","",IFERROR(INDEX(Jobs!$H$5:$H$604,MATCH(A257,Jobs!$A$5:$A$604,0)),""))</f>
        <v>0</v>
      </c>
      <c r="F257" s="23">
        <f>IF(A257="","",IFERROR(INDEX(Jobs!$K$5:$K$604,MATCH(A257,Jobs!$A$5:$A$604,0)),""))</f>
        <v>0</v>
      </c>
      <c r="G257" s="23">
        <f>IF(A257="","",IFERROR(INDEX(Jobs!$M$5:$M$604,MATCH(A257,Jobs!$A$5:$A$604,0)),""))</f>
        <v>0</v>
      </c>
      <c r="H257" s="23">
        <f>IF(A257="","",IFERROR(INDEX(Jobs!$R$5:$R$604,MATCH(A257,Jobs!$A$5:$A$604,0)),""))</f>
        <v>0</v>
      </c>
      <c r="I257" s="39">
        <f>IF(A257="","",IFERROR(INDEX(Jobs!$P$5:$P$604,MATCH(A257,Jobs!$A$5:$A$604,0)),""))</f>
        <v>0</v>
      </c>
      <c r="J257" s="21">
        <f>IF(A257="","",IF(OR(I257="Completed",I257="Invoiced"),IFERROR(INDEX(Jobs!$AJ$5:$AJ$604,MATCH(A257,Jobs!$A$5:$A$604,0)),0),0))</f>
        <v>0</v>
      </c>
      <c r="K257" s="34">
        <f>IF(A257="","",IFERROR(INDEX(Jobs!$AD$5:$AD$604,MATCH(A257,Jobs!$A$5:$A$604,0)),0))</f>
        <v>0</v>
      </c>
      <c r="L257" s="34">
        <f>IF(A257="","",IFERROR(INDEX(Jobs!$AK$5:$AK$604,MATCH(A257,Jobs!$A$5:$A$604,0)),0))</f>
        <v>0</v>
      </c>
      <c r="M257" s="34">
        <f>IF(A257="","",IF(IFERROR(L257*1,0)&gt;0,L257,IFERROR(K257*1,0)))</f>
        <v>0</v>
      </c>
      <c r="N257" s="21">
        <f>IF(A257="","",SUMIFS(Timesheets!$X$5:$X$804,Timesheets!$G$5:$G$804,A257))</f>
        <v>0</v>
      </c>
      <c r="O257" s="21">
        <f>IF(A257="","",IF(N257&gt;0,N257,ROUND(M257*CostPerHour,2)))</f>
        <v>0</v>
      </c>
      <c r="P257" s="21">
        <f>IF(A257="","",SUMIFS('Supply Usage'!$L$5:$L$304,'Supply Usage'!$F$5:$F$304,A257))</f>
        <v>0</v>
      </c>
      <c r="Q257" s="21">
        <f>IF(A257="","",IF(P257&gt;0,P257,ROUND(M257*SuppliesPerHour,2)))</f>
        <v>0</v>
      </c>
      <c r="R257" s="21">
        <f>IF(A257="","",ROUND(IFERROR(INDEX(Jobs!$W$5:$W$604,MATCH(A257,Jobs!$A$5:$A$604,0)),0)*MileageRate,2))</f>
        <v>0</v>
      </c>
      <c r="T257" s="21">
        <f>IF(A257="","",O257+Q257+R257+IF(S257="",0,S257))</f>
        <v>0</v>
      </c>
      <c r="U257" s="21">
        <f>IF(A257="","",J257-T257)</f>
        <v>0</v>
      </c>
      <c r="V257" s="38">
        <f>IF(OR(A257="",J257=0),"",U257/J257)</f>
        <v>0</v>
      </c>
      <c r="W257" s="21">
        <f>IF(OR(A257="",M257=0,J257=0),"",U257/M257)</f>
        <v>0</v>
      </c>
      <c r="X257" s="34">
        <f>IF(OR(A257="",L257="",L257=0,K257=""),"",L257-K257)</f>
        <v>0</v>
      </c>
      <c r="Y257" s="31">
        <f>IF(A257="","",COUNTIFS($U$5:$U$604,"&gt;"&amp;U257)+COUNTIFS($U$5:U257,U257))</f>
        <v>0</v>
      </c>
      <c r="Z257" s="31">
        <f>IF(A257="","",COUNTIFS($W$5:$W$604,"&gt;"&amp;W257)+COUNTIFS($W$5:W257,W257))</f>
        <v>0</v>
      </c>
      <c r="AA257" s="39">
        <f>IF(A257="","",IF(J257=0,"",IF(U257&lt;0,"Loss - this job cost you money",IF(V257&lt;MarginFloor,"Below - margin under the floor",IF(V257&lt;TargetMargin,"Check - under target margin",IF(AND(X257&lt;&gt;"",X257&gt;0.5),"Check - ran over the estimate","OK"))))))</f>
        <v>0</v>
      </c>
    </row>
    <row r="258" spans="1:27">
      <c r="A258" s="43">
        <f>IF(IFERROR(INDEX(Jobs!$A$5:$A$604,ROW()-4),"")="","",IFERROR(INDEX(Jobs!$A$5:$A$604,ROW()-4),""))</f>
        <v>0</v>
      </c>
      <c r="B258" s="18">
        <f>IF(A258="","",IFERROR(INDEX(Jobs!$B$5:$B$604,MATCH(A258,Jobs!$A$5:$A$604,0)),""))</f>
        <v>0</v>
      </c>
      <c r="C258" s="23">
        <f>IF(B258="","",TEXT(B258,"yyyy-mm"))</f>
        <v>0</v>
      </c>
      <c r="D258" s="43">
        <f>IF(A258="","",IFERROR(INDEX(Jobs!$G$5:$G$604,MATCH(A258,Jobs!$A$5:$A$604,0)),""))</f>
        <v>0</v>
      </c>
      <c r="E258" s="23">
        <f>IF(A258="","",IFERROR(INDEX(Jobs!$H$5:$H$604,MATCH(A258,Jobs!$A$5:$A$604,0)),""))</f>
        <v>0</v>
      </c>
      <c r="F258" s="23">
        <f>IF(A258="","",IFERROR(INDEX(Jobs!$K$5:$K$604,MATCH(A258,Jobs!$A$5:$A$604,0)),""))</f>
        <v>0</v>
      </c>
      <c r="G258" s="23">
        <f>IF(A258="","",IFERROR(INDEX(Jobs!$M$5:$M$604,MATCH(A258,Jobs!$A$5:$A$604,0)),""))</f>
        <v>0</v>
      </c>
      <c r="H258" s="23">
        <f>IF(A258="","",IFERROR(INDEX(Jobs!$R$5:$R$604,MATCH(A258,Jobs!$A$5:$A$604,0)),""))</f>
        <v>0</v>
      </c>
      <c r="I258" s="39">
        <f>IF(A258="","",IFERROR(INDEX(Jobs!$P$5:$P$604,MATCH(A258,Jobs!$A$5:$A$604,0)),""))</f>
        <v>0</v>
      </c>
      <c r="J258" s="21">
        <f>IF(A258="","",IF(OR(I258="Completed",I258="Invoiced"),IFERROR(INDEX(Jobs!$AJ$5:$AJ$604,MATCH(A258,Jobs!$A$5:$A$604,0)),0),0))</f>
        <v>0</v>
      </c>
      <c r="K258" s="34">
        <f>IF(A258="","",IFERROR(INDEX(Jobs!$AD$5:$AD$604,MATCH(A258,Jobs!$A$5:$A$604,0)),0))</f>
        <v>0</v>
      </c>
      <c r="L258" s="34">
        <f>IF(A258="","",IFERROR(INDEX(Jobs!$AK$5:$AK$604,MATCH(A258,Jobs!$A$5:$A$604,0)),0))</f>
        <v>0</v>
      </c>
      <c r="M258" s="34">
        <f>IF(A258="","",IF(IFERROR(L258*1,0)&gt;0,L258,IFERROR(K258*1,0)))</f>
        <v>0</v>
      </c>
      <c r="N258" s="21">
        <f>IF(A258="","",SUMIFS(Timesheets!$X$5:$X$804,Timesheets!$G$5:$G$804,A258))</f>
        <v>0</v>
      </c>
      <c r="O258" s="21">
        <f>IF(A258="","",IF(N258&gt;0,N258,ROUND(M258*CostPerHour,2)))</f>
        <v>0</v>
      </c>
      <c r="P258" s="21">
        <f>IF(A258="","",SUMIFS('Supply Usage'!$L$5:$L$304,'Supply Usage'!$F$5:$F$304,A258))</f>
        <v>0</v>
      </c>
      <c r="Q258" s="21">
        <f>IF(A258="","",IF(P258&gt;0,P258,ROUND(M258*SuppliesPerHour,2)))</f>
        <v>0</v>
      </c>
      <c r="R258" s="21">
        <f>IF(A258="","",ROUND(IFERROR(INDEX(Jobs!$W$5:$W$604,MATCH(A258,Jobs!$A$5:$A$604,0)),0)*MileageRate,2))</f>
        <v>0</v>
      </c>
      <c r="T258" s="21">
        <f>IF(A258="","",O258+Q258+R258+IF(S258="",0,S258))</f>
        <v>0</v>
      </c>
      <c r="U258" s="21">
        <f>IF(A258="","",J258-T258)</f>
        <v>0</v>
      </c>
      <c r="V258" s="38">
        <f>IF(OR(A258="",J258=0),"",U258/J258)</f>
        <v>0</v>
      </c>
      <c r="W258" s="21">
        <f>IF(OR(A258="",M258=0,J258=0),"",U258/M258)</f>
        <v>0</v>
      </c>
      <c r="X258" s="34">
        <f>IF(OR(A258="",L258="",L258=0,K258=""),"",L258-K258)</f>
        <v>0</v>
      </c>
      <c r="Y258" s="31">
        <f>IF(A258="","",COUNTIFS($U$5:$U$604,"&gt;"&amp;U258)+COUNTIFS($U$5:U258,U258))</f>
        <v>0</v>
      </c>
      <c r="Z258" s="31">
        <f>IF(A258="","",COUNTIFS($W$5:$W$604,"&gt;"&amp;W258)+COUNTIFS($W$5:W258,W258))</f>
        <v>0</v>
      </c>
      <c r="AA258" s="39">
        <f>IF(A258="","",IF(J258=0,"",IF(U258&lt;0,"Loss - this job cost you money",IF(V258&lt;MarginFloor,"Below - margin under the floor",IF(V258&lt;TargetMargin,"Check - under target margin",IF(AND(X258&lt;&gt;"",X258&gt;0.5),"Check - ran over the estimate","OK"))))))</f>
        <v>0</v>
      </c>
    </row>
    <row r="259" spans="1:27">
      <c r="A259" s="43">
        <f>IF(IFERROR(INDEX(Jobs!$A$5:$A$604,ROW()-4),"")="","",IFERROR(INDEX(Jobs!$A$5:$A$604,ROW()-4),""))</f>
        <v>0</v>
      </c>
      <c r="B259" s="18">
        <f>IF(A259="","",IFERROR(INDEX(Jobs!$B$5:$B$604,MATCH(A259,Jobs!$A$5:$A$604,0)),""))</f>
        <v>0</v>
      </c>
      <c r="C259" s="23">
        <f>IF(B259="","",TEXT(B259,"yyyy-mm"))</f>
        <v>0</v>
      </c>
      <c r="D259" s="43">
        <f>IF(A259="","",IFERROR(INDEX(Jobs!$G$5:$G$604,MATCH(A259,Jobs!$A$5:$A$604,0)),""))</f>
        <v>0</v>
      </c>
      <c r="E259" s="23">
        <f>IF(A259="","",IFERROR(INDEX(Jobs!$H$5:$H$604,MATCH(A259,Jobs!$A$5:$A$604,0)),""))</f>
        <v>0</v>
      </c>
      <c r="F259" s="23">
        <f>IF(A259="","",IFERROR(INDEX(Jobs!$K$5:$K$604,MATCH(A259,Jobs!$A$5:$A$604,0)),""))</f>
        <v>0</v>
      </c>
      <c r="G259" s="23">
        <f>IF(A259="","",IFERROR(INDEX(Jobs!$M$5:$M$604,MATCH(A259,Jobs!$A$5:$A$604,0)),""))</f>
        <v>0</v>
      </c>
      <c r="H259" s="23">
        <f>IF(A259="","",IFERROR(INDEX(Jobs!$R$5:$R$604,MATCH(A259,Jobs!$A$5:$A$604,0)),""))</f>
        <v>0</v>
      </c>
      <c r="I259" s="39">
        <f>IF(A259="","",IFERROR(INDEX(Jobs!$P$5:$P$604,MATCH(A259,Jobs!$A$5:$A$604,0)),""))</f>
        <v>0</v>
      </c>
      <c r="J259" s="21">
        <f>IF(A259="","",IF(OR(I259="Completed",I259="Invoiced"),IFERROR(INDEX(Jobs!$AJ$5:$AJ$604,MATCH(A259,Jobs!$A$5:$A$604,0)),0),0))</f>
        <v>0</v>
      </c>
      <c r="K259" s="34">
        <f>IF(A259="","",IFERROR(INDEX(Jobs!$AD$5:$AD$604,MATCH(A259,Jobs!$A$5:$A$604,0)),0))</f>
        <v>0</v>
      </c>
      <c r="L259" s="34">
        <f>IF(A259="","",IFERROR(INDEX(Jobs!$AK$5:$AK$604,MATCH(A259,Jobs!$A$5:$A$604,0)),0))</f>
        <v>0</v>
      </c>
      <c r="M259" s="34">
        <f>IF(A259="","",IF(IFERROR(L259*1,0)&gt;0,L259,IFERROR(K259*1,0)))</f>
        <v>0</v>
      </c>
      <c r="N259" s="21">
        <f>IF(A259="","",SUMIFS(Timesheets!$X$5:$X$804,Timesheets!$G$5:$G$804,A259))</f>
        <v>0</v>
      </c>
      <c r="O259" s="21">
        <f>IF(A259="","",IF(N259&gt;0,N259,ROUND(M259*CostPerHour,2)))</f>
        <v>0</v>
      </c>
      <c r="P259" s="21">
        <f>IF(A259="","",SUMIFS('Supply Usage'!$L$5:$L$304,'Supply Usage'!$F$5:$F$304,A259))</f>
        <v>0</v>
      </c>
      <c r="Q259" s="21">
        <f>IF(A259="","",IF(P259&gt;0,P259,ROUND(M259*SuppliesPerHour,2)))</f>
        <v>0</v>
      </c>
      <c r="R259" s="21">
        <f>IF(A259="","",ROUND(IFERROR(INDEX(Jobs!$W$5:$W$604,MATCH(A259,Jobs!$A$5:$A$604,0)),0)*MileageRate,2))</f>
        <v>0</v>
      </c>
      <c r="T259" s="21">
        <f>IF(A259="","",O259+Q259+R259+IF(S259="",0,S259))</f>
        <v>0</v>
      </c>
      <c r="U259" s="21">
        <f>IF(A259="","",J259-T259)</f>
        <v>0</v>
      </c>
      <c r="V259" s="38">
        <f>IF(OR(A259="",J259=0),"",U259/J259)</f>
        <v>0</v>
      </c>
      <c r="W259" s="21">
        <f>IF(OR(A259="",M259=0,J259=0),"",U259/M259)</f>
        <v>0</v>
      </c>
      <c r="X259" s="34">
        <f>IF(OR(A259="",L259="",L259=0,K259=""),"",L259-K259)</f>
        <v>0</v>
      </c>
      <c r="Y259" s="31">
        <f>IF(A259="","",COUNTIFS($U$5:$U$604,"&gt;"&amp;U259)+COUNTIFS($U$5:U259,U259))</f>
        <v>0</v>
      </c>
      <c r="Z259" s="31">
        <f>IF(A259="","",COUNTIFS($W$5:$W$604,"&gt;"&amp;W259)+COUNTIFS($W$5:W259,W259))</f>
        <v>0</v>
      </c>
      <c r="AA259" s="39">
        <f>IF(A259="","",IF(J259=0,"",IF(U259&lt;0,"Loss - this job cost you money",IF(V259&lt;MarginFloor,"Below - margin under the floor",IF(V259&lt;TargetMargin,"Check - under target margin",IF(AND(X259&lt;&gt;"",X259&gt;0.5),"Check - ran over the estimate","OK"))))))</f>
        <v>0</v>
      </c>
    </row>
    <row r="260" spans="1:27">
      <c r="A260" s="43">
        <f>IF(IFERROR(INDEX(Jobs!$A$5:$A$604,ROW()-4),"")="","",IFERROR(INDEX(Jobs!$A$5:$A$604,ROW()-4),""))</f>
        <v>0</v>
      </c>
      <c r="B260" s="18">
        <f>IF(A260="","",IFERROR(INDEX(Jobs!$B$5:$B$604,MATCH(A260,Jobs!$A$5:$A$604,0)),""))</f>
        <v>0</v>
      </c>
      <c r="C260" s="23">
        <f>IF(B260="","",TEXT(B260,"yyyy-mm"))</f>
        <v>0</v>
      </c>
      <c r="D260" s="43">
        <f>IF(A260="","",IFERROR(INDEX(Jobs!$G$5:$G$604,MATCH(A260,Jobs!$A$5:$A$604,0)),""))</f>
        <v>0</v>
      </c>
      <c r="E260" s="23">
        <f>IF(A260="","",IFERROR(INDEX(Jobs!$H$5:$H$604,MATCH(A260,Jobs!$A$5:$A$604,0)),""))</f>
        <v>0</v>
      </c>
      <c r="F260" s="23">
        <f>IF(A260="","",IFERROR(INDEX(Jobs!$K$5:$K$604,MATCH(A260,Jobs!$A$5:$A$604,0)),""))</f>
        <v>0</v>
      </c>
      <c r="G260" s="23">
        <f>IF(A260="","",IFERROR(INDEX(Jobs!$M$5:$M$604,MATCH(A260,Jobs!$A$5:$A$604,0)),""))</f>
        <v>0</v>
      </c>
      <c r="H260" s="23">
        <f>IF(A260="","",IFERROR(INDEX(Jobs!$R$5:$R$604,MATCH(A260,Jobs!$A$5:$A$604,0)),""))</f>
        <v>0</v>
      </c>
      <c r="I260" s="39">
        <f>IF(A260="","",IFERROR(INDEX(Jobs!$P$5:$P$604,MATCH(A260,Jobs!$A$5:$A$604,0)),""))</f>
        <v>0</v>
      </c>
      <c r="J260" s="21">
        <f>IF(A260="","",IF(OR(I260="Completed",I260="Invoiced"),IFERROR(INDEX(Jobs!$AJ$5:$AJ$604,MATCH(A260,Jobs!$A$5:$A$604,0)),0),0))</f>
        <v>0</v>
      </c>
      <c r="K260" s="34">
        <f>IF(A260="","",IFERROR(INDEX(Jobs!$AD$5:$AD$604,MATCH(A260,Jobs!$A$5:$A$604,0)),0))</f>
        <v>0</v>
      </c>
      <c r="L260" s="34">
        <f>IF(A260="","",IFERROR(INDEX(Jobs!$AK$5:$AK$604,MATCH(A260,Jobs!$A$5:$A$604,0)),0))</f>
        <v>0</v>
      </c>
      <c r="M260" s="34">
        <f>IF(A260="","",IF(IFERROR(L260*1,0)&gt;0,L260,IFERROR(K260*1,0)))</f>
        <v>0</v>
      </c>
      <c r="N260" s="21">
        <f>IF(A260="","",SUMIFS(Timesheets!$X$5:$X$804,Timesheets!$G$5:$G$804,A260))</f>
        <v>0</v>
      </c>
      <c r="O260" s="21">
        <f>IF(A260="","",IF(N260&gt;0,N260,ROUND(M260*CostPerHour,2)))</f>
        <v>0</v>
      </c>
      <c r="P260" s="21">
        <f>IF(A260="","",SUMIFS('Supply Usage'!$L$5:$L$304,'Supply Usage'!$F$5:$F$304,A260))</f>
        <v>0</v>
      </c>
      <c r="Q260" s="21">
        <f>IF(A260="","",IF(P260&gt;0,P260,ROUND(M260*SuppliesPerHour,2)))</f>
        <v>0</v>
      </c>
      <c r="R260" s="21">
        <f>IF(A260="","",ROUND(IFERROR(INDEX(Jobs!$W$5:$W$604,MATCH(A260,Jobs!$A$5:$A$604,0)),0)*MileageRate,2))</f>
        <v>0</v>
      </c>
      <c r="T260" s="21">
        <f>IF(A260="","",O260+Q260+R260+IF(S260="",0,S260))</f>
        <v>0</v>
      </c>
      <c r="U260" s="21">
        <f>IF(A260="","",J260-T260)</f>
        <v>0</v>
      </c>
      <c r="V260" s="38">
        <f>IF(OR(A260="",J260=0),"",U260/J260)</f>
        <v>0</v>
      </c>
      <c r="W260" s="21">
        <f>IF(OR(A260="",M260=0,J260=0),"",U260/M260)</f>
        <v>0</v>
      </c>
      <c r="X260" s="34">
        <f>IF(OR(A260="",L260="",L260=0,K260=""),"",L260-K260)</f>
        <v>0</v>
      </c>
      <c r="Y260" s="31">
        <f>IF(A260="","",COUNTIFS($U$5:$U$604,"&gt;"&amp;U260)+COUNTIFS($U$5:U260,U260))</f>
        <v>0</v>
      </c>
      <c r="Z260" s="31">
        <f>IF(A260="","",COUNTIFS($W$5:$W$604,"&gt;"&amp;W260)+COUNTIFS($W$5:W260,W260))</f>
        <v>0</v>
      </c>
      <c r="AA260" s="39">
        <f>IF(A260="","",IF(J260=0,"",IF(U260&lt;0,"Loss - this job cost you money",IF(V260&lt;MarginFloor,"Below - margin under the floor",IF(V260&lt;TargetMargin,"Check - under target margin",IF(AND(X260&lt;&gt;"",X260&gt;0.5),"Check - ran over the estimate","OK"))))))</f>
        <v>0</v>
      </c>
    </row>
    <row r="261" spans="1:27">
      <c r="A261" s="43">
        <f>IF(IFERROR(INDEX(Jobs!$A$5:$A$604,ROW()-4),"")="","",IFERROR(INDEX(Jobs!$A$5:$A$604,ROW()-4),""))</f>
        <v>0</v>
      </c>
      <c r="B261" s="18">
        <f>IF(A261="","",IFERROR(INDEX(Jobs!$B$5:$B$604,MATCH(A261,Jobs!$A$5:$A$604,0)),""))</f>
        <v>0</v>
      </c>
      <c r="C261" s="23">
        <f>IF(B261="","",TEXT(B261,"yyyy-mm"))</f>
        <v>0</v>
      </c>
      <c r="D261" s="43">
        <f>IF(A261="","",IFERROR(INDEX(Jobs!$G$5:$G$604,MATCH(A261,Jobs!$A$5:$A$604,0)),""))</f>
        <v>0</v>
      </c>
      <c r="E261" s="23">
        <f>IF(A261="","",IFERROR(INDEX(Jobs!$H$5:$H$604,MATCH(A261,Jobs!$A$5:$A$604,0)),""))</f>
        <v>0</v>
      </c>
      <c r="F261" s="23">
        <f>IF(A261="","",IFERROR(INDEX(Jobs!$K$5:$K$604,MATCH(A261,Jobs!$A$5:$A$604,0)),""))</f>
        <v>0</v>
      </c>
      <c r="G261" s="23">
        <f>IF(A261="","",IFERROR(INDEX(Jobs!$M$5:$M$604,MATCH(A261,Jobs!$A$5:$A$604,0)),""))</f>
        <v>0</v>
      </c>
      <c r="H261" s="23">
        <f>IF(A261="","",IFERROR(INDEX(Jobs!$R$5:$R$604,MATCH(A261,Jobs!$A$5:$A$604,0)),""))</f>
        <v>0</v>
      </c>
      <c r="I261" s="39">
        <f>IF(A261="","",IFERROR(INDEX(Jobs!$P$5:$P$604,MATCH(A261,Jobs!$A$5:$A$604,0)),""))</f>
        <v>0</v>
      </c>
      <c r="J261" s="21">
        <f>IF(A261="","",IF(OR(I261="Completed",I261="Invoiced"),IFERROR(INDEX(Jobs!$AJ$5:$AJ$604,MATCH(A261,Jobs!$A$5:$A$604,0)),0),0))</f>
        <v>0</v>
      </c>
      <c r="K261" s="34">
        <f>IF(A261="","",IFERROR(INDEX(Jobs!$AD$5:$AD$604,MATCH(A261,Jobs!$A$5:$A$604,0)),0))</f>
        <v>0</v>
      </c>
      <c r="L261" s="34">
        <f>IF(A261="","",IFERROR(INDEX(Jobs!$AK$5:$AK$604,MATCH(A261,Jobs!$A$5:$A$604,0)),0))</f>
        <v>0</v>
      </c>
      <c r="M261" s="34">
        <f>IF(A261="","",IF(IFERROR(L261*1,0)&gt;0,L261,IFERROR(K261*1,0)))</f>
        <v>0</v>
      </c>
      <c r="N261" s="21">
        <f>IF(A261="","",SUMIFS(Timesheets!$X$5:$X$804,Timesheets!$G$5:$G$804,A261))</f>
        <v>0</v>
      </c>
      <c r="O261" s="21">
        <f>IF(A261="","",IF(N261&gt;0,N261,ROUND(M261*CostPerHour,2)))</f>
        <v>0</v>
      </c>
      <c r="P261" s="21">
        <f>IF(A261="","",SUMIFS('Supply Usage'!$L$5:$L$304,'Supply Usage'!$F$5:$F$304,A261))</f>
        <v>0</v>
      </c>
      <c r="Q261" s="21">
        <f>IF(A261="","",IF(P261&gt;0,P261,ROUND(M261*SuppliesPerHour,2)))</f>
        <v>0</v>
      </c>
      <c r="R261" s="21">
        <f>IF(A261="","",ROUND(IFERROR(INDEX(Jobs!$W$5:$W$604,MATCH(A261,Jobs!$A$5:$A$604,0)),0)*MileageRate,2))</f>
        <v>0</v>
      </c>
      <c r="T261" s="21">
        <f>IF(A261="","",O261+Q261+R261+IF(S261="",0,S261))</f>
        <v>0</v>
      </c>
      <c r="U261" s="21">
        <f>IF(A261="","",J261-T261)</f>
        <v>0</v>
      </c>
      <c r="V261" s="38">
        <f>IF(OR(A261="",J261=0),"",U261/J261)</f>
        <v>0</v>
      </c>
      <c r="W261" s="21">
        <f>IF(OR(A261="",M261=0,J261=0),"",U261/M261)</f>
        <v>0</v>
      </c>
      <c r="X261" s="34">
        <f>IF(OR(A261="",L261="",L261=0,K261=""),"",L261-K261)</f>
        <v>0</v>
      </c>
      <c r="Y261" s="31">
        <f>IF(A261="","",COUNTIFS($U$5:$U$604,"&gt;"&amp;U261)+COUNTIFS($U$5:U261,U261))</f>
        <v>0</v>
      </c>
      <c r="Z261" s="31">
        <f>IF(A261="","",COUNTIFS($W$5:$W$604,"&gt;"&amp;W261)+COUNTIFS($W$5:W261,W261))</f>
        <v>0</v>
      </c>
      <c r="AA261" s="39">
        <f>IF(A261="","",IF(J261=0,"",IF(U261&lt;0,"Loss - this job cost you money",IF(V261&lt;MarginFloor,"Below - margin under the floor",IF(V261&lt;TargetMargin,"Check - under target margin",IF(AND(X261&lt;&gt;"",X261&gt;0.5),"Check - ran over the estimate","OK"))))))</f>
        <v>0</v>
      </c>
    </row>
    <row r="262" spans="1:27">
      <c r="A262" s="43">
        <f>IF(IFERROR(INDEX(Jobs!$A$5:$A$604,ROW()-4),"")="","",IFERROR(INDEX(Jobs!$A$5:$A$604,ROW()-4),""))</f>
        <v>0</v>
      </c>
      <c r="B262" s="18">
        <f>IF(A262="","",IFERROR(INDEX(Jobs!$B$5:$B$604,MATCH(A262,Jobs!$A$5:$A$604,0)),""))</f>
        <v>0</v>
      </c>
      <c r="C262" s="23">
        <f>IF(B262="","",TEXT(B262,"yyyy-mm"))</f>
        <v>0</v>
      </c>
      <c r="D262" s="43">
        <f>IF(A262="","",IFERROR(INDEX(Jobs!$G$5:$G$604,MATCH(A262,Jobs!$A$5:$A$604,0)),""))</f>
        <v>0</v>
      </c>
      <c r="E262" s="23">
        <f>IF(A262="","",IFERROR(INDEX(Jobs!$H$5:$H$604,MATCH(A262,Jobs!$A$5:$A$604,0)),""))</f>
        <v>0</v>
      </c>
      <c r="F262" s="23">
        <f>IF(A262="","",IFERROR(INDEX(Jobs!$K$5:$K$604,MATCH(A262,Jobs!$A$5:$A$604,0)),""))</f>
        <v>0</v>
      </c>
      <c r="G262" s="23">
        <f>IF(A262="","",IFERROR(INDEX(Jobs!$M$5:$M$604,MATCH(A262,Jobs!$A$5:$A$604,0)),""))</f>
        <v>0</v>
      </c>
      <c r="H262" s="23">
        <f>IF(A262="","",IFERROR(INDEX(Jobs!$R$5:$R$604,MATCH(A262,Jobs!$A$5:$A$604,0)),""))</f>
        <v>0</v>
      </c>
      <c r="I262" s="39">
        <f>IF(A262="","",IFERROR(INDEX(Jobs!$P$5:$P$604,MATCH(A262,Jobs!$A$5:$A$604,0)),""))</f>
        <v>0</v>
      </c>
      <c r="J262" s="21">
        <f>IF(A262="","",IF(OR(I262="Completed",I262="Invoiced"),IFERROR(INDEX(Jobs!$AJ$5:$AJ$604,MATCH(A262,Jobs!$A$5:$A$604,0)),0),0))</f>
        <v>0</v>
      </c>
      <c r="K262" s="34">
        <f>IF(A262="","",IFERROR(INDEX(Jobs!$AD$5:$AD$604,MATCH(A262,Jobs!$A$5:$A$604,0)),0))</f>
        <v>0</v>
      </c>
      <c r="L262" s="34">
        <f>IF(A262="","",IFERROR(INDEX(Jobs!$AK$5:$AK$604,MATCH(A262,Jobs!$A$5:$A$604,0)),0))</f>
        <v>0</v>
      </c>
      <c r="M262" s="34">
        <f>IF(A262="","",IF(IFERROR(L262*1,0)&gt;0,L262,IFERROR(K262*1,0)))</f>
        <v>0</v>
      </c>
      <c r="N262" s="21">
        <f>IF(A262="","",SUMIFS(Timesheets!$X$5:$X$804,Timesheets!$G$5:$G$804,A262))</f>
        <v>0</v>
      </c>
      <c r="O262" s="21">
        <f>IF(A262="","",IF(N262&gt;0,N262,ROUND(M262*CostPerHour,2)))</f>
        <v>0</v>
      </c>
      <c r="P262" s="21">
        <f>IF(A262="","",SUMIFS('Supply Usage'!$L$5:$L$304,'Supply Usage'!$F$5:$F$304,A262))</f>
        <v>0</v>
      </c>
      <c r="Q262" s="21">
        <f>IF(A262="","",IF(P262&gt;0,P262,ROUND(M262*SuppliesPerHour,2)))</f>
        <v>0</v>
      </c>
      <c r="R262" s="21">
        <f>IF(A262="","",ROUND(IFERROR(INDEX(Jobs!$W$5:$W$604,MATCH(A262,Jobs!$A$5:$A$604,0)),0)*MileageRate,2))</f>
        <v>0</v>
      </c>
      <c r="T262" s="21">
        <f>IF(A262="","",O262+Q262+R262+IF(S262="",0,S262))</f>
        <v>0</v>
      </c>
      <c r="U262" s="21">
        <f>IF(A262="","",J262-T262)</f>
        <v>0</v>
      </c>
      <c r="V262" s="38">
        <f>IF(OR(A262="",J262=0),"",U262/J262)</f>
        <v>0</v>
      </c>
      <c r="W262" s="21">
        <f>IF(OR(A262="",M262=0,J262=0),"",U262/M262)</f>
        <v>0</v>
      </c>
      <c r="X262" s="34">
        <f>IF(OR(A262="",L262="",L262=0,K262=""),"",L262-K262)</f>
        <v>0</v>
      </c>
      <c r="Y262" s="31">
        <f>IF(A262="","",COUNTIFS($U$5:$U$604,"&gt;"&amp;U262)+COUNTIFS($U$5:U262,U262))</f>
        <v>0</v>
      </c>
      <c r="Z262" s="31">
        <f>IF(A262="","",COUNTIFS($W$5:$W$604,"&gt;"&amp;W262)+COUNTIFS($W$5:W262,W262))</f>
        <v>0</v>
      </c>
      <c r="AA262" s="39">
        <f>IF(A262="","",IF(J262=0,"",IF(U262&lt;0,"Loss - this job cost you money",IF(V262&lt;MarginFloor,"Below - margin under the floor",IF(V262&lt;TargetMargin,"Check - under target margin",IF(AND(X262&lt;&gt;"",X262&gt;0.5),"Check - ran over the estimate","OK"))))))</f>
        <v>0</v>
      </c>
    </row>
    <row r="263" spans="1:27">
      <c r="A263" s="43">
        <f>IF(IFERROR(INDEX(Jobs!$A$5:$A$604,ROW()-4),"")="","",IFERROR(INDEX(Jobs!$A$5:$A$604,ROW()-4),""))</f>
        <v>0</v>
      </c>
      <c r="B263" s="18">
        <f>IF(A263="","",IFERROR(INDEX(Jobs!$B$5:$B$604,MATCH(A263,Jobs!$A$5:$A$604,0)),""))</f>
        <v>0</v>
      </c>
      <c r="C263" s="23">
        <f>IF(B263="","",TEXT(B263,"yyyy-mm"))</f>
        <v>0</v>
      </c>
      <c r="D263" s="43">
        <f>IF(A263="","",IFERROR(INDEX(Jobs!$G$5:$G$604,MATCH(A263,Jobs!$A$5:$A$604,0)),""))</f>
        <v>0</v>
      </c>
      <c r="E263" s="23">
        <f>IF(A263="","",IFERROR(INDEX(Jobs!$H$5:$H$604,MATCH(A263,Jobs!$A$5:$A$604,0)),""))</f>
        <v>0</v>
      </c>
      <c r="F263" s="23">
        <f>IF(A263="","",IFERROR(INDEX(Jobs!$K$5:$K$604,MATCH(A263,Jobs!$A$5:$A$604,0)),""))</f>
        <v>0</v>
      </c>
      <c r="G263" s="23">
        <f>IF(A263="","",IFERROR(INDEX(Jobs!$M$5:$M$604,MATCH(A263,Jobs!$A$5:$A$604,0)),""))</f>
        <v>0</v>
      </c>
      <c r="H263" s="23">
        <f>IF(A263="","",IFERROR(INDEX(Jobs!$R$5:$R$604,MATCH(A263,Jobs!$A$5:$A$604,0)),""))</f>
        <v>0</v>
      </c>
      <c r="I263" s="39">
        <f>IF(A263="","",IFERROR(INDEX(Jobs!$P$5:$P$604,MATCH(A263,Jobs!$A$5:$A$604,0)),""))</f>
        <v>0</v>
      </c>
      <c r="J263" s="21">
        <f>IF(A263="","",IF(OR(I263="Completed",I263="Invoiced"),IFERROR(INDEX(Jobs!$AJ$5:$AJ$604,MATCH(A263,Jobs!$A$5:$A$604,0)),0),0))</f>
        <v>0</v>
      </c>
      <c r="K263" s="34">
        <f>IF(A263="","",IFERROR(INDEX(Jobs!$AD$5:$AD$604,MATCH(A263,Jobs!$A$5:$A$604,0)),0))</f>
        <v>0</v>
      </c>
      <c r="L263" s="34">
        <f>IF(A263="","",IFERROR(INDEX(Jobs!$AK$5:$AK$604,MATCH(A263,Jobs!$A$5:$A$604,0)),0))</f>
        <v>0</v>
      </c>
      <c r="M263" s="34">
        <f>IF(A263="","",IF(IFERROR(L263*1,0)&gt;0,L263,IFERROR(K263*1,0)))</f>
        <v>0</v>
      </c>
      <c r="N263" s="21">
        <f>IF(A263="","",SUMIFS(Timesheets!$X$5:$X$804,Timesheets!$G$5:$G$804,A263))</f>
        <v>0</v>
      </c>
      <c r="O263" s="21">
        <f>IF(A263="","",IF(N263&gt;0,N263,ROUND(M263*CostPerHour,2)))</f>
        <v>0</v>
      </c>
      <c r="P263" s="21">
        <f>IF(A263="","",SUMIFS('Supply Usage'!$L$5:$L$304,'Supply Usage'!$F$5:$F$304,A263))</f>
        <v>0</v>
      </c>
      <c r="Q263" s="21">
        <f>IF(A263="","",IF(P263&gt;0,P263,ROUND(M263*SuppliesPerHour,2)))</f>
        <v>0</v>
      </c>
      <c r="R263" s="21">
        <f>IF(A263="","",ROUND(IFERROR(INDEX(Jobs!$W$5:$W$604,MATCH(A263,Jobs!$A$5:$A$604,0)),0)*MileageRate,2))</f>
        <v>0</v>
      </c>
      <c r="T263" s="21">
        <f>IF(A263="","",O263+Q263+R263+IF(S263="",0,S263))</f>
        <v>0</v>
      </c>
      <c r="U263" s="21">
        <f>IF(A263="","",J263-T263)</f>
        <v>0</v>
      </c>
      <c r="V263" s="38">
        <f>IF(OR(A263="",J263=0),"",U263/J263)</f>
        <v>0</v>
      </c>
      <c r="W263" s="21">
        <f>IF(OR(A263="",M263=0,J263=0),"",U263/M263)</f>
        <v>0</v>
      </c>
      <c r="X263" s="34">
        <f>IF(OR(A263="",L263="",L263=0,K263=""),"",L263-K263)</f>
        <v>0</v>
      </c>
      <c r="Y263" s="31">
        <f>IF(A263="","",COUNTIFS($U$5:$U$604,"&gt;"&amp;U263)+COUNTIFS($U$5:U263,U263))</f>
        <v>0</v>
      </c>
      <c r="Z263" s="31">
        <f>IF(A263="","",COUNTIFS($W$5:$W$604,"&gt;"&amp;W263)+COUNTIFS($W$5:W263,W263))</f>
        <v>0</v>
      </c>
      <c r="AA263" s="39">
        <f>IF(A263="","",IF(J263=0,"",IF(U263&lt;0,"Loss - this job cost you money",IF(V263&lt;MarginFloor,"Below - margin under the floor",IF(V263&lt;TargetMargin,"Check - under target margin",IF(AND(X263&lt;&gt;"",X263&gt;0.5),"Check - ran over the estimate","OK"))))))</f>
        <v>0</v>
      </c>
    </row>
    <row r="264" spans="1:27">
      <c r="A264" s="43">
        <f>IF(IFERROR(INDEX(Jobs!$A$5:$A$604,ROW()-4),"")="","",IFERROR(INDEX(Jobs!$A$5:$A$604,ROW()-4),""))</f>
        <v>0</v>
      </c>
      <c r="B264" s="18">
        <f>IF(A264="","",IFERROR(INDEX(Jobs!$B$5:$B$604,MATCH(A264,Jobs!$A$5:$A$604,0)),""))</f>
        <v>0</v>
      </c>
      <c r="C264" s="23">
        <f>IF(B264="","",TEXT(B264,"yyyy-mm"))</f>
        <v>0</v>
      </c>
      <c r="D264" s="43">
        <f>IF(A264="","",IFERROR(INDEX(Jobs!$G$5:$G$604,MATCH(A264,Jobs!$A$5:$A$604,0)),""))</f>
        <v>0</v>
      </c>
      <c r="E264" s="23">
        <f>IF(A264="","",IFERROR(INDEX(Jobs!$H$5:$H$604,MATCH(A264,Jobs!$A$5:$A$604,0)),""))</f>
        <v>0</v>
      </c>
      <c r="F264" s="23">
        <f>IF(A264="","",IFERROR(INDEX(Jobs!$K$5:$K$604,MATCH(A264,Jobs!$A$5:$A$604,0)),""))</f>
        <v>0</v>
      </c>
      <c r="G264" s="23">
        <f>IF(A264="","",IFERROR(INDEX(Jobs!$M$5:$M$604,MATCH(A264,Jobs!$A$5:$A$604,0)),""))</f>
        <v>0</v>
      </c>
      <c r="H264" s="23">
        <f>IF(A264="","",IFERROR(INDEX(Jobs!$R$5:$R$604,MATCH(A264,Jobs!$A$5:$A$604,0)),""))</f>
        <v>0</v>
      </c>
      <c r="I264" s="39">
        <f>IF(A264="","",IFERROR(INDEX(Jobs!$P$5:$P$604,MATCH(A264,Jobs!$A$5:$A$604,0)),""))</f>
        <v>0</v>
      </c>
      <c r="J264" s="21">
        <f>IF(A264="","",IF(OR(I264="Completed",I264="Invoiced"),IFERROR(INDEX(Jobs!$AJ$5:$AJ$604,MATCH(A264,Jobs!$A$5:$A$604,0)),0),0))</f>
        <v>0</v>
      </c>
      <c r="K264" s="34">
        <f>IF(A264="","",IFERROR(INDEX(Jobs!$AD$5:$AD$604,MATCH(A264,Jobs!$A$5:$A$604,0)),0))</f>
        <v>0</v>
      </c>
      <c r="L264" s="34">
        <f>IF(A264="","",IFERROR(INDEX(Jobs!$AK$5:$AK$604,MATCH(A264,Jobs!$A$5:$A$604,0)),0))</f>
        <v>0</v>
      </c>
      <c r="M264" s="34">
        <f>IF(A264="","",IF(IFERROR(L264*1,0)&gt;0,L264,IFERROR(K264*1,0)))</f>
        <v>0</v>
      </c>
      <c r="N264" s="21">
        <f>IF(A264="","",SUMIFS(Timesheets!$X$5:$X$804,Timesheets!$G$5:$G$804,A264))</f>
        <v>0</v>
      </c>
      <c r="O264" s="21">
        <f>IF(A264="","",IF(N264&gt;0,N264,ROUND(M264*CostPerHour,2)))</f>
        <v>0</v>
      </c>
      <c r="P264" s="21">
        <f>IF(A264="","",SUMIFS('Supply Usage'!$L$5:$L$304,'Supply Usage'!$F$5:$F$304,A264))</f>
        <v>0</v>
      </c>
      <c r="Q264" s="21">
        <f>IF(A264="","",IF(P264&gt;0,P264,ROUND(M264*SuppliesPerHour,2)))</f>
        <v>0</v>
      </c>
      <c r="R264" s="21">
        <f>IF(A264="","",ROUND(IFERROR(INDEX(Jobs!$W$5:$W$604,MATCH(A264,Jobs!$A$5:$A$604,0)),0)*MileageRate,2))</f>
        <v>0</v>
      </c>
      <c r="T264" s="21">
        <f>IF(A264="","",O264+Q264+R264+IF(S264="",0,S264))</f>
        <v>0</v>
      </c>
      <c r="U264" s="21">
        <f>IF(A264="","",J264-T264)</f>
        <v>0</v>
      </c>
      <c r="V264" s="38">
        <f>IF(OR(A264="",J264=0),"",U264/J264)</f>
        <v>0</v>
      </c>
      <c r="W264" s="21">
        <f>IF(OR(A264="",M264=0,J264=0),"",U264/M264)</f>
        <v>0</v>
      </c>
      <c r="X264" s="34">
        <f>IF(OR(A264="",L264="",L264=0,K264=""),"",L264-K264)</f>
        <v>0</v>
      </c>
      <c r="Y264" s="31">
        <f>IF(A264="","",COUNTIFS($U$5:$U$604,"&gt;"&amp;U264)+COUNTIFS($U$5:U264,U264))</f>
        <v>0</v>
      </c>
      <c r="Z264" s="31">
        <f>IF(A264="","",COUNTIFS($W$5:$W$604,"&gt;"&amp;W264)+COUNTIFS($W$5:W264,W264))</f>
        <v>0</v>
      </c>
      <c r="AA264" s="39">
        <f>IF(A264="","",IF(J264=0,"",IF(U264&lt;0,"Loss - this job cost you money",IF(V264&lt;MarginFloor,"Below - margin under the floor",IF(V264&lt;TargetMargin,"Check - under target margin",IF(AND(X264&lt;&gt;"",X264&gt;0.5),"Check - ran over the estimate","OK"))))))</f>
        <v>0</v>
      </c>
    </row>
    <row r="265" spans="1:27">
      <c r="A265" s="43">
        <f>IF(IFERROR(INDEX(Jobs!$A$5:$A$604,ROW()-4),"")="","",IFERROR(INDEX(Jobs!$A$5:$A$604,ROW()-4),""))</f>
        <v>0</v>
      </c>
      <c r="B265" s="18">
        <f>IF(A265="","",IFERROR(INDEX(Jobs!$B$5:$B$604,MATCH(A265,Jobs!$A$5:$A$604,0)),""))</f>
        <v>0</v>
      </c>
      <c r="C265" s="23">
        <f>IF(B265="","",TEXT(B265,"yyyy-mm"))</f>
        <v>0</v>
      </c>
      <c r="D265" s="43">
        <f>IF(A265="","",IFERROR(INDEX(Jobs!$G$5:$G$604,MATCH(A265,Jobs!$A$5:$A$604,0)),""))</f>
        <v>0</v>
      </c>
      <c r="E265" s="23">
        <f>IF(A265="","",IFERROR(INDEX(Jobs!$H$5:$H$604,MATCH(A265,Jobs!$A$5:$A$604,0)),""))</f>
        <v>0</v>
      </c>
      <c r="F265" s="23">
        <f>IF(A265="","",IFERROR(INDEX(Jobs!$K$5:$K$604,MATCH(A265,Jobs!$A$5:$A$604,0)),""))</f>
        <v>0</v>
      </c>
      <c r="G265" s="23">
        <f>IF(A265="","",IFERROR(INDEX(Jobs!$M$5:$M$604,MATCH(A265,Jobs!$A$5:$A$604,0)),""))</f>
        <v>0</v>
      </c>
      <c r="H265" s="23">
        <f>IF(A265="","",IFERROR(INDEX(Jobs!$R$5:$R$604,MATCH(A265,Jobs!$A$5:$A$604,0)),""))</f>
        <v>0</v>
      </c>
      <c r="I265" s="39">
        <f>IF(A265="","",IFERROR(INDEX(Jobs!$P$5:$P$604,MATCH(A265,Jobs!$A$5:$A$604,0)),""))</f>
        <v>0</v>
      </c>
      <c r="J265" s="21">
        <f>IF(A265="","",IF(OR(I265="Completed",I265="Invoiced"),IFERROR(INDEX(Jobs!$AJ$5:$AJ$604,MATCH(A265,Jobs!$A$5:$A$604,0)),0),0))</f>
        <v>0</v>
      </c>
      <c r="K265" s="34">
        <f>IF(A265="","",IFERROR(INDEX(Jobs!$AD$5:$AD$604,MATCH(A265,Jobs!$A$5:$A$604,0)),0))</f>
        <v>0</v>
      </c>
      <c r="L265" s="34">
        <f>IF(A265="","",IFERROR(INDEX(Jobs!$AK$5:$AK$604,MATCH(A265,Jobs!$A$5:$A$604,0)),0))</f>
        <v>0</v>
      </c>
      <c r="M265" s="34">
        <f>IF(A265="","",IF(IFERROR(L265*1,0)&gt;0,L265,IFERROR(K265*1,0)))</f>
        <v>0</v>
      </c>
      <c r="N265" s="21">
        <f>IF(A265="","",SUMIFS(Timesheets!$X$5:$X$804,Timesheets!$G$5:$G$804,A265))</f>
        <v>0</v>
      </c>
      <c r="O265" s="21">
        <f>IF(A265="","",IF(N265&gt;0,N265,ROUND(M265*CostPerHour,2)))</f>
        <v>0</v>
      </c>
      <c r="P265" s="21">
        <f>IF(A265="","",SUMIFS('Supply Usage'!$L$5:$L$304,'Supply Usage'!$F$5:$F$304,A265))</f>
        <v>0</v>
      </c>
      <c r="Q265" s="21">
        <f>IF(A265="","",IF(P265&gt;0,P265,ROUND(M265*SuppliesPerHour,2)))</f>
        <v>0</v>
      </c>
      <c r="R265" s="21">
        <f>IF(A265="","",ROUND(IFERROR(INDEX(Jobs!$W$5:$W$604,MATCH(A265,Jobs!$A$5:$A$604,0)),0)*MileageRate,2))</f>
        <v>0</v>
      </c>
      <c r="T265" s="21">
        <f>IF(A265="","",O265+Q265+R265+IF(S265="",0,S265))</f>
        <v>0</v>
      </c>
      <c r="U265" s="21">
        <f>IF(A265="","",J265-T265)</f>
        <v>0</v>
      </c>
      <c r="V265" s="38">
        <f>IF(OR(A265="",J265=0),"",U265/J265)</f>
        <v>0</v>
      </c>
      <c r="W265" s="21">
        <f>IF(OR(A265="",M265=0,J265=0),"",U265/M265)</f>
        <v>0</v>
      </c>
      <c r="X265" s="34">
        <f>IF(OR(A265="",L265="",L265=0,K265=""),"",L265-K265)</f>
        <v>0</v>
      </c>
      <c r="Y265" s="31">
        <f>IF(A265="","",COUNTIFS($U$5:$U$604,"&gt;"&amp;U265)+COUNTIFS($U$5:U265,U265))</f>
        <v>0</v>
      </c>
      <c r="Z265" s="31">
        <f>IF(A265="","",COUNTIFS($W$5:$W$604,"&gt;"&amp;W265)+COUNTIFS($W$5:W265,W265))</f>
        <v>0</v>
      </c>
      <c r="AA265" s="39">
        <f>IF(A265="","",IF(J265=0,"",IF(U265&lt;0,"Loss - this job cost you money",IF(V265&lt;MarginFloor,"Below - margin under the floor",IF(V265&lt;TargetMargin,"Check - under target margin",IF(AND(X265&lt;&gt;"",X265&gt;0.5),"Check - ran over the estimate","OK"))))))</f>
        <v>0</v>
      </c>
    </row>
    <row r="266" spans="1:27">
      <c r="A266" s="43">
        <f>IF(IFERROR(INDEX(Jobs!$A$5:$A$604,ROW()-4),"")="","",IFERROR(INDEX(Jobs!$A$5:$A$604,ROW()-4),""))</f>
        <v>0</v>
      </c>
      <c r="B266" s="18">
        <f>IF(A266="","",IFERROR(INDEX(Jobs!$B$5:$B$604,MATCH(A266,Jobs!$A$5:$A$604,0)),""))</f>
        <v>0</v>
      </c>
      <c r="C266" s="23">
        <f>IF(B266="","",TEXT(B266,"yyyy-mm"))</f>
        <v>0</v>
      </c>
      <c r="D266" s="43">
        <f>IF(A266="","",IFERROR(INDEX(Jobs!$G$5:$G$604,MATCH(A266,Jobs!$A$5:$A$604,0)),""))</f>
        <v>0</v>
      </c>
      <c r="E266" s="23">
        <f>IF(A266="","",IFERROR(INDEX(Jobs!$H$5:$H$604,MATCH(A266,Jobs!$A$5:$A$604,0)),""))</f>
        <v>0</v>
      </c>
      <c r="F266" s="23">
        <f>IF(A266="","",IFERROR(INDEX(Jobs!$K$5:$K$604,MATCH(A266,Jobs!$A$5:$A$604,0)),""))</f>
        <v>0</v>
      </c>
      <c r="G266" s="23">
        <f>IF(A266="","",IFERROR(INDEX(Jobs!$M$5:$M$604,MATCH(A266,Jobs!$A$5:$A$604,0)),""))</f>
        <v>0</v>
      </c>
      <c r="H266" s="23">
        <f>IF(A266="","",IFERROR(INDEX(Jobs!$R$5:$R$604,MATCH(A266,Jobs!$A$5:$A$604,0)),""))</f>
        <v>0</v>
      </c>
      <c r="I266" s="39">
        <f>IF(A266="","",IFERROR(INDEX(Jobs!$P$5:$P$604,MATCH(A266,Jobs!$A$5:$A$604,0)),""))</f>
        <v>0</v>
      </c>
      <c r="J266" s="21">
        <f>IF(A266="","",IF(OR(I266="Completed",I266="Invoiced"),IFERROR(INDEX(Jobs!$AJ$5:$AJ$604,MATCH(A266,Jobs!$A$5:$A$604,0)),0),0))</f>
        <v>0</v>
      </c>
      <c r="K266" s="34">
        <f>IF(A266="","",IFERROR(INDEX(Jobs!$AD$5:$AD$604,MATCH(A266,Jobs!$A$5:$A$604,0)),0))</f>
        <v>0</v>
      </c>
      <c r="L266" s="34">
        <f>IF(A266="","",IFERROR(INDEX(Jobs!$AK$5:$AK$604,MATCH(A266,Jobs!$A$5:$A$604,0)),0))</f>
        <v>0</v>
      </c>
      <c r="M266" s="34">
        <f>IF(A266="","",IF(IFERROR(L266*1,0)&gt;0,L266,IFERROR(K266*1,0)))</f>
        <v>0</v>
      </c>
      <c r="N266" s="21">
        <f>IF(A266="","",SUMIFS(Timesheets!$X$5:$X$804,Timesheets!$G$5:$G$804,A266))</f>
        <v>0</v>
      </c>
      <c r="O266" s="21">
        <f>IF(A266="","",IF(N266&gt;0,N266,ROUND(M266*CostPerHour,2)))</f>
        <v>0</v>
      </c>
      <c r="P266" s="21">
        <f>IF(A266="","",SUMIFS('Supply Usage'!$L$5:$L$304,'Supply Usage'!$F$5:$F$304,A266))</f>
        <v>0</v>
      </c>
      <c r="Q266" s="21">
        <f>IF(A266="","",IF(P266&gt;0,P266,ROUND(M266*SuppliesPerHour,2)))</f>
        <v>0</v>
      </c>
      <c r="R266" s="21">
        <f>IF(A266="","",ROUND(IFERROR(INDEX(Jobs!$W$5:$W$604,MATCH(A266,Jobs!$A$5:$A$604,0)),0)*MileageRate,2))</f>
        <v>0</v>
      </c>
      <c r="T266" s="21">
        <f>IF(A266="","",O266+Q266+R266+IF(S266="",0,S266))</f>
        <v>0</v>
      </c>
      <c r="U266" s="21">
        <f>IF(A266="","",J266-T266)</f>
        <v>0</v>
      </c>
      <c r="V266" s="38">
        <f>IF(OR(A266="",J266=0),"",U266/J266)</f>
        <v>0</v>
      </c>
      <c r="W266" s="21">
        <f>IF(OR(A266="",M266=0,J266=0),"",U266/M266)</f>
        <v>0</v>
      </c>
      <c r="X266" s="34">
        <f>IF(OR(A266="",L266="",L266=0,K266=""),"",L266-K266)</f>
        <v>0</v>
      </c>
      <c r="Y266" s="31">
        <f>IF(A266="","",COUNTIFS($U$5:$U$604,"&gt;"&amp;U266)+COUNTIFS($U$5:U266,U266))</f>
        <v>0</v>
      </c>
      <c r="Z266" s="31">
        <f>IF(A266="","",COUNTIFS($W$5:$W$604,"&gt;"&amp;W266)+COUNTIFS($W$5:W266,W266))</f>
        <v>0</v>
      </c>
      <c r="AA266" s="39">
        <f>IF(A266="","",IF(J266=0,"",IF(U266&lt;0,"Loss - this job cost you money",IF(V266&lt;MarginFloor,"Below - margin under the floor",IF(V266&lt;TargetMargin,"Check - under target margin",IF(AND(X266&lt;&gt;"",X266&gt;0.5),"Check - ran over the estimate","OK"))))))</f>
        <v>0</v>
      </c>
    </row>
    <row r="267" spans="1:27">
      <c r="A267" s="43">
        <f>IF(IFERROR(INDEX(Jobs!$A$5:$A$604,ROW()-4),"")="","",IFERROR(INDEX(Jobs!$A$5:$A$604,ROW()-4),""))</f>
        <v>0</v>
      </c>
      <c r="B267" s="18">
        <f>IF(A267="","",IFERROR(INDEX(Jobs!$B$5:$B$604,MATCH(A267,Jobs!$A$5:$A$604,0)),""))</f>
        <v>0</v>
      </c>
      <c r="C267" s="23">
        <f>IF(B267="","",TEXT(B267,"yyyy-mm"))</f>
        <v>0</v>
      </c>
      <c r="D267" s="43">
        <f>IF(A267="","",IFERROR(INDEX(Jobs!$G$5:$G$604,MATCH(A267,Jobs!$A$5:$A$604,0)),""))</f>
        <v>0</v>
      </c>
      <c r="E267" s="23">
        <f>IF(A267="","",IFERROR(INDEX(Jobs!$H$5:$H$604,MATCH(A267,Jobs!$A$5:$A$604,0)),""))</f>
        <v>0</v>
      </c>
      <c r="F267" s="23">
        <f>IF(A267="","",IFERROR(INDEX(Jobs!$K$5:$K$604,MATCH(A267,Jobs!$A$5:$A$604,0)),""))</f>
        <v>0</v>
      </c>
      <c r="G267" s="23">
        <f>IF(A267="","",IFERROR(INDEX(Jobs!$M$5:$M$604,MATCH(A267,Jobs!$A$5:$A$604,0)),""))</f>
        <v>0</v>
      </c>
      <c r="H267" s="23">
        <f>IF(A267="","",IFERROR(INDEX(Jobs!$R$5:$R$604,MATCH(A267,Jobs!$A$5:$A$604,0)),""))</f>
        <v>0</v>
      </c>
      <c r="I267" s="39">
        <f>IF(A267="","",IFERROR(INDEX(Jobs!$P$5:$P$604,MATCH(A267,Jobs!$A$5:$A$604,0)),""))</f>
        <v>0</v>
      </c>
      <c r="J267" s="21">
        <f>IF(A267="","",IF(OR(I267="Completed",I267="Invoiced"),IFERROR(INDEX(Jobs!$AJ$5:$AJ$604,MATCH(A267,Jobs!$A$5:$A$604,0)),0),0))</f>
        <v>0</v>
      </c>
      <c r="K267" s="34">
        <f>IF(A267="","",IFERROR(INDEX(Jobs!$AD$5:$AD$604,MATCH(A267,Jobs!$A$5:$A$604,0)),0))</f>
        <v>0</v>
      </c>
      <c r="L267" s="34">
        <f>IF(A267="","",IFERROR(INDEX(Jobs!$AK$5:$AK$604,MATCH(A267,Jobs!$A$5:$A$604,0)),0))</f>
        <v>0</v>
      </c>
      <c r="M267" s="34">
        <f>IF(A267="","",IF(IFERROR(L267*1,0)&gt;0,L267,IFERROR(K267*1,0)))</f>
        <v>0</v>
      </c>
      <c r="N267" s="21">
        <f>IF(A267="","",SUMIFS(Timesheets!$X$5:$X$804,Timesheets!$G$5:$G$804,A267))</f>
        <v>0</v>
      </c>
      <c r="O267" s="21">
        <f>IF(A267="","",IF(N267&gt;0,N267,ROUND(M267*CostPerHour,2)))</f>
        <v>0</v>
      </c>
      <c r="P267" s="21">
        <f>IF(A267="","",SUMIFS('Supply Usage'!$L$5:$L$304,'Supply Usage'!$F$5:$F$304,A267))</f>
        <v>0</v>
      </c>
      <c r="Q267" s="21">
        <f>IF(A267="","",IF(P267&gt;0,P267,ROUND(M267*SuppliesPerHour,2)))</f>
        <v>0</v>
      </c>
      <c r="R267" s="21">
        <f>IF(A267="","",ROUND(IFERROR(INDEX(Jobs!$W$5:$W$604,MATCH(A267,Jobs!$A$5:$A$604,0)),0)*MileageRate,2))</f>
        <v>0</v>
      </c>
      <c r="T267" s="21">
        <f>IF(A267="","",O267+Q267+R267+IF(S267="",0,S267))</f>
        <v>0</v>
      </c>
      <c r="U267" s="21">
        <f>IF(A267="","",J267-T267)</f>
        <v>0</v>
      </c>
      <c r="V267" s="38">
        <f>IF(OR(A267="",J267=0),"",U267/J267)</f>
        <v>0</v>
      </c>
      <c r="W267" s="21">
        <f>IF(OR(A267="",M267=0,J267=0),"",U267/M267)</f>
        <v>0</v>
      </c>
      <c r="X267" s="34">
        <f>IF(OR(A267="",L267="",L267=0,K267=""),"",L267-K267)</f>
        <v>0</v>
      </c>
      <c r="Y267" s="31">
        <f>IF(A267="","",COUNTIFS($U$5:$U$604,"&gt;"&amp;U267)+COUNTIFS($U$5:U267,U267))</f>
        <v>0</v>
      </c>
      <c r="Z267" s="31">
        <f>IF(A267="","",COUNTIFS($W$5:$W$604,"&gt;"&amp;W267)+COUNTIFS($W$5:W267,W267))</f>
        <v>0</v>
      </c>
      <c r="AA267" s="39">
        <f>IF(A267="","",IF(J267=0,"",IF(U267&lt;0,"Loss - this job cost you money",IF(V267&lt;MarginFloor,"Below - margin under the floor",IF(V267&lt;TargetMargin,"Check - under target margin",IF(AND(X267&lt;&gt;"",X267&gt;0.5),"Check - ran over the estimate","OK"))))))</f>
        <v>0</v>
      </c>
    </row>
    <row r="268" spans="1:27">
      <c r="A268" s="43">
        <f>IF(IFERROR(INDEX(Jobs!$A$5:$A$604,ROW()-4),"")="","",IFERROR(INDEX(Jobs!$A$5:$A$604,ROW()-4),""))</f>
        <v>0</v>
      </c>
      <c r="B268" s="18">
        <f>IF(A268="","",IFERROR(INDEX(Jobs!$B$5:$B$604,MATCH(A268,Jobs!$A$5:$A$604,0)),""))</f>
        <v>0</v>
      </c>
      <c r="C268" s="23">
        <f>IF(B268="","",TEXT(B268,"yyyy-mm"))</f>
        <v>0</v>
      </c>
      <c r="D268" s="43">
        <f>IF(A268="","",IFERROR(INDEX(Jobs!$G$5:$G$604,MATCH(A268,Jobs!$A$5:$A$604,0)),""))</f>
        <v>0</v>
      </c>
      <c r="E268" s="23">
        <f>IF(A268="","",IFERROR(INDEX(Jobs!$H$5:$H$604,MATCH(A268,Jobs!$A$5:$A$604,0)),""))</f>
        <v>0</v>
      </c>
      <c r="F268" s="23">
        <f>IF(A268="","",IFERROR(INDEX(Jobs!$K$5:$K$604,MATCH(A268,Jobs!$A$5:$A$604,0)),""))</f>
        <v>0</v>
      </c>
      <c r="G268" s="23">
        <f>IF(A268="","",IFERROR(INDEX(Jobs!$M$5:$M$604,MATCH(A268,Jobs!$A$5:$A$604,0)),""))</f>
        <v>0</v>
      </c>
      <c r="H268" s="23">
        <f>IF(A268="","",IFERROR(INDEX(Jobs!$R$5:$R$604,MATCH(A268,Jobs!$A$5:$A$604,0)),""))</f>
        <v>0</v>
      </c>
      <c r="I268" s="39">
        <f>IF(A268="","",IFERROR(INDEX(Jobs!$P$5:$P$604,MATCH(A268,Jobs!$A$5:$A$604,0)),""))</f>
        <v>0</v>
      </c>
      <c r="J268" s="21">
        <f>IF(A268="","",IF(OR(I268="Completed",I268="Invoiced"),IFERROR(INDEX(Jobs!$AJ$5:$AJ$604,MATCH(A268,Jobs!$A$5:$A$604,0)),0),0))</f>
        <v>0</v>
      </c>
      <c r="K268" s="34">
        <f>IF(A268="","",IFERROR(INDEX(Jobs!$AD$5:$AD$604,MATCH(A268,Jobs!$A$5:$A$604,0)),0))</f>
        <v>0</v>
      </c>
      <c r="L268" s="34">
        <f>IF(A268="","",IFERROR(INDEX(Jobs!$AK$5:$AK$604,MATCH(A268,Jobs!$A$5:$A$604,0)),0))</f>
        <v>0</v>
      </c>
      <c r="M268" s="34">
        <f>IF(A268="","",IF(IFERROR(L268*1,0)&gt;0,L268,IFERROR(K268*1,0)))</f>
        <v>0</v>
      </c>
      <c r="N268" s="21">
        <f>IF(A268="","",SUMIFS(Timesheets!$X$5:$X$804,Timesheets!$G$5:$G$804,A268))</f>
        <v>0</v>
      </c>
      <c r="O268" s="21">
        <f>IF(A268="","",IF(N268&gt;0,N268,ROUND(M268*CostPerHour,2)))</f>
        <v>0</v>
      </c>
      <c r="P268" s="21">
        <f>IF(A268="","",SUMIFS('Supply Usage'!$L$5:$L$304,'Supply Usage'!$F$5:$F$304,A268))</f>
        <v>0</v>
      </c>
      <c r="Q268" s="21">
        <f>IF(A268="","",IF(P268&gt;0,P268,ROUND(M268*SuppliesPerHour,2)))</f>
        <v>0</v>
      </c>
      <c r="R268" s="21">
        <f>IF(A268="","",ROUND(IFERROR(INDEX(Jobs!$W$5:$W$604,MATCH(A268,Jobs!$A$5:$A$604,0)),0)*MileageRate,2))</f>
        <v>0</v>
      </c>
      <c r="T268" s="21">
        <f>IF(A268="","",O268+Q268+R268+IF(S268="",0,S268))</f>
        <v>0</v>
      </c>
      <c r="U268" s="21">
        <f>IF(A268="","",J268-T268)</f>
        <v>0</v>
      </c>
      <c r="V268" s="38">
        <f>IF(OR(A268="",J268=0),"",U268/J268)</f>
        <v>0</v>
      </c>
      <c r="W268" s="21">
        <f>IF(OR(A268="",M268=0,J268=0),"",U268/M268)</f>
        <v>0</v>
      </c>
      <c r="X268" s="34">
        <f>IF(OR(A268="",L268="",L268=0,K268=""),"",L268-K268)</f>
        <v>0</v>
      </c>
      <c r="Y268" s="31">
        <f>IF(A268="","",COUNTIFS($U$5:$U$604,"&gt;"&amp;U268)+COUNTIFS($U$5:U268,U268))</f>
        <v>0</v>
      </c>
      <c r="Z268" s="31">
        <f>IF(A268="","",COUNTIFS($W$5:$W$604,"&gt;"&amp;W268)+COUNTIFS($W$5:W268,W268))</f>
        <v>0</v>
      </c>
      <c r="AA268" s="39">
        <f>IF(A268="","",IF(J268=0,"",IF(U268&lt;0,"Loss - this job cost you money",IF(V268&lt;MarginFloor,"Below - margin under the floor",IF(V268&lt;TargetMargin,"Check - under target margin",IF(AND(X268&lt;&gt;"",X268&gt;0.5),"Check - ran over the estimate","OK"))))))</f>
        <v>0</v>
      </c>
    </row>
    <row r="269" spans="1:27">
      <c r="A269" s="43">
        <f>IF(IFERROR(INDEX(Jobs!$A$5:$A$604,ROW()-4),"")="","",IFERROR(INDEX(Jobs!$A$5:$A$604,ROW()-4),""))</f>
        <v>0</v>
      </c>
      <c r="B269" s="18">
        <f>IF(A269="","",IFERROR(INDEX(Jobs!$B$5:$B$604,MATCH(A269,Jobs!$A$5:$A$604,0)),""))</f>
        <v>0</v>
      </c>
      <c r="C269" s="23">
        <f>IF(B269="","",TEXT(B269,"yyyy-mm"))</f>
        <v>0</v>
      </c>
      <c r="D269" s="43">
        <f>IF(A269="","",IFERROR(INDEX(Jobs!$G$5:$G$604,MATCH(A269,Jobs!$A$5:$A$604,0)),""))</f>
        <v>0</v>
      </c>
      <c r="E269" s="23">
        <f>IF(A269="","",IFERROR(INDEX(Jobs!$H$5:$H$604,MATCH(A269,Jobs!$A$5:$A$604,0)),""))</f>
        <v>0</v>
      </c>
      <c r="F269" s="23">
        <f>IF(A269="","",IFERROR(INDEX(Jobs!$K$5:$K$604,MATCH(A269,Jobs!$A$5:$A$604,0)),""))</f>
        <v>0</v>
      </c>
      <c r="G269" s="23">
        <f>IF(A269="","",IFERROR(INDEX(Jobs!$M$5:$M$604,MATCH(A269,Jobs!$A$5:$A$604,0)),""))</f>
        <v>0</v>
      </c>
      <c r="H269" s="23">
        <f>IF(A269="","",IFERROR(INDEX(Jobs!$R$5:$R$604,MATCH(A269,Jobs!$A$5:$A$604,0)),""))</f>
        <v>0</v>
      </c>
      <c r="I269" s="39">
        <f>IF(A269="","",IFERROR(INDEX(Jobs!$P$5:$P$604,MATCH(A269,Jobs!$A$5:$A$604,0)),""))</f>
        <v>0</v>
      </c>
      <c r="J269" s="21">
        <f>IF(A269="","",IF(OR(I269="Completed",I269="Invoiced"),IFERROR(INDEX(Jobs!$AJ$5:$AJ$604,MATCH(A269,Jobs!$A$5:$A$604,0)),0),0))</f>
        <v>0</v>
      </c>
      <c r="K269" s="34">
        <f>IF(A269="","",IFERROR(INDEX(Jobs!$AD$5:$AD$604,MATCH(A269,Jobs!$A$5:$A$604,0)),0))</f>
        <v>0</v>
      </c>
      <c r="L269" s="34">
        <f>IF(A269="","",IFERROR(INDEX(Jobs!$AK$5:$AK$604,MATCH(A269,Jobs!$A$5:$A$604,0)),0))</f>
        <v>0</v>
      </c>
      <c r="M269" s="34">
        <f>IF(A269="","",IF(IFERROR(L269*1,0)&gt;0,L269,IFERROR(K269*1,0)))</f>
        <v>0</v>
      </c>
      <c r="N269" s="21">
        <f>IF(A269="","",SUMIFS(Timesheets!$X$5:$X$804,Timesheets!$G$5:$G$804,A269))</f>
        <v>0</v>
      </c>
      <c r="O269" s="21">
        <f>IF(A269="","",IF(N269&gt;0,N269,ROUND(M269*CostPerHour,2)))</f>
        <v>0</v>
      </c>
      <c r="P269" s="21">
        <f>IF(A269="","",SUMIFS('Supply Usage'!$L$5:$L$304,'Supply Usage'!$F$5:$F$304,A269))</f>
        <v>0</v>
      </c>
      <c r="Q269" s="21">
        <f>IF(A269="","",IF(P269&gt;0,P269,ROUND(M269*SuppliesPerHour,2)))</f>
        <v>0</v>
      </c>
      <c r="R269" s="21">
        <f>IF(A269="","",ROUND(IFERROR(INDEX(Jobs!$W$5:$W$604,MATCH(A269,Jobs!$A$5:$A$604,0)),0)*MileageRate,2))</f>
        <v>0</v>
      </c>
      <c r="T269" s="21">
        <f>IF(A269="","",O269+Q269+R269+IF(S269="",0,S269))</f>
        <v>0</v>
      </c>
      <c r="U269" s="21">
        <f>IF(A269="","",J269-T269)</f>
        <v>0</v>
      </c>
      <c r="V269" s="38">
        <f>IF(OR(A269="",J269=0),"",U269/J269)</f>
        <v>0</v>
      </c>
      <c r="W269" s="21">
        <f>IF(OR(A269="",M269=0,J269=0),"",U269/M269)</f>
        <v>0</v>
      </c>
      <c r="X269" s="34">
        <f>IF(OR(A269="",L269="",L269=0,K269=""),"",L269-K269)</f>
        <v>0</v>
      </c>
      <c r="Y269" s="31">
        <f>IF(A269="","",COUNTIFS($U$5:$U$604,"&gt;"&amp;U269)+COUNTIFS($U$5:U269,U269))</f>
        <v>0</v>
      </c>
      <c r="Z269" s="31">
        <f>IF(A269="","",COUNTIFS($W$5:$W$604,"&gt;"&amp;W269)+COUNTIFS($W$5:W269,W269))</f>
        <v>0</v>
      </c>
      <c r="AA269" s="39">
        <f>IF(A269="","",IF(J269=0,"",IF(U269&lt;0,"Loss - this job cost you money",IF(V269&lt;MarginFloor,"Below - margin under the floor",IF(V269&lt;TargetMargin,"Check - under target margin",IF(AND(X269&lt;&gt;"",X269&gt;0.5),"Check - ran over the estimate","OK"))))))</f>
        <v>0</v>
      </c>
    </row>
    <row r="270" spans="1:27">
      <c r="A270" s="43">
        <f>IF(IFERROR(INDEX(Jobs!$A$5:$A$604,ROW()-4),"")="","",IFERROR(INDEX(Jobs!$A$5:$A$604,ROW()-4),""))</f>
        <v>0</v>
      </c>
      <c r="B270" s="18">
        <f>IF(A270="","",IFERROR(INDEX(Jobs!$B$5:$B$604,MATCH(A270,Jobs!$A$5:$A$604,0)),""))</f>
        <v>0</v>
      </c>
      <c r="C270" s="23">
        <f>IF(B270="","",TEXT(B270,"yyyy-mm"))</f>
        <v>0</v>
      </c>
      <c r="D270" s="43">
        <f>IF(A270="","",IFERROR(INDEX(Jobs!$G$5:$G$604,MATCH(A270,Jobs!$A$5:$A$604,0)),""))</f>
        <v>0</v>
      </c>
      <c r="E270" s="23">
        <f>IF(A270="","",IFERROR(INDEX(Jobs!$H$5:$H$604,MATCH(A270,Jobs!$A$5:$A$604,0)),""))</f>
        <v>0</v>
      </c>
      <c r="F270" s="23">
        <f>IF(A270="","",IFERROR(INDEX(Jobs!$K$5:$K$604,MATCH(A270,Jobs!$A$5:$A$604,0)),""))</f>
        <v>0</v>
      </c>
      <c r="G270" s="23">
        <f>IF(A270="","",IFERROR(INDEX(Jobs!$M$5:$M$604,MATCH(A270,Jobs!$A$5:$A$604,0)),""))</f>
        <v>0</v>
      </c>
      <c r="H270" s="23">
        <f>IF(A270="","",IFERROR(INDEX(Jobs!$R$5:$R$604,MATCH(A270,Jobs!$A$5:$A$604,0)),""))</f>
        <v>0</v>
      </c>
      <c r="I270" s="39">
        <f>IF(A270="","",IFERROR(INDEX(Jobs!$P$5:$P$604,MATCH(A270,Jobs!$A$5:$A$604,0)),""))</f>
        <v>0</v>
      </c>
      <c r="J270" s="21">
        <f>IF(A270="","",IF(OR(I270="Completed",I270="Invoiced"),IFERROR(INDEX(Jobs!$AJ$5:$AJ$604,MATCH(A270,Jobs!$A$5:$A$604,0)),0),0))</f>
        <v>0</v>
      </c>
      <c r="K270" s="34">
        <f>IF(A270="","",IFERROR(INDEX(Jobs!$AD$5:$AD$604,MATCH(A270,Jobs!$A$5:$A$604,0)),0))</f>
        <v>0</v>
      </c>
      <c r="L270" s="34">
        <f>IF(A270="","",IFERROR(INDEX(Jobs!$AK$5:$AK$604,MATCH(A270,Jobs!$A$5:$A$604,0)),0))</f>
        <v>0</v>
      </c>
      <c r="M270" s="34">
        <f>IF(A270="","",IF(IFERROR(L270*1,0)&gt;0,L270,IFERROR(K270*1,0)))</f>
        <v>0</v>
      </c>
      <c r="N270" s="21">
        <f>IF(A270="","",SUMIFS(Timesheets!$X$5:$X$804,Timesheets!$G$5:$G$804,A270))</f>
        <v>0</v>
      </c>
      <c r="O270" s="21">
        <f>IF(A270="","",IF(N270&gt;0,N270,ROUND(M270*CostPerHour,2)))</f>
        <v>0</v>
      </c>
      <c r="P270" s="21">
        <f>IF(A270="","",SUMIFS('Supply Usage'!$L$5:$L$304,'Supply Usage'!$F$5:$F$304,A270))</f>
        <v>0</v>
      </c>
      <c r="Q270" s="21">
        <f>IF(A270="","",IF(P270&gt;0,P270,ROUND(M270*SuppliesPerHour,2)))</f>
        <v>0</v>
      </c>
      <c r="R270" s="21">
        <f>IF(A270="","",ROUND(IFERROR(INDEX(Jobs!$W$5:$W$604,MATCH(A270,Jobs!$A$5:$A$604,0)),0)*MileageRate,2))</f>
        <v>0</v>
      </c>
      <c r="T270" s="21">
        <f>IF(A270="","",O270+Q270+R270+IF(S270="",0,S270))</f>
        <v>0</v>
      </c>
      <c r="U270" s="21">
        <f>IF(A270="","",J270-T270)</f>
        <v>0</v>
      </c>
      <c r="V270" s="38">
        <f>IF(OR(A270="",J270=0),"",U270/J270)</f>
        <v>0</v>
      </c>
      <c r="W270" s="21">
        <f>IF(OR(A270="",M270=0,J270=0),"",U270/M270)</f>
        <v>0</v>
      </c>
      <c r="X270" s="34">
        <f>IF(OR(A270="",L270="",L270=0,K270=""),"",L270-K270)</f>
        <v>0</v>
      </c>
      <c r="Y270" s="31">
        <f>IF(A270="","",COUNTIFS($U$5:$U$604,"&gt;"&amp;U270)+COUNTIFS($U$5:U270,U270))</f>
        <v>0</v>
      </c>
      <c r="Z270" s="31">
        <f>IF(A270="","",COUNTIFS($W$5:$W$604,"&gt;"&amp;W270)+COUNTIFS($W$5:W270,W270))</f>
        <v>0</v>
      </c>
      <c r="AA270" s="39">
        <f>IF(A270="","",IF(J270=0,"",IF(U270&lt;0,"Loss - this job cost you money",IF(V270&lt;MarginFloor,"Below - margin under the floor",IF(V270&lt;TargetMargin,"Check - under target margin",IF(AND(X270&lt;&gt;"",X270&gt;0.5),"Check - ran over the estimate","OK"))))))</f>
        <v>0</v>
      </c>
    </row>
    <row r="271" spans="1:27">
      <c r="A271" s="43">
        <f>IF(IFERROR(INDEX(Jobs!$A$5:$A$604,ROW()-4),"")="","",IFERROR(INDEX(Jobs!$A$5:$A$604,ROW()-4),""))</f>
        <v>0</v>
      </c>
      <c r="B271" s="18">
        <f>IF(A271="","",IFERROR(INDEX(Jobs!$B$5:$B$604,MATCH(A271,Jobs!$A$5:$A$604,0)),""))</f>
        <v>0</v>
      </c>
      <c r="C271" s="23">
        <f>IF(B271="","",TEXT(B271,"yyyy-mm"))</f>
        <v>0</v>
      </c>
      <c r="D271" s="43">
        <f>IF(A271="","",IFERROR(INDEX(Jobs!$G$5:$G$604,MATCH(A271,Jobs!$A$5:$A$604,0)),""))</f>
        <v>0</v>
      </c>
      <c r="E271" s="23">
        <f>IF(A271="","",IFERROR(INDEX(Jobs!$H$5:$H$604,MATCH(A271,Jobs!$A$5:$A$604,0)),""))</f>
        <v>0</v>
      </c>
      <c r="F271" s="23">
        <f>IF(A271="","",IFERROR(INDEX(Jobs!$K$5:$K$604,MATCH(A271,Jobs!$A$5:$A$604,0)),""))</f>
        <v>0</v>
      </c>
      <c r="G271" s="23">
        <f>IF(A271="","",IFERROR(INDEX(Jobs!$M$5:$M$604,MATCH(A271,Jobs!$A$5:$A$604,0)),""))</f>
        <v>0</v>
      </c>
      <c r="H271" s="23">
        <f>IF(A271="","",IFERROR(INDEX(Jobs!$R$5:$R$604,MATCH(A271,Jobs!$A$5:$A$604,0)),""))</f>
        <v>0</v>
      </c>
      <c r="I271" s="39">
        <f>IF(A271="","",IFERROR(INDEX(Jobs!$P$5:$P$604,MATCH(A271,Jobs!$A$5:$A$604,0)),""))</f>
        <v>0</v>
      </c>
      <c r="J271" s="21">
        <f>IF(A271="","",IF(OR(I271="Completed",I271="Invoiced"),IFERROR(INDEX(Jobs!$AJ$5:$AJ$604,MATCH(A271,Jobs!$A$5:$A$604,0)),0),0))</f>
        <v>0</v>
      </c>
      <c r="K271" s="34">
        <f>IF(A271="","",IFERROR(INDEX(Jobs!$AD$5:$AD$604,MATCH(A271,Jobs!$A$5:$A$604,0)),0))</f>
        <v>0</v>
      </c>
      <c r="L271" s="34">
        <f>IF(A271="","",IFERROR(INDEX(Jobs!$AK$5:$AK$604,MATCH(A271,Jobs!$A$5:$A$604,0)),0))</f>
        <v>0</v>
      </c>
      <c r="M271" s="34">
        <f>IF(A271="","",IF(IFERROR(L271*1,0)&gt;0,L271,IFERROR(K271*1,0)))</f>
        <v>0</v>
      </c>
      <c r="N271" s="21">
        <f>IF(A271="","",SUMIFS(Timesheets!$X$5:$X$804,Timesheets!$G$5:$G$804,A271))</f>
        <v>0</v>
      </c>
      <c r="O271" s="21">
        <f>IF(A271="","",IF(N271&gt;0,N271,ROUND(M271*CostPerHour,2)))</f>
        <v>0</v>
      </c>
      <c r="P271" s="21">
        <f>IF(A271="","",SUMIFS('Supply Usage'!$L$5:$L$304,'Supply Usage'!$F$5:$F$304,A271))</f>
        <v>0</v>
      </c>
      <c r="Q271" s="21">
        <f>IF(A271="","",IF(P271&gt;0,P271,ROUND(M271*SuppliesPerHour,2)))</f>
        <v>0</v>
      </c>
      <c r="R271" s="21">
        <f>IF(A271="","",ROUND(IFERROR(INDEX(Jobs!$W$5:$W$604,MATCH(A271,Jobs!$A$5:$A$604,0)),0)*MileageRate,2))</f>
        <v>0</v>
      </c>
      <c r="T271" s="21">
        <f>IF(A271="","",O271+Q271+R271+IF(S271="",0,S271))</f>
        <v>0</v>
      </c>
      <c r="U271" s="21">
        <f>IF(A271="","",J271-T271)</f>
        <v>0</v>
      </c>
      <c r="V271" s="38">
        <f>IF(OR(A271="",J271=0),"",U271/J271)</f>
        <v>0</v>
      </c>
      <c r="W271" s="21">
        <f>IF(OR(A271="",M271=0,J271=0),"",U271/M271)</f>
        <v>0</v>
      </c>
      <c r="X271" s="34">
        <f>IF(OR(A271="",L271="",L271=0,K271=""),"",L271-K271)</f>
        <v>0</v>
      </c>
      <c r="Y271" s="31">
        <f>IF(A271="","",COUNTIFS($U$5:$U$604,"&gt;"&amp;U271)+COUNTIFS($U$5:U271,U271))</f>
        <v>0</v>
      </c>
      <c r="Z271" s="31">
        <f>IF(A271="","",COUNTIFS($W$5:$W$604,"&gt;"&amp;W271)+COUNTIFS($W$5:W271,W271))</f>
        <v>0</v>
      </c>
      <c r="AA271" s="39">
        <f>IF(A271="","",IF(J271=0,"",IF(U271&lt;0,"Loss - this job cost you money",IF(V271&lt;MarginFloor,"Below - margin under the floor",IF(V271&lt;TargetMargin,"Check - under target margin",IF(AND(X271&lt;&gt;"",X271&gt;0.5),"Check - ran over the estimate","OK"))))))</f>
        <v>0</v>
      </c>
    </row>
    <row r="272" spans="1:27">
      <c r="A272" s="43">
        <f>IF(IFERROR(INDEX(Jobs!$A$5:$A$604,ROW()-4),"")="","",IFERROR(INDEX(Jobs!$A$5:$A$604,ROW()-4),""))</f>
        <v>0</v>
      </c>
      <c r="B272" s="18">
        <f>IF(A272="","",IFERROR(INDEX(Jobs!$B$5:$B$604,MATCH(A272,Jobs!$A$5:$A$604,0)),""))</f>
        <v>0</v>
      </c>
      <c r="C272" s="23">
        <f>IF(B272="","",TEXT(B272,"yyyy-mm"))</f>
        <v>0</v>
      </c>
      <c r="D272" s="43">
        <f>IF(A272="","",IFERROR(INDEX(Jobs!$G$5:$G$604,MATCH(A272,Jobs!$A$5:$A$604,0)),""))</f>
        <v>0</v>
      </c>
      <c r="E272" s="23">
        <f>IF(A272="","",IFERROR(INDEX(Jobs!$H$5:$H$604,MATCH(A272,Jobs!$A$5:$A$604,0)),""))</f>
        <v>0</v>
      </c>
      <c r="F272" s="23">
        <f>IF(A272="","",IFERROR(INDEX(Jobs!$K$5:$K$604,MATCH(A272,Jobs!$A$5:$A$604,0)),""))</f>
        <v>0</v>
      </c>
      <c r="G272" s="23">
        <f>IF(A272="","",IFERROR(INDEX(Jobs!$M$5:$M$604,MATCH(A272,Jobs!$A$5:$A$604,0)),""))</f>
        <v>0</v>
      </c>
      <c r="H272" s="23">
        <f>IF(A272="","",IFERROR(INDEX(Jobs!$R$5:$R$604,MATCH(A272,Jobs!$A$5:$A$604,0)),""))</f>
        <v>0</v>
      </c>
      <c r="I272" s="39">
        <f>IF(A272="","",IFERROR(INDEX(Jobs!$P$5:$P$604,MATCH(A272,Jobs!$A$5:$A$604,0)),""))</f>
        <v>0</v>
      </c>
      <c r="J272" s="21">
        <f>IF(A272="","",IF(OR(I272="Completed",I272="Invoiced"),IFERROR(INDEX(Jobs!$AJ$5:$AJ$604,MATCH(A272,Jobs!$A$5:$A$604,0)),0),0))</f>
        <v>0</v>
      </c>
      <c r="K272" s="34">
        <f>IF(A272="","",IFERROR(INDEX(Jobs!$AD$5:$AD$604,MATCH(A272,Jobs!$A$5:$A$604,0)),0))</f>
        <v>0</v>
      </c>
      <c r="L272" s="34">
        <f>IF(A272="","",IFERROR(INDEX(Jobs!$AK$5:$AK$604,MATCH(A272,Jobs!$A$5:$A$604,0)),0))</f>
        <v>0</v>
      </c>
      <c r="M272" s="34">
        <f>IF(A272="","",IF(IFERROR(L272*1,0)&gt;0,L272,IFERROR(K272*1,0)))</f>
        <v>0</v>
      </c>
      <c r="N272" s="21">
        <f>IF(A272="","",SUMIFS(Timesheets!$X$5:$X$804,Timesheets!$G$5:$G$804,A272))</f>
        <v>0</v>
      </c>
      <c r="O272" s="21">
        <f>IF(A272="","",IF(N272&gt;0,N272,ROUND(M272*CostPerHour,2)))</f>
        <v>0</v>
      </c>
      <c r="P272" s="21">
        <f>IF(A272="","",SUMIFS('Supply Usage'!$L$5:$L$304,'Supply Usage'!$F$5:$F$304,A272))</f>
        <v>0</v>
      </c>
      <c r="Q272" s="21">
        <f>IF(A272="","",IF(P272&gt;0,P272,ROUND(M272*SuppliesPerHour,2)))</f>
        <v>0</v>
      </c>
      <c r="R272" s="21">
        <f>IF(A272="","",ROUND(IFERROR(INDEX(Jobs!$W$5:$W$604,MATCH(A272,Jobs!$A$5:$A$604,0)),0)*MileageRate,2))</f>
        <v>0</v>
      </c>
      <c r="T272" s="21">
        <f>IF(A272="","",O272+Q272+R272+IF(S272="",0,S272))</f>
        <v>0</v>
      </c>
      <c r="U272" s="21">
        <f>IF(A272="","",J272-T272)</f>
        <v>0</v>
      </c>
      <c r="V272" s="38">
        <f>IF(OR(A272="",J272=0),"",U272/J272)</f>
        <v>0</v>
      </c>
      <c r="W272" s="21">
        <f>IF(OR(A272="",M272=0,J272=0),"",U272/M272)</f>
        <v>0</v>
      </c>
      <c r="X272" s="34">
        <f>IF(OR(A272="",L272="",L272=0,K272=""),"",L272-K272)</f>
        <v>0</v>
      </c>
      <c r="Y272" s="31">
        <f>IF(A272="","",COUNTIFS($U$5:$U$604,"&gt;"&amp;U272)+COUNTIFS($U$5:U272,U272))</f>
        <v>0</v>
      </c>
      <c r="Z272" s="31">
        <f>IF(A272="","",COUNTIFS($W$5:$W$604,"&gt;"&amp;W272)+COUNTIFS($W$5:W272,W272))</f>
        <v>0</v>
      </c>
      <c r="AA272" s="39">
        <f>IF(A272="","",IF(J272=0,"",IF(U272&lt;0,"Loss - this job cost you money",IF(V272&lt;MarginFloor,"Below - margin under the floor",IF(V272&lt;TargetMargin,"Check - under target margin",IF(AND(X272&lt;&gt;"",X272&gt;0.5),"Check - ran over the estimate","OK"))))))</f>
        <v>0</v>
      </c>
    </row>
    <row r="273" spans="1:27">
      <c r="A273" s="43">
        <f>IF(IFERROR(INDEX(Jobs!$A$5:$A$604,ROW()-4),"")="","",IFERROR(INDEX(Jobs!$A$5:$A$604,ROW()-4),""))</f>
        <v>0</v>
      </c>
      <c r="B273" s="18">
        <f>IF(A273="","",IFERROR(INDEX(Jobs!$B$5:$B$604,MATCH(A273,Jobs!$A$5:$A$604,0)),""))</f>
        <v>0</v>
      </c>
      <c r="C273" s="23">
        <f>IF(B273="","",TEXT(B273,"yyyy-mm"))</f>
        <v>0</v>
      </c>
      <c r="D273" s="43">
        <f>IF(A273="","",IFERROR(INDEX(Jobs!$G$5:$G$604,MATCH(A273,Jobs!$A$5:$A$604,0)),""))</f>
        <v>0</v>
      </c>
      <c r="E273" s="23">
        <f>IF(A273="","",IFERROR(INDEX(Jobs!$H$5:$H$604,MATCH(A273,Jobs!$A$5:$A$604,0)),""))</f>
        <v>0</v>
      </c>
      <c r="F273" s="23">
        <f>IF(A273="","",IFERROR(INDEX(Jobs!$K$5:$K$604,MATCH(A273,Jobs!$A$5:$A$604,0)),""))</f>
        <v>0</v>
      </c>
      <c r="G273" s="23">
        <f>IF(A273="","",IFERROR(INDEX(Jobs!$M$5:$M$604,MATCH(A273,Jobs!$A$5:$A$604,0)),""))</f>
        <v>0</v>
      </c>
      <c r="H273" s="23">
        <f>IF(A273="","",IFERROR(INDEX(Jobs!$R$5:$R$604,MATCH(A273,Jobs!$A$5:$A$604,0)),""))</f>
        <v>0</v>
      </c>
      <c r="I273" s="39">
        <f>IF(A273="","",IFERROR(INDEX(Jobs!$P$5:$P$604,MATCH(A273,Jobs!$A$5:$A$604,0)),""))</f>
        <v>0</v>
      </c>
      <c r="J273" s="21">
        <f>IF(A273="","",IF(OR(I273="Completed",I273="Invoiced"),IFERROR(INDEX(Jobs!$AJ$5:$AJ$604,MATCH(A273,Jobs!$A$5:$A$604,0)),0),0))</f>
        <v>0</v>
      </c>
      <c r="K273" s="34">
        <f>IF(A273="","",IFERROR(INDEX(Jobs!$AD$5:$AD$604,MATCH(A273,Jobs!$A$5:$A$604,0)),0))</f>
        <v>0</v>
      </c>
      <c r="L273" s="34">
        <f>IF(A273="","",IFERROR(INDEX(Jobs!$AK$5:$AK$604,MATCH(A273,Jobs!$A$5:$A$604,0)),0))</f>
        <v>0</v>
      </c>
      <c r="M273" s="34">
        <f>IF(A273="","",IF(IFERROR(L273*1,0)&gt;0,L273,IFERROR(K273*1,0)))</f>
        <v>0</v>
      </c>
      <c r="N273" s="21">
        <f>IF(A273="","",SUMIFS(Timesheets!$X$5:$X$804,Timesheets!$G$5:$G$804,A273))</f>
        <v>0</v>
      </c>
      <c r="O273" s="21">
        <f>IF(A273="","",IF(N273&gt;0,N273,ROUND(M273*CostPerHour,2)))</f>
        <v>0</v>
      </c>
      <c r="P273" s="21">
        <f>IF(A273="","",SUMIFS('Supply Usage'!$L$5:$L$304,'Supply Usage'!$F$5:$F$304,A273))</f>
        <v>0</v>
      </c>
      <c r="Q273" s="21">
        <f>IF(A273="","",IF(P273&gt;0,P273,ROUND(M273*SuppliesPerHour,2)))</f>
        <v>0</v>
      </c>
      <c r="R273" s="21">
        <f>IF(A273="","",ROUND(IFERROR(INDEX(Jobs!$W$5:$W$604,MATCH(A273,Jobs!$A$5:$A$604,0)),0)*MileageRate,2))</f>
        <v>0</v>
      </c>
      <c r="T273" s="21">
        <f>IF(A273="","",O273+Q273+R273+IF(S273="",0,S273))</f>
        <v>0</v>
      </c>
      <c r="U273" s="21">
        <f>IF(A273="","",J273-T273)</f>
        <v>0</v>
      </c>
      <c r="V273" s="38">
        <f>IF(OR(A273="",J273=0),"",U273/J273)</f>
        <v>0</v>
      </c>
      <c r="W273" s="21">
        <f>IF(OR(A273="",M273=0,J273=0),"",U273/M273)</f>
        <v>0</v>
      </c>
      <c r="X273" s="34">
        <f>IF(OR(A273="",L273="",L273=0,K273=""),"",L273-K273)</f>
        <v>0</v>
      </c>
      <c r="Y273" s="31">
        <f>IF(A273="","",COUNTIFS($U$5:$U$604,"&gt;"&amp;U273)+COUNTIFS($U$5:U273,U273))</f>
        <v>0</v>
      </c>
      <c r="Z273" s="31">
        <f>IF(A273="","",COUNTIFS($W$5:$W$604,"&gt;"&amp;W273)+COUNTIFS($W$5:W273,W273))</f>
        <v>0</v>
      </c>
      <c r="AA273" s="39">
        <f>IF(A273="","",IF(J273=0,"",IF(U273&lt;0,"Loss - this job cost you money",IF(V273&lt;MarginFloor,"Below - margin under the floor",IF(V273&lt;TargetMargin,"Check - under target margin",IF(AND(X273&lt;&gt;"",X273&gt;0.5),"Check - ran over the estimate","OK"))))))</f>
        <v>0</v>
      </c>
    </row>
    <row r="274" spans="1:27">
      <c r="A274" s="43">
        <f>IF(IFERROR(INDEX(Jobs!$A$5:$A$604,ROW()-4),"")="","",IFERROR(INDEX(Jobs!$A$5:$A$604,ROW()-4),""))</f>
        <v>0</v>
      </c>
      <c r="B274" s="18">
        <f>IF(A274="","",IFERROR(INDEX(Jobs!$B$5:$B$604,MATCH(A274,Jobs!$A$5:$A$604,0)),""))</f>
        <v>0</v>
      </c>
      <c r="C274" s="23">
        <f>IF(B274="","",TEXT(B274,"yyyy-mm"))</f>
        <v>0</v>
      </c>
      <c r="D274" s="43">
        <f>IF(A274="","",IFERROR(INDEX(Jobs!$G$5:$G$604,MATCH(A274,Jobs!$A$5:$A$604,0)),""))</f>
        <v>0</v>
      </c>
      <c r="E274" s="23">
        <f>IF(A274="","",IFERROR(INDEX(Jobs!$H$5:$H$604,MATCH(A274,Jobs!$A$5:$A$604,0)),""))</f>
        <v>0</v>
      </c>
      <c r="F274" s="23">
        <f>IF(A274="","",IFERROR(INDEX(Jobs!$K$5:$K$604,MATCH(A274,Jobs!$A$5:$A$604,0)),""))</f>
        <v>0</v>
      </c>
      <c r="G274" s="23">
        <f>IF(A274="","",IFERROR(INDEX(Jobs!$M$5:$M$604,MATCH(A274,Jobs!$A$5:$A$604,0)),""))</f>
        <v>0</v>
      </c>
      <c r="H274" s="23">
        <f>IF(A274="","",IFERROR(INDEX(Jobs!$R$5:$R$604,MATCH(A274,Jobs!$A$5:$A$604,0)),""))</f>
        <v>0</v>
      </c>
      <c r="I274" s="39">
        <f>IF(A274="","",IFERROR(INDEX(Jobs!$P$5:$P$604,MATCH(A274,Jobs!$A$5:$A$604,0)),""))</f>
        <v>0</v>
      </c>
      <c r="J274" s="21">
        <f>IF(A274="","",IF(OR(I274="Completed",I274="Invoiced"),IFERROR(INDEX(Jobs!$AJ$5:$AJ$604,MATCH(A274,Jobs!$A$5:$A$604,0)),0),0))</f>
        <v>0</v>
      </c>
      <c r="K274" s="34">
        <f>IF(A274="","",IFERROR(INDEX(Jobs!$AD$5:$AD$604,MATCH(A274,Jobs!$A$5:$A$604,0)),0))</f>
        <v>0</v>
      </c>
      <c r="L274" s="34">
        <f>IF(A274="","",IFERROR(INDEX(Jobs!$AK$5:$AK$604,MATCH(A274,Jobs!$A$5:$A$604,0)),0))</f>
        <v>0</v>
      </c>
      <c r="M274" s="34">
        <f>IF(A274="","",IF(IFERROR(L274*1,0)&gt;0,L274,IFERROR(K274*1,0)))</f>
        <v>0</v>
      </c>
      <c r="N274" s="21">
        <f>IF(A274="","",SUMIFS(Timesheets!$X$5:$X$804,Timesheets!$G$5:$G$804,A274))</f>
        <v>0</v>
      </c>
      <c r="O274" s="21">
        <f>IF(A274="","",IF(N274&gt;0,N274,ROUND(M274*CostPerHour,2)))</f>
        <v>0</v>
      </c>
      <c r="P274" s="21">
        <f>IF(A274="","",SUMIFS('Supply Usage'!$L$5:$L$304,'Supply Usage'!$F$5:$F$304,A274))</f>
        <v>0</v>
      </c>
      <c r="Q274" s="21">
        <f>IF(A274="","",IF(P274&gt;0,P274,ROUND(M274*SuppliesPerHour,2)))</f>
        <v>0</v>
      </c>
      <c r="R274" s="21">
        <f>IF(A274="","",ROUND(IFERROR(INDEX(Jobs!$W$5:$W$604,MATCH(A274,Jobs!$A$5:$A$604,0)),0)*MileageRate,2))</f>
        <v>0</v>
      </c>
      <c r="T274" s="21">
        <f>IF(A274="","",O274+Q274+R274+IF(S274="",0,S274))</f>
        <v>0</v>
      </c>
      <c r="U274" s="21">
        <f>IF(A274="","",J274-T274)</f>
        <v>0</v>
      </c>
      <c r="V274" s="38">
        <f>IF(OR(A274="",J274=0),"",U274/J274)</f>
        <v>0</v>
      </c>
      <c r="W274" s="21">
        <f>IF(OR(A274="",M274=0,J274=0),"",U274/M274)</f>
        <v>0</v>
      </c>
      <c r="X274" s="34">
        <f>IF(OR(A274="",L274="",L274=0,K274=""),"",L274-K274)</f>
        <v>0</v>
      </c>
      <c r="Y274" s="31">
        <f>IF(A274="","",COUNTIFS($U$5:$U$604,"&gt;"&amp;U274)+COUNTIFS($U$5:U274,U274))</f>
        <v>0</v>
      </c>
      <c r="Z274" s="31">
        <f>IF(A274="","",COUNTIFS($W$5:$W$604,"&gt;"&amp;W274)+COUNTIFS($W$5:W274,W274))</f>
        <v>0</v>
      </c>
      <c r="AA274" s="39">
        <f>IF(A274="","",IF(J274=0,"",IF(U274&lt;0,"Loss - this job cost you money",IF(V274&lt;MarginFloor,"Below - margin under the floor",IF(V274&lt;TargetMargin,"Check - under target margin",IF(AND(X274&lt;&gt;"",X274&gt;0.5),"Check - ran over the estimate","OK"))))))</f>
        <v>0</v>
      </c>
    </row>
    <row r="275" spans="1:27">
      <c r="A275" s="43">
        <f>IF(IFERROR(INDEX(Jobs!$A$5:$A$604,ROW()-4),"")="","",IFERROR(INDEX(Jobs!$A$5:$A$604,ROW()-4),""))</f>
        <v>0</v>
      </c>
      <c r="B275" s="18">
        <f>IF(A275="","",IFERROR(INDEX(Jobs!$B$5:$B$604,MATCH(A275,Jobs!$A$5:$A$604,0)),""))</f>
        <v>0</v>
      </c>
      <c r="C275" s="23">
        <f>IF(B275="","",TEXT(B275,"yyyy-mm"))</f>
        <v>0</v>
      </c>
      <c r="D275" s="43">
        <f>IF(A275="","",IFERROR(INDEX(Jobs!$G$5:$G$604,MATCH(A275,Jobs!$A$5:$A$604,0)),""))</f>
        <v>0</v>
      </c>
      <c r="E275" s="23">
        <f>IF(A275="","",IFERROR(INDEX(Jobs!$H$5:$H$604,MATCH(A275,Jobs!$A$5:$A$604,0)),""))</f>
        <v>0</v>
      </c>
      <c r="F275" s="23">
        <f>IF(A275="","",IFERROR(INDEX(Jobs!$K$5:$K$604,MATCH(A275,Jobs!$A$5:$A$604,0)),""))</f>
        <v>0</v>
      </c>
      <c r="G275" s="23">
        <f>IF(A275="","",IFERROR(INDEX(Jobs!$M$5:$M$604,MATCH(A275,Jobs!$A$5:$A$604,0)),""))</f>
        <v>0</v>
      </c>
      <c r="H275" s="23">
        <f>IF(A275="","",IFERROR(INDEX(Jobs!$R$5:$R$604,MATCH(A275,Jobs!$A$5:$A$604,0)),""))</f>
        <v>0</v>
      </c>
      <c r="I275" s="39">
        <f>IF(A275="","",IFERROR(INDEX(Jobs!$P$5:$P$604,MATCH(A275,Jobs!$A$5:$A$604,0)),""))</f>
        <v>0</v>
      </c>
      <c r="J275" s="21">
        <f>IF(A275="","",IF(OR(I275="Completed",I275="Invoiced"),IFERROR(INDEX(Jobs!$AJ$5:$AJ$604,MATCH(A275,Jobs!$A$5:$A$604,0)),0),0))</f>
        <v>0</v>
      </c>
      <c r="K275" s="34">
        <f>IF(A275="","",IFERROR(INDEX(Jobs!$AD$5:$AD$604,MATCH(A275,Jobs!$A$5:$A$604,0)),0))</f>
        <v>0</v>
      </c>
      <c r="L275" s="34">
        <f>IF(A275="","",IFERROR(INDEX(Jobs!$AK$5:$AK$604,MATCH(A275,Jobs!$A$5:$A$604,0)),0))</f>
        <v>0</v>
      </c>
      <c r="M275" s="34">
        <f>IF(A275="","",IF(IFERROR(L275*1,0)&gt;0,L275,IFERROR(K275*1,0)))</f>
        <v>0</v>
      </c>
      <c r="N275" s="21">
        <f>IF(A275="","",SUMIFS(Timesheets!$X$5:$X$804,Timesheets!$G$5:$G$804,A275))</f>
        <v>0</v>
      </c>
      <c r="O275" s="21">
        <f>IF(A275="","",IF(N275&gt;0,N275,ROUND(M275*CostPerHour,2)))</f>
        <v>0</v>
      </c>
      <c r="P275" s="21">
        <f>IF(A275="","",SUMIFS('Supply Usage'!$L$5:$L$304,'Supply Usage'!$F$5:$F$304,A275))</f>
        <v>0</v>
      </c>
      <c r="Q275" s="21">
        <f>IF(A275="","",IF(P275&gt;0,P275,ROUND(M275*SuppliesPerHour,2)))</f>
        <v>0</v>
      </c>
      <c r="R275" s="21">
        <f>IF(A275="","",ROUND(IFERROR(INDEX(Jobs!$W$5:$W$604,MATCH(A275,Jobs!$A$5:$A$604,0)),0)*MileageRate,2))</f>
        <v>0</v>
      </c>
      <c r="T275" s="21">
        <f>IF(A275="","",O275+Q275+R275+IF(S275="",0,S275))</f>
        <v>0</v>
      </c>
      <c r="U275" s="21">
        <f>IF(A275="","",J275-T275)</f>
        <v>0</v>
      </c>
      <c r="V275" s="38">
        <f>IF(OR(A275="",J275=0),"",U275/J275)</f>
        <v>0</v>
      </c>
      <c r="W275" s="21">
        <f>IF(OR(A275="",M275=0,J275=0),"",U275/M275)</f>
        <v>0</v>
      </c>
      <c r="X275" s="34">
        <f>IF(OR(A275="",L275="",L275=0,K275=""),"",L275-K275)</f>
        <v>0</v>
      </c>
      <c r="Y275" s="31">
        <f>IF(A275="","",COUNTIFS($U$5:$U$604,"&gt;"&amp;U275)+COUNTIFS($U$5:U275,U275))</f>
        <v>0</v>
      </c>
      <c r="Z275" s="31">
        <f>IF(A275="","",COUNTIFS($W$5:$W$604,"&gt;"&amp;W275)+COUNTIFS($W$5:W275,W275))</f>
        <v>0</v>
      </c>
      <c r="AA275" s="39">
        <f>IF(A275="","",IF(J275=0,"",IF(U275&lt;0,"Loss - this job cost you money",IF(V275&lt;MarginFloor,"Below - margin under the floor",IF(V275&lt;TargetMargin,"Check - under target margin",IF(AND(X275&lt;&gt;"",X275&gt;0.5),"Check - ran over the estimate","OK"))))))</f>
        <v>0</v>
      </c>
    </row>
    <row r="276" spans="1:27">
      <c r="A276" s="43">
        <f>IF(IFERROR(INDEX(Jobs!$A$5:$A$604,ROW()-4),"")="","",IFERROR(INDEX(Jobs!$A$5:$A$604,ROW()-4),""))</f>
        <v>0</v>
      </c>
      <c r="B276" s="18">
        <f>IF(A276="","",IFERROR(INDEX(Jobs!$B$5:$B$604,MATCH(A276,Jobs!$A$5:$A$604,0)),""))</f>
        <v>0</v>
      </c>
      <c r="C276" s="23">
        <f>IF(B276="","",TEXT(B276,"yyyy-mm"))</f>
        <v>0</v>
      </c>
      <c r="D276" s="43">
        <f>IF(A276="","",IFERROR(INDEX(Jobs!$G$5:$G$604,MATCH(A276,Jobs!$A$5:$A$604,0)),""))</f>
        <v>0</v>
      </c>
      <c r="E276" s="23">
        <f>IF(A276="","",IFERROR(INDEX(Jobs!$H$5:$H$604,MATCH(A276,Jobs!$A$5:$A$604,0)),""))</f>
        <v>0</v>
      </c>
      <c r="F276" s="23">
        <f>IF(A276="","",IFERROR(INDEX(Jobs!$K$5:$K$604,MATCH(A276,Jobs!$A$5:$A$604,0)),""))</f>
        <v>0</v>
      </c>
      <c r="G276" s="23">
        <f>IF(A276="","",IFERROR(INDEX(Jobs!$M$5:$M$604,MATCH(A276,Jobs!$A$5:$A$604,0)),""))</f>
        <v>0</v>
      </c>
      <c r="H276" s="23">
        <f>IF(A276="","",IFERROR(INDEX(Jobs!$R$5:$R$604,MATCH(A276,Jobs!$A$5:$A$604,0)),""))</f>
        <v>0</v>
      </c>
      <c r="I276" s="39">
        <f>IF(A276="","",IFERROR(INDEX(Jobs!$P$5:$P$604,MATCH(A276,Jobs!$A$5:$A$604,0)),""))</f>
        <v>0</v>
      </c>
      <c r="J276" s="21">
        <f>IF(A276="","",IF(OR(I276="Completed",I276="Invoiced"),IFERROR(INDEX(Jobs!$AJ$5:$AJ$604,MATCH(A276,Jobs!$A$5:$A$604,0)),0),0))</f>
        <v>0</v>
      </c>
      <c r="K276" s="34">
        <f>IF(A276="","",IFERROR(INDEX(Jobs!$AD$5:$AD$604,MATCH(A276,Jobs!$A$5:$A$604,0)),0))</f>
        <v>0</v>
      </c>
      <c r="L276" s="34">
        <f>IF(A276="","",IFERROR(INDEX(Jobs!$AK$5:$AK$604,MATCH(A276,Jobs!$A$5:$A$604,0)),0))</f>
        <v>0</v>
      </c>
      <c r="M276" s="34">
        <f>IF(A276="","",IF(IFERROR(L276*1,0)&gt;0,L276,IFERROR(K276*1,0)))</f>
        <v>0</v>
      </c>
      <c r="N276" s="21">
        <f>IF(A276="","",SUMIFS(Timesheets!$X$5:$X$804,Timesheets!$G$5:$G$804,A276))</f>
        <v>0</v>
      </c>
      <c r="O276" s="21">
        <f>IF(A276="","",IF(N276&gt;0,N276,ROUND(M276*CostPerHour,2)))</f>
        <v>0</v>
      </c>
      <c r="P276" s="21">
        <f>IF(A276="","",SUMIFS('Supply Usage'!$L$5:$L$304,'Supply Usage'!$F$5:$F$304,A276))</f>
        <v>0</v>
      </c>
      <c r="Q276" s="21">
        <f>IF(A276="","",IF(P276&gt;0,P276,ROUND(M276*SuppliesPerHour,2)))</f>
        <v>0</v>
      </c>
      <c r="R276" s="21">
        <f>IF(A276="","",ROUND(IFERROR(INDEX(Jobs!$W$5:$W$604,MATCH(A276,Jobs!$A$5:$A$604,0)),0)*MileageRate,2))</f>
        <v>0</v>
      </c>
      <c r="T276" s="21">
        <f>IF(A276="","",O276+Q276+R276+IF(S276="",0,S276))</f>
        <v>0</v>
      </c>
      <c r="U276" s="21">
        <f>IF(A276="","",J276-T276)</f>
        <v>0</v>
      </c>
      <c r="V276" s="38">
        <f>IF(OR(A276="",J276=0),"",U276/J276)</f>
        <v>0</v>
      </c>
      <c r="W276" s="21">
        <f>IF(OR(A276="",M276=0,J276=0),"",U276/M276)</f>
        <v>0</v>
      </c>
      <c r="X276" s="34">
        <f>IF(OR(A276="",L276="",L276=0,K276=""),"",L276-K276)</f>
        <v>0</v>
      </c>
      <c r="Y276" s="31">
        <f>IF(A276="","",COUNTIFS($U$5:$U$604,"&gt;"&amp;U276)+COUNTIFS($U$5:U276,U276))</f>
        <v>0</v>
      </c>
      <c r="Z276" s="31">
        <f>IF(A276="","",COUNTIFS($W$5:$W$604,"&gt;"&amp;W276)+COUNTIFS($W$5:W276,W276))</f>
        <v>0</v>
      </c>
      <c r="AA276" s="39">
        <f>IF(A276="","",IF(J276=0,"",IF(U276&lt;0,"Loss - this job cost you money",IF(V276&lt;MarginFloor,"Below - margin under the floor",IF(V276&lt;TargetMargin,"Check - under target margin",IF(AND(X276&lt;&gt;"",X276&gt;0.5),"Check - ran over the estimate","OK"))))))</f>
        <v>0</v>
      </c>
    </row>
    <row r="277" spans="1:27">
      <c r="A277" s="43">
        <f>IF(IFERROR(INDEX(Jobs!$A$5:$A$604,ROW()-4),"")="","",IFERROR(INDEX(Jobs!$A$5:$A$604,ROW()-4),""))</f>
        <v>0</v>
      </c>
      <c r="B277" s="18">
        <f>IF(A277="","",IFERROR(INDEX(Jobs!$B$5:$B$604,MATCH(A277,Jobs!$A$5:$A$604,0)),""))</f>
        <v>0</v>
      </c>
      <c r="C277" s="23">
        <f>IF(B277="","",TEXT(B277,"yyyy-mm"))</f>
        <v>0</v>
      </c>
      <c r="D277" s="43">
        <f>IF(A277="","",IFERROR(INDEX(Jobs!$G$5:$G$604,MATCH(A277,Jobs!$A$5:$A$604,0)),""))</f>
        <v>0</v>
      </c>
      <c r="E277" s="23">
        <f>IF(A277="","",IFERROR(INDEX(Jobs!$H$5:$H$604,MATCH(A277,Jobs!$A$5:$A$604,0)),""))</f>
        <v>0</v>
      </c>
      <c r="F277" s="23">
        <f>IF(A277="","",IFERROR(INDEX(Jobs!$K$5:$K$604,MATCH(A277,Jobs!$A$5:$A$604,0)),""))</f>
        <v>0</v>
      </c>
      <c r="G277" s="23">
        <f>IF(A277="","",IFERROR(INDEX(Jobs!$M$5:$M$604,MATCH(A277,Jobs!$A$5:$A$604,0)),""))</f>
        <v>0</v>
      </c>
      <c r="H277" s="23">
        <f>IF(A277="","",IFERROR(INDEX(Jobs!$R$5:$R$604,MATCH(A277,Jobs!$A$5:$A$604,0)),""))</f>
        <v>0</v>
      </c>
      <c r="I277" s="39">
        <f>IF(A277="","",IFERROR(INDEX(Jobs!$P$5:$P$604,MATCH(A277,Jobs!$A$5:$A$604,0)),""))</f>
        <v>0</v>
      </c>
      <c r="J277" s="21">
        <f>IF(A277="","",IF(OR(I277="Completed",I277="Invoiced"),IFERROR(INDEX(Jobs!$AJ$5:$AJ$604,MATCH(A277,Jobs!$A$5:$A$604,0)),0),0))</f>
        <v>0</v>
      </c>
      <c r="K277" s="34">
        <f>IF(A277="","",IFERROR(INDEX(Jobs!$AD$5:$AD$604,MATCH(A277,Jobs!$A$5:$A$604,0)),0))</f>
        <v>0</v>
      </c>
      <c r="L277" s="34">
        <f>IF(A277="","",IFERROR(INDEX(Jobs!$AK$5:$AK$604,MATCH(A277,Jobs!$A$5:$A$604,0)),0))</f>
        <v>0</v>
      </c>
      <c r="M277" s="34">
        <f>IF(A277="","",IF(IFERROR(L277*1,0)&gt;0,L277,IFERROR(K277*1,0)))</f>
        <v>0</v>
      </c>
      <c r="N277" s="21">
        <f>IF(A277="","",SUMIFS(Timesheets!$X$5:$X$804,Timesheets!$G$5:$G$804,A277))</f>
        <v>0</v>
      </c>
      <c r="O277" s="21">
        <f>IF(A277="","",IF(N277&gt;0,N277,ROUND(M277*CostPerHour,2)))</f>
        <v>0</v>
      </c>
      <c r="P277" s="21">
        <f>IF(A277="","",SUMIFS('Supply Usage'!$L$5:$L$304,'Supply Usage'!$F$5:$F$304,A277))</f>
        <v>0</v>
      </c>
      <c r="Q277" s="21">
        <f>IF(A277="","",IF(P277&gt;0,P277,ROUND(M277*SuppliesPerHour,2)))</f>
        <v>0</v>
      </c>
      <c r="R277" s="21">
        <f>IF(A277="","",ROUND(IFERROR(INDEX(Jobs!$W$5:$W$604,MATCH(A277,Jobs!$A$5:$A$604,0)),0)*MileageRate,2))</f>
        <v>0</v>
      </c>
      <c r="T277" s="21">
        <f>IF(A277="","",O277+Q277+R277+IF(S277="",0,S277))</f>
        <v>0</v>
      </c>
      <c r="U277" s="21">
        <f>IF(A277="","",J277-T277)</f>
        <v>0</v>
      </c>
      <c r="V277" s="38">
        <f>IF(OR(A277="",J277=0),"",U277/J277)</f>
        <v>0</v>
      </c>
      <c r="W277" s="21">
        <f>IF(OR(A277="",M277=0,J277=0),"",U277/M277)</f>
        <v>0</v>
      </c>
      <c r="X277" s="34">
        <f>IF(OR(A277="",L277="",L277=0,K277=""),"",L277-K277)</f>
        <v>0</v>
      </c>
      <c r="Y277" s="31">
        <f>IF(A277="","",COUNTIFS($U$5:$U$604,"&gt;"&amp;U277)+COUNTIFS($U$5:U277,U277))</f>
        <v>0</v>
      </c>
      <c r="Z277" s="31">
        <f>IF(A277="","",COUNTIFS($W$5:$W$604,"&gt;"&amp;W277)+COUNTIFS($W$5:W277,W277))</f>
        <v>0</v>
      </c>
      <c r="AA277" s="39">
        <f>IF(A277="","",IF(J277=0,"",IF(U277&lt;0,"Loss - this job cost you money",IF(V277&lt;MarginFloor,"Below - margin under the floor",IF(V277&lt;TargetMargin,"Check - under target margin",IF(AND(X277&lt;&gt;"",X277&gt;0.5),"Check - ran over the estimate","OK"))))))</f>
        <v>0</v>
      </c>
    </row>
    <row r="278" spans="1:27">
      <c r="A278" s="43">
        <f>IF(IFERROR(INDEX(Jobs!$A$5:$A$604,ROW()-4),"")="","",IFERROR(INDEX(Jobs!$A$5:$A$604,ROW()-4),""))</f>
        <v>0</v>
      </c>
      <c r="B278" s="18">
        <f>IF(A278="","",IFERROR(INDEX(Jobs!$B$5:$B$604,MATCH(A278,Jobs!$A$5:$A$604,0)),""))</f>
        <v>0</v>
      </c>
      <c r="C278" s="23">
        <f>IF(B278="","",TEXT(B278,"yyyy-mm"))</f>
        <v>0</v>
      </c>
      <c r="D278" s="43">
        <f>IF(A278="","",IFERROR(INDEX(Jobs!$G$5:$G$604,MATCH(A278,Jobs!$A$5:$A$604,0)),""))</f>
        <v>0</v>
      </c>
      <c r="E278" s="23">
        <f>IF(A278="","",IFERROR(INDEX(Jobs!$H$5:$H$604,MATCH(A278,Jobs!$A$5:$A$604,0)),""))</f>
        <v>0</v>
      </c>
      <c r="F278" s="23">
        <f>IF(A278="","",IFERROR(INDEX(Jobs!$K$5:$K$604,MATCH(A278,Jobs!$A$5:$A$604,0)),""))</f>
        <v>0</v>
      </c>
      <c r="G278" s="23">
        <f>IF(A278="","",IFERROR(INDEX(Jobs!$M$5:$M$604,MATCH(A278,Jobs!$A$5:$A$604,0)),""))</f>
        <v>0</v>
      </c>
      <c r="H278" s="23">
        <f>IF(A278="","",IFERROR(INDEX(Jobs!$R$5:$R$604,MATCH(A278,Jobs!$A$5:$A$604,0)),""))</f>
        <v>0</v>
      </c>
      <c r="I278" s="39">
        <f>IF(A278="","",IFERROR(INDEX(Jobs!$P$5:$P$604,MATCH(A278,Jobs!$A$5:$A$604,0)),""))</f>
        <v>0</v>
      </c>
      <c r="J278" s="21">
        <f>IF(A278="","",IF(OR(I278="Completed",I278="Invoiced"),IFERROR(INDEX(Jobs!$AJ$5:$AJ$604,MATCH(A278,Jobs!$A$5:$A$604,0)),0),0))</f>
        <v>0</v>
      </c>
      <c r="K278" s="34">
        <f>IF(A278="","",IFERROR(INDEX(Jobs!$AD$5:$AD$604,MATCH(A278,Jobs!$A$5:$A$604,0)),0))</f>
        <v>0</v>
      </c>
      <c r="L278" s="34">
        <f>IF(A278="","",IFERROR(INDEX(Jobs!$AK$5:$AK$604,MATCH(A278,Jobs!$A$5:$A$604,0)),0))</f>
        <v>0</v>
      </c>
      <c r="M278" s="34">
        <f>IF(A278="","",IF(IFERROR(L278*1,0)&gt;0,L278,IFERROR(K278*1,0)))</f>
        <v>0</v>
      </c>
      <c r="N278" s="21">
        <f>IF(A278="","",SUMIFS(Timesheets!$X$5:$X$804,Timesheets!$G$5:$G$804,A278))</f>
        <v>0</v>
      </c>
      <c r="O278" s="21">
        <f>IF(A278="","",IF(N278&gt;0,N278,ROUND(M278*CostPerHour,2)))</f>
        <v>0</v>
      </c>
      <c r="P278" s="21">
        <f>IF(A278="","",SUMIFS('Supply Usage'!$L$5:$L$304,'Supply Usage'!$F$5:$F$304,A278))</f>
        <v>0</v>
      </c>
      <c r="Q278" s="21">
        <f>IF(A278="","",IF(P278&gt;0,P278,ROUND(M278*SuppliesPerHour,2)))</f>
        <v>0</v>
      </c>
      <c r="R278" s="21">
        <f>IF(A278="","",ROUND(IFERROR(INDEX(Jobs!$W$5:$W$604,MATCH(A278,Jobs!$A$5:$A$604,0)),0)*MileageRate,2))</f>
        <v>0</v>
      </c>
      <c r="T278" s="21">
        <f>IF(A278="","",O278+Q278+R278+IF(S278="",0,S278))</f>
        <v>0</v>
      </c>
      <c r="U278" s="21">
        <f>IF(A278="","",J278-T278)</f>
        <v>0</v>
      </c>
      <c r="V278" s="38">
        <f>IF(OR(A278="",J278=0),"",U278/J278)</f>
        <v>0</v>
      </c>
      <c r="W278" s="21">
        <f>IF(OR(A278="",M278=0,J278=0),"",U278/M278)</f>
        <v>0</v>
      </c>
      <c r="X278" s="34">
        <f>IF(OR(A278="",L278="",L278=0,K278=""),"",L278-K278)</f>
        <v>0</v>
      </c>
      <c r="Y278" s="31">
        <f>IF(A278="","",COUNTIFS($U$5:$U$604,"&gt;"&amp;U278)+COUNTIFS($U$5:U278,U278))</f>
        <v>0</v>
      </c>
      <c r="Z278" s="31">
        <f>IF(A278="","",COUNTIFS($W$5:$W$604,"&gt;"&amp;W278)+COUNTIFS($W$5:W278,W278))</f>
        <v>0</v>
      </c>
      <c r="AA278" s="39">
        <f>IF(A278="","",IF(J278=0,"",IF(U278&lt;0,"Loss - this job cost you money",IF(V278&lt;MarginFloor,"Below - margin under the floor",IF(V278&lt;TargetMargin,"Check - under target margin",IF(AND(X278&lt;&gt;"",X278&gt;0.5),"Check - ran over the estimate","OK"))))))</f>
        <v>0</v>
      </c>
    </row>
    <row r="279" spans="1:27">
      <c r="A279" s="43">
        <f>IF(IFERROR(INDEX(Jobs!$A$5:$A$604,ROW()-4),"")="","",IFERROR(INDEX(Jobs!$A$5:$A$604,ROW()-4),""))</f>
        <v>0</v>
      </c>
      <c r="B279" s="18">
        <f>IF(A279="","",IFERROR(INDEX(Jobs!$B$5:$B$604,MATCH(A279,Jobs!$A$5:$A$604,0)),""))</f>
        <v>0</v>
      </c>
      <c r="C279" s="23">
        <f>IF(B279="","",TEXT(B279,"yyyy-mm"))</f>
        <v>0</v>
      </c>
      <c r="D279" s="43">
        <f>IF(A279="","",IFERROR(INDEX(Jobs!$G$5:$G$604,MATCH(A279,Jobs!$A$5:$A$604,0)),""))</f>
        <v>0</v>
      </c>
      <c r="E279" s="23">
        <f>IF(A279="","",IFERROR(INDEX(Jobs!$H$5:$H$604,MATCH(A279,Jobs!$A$5:$A$604,0)),""))</f>
        <v>0</v>
      </c>
      <c r="F279" s="23">
        <f>IF(A279="","",IFERROR(INDEX(Jobs!$K$5:$K$604,MATCH(A279,Jobs!$A$5:$A$604,0)),""))</f>
        <v>0</v>
      </c>
      <c r="G279" s="23">
        <f>IF(A279="","",IFERROR(INDEX(Jobs!$M$5:$M$604,MATCH(A279,Jobs!$A$5:$A$604,0)),""))</f>
        <v>0</v>
      </c>
      <c r="H279" s="23">
        <f>IF(A279="","",IFERROR(INDEX(Jobs!$R$5:$R$604,MATCH(A279,Jobs!$A$5:$A$604,0)),""))</f>
        <v>0</v>
      </c>
      <c r="I279" s="39">
        <f>IF(A279="","",IFERROR(INDEX(Jobs!$P$5:$P$604,MATCH(A279,Jobs!$A$5:$A$604,0)),""))</f>
        <v>0</v>
      </c>
      <c r="J279" s="21">
        <f>IF(A279="","",IF(OR(I279="Completed",I279="Invoiced"),IFERROR(INDEX(Jobs!$AJ$5:$AJ$604,MATCH(A279,Jobs!$A$5:$A$604,0)),0),0))</f>
        <v>0</v>
      </c>
      <c r="K279" s="34">
        <f>IF(A279="","",IFERROR(INDEX(Jobs!$AD$5:$AD$604,MATCH(A279,Jobs!$A$5:$A$604,0)),0))</f>
        <v>0</v>
      </c>
      <c r="L279" s="34">
        <f>IF(A279="","",IFERROR(INDEX(Jobs!$AK$5:$AK$604,MATCH(A279,Jobs!$A$5:$A$604,0)),0))</f>
        <v>0</v>
      </c>
      <c r="M279" s="34">
        <f>IF(A279="","",IF(IFERROR(L279*1,0)&gt;0,L279,IFERROR(K279*1,0)))</f>
        <v>0</v>
      </c>
      <c r="N279" s="21">
        <f>IF(A279="","",SUMIFS(Timesheets!$X$5:$X$804,Timesheets!$G$5:$G$804,A279))</f>
        <v>0</v>
      </c>
      <c r="O279" s="21">
        <f>IF(A279="","",IF(N279&gt;0,N279,ROUND(M279*CostPerHour,2)))</f>
        <v>0</v>
      </c>
      <c r="P279" s="21">
        <f>IF(A279="","",SUMIFS('Supply Usage'!$L$5:$L$304,'Supply Usage'!$F$5:$F$304,A279))</f>
        <v>0</v>
      </c>
      <c r="Q279" s="21">
        <f>IF(A279="","",IF(P279&gt;0,P279,ROUND(M279*SuppliesPerHour,2)))</f>
        <v>0</v>
      </c>
      <c r="R279" s="21">
        <f>IF(A279="","",ROUND(IFERROR(INDEX(Jobs!$W$5:$W$604,MATCH(A279,Jobs!$A$5:$A$604,0)),0)*MileageRate,2))</f>
        <v>0</v>
      </c>
      <c r="T279" s="21">
        <f>IF(A279="","",O279+Q279+R279+IF(S279="",0,S279))</f>
        <v>0</v>
      </c>
      <c r="U279" s="21">
        <f>IF(A279="","",J279-T279)</f>
        <v>0</v>
      </c>
      <c r="V279" s="38">
        <f>IF(OR(A279="",J279=0),"",U279/J279)</f>
        <v>0</v>
      </c>
      <c r="W279" s="21">
        <f>IF(OR(A279="",M279=0,J279=0),"",U279/M279)</f>
        <v>0</v>
      </c>
      <c r="X279" s="34">
        <f>IF(OR(A279="",L279="",L279=0,K279=""),"",L279-K279)</f>
        <v>0</v>
      </c>
      <c r="Y279" s="31">
        <f>IF(A279="","",COUNTIFS($U$5:$U$604,"&gt;"&amp;U279)+COUNTIFS($U$5:U279,U279))</f>
        <v>0</v>
      </c>
      <c r="Z279" s="31">
        <f>IF(A279="","",COUNTIFS($W$5:$W$604,"&gt;"&amp;W279)+COUNTIFS($W$5:W279,W279))</f>
        <v>0</v>
      </c>
      <c r="AA279" s="39">
        <f>IF(A279="","",IF(J279=0,"",IF(U279&lt;0,"Loss - this job cost you money",IF(V279&lt;MarginFloor,"Below - margin under the floor",IF(V279&lt;TargetMargin,"Check - under target margin",IF(AND(X279&lt;&gt;"",X279&gt;0.5),"Check - ran over the estimate","OK"))))))</f>
        <v>0</v>
      </c>
    </row>
    <row r="280" spans="1:27">
      <c r="A280" s="43">
        <f>IF(IFERROR(INDEX(Jobs!$A$5:$A$604,ROW()-4),"")="","",IFERROR(INDEX(Jobs!$A$5:$A$604,ROW()-4),""))</f>
        <v>0</v>
      </c>
      <c r="B280" s="18">
        <f>IF(A280="","",IFERROR(INDEX(Jobs!$B$5:$B$604,MATCH(A280,Jobs!$A$5:$A$604,0)),""))</f>
        <v>0</v>
      </c>
      <c r="C280" s="23">
        <f>IF(B280="","",TEXT(B280,"yyyy-mm"))</f>
        <v>0</v>
      </c>
      <c r="D280" s="43">
        <f>IF(A280="","",IFERROR(INDEX(Jobs!$G$5:$G$604,MATCH(A280,Jobs!$A$5:$A$604,0)),""))</f>
        <v>0</v>
      </c>
      <c r="E280" s="23">
        <f>IF(A280="","",IFERROR(INDEX(Jobs!$H$5:$H$604,MATCH(A280,Jobs!$A$5:$A$604,0)),""))</f>
        <v>0</v>
      </c>
      <c r="F280" s="23">
        <f>IF(A280="","",IFERROR(INDEX(Jobs!$K$5:$K$604,MATCH(A280,Jobs!$A$5:$A$604,0)),""))</f>
        <v>0</v>
      </c>
      <c r="G280" s="23">
        <f>IF(A280="","",IFERROR(INDEX(Jobs!$M$5:$M$604,MATCH(A280,Jobs!$A$5:$A$604,0)),""))</f>
        <v>0</v>
      </c>
      <c r="H280" s="23">
        <f>IF(A280="","",IFERROR(INDEX(Jobs!$R$5:$R$604,MATCH(A280,Jobs!$A$5:$A$604,0)),""))</f>
        <v>0</v>
      </c>
      <c r="I280" s="39">
        <f>IF(A280="","",IFERROR(INDEX(Jobs!$P$5:$P$604,MATCH(A280,Jobs!$A$5:$A$604,0)),""))</f>
        <v>0</v>
      </c>
      <c r="J280" s="21">
        <f>IF(A280="","",IF(OR(I280="Completed",I280="Invoiced"),IFERROR(INDEX(Jobs!$AJ$5:$AJ$604,MATCH(A280,Jobs!$A$5:$A$604,0)),0),0))</f>
        <v>0</v>
      </c>
      <c r="K280" s="34">
        <f>IF(A280="","",IFERROR(INDEX(Jobs!$AD$5:$AD$604,MATCH(A280,Jobs!$A$5:$A$604,0)),0))</f>
        <v>0</v>
      </c>
      <c r="L280" s="34">
        <f>IF(A280="","",IFERROR(INDEX(Jobs!$AK$5:$AK$604,MATCH(A280,Jobs!$A$5:$A$604,0)),0))</f>
        <v>0</v>
      </c>
      <c r="M280" s="34">
        <f>IF(A280="","",IF(IFERROR(L280*1,0)&gt;0,L280,IFERROR(K280*1,0)))</f>
        <v>0</v>
      </c>
      <c r="N280" s="21">
        <f>IF(A280="","",SUMIFS(Timesheets!$X$5:$X$804,Timesheets!$G$5:$G$804,A280))</f>
        <v>0</v>
      </c>
      <c r="O280" s="21">
        <f>IF(A280="","",IF(N280&gt;0,N280,ROUND(M280*CostPerHour,2)))</f>
        <v>0</v>
      </c>
      <c r="P280" s="21">
        <f>IF(A280="","",SUMIFS('Supply Usage'!$L$5:$L$304,'Supply Usage'!$F$5:$F$304,A280))</f>
        <v>0</v>
      </c>
      <c r="Q280" s="21">
        <f>IF(A280="","",IF(P280&gt;0,P280,ROUND(M280*SuppliesPerHour,2)))</f>
        <v>0</v>
      </c>
      <c r="R280" s="21">
        <f>IF(A280="","",ROUND(IFERROR(INDEX(Jobs!$W$5:$W$604,MATCH(A280,Jobs!$A$5:$A$604,0)),0)*MileageRate,2))</f>
        <v>0</v>
      </c>
      <c r="T280" s="21">
        <f>IF(A280="","",O280+Q280+R280+IF(S280="",0,S280))</f>
        <v>0</v>
      </c>
      <c r="U280" s="21">
        <f>IF(A280="","",J280-T280)</f>
        <v>0</v>
      </c>
      <c r="V280" s="38">
        <f>IF(OR(A280="",J280=0),"",U280/J280)</f>
        <v>0</v>
      </c>
      <c r="W280" s="21">
        <f>IF(OR(A280="",M280=0,J280=0),"",U280/M280)</f>
        <v>0</v>
      </c>
      <c r="X280" s="34">
        <f>IF(OR(A280="",L280="",L280=0,K280=""),"",L280-K280)</f>
        <v>0</v>
      </c>
      <c r="Y280" s="31">
        <f>IF(A280="","",COUNTIFS($U$5:$U$604,"&gt;"&amp;U280)+COUNTIFS($U$5:U280,U280))</f>
        <v>0</v>
      </c>
      <c r="Z280" s="31">
        <f>IF(A280="","",COUNTIFS($W$5:$W$604,"&gt;"&amp;W280)+COUNTIFS($W$5:W280,W280))</f>
        <v>0</v>
      </c>
      <c r="AA280" s="39">
        <f>IF(A280="","",IF(J280=0,"",IF(U280&lt;0,"Loss - this job cost you money",IF(V280&lt;MarginFloor,"Below - margin under the floor",IF(V280&lt;TargetMargin,"Check - under target margin",IF(AND(X280&lt;&gt;"",X280&gt;0.5),"Check - ran over the estimate","OK"))))))</f>
        <v>0</v>
      </c>
    </row>
    <row r="281" spans="1:27">
      <c r="A281" s="43">
        <f>IF(IFERROR(INDEX(Jobs!$A$5:$A$604,ROW()-4),"")="","",IFERROR(INDEX(Jobs!$A$5:$A$604,ROW()-4),""))</f>
        <v>0</v>
      </c>
      <c r="B281" s="18">
        <f>IF(A281="","",IFERROR(INDEX(Jobs!$B$5:$B$604,MATCH(A281,Jobs!$A$5:$A$604,0)),""))</f>
        <v>0</v>
      </c>
      <c r="C281" s="23">
        <f>IF(B281="","",TEXT(B281,"yyyy-mm"))</f>
        <v>0</v>
      </c>
      <c r="D281" s="43">
        <f>IF(A281="","",IFERROR(INDEX(Jobs!$G$5:$G$604,MATCH(A281,Jobs!$A$5:$A$604,0)),""))</f>
        <v>0</v>
      </c>
      <c r="E281" s="23">
        <f>IF(A281="","",IFERROR(INDEX(Jobs!$H$5:$H$604,MATCH(A281,Jobs!$A$5:$A$604,0)),""))</f>
        <v>0</v>
      </c>
      <c r="F281" s="23">
        <f>IF(A281="","",IFERROR(INDEX(Jobs!$K$5:$K$604,MATCH(A281,Jobs!$A$5:$A$604,0)),""))</f>
        <v>0</v>
      </c>
      <c r="G281" s="23">
        <f>IF(A281="","",IFERROR(INDEX(Jobs!$M$5:$M$604,MATCH(A281,Jobs!$A$5:$A$604,0)),""))</f>
        <v>0</v>
      </c>
      <c r="H281" s="23">
        <f>IF(A281="","",IFERROR(INDEX(Jobs!$R$5:$R$604,MATCH(A281,Jobs!$A$5:$A$604,0)),""))</f>
        <v>0</v>
      </c>
      <c r="I281" s="39">
        <f>IF(A281="","",IFERROR(INDEX(Jobs!$P$5:$P$604,MATCH(A281,Jobs!$A$5:$A$604,0)),""))</f>
        <v>0</v>
      </c>
      <c r="J281" s="21">
        <f>IF(A281="","",IF(OR(I281="Completed",I281="Invoiced"),IFERROR(INDEX(Jobs!$AJ$5:$AJ$604,MATCH(A281,Jobs!$A$5:$A$604,0)),0),0))</f>
        <v>0</v>
      </c>
      <c r="K281" s="34">
        <f>IF(A281="","",IFERROR(INDEX(Jobs!$AD$5:$AD$604,MATCH(A281,Jobs!$A$5:$A$604,0)),0))</f>
        <v>0</v>
      </c>
      <c r="L281" s="34">
        <f>IF(A281="","",IFERROR(INDEX(Jobs!$AK$5:$AK$604,MATCH(A281,Jobs!$A$5:$A$604,0)),0))</f>
        <v>0</v>
      </c>
      <c r="M281" s="34">
        <f>IF(A281="","",IF(IFERROR(L281*1,0)&gt;0,L281,IFERROR(K281*1,0)))</f>
        <v>0</v>
      </c>
      <c r="N281" s="21">
        <f>IF(A281="","",SUMIFS(Timesheets!$X$5:$X$804,Timesheets!$G$5:$G$804,A281))</f>
        <v>0</v>
      </c>
      <c r="O281" s="21">
        <f>IF(A281="","",IF(N281&gt;0,N281,ROUND(M281*CostPerHour,2)))</f>
        <v>0</v>
      </c>
      <c r="P281" s="21">
        <f>IF(A281="","",SUMIFS('Supply Usage'!$L$5:$L$304,'Supply Usage'!$F$5:$F$304,A281))</f>
        <v>0</v>
      </c>
      <c r="Q281" s="21">
        <f>IF(A281="","",IF(P281&gt;0,P281,ROUND(M281*SuppliesPerHour,2)))</f>
        <v>0</v>
      </c>
      <c r="R281" s="21">
        <f>IF(A281="","",ROUND(IFERROR(INDEX(Jobs!$W$5:$W$604,MATCH(A281,Jobs!$A$5:$A$604,0)),0)*MileageRate,2))</f>
        <v>0</v>
      </c>
      <c r="T281" s="21">
        <f>IF(A281="","",O281+Q281+R281+IF(S281="",0,S281))</f>
        <v>0</v>
      </c>
      <c r="U281" s="21">
        <f>IF(A281="","",J281-T281)</f>
        <v>0</v>
      </c>
      <c r="V281" s="38">
        <f>IF(OR(A281="",J281=0),"",U281/J281)</f>
        <v>0</v>
      </c>
      <c r="W281" s="21">
        <f>IF(OR(A281="",M281=0,J281=0),"",U281/M281)</f>
        <v>0</v>
      </c>
      <c r="X281" s="34">
        <f>IF(OR(A281="",L281="",L281=0,K281=""),"",L281-K281)</f>
        <v>0</v>
      </c>
      <c r="Y281" s="31">
        <f>IF(A281="","",COUNTIFS($U$5:$U$604,"&gt;"&amp;U281)+COUNTIFS($U$5:U281,U281))</f>
        <v>0</v>
      </c>
      <c r="Z281" s="31">
        <f>IF(A281="","",COUNTIFS($W$5:$W$604,"&gt;"&amp;W281)+COUNTIFS($W$5:W281,W281))</f>
        <v>0</v>
      </c>
      <c r="AA281" s="39">
        <f>IF(A281="","",IF(J281=0,"",IF(U281&lt;0,"Loss - this job cost you money",IF(V281&lt;MarginFloor,"Below - margin under the floor",IF(V281&lt;TargetMargin,"Check - under target margin",IF(AND(X281&lt;&gt;"",X281&gt;0.5),"Check - ran over the estimate","OK"))))))</f>
        <v>0</v>
      </c>
    </row>
    <row r="282" spans="1:27">
      <c r="A282" s="43">
        <f>IF(IFERROR(INDEX(Jobs!$A$5:$A$604,ROW()-4),"")="","",IFERROR(INDEX(Jobs!$A$5:$A$604,ROW()-4),""))</f>
        <v>0</v>
      </c>
      <c r="B282" s="18">
        <f>IF(A282="","",IFERROR(INDEX(Jobs!$B$5:$B$604,MATCH(A282,Jobs!$A$5:$A$604,0)),""))</f>
        <v>0</v>
      </c>
      <c r="C282" s="23">
        <f>IF(B282="","",TEXT(B282,"yyyy-mm"))</f>
        <v>0</v>
      </c>
      <c r="D282" s="43">
        <f>IF(A282="","",IFERROR(INDEX(Jobs!$G$5:$G$604,MATCH(A282,Jobs!$A$5:$A$604,0)),""))</f>
        <v>0</v>
      </c>
      <c r="E282" s="23">
        <f>IF(A282="","",IFERROR(INDEX(Jobs!$H$5:$H$604,MATCH(A282,Jobs!$A$5:$A$604,0)),""))</f>
        <v>0</v>
      </c>
      <c r="F282" s="23">
        <f>IF(A282="","",IFERROR(INDEX(Jobs!$K$5:$K$604,MATCH(A282,Jobs!$A$5:$A$604,0)),""))</f>
        <v>0</v>
      </c>
      <c r="G282" s="23">
        <f>IF(A282="","",IFERROR(INDEX(Jobs!$M$5:$M$604,MATCH(A282,Jobs!$A$5:$A$604,0)),""))</f>
        <v>0</v>
      </c>
      <c r="H282" s="23">
        <f>IF(A282="","",IFERROR(INDEX(Jobs!$R$5:$R$604,MATCH(A282,Jobs!$A$5:$A$604,0)),""))</f>
        <v>0</v>
      </c>
      <c r="I282" s="39">
        <f>IF(A282="","",IFERROR(INDEX(Jobs!$P$5:$P$604,MATCH(A282,Jobs!$A$5:$A$604,0)),""))</f>
        <v>0</v>
      </c>
      <c r="J282" s="21">
        <f>IF(A282="","",IF(OR(I282="Completed",I282="Invoiced"),IFERROR(INDEX(Jobs!$AJ$5:$AJ$604,MATCH(A282,Jobs!$A$5:$A$604,0)),0),0))</f>
        <v>0</v>
      </c>
      <c r="K282" s="34">
        <f>IF(A282="","",IFERROR(INDEX(Jobs!$AD$5:$AD$604,MATCH(A282,Jobs!$A$5:$A$604,0)),0))</f>
        <v>0</v>
      </c>
      <c r="L282" s="34">
        <f>IF(A282="","",IFERROR(INDEX(Jobs!$AK$5:$AK$604,MATCH(A282,Jobs!$A$5:$A$604,0)),0))</f>
        <v>0</v>
      </c>
      <c r="M282" s="34">
        <f>IF(A282="","",IF(IFERROR(L282*1,0)&gt;0,L282,IFERROR(K282*1,0)))</f>
        <v>0</v>
      </c>
      <c r="N282" s="21">
        <f>IF(A282="","",SUMIFS(Timesheets!$X$5:$X$804,Timesheets!$G$5:$G$804,A282))</f>
        <v>0</v>
      </c>
      <c r="O282" s="21">
        <f>IF(A282="","",IF(N282&gt;0,N282,ROUND(M282*CostPerHour,2)))</f>
        <v>0</v>
      </c>
      <c r="P282" s="21">
        <f>IF(A282="","",SUMIFS('Supply Usage'!$L$5:$L$304,'Supply Usage'!$F$5:$F$304,A282))</f>
        <v>0</v>
      </c>
      <c r="Q282" s="21">
        <f>IF(A282="","",IF(P282&gt;0,P282,ROUND(M282*SuppliesPerHour,2)))</f>
        <v>0</v>
      </c>
      <c r="R282" s="21">
        <f>IF(A282="","",ROUND(IFERROR(INDEX(Jobs!$W$5:$W$604,MATCH(A282,Jobs!$A$5:$A$604,0)),0)*MileageRate,2))</f>
        <v>0</v>
      </c>
      <c r="T282" s="21">
        <f>IF(A282="","",O282+Q282+R282+IF(S282="",0,S282))</f>
        <v>0</v>
      </c>
      <c r="U282" s="21">
        <f>IF(A282="","",J282-T282)</f>
        <v>0</v>
      </c>
      <c r="V282" s="38">
        <f>IF(OR(A282="",J282=0),"",U282/J282)</f>
        <v>0</v>
      </c>
      <c r="W282" s="21">
        <f>IF(OR(A282="",M282=0,J282=0),"",U282/M282)</f>
        <v>0</v>
      </c>
      <c r="X282" s="34">
        <f>IF(OR(A282="",L282="",L282=0,K282=""),"",L282-K282)</f>
        <v>0</v>
      </c>
      <c r="Y282" s="31">
        <f>IF(A282="","",COUNTIFS($U$5:$U$604,"&gt;"&amp;U282)+COUNTIFS($U$5:U282,U282))</f>
        <v>0</v>
      </c>
      <c r="Z282" s="31">
        <f>IF(A282="","",COUNTIFS($W$5:$W$604,"&gt;"&amp;W282)+COUNTIFS($W$5:W282,W282))</f>
        <v>0</v>
      </c>
      <c r="AA282" s="39">
        <f>IF(A282="","",IF(J282=0,"",IF(U282&lt;0,"Loss - this job cost you money",IF(V282&lt;MarginFloor,"Below - margin under the floor",IF(V282&lt;TargetMargin,"Check - under target margin",IF(AND(X282&lt;&gt;"",X282&gt;0.5),"Check - ran over the estimate","OK"))))))</f>
        <v>0</v>
      </c>
    </row>
    <row r="283" spans="1:27">
      <c r="A283" s="43">
        <f>IF(IFERROR(INDEX(Jobs!$A$5:$A$604,ROW()-4),"")="","",IFERROR(INDEX(Jobs!$A$5:$A$604,ROW()-4),""))</f>
        <v>0</v>
      </c>
      <c r="B283" s="18">
        <f>IF(A283="","",IFERROR(INDEX(Jobs!$B$5:$B$604,MATCH(A283,Jobs!$A$5:$A$604,0)),""))</f>
        <v>0</v>
      </c>
      <c r="C283" s="23">
        <f>IF(B283="","",TEXT(B283,"yyyy-mm"))</f>
        <v>0</v>
      </c>
      <c r="D283" s="43">
        <f>IF(A283="","",IFERROR(INDEX(Jobs!$G$5:$G$604,MATCH(A283,Jobs!$A$5:$A$604,0)),""))</f>
        <v>0</v>
      </c>
      <c r="E283" s="23">
        <f>IF(A283="","",IFERROR(INDEX(Jobs!$H$5:$H$604,MATCH(A283,Jobs!$A$5:$A$604,0)),""))</f>
        <v>0</v>
      </c>
      <c r="F283" s="23">
        <f>IF(A283="","",IFERROR(INDEX(Jobs!$K$5:$K$604,MATCH(A283,Jobs!$A$5:$A$604,0)),""))</f>
        <v>0</v>
      </c>
      <c r="G283" s="23">
        <f>IF(A283="","",IFERROR(INDEX(Jobs!$M$5:$M$604,MATCH(A283,Jobs!$A$5:$A$604,0)),""))</f>
        <v>0</v>
      </c>
      <c r="H283" s="23">
        <f>IF(A283="","",IFERROR(INDEX(Jobs!$R$5:$R$604,MATCH(A283,Jobs!$A$5:$A$604,0)),""))</f>
        <v>0</v>
      </c>
      <c r="I283" s="39">
        <f>IF(A283="","",IFERROR(INDEX(Jobs!$P$5:$P$604,MATCH(A283,Jobs!$A$5:$A$604,0)),""))</f>
        <v>0</v>
      </c>
      <c r="J283" s="21">
        <f>IF(A283="","",IF(OR(I283="Completed",I283="Invoiced"),IFERROR(INDEX(Jobs!$AJ$5:$AJ$604,MATCH(A283,Jobs!$A$5:$A$604,0)),0),0))</f>
        <v>0</v>
      </c>
      <c r="K283" s="34">
        <f>IF(A283="","",IFERROR(INDEX(Jobs!$AD$5:$AD$604,MATCH(A283,Jobs!$A$5:$A$604,0)),0))</f>
        <v>0</v>
      </c>
      <c r="L283" s="34">
        <f>IF(A283="","",IFERROR(INDEX(Jobs!$AK$5:$AK$604,MATCH(A283,Jobs!$A$5:$A$604,0)),0))</f>
        <v>0</v>
      </c>
      <c r="M283" s="34">
        <f>IF(A283="","",IF(IFERROR(L283*1,0)&gt;0,L283,IFERROR(K283*1,0)))</f>
        <v>0</v>
      </c>
      <c r="N283" s="21">
        <f>IF(A283="","",SUMIFS(Timesheets!$X$5:$X$804,Timesheets!$G$5:$G$804,A283))</f>
        <v>0</v>
      </c>
      <c r="O283" s="21">
        <f>IF(A283="","",IF(N283&gt;0,N283,ROUND(M283*CostPerHour,2)))</f>
        <v>0</v>
      </c>
      <c r="P283" s="21">
        <f>IF(A283="","",SUMIFS('Supply Usage'!$L$5:$L$304,'Supply Usage'!$F$5:$F$304,A283))</f>
        <v>0</v>
      </c>
      <c r="Q283" s="21">
        <f>IF(A283="","",IF(P283&gt;0,P283,ROUND(M283*SuppliesPerHour,2)))</f>
        <v>0</v>
      </c>
      <c r="R283" s="21">
        <f>IF(A283="","",ROUND(IFERROR(INDEX(Jobs!$W$5:$W$604,MATCH(A283,Jobs!$A$5:$A$604,0)),0)*MileageRate,2))</f>
        <v>0</v>
      </c>
      <c r="T283" s="21">
        <f>IF(A283="","",O283+Q283+R283+IF(S283="",0,S283))</f>
        <v>0</v>
      </c>
      <c r="U283" s="21">
        <f>IF(A283="","",J283-T283)</f>
        <v>0</v>
      </c>
      <c r="V283" s="38">
        <f>IF(OR(A283="",J283=0),"",U283/J283)</f>
        <v>0</v>
      </c>
      <c r="W283" s="21">
        <f>IF(OR(A283="",M283=0,J283=0),"",U283/M283)</f>
        <v>0</v>
      </c>
      <c r="X283" s="34">
        <f>IF(OR(A283="",L283="",L283=0,K283=""),"",L283-K283)</f>
        <v>0</v>
      </c>
      <c r="Y283" s="31">
        <f>IF(A283="","",COUNTIFS($U$5:$U$604,"&gt;"&amp;U283)+COUNTIFS($U$5:U283,U283))</f>
        <v>0</v>
      </c>
      <c r="Z283" s="31">
        <f>IF(A283="","",COUNTIFS($W$5:$W$604,"&gt;"&amp;W283)+COUNTIFS($W$5:W283,W283))</f>
        <v>0</v>
      </c>
      <c r="AA283" s="39">
        <f>IF(A283="","",IF(J283=0,"",IF(U283&lt;0,"Loss - this job cost you money",IF(V283&lt;MarginFloor,"Below - margin under the floor",IF(V283&lt;TargetMargin,"Check - under target margin",IF(AND(X283&lt;&gt;"",X283&gt;0.5),"Check - ran over the estimate","OK"))))))</f>
        <v>0</v>
      </c>
    </row>
    <row r="284" spans="1:27">
      <c r="A284" s="43">
        <f>IF(IFERROR(INDEX(Jobs!$A$5:$A$604,ROW()-4),"")="","",IFERROR(INDEX(Jobs!$A$5:$A$604,ROW()-4),""))</f>
        <v>0</v>
      </c>
      <c r="B284" s="18">
        <f>IF(A284="","",IFERROR(INDEX(Jobs!$B$5:$B$604,MATCH(A284,Jobs!$A$5:$A$604,0)),""))</f>
        <v>0</v>
      </c>
      <c r="C284" s="23">
        <f>IF(B284="","",TEXT(B284,"yyyy-mm"))</f>
        <v>0</v>
      </c>
      <c r="D284" s="43">
        <f>IF(A284="","",IFERROR(INDEX(Jobs!$G$5:$G$604,MATCH(A284,Jobs!$A$5:$A$604,0)),""))</f>
        <v>0</v>
      </c>
      <c r="E284" s="23">
        <f>IF(A284="","",IFERROR(INDEX(Jobs!$H$5:$H$604,MATCH(A284,Jobs!$A$5:$A$604,0)),""))</f>
        <v>0</v>
      </c>
      <c r="F284" s="23">
        <f>IF(A284="","",IFERROR(INDEX(Jobs!$K$5:$K$604,MATCH(A284,Jobs!$A$5:$A$604,0)),""))</f>
        <v>0</v>
      </c>
      <c r="G284" s="23">
        <f>IF(A284="","",IFERROR(INDEX(Jobs!$M$5:$M$604,MATCH(A284,Jobs!$A$5:$A$604,0)),""))</f>
        <v>0</v>
      </c>
      <c r="H284" s="23">
        <f>IF(A284="","",IFERROR(INDEX(Jobs!$R$5:$R$604,MATCH(A284,Jobs!$A$5:$A$604,0)),""))</f>
        <v>0</v>
      </c>
      <c r="I284" s="39">
        <f>IF(A284="","",IFERROR(INDEX(Jobs!$P$5:$P$604,MATCH(A284,Jobs!$A$5:$A$604,0)),""))</f>
        <v>0</v>
      </c>
      <c r="J284" s="21">
        <f>IF(A284="","",IF(OR(I284="Completed",I284="Invoiced"),IFERROR(INDEX(Jobs!$AJ$5:$AJ$604,MATCH(A284,Jobs!$A$5:$A$604,0)),0),0))</f>
        <v>0</v>
      </c>
      <c r="K284" s="34">
        <f>IF(A284="","",IFERROR(INDEX(Jobs!$AD$5:$AD$604,MATCH(A284,Jobs!$A$5:$A$604,0)),0))</f>
        <v>0</v>
      </c>
      <c r="L284" s="34">
        <f>IF(A284="","",IFERROR(INDEX(Jobs!$AK$5:$AK$604,MATCH(A284,Jobs!$A$5:$A$604,0)),0))</f>
        <v>0</v>
      </c>
      <c r="M284" s="34">
        <f>IF(A284="","",IF(IFERROR(L284*1,0)&gt;0,L284,IFERROR(K284*1,0)))</f>
        <v>0</v>
      </c>
      <c r="N284" s="21">
        <f>IF(A284="","",SUMIFS(Timesheets!$X$5:$X$804,Timesheets!$G$5:$G$804,A284))</f>
        <v>0</v>
      </c>
      <c r="O284" s="21">
        <f>IF(A284="","",IF(N284&gt;0,N284,ROUND(M284*CostPerHour,2)))</f>
        <v>0</v>
      </c>
      <c r="P284" s="21">
        <f>IF(A284="","",SUMIFS('Supply Usage'!$L$5:$L$304,'Supply Usage'!$F$5:$F$304,A284))</f>
        <v>0</v>
      </c>
      <c r="Q284" s="21">
        <f>IF(A284="","",IF(P284&gt;0,P284,ROUND(M284*SuppliesPerHour,2)))</f>
        <v>0</v>
      </c>
      <c r="R284" s="21">
        <f>IF(A284="","",ROUND(IFERROR(INDEX(Jobs!$W$5:$W$604,MATCH(A284,Jobs!$A$5:$A$604,0)),0)*MileageRate,2))</f>
        <v>0</v>
      </c>
      <c r="T284" s="21">
        <f>IF(A284="","",O284+Q284+R284+IF(S284="",0,S284))</f>
        <v>0</v>
      </c>
      <c r="U284" s="21">
        <f>IF(A284="","",J284-T284)</f>
        <v>0</v>
      </c>
      <c r="V284" s="38">
        <f>IF(OR(A284="",J284=0),"",U284/J284)</f>
        <v>0</v>
      </c>
      <c r="W284" s="21">
        <f>IF(OR(A284="",M284=0,J284=0),"",U284/M284)</f>
        <v>0</v>
      </c>
      <c r="X284" s="34">
        <f>IF(OR(A284="",L284="",L284=0,K284=""),"",L284-K284)</f>
        <v>0</v>
      </c>
      <c r="Y284" s="31">
        <f>IF(A284="","",COUNTIFS($U$5:$U$604,"&gt;"&amp;U284)+COUNTIFS($U$5:U284,U284))</f>
        <v>0</v>
      </c>
      <c r="Z284" s="31">
        <f>IF(A284="","",COUNTIFS($W$5:$W$604,"&gt;"&amp;W284)+COUNTIFS($W$5:W284,W284))</f>
        <v>0</v>
      </c>
      <c r="AA284" s="39">
        <f>IF(A284="","",IF(J284=0,"",IF(U284&lt;0,"Loss - this job cost you money",IF(V284&lt;MarginFloor,"Below - margin under the floor",IF(V284&lt;TargetMargin,"Check - under target margin",IF(AND(X284&lt;&gt;"",X284&gt;0.5),"Check - ran over the estimate","OK"))))))</f>
        <v>0</v>
      </c>
    </row>
    <row r="285" spans="1:27">
      <c r="A285" s="43">
        <f>IF(IFERROR(INDEX(Jobs!$A$5:$A$604,ROW()-4),"")="","",IFERROR(INDEX(Jobs!$A$5:$A$604,ROW()-4),""))</f>
        <v>0</v>
      </c>
      <c r="B285" s="18">
        <f>IF(A285="","",IFERROR(INDEX(Jobs!$B$5:$B$604,MATCH(A285,Jobs!$A$5:$A$604,0)),""))</f>
        <v>0</v>
      </c>
      <c r="C285" s="23">
        <f>IF(B285="","",TEXT(B285,"yyyy-mm"))</f>
        <v>0</v>
      </c>
      <c r="D285" s="43">
        <f>IF(A285="","",IFERROR(INDEX(Jobs!$G$5:$G$604,MATCH(A285,Jobs!$A$5:$A$604,0)),""))</f>
        <v>0</v>
      </c>
      <c r="E285" s="23">
        <f>IF(A285="","",IFERROR(INDEX(Jobs!$H$5:$H$604,MATCH(A285,Jobs!$A$5:$A$604,0)),""))</f>
        <v>0</v>
      </c>
      <c r="F285" s="23">
        <f>IF(A285="","",IFERROR(INDEX(Jobs!$K$5:$K$604,MATCH(A285,Jobs!$A$5:$A$604,0)),""))</f>
        <v>0</v>
      </c>
      <c r="G285" s="23">
        <f>IF(A285="","",IFERROR(INDEX(Jobs!$M$5:$M$604,MATCH(A285,Jobs!$A$5:$A$604,0)),""))</f>
        <v>0</v>
      </c>
      <c r="H285" s="23">
        <f>IF(A285="","",IFERROR(INDEX(Jobs!$R$5:$R$604,MATCH(A285,Jobs!$A$5:$A$604,0)),""))</f>
        <v>0</v>
      </c>
      <c r="I285" s="39">
        <f>IF(A285="","",IFERROR(INDEX(Jobs!$P$5:$P$604,MATCH(A285,Jobs!$A$5:$A$604,0)),""))</f>
        <v>0</v>
      </c>
      <c r="J285" s="21">
        <f>IF(A285="","",IF(OR(I285="Completed",I285="Invoiced"),IFERROR(INDEX(Jobs!$AJ$5:$AJ$604,MATCH(A285,Jobs!$A$5:$A$604,0)),0),0))</f>
        <v>0</v>
      </c>
      <c r="K285" s="34">
        <f>IF(A285="","",IFERROR(INDEX(Jobs!$AD$5:$AD$604,MATCH(A285,Jobs!$A$5:$A$604,0)),0))</f>
        <v>0</v>
      </c>
      <c r="L285" s="34">
        <f>IF(A285="","",IFERROR(INDEX(Jobs!$AK$5:$AK$604,MATCH(A285,Jobs!$A$5:$A$604,0)),0))</f>
        <v>0</v>
      </c>
      <c r="M285" s="34">
        <f>IF(A285="","",IF(IFERROR(L285*1,0)&gt;0,L285,IFERROR(K285*1,0)))</f>
        <v>0</v>
      </c>
      <c r="N285" s="21">
        <f>IF(A285="","",SUMIFS(Timesheets!$X$5:$X$804,Timesheets!$G$5:$G$804,A285))</f>
        <v>0</v>
      </c>
      <c r="O285" s="21">
        <f>IF(A285="","",IF(N285&gt;0,N285,ROUND(M285*CostPerHour,2)))</f>
        <v>0</v>
      </c>
      <c r="P285" s="21">
        <f>IF(A285="","",SUMIFS('Supply Usage'!$L$5:$L$304,'Supply Usage'!$F$5:$F$304,A285))</f>
        <v>0</v>
      </c>
      <c r="Q285" s="21">
        <f>IF(A285="","",IF(P285&gt;0,P285,ROUND(M285*SuppliesPerHour,2)))</f>
        <v>0</v>
      </c>
      <c r="R285" s="21">
        <f>IF(A285="","",ROUND(IFERROR(INDEX(Jobs!$W$5:$W$604,MATCH(A285,Jobs!$A$5:$A$604,0)),0)*MileageRate,2))</f>
        <v>0</v>
      </c>
      <c r="T285" s="21">
        <f>IF(A285="","",O285+Q285+R285+IF(S285="",0,S285))</f>
        <v>0</v>
      </c>
      <c r="U285" s="21">
        <f>IF(A285="","",J285-T285)</f>
        <v>0</v>
      </c>
      <c r="V285" s="38">
        <f>IF(OR(A285="",J285=0),"",U285/J285)</f>
        <v>0</v>
      </c>
      <c r="W285" s="21">
        <f>IF(OR(A285="",M285=0,J285=0),"",U285/M285)</f>
        <v>0</v>
      </c>
      <c r="X285" s="34">
        <f>IF(OR(A285="",L285="",L285=0,K285=""),"",L285-K285)</f>
        <v>0</v>
      </c>
      <c r="Y285" s="31">
        <f>IF(A285="","",COUNTIFS($U$5:$U$604,"&gt;"&amp;U285)+COUNTIFS($U$5:U285,U285))</f>
        <v>0</v>
      </c>
      <c r="Z285" s="31">
        <f>IF(A285="","",COUNTIFS($W$5:$W$604,"&gt;"&amp;W285)+COUNTIFS($W$5:W285,W285))</f>
        <v>0</v>
      </c>
      <c r="AA285" s="39">
        <f>IF(A285="","",IF(J285=0,"",IF(U285&lt;0,"Loss - this job cost you money",IF(V285&lt;MarginFloor,"Below - margin under the floor",IF(V285&lt;TargetMargin,"Check - under target margin",IF(AND(X285&lt;&gt;"",X285&gt;0.5),"Check - ran over the estimate","OK"))))))</f>
        <v>0</v>
      </c>
    </row>
    <row r="286" spans="1:27">
      <c r="A286" s="43">
        <f>IF(IFERROR(INDEX(Jobs!$A$5:$A$604,ROW()-4),"")="","",IFERROR(INDEX(Jobs!$A$5:$A$604,ROW()-4),""))</f>
        <v>0</v>
      </c>
      <c r="B286" s="18">
        <f>IF(A286="","",IFERROR(INDEX(Jobs!$B$5:$B$604,MATCH(A286,Jobs!$A$5:$A$604,0)),""))</f>
        <v>0</v>
      </c>
      <c r="C286" s="23">
        <f>IF(B286="","",TEXT(B286,"yyyy-mm"))</f>
        <v>0</v>
      </c>
      <c r="D286" s="43">
        <f>IF(A286="","",IFERROR(INDEX(Jobs!$G$5:$G$604,MATCH(A286,Jobs!$A$5:$A$604,0)),""))</f>
        <v>0</v>
      </c>
      <c r="E286" s="23">
        <f>IF(A286="","",IFERROR(INDEX(Jobs!$H$5:$H$604,MATCH(A286,Jobs!$A$5:$A$604,0)),""))</f>
        <v>0</v>
      </c>
      <c r="F286" s="23">
        <f>IF(A286="","",IFERROR(INDEX(Jobs!$K$5:$K$604,MATCH(A286,Jobs!$A$5:$A$604,0)),""))</f>
        <v>0</v>
      </c>
      <c r="G286" s="23">
        <f>IF(A286="","",IFERROR(INDEX(Jobs!$M$5:$M$604,MATCH(A286,Jobs!$A$5:$A$604,0)),""))</f>
        <v>0</v>
      </c>
      <c r="H286" s="23">
        <f>IF(A286="","",IFERROR(INDEX(Jobs!$R$5:$R$604,MATCH(A286,Jobs!$A$5:$A$604,0)),""))</f>
        <v>0</v>
      </c>
      <c r="I286" s="39">
        <f>IF(A286="","",IFERROR(INDEX(Jobs!$P$5:$P$604,MATCH(A286,Jobs!$A$5:$A$604,0)),""))</f>
        <v>0</v>
      </c>
      <c r="J286" s="21">
        <f>IF(A286="","",IF(OR(I286="Completed",I286="Invoiced"),IFERROR(INDEX(Jobs!$AJ$5:$AJ$604,MATCH(A286,Jobs!$A$5:$A$604,0)),0),0))</f>
        <v>0</v>
      </c>
      <c r="K286" s="34">
        <f>IF(A286="","",IFERROR(INDEX(Jobs!$AD$5:$AD$604,MATCH(A286,Jobs!$A$5:$A$604,0)),0))</f>
        <v>0</v>
      </c>
      <c r="L286" s="34">
        <f>IF(A286="","",IFERROR(INDEX(Jobs!$AK$5:$AK$604,MATCH(A286,Jobs!$A$5:$A$604,0)),0))</f>
        <v>0</v>
      </c>
      <c r="M286" s="34">
        <f>IF(A286="","",IF(IFERROR(L286*1,0)&gt;0,L286,IFERROR(K286*1,0)))</f>
        <v>0</v>
      </c>
      <c r="N286" s="21">
        <f>IF(A286="","",SUMIFS(Timesheets!$X$5:$X$804,Timesheets!$G$5:$G$804,A286))</f>
        <v>0</v>
      </c>
      <c r="O286" s="21">
        <f>IF(A286="","",IF(N286&gt;0,N286,ROUND(M286*CostPerHour,2)))</f>
        <v>0</v>
      </c>
      <c r="P286" s="21">
        <f>IF(A286="","",SUMIFS('Supply Usage'!$L$5:$L$304,'Supply Usage'!$F$5:$F$304,A286))</f>
        <v>0</v>
      </c>
      <c r="Q286" s="21">
        <f>IF(A286="","",IF(P286&gt;0,P286,ROUND(M286*SuppliesPerHour,2)))</f>
        <v>0</v>
      </c>
      <c r="R286" s="21">
        <f>IF(A286="","",ROUND(IFERROR(INDEX(Jobs!$W$5:$W$604,MATCH(A286,Jobs!$A$5:$A$604,0)),0)*MileageRate,2))</f>
        <v>0</v>
      </c>
      <c r="T286" s="21">
        <f>IF(A286="","",O286+Q286+R286+IF(S286="",0,S286))</f>
        <v>0</v>
      </c>
      <c r="U286" s="21">
        <f>IF(A286="","",J286-T286)</f>
        <v>0</v>
      </c>
      <c r="V286" s="38">
        <f>IF(OR(A286="",J286=0),"",U286/J286)</f>
        <v>0</v>
      </c>
      <c r="W286" s="21">
        <f>IF(OR(A286="",M286=0,J286=0),"",U286/M286)</f>
        <v>0</v>
      </c>
      <c r="X286" s="34">
        <f>IF(OR(A286="",L286="",L286=0,K286=""),"",L286-K286)</f>
        <v>0</v>
      </c>
      <c r="Y286" s="31">
        <f>IF(A286="","",COUNTIFS($U$5:$U$604,"&gt;"&amp;U286)+COUNTIFS($U$5:U286,U286))</f>
        <v>0</v>
      </c>
      <c r="Z286" s="31">
        <f>IF(A286="","",COUNTIFS($W$5:$W$604,"&gt;"&amp;W286)+COUNTIFS($W$5:W286,W286))</f>
        <v>0</v>
      </c>
      <c r="AA286" s="39">
        <f>IF(A286="","",IF(J286=0,"",IF(U286&lt;0,"Loss - this job cost you money",IF(V286&lt;MarginFloor,"Below - margin under the floor",IF(V286&lt;TargetMargin,"Check - under target margin",IF(AND(X286&lt;&gt;"",X286&gt;0.5),"Check - ran over the estimate","OK"))))))</f>
        <v>0</v>
      </c>
    </row>
    <row r="287" spans="1:27">
      <c r="A287" s="43">
        <f>IF(IFERROR(INDEX(Jobs!$A$5:$A$604,ROW()-4),"")="","",IFERROR(INDEX(Jobs!$A$5:$A$604,ROW()-4),""))</f>
        <v>0</v>
      </c>
      <c r="B287" s="18">
        <f>IF(A287="","",IFERROR(INDEX(Jobs!$B$5:$B$604,MATCH(A287,Jobs!$A$5:$A$604,0)),""))</f>
        <v>0</v>
      </c>
      <c r="C287" s="23">
        <f>IF(B287="","",TEXT(B287,"yyyy-mm"))</f>
        <v>0</v>
      </c>
      <c r="D287" s="43">
        <f>IF(A287="","",IFERROR(INDEX(Jobs!$G$5:$G$604,MATCH(A287,Jobs!$A$5:$A$604,0)),""))</f>
        <v>0</v>
      </c>
      <c r="E287" s="23">
        <f>IF(A287="","",IFERROR(INDEX(Jobs!$H$5:$H$604,MATCH(A287,Jobs!$A$5:$A$604,0)),""))</f>
        <v>0</v>
      </c>
      <c r="F287" s="23">
        <f>IF(A287="","",IFERROR(INDEX(Jobs!$K$5:$K$604,MATCH(A287,Jobs!$A$5:$A$604,0)),""))</f>
        <v>0</v>
      </c>
      <c r="G287" s="23">
        <f>IF(A287="","",IFERROR(INDEX(Jobs!$M$5:$M$604,MATCH(A287,Jobs!$A$5:$A$604,0)),""))</f>
        <v>0</v>
      </c>
      <c r="H287" s="23">
        <f>IF(A287="","",IFERROR(INDEX(Jobs!$R$5:$R$604,MATCH(A287,Jobs!$A$5:$A$604,0)),""))</f>
        <v>0</v>
      </c>
      <c r="I287" s="39">
        <f>IF(A287="","",IFERROR(INDEX(Jobs!$P$5:$P$604,MATCH(A287,Jobs!$A$5:$A$604,0)),""))</f>
        <v>0</v>
      </c>
      <c r="J287" s="21">
        <f>IF(A287="","",IF(OR(I287="Completed",I287="Invoiced"),IFERROR(INDEX(Jobs!$AJ$5:$AJ$604,MATCH(A287,Jobs!$A$5:$A$604,0)),0),0))</f>
        <v>0</v>
      </c>
      <c r="K287" s="34">
        <f>IF(A287="","",IFERROR(INDEX(Jobs!$AD$5:$AD$604,MATCH(A287,Jobs!$A$5:$A$604,0)),0))</f>
        <v>0</v>
      </c>
      <c r="L287" s="34">
        <f>IF(A287="","",IFERROR(INDEX(Jobs!$AK$5:$AK$604,MATCH(A287,Jobs!$A$5:$A$604,0)),0))</f>
        <v>0</v>
      </c>
      <c r="M287" s="34">
        <f>IF(A287="","",IF(IFERROR(L287*1,0)&gt;0,L287,IFERROR(K287*1,0)))</f>
        <v>0</v>
      </c>
      <c r="N287" s="21">
        <f>IF(A287="","",SUMIFS(Timesheets!$X$5:$X$804,Timesheets!$G$5:$G$804,A287))</f>
        <v>0</v>
      </c>
      <c r="O287" s="21">
        <f>IF(A287="","",IF(N287&gt;0,N287,ROUND(M287*CostPerHour,2)))</f>
        <v>0</v>
      </c>
      <c r="P287" s="21">
        <f>IF(A287="","",SUMIFS('Supply Usage'!$L$5:$L$304,'Supply Usage'!$F$5:$F$304,A287))</f>
        <v>0</v>
      </c>
      <c r="Q287" s="21">
        <f>IF(A287="","",IF(P287&gt;0,P287,ROUND(M287*SuppliesPerHour,2)))</f>
        <v>0</v>
      </c>
      <c r="R287" s="21">
        <f>IF(A287="","",ROUND(IFERROR(INDEX(Jobs!$W$5:$W$604,MATCH(A287,Jobs!$A$5:$A$604,0)),0)*MileageRate,2))</f>
        <v>0</v>
      </c>
      <c r="T287" s="21">
        <f>IF(A287="","",O287+Q287+R287+IF(S287="",0,S287))</f>
        <v>0</v>
      </c>
      <c r="U287" s="21">
        <f>IF(A287="","",J287-T287)</f>
        <v>0</v>
      </c>
      <c r="V287" s="38">
        <f>IF(OR(A287="",J287=0),"",U287/J287)</f>
        <v>0</v>
      </c>
      <c r="W287" s="21">
        <f>IF(OR(A287="",M287=0,J287=0),"",U287/M287)</f>
        <v>0</v>
      </c>
      <c r="X287" s="34">
        <f>IF(OR(A287="",L287="",L287=0,K287=""),"",L287-K287)</f>
        <v>0</v>
      </c>
      <c r="Y287" s="31">
        <f>IF(A287="","",COUNTIFS($U$5:$U$604,"&gt;"&amp;U287)+COUNTIFS($U$5:U287,U287))</f>
        <v>0</v>
      </c>
      <c r="Z287" s="31">
        <f>IF(A287="","",COUNTIFS($W$5:$W$604,"&gt;"&amp;W287)+COUNTIFS($W$5:W287,W287))</f>
        <v>0</v>
      </c>
      <c r="AA287" s="39">
        <f>IF(A287="","",IF(J287=0,"",IF(U287&lt;0,"Loss - this job cost you money",IF(V287&lt;MarginFloor,"Below - margin under the floor",IF(V287&lt;TargetMargin,"Check - under target margin",IF(AND(X287&lt;&gt;"",X287&gt;0.5),"Check - ran over the estimate","OK"))))))</f>
        <v>0</v>
      </c>
    </row>
    <row r="288" spans="1:27">
      <c r="A288" s="43">
        <f>IF(IFERROR(INDEX(Jobs!$A$5:$A$604,ROW()-4),"")="","",IFERROR(INDEX(Jobs!$A$5:$A$604,ROW()-4),""))</f>
        <v>0</v>
      </c>
      <c r="B288" s="18">
        <f>IF(A288="","",IFERROR(INDEX(Jobs!$B$5:$B$604,MATCH(A288,Jobs!$A$5:$A$604,0)),""))</f>
        <v>0</v>
      </c>
      <c r="C288" s="23">
        <f>IF(B288="","",TEXT(B288,"yyyy-mm"))</f>
        <v>0</v>
      </c>
      <c r="D288" s="43">
        <f>IF(A288="","",IFERROR(INDEX(Jobs!$G$5:$G$604,MATCH(A288,Jobs!$A$5:$A$604,0)),""))</f>
        <v>0</v>
      </c>
      <c r="E288" s="23">
        <f>IF(A288="","",IFERROR(INDEX(Jobs!$H$5:$H$604,MATCH(A288,Jobs!$A$5:$A$604,0)),""))</f>
        <v>0</v>
      </c>
      <c r="F288" s="23">
        <f>IF(A288="","",IFERROR(INDEX(Jobs!$K$5:$K$604,MATCH(A288,Jobs!$A$5:$A$604,0)),""))</f>
        <v>0</v>
      </c>
      <c r="G288" s="23">
        <f>IF(A288="","",IFERROR(INDEX(Jobs!$M$5:$M$604,MATCH(A288,Jobs!$A$5:$A$604,0)),""))</f>
        <v>0</v>
      </c>
      <c r="H288" s="23">
        <f>IF(A288="","",IFERROR(INDEX(Jobs!$R$5:$R$604,MATCH(A288,Jobs!$A$5:$A$604,0)),""))</f>
        <v>0</v>
      </c>
      <c r="I288" s="39">
        <f>IF(A288="","",IFERROR(INDEX(Jobs!$P$5:$P$604,MATCH(A288,Jobs!$A$5:$A$604,0)),""))</f>
        <v>0</v>
      </c>
      <c r="J288" s="21">
        <f>IF(A288="","",IF(OR(I288="Completed",I288="Invoiced"),IFERROR(INDEX(Jobs!$AJ$5:$AJ$604,MATCH(A288,Jobs!$A$5:$A$604,0)),0),0))</f>
        <v>0</v>
      </c>
      <c r="K288" s="34">
        <f>IF(A288="","",IFERROR(INDEX(Jobs!$AD$5:$AD$604,MATCH(A288,Jobs!$A$5:$A$604,0)),0))</f>
        <v>0</v>
      </c>
      <c r="L288" s="34">
        <f>IF(A288="","",IFERROR(INDEX(Jobs!$AK$5:$AK$604,MATCH(A288,Jobs!$A$5:$A$604,0)),0))</f>
        <v>0</v>
      </c>
      <c r="M288" s="34">
        <f>IF(A288="","",IF(IFERROR(L288*1,0)&gt;0,L288,IFERROR(K288*1,0)))</f>
        <v>0</v>
      </c>
      <c r="N288" s="21">
        <f>IF(A288="","",SUMIFS(Timesheets!$X$5:$X$804,Timesheets!$G$5:$G$804,A288))</f>
        <v>0</v>
      </c>
      <c r="O288" s="21">
        <f>IF(A288="","",IF(N288&gt;0,N288,ROUND(M288*CostPerHour,2)))</f>
        <v>0</v>
      </c>
      <c r="P288" s="21">
        <f>IF(A288="","",SUMIFS('Supply Usage'!$L$5:$L$304,'Supply Usage'!$F$5:$F$304,A288))</f>
        <v>0</v>
      </c>
      <c r="Q288" s="21">
        <f>IF(A288="","",IF(P288&gt;0,P288,ROUND(M288*SuppliesPerHour,2)))</f>
        <v>0</v>
      </c>
      <c r="R288" s="21">
        <f>IF(A288="","",ROUND(IFERROR(INDEX(Jobs!$W$5:$W$604,MATCH(A288,Jobs!$A$5:$A$604,0)),0)*MileageRate,2))</f>
        <v>0</v>
      </c>
      <c r="T288" s="21">
        <f>IF(A288="","",O288+Q288+R288+IF(S288="",0,S288))</f>
        <v>0</v>
      </c>
      <c r="U288" s="21">
        <f>IF(A288="","",J288-T288)</f>
        <v>0</v>
      </c>
      <c r="V288" s="38">
        <f>IF(OR(A288="",J288=0),"",U288/J288)</f>
        <v>0</v>
      </c>
      <c r="W288" s="21">
        <f>IF(OR(A288="",M288=0,J288=0),"",U288/M288)</f>
        <v>0</v>
      </c>
      <c r="X288" s="34">
        <f>IF(OR(A288="",L288="",L288=0,K288=""),"",L288-K288)</f>
        <v>0</v>
      </c>
      <c r="Y288" s="31">
        <f>IF(A288="","",COUNTIFS($U$5:$U$604,"&gt;"&amp;U288)+COUNTIFS($U$5:U288,U288))</f>
        <v>0</v>
      </c>
      <c r="Z288" s="31">
        <f>IF(A288="","",COUNTIFS($W$5:$W$604,"&gt;"&amp;W288)+COUNTIFS($W$5:W288,W288))</f>
        <v>0</v>
      </c>
      <c r="AA288" s="39">
        <f>IF(A288="","",IF(J288=0,"",IF(U288&lt;0,"Loss - this job cost you money",IF(V288&lt;MarginFloor,"Below - margin under the floor",IF(V288&lt;TargetMargin,"Check - under target margin",IF(AND(X288&lt;&gt;"",X288&gt;0.5),"Check - ran over the estimate","OK"))))))</f>
        <v>0</v>
      </c>
    </row>
    <row r="289" spans="1:27">
      <c r="A289" s="43">
        <f>IF(IFERROR(INDEX(Jobs!$A$5:$A$604,ROW()-4),"")="","",IFERROR(INDEX(Jobs!$A$5:$A$604,ROW()-4),""))</f>
        <v>0</v>
      </c>
      <c r="B289" s="18">
        <f>IF(A289="","",IFERROR(INDEX(Jobs!$B$5:$B$604,MATCH(A289,Jobs!$A$5:$A$604,0)),""))</f>
        <v>0</v>
      </c>
      <c r="C289" s="23">
        <f>IF(B289="","",TEXT(B289,"yyyy-mm"))</f>
        <v>0</v>
      </c>
      <c r="D289" s="43">
        <f>IF(A289="","",IFERROR(INDEX(Jobs!$G$5:$G$604,MATCH(A289,Jobs!$A$5:$A$604,0)),""))</f>
        <v>0</v>
      </c>
      <c r="E289" s="23">
        <f>IF(A289="","",IFERROR(INDEX(Jobs!$H$5:$H$604,MATCH(A289,Jobs!$A$5:$A$604,0)),""))</f>
        <v>0</v>
      </c>
      <c r="F289" s="23">
        <f>IF(A289="","",IFERROR(INDEX(Jobs!$K$5:$K$604,MATCH(A289,Jobs!$A$5:$A$604,0)),""))</f>
        <v>0</v>
      </c>
      <c r="G289" s="23">
        <f>IF(A289="","",IFERROR(INDEX(Jobs!$M$5:$M$604,MATCH(A289,Jobs!$A$5:$A$604,0)),""))</f>
        <v>0</v>
      </c>
      <c r="H289" s="23">
        <f>IF(A289="","",IFERROR(INDEX(Jobs!$R$5:$R$604,MATCH(A289,Jobs!$A$5:$A$604,0)),""))</f>
        <v>0</v>
      </c>
      <c r="I289" s="39">
        <f>IF(A289="","",IFERROR(INDEX(Jobs!$P$5:$P$604,MATCH(A289,Jobs!$A$5:$A$604,0)),""))</f>
        <v>0</v>
      </c>
      <c r="J289" s="21">
        <f>IF(A289="","",IF(OR(I289="Completed",I289="Invoiced"),IFERROR(INDEX(Jobs!$AJ$5:$AJ$604,MATCH(A289,Jobs!$A$5:$A$604,0)),0),0))</f>
        <v>0</v>
      </c>
      <c r="K289" s="34">
        <f>IF(A289="","",IFERROR(INDEX(Jobs!$AD$5:$AD$604,MATCH(A289,Jobs!$A$5:$A$604,0)),0))</f>
        <v>0</v>
      </c>
      <c r="L289" s="34">
        <f>IF(A289="","",IFERROR(INDEX(Jobs!$AK$5:$AK$604,MATCH(A289,Jobs!$A$5:$A$604,0)),0))</f>
        <v>0</v>
      </c>
      <c r="M289" s="34">
        <f>IF(A289="","",IF(IFERROR(L289*1,0)&gt;0,L289,IFERROR(K289*1,0)))</f>
        <v>0</v>
      </c>
      <c r="N289" s="21">
        <f>IF(A289="","",SUMIFS(Timesheets!$X$5:$X$804,Timesheets!$G$5:$G$804,A289))</f>
        <v>0</v>
      </c>
      <c r="O289" s="21">
        <f>IF(A289="","",IF(N289&gt;0,N289,ROUND(M289*CostPerHour,2)))</f>
        <v>0</v>
      </c>
      <c r="P289" s="21">
        <f>IF(A289="","",SUMIFS('Supply Usage'!$L$5:$L$304,'Supply Usage'!$F$5:$F$304,A289))</f>
        <v>0</v>
      </c>
      <c r="Q289" s="21">
        <f>IF(A289="","",IF(P289&gt;0,P289,ROUND(M289*SuppliesPerHour,2)))</f>
        <v>0</v>
      </c>
      <c r="R289" s="21">
        <f>IF(A289="","",ROUND(IFERROR(INDEX(Jobs!$W$5:$W$604,MATCH(A289,Jobs!$A$5:$A$604,0)),0)*MileageRate,2))</f>
        <v>0</v>
      </c>
      <c r="T289" s="21">
        <f>IF(A289="","",O289+Q289+R289+IF(S289="",0,S289))</f>
        <v>0</v>
      </c>
      <c r="U289" s="21">
        <f>IF(A289="","",J289-T289)</f>
        <v>0</v>
      </c>
      <c r="V289" s="38">
        <f>IF(OR(A289="",J289=0),"",U289/J289)</f>
        <v>0</v>
      </c>
      <c r="W289" s="21">
        <f>IF(OR(A289="",M289=0,J289=0),"",U289/M289)</f>
        <v>0</v>
      </c>
      <c r="X289" s="34">
        <f>IF(OR(A289="",L289="",L289=0,K289=""),"",L289-K289)</f>
        <v>0</v>
      </c>
      <c r="Y289" s="31">
        <f>IF(A289="","",COUNTIFS($U$5:$U$604,"&gt;"&amp;U289)+COUNTIFS($U$5:U289,U289))</f>
        <v>0</v>
      </c>
      <c r="Z289" s="31">
        <f>IF(A289="","",COUNTIFS($W$5:$W$604,"&gt;"&amp;W289)+COUNTIFS($W$5:W289,W289))</f>
        <v>0</v>
      </c>
      <c r="AA289" s="39">
        <f>IF(A289="","",IF(J289=0,"",IF(U289&lt;0,"Loss - this job cost you money",IF(V289&lt;MarginFloor,"Below - margin under the floor",IF(V289&lt;TargetMargin,"Check - under target margin",IF(AND(X289&lt;&gt;"",X289&gt;0.5),"Check - ran over the estimate","OK"))))))</f>
        <v>0</v>
      </c>
    </row>
    <row r="290" spans="1:27">
      <c r="A290" s="43">
        <f>IF(IFERROR(INDEX(Jobs!$A$5:$A$604,ROW()-4),"")="","",IFERROR(INDEX(Jobs!$A$5:$A$604,ROW()-4),""))</f>
        <v>0</v>
      </c>
      <c r="B290" s="18">
        <f>IF(A290="","",IFERROR(INDEX(Jobs!$B$5:$B$604,MATCH(A290,Jobs!$A$5:$A$604,0)),""))</f>
        <v>0</v>
      </c>
      <c r="C290" s="23">
        <f>IF(B290="","",TEXT(B290,"yyyy-mm"))</f>
        <v>0</v>
      </c>
      <c r="D290" s="43">
        <f>IF(A290="","",IFERROR(INDEX(Jobs!$G$5:$G$604,MATCH(A290,Jobs!$A$5:$A$604,0)),""))</f>
        <v>0</v>
      </c>
      <c r="E290" s="23">
        <f>IF(A290="","",IFERROR(INDEX(Jobs!$H$5:$H$604,MATCH(A290,Jobs!$A$5:$A$604,0)),""))</f>
        <v>0</v>
      </c>
      <c r="F290" s="23">
        <f>IF(A290="","",IFERROR(INDEX(Jobs!$K$5:$K$604,MATCH(A290,Jobs!$A$5:$A$604,0)),""))</f>
        <v>0</v>
      </c>
      <c r="G290" s="23">
        <f>IF(A290="","",IFERROR(INDEX(Jobs!$M$5:$M$604,MATCH(A290,Jobs!$A$5:$A$604,0)),""))</f>
        <v>0</v>
      </c>
      <c r="H290" s="23">
        <f>IF(A290="","",IFERROR(INDEX(Jobs!$R$5:$R$604,MATCH(A290,Jobs!$A$5:$A$604,0)),""))</f>
        <v>0</v>
      </c>
      <c r="I290" s="39">
        <f>IF(A290="","",IFERROR(INDEX(Jobs!$P$5:$P$604,MATCH(A290,Jobs!$A$5:$A$604,0)),""))</f>
        <v>0</v>
      </c>
      <c r="J290" s="21">
        <f>IF(A290="","",IF(OR(I290="Completed",I290="Invoiced"),IFERROR(INDEX(Jobs!$AJ$5:$AJ$604,MATCH(A290,Jobs!$A$5:$A$604,0)),0),0))</f>
        <v>0</v>
      </c>
      <c r="K290" s="34">
        <f>IF(A290="","",IFERROR(INDEX(Jobs!$AD$5:$AD$604,MATCH(A290,Jobs!$A$5:$A$604,0)),0))</f>
        <v>0</v>
      </c>
      <c r="L290" s="34">
        <f>IF(A290="","",IFERROR(INDEX(Jobs!$AK$5:$AK$604,MATCH(A290,Jobs!$A$5:$A$604,0)),0))</f>
        <v>0</v>
      </c>
      <c r="M290" s="34">
        <f>IF(A290="","",IF(IFERROR(L290*1,0)&gt;0,L290,IFERROR(K290*1,0)))</f>
        <v>0</v>
      </c>
      <c r="N290" s="21">
        <f>IF(A290="","",SUMIFS(Timesheets!$X$5:$X$804,Timesheets!$G$5:$G$804,A290))</f>
        <v>0</v>
      </c>
      <c r="O290" s="21">
        <f>IF(A290="","",IF(N290&gt;0,N290,ROUND(M290*CostPerHour,2)))</f>
        <v>0</v>
      </c>
      <c r="P290" s="21">
        <f>IF(A290="","",SUMIFS('Supply Usage'!$L$5:$L$304,'Supply Usage'!$F$5:$F$304,A290))</f>
        <v>0</v>
      </c>
      <c r="Q290" s="21">
        <f>IF(A290="","",IF(P290&gt;0,P290,ROUND(M290*SuppliesPerHour,2)))</f>
        <v>0</v>
      </c>
      <c r="R290" s="21">
        <f>IF(A290="","",ROUND(IFERROR(INDEX(Jobs!$W$5:$W$604,MATCH(A290,Jobs!$A$5:$A$604,0)),0)*MileageRate,2))</f>
        <v>0</v>
      </c>
      <c r="T290" s="21">
        <f>IF(A290="","",O290+Q290+R290+IF(S290="",0,S290))</f>
        <v>0</v>
      </c>
      <c r="U290" s="21">
        <f>IF(A290="","",J290-T290)</f>
        <v>0</v>
      </c>
      <c r="V290" s="38">
        <f>IF(OR(A290="",J290=0),"",U290/J290)</f>
        <v>0</v>
      </c>
      <c r="W290" s="21">
        <f>IF(OR(A290="",M290=0,J290=0),"",U290/M290)</f>
        <v>0</v>
      </c>
      <c r="X290" s="34">
        <f>IF(OR(A290="",L290="",L290=0,K290=""),"",L290-K290)</f>
        <v>0</v>
      </c>
      <c r="Y290" s="31">
        <f>IF(A290="","",COUNTIFS($U$5:$U$604,"&gt;"&amp;U290)+COUNTIFS($U$5:U290,U290))</f>
        <v>0</v>
      </c>
      <c r="Z290" s="31">
        <f>IF(A290="","",COUNTIFS($W$5:$W$604,"&gt;"&amp;W290)+COUNTIFS($W$5:W290,W290))</f>
        <v>0</v>
      </c>
      <c r="AA290" s="39">
        <f>IF(A290="","",IF(J290=0,"",IF(U290&lt;0,"Loss - this job cost you money",IF(V290&lt;MarginFloor,"Below - margin under the floor",IF(V290&lt;TargetMargin,"Check - under target margin",IF(AND(X290&lt;&gt;"",X290&gt;0.5),"Check - ran over the estimate","OK"))))))</f>
        <v>0</v>
      </c>
    </row>
    <row r="291" spans="1:27">
      <c r="A291" s="43">
        <f>IF(IFERROR(INDEX(Jobs!$A$5:$A$604,ROW()-4),"")="","",IFERROR(INDEX(Jobs!$A$5:$A$604,ROW()-4),""))</f>
        <v>0</v>
      </c>
      <c r="B291" s="18">
        <f>IF(A291="","",IFERROR(INDEX(Jobs!$B$5:$B$604,MATCH(A291,Jobs!$A$5:$A$604,0)),""))</f>
        <v>0</v>
      </c>
      <c r="C291" s="23">
        <f>IF(B291="","",TEXT(B291,"yyyy-mm"))</f>
        <v>0</v>
      </c>
      <c r="D291" s="43">
        <f>IF(A291="","",IFERROR(INDEX(Jobs!$G$5:$G$604,MATCH(A291,Jobs!$A$5:$A$604,0)),""))</f>
        <v>0</v>
      </c>
      <c r="E291" s="23">
        <f>IF(A291="","",IFERROR(INDEX(Jobs!$H$5:$H$604,MATCH(A291,Jobs!$A$5:$A$604,0)),""))</f>
        <v>0</v>
      </c>
      <c r="F291" s="23">
        <f>IF(A291="","",IFERROR(INDEX(Jobs!$K$5:$K$604,MATCH(A291,Jobs!$A$5:$A$604,0)),""))</f>
        <v>0</v>
      </c>
      <c r="G291" s="23">
        <f>IF(A291="","",IFERROR(INDEX(Jobs!$M$5:$M$604,MATCH(A291,Jobs!$A$5:$A$604,0)),""))</f>
        <v>0</v>
      </c>
      <c r="H291" s="23">
        <f>IF(A291="","",IFERROR(INDEX(Jobs!$R$5:$R$604,MATCH(A291,Jobs!$A$5:$A$604,0)),""))</f>
        <v>0</v>
      </c>
      <c r="I291" s="39">
        <f>IF(A291="","",IFERROR(INDEX(Jobs!$P$5:$P$604,MATCH(A291,Jobs!$A$5:$A$604,0)),""))</f>
        <v>0</v>
      </c>
      <c r="J291" s="21">
        <f>IF(A291="","",IF(OR(I291="Completed",I291="Invoiced"),IFERROR(INDEX(Jobs!$AJ$5:$AJ$604,MATCH(A291,Jobs!$A$5:$A$604,0)),0),0))</f>
        <v>0</v>
      </c>
      <c r="K291" s="34">
        <f>IF(A291="","",IFERROR(INDEX(Jobs!$AD$5:$AD$604,MATCH(A291,Jobs!$A$5:$A$604,0)),0))</f>
        <v>0</v>
      </c>
      <c r="L291" s="34">
        <f>IF(A291="","",IFERROR(INDEX(Jobs!$AK$5:$AK$604,MATCH(A291,Jobs!$A$5:$A$604,0)),0))</f>
        <v>0</v>
      </c>
      <c r="M291" s="34">
        <f>IF(A291="","",IF(IFERROR(L291*1,0)&gt;0,L291,IFERROR(K291*1,0)))</f>
        <v>0</v>
      </c>
      <c r="N291" s="21">
        <f>IF(A291="","",SUMIFS(Timesheets!$X$5:$X$804,Timesheets!$G$5:$G$804,A291))</f>
        <v>0</v>
      </c>
      <c r="O291" s="21">
        <f>IF(A291="","",IF(N291&gt;0,N291,ROUND(M291*CostPerHour,2)))</f>
        <v>0</v>
      </c>
      <c r="P291" s="21">
        <f>IF(A291="","",SUMIFS('Supply Usage'!$L$5:$L$304,'Supply Usage'!$F$5:$F$304,A291))</f>
        <v>0</v>
      </c>
      <c r="Q291" s="21">
        <f>IF(A291="","",IF(P291&gt;0,P291,ROUND(M291*SuppliesPerHour,2)))</f>
        <v>0</v>
      </c>
      <c r="R291" s="21">
        <f>IF(A291="","",ROUND(IFERROR(INDEX(Jobs!$W$5:$W$604,MATCH(A291,Jobs!$A$5:$A$604,0)),0)*MileageRate,2))</f>
        <v>0</v>
      </c>
      <c r="T291" s="21">
        <f>IF(A291="","",O291+Q291+R291+IF(S291="",0,S291))</f>
        <v>0</v>
      </c>
      <c r="U291" s="21">
        <f>IF(A291="","",J291-T291)</f>
        <v>0</v>
      </c>
      <c r="V291" s="38">
        <f>IF(OR(A291="",J291=0),"",U291/J291)</f>
        <v>0</v>
      </c>
      <c r="W291" s="21">
        <f>IF(OR(A291="",M291=0,J291=0),"",U291/M291)</f>
        <v>0</v>
      </c>
      <c r="X291" s="34">
        <f>IF(OR(A291="",L291="",L291=0,K291=""),"",L291-K291)</f>
        <v>0</v>
      </c>
      <c r="Y291" s="31">
        <f>IF(A291="","",COUNTIFS($U$5:$U$604,"&gt;"&amp;U291)+COUNTIFS($U$5:U291,U291))</f>
        <v>0</v>
      </c>
      <c r="Z291" s="31">
        <f>IF(A291="","",COUNTIFS($W$5:$W$604,"&gt;"&amp;W291)+COUNTIFS($W$5:W291,W291))</f>
        <v>0</v>
      </c>
      <c r="AA291" s="39">
        <f>IF(A291="","",IF(J291=0,"",IF(U291&lt;0,"Loss - this job cost you money",IF(V291&lt;MarginFloor,"Below - margin under the floor",IF(V291&lt;TargetMargin,"Check - under target margin",IF(AND(X291&lt;&gt;"",X291&gt;0.5),"Check - ran over the estimate","OK"))))))</f>
        <v>0</v>
      </c>
    </row>
    <row r="292" spans="1:27">
      <c r="A292" s="43">
        <f>IF(IFERROR(INDEX(Jobs!$A$5:$A$604,ROW()-4),"")="","",IFERROR(INDEX(Jobs!$A$5:$A$604,ROW()-4),""))</f>
        <v>0</v>
      </c>
      <c r="B292" s="18">
        <f>IF(A292="","",IFERROR(INDEX(Jobs!$B$5:$B$604,MATCH(A292,Jobs!$A$5:$A$604,0)),""))</f>
        <v>0</v>
      </c>
      <c r="C292" s="23">
        <f>IF(B292="","",TEXT(B292,"yyyy-mm"))</f>
        <v>0</v>
      </c>
      <c r="D292" s="43">
        <f>IF(A292="","",IFERROR(INDEX(Jobs!$G$5:$G$604,MATCH(A292,Jobs!$A$5:$A$604,0)),""))</f>
        <v>0</v>
      </c>
      <c r="E292" s="23">
        <f>IF(A292="","",IFERROR(INDEX(Jobs!$H$5:$H$604,MATCH(A292,Jobs!$A$5:$A$604,0)),""))</f>
        <v>0</v>
      </c>
      <c r="F292" s="23">
        <f>IF(A292="","",IFERROR(INDEX(Jobs!$K$5:$K$604,MATCH(A292,Jobs!$A$5:$A$604,0)),""))</f>
        <v>0</v>
      </c>
      <c r="G292" s="23">
        <f>IF(A292="","",IFERROR(INDEX(Jobs!$M$5:$M$604,MATCH(A292,Jobs!$A$5:$A$604,0)),""))</f>
        <v>0</v>
      </c>
      <c r="H292" s="23">
        <f>IF(A292="","",IFERROR(INDEX(Jobs!$R$5:$R$604,MATCH(A292,Jobs!$A$5:$A$604,0)),""))</f>
        <v>0</v>
      </c>
      <c r="I292" s="39">
        <f>IF(A292="","",IFERROR(INDEX(Jobs!$P$5:$P$604,MATCH(A292,Jobs!$A$5:$A$604,0)),""))</f>
        <v>0</v>
      </c>
      <c r="J292" s="21">
        <f>IF(A292="","",IF(OR(I292="Completed",I292="Invoiced"),IFERROR(INDEX(Jobs!$AJ$5:$AJ$604,MATCH(A292,Jobs!$A$5:$A$604,0)),0),0))</f>
        <v>0</v>
      </c>
      <c r="K292" s="34">
        <f>IF(A292="","",IFERROR(INDEX(Jobs!$AD$5:$AD$604,MATCH(A292,Jobs!$A$5:$A$604,0)),0))</f>
        <v>0</v>
      </c>
      <c r="L292" s="34">
        <f>IF(A292="","",IFERROR(INDEX(Jobs!$AK$5:$AK$604,MATCH(A292,Jobs!$A$5:$A$604,0)),0))</f>
        <v>0</v>
      </c>
      <c r="M292" s="34">
        <f>IF(A292="","",IF(IFERROR(L292*1,0)&gt;0,L292,IFERROR(K292*1,0)))</f>
        <v>0</v>
      </c>
      <c r="N292" s="21">
        <f>IF(A292="","",SUMIFS(Timesheets!$X$5:$X$804,Timesheets!$G$5:$G$804,A292))</f>
        <v>0</v>
      </c>
      <c r="O292" s="21">
        <f>IF(A292="","",IF(N292&gt;0,N292,ROUND(M292*CostPerHour,2)))</f>
        <v>0</v>
      </c>
      <c r="P292" s="21">
        <f>IF(A292="","",SUMIFS('Supply Usage'!$L$5:$L$304,'Supply Usage'!$F$5:$F$304,A292))</f>
        <v>0</v>
      </c>
      <c r="Q292" s="21">
        <f>IF(A292="","",IF(P292&gt;0,P292,ROUND(M292*SuppliesPerHour,2)))</f>
        <v>0</v>
      </c>
      <c r="R292" s="21">
        <f>IF(A292="","",ROUND(IFERROR(INDEX(Jobs!$W$5:$W$604,MATCH(A292,Jobs!$A$5:$A$604,0)),0)*MileageRate,2))</f>
        <v>0</v>
      </c>
      <c r="T292" s="21">
        <f>IF(A292="","",O292+Q292+R292+IF(S292="",0,S292))</f>
        <v>0</v>
      </c>
      <c r="U292" s="21">
        <f>IF(A292="","",J292-T292)</f>
        <v>0</v>
      </c>
      <c r="V292" s="38">
        <f>IF(OR(A292="",J292=0),"",U292/J292)</f>
        <v>0</v>
      </c>
      <c r="W292" s="21">
        <f>IF(OR(A292="",M292=0,J292=0),"",U292/M292)</f>
        <v>0</v>
      </c>
      <c r="X292" s="34">
        <f>IF(OR(A292="",L292="",L292=0,K292=""),"",L292-K292)</f>
        <v>0</v>
      </c>
      <c r="Y292" s="31">
        <f>IF(A292="","",COUNTIFS($U$5:$U$604,"&gt;"&amp;U292)+COUNTIFS($U$5:U292,U292))</f>
        <v>0</v>
      </c>
      <c r="Z292" s="31">
        <f>IF(A292="","",COUNTIFS($W$5:$W$604,"&gt;"&amp;W292)+COUNTIFS($W$5:W292,W292))</f>
        <v>0</v>
      </c>
      <c r="AA292" s="39">
        <f>IF(A292="","",IF(J292=0,"",IF(U292&lt;0,"Loss - this job cost you money",IF(V292&lt;MarginFloor,"Below - margin under the floor",IF(V292&lt;TargetMargin,"Check - under target margin",IF(AND(X292&lt;&gt;"",X292&gt;0.5),"Check - ran over the estimate","OK"))))))</f>
        <v>0</v>
      </c>
    </row>
    <row r="293" spans="1:27">
      <c r="A293" s="43">
        <f>IF(IFERROR(INDEX(Jobs!$A$5:$A$604,ROW()-4),"")="","",IFERROR(INDEX(Jobs!$A$5:$A$604,ROW()-4),""))</f>
        <v>0</v>
      </c>
      <c r="B293" s="18">
        <f>IF(A293="","",IFERROR(INDEX(Jobs!$B$5:$B$604,MATCH(A293,Jobs!$A$5:$A$604,0)),""))</f>
        <v>0</v>
      </c>
      <c r="C293" s="23">
        <f>IF(B293="","",TEXT(B293,"yyyy-mm"))</f>
        <v>0</v>
      </c>
      <c r="D293" s="43">
        <f>IF(A293="","",IFERROR(INDEX(Jobs!$G$5:$G$604,MATCH(A293,Jobs!$A$5:$A$604,0)),""))</f>
        <v>0</v>
      </c>
      <c r="E293" s="23">
        <f>IF(A293="","",IFERROR(INDEX(Jobs!$H$5:$H$604,MATCH(A293,Jobs!$A$5:$A$604,0)),""))</f>
        <v>0</v>
      </c>
      <c r="F293" s="23">
        <f>IF(A293="","",IFERROR(INDEX(Jobs!$K$5:$K$604,MATCH(A293,Jobs!$A$5:$A$604,0)),""))</f>
        <v>0</v>
      </c>
      <c r="G293" s="23">
        <f>IF(A293="","",IFERROR(INDEX(Jobs!$M$5:$M$604,MATCH(A293,Jobs!$A$5:$A$604,0)),""))</f>
        <v>0</v>
      </c>
      <c r="H293" s="23">
        <f>IF(A293="","",IFERROR(INDEX(Jobs!$R$5:$R$604,MATCH(A293,Jobs!$A$5:$A$604,0)),""))</f>
        <v>0</v>
      </c>
      <c r="I293" s="39">
        <f>IF(A293="","",IFERROR(INDEX(Jobs!$P$5:$P$604,MATCH(A293,Jobs!$A$5:$A$604,0)),""))</f>
        <v>0</v>
      </c>
      <c r="J293" s="21">
        <f>IF(A293="","",IF(OR(I293="Completed",I293="Invoiced"),IFERROR(INDEX(Jobs!$AJ$5:$AJ$604,MATCH(A293,Jobs!$A$5:$A$604,0)),0),0))</f>
        <v>0</v>
      </c>
      <c r="K293" s="34">
        <f>IF(A293="","",IFERROR(INDEX(Jobs!$AD$5:$AD$604,MATCH(A293,Jobs!$A$5:$A$604,0)),0))</f>
        <v>0</v>
      </c>
      <c r="L293" s="34">
        <f>IF(A293="","",IFERROR(INDEX(Jobs!$AK$5:$AK$604,MATCH(A293,Jobs!$A$5:$A$604,0)),0))</f>
        <v>0</v>
      </c>
      <c r="M293" s="34">
        <f>IF(A293="","",IF(IFERROR(L293*1,0)&gt;0,L293,IFERROR(K293*1,0)))</f>
        <v>0</v>
      </c>
      <c r="N293" s="21">
        <f>IF(A293="","",SUMIFS(Timesheets!$X$5:$X$804,Timesheets!$G$5:$G$804,A293))</f>
        <v>0</v>
      </c>
      <c r="O293" s="21">
        <f>IF(A293="","",IF(N293&gt;0,N293,ROUND(M293*CostPerHour,2)))</f>
        <v>0</v>
      </c>
      <c r="P293" s="21">
        <f>IF(A293="","",SUMIFS('Supply Usage'!$L$5:$L$304,'Supply Usage'!$F$5:$F$304,A293))</f>
        <v>0</v>
      </c>
      <c r="Q293" s="21">
        <f>IF(A293="","",IF(P293&gt;0,P293,ROUND(M293*SuppliesPerHour,2)))</f>
        <v>0</v>
      </c>
      <c r="R293" s="21">
        <f>IF(A293="","",ROUND(IFERROR(INDEX(Jobs!$W$5:$W$604,MATCH(A293,Jobs!$A$5:$A$604,0)),0)*MileageRate,2))</f>
        <v>0</v>
      </c>
      <c r="T293" s="21">
        <f>IF(A293="","",O293+Q293+R293+IF(S293="",0,S293))</f>
        <v>0</v>
      </c>
      <c r="U293" s="21">
        <f>IF(A293="","",J293-T293)</f>
        <v>0</v>
      </c>
      <c r="V293" s="38">
        <f>IF(OR(A293="",J293=0),"",U293/J293)</f>
        <v>0</v>
      </c>
      <c r="W293" s="21">
        <f>IF(OR(A293="",M293=0,J293=0),"",U293/M293)</f>
        <v>0</v>
      </c>
      <c r="X293" s="34">
        <f>IF(OR(A293="",L293="",L293=0,K293=""),"",L293-K293)</f>
        <v>0</v>
      </c>
      <c r="Y293" s="31">
        <f>IF(A293="","",COUNTIFS($U$5:$U$604,"&gt;"&amp;U293)+COUNTIFS($U$5:U293,U293))</f>
        <v>0</v>
      </c>
      <c r="Z293" s="31">
        <f>IF(A293="","",COUNTIFS($W$5:$W$604,"&gt;"&amp;W293)+COUNTIFS($W$5:W293,W293))</f>
        <v>0</v>
      </c>
      <c r="AA293" s="39">
        <f>IF(A293="","",IF(J293=0,"",IF(U293&lt;0,"Loss - this job cost you money",IF(V293&lt;MarginFloor,"Below - margin under the floor",IF(V293&lt;TargetMargin,"Check - under target margin",IF(AND(X293&lt;&gt;"",X293&gt;0.5),"Check - ran over the estimate","OK"))))))</f>
        <v>0</v>
      </c>
    </row>
    <row r="294" spans="1:27">
      <c r="A294" s="43">
        <f>IF(IFERROR(INDEX(Jobs!$A$5:$A$604,ROW()-4),"")="","",IFERROR(INDEX(Jobs!$A$5:$A$604,ROW()-4),""))</f>
        <v>0</v>
      </c>
      <c r="B294" s="18">
        <f>IF(A294="","",IFERROR(INDEX(Jobs!$B$5:$B$604,MATCH(A294,Jobs!$A$5:$A$604,0)),""))</f>
        <v>0</v>
      </c>
      <c r="C294" s="23">
        <f>IF(B294="","",TEXT(B294,"yyyy-mm"))</f>
        <v>0</v>
      </c>
      <c r="D294" s="43">
        <f>IF(A294="","",IFERROR(INDEX(Jobs!$G$5:$G$604,MATCH(A294,Jobs!$A$5:$A$604,0)),""))</f>
        <v>0</v>
      </c>
      <c r="E294" s="23">
        <f>IF(A294="","",IFERROR(INDEX(Jobs!$H$5:$H$604,MATCH(A294,Jobs!$A$5:$A$604,0)),""))</f>
        <v>0</v>
      </c>
      <c r="F294" s="23">
        <f>IF(A294="","",IFERROR(INDEX(Jobs!$K$5:$K$604,MATCH(A294,Jobs!$A$5:$A$604,0)),""))</f>
        <v>0</v>
      </c>
      <c r="G294" s="23">
        <f>IF(A294="","",IFERROR(INDEX(Jobs!$M$5:$M$604,MATCH(A294,Jobs!$A$5:$A$604,0)),""))</f>
        <v>0</v>
      </c>
      <c r="H294" s="23">
        <f>IF(A294="","",IFERROR(INDEX(Jobs!$R$5:$R$604,MATCH(A294,Jobs!$A$5:$A$604,0)),""))</f>
        <v>0</v>
      </c>
      <c r="I294" s="39">
        <f>IF(A294="","",IFERROR(INDEX(Jobs!$P$5:$P$604,MATCH(A294,Jobs!$A$5:$A$604,0)),""))</f>
        <v>0</v>
      </c>
      <c r="J294" s="21">
        <f>IF(A294="","",IF(OR(I294="Completed",I294="Invoiced"),IFERROR(INDEX(Jobs!$AJ$5:$AJ$604,MATCH(A294,Jobs!$A$5:$A$604,0)),0),0))</f>
        <v>0</v>
      </c>
      <c r="K294" s="34">
        <f>IF(A294="","",IFERROR(INDEX(Jobs!$AD$5:$AD$604,MATCH(A294,Jobs!$A$5:$A$604,0)),0))</f>
        <v>0</v>
      </c>
      <c r="L294" s="34">
        <f>IF(A294="","",IFERROR(INDEX(Jobs!$AK$5:$AK$604,MATCH(A294,Jobs!$A$5:$A$604,0)),0))</f>
        <v>0</v>
      </c>
      <c r="M294" s="34">
        <f>IF(A294="","",IF(IFERROR(L294*1,0)&gt;0,L294,IFERROR(K294*1,0)))</f>
        <v>0</v>
      </c>
      <c r="N294" s="21">
        <f>IF(A294="","",SUMIFS(Timesheets!$X$5:$X$804,Timesheets!$G$5:$G$804,A294))</f>
        <v>0</v>
      </c>
      <c r="O294" s="21">
        <f>IF(A294="","",IF(N294&gt;0,N294,ROUND(M294*CostPerHour,2)))</f>
        <v>0</v>
      </c>
      <c r="P294" s="21">
        <f>IF(A294="","",SUMIFS('Supply Usage'!$L$5:$L$304,'Supply Usage'!$F$5:$F$304,A294))</f>
        <v>0</v>
      </c>
      <c r="Q294" s="21">
        <f>IF(A294="","",IF(P294&gt;0,P294,ROUND(M294*SuppliesPerHour,2)))</f>
        <v>0</v>
      </c>
      <c r="R294" s="21">
        <f>IF(A294="","",ROUND(IFERROR(INDEX(Jobs!$W$5:$W$604,MATCH(A294,Jobs!$A$5:$A$604,0)),0)*MileageRate,2))</f>
        <v>0</v>
      </c>
      <c r="T294" s="21">
        <f>IF(A294="","",O294+Q294+R294+IF(S294="",0,S294))</f>
        <v>0</v>
      </c>
      <c r="U294" s="21">
        <f>IF(A294="","",J294-T294)</f>
        <v>0</v>
      </c>
      <c r="V294" s="38">
        <f>IF(OR(A294="",J294=0),"",U294/J294)</f>
        <v>0</v>
      </c>
      <c r="W294" s="21">
        <f>IF(OR(A294="",M294=0,J294=0),"",U294/M294)</f>
        <v>0</v>
      </c>
      <c r="X294" s="34">
        <f>IF(OR(A294="",L294="",L294=0,K294=""),"",L294-K294)</f>
        <v>0</v>
      </c>
      <c r="Y294" s="31">
        <f>IF(A294="","",COUNTIFS($U$5:$U$604,"&gt;"&amp;U294)+COUNTIFS($U$5:U294,U294))</f>
        <v>0</v>
      </c>
      <c r="Z294" s="31">
        <f>IF(A294="","",COUNTIFS($W$5:$W$604,"&gt;"&amp;W294)+COUNTIFS($W$5:W294,W294))</f>
        <v>0</v>
      </c>
      <c r="AA294" s="39">
        <f>IF(A294="","",IF(J294=0,"",IF(U294&lt;0,"Loss - this job cost you money",IF(V294&lt;MarginFloor,"Below - margin under the floor",IF(V294&lt;TargetMargin,"Check - under target margin",IF(AND(X294&lt;&gt;"",X294&gt;0.5),"Check - ran over the estimate","OK"))))))</f>
        <v>0</v>
      </c>
    </row>
    <row r="295" spans="1:27">
      <c r="A295" s="43">
        <f>IF(IFERROR(INDEX(Jobs!$A$5:$A$604,ROW()-4),"")="","",IFERROR(INDEX(Jobs!$A$5:$A$604,ROW()-4),""))</f>
        <v>0</v>
      </c>
      <c r="B295" s="18">
        <f>IF(A295="","",IFERROR(INDEX(Jobs!$B$5:$B$604,MATCH(A295,Jobs!$A$5:$A$604,0)),""))</f>
        <v>0</v>
      </c>
      <c r="C295" s="23">
        <f>IF(B295="","",TEXT(B295,"yyyy-mm"))</f>
        <v>0</v>
      </c>
      <c r="D295" s="43">
        <f>IF(A295="","",IFERROR(INDEX(Jobs!$G$5:$G$604,MATCH(A295,Jobs!$A$5:$A$604,0)),""))</f>
        <v>0</v>
      </c>
      <c r="E295" s="23">
        <f>IF(A295="","",IFERROR(INDEX(Jobs!$H$5:$H$604,MATCH(A295,Jobs!$A$5:$A$604,0)),""))</f>
        <v>0</v>
      </c>
      <c r="F295" s="23">
        <f>IF(A295="","",IFERROR(INDEX(Jobs!$K$5:$K$604,MATCH(A295,Jobs!$A$5:$A$604,0)),""))</f>
        <v>0</v>
      </c>
      <c r="G295" s="23">
        <f>IF(A295="","",IFERROR(INDEX(Jobs!$M$5:$M$604,MATCH(A295,Jobs!$A$5:$A$604,0)),""))</f>
        <v>0</v>
      </c>
      <c r="H295" s="23">
        <f>IF(A295="","",IFERROR(INDEX(Jobs!$R$5:$R$604,MATCH(A295,Jobs!$A$5:$A$604,0)),""))</f>
        <v>0</v>
      </c>
      <c r="I295" s="39">
        <f>IF(A295="","",IFERROR(INDEX(Jobs!$P$5:$P$604,MATCH(A295,Jobs!$A$5:$A$604,0)),""))</f>
        <v>0</v>
      </c>
      <c r="J295" s="21">
        <f>IF(A295="","",IF(OR(I295="Completed",I295="Invoiced"),IFERROR(INDEX(Jobs!$AJ$5:$AJ$604,MATCH(A295,Jobs!$A$5:$A$604,0)),0),0))</f>
        <v>0</v>
      </c>
      <c r="K295" s="34">
        <f>IF(A295="","",IFERROR(INDEX(Jobs!$AD$5:$AD$604,MATCH(A295,Jobs!$A$5:$A$604,0)),0))</f>
        <v>0</v>
      </c>
      <c r="L295" s="34">
        <f>IF(A295="","",IFERROR(INDEX(Jobs!$AK$5:$AK$604,MATCH(A295,Jobs!$A$5:$A$604,0)),0))</f>
        <v>0</v>
      </c>
      <c r="M295" s="34">
        <f>IF(A295="","",IF(IFERROR(L295*1,0)&gt;0,L295,IFERROR(K295*1,0)))</f>
        <v>0</v>
      </c>
      <c r="N295" s="21">
        <f>IF(A295="","",SUMIFS(Timesheets!$X$5:$X$804,Timesheets!$G$5:$G$804,A295))</f>
        <v>0</v>
      </c>
      <c r="O295" s="21">
        <f>IF(A295="","",IF(N295&gt;0,N295,ROUND(M295*CostPerHour,2)))</f>
        <v>0</v>
      </c>
      <c r="P295" s="21">
        <f>IF(A295="","",SUMIFS('Supply Usage'!$L$5:$L$304,'Supply Usage'!$F$5:$F$304,A295))</f>
        <v>0</v>
      </c>
      <c r="Q295" s="21">
        <f>IF(A295="","",IF(P295&gt;0,P295,ROUND(M295*SuppliesPerHour,2)))</f>
        <v>0</v>
      </c>
      <c r="R295" s="21">
        <f>IF(A295="","",ROUND(IFERROR(INDEX(Jobs!$W$5:$W$604,MATCH(A295,Jobs!$A$5:$A$604,0)),0)*MileageRate,2))</f>
        <v>0</v>
      </c>
      <c r="T295" s="21">
        <f>IF(A295="","",O295+Q295+R295+IF(S295="",0,S295))</f>
        <v>0</v>
      </c>
      <c r="U295" s="21">
        <f>IF(A295="","",J295-T295)</f>
        <v>0</v>
      </c>
      <c r="V295" s="38">
        <f>IF(OR(A295="",J295=0),"",U295/J295)</f>
        <v>0</v>
      </c>
      <c r="W295" s="21">
        <f>IF(OR(A295="",M295=0,J295=0),"",U295/M295)</f>
        <v>0</v>
      </c>
      <c r="X295" s="34">
        <f>IF(OR(A295="",L295="",L295=0,K295=""),"",L295-K295)</f>
        <v>0</v>
      </c>
      <c r="Y295" s="31">
        <f>IF(A295="","",COUNTIFS($U$5:$U$604,"&gt;"&amp;U295)+COUNTIFS($U$5:U295,U295))</f>
        <v>0</v>
      </c>
      <c r="Z295" s="31">
        <f>IF(A295="","",COUNTIFS($W$5:$W$604,"&gt;"&amp;W295)+COUNTIFS($W$5:W295,W295))</f>
        <v>0</v>
      </c>
      <c r="AA295" s="39">
        <f>IF(A295="","",IF(J295=0,"",IF(U295&lt;0,"Loss - this job cost you money",IF(V295&lt;MarginFloor,"Below - margin under the floor",IF(V295&lt;TargetMargin,"Check - under target margin",IF(AND(X295&lt;&gt;"",X295&gt;0.5),"Check - ran over the estimate","OK"))))))</f>
        <v>0</v>
      </c>
    </row>
    <row r="296" spans="1:27">
      <c r="A296" s="43">
        <f>IF(IFERROR(INDEX(Jobs!$A$5:$A$604,ROW()-4),"")="","",IFERROR(INDEX(Jobs!$A$5:$A$604,ROW()-4),""))</f>
        <v>0</v>
      </c>
      <c r="B296" s="18">
        <f>IF(A296="","",IFERROR(INDEX(Jobs!$B$5:$B$604,MATCH(A296,Jobs!$A$5:$A$604,0)),""))</f>
        <v>0</v>
      </c>
      <c r="C296" s="23">
        <f>IF(B296="","",TEXT(B296,"yyyy-mm"))</f>
        <v>0</v>
      </c>
      <c r="D296" s="43">
        <f>IF(A296="","",IFERROR(INDEX(Jobs!$G$5:$G$604,MATCH(A296,Jobs!$A$5:$A$604,0)),""))</f>
        <v>0</v>
      </c>
      <c r="E296" s="23">
        <f>IF(A296="","",IFERROR(INDEX(Jobs!$H$5:$H$604,MATCH(A296,Jobs!$A$5:$A$604,0)),""))</f>
        <v>0</v>
      </c>
      <c r="F296" s="23">
        <f>IF(A296="","",IFERROR(INDEX(Jobs!$K$5:$K$604,MATCH(A296,Jobs!$A$5:$A$604,0)),""))</f>
        <v>0</v>
      </c>
      <c r="G296" s="23">
        <f>IF(A296="","",IFERROR(INDEX(Jobs!$M$5:$M$604,MATCH(A296,Jobs!$A$5:$A$604,0)),""))</f>
        <v>0</v>
      </c>
      <c r="H296" s="23">
        <f>IF(A296="","",IFERROR(INDEX(Jobs!$R$5:$R$604,MATCH(A296,Jobs!$A$5:$A$604,0)),""))</f>
        <v>0</v>
      </c>
      <c r="I296" s="39">
        <f>IF(A296="","",IFERROR(INDEX(Jobs!$P$5:$P$604,MATCH(A296,Jobs!$A$5:$A$604,0)),""))</f>
        <v>0</v>
      </c>
      <c r="J296" s="21">
        <f>IF(A296="","",IF(OR(I296="Completed",I296="Invoiced"),IFERROR(INDEX(Jobs!$AJ$5:$AJ$604,MATCH(A296,Jobs!$A$5:$A$604,0)),0),0))</f>
        <v>0</v>
      </c>
      <c r="K296" s="34">
        <f>IF(A296="","",IFERROR(INDEX(Jobs!$AD$5:$AD$604,MATCH(A296,Jobs!$A$5:$A$604,0)),0))</f>
        <v>0</v>
      </c>
      <c r="L296" s="34">
        <f>IF(A296="","",IFERROR(INDEX(Jobs!$AK$5:$AK$604,MATCH(A296,Jobs!$A$5:$A$604,0)),0))</f>
        <v>0</v>
      </c>
      <c r="M296" s="34">
        <f>IF(A296="","",IF(IFERROR(L296*1,0)&gt;0,L296,IFERROR(K296*1,0)))</f>
        <v>0</v>
      </c>
      <c r="N296" s="21">
        <f>IF(A296="","",SUMIFS(Timesheets!$X$5:$X$804,Timesheets!$G$5:$G$804,A296))</f>
        <v>0</v>
      </c>
      <c r="O296" s="21">
        <f>IF(A296="","",IF(N296&gt;0,N296,ROUND(M296*CostPerHour,2)))</f>
        <v>0</v>
      </c>
      <c r="P296" s="21">
        <f>IF(A296="","",SUMIFS('Supply Usage'!$L$5:$L$304,'Supply Usage'!$F$5:$F$304,A296))</f>
        <v>0</v>
      </c>
      <c r="Q296" s="21">
        <f>IF(A296="","",IF(P296&gt;0,P296,ROUND(M296*SuppliesPerHour,2)))</f>
        <v>0</v>
      </c>
      <c r="R296" s="21">
        <f>IF(A296="","",ROUND(IFERROR(INDEX(Jobs!$W$5:$W$604,MATCH(A296,Jobs!$A$5:$A$604,0)),0)*MileageRate,2))</f>
        <v>0</v>
      </c>
      <c r="T296" s="21">
        <f>IF(A296="","",O296+Q296+R296+IF(S296="",0,S296))</f>
        <v>0</v>
      </c>
      <c r="U296" s="21">
        <f>IF(A296="","",J296-T296)</f>
        <v>0</v>
      </c>
      <c r="V296" s="38">
        <f>IF(OR(A296="",J296=0),"",U296/J296)</f>
        <v>0</v>
      </c>
      <c r="W296" s="21">
        <f>IF(OR(A296="",M296=0,J296=0),"",U296/M296)</f>
        <v>0</v>
      </c>
      <c r="X296" s="34">
        <f>IF(OR(A296="",L296="",L296=0,K296=""),"",L296-K296)</f>
        <v>0</v>
      </c>
      <c r="Y296" s="31">
        <f>IF(A296="","",COUNTIFS($U$5:$U$604,"&gt;"&amp;U296)+COUNTIFS($U$5:U296,U296))</f>
        <v>0</v>
      </c>
      <c r="Z296" s="31">
        <f>IF(A296="","",COUNTIFS($W$5:$W$604,"&gt;"&amp;W296)+COUNTIFS($W$5:W296,W296))</f>
        <v>0</v>
      </c>
      <c r="AA296" s="39">
        <f>IF(A296="","",IF(J296=0,"",IF(U296&lt;0,"Loss - this job cost you money",IF(V296&lt;MarginFloor,"Below - margin under the floor",IF(V296&lt;TargetMargin,"Check - under target margin",IF(AND(X296&lt;&gt;"",X296&gt;0.5),"Check - ran over the estimate","OK"))))))</f>
        <v>0</v>
      </c>
    </row>
    <row r="297" spans="1:27">
      <c r="A297" s="43">
        <f>IF(IFERROR(INDEX(Jobs!$A$5:$A$604,ROW()-4),"")="","",IFERROR(INDEX(Jobs!$A$5:$A$604,ROW()-4),""))</f>
        <v>0</v>
      </c>
      <c r="B297" s="18">
        <f>IF(A297="","",IFERROR(INDEX(Jobs!$B$5:$B$604,MATCH(A297,Jobs!$A$5:$A$604,0)),""))</f>
        <v>0</v>
      </c>
      <c r="C297" s="23">
        <f>IF(B297="","",TEXT(B297,"yyyy-mm"))</f>
        <v>0</v>
      </c>
      <c r="D297" s="43">
        <f>IF(A297="","",IFERROR(INDEX(Jobs!$G$5:$G$604,MATCH(A297,Jobs!$A$5:$A$604,0)),""))</f>
        <v>0</v>
      </c>
      <c r="E297" s="23">
        <f>IF(A297="","",IFERROR(INDEX(Jobs!$H$5:$H$604,MATCH(A297,Jobs!$A$5:$A$604,0)),""))</f>
        <v>0</v>
      </c>
      <c r="F297" s="23">
        <f>IF(A297="","",IFERROR(INDEX(Jobs!$K$5:$K$604,MATCH(A297,Jobs!$A$5:$A$604,0)),""))</f>
        <v>0</v>
      </c>
      <c r="G297" s="23">
        <f>IF(A297="","",IFERROR(INDEX(Jobs!$M$5:$M$604,MATCH(A297,Jobs!$A$5:$A$604,0)),""))</f>
        <v>0</v>
      </c>
      <c r="H297" s="23">
        <f>IF(A297="","",IFERROR(INDEX(Jobs!$R$5:$R$604,MATCH(A297,Jobs!$A$5:$A$604,0)),""))</f>
        <v>0</v>
      </c>
      <c r="I297" s="39">
        <f>IF(A297="","",IFERROR(INDEX(Jobs!$P$5:$P$604,MATCH(A297,Jobs!$A$5:$A$604,0)),""))</f>
        <v>0</v>
      </c>
      <c r="J297" s="21">
        <f>IF(A297="","",IF(OR(I297="Completed",I297="Invoiced"),IFERROR(INDEX(Jobs!$AJ$5:$AJ$604,MATCH(A297,Jobs!$A$5:$A$604,0)),0),0))</f>
        <v>0</v>
      </c>
      <c r="K297" s="34">
        <f>IF(A297="","",IFERROR(INDEX(Jobs!$AD$5:$AD$604,MATCH(A297,Jobs!$A$5:$A$604,0)),0))</f>
        <v>0</v>
      </c>
      <c r="L297" s="34">
        <f>IF(A297="","",IFERROR(INDEX(Jobs!$AK$5:$AK$604,MATCH(A297,Jobs!$A$5:$A$604,0)),0))</f>
        <v>0</v>
      </c>
      <c r="M297" s="34">
        <f>IF(A297="","",IF(IFERROR(L297*1,0)&gt;0,L297,IFERROR(K297*1,0)))</f>
        <v>0</v>
      </c>
      <c r="N297" s="21">
        <f>IF(A297="","",SUMIFS(Timesheets!$X$5:$X$804,Timesheets!$G$5:$G$804,A297))</f>
        <v>0</v>
      </c>
      <c r="O297" s="21">
        <f>IF(A297="","",IF(N297&gt;0,N297,ROUND(M297*CostPerHour,2)))</f>
        <v>0</v>
      </c>
      <c r="P297" s="21">
        <f>IF(A297="","",SUMIFS('Supply Usage'!$L$5:$L$304,'Supply Usage'!$F$5:$F$304,A297))</f>
        <v>0</v>
      </c>
      <c r="Q297" s="21">
        <f>IF(A297="","",IF(P297&gt;0,P297,ROUND(M297*SuppliesPerHour,2)))</f>
        <v>0</v>
      </c>
      <c r="R297" s="21">
        <f>IF(A297="","",ROUND(IFERROR(INDEX(Jobs!$W$5:$W$604,MATCH(A297,Jobs!$A$5:$A$604,0)),0)*MileageRate,2))</f>
        <v>0</v>
      </c>
      <c r="T297" s="21">
        <f>IF(A297="","",O297+Q297+R297+IF(S297="",0,S297))</f>
        <v>0</v>
      </c>
      <c r="U297" s="21">
        <f>IF(A297="","",J297-T297)</f>
        <v>0</v>
      </c>
      <c r="V297" s="38">
        <f>IF(OR(A297="",J297=0),"",U297/J297)</f>
        <v>0</v>
      </c>
      <c r="W297" s="21">
        <f>IF(OR(A297="",M297=0,J297=0),"",U297/M297)</f>
        <v>0</v>
      </c>
      <c r="X297" s="34">
        <f>IF(OR(A297="",L297="",L297=0,K297=""),"",L297-K297)</f>
        <v>0</v>
      </c>
      <c r="Y297" s="31">
        <f>IF(A297="","",COUNTIFS($U$5:$U$604,"&gt;"&amp;U297)+COUNTIFS($U$5:U297,U297))</f>
        <v>0</v>
      </c>
      <c r="Z297" s="31">
        <f>IF(A297="","",COUNTIFS($W$5:$W$604,"&gt;"&amp;W297)+COUNTIFS($W$5:W297,W297))</f>
        <v>0</v>
      </c>
      <c r="AA297" s="39">
        <f>IF(A297="","",IF(J297=0,"",IF(U297&lt;0,"Loss - this job cost you money",IF(V297&lt;MarginFloor,"Below - margin under the floor",IF(V297&lt;TargetMargin,"Check - under target margin",IF(AND(X297&lt;&gt;"",X297&gt;0.5),"Check - ran over the estimate","OK"))))))</f>
        <v>0</v>
      </c>
    </row>
    <row r="298" spans="1:27">
      <c r="A298" s="43">
        <f>IF(IFERROR(INDEX(Jobs!$A$5:$A$604,ROW()-4),"")="","",IFERROR(INDEX(Jobs!$A$5:$A$604,ROW()-4),""))</f>
        <v>0</v>
      </c>
      <c r="B298" s="18">
        <f>IF(A298="","",IFERROR(INDEX(Jobs!$B$5:$B$604,MATCH(A298,Jobs!$A$5:$A$604,0)),""))</f>
        <v>0</v>
      </c>
      <c r="C298" s="23">
        <f>IF(B298="","",TEXT(B298,"yyyy-mm"))</f>
        <v>0</v>
      </c>
      <c r="D298" s="43">
        <f>IF(A298="","",IFERROR(INDEX(Jobs!$G$5:$G$604,MATCH(A298,Jobs!$A$5:$A$604,0)),""))</f>
        <v>0</v>
      </c>
      <c r="E298" s="23">
        <f>IF(A298="","",IFERROR(INDEX(Jobs!$H$5:$H$604,MATCH(A298,Jobs!$A$5:$A$604,0)),""))</f>
        <v>0</v>
      </c>
      <c r="F298" s="23">
        <f>IF(A298="","",IFERROR(INDEX(Jobs!$K$5:$K$604,MATCH(A298,Jobs!$A$5:$A$604,0)),""))</f>
        <v>0</v>
      </c>
      <c r="G298" s="23">
        <f>IF(A298="","",IFERROR(INDEX(Jobs!$M$5:$M$604,MATCH(A298,Jobs!$A$5:$A$604,0)),""))</f>
        <v>0</v>
      </c>
      <c r="H298" s="23">
        <f>IF(A298="","",IFERROR(INDEX(Jobs!$R$5:$R$604,MATCH(A298,Jobs!$A$5:$A$604,0)),""))</f>
        <v>0</v>
      </c>
      <c r="I298" s="39">
        <f>IF(A298="","",IFERROR(INDEX(Jobs!$P$5:$P$604,MATCH(A298,Jobs!$A$5:$A$604,0)),""))</f>
        <v>0</v>
      </c>
      <c r="J298" s="21">
        <f>IF(A298="","",IF(OR(I298="Completed",I298="Invoiced"),IFERROR(INDEX(Jobs!$AJ$5:$AJ$604,MATCH(A298,Jobs!$A$5:$A$604,0)),0),0))</f>
        <v>0</v>
      </c>
      <c r="K298" s="34">
        <f>IF(A298="","",IFERROR(INDEX(Jobs!$AD$5:$AD$604,MATCH(A298,Jobs!$A$5:$A$604,0)),0))</f>
        <v>0</v>
      </c>
      <c r="L298" s="34">
        <f>IF(A298="","",IFERROR(INDEX(Jobs!$AK$5:$AK$604,MATCH(A298,Jobs!$A$5:$A$604,0)),0))</f>
        <v>0</v>
      </c>
      <c r="M298" s="34">
        <f>IF(A298="","",IF(IFERROR(L298*1,0)&gt;0,L298,IFERROR(K298*1,0)))</f>
        <v>0</v>
      </c>
      <c r="N298" s="21">
        <f>IF(A298="","",SUMIFS(Timesheets!$X$5:$X$804,Timesheets!$G$5:$G$804,A298))</f>
        <v>0</v>
      </c>
      <c r="O298" s="21">
        <f>IF(A298="","",IF(N298&gt;0,N298,ROUND(M298*CostPerHour,2)))</f>
        <v>0</v>
      </c>
      <c r="P298" s="21">
        <f>IF(A298="","",SUMIFS('Supply Usage'!$L$5:$L$304,'Supply Usage'!$F$5:$F$304,A298))</f>
        <v>0</v>
      </c>
      <c r="Q298" s="21">
        <f>IF(A298="","",IF(P298&gt;0,P298,ROUND(M298*SuppliesPerHour,2)))</f>
        <v>0</v>
      </c>
      <c r="R298" s="21">
        <f>IF(A298="","",ROUND(IFERROR(INDEX(Jobs!$W$5:$W$604,MATCH(A298,Jobs!$A$5:$A$604,0)),0)*MileageRate,2))</f>
        <v>0</v>
      </c>
      <c r="T298" s="21">
        <f>IF(A298="","",O298+Q298+R298+IF(S298="",0,S298))</f>
        <v>0</v>
      </c>
      <c r="U298" s="21">
        <f>IF(A298="","",J298-T298)</f>
        <v>0</v>
      </c>
      <c r="V298" s="38">
        <f>IF(OR(A298="",J298=0),"",U298/J298)</f>
        <v>0</v>
      </c>
      <c r="W298" s="21">
        <f>IF(OR(A298="",M298=0,J298=0),"",U298/M298)</f>
        <v>0</v>
      </c>
      <c r="X298" s="34">
        <f>IF(OR(A298="",L298="",L298=0,K298=""),"",L298-K298)</f>
        <v>0</v>
      </c>
      <c r="Y298" s="31">
        <f>IF(A298="","",COUNTIFS($U$5:$U$604,"&gt;"&amp;U298)+COUNTIFS($U$5:U298,U298))</f>
        <v>0</v>
      </c>
      <c r="Z298" s="31">
        <f>IF(A298="","",COUNTIFS($W$5:$W$604,"&gt;"&amp;W298)+COUNTIFS($W$5:W298,W298))</f>
        <v>0</v>
      </c>
      <c r="AA298" s="39">
        <f>IF(A298="","",IF(J298=0,"",IF(U298&lt;0,"Loss - this job cost you money",IF(V298&lt;MarginFloor,"Below - margin under the floor",IF(V298&lt;TargetMargin,"Check - under target margin",IF(AND(X298&lt;&gt;"",X298&gt;0.5),"Check - ran over the estimate","OK"))))))</f>
        <v>0</v>
      </c>
    </row>
    <row r="299" spans="1:27">
      <c r="A299" s="43">
        <f>IF(IFERROR(INDEX(Jobs!$A$5:$A$604,ROW()-4),"")="","",IFERROR(INDEX(Jobs!$A$5:$A$604,ROW()-4),""))</f>
        <v>0</v>
      </c>
      <c r="B299" s="18">
        <f>IF(A299="","",IFERROR(INDEX(Jobs!$B$5:$B$604,MATCH(A299,Jobs!$A$5:$A$604,0)),""))</f>
        <v>0</v>
      </c>
      <c r="C299" s="23">
        <f>IF(B299="","",TEXT(B299,"yyyy-mm"))</f>
        <v>0</v>
      </c>
      <c r="D299" s="43">
        <f>IF(A299="","",IFERROR(INDEX(Jobs!$G$5:$G$604,MATCH(A299,Jobs!$A$5:$A$604,0)),""))</f>
        <v>0</v>
      </c>
      <c r="E299" s="23">
        <f>IF(A299="","",IFERROR(INDEX(Jobs!$H$5:$H$604,MATCH(A299,Jobs!$A$5:$A$604,0)),""))</f>
        <v>0</v>
      </c>
      <c r="F299" s="23">
        <f>IF(A299="","",IFERROR(INDEX(Jobs!$K$5:$K$604,MATCH(A299,Jobs!$A$5:$A$604,0)),""))</f>
        <v>0</v>
      </c>
      <c r="G299" s="23">
        <f>IF(A299="","",IFERROR(INDEX(Jobs!$M$5:$M$604,MATCH(A299,Jobs!$A$5:$A$604,0)),""))</f>
        <v>0</v>
      </c>
      <c r="H299" s="23">
        <f>IF(A299="","",IFERROR(INDEX(Jobs!$R$5:$R$604,MATCH(A299,Jobs!$A$5:$A$604,0)),""))</f>
        <v>0</v>
      </c>
      <c r="I299" s="39">
        <f>IF(A299="","",IFERROR(INDEX(Jobs!$P$5:$P$604,MATCH(A299,Jobs!$A$5:$A$604,0)),""))</f>
        <v>0</v>
      </c>
      <c r="J299" s="21">
        <f>IF(A299="","",IF(OR(I299="Completed",I299="Invoiced"),IFERROR(INDEX(Jobs!$AJ$5:$AJ$604,MATCH(A299,Jobs!$A$5:$A$604,0)),0),0))</f>
        <v>0</v>
      </c>
      <c r="K299" s="34">
        <f>IF(A299="","",IFERROR(INDEX(Jobs!$AD$5:$AD$604,MATCH(A299,Jobs!$A$5:$A$604,0)),0))</f>
        <v>0</v>
      </c>
      <c r="L299" s="34">
        <f>IF(A299="","",IFERROR(INDEX(Jobs!$AK$5:$AK$604,MATCH(A299,Jobs!$A$5:$A$604,0)),0))</f>
        <v>0</v>
      </c>
      <c r="M299" s="34">
        <f>IF(A299="","",IF(IFERROR(L299*1,0)&gt;0,L299,IFERROR(K299*1,0)))</f>
        <v>0</v>
      </c>
      <c r="N299" s="21">
        <f>IF(A299="","",SUMIFS(Timesheets!$X$5:$X$804,Timesheets!$G$5:$G$804,A299))</f>
        <v>0</v>
      </c>
      <c r="O299" s="21">
        <f>IF(A299="","",IF(N299&gt;0,N299,ROUND(M299*CostPerHour,2)))</f>
        <v>0</v>
      </c>
      <c r="P299" s="21">
        <f>IF(A299="","",SUMIFS('Supply Usage'!$L$5:$L$304,'Supply Usage'!$F$5:$F$304,A299))</f>
        <v>0</v>
      </c>
      <c r="Q299" s="21">
        <f>IF(A299="","",IF(P299&gt;0,P299,ROUND(M299*SuppliesPerHour,2)))</f>
        <v>0</v>
      </c>
      <c r="R299" s="21">
        <f>IF(A299="","",ROUND(IFERROR(INDEX(Jobs!$W$5:$W$604,MATCH(A299,Jobs!$A$5:$A$604,0)),0)*MileageRate,2))</f>
        <v>0</v>
      </c>
      <c r="T299" s="21">
        <f>IF(A299="","",O299+Q299+R299+IF(S299="",0,S299))</f>
        <v>0</v>
      </c>
      <c r="U299" s="21">
        <f>IF(A299="","",J299-T299)</f>
        <v>0</v>
      </c>
      <c r="V299" s="38">
        <f>IF(OR(A299="",J299=0),"",U299/J299)</f>
        <v>0</v>
      </c>
      <c r="W299" s="21">
        <f>IF(OR(A299="",M299=0,J299=0),"",U299/M299)</f>
        <v>0</v>
      </c>
      <c r="X299" s="34">
        <f>IF(OR(A299="",L299="",L299=0,K299=""),"",L299-K299)</f>
        <v>0</v>
      </c>
      <c r="Y299" s="31">
        <f>IF(A299="","",COUNTIFS($U$5:$U$604,"&gt;"&amp;U299)+COUNTIFS($U$5:U299,U299))</f>
        <v>0</v>
      </c>
      <c r="Z299" s="31">
        <f>IF(A299="","",COUNTIFS($W$5:$W$604,"&gt;"&amp;W299)+COUNTIFS($W$5:W299,W299))</f>
        <v>0</v>
      </c>
      <c r="AA299" s="39">
        <f>IF(A299="","",IF(J299=0,"",IF(U299&lt;0,"Loss - this job cost you money",IF(V299&lt;MarginFloor,"Below - margin under the floor",IF(V299&lt;TargetMargin,"Check - under target margin",IF(AND(X299&lt;&gt;"",X299&gt;0.5),"Check - ran over the estimate","OK"))))))</f>
        <v>0</v>
      </c>
    </row>
    <row r="300" spans="1:27">
      <c r="A300" s="43">
        <f>IF(IFERROR(INDEX(Jobs!$A$5:$A$604,ROW()-4),"")="","",IFERROR(INDEX(Jobs!$A$5:$A$604,ROW()-4),""))</f>
        <v>0</v>
      </c>
      <c r="B300" s="18">
        <f>IF(A300="","",IFERROR(INDEX(Jobs!$B$5:$B$604,MATCH(A300,Jobs!$A$5:$A$604,0)),""))</f>
        <v>0</v>
      </c>
      <c r="C300" s="23">
        <f>IF(B300="","",TEXT(B300,"yyyy-mm"))</f>
        <v>0</v>
      </c>
      <c r="D300" s="43">
        <f>IF(A300="","",IFERROR(INDEX(Jobs!$G$5:$G$604,MATCH(A300,Jobs!$A$5:$A$604,0)),""))</f>
        <v>0</v>
      </c>
      <c r="E300" s="23">
        <f>IF(A300="","",IFERROR(INDEX(Jobs!$H$5:$H$604,MATCH(A300,Jobs!$A$5:$A$604,0)),""))</f>
        <v>0</v>
      </c>
      <c r="F300" s="23">
        <f>IF(A300="","",IFERROR(INDEX(Jobs!$K$5:$K$604,MATCH(A300,Jobs!$A$5:$A$604,0)),""))</f>
        <v>0</v>
      </c>
      <c r="G300" s="23">
        <f>IF(A300="","",IFERROR(INDEX(Jobs!$M$5:$M$604,MATCH(A300,Jobs!$A$5:$A$604,0)),""))</f>
        <v>0</v>
      </c>
      <c r="H300" s="23">
        <f>IF(A300="","",IFERROR(INDEX(Jobs!$R$5:$R$604,MATCH(A300,Jobs!$A$5:$A$604,0)),""))</f>
        <v>0</v>
      </c>
      <c r="I300" s="39">
        <f>IF(A300="","",IFERROR(INDEX(Jobs!$P$5:$P$604,MATCH(A300,Jobs!$A$5:$A$604,0)),""))</f>
        <v>0</v>
      </c>
      <c r="J300" s="21">
        <f>IF(A300="","",IF(OR(I300="Completed",I300="Invoiced"),IFERROR(INDEX(Jobs!$AJ$5:$AJ$604,MATCH(A300,Jobs!$A$5:$A$604,0)),0),0))</f>
        <v>0</v>
      </c>
      <c r="K300" s="34">
        <f>IF(A300="","",IFERROR(INDEX(Jobs!$AD$5:$AD$604,MATCH(A300,Jobs!$A$5:$A$604,0)),0))</f>
        <v>0</v>
      </c>
      <c r="L300" s="34">
        <f>IF(A300="","",IFERROR(INDEX(Jobs!$AK$5:$AK$604,MATCH(A300,Jobs!$A$5:$A$604,0)),0))</f>
        <v>0</v>
      </c>
      <c r="M300" s="34">
        <f>IF(A300="","",IF(IFERROR(L300*1,0)&gt;0,L300,IFERROR(K300*1,0)))</f>
        <v>0</v>
      </c>
      <c r="N300" s="21">
        <f>IF(A300="","",SUMIFS(Timesheets!$X$5:$X$804,Timesheets!$G$5:$G$804,A300))</f>
        <v>0</v>
      </c>
      <c r="O300" s="21">
        <f>IF(A300="","",IF(N300&gt;0,N300,ROUND(M300*CostPerHour,2)))</f>
        <v>0</v>
      </c>
      <c r="P300" s="21">
        <f>IF(A300="","",SUMIFS('Supply Usage'!$L$5:$L$304,'Supply Usage'!$F$5:$F$304,A300))</f>
        <v>0</v>
      </c>
      <c r="Q300" s="21">
        <f>IF(A300="","",IF(P300&gt;0,P300,ROUND(M300*SuppliesPerHour,2)))</f>
        <v>0</v>
      </c>
      <c r="R300" s="21">
        <f>IF(A300="","",ROUND(IFERROR(INDEX(Jobs!$W$5:$W$604,MATCH(A300,Jobs!$A$5:$A$604,0)),0)*MileageRate,2))</f>
        <v>0</v>
      </c>
      <c r="T300" s="21">
        <f>IF(A300="","",O300+Q300+R300+IF(S300="",0,S300))</f>
        <v>0</v>
      </c>
      <c r="U300" s="21">
        <f>IF(A300="","",J300-T300)</f>
        <v>0</v>
      </c>
      <c r="V300" s="38">
        <f>IF(OR(A300="",J300=0),"",U300/J300)</f>
        <v>0</v>
      </c>
      <c r="W300" s="21">
        <f>IF(OR(A300="",M300=0,J300=0),"",U300/M300)</f>
        <v>0</v>
      </c>
      <c r="X300" s="34">
        <f>IF(OR(A300="",L300="",L300=0,K300=""),"",L300-K300)</f>
        <v>0</v>
      </c>
      <c r="Y300" s="31">
        <f>IF(A300="","",COUNTIFS($U$5:$U$604,"&gt;"&amp;U300)+COUNTIFS($U$5:U300,U300))</f>
        <v>0</v>
      </c>
      <c r="Z300" s="31">
        <f>IF(A300="","",COUNTIFS($W$5:$W$604,"&gt;"&amp;W300)+COUNTIFS($W$5:W300,W300))</f>
        <v>0</v>
      </c>
      <c r="AA300" s="39">
        <f>IF(A300="","",IF(J300=0,"",IF(U300&lt;0,"Loss - this job cost you money",IF(V300&lt;MarginFloor,"Below - margin under the floor",IF(V300&lt;TargetMargin,"Check - under target margin",IF(AND(X300&lt;&gt;"",X300&gt;0.5),"Check - ran over the estimate","OK"))))))</f>
        <v>0</v>
      </c>
    </row>
    <row r="301" spans="1:27">
      <c r="A301" s="43">
        <f>IF(IFERROR(INDEX(Jobs!$A$5:$A$604,ROW()-4),"")="","",IFERROR(INDEX(Jobs!$A$5:$A$604,ROW()-4),""))</f>
        <v>0</v>
      </c>
      <c r="B301" s="18">
        <f>IF(A301="","",IFERROR(INDEX(Jobs!$B$5:$B$604,MATCH(A301,Jobs!$A$5:$A$604,0)),""))</f>
        <v>0</v>
      </c>
      <c r="C301" s="23">
        <f>IF(B301="","",TEXT(B301,"yyyy-mm"))</f>
        <v>0</v>
      </c>
      <c r="D301" s="43">
        <f>IF(A301="","",IFERROR(INDEX(Jobs!$G$5:$G$604,MATCH(A301,Jobs!$A$5:$A$604,0)),""))</f>
        <v>0</v>
      </c>
      <c r="E301" s="23">
        <f>IF(A301="","",IFERROR(INDEX(Jobs!$H$5:$H$604,MATCH(A301,Jobs!$A$5:$A$604,0)),""))</f>
        <v>0</v>
      </c>
      <c r="F301" s="23">
        <f>IF(A301="","",IFERROR(INDEX(Jobs!$K$5:$K$604,MATCH(A301,Jobs!$A$5:$A$604,0)),""))</f>
        <v>0</v>
      </c>
      <c r="G301" s="23">
        <f>IF(A301="","",IFERROR(INDEX(Jobs!$M$5:$M$604,MATCH(A301,Jobs!$A$5:$A$604,0)),""))</f>
        <v>0</v>
      </c>
      <c r="H301" s="23">
        <f>IF(A301="","",IFERROR(INDEX(Jobs!$R$5:$R$604,MATCH(A301,Jobs!$A$5:$A$604,0)),""))</f>
        <v>0</v>
      </c>
      <c r="I301" s="39">
        <f>IF(A301="","",IFERROR(INDEX(Jobs!$P$5:$P$604,MATCH(A301,Jobs!$A$5:$A$604,0)),""))</f>
        <v>0</v>
      </c>
      <c r="J301" s="21">
        <f>IF(A301="","",IF(OR(I301="Completed",I301="Invoiced"),IFERROR(INDEX(Jobs!$AJ$5:$AJ$604,MATCH(A301,Jobs!$A$5:$A$604,0)),0),0))</f>
        <v>0</v>
      </c>
      <c r="K301" s="34">
        <f>IF(A301="","",IFERROR(INDEX(Jobs!$AD$5:$AD$604,MATCH(A301,Jobs!$A$5:$A$604,0)),0))</f>
        <v>0</v>
      </c>
      <c r="L301" s="34">
        <f>IF(A301="","",IFERROR(INDEX(Jobs!$AK$5:$AK$604,MATCH(A301,Jobs!$A$5:$A$604,0)),0))</f>
        <v>0</v>
      </c>
      <c r="M301" s="34">
        <f>IF(A301="","",IF(IFERROR(L301*1,0)&gt;0,L301,IFERROR(K301*1,0)))</f>
        <v>0</v>
      </c>
      <c r="N301" s="21">
        <f>IF(A301="","",SUMIFS(Timesheets!$X$5:$X$804,Timesheets!$G$5:$G$804,A301))</f>
        <v>0</v>
      </c>
      <c r="O301" s="21">
        <f>IF(A301="","",IF(N301&gt;0,N301,ROUND(M301*CostPerHour,2)))</f>
        <v>0</v>
      </c>
      <c r="P301" s="21">
        <f>IF(A301="","",SUMIFS('Supply Usage'!$L$5:$L$304,'Supply Usage'!$F$5:$F$304,A301))</f>
        <v>0</v>
      </c>
      <c r="Q301" s="21">
        <f>IF(A301="","",IF(P301&gt;0,P301,ROUND(M301*SuppliesPerHour,2)))</f>
        <v>0</v>
      </c>
      <c r="R301" s="21">
        <f>IF(A301="","",ROUND(IFERROR(INDEX(Jobs!$W$5:$W$604,MATCH(A301,Jobs!$A$5:$A$604,0)),0)*MileageRate,2))</f>
        <v>0</v>
      </c>
      <c r="T301" s="21">
        <f>IF(A301="","",O301+Q301+R301+IF(S301="",0,S301))</f>
        <v>0</v>
      </c>
      <c r="U301" s="21">
        <f>IF(A301="","",J301-T301)</f>
        <v>0</v>
      </c>
      <c r="V301" s="38">
        <f>IF(OR(A301="",J301=0),"",U301/J301)</f>
        <v>0</v>
      </c>
      <c r="W301" s="21">
        <f>IF(OR(A301="",M301=0,J301=0),"",U301/M301)</f>
        <v>0</v>
      </c>
      <c r="X301" s="34">
        <f>IF(OR(A301="",L301="",L301=0,K301=""),"",L301-K301)</f>
        <v>0</v>
      </c>
      <c r="Y301" s="31">
        <f>IF(A301="","",COUNTIFS($U$5:$U$604,"&gt;"&amp;U301)+COUNTIFS($U$5:U301,U301))</f>
        <v>0</v>
      </c>
      <c r="Z301" s="31">
        <f>IF(A301="","",COUNTIFS($W$5:$W$604,"&gt;"&amp;W301)+COUNTIFS($W$5:W301,W301))</f>
        <v>0</v>
      </c>
      <c r="AA301" s="39">
        <f>IF(A301="","",IF(J301=0,"",IF(U301&lt;0,"Loss - this job cost you money",IF(V301&lt;MarginFloor,"Below - margin under the floor",IF(V301&lt;TargetMargin,"Check - under target margin",IF(AND(X301&lt;&gt;"",X301&gt;0.5),"Check - ran over the estimate","OK"))))))</f>
        <v>0</v>
      </c>
    </row>
    <row r="302" spans="1:27">
      <c r="A302" s="43">
        <f>IF(IFERROR(INDEX(Jobs!$A$5:$A$604,ROW()-4),"")="","",IFERROR(INDEX(Jobs!$A$5:$A$604,ROW()-4),""))</f>
        <v>0</v>
      </c>
      <c r="B302" s="18">
        <f>IF(A302="","",IFERROR(INDEX(Jobs!$B$5:$B$604,MATCH(A302,Jobs!$A$5:$A$604,0)),""))</f>
        <v>0</v>
      </c>
      <c r="C302" s="23">
        <f>IF(B302="","",TEXT(B302,"yyyy-mm"))</f>
        <v>0</v>
      </c>
      <c r="D302" s="43">
        <f>IF(A302="","",IFERROR(INDEX(Jobs!$G$5:$G$604,MATCH(A302,Jobs!$A$5:$A$604,0)),""))</f>
        <v>0</v>
      </c>
      <c r="E302" s="23">
        <f>IF(A302="","",IFERROR(INDEX(Jobs!$H$5:$H$604,MATCH(A302,Jobs!$A$5:$A$604,0)),""))</f>
        <v>0</v>
      </c>
      <c r="F302" s="23">
        <f>IF(A302="","",IFERROR(INDEX(Jobs!$K$5:$K$604,MATCH(A302,Jobs!$A$5:$A$604,0)),""))</f>
        <v>0</v>
      </c>
      <c r="G302" s="23">
        <f>IF(A302="","",IFERROR(INDEX(Jobs!$M$5:$M$604,MATCH(A302,Jobs!$A$5:$A$604,0)),""))</f>
        <v>0</v>
      </c>
      <c r="H302" s="23">
        <f>IF(A302="","",IFERROR(INDEX(Jobs!$R$5:$R$604,MATCH(A302,Jobs!$A$5:$A$604,0)),""))</f>
        <v>0</v>
      </c>
      <c r="I302" s="39">
        <f>IF(A302="","",IFERROR(INDEX(Jobs!$P$5:$P$604,MATCH(A302,Jobs!$A$5:$A$604,0)),""))</f>
        <v>0</v>
      </c>
      <c r="J302" s="21">
        <f>IF(A302="","",IF(OR(I302="Completed",I302="Invoiced"),IFERROR(INDEX(Jobs!$AJ$5:$AJ$604,MATCH(A302,Jobs!$A$5:$A$604,0)),0),0))</f>
        <v>0</v>
      </c>
      <c r="K302" s="34">
        <f>IF(A302="","",IFERROR(INDEX(Jobs!$AD$5:$AD$604,MATCH(A302,Jobs!$A$5:$A$604,0)),0))</f>
        <v>0</v>
      </c>
      <c r="L302" s="34">
        <f>IF(A302="","",IFERROR(INDEX(Jobs!$AK$5:$AK$604,MATCH(A302,Jobs!$A$5:$A$604,0)),0))</f>
        <v>0</v>
      </c>
      <c r="M302" s="34">
        <f>IF(A302="","",IF(IFERROR(L302*1,0)&gt;0,L302,IFERROR(K302*1,0)))</f>
        <v>0</v>
      </c>
      <c r="N302" s="21">
        <f>IF(A302="","",SUMIFS(Timesheets!$X$5:$X$804,Timesheets!$G$5:$G$804,A302))</f>
        <v>0</v>
      </c>
      <c r="O302" s="21">
        <f>IF(A302="","",IF(N302&gt;0,N302,ROUND(M302*CostPerHour,2)))</f>
        <v>0</v>
      </c>
      <c r="P302" s="21">
        <f>IF(A302="","",SUMIFS('Supply Usage'!$L$5:$L$304,'Supply Usage'!$F$5:$F$304,A302))</f>
        <v>0</v>
      </c>
      <c r="Q302" s="21">
        <f>IF(A302="","",IF(P302&gt;0,P302,ROUND(M302*SuppliesPerHour,2)))</f>
        <v>0</v>
      </c>
      <c r="R302" s="21">
        <f>IF(A302="","",ROUND(IFERROR(INDEX(Jobs!$W$5:$W$604,MATCH(A302,Jobs!$A$5:$A$604,0)),0)*MileageRate,2))</f>
        <v>0</v>
      </c>
      <c r="T302" s="21">
        <f>IF(A302="","",O302+Q302+R302+IF(S302="",0,S302))</f>
        <v>0</v>
      </c>
      <c r="U302" s="21">
        <f>IF(A302="","",J302-T302)</f>
        <v>0</v>
      </c>
      <c r="V302" s="38">
        <f>IF(OR(A302="",J302=0),"",U302/J302)</f>
        <v>0</v>
      </c>
      <c r="W302" s="21">
        <f>IF(OR(A302="",M302=0,J302=0),"",U302/M302)</f>
        <v>0</v>
      </c>
      <c r="X302" s="34">
        <f>IF(OR(A302="",L302="",L302=0,K302=""),"",L302-K302)</f>
        <v>0</v>
      </c>
      <c r="Y302" s="31">
        <f>IF(A302="","",COUNTIFS($U$5:$U$604,"&gt;"&amp;U302)+COUNTIFS($U$5:U302,U302))</f>
        <v>0</v>
      </c>
      <c r="Z302" s="31">
        <f>IF(A302="","",COUNTIFS($W$5:$W$604,"&gt;"&amp;W302)+COUNTIFS($W$5:W302,W302))</f>
        <v>0</v>
      </c>
      <c r="AA302" s="39">
        <f>IF(A302="","",IF(J302=0,"",IF(U302&lt;0,"Loss - this job cost you money",IF(V302&lt;MarginFloor,"Below - margin under the floor",IF(V302&lt;TargetMargin,"Check - under target margin",IF(AND(X302&lt;&gt;"",X302&gt;0.5),"Check - ran over the estimate","OK"))))))</f>
        <v>0</v>
      </c>
    </row>
    <row r="303" spans="1:27">
      <c r="A303" s="43">
        <f>IF(IFERROR(INDEX(Jobs!$A$5:$A$604,ROW()-4),"")="","",IFERROR(INDEX(Jobs!$A$5:$A$604,ROW()-4),""))</f>
        <v>0</v>
      </c>
      <c r="B303" s="18">
        <f>IF(A303="","",IFERROR(INDEX(Jobs!$B$5:$B$604,MATCH(A303,Jobs!$A$5:$A$604,0)),""))</f>
        <v>0</v>
      </c>
      <c r="C303" s="23">
        <f>IF(B303="","",TEXT(B303,"yyyy-mm"))</f>
        <v>0</v>
      </c>
      <c r="D303" s="43">
        <f>IF(A303="","",IFERROR(INDEX(Jobs!$G$5:$G$604,MATCH(A303,Jobs!$A$5:$A$604,0)),""))</f>
        <v>0</v>
      </c>
      <c r="E303" s="23">
        <f>IF(A303="","",IFERROR(INDEX(Jobs!$H$5:$H$604,MATCH(A303,Jobs!$A$5:$A$604,0)),""))</f>
        <v>0</v>
      </c>
      <c r="F303" s="23">
        <f>IF(A303="","",IFERROR(INDEX(Jobs!$K$5:$K$604,MATCH(A303,Jobs!$A$5:$A$604,0)),""))</f>
        <v>0</v>
      </c>
      <c r="G303" s="23">
        <f>IF(A303="","",IFERROR(INDEX(Jobs!$M$5:$M$604,MATCH(A303,Jobs!$A$5:$A$604,0)),""))</f>
        <v>0</v>
      </c>
      <c r="H303" s="23">
        <f>IF(A303="","",IFERROR(INDEX(Jobs!$R$5:$R$604,MATCH(A303,Jobs!$A$5:$A$604,0)),""))</f>
        <v>0</v>
      </c>
      <c r="I303" s="39">
        <f>IF(A303="","",IFERROR(INDEX(Jobs!$P$5:$P$604,MATCH(A303,Jobs!$A$5:$A$604,0)),""))</f>
        <v>0</v>
      </c>
      <c r="J303" s="21">
        <f>IF(A303="","",IF(OR(I303="Completed",I303="Invoiced"),IFERROR(INDEX(Jobs!$AJ$5:$AJ$604,MATCH(A303,Jobs!$A$5:$A$604,0)),0),0))</f>
        <v>0</v>
      </c>
      <c r="K303" s="34">
        <f>IF(A303="","",IFERROR(INDEX(Jobs!$AD$5:$AD$604,MATCH(A303,Jobs!$A$5:$A$604,0)),0))</f>
        <v>0</v>
      </c>
      <c r="L303" s="34">
        <f>IF(A303="","",IFERROR(INDEX(Jobs!$AK$5:$AK$604,MATCH(A303,Jobs!$A$5:$A$604,0)),0))</f>
        <v>0</v>
      </c>
      <c r="M303" s="34">
        <f>IF(A303="","",IF(IFERROR(L303*1,0)&gt;0,L303,IFERROR(K303*1,0)))</f>
        <v>0</v>
      </c>
      <c r="N303" s="21">
        <f>IF(A303="","",SUMIFS(Timesheets!$X$5:$X$804,Timesheets!$G$5:$G$804,A303))</f>
        <v>0</v>
      </c>
      <c r="O303" s="21">
        <f>IF(A303="","",IF(N303&gt;0,N303,ROUND(M303*CostPerHour,2)))</f>
        <v>0</v>
      </c>
      <c r="P303" s="21">
        <f>IF(A303="","",SUMIFS('Supply Usage'!$L$5:$L$304,'Supply Usage'!$F$5:$F$304,A303))</f>
        <v>0</v>
      </c>
      <c r="Q303" s="21">
        <f>IF(A303="","",IF(P303&gt;0,P303,ROUND(M303*SuppliesPerHour,2)))</f>
        <v>0</v>
      </c>
      <c r="R303" s="21">
        <f>IF(A303="","",ROUND(IFERROR(INDEX(Jobs!$W$5:$W$604,MATCH(A303,Jobs!$A$5:$A$604,0)),0)*MileageRate,2))</f>
        <v>0</v>
      </c>
      <c r="T303" s="21">
        <f>IF(A303="","",O303+Q303+R303+IF(S303="",0,S303))</f>
        <v>0</v>
      </c>
      <c r="U303" s="21">
        <f>IF(A303="","",J303-T303)</f>
        <v>0</v>
      </c>
      <c r="V303" s="38">
        <f>IF(OR(A303="",J303=0),"",U303/J303)</f>
        <v>0</v>
      </c>
      <c r="W303" s="21">
        <f>IF(OR(A303="",M303=0,J303=0),"",U303/M303)</f>
        <v>0</v>
      </c>
      <c r="X303" s="34">
        <f>IF(OR(A303="",L303="",L303=0,K303=""),"",L303-K303)</f>
        <v>0</v>
      </c>
      <c r="Y303" s="31">
        <f>IF(A303="","",COUNTIFS($U$5:$U$604,"&gt;"&amp;U303)+COUNTIFS($U$5:U303,U303))</f>
        <v>0</v>
      </c>
      <c r="Z303" s="31">
        <f>IF(A303="","",COUNTIFS($W$5:$W$604,"&gt;"&amp;W303)+COUNTIFS($W$5:W303,W303))</f>
        <v>0</v>
      </c>
      <c r="AA303" s="39">
        <f>IF(A303="","",IF(J303=0,"",IF(U303&lt;0,"Loss - this job cost you money",IF(V303&lt;MarginFloor,"Below - margin under the floor",IF(V303&lt;TargetMargin,"Check - under target margin",IF(AND(X303&lt;&gt;"",X303&gt;0.5),"Check - ran over the estimate","OK"))))))</f>
        <v>0</v>
      </c>
    </row>
    <row r="304" spans="1:27">
      <c r="A304" s="43">
        <f>IF(IFERROR(INDEX(Jobs!$A$5:$A$604,ROW()-4),"")="","",IFERROR(INDEX(Jobs!$A$5:$A$604,ROW()-4),""))</f>
        <v>0</v>
      </c>
      <c r="B304" s="18">
        <f>IF(A304="","",IFERROR(INDEX(Jobs!$B$5:$B$604,MATCH(A304,Jobs!$A$5:$A$604,0)),""))</f>
        <v>0</v>
      </c>
      <c r="C304" s="23">
        <f>IF(B304="","",TEXT(B304,"yyyy-mm"))</f>
        <v>0</v>
      </c>
      <c r="D304" s="43">
        <f>IF(A304="","",IFERROR(INDEX(Jobs!$G$5:$G$604,MATCH(A304,Jobs!$A$5:$A$604,0)),""))</f>
        <v>0</v>
      </c>
      <c r="E304" s="23">
        <f>IF(A304="","",IFERROR(INDEX(Jobs!$H$5:$H$604,MATCH(A304,Jobs!$A$5:$A$604,0)),""))</f>
        <v>0</v>
      </c>
      <c r="F304" s="23">
        <f>IF(A304="","",IFERROR(INDEX(Jobs!$K$5:$K$604,MATCH(A304,Jobs!$A$5:$A$604,0)),""))</f>
        <v>0</v>
      </c>
      <c r="G304" s="23">
        <f>IF(A304="","",IFERROR(INDEX(Jobs!$M$5:$M$604,MATCH(A304,Jobs!$A$5:$A$604,0)),""))</f>
        <v>0</v>
      </c>
      <c r="H304" s="23">
        <f>IF(A304="","",IFERROR(INDEX(Jobs!$R$5:$R$604,MATCH(A304,Jobs!$A$5:$A$604,0)),""))</f>
        <v>0</v>
      </c>
      <c r="I304" s="39">
        <f>IF(A304="","",IFERROR(INDEX(Jobs!$P$5:$P$604,MATCH(A304,Jobs!$A$5:$A$604,0)),""))</f>
        <v>0</v>
      </c>
      <c r="J304" s="21">
        <f>IF(A304="","",IF(OR(I304="Completed",I304="Invoiced"),IFERROR(INDEX(Jobs!$AJ$5:$AJ$604,MATCH(A304,Jobs!$A$5:$A$604,0)),0),0))</f>
        <v>0</v>
      </c>
      <c r="K304" s="34">
        <f>IF(A304="","",IFERROR(INDEX(Jobs!$AD$5:$AD$604,MATCH(A304,Jobs!$A$5:$A$604,0)),0))</f>
        <v>0</v>
      </c>
      <c r="L304" s="34">
        <f>IF(A304="","",IFERROR(INDEX(Jobs!$AK$5:$AK$604,MATCH(A304,Jobs!$A$5:$A$604,0)),0))</f>
        <v>0</v>
      </c>
      <c r="M304" s="34">
        <f>IF(A304="","",IF(IFERROR(L304*1,0)&gt;0,L304,IFERROR(K304*1,0)))</f>
        <v>0</v>
      </c>
      <c r="N304" s="21">
        <f>IF(A304="","",SUMIFS(Timesheets!$X$5:$X$804,Timesheets!$G$5:$G$804,A304))</f>
        <v>0</v>
      </c>
      <c r="O304" s="21">
        <f>IF(A304="","",IF(N304&gt;0,N304,ROUND(M304*CostPerHour,2)))</f>
        <v>0</v>
      </c>
      <c r="P304" s="21">
        <f>IF(A304="","",SUMIFS('Supply Usage'!$L$5:$L$304,'Supply Usage'!$F$5:$F$304,A304))</f>
        <v>0</v>
      </c>
      <c r="Q304" s="21">
        <f>IF(A304="","",IF(P304&gt;0,P304,ROUND(M304*SuppliesPerHour,2)))</f>
        <v>0</v>
      </c>
      <c r="R304" s="21">
        <f>IF(A304="","",ROUND(IFERROR(INDEX(Jobs!$W$5:$W$604,MATCH(A304,Jobs!$A$5:$A$604,0)),0)*MileageRate,2))</f>
        <v>0</v>
      </c>
      <c r="T304" s="21">
        <f>IF(A304="","",O304+Q304+R304+IF(S304="",0,S304))</f>
        <v>0</v>
      </c>
      <c r="U304" s="21">
        <f>IF(A304="","",J304-T304)</f>
        <v>0</v>
      </c>
      <c r="V304" s="38">
        <f>IF(OR(A304="",J304=0),"",U304/J304)</f>
        <v>0</v>
      </c>
      <c r="W304" s="21">
        <f>IF(OR(A304="",M304=0,J304=0),"",U304/M304)</f>
        <v>0</v>
      </c>
      <c r="X304" s="34">
        <f>IF(OR(A304="",L304="",L304=0,K304=""),"",L304-K304)</f>
        <v>0</v>
      </c>
      <c r="Y304" s="31">
        <f>IF(A304="","",COUNTIFS($U$5:$U$604,"&gt;"&amp;U304)+COUNTIFS($U$5:U304,U304))</f>
        <v>0</v>
      </c>
      <c r="Z304" s="31">
        <f>IF(A304="","",COUNTIFS($W$5:$W$604,"&gt;"&amp;W304)+COUNTIFS($W$5:W304,W304))</f>
        <v>0</v>
      </c>
      <c r="AA304" s="39">
        <f>IF(A304="","",IF(J304=0,"",IF(U304&lt;0,"Loss - this job cost you money",IF(V304&lt;MarginFloor,"Below - margin under the floor",IF(V304&lt;TargetMargin,"Check - under target margin",IF(AND(X304&lt;&gt;"",X304&gt;0.5),"Check - ran over the estimate","OK"))))))</f>
        <v>0</v>
      </c>
    </row>
    <row r="305" spans="1:27">
      <c r="A305" s="43">
        <f>IF(IFERROR(INDEX(Jobs!$A$5:$A$604,ROW()-4),"")="","",IFERROR(INDEX(Jobs!$A$5:$A$604,ROW()-4),""))</f>
        <v>0</v>
      </c>
      <c r="B305" s="18">
        <f>IF(A305="","",IFERROR(INDEX(Jobs!$B$5:$B$604,MATCH(A305,Jobs!$A$5:$A$604,0)),""))</f>
        <v>0</v>
      </c>
      <c r="C305" s="23">
        <f>IF(B305="","",TEXT(B305,"yyyy-mm"))</f>
        <v>0</v>
      </c>
      <c r="D305" s="43">
        <f>IF(A305="","",IFERROR(INDEX(Jobs!$G$5:$G$604,MATCH(A305,Jobs!$A$5:$A$604,0)),""))</f>
        <v>0</v>
      </c>
      <c r="E305" s="23">
        <f>IF(A305="","",IFERROR(INDEX(Jobs!$H$5:$H$604,MATCH(A305,Jobs!$A$5:$A$604,0)),""))</f>
        <v>0</v>
      </c>
      <c r="F305" s="23">
        <f>IF(A305="","",IFERROR(INDEX(Jobs!$K$5:$K$604,MATCH(A305,Jobs!$A$5:$A$604,0)),""))</f>
        <v>0</v>
      </c>
      <c r="G305" s="23">
        <f>IF(A305="","",IFERROR(INDEX(Jobs!$M$5:$M$604,MATCH(A305,Jobs!$A$5:$A$604,0)),""))</f>
        <v>0</v>
      </c>
      <c r="H305" s="23">
        <f>IF(A305="","",IFERROR(INDEX(Jobs!$R$5:$R$604,MATCH(A305,Jobs!$A$5:$A$604,0)),""))</f>
        <v>0</v>
      </c>
      <c r="I305" s="39">
        <f>IF(A305="","",IFERROR(INDEX(Jobs!$P$5:$P$604,MATCH(A305,Jobs!$A$5:$A$604,0)),""))</f>
        <v>0</v>
      </c>
      <c r="J305" s="21">
        <f>IF(A305="","",IF(OR(I305="Completed",I305="Invoiced"),IFERROR(INDEX(Jobs!$AJ$5:$AJ$604,MATCH(A305,Jobs!$A$5:$A$604,0)),0),0))</f>
        <v>0</v>
      </c>
      <c r="K305" s="34">
        <f>IF(A305="","",IFERROR(INDEX(Jobs!$AD$5:$AD$604,MATCH(A305,Jobs!$A$5:$A$604,0)),0))</f>
        <v>0</v>
      </c>
      <c r="L305" s="34">
        <f>IF(A305="","",IFERROR(INDEX(Jobs!$AK$5:$AK$604,MATCH(A305,Jobs!$A$5:$A$604,0)),0))</f>
        <v>0</v>
      </c>
      <c r="M305" s="34">
        <f>IF(A305="","",IF(IFERROR(L305*1,0)&gt;0,L305,IFERROR(K305*1,0)))</f>
        <v>0</v>
      </c>
      <c r="N305" s="21">
        <f>IF(A305="","",SUMIFS(Timesheets!$X$5:$X$804,Timesheets!$G$5:$G$804,A305))</f>
        <v>0</v>
      </c>
      <c r="O305" s="21">
        <f>IF(A305="","",IF(N305&gt;0,N305,ROUND(M305*CostPerHour,2)))</f>
        <v>0</v>
      </c>
      <c r="P305" s="21">
        <f>IF(A305="","",SUMIFS('Supply Usage'!$L$5:$L$304,'Supply Usage'!$F$5:$F$304,A305))</f>
        <v>0</v>
      </c>
      <c r="Q305" s="21">
        <f>IF(A305="","",IF(P305&gt;0,P305,ROUND(M305*SuppliesPerHour,2)))</f>
        <v>0</v>
      </c>
      <c r="R305" s="21">
        <f>IF(A305="","",ROUND(IFERROR(INDEX(Jobs!$W$5:$W$604,MATCH(A305,Jobs!$A$5:$A$604,0)),0)*MileageRate,2))</f>
        <v>0</v>
      </c>
      <c r="T305" s="21">
        <f>IF(A305="","",O305+Q305+R305+IF(S305="",0,S305))</f>
        <v>0</v>
      </c>
      <c r="U305" s="21">
        <f>IF(A305="","",J305-T305)</f>
        <v>0</v>
      </c>
      <c r="V305" s="38">
        <f>IF(OR(A305="",J305=0),"",U305/J305)</f>
        <v>0</v>
      </c>
      <c r="W305" s="21">
        <f>IF(OR(A305="",M305=0,J305=0),"",U305/M305)</f>
        <v>0</v>
      </c>
      <c r="X305" s="34">
        <f>IF(OR(A305="",L305="",L305=0,K305=""),"",L305-K305)</f>
        <v>0</v>
      </c>
      <c r="Y305" s="31">
        <f>IF(A305="","",COUNTIFS($U$5:$U$604,"&gt;"&amp;U305)+COUNTIFS($U$5:U305,U305))</f>
        <v>0</v>
      </c>
      <c r="Z305" s="31">
        <f>IF(A305="","",COUNTIFS($W$5:$W$604,"&gt;"&amp;W305)+COUNTIFS($W$5:W305,W305))</f>
        <v>0</v>
      </c>
      <c r="AA305" s="39">
        <f>IF(A305="","",IF(J305=0,"",IF(U305&lt;0,"Loss - this job cost you money",IF(V305&lt;MarginFloor,"Below - margin under the floor",IF(V305&lt;TargetMargin,"Check - under target margin",IF(AND(X305&lt;&gt;"",X305&gt;0.5),"Check - ran over the estimate","OK"))))))</f>
        <v>0</v>
      </c>
    </row>
    <row r="306" spans="1:27">
      <c r="A306" s="43">
        <f>IF(IFERROR(INDEX(Jobs!$A$5:$A$604,ROW()-4),"")="","",IFERROR(INDEX(Jobs!$A$5:$A$604,ROW()-4),""))</f>
        <v>0</v>
      </c>
      <c r="B306" s="18">
        <f>IF(A306="","",IFERROR(INDEX(Jobs!$B$5:$B$604,MATCH(A306,Jobs!$A$5:$A$604,0)),""))</f>
        <v>0</v>
      </c>
      <c r="C306" s="23">
        <f>IF(B306="","",TEXT(B306,"yyyy-mm"))</f>
        <v>0</v>
      </c>
      <c r="D306" s="43">
        <f>IF(A306="","",IFERROR(INDEX(Jobs!$G$5:$G$604,MATCH(A306,Jobs!$A$5:$A$604,0)),""))</f>
        <v>0</v>
      </c>
      <c r="E306" s="23">
        <f>IF(A306="","",IFERROR(INDEX(Jobs!$H$5:$H$604,MATCH(A306,Jobs!$A$5:$A$604,0)),""))</f>
        <v>0</v>
      </c>
      <c r="F306" s="23">
        <f>IF(A306="","",IFERROR(INDEX(Jobs!$K$5:$K$604,MATCH(A306,Jobs!$A$5:$A$604,0)),""))</f>
        <v>0</v>
      </c>
      <c r="G306" s="23">
        <f>IF(A306="","",IFERROR(INDEX(Jobs!$M$5:$M$604,MATCH(A306,Jobs!$A$5:$A$604,0)),""))</f>
        <v>0</v>
      </c>
      <c r="H306" s="23">
        <f>IF(A306="","",IFERROR(INDEX(Jobs!$R$5:$R$604,MATCH(A306,Jobs!$A$5:$A$604,0)),""))</f>
        <v>0</v>
      </c>
      <c r="I306" s="39">
        <f>IF(A306="","",IFERROR(INDEX(Jobs!$P$5:$P$604,MATCH(A306,Jobs!$A$5:$A$604,0)),""))</f>
        <v>0</v>
      </c>
      <c r="J306" s="21">
        <f>IF(A306="","",IF(OR(I306="Completed",I306="Invoiced"),IFERROR(INDEX(Jobs!$AJ$5:$AJ$604,MATCH(A306,Jobs!$A$5:$A$604,0)),0),0))</f>
        <v>0</v>
      </c>
      <c r="K306" s="34">
        <f>IF(A306="","",IFERROR(INDEX(Jobs!$AD$5:$AD$604,MATCH(A306,Jobs!$A$5:$A$604,0)),0))</f>
        <v>0</v>
      </c>
      <c r="L306" s="34">
        <f>IF(A306="","",IFERROR(INDEX(Jobs!$AK$5:$AK$604,MATCH(A306,Jobs!$A$5:$A$604,0)),0))</f>
        <v>0</v>
      </c>
      <c r="M306" s="34">
        <f>IF(A306="","",IF(IFERROR(L306*1,0)&gt;0,L306,IFERROR(K306*1,0)))</f>
        <v>0</v>
      </c>
      <c r="N306" s="21">
        <f>IF(A306="","",SUMIFS(Timesheets!$X$5:$X$804,Timesheets!$G$5:$G$804,A306))</f>
        <v>0</v>
      </c>
      <c r="O306" s="21">
        <f>IF(A306="","",IF(N306&gt;0,N306,ROUND(M306*CostPerHour,2)))</f>
        <v>0</v>
      </c>
      <c r="P306" s="21">
        <f>IF(A306="","",SUMIFS('Supply Usage'!$L$5:$L$304,'Supply Usage'!$F$5:$F$304,A306))</f>
        <v>0</v>
      </c>
      <c r="Q306" s="21">
        <f>IF(A306="","",IF(P306&gt;0,P306,ROUND(M306*SuppliesPerHour,2)))</f>
        <v>0</v>
      </c>
      <c r="R306" s="21">
        <f>IF(A306="","",ROUND(IFERROR(INDEX(Jobs!$W$5:$W$604,MATCH(A306,Jobs!$A$5:$A$604,0)),0)*MileageRate,2))</f>
        <v>0</v>
      </c>
      <c r="T306" s="21">
        <f>IF(A306="","",O306+Q306+R306+IF(S306="",0,S306))</f>
        <v>0</v>
      </c>
      <c r="U306" s="21">
        <f>IF(A306="","",J306-T306)</f>
        <v>0</v>
      </c>
      <c r="V306" s="38">
        <f>IF(OR(A306="",J306=0),"",U306/J306)</f>
        <v>0</v>
      </c>
      <c r="W306" s="21">
        <f>IF(OR(A306="",M306=0,J306=0),"",U306/M306)</f>
        <v>0</v>
      </c>
      <c r="X306" s="34">
        <f>IF(OR(A306="",L306="",L306=0,K306=""),"",L306-K306)</f>
        <v>0</v>
      </c>
      <c r="Y306" s="31">
        <f>IF(A306="","",COUNTIFS($U$5:$U$604,"&gt;"&amp;U306)+COUNTIFS($U$5:U306,U306))</f>
        <v>0</v>
      </c>
      <c r="Z306" s="31">
        <f>IF(A306="","",COUNTIFS($W$5:$W$604,"&gt;"&amp;W306)+COUNTIFS($W$5:W306,W306))</f>
        <v>0</v>
      </c>
      <c r="AA306" s="39">
        <f>IF(A306="","",IF(J306=0,"",IF(U306&lt;0,"Loss - this job cost you money",IF(V306&lt;MarginFloor,"Below - margin under the floor",IF(V306&lt;TargetMargin,"Check - under target margin",IF(AND(X306&lt;&gt;"",X306&gt;0.5),"Check - ran over the estimate","OK"))))))</f>
        <v>0</v>
      </c>
    </row>
    <row r="307" spans="1:27">
      <c r="A307" s="43">
        <f>IF(IFERROR(INDEX(Jobs!$A$5:$A$604,ROW()-4),"")="","",IFERROR(INDEX(Jobs!$A$5:$A$604,ROW()-4),""))</f>
        <v>0</v>
      </c>
      <c r="B307" s="18">
        <f>IF(A307="","",IFERROR(INDEX(Jobs!$B$5:$B$604,MATCH(A307,Jobs!$A$5:$A$604,0)),""))</f>
        <v>0</v>
      </c>
      <c r="C307" s="23">
        <f>IF(B307="","",TEXT(B307,"yyyy-mm"))</f>
        <v>0</v>
      </c>
      <c r="D307" s="43">
        <f>IF(A307="","",IFERROR(INDEX(Jobs!$G$5:$G$604,MATCH(A307,Jobs!$A$5:$A$604,0)),""))</f>
        <v>0</v>
      </c>
      <c r="E307" s="23">
        <f>IF(A307="","",IFERROR(INDEX(Jobs!$H$5:$H$604,MATCH(A307,Jobs!$A$5:$A$604,0)),""))</f>
        <v>0</v>
      </c>
      <c r="F307" s="23">
        <f>IF(A307="","",IFERROR(INDEX(Jobs!$K$5:$K$604,MATCH(A307,Jobs!$A$5:$A$604,0)),""))</f>
        <v>0</v>
      </c>
      <c r="G307" s="23">
        <f>IF(A307="","",IFERROR(INDEX(Jobs!$M$5:$M$604,MATCH(A307,Jobs!$A$5:$A$604,0)),""))</f>
        <v>0</v>
      </c>
      <c r="H307" s="23">
        <f>IF(A307="","",IFERROR(INDEX(Jobs!$R$5:$R$604,MATCH(A307,Jobs!$A$5:$A$604,0)),""))</f>
        <v>0</v>
      </c>
      <c r="I307" s="39">
        <f>IF(A307="","",IFERROR(INDEX(Jobs!$P$5:$P$604,MATCH(A307,Jobs!$A$5:$A$604,0)),""))</f>
        <v>0</v>
      </c>
      <c r="J307" s="21">
        <f>IF(A307="","",IF(OR(I307="Completed",I307="Invoiced"),IFERROR(INDEX(Jobs!$AJ$5:$AJ$604,MATCH(A307,Jobs!$A$5:$A$604,0)),0),0))</f>
        <v>0</v>
      </c>
      <c r="K307" s="34">
        <f>IF(A307="","",IFERROR(INDEX(Jobs!$AD$5:$AD$604,MATCH(A307,Jobs!$A$5:$A$604,0)),0))</f>
        <v>0</v>
      </c>
      <c r="L307" s="34">
        <f>IF(A307="","",IFERROR(INDEX(Jobs!$AK$5:$AK$604,MATCH(A307,Jobs!$A$5:$A$604,0)),0))</f>
        <v>0</v>
      </c>
      <c r="M307" s="34">
        <f>IF(A307="","",IF(IFERROR(L307*1,0)&gt;0,L307,IFERROR(K307*1,0)))</f>
        <v>0</v>
      </c>
      <c r="N307" s="21">
        <f>IF(A307="","",SUMIFS(Timesheets!$X$5:$X$804,Timesheets!$G$5:$G$804,A307))</f>
        <v>0</v>
      </c>
      <c r="O307" s="21">
        <f>IF(A307="","",IF(N307&gt;0,N307,ROUND(M307*CostPerHour,2)))</f>
        <v>0</v>
      </c>
      <c r="P307" s="21">
        <f>IF(A307="","",SUMIFS('Supply Usage'!$L$5:$L$304,'Supply Usage'!$F$5:$F$304,A307))</f>
        <v>0</v>
      </c>
      <c r="Q307" s="21">
        <f>IF(A307="","",IF(P307&gt;0,P307,ROUND(M307*SuppliesPerHour,2)))</f>
        <v>0</v>
      </c>
      <c r="R307" s="21">
        <f>IF(A307="","",ROUND(IFERROR(INDEX(Jobs!$W$5:$W$604,MATCH(A307,Jobs!$A$5:$A$604,0)),0)*MileageRate,2))</f>
        <v>0</v>
      </c>
      <c r="T307" s="21">
        <f>IF(A307="","",O307+Q307+R307+IF(S307="",0,S307))</f>
        <v>0</v>
      </c>
      <c r="U307" s="21">
        <f>IF(A307="","",J307-T307)</f>
        <v>0</v>
      </c>
      <c r="V307" s="38">
        <f>IF(OR(A307="",J307=0),"",U307/J307)</f>
        <v>0</v>
      </c>
      <c r="W307" s="21">
        <f>IF(OR(A307="",M307=0,J307=0),"",U307/M307)</f>
        <v>0</v>
      </c>
      <c r="X307" s="34">
        <f>IF(OR(A307="",L307="",L307=0,K307=""),"",L307-K307)</f>
        <v>0</v>
      </c>
      <c r="Y307" s="31">
        <f>IF(A307="","",COUNTIFS($U$5:$U$604,"&gt;"&amp;U307)+COUNTIFS($U$5:U307,U307))</f>
        <v>0</v>
      </c>
      <c r="Z307" s="31">
        <f>IF(A307="","",COUNTIFS($W$5:$W$604,"&gt;"&amp;W307)+COUNTIFS($W$5:W307,W307))</f>
        <v>0</v>
      </c>
      <c r="AA307" s="39">
        <f>IF(A307="","",IF(J307=0,"",IF(U307&lt;0,"Loss - this job cost you money",IF(V307&lt;MarginFloor,"Below - margin under the floor",IF(V307&lt;TargetMargin,"Check - under target margin",IF(AND(X307&lt;&gt;"",X307&gt;0.5),"Check - ran over the estimate","OK"))))))</f>
        <v>0</v>
      </c>
    </row>
    <row r="308" spans="1:27">
      <c r="A308" s="43">
        <f>IF(IFERROR(INDEX(Jobs!$A$5:$A$604,ROW()-4),"")="","",IFERROR(INDEX(Jobs!$A$5:$A$604,ROW()-4),""))</f>
        <v>0</v>
      </c>
      <c r="B308" s="18">
        <f>IF(A308="","",IFERROR(INDEX(Jobs!$B$5:$B$604,MATCH(A308,Jobs!$A$5:$A$604,0)),""))</f>
        <v>0</v>
      </c>
      <c r="C308" s="23">
        <f>IF(B308="","",TEXT(B308,"yyyy-mm"))</f>
        <v>0</v>
      </c>
      <c r="D308" s="43">
        <f>IF(A308="","",IFERROR(INDEX(Jobs!$G$5:$G$604,MATCH(A308,Jobs!$A$5:$A$604,0)),""))</f>
        <v>0</v>
      </c>
      <c r="E308" s="23">
        <f>IF(A308="","",IFERROR(INDEX(Jobs!$H$5:$H$604,MATCH(A308,Jobs!$A$5:$A$604,0)),""))</f>
        <v>0</v>
      </c>
      <c r="F308" s="23">
        <f>IF(A308="","",IFERROR(INDEX(Jobs!$K$5:$K$604,MATCH(A308,Jobs!$A$5:$A$604,0)),""))</f>
        <v>0</v>
      </c>
      <c r="G308" s="23">
        <f>IF(A308="","",IFERROR(INDEX(Jobs!$M$5:$M$604,MATCH(A308,Jobs!$A$5:$A$604,0)),""))</f>
        <v>0</v>
      </c>
      <c r="H308" s="23">
        <f>IF(A308="","",IFERROR(INDEX(Jobs!$R$5:$R$604,MATCH(A308,Jobs!$A$5:$A$604,0)),""))</f>
        <v>0</v>
      </c>
      <c r="I308" s="39">
        <f>IF(A308="","",IFERROR(INDEX(Jobs!$P$5:$P$604,MATCH(A308,Jobs!$A$5:$A$604,0)),""))</f>
        <v>0</v>
      </c>
      <c r="J308" s="21">
        <f>IF(A308="","",IF(OR(I308="Completed",I308="Invoiced"),IFERROR(INDEX(Jobs!$AJ$5:$AJ$604,MATCH(A308,Jobs!$A$5:$A$604,0)),0),0))</f>
        <v>0</v>
      </c>
      <c r="K308" s="34">
        <f>IF(A308="","",IFERROR(INDEX(Jobs!$AD$5:$AD$604,MATCH(A308,Jobs!$A$5:$A$604,0)),0))</f>
        <v>0</v>
      </c>
      <c r="L308" s="34">
        <f>IF(A308="","",IFERROR(INDEX(Jobs!$AK$5:$AK$604,MATCH(A308,Jobs!$A$5:$A$604,0)),0))</f>
        <v>0</v>
      </c>
      <c r="M308" s="34">
        <f>IF(A308="","",IF(IFERROR(L308*1,0)&gt;0,L308,IFERROR(K308*1,0)))</f>
        <v>0</v>
      </c>
      <c r="N308" s="21">
        <f>IF(A308="","",SUMIFS(Timesheets!$X$5:$X$804,Timesheets!$G$5:$G$804,A308))</f>
        <v>0</v>
      </c>
      <c r="O308" s="21">
        <f>IF(A308="","",IF(N308&gt;0,N308,ROUND(M308*CostPerHour,2)))</f>
        <v>0</v>
      </c>
      <c r="P308" s="21">
        <f>IF(A308="","",SUMIFS('Supply Usage'!$L$5:$L$304,'Supply Usage'!$F$5:$F$304,A308))</f>
        <v>0</v>
      </c>
      <c r="Q308" s="21">
        <f>IF(A308="","",IF(P308&gt;0,P308,ROUND(M308*SuppliesPerHour,2)))</f>
        <v>0</v>
      </c>
      <c r="R308" s="21">
        <f>IF(A308="","",ROUND(IFERROR(INDEX(Jobs!$W$5:$W$604,MATCH(A308,Jobs!$A$5:$A$604,0)),0)*MileageRate,2))</f>
        <v>0</v>
      </c>
      <c r="T308" s="21">
        <f>IF(A308="","",O308+Q308+R308+IF(S308="",0,S308))</f>
        <v>0</v>
      </c>
      <c r="U308" s="21">
        <f>IF(A308="","",J308-T308)</f>
        <v>0</v>
      </c>
      <c r="V308" s="38">
        <f>IF(OR(A308="",J308=0),"",U308/J308)</f>
        <v>0</v>
      </c>
      <c r="W308" s="21">
        <f>IF(OR(A308="",M308=0,J308=0),"",U308/M308)</f>
        <v>0</v>
      </c>
      <c r="X308" s="34">
        <f>IF(OR(A308="",L308="",L308=0,K308=""),"",L308-K308)</f>
        <v>0</v>
      </c>
      <c r="Y308" s="31">
        <f>IF(A308="","",COUNTIFS($U$5:$U$604,"&gt;"&amp;U308)+COUNTIFS($U$5:U308,U308))</f>
        <v>0</v>
      </c>
      <c r="Z308" s="31">
        <f>IF(A308="","",COUNTIFS($W$5:$W$604,"&gt;"&amp;W308)+COUNTIFS($W$5:W308,W308))</f>
        <v>0</v>
      </c>
      <c r="AA308" s="39">
        <f>IF(A308="","",IF(J308=0,"",IF(U308&lt;0,"Loss - this job cost you money",IF(V308&lt;MarginFloor,"Below - margin under the floor",IF(V308&lt;TargetMargin,"Check - under target margin",IF(AND(X308&lt;&gt;"",X308&gt;0.5),"Check - ran over the estimate","OK"))))))</f>
        <v>0</v>
      </c>
    </row>
    <row r="309" spans="1:27">
      <c r="A309" s="43">
        <f>IF(IFERROR(INDEX(Jobs!$A$5:$A$604,ROW()-4),"")="","",IFERROR(INDEX(Jobs!$A$5:$A$604,ROW()-4),""))</f>
        <v>0</v>
      </c>
      <c r="B309" s="18">
        <f>IF(A309="","",IFERROR(INDEX(Jobs!$B$5:$B$604,MATCH(A309,Jobs!$A$5:$A$604,0)),""))</f>
        <v>0</v>
      </c>
      <c r="C309" s="23">
        <f>IF(B309="","",TEXT(B309,"yyyy-mm"))</f>
        <v>0</v>
      </c>
      <c r="D309" s="43">
        <f>IF(A309="","",IFERROR(INDEX(Jobs!$G$5:$G$604,MATCH(A309,Jobs!$A$5:$A$604,0)),""))</f>
        <v>0</v>
      </c>
      <c r="E309" s="23">
        <f>IF(A309="","",IFERROR(INDEX(Jobs!$H$5:$H$604,MATCH(A309,Jobs!$A$5:$A$604,0)),""))</f>
        <v>0</v>
      </c>
      <c r="F309" s="23">
        <f>IF(A309="","",IFERROR(INDEX(Jobs!$K$5:$K$604,MATCH(A309,Jobs!$A$5:$A$604,0)),""))</f>
        <v>0</v>
      </c>
      <c r="G309" s="23">
        <f>IF(A309="","",IFERROR(INDEX(Jobs!$M$5:$M$604,MATCH(A309,Jobs!$A$5:$A$604,0)),""))</f>
        <v>0</v>
      </c>
      <c r="H309" s="23">
        <f>IF(A309="","",IFERROR(INDEX(Jobs!$R$5:$R$604,MATCH(A309,Jobs!$A$5:$A$604,0)),""))</f>
        <v>0</v>
      </c>
      <c r="I309" s="39">
        <f>IF(A309="","",IFERROR(INDEX(Jobs!$P$5:$P$604,MATCH(A309,Jobs!$A$5:$A$604,0)),""))</f>
        <v>0</v>
      </c>
      <c r="J309" s="21">
        <f>IF(A309="","",IF(OR(I309="Completed",I309="Invoiced"),IFERROR(INDEX(Jobs!$AJ$5:$AJ$604,MATCH(A309,Jobs!$A$5:$A$604,0)),0),0))</f>
        <v>0</v>
      </c>
      <c r="K309" s="34">
        <f>IF(A309="","",IFERROR(INDEX(Jobs!$AD$5:$AD$604,MATCH(A309,Jobs!$A$5:$A$604,0)),0))</f>
        <v>0</v>
      </c>
      <c r="L309" s="34">
        <f>IF(A309="","",IFERROR(INDEX(Jobs!$AK$5:$AK$604,MATCH(A309,Jobs!$A$5:$A$604,0)),0))</f>
        <v>0</v>
      </c>
      <c r="M309" s="34">
        <f>IF(A309="","",IF(IFERROR(L309*1,0)&gt;0,L309,IFERROR(K309*1,0)))</f>
        <v>0</v>
      </c>
      <c r="N309" s="21">
        <f>IF(A309="","",SUMIFS(Timesheets!$X$5:$X$804,Timesheets!$G$5:$G$804,A309))</f>
        <v>0</v>
      </c>
      <c r="O309" s="21">
        <f>IF(A309="","",IF(N309&gt;0,N309,ROUND(M309*CostPerHour,2)))</f>
        <v>0</v>
      </c>
      <c r="P309" s="21">
        <f>IF(A309="","",SUMIFS('Supply Usage'!$L$5:$L$304,'Supply Usage'!$F$5:$F$304,A309))</f>
        <v>0</v>
      </c>
      <c r="Q309" s="21">
        <f>IF(A309="","",IF(P309&gt;0,P309,ROUND(M309*SuppliesPerHour,2)))</f>
        <v>0</v>
      </c>
      <c r="R309" s="21">
        <f>IF(A309="","",ROUND(IFERROR(INDEX(Jobs!$W$5:$W$604,MATCH(A309,Jobs!$A$5:$A$604,0)),0)*MileageRate,2))</f>
        <v>0</v>
      </c>
      <c r="T309" s="21">
        <f>IF(A309="","",O309+Q309+R309+IF(S309="",0,S309))</f>
        <v>0</v>
      </c>
      <c r="U309" s="21">
        <f>IF(A309="","",J309-T309)</f>
        <v>0</v>
      </c>
      <c r="V309" s="38">
        <f>IF(OR(A309="",J309=0),"",U309/J309)</f>
        <v>0</v>
      </c>
      <c r="W309" s="21">
        <f>IF(OR(A309="",M309=0,J309=0),"",U309/M309)</f>
        <v>0</v>
      </c>
      <c r="X309" s="34">
        <f>IF(OR(A309="",L309="",L309=0,K309=""),"",L309-K309)</f>
        <v>0</v>
      </c>
      <c r="Y309" s="31">
        <f>IF(A309="","",COUNTIFS($U$5:$U$604,"&gt;"&amp;U309)+COUNTIFS($U$5:U309,U309))</f>
        <v>0</v>
      </c>
      <c r="Z309" s="31">
        <f>IF(A309="","",COUNTIFS($W$5:$W$604,"&gt;"&amp;W309)+COUNTIFS($W$5:W309,W309))</f>
        <v>0</v>
      </c>
      <c r="AA309" s="39">
        <f>IF(A309="","",IF(J309=0,"",IF(U309&lt;0,"Loss - this job cost you money",IF(V309&lt;MarginFloor,"Below - margin under the floor",IF(V309&lt;TargetMargin,"Check - under target margin",IF(AND(X309&lt;&gt;"",X309&gt;0.5),"Check - ran over the estimate","OK"))))))</f>
        <v>0</v>
      </c>
    </row>
    <row r="310" spans="1:27">
      <c r="A310" s="43">
        <f>IF(IFERROR(INDEX(Jobs!$A$5:$A$604,ROW()-4),"")="","",IFERROR(INDEX(Jobs!$A$5:$A$604,ROW()-4),""))</f>
        <v>0</v>
      </c>
      <c r="B310" s="18">
        <f>IF(A310="","",IFERROR(INDEX(Jobs!$B$5:$B$604,MATCH(A310,Jobs!$A$5:$A$604,0)),""))</f>
        <v>0</v>
      </c>
      <c r="C310" s="23">
        <f>IF(B310="","",TEXT(B310,"yyyy-mm"))</f>
        <v>0</v>
      </c>
      <c r="D310" s="43">
        <f>IF(A310="","",IFERROR(INDEX(Jobs!$G$5:$G$604,MATCH(A310,Jobs!$A$5:$A$604,0)),""))</f>
        <v>0</v>
      </c>
      <c r="E310" s="23">
        <f>IF(A310="","",IFERROR(INDEX(Jobs!$H$5:$H$604,MATCH(A310,Jobs!$A$5:$A$604,0)),""))</f>
        <v>0</v>
      </c>
      <c r="F310" s="23">
        <f>IF(A310="","",IFERROR(INDEX(Jobs!$K$5:$K$604,MATCH(A310,Jobs!$A$5:$A$604,0)),""))</f>
        <v>0</v>
      </c>
      <c r="G310" s="23">
        <f>IF(A310="","",IFERROR(INDEX(Jobs!$M$5:$M$604,MATCH(A310,Jobs!$A$5:$A$604,0)),""))</f>
        <v>0</v>
      </c>
      <c r="H310" s="23">
        <f>IF(A310="","",IFERROR(INDEX(Jobs!$R$5:$R$604,MATCH(A310,Jobs!$A$5:$A$604,0)),""))</f>
        <v>0</v>
      </c>
      <c r="I310" s="39">
        <f>IF(A310="","",IFERROR(INDEX(Jobs!$P$5:$P$604,MATCH(A310,Jobs!$A$5:$A$604,0)),""))</f>
        <v>0</v>
      </c>
      <c r="J310" s="21">
        <f>IF(A310="","",IF(OR(I310="Completed",I310="Invoiced"),IFERROR(INDEX(Jobs!$AJ$5:$AJ$604,MATCH(A310,Jobs!$A$5:$A$604,0)),0),0))</f>
        <v>0</v>
      </c>
      <c r="K310" s="34">
        <f>IF(A310="","",IFERROR(INDEX(Jobs!$AD$5:$AD$604,MATCH(A310,Jobs!$A$5:$A$604,0)),0))</f>
        <v>0</v>
      </c>
      <c r="L310" s="34">
        <f>IF(A310="","",IFERROR(INDEX(Jobs!$AK$5:$AK$604,MATCH(A310,Jobs!$A$5:$A$604,0)),0))</f>
        <v>0</v>
      </c>
      <c r="M310" s="34">
        <f>IF(A310="","",IF(IFERROR(L310*1,0)&gt;0,L310,IFERROR(K310*1,0)))</f>
        <v>0</v>
      </c>
      <c r="N310" s="21">
        <f>IF(A310="","",SUMIFS(Timesheets!$X$5:$X$804,Timesheets!$G$5:$G$804,A310))</f>
        <v>0</v>
      </c>
      <c r="O310" s="21">
        <f>IF(A310="","",IF(N310&gt;0,N310,ROUND(M310*CostPerHour,2)))</f>
        <v>0</v>
      </c>
      <c r="P310" s="21">
        <f>IF(A310="","",SUMIFS('Supply Usage'!$L$5:$L$304,'Supply Usage'!$F$5:$F$304,A310))</f>
        <v>0</v>
      </c>
      <c r="Q310" s="21">
        <f>IF(A310="","",IF(P310&gt;0,P310,ROUND(M310*SuppliesPerHour,2)))</f>
        <v>0</v>
      </c>
      <c r="R310" s="21">
        <f>IF(A310="","",ROUND(IFERROR(INDEX(Jobs!$W$5:$W$604,MATCH(A310,Jobs!$A$5:$A$604,0)),0)*MileageRate,2))</f>
        <v>0</v>
      </c>
      <c r="T310" s="21">
        <f>IF(A310="","",O310+Q310+R310+IF(S310="",0,S310))</f>
        <v>0</v>
      </c>
      <c r="U310" s="21">
        <f>IF(A310="","",J310-T310)</f>
        <v>0</v>
      </c>
      <c r="V310" s="38">
        <f>IF(OR(A310="",J310=0),"",U310/J310)</f>
        <v>0</v>
      </c>
      <c r="W310" s="21">
        <f>IF(OR(A310="",M310=0,J310=0),"",U310/M310)</f>
        <v>0</v>
      </c>
      <c r="X310" s="34">
        <f>IF(OR(A310="",L310="",L310=0,K310=""),"",L310-K310)</f>
        <v>0</v>
      </c>
      <c r="Y310" s="31">
        <f>IF(A310="","",COUNTIFS($U$5:$U$604,"&gt;"&amp;U310)+COUNTIFS($U$5:U310,U310))</f>
        <v>0</v>
      </c>
      <c r="Z310" s="31">
        <f>IF(A310="","",COUNTIFS($W$5:$W$604,"&gt;"&amp;W310)+COUNTIFS($W$5:W310,W310))</f>
        <v>0</v>
      </c>
      <c r="AA310" s="39">
        <f>IF(A310="","",IF(J310=0,"",IF(U310&lt;0,"Loss - this job cost you money",IF(V310&lt;MarginFloor,"Below - margin under the floor",IF(V310&lt;TargetMargin,"Check - under target margin",IF(AND(X310&lt;&gt;"",X310&gt;0.5),"Check - ran over the estimate","OK"))))))</f>
        <v>0</v>
      </c>
    </row>
    <row r="311" spans="1:27">
      <c r="A311" s="43">
        <f>IF(IFERROR(INDEX(Jobs!$A$5:$A$604,ROW()-4),"")="","",IFERROR(INDEX(Jobs!$A$5:$A$604,ROW()-4),""))</f>
        <v>0</v>
      </c>
      <c r="B311" s="18">
        <f>IF(A311="","",IFERROR(INDEX(Jobs!$B$5:$B$604,MATCH(A311,Jobs!$A$5:$A$604,0)),""))</f>
        <v>0</v>
      </c>
      <c r="C311" s="23">
        <f>IF(B311="","",TEXT(B311,"yyyy-mm"))</f>
        <v>0</v>
      </c>
      <c r="D311" s="43">
        <f>IF(A311="","",IFERROR(INDEX(Jobs!$G$5:$G$604,MATCH(A311,Jobs!$A$5:$A$604,0)),""))</f>
        <v>0</v>
      </c>
      <c r="E311" s="23">
        <f>IF(A311="","",IFERROR(INDEX(Jobs!$H$5:$H$604,MATCH(A311,Jobs!$A$5:$A$604,0)),""))</f>
        <v>0</v>
      </c>
      <c r="F311" s="23">
        <f>IF(A311="","",IFERROR(INDEX(Jobs!$K$5:$K$604,MATCH(A311,Jobs!$A$5:$A$604,0)),""))</f>
        <v>0</v>
      </c>
      <c r="G311" s="23">
        <f>IF(A311="","",IFERROR(INDEX(Jobs!$M$5:$M$604,MATCH(A311,Jobs!$A$5:$A$604,0)),""))</f>
        <v>0</v>
      </c>
      <c r="H311" s="23">
        <f>IF(A311="","",IFERROR(INDEX(Jobs!$R$5:$R$604,MATCH(A311,Jobs!$A$5:$A$604,0)),""))</f>
        <v>0</v>
      </c>
      <c r="I311" s="39">
        <f>IF(A311="","",IFERROR(INDEX(Jobs!$P$5:$P$604,MATCH(A311,Jobs!$A$5:$A$604,0)),""))</f>
        <v>0</v>
      </c>
      <c r="J311" s="21">
        <f>IF(A311="","",IF(OR(I311="Completed",I311="Invoiced"),IFERROR(INDEX(Jobs!$AJ$5:$AJ$604,MATCH(A311,Jobs!$A$5:$A$604,0)),0),0))</f>
        <v>0</v>
      </c>
      <c r="K311" s="34">
        <f>IF(A311="","",IFERROR(INDEX(Jobs!$AD$5:$AD$604,MATCH(A311,Jobs!$A$5:$A$604,0)),0))</f>
        <v>0</v>
      </c>
      <c r="L311" s="34">
        <f>IF(A311="","",IFERROR(INDEX(Jobs!$AK$5:$AK$604,MATCH(A311,Jobs!$A$5:$A$604,0)),0))</f>
        <v>0</v>
      </c>
      <c r="M311" s="34">
        <f>IF(A311="","",IF(IFERROR(L311*1,0)&gt;0,L311,IFERROR(K311*1,0)))</f>
        <v>0</v>
      </c>
      <c r="N311" s="21">
        <f>IF(A311="","",SUMIFS(Timesheets!$X$5:$X$804,Timesheets!$G$5:$G$804,A311))</f>
        <v>0</v>
      </c>
      <c r="O311" s="21">
        <f>IF(A311="","",IF(N311&gt;0,N311,ROUND(M311*CostPerHour,2)))</f>
        <v>0</v>
      </c>
      <c r="P311" s="21">
        <f>IF(A311="","",SUMIFS('Supply Usage'!$L$5:$L$304,'Supply Usage'!$F$5:$F$304,A311))</f>
        <v>0</v>
      </c>
      <c r="Q311" s="21">
        <f>IF(A311="","",IF(P311&gt;0,P311,ROUND(M311*SuppliesPerHour,2)))</f>
        <v>0</v>
      </c>
      <c r="R311" s="21">
        <f>IF(A311="","",ROUND(IFERROR(INDEX(Jobs!$W$5:$W$604,MATCH(A311,Jobs!$A$5:$A$604,0)),0)*MileageRate,2))</f>
        <v>0</v>
      </c>
      <c r="T311" s="21">
        <f>IF(A311="","",O311+Q311+R311+IF(S311="",0,S311))</f>
        <v>0</v>
      </c>
      <c r="U311" s="21">
        <f>IF(A311="","",J311-T311)</f>
        <v>0</v>
      </c>
      <c r="V311" s="38">
        <f>IF(OR(A311="",J311=0),"",U311/J311)</f>
        <v>0</v>
      </c>
      <c r="W311" s="21">
        <f>IF(OR(A311="",M311=0,J311=0),"",U311/M311)</f>
        <v>0</v>
      </c>
      <c r="X311" s="34">
        <f>IF(OR(A311="",L311="",L311=0,K311=""),"",L311-K311)</f>
        <v>0</v>
      </c>
      <c r="Y311" s="31">
        <f>IF(A311="","",COUNTIFS($U$5:$U$604,"&gt;"&amp;U311)+COUNTIFS($U$5:U311,U311))</f>
        <v>0</v>
      </c>
      <c r="Z311" s="31">
        <f>IF(A311="","",COUNTIFS($W$5:$W$604,"&gt;"&amp;W311)+COUNTIFS($W$5:W311,W311))</f>
        <v>0</v>
      </c>
      <c r="AA311" s="39">
        <f>IF(A311="","",IF(J311=0,"",IF(U311&lt;0,"Loss - this job cost you money",IF(V311&lt;MarginFloor,"Below - margin under the floor",IF(V311&lt;TargetMargin,"Check - under target margin",IF(AND(X311&lt;&gt;"",X311&gt;0.5),"Check - ran over the estimate","OK"))))))</f>
        <v>0</v>
      </c>
    </row>
    <row r="312" spans="1:27">
      <c r="A312" s="43">
        <f>IF(IFERROR(INDEX(Jobs!$A$5:$A$604,ROW()-4),"")="","",IFERROR(INDEX(Jobs!$A$5:$A$604,ROW()-4),""))</f>
        <v>0</v>
      </c>
      <c r="B312" s="18">
        <f>IF(A312="","",IFERROR(INDEX(Jobs!$B$5:$B$604,MATCH(A312,Jobs!$A$5:$A$604,0)),""))</f>
        <v>0</v>
      </c>
      <c r="C312" s="23">
        <f>IF(B312="","",TEXT(B312,"yyyy-mm"))</f>
        <v>0</v>
      </c>
      <c r="D312" s="43">
        <f>IF(A312="","",IFERROR(INDEX(Jobs!$G$5:$G$604,MATCH(A312,Jobs!$A$5:$A$604,0)),""))</f>
        <v>0</v>
      </c>
      <c r="E312" s="23">
        <f>IF(A312="","",IFERROR(INDEX(Jobs!$H$5:$H$604,MATCH(A312,Jobs!$A$5:$A$604,0)),""))</f>
        <v>0</v>
      </c>
      <c r="F312" s="23">
        <f>IF(A312="","",IFERROR(INDEX(Jobs!$K$5:$K$604,MATCH(A312,Jobs!$A$5:$A$604,0)),""))</f>
        <v>0</v>
      </c>
      <c r="G312" s="23">
        <f>IF(A312="","",IFERROR(INDEX(Jobs!$M$5:$M$604,MATCH(A312,Jobs!$A$5:$A$604,0)),""))</f>
        <v>0</v>
      </c>
      <c r="H312" s="23">
        <f>IF(A312="","",IFERROR(INDEX(Jobs!$R$5:$R$604,MATCH(A312,Jobs!$A$5:$A$604,0)),""))</f>
        <v>0</v>
      </c>
      <c r="I312" s="39">
        <f>IF(A312="","",IFERROR(INDEX(Jobs!$P$5:$P$604,MATCH(A312,Jobs!$A$5:$A$604,0)),""))</f>
        <v>0</v>
      </c>
      <c r="J312" s="21">
        <f>IF(A312="","",IF(OR(I312="Completed",I312="Invoiced"),IFERROR(INDEX(Jobs!$AJ$5:$AJ$604,MATCH(A312,Jobs!$A$5:$A$604,0)),0),0))</f>
        <v>0</v>
      </c>
      <c r="K312" s="34">
        <f>IF(A312="","",IFERROR(INDEX(Jobs!$AD$5:$AD$604,MATCH(A312,Jobs!$A$5:$A$604,0)),0))</f>
        <v>0</v>
      </c>
      <c r="L312" s="34">
        <f>IF(A312="","",IFERROR(INDEX(Jobs!$AK$5:$AK$604,MATCH(A312,Jobs!$A$5:$A$604,0)),0))</f>
        <v>0</v>
      </c>
      <c r="M312" s="34">
        <f>IF(A312="","",IF(IFERROR(L312*1,0)&gt;0,L312,IFERROR(K312*1,0)))</f>
        <v>0</v>
      </c>
      <c r="N312" s="21">
        <f>IF(A312="","",SUMIFS(Timesheets!$X$5:$X$804,Timesheets!$G$5:$G$804,A312))</f>
        <v>0</v>
      </c>
      <c r="O312" s="21">
        <f>IF(A312="","",IF(N312&gt;0,N312,ROUND(M312*CostPerHour,2)))</f>
        <v>0</v>
      </c>
      <c r="P312" s="21">
        <f>IF(A312="","",SUMIFS('Supply Usage'!$L$5:$L$304,'Supply Usage'!$F$5:$F$304,A312))</f>
        <v>0</v>
      </c>
      <c r="Q312" s="21">
        <f>IF(A312="","",IF(P312&gt;0,P312,ROUND(M312*SuppliesPerHour,2)))</f>
        <v>0</v>
      </c>
      <c r="R312" s="21">
        <f>IF(A312="","",ROUND(IFERROR(INDEX(Jobs!$W$5:$W$604,MATCH(A312,Jobs!$A$5:$A$604,0)),0)*MileageRate,2))</f>
        <v>0</v>
      </c>
      <c r="T312" s="21">
        <f>IF(A312="","",O312+Q312+R312+IF(S312="",0,S312))</f>
        <v>0</v>
      </c>
      <c r="U312" s="21">
        <f>IF(A312="","",J312-T312)</f>
        <v>0</v>
      </c>
      <c r="V312" s="38">
        <f>IF(OR(A312="",J312=0),"",U312/J312)</f>
        <v>0</v>
      </c>
      <c r="W312" s="21">
        <f>IF(OR(A312="",M312=0,J312=0),"",U312/M312)</f>
        <v>0</v>
      </c>
      <c r="X312" s="34">
        <f>IF(OR(A312="",L312="",L312=0,K312=""),"",L312-K312)</f>
        <v>0</v>
      </c>
      <c r="Y312" s="31">
        <f>IF(A312="","",COUNTIFS($U$5:$U$604,"&gt;"&amp;U312)+COUNTIFS($U$5:U312,U312))</f>
        <v>0</v>
      </c>
      <c r="Z312" s="31">
        <f>IF(A312="","",COUNTIFS($W$5:$W$604,"&gt;"&amp;W312)+COUNTIFS($W$5:W312,W312))</f>
        <v>0</v>
      </c>
      <c r="AA312" s="39">
        <f>IF(A312="","",IF(J312=0,"",IF(U312&lt;0,"Loss - this job cost you money",IF(V312&lt;MarginFloor,"Below - margin under the floor",IF(V312&lt;TargetMargin,"Check - under target margin",IF(AND(X312&lt;&gt;"",X312&gt;0.5),"Check - ran over the estimate","OK"))))))</f>
        <v>0</v>
      </c>
    </row>
    <row r="313" spans="1:27">
      <c r="A313" s="43">
        <f>IF(IFERROR(INDEX(Jobs!$A$5:$A$604,ROW()-4),"")="","",IFERROR(INDEX(Jobs!$A$5:$A$604,ROW()-4),""))</f>
        <v>0</v>
      </c>
      <c r="B313" s="18">
        <f>IF(A313="","",IFERROR(INDEX(Jobs!$B$5:$B$604,MATCH(A313,Jobs!$A$5:$A$604,0)),""))</f>
        <v>0</v>
      </c>
      <c r="C313" s="23">
        <f>IF(B313="","",TEXT(B313,"yyyy-mm"))</f>
        <v>0</v>
      </c>
      <c r="D313" s="43">
        <f>IF(A313="","",IFERROR(INDEX(Jobs!$G$5:$G$604,MATCH(A313,Jobs!$A$5:$A$604,0)),""))</f>
        <v>0</v>
      </c>
      <c r="E313" s="23">
        <f>IF(A313="","",IFERROR(INDEX(Jobs!$H$5:$H$604,MATCH(A313,Jobs!$A$5:$A$604,0)),""))</f>
        <v>0</v>
      </c>
      <c r="F313" s="23">
        <f>IF(A313="","",IFERROR(INDEX(Jobs!$K$5:$K$604,MATCH(A313,Jobs!$A$5:$A$604,0)),""))</f>
        <v>0</v>
      </c>
      <c r="G313" s="23">
        <f>IF(A313="","",IFERROR(INDEX(Jobs!$M$5:$M$604,MATCH(A313,Jobs!$A$5:$A$604,0)),""))</f>
        <v>0</v>
      </c>
      <c r="H313" s="23">
        <f>IF(A313="","",IFERROR(INDEX(Jobs!$R$5:$R$604,MATCH(A313,Jobs!$A$5:$A$604,0)),""))</f>
        <v>0</v>
      </c>
      <c r="I313" s="39">
        <f>IF(A313="","",IFERROR(INDEX(Jobs!$P$5:$P$604,MATCH(A313,Jobs!$A$5:$A$604,0)),""))</f>
        <v>0</v>
      </c>
      <c r="J313" s="21">
        <f>IF(A313="","",IF(OR(I313="Completed",I313="Invoiced"),IFERROR(INDEX(Jobs!$AJ$5:$AJ$604,MATCH(A313,Jobs!$A$5:$A$604,0)),0),0))</f>
        <v>0</v>
      </c>
      <c r="K313" s="34">
        <f>IF(A313="","",IFERROR(INDEX(Jobs!$AD$5:$AD$604,MATCH(A313,Jobs!$A$5:$A$604,0)),0))</f>
        <v>0</v>
      </c>
      <c r="L313" s="34">
        <f>IF(A313="","",IFERROR(INDEX(Jobs!$AK$5:$AK$604,MATCH(A313,Jobs!$A$5:$A$604,0)),0))</f>
        <v>0</v>
      </c>
      <c r="M313" s="34">
        <f>IF(A313="","",IF(IFERROR(L313*1,0)&gt;0,L313,IFERROR(K313*1,0)))</f>
        <v>0</v>
      </c>
      <c r="N313" s="21">
        <f>IF(A313="","",SUMIFS(Timesheets!$X$5:$X$804,Timesheets!$G$5:$G$804,A313))</f>
        <v>0</v>
      </c>
      <c r="O313" s="21">
        <f>IF(A313="","",IF(N313&gt;0,N313,ROUND(M313*CostPerHour,2)))</f>
        <v>0</v>
      </c>
      <c r="P313" s="21">
        <f>IF(A313="","",SUMIFS('Supply Usage'!$L$5:$L$304,'Supply Usage'!$F$5:$F$304,A313))</f>
        <v>0</v>
      </c>
      <c r="Q313" s="21">
        <f>IF(A313="","",IF(P313&gt;0,P313,ROUND(M313*SuppliesPerHour,2)))</f>
        <v>0</v>
      </c>
      <c r="R313" s="21">
        <f>IF(A313="","",ROUND(IFERROR(INDEX(Jobs!$W$5:$W$604,MATCH(A313,Jobs!$A$5:$A$604,0)),0)*MileageRate,2))</f>
        <v>0</v>
      </c>
      <c r="T313" s="21">
        <f>IF(A313="","",O313+Q313+R313+IF(S313="",0,S313))</f>
        <v>0</v>
      </c>
      <c r="U313" s="21">
        <f>IF(A313="","",J313-T313)</f>
        <v>0</v>
      </c>
      <c r="V313" s="38">
        <f>IF(OR(A313="",J313=0),"",U313/J313)</f>
        <v>0</v>
      </c>
      <c r="W313" s="21">
        <f>IF(OR(A313="",M313=0,J313=0),"",U313/M313)</f>
        <v>0</v>
      </c>
      <c r="X313" s="34">
        <f>IF(OR(A313="",L313="",L313=0,K313=""),"",L313-K313)</f>
        <v>0</v>
      </c>
      <c r="Y313" s="31">
        <f>IF(A313="","",COUNTIFS($U$5:$U$604,"&gt;"&amp;U313)+COUNTIFS($U$5:U313,U313))</f>
        <v>0</v>
      </c>
      <c r="Z313" s="31">
        <f>IF(A313="","",COUNTIFS($W$5:$W$604,"&gt;"&amp;W313)+COUNTIFS($W$5:W313,W313))</f>
        <v>0</v>
      </c>
      <c r="AA313" s="39">
        <f>IF(A313="","",IF(J313=0,"",IF(U313&lt;0,"Loss - this job cost you money",IF(V313&lt;MarginFloor,"Below - margin under the floor",IF(V313&lt;TargetMargin,"Check - under target margin",IF(AND(X313&lt;&gt;"",X313&gt;0.5),"Check - ran over the estimate","OK"))))))</f>
        <v>0</v>
      </c>
    </row>
    <row r="314" spans="1:27">
      <c r="A314" s="43">
        <f>IF(IFERROR(INDEX(Jobs!$A$5:$A$604,ROW()-4),"")="","",IFERROR(INDEX(Jobs!$A$5:$A$604,ROW()-4),""))</f>
        <v>0</v>
      </c>
      <c r="B314" s="18">
        <f>IF(A314="","",IFERROR(INDEX(Jobs!$B$5:$B$604,MATCH(A314,Jobs!$A$5:$A$604,0)),""))</f>
        <v>0</v>
      </c>
      <c r="C314" s="23">
        <f>IF(B314="","",TEXT(B314,"yyyy-mm"))</f>
        <v>0</v>
      </c>
      <c r="D314" s="43">
        <f>IF(A314="","",IFERROR(INDEX(Jobs!$G$5:$G$604,MATCH(A314,Jobs!$A$5:$A$604,0)),""))</f>
        <v>0</v>
      </c>
      <c r="E314" s="23">
        <f>IF(A314="","",IFERROR(INDEX(Jobs!$H$5:$H$604,MATCH(A314,Jobs!$A$5:$A$604,0)),""))</f>
        <v>0</v>
      </c>
      <c r="F314" s="23">
        <f>IF(A314="","",IFERROR(INDEX(Jobs!$K$5:$K$604,MATCH(A314,Jobs!$A$5:$A$604,0)),""))</f>
        <v>0</v>
      </c>
      <c r="G314" s="23">
        <f>IF(A314="","",IFERROR(INDEX(Jobs!$M$5:$M$604,MATCH(A314,Jobs!$A$5:$A$604,0)),""))</f>
        <v>0</v>
      </c>
      <c r="H314" s="23">
        <f>IF(A314="","",IFERROR(INDEX(Jobs!$R$5:$R$604,MATCH(A314,Jobs!$A$5:$A$604,0)),""))</f>
        <v>0</v>
      </c>
      <c r="I314" s="39">
        <f>IF(A314="","",IFERROR(INDEX(Jobs!$P$5:$P$604,MATCH(A314,Jobs!$A$5:$A$604,0)),""))</f>
        <v>0</v>
      </c>
      <c r="J314" s="21">
        <f>IF(A314="","",IF(OR(I314="Completed",I314="Invoiced"),IFERROR(INDEX(Jobs!$AJ$5:$AJ$604,MATCH(A314,Jobs!$A$5:$A$604,0)),0),0))</f>
        <v>0</v>
      </c>
      <c r="K314" s="34">
        <f>IF(A314="","",IFERROR(INDEX(Jobs!$AD$5:$AD$604,MATCH(A314,Jobs!$A$5:$A$604,0)),0))</f>
        <v>0</v>
      </c>
      <c r="L314" s="34">
        <f>IF(A314="","",IFERROR(INDEX(Jobs!$AK$5:$AK$604,MATCH(A314,Jobs!$A$5:$A$604,0)),0))</f>
        <v>0</v>
      </c>
      <c r="M314" s="34">
        <f>IF(A314="","",IF(IFERROR(L314*1,0)&gt;0,L314,IFERROR(K314*1,0)))</f>
        <v>0</v>
      </c>
      <c r="N314" s="21">
        <f>IF(A314="","",SUMIFS(Timesheets!$X$5:$X$804,Timesheets!$G$5:$G$804,A314))</f>
        <v>0</v>
      </c>
      <c r="O314" s="21">
        <f>IF(A314="","",IF(N314&gt;0,N314,ROUND(M314*CostPerHour,2)))</f>
        <v>0</v>
      </c>
      <c r="P314" s="21">
        <f>IF(A314="","",SUMIFS('Supply Usage'!$L$5:$L$304,'Supply Usage'!$F$5:$F$304,A314))</f>
        <v>0</v>
      </c>
      <c r="Q314" s="21">
        <f>IF(A314="","",IF(P314&gt;0,P314,ROUND(M314*SuppliesPerHour,2)))</f>
        <v>0</v>
      </c>
      <c r="R314" s="21">
        <f>IF(A314="","",ROUND(IFERROR(INDEX(Jobs!$W$5:$W$604,MATCH(A314,Jobs!$A$5:$A$604,0)),0)*MileageRate,2))</f>
        <v>0</v>
      </c>
      <c r="T314" s="21">
        <f>IF(A314="","",O314+Q314+R314+IF(S314="",0,S314))</f>
        <v>0</v>
      </c>
      <c r="U314" s="21">
        <f>IF(A314="","",J314-T314)</f>
        <v>0</v>
      </c>
      <c r="V314" s="38">
        <f>IF(OR(A314="",J314=0),"",U314/J314)</f>
        <v>0</v>
      </c>
      <c r="W314" s="21">
        <f>IF(OR(A314="",M314=0,J314=0),"",U314/M314)</f>
        <v>0</v>
      </c>
      <c r="X314" s="34">
        <f>IF(OR(A314="",L314="",L314=0,K314=""),"",L314-K314)</f>
        <v>0</v>
      </c>
      <c r="Y314" s="31">
        <f>IF(A314="","",COUNTIFS($U$5:$U$604,"&gt;"&amp;U314)+COUNTIFS($U$5:U314,U314))</f>
        <v>0</v>
      </c>
      <c r="Z314" s="31">
        <f>IF(A314="","",COUNTIFS($W$5:$W$604,"&gt;"&amp;W314)+COUNTIFS($W$5:W314,W314))</f>
        <v>0</v>
      </c>
      <c r="AA314" s="39">
        <f>IF(A314="","",IF(J314=0,"",IF(U314&lt;0,"Loss - this job cost you money",IF(V314&lt;MarginFloor,"Below - margin under the floor",IF(V314&lt;TargetMargin,"Check - under target margin",IF(AND(X314&lt;&gt;"",X314&gt;0.5),"Check - ran over the estimate","OK"))))))</f>
        <v>0</v>
      </c>
    </row>
    <row r="315" spans="1:27">
      <c r="A315" s="43">
        <f>IF(IFERROR(INDEX(Jobs!$A$5:$A$604,ROW()-4),"")="","",IFERROR(INDEX(Jobs!$A$5:$A$604,ROW()-4),""))</f>
        <v>0</v>
      </c>
      <c r="B315" s="18">
        <f>IF(A315="","",IFERROR(INDEX(Jobs!$B$5:$B$604,MATCH(A315,Jobs!$A$5:$A$604,0)),""))</f>
        <v>0</v>
      </c>
      <c r="C315" s="23">
        <f>IF(B315="","",TEXT(B315,"yyyy-mm"))</f>
        <v>0</v>
      </c>
      <c r="D315" s="43">
        <f>IF(A315="","",IFERROR(INDEX(Jobs!$G$5:$G$604,MATCH(A315,Jobs!$A$5:$A$604,0)),""))</f>
        <v>0</v>
      </c>
      <c r="E315" s="23">
        <f>IF(A315="","",IFERROR(INDEX(Jobs!$H$5:$H$604,MATCH(A315,Jobs!$A$5:$A$604,0)),""))</f>
        <v>0</v>
      </c>
      <c r="F315" s="23">
        <f>IF(A315="","",IFERROR(INDEX(Jobs!$K$5:$K$604,MATCH(A315,Jobs!$A$5:$A$604,0)),""))</f>
        <v>0</v>
      </c>
      <c r="G315" s="23">
        <f>IF(A315="","",IFERROR(INDEX(Jobs!$M$5:$M$604,MATCH(A315,Jobs!$A$5:$A$604,0)),""))</f>
        <v>0</v>
      </c>
      <c r="H315" s="23">
        <f>IF(A315="","",IFERROR(INDEX(Jobs!$R$5:$R$604,MATCH(A315,Jobs!$A$5:$A$604,0)),""))</f>
        <v>0</v>
      </c>
      <c r="I315" s="39">
        <f>IF(A315="","",IFERROR(INDEX(Jobs!$P$5:$P$604,MATCH(A315,Jobs!$A$5:$A$604,0)),""))</f>
        <v>0</v>
      </c>
      <c r="J315" s="21">
        <f>IF(A315="","",IF(OR(I315="Completed",I315="Invoiced"),IFERROR(INDEX(Jobs!$AJ$5:$AJ$604,MATCH(A315,Jobs!$A$5:$A$604,0)),0),0))</f>
        <v>0</v>
      </c>
      <c r="K315" s="34">
        <f>IF(A315="","",IFERROR(INDEX(Jobs!$AD$5:$AD$604,MATCH(A315,Jobs!$A$5:$A$604,0)),0))</f>
        <v>0</v>
      </c>
      <c r="L315" s="34">
        <f>IF(A315="","",IFERROR(INDEX(Jobs!$AK$5:$AK$604,MATCH(A315,Jobs!$A$5:$A$604,0)),0))</f>
        <v>0</v>
      </c>
      <c r="M315" s="34">
        <f>IF(A315="","",IF(IFERROR(L315*1,0)&gt;0,L315,IFERROR(K315*1,0)))</f>
        <v>0</v>
      </c>
      <c r="N315" s="21">
        <f>IF(A315="","",SUMIFS(Timesheets!$X$5:$X$804,Timesheets!$G$5:$G$804,A315))</f>
        <v>0</v>
      </c>
      <c r="O315" s="21">
        <f>IF(A315="","",IF(N315&gt;0,N315,ROUND(M315*CostPerHour,2)))</f>
        <v>0</v>
      </c>
      <c r="P315" s="21">
        <f>IF(A315="","",SUMIFS('Supply Usage'!$L$5:$L$304,'Supply Usage'!$F$5:$F$304,A315))</f>
        <v>0</v>
      </c>
      <c r="Q315" s="21">
        <f>IF(A315="","",IF(P315&gt;0,P315,ROUND(M315*SuppliesPerHour,2)))</f>
        <v>0</v>
      </c>
      <c r="R315" s="21">
        <f>IF(A315="","",ROUND(IFERROR(INDEX(Jobs!$W$5:$W$604,MATCH(A315,Jobs!$A$5:$A$604,0)),0)*MileageRate,2))</f>
        <v>0</v>
      </c>
      <c r="T315" s="21">
        <f>IF(A315="","",O315+Q315+R315+IF(S315="",0,S315))</f>
        <v>0</v>
      </c>
      <c r="U315" s="21">
        <f>IF(A315="","",J315-T315)</f>
        <v>0</v>
      </c>
      <c r="V315" s="38">
        <f>IF(OR(A315="",J315=0),"",U315/J315)</f>
        <v>0</v>
      </c>
      <c r="W315" s="21">
        <f>IF(OR(A315="",M315=0,J315=0),"",U315/M315)</f>
        <v>0</v>
      </c>
      <c r="X315" s="34">
        <f>IF(OR(A315="",L315="",L315=0,K315=""),"",L315-K315)</f>
        <v>0</v>
      </c>
      <c r="Y315" s="31">
        <f>IF(A315="","",COUNTIFS($U$5:$U$604,"&gt;"&amp;U315)+COUNTIFS($U$5:U315,U315))</f>
        <v>0</v>
      </c>
      <c r="Z315" s="31">
        <f>IF(A315="","",COUNTIFS($W$5:$W$604,"&gt;"&amp;W315)+COUNTIFS($W$5:W315,W315))</f>
        <v>0</v>
      </c>
      <c r="AA315" s="39">
        <f>IF(A315="","",IF(J315=0,"",IF(U315&lt;0,"Loss - this job cost you money",IF(V315&lt;MarginFloor,"Below - margin under the floor",IF(V315&lt;TargetMargin,"Check - under target margin",IF(AND(X315&lt;&gt;"",X315&gt;0.5),"Check - ran over the estimate","OK"))))))</f>
        <v>0</v>
      </c>
    </row>
    <row r="316" spans="1:27">
      <c r="A316" s="43">
        <f>IF(IFERROR(INDEX(Jobs!$A$5:$A$604,ROW()-4),"")="","",IFERROR(INDEX(Jobs!$A$5:$A$604,ROW()-4),""))</f>
        <v>0</v>
      </c>
      <c r="B316" s="18">
        <f>IF(A316="","",IFERROR(INDEX(Jobs!$B$5:$B$604,MATCH(A316,Jobs!$A$5:$A$604,0)),""))</f>
        <v>0</v>
      </c>
      <c r="C316" s="23">
        <f>IF(B316="","",TEXT(B316,"yyyy-mm"))</f>
        <v>0</v>
      </c>
      <c r="D316" s="43">
        <f>IF(A316="","",IFERROR(INDEX(Jobs!$G$5:$G$604,MATCH(A316,Jobs!$A$5:$A$604,0)),""))</f>
        <v>0</v>
      </c>
      <c r="E316" s="23">
        <f>IF(A316="","",IFERROR(INDEX(Jobs!$H$5:$H$604,MATCH(A316,Jobs!$A$5:$A$604,0)),""))</f>
        <v>0</v>
      </c>
      <c r="F316" s="23">
        <f>IF(A316="","",IFERROR(INDEX(Jobs!$K$5:$K$604,MATCH(A316,Jobs!$A$5:$A$604,0)),""))</f>
        <v>0</v>
      </c>
      <c r="G316" s="23">
        <f>IF(A316="","",IFERROR(INDEX(Jobs!$M$5:$M$604,MATCH(A316,Jobs!$A$5:$A$604,0)),""))</f>
        <v>0</v>
      </c>
      <c r="H316" s="23">
        <f>IF(A316="","",IFERROR(INDEX(Jobs!$R$5:$R$604,MATCH(A316,Jobs!$A$5:$A$604,0)),""))</f>
        <v>0</v>
      </c>
      <c r="I316" s="39">
        <f>IF(A316="","",IFERROR(INDEX(Jobs!$P$5:$P$604,MATCH(A316,Jobs!$A$5:$A$604,0)),""))</f>
        <v>0</v>
      </c>
      <c r="J316" s="21">
        <f>IF(A316="","",IF(OR(I316="Completed",I316="Invoiced"),IFERROR(INDEX(Jobs!$AJ$5:$AJ$604,MATCH(A316,Jobs!$A$5:$A$604,0)),0),0))</f>
        <v>0</v>
      </c>
      <c r="K316" s="34">
        <f>IF(A316="","",IFERROR(INDEX(Jobs!$AD$5:$AD$604,MATCH(A316,Jobs!$A$5:$A$604,0)),0))</f>
        <v>0</v>
      </c>
      <c r="L316" s="34">
        <f>IF(A316="","",IFERROR(INDEX(Jobs!$AK$5:$AK$604,MATCH(A316,Jobs!$A$5:$A$604,0)),0))</f>
        <v>0</v>
      </c>
      <c r="M316" s="34">
        <f>IF(A316="","",IF(IFERROR(L316*1,0)&gt;0,L316,IFERROR(K316*1,0)))</f>
        <v>0</v>
      </c>
      <c r="N316" s="21">
        <f>IF(A316="","",SUMIFS(Timesheets!$X$5:$X$804,Timesheets!$G$5:$G$804,A316))</f>
        <v>0</v>
      </c>
      <c r="O316" s="21">
        <f>IF(A316="","",IF(N316&gt;0,N316,ROUND(M316*CostPerHour,2)))</f>
        <v>0</v>
      </c>
      <c r="P316" s="21">
        <f>IF(A316="","",SUMIFS('Supply Usage'!$L$5:$L$304,'Supply Usage'!$F$5:$F$304,A316))</f>
        <v>0</v>
      </c>
      <c r="Q316" s="21">
        <f>IF(A316="","",IF(P316&gt;0,P316,ROUND(M316*SuppliesPerHour,2)))</f>
        <v>0</v>
      </c>
      <c r="R316" s="21">
        <f>IF(A316="","",ROUND(IFERROR(INDEX(Jobs!$W$5:$W$604,MATCH(A316,Jobs!$A$5:$A$604,0)),0)*MileageRate,2))</f>
        <v>0</v>
      </c>
      <c r="T316" s="21">
        <f>IF(A316="","",O316+Q316+R316+IF(S316="",0,S316))</f>
        <v>0</v>
      </c>
      <c r="U316" s="21">
        <f>IF(A316="","",J316-T316)</f>
        <v>0</v>
      </c>
      <c r="V316" s="38">
        <f>IF(OR(A316="",J316=0),"",U316/J316)</f>
        <v>0</v>
      </c>
      <c r="W316" s="21">
        <f>IF(OR(A316="",M316=0,J316=0),"",U316/M316)</f>
        <v>0</v>
      </c>
      <c r="X316" s="34">
        <f>IF(OR(A316="",L316="",L316=0,K316=""),"",L316-K316)</f>
        <v>0</v>
      </c>
      <c r="Y316" s="31">
        <f>IF(A316="","",COUNTIFS($U$5:$U$604,"&gt;"&amp;U316)+COUNTIFS($U$5:U316,U316))</f>
        <v>0</v>
      </c>
      <c r="Z316" s="31">
        <f>IF(A316="","",COUNTIFS($W$5:$W$604,"&gt;"&amp;W316)+COUNTIFS($W$5:W316,W316))</f>
        <v>0</v>
      </c>
      <c r="AA316" s="39">
        <f>IF(A316="","",IF(J316=0,"",IF(U316&lt;0,"Loss - this job cost you money",IF(V316&lt;MarginFloor,"Below - margin under the floor",IF(V316&lt;TargetMargin,"Check - under target margin",IF(AND(X316&lt;&gt;"",X316&gt;0.5),"Check - ran over the estimate","OK"))))))</f>
        <v>0</v>
      </c>
    </row>
    <row r="317" spans="1:27">
      <c r="A317" s="43">
        <f>IF(IFERROR(INDEX(Jobs!$A$5:$A$604,ROW()-4),"")="","",IFERROR(INDEX(Jobs!$A$5:$A$604,ROW()-4),""))</f>
        <v>0</v>
      </c>
      <c r="B317" s="18">
        <f>IF(A317="","",IFERROR(INDEX(Jobs!$B$5:$B$604,MATCH(A317,Jobs!$A$5:$A$604,0)),""))</f>
        <v>0</v>
      </c>
      <c r="C317" s="23">
        <f>IF(B317="","",TEXT(B317,"yyyy-mm"))</f>
        <v>0</v>
      </c>
      <c r="D317" s="43">
        <f>IF(A317="","",IFERROR(INDEX(Jobs!$G$5:$G$604,MATCH(A317,Jobs!$A$5:$A$604,0)),""))</f>
        <v>0</v>
      </c>
      <c r="E317" s="23">
        <f>IF(A317="","",IFERROR(INDEX(Jobs!$H$5:$H$604,MATCH(A317,Jobs!$A$5:$A$604,0)),""))</f>
        <v>0</v>
      </c>
      <c r="F317" s="23">
        <f>IF(A317="","",IFERROR(INDEX(Jobs!$K$5:$K$604,MATCH(A317,Jobs!$A$5:$A$604,0)),""))</f>
        <v>0</v>
      </c>
      <c r="G317" s="23">
        <f>IF(A317="","",IFERROR(INDEX(Jobs!$M$5:$M$604,MATCH(A317,Jobs!$A$5:$A$604,0)),""))</f>
        <v>0</v>
      </c>
      <c r="H317" s="23">
        <f>IF(A317="","",IFERROR(INDEX(Jobs!$R$5:$R$604,MATCH(A317,Jobs!$A$5:$A$604,0)),""))</f>
        <v>0</v>
      </c>
      <c r="I317" s="39">
        <f>IF(A317="","",IFERROR(INDEX(Jobs!$P$5:$P$604,MATCH(A317,Jobs!$A$5:$A$604,0)),""))</f>
        <v>0</v>
      </c>
      <c r="J317" s="21">
        <f>IF(A317="","",IF(OR(I317="Completed",I317="Invoiced"),IFERROR(INDEX(Jobs!$AJ$5:$AJ$604,MATCH(A317,Jobs!$A$5:$A$604,0)),0),0))</f>
        <v>0</v>
      </c>
      <c r="K317" s="34">
        <f>IF(A317="","",IFERROR(INDEX(Jobs!$AD$5:$AD$604,MATCH(A317,Jobs!$A$5:$A$604,0)),0))</f>
        <v>0</v>
      </c>
      <c r="L317" s="34">
        <f>IF(A317="","",IFERROR(INDEX(Jobs!$AK$5:$AK$604,MATCH(A317,Jobs!$A$5:$A$604,0)),0))</f>
        <v>0</v>
      </c>
      <c r="M317" s="34">
        <f>IF(A317="","",IF(IFERROR(L317*1,0)&gt;0,L317,IFERROR(K317*1,0)))</f>
        <v>0</v>
      </c>
      <c r="N317" s="21">
        <f>IF(A317="","",SUMIFS(Timesheets!$X$5:$X$804,Timesheets!$G$5:$G$804,A317))</f>
        <v>0</v>
      </c>
      <c r="O317" s="21">
        <f>IF(A317="","",IF(N317&gt;0,N317,ROUND(M317*CostPerHour,2)))</f>
        <v>0</v>
      </c>
      <c r="P317" s="21">
        <f>IF(A317="","",SUMIFS('Supply Usage'!$L$5:$L$304,'Supply Usage'!$F$5:$F$304,A317))</f>
        <v>0</v>
      </c>
      <c r="Q317" s="21">
        <f>IF(A317="","",IF(P317&gt;0,P317,ROUND(M317*SuppliesPerHour,2)))</f>
        <v>0</v>
      </c>
      <c r="R317" s="21">
        <f>IF(A317="","",ROUND(IFERROR(INDEX(Jobs!$W$5:$W$604,MATCH(A317,Jobs!$A$5:$A$604,0)),0)*MileageRate,2))</f>
        <v>0</v>
      </c>
      <c r="T317" s="21">
        <f>IF(A317="","",O317+Q317+R317+IF(S317="",0,S317))</f>
        <v>0</v>
      </c>
      <c r="U317" s="21">
        <f>IF(A317="","",J317-T317)</f>
        <v>0</v>
      </c>
      <c r="V317" s="38">
        <f>IF(OR(A317="",J317=0),"",U317/J317)</f>
        <v>0</v>
      </c>
      <c r="W317" s="21">
        <f>IF(OR(A317="",M317=0,J317=0),"",U317/M317)</f>
        <v>0</v>
      </c>
      <c r="X317" s="34">
        <f>IF(OR(A317="",L317="",L317=0,K317=""),"",L317-K317)</f>
        <v>0</v>
      </c>
      <c r="Y317" s="31">
        <f>IF(A317="","",COUNTIFS($U$5:$U$604,"&gt;"&amp;U317)+COUNTIFS($U$5:U317,U317))</f>
        <v>0</v>
      </c>
      <c r="Z317" s="31">
        <f>IF(A317="","",COUNTIFS($W$5:$W$604,"&gt;"&amp;W317)+COUNTIFS($W$5:W317,W317))</f>
        <v>0</v>
      </c>
      <c r="AA317" s="39">
        <f>IF(A317="","",IF(J317=0,"",IF(U317&lt;0,"Loss - this job cost you money",IF(V317&lt;MarginFloor,"Below - margin under the floor",IF(V317&lt;TargetMargin,"Check - under target margin",IF(AND(X317&lt;&gt;"",X317&gt;0.5),"Check - ran over the estimate","OK"))))))</f>
        <v>0</v>
      </c>
    </row>
    <row r="318" spans="1:27">
      <c r="A318" s="43">
        <f>IF(IFERROR(INDEX(Jobs!$A$5:$A$604,ROW()-4),"")="","",IFERROR(INDEX(Jobs!$A$5:$A$604,ROW()-4),""))</f>
        <v>0</v>
      </c>
      <c r="B318" s="18">
        <f>IF(A318="","",IFERROR(INDEX(Jobs!$B$5:$B$604,MATCH(A318,Jobs!$A$5:$A$604,0)),""))</f>
        <v>0</v>
      </c>
      <c r="C318" s="23">
        <f>IF(B318="","",TEXT(B318,"yyyy-mm"))</f>
        <v>0</v>
      </c>
      <c r="D318" s="43">
        <f>IF(A318="","",IFERROR(INDEX(Jobs!$G$5:$G$604,MATCH(A318,Jobs!$A$5:$A$604,0)),""))</f>
        <v>0</v>
      </c>
      <c r="E318" s="23">
        <f>IF(A318="","",IFERROR(INDEX(Jobs!$H$5:$H$604,MATCH(A318,Jobs!$A$5:$A$604,0)),""))</f>
        <v>0</v>
      </c>
      <c r="F318" s="23">
        <f>IF(A318="","",IFERROR(INDEX(Jobs!$K$5:$K$604,MATCH(A318,Jobs!$A$5:$A$604,0)),""))</f>
        <v>0</v>
      </c>
      <c r="G318" s="23">
        <f>IF(A318="","",IFERROR(INDEX(Jobs!$M$5:$M$604,MATCH(A318,Jobs!$A$5:$A$604,0)),""))</f>
        <v>0</v>
      </c>
      <c r="H318" s="23">
        <f>IF(A318="","",IFERROR(INDEX(Jobs!$R$5:$R$604,MATCH(A318,Jobs!$A$5:$A$604,0)),""))</f>
        <v>0</v>
      </c>
      <c r="I318" s="39">
        <f>IF(A318="","",IFERROR(INDEX(Jobs!$P$5:$P$604,MATCH(A318,Jobs!$A$5:$A$604,0)),""))</f>
        <v>0</v>
      </c>
      <c r="J318" s="21">
        <f>IF(A318="","",IF(OR(I318="Completed",I318="Invoiced"),IFERROR(INDEX(Jobs!$AJ$5:$AJ$604,MATCH(A318,Jobs!$A$5:$A$604,0)),0),0))</f>
        <v>0</v>
      </c>
      <c r="K318" s="34">
        <f>IF(A318="","",IFERROR(INDEX(Jobs!$AD$5:$AD$604,MATCH(A318,Jobs!$A$5:$A$604,0)),0))</f>
        <v>0</v>
      </c>
      <c r="L318" s="34">
        <f>IF(A318="","",IFERROR(INDEX(Jobs!$AK$5:$AK$604,MATCH(A318,Jobs!$A$5:$A$604,0)),0))</f>
        <v>0</v>
      </c>
      <c r="M318" s="34">
        <f>IF(A318="","",IF(IFERROR(L318*1,0)&gt;0,L318,IFERROR(K318*1,0)))</f>
        <v>0</v>
      </c>
      <c r="N318" s="21">
        <f>IF(A318="","",SUMIFS(Timesheets!$X$5:$X$804,Timesheets!$G$5:$G$804,A318))</f>
        <v>0</v>
      </c>
      <c r="O318" s="21">
        <f>IF(A318="","",IF(N318&gt;0,N318,ROUND(M318*CostPerHour,2)))</f>
        <v>0</v>
      </c>
      <c r="P318" s="21">
        <f>IF(A318="","",SUMIFS('Supply Usage'!$L$5:$L$304,'Supply Usage'!$F$5:$F$304,A318))</f>
        <v>0</v>
      </c>
      <c r="Q318" s="21">
        <f>IF(A318="","",IF(P318&gt;0,P318,ROUND(M318*SuppliesPerHour,2)))</f>
        <v>0</v>
      </c>
      <c r="R318" s="21">
        <f>IF(A318="","",ROUND(IFERROR(INDEX(Jobs!$W$5:$W$604,MATCH(A318,Jobs!$A$5:$A$604,0)),0)*MileageRate,2))</f>
        <v>0</v>
      </c>
      <c r="T318" s="21">
        <f>IF(A318="","",O318+Q318+R318+IF(S318="",0,S318))</f>
        <v>0</v>
      </c>
      <c r="U318" s="21">
        <f>IF(A318="","",J318-T318)</f>
        <v>0</v>
      </c>
      <c r="V318" s="38">
        <f>IF(OR(A318="",J318=0),"",U318/J318)</f>
        <v>0</v>
      </c>
      <c r="W318" s="21">
        <f>IF(OR(A318="",M318=0,J318=0),"",U318/M318)</f>
        <v>0</v>
      </c>
      <c r="X318" s="34">
        <f>IF(OR(A318="",L318="",L318=0,K318=""),"",L318-K318)</f>
        <v>0</v>
      </c>
      <c r="Y318" s="31">
        <f>IF(A318="","",COUNTIFS($U$5:$U$604,"&gt;"&amp;U318)+COUNTIFS($U$5:U318,U318))</f>
        <v>0</v>
      </c>
      <c r="Z318" s="31">
        <f>IF(A318="","",COUNTIFS($W$5:$W$604,"&gt;"&amp;W318)+COUNTIFS($W$5:W318,W318))</f>
        <v>0</v>
      </c>
      <c r="AA318" s="39">
        <f>IF(A318="","",IF(J318=0,"",IF(U318&lt;0,"Loss - this job cost you money",IF(V318&lt;MarginFloor,"Below - margin under the floor",IF(V318&lt;TargetMargin,"Check - under target margin",IF(AND(X318&lt;&gt;"",X318&gt;0.5),"Check - ran over the estimate","OK"))))))</f>
        <v>0</v>
      </c>
    </row>
    <row r="319" spans="1:27">
      <c r="A319" s="43">
        <f>IF(IFERROR(INDEX(Jobs!$A$5:$A$604,ROW()-4),"")="","",IFERROR(INDEX(Jobs!$A$5:$A$604,ROW()-4),""))</f>
        <v>0</v>
      </c>
      <c r="B319" s="18">
        <f>IF(A319="","",IFERROR(INDEX(Jobs!$B$5:$B$604,MATCH(A319,Jobs!$A$5:$A$604,0)),""))</f>
        <v>0</v>
      </c>
      <c r="C319" s="23">
        <f>IF(B319="","",TEXT(B319,"yyyy-mm"))</f>
        <v>0</v>
      </c>
      <c r="D319" s="43">
        <f>IF(A319="","",IFERROR(INDEX(Jobs!$G$5:$G$604,MATCH(A319,Jobs!$A$5:$A$604,0)),""))</f>
        <v>0</v>
      </c>
      <c r="E319" s="23">
        <f>IF(A319="","",IFERROR(INDEX(Jobs!$H$5:$H$604,MATCH(A319,Jobs!$A$5:$A$604,0)),""))</f>
        <v>0</v>
      </c>
      <c r="F319" s="23">
        <f>IF(A319="","",IFERROR(INDEX(Jobs!$K$5:$K$604,MATCH(A319,Jobs!$A$5:$A$604,0)),""))</f>
        <v>0</v>
      </c>
      <c r="G319" s="23">
        <f>IF(A319="","",IFERROR(INDEX(Jobs!$M$5:$M$604,MATCH(A319,Jobs!$A$5:$A$604,0)),""))</f>
        <v>0</v>
      </c>
      <c r="H319" s="23">
        <f>IF(A319="","",IFERROR(INDEX(Jobs!$R$5:$R$604,MATCH(A319,Jobs!$A$5:$A$604,0)),""))</f>
        <v>0</v>
      </c>
      <c r="I319" s="39">
        <f>IF(A319="","",IFERROR(INDEX(Jobs!$P$5:$P$604,MATCH(A319,Jobs!$A$5:$A$604,0)),""))</f>
        <v>0</v>
      </c>
      <c r="J319" s="21">
        <f>IF(A319="","",IF(OR(I319="Completed",I319="Invoiced"),IFERROR(INDEX(Jobs!$AJ$5:$AJ$604,MATCH(A319,Jobs!$A$5:$A$604,0)),0),0))</f>
        <v>0</v>
      </c>
      <c r="K319" s="34">
        <f>IF(A319="","",IFERROR(INDEX(Jobs!$AD$5:$AD$604,MATCH(A319,Jobs!$A$5:$A$604,0)),0))</f>
        <v>0</v>
      </c>
      <c r="L319" s="34">
        <f>IF(A319="","",IFERROR(INDEX(Jobs!$AK$5:$AK$604,MATCH(A319,Jobs!$A$5:$A$604,0)),0))</f>
        <v>0</v>
      </c>
      <c r="M319" s="34">
        <f>IF(A319="","",IF(IFERROR(L319*1,0)&gt;0,L319,IFERROR(K319*1,0)))</f>
        <v>0</v>
      </c>
      <c r="N319" s="21">
        <f>IF(A319="","",SUMIFS(Timesheets!$X$5:$X$804,Timesheets!$G$5:$G$804,A319))</f>
        <v>0</v>
      </c>
      <c r="O319" s="21">
        <f>IF(A319="","",IF(N319&gt;0,N319,ROUND(M319*CostPerHour,2)))</f>
        <v>0</v>
      </c>
      <c r="P319" s="21">
        <f>IF(A319="","",SUMIFS('Supply Usage'!$L$5:$L$304,'Supply Usage'!$F$5:$F$304,A319))</f>
        <v>0</v>
      </c>
      <c r="Q319" s="21">
        <f>IF(A319="","",IF(P319&gt;0,P319,ROUND(M319*SuppliesPerHour,2)))</f>
        <v>0</v>
      </c>
      <c r="R319" s="21">
        <f>IF(A319="","",ROUND(IFERROR(INDEX(Jobs!$W$5:$W$604,MATCH(A319,Jobs!$A$5:$A$604,0)),0)*MileageRate,2))</f>
        <v>0</v>
      </c>
      <c r="T319" s="21">
        <f>IF(A319="","",O319+Q319+R319+IF(S319="",0,S319))</f>
        <v>0</v>
      </c>
      <c r="U319" s="21">
        <f>IF(A319="","",J319-T319)</f>
        <v>0</v>
      </c>
      <c r="V319" s="38">
        <f>IF(OR(A319="",J319=0),"",U319/J319)</f>
        <v>0</v>
      </c>
      <c r="W319" s="21">
        <f>IF(OR(A319="",M319=0,J319=0),"",U319/M319)</f>
        <v>0</v>
      </c>
      <c r="X319" s="34">
        <f>IF(OR(A319="",L319="",L319=0,K319=""),"",L319-K319)</f>
        <v>0</v>
      </c>
      <c r="Y319" s="31">
        <f>IF(A319="","",COUNTIFS($U$5:$U$604,"&gt;"&amp;U319)+COUNTIFS($U$5:U319,U319))</f>
        <v>0</v>
      </c>
      <c r="Z319" s="31">
        <f>IF(A319="","",COUNTIFS($W$5:$W$604,"&gt;"&amp;W319)+COUNTIFS($W$5:W319,W319))</f>
        <v>0</v>
      </c>
      <c r="AA319" s="39">
        <f>IF(A319="","",IF(J319=0,"",IF(U319&lt;0,"Loss - this job cost you money",IF(V319&lt;MarginFloor,"Below - margin under the floor",IF(V319&lt;TargetMargin,"Check - under target margin",IF(AND(X319&lt;&gt;"",X319&gt;0.5),"Check - ran over the estimate","OK"))))))</f>
        <v>0</v>
      </c>
    </row>
    <row r="320" spans="1:27">
      <c r="A320" s="43">
        <f>IF(IFERROR(INDEX(Jobs!$A$5:$A$604,ROW()-4),"")="","",IFERROR(INDEX(Jobs!$A$5:$A$604,ROW()-4),""))</f>
        <v>0</v>
      </c>
      <c r="B320" s="18">
        <f>IF(A320="","",IFERROR(INDEX(Jobs!$B$5:$B$604,MATCH(A320,Jobs!$A$5:$A$604,0)),""))</f>
        <v>0</v>
      </c>
      <c r="C320" s="23">
        <f>IF(B320="","",TEXT(B320,"yyyy-mm"))</f>
        <v>0</v>
      </c>
      <c r="D320" s="43">
        <f>IF(A320="","",IFERROR(INDEX(Jobs!$G$5:$G$604,MATCH(A320,Jobs!$A$5:$A$604,0)),""))</f>
        <v>0</v>
      </c>
      <c r="E320" s="23">
        <f>IF(A320="","",IFERROR(INDEX(Jobs!$H$5:$H$604,MATCH(A320,Jobs!$A$5:$A$604,0)),""))</f>
        <v>0</v>
      </c>
      <c r="F320" s="23">
        <f>IF(A320="","",IFERROR(INDEX(Jobs!$K$5:$K$604,MATCH(A320,Jobs!$A$5:$A$604,0)),""))</f>
        <v>0</v>
      </c>
      <c r="G320" s="23">
        <f>IF(A320="","",IFERROR(INDEX(Jobs!$M$5:$M$604,MATCH(A320,Jobs!$A$5:$A$604,0)),""))</f>
        <v>0</v>
      </c>
      <c r="H320" s="23">
        <f>IF(A320="","",IFERROR(INDEX(Jobs!$R$5:$R$604,MATCH(A320,Jobs!$A$5:$A$604,0)),""))</f>
        <v>0</v>
      </c>
      <c r="I320" s="39">
        <f>IF(A320="","",IFERROR(INDEX(Jobs!$P$5:$P$604,MATCH(A320,Jobs!$A$5:$A$604,0)),""))</f>
        <v>0</v>
      </c>
      <c r="J320" s="21">
        <f>IF(A320="","",IF(OR(I320="Completed",I320="Invoiced"),IFERROR(INDEX(Jobs!$AJ$5:$AJ$604,MATCH(A320,Jobs!$A$5:$A$604,0)),0),0))</f>
        <v>0</v>
      </c>
      <c r="K320" s="34">
        <f>IF(A320="","",IFERROR(INDEX(Jobs!$AD$5:$AD$604,MATCH(A320,Jobs!$A$5:$A$604,0)),0))</f>
        <v>0</v>
      </c>
      <c r="L320" s="34">
        <f>IF(A320="","",IFERROR(INDEX(Jobs!$AK$5:$AK$604,MATCH(A320,Jobs!$A$5:$A$604,0)),0))</f>
        <v>0</v>
      </c>
      <c r="M320" s="34">
        <f>IF(A320="","",IF(IFERROR(L320*1,0)&gt;0,L320,IFERROR(K320*1,0)))</f>
        <v>0</v>
      </c>
      <c r="N320" s="21">
        <f>IF(A320="","",SUMIFS(Timesheets!$X$5:$X$804,Timesheets!$G$5:$G$804,A320))</f>
        <v>0</v>
      </c>
      <c r="O320" s="21">
        <f>IF(A320="","",IF(N320&gt;0,N320,ROUND(M320*CostPerHour,2)))</f>
        <v>0</v>
      </c>
      <c r="P320" s="21">
        <f>IF(A320="","",SUMIFS('Supply Usage'!$L$5:$L$304,'Supply Usage'!$F$5:$F$304,A320))</f>
        <v>0</v>
      </c>
      <c r="Q320" s="21">
        <f>IF(A320="","",IF(P320&gt;0,P320,ROUND(M320*SuppliesPerHour,2)))</f>
        <v>0</v>
      </c>
      <c r="R320" s="21">
        <f>IF(A320="","",ROUND(IFERROR(INDEX(Jobs!$W$5:$W$604,MATCH(A320,Jobs!$A$5:$A$604,0)),0)*MileageRate,2))</f>
        <v>0</v>
      </c>
      <c r="T320" s="21">
        <f>IF(A320="","",O320+Q320+R320+IF(S320="",0,S320))</f>
        <v>0</v>
      </c>
      <c r="U320" s="21">
        <f>IF(A320="","",J320-T320)</f>
        <v>0</v>
      </c>
      <c r="V320" s="38">
        <f>IF(OR(A320="",J320=0),"",U320/J320)</f>
        <v>0</v>
      </c>
      <c r="W320" s="21">
        <f>IF(OR(A320="",M320=0,J320=0),"",U320/M320)</f>
        <v>0</v>
      </c>
      <c r="X320" s="34">
        <f>IF(OR(A320="",L320="",L320=0,K320=""),"",L320-K320)</f>
        <v>0</v>
      </c>
      <c r="Y320" s="31">
        <f>IF(A320="","",COUNTIFS($U$5:$U$604,"&gt;"&amp;U320)+COUNTIFS($U$5:U320,U320))</f>
        <v>0</v>
      </c>
      <c r="Z320" s="31">
        <f>IF(A320="","",COUNTIFS($W$5:$W$604,"&gt;"&amp;W320)+COUNTIFS($W$5:W320,W320))</f>
        <v>0</v>
      </c>
      <c r="AA320" s="39">
        <f>IF(A320="","",IF(J320=0,"",IF(U320&lt;0,"Loss - this job cost you money",IF(V320&lt;MarginFloor,"Below - margin under the floor",IF(V320&lt;TargetMargin,"Check - under target margin",IF(AND(X320&lt;&gt;"",X320&gt;0.5),"Check - ran over the estimate","OK"))))))</f>
        <v>0</v>
      </c>
    </row>
    <row r="321" spans="1:27">
      <c r="A321" s="43">
        <f>IF(IFERROR(INDEX(Jobs!$A$5:$A$604,ROW()-4),"")="","",IFERROR(INDEX(Jobs!$A$5:$A$604,ROW()-4),""))</f>
        <v>0</v>
      </c>
      <c r="B321" s="18">
        <f>IF(A321="","",IFERROR(INDEX(Jobs!$B$5:$B$604,MATCH(A321,Jobs!$A$5:$A$604,0)),""))</f>
        <v>0</v>
      </c>
      <c r="C321" s="23">
        <f>IF(B321="","",TEXT(B321,"yyyy-mm"))</f>
        <v>0</v>
      </c>
      <c r="D321" s="43">
        <f>IF(A321="","",IFERROR(INDEX(Jobs!$G$5:$G$604,MATCH(A321,Jobs!$A$5:$A$604,0)),""))</f>
        <v>0</v>
      </c>
      <c r="E321" s="23">
        <f>IF(A321="","",IFERROR(INDEX(Jobs!$H$5:$H$604,MATCH(A321,Jobs!$A$5:$A$604,0)),""))</f>
        <v>0</v>
      </c>
      <c r="F321" s="23">
        <f>IF(A321="","",IFERROR(INDEX(Jobs!$K$5:$K$604,MATCH(A321,Jobs!$A$5:$A$604,0)),""))</f>
        <v>0</v>
      </c>
      <c r="G321" s="23">
        <f>IF(A321="","",IFERROR(INDEX(Jobs!$M$5:$M$604,MATCH(A321,Jobs!$A$5:$A$604,0)),""))</f>
        <v>0</v>
      </c>
      <c r="H321" s="23">
        <f>IF(A321="","",IFERROR(INDEX(Jobs!$R$5:$R$604,MATCH(A321,Jobs!$A$5:$A$604,0)),""))</f>
        <v>0</v>
      </c>
      <c r="I321" s="39">
        <f>IF(A321="","",IFERROR(INDEX(Jobs!$P$5:$P$604,MATCH(A321,Jobs!$A$5:$A$604,0)),""))</f>
        <v>0</v>
      </c>
      <c r="J321" s="21">
        <f>IF(A321="","",IF(OR(I321="Completed",I321="Invoiced"),IFERROR(INDEX(Jobs!$AJ$5:$AJ$604,MATCH(A321,Jobs!$A$5:$A$604,0)),0),0))</f>
        <v>0</v>
      </c>
      <c r="K321" s="34">
        <f>IF(A321="","",IFERROR(INDEX(Jobs!$AD$5:$AD$604,MATCH(A321,Jobs!$A$5:$A$604,0)),0))</f>
        <v>0</v>
      </c>
      <c r="L321" s="34">
        <f>IF(A321="","",IFERROR(INDEX(Jobs!$AK$5:$AK$604,MATCH(A321,Jobs!$A$5:$A$604,0)),0))</f>
        <v>0</v>
      </c>
      <c r="M321" s="34">
        <f>IF(A321="","",IF(IFERROR(L321*1,0)&gt;0,L321,IFERROR(K321*1,0)))</f>
        <v>0</v>
      </c>
      <c r="N321" s="21">
        <f>IF(A321="","",SUMIFS(Timesheets!$X$5:$X$804,Timesheets!$G$5:$G$804,A321))</f>
        <v>0</v>
      </c>
      <c r="O321" s="21">
        <f>IF(A321="","",IF(N321&gt;0,N321,ROUND(M321*CostPerHour,2)))</f>
        <v>0</v>
      </c>
      <c r="P321" s="21">
        <f>IF(A321="","",SUMIFS('Supply Usage'!$L$5:$L$304,'Supply Usage'!$F$5:$F$304,A321))</f>
        <v>0</v>
      </c>
      <c r="Q321" s="21">
        <f>IF(A321="","",IF(P321&gt;0,P321,ROUND(M321*SuppliesPerHour,2)))</f>
        <v>0</v>
      </c>
      <c r="R321" s="21">
        <f>IF(A321="","",ROUND(IFERROR(INDEX(Jobs!$W$5:$W$604,MATCH(A321,Jobs!$A$5:$A$604,0)),0)*MileageRate,2))</f>
        <v>0</v>
      </c>
      <c r="T321" s="21">
        <f>IF(A321="","",O321+Q321+R321+IF(S321="",0,S321))</f>
        <v>0</v>
      </c>
      <c r="U321" s="21">
        <f>IF(A321="","",J321-T321)</f>
        <v>0</v>
      </c>
      <c r="V321" s="38">
        <f>IF(OR(A321="",J321=0),"",U321/J321)</f>
        <v>0</v>
      </c>
      <c r="W321" s="21">
        <f>IF(OR(A321="",M321=0,J321=0),"",U321/M321)</f>
        <v>0</v>
      </c>
      <c r="X321" s="34">
        <f>IF(OR(A321="",L321="",L321=0,K321=""),"",L321-K321)</f>
        <v>0</v>
      </c>
      <c r="Y321" s="31">
        <f>IF(A321="","",COUNTIFS($U$5:$U$604,"&gt;"&amp;U321)+COUNTIFS($U$5:U321,U321))</f>
        <v>0</v>
      </c>
      <c r="Z321" s="31">
        <f>IF(A321="","",COUNTIFS($W$5:$W$604,"&gt;"&amp;W321)+COUNTIFS($W$5:W321,W321))</f>
        <v>0</v>
      </c>
      <c r="AA321" s="39">
        <f>IF(A321="","",IF(J321=0,"",IF(U321&lt;0,"Loss - this job cost you money",IF(V321&lt;MarginFloor,"Below - margin under the floor",IF(V321&lt;TargetMargin,"Check - under target margin",IF(AND(X321&lt;&gt;"",X321&gt;0.5),"Check - ran over the estimate","OK"))))))</f>
        <v>0</v>
      </c>
    </row>
    <row r="322" spans="1:27">
      <c r="A322" s="43">
        <f>IF(IFERROR(INDEX(Jobs!$A$5:$A$604,ROW()-4),"")="","",IFERROR(INDEX(Jobs!$A$5:$A$604,ROW()-4),""))</f>
        <v>0</v>
      </c>
      <c r="B322" s="18">
        <f>IF(A322="","",IFERROR(INDEX(Jobs!$B$5:$B$604,MATCH(A322,Jobs!$A$5:$A$604,0)),""))</f>
        <v>0</v>
      </c>
      <c r="C322" s="23">
        <f>IF(B322="","",TEXT(B322,"yyyy-mm"))</f>
        <v>0</v>
      </c>
      <c r="D322" s="43">
        <f>IF(A322="","",IFERROR(INDEX(Jobs!$G$5:$G$604,MATCH(A322,Jobs!$A$5:$A$604,0)),""))</f>
        <v>0</v>
      </c>
      <c r="E322" s="23">
        <f>IF(A322="","",IFERROR(INDEX(Jobs!$H$5:$H$604,MATCH(A322,Jobs!$A$5:$A$604,0)),""))</f>
        <v>0</v>
      </c>
      <c r="F322" s="23">
        <f>IF(A322="","",IFERROR(INDEX(Jobs!$K$5:$K$604,MATCH(A322,Jobs!$A$5:$A$604,0)),""))</f>
        <v>0</v>
      </c>
      <c r="G322" s="23">
        <f>IF(A322="","",IFERROR(INDEX(Jobs!$M$5:$M$604,MATCH(A322,Jobs!$A$5:$A$604,0)),""))</f>
        <v>0</v>
      </c>
      <c r="H322" s="23">
        <f>IF(A322="","",IFERROR(INDEX(Jobs!$R$5:$R$604,MATCH(A322,Jobs!$A$5:$A$604,0)),""))</f>
        <v>0</v>
      </c>
      <c r="I322" s="39">
        <f>IF(A322="","",IFERROR(INDEX(Jobs!$P$5:$P$604,MATCH(A322,Jobs!$A$5:$A$604,0)),""))</f>
        <v>0</v>
      </c>
      <c r="J322" s="21">
        <f>IF(A322="","",IF(OR(I322="Completed",I322="Invoiced"),IFERROR(INDEX(Jobs!$AJ$5:$AJ$604,MATCH(A322,Jobs!$A$5:$A$604,0)),0),0))</f>
        <v>0</v>
      </c>
      <c r="K322" s="34">
        <f>IF(A322="","",IFERROR(INDEX(Jobs!$AD$5:$AD$604,MATCH(A322,Jobs!$A$5:$A$604,0)),0))</f>
        <v>0</v>
      </c>
      <c r="L322" s="34">
        <f>IF(A322="","",IFERROR(INDEX(Jobs!$AK$5:$AK$604,MATCH(A322,Jobs!$A$5:$A$604,0)),0))</f>
        <v>0</v>
      </c>
      <c r="M322" s="34">
        <f>IF(A322="","",IF(IFERROR(L322*1,0)&gt;0,L322,IFERROR(K322*1,0)))</f>
        <v>0</v>
      </c>
      <c r="N322" s="21">
        <f>IF(A322="","",SUMIFS(Timesheets!$X$5:$X$804,Timesheets!$G$5:$G$804,A322))</f>
        <v>0</v>
      </c>
      <c r="O322" s="21">
        <f>IF(A322="","",IF(N322&gt;0,N322,ROUND(M322*CostPerHour,2)))</f>
        <v>0</v>
      </c>
      <c r="P322" s="21">
        <f>IF(A322="","",SUMIFS('Supply Usage'!$L$5:$L$304,'Supply Usage'!$F$5:$F$304,A322))</f>
        <v>0</v>
      </c>
      <c r="Q322" s="21">
        <f>IF(A322="","",IF(P322&gt;0,P322,ROUND(M322*SuppliesPerHour,2)))</f>
        <v>0</v>
      </c>
      <c r="R322" s="21">
        <f>IF(A322="","",ROUND(IFERROR(INDEX(Jobs!$W$5:$W$604,MATCH(A322,Jobs!$A$5:$A$604,0)),0)*MileageRate,2))</f>
        <v>0</v>
      </c>
      <c r="T322" s="21">
        <f>IF(A322="","",O322+Q322+R322+IF(S322="",0,S322))</f>
        <v>0</v>
      </c>
      <c r="U322" s="21">
        <f>IF(A322="","",J322-T322)</f>
        <v>0</v>
      </c>
      <c r="V322" s="38">
        <f>IF(OR(A322="",J322=0),"",U322/J322)</f>
        <v>0</v>
      </c>
      <c r="W322" s="21">
        <f>IF(OR(A322="",M322=0,J322=0),"",U322/M322)</f>
        <v>0</v>
      </c>
      <c r="X322" s="34">
        <f>IF(OR(A322="",L322="",L322=0,K322=""),"",L322-K322)</f>
        <v>0</v>
      </c>
      <c r="Y322" s="31">
        <f>IF(A322="","",COUNTIFS($U$5:$U$604,"&gt;"&amp;U322)+COUNTIFS($U$5:U322,U322))</f>
        <v>0</v>
      </c>
      <c r="Z322" s="31">
        <f>IF(A322="","",COUNTIFS($W$5:$W$604,"&gt;"&amp;W322)+COUNTIFS($W$5:W322,W322))</f>
        <v>0</v>
      </c>
      <c r="AA322" s="39">
        <f>IF(A322="","",IF(J322=0,"",IF(U322&lt;0,"Loss - this job cost you money",IF(V322&lt;MarginFloor,"Below - margin under the floor",IF(V322&lt;TargetMargin,"Check - under target margin",IF(AND(X322&lt;&gt;"",X322&gt;0.5),"Check - ran over the estimate","OK"))))))</f>
        <v>0</v>
      </c>
    </row>
    <row r="323" spans="1:27">
      <c r="A323" s="43">
        <f>IF(IFERROR(INDEX(Jobs!$A$5:$A$604,ROW()-4),"")="","",IFERROR(INDEX(Jobs!$A$5:$A$604,ROW()-4),""))</f>
        <v>0</v>
      </c>
      <c r="B323" s="18">
        <f>IF(A323="","",IFERROR(INDEX(Jobs!$B$5:$B$604,MATCH(A323,Jobs!$A$5:$A$604,0)),""))</f>
        <v>0</v>
      </c>
      <c r="C323" s="23">
        <f>IF(B323="","",TEXT(B323,"yyyy-mm"))</f>
        <v>0</v>
      </c>
      <c r="D323" s="43">
        <f>IF(A323="","",IFERROR(INDEX(Jobs!$G$5:$G$604,MATCH(A323,Jobs!$A$5:$A$604,0)),""))</f>
        <v>0</v>
      </c>
      <c r="E323" s="23">
        <f>IF(A323="","",IFERROR(INDEX(Jobs!$H$5:$H$604,MATCH(A323,Jobs!$A$5:$A$604,0)),""))</f>
        <v>0</v>
      </c>
      <c r="F323" s="23">
        <f>IF(A323="","",IFERROR(INDEX(Jobs!$K$5:$K$604,MATCH(A323,Jobs!$A$5:$A$604,0)),""))</f>
        <v>0</v>
      </c>
      <c r="G323" s="23">
        <f>IF(A323="","",IFERROR(INDEX(Jobs!$M$5:$M$604,MATCH(A323,Jobs!$A$5:$A$604,0)),""))</f>
        <v>0</v>
      </c>
      <c r="H323" s="23">
        <f>IF(A323="","",IFERROR(INDEX(Jobs!$R$5:$R$604,MATCH(A323,Jobs!$A$5:$A$604,0)),""))</f>
        <v>0</v>
      </c>
      <c r="I323" s="39">
        <f>IF(A323="","",IFERROR(INDEX(Jobs!$P$5:$P$604,MATCH(A323,Jobs!$A$5:$A$604,0)),""))</f>
        <v>0</v>
      </c>
      <c r="J323" s="21">
        <f>IF(A323="","",IF(OR(I323="Completed",I323="Invoiced"),IFERROR(INDEX(Jobs!$AJ$5:$AJ$604,MATCH(A323,Jobs!$A$5:$A$604,0)),0),0))</f>
        <v>0</v>
      </c>
      <c r="K323" s="34">
        <f>IF(A323="","",IFERROR(INDEX(Jobs!$AD$5:$AD$604,MATCH(A323,Jobs!$A$5:$A$604,0)),0))</f>
        <v>0</v>
      </c>
      <c r="L323" s="34">
        <f>IF(A323="","",IFERROR(INDEX(Jobs!$AK$5:$AK$604,MATCH(A323,Jobs!$A$5:$A$604,0)),0))</f>
        <v>0</v>
      </c>
      <c r="M323" s="34">
        <f>IF(A323="","",IF(IFERROR(L323*1,0)&gt;0,L323,IFERROR(K323*1,0)))</f>
        <v>0</v>
      </c>
      <c r="N323" s="21">
        <f>IF(A323="","",SUMIFS(Timesheets!$X$5:$X$804,Timesheets!$G$5:$G$804,A323))</f>
        <v>0</v>
      </c>
      <c r="O323" s="21">
        <f>IF(A323="","",IF(N323&gt;0,N323,ROUND(M323*CostPerHour,2)))</f>
        <v>0</v>
      </c>
      <c r="P323" s="21">
        <f>IF(A323="","",SUMIFS('Supply Usage'!$L$5:$L$304,'Supply Usage'!$F$5:$F$304,A323))</f>
        <v>0</v>
      </c>
      <c r="Q323" s="21">
        <f>IF(A323="","",IF(P323&gt;0,P323,ROUND(M323*SuppliesPerHour,2)))</f>
        <v>0</v>
      </c>
      <c r="R323" s="21">
        <f>IF(A323="","",ROUND(IFERROR(INDEX(Jobs!$W$5:$W$604,MATCH(A323,Jobs!$A$5:$A$604,0)),0)*MileageRate,2))</f>
        <v>0</v>
      </c>
      <c r="T323" s="21">
        <f>IF(A323="","",O323+Q323+R323+IF(S323="",0,S323))</f>
        <v>0</v>
      </c>
      <c r="U323" s="21">
        <f>IF(A323="","",J323-T323)</f>
        <v>0</v>
      </c>
      <c r="V323" s="38">
        <f>IF(OR(A323="",J323=0),"",U323/J323)</f>
        <v>0</v>
      </c>
      <c r="W323" s="21">
        <f>IF(OR(A323="",M323=0,J323=0),"",U323/M323)</f>
        <v>0</v>
      </c>
      <c r="X323" s="34">
        <f>IF(OR(A323="",L323="",L323=0,K323=""),"",L323-K323)</f>
        <v>0</v>
      </c>
      <c r="Y323" s="31">
        <f>IF(A323="","",COUNTIFS($U$5:$U$604,"&gt;"&amp;U323)+COUNTIFS($U$5:U323,U323))</f>
        <v>0</v>
      </c>
      <c r="Z323" s="31">
        <f>IF(A323="","",COUNTIFS($W$5:$W$604,"&gt;"&amp;W323)+COUNTIFS($W$5:W323,W323))</f>
        <v>0</v>
      </c>
      <c r="AA323" s="39">
        <f>IF(A323="","",IF(J323=0,"",IF(U323&lt;0,"Loss - this job cost you money",IF(V323&lt;MarginFloor,"Below - margin under the floor",IF(V323&lt;TargetMargin,"Check - under target margin",IF(AND(X323&lt;&gt;"",X323&gt;0.5),"Check - ran over the estimate","OK"))))))</f>
        <v>0</v>
      </c>
    </row>
    <row r="324" spans="1:27">
      <c r="A324" s="43">
        <f>IF(IFERROR(INDEX(Jobs!$A$5:$A$604,ROW()-4),"")="","",IFERROR(INDEX(Jobs!$A$5:$A$604,ROW()-4),""))</f>
        <v>0</v>
      </c>
      <c r="B324" s="18">
        <f>IF(A324="","",IFERROR(INDEX(Jobs!$B$5:$B$604,MATCH(A324,Jobs!$A$5:$A$604,0)),""))</f>
        <v>0</v>
      </c>
      <c r="C324" s="23">
        <f>IF(B324="","",TEXT(B324,"yyyy-mm"))</f>
        <v>0</v>
      </c>
      <c r="D324" s="43">
        <f>IF(A324="","",IFERROR(INDEX(Jobs!$G$5:$G$604,MATCH(A324,Jobs!$A$5:$A$604,0)),""))</f>
        <v>0</v>
      </c>
      <c r="E324" s="23">
        <f>IF(A324="","",IFERROR(INDEX(Jobs!$H$5:$H$604,MATCH(A324,Jobs!$A$5:$A$604,0)),""))</f>
        <v>0</v>
      </c>
      <c r="F324" s="23">
        <f>IF(A324="","",IFERROR(INDEX(Jobs!$K$5:$K$604,MATCH(A324,Jobs!$A$5:$A$604,0)),""))</f>
        <v>0</v>
      </c>
      <c r="G324" s="23">
        <f>IF(A324="","",IFERROR(INDEX(Jobs!$M$5:$M$604,MATCH(A324,Jobs!$A$5:$A$604,0)),""))</f>
        <v>0</v>
      </c>
      <c r="H324" s="23">
        <f>IF(A324="","",IFERROR(INDEX(Jobs!$R$5:$R$604,MATCH(A324,Jobs!$A$5:$A$604,0)),""))</f>
        <v>0</v>
      </c>
      <c r="I324" s="39">
        <f>IF(A324="","",IFERROR(INDEX(Jobs!$P$5:$P$604,MATCH(A324,Jobs!$A$5:$A$604,0)),""))</f>
        <v>0</v>
      </c>
      <c r="J324" s="21">
        <f>IF(A324="","",IF(OR(I324="Completed",I324="Invoiced"),IFERROR(INDEX(Jobs!$AJ$5:$AJ$604,MATCH(A324,Jobs!$A$5:$A$604,0)),0),0))</f>
        <v>0</v>
      </c>
      <c r="K324" s="34">
        <f>IF(A324="","",IFERROR(INDEX(Jobs!$AD$5:$AD$604,MATCH(A324,Jobs!$A$5:$A$604,0)),0))</f>
        <v>0</v>
      </c>
      <c r="L324" s="34">
        <f>IF(A324="","",IFERROR(INDEX(Jobs!$AK$5:$AK$604,MATCH(A324,Jobs!$A$5:$A$604,0)),0))</f>
        <v>0</v>
      </c>
      <c r="M324" s="34">
        <f>IF(A324="","",IF(IFERROR(L324*1,0)&gt;0,L324,IFERROR(K324*1,0)))</f>
        <v>0</v>
      </c>
      <c r="N324" s="21">
        <f>IF(A324="","",SUMIFS(Timesheets!$X$5:$X$804,Timesheets!$G$5:$G$804,A324))</f>
        <v>0</v>
      </c>
      <c r="O324" s="21">
        <f>IF(A324="","",IF(N324&gt;0,N324,ROUND(M324*CostPerHour,2)))</f>
        <v>0</v>
      </c>
      <c r="P324" s="21">
        <f>IF(A324="","",SUMIFS('Supply Usage'!$L$5:$L$304,'Supply Usage'!$F$5:$F$304,A324))</f>
        <v>0</v>
      </c>
      <c r="Q324" s="21">
        <f>IF(A324="","",IF(P324&gt;0,P324,ROUND(M324*SuppliesPerHour,2)))</f>
        <v>0</v>
      </c>
      <c r="R324" s="21">
        <f>IF(A324="","",ROUND(IFERROR(INDEX(Jobs!$W$5:$W$604,MATCH(A324,Jobs!$A$5:$A$604,0)),0)*MileageRate,2))</f>
        <v>0</v>
      </c>
      <c r="T324" s="21">
        <f>IF(A324="","",O324+Q324+R324+IF(S324="",0,S324))</f>
        <v>0</v>
      </c>
      <c r="U324" s="21">
        <f>IF(A324="","",J324-T324)</f>
        <v>0</v>
      </c>
      <c r="V324" s="38">
        <f>IF(OR(A324="",J324=0),"",U324/J324)</f>
        <v>0</v>
      </c>
      <c r="W324" s="21">
        <f>IF(OR(A324="",M324=0,J324=0),"",U324/M324)</f>
        <v>0</v>
      </c>
      <c r="X324" s="34">
        <f>IF(OR(A324="",L324="",L324=0,K324=""),"",L324-K324)</f>
        <v>0</v>
      </c>
      <c r="Y324" s="31">
        <f>IF(A324="","",COUNTIFS($U$5:$U$604,"&gt;"&amp;U324)+COUNTIFS($U$5:U324,U324))</f>
        <v>0</v>
      </c>
      <c r="Z324" s="31">
        <f>IF(A324="","",COUNTIFS($W$5:$W$604,"&gt;"&amp;W324)+COUNTIFS($W$5:W324,W324))</f>
        <v>0</v>
      </c>
      <c r="AA324" s="39">
        <f>IF(A324="","",IF(J324=0,"",IF(U324&lt;0,"Loss - this job cost you money",IF(V324&lt;MarginFloor,"Below - margin under the floor",IF(V324&lt;TargetMargin,"Check - under target margin",IF(AND(X324&lt;&gt;"",X324&gt;0.5),"Check - ran over the estimate","OK"))))))</f>
        <v>0</v>
      </c>
    </row>
    <row r="325" spans="1:27">
      <c r="A325" s="43">
        <f>IF(IFERROR(INDEX(Jobs!$A$5:$A$604,ROW()-4),"")="","",IFERROR(INDEX(Jobs!$A$5:$A$604,ROW()-4),""))</f>
        <v>0</v>
      </c>
      <c r="B325" s="18">
        <f>IF(A325="","",IFERROR(INDEX(Jobs!$B$5:$B$604,MATCH(A325,Jobs!$A$5:$A$604,0)),""))</f>
        <v>0</v>
      </c>
      <c r="C325" s="23">
        <f>IF(B325="","",TEXT(B325,"yyyy-mm"))</f>
        <v>0</v>
      </c>
      <c r="D325" s="43">
        <f>IF(A325="","",IFERROR(INDEX(Jobs!$G$5:$G$604,MATCH(A325,Jobs!$A$5:$A$604,0)),""))</f>
        <v>0</v>
      </c>
      <c r="E325" s="23">
        <f>IF(A325="","",IFERROR(INDEX(Jobs!$H$5:$H$604,MATCH(A325,Jobs!$A$5:$A$604,0)),""))</f>
        <v>0</v>
      </c>
      <c r="F325" s="23">
        <f>IF(A325="","",IFERROR(INDEX(Jobs!$K$5:$K$604,MATCH(A325,Jobs!$A$5:$A$604,0)),""))</f>
        <v>0</v>
      </c>
      <c r="G325" s="23">
        <f>IF(A325="","",IFERROR(INDEX(Jobs!$M$5:$M$604,MATCH(A325,Jobs!$A$5:$A$604,0)),""))</f>
        <v>0</v>
      </c>
      <c r="H325" s="23">
        <f>IF(A325="","",IFERROR(INDEX(Jobs!$R$5:$R$604,MATCH(A325,Jobs!$A$5:$A$604,0)),""))</f>
        <v>0</v>
      </c>
      <c r="I325" s="39">
        <f>IF(A325="","",IFERROR(INDEX(Jobs!$P$5:$P$604,MATCH(A325,Jobs!$A$5:$A$604,0)),""))</f>
        <v>0</v>
      </c>
      <c r="J325" s="21">
        <f>IF(A325="","",IF(OR(I325="Completed",I325="Invoiced"),IFERROR(INDEX(Jobs!$AJ$5:$AJ$604,MATCH(A325,Jobs!$A$5:$A$604,0)),0),0))</f>
        <v>0</v>
      </c>
      <c r="K325" s="34">
        <f>IF(A325="","",IFERROR(INDEX(Jobs!$AD$5:$AD$604,MATCH(A325,Jobs!$A$5:$A$604,0)),0))</f>
        <v>0</v>
      </c>
      <c r="L325" s="34">
        <f>IF(A325="","",IFERROR(INDEX(Jobs!$AK$5:$AK$604,MATCH(A325,Jobs!$A$5:$A$604,0)),0))</f>
        <v>0</v>
      </c>
      <c r="M325" s="34">
        <f>IF(A325="","",IF(IFERROR(L325*1,0)&gt;0,L325,IFERROR(K325*1,0)))</f>
        <v>0</v>
      </c>
      <c r="N325" s="21">
        <f>IF(A325="","",SUMIFS(Timesheets!$X$5:$X$804,Timesheets!$G$5:$G$804,A325))</f>
        <v>0</v>
      </c>
      <c r="O325" s="21">
        <f>IF(A325="","",IF(N325&gt;0,N325,ROUND(M325*CostPerHour,2)))</f>
        <v>0</v>
      </c>
      <c r="P325" s="21">
        <f>IF(A325="","",SUMIFS('Supply Usage'!$L$5:$L$304,'Supply Usage'!$F$5:$F$304,A325))</f>
        <v>0</v>
      </c>
      <c r="Q325" s="21">
        <f>IF(A325="","",IF(P325&gt;0,P325,ROUND(M325*SuppliesPerHour,2)))</f>
        <v>0</v>
      </c>
      <c r="R325" s="21">
        <f>IF(A325="","",ROUND(IFERROR(INDEX(Jobs!$W$5:$W$604,MATCH(A325,Jobs!$A$5:$A$604,0)),0)*MileageRate,2))</f>
        <v>0</v>
      </c>
      <c r="T325" s="21">
        <f>IF(A325="","",O325+Q325+R325+IF(S325="",0,S325))</f>
        <v>0</v>
      </c>
      <c r="U325" s="21">
        <f>IF(A325="","",J325-T325)</f>
        <v>0</v>
      </c>
      <c r="V325" s="38">
        <f>IF(OR(A325="",J325=0),"",U325/J325)</f>
        <v>0</v>
      </c>
      <c r="W325" s="21">
        <f>IF(OR(A325="",M325=0,J325=0),"",U325/M325)</f>
        <v>0</v>
      </c>
      <c r="X325" s="34">
        <f>IF(OR(A325="",L325="",L325=0,K325=""),"",L325-K325)</f>
        <v>0</v>
      </c>
      <c r="Y325" s="31">
        <f>IF(A325="","",COUNTIFS($U$5:$U$604,"&gt;"&amp;U325)+COUNTIFS($U$5:U325,U325))</f>
        <v>0</v>
      </c>
      <c r="Z325" s="31">
        <f>IF(A325="","",COUNTIFS($W$5:$W$604,"&gt;"&amp;W325)+COUNTIFS($W$5:W325,W325))</f>
        <v>0</v>
      </c>
      <c r="AA325" s="39">
        <f>IF(A325="","",IF(J325=0,"",IF(U325&lt;0,"Loss - this job cost you money",IF(V325&lt;MarginFloor,"Below - margin under the floor",IF(V325&lt;TargetMargin,"Check - under target margin",IF(AND(X325&lt;&gt;"",X325&gt;0.5),"Check - ran over the estimate","OK"))))))</f>
        <v>0</v>
      </c>
    </row>
    <row r="326" spans="1:27">
      <c r="A326" s="43">
        <f>IF(IFERROR(INDEX(Jobs!$A$5:$A$604,ROW()-4),"")="","",IFERROR(INDEX(Jobs!$A$5:$A$604,ROW()-4),""))</f>
        <v>0</v>
      </c>
      <c r="B326" s="18">
        <f>IF(A326="","",IFERROR(INDEX(Jobs!$B$5:$B$604,MATCH(A326,Jobs!$A$5:$A$604,0)),""))</f>
        <v>0</v>
      </c>
      <c r="C326" s="23">
        <f>IF(B326="","",TEXT(B326,"yyyy-mm"))</f>
        <v>0</v>
      </c>
      <c r="D326" s="43">
        <f>IF(A326="","",IFERROR(INDEX(Jobs!$G$5:$G$604,MATCH(A326,Jobs!$A$5:$A$604,0)),""))</f>
        <v>0</v>
      </c>
      <c r="E326" s="23">
        <f>IF(A326="","",IFERROR(INDEX(Jobs!$H$5:$H$604,MATCH(A326,Jobs!$A$5:$A$604,0)),""))</f>
        <v>0</v>
      </c>
      <c r="F326" s="23">
        <f>IF(A326="","",IFERROR(INDEX(Jobs!$K$5:$K$604,MATCH(A326,Jobs!$A$5:$A$604,0)),""))</f>
        <v>0</v>
      </c>
      <c r="G326" s="23">
        <f>IF(A326="","",IFERROR(INDEX(Jobs!$M$5:$M$604,MATCH(A326,Jobs!$A$5:$A$604,0)),""))</f>
        <v>0</v>
      </c>
      <c r="H326" s="23">
        <f>IF(A326="","",IFERROR(INDEX(Jobs!$R$5:$R$604,MATCH(A326,Jobs!$A$5:$A$604,0)),""))</f>
        <v>0</v>
      </c>
      <c r="I326" s="39">
        <f>IF(A326="","",IFERROR(INDEX(Jobs!$P$5:$P$604,MATCH(A326,Jobs!$A$5:$A$604,0)),""))</f>
        <v>0</v>
      </c>
      <c r="J326" s="21">
        <f>IF(A326="","",IF(OR(I326="Completed",I326="Invoiced"),IFERROR(INDEX(Jobs!$AJ$5:$AJ$604,MATCH(A326,Jobs!$A$5:$A$604,0)),0),0))</f>
        <v>0</v>
      </c>
      <c r="K326" s="34">
        <f>IF(A326="","",IFERROR(INDEX(Jobs!$AD$5:$AD$604,MATCH(A326,Jobs!$A$5:$A$604,0)),0))</f>
        <v>0</v>
      </c>
      <c r="L326" s="34">
        <f>IF(A326="","",IFERROR(INDEX(Jobs!$AK$5:$AK$604,MATCH(A326,Jobs!$A$5:$A$604,0)),0))</f>
        <v>0</v>
      </c>
      <c r="M326" s="34">
        <f>IF(A326="","",IF(IFERROR(L326*1,0)&gt;0,L326,IFERROR(K326*1,0)))</f>
        <v>0</v>
      </c>
      <c r="N326" s="21">
        <f>IF(A326="","",SUMIFS(Timesheets!$X$5:$X$804,Timesheets!$G$5:$G$804,A326))</f>
        <v>0</v>
      </c>
      <c r="O326" s="21">
        <f>IF(A326="","",IF(N326&gt;0,N326,ROUND(M326*CostPerHour,2)))</f>
        <v>0</v>
      </c>
      <c r="P326" s="21">
        <f>IF(A326="","",SUMIFS('Supply Usage'!$L$5:$L$304,'Supply Usage'!$F$5:$F$304,A326))</f>
        <v>0</v>
      </c>
      <c r="Q326" s="21">
        <f>IF(A326="","",IF(P326&gt;0,P326,ROUND(M326*SuppliesPerHour,2)))</f>
        <v>0</v>
      </c>
      <c r="R326" s="21">
        <f>IF(A326="","",ROUND(IFERROR(INDEX(Jobs!$W$5:$W$604,MATCH(A326,Jobs!$A$5:$A$604,0)),0)*MileageRate,2))</f>
        <v>0</v>
      </c>
      <c r="T326" s="21">
        <f>IF(A326="","",O326+Q326+R326+IF(S326="",0,S326))</f>
        <v>0</v>
      </c>
      <c r="U326" s="21">
        <f>IF(A326="","",J326-T326)</f>
        <v>0</v>
      </c>
      <c r="V326" s="38">
        <f>IF(OR(A326="",J326=0),"",U326/J326)</f>
        <v>0</v>
      </c>
      <c r="W326" s="21">
        <f>IF(OR(A326="",M326=0,J326=0),"",U326/M326)</f>
        <v>0</v>
      </c>
      <c r="X326" s="34">
        <f>IF(OR(A326="",L326="",L326=0,K326=""),"",L326-K326)</f>
        <v>0</v>
      </c>
      <c r="Y326" s="31">
        <f>IF(A326="","",COUNTIFS($U$5:$U$604,"&gt;"&amp;U326)+COUNTIFS($U$5:U326,U326))</f>
        <v>0</v>
      </c>
      <c r="Z326" s="31">
        <f>IF(A326="","",COUNTIFS($W$5:$W$604,"&gt;"&amp;W326)+COUNTIFS($W$5:W326,W326))</f>
        <v>0</v>
      </c>
      <c r="AA326" s="39">
        <f>IF(A326="","",IF(J326=0,"",IF(U326&lt;0,"Loss - this job cost you money",IF(V326&lt;MarginFloor,"Below - margin under the floor",IF(V326&lt;TargetMargin,"Check - under target margin",IF(AND(X326&lt;&gt;"",X326&gt;0.5),"Check - ran over the estimate","OK"))))))</f>
        <v>0</v>
      </c>
    </row>
    <row r="327" spans="1:27">
      <c r="A327" s="43">
        <f>IF(IFERROR(INDEX(Jobs!$A$5:$A$604,ROW()-4),"")="","",IFERROR(INDEX(Jobs!$A$5:$A$604,ROW()-4),""))</f>
        <v>0</v>
      </c>
      <c r="B327" s="18">
        <f>IF(A327="","",IFERROR(INDEX(Jobs!$B$5:$B$604,MATCH(A327,Jobs!$A$5:$A$604,0)),""))</f>
        <v>0</v>
      </c>
      <c r="C327" s="23">
        <f>IF(B327="","",TEXT(B327,"yyyy-mm"))</f>
        <v>0</v>
      </c>
      <c r="D327" s="43">
        <f>IF(A327="","",IFERROR(INDEX(Jobs!$G$5:$G$604,MATCH(A327,Jobs!$A$5:$A$604,0)),""))</f>
        <v>0</v>
      </c>
      <c r="E327" s="23">
        <f>IF(A327="","",IFERROR(INDEX(Jobs!$H$5:$H$604,MATCH(A327,Jobs!$A$5:$A$604,0)),""))</f>
        <v>0</v>
      </c>
      <c r="F327" s="23">
        <f>IF(A327="","",IFERROR(INDEX(Jobs!$K$5:$K$604,MATCH(A327,Jobs!$A$5:$A$604,0)),""))</f>
        <v>0</v>
      </c>
      <c r="G327" s="23">
        <f>IF(A327="","",IFERROR(INDEX(Jobs!$M$5:$M$604,MATCH(A327,Jobs!$A$5:$A$604,0)),""))</f>
        <v>0</v>
      </c>
      <c r="H327" s="23">
        <f>IF(A327="","",IFERROR(INDEX(Jobs!$R$5:$R$604,MATCH(A327,Jobs!$A$5:$A$604,0)),""))</f>
        <v>0</v>
      </c>
      <c r="I327" s="39">
        <f>IF(A327="","",IFERROR(INDEX(Jobs!$P$5:$P$604,MATCH(A327,Jobs!$A$5:$A$604,0)),""))</f>
        <v>0</v>
      </c>
      <c r="J327" s="21">
        <f>IF(A327="","",IF(OR(I327="Completed",I327="Invoiced"),IFERROR(INDEX(Jobs!$AJ$5:$AJ$604,MATCH(A327,Jobs!$A$5:$A$604,0)),0),0))</f>
        <v>0</v>
      </c>
      <c r="K327" s="34">
        <f>IF(A327="","",IFERROR(INDEX(Jobs!$AD$5:$AD$604,MATCH(A327,Jobs!$A$5:$A$604,0)),0))</f>
        <v>0</v>
      </c>
      <c r="L327" s="34">
        <f>IF(A327="","",IFERROR(INDEX(Jobs!$AK$5:$AK$604,MATCH(A327,Jobs!$A$5:$A$604,0)),0))</f>
        <v>0</v>
      </c>
      <c r="M327" s="34">
        <f>IF(A327="","",IF(IFERROR(L327*1,0)&gt;0,L327,IFERROR(K327*1,0)))</f>
        <v>0</v>
      </c>
      <c r="N327" s="21">
        <f>IF(A327="","",SUMIFS(Timesheets!$X$5:$X$804,Timesheets!$G$5:$G$804,A327))</f>
        <v>0</v>
      </c>
      <c r="O327" s="21">
        <f>IF(A327="","",IF(N327&gt;0,N327,ROUND(M327*CostPerHour,2)))</f>
        <v>0</v>
      </c>
      <c r="P327" s="21">
        <f>IF(A327="","",SUMIFS('Supply Usage'!$L$5:$L$304,'Supply Usage'!$F$5:$F$304,A327))</f>
        <v>0</v>
      </c>
      <c r="Q327" s="21">
        <f>IF(A327="","",IF(P327&gt;0,P327,ROUND(M327*SuppliesPerHour,2)))</f>
        <v>0</v>
      </c>
      <c r="R327" s="21">
        <f>IF(A327="","",ROUND(IFERROR(INDEX(Jobs!$W$5:$W$604,MATCH(A327,Jobs!$A$5:$A$604,0)),0)*MileageRate,2))</f>
        <v>0</v>
      </c>
      <c r="T327" s="21">
        <f>IF(A327="","",O327+Q327+R327+IF(S327="",0,S327))</f>
        <v>0</v>
      </c>
      <c r="U327" s="21">
        <f>IF(A327="","",J327-T327)</f>
        <v>0</v>
      </c>
      <c r="V327" s="38">
        <f>IF(OR(A327="",J327=0),"",U327/J327)</f>
        <v>0</v>
      </c>
      <c r="W327" s="21">
        <f>IF(OR(A327="",M327=0,J327=0),"",U327/M327)</f>
        <v>0</v>
      </c>
      <c r="X327" s="34">
        <f>IF(OR(A327="",L327="",L327=0,K327=""),"",L327-K327)</f>
        <v>0</v>
      </c>
      <c r="Y327" s="31">
        <f>IF(A327="","",COUNTIFS($U$5:$U$604,"&gt;"&amp;U327)+COUNTIFS($U$5:U327,U327))</f>
        <v>0</v>
      </c>
      <c r="Z327" s="31">
        <f>IF(A327="","",COUNTIFS($W$5:$W$604,"&gt;"&amp;W327)+COUNTIFS($W$5:W327,W327))</f>
        <v>0</v>
      </c>
      <c r="AA327" s="39">
        <f>IF(A327="","",IF(J327=0,"",IF(U327&lt;0,"Loss - this job cost you money",IF(V327&lt;MarginFloor,"Below - margin under the floor",IF(V327&lt;TargetMargin,"Check - under target margin",IF(AND(X327&lt;&gt;"",X327&gt;0.5),"Check - ran over the estimate","OK"))))))</f>
        <v>0</v>
      </c>
    </row>
    <row r="328" spans="1:27">
      <c r="A328" s="43">
        <f>IF(IFERROR(INDEX(Jobs!$A$5:$A$604,ROW()-4),"")="","",IFERROR(INDEX(Jobs!$A$5:$A$604,ROW()-4),""))</f>
        <v>0</v>
      </c>
      <c r="B328" s="18">
        <f>IF(A328="","",IFERROR(INDEX(Jobs!$B$5:$B$604,MATCH(A328,Jobs!$A$5:$A$604,0)),""))</f>
        <v>0</v>
      </c>
      <c r="C328" s="23">
        <f>IF(B328="","",TEXT(B328,"yyyy-mm"))</f>
        <v>0</v>
      </c>
      <c r="D328" s="43">
        <f>IF(A328="","",IFERROR(INDEX(Jobs!$G$5:$G$604,MATCH(A328,Jobs!$A$5:$A$604,0)),""))</f>
        <v>0</v>
      </c>
      <c r="E328" s="23">
        <f>IF(A328="","",IFERROR(INDEX(Jobs!$H$5:$H$604,MATCH(A328,Jobs!$A$5:$A$604,0)),""))</f>
        <v>0</v>
      </c>
      <c r="F328" s="23">
        <f>IF(A328="","",IFERROR(INDEX(Jobs!$K$5:$K$604,MATCH(A328,Jobs!$A$5:$A$604,0)),""))</f>
        <v>0</v>
      </c>
      <c r="G328" s="23">
        <f>IF(A328="","",IFERROR(INDEX(Jobs!$M$5:$M$604,MATCH(A328,Jobs!$A$5:$A$604,0)),""))</f>
        <v>0</v>
      </c>
      <c r="H328" s="23">
        <f>IF(A328="","",IFERROR(INDEX(Jobs!$R$5:$R$604,MATCH(A328,Jobs!$A$5:$A$604,0)),""))</f>
        <v>0</v>
      </c>
      <c r="I328" s="39">
        <f>IF(A328="","",IFERROR(INDEX(Jobs!$P$5:$P$604,MATCH(A328,Jobs!$A$5:$A$604,0)),""))</f>
        <v>0</v>
      </c>
      <c r="J328" s="21">
        <f>IF(A328="","",IF(OR(I328="Completed",I328="Invoiced"),IFERROR(INDEX(Jobs!$AJ$5:$AJ$604,MATCH(A328,Jobs!$A$5:$A$604,0)),0),0))</f>
        <v>0</v>
      </c>
      <c r="K328" s="34">
        <f>IF(A328="","",IFERROR(INDEX(Jobs!$AD$5:$AD$604,MATCH(A328,Jobs!$A$5:$A$604,0)),0))</f>
        <v>0</v>
      </c>
      <c r="L328" s="34">
        <f>IF(A328="","",IFERROR(INDEX(Jobs!$AK$5:$AK$604,MATCH(A328,Jobs!$A$5:$A$604,0)),0))</f>
        <v>0</v>
      </c>
      <c r="M328" s="34">
        <f>IF(A328="","",IF(IFERROR(L328*1,0)&gt;0,L328,IFERROR(K328*1,0)))</f>
        <v>0</v>
      </c>
      <c r="N328" s="21">
        <f>IF(A328="","",SUMIFS(Timesheets!$X$5:$X$804,Timesheets!$G$5:$G$804,A328))</f>
        <v>0</v>
      </c>
      <c r="O328" s="21">
        <f>IF(A328="","",IF(N328&gt;0,N328,ROUND(M328*CostPerHour,2)))</f>
        <v>0</v>
      </c>
      <c r="P328" s="21">
        <f>IF(A328="","",SUMIFS('Supply Usage'!$L$5:$L$304,'Supply Usage'!$F$5:$F$304,A328))</f>
        <v>0</v>
      </c>
      <c r="Q328" s="21">
        <f>IF(A328="","",IF(P328&gt;0,P328,ROUND(M328*SuppliesPerHour,2)))</f>
        <v>0</v>
      </c>
      <c r="R328" s="21">
        <f>IF(A328="","",ROUND(IFERROR(INDEX(Jobs!$W$5:$W$604,MATCH(A328,Jobs!$A$5:$A$604,0)),0)*MileageRate,2))</f>
        <v>0</v>
      </c>
      <c r="T328" s="21">
        <f>IF(A328="","",O328+Q328+R328+IF(S328="",0,S328))</f>
        <v>0</v>
      </c>
      <c r="U328" s="21">
        <f>IF(A328="","",J328-T328)</f>
        <v>0</v>
      </c>
      <c r="V328" s="38">
        <f>IF(OR(A328="",J328=0),"",U328/J328)</f>
        <v>0</v>
      </c>
      <c r="W328" s="21">
        <f>IF(OR(A328="",M328=0,J328=0),"",U328/M328)</f>
        <v>0</v>
      </c>
      <c r="X328" s="34">
        <f>IF(OR(A328="",L328="",L328=0,K328=""),"",L328-K328)</f>
        <v>0</v>
      </c>
      <c r="Y328" s="31">
        <f>IF(A328="","",COUNTIFS($U$5:$U$604,"&gt;"&amp;U328)+COUNTIFS($U$5:U328,U328))</f>
        <v>0</v>
      </c>
      <c r="Z328" s="31">
        <f>IF(A328="","",COUNTIFS($W$5:$W$604,"&gt;"&amp;W328)+COUNTIFS($W$5:W328,W328))</f>
        <v>0</v>
      </c>
      <c r="AA328" s="39">
        <f>IF(A328="","",IF(J328=0,"",IF(U328&lt;0,"Loss - this job cost you money",IF(V328&lt;MarginFloor,"Below - margin under the floor",IF(V328&lt;TargetMargin,"Check - under target margin",IF(AND(X328&lt;&gt;"",X328&gt;0.5),"Check - ran over the estimate","OK"))))))</f>
        <v>0</v>
      </c>
    </row>
    <row r="329" spans="1:27">
      <c r="A329" s="43">
        <f>IF(IFERROR(INDEX(Jobs!$A$5:$A$604,ROW()-4),"")="","",IFERROR(INDEX(Jobs!$A$5:$A$604,ROW()-4),""))</f>
        <v>0</v>
      </c>
      <c r="B329" s="18">
        <f>IF(A329="","",IFERROR(INDEX(Jobs!$B$5:$B$604,MATCH(A329,Jobs!$A$5:$A$604,0)),""))</f>
        <v>0</v>
      </c>
      <c r="C329" s="23">
        <f>IF(B329="","",TEXT(B329,"yyyy-mm"))</f>
        <v>0</v>
      </c>
      <c r="D329" s="43">
        <f>IF(A329="","",IFERROR(INDEX(Jobs!$G$5:$G$604,MATCH(A329,Jobs!$A$5:$A$604,0)),""))</f>
        <v>0</v>
      </c>
      <c r="E329" s="23">
        <f>IF(A329="","",IFERROR(INDEX(Jobs!$H$5:$H$604,MATCH(A329,Jobs!$A$5:$A$604,0)),""))</f>
        <v>0</v>
      </c>
      <c r="F329" s="23">
        <f>IF(A329="","",IFERROR(INDEX(Jobs!$K$5:$K$604,MATCH(A329,Jobs!$A$5:$A$604,0)),""))</f>
        <v>0</v>
      </c>
      <c r="G329" s="23">
        <f>IF(A329="","",IFERROR(INDEX(Jobs!$M$5:$M$604,MATCH(A329,Jobs!$A$5:$A$604,0)),""))</f>
        <v>0</v>
      </c>
      <c r="H329" s="23">
        <f>IF(A329="","",IFERROR(INDEX(Jobs!$R$5:$R$604,MATCH(A329,Jobs!$A$5:$A$604,0)),""))</f>
        <v>0</v>
      </c>
      <c r="I329" s="39">
        <f>IF(A329="","",IFERROR(INDEX(Jobs!$P$5:$P$604,MATCH(A329,Jobs!$A$5:$A$604,0)),""))</f>
        <v>0</v>
      </c>
      <c r="J329" s="21">
        <f>IF(A329="","",IF(OR(I329="Completed",I329="Invoiced"),IFERROR(INDEX(Jobs!$AJ$5:$AJ$604,MATCH(A329,Jobs!$A$5:$A$604,0)),0),0))</f>
        <v>0</v>
      </c>
      <c r="K329" s="34">
        <f>IF(A329="","",IFERROR(INDEX(Jobs!$AD$5:$AD$604,MATCH(A329,Jobs!$A$5:$A$604,0)),0))</f>
        <v>0</v>
      </c>
      <c r="L329" s="34">
        <f>IF(A329="","",IFERROR(INDEX(Jobs!$AK$5:$AK$604,MATCH(A329,Jobs!$A$5:$A$604,0)),0))</f>
        <v>0</v>
      </c>
      <c r="M329" s="34">
        <f>IF(A329="","",IF(IFERROR(L329*1,0)&gt;0,L329,IFERROR(K329*1,0)))</f>
        <v>0</v>
      </c>
      <c r="N329" s="21">
        <f>IF(A329="","",SUMIFS(Timesheets!$X$5:$X$804,Timesheets!$G$5:$G$804,A329))</f>
        <v>0</v>
      </c>
      <c r="O329" s="21">
        <f>IF(A329="","",IF(N329&gt;0,N329,ROUND(M329*CostPerHour,2)))</f>
        <v>0</v>
      </c>
      <c r="P329" s="21">
        <f>IF(A329="","",SUMIFS('Supply Usage'!$L$5:$L$304,'Supply Usage'!$F$5:$F$304,A329))</f>
        <v>0</v>
      </c>
      <c r="Q329" s="21">
        <f>IF(A329="","",IF(P329&gt;0,P329,ROUND(M329*SuppliesPerHour,2)))</f>
        <v>0</v>
      </c>
      <c r="R329" s="21">
        <f>IF(A329="","",ROUND(IFERROR(INDEX(Jobs!$W$5:$W$604,MATCH(A329,Jobs!$A$5:$A$604,0)),0)*MileageRate,2))</f>
        <v>0</v>
      </c>
      <c r="T329" s="21">
        <f>IF(A329="","",O329+Q329+R329+IF(S329="",0,S329))</f>
        <v>0</v>
      </c>
      <c r="U329" s="21">
        <f>IF(A329="","",J329-T329)</f>
        <v>0</v>
      </c>
      <c r="V329" s="38">
        <f>IF(OR(A329="",J329=0),"",U329/J329)</f>
        <v>0</v>
      </c>
      <c r="W329" s="21">
        <f>IF(OR(A329="",M329=0,J329=0),"",U329/M329)</f>
        <v>0</v>
      </c>
      <c r="X329" s="34">
        <f>IF(OR(A329="",L329="",L329=0,K329=""),"",L329-K329)</f>
        <v>0</v>
      </c>
      <c r="Y329" s="31">
        <f>IF(A329="","",COUNTIFS($U$5:$U$604,"&gt;"&amp;U329)+COUNTIFS($U$5:U329,U329))</f>
        <v>0</v>
      </c>
      <c r="Z329" s="31">
        <f>IF(A329="","",COUNTIFS($W$5:$W$604,"&gt;"&amp;W329)+COUNTIFS($W$5:W329,W329))</f>
        <v>0</v>
      </c>
      <c r="AA329" s="39">
        <f>IF(A329="","",IF(J329=0,"",IF(U329&lt;0,"Loss - this job cost you money",IF(V329&lt;MarginFloor,"Below - margin under the floor",IF(V329&lt;TargetMargin,"Check - under target margin",IF(AND(X329&lt;&gt;"",X329&gt;0.5),"Check - ran over the estimate","OK"))))))</f>
        <v>0</v>
      </c>
    </row>
    <row r="330" spans="1:27">
      <c r="A330" s="43">
        <f>IF(IFERROR(INDEX(Jobs!$A$5:$A$604,ROW()-4),"")="","",IFERROR(INDEX(Jobs!$A$5:$A$604,ROW()-4),""))</f>
        <v>0</v>
      </c>
      <c r="B330" s="18">
        <f>IF(A330="","",IFERROR(INDEX(Jobs!$B$5:$B$604,MATCH(A330,Jobs!$A$5:$A$604,0)),""))</f>
        <v>0</v>
      </c>
      <c r="C330" s="23">
        <f>IF(B330="","",TEXT(B330,"yyyy-mm"))</f>
        <v>0</v>
      </c>
      <c r="D330" s="43">
        <f>IF(A330="","",IFERROR(INDEX(Jobs!$G$5:$G$604,MATCH(A330,Jobs!$A$5:$A$604,0)),""))</f>
        <v>0</v>
      </c>
      <c r="E330" s="23">
        <f>IF(A330="","",IFERROR(INDEX(Jobs!$H$5:$H$604,MATCH(A330,Jobs!$A$5:$A$604,0)),""))</f>
        <v>0</v>
      </c>
      <c r="F330" s="23">
        <f>IF(A330="","",IFERROR(INDEX(Jobs!$K$5:$K$604,MATCH(A330,Jobs!$A$5:$A$604,0)),""))</f>
        <v>0</v>
      </c>
      <c r="G330" s="23">
        <f>IF(A330="","",IFERROR(INDEX(Jobs!$M$5:$M$604,MATCH(A330,Jobs!$A$5:$A$604,0)),""))</f>
        <v>0</v>
      </c>
      <c r="H330" s="23">
        <f>IF(A330="","",IFERROR(INDEX(Jobs!$R$5:$R$604,MATCH(A330,Jobs!$A$5:$A$604,0)),""))</f>
        <v>0</v>
      </c>
      <c r="I330" s="39">
        <f>IF(A330="","",IFERROR(INDEX(Jobs!$P$5:$P$604,MATCH(A330,Jobs!$A$5:$A$604,0)),""))</f>
        <v>0</v>
      </c>
      <c r="J330" s="21">
        <f>IF(A330="","",IF(OR(I330="Completed",I330="Invoiced"),IFERROR(INDEX(Jobs!$AJ$5:$AJ$604,MATCH(A330,Jobs!$A$5:$A$604,0)),0),0))</f>
        <v>0</v>
      </c>
      <c r="K330" s="34">
        <f>IF(A330="","",IFERROR(INDEX(Jobs!$AD$5:$AD$604,MATCH(A330,Jobs!$A$5:$A$604,0)),0))</f>
        <v>0</v>
      </c>
      <c r="L330" s="34">
        <f>IF(A330="","",IFERROR(INDEX(Jobs!$AK$5:$AK$604,MATCH(A330,Jobs!$A$5:$A$604,0)),0))</f>
        <v>0</v>
      </c>
      <c r="M330" s="34">
        <f>IF(A330="","",IF(IFERROR(L330*1,0)&gt;0,L330,IFERROR(K330*1,0)))</f>
        <v>0</v>
      </c>
      <c r="N330" s="21">
        <f>IF(A330="","",SUMIFS(Timesheets!$X$5:$X$804,Timesheets!$G$5:$G$804,A330))</f>
        <v>0</v>
      </c>
      <c r="O330" s="21">
        <f>IF(A330="","",IF(N330&gt;0,N330,ROUND(M330*CostPerHour,2)))</f>
        <v>0</v>
      </c>
      <c r="P330" s="21">
        <f>IF(A330="","",SUMIFS('Supply Usage'!$L$5:$L$304,'Supply Usage'!$F$5:$F$304,A330))</f>
        <v>0</v>
      </c>
      <c r="Q330" s="21">
        <f>IF(A330="","",IF(P330&gt;0,P330,ROUND(M330*SuppliesPerHour,2)))</f>
        <v>0</v>
      </c>
      <c r="R330" s="21">
        <f>IF(A330="","",ROUND(IFERROR(INDEX(Jobs!$W$5:$W$604,MATCH(A330,Jobs!$A$5:$A$604,0)),0)*MileageRate,2))</f>
        <v>0</v>
      </c>
      <c r="T330" s="21">
        <f>IF(A330="","",O330+Q330+R330+IF(S330="",0,S330))</f>
        <v>0</v>
      </c>
      <c r="U330" s="21">
        <f>IF(A330="","",J330-T330)</f>
        <v>0</v>
      </c>
      <c r="V330" s="38">
        <f>IF(OR(A330="",J330=0),"",U330/J330)</f>
        <v>0</v>
      </c>
      <c r="W330" s="21">
        <f>IF(OR(A330="",M330=0,J330=0),"",U330/M330)</f>
        <v>0</v>
      </c>
      <c r="X330" s="34">
        <f>IF(OR(A330="",L330="",L330=0,K330=""),"",L330-K330)</f>
        <v>0</v>
      </c>
      <c r="Y330" s="31">
        <f>IF(A330="","",COUNTIFS($U$5:$U$604,"&gt;"&amp;U330)+COUNTIFS($U$5:U330,U330))</f>
        <v>0</v>
      </c>
      <c r="Z330" s="31">
        <f>IF(A330="","",COUNTIFS($W$5:$W$604,"&gt;"&amp;W330)+COUNTIFS($W$5:W330,W330))</f>
        <v>0</v>
      </c>
      <c r="AA330" s="39">
        <f>IF(A330="","",IF(J330=0,"",IF(U330&lt;0,"Loss - this job cost you money",IF(V330&lt;MarginFloor,"Below - margin under the floor",IF(V330&lt;TargetMargin,"Check - under target margin",IF(AND(X330&lt;&gt;"",X330&gt;0.5),"Check - ran over the estimate","OK"))))))</f>
        <v>0</v>
      </c>
    </row>
    <row r="331" spans="1:27">
      <c r="A331" s="43">
        <f>IF(IFERROR(INDEX(Jobs!$A$5:$A$604,ROW()-4),"")="","",IFERROR(INDEX(Jobs!$A$5:$A$604,ROW()-4),""))</f>
        <v>0</v>
      </c>
      <c r="B331" s="18">
        <f>IF(A331="","",IFERROR(INDEX(Jobs!$B$5:$B$604,MATCH(A331,Jobs!$A$5:$A$604,0)),""))</f>
        <v>0</v>
      </c>
      <c r="C331" s="23">
        <f>IF(B331="","",TEXT(B331,"yyyy-mm"))</f>
        <v>0</v>
      </c>
      <c r="D331" s="43">
        <f>IF(A331="","",IFERROR(INDEX(Jobs!$G$5:$G$604,MATCH(A331,Jobs!$A$5:$A$604,0)),""))</f>
        <v>0</v>
      </c>
      <c r="E331" s="23">
        <f>IF(A331="","",IFERROR(INDEX(Jobs!$H$5:$H$604,MATCH(A331,Jobs!$A$5:$A$604,0)),""))</f>
        <v>0</v>
      </c>
      <c r="F331" s="23">
        <f>IF(A331="","",IFERROR(INDEX(Jobs!$K$5:$K$604,MATCH(A331,Jobs!$A$5:$A$604,0)),""))</f>
        <v>0</v>
      </c>
      <c r="G331" s="23">
        <f>IF(A331="","",IFERROR(INDEX(Jobs!$M$5:$M$604,MATCH(A331,Jobs!$A$5:$A$604,0)),""))</f>
        <v>0</v>
      </c>
      <c r="H331" s="23">
        <f>IF(A331="","",IFERROR(INDEX(Jobs!$R$5:$R$604,MATCH(A331,Jobs!$A$5:$A$604,0)),""))</f>
        <v>0</v>
      </c>
      <c r="I331" s="39">
        <f>IF(A331="","",IFERROR(INDEX(Jobs!$P$5:$P$604,MATCH(A331,Jobs!$A$5:$A$604,0)),""))</f>
        <v>0</v>
      </c>
      <c r="J331" s="21">
        <f>IF(A331="","",IF(OR(I331="Completed",I331="Invoiced"),IFERROR(INDEX(Jobs!$AJ$5:$AJ$604,MATCH(A331,Jobs!$A$5:$A$604,0)),0),0))</f>
        <v>0</v>
      </c>
      <c r="K331" s="34">
        <f>IF(A331="","",IFERROR(INDEX(Jobs!$AD$5:$AD$604,MATCH(A331,Jobs!$A$5:$A$604,0)),0))</f>
        <v>0</v>
      </c>
      <c r="L331" s="34">
        <f>IF(A331="","",IFERROR(INDEX(Jobs!$AK$5:$AK$604,MATCH(A331,Jobs!$A$5:$A$604,0)),0))</f>
        <v>0</v>
      </c>
      <c r="M331" s="34">
        <f>IF(A331="","",IF(IFERROR(L331*1,0)&gt;0,L331,IFERROR(K331*1,0)))</f>
        <v>0</v>
      </c>
      <c r="N331" s="21">
        <f>IF(A331="","",SUMIFS(Timesheets!$X$5:$X$804,Timesheets!$G$5:$G$804,A331))</f>
        <v>0</v>
      </c>
      <c r="O331" s="21">
        <f>IF(A331="","",IF(N331&gt;0,N331,ROUND(M331*CostPerHour,2)))</f>
        <v>0</v>
      </c>
      <c r="P331" s="21">
        <f>IF(A331="","",SUMIFS('Supply Usage'!$L$5:$L$304,'Supply Usage'!$F$5:$F$304,A331))</f>
        <v>0</v>
      </c>
      <c r="Q331" s="21">
        <f>IF(A331="","",IF(P331&gt;0,P331,ROUND(M331*SuppliesPerHour,2)))</f>
        <v>0</v>
      </c>
      <c r="R331" s="21">
        <f>IF(A331="","",ROUND(IFERROR(INDEX(Jobs!$W$5:$W$604,MATCH(A331,Jobs!$A$5:$A$604,0)),0)*MileageRate,2))</f>
        <v>0</v>
      </c>
      <c r="T331" s="21">
        <f>IF(A331="","",O331+Q331+R331+IF(S331="",0,S331))</f>
        <v>0</v>
      </c>
      <c r="U331" s="21">
        <f>IF(A331="","",J331-T331)</f>
        <v>0</v>
      </c>
      <c r="V331" s="38">
        <f>IF(OR(A331="",J331=0),"",U331/J331)</f>
        <v>0</v>
      </c>
      <c r="W331" s="21">
        <f>IF(OR(A331="",M331=0,J331=0),"",U331/M331)</f>
        <v>0</v>
      </c>
      <c r="X331" s="34">
        <f>IF(OR(A331="",L331="",L331=0,K331=""),"",L331-K331)</f>
        <v>0</v>
      </c>
      <c r="Y331" s="31">
        <f>IF(A331="","",COUNTIFS($U$5:$U$604,"&gt;"&amp;U331)+COUNTIFS($U$5:U331,U331))</f>
        <v>0</v>
      </c>
      <c r="Z331" s="31">
        <f>IF(A331="","",COUNTIFS($W$5:$W$604,"&gt;"&amp;W331)+COUNTIFS($W$5:W331,W331))</f>
        <v>0</v>
      </c>
      <c r="AA331" s="39">
        <f>IF(A331="","",IF(J331=0,"",IF(U331&lt;0,"Loss - this job cost you money",IF(V331&lt;MarginFloor,"Below - margin under the floor",IF(V331&lt;TargetMargin,"Check - under target margin",IF(AND(X331&lt;&gt;"",X331&gt;0.5),"Check - ran over the estimate","OK"))))))</f>
        <v>0</v>
      </c>
    </row>
    <row r="332" spans="1:27">
      <c r="A332" s="43">
        <f>IF(IFERROR(INDEX(Jobs!$A$5:$A$604,ROW()-4),"")="","",IFERROR(INDEX(Jobs!$A$5:$A$604,ROW()-4),""))</f>
        <v>0</v>
      </c>
      <c r="B332" s="18">
        <f>IF(A332="","",IFERROR(INDEX(Jobs!$B$5:$B$604,MATCH(A332,Jobs!$A$5:$A$604,0)),""))</f>
        <v>0</v>
      </c>
      <c r="C332" s="23">
        <f>IF(B332="","",TEXT(B332,"yyyy-mm"))</f>
        <v>0</v>
      </c>
      <c r="D332" s="43">
        <f>IF(A332="","",IFERROR(INDEX(Jobs!$G$5:$G$604,MATCH(A332,Jobs!$A$5:$A$604,0)),""))</f>
        <v>0</v>
      </c>
      <c r="E332" s="23">
        <f>IF(A332="","",IFERROR(INDEX(Jobs!$H$5:$H$604,MATCH(A332,Jobs!$A$5:$A$604,0)),""))</f>
        <v>0</v>
      </c>
      <c r="F332" s="23">
        <f>IF(A332="","",IFERROR(INDEX(Jobs!$K$5:$K$604,MATCH(A332,Jobs!$A$5:$A$604,0)),""))</f>
        <v>0</v>
      </c>
      <c r="G332" s="23">
        <f>IF(A332="","",IFERROR(INDEX(Jobs!$M$5:$M$604,MATCH(A332,Jobs!$A$5:$A$604,0)),""))</f>
        <v>0</v>
      </c>
      <c r="H332" s="23">
        <f>IF(A332="","",IFERROR(INDEX(Jobs!$R$5:$R$604,MATCH(A332,Jobs!$A$5:$A$604,0)),""))</f>
        <v>0</v>
      </c>
      <c r="I332" s="39">
        <f>IF(A332="","",IFERROR(INDEX(Jobs!$P$5:$P$604,MATCH(A332,Jobs!$A$5:$A$604,0)),""))</f>
        <v>0</v>
      </c>
      <c r="J332" s="21">
        <f>IF(A332="","",IF(OR(I332="Completed",I332="Invoiced"),IFERROR(INDEX(Jobs!$AJ$5:$AJ$604,MATCH(A332,Jobs!$A$5:$A$604,0)),0),0))</f>
        <v>0</v>
      </c>
      <c r="K332" s="34">
        <f>IF(A332="","",IFERROR(INDEX(Jobs!$AD$5:$AD$604,MATCH(A332,Jobs!$A$5:$A$604,0)),0))</f>
        <v>0</v>
      </c>
      <c r="L332" s="34">
        <f>IF(A332="","",IFERROR(INDEX(Jobs!$AK$5:$AK$604,MATCH(A332,Jobs!$A$5:$A$604,0)),0))</f>
        <v>0</v>
      </c>
      <c r="M332" s="34">
        <f>IF(A332="","",IF(IFERROR(L332*1,0)&gt;0,L332,IFERROR(K332*1,0)))</f>
        <v>0</v>
      </c>
      <c r="N332" s="21">
        <f>IF(A332="","",SUMIFS(Timesheets!$X$5:$X$804,Timesheets!$G$5:$G$804,A332))</f>
        <v>0</v>
      </c>
      <c r="O332" s="21">
        <f>IF(A332="","",IF(N332&gt;0,N332,ROUND(M332*CostPerHour,2)))</f>
        <v>0</v>
      </c>
      <c r="P332" s="21">
        <f>IF(A332="","",SUMIFS('Supply Usage'!$L$5:$L$304,'Supply Usage'!$F$5:$F$304,A332))</f>
        <v>0</v>
      </c>
      <c r="Q332" s="21">
        <f>IF(A332="","",IF(P332&gt;0,P332,ROUND(M332*SuppliesPerHour,2)))</f>
        <v>0</v>
      </c>
      <c r="R332" s="21">
        <f>IF(A332="","",ROUND(IFERROR(INDEX(Jobs!$W$5:$W$604,MATCH(A332,Jobs!$A$5:$A$604,0)),0)*MileageRate,2))</f>
        <v>0</v>
      </c>
      <c r="T332" s="21">
        <f>IF(A332="","",O332+Q332+R332+IF(S332="",0,S332))</f>
        <v>0</v>
      </c>
      <c r="U332" s="21">
        <f>IF(A332="","",J332-T332)</f>
        <v>0</v>
      </c>
      <c r="V332" s="38">
        <f>IF(OR(A332="",J332=0),"",U332/J332)</f>
        <v>0</v>
      </c>
      <c r="W332" s="21">
        <f>IF(OR(A332="",M332=0,J332=0),"",U332/M332)</f>
        <v>0</v>
      </c>
      <c r="X332" s="34">
        <f>IF(OR(A332="",L332="",L332=0,K332=""),"",L332-K332)</f>
        <v>0</v>
      </c>
      <c r="Y332" s="31">
        <f>IF(A332="","",COUNTIFS($U$5:$U$604,"&gt;"&amp;U332)+COUNTIFS($U$5:U332,U332))</f>
        <v>0</v>
      </c>
      <c r="Z332" s="31">
        <f>IF(A332="","",COUNTIFS($W$5:$W$604,"&gt;"&amp;W332)+COUNTIFS($W$5:W332,W332))</f>
        <v>0</v>
      </c>
      <c r="AA332" s="39">
        <f>IF(A332="","",IF(J332=0,"",IF(U332&lt;0,"Loss - this job cost you money",IF(V332&lt;MarginFloor,"Below - margin under the floor",IF(V332&lt;TargetMargin,"Check - under target margin",IF(AND(X332&lt;&gt;"",X332&gt;0.5),"Check - ran over the estimate","OK"))))))</f>
        <v>0</v>
      </c>
    </row>
    <row r="333" spans="1:27">
      <c r="A333" s="43">
        <f>IF(IFERROR(INDEX(Jobs!$A$5:$A$604,ROW()-4),"")="","",IFERROR(INDEX(Jobs!$A$5:$A$604,ROW()-4),""))</f>
        <v>0</v>
      </c>
      <c r="B333" s="18">
        <f>IF(A333="","",IFERROR(INDEX(Jobs!$B$5:$B$604,MATCH(A333,Jobs!$A$5:$A$604,0)),""))</f>
        <v>0</v>
      </c>
      <c r="C333" s="23">
        <f>IF(B333="","",TEXT(B333,"yyyy-mm"))</f>
        <v>0</v>
      </c>
      <c r="D333" s="43">
        <f>IF(A333="","",IFERROR(INDEX(Jobs!$G$5:$G$604,MATCH(A333,Jobs!$A$5:$A$604,0)),""))</f>
        <v>0</v>
      </c>
      <c r="E333" s="23">
        <f>IF(A333="","",IFERROR(INDEX(Jobs!$H$5:$H$604,MATCH(A333,Jobs!$A$5:$A$604,0)),""))</f>
        <v>0</v>
      </c>
      <c r="F333" s="23">
        <f>IF(A333="","",IFERROR(INDEX(Jobs!$K$5:$K$604,MATCH(A333,Jobs!$A$5:$A$604,0)),""))</f>
        <v>0</v>
      </c>
      <c r="G333" s="23">
        <f>IF(A333="","",IFERROR(INDEX(Jobs!$M$5:$M$604,MATCH(A333,Jobs!$A$5:$A$604,0)),""))</f>
        <v>0</v>
      </c>
      <c r="H333" s="23">
        <f>IF(A333="","",IFERROR(INDEX(Jobs!$R$5:$R$604,MATCH(A333,Jobs!$A$5:$A$604,0)),""))</f>
        <v>0</v>
      </c>
      <c r="I333" s="39">
        <f>IF(A333="","",IFERROR(INDEX(Jobs!$P$5:$P$604,MATCH(A333,Jobs!$A$5:$A$604,0)),""))</f>
        <v>0</v>
      </c>
      <c r="J333" s="21">
        <f>IF(A333="","",IF(OR(I333="Completed",I333="Invoiced"),IFERROR(INDEX(Jobs!$AJ$5:$AJ$604,MATCH(A333,Jobs!$A$5:$A$604,0)),0),0))</f>
        <v>0</v>
      </c>
      <c r="K333" s="34">
        <f>IF(A333="","",IFERROR(INDEX(Jobs!$AD$5:$AD$604,MATCH(A333,Jobs!$A$5:$A$604,0)),0))</f>
        <v>0</v>
      </c>
      <c r="L333" s="34">
        <f>IF(A333="","",IFERROR(INDEX(Jobs!$AK$5:$AK$604,MATCH(A333,Jobs!$A$5:$A$604,0)),0))</f>
        <v>0</v>
      </c>
      <c r="M333" s="34">
        <f>IF(A333="","",IF(IFERROR(L333*1,0)&gt;0,L333,IFERROR(K333*1,0)))</f>
        <v>0</v>
      </c>
      <c r="N333" s="21">
        <f>IF(A333="","",SUMIFS(Timesheets!$X$5:$X$804,Timesheets!$G$5:$G$804,A333))</f>
        <v>0</v>
      </c>
      <c r="O333" s="21">
        <f>IF(A333="","",IF(N333&gt;0,N333,ROUND(M333*CostPerHour,2)))</f>
        <v>0</v>
      </c>
      <c r="P333" s="21">
        <f>IF(A333="","",SUMIFS('Supply Usage'!$L$5:$L$304,'Supply Usage'!$F$5:$F$304,A333))</f>
        <v>0</v>
      </c>
      <c r="Q333" s="21">
        <f>IF(A333="","",IF(P333&gt;0,P333,ROUND(M333*SuppliesPerHour,2)))</f>
        <v>0</v>
      </c>
      <c r="R333" s="21">
        <f>IF(A333="","",ROUND(IFERROR(INDEX(Jobs!$W$5:$W$604,MATCH(A333,Jobs!$A$5:$A$604,0)),0)*MileageRate,2))</f>
        <v>0</v>
      </c>
      <c r="T333" s="21">
        <f>IF(A333="","",O333+Q333+R333+IF(S333="",0,S333))</f>
        <v>0</v>
      </c>
      <c r="U333" s="21">
        <f>IF(A333="","",J333-T333)</f>
        <v>0</v>
      </c>
      <c r="V333" s="38">
        <f>IF(OR(A333="",J333=0),"",U333/J333)</f>
        <v>0</v>
      </c>
      <c r="W333" s="21">
        <f>IF(OR(A333="",M333=0,J333=0),"",U333/M333)</f>
        <v>0</v>
      </c>
      <c r="X333" s="34">
        <f>IF(OR(A333="",L333="",L333=0,K333=""),"",L333-K333)</f>
        <v>0</v>
      </c>
      <c r="Y333" s="31">
        <f>IF(A333="","",COUNTIFS($U$5:$U$604,"&gt;"&amp;U333)+COUNTIFS($U$5:U333,U333))</f>
        <v>0</v>
      </c>
      <c r="Z333" s="31">
        <f>IF(A333="","",COUNTIFS($W$5:$W$604,"&gt;"&amp;W333)+COUNTIFS($W$5:W333,W333))</f>
        <v>0</v>
      </c>
      <c r="AA333" s="39">
        <f>IF(A333="","",IF(J333=0,"",IF(U333&lt;0,"Loss - this job cost you money",IF(V333&lt;MarginFloor,"Below - margin under the floor",IF(V333&lt;TargetMargin,"Check - under target margin",IF(AND(X333&lt;&gt;"",X333&gt;0.5),"Check - ran over the estimate","OK"))))))</f>
        <v>0</v>
      </c>
    </row>
    <row r="334" spans="1:27">
      <c r="A334" s="43">
        <f>IF(IFERROR(INDEX(Jobs!$A$5:$A$604,ROW()-4),"")="","",IFERROR(INDEX(Jobs!$A$5:$A$604,ROW()-4),""))</f>
        <v>0</v>
      </c>
      <c r="B334" s="18">
        <f>IF(A334="","",IFERROR(INDEX(Jobs!$B$5:$B$604,MATCH(A334,Jobs!$A$5:$A$604,0)),""))</f>
        <v>0</v>
      </c>
      <c r="C334" s="23">
        <f>IF(B334="","",TEXT(B334,"yyyy-mm"))</f>
        <v>0</v>
      </c>
      <c r="D334" s="43">
        <f>IF(A334="","",IFERROR(INDEX(Jobs!$G$5:$G$604,MATCH(A334,Jobs!$A$5:$A$604,0)),""))</f>
        <v>0</v>
      </c>
      <c r="E334" s="23">
        <f>IF(A334="","",IFERROR(INDEX(Jobs!$H$5:$H$604,MATCH(A334,Jobs!$A$5:$A$604,0)),""))</f>
        <v>0</v>
      </c>
      <c r="F334" s="23">
        <f>IF(A334="","",IFERROR(INDEX(Jobs!$K$5:$K$604,MATCH(A334,Jobs!$A$5:$A$604,0)),""))</f>
        <v>0</v>
      </c>
      <c r="G334" s="23">
        <f>IF(A334="","",IFERROR(INDEX(Jobs!$M$5:$M$604,MATCH(A334,Jobs!$A$5:$A$604,0)),""))</f>
        <v>0</v>
      </c>
      <c r="H334" s="23">
        <f>IF(A334="","",IFERROR(INDEX(Jobs!$R$5:$R$604,MATCH(A334,Jobs!$A$5:$A$604,0)),""))</f>
        <v>0</v>
      </c>
      <c r="I334" s="39">
        <f>IF(A334="","",IFERROR(INDEX(Jobs!$P$5:$P$604,MATCH(A334,Jobs!$A$5:$A$604,0)),""))</f>
        <v>0</v>
      </c>
      <c r="J334" s="21">
        <f>IF(A334="","",IF(OR(I334="Completed",I334="Invoiced"),IFERROR(INDEX(Jobs!$AJ$5:$AJ$604,MATCH(A334,Jobs!$A$5:$A$604,0)),0),0))</f>
        <v>0</v>
      </c>
      <c r="K334" s="34">
        <f>IF(A334="","",IFERROR(INDEX(Jobs!$AD$5:$AD$604,MATCH(A334,Jobs!$A$5:$A$604,0)),0))</f>
        <v>0</v>
      </c>
      <c r="L334" s="34">
        <f>IF(A334="","",IFERROR(INDEX(Jobs!$AK$5:$AK$604,MATCH(A334,Jobs!$A$5:$A$604,0)),0))</f>
        <v>0</v>
      </c>
      <c r="M334" s="34">
        <f>IF(A334="","",IF(IFERROR(L334*1,0)&gt;0,L334,IFERROR(K334*1,0)))</f>
        <v>0</v>
      </c>
      <c r="N334" s="21">
        <f>IF(A334="","",SUMIFS(Timesheets!$X$5:$X$804,Timesheets!$G$5:$G$804,A334))</f>
        <v>0</v>
      </c>
      <c r="O334" s="21">
        <f>IF(A334="","",IF(N334&gt;0,N334,ROUND(M334*CostPerHour,2)))</f>
        <v>0</v>
      </c>
      <c r="P334" s="21">
        <f>IF(A334="","",SUMIFS('Supply Usage'!$L$5:$L$304,'Supply Usage'!$F$5:$F$304,A334))</f>
        <v>0</v>
      </c>
      <c r="Q334" s="21">
        <f>IF(A334="","",IF(P334&gt;0,P334,ROUND(M334*SuppliesPerHour,2)))</f>
        <v>0</v>
      </c>
      <c r="R334" s="21">
        <f>IF(A334="","",ROUND(IFERROR(INDEX(Jobs!$W$5:$W$604,MATCH(A334,Jobs!$A$5:$A$604,0)),0)*MileageRate,2))</f>
        <v>0</v>
      </c>
      <c r="T334" s="21">
        <f>IF(A334="","",O334+Q334+R334+IF(S334="",0,S334))</f>
        <v>0</v>
      </c>
      <c r="U334" s="21">
        <f>IF(A334="","",J334-T334)</f>
        <v>0</v>
      </c>
      <c r="V334" s="38">
        <f>IF(OR(A334="",J334=0),"",U334/J334)</f>
        <v>0</v>
      </c>
      <c r="W334" s="21">
        <f>IF(OR(A334="",M334=0,J334=0),"",U334/M334)</f>
        <v>0</v>
      </c>
      <c r="X334" s="34">
        <f>IF(OR(A334="",L334="",L334=0,K334=""),"",L334-K334)</f>
        <v>0</v>
      </c>
      <c r="Y334" s="31">
        <f>IF(A334="","",COUNTIFS($U$5:$U$604,"&gt;"&amp;U334)+COUNTIFS($U$5:U334,U334))</f>
        <v>0</v>
      </c>
      <c r="Z334" s="31">
        <f>IF(A334="","",COUNTIFS($W$5:$W$604,"&gt;"&amp;W334)+COUNTIFS($W$5:W334,W334))</f>
        <v>0</v>
      </c>
      <c r="AA334" s="39">
        <f>IF(A334="","",IF(J334=0,"",IF(U334&lt;0,"Loss - this job cost you money",IF(V334&lt;MarginFloor,"Below - margin under the floor",IF(V334&lt;TargetMargin,"Check - under target margin",IF(AND(X334&lt;&gt;"",X334&gt;0.5),"Check - ran over the estimate","OK"))))))</f>
        <v>0</v>
      </c>
    </row>
    <row r="335" spans="1:27">
      <c r="A335" s="43">
        <f>IF(IFERROR(INDEX(Jobs!$A$5:$A$604,ROW()-4),"")="","",IFERROR(INDEX(Jobs!$A$5:$A$604,ROW()-4),""))</f>
        <v>0</v>
      </c>
      <c r="B335" s="18">
        <f>IF(A335="","",IFERROR(INDEX(Jobs!$B$5:$B$604,MATCH(A335,Jobs!$A$5:$A$604,0)),""))</f>
        <v>0</v>
      </c>
      <c r="C335" s="23">
        <f>IF(B335="","",TEXT(B335,"yyyy-mm"))</f>
        <v>0</v>
      </c>
      <c r="D335" s="43">
        <f>IF(A335="","",IFERROR(INDEX(Jobs!$G$5:$G$604,MATCH(A335,Jobs!$A$5:$A$604,0)),""))</f>
        <v>0</v>
      </c>
      <c r="E335" s="23">
        <f>IF(A335="","",IFERROR(INDEX(Jobs!$H$5:$H$604,MATCH(A335,Jobs!$A$5:$A$604,0)),""))</f>
        <v>0</v>
      </c>
      <c r="F335" s="23">
        <f>IF(A335="","",IFERROR(INDEX(Jobs!$K$5:$K$604,MATCH(A335,Jobs!$A$5:$A$604,0)),""))</f>
        <v>0</v>
      </c>
      <c r="G335" s="23">
        <f>IF(A335="","",IFERROR(INDEX(Jobs!$M$5:$M$604,MATCH(A335,Jobs!$A$5:$A$604,0)),""))</f>
        <v>0</v>
      </c>
      <c r="H335" s="23">
        <f>IF(A335="","",IFERROR(INDEX(Jobs!$R$5:$R$604,MATCH(A335,Jobs!$A$5:$A$604,0)),""))</f>
        <v>0</v>
      </c>
      <c r="I335" s="39">
        <f>IF(A335="","",IFERROR(INDEX(Jobs!$P$5:$P$604,MATCH(A335,Jobs!$A$5:$A$604,0)),""))</f>
        <v>0</v>
      </c>
      <c r="J335" s="21">
        <f>IF(A335="","",IF(OR(I335="Completed",I335="Invoiced"),IFERROR(INDEX(Jobs!$AJ$5:$AJ$604,MATCH(A335,Jobs!$A$5:$A$604,0)),0),0))</f>
        <v>0</v>
      </c>
      <c r="K335" s="34">
        <f>IF(A335="","",IFERROR(INDEX(Jobs!$AD$5:$AD$604,MATCH(A335,Jobs!$A$5:$A$604,0)),0))</f>
        <v>0</v>
      </c>
      <c r="L335" s="34">
        <f>IF(A335="","",IFERROR(INDEX(Jobs!$AK$5:$AK$604,MATCH(A335,Jobs!$A$5:$A$604,0)),0))</f>
        <v>0</v>
      </c>
      <c r="M335" s="34">
        <f>IF(A335="","",IF(IFERROR(L335*1,0)&gt;0,L335,IFERROR(K335*1,0)))</f>
        <v>0</v>
      </c>
      <c r="N335" s="21">
        <f>IF(A335="","",SUMIFS(Timesheets!$X$5:$X$804,Timesheets!$G$5:$G$804,A335))</f>
        <v>0</v>
      </c>
      <c r="O335" s="21">
        <f>IF(A335="","",IF(N335&gt;0,N335,ROUND(M335*CostPerHour,2)))</f>
        <v>0</v>
      </c>
      <c r="P335" s="21">
        <f>IF(A335="","",SUMIFS('Supply Usage'!$L$5:$L$304,'Supply Usage'!$F$5:$F$304,A335))</f>
        <v>0</v>
      </c>
      <c r="Q335" s="21">
        <f>IF(A335="","",IF(P335&gt;0,P335,ROUND(M335*SuppliesPerHour,2)))</f>
        <v>0</v>
      </c>
      <c r="R335" s="21">
        <f>IF(A335="","",ROUND(IFERROR(INDEX(Jobs!$W$5:$W$604,MATCH(A335,Jobs!$A$5:$A$604,0)),0)*MileageRate,2))</f>
        <v>0</v>
      </c>
      <c r="T335" s="21">
        <f>IF(A335="","",O335+Q335+R335+IF(S335="",0,S335))</f>
        <v>0</v>
      </c>
      <c r="U335" s="21">
        <f>IF(A335="","",J335-T335)</f>
        <v>0</v>
      </c>
      <c r="V335" s="38">
        <f>IF(OR(A335="",J335=0),"",U335/J335)</f>
        <v>0</v>
      </c>
      <c r="W335" s="21">
        <f>IF(OR(A335="",M335=0,J335=0),"",U335/M335)</f>
        <v>0</v>
      </c>
      <c r="X335" s="34">
        <f>IF(OR(A335="",L335="",L335=0,K335=""),"",L335-K335)</f>
        <v>0</v>
      </c>
      <c r="Y335" s="31">
        <f>IF(A335="","",COUNTIFS($U$5:$U$604,"&gt;"&amp;U335)+COUNTIFS($U$5:U335,U335))</f>
        <v>0</v>
      </c>
      <c r="Z335" s="31">
        <f>IF(A335="","",COUNTIFS($W$5:$W$604,"&gt;"&amp;W335)+COUNTIFS($W$5:W335,W335))</f>
        <v>0</v>
      </c>
      <c r="AA335" s="39">
        <f>IF(A335="","",IF(J335=0,"",IF(U335&lt;0,"Loss - this job cost you money",IF(V335&lt;MarginFloor,"Below - margin under the floor",IF(V335&lt;TargetMargin,"Check - under target margin",IF(AND(X335&lt;&gt;"",X335&gt;0.5),"Check - ran over the estimate","OK"))))))</f>
        <v>0</v>
      </c>
    </row>
    <row r="336" spans="1:27">
      <c r="A336" s="43">
        <f>IF(IFERROR(INDEX(Jobs!$A$5:$A$604,ROW()-4),"")="","",IFERROR(INDEX(Jobs!$A$5:$A$604,ROW()-4),""))</f>
        <v>0</v>
      </c>
      <c r="B336" s="18">
        <f>IF(A336="","",IFERROR(INDEX(Jobs!$B$5:$B$604,MATCH(A336,Jobs!$A$5:$A$604,0)),""))</f>
        <v>0</v>
      </c>
      <c r="C336" s="23">
        <f>IF(B336="","",TEXT(B336,"yyyy-mm"))</f>
        <v>0</v>
      </c>
      <c r="D336" s="43">
        <f>IF(A336="","",IFERROR(INDEX(Jobs!$G$5:$G$604,MATCH(A336,Jobs!$A$5:$A$604,0)),""))</f>
        <v>0</v>
      </c>
      <c r="E336" s="23">
        <f>IF(A336="","",IFERROR(INDEX(Jobs!$H$5:$H$604,MATCH(A336,Jobs!$A$5:$A$604,0)),""))</f>
        <v>0</v>
      </c>
      <c r="F336" s="23">
        <f>IF(A336="","",IFERROR(INDEX(Jobs!$K$5:$K$604,MATCH(A336,Jobs!$A$5:$A$604,0)),""))</f>
        <v>0</v>
      </c>
      <c r="G336" s="23">
        <f>IF(A336="","",IFERROR(INDEX(Jobs!$M$5:$M$604,MATCH(A336,Jobs!$A$5:$A$604,0)),""))</f>
        <v>0</v>
      </c>
      <c r="H336" s="23">
        <f>IF(A336="","",IFERROR(INDEX(Jobs!$R$5:$R$604,MATCH(A336,Jobs!$A$5:$A$604,0)),""))</f>
        <v>0</v>
      </c>
      <c r="I336" s="39">
        <f>IF(A336="","",IFERROR(INDEX(Jobs!$P$5:$P$604,MATCH(A336,Jobs!$A$5:$A$604,0)),""))</f>
        <v>0</v>
      </c>
      <c r="J336" s="21">
        <f>IF(A336="","",IF(OR(I336="Completed",I336="Invoiced"),IFERROR(INDEX(Jobs!$AJ$5:$AJ$604,MATCH(A336,Jobs!$A$5:$A$604,0)),0),0))</f>
        <v>0</v>
      </c>
      <c r="K336" s="34">
        <f>IF(A336="","",IFERROR(INDEX(Jobs!$AD$5:$AD$604,MATCH(A336,Jobs!$A$5:$A$604,0)),0))</f>
        <v>0</v>
      </c>
      <c r="L336" s="34">
        <f>IF(A336="","",IFERROR(INDEX(Jobs!$AK$5:$AK$604,MATCH(A336,Jobs!$A$5:$A$604,0)),0))</f>
        <v>0</v>
      </c>
      <c r="M336" s="34">
        <f>IF(A336="","",IF(IFERROR(L336*1,0)&gt;0,L336,IFERROR(K336*1,0)))</f>
        <v>0</v>
      </c>
      <c r="N336" s="21">
        <f>IF(A336="","",SUMIFS(Timesheets!$X$5:$X$804,Timesheets!$G$5:$G$804,A336))</f>
        <v>0</v>
      </c>
      <c r="O336" s="21">
        <f>IF(A336="","",IF(N336&gt;0,N336,ROUND(M336*CostPerHour,2)))</f>
        <v>0</v>
      </c>
      <c r="P336" s="21">
        <f>IF(A336="","",SUMIFS('Supply Usage'!$L$5:$L$304,'Supply Usage'!$F$5:$F$304,A336))</f>
        <v>0</v>
      </c>
      <c r="Q336" s="21">
        <f>IF(A336="","",IF(P336&gt;0,P336,ROUND(M336*SuppliesPerHour,2)))</f>
        <v>0</v>
      </c>
      <c r="R336" s="21">
        <f>IF(A336="","",ROUND(IFERROR(INDEX(Jobs!$W$5:$W$604,MATCH(A336,Jobs!$A$5:$A$604,0)),0)*MileageRate,2))</f>
        <v>0</v>
      </c>
      <c r="T336" s="21">
        <f>IF(A336="","",O336+Q336+R336+IF(S336="",0,S336))</f>
        <v>0</v>
      </c>
      <c r="U336" s="21">
        <f>IF(A336="","",J336-T336)</f>
        <v>0</v>
      </c>
      <c r="V336" s="38">
        <f>IF(OR(A336="",J336=0),"",U336/J336)</f>
        <v>0</v>
      </c>
      <c r="W336" s="21">
        <f>IF(OR(A336="",M336=0,J336=0),"",U336/M336)</f>
        <v>0</v>
      </c>
      <c r="X336" s="34">
        <f>IF(OR(A336="",L336="",L336=0,K336=""),"",L336-K336)</f>
        <v>0</v>
      </c>
      <c r="Y336" s="31">
        <f>IF(A336="","",COUNTIFS($U$5:$U$604,"&gt;"&amp;U336)+COUNTIFS($U$5:U336,U336))</f>
        <v>0</v>
      </c>
      <c r="Z336" s="31">
        <f>IF(A336="","",COUNTIFS($W$5:$W$604,"&gt;"&amp;W336)+COUNTIFS($W$5:W336,W336))</f>
        <v>0</v>
      </c>
      <c r="AA336" s="39">
        <f>IF(A336="","",IF(J336=0,"",IF(U336&lt;0,"Loss - this job cost you money",IF(V336&lt;MarginFloor,"Below - margin under the floor",IF(V336&lt;TargetMargin,"Check - under target margin",IF(AND(X336&lt;&gt;"",X336&gt;0.5),"Check - ran over the estimate","OK"))))))</f>
        <v>0</v>
      </c>
    </row>
    <row r="337" spans="1:27">
      <c r="A337" s="43">
        <f>IF(IFERROR(INDEX(Jobs!$A$5:$A$604,ROW()-4),"")="","",IFERROR(INDEX(Jobs!$A$5:$A$604,ROW()-4),""))</f>
        <v>0</v>
      </c>
      <c r="B337" s="18">
        <f>IF(A337="","",IFERROR(INDEX(Jobs!$B$5:$B$604,MATCH(A337,Jobs!$A$5:$A$604,0)),""))</f>
        <v>0</v>
      </c>
      <c r="C337" s="23">
        <f>IF(B337="","",TEXT(B337,"yyyy-mm"))</f>
        <v>0</v>
      </c>
      <c r="D337" s="43">
        <f>IF(A337="","",IFERROR(INDEX(Jobs!$G$5:$G$604,MATCH(A337,Jobs!$A$5:$A$604,0)),""))</f>
        <v>0</v>
      </c>
      <c r="E337" s="23">
        <f>IF(A337="","",IFERROR(INDEX(Jobs!$H$5:$H$604,MATCH(A337,Jobs!$A$5:$A$604,0)),""))</f>
        <v>0</v>
      </c>
      <c r="F337" s="23">
        <f>IF(A337="","",IFERROR(INDEX(Jobs!$K$5:$K$604,MATCH(A337,Jobs!$A$5:$A$604,0)),""))</f>
        <v>0</v>
      </c>
      <c r="G337" s="23">
        <f>IF(A337="","",IFERROR(INDEX(Jobs!$M$5:$M$604,MATCH(A337,Jobs!$A$5:$A$604,0)),""))</f>
        <v>0</v>
      </c>
      <c r="H337" s="23">
        <f>IF(A337="","",IFERROR(INDEX(Jobs!$R$5:$R$604,MATCH(A337,Jobs!$A$5:$A$604,0)),""))</f>
        <v>0</v>
      </c>
      <c r="I337" s="39">
        <f>IF(A337="","",IFERROR(INDEX(Jobs!$P$5:$P$604,MATCH(A337,Jobs!$A$5:$A$604,0)),""))</f>
        <v>0</v>
      </c>
      <c r="J337" s="21">
        <f>IF(A337="","",IF(OR(I337="Completed",I337="Invoiced"),IFERROR(INDEX(Jobs!$AJ$5:$AJ$604,MATCH(A337,Jobs!$A$5:$A$604,0)),0),0))</f>
        <v>0</v>
      </c>
      <c r="K337" s="34">
        <f>IF(A337="","",IFERROR(INDEX(Jobs!$AD$5:$AD$604,MATCH(A337,Jobs!$A$5:$A$604,0)),0))</f>
        <v>0</v>
      </c>
      <c r="L337" s="34">
        <f>IF(A337="","",IFERROR(INDEX(Jobs!$AK$5:$AK$604,MATCH(A337,Jobs!$A$5:$A$604,0)),0))</f>
        <v>0</v>
      </c>
      <c r="M337" s="34">
        <f>IF(A337="","",IF(IFERROR(L337*1,0)&gt;0,L337,IFERROR(K337*1,0)))</f>
        <v>0</v>
      </c>
      <c r="N337" s="21">
        <f>IF(A337="","",SUMIFS(Timesheets!$X$5:$X$804,Timesheets!$G$5:$G$804,A337))</f>
        <v>0</v>
      </c>
      <c r="O337" s="21">
        <f>IF(A337="","",IF(N337&gt;0,N337,ROUND(M337*CostPerHour,2)))</f>
        <v>0</v>
      </c>
      <c r="P337" s="21">
        <f>IF(A337="","",SUMIFS('Supply Usage'!$L$5:$L$304,'Supply Usage'!$F$5:$F$304,A337))</f>
        <v>0</v>
      </c>
      <c r="Q337" s="21">
        <f>IF(A337="","",IF(P337&gt;0,P337,ROUND(M337*SuppliesPerHour,2)))</f>
        <v>0</v>
      </c>
      <c r="R337" s="21">
        <f>IF(A337="","",ROUND(IFERROR(INDEX(Jobs!$W$5:$W$604,MATCH(A337,Jobs!$A$5:$A$604,0)),0)*MileageRate,2))</f>
        <v>0</v>
      </c>
      <c r="T337" s="21">
        <f>IF(A337="","",O337+Q337+R337+IF(S337="",0,S337))</f>
        <v>0</v>
      </c>
      <c r="U337" s="21">
        <f>IF(A337="","",J337-T337)</f>
        <v>0</v>
      </c>
      <c r="V337" s="38">
        <f>IF(OR(A337="",J337=0),"",U337/J337)</f>
        <v>0</v>
      </c>
      <c r="W337" s="21">
        <f>IF(OR(A337="",M337=0,J337=0),"",U337/M337)</f>
        <v>0</v>
      </c>
      <c r="X337" s="34">
        <f>IF(OR(A337="",L337="",L337=0,K337=""),"",L337-K337)</f>
        <v>0</v>
      </c>
      <c r="Y337" s="31">
        <f>IF(A337="","",COUNTIFS($U$5:$U$604,"&gt;"&amp;U337)+COUNTIFS($U$5:U337,U337))</f>
        <v>0</v>
      </c>
      <c r="Z337" s="31">
        <f>IF(A337="","",COUNTIFS($W$5:$W$604,"&gt;"&amp;W337)+COUNTIFS($W$5:W337,W337))</f>
        <v>0</v>
      </c>
      <c r="AA337" s="39">
        <f>IF(A337="","",IF(J337=0,"",IF(U337&lt;0,"Loss - this job cost you money",IF(V337&lt;MarginFloor,"Below - margin under the floor",IF(V337&lt;TargetMargin,"Check - under target margin",IF(AND(X337&lt;&gt;"",X337&gt;0.5),"Check - ran over the estimate","OK"))))))</f>
        <v>0</v>
      </c>
    </row>
    <row r="338" spans="1:27">
      <c r="A338" s="43">
        <f>IF(IFERROR(INDEX(Jobs!$A$5:$A$604,ROW()-4),"")="","",IFERROR(INDEX(Jobs!$A$5:$A$604,ROW()-4),""))</f>
        <v>0</v>
      </c>
      <c r="B338" s="18">
        <f>IF(A338="","",IFERROR(INDEX(Jobs!$B$5:$B$604,MATCH(A338,Jobs!$A$5:$A$604,0)),""))</f>
        <v>0</v>
      </c>
      <c r="C338" s="23">
        <f>IF(B338="","",TEXT(B338,"yyyy-mm"))</f>
        <v>0</v>
      </c>
      <c r="D338" s="43">
        <f>IF(A338="","",IFERROR(INDEX(Jobs!$G$5:$G$604,MATCH(A338,Jobs!$A$5:$A$604,0)),""))</f>
        <v>0</v>
      </c>
      <c r="E338" s="23">
        <f>IF(A338="","",IFERROR(INDEX(Jobs!$H$5:$H$604,MATCH(A338,Jobs!$A$5:$A$604,0)),""))</f>
        <v>0</v>
      </c>
      <c r="F338" s="23">
        <f>IF(A338="","",IFERROR(INDEX(Jobs!$K$5:$K$604,MATCH(A338,Jobs!$A$5:$A$604,0)),""))</f>
        <v>0</v>
      </c>
      <c r="G338" s="23">
        <f>IF(A338="","",IFERROR(INDEX(Jobs!$M$5:$M$604,MATCH(A338,Jobs!$A$5:$A$604,0)),""))</f>
        <v>0</v>
      </c>
      <c r="H338" s="23">
        <f>IF(A338="","",IFERROR(INDEX(Jobs!$R$5:$R$604,MATCH(A338,Jobs!$A$5:$A$604,0)),""))</f>
        <v>0</v>
      </c>
      <c r="I338" s="39">
        <f>IF(A338="","",IFERROR(INDEX(Jobs!$P$5:$P$604,MATCH(A338,Jobs!$A$5:$A$604,0)),""))</f>
        <v>0</v>
      </c>
      <c r="J338" s="21">
        <f>IF(A338="","",IF(OR(I338="Completed",I338="Invoiced"),IFERROR(INDEX(Jobs!$AJ$5:$AJ$604,MATCH(A338,Jobs!$A$5:$A$604,0)),0),0))</f>
        <v>0</v>
      </c>
      <c r="K338" s="34">
        <f>IF(A338="","",IFERROR(INDEX(Jobs!$AD$5:$AD$604,MATCH(A338,Jobs!$A$5:$A$604,0)),0))</f>
        <v>0</v>
      </c>
      <c r="L338" s="34">
        <f>IF(A338="","",IFERROR(INDEX(Jobs!$AK$5:$AK$604,MATCH(A338,Jobs!$A$5:$A$604,0)),0))</f>
        <v>0</v>
      </c>
      <c r="M338" s="34">
        <f>IF(A338="","",IF(IFERROR(L338*1,0)&gt;0,L338,IFERROR(K338*1,0)))</f>
        <v>0</v>
      </c>
      <c r="N338" s="21">
        <f>IF(A338="","",SUMIFS(Timesheets!$X$5:$X$804,Timesheets!$G$5:$G$804,A338))</f>
        <v>0</v>
      </c>
      <c r="O338" s="21">
        <f>IF(A338="","",IF(N338&gt;0,N338,ROUND(M338*CostPerHour,2)))</f>
        <v>0</v>
      </c>
      <c r="P338" s="21">
        <f>IF(A338="","",SUMIFS('Supply Usage'!$L$5:$L$304,'Supply Usage'!$F$5:$F$304,A338))</f>
        <v>0</v>
      </c>
      <c r="Q338" s="21">
        <f>IF(A338="","",IF(P338&gt;0,P338,ROUND(M338*SuppliesPerHour,2)))</f>
        <v>0</v>
      </c>
      <c r="R338" s="21">
        <f>IF(A338="","",ROUND(IFERROR(INDEX(Jobs!$W$5:$W$604,MATCH(A338,Jobs!$A$5:$A$604,0)),0)*MileageRate,2))</f>
        <v>0</v>
      </c>
      <c r="T338" s="21">
        <f>IF(A338="","",O338+Q338+R338+IF(S338="",0,S338))</f>
        <v>0</v>
      </c>
      <c r="U338" s="21">
        <f>IF(A338="","",J338-T338)</f>
        <v>0</v>
      </c>
      <c r="V338" s="38">
        <f>IF(OR(A338="",J338=0),"",U338/J338)</f>
        <v>0</v>
      </c>
      <c r="W338" s="21">
        <f>IF(OR(A338="",M338=0,J338=0),"",U338/M338)</f>
        <v>0</v>
      </c>
      <c r="X338" s="34">
        <f>IF(OR(A338="",L338="",L338=0,K338=""),"",L338-K338)</f>
        <v>0</v>
      </c>
      <c r="Y338" s="31">
        <f>IF(A338="","",COUNTIFS($U$5:$U$604,"&gt;"&amp;U338)+COUNTIFS($U$5:U338,U338))</f>
        <v>0</v>
      </c>
      <c r="Z338" s="31">
        <f>IF(A338="","",COUNTIFS($W$5:$W$604,"&gt;"&amp;W338)+COUNTIFS($W$5:W338,W338))</f>
        <v>0</v>
      </c>
      <c r="AA338" s="39">
        <f>IF(A338="","",IF(J338=0,"",IF(U338&lt;0,"Loss - this job cost you money",IF(V338&lt;MarginFloor,"Below - margin under the floor",IF(V338&lt;TargetMargin,"Check - under target margin",IF(AND(X338&lt;&gt;"",X338&gt;0.5),"Check - ran over the estimate","OK"))))))</f>
        <v>0</v>
      </c>
    </row>
    <row r="339" spans="1:27">
      <c r="A339" s="43">
        <f>IF(IFERROR(INDEX(Jobs!$A$5:$A$604,ROW()-4),"")="","",IFERROR(INDEX(Jobs!$A$5:$A$604,ROW()-4),""))</f>
        <v>0</v>
      </c>
      <c r="B339" s="18">
        <f>IF(A339="","",IFERROR(INDEX(Jobs!$B$5:$B$604,MATCH(A339,Jobs!$A$5:$A$604,0)),""))</f>
        <v>0</v>
      </c>
      <c r="C339" s="23">
        <f>IF(B339="","",TEXT(B339,"yyyy-mm"))</f>
        <v>0</v>
      </c>
      <c r="D339" s="43">
        <f>IF(A339="","",IFERROR(INDEX(Jobs!$G$5:$G$604,MATCH(A339,Jobs!$A$5:$A$604,0)),""))</f>
        <v>0</v>
      </c>
      <c r="E339" s="23">
        <f>IF(A339="","",IFERROR(INDEX(Jobs!$H$5:$H$604,MATCH(A339,Jobs!$A$5:$A$604,0)),""))</f>
        <v>0</v>
      </c>
      <c r="F339" s="23">
        <f>IF(A339="","",IFERROR(INDEX(Jobs!$K$5:$K$604,MATCH(A339,Jobs!$A$5:$A$604,0)),""))</f>
        <v>0</v>
      </c>
      <c r="G339" s="23">
        <f>IF(A339="","",IFERROR(INDEX(Jobs!$M$5:$M$604,MATCH(A339,Jobs!$A$5:$A$604,0)),""))</f>
        <v>0</v>
      </c>
      <c r="H339" s="23">
        <f>IF(A339="","",IFERROR(INDEX(Jobs!$R$5:$R$604,MATCH(A339,Jobs!$A$5:$A$604,0)),""))</f>
        <v>0</v>
      </c>
      <c r="I339" s="39">
        <f>IF(A339="","",IFERROR(INDEX(Jobs!$P$5:$P$604,MATCH(A339,Jobs!$A$5:$A$604,0)),""))</f>
        <v>0</v>
      </c>
      <c r="J339" s="21">
        <f>IF(A339="","",IF(OR(I339="Completed",I339="Invoiced"),IFERROR(INDEX(Jobs!$AJ$5:$AJ$604,MATCH(A339,Jobs!$A$5:$A$604,0)),0),0))</f>
        <v>0</v>
      </c>
      <c r="K339" s="34">
        <f>IF(A339="","",IFERROR(INDEX(Jobs!$AD$5:$AD$604,MATCH(A339,Jobs!$A$5:$A$604,0)),0))</f>
        <v>0</v>
      </c>
      <c r="L339" s="34">
        <f>IF(A339="","",IFERROR(INDEX(Jobs!$AK$5:$AK$604,MATCH(A339,Jobs!$A$5:$A$604,0)),0))</f>
        <v>0</v>
      </c>
      <c r="M339" s="34">
        <f>IF(A339="","",IF(IFERROR(L339*1,0)&gt;0,L339,IFERROR(K339*1,0)))</f>
        <v>0</v>
      </c>
      <c r="N339" s="21">
        <f>IF(A339="","",SUMIFS(Timesheets!$X$5:$X$804,Timesheets!$G$5:$G$804,A339))</f>
        <v>0</v>
      </c>
      <c r="O339" s="21">
        <f>IF(A339="","",IF(N339&gt;0,N339,ROUND(M339*CostPerHour,2)))</f>
        <v>0</v>
      </c>
      <c r="P339" s="21">
        <f>IF(A339="","",SUMIFS('Supply Usage'!$L$5:$L$304,'Supply Usage'!$F$5:$F$304,A339))</f>
        <v>0</v>
      </c>
      <c r="Q339" s="21">
        <f>IF(A339="","",IF(P339&gt;0,P339,ROUND(M339*SuppliesPerHour,2)))</f>
        <v>0</v>
      </c>
      <c r="R339" s="21">
        <f>IF(A339="","",ROUND(IFERROR(INDEX(Jobs!$W$5:$W$604,MATCH(A339,Jobs!$A$5:$A$604,0)),0)*MileageRate,2))</f>
        <v>0</v>
      </c>
      <c r="T339" s="21">
        <f>IF(A339="","",O339+Q339+R339+IF(S339="",0,S339))</f>
        <v>0</v>
      </c>
      <c r="U339" s="21">
        <f>IF(A339="","",J339-T339)</f>
        <v>0</v>
      </c>
      <c r="V339" s="38">
        <f>IF(OR(A339="",J339=0),"",U339/J339)</f>
        <v>0</v>
      </c>
      <c r="W339" s="21">
        <f>IF(OR(A339="",M339=0,J339=0),"",U339/M339)</f>
        <v>0</v>
      </c>
      <c r="X339" s="34">
        <f>IF(OR(A339="",L339="",L339=0,K339=""),"",L339-K339)</f>
        <v>0</v>
      </c>
      <c r="Y339" s="31">
        <f>IF(A339="","",COUNTIFS($U$5:$U$604,"&gt;"&amp;U339)+COUNTIFS($U$5:U339,U339))</f>
        <v>0</v>
      </c>
      <c r="Z339" s="31">
        <f>IF(A339="","",COUNTIFS($W$5:$W$604,"&gt;"&amp;W339)+COUNTIFS($W$5:W339,W339))</f>
        <v>0</v>
      </c>
      <c r="AA339" s="39">
        <f>IF(A339="","",IF(J339=0,"",IF(U339&lt;0,"Loss - this job cost you money",IF(V339&lt;MarginFloor,"Below - margin under the floor",IF(V339&lt;TargetMargin,"Check - under target margin",IF(AND(X339&lt;&gt;"",X339&gt;0.5),"Check - ran over the estimate","OK"))))))</f>
        <v>0</v>
      </c>
    </row>
    <row r="340" spans="1:27">
      <c r="A340" s="43">
        <f>IF(IFERROR(INDEX(Jobs!$A$5:$A$604,ROW()-4),"")="","",IFERROR(INDEX(Jobs!$A$5:$A$604,ROW()-4),""))</f>
        <v>0</v>
      </c>
      <c r="B340" s="18">
        <f>IF(A340="","",IFERROR(INDEX(Jobs!$B$5:$B$604,MATCH(A340,Jobs!$A$5:$A$604,0)),""))</f>
        <v>0</v>
      </c>
      <c r="C340" s="23">
        <f>IF(B340="","",TEXT(B340,"yyyy-mm"))</f>
        <v>0</v>
      </c>
      <c r="D340" s="43">
        <f>IF(A340="","",IFERROR(INDEX(Jobs!$G$5:$G$604,MATCH(A340,Jobs!$A$5:$A$604,0)),""))</f>
        <v>0</v>
      </c>
      <c r="E340" s="23">
        <f>IF(A340="","",IFERROR(INDEX(Jobs!$H$5:$H$604,MATCH(A340,Jobs!$A$5:$A$604,0)),""))</f>
        <v>0</v>
      </c>
      <c r="F340" s="23">
        <f>IF(A340="","",IFERROR(INDEX(Jobs!$K$5:$K$604,MATCH(A340,Jobs!$A$5:$A$604,0)),""))</f>
        <v>0</v>
      </c>
      <c r="G340" s="23">
        <f>IF(A340="","",IFERROR(INDEX(Jobs!$M$5:$M$604,MATCH(A340,Jobs!$A$5:$A$604,0)),""))</f>
        <v>0</v>
      </c>
      <c r="H340" s="23">
        <f>IF(A340="","",IFERROR(INDEX(Jobs!$R$5:$R$604,MATCH(A340,Jobs!$A$5:$A$604,0)),""))</f>
        <v>0</v>
      </c>
      <c r="I340" s="39">
        <f>IF(A340="","",IFERROR(INDEX(Jobs!$P$5:$P$604,MATCH(A340,Jobs!$A$5:$A$604,0)),""))</f>
        <v>0</v>
      </c>
      <c r="J340" s="21">
        <f>IF(A340="","",IF(OR(I340="Completed",I340="Invoiced"),IFERROR(INDEX(Jobs!$AJ$5:$AJ$604,MATCH(A340,Jobs!$A$5:$A$604,0)),0),0))</f>
        <v>0</v>
      </c>
      <c r="K340" s="34">
        <f>IF(A340="","",IFERROR(INDEX(Jobs!$AD$5:$AD$604,MATCH(A340,Jobs!$A$5:$A$604,0)),0))</f>
        <v>0</v>
      </c>
      <c r="L340" s="34">
        <f>IF(A340="","",IFERROR(INDEX(Jobs!$AK$5:$AK$604,MATCH(A340,Jobs!$A$5:$A$604,0)),0))</f>
        <v>0</v>
      </c>
      <c r="M340" s="34">
        <f>IF(A340="","",IF(IFERROR(L340*1,0)&gt;0,L340,IFERROR(K340*1,0)))</f>
        <v>0</v>
      </c>
      <c r="N340" s="21">
        <f>IF(A340="","",SUMIFS(Timesheets!$X$5:$X$804,Timesheets!$G$5:$G$804,A340))</f>
        <v>0</v>
      </c>
      <c r="O340" s="21">
        <f>IF(A340="","",IF(N340&gt;0,N340,ROUND(M340*CostPerHour,2)))</f>
        <v>0</v>
      </c>
      <c r="P340" s="21">
        <f>IF(A340="","",SUMIFS('Supply Usage'!$L$5:$L$304,'Supply Usage'!$F$5:$F$304,A340))</f>
        <v>0</v>
      </c>
      <c r="Q340" s="21">
        <f>IF(A340="","",IF(P340&gt;0,P340,ROUND(M340*SuppliesPerHour,2)))</f>
        <v>0</v>
      </c>
      <c r="R340" s="21">
        <f>IF(A340="","",ROUND(IFERROR(INDEX(Jobs!$W$5:$W$604,MATCH(A340,Jobs!$A$5:$A$604,0)),0)*MileageRate,2))</f>
        <v>0</v>
      </c>
      <c r="T340" s="21">
        <f>IF(A340="","",O340+Q340+R340+IF(S340="",0,S340))</f>
        <v>0</v>
      </c>
      <c r="U340" s="21">
        <f>IF(A340="","",J340-T340)</f>
        <v>0</v>
      </c>
      <c r="V340" s="38">
        <f>IF(OR(A340="",J340=0),"",U340/J340)</f>
        <v>0</v>
      </c>
      <c r="W340" s="21">
        <f>IF(OR(A340="",M340=0,J340=0),"",U340/M340)</f>
        <v>0</v>
      </c>
      <c r="X340" s="34">
        <f>IF(OR(A340="",L340="",L340=0,K340=""),"",L340-K340)</f>
        <v>0</v>
      </c>
      <c r="Y340" s="31">
        <f>IF(A340="","",COUNTIFS($U$5:$U$604,"&gt;"&amp;U340)+COUNTIFS($U$5:U340,U340))</f>
        <v>0</v>
      </c>
      <c r="Z340" s="31">
        <f>IF(A340="","",COUNTIFS($W$5:$W$604,"&gt;"&amp;W340)+COUNTIFS($W$5:W340,W340))</f>
        <v>0</v>
      </c>
      <c r="AA340" s="39">
        <f>IF(A340="","",IF(J340=0,"",IF(U340&lt;0,"Loss - this job cost you money",IF(V340&lt;MarginFloor,"Below - margin under the floor",IF(V340&lt;TargetMargin,"Check - under target margin",IF(AND(X340&lt;&gt;"",X340&gt;0.5),"Check - ran over the estimate","OK"))))))</f>
        <v>0</v>
      </c>
    </row>
    <row r="341" spans="1:27">
      <c r="A341" s="43">
        <f>IF(IFERROR(INDEX(Jobs!$A$5:$A$604,ROW()-4),"")="","",IFERROR(INDEX(Jobs!$A$5:$A$604,ROW()-4),""))</f>
        <v>0</v>
      </c>
      <c r="B341" s="18">
        <f>IF(A341="","",IFERROR(INDEX(Jobs!$B$5:$B$604,MATCH(A341,Jobs!$A$5:$A$604,0)),""))</f>
        <v>0</v>
      </c>
      <c r="C341" s="23">
        <f>IF(B341="","",TEXT(B341,"yyyy-mm"))</f>
        <v>0</v>
      </c>
      <c r="D341" s="43">
        <f>IF(A341="","",IFERROR(INDEX(Jobs!$G$5:$G$604,MATCH(A341,Jobs!$A$5:$A$604,0)),""))</f>
        <v>0</v>
      </c>
      <c r="E341" s="23">
        <f>IF(A341="","",IFERROR(INDEX(Jobs!$H$5:$H$604,MATCH(A341,Jobs!$A$5:$A$604,0)),""))</f>
        <v>0</v>
      </c>
      <c r="F341" s="23">
        <f>IF(A341="","",IFERROR(INDEX(Jobs!$K$5:$K$604,MATCH(A341,Jobs!$A$5:$A$604,0)),""))</f>
        <v>0</v>
      </c>
      <c r="G341" s="23">
        <f>IF(A341="","",IFERROR(INDEX(Jobs!$M$5:$M$604,MATCH(A341,Jobs!$A$5:$A$604,0)),""))</f>
        <v>0</v>
      </c>
      <c r="H341" s="23">
        <f>IF(A341="","",IFERROR(INDEX(Jobs!$R$5:$R$604,MATCH(A341,Jobs!$A$5:$A$604,0)),""))</f>
        <v>0</v>
      </c>
      <c r="I341" s="39">
        <f>IF(A341="","",IFERROR(INDEX(Jobs!$P$5:$P$604,MATCH(A341,Jobs!$A$5:$A$604,0)),""))</f>
        <v>0</v>
      </c>
      <c r="J341" s="21">
        <f>IF(A341="","",IF(OR(I341="Completed",I341="Invoiced"),IFERROR(INDEX(Jobs!$AJ$5:$AJ$604,MATCH(A341,Jobs!$A$5:$A$604,0)),0),0))</f>
        <v>0</v>
      </c>
      <c r="K341" s="34">
        <f>IF(A341="","",IFERROR(INDEX(Jobs!$AD$5:$AD$604,MATCH(A341,Jobs!$A$5:$A$604,0)),0))</f>
        <v>0</v>
      </c>
      <c r="L341" s="34">
        <f>IF(A341="","",IFERROR(INDEX(Jobs!$AK$5:$AK$604,MATCH(A341,Jobs!$A$5:$A$604,0)),0))</f>
        <v>0</v>
      </c>
      <c r="M341" s="34">
        <f>IF(A341="","",IF(IFERROR(L341*1,0)&gt;0,L341,IFERROR(K341*1,0)))</f>
        <v>0</v>
      </c>
      <c r="N341" s="21">
        <f>IF(A341="","",SUMIFS(Timesheets!$X$5:$X$804,Timesheets!$G$5:$G$804,A341))</f>
        <v>0</v>
      </c>
      <c r="O341" s="21">
        <f>IF(A341="","",IF(N341&gt;0,N341,ROUND(M341*CostPerHour,2)))</f>
        <v>0</v>
      </c>
      <c r="P341" s="21">
        <f>IF(A341="","",SUMIFS('Supply Usage'!$L$5:$L$304,'Supply Usage'!$F$5:$F$304,A341))</f>
        <v>0</v>
      </c>
      <c r="Q341" s="21">
        <f>IF(A341="","",IF(P341&gt;0,P341,ROUND(M341*SuppliesPerHour,2)))</f>
        <v>0</v>
      </c>
      <c r="R341" s="21">
        <f>IF(A341="","",ROUND(IFERROR(INDEX(Jobs!$W$5:$W$604,MATCH(A341,Jobs!$A$5:$A$604,0)),0)*MileageRate,2))</f>
        <v>0</v>
      </c>
      <c r="T341" s="21">
        <f>IF(A341="","",O341+Q341+R341+IF(S341="",0,S341))</f>
        <v>0</v>
      </c>
      <c r="U341" s="21">
        <f>IF(A341="","",J341-T341)</f>
        <v>0</v>
      </c>
      <c r="V341" s="38">
        <f>IF(OR(A341="",J341=0),"",U341/J341)</f>
        <v>0</v>
      </c>
      <c r="W341" s="21">
        <f>IF(OR(A341="",M341=0,J341=0),"",U341/M341)</f>
        <v>0</v>
      </c>
      <c r="X341" s="34">
        <f>IF(OR(A341="",L341="",L341=0,K341=""),"",L341-K341)</f>
        <v>0</v>
      </c>
      <c r="Y341" s="31">
        <f>IF(A341="","",COUNTIFS($U$5:$U$604,"&gt;"&amp;U341)+COUNTIFS($U$5:U341,U341))</f>
        <v>0</v>
      </c>
      <c r="Z341" s="31">
        <f>IF(A341="","",COUNTIFS($W$5:$W$604,"&gt;"&amp;W341)+COUNTIFS($W$5:W341,W341))</f>
        <v>0</v>
      </c>
      <c r="AA341" s="39">
        <f>IF(A341="","",IF(J341=0,"",IF(U341&lt;0,"Loss - this job cost you money",IF(V341&lt;MarginFloor,"Below - margin under the floor",IF(V341&lt;TargetMargin,"Check - under target margin",IF(AND(X341&lt;&gt;"",X341&gt;0.5),"Check - ran over the estimate","OK"))))))</f>
        <v>0</v>
      </c>
    </row>
    <row r="342" spans="1:27">
      <c r="A342" s="43">
        <f>IF(IFERROR(INDEX(Jobs!$A$5:$A$604,ROW()-4),"")="","",IFERROR(INDEX(Jobs!$A$5:$A$604,ROW()-4),""))</f>
        <v>0</v>
      </c>
      <c r="B342" s="18">
        <f>IF(A342="","",IFERROR(INDEX(Jobs!$B$5:$B$604,MATCH(A342,Jobs!$A$5:$A$604,0)),""))</f>
        <v>0</v>
      </c>
      <c r="C342" s="23">
        <f>IF(B342="","",TEXT(B342,"yyyy-mm"))</f>
        <v>0</v>
      </c>
      <c r="D342" s="43">
        <f>IF(A342="","",IFERROR(INDEX(Jobs!$G$5:$G$604,MATCH(A342,Jobs!$A$5:$A$604,0)),""))</f>
        <v>0</v>
      </c>
      <c r="E342" s="23">
        <f>IF(A342="","",IFERROR(INDEX(Jobs!$H$5:$H$604,MATCH(A342,Jobs!$A$5:$A$604,0)),""))</f>
        <v>0</v>
      </c>
      <c r="F342" s="23">
        <f>IF(A342="","",IFERROR(INDEX(Jobs!$K$5:$K$604,MATCH(A342,Jobs!$A$5:$A$604,0)),""))</f>
        <v>0</v>
      </c>
      <c r="G342" s="23">
        <f>IF(A342="","",IFERROR(INDEX(Jobs!$M$5:$M$604,MATCH(A342,Jobs!$A$5:$A$604,0)),""))</f>
        <v>0</v>
      </c>
      <c r="H342" s="23">
        <f>IF(A342="","",IFERROR(INDEX(Jobs!$R$5:$R$604,MATCH(A342,Jobs!$A$5:$A$604,0)),""))</f>
        <v>0</v>
      </c>
      <c r="I342" s="39">
        <f>IF(A342="","",IFERROR(INDEX(Jobs!$P$5:$P$604,MATCH(A342,Jobs!$A$5:$A$604,0)),""))</f>
        <v>0</v>
      </c>
      <c r="J342" s="21">
        <f>IF(A342="","",IF(OR(I342="Completed",I342="Invoiced"),IFERROR(INDEX(Jobs!$AJ$5:$AJ$604,MATCH(A342,Jobs!$A$5:$A$604,0)),0),0))</f>
        <v>0</v>
      </c>
      <c r="K342" s="34">
        <f>IF(A342="","",IFERROR(INDEX(Jobs!$AD$5:$AD$604,MATCH(A342,Jobs!$A$5:$A$604,0)),0))</f>
        <v>0</v>
      </c>
      <c r="L342" s="34">
        <f>IF(A342="","",IFERROR(INDEX(Jobs!$AK$5:$AK$604,MATCH(A342,Jobs!$A$5:$A$604,0)),0))</f>
        <v>0</v>
      </c>
      <c r="M342" s="34">
        <f>IF(A342="","",IF(IFERROR(L342*1,0)&gt;0,L342,IFERROR(K342*1,0)))</f>
        <v>0</v>
      </c>
      <c r="N342" s="21">
        <f>IF(A342="","",SUMIFS(Timesheets!$X$5:$X$804,Timesheets!$G$5:$G$804,A342))</f>
        <v>0</v>
      </c>
      <c r="O342" s="21">
        <f>IF(A342="","",IF(N342&gt;0,N342,ROUND(M342*CostPerHour,2)))</f>
        <v>0</v>
      </c>
      <c r="P342" s="21">
        <f>IF(A342="","",SUMIFS('Supply Usage'!$L$5:$L$304,'Supply Usage'!$F$5:$F$304,A342))</f>
        <v>0</v>
      </c>
      <c r="Q342" s="21">
        <f>IF(A342="","",IF(P342&gt;0,P342,ROUND(M342*SuppliesPerHour,2)))</f>
        <v>0</v>
      </c>
      <c r="R342" s="21">
        <f>IF(A342="","",ROUND(IFERROR(INDEX(Jobs!$W$5:$W$604,MATCH(A342,Jobs!$A$5:$A$604,0)),0)*MileageRate,2))</f>
        <v>0</v>
      </c>
      <c r="T342" s="21">
        <f>IF(A342="","",O342+Q342+R342+IF(S342="",0,S342))</f>
        <v>0</v>
      </c>
      <c r="U342" s="21">
        <f>IF(A342="","",J342-T342)</f>
        <v>0</v>
      </c>
      <c r="V342" s="38">
        <f>IF(OR(A342="",J342=0),"",U342/J342)</f>
        <v>0</v>
      </c>
      <c r="W342" s="21">
        <f>IF(OR(A342="",M342=0,J342=0),"",U342/M342)</f>
        <v>0</v>
      </c>
      <c r="X342" s="34">
        <f>IF(OR(A342="",L342="",L342=0,K342=""),"",L342-K342)</f>
        <v>0</v>
      </c>
      <c r="Y342" s="31">
        <f>IF(A342="","",COUNTIFS($U$5:$U$604,"&gt;"&amp;U342)+COUNTIFS($U$5:U342,U342))</f>
        <v>0</v>
      </c>
      <c r="Z342" s="31">
        <f>IF(A342="","",COUNTIFS($W$5:$W$604,"&gt;"&amp;W342)+COUNTIFS($W$5:W342,W342))</f>
        <v>0</v>
      </c>
      <c r="AA342" s="39">
        <f>IF(A342="","",IF(J342=0,"",IF(U342&lt;0,"Loss - this job cost you money",IF(V342&lt;MarginFloor,"Below - margin under the floor",IF(V342&lt;TargetMargin,"Check - under target margin",IF(AND(X342&lt;&gt;"",X342&gt;0.5),"Check - ran over the estimate","OK"))))))</f>
        <v>0</v>
      </c>
    </row>
    <row r="343" spans="1:27">
      <c r="A343" s="43">
        <f>IF(IFERROR(INDEX(Jobs!$A$5:$A$604,ROW()-4),"")="","",IFERROR(INDEX(Jobs!$A$5:$A$604,ROW()-4),""))</f>
        <v>0</v>
      </c>
      <c r="B343" s="18">
        <f>IF(A343="","",IFERROR(INDEX(Jobs!$B$5:$B$604,MATCH(A343,Jobs!$A$5:$A$604,0)),""))</f>
        <v>0</v>
      </c>
      <c r="C343" s="23">
        <f>IF(B343="","",TEXT(B343,"yyyy-mm"))</f>
        <v>0</v>
      </c>
      <c r="D343" s="43">
        <f>IF(A343="","",IFERROR(INDEX(Jobs!$G$5:$G$604,MATCH(A343,Jobs!$A$5:$A$604,0)),""))</f>
        <v>0</v>
      </c>
      <c r="E343" s="23">
        <f>IF(A343="","",IFERROR(INDEX(Jobs!$H$5:$H$604,MATCH(A343,Jobs!$A$5:$A$604,0)),""))</f>
        <v>0</v>
      </c>
      <c r="F343" s="23">
        <f>IF(A343="","",IFERROR(INDEX(Jobs!$K$5:$K$604,MATCH(A343,Jobs!$A$5:$A$604,0)),""))</f>
        <v>0</v>
      </c>
      <c r="G343" s="23">
        <f>IF(A343="","",IFERROR(INDEX(Jobs!$M$5:$M$604,MATCH(A343,Jobs!$A$5:$A$604,0)),""))</f>
        <v>0</v>
      </c>
      <c r="H343" s="23">
        <f>IF(A343="","",IFERROR(INDEX(Jobs!$R$5:$R$604,MATCH(A343,Jobs!$A$5:$A$604,0)),""))</f>
        <v>0</v>
      </c>
      <c r="I343" s="39">
        <f>IF(A343="","",IFERROR(INDEX(Jobs!$P$5:$P$604,MATCH(A343,Jobs!$A$5:$A$604,0)),""))</f>
        <v>0</v>
      </c>
      <c r="J343" s="21">
        <f>IF(A343="","",IF(OR(I343="Completed",I343="Invoiced"),IFERROR(INDEX(Jobs!$AJ$5:$AJ$604,MATCH(A343,Jobs!$A$5:$A$604,0)),0),0))</f>
        <v>0</v>
      </c>
      <c r="K343" s="34">
        <f>IF(A343="","",IFERROR(INDEX(Jobs!$AD$5:$AD$604,MATCH(A343,Jobs!$A$5:$A$604,0)),0))</f>
        <v>0</v>
      </c>
      <c r="L343" s="34">
        <f>IF(A343="","",IFERROR(INDEX(Jobs!$AK$5:$AK$604,MATCH(A343,Jobs!$A$5:$A$604,0)),0))</f>
        <v>0</v>
      </c>
      <c r="M343" s="34">
        <f>IF(A343="","",IF(IFERROR(L343*1,0)&gt;0,L343,IFERROR(K343*1,0)))</f>
        <v>0</v>
      </c>
      <c r="N343" s="21">
        <f>IF(A343="","",SUMIFS(Timesheets!$X$5:$X$804,Timesheets!$G$5:$G$804,A343))</f>
        <v>0</v>
      </c>
      <c r="O343" s="21">
        <f>IF(A343="","",IF(N343&gt;0,N343,ROUND(M343*CostPerHour,2)))</f>
        <v>0</v>
      </c>
      <c r="P343" s="21">
        <f>IF(A343="","",SUMIFS('Supply Usage'!$L$5:$L$304,'Supply Usage'!$F$5:$F$304,A343))</f>
        <v>0</v>
      </c>
      <c r="Q343" s="21">
        <f>IF(A343="","",IF(P343&gt;0,P343,ROUND(M343*SuppliesPerHour,2)))</f>
        <v>0</v>
      </c>
      <c r="R343" s="21">
        <f>IF(A343="","",ROUND(IFERROR(INDEX(Jobs!$W$5:$W$604,MATCH(A343,Jobs!$A$5:$A$604,0)),0)*MileageRate,2))</f>
        <v>0</v>
      </c>
      <c r="T343" s="21">
        <f>IF(A343="","",O343+Q343+R343+IF(S343="",0,S343))</f>
        <v>0</v>
      </c>
      <c r="U343" s="21">
        <f>IF(A343="","",J343-T343)</f>
        <v>0</v>
      </c>
      <c r="V343" s="38">
        <f>IF(OR(A343="",J343=0),"",U343/J343)</f>
        <v>0</v>
      </c>
      <c r="W343" s="21">
        <f>IF(OR(A343="",M343=0,J343=0),"",U343/M343)</f>
        <v>0</v>
      </c>
      <c r="X343" s="34">
        <f>IF(OR(A343="",L343="",L343=0,K343=""),"",L343-K343)</f>
        <v>0</v>
      </c>
      <c r="Y343" s="31">
        <f>IF(A343="","",COUNTIFS($U$5:$U$604,"&gt;"&amp;U343)+COUNTIFS($U$5:U343,U343))</f>
        <v>0</v>
      </c>
      <c r="Z343" s="31">
        <f>IF(A343="","",COUNTIFS($W$5:$W$604,"&gt;"&amp;W343)+COUNTIFS($W$5:W343,W343))</f>
        <v>0</v>
      </c>
      <c r="AA343" s="39">
        <f>IF(A343="","",IF(J343=0,"",IF(U343&lt;0,"Loss - this job cost you money",IF(V343&lt;MarginFloor,"Below - margin under the floor",IF(V343&lt;TargetMargin,"Check - under target margin",IF(AND(X343&lt;&gt;"",X343&gt;0.5),"Check - ran over the estimate","OK"))))))</f>
        <v>0</v>
      </c>
    </row>
    <row r="344" spans="1:27">
      <c r="A344" s="43">
        <f>IF(IFERROR(INDEX(Jobs!$A$5:$A$604,ROW()-4),"")="","",IFERROR(INDEX(Jobs!$A$5:$A$604,ROW()-4),""))</f>
        <v>0</v>
      </c>
      <c r="B344" s="18">
        <f>IF(A344="","",IFERROR(INDEX(Jobs!$B$5:$B$604,MATCH(A344,Jobs!$A$5:$A$604,0)),""))</f>
        <v>0</v>
      </c>
      <c r="C344" s="23">
        <f>IF(B344="","",TEXT(B344,"yyyy-mm"))</f>
        <v>0</v>
      </c>
      <c r="D344" s="43">
        <f>IF(A344="","",IFERROR(INDEX(Jobs!$G$5:$G$604,MATCH(A344,Jobs!$A$5:$A$604,0)),""))</f>
        <v>0</v>
      </c>
      <c r="E344" s="23">
        <f>IF(A344="","",IFERROR(INDEX(Jobs!$H$5:$H$604,MATCH(A344,Jobs!$A$5:$A$604,0)),""))</f>
        <v>0</v>
      </c>
      <c r="F344" s="23">
        <f>IF(A344="","",IFERROR(INDEX(Jobs!$K$5:$K$604,MATCH(A344,Jobs!$A$5:$A$604,0)),""))</f>
        <v>0</v>
      </c>
      <c r="G344" s="23">
        <f>IF(A344="","",IFERROR(INDEX(Jobs!$M$5:$M$604,MATCH(A344,Jobs!$A$5:$A$604,0)),""))</f>
        <v>0</v>
      </c>
      <c r="H344" s="23">
        <f>IF(A344="","",IFERROR(INDEX(Jobs!$R$5:$R$604,MATCH(A344,Jobs!$A$5:$A$604,0)),""))</f>
        <v>0</v>
      </c>
      <c r="I344" s="39">
        <f>IF(A344="","",IFERROR(INDEX(Jobs!$P$5:$P$604,MATCH(A344,Jobs!$A$5:$A$604,0)),""))</f>
        <v>0</v>
      </c>
      <c r="J344" s="21">
        <f>IF(A344="","",IF(OR(I344="Completed",I344="Invoiced"),IFERROR(INDEX(Jobs!$AJ$5:$AJ$604,MATCH(A344,Jobs!$A$5:$A$604,0)),0),0))</f>
        <v>0</v>
      </c>
      <c r="K344" s="34">
        <f>IF(A344="","",IFERROR(INDEX(Jobs!$AD$5:$AD$604,MATCH(A344,Jobs!$A$5:$A$604,0)),0))</f>
        <v>0</v>
      </c>
      <c r="L344" s="34">
        <f>IF(A344="","",IFERROR(INDEX(Jobs!$AK$5:$AK$604,MATCH(A344,Jobs!$A$5:$A$604,0)),0))</f>
        <v>0</v>
      </c>
      <c r="M344" s="34">
        <f>IF(A344="","",IF(IFERROR(L344*1,0)&gt;0,L344,IFERROR(K344*1,0)))</f>
        <v>0</v>
      </c>
      <c r="N344" s="21">
        <f>IF(A344="","",SUMIFS(Timesheets!$X$5:$X$804,Timesheets!$G$5:$G$804,A344))</f>
        <v>0</v>
      </c>
      <c r="O344" s="21">
        <f>IF(A344="","",IF(N344&gt;0,N344,ROUND(M344*CostPerHour,2)))</f>
        <v>0</v>
      </c>
      <c r="P344" s="21">
        <f>IF(A344="","",SUMIFS('Supply Usage'!$L$5:$L$304,'Supply Usage'!$F$5:$F$304,A344))</f>
        <v>0</v>
      </c>
      <c r="Q344" s="21">
        <f>IF(A344="","",IF(P344&gt;0,P344,ROUND(M344*SuppliesPerHour,2)))</f>
        <v>0</v>
      </c>
      <c r="R344" s="21">
        <f>IF(A344="","",ROUND(IFERROR(INDEX(Jobs!$W$5:$W$604,MATCH(A344,Jobs!$A$5:$A$604,0)),0)*MileageRate,2))</f>
        <v>0</v>
      </c>
      <c r="T344" s="21">
        <f>IF(A344="","",O344+Q344+R344+IF(S344="",0,S344))</f>
        <v>0</v>
      </c>
      <c r="U344" s="21">
        <f>IF(A344="","",J344-T344)</f>
        <v>0</v>
      </c>
      <c r="V344" s="38">
        <f>IF(OR(A344="",J344=0),"",U344/J344)</f>
        <v>0</v>
      </c>
      <c r="W344" s="21">
        <f>IF(OR(A344="",M344=0,J344=0),"",U344/M344)</f>
        <v>0</v>
      </c>
      <c r="X344" s="34">
        <f>IF(OR(A344="",L344="",L344=0,K344=""),"",L344-K344)</f>
        <v>0</v>
      </c>
      <c r="Y344" s="31">
        <f>IF(A344="","",COUNTIFS($U$5:$U$604,"&gt;"&amp;U344)+COUNTIFS($U$5:U344,U344))</f>
        <v>0</v>
      </c>
      <c r="Z344" s="31">
        <f>IF(A344="","",COUNTIFS($W$5:$W$604,"&gt;"&amp;W344)+COUNTIFS($W$5:W344,W344))</f>
        <v>0</v>
      </c>
      <c r="AA344" s="39">
        <f>IF(A344="","",IF(J344=0,"",IF(U344&lt;0,"Loss - this job cost you money",IF(V344&lt;MarginFloor,"Below - margin under the floor",IF(V344&lt;TargetMargin,"Check - under target margin",IF(AND(X344&lt;&gt;"",X344&gt;0.5),"Check - ran over the estimate","OK"))))))</f>
        <v>0</v>
      </c>
    </row>
    <row r="345" spans="1:27">
      <c r="A345" s="43">
        <f>IF(IFERROR(INDEX(Jobs!$A$5:$A$604,ROW()-4),"")="","",IFERROR(INDEX(Jobs!$A$5:$A$604,ROW()-4),""))</f>
        <v>0</v>
      </c>
      <c r="B345" s="18">
        <f>IF(A345="","",IFERROR(INDEX(Jobs!$B$5:$B$604,MATCH(A345,Jobs!$A$5:$A$604,0)),""))</f>
        <v>0</v>
      </c>
      <c r="C345" s="23">
        <f>IF(B345="","",TEXT(B345,"yyyy-mm"))</f>
        <v>0</v>
      </c>
      <c r="D345" s="43">
        <f>IF(A345="","",IFERROR(INDEX(Jobs!$G$5:$G$604,MATCH(A345,Jobs!$A$5:$A$604,0)),""))</f>
        <v>0</v>
      </c>
      <c r="E345" s="23">
        <f>IF(A345="","",IFERROR(INDEX(Jobs!$H$5:$H$604,MATCH(A345,Jobs!$A$5:$A$604,0)),""))</f>
        <v>0</v>
      </c>
      <c r="F345" s="23">
        <f>IF(A345="","",IFERROR(INDEX(Jobs!$K$5:$K$604,MATCH(A345,Jobs!$A$5:$A$604,0)),""))</f>
        <v>0</v>
      </c>
      <c r="G345" s="23">
        <f>IF(A345="","",IFERROR(INDEX(Jobs!$M$5:$M$604,MATCH(A345,Jobs!$A$5:$A$604,0)),""))</f>
        <v>0</v>
      </c>
      <c r="H345" s="23">
        <f>IF(A345="","",IFERROR(INDEX(Jobs!$R$5:$R$604,MATCH(A345,Jobs!$A$5:$A$604,0)),""))</f>
        <v>0</v>
      </c>
      <c r="I345" s="39">
        <f>IF(A345="","",IFERROR(INDEX(Jobs!$P$5:$P$604,MATCH(A345,Jobs!$A$5:$A$604,0)),""))</f>
        <v>0</v>
      </c>
      <c r="J345" s="21">
        <f>IF(A345="","",IF(OR(I345="Completed",I345="Invoiced"),IFERROR(INDEX(Jobs!$AJ$5:$AJ$604,MATCH(A345,Jobs!$A$5:$A$604,0)),0),0))</f>
        <v>0</v>
      </c>
      <c r="K345" s="34">
        <f>IF(A345="","",IFERROR(INDEX(Jobs!$AD$5:$AD$604,MATCH(A345,Jobs!$A$5:$A$604,0)),0))</f>
        <v>0</v>
      </c>
      <c r="L345" s="34">
        <f>IF(A345="","",IFERROR(INDEX(Jobs!$AK$5:$AK$604,MATCH(A345,Jobs!$A$5:$A$604,0)),0))</f>
        <v>0</v>
      </c>
      <c r="M345" s="34">
        <f>IF(A345="","",IF(IFERROR(L345*1,0)&gt;0,L345,IFERROR(K345*1,0)))</f>
        <v>0</v>
      </c>
      <c r="N345" s="21">
        <f>IF(A345="","",SUMIFS(Timesheets!$X$5:$X$804,Timesheets!$G$5:$G$804,A345))</f>
        <v>0</v>
      </c>
      <c r="O345" s="21">
        <f>IF(A345="","",IF(N345&gt;0,N345,ROUND(M345*CostPerHour,2)))</f>
        <v>0</v>
      </c>
      <c r="P345" s="21">
        <f>IF(A345="","",SUMIFS('Supply Usage'!$L$5:$L$304,'Supply Usage'!$F$5:$F$304,A345))</f>
        <v>0</v>
      </c>
      <c r="Q345" s="21">
        <f>IF(A345="","",IF(P345&gt;0,P345,ROUND(M345*SuppliesPerHour,2)))</f>
        <v>0</v>
      </c>
      <c r="R345" s="21">
        <f>IF(A345="","",ROUND(IFERROR(INDEX(Jobs!$W$5:$W$604,MATCH(A345,Jobs!$A$5:$A$604,0)),0)*MileageRate,2))</f>
        <v>0</v>
      </c>
      <c r="T345" s="21">
        <f>IF(A345="","",O345+Q345+R345+IF(S345="",0,S345))</f>
        <v>0</v>
      </c>
      <c r="U345" s="21">
        <f>IF(A345="","",J345-T345)</f>
        <v>0</v>
      </c>
      <c r="V345" s="38">
        <f>IF(OR(A345="",J345=0),"",U345/J345)</f>
        <v>0</v>
      </c>
      <c r="W345" s="21">
        <f>IF(OR(A345="",M345=0,J345=0),"",U345/M345)</f>
        <v>0</v>
      </c>
      <c r="X345" s="34">
        <f>IF(OR(A345="",L345="",L345=0,K345=""),"",L345-K345)</f>
        <v>0</v>
      </c>
      <c r="Y345" s="31">
        <f>IF(A345="","",COUNTIFS($U$5:$U$604,"&gt;"&amp;U345)+COUNTIFS($U$5:U345,U345))</f>
        <v>0</v>
      </c>
      <c r="Z345" s="31">
        <f>IF(A345="","",COUNTIFS($W$5:$W$604,"&gt;"&amp;W345)+COUNTIFS($W$5:W345,W345))</f>
        <v>0</v>
      </c>
      <c r="AA345" s="39">
        <f>IF(A345="","",IF(J345=0,"",IF(U345&lt;0,"Loss - this job cost you money",IF(V345&lt;MarginFloor,"Below - margin under the floor",IF(V345&lt;TargetMargin,"Check - under target margin",IF(AND(X345&lt;&gt;"",X345&gt;0.5),"Check - ran over the estimate","OK"))))))</f>
        <v>0</v>
      </c>
    </row>
    <row r="346" spans="1:27">
      <c r="A346" s="43">
        <f>IF(IFERROR(INDEX(Jobs!$A$5:$A$604,ROW()-4),"")="","",IFERROR(INDEX(Jobs!$A$5:$A$604,ROW()-4),""))</f>
        <v>0</v>
      </c>
      <c r="B346" s="18">
        <f>IF(A346="","",IFERROR(INDEX(Jobs!$B$5:$B$604,MATCH(A346,Jobs!$A$5:$A$604,0)),""))</f>
        <v>0</v>
      </c>
      <c r="C346" s="23">
        <f>IF(B346="","",TEXT(B346,"yyyy-mm"))</f>
        <v>0</v>
      </c>
      <c r="D346" s="43">
        <f>IF(A346="","",IFERROR(INDEX(Jobs!$G$5:$G$604,MATCH(A346,Jobs!$A$5:$A$604,0)),""))</f>
        <v>0</v>
      </c>
      <c r="E346" s="23">
        <f>IF(A346="","",IFERROR(INDEX(Jobs!$H$5:$H$604,MATCH(A346,Jobs!$A$5:$A$604,0)),""))</f>
        <v>0</v>
      </c>
      <c r="F346" s="23">
        <f>IF(A346="","",IFERROR(INDEX(Jobs!$K$5:$K$604,MATCH(A346,Jobs!$A$5:$A$604,0)),""))</f>
        <v>0</v>
      </c>
      <c r="G346" s="23">
        <f>IF(A346="","",IFERROR(INDEX(Jobs!$M$5:$M$604,MATCH(A346,Jobs!$A$5:$A$604,0)),""))</f>
        <v>0</v>
      </c>
      <c r="H346" s="23">
        <f>IF(A346="","",IFERROR(INDEX(Jobs!$R$5:$R$604,MATCH(A346,Jobs!$A$5:$A$604,0)),""))</f>
        <v>0</v>
      </c>
      <c r="I346" s="39">
        <f>IF(A346="","",IFERROR(INDEX(Jobs!$P$5:$P$604,MATCH(A346,Jobs!$A$5:$A$604,0)),""))</f>
        <v>0</v>
      </c>
      <c r="J346" s="21">
        <f>IF(A346="","",IF(OR(I346="Completed",I346="Invoiced"),IFERROR(INDEX(Jobs!$AJ$5:$AJ$604,MATCH(A346,Jobs!$A$5:$A$604,0)),0),0))</f>
        <v>0</v>
      </c>
      <c r="K346" s="34">
        <f>IF(A346="","",IFERROR(INDEX(Jobs!$AD$5:$AD$604,MATCH(A346,Jobs!$A$5:$A$604,0)),0))</f>
        <v>0</v>
      </c>
      <c r="L346" s="34">
        <f>IF(A346="","",IFERROR(INDEX(Jobs!$AK$5:$AK$604,MATCH(A346,Jobs!$A$5:$A$604,0)),0))</f>
        <v>0</v>
      </c>
      <c r="M346" s="34">
        <f>IF(A346="","",IF(IFERROR(L346*1,0)&gt;0,L346,IFERROR(K346*1,0)))</f>
        <v>0</v>
      </c>
      <c r="N346" s="21">
        <f>IF(A346="","",SUMIFS(Timesheets!$X$5:$X$804,Timesheets!$G$5:$G$804,A346))</f>
        <v>0</v>
      </c>
      <c r="O346" s="21">
        <f>IF(A346="","",IF(N346&gt;0,N346,ROUND(M346*CostPerHour,2)))</f>
        <v>0</v>
      </c>
      <c r="P346" s="21">
        <f>IF(A346="","",SUMIFS('Supply Usage'!$L$5:$L$304,'Supply Usage'!$F$5:$F$304,A346))</f>
        <v>0</v>
      </c>
      <c r="Q346" s="21">
        <f>IF(A346="","",IF(P346&gt;0,P346,ROUND(M346*SuppliesPerHour,2)))</f>
        <v>0</v>
      </c>
      <c r="R346" s="21">
        <f>IF(A346="","",ROUND(IFERROR(INDEX(Jobs!$W$5:$W$604,MATCH(A346,Jobs!$A$5:$A$604,0)),0)*MileageRate,2))</f>
        <v>0</v>
      </c>
      <c r="T346" s="21">
        <f>IF(A346="","",O346+Q346+R346+IF(S346="",0,S346))</f>
        <v>0</v>
      </c>
      <c r="U346" s="21">
        <f>IF(A346="","",J346-T346)</f>
        <v>0</v>
      </c>
      <c r="V346" s="38">
        <f>IF(OR(A346="",J346=0),"",U346/J346)</f>
        <v>0</v>
      </c>
      <c r="W346" s="21">
        <f>IF(OR(A346="",M346=0,J346=0),"",U346/M346)</f>
        <v>0</v>
      </c>
      <c r="X346" s="34">
        <f>IF(OR(A346="",L346="",L346=0,K346=""),"",L346-K346)</f>
        <v>0</v>
      </c>
      <c r="Y346" s="31">
        <f>IF(A346="","",COUNTIFS($U$5:$U$604,"&gt;"&amp;U346)+COUNTIFS($U$5:U346,U346))</f>
        <v>0</v>
      </c>
      <c r="Z346" s="31">
        <f>IF(A346="","",COUNTIFS($W$5:$W$604,"&gt;"&amp;W346)+COUNTIFS($W$5:W346,W346))</f>
        <v>0</v>
      </c>
      <c r="AA346" s="39">
        <f>IF(A346="","",IF(J346=0,"",IF(U346&lt;0,"Loss - this job cost you money",IF(V346&lt;MarginFloor,"Below - margin under the floor",IF(V346&lt;TargetMargin,"Check - under target margin",IF(AND(X346&lt;&gt;"",X346&gt;0.5),"Check - ran over the estimate","OK"))))))</f>
        <v>0</v>
      </c>
    </row>
    <row r="347" spans="1:27">
      <c r="A347" s="43">
        <f>IF(IFERROR(INDEX(Jobs!$A$5:$A$604,ROW()-4),"")="","",IFERROR(INDEX(Jobs!$A$5:$A$604,ROW()-4),""))</f>
        <v>0</v>
      </c>
      <c r="B347" s="18">
        <f>IF(A347="","",IFERROR(INDEX(Jobs!$B$5:$B$604,MATCH(A347,Jobs!$A$5:$A$604,0)),""))</f>
        <v>0</v>
      </c>
      <c r="C347" s="23">
        <f>IF(B347="","",TEXT(B347,"yyyy-mm"))</f>
        <v>0</v>
      </c>
      <c r="D347" s="43">
        <f>IF(A347="","",IFERROR(INDEX(Jobs!$G$5:$G$604,MATCH(A347,Jobs!$A$5:$A$604,0)),""))</f>
        <v>0</v>
      </c>
      <c r="E347" s="23">
        <f>IF(A347="","",IFERROR(INDEX(Jobs!$H$5:$H$604,MATCH(A347,Jobs!$A$5:$A$604,0)),""))</f>
        <v>0</v>
      </c>
      <c r="F347" s="23">
        <f>IF(A347="","",IFERROR(INDEX(Jobs!$K$5:$K$604,MATCH(A347,Jobs!$A$5:$A$604,0)),""))</f>
        <v>0</v>
      </c>
      <c r="G347" s="23">
        <f>IF(A347="","",IFERROR(INDEX(Jobs!$M$5:$M$604,MATCH(A347,Jobs!$A$5:$A$604,0)),""))</f>
        <v>0</v>
      </c>
      <c r="H347" s="23">
        <f>IF(A347="","",IFERROR(INDEX(Jobs!$R$5:$R$604,MATCH(A347,Jobs!$A$5:$A$604,0)),""))</f>
        <v>0</v>
      </c>
      <c r="I347" s="39">
        <f>IF(A347="","",IFERROR(INDEX(Jobs!$P$5:$P$604,MATCH(A347,Jobs!$A$5:$A$604,0)),""))</f>
        <v>0</v>
      </c>
      <c r="J347" s="21">
        <f>IF(A347="","",IF(OR(I347="Completed",I347="Invoiced"),IFERROR(INDEX(Jobs!$AJ$5:$AJ$604,MATCH(A347,Jobs!$A$5:$A$604,0)),0),0))</f>
        <v>0</v>
      </c>
      <c r="K347" s="34">
        <f>IF(A347="","",IFERROR(INDEX(Jobs!$AD$5:$AD$604,MATCH(A347,Jobs!$A$5:$A$604,0)),0))</f>
        <v>0</v>
      </c>
      <c r="L347" s="34">
        <f>IF(A347="","",IFERROR(INDEX(Jobs!$AK$5:$AK$604,MATCH(A347,Jobs!$A$5:$A$604,0)),0))</f>
        <v>0</v>
      </c>
      <c r="M347" s="34">
        <f>IF(A347="","",IF(IFERROR(L347*1,0)&gt;0,L347,IFERROR(K347*1,0)))</f>
        <v>0</v>
      </c>
      <c r="N347" s="21">
        <f>IF(A347="","",SUMIFS(Timesheets!$X$5:$X$804,Timesheets!$G$5:$G$804,A347))</f>
        <v>0</v>
      </c>
      <c r="O347" s="21">
        <f>IF(A347="","",IF(N347&gt;0,N347,ROUND(M347*CostPerHour,2)))</f>
        <v>0</v>
      </c>
      <c r="P347" s="21">
        <f>IF(A347="","",SUMIFS('Supply Usage'!$L$5:$L$304,'Supply Usage'!$F$5:$F$304,A347))</f>
        <v>0</v>
      </c>
      <c r="Q347" s="21">
        <f>IF(A347="","",IF(P347&gt;0,P347,ROUND(M347*SuppliesPerHour,2)))</f>
        <v>0</v>
      </c>
      <c r="R347" s="21">
        <f>IF(A347="","",ROUND(IFERROR(INDEX(Jobs!$W$5:$W$604,MATCH(A347,Jobs!$A$5:$A$604,0)),0)*MileageRate,2))</f>
        <v>0</v>
      </c>
      <c r="T347" s="21">
        <f>IF(A347="","",O347+Q347+R347+IF(S347="",0,S347))</f>
        <v>0</v>
      </c>
      <c r="U347" s="21">
        <f>IF(A347="","",J347-T347)</f>
        <v>0</v>
      </c>
      <c r="V347" s="38">
        <f>IF(OR(A347="",J347=0),"",U347/J347)</f>
        <v>0</v>
      </c>
      <c r="W347" s="21">
        <f>IF(OR(A347="",M347=0,J347=0),"",U347/M347)</f>
        <v>0</v>
      </c>
      <c r="X347" s="34">
        <f>IF(OR(A347="",L347="",L347=0,K347=""),"",L347-K347)</f>
        <v>0</v>
      </c>
      <c r="Y347" s="31">
        <f>IF(A347="","",COUNTIFS($U$5:$U$604,"&gt;"&amp;U347)+COUNTIFS($U$5:U347,U347))</f>
        <v>0</v>
      </c>
      <c r="Z347" s="31">
        <f>IF(A347="","",COUNTIFS($W$5:$W$604,"&gt;"&amp;W347)+COUNTIFS($W$5:W347,W347))</f>
        <v>0</v>
      </c>
      <c r="AA347" s="39">
        <f>IF(A347="","",IF(J347=0,"",IF(U347&lt;0,"Loss - this job cost you money",IF(V347&lt;MarginFloor,"Below - margin under the floor",IF(V347&lt;TargetMargin,"Check - under target margin",IF(AND(X347&lt;&gt;"",X347&gt;0.5),"Check - ran over the estimate","OK"))))))</f>
        <v>0</v>
      </c>
    </row>
    <row r="348" spans="1:27">
      <c r="A348" s="43">
        <f>IF(IFERROR(INDEX(Jobs!$A$5:$A$604,ROW()-4),"")="","",IFERROR(INDEX(Jobs!$A$5:$A$604,ROW()-4),""))</f>
        <v>0</v>
      </c>
      <c r="B348" s="18">
        <f>IF(A348="","",IFERROR(INDEX(Jobs!$B$5:$B$604,MATCH(A348,Jobs!$A$5:$A$604,0)),""))</f>
        <v>0</v>
      </c>
      <c r="C348" s="23">
        <f>IF(B348="","",TEXT(B348,"yyyy-mm"))</f>
        <v>0</v>
      </c>
      <c r="D348" s="43">
        <f>IF(A348="","",IFERROR(INDEX(Jobs!$G$5:$G$604,MATCH(A348,Jobs!$A$5:$A$604,0)),""))</f>
        <v>0</v>
      </c>
      <c r="E348" s="23">
        <f>IF(A348="","",IFERROR(INDEX(Jobs!$H$5:$H$604,MATCH(A348,Jobs!$A$5:$A$604,0)),""))</f>
        <v>0</v>
      </c>
      <c r="F348" s="23">
        <f>IF(A348="","",IFERROR(INDEX(Jobs!$K$5:$K$604,MATCH(A348,Jobs!$A$5:$A$604,0)),""))</f>
        <v>0</v>
      </c>
      <c r="G348" s="23">
        <f>IF(A348="","",IFERROR(INDEX(Jobs!$M$5:$M$604,MATCH(A348,Jobs!$A$5:$A$604,0)),""))</f>
        <v>0</v>
      </c>
      <c r="H348" s="23">
        <f>IF(A348="","",IFERROR(INDEX(Jobs!$R$5:$R$604,MATCH(A348,Jobs!$A$5:$A$604,0)),""))</f>
        <v>0</v>
      </c>
      <c r="I348" s="39">
        <f>IF(A348="","",IFERROR(INDEX(Jobs!$P$5:$P$604,MATCH(A348,Jobs!$A$5:$A$604,0)),""))</f>
        <v>0</v>
      </c>
      <c r="J348" s="21">
        <f>IF(A348="","",IF(OR(I348="Completed",I348="Invoiced"),IFERROR(INDEX(Jobs!$AJ$5:$AJ$604,MATCH(A348,Jobs!$A$5:$A$604,0)),0),0))</f>
        <v>0</v>
      </c>
      <c r="K348" s="34">
        <f>IF(A348="","",IFERROR(INDEX(Jobs!$AD$5:$AD$604,MATCH(A348,Jobs!$A$5:$A$604,0)),0))</f>
        <v>0</v>
      </c>
      <c r="L348" s="34">
        <f>IF(A348="","",IFERROR(INDEX(Jobs!$AK$5:$AK$604,MATCH(A348,Jobs!$A$5:$A$604,0)),0))</f>
        <v>0</v>
      </c>
      <c r="M348" s="34">
        <f>IF(A348="","",IF(IFERROR(L348*1,0)&gt;0,L348,IFERROR(K348*1,0)))</f>
        <v>0</v>
      </c>
      <c r="N348" s="21">
        <f>IF(A348="","",SUMIFS(Timesheets!$X$5:$X$804,Timesheets!$G$5:$G$804,A348))</f>
        <v>0</v>
      </c>
      <c r="O348" s="21">
        <f>IF(A348="","",IF(N348&gt;0,N348,ROUND(M348*CostPerHour,2)))</f>
        <v>0</v>
      </c>
      <c r="P348" s="21">
        <f>IF(A348="","",SUMIFS('Supply Usage'!$L$5:$L$304,'Supply Usage'!$F$5:$F$304,A348))</f>
        <v>0</v>
      </c>
      <c r="Q348" s="21">
        <f>IF(A348="","",IF(P348&gt;0,P348,ROUND(M348*SuppliesPerHour,2)))</f>
        <v>0</v>
      </c>
      <c r="R348" s="21">
        <f>IF(A348="","",ROUND(IFERROR(INDEX(Jobs!$W$5:$W$604,MATCH(A348,Jobs!$A$5:$A$604,0)),0)*MileageRate,2))</f>
        <v>0</v>
      </c>
      <c r="T348" s="21">
        <f>IF(A348="","",O348+Q348+R348+IF(S348="",0,S348))</f>
        <v>0</v>
      </c>
      <c r="U348" s="21">
        <f>IF(A348="","",J348-T348)</f>
        <v>0</v>
      </c>
      <c r="V348" s="38">
        <f>IF(OR(A348="",J348=0),"",U348/J348)</f>
        <v>0</v>
      </c>
      <c r="W348" s="21">
        <f>IF(OR(A348="",M348=0,J348=0),"",U348/M348)</f>
        <v>0</v>
      </c>
      <c r="X348" s="34">
        <f>IF(OR(A348="",L348="",L348=0,K348=""),"",L348-K348)</f>
        <v>0</v>
      </c>
      <c r="Y348" s="31">
        <f>IF(A348="","",COUNTIFS($U$5:$U$604,"&gt;"&amp;U348)+COUNTIFS($U$5:U348,U348))</f>
        <v>0</v>
      </c>
      <c r="Z348" s="31">
        <f>IF(A348="","",COUNTIFS($W$5:$W$604,"&gt;"&amp;W348)+COUNTIFS($W$5:W348,W348))</f>
        <v>0</v>
      </c>
      <c r="AA348" s="39">
        <f>IF(A348="","",IF(J348=0,"",IF(U348&lt;0,"Loss - this job cost you money",IF(V348&lt;MarginFloor,"Below - margin under the floor",IF(V348&lt;TargetMargin,"Check - under target margin",IF(AND(X348&lt;&gt;"",X348&gt;0.5),"Check - ran over the estimate","OK"))))))</f>
        <v>0</v>
      </c>
    </row>
    <row r="349" spans="1:27">
      <c r="A349" s="43">
        <f>IF(IFERROR(INDEX(Jobs!$A$5:$A$604,ROW()-4),"")="","",IFERROR(INDEX(Jobs!$A$5:$A$604,ROW()-4),""))</f>
        <v>0</v>
      </c>
      <c r="B349" s="18">
        <f>IF(A349="","",IFERROR(INDEX(Jobs!$B$5:$B$604,MATCH(A349,Jobs!$A$5:$A$604,0)),""))</f>
        <v>0</v>
      </c>
      <c r="C349" s="23">
        <f>IF(B349="","",TEXT(B349,"yyyy-mm"))</f>
        <v>0</v>
      </c>
      <c r="D349" s="43">
        <f>IF(A349="","",IFERROR(INDEX(Jobs!$G$5:$G$604,MATCH(A349,Jobs!$A$5:$A$604,0)),""))</f>
        <v>0</v>
      </c>
      <c r="E349" s="23">
        <f>IF(A349="","",IFERROR(INDEX(Jobs!$H$5:$H$604,MATCH(A349,Jobs!$A$5:$A$604,0)),""))</f>
        <v>0</v>
      </c>
      <c r="F349" s="23">
        <f>IF(A349="","",IFERROR(INDEX(Jobs!$K$5:$K$604,MATCH(A349,Jobs!$A$5:$A$604,0)),""))</f>
        <v>0</v>
      </c>
      <c r="G349" s="23">
        <f>IF(A349="","",IFERROR(INDEX(Jobs!$M$5:$M$604,MATCH(A349,Jobs!$A$5:$A$604,0)),""))</f>
        <v>0</v>
      </c>
      <c r="H349" s="23">
        <f>IF(A349="","",IFERROR(INDEX(Jobs!$R$5:$R$604,MATCH(A349,Jobs!$A$5:$A$604,0)),""))</f>
        <v>0</v>
      </c>
      <c r="I349" s="39">
        <f>IF(A349="","",IFERROR(INDEX(Jobs!$P$5:$P$604,MATCH(A349,Jobs!$A$5:$A$604,0)),""))</f>
        <v>0</v>
      </c>
      <c r="J349" s="21">
        <f>IF(A349="","",IF(OR(I349="Completed",I349="Invoiced"),IFERROR(INDEX(Jobs!$AJ$5:$AJ$604,MATCH(A349,Jobs!$A$5:$A$604,0)),0),0))</f>
        <v>0</v>
      </c>
      <c r="K349" s="34">
        <f>IF(A349="","",IFERROR(INDEX(Jobs!$AD$5:$AD$604,MATCH(A349,Jobs!$A$5:$A$604,0)),0))</f>
        <v>0</v>
      </c>
      <c r="L349" s="34">
        <f>IF(A349="","",IFERROR(INDEX(Jobs!$AK$5:$AK$604,MATCH(A349,Jobs!$A$5:$A$604,0)),0))</f>
        <v>0</v>
      </c>
      <c r="M349" s="34">
        <f>IF(A349="","",IF(IFERROR(L349*1,0)&gt;0,L349,IFERROR(K349*1,0)))</f>
        <v>0</v>
      </c>
      <c r="N349" s="21">
        <f>IF(A349="","",SUMIFS(Timesheets!$X$5:$X$804,Timesheets!$G$5:$G$804,A349))</f>
        <v>0</v>
      </c>
      <c r="O349" s="21">
        <f>IF(A349="","",IF(N349&gt;0,N349,ROUND(M349*CostPerHour,2)))</f>
        <v>0</v>
      </c>
      <c r="P349" s="21">
        <f>IF(A349="","",SUMIFS('Supply Usage'!$L$5:$L$304,'Supply Usage'!$F$5:$F$304,A349))</f>
        <v>0</v>
      </c>
      <c r="Q349" s="21">
        <f>IF(A349="","",IF(P349&gt;0,P349,ROUND(M349*SuppliesPerHour,2)))</f>
        <v>0</v>
      </c>
      <c r="R349" s="21">
        <f>IF(A349="","",ROUND(IFERROR(INDEX(Jobs!$W$5:$W$604,MATCH(A349,Jobs!$A$5:$A$604,0)),0)*MileageRate,2))</f>
        <v>0</v>
      </c>
      <c r="T349" s="21">
        <f>IF(A349="","",O349+Q349+R349+IF(S349="",0,S349))</f>
        <v>0</v>
      </c>
      <c r="U349" s="21">
        <f>IF(A349="","",J349-T349)</f>
        <v>0</v>
      </c>
      <c r="V349" s="38">
        <f>IF(OR(A349="",J349=0),"",U349/J349)</f>
        <v>0</v>
      </c>
      <c r="W349" s="21">
        <f>IF(OR(A349="",M349=0,J349=0),"",U349/M349)</f>
        <v>0</v>
      </c>
      <c r="X349" s="34">
        <f>IF(OR(A349="",L349="",L349=0,K349=""),"",L349-K349)</f>
        <v>0</v>
      </c>
      <c r="Y349" s="31">
        <f>IF(A349="","",COUNTIFS($U$5:$U$604,"&gt;"&amp;U349)+COUNTIFS($U$5:U349,U349))</f>
        <v>0</v>
      </c>
      <c r="Z349" s="31">
        <f>IF(A349="","",COUNTIFS($W$5:$W$604,"&gt;"&amp;W349)+COUNTIFS($W$5:W349,W349))</f>
        <v>0</v>
      </c>
      <c r="AA349" s="39">
        <f>IF(A349="","",IF(J349=0,"",IF(U349&lt;0,"Loss - this job cost you money",IF(V349&lt;MarginFloor,"Below - margin under the floor",IF(V349&lt;TargetMargin,"Check - under target margin",IF(AND(X349&lt;&gt;"",X349&gt;0.5),"Check - ran over the estimate","OK"))))))</f>
        <v>0</v>
      </c>
    </row>
    <row r="350" spans="1:27">
      <c r="A350" s="43">
        <f>IF(IFERROR(INDEX(Jobs!$A$5:$A$604,ROW()-4),"")="","",IFERROR(INDEX(Jobs!$A$5:$A$604,ROW()-4),""))</f>
        <v>0</v>
      </c>
      <c r="B350" s="18">
        <f>IF(A350="","",IFERROR(INDEX(Jobs!$B$5:$B$604,MATCH(A350,Jobs!$A$5:$A$604,0)),""))</f>
        <v>0</v>
      </c>
      <c r="C350" s="23">
        <f>IF(B350="","",TEXT(B350,"yyyy-mm"))</f>
        <v>0</v>
      </c>
      <c r="D350" s="43">
        <f>IF(A350="","",IFERROR(INDEX(Jobs!$G$5:$G$604,MATCH(A350,Jobs!$A$5:$A$604,0)),""))</f>
        <v>0</v>
      </c>
      <c r="E350" s="23">
        <f>IF(A350="","",IFERROR(INDEX(Jobs!$H$5:$H$604,MATCH(A350,Jobs!$A$5:$A$604,0)),""))</f>
        <v>0</v>
      </c>
      <c r="F350" s="23">
        <f>IF(A350="","",IFERROR(INDEX(Jobs!$K$5:$K$604,MATCH(A350,Jobs!$A$5:$A$604,0)),""))</f>
        <v>0</v>
      </c>
      <c r="G350" s="23">
        <f>IF(A350="","",IFERROR(INDEX(Jobs!$M$5:$M$604,MATCH(A350,Jobs!$A$5:$A$604,0)),""))</f>
        <v>0</v>
      </c>
      <c r="H350" s="23">
        <f>IF(A350="","",IFERROR(INDEX(Jobs!$R$5:$R$604,MATCH(A350,Jobs!$A$5:$A$604,0)),""))</f>
        <v>0</v>
      </c>
      <c r="I350" s="39">
        <f>IF(A350="","",IFERROR(INDEX(Jobs!$P$5:$P$604,MATCH(A350,Jobs!$A$5:$A$604,0)),""))</f>
        <v>0</v>
      </c>
      <c r="J350" s="21">
        <f>IF(A350="","",IF(OR(I350="Completed",I350="Invoiced"),IFERROR(INDEX(Jobs!$AJ$5:$AJ$604,MATCH(A350,Jobs!$A$5:$A$604,0)),0),0))</f>
        <v>0</v>
      </c>
      <c r="K350" s="34">
        <f>IF(A350="","",IFERROR(INDEX(Jobs!$AD$5:$AD$604,MATCH(A350,Jobs!$A$5:$A$604,0)),0))</f>
        <v>0</v>
      </c>
      <c r="L350" s="34">
        <f>IF(A350="","",IFERROR(INDEX(Jobs!$AK$5:$AK$604,MATCH(A350,Jobs!$A$5:$A$604,0)),0))</f>
        <v>0</v>
      </c>
      <c r="M350" s="34">
        <f>IF(A350="","",IF(IFERROR(L350*1,0)&gt;0,L350,IFERROR(K350*1,0)))</f>
        <v>0</v>
      </c>
      <c r="N350" s="21">
        <f>IF(A350="","",SUMIFS(Timesheets!$X$5:$X$804,Timesheets!$G$5:$G$804,A350))</f>
        <v>0</v>
      </c>
      <c r="O350" s="21">
        <f>IF(A350="","",IF(N350&gt;0,N350,ROUND(M350*CostPerHour,2)))</f>
        <v>0</v>
      </c>
      <c r="P350" s="21">
        <f>IF(A350="","",SUMIFS('Supply Usage'!$L$5:$L$304,'Supply Usage'!$F$5:$F$304,A350))</f>
        <v>0</v>
      </c>
      <c r="Q350" s="21">
        <f>IF(A350="","",IF(P350&gt;0,P350,ROUND(M350*SuppliesPerHour,2)))</f>
        <v>0</v>
      </c>
      <c r="R350" s="21">
        <f>IF(A350="","",ROUND(IFERROR(INDEX(Jobs!$W$5:$W$604,MATCH(A350,Jobs!$A$5:$A$604,0)),0)*MileageRate,2))</f>
        <v>0</v>
      </c>
      <c r="T350" s="21">
        <f>IF(A350="","",O350+Q350+R350+IF(S350="",0,S350))</f>
        <v>0</v>
      </c>
      <c r="U350" s="21">
        <f>IF(A350="","",J350-T350)</f>
        <v>0</v>
      </c>
      <c r="V350" s="38">
        <f>IF(OR(A350="",J350=0),"",U350/J350)</f>
        <v>0</v>
      </c>
      <c r="W350" s="21">
        <f>IF(OR(A350="",M350=0,J350=0),"",U350/M350)</f>
        <v>0</v>
      </c>
      <c r="X350" s="34">
        <f>IF(OR(A350="",L350="",L350=0,K350=""),"",L350-K350)</f>
        <v>0</v>
      </c>
      <c r="Y350" s="31">
        <f>IF(A350="","",COUNTIFS($U$5:$U$604,"&gt;"&amp;U350)+COUNTIFS($U$5:U350,U350))</f>
        <v>0</v>
      </c>
      <c r="Z350" s="31">
        <f>IF(A350="","",COUNTIFS($W$5:$W$604,"&gt;"&amp;W350)+COUNTIFS($W$5:W350,W350))</f>
        <v>0</v>
      </c>
      <c r="AA350" s="39">
        <f>IF(A350="","",IF(J350=0,"",IF(U350&lt;0,"Loss - this job cost you money",IF(V350&lt;MarginFloor,"Below - margin under the floor",IF(V350&lt;TargetMargin,"Check - under target margin",IF(AND(X350&lt;&gt;"",X350&gt;0.5),"Check - ran over the estimate","OK"))))))</f>
        <v>0</v>
      </c>
    </row>
    <row r="351" spans="1:27">
      <c r="A351" s="43">
        <f>IF(IFERROR(INDEX(Jobs!$A$5:$A$604,ROW()-4),"")="","",IFERROR(INDEX(Jobs!$A$5:$A$604,ROW()-4),""))</f>
        <v>0</v>
      </c>
      <c r="B351" s="18">
        <f>IF(A351="","",IFERROR(INDEX(Jobs!$B$5:$B$604,MATCH(A351,Jobs!$A$5:$A$604,0)),""))</f>
        <v>0</v>
      </c>
      <c r="C351" s="23">
        <f>IF(B351="","",TEXT(B351,"yyyy-mm"))</f>
        <v>0</v>
      </c>
      <c r="D351" s="43">
        <f>IF(A351="","",IFERROR(INDEX(Jobs!$G$5:$G$604,MATCH(A351,Jobs!$A$5:$A$604,0)),""))</f>
        <v>0</v>
      </c>
      <c r="E351" s="23">
        <f>IF(A351="","",IFERROR(INDEX(Jobs!$H$5:$H$604,MATCH(A351,Jobs!$A$5:$A$604,0)),""))</f>
        <v>0</v>
      </c>
      <c r="F351" s="23">
        <f>IF(A351="","",IFERROR(INDEX(Jobs!$K$5:$K$604,MATCH(A351,Jobs!$A$5:$A$604,0)),""))</f>
        <v>0</v>
      </c>
      <c r="G351" s="23">
        <f>IF(A351="","",IFERROR(INDEX(Jobs!$M$5:$M$604,MATCH(A351,Jobs!$A$5:$A$604,0)),""))</f>
        <v>0</v>
      </c>
      <c r="H351" s="23">
        <f>IF(A351="","",IFERROR(INDEX(Jobs!$R$5:$R$604,MATCH(A351,Jobs!$A$5:$A$604,0)),""))</f>
        <v>0</v>
      </c>
      <c r="I351" s="39">
        <f>IF(A351="","",IFERROR(INDEX(Jobs!$P$5:$P$604,MATCH(A351,Jobs!$A$5:$A$604,0)),""))</f>
        <v>0</v>
      </c>
      <c r="J351" s="21">
        <f>IF(A351="","",IF(OR(I351="Completed",I351="Invoiced"),IFERROR(INDEX(Jobs!$AJ$5:$AJ$604,MATCH(A351,Jobs!$A$5:$A$604,0)),0),0))</f>
        <v>0</v>
      </c>
      <c r="K351" s="34">
        <f>IF(A351="","",IFERROR(INDEX(Jobs!$AD$5:$AD$604,MATCH(A351,Jobs!$A$5:$A$604,0)),0))</f>
        <v>0</v>
      </c>
      <c r="L351" s="34">
        <f>IF(A351="","",IFERROR(INDEX(Jobs!$AK$5:$AK$604,MATCH(A351,Jobs!$A$5:$A$604,0)),0))</f>
        <v>0</v>
      </c>
      <c r="M351" s="34">
        <f>IF(A351="","",IF(IFERROR(L351*1,0)&gt;0,L351,IFERROR(K351*1,0)))</f>
        <v>0</v>
      </c>
      <c r="N351" s="21">
        <f>IF(A351="","",SUMIFS(Timesheets!$X$5:$X$804,Timesheets!$G$5:$G$804,A351))</f>
        <v>0</v>
      </c>
      <c r="O351" s="21">
        <f>IF(A351="","",IF(N351&gt;0,N351,ROUND(M351*CostPerHour,2)))</f>
        <v>0</v>
      </c>
      <c r="P351" s="21">
        <f>IF(A351="","",SUMIFS('Supply Usage'!$L$5:$L$304,'Supply Usage'!$F$5:$F$304,A351))</f>
        <v>0</v>
      </c>
      <c r="Q351" s="21">
        <f>IF(A351="","",IF(P351&gt;0,P351,ROUND(M351*SuppliesPerHour,2)))</f>
        <v>0</v>
      </c>
      <c r="R351" s="21">
        <f>IF(A351="","",ROUND(IFERROR(INDEX(Jobs!$W$5:$W$604,MATCH(A351,Jobs!$A$5:$A$604,0)),0)*MileageRate,2))</f>
        <v>0</v>
      </c>
      <c r="T351" s="21">
        <f>IF(A351="","",O351+Q351+R351+IF(S351="",0,S351))</f>
        <v>0</v>
      </c>
      <c r="U351" s="21">
        <f>IF(A351="","",J351-T351)</f>
        <v>0</v>
      </c>
      <c r="V351" s="38">
        <f>IF(OR(A351="",J351=0),"",U351/J351)</f>
        <v>0</v>
      </c>
      <c r="W351" s="21">
        <f>IF(OR(A351="",M351=0,J351=0),"",U351/M351)</f>
        <v>0</v>
      </c>
      <c r="X351" s="34">
        <f>IF(OR(A351="",L351="",L351=0,K351=""),"",L351-K351)</f>
        <v>0</v>
      </c>
      <c r="Y351" s="31">
        <f>IF(A351="","",COUNTIFS($U$5:$U$604,"&gt;"&amp;U351)+COUNTIFS($U$5:U351,U351))</f>
        <v>0</v>
      </c>
      <c r="Z351" s="31">
        <f>IF(A351="","",COUNTIFS($W$5:$W$604,"&gt;"&amp;W351)+COUNTIFS($W$5:W351,W351))</f>
        <v>0</v>
      </c>
      <c r="AA351" s="39">
        <f>IF(A351="","",IF(J351=0,"",IF(U351&lt;0,"Loss - this job cost you money",IF(V351&lt;MarginFloor,"Below - margin under the floor",IF(V351&lt;TargetMargin,"Check - under target margin",IF(AND(X351&lt;&gt;"",X351&gt;0.5),"Check - ran over the estimate","OK"))))))</f>
        <v>0</v>
      </c>
    </row>
    <row r="352" spans="1:27">
      <c r="A352" s="43">
        <f>IF(IFERROR(INDEX(Jobs!$A$5:$A$604,ROW()-4),"")="","",IFERROR(INDEX(Jobs!$A$5:$A$604,ROW()-4),""))</f>
        <v>0</v>
      </c>
      <c r="B352" s="18">
        <f>IF(A352="","",IFERROR(INDEX(Jobs!$B$5:$B$604,MATCH(A352,Jobs!$A$5:$A$604,0)),""))</f>
        <v>0</v>
      </c>
      <c r="C352" s="23">
        <f>IF(B352="","",TEXT(B352,"yyyy-mm"))</f>
        <v>0</v>
      </c>
      <c r="D352" s="43">
        <f>IF(A352="","",IFERROR(INDEX(Jobs!$G$5:$G$604,MATCH(A352,Jobs!$A$5:$A$604,0)),""))</f>
        <v>0</v>
      </c>
      <c r="E352" s="23">
        <f>IF(A352="","",IFERROR(INDEX(Jobs!$H$5:$H$604,MATCH(A352,Jobs!$A$5:$A$604,0)),""))</f>
        <v>0</v>
      </c>
      <c r="F352" s="23">
        <f>IF(A352="","",IFERROR(INDEX(Jobs!$K$5:$K$604,MATCH(A352,Jobs!$A$5:$A$604,0)),""))</f>
        <v>0</v>
      </c>
      <c r="G352" s="23">
        <f>IF(A352="","",IFERROR(INDEX(Jobs!$M$5:$M$604,MATCH(A352,Jobs!$A$5:$A$604,0)),""))</f>
        <v>0</v>
      </c>
      <c r="H352" s="23">
        <f>IF(A352="","",IFERROR(INDEX(Jobs!$R$5:$R$604,MATCH(A352,Jobs!$A$5:$A$604,0)),""))</f>
        <v>0</v>
      </c>
      <c r="I352" s="39">
        <f>IF(A352="","",IFERROR(INDEX(Jobs!$P$5:$P$604,MATCH(A352,Jobs!$A$5:$A$604,0)),""))</f>
        <v>0</v>
      </c>
      <c r="J352" s="21">
        <f>IF(A352="","",IF(OR(I352="Completed",I352="Invoiced"),IFERROR(INDEX(Jobs!$AJ$5:$AJ$604,MATCH(A352,Jobs!$A$5:$A$604,0)),0),0))</f>
        <v>0</v>
      </c>
      <c r="K352" s="34">
        <f>IF(A352="","",IFERROR(INDEX(Jobs!$AD$5:$AD$604,MATCH(A352,Jobs!$A$5:$A$604,0)),0))</f>
        <v>0</v>
      </c>
      <c r="L352" s="34">
        <f>IF(A352="","",IFERROR(INDEX(Jobs!$AK$5:$AK$604,MATCH(A352,Jobs!$A$5:$A$604,0)),0))</f>
        <v>0</v>
      </c>
      <c r="M352" s="34">
        <f>IF(A352="","",IF(IFERROR(L352*1,0)&gt;0,L352,IFERROR(K352*1,0)))</f>
        <v>0</v>
      </c>
      <c r="N352" s="21">
        <f>IF(A352="","",SUMIFS(Timesheets!$X$5:$X$804,Timesheets!$G$5:$G$804,A352))</f>
        <v>0</v>
      </c>
      <c r="O352" s="21">
        <f>IF(A352="","",IF(N352&gt;0,N352,ROUND(M352*CostPerHour,2)))</f>
        <v>0</v>
      </c>
      <c r="P352" s="21">
        <f>IF(A352="","",SUMIFS('Supply Usage'!$L$5:$L$304,'Supply Usage'!$F$5:$F$304,A352))</f>
        <v>0</v>
      </c>
      <c r="Q352" s="21">
        <f>IF(A352="","",IF(P352&gt;0,P352,ROUND(M352*SuppliesPerHour,2)))</f>
        <v>0</v>
      </c>
      <c r="R352" s="21">
        <f>IF(A352="","",ROUND(IFERROR(INDEX(Jobs!$W$5:$W$604,MATCH(A352,Jobs!$A$5:$A$604,0)),0)*MileageRate,2))</f>
        <v>0</v>
      </c>
      <c r="T352" s="21">
        <f>IF(A352="","",O352+Q352+R352+IF(S352="",0,S352))</f>
        <v>0</v>
      </c>
      <c r="U352" s="21">
        <f>IF(A352="","",J352-T352)</f>
        <v>0</v>
      </c>
      <c r="V352" s="38">
        <f>IF(OR(A352="",J352=0),"",U352/J352)</f>
        <v>0</v>
      </c>
      <c r="W352" s="21">
        <f>IF(OR(A352="",M352=0,J352=0),"",U352/M352)</f>
        <v>0</v>
      </c>
      <c r="X352" s="34">
        <f>IF(OR(A352="",L352="",L352=0,K352=""),"",L352-K352)</f>
        <v>0</v>
      </c>
      <c r="Y352" s="31">
        <f>IF(A352="","",COUNTIFS($U$5:$U$604,"&gt;"&amp;U352)+COUNTIFS($U$5:U352,U352))</f>
        <v>0</v>
      </c>
      <c r="Z352" s="31">
        <f>IF(A352="","",COUNTIFS($W$5:$W$604,"&gt;"&amp;W352)+COUNTIFS($W$5:W352,W352))</f>
        <v>0</v>
      </c>
      <c r="AA352" s="39">
        <f>IF(A352="","",IF(J352=0,"",IF(U352&lt;0,"Loss - this job cost you money",IF(V352&lt;MarginFloor,"Below - margin under the floor",IF(V352&lt;TargetMargin,"Check - under target margin",IF(AND(X352&lt;&gt;"",X352&gt;0.5),"Check - ran over the estimate","OK"))))))</f>
        <v>0</v>
      </c>
    </row>
    <row r="353" spans="1:27">
      <c r="A353" s="43">
        <f>IF(IFERROR(INDEX(Jobs!$A$5:$A$604,ROW()-4),"")="","",IFERROR(INDEX(Jobs!$A$5:$A$604,ROW()-4),""))</f>
        <v>0</v>
      </c>
      <c r="B353" s="18">
        <f>IF(A353="","",IFERROR(INDEX(Jobs!$B$5:$B$604,MATCH(A353,Jobs!$A$5:$A$604,0)),""))</f>
        <v>0</v>
      </c>
      <c r="C353" s="23">
        <f>IF(B353="","",TEXT(B353,"yyyy-mm"))</f>
        <v>0</v>
      </c>
      <c r="D353" s="43">
        <f>IF(A353="","",IFERROR(INDEX(Jobs!$G$5:$G$604,MATCH(A353,Jobs!$A$5:$A$604,0)),""))</f>
        <v>0</v>
      </c>
      <c r="E353" s="23">
        <f>IF(A353="","",IFERROR(INDEX(Jobs!$H$5:$H$604,MATCH(A353,Jobs!$A$5:$A$604,0)),""))</f>
        <v>0</v>
      </c>
      <c r="F353" s="23">
        <f>IF(A353="","",IFERROR(INDEX(Jobs!$K$5:$K$604,MATCH(A353,Jobs!$A$5:$A$604,0)),""))</f>
        <v>0</v>
      </c>
      <c r="G353" s="23">
        <f>IF(A353="","",IFERROR(INDEX(Jobs!$M$5:$M$604,MATCH(A353,Jobs!$A$5:$A$604,0)),""))</f>
        <v>0</v>
      </c>
      <c r="H353" s="23">
        <f>IF(A353="","",IFERROR(INDEX(Jobs!$R$5:$R$604,MATCH(A353,Jobs!$A$5:$A$604,0)),""))</f>
        <v>0</v>
      </c>
      <c r="I353" s="39">
        <f>IF(A353="","",IFERROR(INDEX(Jobs!$P$5:$P$604,MATCH(A353,Jobs!$A$5:$A$604,0)),""))</f>
        <v>0</v>
      </c>
      <c r="J353" s="21">
        <f>IF(A353="","",IF(OR(I353="Completed",I353="Invoiced"),IFERROR(INDEX(Jobs!$AJ$5:$AJ$604,MATCH(A353,Jobs!$A$5:$A$604,0)),0),0))</f>
        <v>0</v>
      </c>
      <c r="K353" s="34">
        <f>IF(A353="","",IFERROR(INDEX(Jobs!$AD$5:$AD$604,MATCH(A353,Jobs!$A$5:$A$604,0)),0))</f>
        <v>0</v>
      </c>
      <c r="L353" s="34">
        <f>IF(A353="","",IFERROR(INDEX(Jobs!$AK$5:$AK$604,MATCH(A353,Jobs!$A$5:$A$604,0)),0))</f>
        <v>0</v>
      </c>
      <c r="M353" s="34">
        <f>IF(A353="","",IF(IFERROR(L353*1,0)&gt;0,L353,IFERROR(K353*1,0)))</f>
        <v>0</v>
      </c>
      <c r="N353" s="21">
        <f>IF(A353="","",SUMIFS(Timesheets!$X$5:$X$804,Timesheets!$G$5:$G$804,A353))</f>
        <v>0</v>
      </c>
      <c r="O353" s="21">
        <f>IF(A353="","",IF(N353&gt;0,N353,ROUND(M353*CostPerHour,2)))</f>
        <v>0</v>
      </c>
      <c r="P353" s="21">
        <f>IF(A353="","",SUMIFS('Supply Usage'!$L$5:$L$304,'Supply Usage'!$F$5:$F$304,A353))</f>
        <v>0</v>
      </c>
      <c r="Q353" s="21">
        <f>IF(A353="","",IF(P353&gt;0,P353,ROUND(M353*SuppliesPerHour,2)))</f>
        <v>0</v>
      </c>
      <c r="R353" s="21">
        <f>IF(A353="","",ROUND(IFERROR(INDEX(Jobs!$W$5:$W$604,MATCH(A353,Jobs!$A$5:$A$604,0)),0)*MileageRate,2))</f>
        <v>0</v>
      </c>
      <c r="T353" s="21">
        <f>IF(A353="","",O353+Q353+R353+IF(S353="",0,S353))</f>
        <v>0</v>
      </c>
      <c r="U353" s="21">
        <f>IF(A353="","",J353-T353)</f>
        <v>0</v>
      </c>
      <c r="V353" s="38">
        <f>IF(OR(A353="",J353=0),"",U353/J353)</f>
        <v>0</v>
      </c>
      <c r="W353" s="21">
        <f>IF(OR(A353="",M353=0,J353=0),"",U353/M353)</f>
        <v>0</v>
      </c>
      <c r="X353" s="34">
        <f>IF(OR(A353="",L353="",L353=0,K353=""),"",L353-K353)</f>
        <v>0</v>
      </c>
      <c r="Y353" s="31">
        <f>IF(A353="","",COUNTIFS($U$5:$U$604,"&gt;"&amp;U353)+COUNTIFS($U$5:U353,U353))</f>
        <v>0</v>
      </c>
      <c r="Z353" s="31">
        <f>IF(A353="","",COUNTIFS($W$5:$W$604,"&gt;"&amp;W353)+COUNTIFS($W$5:W353,W353))</f>
        <v>0</v>
      </c>
      <c r="AA353" s="39">
        <f>IF(A353="","",IF(J353=0,"",IF(U353&lt;0,"Loss - this job cost you money",IF(V353&lt;MarginFloor,"Below - margin under the floor",IF(V353&lt;TargetMargin,"Check - under target margin",IF(AND(X353&lt;&gt;"",X353&gt;0.5),"Check - ran over the estimate","OK"))))))</f>
        <v>0</v>
      </c>
    </row>
    <row r="354" spans="1:27">
      <c r="A354" s="43">
        <f>IF(IFERROR(INDEX(Jobs!$A$5:$A$604,ROW()-4),"")="","",IFERROR(INDEX(Jobs!$A$5:$A$604,ROW()-4),""))</f>
        <v>0</v>
      </c>
      <c r="B354" s="18">
        <f>IF(A354="","",IFERROR(INDEX(Jobs!$B$5:$B$604,MATCH(A354,Jobs!$A$5:$A$604,0)),""))</f>
        <v>0</v>
      </c>
      <c r="C354" s="23">
        <f>IF(B354="","",TEXT(B354,"yyyy-mm"))</f>
        <v>0</v>
      </c>
      <c r="D354" s="43">
        <f>IF(A354="","",IFERROR(INDEX(Jobs!$G$5:$G$604,MATCH(A354,Jobs!$A$5:$A$604,0)),""))</f>
        <v>0</v>
      </c>
      <c r="E354" s="23">
        <f>IF(A354="","",IFERROR(INDEX(Jobs!$H$5:$H$604,MATCH(A354,Jobs!$A$5:$A$604,0)),""))</f>
        <v>0</v>
      </c>
      <c r="F354" s="23">
        <f>IF(A354="","",IFERROR(INDEX(Jobs!$K$5:$K$604,MATCH(A354,Jobs!$A$5:$A$604,0)),""))</f>
        <v>0</v>
      </c>
      <c r="G354" s="23">
        <f>IF(A354="","",IFERROR(INDEX(Jobs!$M$5:$M$604,MATCH(A354,Jobs!$A$5:$A$604,0)),""))</f>
        <v>0</v>
      </c>
      <c r="H354" s="23">
        <f>IF(A354="","",IFERROR(INDEX(Jobs!$R$5:$R$604,MATCH(A354,Jobs!$A$5:$A$604,0)),""))</f>
        <v>0</v>
      </c>
      <c r="I354" s="39">
        <f>IF(A354="","",IFERROR(INDEX(Jobs!$P$5:$P$604,MATCH(A354,Jobs!$A$5:$A$604,0)),""))</f>
        <v>0</v>
      </c>
      <c r="J354" s="21">
        <f>IF(A354="","",IF(OR(I354="Completed",I354="Invoiced"),IFERROR(INDEX(Jobs!$AJ$5:$AJ$604,MATCH(A354,Jobs!$A$5:$A$604,0)),0),0))</f>
        <v>0</v>
      </c>
      <c r="K354" s="34">
        <f>IF(A354="","",IFERROR(INDEX(Jobs!$AD$5:$AD$604,MATCH(A354,Jobs!$A$5:$A$604,0)),0))</f>
        <v>0</v>
      </c>
      <c r="L354" s="34">
        <f>IF(A354="","",IFERROR(INDEX(Jobs!$AK$5:$AK$604,MATCH(A354,Jobs!$A$5:$A$604,0)),0))</f>
        <v>0</v>
      </c>
      <c r="M354" s="34">
        <f>IF(A354="","",IF(IFERROR(L354*1,0)&gt;0,L354,IFERROR(K354*1,0)))</f>
        <v>0</v>
      </c>
      <c r="N354" s="21">
        <f>IF(A354="","",SUMIFS(Timesheets!$X$5:$X$804,Timesheets!$G$5:$G$804,A354))</f>
        <v>0</v>
      </c>
      <c r="O354" s="21">
        <f>IF(A354="","",IF(N354&gt;0,N354,ROUND(M354*CostPerHour,2)))</f>
        <v>0</v>
      </c>
      <c r="P354" s="21">
        <f>IF(A354="","",SUMIFS('Supply Usage'!$L$5:$L$304,'Supply Usage'!$F$5:$F$304,A354))</f>
        <v>0</v>
      </c>
      <c r="Q354" s="21">
        <f>IF(A354="","",IF(P354&gt;0,P354,ROUND(M354*SuppliesPerHour,2)))</f>
        <v>0</v>
      </c>
      <c r="R354" s="21">
        <f>IF(A354="","",ROUND(IFERROR(INDEX(Jobs!$W$5:$W$604,MATCH(A354,Jobs!$A$5:$A$604,0)),0)*MileageRate,2))</f>
        <v>0</v>
      </c>
      <c r="T354" s="21">
        <f>IF(A354="","",O354+Q354+R354+IF(S354="",0,S354))</f>
        <v>0</v>
      </c>
      <c r="U354" s="21">
        <f>IF(A354="","",J354-T354)</f>
        <v>0</v>
      </c>
      <c r="V354" s="38">
        <f>IF(OR(A354="",J354=0),"",U354/J354)</f>
        <v>0</v>
      </c>
      <c r="W354" s="21">
        <f>IF(OR(A354="",M354=0,J354=0),"",U354/M354)</f>
        <v>0</v>
      </c>
      <c r="X354" s="34">
        <f>IF(OR(A354="",L354="",L354=0,K354=""),"",L354-K354)</f>
        <v>0</v>
      </c>
      <c r="Y354" s="31">
        <f>IF(A354="","",COUNTIFS($U$5:$U$604,"&gt;"&amp;U354)+COUNTIFS($U$5:U354,U354))</f>
        <v>0</v>
      </c>
      <c r="Z354" s="31">
        <f>IF(A354="","",COUNTIFS($W$5:$W$604,"&gt;"&amp;W354)+COUNTIFS($W$5:W354,W354))</f>
        <v>0</v>
      </c>
      <c r="AA354" s="39">
        <f>IF(A354="","",IF(J354=0,"",IF(U354&lt;0,"Loss - this job cost you money",IF(V354&lt;MarginFloor,"Below - margin under the floor",IF(V354&lt;TargetMargin,"Check - under target margin",IF(AND(X354&lt;&gt;"",X354&gt;0.5),"Check - ran over the estimate","OK"))))))</f>
        <v>0</v>
      </c>
    </row>
    <row r="355" spans="1:27">
      <c r="A355" s="43">
        <f>IF(IFERROR(INDEX(Jobs!$A$5:$A$604,ROW()-4),"")="","",IFERROR(INDEX(Jobs!$A$5:$A$604,ROW()-4),""))</f>
        <v>0</v>
      </c>
      <c r="B355" s="18">
        <f>IF(A355="","",IFERROR(INDEX(Jobs!$B$5:$B$604,MATCH(A355,Jobs!$A$5:$A$604,0)),""))</f>
        <v>0</v>
      </c>
      <c r="C355" s="23">
        <f>IF(B355="","",TEXT(B355,"yyyy-mm"))</f>
        <v>0</v>
      </c>
      <c r="D355" s="43">
        <f>IF(A355="","",IFERROR(INDEX(Jobs!$G$5:$G$604,MATCH(A355,Jobs!$A$5:$A$604,0)),""))</f>
        <v>0</v>
      </c>
      <c r="E355" s="23">
        <f>IF(A355="","",IFERROR(INDEX(Jobs!$H$5:$H$604,MATCH(A355,Jobs!$A$5:$A$604,0)),""))</f>
        <v>0</v>
      </c>
      <c r="F355" s="23">
        <f>IF(A355="","",IFERROR(INDEX(Jobs!$K$5:$K$604,MATCH(A355,Jobs!$A$5:$A$604,0)),""))</f>
        <v>0</v>
      </c>
      <c r="G355" s="23">
        <f>IF(A355="","",IFERROR(INDEX(Jobs!$M$5:$M$604,MATCH(A355,Jobs!$A$5:$A$604,0)),""))</f>
        <v>0</v>
      </c>
      <c r="H355" s="23">
        <f>IF(A355="","",IFERROR(INDEX(Jobs!$R$5:$R$604,MATCH(A355,Jobs!$A$5:$A$604,0)),""))</f>
        <v>0</v>
      </c>
      <c r="I355" s="39">
        <f>IF(A355="","",IFERROR(INDEX(Jobs!$P$5:$P$604,MATCH(A355,Jobs!$A$5:$A$604,0)),""))</f>
        <v>0</v>
      </c>
      <c r="J355" s="21">
        <f>IF(A355="","",IF(OR(I355="Completed",I355="Invoiced"),IFERROR(INDEX(Jobs!$AJ$5:$AJ$604,MATCH(A355,Jobs!$A$5:$A$604,0)),0),0))</f>
        <v>0</v>
      </c>
      <c r="K355" s="34">
        <f>IF(A355="","",IFERROR(INDEX(Jobs!$AD$5:$AD$604,MATCH(A355,Jobs!$A$5:$A$604,0)),0))</f>
        <v>0</v>
      </c>
      <c r="L355" s="34">
        <f>IF(A355="","",IFERROR(INDEX(Jobs!$AK$5:$AK$604,MATCH(A355,Jobs!$A$5:$A$604,0)),0))</f>
        <v>0</v>
      </c>
      <c r="M355" s="34">
        <f>IF(A355="","",IF(IFERROR(L355*1,0)&gt;0,L355,IFERROR(K355*1,0)))</f>
        <v>0</v>
      </c>
      <c r="N355" s="21">
        <f>IF(A355="","",SUMIFS(Timesheets!$X$5:$X$804,Timesheets!$G$5:$G$804,A355))</f>
        <v>0</v>
      </c>
      <c r="O355" s="21">
        <f>IF(A355="","",IF(N355&gt;0,N355,ROUND(M355*CostPerHour,2)))</f>
        <v>0</v>
      </c>
      <c r="P355" s="21">
        <f>IF(A355="","",SUMIFS('Supply Usage'!$L$5:$L$304,'Supply Usage'!$F$5:$F$304,A355))</f>
        <v>0</v>
      </c>
      <c r="Q355" s="21">
        <f>IF(A355="","",IF(P355&gt;0,P355,ROUND(M355*SuppliesPerHour,2)))</f>
        <v>0</v>
      </c>
      <c r="R355" s="21">
        <f>IF(A355="","",ROUND(IFERROR(INDEX(Jobs!$W$5:$W$604,MATCH(A355,Jobs!$A$5:$A$604,0)),0)*MileageRate,2))</f>
        <v>0</v>
      </c>
      <c r="T355" s="21">
        <f>IF(A355="","",O355+Q355+R355+IF(S355="",0,S355))</f>
        <v>0</v>
      </c>
      <c r="U355" s="21">
        <f>IF(A355="","",J355-T355)</f>
        <v>0</v>
      </c>
      <c r="V355" s="38">
        <f>IF(OR(A355="",J355=0),"",U355/J355)</f>
        <v>0</v>
      </c>
      <c r="W355" s="21">
        <f>IF(OR(A355="",M355=0,J355=0),"",U355/M355)</f>
        <v>0</v>
      </c>
      <c r="X355" s="34">
        <f>IF(OR(A355="",L355="",L355=0,K355=""),"",L355-K355)</f>
        <v>0</v>
      </c>
      <c r="Y355" s="31">
        <f>IF(A355="","",COUNTIFS($U$5:$U$604,"&gt;"&amp;U355)+COUNTIFS($U$5:U355,U355))</f>
        <v>0</v>
      </c>
      <c r="Z355" s="31">
        <f>IF(A355="","",COUNTIFS($W$5:$W$604,"&gt;"&amp;W355)+COUNTIFS($W$5:W355,W355))</f>
        <v>0</v>
      </c>
      <c r="AA355" s="39">
        <f>IF(A355="","",IF(J355=0,"",IF(U355&lt;0,"Loss - this job cost you money",IF(V355&lt;MarginFloor,"Below - margin under the floor",IF(V355&lt;TargetMargin,"Check - under target margin",IF(AND(X355&lt;&gt;"",X355&gt;0.5),"Check - ran over the estimate","OK"))))))</f>
        <v>0</v>
      </c>
    </row>
    <row r="356" spans="1:27">
      <c r="A356" s="43">
        <f>IF(IFERROR(INDEX(Jobs!$A$5:$A$604,ROW()-4),"")="","",IFERROR(INDEX(Jobs!$A$5:$A$604,ROW()-4),""))</f>
        <v>0</v>
      </c>
      <c r="B356" s="18">
        <f>IF(A356="","",IFERROR(INDEX(Jobs!$B$5:$B$604,MATCH(A356,Jobs!$A$5:$A$604,0)),""))</f>
        <v>0</v>
      </c>
      <c r="C356" s="23">
        <f>IF(B356="","",TEXT(B356,"yyyy-mm"))</f>
        <v>0</v>
      </c>
      <c r="D356" s="43">
        <f>IF(A356="","",IFERROR(INDEX(Jobs!$G$5:$G$604,MATCH(A356,Jobs!$A$5:$A$604,0)),""))</f>
        <v>0</v>
      </c>
      <c r="E356" s="23">
        <f>IF(A356="","",IFERROR(INDEX(Jobs!$H$5:$H$604,MATCH(A356,Jobs!$A$5:$A$604,0)),""))</f>
        <v>0</v>
      </c>
      <c r="F356" s="23">
        <f>IF(A356="","",IFERROR(INDEX(Jobs!$K$5:$K$604,MATCH(A356,Jobs!$A$5:$A$604,0)),""))</f>
        <v>0</v>
      </c>
      <c r="G356" s="23">
        <f>IF(A356="","",IFERROR(INDEX(Jobs!$M$5:$M$604,MATCH(A356,Jobs!$A$5:$A$604,0)),""))</f>
        <v>0</v>
      </c>
      <c r="H356" s="23">
        <f>IF(A356="","",IFERROR(INDEX(Jobs!$R$5:$R$604,MATCH(A356,Jobs!$A$5:$A$604,0)),""))</f>
        <v>0</v>
      </c>
      <c r="I356" s="39">
        <f>IF(A356="","",IFERROR(INDEX(Jobs!$P$5:$P$604,MATCH(A356,Jobs!$A$5:$A$604,0)),""))</f>
        <v>0</v>
      </c>
      <c r="J356" s="21">
        <f>IF(A356="","",IF(OR(I356="Completed",I356="Invoiced"),IFERROR(INDEX(Jobs!$AJ$5:$AJ$604,MATCH(A356,Jobs!$A$5:$A$604,0)),0),0))</f>
        <v>0</v>
      </c>
      <c r="K356" s="34">
        <f>IF(A356="","",IFERROR(INDEX(Jobs!$AD$5:$AD$604,MATCH(A356,Jobs!$A$5:$A$604,0)),0))</f>
        <v>0</v>
      </c>
      <c r="L356" s="34">
        <f>IF(A356="","",IFERROR(INDEX(Jobs!$AK$5:$AK$604,MATCH(A356,Jobs!$A$5:$A$604,0)),0))</f>
        <v>0</v>
      </c>
      <c r="M356" s="34">
        <f>IF(A356="","",IF(IFERROR(L356*1,0)&gt;0,L356,IFERROR(K356*1,0)))</f>
        <v>0</v>
      </c>
      <c r="N356" s="21">
        <f>IF(A356="","",SUMIFS(Timesheets!$X$5:$X$804,Timesheets!$G$5:$G$804,A356))</f>
        <v>0</v>
      </c>
      <c r="O356" s="21">
        <f>IF(A356="","",IF(N356&gt;0,N356,ROUND(M356*CostPerHour,2)))</f>
        <v>0</v>
      </c>
      <c r="P356" s="21">
        <f>IF(A356="","",SUMIFS('Supply Usage'!$L$5:$L$304,'Supply Usage'!$F$5:$F$304,A356))</f>
        <v>0</v>
      </c>
      <c r="Q356" s="21">
        <f>IF(A356="","",IF(P356&gt;0,P356,ROUND(M356*SuppliesPerHour,2)))</f>
        <v>0</v>
      </c>
      <c r="R356" s="21">
        <f>IF(A356="","",ROUND(IFERROR(INDEX(Jobs!$W$5:$W$604,MATCH(A356,Jobs!$A$5:$A$604,0)),0)*MileageRate,2))</f>
        <v>0</v>
      </c>
      <c r="T356" s="21">
        <f>IF(A356="","",O356+Q356+R356+IF(S356="",0,S356))</f>
        <v>0</v>
      </c>
      <c r="U356" s="21">
        <f>IF(A356="","",J356-T356)</f>
        <v>0</v>
      </c>
      <c r="V356" s="38">
        <f>IF(OR(A356="",J356=0),"",U356/J356)</f>
        <v>0</v>
      </c>
      <c r="W356" s="21">
        <f>IF(OR(A356="",M356=0,J356=0),"",U356/M356)</f>
        <v>0</v>
      </c>
      <c r="X356" s="34">
        <f>IF(OR(A356="",L356="",L356=0,K356=""),"",L356-K356)</f>
        <v>0</v>
      </c>
      <c r="Y356" s="31">
        <f>IF(A356="","",COUNTIFS($U$5:$U$604,"&gt;"&amp;U356)+COUNTIFS($U$5:U356,U356))</f>
        <v>0</v>
      </c>
      <c r="Z356" s="31">
        <f>IF(A356="","",COUNTIFS($W$5:$W$604,"&gt;"&amp;W356)+COUNTIFS($W$5:W356,W356))</f>
        <v>0</v>
      </c>
      <c r="AA356" s="39">
        <f>IF(A356="","",IF(J356=0,"",IF(U356&lt;0,"Loss - this job cost you money",IF(V356&lt;MarginFloor,"Below - margin under the floor",IF(V356&lt;TargetMargin,"Check - under target margin",IF(AND(X356&lt;&gt;"",X356&gt;0.5),"Check - ran over the estimate","OK"))))))</f>
        <v>0</v>
      </c>
    </row>
    <row r="357" spans="1:27">
      <c r="A357" s="43">
        <f>IF(IFERROR(INDEX(Jobs!$A$5:$A$604,ROW()-4),"")="","",IFERROR(INDEX(Jobs!$A$5:$A$604,ROW()-4),""))</f>
        <v>0</v>
      </c>
      <c r="B357" s="18">
        <f>IF(A357="","",IFERROR(INDEX(Jobs!$B$5:$B$604,MATCH(A357,Jobs!$A$5:$A$604,0)),""))</f>
        <v>0</v>
      </c>
      <c r="C357" s="23">
        <f>IF(B357="","",TEXT(B357,"yyyy-mm"))</f>
        <v>0</v>
      </c>
      <c r="D357" s="43">
        <f>IF(A357="","",IFERROR(INDEX(Jobs!$G$5:$G$604,MATCH(A357,Jobs!$A$5:$A$604,0)),""))</f>
        <v>0</v>
      </c>
      <c r="E357" s="23">
        <f>IF(A357="","",IFERROR(INDEX(Jobs!$H$5:$H$604,MATCH(A357,Jobs!$A$5:$A$604,0)),""))</f>
        <v>0</v>
      </c>
      <c r="F357" s="23">
        <f>IF(A357="","",IFERROR(INDEX(Jobs!$K$5:$K$604,MATCH(A357,Jobs!$A$5:$A$604,0)),""))</f>
        <v>0</v>
      </c>
      <c r="G357" s="23">
        <f>IF(A357="","",IFERROR(INDEX(Jobs!$M$5:$M$604,MATCH(A357,Jobs!$A$5:$A$604,0)),""))</f>
        <v>0</v>
      </c>
      <c r="H357" s="23">
        <f>IF(A357="","",IFERROR(INDEX(Jobs!$R$5:$R$604,MATCH(A357,Jobs!$A$5:$A$604,0)),""))</f>
        <v>0</v>
      </c>
      <c r="I357" s="39">
        <f>IF(A357="","",IFERROR(INDEX(Jobs!$P$5:$P$604,MATCH(A357,Jobs!$A$5:$A$604,0)),""))</f>
        <v>0</v>
      </c>
      <c r="J357" s="21">
        <f>IF(A357="","",IF(OR(I357="Completed",I357="Invoiced"),IFERROR(INDEX(Jobs!$AJ$5:$AJ$604,MATCH(A357,Jobs!$A$5:$A$604,0)),0),0))</f>
        <v>0</v>
      </c>
      <c r="K357" s="34">
        <f>IF(A357="","",IFERROR(INDEX(Jobs!$AD$5:$AD$604,MATCH(A357,Jobs!$A$5:$A$604,0)),0))</f>
        <v>0</v>
      </c>
      <c r="L357" s="34">
        <f>IF(A357="","",IFERROR(INDEX(Jobs!$AK$5:$AK$604,MATCH(A357,Jobs!$A$5:$A$604,0)),0))</f>
        <v>0</v>
      </c>
      <c r="M357" s="34">
        <f>IF(A357="","",IF(IFERROR(L357*1,0)&gt;0,L357,IFERROR(K357*1,0)))</f>
        <v>0</v>
      </c>
      <c r="N357" s="21">
        <f>IF(A357="","",SUMIFS(Timesheets!$X$5:$X$804,Timesheets!$G$5:$G$804,A357))</f>
        <v>0</v>
      </c>
      <c r="O357" s="21">
        <f>IF(A357="","",IF(N357&gt;0,N357,ROUND(M357*CostPerHour,2)))</f>
        <v>0</v>
      </c>
      <c r="P357" s="21">
        <f>IF(A357="","",SUMIFS('Supply Usage'!$L$5:$L$304,'Supply Usage'!$F$5:$F$304,A357))</f>
        <v>0</v>
      </c>
      <c r="Q357" s="21">
        <f>IF(A357="","",IF(P357&gt;0,P357,ROUND(M357*SuppliesPerHour,2)))</f>
        <v>0</v>
      </c>
      <c r="R357" s="21">
        <f>IF(A357="","",ROUND(IFERROR(INDEX(Jobs!$W$5:$W$604,MATCH(A357,Jobs!$A$5:$A$604,0)),0)*MileageRate,2))</f>
        <v>0</v>
      </c>
      <c r="T357" s="21">
        <f>IF(A357="","",O357+Q357+R357+IF(S357="",0,S357))</f>
        <v>0</v>
      </c>
      <c r="U357" s="21">
        <f>IF(A357="","",J357-T357)</f>
        <v>0</v>
      </c>
      <c r="V357" s="38">
        <f>IF(OR(A357="",J357=0),"",U357/J357)</f>
        <v>0</v>
      </c>
      <c r="W357" s="21">
        <f>IF(OR(A357="",M357=0,J357=0),"",U357/M357)</f>
        <v>0</v>
      </c>
      <c r="X357" s="34">
        <f>IF(OR(A357="",L357="",L357=0,K357=""),"",L357-K357)</f>
        <v>0</v>
      </c>
      <c r="Y357" s="31">
        <f>IF(A357="","",COUNTIFS($U$5:$U$604,"&gt;"&amp;U357)+COUNTIFS($U$5:U357,U357))</f>
        <v>0</v>
      </c>
      <c r="Z357" s="31">
        <f>IF(A357="","",COUNTIFS($W$5:$W$604,"&gt;"&amp;W357)+COUNTIFS($W$5:W357,W357))</f>
        <v>0</v>
      </c>
      <c r="AA357" s="39">
        <f>IF(A357="","",IF(J357=0,"",IF(U357&lt;0,"Loss - this job cost you money",IF(V357&lt;MarginFloor,"Below - margin under the floor",IF(V357&lt;TargetMargin,"Check - under target margin",IF(AND(X357&lt;&gt;"",X357&gt;0.5),"Check - ran over the estimate","OK"))))))</f>
        <v>0</v>
      </c>
    </row>
    <row r="358" spans="1:27">
      <c r="A358" s="43">
        <f>IF(IFERROR(INDEX(Jobs!$A$5:$A$604,ROW()-4),"")="","",IFERROR(INDEX(Jobs!$A$5:$A$604,ROW()-4),""))</f>
        <v>0</v>
      </c>
      <c r="B358" s="18">
        <f>IF(A358="","",IFERROR(INDEX(Jobs!$B$5:$B$604,MATCH(A358,Jobs!$A$5:$A$604,0)),""))</f>
        <v>0</v>
      </c>
      <c r="C358" s="23">
        <f>IF(B358="","",TEXT(B358,"yyyy-mm"))</f>
        <v>0</v>
      </c>
      <c r="D358" s="43">
        <f>IF(A358="","",IFERROR(INDEX(Jobs!$G$5:$G$604,MATCH(A358,Jobs!$A$5:$A$604,0)),""))</f>
        <v>0</v>
      </c>
      <c r="E358" s="23">
        <f>IF(A358="","",IFERROR(INDEX(Jobs!$H$5:$H$604,MATCH(A358,Jobs!$A$5:$A$604,0)),""))</f>
        <v>0</v>
      </c>
      <c r="F358" s="23">
        <f>IF(A358="","",IFERROR(INDEX(Jobs!$K$5:$K$604,MATCH(A358,Jobs!$A$5:$A$604,0)),""))</f>
        <v>0</v>
      </c>
      <c r="G358" s="23">
        <f>IF(A358="","",IFERROR(INDEX(Jobs!$M$5:$M$604,MATCH(A358,Jobs!$A$5:$A$604,0)),""))</f>
        <v>0</v>
      </c>
      <c r="H358" s="23">
        <f>IF(A358="","",IFERROR(INDEX(Jobs!$R$5:$R$604,MATCH(A358,Jobs!$A$5:$A$604,0)),""))</f>
        <v>0</v>
      </c>
      <c r="I358" s="39">
        <f>IF(A358="","",IFERROR(INDEX(Jobs!$P$5:$P$604,MATCH(A358,Jobs!$A$5:$A$604,0)),""))</f>
        <v>0</v>
      </c>
      <c r="J358" s="21">
        <f>IF(A358="","",IF(OR(I358="Completed",I358="Invoiced"),IFERROR(INDEX(Jobs!$AJ$5:$AJ$604,MATCH(A358,Jobs!$A$5:$A$604,0)),0),0))</f>
        <v>0</v>
      </c>
      <c r="K358" s="34">
        <f>IF(A358="","",IFERROR(INDEX(Jobs!$AD$5:$AD$604,MATCH(A358,Jobs!$A$5:$A$604,0)),0))</f>
        <v>0</v>
      </c>
      <c r="L358" s="34">
        <f>IF(A358="","",IFERROR(INDEX(Jobs!$AK$5:$AK$604,MATCH(A358,Jobs!$A$5:$A$604,0)),0))</f>
        <v>0</v>
      </c>
      <c r="M358" s="34">
        <f>IF(A358="","",IF(IFERROR(L358*1,0)&gt;0,L358,IFERROR(K358*1,0)))</f>
        <v>0</v>
      </c>
      <c r="N358" s="21">
        <f>IF(A358="","",SUMIFS(Timesheets!$X$5:$X$804,Timesheets!$G$5:$G$804,A358))</f>
        <v>0</v>
      </c>
      <c r="O358" s="21">
        <f>IF(A358="","",IF(N358&gt;0,N358,ROUND(M358*CostPerHour,2)))</f>
        <v>0</v>
      </c>
      <c r="P358" s="21">
        <f>IF(A358="","",SUMIFS('Supply Usage'!$L$5:$L$304,'Supply Usage'!$F$5:$F$304,A358))</f>
        <v>0</v>
      </c>
      <c r="Q358" s="21">
        <f>IF(A358="","",IF(P358&gt;0,P358,ROUND(M358*SuppliesPerHour,2)))</f>
        <v>0</v>
      </c>
      <c r="R358" s="21">
        <f>IF(A358="","",ROUND(IFERROR(INDEX(Jobs!$W$5:$W$604,MATCH(A358,Jobs!$A$5:$A$604,0)),0)*MileageRate,2))</f>
        <v>0</v>
      </c>
      <c r="T358" s="21">
        <f>IF(A358="","",O358+Q358+R358+IF(S358="",0,S358))</f>
        <v>0</v>
      </c>
      <c r="U358" s="21">
        <f>IF(A358="","",J358-T358)</f>
        <v>0</v>
      </c>
      <c r="V358" s="38">
        <f>IF(OR(A358="",J358=0),"",U358/J358)</f>
        <v>0</v>
      </c>
      <c r="W358" s="21">
        <f>IF(OR(A358="",M358=0,J358=0),"",U358/M358)</f>
        <v>0</v>
      </c>
      <c r="X358" s="34">
        <f>IF(OR(A358="",L358="",L358=0,K358=""),"",L358-K358)</f>
        <v>0</v>
      </c>
      <c r="Y358" s="31">
        <f>IF(A358="","",COUNTIFS($U$5:$U$604,"&gt;"&amp;U358)+COUNTIFS($U$5:U358,U358))</f>
        <v>0</v>
      </c>
      <c r="Z358" s="31">
        <f>IF(A358="","",COUNTIFS($W$5:$W$604,"&gt;"&amp;W358)+COUNTIFS($W$5:W358,W358))</f>
        <v>0</v>
      </c>
      <c r="AA358" s="39">
        <f>IF(A358="","",IF(J358=0,"",IF(U358&lt;0,"Loss - this job cost you money",IF(V358&lt;MarginFloor,"Below - margin under the floor",IF(V358&lt;TargetMargin,"Check - under target margin",IF(AND(X358&lt;&gt;"",X358&gt;0.5),"Check - ran over the estimate","OK"))))))</f>
        <v>0</v>
      </c>
    </row>
    <row r="359" spans="1:27">
      <c r="A359" s="43">
        <f>IF(IFERROR(INDEX(Jobs!$A$5:$A$604,ROW()-4),"")="","",IFERROR(INDEX(Jobs!$A$5:$A$604,ROW()-4),""))</f>
        <v>0</v>
      </c>
      <c r="B359" s="18">
        <f>IF(A359="","",IFERROR(INDEX(Jobs!$B$5:$B$604,MATCH(A359,Jobs!$A$5:$A$604,0)),""))</f>
        <v>0</v>
      </c>
      <c r="C359" s="23">
        <f>IF(B359="","",TEXT(B359,"yyyy-mm"))</f>
        <v>0</v>
      </c>
      <c r="D359" s="43">
        <f>IF(A359="","",IFERROR(INDEX(Jobs!$G$5:$G$604,MATCH(A359,Jobs!$A$5:$A$604,0)),""))</f>
        <v>0</v>
      </c>
      <c r="E359" s="23">
        <f>IF(A359="","",IFERROR(INDEX(Jobs!$H$5:$H$604,MATCH(A359,Jobs!$A$5:$A$604,0)),""))</f>
        <v>0</v>
      </c>
      <c r="F359" s="23">
        <f>IF(A359="","",IFERROR(INDEX(Jobs!$K$5:$K$604,MATCH(A359,Jobs!$A$5:$A$604,0)),""))</f>
        <v>0</v>
      </c>
      <c r="G359" s="23">
        <f>IF(A359="","",IFERROR(INDEX(Jobs!$M$5:$M$604,MATCH(A359,Jobs!$A$5:$A$604,0)),""))</f>
        <v>0</v>
      </c>
      <c r="H359" s="23">
        <f>IF(A359="","",IFERROR(INDEX(Jobs!$R$5:$R$604,MATCH(A359,Jobs!$A$5:$A$604,0)),""))</f>
        <v>0</v>
      </c>
      <c r="I359" s="39">
        <f>IF(A359="","",IFERROR(INDEX(Jobs!$P$5:$P$604,MATCH(A359,Jobs!$A$5:$A$604,0)),""))</f>
        <v>0</v>
      </c>
      <c r="J359" s="21">
        <f>IF(A359="","",IF(OR(I359="Completed",I359="Invoiced"),IFERROR(INDEX(Jobs!$AJ$5:$AJ$604,MATCH(A359,Jobs!$A$5:$A$604,0)),0),0))</f>
        <v>0</v>
      </c>
      <c r="K359" s="34">
        <f>IF(A359="","",IFERROR(INDEX(Jobs!$AD$5:$AD$604,MATCH(A359,Jobs!$A$5:$A$604,0)),0))</f>
        <v>0</v>
      </c>
      <c r="L359" s="34">
        <f>IF(A359="","",IFERROR(INDEX(Jobs!$AK$5:$AK$604,MATCH(A359,Jobs!$A$5:$A$604,0)),0))</f>
        <v>0</v>
      </c>
      <c r="M359" s="34">
        <f>IF(A359="","",IF(IFERROR(L359*1,0)&gt;0,L359,IFERROR(K359*1,0)))</f>
        <v>0</v>
      </c>
      <c r="N359" s="21">
        <f>IF(A359="","",SUMIFS(Timesheets!$X$5:$X$804,Timesheets!$G$5:$G$804,A359))</f>
        <v>0</v>
      </c>
      <c r="O359" s="21">
        <f>IF(A359="","",IF(N359&gt;0,N359,ROUND(M359*CostPerHour,2)))</f>
        <v>0</v>
      </c>
      <c r="P359" s="21">
        <f>IF(A359="","",SUMIFS('Supply Usage'!$L$5:$L$304,'Supply Usage'!$F$5:$F$304,A359))</f>
        <v>0</v>
      </c>
      <c r="Q359" s="21">
        <f>IF(A359="","",IF(P359&gt;0,P359,ROUND(M359*SuppliesPerHour,2)))</f>
        <v>0</v>
      </c>
      <c r="R359" s="21">
        <f>IF(A359="","",ROUND(IFERROR(INDEX(Jobs!$W$5:$W$604,MATCH(A359,Jobs!$A$5:$A$604,0)),0)*MileageRate,2))</f>
        <v>0</v>
      </c>
      <c r="T359" s="21">
        <f>IF(A359="","",O359+Q359+R359+IF(S359="",0,S359))</f>
        <v>0</v>
      </c>
      <c r="U359" s="21">
        <f>IF(A359="","",J359-T359)</f>
        <v>0</v>
      </c>
      <c r="V359" s="38">
        <f>IF(OR(A359="",J359=0),"",U359/J359)</f>
        <v>0</v>
      </c>
      <c r="W359" s="21">
        <f>IF(OR(A359="",M359=0,J359=0),"",U359/M359)</f>
        <v>0</v>
      </c>
      <c r="X359" s="34">
        <f>IF(OR(A359="",L359="",L359=0,K359=""),"",L359-K359)</f>
        <v>0</v>
      </c>
      <c r="Y359" s="31">
        <f>IF(A359="","",COUNTIFS($U$5:$U$604,"&gt;"&amp;U359)+COUNTIFS($U$5:U359,U359))</f>
        <v>0</v>
      </c>
      <c r="Z359" s="31">
        <f>IF(A359="","",COUNTIFS($W$5:$W$604,"&gt;"&amp;W359)+COUNTIFS($W$5:W359,W359))</f>
        <v>0</v>
      </c>
      <c r="AA359" s="39">
        <f>IF(A359="","",IF(J359=0,"",IF(U359&lt;0,"Loss - this job cost you money",IF(V359&lt;MarginFloor,"Below - margin under the floor",IF(V359&lt;TargetMargin,"Check - under target margin",IF(AND(X359&lt;&gt;"",X359&gt;0.5),"Check - ran over the estimate","OK"))))))</f>
        <v>0</v>
      </c>
    </row>
    <row r="360" spans="1:27">
      <c r="A360" s="43">
        <f>IF(IFERROR(INDEX(Jobs!$A$5:$A$604,ROW()-4),"")="","",IFERROR(INDEX(Jobs!$A$5:$A$604,ROW()-4),""))</f>
        <v>0</v>
      </c>
      <c r="B360" s="18">
        <f>IF(A360="","",IFERROR(INDEX(Jobs!$B$5:$B$604,MATCH(A360,Jobs!$A$5:$A$604,0)),""))</f>
        <v>0</v>
      </c>
      <c r="C360" s="23">
        <f>IF(B360="","",TEXT(B360,"yyyy-mm"))</f>
        <v>0</v>
      </c>
      <c r="D360" s="43">
        <f>IF(A360="","",IFERROR(INDEX(Jobs!$G$5:$G$604,MATCH(A360,Jobs!$A$5:$A$604,0)),""))</f>
        <v>0</v>
      </c>
      <c r="E360" s="23">
        <f>IF(A360="","",IFERROR(INDEX(Jobs!$H$5:$H$604,MATCH(A360,Jobs!$A$5:$A$604,0)),""))</f>
        <v>0</v>
      </c>
      <c r="F360" s="23">
        <f>IF(A360="","",IFERROR(INDEX(Jobs!$K$5:$K$604,MATCH(A360,Jobs!$A$5:$A$604,0)),""))</f>
        <v>0</v>
      </c>
      <c r="G360" s="23">
        <f>IF(A360="","",IFERROR(INDEX(Jobs!$M$5:$M$604,MATCH(A360,Jobs!$A$5:$A$604,0)),""))</f>
        <v>0</v>
      </c>
      <c r="H360" s="23">
        <f>IF(A360="","",IFERROR(INDEX(Jobs!$R$5:$R$604,MATCH(A360,Jobs!$A$5:$A$604,0)),""))</f>
        <v>0</v>
      </c>
      <c r="I360" s="39">
        <f>IF(A360="","",IFERROR(INDEX(Jobs!$P$5:$P$604,MATCH(A360,Jobs!$A$5:$A$604,0)),""))</f>
        <v>0</v>
      </c>
      <c r="J360" s="21">
        <f>IF(A360="","",IF(OR(I360="Completed",I360="Invoiced"),IFERROR(INDEX(Jobs!$AJ$5:$AJ$604,MATCH(A360,Jobs!$A$5:$A$604,0)),0),0))</f>
        <v>0</v>
      </c>
      <c r="K360" s="34">
        <f>IF(A360="","",IFERROR(INDEX(Jobs!$AD$5:$AD$604,MATCH(A360,Jobs!$A$5:$A$604,0)),0))</f>
        <v>0</v>
      </c>
      <c r="L360" s="34">
        <f>IF(A360="","",IFERROR(INDEX(Jobs!$AK$5:$AK$604,MATCH(A360,Jobs!$A$5:$A$604,0)),0))</f>
        <v>0</v>
      </c>
      <c r="M360" s="34">
        <f>IF(A360="","",IF(IFERROR(L360*1,0)&gt;0,L360,IFERROR(K360*1,0)))</f>
        <v>0</v>
      </c>
      <c r="N360" s="21">
        <f>IF(A360="","",SUMIFS(Timesheets!$X$5:$X$804,Timesheets!$G$5:$G$804,A360))</f>
        <v>0</v>
      </c>
      <c r="O360" s="21">
        <f>IF(A360="","",IF(N360&gt;0,N360,ROUND(M360*CostPerHour,2)))</f>
        <v>0</v>
      </c>
      <c r="P360" s="21">
        <f>IF(A360="","",SUMIFS('Supply Usage'!$L$5:$L$304,'Supply Usage'!$F$5:$F$304,A360))</f>
        <v>0</v>
      </c>
      <c r="Q360" s="21">
        <f>IF(A360="","",IF(P360&gt;0,P360,ROUND(M360*SuppliesPerHour,2)))</f>
        <v>0</v>
      </c>
      <c r="R360" s="21">
        <f>IF(A360="","",ROUND(IFERROR(INDEX(Jobs!$W$5:$W$604,MATCH(A360,Jobs!$A$5:$A$604,0)),0)*MileageRate,2))</f>
        <v>0</v>
      </c>
      <c r="T360" s="21">
        <f>IF(A360="","",O360+Q360+R360+IF(S360="",0,S360))</f>
        <v>0</v>
      </c>
      <c r="U360" s="21">
        <f>IF(A360="","",J360-T360)</f>
        <v>0</v>
      </c>
      <c r="V360" s="38">
        <f>IF(OR(A360="",J360=0),"",U360/J360)</f>
        <v>0</v>
      </c>
      <c r="W360" s="21">
        <f>IF(OR(A360="",M360=0,J360=0),"",U360/M360)</f>
        <v>0</v>
      </c>
      <c r="X360" s="34">
        <f>IF(OR(A360="",L360="",L360=0,K360=""),"",L360-K360)</f>
        <v>0</v>
      </c>
      <c r="Y360" s="31">
        <f>IF(A360="","",COUNTIFS($U$5:$U$604,"&gt;"&amp;U360)+COUNTIFS($U$5:U360,U360))</f>
        <v>0</v>
      </c>
      <c r="Z360" s="31">
        <f>IF(A360="","",COUNTIFS($W$5:$W$604,"&gt;"&amp;W360)+COUNTIFS($W$5:W360,W360))</f>
        <v>0</v>
      </c>
      <c r="AA360" s="39">
        <f>IF(A360="","",IF(J360=0,"",IF(U360&lt;0,"Loss - this job cost you money",IF(V360&lt;MarginFloor,"Below - margin under the floor",IF(V360&lt;TargetMargin,"Check - under target margin",IF(AND(X360&lt;&gt;"",X360&gt;0.5),"Check - ran over the estimate","OK"))))))</f>
        <v>0</v>
      </c>
    </row>
    <row r="361" spans="1:27">
      <c r="A361" s="43">
        <f>IF(IFERROR(INDEX(Jobs!$A$5:$A$604,ROW()-4),"")="","",IFERROR(INDEX(Jobs!$A$5:$A$604,ROW()-4),""))</f>
        <v>0</v>
      </c>
      <c r="B361" s="18">
        <f>IF(A361="","",IFERROR(INDEX(Jobs!$B$5:$B$604,MATCH(A361,Jobs!$A$5:$A$604,0)),""))</f>
        <v>0</v>
      </c>
      <c r="C361" s="23">
        <f>IF(B361="","",TEXT(B361,"yyyy-mm"))</f>
        <v>0</v>
      </c>
      <c r="D361" s="43">
        <f>IF(A361="","",IFERROR(INDEX(Jobs!$G$5:$G$604,MATCH(A361,Jobs!$A$5:$A$604,0)),""))</f>
        <v>0</v>
      </c>
      <c r="E361" s="23">
        <f>IF(A361="","",IFERROR(INDEX(Jobs!$H$5:$H$604,MATCH(A361,Jobs!$A$5:$A$604,0)),""))</f>
        <v>0</v>
      </c>
      <c r="F361" s="23">
        <f>IF(A361="","",IFERROR(INDEX(Jobs!$K$5:$K$604,MATCH(A361,Jobs!$A$5:$A$604,0)),""))</f>
        <v>0</v>
      </c>
      <c r="G361" s="23">
        <f>IF(A361="","",IFERROR(INDEX(Jobs!$M$5:$M$604,MATCH(A361,Jobs!$A$5:$A$604,0)),""))</f>
        <v>0</v>
      </c>
      <c r="H361" s="23">
        <f>IF(A361="","",IFERROR(INDEX(Jobs!$R$5:$R$604,MATCH(A361,Jobs!$A$5:$A$604,0)),""))</f>
        <v>0</v>
      </c>
      <c r="I361" s="39">
        <f>IF(A361="","",IFERROR(INDEX(Jobs!$P$5:$P$604,MATCH(A361,Jobs!$A$5:$A$604,0)),""))</f>
        <v>0</v>
      </c>
      <c r="J361" s="21">
        <f>IF(A361="","",IF(OR(I361="Completed",I361="Invoiced"),IFERROR(INDEX(Jobs!$AJ$5:$AJ$604,MATCH(A361,Jobs!$A$5:$A$604,0)),0),0))</f>
        <v>0</v>
      </c>
      <c r="K361" s="34">
        <f>IF(A361="","",IFERROR(INDEX(Jobs!$AD$5:$AD$604,MATCH(A361,Jobs!$A$5:$A$604,0)),0))</f>
        <v>0</v>
      </c>
      <c r="L361" s="34">
        <f>IF(A361="","",IFERROR(INDEX(Jobs!$AK$5:$AK$604,MATCH(A361,Jobs!$A$5:$A$604,0)),0))</f>
        <v>0</v>
      </c>
      <c r="M361" s="34">
        <f>IF(A361="","",IF(IFERROR(L361*1,0)&gt;0,L361,IFERROR(K361*1,0)))</f>
        <v>0</v>
      </c>
      <c r="N361" s="21">
        <f>IF(A361="","",SUMIFS(Timesheets!$X$5:$X$804,Timesheets!$G$5:$G$804,A361))</f>
        <v>0</v>
      </c>
      <c r="O361" s="21">
        <f>IF(A361="","",IF(N361&gt;0,N361,ROUND(M361*CostPerHour,2)))</f>
        <v>0</v>
      </c>
      <c r="P361" s="21">
        <f>IF(A361="","",SUMIFS('Supply Usage'!$L$5:$L$304,'Supply Usage'!$F$5:$F$304,A361))</f>
        <v>0</v>
      </c>
      <c r="Q361" s="21">
        <f>IF(A361="","",IF(P361&gt;0,P361,ROUND(M361*SuppliesPerHour,2)))</f>
        <v>0</v>
      </c>
      <c r="R361" s="21">
        <f>IF(A361="","",ROUND(IFERROR(INDEX(Jobs!$W$5:$W$604,MATCH(A361,Jobs!$A$5:$A$604,0)),0)*MileageRate,2))</f>
        <v>0</v>
      </c>
      <c r="T361" s="21">
        <f>IF(A361="","",O361+Q361+R361+IF(S361="",0,S361))</f>
        <v>0</v>
      </c>
      <c r="U361" s="21">
        <f>IF(A361="","",J361-T361)</f>
        <v>0</v>
      </c>
      <c r="V361" s="38">
        <f>IF(OR(A361="",J361=0),"",U361/J361)</f>
        <v>0</v>
      </c>
      <c r="W361" s="21">
        <f>IF(OR(A361="",M361=0,J361=0),"",U361/M361)</f>
        <v>0</v>
      </c>
      <c r="X361" s="34">
        <f>IF(OR(A361="",L361="",L361=0,K361=""),"",L361-K361)</f>
        <v>0</v>
      </c>
      <c r="Y361" s="31">
        <f>IF(A361="","",COUNTIFS($U$5:$U$604,"&gt;"&amp;U361)+COUNTIFS($U$5:U361,U361))</f>
        <v>0</v>
      </c>
      <c r="Z361" s="31">
        <f>IF(A361="","",COUNTIFS($W$5:$W$604,"&gt;"&amp;W361)+COUNTIFS($W$5:W361,W361))</f>
        <v>0</v>
      </c>
      <c r="AA361" s="39">
        <f>IF(A361="","",IF(J361=0,"",IF(U361&lt;0,"Loss - this job cost you money",IF(V361&lt;MarginFloor,"Below - margin under the floor",IF(V361&lt;TargetMargin,"Check - under target margin",IF(AND(X361&lt;&gt;"",X361&gt;0.5),"Check - ran over the estimate","OK"))))))</f>
        <v>0</v>
      </c>
    </row>
    <row r="362" spans="1:27">
      <c r="A362" s="43">
        <f>IF(IFERROR(INDEX(Jobs!$A$5:$A$604,ROW()-4),"")="","",IFERROR(INDEX(Jobs!$A$5:$A$604,ROW()-4),""))</f>
        <v>0</v>
      </c>
      <c r="B362" s="18">
        <f>IF(A362="","",IFERROR(INDEX(Jobs!$B$5:$B$604,MATCH(A362,Jobs!$A$5:$A$604,0)),""))</f>
        <v>0</v>
      </c>
      <c r="C362" s="23">
        <f>IF(B362="","",TEXT(B362,"yyyy-mm"))</f>
        <v>0</v>
      </c>
      <c r="D362" s="43">
        <f>IF(A362="","",IFERROR(INDEX(Jobs!$G$5:$G$604,MATCH(A362,Jobs!$A$5:$A$604,0)),""))</f>
        <v>0</v>
      </c>
      <c r="E362" s="23">
        <f>IF(A362="","",IFERROR(INDEX(Jobs!$H$5:$H$604,MATCH(A362,Jobs!$A$5:$A$604,0)),""))</f>
        <v>0</v>
      </c>
      <c r="F362" s="23">
        <f>IF(A362="","",IFERROR(INDEX(Jobs!$K$5:$K$604,MATCH(A362,Jobs!$A$5:$A$604,0)),""))</f>
        <v>0</v>
      </c>
      <c r="G362" s="23">
        <f>IF(A362="","",IFERROR(INDEX(Jobs!$M$5:$M$604,MATCH(A362,Jobs!$A$5:$A$604,0)),""))</f>
        <v>0</v>
      </c>
      <c r="H362" s="23">
        <f>IF(A362="","",IFERROR(INDEX(Jobs!$R$5:$R$604,MATCH(A362,Jobs!$A$5:$A$604,0)),""))</f>
        <v>0</v>
      </c>
      <c r="I362" s="39">
        <f>IF(A362="","",IFERROR(INDEX(Jobs!$P$5:$P$604,MATCH(A362,Jobs!$A$5:$A$604,0)),""))</f>
        <v>0</v>
      </c>
      <c r="J362" s="21">
        <f>IF(A362="","",IF(OR(I362="Completed",I362="Invoiced"),IFERROR(INDEX(Jobs!$AJ$5:$AJ$604,MATCH(A362,Jobs!$A$5:$A$604,0)),0),0))</f>
        <v>0</v>
      </c>
      <c r="K362" s="34">
        <f>IF(A362="","",IFERROR(INDEX(Jobs!$AD$5:$AD$604,MATCH(A362,Jobs!$A$5:$A$604,0)),0))</f>
        <v>0</v>
      </c>
      <c r="L362" s="34">
        <f>IF(A362="","",IFERROR(INDEX(Jobs!$AK$5:$AK$604,MATCH(A362,Jobs!$A$5:$A$604,0)),0))</f>
        <v>0</v>
      </c>
      <c r="M362" s="34">
        <f>IF(A362="","",IF(IFERROR(L362*1,0)&gt;0,L362,IFERROR(K362*1,0)))</f>
        <v>0</v>
      </c>
      <c r="N362" s="21">
        <f>IF(A362="","",SUMIFS(Timesheets!$X$5:$X$804,Timesheets!$G$5:$G$804,A362))</f>
        <v>0</v>
      </c>
      <c r="O362" s="21">
        <f>IF(A362="","",IF(N362&gt;0,N362,ROUND(M362*CostPerHour,2)))</f>
        <v>0</v>
      </c>
      <c r="P362" s="21">
        <f>IF(A362="","",SUMIFS('Supply Usage'!$L$5:$L$304,'Supply Usage'!$F$5:$F$304,A362))</f>
        <v>0</v>
      </c>
      <c r="Q362" s="21">
        <f>IF(A362="","",IF(P362&gt;0,P362,ROUND(M362*SuppliesPerHour,2)))</f>
        <v>0</v>
      </c>
      <c r="R362" s="21">
        <f>IF(A362="","",ROUND(IFERROR(INDEX(Jobs!$W$5:$W$604,MATCH(A362,Jobs!$A$5:$A$604,0)),0)*MileageRate,2))</f>
        <v>0</v>
      </c>
      <c r="T362" s="21">
        <f>IF(A362="","",O362+Q362+R362+IF(S362="",0,S362))</f>
        <v>0</v>
      </c>
      <c r="U362" s="21">
        <f>IF(A362="","",J362-T362)</f>
        <v>0</v>
      </c>
      <c r="V362" s="38">
        <f>IF(OR(A362="",J362=0),"",U362/J362)</f>
        <v>0</v>
      </c>
      <c r="W362" s="21">
        <f>IF(OR(A362="",M362=0,J362=0),"",U362/M362)</f>
        <v>0</v>
      </c>
      <c r="X362" s="34">
        <f>IF(OR(A362="",L362="",L362=0,K362=""),"",L362-K362)</f>
        <v>0</v>
      </c>
      <c r="Y362" s="31">
        <f>IF(A362="","",COUNTIFS($U$5:$U$604,"&gt;"&amp;U362)+COUNTIFS($U$5:U362,U362))</f>
        <v>0</v>
      </c>
      <c r="Z362" s="31">
        <f>IF(A362="","",COUNTIFS($W$5:$W$604,"&gt;"&amp;W362)+COUNTIFS($W$5:W362,W362))</f>
        <v>0</v>
      </c>
      <c r="AA362" s="39">
        <f>IF(A362="","",IF(J362=0,"",IF(U362&lt;0,"Loss - this job cost you money",IF(V362&lt;MarginFloor,"Below - margin under the floor",IF(V362&lt;TargetMargin,"Check - under target margin",IF(AND(X362&lt;&gt;"",X362&gt;0.5),"Check - ran over the estimate","OK"))))))</f>
        <v>0</v>
      </c>
    </row>
    <row r="363" spans="1:27">
      <c r="A363" s="43">
        <f>IF(IFERROR(INDEX(Jobs!$A$5:$A$604,ROW()-4),"")="","",IFERROR(INDEX(Jobs!$A$5:$A$604,ROW()-4),""))</f>
        <v>0</v>
      </c>
      <c r="B363" s="18">
        <f>IF(A363="","",IFERROR(INDEX(Jobs!$B$5:$B$604,MATCH(A363,Jobs!$A$5:$A$604,0)),""))</f>
        <v>0</v>
      </c>
      <c r="C363" s="23">
        <f>IF(B363="","",TEXT(B363,"yyyy-mm"))</f>
        <v>0</v>
      </c>
      <c r="D363" s="43">
        <f>IF(A363="","",IFERROR(INDEX(Jobs!$G$5:$G$604,MATCH(A363,Jobs!$A$5:$A$604,0)),""))</f>
        <v>0</v>
      </c>
      <c r="E363" s="23">
        <f>IF(A363="","",IFERROR(INDEX(Jobs!$H$5:$H$604,MATCH(A363,Jobs!$A$5:$A$604,0)),""))</f>
        <v>0</v>
      </c>
      <c r="F363" s="23">
        <f>IF(A363="","",IFERROR(INDEX(Jobs!$K$5:$K$604,MATCH(A363,Jobs!$A$5:$A$604,0)),""))</f>
        <v>0</v>
      </c>
      <c r="G363" s="23">
        <f>IF(A363="","",IFERROR(INDEX(Jobs!$M$5:$M$604,MATCH(A363,Jobs!$A$5:$A$604,0)),""))</f>
        <v>0</v>
      </c>
      <c r="H363" s="23">
        <f>IF(A363="","",IFERROR(INDEX(Jobs!$R$5:$R$604,MATCH(A363,Jobs!$A$5:$A$604,0)),""))</f>
        <v>0</v>
      </c>
      <c r="I363" s="39">
        <f>IF(A363="","",IFERROR(INDEX(Jobs!$P$5:$P$604,MATCH(A363,Jobs!$A$5:$A$604,0)),""))</f>
        <v>0</v>
      </c>
      <c r="J363" s="21">
        <f>IF(A363="","",IF(OR(I363="Completed",I363="Invoiced"),IFERROR(INDEX(Jobs!$AJ$5:$AJ$604,MATCH(A363,Jobs!$A$5:$A$604,0)),0),0))</f>
        <v>0</v>
      </c>
      <c r="K363" s="34">
        <f>IF(A363="","",IFERROR(INDEX(Jobs!$AD$5:$AD$604,MATCH(A363,Jobs!$A$5:$A$604,0)),0))</f>
        <v>0</v>
      </c>
      <c r="L363" s="34">
        <f>IF(A363="","",IFERROR(INDEX(Jobs!$AK$5:$AK$604,MATCH(A363,Jobs!$A$5:$A$604,0)),0))</f>
        <v>0</v>
      </c>
      <c r="M363" s="34">
        <f>IF(A363="","",IF(IFERROR(L363*1,0)&gt;0,L363,IFERROR(K363*1,0)))</f>
        <v>0</v>
      </c>
      <c r="N363" s="21">
        <f>IF(A363="","",SUMIFS(Timesheets!$X$5:$X$804,Timesheets!$G$5:$G$804,A363))</f>
        <v>0</v>
      </c>
      <c r="O363" s="21">
        <f>IF(A363="","",IF(N363&gt;0,N363,ROUND(M363*CostPerHour,2)))</f>
        <v>0</v>
      </c>
      <c r="P363" s="21">
        <f>IF(A363="","",SUMIFS('Supply Usage'!$L$5:$L$304,'Supply Usage'!$F$5:$F$304,A363))</f>
        <v>0</v>
      </c>
      <c r="Q363" s="21">
        <f>IF(A363="","",IF(P363&gt;0,P363,ROUND(M363*SuppliesPerHour,2)))</f>
        <v>0</v>
      </c>
      <c r="R363" s="21">
        <f>IF(A363="","",ROUND(IFERROR(INDEX(Jobs!$W$5:$W$604,MATCH(A363,Jobs!$A$5:$A$604,0)),0)*MileageRate,2))</f>
        <v>0</v>
      </c>
      <c r="T363" s="21">
        <f>IF(A363="","",O363+Q363+R363+IF(S363="",0,S363))</f>
        <v>0</v>
      </c>
      <c r="U363" s="21">
        <f>IF(A363="","",J363-T363)</f>
        <v>0</v>
      </c>
      <c r="V363" s="38">
        <f>IF(OR(A363="",J363=0),"",U363/J363)</f>
        <v>0</v>
      </c>
      <c r="W363" s="21">
        <f>IF(OR(A363="",M363=0,J363=0),"",U363/M363)</f>
        <v>0</v>
      </c>
      <c r="X363" s="34">
        <f>IF(OR(A363="",L363="",L363=0,K363=""),"",L363-K363)</f>
        <v>0</v>
      </c>
      <c r="Y363" s="31">
        <f>IF(A363="","",COUNTIFS($U$5:$U$604,"&gt;"&amp;U363)+COUNTIFS($U$5:U363,U363))</f>
        <v>0</v>
      </c>
      <c r="Z363" s="31">
        <f>IF(A363="","",COUNTIFS($W$5:$W$604,"&gt;"&amp;W363)+COUNTIFS($W$5:W363,W363))</f>
        <v>0</v>
      </c>
      <c r="AA363" s="39">
        <f>IF(A363="","",IF(J363=0,"",IF(U363&lt;0,"Loss - this job cost you money",IF(V363&lt;MarginFloor,"Below - margin under the floor",IF(V363&lt;TargetMargin,"Check - under target margin",IF(AND(X363&lt;&gt;"",X363&gt;0.5),"Check - ran over the estimate","OK"))))))</f>
        <v>0</v>
      </c>
    </row>
    <row r="364" spans="1:27">
      <c r="A364" s="43">
        <f>IF(IFERROR(INDEX(Jobs!$A$5:$A$604,ROW()-4),"")="","",IFERROR(INDEX(Jobs!$A$5:$A$604,ROW()-4),""))</f>
        <v>0</v>
      </c>
      <c r="B364" s="18">
        <f>IF(A364="","",IFERROR(INDEX(Jobs!$B$5:$B$604,MATCH(A364,Jobs!$A$5:$A$604,0)),""))</f>
        <v>0</v>
      </c>
      <c r="C364" s="23">
        <f>IF(B364="","",TEXT(B364,"yyyy-mm"))</f>
        <v>0</v>
      </c>
      <c r="D364" s="43">
        <f>IF(A364="","",IFERROR(INDEX(Jobs!$G$5:$G$604,MATCH(A364,Jobs!$A$5:$A$604,0)),""))</f>
        <v>0</v>
      </c>
      <c r="E364" s="23">
        <f>IF(A364="","",IFERROR(INDEX(Jobs!$H$5:$H$604,MATCH(A364,Jobs!$A$5:$A$604,0)),""))</f>
        <v>0</v>
      </c>
      <c r="F364" s="23">
        <f>IF(A364="","",IFERROR(INDEX(Jobs!$K$5:$K$604,MATCH(A364,Jobs!$A$5:$A$604,0)),""))</f>
        <v>0</v>
      </c>
      <c r="G364" s="23">
        <f>IF(A364="","",IFERROR(INDEX(Jobs!$M$5:$M$604,MATCH(A364,Jobs!$A$5:$A$604,0)),""))</f>
        <v>0</v>
      </c>
      <c r="H364" s="23">
        <f>IF(A364="","",IFERROR(INDEX(Jobs!$R$5:$R$604,MATCH(A364,Jobs!$A$5:$A$604,0)),""))</f>
        <v>0</v>
      </c>
      <c r="I364" s="39">
        <f>IF(A364="","",IFERROR(INDEX(Jobs!$P$5:$P$604,MATCH(A364,Jobs!$A$5:$A$604,0)),""))</f>
        <v>0</v>
      </c>
      <c r="J364" s="21">
        <f>IF(A364="","",IF(OR(I364="Completed",I364="Invoiced"),IFERROR(INDEX(Jobs!$AJ$5:$AJ$604,MATCH(A364,Jobs!$A$5:$A$604,0)),0),0))</f>
        <v>0</v>
      </c>
      <c r="K364" s="34">
        <f>IF(A364="","",IFERROR(INDEX(Jobs!$AD$5:$AD$604,MATCH(A364,Jobs!$A$5:$A$604,0)),0))</f>
        <v>0</v>
      </c>
      <c r="L364" s="34">
        <f>IF(A364="","",IFERROR(INDEX(Jobs!$AK$5:$AK$604,MATCH(A364,Jobs!$A$5:$A$604,0)),0))</f>
        <v>0</v>
      </c>
      <c r="M364" s="34">
        <f>IF(A364="","",IF(IFERROR(L364*1,0)&gt;0,L364,IFERROR(K364*1,0)))</f>
        <v>0</v>
      </c>
      <c r="N364" s="21">
        <f>IF(A364="","",SUMIFS(Timesheets!$X$5:$X$804,Timesheets!$G$5:$G$804,A364))</f>
        <v>0</v>
      </c>
      <c r="O364" s="21">
        <f>IF(A364="","",IF(N364&gt;0,N364,ROUND(M364*CostPerHour,2)))</f>
        <v>0</v>
      </c>
      <c r="P364" s="21">
        <f>IF(A364="","",SUMIFS('Supply Usage'!$L$5:$L$304,'Supply Usage'!$F$5:$F$304,A364))</f>
        <v>0</v>
      </c>
      <c r="Q364" s="21">
        <f>IF(A364="","",IF(P364&gt;0,P364,ROUND(M364*SuppliesPerHour,2)))</f>
        <v>0</v>
      </c>
      <c r="R364" s="21">
        <f>IF(A364="","",ROUND(IFERROR(INDEX(Jobs!$W$5:$W$604,MATCH(A364,Jobs!$A$5:$A$604,0)),0)*MileageRate,2))</f>
        <v>0</v>
      </c>
      <c r="T364" s="21">
        <f>IF(A364="","",O364+Q364+R364+IF(S364="",0,S364))</f>
        <v>0</v>
      </c>
      <c r="U364" s="21">
        <f>IF(A364="","",J364-T364)</f>
        <v>0</v>
      </c>
      <c r="V364" s="38">
        <f>IF(OR(A364="",J364=0),"",U364/J364)</f>
        <v>0</v>
      </c>
      <c r="W364" s="21">
        <f>IF(OR(A364="",M364=0,J364=0),"",U364/M364)</f>
        <v>0</v>
      </c>
      <c r="X364" s="34">
        <f>IF(OR(A364="",L364="",L364=0,K364=""),"",L364-K364)</f>
        <v>0</v>
      </c>
      <c r="Y364" s="31">
        <f>IF(A364="","",COUNTIFS($U$5:$U$604,"&gt;"&amp;U364)+COUNTIFS($U$5:U364,U364))</f>
        <v>0</v>
      </c>
      <c r="Z364" s="31">
        <f>IF(A364="","",COUNTIFS($W$5:$W$604,"&gt;"&amp;W364)+COUNTIFS($W$5:W364,W364))</f>
        <v>0</v>
      </c>
      <c r="AA364" s="39">
        <f>IF(A364="","",IF(J364=0,"",IF(U364&lt;0,"Loss - this job cost you money",IF(V364&lt;MarginFloor,"Below - margin under the floor",IF(V364&lt;TargetMargin,"Check - under target margin",IF(AND(X364&lt;&gt;"",X364&gt;0.5),"Check - ran over the estimate","OK"))))))</f>
        <v>0</v>
      </c>
    </row>
    <row r="365" spans="1:27">
      <c r="A365" s="43">
        <f>IF(IFERROR(INDEX(Jobs!$A$5:$A$604,ROW()-4),"")="","",IFERROR(INDEX(Jobs!$A$5:$A$604,ROW()-4),""))</f>
        <v>0</v>
      </c>
      <c r="B365" s="18">
        <f>IF(A365="","",IFERROR(INDEX(Jobs!$B$5:$B$604,MATCH(A365,Jobs!$A$5:$A$604,0)),""))</f>
        <v>0</v>
      </c>
      <c r="C365" s="23">
        <f>IF(B365="","",TEXT(B365,"yyyy-mm"))</f>
        <v>0</v>
      </c>
      <c r="D365" s="43">
        <f>IF(A365="","",IFERROR(INDEX(Jobs!$G$5:$G$604,MATCH(A365,Jobs!$A$5:$A$604,0)),""))</f>
        <v>0</v>
      </c>
      <c r="E365" s="23">
        <f>IF(A365="","",IFERROR(INDEX(Jobs!$H$5:$H$604,MATCH(A365,Jobs!$A$5:$A$604,0)),""))</f>
        <v>0</v>
      </c>
      <c r="F365" s="23">
        <f>IF(A365="","",IFERROR(INDEX(Jobs!$K$5:$K$604,MATCH(A365,Jobs!$A$5:$A$604,0)),""))</f>
        <v>0</v>
      </c>
      <c r="G365" s="23">
        <f>IF(A365="","",IFERROR(INDEX(Jobs!$M$5:$M$604,MATCH(A365,Jobs!$A$5:$A$604,0)),""))</f>
        <v>0</v>
      </c>
      <c r="H365" s="23">
        <f>IF(A365="","",IFERROR(INDEX(Jobs!$R$5:$R$604,MATCH(A365,Jobs!$A$5:$A$604,0)),""))</f>
        <v>0</v>
      </c>
      <c r="I365" s="39">
        <f>IF(A365="","",IFERROR(INDEX(Jobs!$P$5:$P$604,MATCH(A365,Jobs!$A$5:$A$604,0)),""))</f>
        <v>0</v>
      </c>
      <c r="J365" s="21">
        <f>IF(A365="","",IF(OR(I365="Completed",I365="Invoiced"),IFERROR(INDEX(Jobs!$AJ$5:$AJ$604,MATCH(A365,Jobs!$A$5:$A$604,0)),0),0))</f>
        <v>0</v>
      </c>
      <c r="K365" s="34">
        <f>IF(A365="","",IFERROR(INDEX(Jobs!$AD$5:$AD$604,MATCH(A365,Jobs!$A$5:$A$604,0)),0))</f>
        <v>0</v>
      </c>
      <c r="L365" s="34">
        <f>IF(A365="","",IFERROR(INDEX(Jobs!$AK$5:$AK$604,MATCH(A365,Jobs!$A$5:$A$604,0)),0))</f>
        <v>0</v>
      </c>
      <c r="M365" s="34">
        <f>IF(A365="","",IF(IFERROR(L365*1,0)&gt;0,L365,IFERROR(K365*1,0)))</f>
        <v>0</v>
      </c>
      <c r="N365" s="21">
        <f>IF(A365="","",SUMIFS(Timesheets!$X$5:$X$804,Timesheets!$G$5:$G$804,A365))</f>
        <v>0</v>
      </c>
      <c r="O365" s="21">
        <f>IF(A365="","",IF(N365&gt;0,N365,ROUND(M365*CostPerHour,2)))</f>
        <v>0</v>
      </c>
      <c r="P365" s="21">
        <f>IF(A365="","",SUMIFS('Supply Usage'!$L$5:$L$304,'Supply Usage'!$F$5:$F$304,A365))</f>
        <v>0</v>
      </c>
      <c r="Q365" s="21">
        <f>IF(A365="","",IF(P365&gt;0,P365,ROUND(M365*SuppliesPerHour,2)))</f>
        <v>0</v>
      </c>
      <c r="R365" s="21">
        <f>IF(A365="","",ROUND(IFERROR(INDEX(Jobs!$W$5:$W$604,MATCH(A365,Jobs!$A$5:$A$604,0)),0)*MileageRate,2))</f>
        <v>0</v>
      </c>
      <c r="T365" s="21">
        <f>IF(A365="","",O365+Q365+R365+IF(S365="",0,S365))</f>
        <v>0</v>
      </c>
      <c r="U365" s="21">
        <f>IF(A365="","",J365-T365)</f>
        <v>0</v>
      </c>
      <c r="V365" s="38">
        <f>IF(OR(A365="",J365=0),"",U365/J365)</f>
        <v>0</v>
      </c>
      <c r="W365" s="21">
        <f>IF(OR(A365="",M365=0,J365=0),"",U365/M365)</f>
        <v>0</v>
      </c>
      <c r="X365" s="34">
        <f>IF(OR(A365="",L365="",L365=0,K365=""),"",L365-K365)</f>
        <v>0</v>
      </c>
      <c r="Y365" s="31">
        <f>IF(A365="","",COUNTIFS($U$5:$U$604,"&gt;"&amp;U365)+COUNTIFS($U$5:U365,U365))</f>
        <v>0</v>
      </c>
      <c r="Z365" s="31">
        <f>IF(A365="","",COUNTIFS($W$5:$W$604,"&gt;"&amp;W365)+COUNTIFS($W$5:W365,W365))</f>
        <v>0</v>
      </c>
      <c r="AA365" s="39">
        <f>IF(A365="","",IF(J365=0,"",IF(U365&lt;0,"Loss - this job cost you money",IF(V365&lt;MarginFloor,"Below - margin under the floor",IF(V365&lt;TargetMargin,"Check - under target margin",IF(AND(X365&lt;&gt;"",X365&gt;0.5),"Check - ran over the estimate","OK"))))))</f>
        <v>0</v>
      </c>
    </row>
    <row r="366" spans="1:27">
      <c r="A366" s="43">
        <f>IF(IFERROR(INDEX(Jobs!$A$5:$A$604,ROW()-4),"")="","",IFERROR(INDEX(Jobs!$A$5:$A$604,ROW()-4),""))</f>
        <v>0</v>
      </c>
      <c r="B366" s="18">
        <f>IF(A366="","",IFERROR(INDEX(Jobs!$B$5:$B$604,MATCH(A366,Jobs!$A$5:$A$604,0)),""))</f>
        <v>0</v>
      </c>
      <c r="C366" s="23">
        <f>IF(B366="","",TEXT(B366,"yyyy-mm"))</f>
        <v>0</v>
      </c>
      <c r="D366" s="43">
        <f>IF(A366="","",IFERROR(INDEX(Jobs!$G$5:$G$604,MATCH(A366,Jobs!$A$5:$A$604,0)),""))</f>
        <v>0</v>
      </c>
      <c r="E366" s="23">
        <f>IF(A366="","",IFERROR(INDEX(Jobs!$H$5:$H$604,MATCH(A366,Jobs!$A$5:$A$604,0)),""))</f>
        <v>0</v>
      </c>
      <c r="F366" s="23">
        <f>IF(A366="","",IFERROR(INDEX(Jobs!$K$5:$K$604,MATCH(A366,Jobs!$A$5:$A$604,0)),""))</f>
        <v>0</v>
      </c>
      <c r="G366" s="23">
        <f>IF(A366="","",IFERROR(INDEX(Jobs!$M$5:$M$604,MATCH(A366,Jobs!$A$5:$A$604,0)),""))</f>
        <v>0</v>
      </c>
      <c r="H366" s="23">
        <f>IF(A366="","",IFERROR(INDEX(Jobs!$R$5:$R$604,MATCH(A366,Jobs!$A$5:$A$604,0)),""))</f>
        <v>0</v>
      </c>
      <c r="I366" s="39">
        <f>IF(A366="","",IFERROR(INDEX(Jobs!$P$5:$P$604,MATCH(A366,Jobs!$A$5:$A$604,0)),""))</f>
        <v>0</v>
      </c>
      <c r="J366" s="21">
        <f>IF(A366="","",IF(OR(I366="Completed",I366="Invoiced"),IFERROR(INDEX(Jobs!$AJ$5:$AJ$604,MATCH(A366,Jobs!$A$5:$A$604,0)),0),0))</f>
        <v>0</v>
      </c>
      <c r="K366" s="34">
        <f>IF(A366="","",IFERROR(INDEX(Jobs!$AD$5:$AD$604,MATCH(A366,Jobs!$A$5:$A$604,0)),0))</f>
        <v>0</v>
      </c>
      <c r="L366" s="34">
        <f>IF(A366="","",IFERROR(INDEX(Jobs!$AK$5:$AK$604,MATCH(A366,Jobs!$A$5:$A$604,0)),0))</f>
        <v>0</v>
      </c>
      <c r="M366" s="34">
        <f>IF(A366="","",IF(IFERROR(L366*1,0)&gt;0,L366,IFERROR(K366*1,0)))</f>
        <v>0</v>
      </c>
      <c r="N366" s="21">
        <f>IF(A366="","",SUMIFS(Timesheets!$X$5:$X$804,Timesheets!$G$5:$G$804,A366))</f>
        <v>0</v>
      </c>
      <c r="O366" s="21">
        <f>IF(A366="","",IF(N366&gt;0,N366,ROUND(M366*CostPerHour,2)))</f>
        <v>0</v>
      </c>
      <c r="P366" s="21">
        <f>IF(A366="","",SUMIFS('Supply Usage'!$L$5:$L$304,'Supply Usage'!$F$5:$F$304,A366))</f>
        <v>0</v>
      </c>
      <c r="Q366" s="21">
        <f>IF(A366="","",IF(P366&gt;0,P366,ROUND(M366*SuppliesPerHour,2)))</f>
        <v>0</v>
      </c>
      <c r="R366" s="21">
        <f>IF(A366="","",ROUND(IFERROR(INDEX(Jobs!$W$5:$W$604,MATCH(A366,Jobs!$A$5:$A$604,0)),0)*MileageRate,2))</f>
        <v>0</v>
      </c>
      <c r="T366" s="21">
        <f>IF(A366="","",O366+Q366+R366+IF(S366="",0,S366))</f>
        <v>0</v>
      </c>
      <c r="U366" s="21">
        <f>IF(A366="","",J366-T366)</f>
        <v>0</v>
      </c>
      <c r="V366" s="38">
        <f>IF(OR(A366="",J366=0),"",U366/J366)</f>
        <v>0</v>
      </c>
      <c r="W366" s="21">
        <f>IF(OR(A366="",M366=0,J366=0),"",U366/M366)</f>
        <v>0</v>
      </c>
      <c r="X366" s="34">
        <f>IF(OR(A366="",L366="",L366=0,K366=""),"",L366-K366)</f>
        <v>0</v>
      </c>
      <c r="Y366" s="31">
        <f>IF(A366="","",COUNTIFS($U$5:$U$604,"&gt;"&amp;U366)+COUNTIFS($U$5:U366,U366))</f>
        <v>0</v>
      </c>
      <c r="Z366" s="31">
        <f>IF(A366="","",COUNTIFS($W$5:$W$604,"&gt;"&amp;W366)+COUNTIFS($W$5:W366,W366))</f>
        <v>0</v>
      </c>
      <c r="AA366" s="39">
        <f>IF(A366="","",IF(J366=0,"",IF(U366&lt;0,"Loss - this job cost you money",IF(V366&lt;MarginFloor,"Below - margin under the floor",IF(V366&lt;TargetMargin,"Check - under target margin",IF(AND(X366&lt;&gt;"",X366&gt;0.5),"Check - ran over the estimate","OK"))))))</f>
        <v>0</v>
      </c>
    </row>
    <row r="367" spans="1:27">
      <c r="A367" s="43">
        <f>IF(IFERROR(INDEX(Jobs!$A$5:$A$604,ROW()-4),"")="","",IFERROR(INDEX(Jobs!$A$5:$A$604,ROW()-4),""))</f>
        <v>0</v>
      </c>
      <c r="B367" s="18">
        <f>IF(A367="","",IFERROR(INDEX(Jobs!$B$5:$B$604,MATCH(A367,Jobs!$A$5:$A$604,0)),""))</f>
        <v>0</v>
      </c>
      <c r="C367" s="23">
        <f>IF(B367="","",TEXT(B367,"yyyy-mm"))</f>
        <v>0</v>
      </c>
      <c r="D367" s="43">
        <f>IF(A367="","",IFERROR(INDEX(Jobs!$G$5:$G$604,MATCH(A367,Jobs!$A$5:$A$604,0)),""))</f>
        <v>0</v>
      </c>
      <c r="E367" s="23">
        <f>IF(A367="","",IFERROR(INDEX(Jobs!$H$5:$H$604,MATCH(A367,Jobs!$A$5:$A$604,0)),""))</f>
        <v>0</v>
      </c>
      <c r="F367" s="23">
        <f>IF(A367="","",IFERROR(INDEX(Jobs!$K$5:$K$604,MATCH(A367,Jobs!$A$5:$A$604,0)),""))</f>
        <v>0</v>
      </c>
      <c r="G367" s="23">
        <f>IF(A367="","",IFERROR(INDEX(Jobs!$M$5:$M$604,MATCH(A367,Jobs!$A$5:$A$604,0)),""))</f>
        <v>0</v>
      </c>
      <c r="H367" s="23">
        <f>IF(A367="","",IFERROR(INDEX(Jobs!$R$5:$R$604,MATCH(A367,Jobs!$A$5:$A$604,0)),""))</f>
        <v>0</v>
      </c>
      <c r="I367" s="39">
        <f>IF(A367="","",IFERROR(INDEX(Jobs!$P$5:$P$604,MATCH(A367,Jobs!$A$5:$A$604,0)),""))</f>
        <v>0</v>
      </c>
      <c r="J367" s="21">
        <f>IF(A367="","",IF(OR(I367="Completed",I367="Invoiced"),IFERROR(INDEX(Jobs!$AJ$5:$AJ$604,MATCH(A367,Jobs!$A$5:$A$604,0)),0),0))</f>
        <v>0</v>
      </c>
      <c r="K367" s="34">
        <f>IF(A367="","",IFERROR(INDEX(Jobs!$AD$5:$AD$604,MATCH(A367,Jobs!$A$5:$A$604,0)),0))</f>
        <v>0</v>
      </c>
      <c r="L367" s="34">
        <f>IF(A367="","",IFERROR(INDEX(Jobs!$AK$5:$AK$604,MATCH(A367,Jobs!$A$5:$A$604,0)),0))</f>
        <v>0</v>
      </c>
      <c r="M367" s="34">
        <f>IF(A367="","",IF(IFERROR(L367*1,0)&gt;0,L367,IFERROR(K367*1,0)))</f>
        <v>0</v>
      </c>
      <c r="N367" s="21">
        <f>IF(A367="","",SUMIFS(Timesheets!$X$5:$X$804,Timesheets!$G$5:$G$804,A367))</f>
        <v>0</v>
      </c>
      <c r="O367" s="21">
        <f>IF(A367="","",IF(N367&gt;0,N367,ROUND(M367*CostPerHour,2)))</f>
        <v>0</v>
      </c>
      <c r="P367" s="21">
        <f>IF(A367="","",SUMIFS('Supply Usage'!$L$5:$L$304,'Supply Usage'!$F$5:$F$304,A367))</f>
        <v>0</v>
      </c>
      <c r="Q367" s="21">
        <f>IF(A367="","",IF(P367&gt;0,P367,ROUND(M367*SuppliesPerHour,2)))</f>
        <v>0</v>
      </c>
      <c r="R367" s="21">
        <f>IF(A367="","",ROUND(IFERROR(INDEX(Jobs!$W$5:$W$604,MATCH(A367,Jobs!$A$5:$A$604,0)),0)*MileageRate,2))</f>
        <v>0</v>
      </c>
      <c r="T367" s="21">
        <f>IF(A367="","",O367+Q367+R367+IF(S367="",0,S367))</f>
        <v>0</v>
      </c>
      <c r="U367" s="21">
        <f>IF(A367="","",J367-T367)</f>
        <v>0</v>
      </c>
      <c r="V367" s="38">
        <f>IF(OR(A367="",J367=0),"",U367/J367)</f>
        <v>0</v>
      </c>
      <c r="W367" s="21">
        <f>IF(OR(A367="",M367=0,J367=0),"",U367/M367)</f>
        <v>0</v>
      </c>
      <c r="X367" s="34">
        <f>IF(OR(A367="",L367="",L367=0,K367=""),"",L367-K367)</f>
        <v>0</v>
      </c>
      <c r="Y367" s="31">
        <f>IF(A367="","",COUNTIFS($U$5:$U$604,"&gt;"&amp;U367)+COUNTIFS($U$5:U367,U367))</f>
        <v>0</v>
      </c>
      <c r="Z367" s="31">
        <f>IF(A367="","",COUNTIFS($W$5:$W$604,"&gt;"&amp;W367)+COUNTIFS($W$5:W367,W367))</f>
        <v>0</v>
      </c>
      <c r="AA367" s="39">
        <f>IF(A367="","",IF(J367=0,"",IF(U367&lt;0,"Loss - this job cost you money",IF(V367&lt;MarginFloor,"Below - margin under the floor",IF(V367&lt;TargetMargin,"Check - under target margin",IF(AND(X367&lt;&gt;"",X367&gt;0.5),"Check - ran over the estimate","OK"))))))</f>
        <v>0</v>
      </c>
    </row>
    <row r="368" spans="1:27">
      <c r="A368" s="43">
        <f>IF(IFERROR(INDEX(Jobs!$A$5:$A$604,ROW()-4),"")="","",IFERROR(INDEX(Jobs!$A$5:$A$604,ROW()-4),""))</f>
        <v>0</v>
      </c>
      <c r="B368" s="18">
        <f>IF(A368="","",IFERROR(INDEX(Jobs!$B$5:$B$604,MATCH(A368,Jobs!$A$5:$A$604,0)),""))</f>
        <v>0</v>
      </c>
      <c r="C368" s="23">
        <f>IF(B368="","",TEXT(B368,"yyyy-mm"))</f>
        <v>0</v>
      </c>
      <c r="D368" s="43">
        <f>IF(A368="","",IFERROR(INDEX(Jobs!$G$5:$G$604,MATCH(A368,Jobs!$A$5:$A$604,0)),""))</f>
        <v>0</v>
      </c>
      <c r="E368" s="23">
        <f>IF(A368="","",IFERROR(INDEX(Jobs!$H$5:$H$604,MATCH(A368,Jobs!$A$5:$A$604,0)),""))</f>
        <v>0</v>
      </c>
      <c r="F368" s="23">
        <f>IF(A368="","",IFERROR(INDEX(Jobs!$K$5:$K$604,MATCH(A368,Jobs!$A$5:$A$604,0)),""))</f>
        <v>0</v>
      </c>
      <c r="G368" s="23">
        <f>IF(A368="","",IFERROR(INDEX(Jobs!$M$5:$M$604,MATCH(A368,Jobs!$A$5:$A$604,0)),""))</f>
        <v>0</v>
      </c>
      <c r="H368" s="23">
        <f>IF(A368="","",IFERROR(INDEX(Jobs!$R$5:$R$604,MATCH(A368,Jobs!$A$5:$A$604,0)),""))</f>
        <v>0</v>
      </c>
      <c r="I368" s="39">
        <f>IF(A368="","",IFERROR(INDEX(Jobs!$P$5:$P$604,MATCH(A368,Jobs!$A$5:$A$604,0)),""))</f>
        <v>0</v>
      </c>
      <c r="J368" s="21">
        <f>IF(A368="","",IF(OR(I368="Completed",I368="Invoiced"),IFERROR(INDEX(Jobs!$AJ$5:$AJ$604,MATCH(A368,Jobs!$A$5:$A$604,0)),0),0))</f>
        <v>0</v>
      </c>
      <c r="K368" s="34">
        <f>IF(A368="","",IFERROR(INDEX(Jobs!$AD$5:$AD$604,MATCH(A368,Jobs!$A$5:$A$604,0)),0))</f>
        <v>0</v>
      </c>
      <c r="L368" s="34">
        <f>IF(A368="","",IFERROR(INDEX(Jobs!$AK$5:$AK$604,MATCH(A368,Jobs!$A$5:$A$604,0)),0))</f>
        <v>0</v>
      </c>
      <c r="M368" s="34">
        <f>IF(A368="","",IF(IFERROR(L368*1,0)&gt;0,L368,IFERROR(K368*1,0)))</f>
        <v>0</v>
      </c>
      <c r="N368" s="21">
        <f>IF(A368="","",SUMIFS(Timesheets!$X$5:$X$804,Timesheets!$G$5:$G$804,A368))</f>
        <v>0</v>
      </c>
      <c r="O368" s="21">
        <f>IF(A368="","",IF(N368&gt;0,N368,ROUND(M368*CostPerHour,2)))</f>
        <v>0</v>
      </c>
      <c r="P368" s="21">
        <f>IF(A368="","",SUMIFS('Supply Usage'!$L$5:$L$304,'Supply Usage'!$F$5:$F$304,A368))</f>
        <v>0</v>
      </c>
      <c r="Q368" s="21">
        <f>IF(A368="","",IF(P368&gt;0,P368,ROUND(M368*SuppliesPerHour,2)))</f>
        <v>0</v>
      </c>
      <c r="R368" s="21">
        <f>IF(A368="","",ROUND(IFERROR(INDEX(Jobs!$W$5:$W$604,MATCH(A368,Jobs!$A$5:$A$604,0)),0)*MileageRate,2))</f>
        <v>0</v>
      </c>
      <c r="T368" s="21">
        <f>IF(A368="","",O368+Q368+R368+IF(S368="",0,S368))</f>
        <v>0</v>
      </c>
      <c r="U368" s="21">
        <f>IF(A368="","",J368-T368)</f>
        <v>0</v>
      </c>
      <c r="V368" s="38">
        <f>IF(OR(A368="",J368=0),"",U368/J368)</f>
        <v>0</v>
      </c>
      <c r="W368" s="21">
        <f>IF(OR(A368="",M368=0,J368=0),"",U368/M368)</f>
        <v>0</v>
      </c>
      <c r="X368" s="34">
        <f>IF(OR(A368="",L368="",L368=0,K368=""),"",L368-K368)</f>
        <v>0</v>
      </c>
      <c r="Y368" s="31">
        <f>IF(A368="","",COUNTIFS($U$5:$U$604,"&gt;"&amp;U368)+COUNTIFS($U$5:U368,U368))</f>
        <v>0</v>
      </c>
      <c r="Z368" s="31">
        <f>IF(A368="","",COUNTIFS($W$5:$W$604,"&gt;"&amp;W368)+COUNTIFS($W$5:W368,W368))</f>
        <v>0</v>
      </c>
      <c r="AA368" s="39">
        <f>IF(A368="","",IF(J368=0,"",IF(U368&lt;0,"Loss - this job cost you money",IF(V368&lt;MarginFloor,"Below - margin under the floor",IF(V368&lt;TargetMargin,"Check - under target margin",IF(AND(X368&lt;&gt;"",X368&gt;0.5),"Check - ran over the estimate","OK"))))))</f>
        <v>0</v>
      </c>
    </row>
    <row r="369" spans="1:27">
      <c r="A369" s="43">
        <f>IF(IFERROR(INDEX(Jobs!$A$5:$A$604,ROW()-4),"")="","",IFERROR(INDEX(Jobs!$A$5:$A$604,ROW()-4),""))</f>
        <v>0</v>
      </c>
      <c r="B369" s="18">
        <f>IF(A369="","",IFERROR(INDEX(Jobs!$B$5:$B$604,MATCH(A369,Jobs!$A$5:$A$604,0)),""))</f>
        <v>0</v>
      </c>
      <c r="C369" s="23">
        <f>IF(B369="","",TEXT(B369,"yyyy-mm"))</f>
        <v>0</v>
      </c>
      <c r="D369" s="43">
        <f>IF(A369="","",IFERROR(INDEX(Jobs!$G$5:$G$604,MATCH(A369,Jobs!$A$5:$A$604,0)),""))</f>
        <v>0</v>
      </c>
      <c r="E369" s="23">
        <f>IF(A369="","",IFERROR(INDEX(Jobs!$H$5:$H$604,MATCH(A369,Jobs!$A$5:$A$604,0)),""))</f>
        <v>0</v>
      </c>
      <c r="F369" s="23">
        <f>IF(A369="","",IFERROR(INDEX(Jobs!$K$5:$K$604,MATCH(A369,Jobs!$A$5:$A$604,0)),""))</f>
        <v>0</v>
      </c>
      <c r="G369" s="23">
        <f>IF(A369="","",IFERROR(INDEX(Jobs!$M$5:$M$604,MATCH(A369,Jobs!$A$5:$A$604,0)),""))</f>
        <v>0</v>
      </c>
      <c r="H369" s="23">
        <f>IF(A369="","",IFERROR(INDEX(Jobs!$R$5:$R$604,MATCH(A369,Jobs!$A$5:$A$604,0)),""))</f>
        <v>0</v>
      </c>
      <c r="I369" s="39">
        <f>IF(A369="","",IFERROR(INDEX(Jobs!$P$5:$P$604,MATCH(A369,Jobs!$A$5:$A$604,0)),""))</f>
        <v>0</v>
      </c>
      <c r="J369" s="21">
        <f>IF(A369="","",IF(OR(I369="Completed",I369="Invoiced"),IFERROR(INDEX(Jobs!$AJ$5:$AJ$604,MATCH(A369,Jobs!$A$5:$A$604,0)),0),0))</f>
        <v>0</v>
      </c>
      <c r="K369" s="34">
        <f>IF(A369="","",IFERROR(INDEX(Jobs!$AD$5:$AD$604,MATCH(A369,Jobs!$A$5:$A$604,0)),0))</f>
        <v>0</v>
      </c>
      <c r="L369" s="34">
        <f>IF(A369="","",IFERROR(INDEX(Jobs!$AK$5:$AK$604,MATCH(A369,Jobs!$A$5:$A$604,0)),0))</f>
        <v>0</v>
      </c>
      <c r="M369" s="34">
        <f>IF(A369="","",IF(IFERROR(L369*1,0)&gt;0,L369,IFERROR(K369*1,0)))</f>
        <v>0</v>
      </c>
      <c r="N369" s="21">
        <f>IF(A369="","",SUMIFS(Timesheets!$X$5:$X$804,Timesheets!$G$5:$G$804,A369))</f>
        <v>0</v>
      </c>
      <c r="O369" s="21">
        <f>IF(A369="","",IF(N369&gt;0,N369,ROUND(M369*CostPerHour,2)))</f>
        <v>0</v>
      </c>
      <c r="P369" s="21">
        <f>IF(A369="","",SUMIFS('Supply Usage'!$L$5:$L$304,'Supply Usage'!$F$5:$F$304,A369))</f>
        <v>0</v>
      </c>
      <c r="Q369" s="21">
        <f>IF(A369="","",IF(P369&gt;0,P369,ROUND(M369*SuppliesPerHour,2)))</f>
        <v>0</v>
      </c>
      <c r="R369" s="21">
        <f>IF(A369="","",ROUND(IFERROR(INDEX(Jobs!$W$5:$W$604,MATCH(A369,Jobs!$A$5:$A$604,0)),0)*MileageRate,2))</f>
        <v>0</v>
      </c>
      <c r="T369" s="21">
        <f>IF(A369="","",O369+Q369+R369+IF(S369="",0,S369))</f>
        <v>0</v>
      </c>
      <c r="U369" s="21">
        <f>IF(A369="","",J369-T369)</f>
        <v>0</v>
      </c>
      <c r="V369" s="38">
        <f>IF(OR(A369="",J369=0),"",U369/J369)</f>
        <v>0</v>
      </c>
      <c r="W369" s="21">
        <f>IF(OR(A369="",M369=0,J369=0),"",U369/M369)</f>
        <v>0</v>
      </c>
      <c r="X369" s="34">
        <f>IF(OR(A369="",L369="",L369=0,K369=""),"",L369-K369)</f>
        <v>0</v>
      </c>
      <c r="Y369" s="31">
        <f>IF(A369="","",COUNTIFS($U$5:$U$604,"&gt;"&amp;U369)+COUNTIFS($U$5:U369,U369))</f>
        <v>0</v>
      </c>
      <c r="Z369" s="31">
        <f>IF(A369="","",COUNTIFS($W$5:$W$604,"&gt;"&amp;W369)+COUNTIFS($W$5:W369,W369))</f>
        <v>0</v>
      </c>
      <c r="AA369" s="39">
        <f>IF(A369="","",IF(J369=0,"",IF(U369&lt;0,"Loss - this job cost you money",IF(V369&lt;MarginFloor,"Below - margin under the floor",IF(V369&lt;TargetMargin,"Check - under target margin",IF(AND(X369&lt;&gt;"",X369&gt;0.5),"Check - ran over the estimate","OK"))))))</f>
        <v>0</v>
      </c>
    </row>
    <row r="370" spans="1:27">
      <c r="A370" s="43">
        <f>IF(IFERROR(INDEX(Jobs!$A$5:$A$604,ROW()-4),"")="","",IFERROR(INDEX(Jobs!$A$5:$A$604,ROW()-4),""))</f>
        <v>0</v>
      </c>
      <c r="B370" s="18">
        <f>IF(A370="","",IFERROR(INDEX(Jobs!$B$5:$B$604,MATCH(A370,Jobs!$A$5:$A$604,0)),""))</f>
        <v>0</v>
      </c>
      <c r="C370" s="23">
        <f>IF(B370="","",TEXT(B370,"yyyy-mm"))</f>
        <v>0</v>
      </c>
      <c r="D370" s="43">
        <f>IF(A370="","",IFERROR(INDEX(Jobs!$G$5:$G$604,MATCH(A370,Jobs!$A$5:$A$604,0)),""))</f>
        <v>0</v>
      </c>
      <c r="E370" s="23">
        <f>IF(A370="","",IFERROR(INDEX(Jobs!$H$5:$H$604,MATCH(A370,Jobs!$A$5:$A$604,0)),""))</f>
        <v>0</v>
      </c>
      <c r="F370" s="23">
        <f>IF(A370="","",IFERROR(INDEX(Jobs!$K$5:$K$604,MATCH(A370,Jobs!$A$5:$A$604,0)),""))</f>
        <v>0</v>
      </c>
      <c r="G370" s="23">
        <f>IF(A370="","",IFERROR(INDEX(Jobs!$M$5:$M$604,MATCH(A370,Jobs!$A$5:$A$604,0)),""))</f>
        <v>0</v>
      </c>
      <c r="H370" s="23">
        <f>IF(A370="","",IFERROR(INDEX(Jobs!$R$5:$R$604,MATCH(A370,Jobs!$A$5:$A$604,0)),""))</f>
        <v>0</v>
      </c>
      <c r="I370" s="39">
        <f>IF(A370="","",IFERROR(INDEX(Jobs!$P$5:$P$604,MATCH(A370,Jobs!$A$5:$A$604,0)),""))</f>
        <v>0</v>
      </c>
      <c r="J370" s="21">
        <f>IF(A370="","",IF(OR(I370="Completed",I370="Invoiced"),IFERROR(INDEX(Jobs!$AJ$5:$AJ$604,MATCH(A370,Jobs!$A$5:$A$604,0)),0),0))</f>
        <v>0</v>
      </c>
      <c r="K370" s="34">
        <f>IF(A370="","",IFERROR(INDEX(Jobs!$AD$5:$AD$604,MATCH(A370,Jobs!$A$5:$A$604,0)),0))</f>
        <v>0</v>
      </c>
      <c r="L370" s="34">
        <f>IF(A370="","",IFERROR(INDEX(Jobs!$AK$5:$AK$604,MATCH(A370,Jobs!$A$5:$A$604,0)),0))</f>
        <v>0</v>
      </c>
      <c r="M370" s="34">
        <f>IF(A370="","",IF(IFERROR(L370*1,0)&gt;0,L370,IFERROR(K370*1,0)))</f>
        <v>0</v>
      </c>
      <c r="N370" s="21">
        <f>IF(A370="","",SUMIFS(Timesheets!$X$5:$X$804,Timesheets!$G$5:$G$804,A370))</f>
        <v>0</v>
      </c>
      <c r="O370" s="21">
        <f>IF(A370="","",IF(N370&gt;0,N370,ROUND(M370*CostPerHour,2)))</f>
        <v>0</v>
      </c>
      <c r="P370" s="21">
        <f>IF(A370="","",SUMIFS('Supply Usage'!$L$5:$L$304,'Supply Usage'!$F$5:$F$304,A370))</f>
        <v>0</v>
      </c>
      <c r="Q370" s="21">
        <f>IF(A370="","",IF(P370&gt;0,P370,ROUND(M370*SuppliesPerHour,2)))</f>
        <v>0</v>
      </c>
      <c r="R370" s="21">
        <f>IF(A370="","",ROUND(IFERROR(INDEX(Jobs!$W$5:$W$604,MATCH(A370,Jobs!$A$5:$A$604,0)),0)*MileageRate,2))</f>
        <v>0</v>
      </c>
      <c r="T370" s="21">
        <f>IF(A370="","",O370+Q370+R370+IF(S370="",0,S370))</f>
        <v>0</v>
      </c>
      <c r="U370" s="21">
        <f>IF(A370="","",J370-T370)</f>
        <v>0</v>
      </c>
      <c r="V370" s="38">
        <f>IF(OR(A370="",J370=0),"",U370/J370)</f>
        <v>0</v>
      </c>
      <c r="W370" s="21">
        <f>IF(OR(A370="",M370=0,J370=0),"",U370/M370)</f>
        <v>0</v>
      </c>
      <c r="X370" s="34">
        <f>IF(OR(A370="",L370="",L370=0,K370=""),"",L370-K370)</f>
        <v>0</v>
      </c>
      <c r="Y370" s="31">
        <f>IF(A370="","",COUNTIFS($U$5:$U$604,"&gt;"&amp;U370)+COUNTIFS($U$5:U370,U370))</f>
        <v>0</v>
      </c>
      <c r="Z370" s="31">
        <f>IF(A370="","",COUNTIFS($W$5:$W$604,"&gt;"&amp;W370)+COUNTIFS($W$5:W370,W370))</f>
        <v>0</v>
      </c>
      <c r="AA370" s="39">
        <f>IF(A370="","",IF(J370=0,"",IF(U370&lt;0,"Loss - this job cost you money",IF(V370&lt;MarginFloor,"Below - margin under the floor",IF(V370&lt;TargetMargin,"Check - under target margin",IF(AND(X370&lt;&gt;"",X370&gt;0.5),"Check - ran over the estimate","OK"))))))</f>
        <v>0</v>
      </c>
    </row>
    <row r="371" spans="1:27">
      <c r="A371" s="43">
        <f>IF(IFERROR(INDEX(Jobs!$A$5:$A$604,ROW()-4),"")="","",IFERROR(INDEX(Jobs!$A$5:$A$604,ROW()-4),""))</f>
        <v>0</v>
      </c>
      <c r="B371" s="18">
        <f>IF(A371="","",IFERROR(INDEX(Jobs!$B$5:$B$604,MATCH(A371,Jobs!$A$5:$A$604,0)),""))</f>
        <v>0</v>
      </c>
      <c r="C371" s="23">
        <f>IF(B371="","",TEXT(B371,"yyyy-mm"))</f>
        <v>0</v>
      </c>
      <c r="D371" s="43">
        <f>IF(A371="","",IFERROR(INDEX(Jobs!$G$5:$G$604,MATCH(A371,Jobs!$A$5:$A$604,0)),""))</f>
        <v>0</v>
      </c>
      <c r="E371" s="23">
        <f>IF(A371="","",IFERROR(INDEX(Jobs!$H$5:$H$604,MATCH(A371,Jobs!$A$5:$A$604,0)),""))</f>
        <v>0</v>
      </c>
      <c r="F371" s="23">
        <f>IF(A371="","",IFERROR(INDEX(Jobs!$K$5:$K$604,MATCH(A371,Jobs!$A$5:$A$604,0)),""))</f>
        <v>0</v>
      </c>
      <c r="G371" s="23">
        <f>IF(A371="","",IFERROR(INDEX(Jobs!$M$5:$M$604,MATCH(A371,Jobs!$A$5:$A$604,0)),""))</f>
        <v>0</v>
      </c>
      <c r="H371" s="23">
        <f>IF(A371="","",IFERROR(INDEX(Jobs!$R$5:$R$604,MATCH(A371,Jobs!$A$5:$A$604,0)),""))</f>
        <v>0</v>
      </c>
      <c r="I371" s="39">
        <f>IF(A371="","",IFERROR(INDEX(Jobs!$P$5:$P$604,MATCH(A371,Jobs!$A$5:$A$604,0)),""))</f>
        <v>0</v>
      </c>
      <c r="J371" s="21">
        <f>IF(A371="","",IF(OR(I371="Completed",I371="Invoiced"),IFERROR(INDEX(Jobs!$AJ$5:$AJ$604,MATCH(A371,Jobs!$A$5:$A$604,0)),0),0))</f>
        <v>0</v>
      </c>
      <c r="K371" s="34">
        <f>IF(A371="","",IFERROR(INDEX(Jobs!$AD$5:$AD$604,MATCH(A371,Jobs!$A$5:$A$604,0)),0))</f>
        <v>0</v>
      </c>
      <c r="L371" s="34">
        <f>IF(A371="","",IFERROR(INDEX(Jobs!$AK$5:$AK$604,MATCH(A371,Jobs!$A$5:$A$604,0)),0))</f>
        <v>0</v>
      </c>
      <c r="M371" s="34">
        <f>IF(A371="","",IF(IFERROR(L371*1,0)&gt;0,L371,IFERROR(K371*1,0)))</f>
        <v>0</v>
      </c>
      <c r="N371" s="21">
        <f>IF(A371="","",SUMIFS(Timesheets!$X$5:$X$804,Timesheets!$G$5:$G$804,A371))</f>
        <v>0</v>
      </c>
      <c r="O371" s="21">
        <f>IF(A371="","",IF(N371&gt;0,N371,ROUND(M371*CostPerHour,2)))</f>
        <v>0</v>
      </c>
      <c r="P371" s="21">
        <f>IF(A371="","",SUMIFS('Supply Usage'!$L$5:$L$304,'Supply Usage'!$F$5:$F$304,A371))</f>
        <v>0</v>
      </c>
      <c r="Q371" s="21">
        <f>IF(A371="","",IF(P371&gt;0,P371,ROUND(M371*SuppliesPerHour,2)))</f>
        <v>0</v>
      </c>
      <c r="R371" s="21">
        <f>IF(A371="","",ROUND(IFERROR(INDEX(Jobs!$W$5:$W$604,MATCH(A371,Jobs!$A$5:$A$604,0)),0)*MileageRate,2))</f>
        <v>0</v>
      </c>
      <c r="T371" s="21">
        <f>IF(A371="","",O371+Q371+R371+IF(S371="",0,S371))</f>
        <v>0</v>
      </c>
      <c r="U371" s="21">
        <f>IF(A371="","",J371-T371)</f>
        <v>0</v>
      </c>
      <c r="V371" s="38">
        <f>IF(OR(A371="",J371=0),"",U371/J371)</f>
        <v>0</v>
      </c>
      <c r="W371" s="21">
        <f>IF(OR(A371="",M371=0,J371=0),"",U371/M371)</f>
        <v>0</v>
      </c>
      <c r="X371" s="34">
        <f>IF(OR(A371="",L371="",L371=0,K371=""),"",L371-K371)</f>
        <v>0</v>
      </c>
      <c r="Y371" s="31">
        <f>IF(A371="","",COUNTIFS($U$5:$U$604,"&gt;"&amp;U371)+COUNTIFS($U$5:U371,U371))</f>
        <v>0</v>
      </c>
      <c r="Z371" s="31">
        <f>IF(A371="","",COUNTIFS($W$5:$W$604,"&gt;"&amp;W371)+COUNTIFS($W$5:W371,W371))</f>
        <v>0</v>
      </c>
      <c r="AA371" s="39">
        <f>IF(A371="","",IF(J371=0,"",IF(U371&lt;0,"Loss - this job cost you money",IF(V371&lt;MarginFloor,"Below - margin under the floor",IF(V371&lt;TargetMargin,"Check - under target margin",IF(AND(X371&lt;&gt;"",X371&gt;0.5),"Check - ran over the estimate","OK"))))))</f>
        <v>0</v>
      </c>
    </row>
    <row r="372" spans="1:27">
      <c r="A372" s="43">
        <f>IF(IFERROR(INDEX(Jobs!$A$5:$A$604,ROW()-4),"")="","",IFERROR(INDEX(Jobs!$A$5:$A$604,ROW()-4),""))</f>
        <v>0</v>
      </c>
      <c r="B372" s="18">
        <f>IF(A372="","",IFERROR(INDEX(Jobs!$B$5:$B$604,MATCH(A372,Jobs!$A$5:$A$604,0)),""))</f>
        <v>0</v>
      </c>
      <c r="C372" s="23">
        <f>IF(B372="","",TEXT(B372,"yyyy-mm"))</f>
        <v>0</v>
      </c>
      <c r="D372" s="43">
        <f>IF(A372="","",IFERROR(INDEX(Jobs!$G$5:$G$604,MATCH(A372,Jobs!$A$5:$A$604,0)),""))</f>
        <v>0</v>
      </c>
      <c r="E372" s="23">
        <f>IF(A372="","",IFERROR(INDEX(Jobs!$H$5:$H$604,MATCH(A372,Jobs!$A$5:$A$604,0)),""))</f>
        <v>0</v>
      </c>
      <c r="F372" s="23">
        <f>IF(A372="","",IFERROR(INDEX(Jobs!$K$5:$K$604,MATCH(A372,Jobs!$A$5:$A$604,0)),""))</f>
        <v>0</v>
      </c>
      <c r="G372" s="23">
        <f>IF(A372="","",IFERROR(INDEX(Jobs!$M$5:$M$604,MATCH(A372,Jobs!$A$5:$A$604,0)),""))</f>
        <v>0</v>
      </c>
      <c r="H372" s="23">
        <f>IF(A372="","",IFERROR(INDEX(Jobs!$R$5:$R$604,MATCH(A372,Jobs!$A$5:$A$604,0)),""))</f>
        <v>0</v>
      </c>
      <c r="I372" s="39">
        <f>IF(A372="","",IFERROR(INDEX(Jobs!$P$5:$P$604,MATCH(A372,Jobs!$A$5:$A$604,0)),""))</f>
        <v>0</v>
      </c>
      <c r="J372" s="21">
        <f>IF(A372="","",IF(OR(I372="Completed",I372="Invoiced"),IFERROR(INDEX(Jobs!$AJ$5:$AJ$604,MATCH(A372,Jobs!$A$5:$A$604,0)),0),0))</f>
        <v>0</v>
      </c>
      <c r="K372" s="34">
        <f>IF(A372="","",IFERROR(INDEX(Jobs!$AD$5:$AD$604,MATCH(A372,Jobs!$A$5:$A$604,0)),0))</f>
        <v>0</v>
      </c>
      <c r="L372" s="34">
        <f>IF(A372="","",IFERROR(INDEX(Jobs!$AK$5:$AK$604,MATCH(A372,Jobs!$A$5:$A$604,0)),0))</f>
        <v>0</v>
      </c>
      <c r="M372" s="34">
        <f>IF(A372="","",IF(IFERROR(L372*1,0)&gt;0,L372,IFERROR(K372*1,0)))</f>
        <v>0</v>
      </c>
      <c r="N372" s="21">
        <f>IF(A372="","",SUMIFS(Timesheets!$X$5:$X$804,Timesheets!$G$5:$G$804,A372))</f>
        <v>0</v>
      </c>
      <c r="O372" s="21">
        <f>IF(A372="","",IF(N372&gt;0,N372,ROUND(M372*CostPerHour,2)))</f>
        <v>0</v>
      </c>
      <c r="P372" s="21">
        <f>IF(A372="","",SUMIFS('Supply Usage'!$L$5:$L$304,'Supply Usage'!$F$5:$F$304,A372))</f>
        <v>0</v>
      </c>
      <c r="Q372" s="21">
        <f>IF(A372="","",IF(P372&gt;0,P372,ROUND(M372*SuppliesPerHour,2)))</f>
        <v>0</v>
      </c>
      <c r="R372" s="21">
        <f>IF(A372="","",ROUND(IFERROR(INDEX(Jobs!$W$5:$W$604,MATCH(A372,Jobs!$A$5:$A$604,0)),0)*MileageRate,2))</f>
        <v>0</v>
      </c>
      <c r="T372" s="21">
        <f>IF(A372="","",O372+Q372+R372+IF(S372="",0,S372))</f>
        <v>0</v>
      </c>
      <c r="U372" s="21">
        <f>IF(A372="","",J372-T372)</f>
        <v>0</v>
      </c>
      <c r="V372" s="38">
        <f>IF(OR(A372="",J372=0),"",U372/J372)</f>
        <v>0</v>
      </c>
      <c r="W372" s="21">
        <f>IF(OR(A372="",M372=0,J372=0),"",U372/M372)</f>
        <v>0</v>
      </c>
      <c r="X372" s="34">
        <f>IF(OR(A372="",L372="",L372=0,K372=""),"",L372-K372)</f>
        <v>0</v>
      </c>
      <c r="Y372" s="31">
        <f>IF(A372="","",COUNTIFS($U$5:$U$604,"&gt;"&amp;U372)+COUNTIFS($U$5:U372,U372))</f>
        <v>0</v>
      </c>
      <c r="Z372" s="31">
        <f>IF(A372="","",COUNTIFS($W$5:$W$604,"&gt;"&amp;W372)+COUNTIFS($W$5:W372,W372))</f>
        <v>0</v>
      </c>
      <c r="AA372" s="39">
        <f>IF(A372="","",IF(J372=0,"",IF(U372&lt;0,"Loss - this job cost you money",IF(V372&lt;MarginFloor,"Below - margin under the floor",IF(V372&lt;TargetMargin,"Check - under target margin",IF(AND(X372&lt;&gt;"",X372&gt;0.5),"Check - ran over the estimate","OK"))))))</f>
        <v>0</v>
      </c>
    </row>
    <row r="373" spans="1:27">
      <c r="A373" s="43">
        <f>IF(IFERROR(INDEX(Jobs!$A$5:$A$604,ROW()-4),"")="","",IFERROR(INDEX(Jobs!$A$5:$A$604,ROW()-4),""))</f>
        <v>0</v>
      </c>
      <c r="B373" s="18">
        <f>IF(A373="","",IFERROR(INDEX(Jobs!$B$5:$B$604,MATCH(A373,Jobs!$A$5:$A$604,0)),""))</f>
        <v>0</v>
      </c>
      <c r="C373" s="23">
        <f>IF(B373="","",TEXT(B373,"yyyy-mm"))</f>
        <v>0</v>
      </c>
      <c r="D373" s="43">
        <f>IF(A373="","",IFERROR(INDEX(Jobs!$G$5:$G$604,MATCH(A373,Jobs!$A$5:$A$604,0)),""))</f>
        <v>0</v>
      </c>
      <c r="E373" s="23">
        <f>IF(A373="","",IFERROR(INDEX(Jobs!$H$5:$H$604,MATCH(A373,Jobs!$A$5:$A$604,0)),""))</f>
        <v>0</v>
      </c>
      <c r="F373" s="23">
        <f>IF(A373="","",IFERROR(INDEX(Jobs!$K$5:$K$604,MATCH(A373,Jobs!$A$5:$A$604,0)),""))</f>
        <v>0</v>
      </c>
      <c r="G373" s="23">
        <f>IF(A373="","",IFERROR(INDEX(Jobs!$M$5:$M$604,MATCH(A373,Jobs!$A$5:$A$604,0)),""))</f>
        <v>0</v>
      </c>
      <c r="H373" s="23">
        <f>IF(A373="","",IFERROR(INDEX(Jobs!$R$5:$R$604,MATCH(A373,Jobs!$A$5:$A$604,0)),""))</f>
        <v>0</v>
      </c>
      <c r="I373" s="39">
        <f>IF(A373="","",IFERROR(INDEX(Jobs!$P$5:$P$604,MATCH(A373,Jobs!$A$5:$A$604,0)),""))</f>
        <v>0</v>
      </c>
      <c r="J373" s="21">
        <f>IF(A373="","",IF(OR(I373="Completed",I373="Invoiced"),IFERROR(INDEX(Jobs!$AJ$5:$AJ$604,MATCH(A373,Jobs!$A$5:$A$604,0)),0),0))</f>
        <v>0</v>
      </c>
      <c r="K373" s="34">
        <f>IF(A373="","",IFERROR(INDEX(Jobs!$AD$5:$AD$604,MATCH(A373,Jobs!$A$5:$A$604,0)),0))</f>
        <v>0</v>
      </c>
      <c r="L373" s="34">
        <f>IF(A373="","",IFERROR(INDEX(Jobs!$AK$5:$AK$604,MATCH(A373,Jobs!$A$5:$A$604,0)),0))</f>
        <v>0</v>
      </c>
      <c r="M373" s="34">
        <f>IF(A373="","",IF(IFERROR(L373*1,0)&gt;0,L373,IFERROR(K373*1,0)))</f>
        <v>0</v>
      </c>
      <c r="N373" s="21">
        <f>IF(A373="","",SUMIFS(Timesheets!$X$5:$X$804,Timesheets!$G$5:$G$804,A373))</f>
        <v>0</v>
      </c>
      <c r="O373" s="21">
        <f>IF(A373="","",IF(N373&gt;0,N373,ROUND(M373*CostPerHour,2)))</f>
        <v>0</v>
      </c>
      <c r="P373" s="21">
        <f>IF(A373="","",SUMIFS('Supply Usage'!$L$5:$L$304,'Supply Usage'!$F$5:$F$304,A373))</f>
        <v>0</v>
      </c>
      <c r="Q373" s="21">
        <f>IF(A373="","",IF(P373&gt;0,P373,ROUND(M373*SuppliesPerHour,2)))</f>
        <v>0</v>
      </c>
      <c r="R373" s="21">
        <f>IF(A373="","",ROUND(IFERROR(INDEX(Jobs!$W$5:$W$604,MATCH(A373,Jobs!$A$5:$A$604,0)),0)*MileageRate,2))</f>
        <v>0</v>
      </c>
      <c r="T373" s="21">
        <f>IF(A373="","",O373+Q373+R373+IF(S373="",0,S373))</f>
        <v>0</v>
      </c>
      <c r="U373" s="21">
        <f>IF(A373="","",J373-T373)</f>
        <v>0</v>
      </c>
      <c r="V373" s="38">
        <f>IF(OR(A373="",J373=0),"",U373/J373)</f>
        <v>0</v>
      </c>
      <c r="W373" s="21">
        <f>IF(OR(A373="",M373=0,J373=0),"",U373/M373)</f>
        <v>0</v>
      </c>
      <c r="X373" s="34">
        <f>IF(OR(A373="",L373="",L373=0,K373=""),"",L373-K373)</f>
        <v>0</v>
      </c>
      <c r="Y373" s="31">
        <f>IF(A373="","",COUNTIFS($U$5:$U$604,"&gt;"&amp;U373)+COUNTIFS($U$5:U373,U373))</f>
        <v>0</v>
      </c>
      <c r="Z373" s="31">
        <f>IF(A373="","",COUNTIFS($W$5:$W$604,"&gt;"&amp;W373)+COUNTIFS($W$5:W373,W373))</f>
        <v>0</v>
      </c>
      <c r="AA373" s="39">
        <f>IF(A373="","",IF(J373=0,"",IF(U373&lt;0,"Loss - this job cost you money",IF(V373&lt;MarginFloor,"Below - margin under the floor",IF(V373&lt;TargetMargin,"Check - under target margin",IF(AND(X373&lt;&gt;"",X373&gt;0.5),"Check - ran over the estimate","OK"))))))</f>
        <v>0</v>
      </c>
    </row>
    <row r="374" spans="1:27">
      <c r="A374" s="43">
        <f>IF(IFERROR(INDEX(Jobs!$A$5:$A$604,ROW()-4),"")="","",IFERROR(INDEX(Jobs!$A$5:$A$604,ROW()-4),""))</f>
        <v>0</v>
      </c>
      <c r="B374" s="18">
        <f>IF(A374="","",IFERROR(INDEX(Jobs!$B$5:$B$604,MATCH(A374,Jobs!$A$5:$A$604,0)),""))</f>
        <v>0</v>
      </c>
      <c r="C374" s="23">
        <f>IF(B374="","",TEXT(B374,"yyyy-mm"))</f>
        <v>0</v>
      </c>
      <c r="D374" s="43">
        <f>IF(A374="","",IFERROR(INDEX(Jobs!$G$5:$G$604,MATCH(A374,Jobs!$A$5:$A$604,0)),""))</f>
        <v>0</v>
      </c>
      <c r="E374" s="23">
        <f>IF(A374="","",IFERROR(INDEX(Jobs!$H$5:$H$604,MATCH(A374,Jobs!$A$5:$A$604,0)),""))</f>
        <v>0</v>
      </c>
      <c r="F374" s="23">
        <f>IF(A374="","",IFERROR(INDEX(Jobs!$K$5:$K$604,MATCH(A374,Jobs!$A$5:$A$604,0)),""))</f>
        <v>0</v>
      </c>
      <c r="G374" s="23">
        <f>IF(A374="","",IFERROR(INDEX(Jobs!$M$5:$M$604,MATCH(A374,Jobs!$A$5:$A$604,0)),""))</f>
        <v>0</v>
      </c>
      <c r="H374" s="23">
        <f>IF(A374="","",IFERROR(INDEX(Jobs!$R$5:$R$604,MATCH(A374,Jobs!$A$5:$A$604,0)),""))</f>
        <v>0</v>
      </c>
      <c r="I374" s="39">
        <f>IF(A374="","",IFERROR(INDEX(Jobs!$P$5:$P$604,MATCH(A374,Jobs!$A$5:$A$604,0)),""))</f>
        <v>0</v>
      </c>
      <c r="J374" s="21">
        <f>IF(A374="","",IF(OR(I374="Completed",I374="Invoiced"),IFERROR(INDEX(Jobs!$AJ$5:$AJ$604,MATCH(A374,Jobs!$A$5:$A$604,0)),0),0))</f>
        <v>0</v>
      </c>
      <c r="K374" s="34">
        <f>IF(A374="","",IFERROR(INDEX(Jobs!$AD$5:$AD$604,MATCH(A374,Jobs!$A$5:$A$604,0)),0))</f>
        <v>0</v>
      </c>
      <c r="L374" s="34">
        <f>IF(A374="","",IFERROR(INDEX(Jobs!$AK$5:$AK$604,MATCH(A374,Jobs!$A$5:$A$604,0)),0))</f>
        <v>0</v>
      </c>
      <c r="M374" s="34">
        <f>IF(A374="","",IF(IFERROR(L374*1,0)&gt;0,L374,IFERROR(K374*1,0)))</f>
        <v>0</v>
      </c>
      <c r="N374" s="21">
        <f>IF(A374="","",SUMIFS(Timesheets!$X$5:$X$804,Timesheets!$G$5:$G$804,A374))</f>
        <v>0</v>
      </c>
      <c r="O374" s="21">
        <f>IF(A374="","",IF(N374&gt;0,N374,ROUND(M374*CostPerHour,2)))</f>
        <v>0</v>
      </c>
      <c r="P374" s="21">
        <f>IF(A374="","",SUMIFS('Supply Usage'!$L$5:$L$304,'Supply Usage'!$F$5:$F$304,A374))</f>
        <v>0</v>
      </c>
      <c r="Q374" s="21">
        <f>IF(A374="","",IF(P374&gt;0,P374,ROUND(M374*SuppliesPerHour,2)))</f>
        <v>0</v>
      </c>
      <c r="R374" s="21">
        <f>IF(A374="","",ROUND(IFERROR(INDEX(Jobs!$W$5:$W$604,MATCH(A374,Jobs!$A$5:$A$604,0)),0)*MileageRate,2))</f>
        <v>0</v>
      </c>
      <c r="T374" s="21">
        <f>IF(A374="","",O374+Q374+R374+IF(S374="",0,S374))</f>
        <v>0</v>
      </c>
      <c r="U374" s="21">
        <f>IF(A374="","",J374-T374)</f>
        <v>0</v>
      </c>
      <c r="V374" s="38">
        <f>IF(OR(A374="",J374=0),"",U374/J374)</f>
        <v>0</v>
      </c>
      <c r="W374" s="21">
        <f>IF(OR(A374="",M374=0,J374=0),"",U374/M374)</f>
        <v>0</v>
      </c>
      <c r="X374" s="34">
        <f>IF(OR(A374="",L374="",L374=0,K374=""),"",L374-K374)</f>
        <v>0</v>
      </c>
      <c r="Y374" s="31">
        <f>IF(A374="","",COUNTIFS($U$5:$U$604,"&gt;"&amp;U374)+COUNTIFS($U$5:U374,U374))</f>
        <v>0</v>
      </c>
      <c r="Z374" s="31">
        <f>IF(A374="","",COUNTIFS($W$5:$W$604,"&gt;"&amp;W374)+COUNTIFS($W$5:W374,W374))</f>
        <v>0</v>
      </c>
      <c r="AA374" s="39">
        <f>IF(A374="","",IF(J374=0,"",IF(U374&lt;0,"Loss - this job cost you money",IF(V374&lt;MarginFloor,"Below - margin under the floor",IF(V374&lt;TargetMargin,"Check - under target margin",IF(AND(X374&lt;&gt;"",X374&gt;0.5),"Check - ran over the estimate","OK"))))))</f>
        <v>0</v>
      </c>
    </row>
    <row r="375" spans="1:27">
      <c r="A375" s="43">
        <f>IF(IFERROR(INDEX(Jobs!$A$5:$A$604,ROW()-4),"")="","",IFERROR(INDEX(Jobs!$A$5:$A$604,ROW()-4),""))</f>
        <v>0</v>
      </c>
      <c r="B375" s="18">
        <f>IF(A375="","",IFERROR(INDEX(Jobs!$B$5:$B$604,MATCH(A375,Jobs!$A$5:$A$604,0)),""))</f>
        <v>0</v>
      </c>
      <c r="C375" s="23">
        <f>IF(B375="","",TEXT(B375,"yyyy-mm"))</f>
        <v>0</v>
      </c>
      <c r="D375" s="43">
        <f>IF(A375="","",IFERROR(INDEX(Jobs!$G$5:$G$604,MATCH(A375,Jobs!$A$5:$A$604,0)),""))</f>
        <v>0</v>
      </c>
      <c r="E375" s="23">
        <f>IF(A375="","",IFERROR(INDEX(Jobs!$H$5:$H$604,MATCH(A375,Jobs!$A$5:$A$604,0)),""))</f>
        <v>0</v>
      </c>
      <c r="F375" s="23">
        <f>IF(A375="","",IFERROR(INDEX(Jobs!$K$5:$K$604,MATCH(A375,Jobs!$A$5:$A$604,0)),""))</f>
        <v>0</v>
      </c>
      <c r="G375" s="23">
        <f>IF(A375="","",IFERROR(INDEX(Jobs!$M$5:$M$604,MATCH(A375,Jobs!$A$5:$A$604,0)),""))</f>
        <v>0</v>
      </c>
      <c r="H375" s="23">
        <f>IF(A375="","",IFERROR(INDEX(Jobs!$R$5:$R$604,MATCH(A375,Jobs!$A$5:$A$604,0)),""))</f>
        <v>0</v>
      </c>
      <c r="I375" s="39">
        <f>IF(A375="","",IFERROR(INDEX(Jobs!$P$5:$P$604,MATCH(A375,Jobs!$A$5:$A$604,0)),""))</f>
        <v>0</v>
      </c>
      <c r="J375" s="21">
        <f>IF(A375="","",IF(OR(I375="Completed",I375="Invoiced"),IFERROR(INDEX(Jobs!$AJ$5:$AJ$604,MATCH(A375,Jobs!$A$5:$A$604,0)),0),0))</f>
        <v>0</v>
      </c>
      <c r="K375" s="34">
        <f>IF(A375="","",IFERROR(INDEX(Jobs!$AD$5:$AD$604,MATCH(A375,Jobs!$A$5:$A$604,0)),0))</f>
        <v>0</v>
      </c>
      <c r="L375" s="34">
        <f>IF(A375="","",IFERROR(INDEX(Jobs!$AK$5:$AK$604,MATCH(A375,Jobs!$A$5:$A$604,0)),0))</f>
        <v>0</v>
      </c>
      <c r="M375" s="34">
        <f>IF(A375="","",IF(IFERROR(L375*1,0)&gt;0,L375,IFERROR(K375*1,0)))</f>
        <v>0</v>
      </c>
      <c r="N375" s="21">
        <f>IF(A375="","",SUMIFS(Timesheets!$X$5:$X$804,Timesheets!$G$5:$G$804,A375))</f>
        <v>0</v>
      </c>
      <c r="O375" s="21">
        <f>IF(A375="","",IF(N375&gt;0,N375,ROUND(M375*CostPerHour,2)))</f>
        <v>0</v>
      </c>
      <c r="P375" s="21">
        <f>IF(A375="","",SUMIFS('Supply Usage'!$L$5:$L$304,'Supply Usage'!$F$5:$F$304,A375))</f>
        <v>0</v>
      </c>
      <c r="Q375" s="21">
        <f>IF(A375="","",IF(P375&gt;0,P375,ROUND(M375*SuppliesPerHour,2)))</f>
        <v>0</v>
      </c>
      <c r="R375" s="21">
        <f>IF(A375="","",ROUND(IFERROR(INDEX(Jobs!$W$5:$W$604,MATCH(A375,Jobs!$A$5:$A$604,0)),0)*MileageRate,2))</f>
        <v>0</v>
      </c>
      <c r="T375" s="21">
        <f>IF(A375="","",O375+Q375+R375+IF(S375="",0,S375))</f>
        <v>0</v>
      </c>
      <c r="U375" s="21">
        <f>IF(A375="","",J375-T375)</f>
        <v>0</v>
      </c>
      <c r="V375" s="38">
        <f>IF(OR(A375="",J375=0),"",U375/J375)</f>
        <v>0</v>
      </c>
      <c r="W375" s="21">
        <f>IF(OR(A375="",M375=0,J375=0),"",U375/M375)</f>
        <v>0</v>
      </c>
      <c r="X375" s="34">
        <f>IF(OR(A375="",L375="",L375=0,K375=""),"",L375-K375)</f>
        <v>0</v>
      </c>
      <c r="Y375" s="31">
        <f>IF(A375="","",COUNTIFS($U$5:$U$604,"&gt;"&amp;U375)+COUNTIFS($U$5:U375,U375))</f>
        <v>0</v>
      </c>
      <c r="Z375" s="31">
        <f>IF(A375="","",COUNTIFS($W$5:$W$604,"&gt;"&amp;W375)+COUNTIFS($W$5:W375,W375))</f>
        <v>0</v>
      </c>
      <c r="AA375" s="39">
        <f>IF(A375="","",IF(J375=0,"",IF(U375&lt;0,"Loss - this job cost you money",IF(V375&lt;MarginFloor,"Below - margin under the floor",IF(V375&lt;TargetMargin,"Check - under target margin",IF(AND(X375&lt;&gt;"",X375&gt;0.5),"Check - ran over the estimate","OK"))))))</f>
        <v>0</v>
      </c>
    </row>
    <row r="376" spans="1:27">
      <c r="A376" s="43">
        <f>IF(IFERROR(INDEX(Jobs!$A$5:$A$604,ROW()-4),"")="","",IFERROR(INDEX(Jobs!$A$5:$A$604,ROW()-4),""))</f>
        <v>0</v>
      </c>
      <c r="B376" s="18">
        <f>IF(A376="","",IFERROR(INDEX(Jobs!$B$5:$B$604,MATCH(A376,Jobs!$A$5:$A$604,0)),""))</f>
        <v>0</v>
      </c>
      <c r="C376" s="23">
        <f>IF(B376="","",TEXT(B376,"yyyy-mm"))</f>
        <v>0</v>
      </c>
      <c r="D376" s="43">
        <f>IF(A376="","",IFERROR(INDEX(Jobs!$G$5:$G$604,MATCH(A376,Jobs!$A$5:$A$604,0)),""))</f>
        <v>0</v>
      </c>
      <c r="E376" s="23">
        <f>IF(A376="","",IFERROR(INDEX(Jobs!$H$5:$H$604,MATCH(A376,Jobs!$A$5:$A$604,0)),""))</f>
        <v>0</v>
      </c>
      <c r="F376" s="23">
        <f>IF(A376="","",IFERROR(INDEX(Jobs!$K$5:$K$604,MATCH(A376,Jobs!$A$5:$A$604,0)),""))</f>
        <v>0</v>
      </c>
      <c r="G376" s="23">
        <f>IF(A376="","",IFERROR(INDEX(Jobs!$M$5:$M$604,MATCH(A376,Jobs!$A$5:$A$604,0)),""))</f>
        <v>0</v>
      </c>
      <c r="H376" s="23">
        <f>IF(A376="","",IFERROR(INDEX(Jobs!$R$5:$R$604,MATCH(A376,Jobs!$A$5:$A$604,0)),""))</f>
        <v>0</v>
      </c>
      <c r="I376" s="39">
        <f>IF(A376="","",IFERROR(INDEX(Jobs!$P$5:$P$604,MATCH(A376,Jobs!$A$5:$A$604,0)),""))</f>
        <v>0</v>
      </c>
      <c r="J376" s="21">
        <f>IF(A376="","",IF(OR(I376="Completed",I376="Invoiced"),IFERROR(INDEX(Jobs!$AJ$5:$AJ$604,MATCH(A376,Jobs!$A$5:$A$604,0)),0),0))</f>
        <v>0</v>
      </c>
      <c r="K376" s="34">
        <f>IF(A376="","",IFERROR(INDEX(Jobs!$AD$5:$AD$604,MATCH(A376,Jobs!$A$5:$A$604,0)),0))</f>
        <v>0</v>
      </c>
      <c r="L376" s="34">
        <f>IF(A376="","",IFERROR(INDEX(Jobs!$AK$5:$AK$604,MATCH(A376,Jobs!$A$5:$A$604,0)),0))</f>
        <v>0</v>
      </c>
      <c r="M376" s="34">
        <f>IF(A376="","",IF(IFERROR(L376*1,0)&gt;0,L376,IFERROR(K376*1,0)))</f>
        <v>0</v>
      </c>
      <c r="N376" s="21">
        <f>IF(A376="","",SUMIFS(Timesheets!$X$5:$X$804,Timesheets!$G$5:$G$804,A376))</f>
        <v>0</v>
      </c>
      <c r="O376" s="21">
        <f>IF(A376="","",IF(N376&gt;0,N376,ROUND(M376*CostPerHour,2)))</f>
        <v>0</v>
      </c>
      <c r="P376" s="21">
        <f>IF(A376="","",SUMIFS('Supply Usage'!$L$5:$L$304,'Supply Usage'!$F$5:$F$304,A376))</f>
        <v>0</v>
      </c>
      <c r="Q376" s="21">
        <f>IF(A376="","",IF(P376&gt;0,P376,ROUND(M376*SuppliesPerHour,2)))</f>
        <v>0</v>
      </c>
      <c r="R376" s="21">
        <f>IF(A376="","",ROUND(IFERROR(INDEX(Jobs!$W$5:$W$604,MATCH(A376,Jobs!$A$5:$A$604,0)),0)*MileageRate,2))</f>
        <v>0</v>
      </c>
      <c r="T376" s="21">
        <f>IF(A376="","",O376+Q376+R376+IF(S376="",0,S376))</f>
        <v>0</v>
      </c>
      <c r="U376" s="21">
        <f>IF(A376="","",J376-T376)</f>
        <v>0</v>
      </c>
      <c r="V376" s="38">
        <f>IF(OR(A376="",J376=0),"",U376/J376)</f>
        <v>0</v>
      </c>
      <c r="W376" s="21">
        <f>IF(OR(A376="",M376=0,J376=0),"",U376/M376)</f>
        <v>0</v>
      </c>
      <c r="X376" s="34">
        <f>IF(OR(A376="",L376="",L376=0,K376=""),"",L376-K376)</f>
        <v>0</v>
      </c>
      <c r="Y376" s="31">
        <f>IF(A376="","",COUNTIFS($U$5:$U$604,"&gt;"&amp;U376)+COUNTIFS($U$5:U376,U376))</f>
        <v>0</v>
      </c>
      <c r="Z376" s="31">
        <f>IF(A376="","",COUNTIFS($W$5:$W$604,"&gt;"&amp;W376)+COUNTIFS($W$5:W376,W376))</f>
        <v>0</v>
      </c>
      <c r="AA376" s="39">
        <f>IF(A376="","",IF(J376=0,"",IF(U376&lt;0,"Loss - this job cost you money",IF(V376&lt;MarginFloor,"Below - margin under the floor",IF(V376&lt;TargetMargin,"Check - under target margin",IF(AND(X376&lt;&gt;"",X376&gt;0.5),"Check - ran over the estimate","OK"))))))</f>
        <v>0</v>
      </c>
    </row>
    <row r="377" spans="1:27">
      <c r="A377" s="43">
        <f>IF(IFERROR(INDEX(Jobs!$A$5:$A$604,ROW()-4),"")="","",IFERROR(INDEX(Jobs!$A$5:$A$604,ROW()-4),""))</f>
        <v>0</v>
      </c>
      <c r="B377" s="18">
        <f>IF(A377="","",IFERROR(INDEX(Jobs!$B$5:$B$604,MATCH(A377,Jobs!$A$5:$A$604,0)),""))</f>
        <v>0</v>
      </c>
      <c r="C377" s="23">
        <f>IF(B377="","",TEXT(B377,"yyyy-mm"))</f>
        <v>0</v>
      </c>
      <c r="D377" s="43">
        <f>IF(A377="","",IFERROR(INDEX(Jobs!$G$5:$G$604,MATCH(A377,Jobs!$A$5:$A$604,0)),""))</f>
        <v>0</v>
      </c>
      <c r="E377" s="23">
        <f>IF(A377="","",IFERROR(INDEX(Jobs!$H$5:$H$604,MATCH(A377,Jobs!$A$5:$A$604,0)),""))</f>
        <v>0</v>
      </c>
      <c r="F377" s="23">
        <f>IF(A377="","",IFERROR(INDEX(Jobs!$K$5:$K$604,MATCH(A377,Jobs!$A$5:$A$604,0)),""))</f>
        <v>0</v>
      </c>
      <c r="G377" s="23">
        <f>IF(A377="","",IFERROR(INDEX(Jobs!$M$5:$M$604,MATCH(A377,Jobs!$A$5:$A$604,0)),""))</f>
        <v>0</v>
      </c>
      <c r="H377" s="23">
        <f>IF(A377="","",IFERROR(INDEX(Jobs!$R$5:$R$604,MATCH(A377,Jobs!$A$5:$A$604,0)),""))</f>
        <v>0</v>
      </c>
      <c r="I377" s="39">
        <f>IF(A377="","",IFERROR(INDEX(Jobs!$P$5:$P$604,MATCH(A377,Jobs!$A$5:$A$604,0)),""))</f>
        <v>0</v>
      </c>
      <c r="J377" s="21">
        <f>IF(A377="","",IF(OR(I377="Completed",I377="Invoiced"),IFERROR(INDEX(Jobs!$AJ$5:$AJ$604,MATCH(A377,Jobs!$A$5:$A$604,0)),0),0))</f>
        <v>0</v>
      </c>
      <c r="K377" s="34">
        <f>IF(A377="","",IFERROR(INDEX(Jobs!$AD$5:$AD$604,MATCH(A377,Jobs!$A$5:$A$604,0)),0))</f>
        <v>0</v>
      </c>
      <c r="L377" s="34">
        <f>IF(A377="","",IFERROR(INDEX(Jobs!$AK$5:$AK$604,MATCH(A377,Jobs!$A$5:$A$604,0)),0))</f>
        <v>0</v>
      </c>
      <c r="M377" s="34">
        <f>IF(A377="","",IF(IFERROR(L377*1,0)&gt;0,L377,IFERROR(K377*1,0)))</f>
        <v>0</v>
      </c>
      <c r="N377" s="21">
        <f>IF(A377="","",SUMIFS(Timesheets!$X$5:$X$804,Timesheets!$G$5:$G$804,A377))</f>
        <v>0</v>
      </c>
      <c r="O377" s="21">
        <f>IF(A377="","",IF(N377&gt;0,N377,ROUND(M377*CostPerHour,2)))</f>
        <v>0</v>
      </c>
      <c r="P377" s="21">
        <f>IF(A377="","",SUMIFS('Supply Usage'!$L$5:$L$304,'Supply Usage'!$F$5:$F$304,A377))</f>
        <v>0</v>
      </c>
      <c r="Q377" s="21">
        <f>IF(A377="","",IF(P377&gt;0,P377,ROUND(M377*SuppliesPerHour,2)))</f>
        <v>0</v>
      </c>
      <c r="R377" s="21">
        <f>IF(A377="","",ROUND(IFERROR(INDEX(Jobs!$W$5:$W$604,MATCH(A377,Jobs!$A$5:$A$604,0)),0)*MileageRate,2))</f>
        <v>0</v>
      </c>
      <c r="T377" s="21">
        <f>IF(A377="","",O377+Q377+R377+IF(S377="",0,S377))</f>
        <v>0</v>
      </c>
      <c r="U377" s="21">
        <f>IF(A377="","",J377-T377)</f>
        <v>0</v>
      </c>
      <c r="V377" s="38">
        <f>IF(OR(A377="",J377=0),"",U377/J377)</f>
        <v>0</v>
      </c>
      <c r="W377" s="21">
        <f>IF(OR(A377="",M377=0,J377=0),"",U377/M377)</f>
        <v>0</v>
      </c>
      <c r="X377" s="34">
        <f>IF(OR(A377="",L377="",L377=0,K377=""),"",L377-K377)</f>
        <v>0</v>
      </c>
      <c r="Y377" s="31">
        <f>IF(A377="","",COUNTIFS($U$5:$U$604,"&gt;"&amp;U377)+COUNTIFS($U$5:U377,U377))</f>
        <v>0</v>
      </c>
      <c r="Z377" s="31">
        <f>IF(A377="","",COUNTIFS($W$5:$W$604,"&gt;"&amp;W377)+COUNTIFS($W$5:W377,W377))</f>
        <v>0</v>
      </c>
      <c r="AA377" s="39">
        <f>IF(A377="","",IF(J377=0,"",IF(U377&lt;0,"Loss - this job cost you money",IF(V377&lt;MarginFloor,"Below - margin under the floor",IF(V377&lt;TargetMargin,"Check - under target margin",IF(AND(X377&lt;&gt;"",X377&gt;0.5),"Check - ran over the estimate","OK"))))))</f>
        <v>0</v>
      </c>
    </row>
    <row r="378" spans="1:27">
      <c r="A378" s="43">
        <f>IF(IFERROR(INDEX(Jobs!$A$5:$A$604,ROW()-4),"")="","",IFERROR(INDEX(Jobs!$A$5:$A$604,ROW()-4),""))</f>
        <v>0</v>
      </c>
      <c r="B378" s="18">
        <f>IF(A378="","",IFERROR(INDEX(Jobs!$B$5:$B$604,MATCH(A378,Jobs!$A$5:$A$604,0)),""))</f>
        <v>0</v>
      </c>
      <c r="C378" s="23">
        <f>IF(B378="","",TEXT(B378,"yyyy-mm"))</f>
        <v>0</v>
      </c>
      <c r="D378" s="43">
        <f>IF(A378="","",IFERROR(INDEX(Jobs!$G$5:$G$604,MATCH(A378,Jobs!$A$5:$A$604,0)),""))</f>
        <v>0</v>
      </c>
      <c r="E378" s="23">
        <f>IF(A378="","",IFERROR(INDEX(Jobs!$H$5:$H$604,MATCH(A378,Jobs!$A$5:$A$604,0)),""))</f>
        <v>0</v>
      </c>
      <c r="F378" s="23">
        <f>IF(A378="","",IFERROR(INDEX(Jobs!$K$5:$K$604,MATCH(A378,Jobs!$A$5:$A$604,0)),""))</f>
        <v>0</v>
      </c>
      <c r="G378" s="23">
        <f>IF(A378="","",IFERROR(INDEX(Jobs!$M$5:$M$604,MATCH(A378,Jobs!$A$5:$A$604,0)),""))</f>
        <v>0</v>
      </c>
      <c r="H378" s="23">
        <f>IF(A378="","",IFERROR(INDEX(Jobs!$R$5:$R$604,MATCH(A378,Jobs!$A$5:$A$604,0)),""))</f>
        <v>0</v>
      </c>
      <c r="I378" s="39">
        <f>IF(A378="","",IFERROR(INDEX(Jobs!$P$5:$P$604,MATCH(A378,Jobs!$A$5:$A$604,0)),""))</f>
        <v>0</v>
      </c>
      <c r="J378" s="21">
        <f>IF(A378="","",IF(OR(I378="Completed",I378="Invoiced"),IFERROR(INDEX(Jobs!$AJ$5:$AJ$604,MATCH(A378,Jobs!$A$5:$A$604,0)),0),0))</f>
        <v>0</v>
      </c>
      <c r="K378" s="34">
        <f>IF(A378="","",IFERROR(INDEX(Jobs!$AD$5:$AD$604,MATCH(A378,Jobs!$A$5:$A$604,0)),0))</f>
        <v>0</v>
      </c>
      <c r="L378" s="34">
        <f>IF(A378="","",IFERROR(INDEX(Jobs!$AK$5:$AK$604,MATCH(A378,Jobs!$A$5:$A$604,0)),0))</f>
        <v>0</v>
      </c>
      <c r="M378" s="34">
        <f>IF(A378="","",IF(IFERROR(L378*1,0)&gt;0,L378,IFERROR(K378*1,0)))</f>
        <v>0</v>
      </c>
      <c r="N378" s="21">
        <f>IF(A378="","",SUMIFS(Timesheets!$X$5:$X$804,Timesheets!$G$5:$G$804,A378))</f>
        <v>0</v>
      </c>
      <c r="O378" s="21">
        <f>IF(A378="","",IF(N378&gt;0,N378,ROUND(M378*CostPerHour,2)))</f>
        <v>0</v>
      </c>
      <c r="P378" s="21">
        <f>IF(A378="","",SUMIFS('Supply Usage'!$L$5:$L$304,'Supply Usage'!$F$5:$F$304,A378))</f>
        <v>0</v>
      </c>
      <c r="Q378" s="21">
        <f>IF(A378="","",IF(P378&gt;0,P378,ROUND(M378*SuppliesPerHour,2)))</f>
        <v>0</v>
      </c>
      <c r="R378" s="21">
        <f>IF(A378="","",ROUND(IFERROR(INDEX(Jobs!$W$5:$W$604,MATCH(A378,Jobs!$A$5:$A$604,0)),0)*MileageRate,2))</f>
        <v>0</v>
      </c>
      <c r="T378" s="21">
        <f>IF(A378="","",O378+Q378+R378+IF(S378="",0,S378))</f>
        <v>0</v>
      </c>
      <c r="U378" s="21">
        <f>IF(A378="","",J378-T378)</f>
        <v>0</v>
      </c>
      <c r="V378" s="38">
        <f>IF(OR(A378="",J378=0),"",U378/J378)</f>
        <v>0</v>
      </c>
      <c r="W378" s="21">
        <f>IF(OR(A378="",M378=0,J378=0),"",U378/M378)</f>
        <v>0</v>
      </c>
      <c r="X378" s="34">
        <f>IF(OR(A378="",L378="",L378=0,K378=""),"",L378-K378)</f>
        <v>0</v>
      </c>
      <c r="Y378" s="31">
        <f>IF(A378="","",COUNTIFS($U$5:$U$604,"&gt;"&amp;U378)+COUNTIFS($U$5:U378,U378))</f>
        <v>0</v>
      </c>
      <c r="Z378" s="31">
        <f>IF(A378="","",COUNTIFS($W$5:$W$604,"&gt;"&amp;W378)+COUNTIFS($W$5:W378,W378))</f>
        <v>0</v>
      </c>
      <c r="AA378" s="39">
        <f>IF(A378="","",IF(J378=0,"",IF(U378&lt;0,"Loss - this job cost you money",IF(V378&lt;MarginFloor,"Below - margin under the floor",IF(V378&lt;TargetMargin,"Check - under target margin",IF(AND(X378&lt;&gt;"",X378&gt;0.5),"Check - ran over the estimate","OK"))))))</f>
        <v>0</v>
      </c>
    </row>
    <row r="379" spans="1:27">
      <c r="A379" s="43">
        <f>IF(IFERROR(INDEX(Jobs!$A$5:$A$604,ROW()-4),"")="","",IFERROR(INDEX(Jobs!$A$5:$A$604,ROW()-4),""))</f>
        <v>0</v>
      </c>
      <c r="B379" s="18">
        <f>IF(A379="","",IFERROR(INDEX(Jobs!$B$5:$B$604,MATCH(A379,Jobs!$A$5:$A$604,0)),""))</f>
        <v>0</v>
      </c>
      <c r="C379" s="23">
        <f>IF(B379="","",TEXT(B379,"yyyy-mm"))</f>
        <v>0</v>
      </c>
      <c r="D379" s="43">
        <f>IF(A379="","",IFERROR(INDEX(Jobs!$G$5:$G$604,MATCH(A379,Jobs!$A$5:$A$604,0)),""))</f>
        <v>0</v>
      </c>
      <c r="E379" s="23">
        <f>IF(A379="","",IFERROR(INDEX(Jobs!$H$5:$H$604,MATCH(A379,Jobs!$A$5:$A$604,0)),""))</f>
        <v>0</v>
      </c>
      <c r="F379" s="23">
        <f>IF(A379="","",IFERROR(INDEX(Jobs!$K$5:$K$604,MATCH(A379,Jobs!$A$5:$A$604,0)),""))</f>
        <v>0</v>
      </c>
      <c r="G379" s="23">
        <f>IF(A379="","",IFERROR(INDEX(Jobs!$M$5:$M$604,MATCH(A379,Jobs!$A$5:$A$604,0)),""))</f>
        <v>0</v>
      </c>
      <c r="H379" s="23">
        <f>IF(A379="","",IFERROR(INDEX(Jobs!$R$5:$R$604,MATCH(A379,Jobs!$A$5:$A$604,0)),""))</f>
        <v>0</v>
      </c>
      <c r="I379" s="39">
        <f>IF(A379="","",IFERROR(INDEX(Jobs!$P$5:$P$604,MATCH(A379,Jobs!$A$5:$A$604,0)),""))</f>
        <v>0</v>
      </c>
      <c r="J379" s="21">
        <f>IF(A379="","",IF(OR(I379="Completed",I379="Invoiced"),IFERROR(INDEX(Jobs!$AJ$5:$AJ$604,MATCH(A379,Jobs!$A$5:$A$604,0)),0),0))</f>
        <v>0</v>
      </c>
      <c r="K379" s="34">
        <f>IF(A379="","",IFERROR(INDEX(Jobs!$AD$5:$AD$604,MATCH(A379,Jobs!$A$5:$A$604,0)),0))</f>
        <v>0</v>
      </c>
      <c r="L379" s="34">
        <f>IF(A379="","",IFERROR(INDEX(Jobs!$AK$5:$AK$604,MATCH(A379,Jobs!$A$5:$A$604,0)),0))</f>
        <v>0</v>
      </c>
      <c r="M379" s="34">
        <f>IF(A379="","",IF(IFERROR(L379*1,0)&gt;0,L379,IFERROR(K379*1,0)))</f>
        <v>0</v>
      </c>
      <c r="N379" s="21">
        <f>IF(A379="","",SUMIFS(Timesheets!$X$5:$X$804,Timesheets!$G$5:$G$804,A379))</f>
        <v>0</v>
      </c>
      <c r="O379" s="21">
        <f>IF(A379="","",IF(N379&gt;0,N379,ROUND(M379*CostPerHour,2)))</f>
        <v>0</v>
      </c>
      <c r="P379" s="21">
        <f>IF(A379="","",SUMIFS('Supply Usage'!$L$5:$L$304,'Supply Usage'!$F$5:$F$304,A379))</f>
        <v>0</v>
      </c>
      <c r="Q379" s="21">
        <f>IF(A379="","",IF(P379&gt;0,P379,ROUND(M379*SuppliesPerHour,2)))</f>
        <v>0</v>
      </c>
      <c r="R379" s="21">
        <f>IF(A379="","",ROUND(IFERROR(INDEX(Jobs!$W$5:$W$604,MATCH(A379,Jobs!$A$5:$A$604,0)),0)*MileageRate,2))</f>
        <v>0</v>
      </c>
      <c r="T379" s="21">
        <f>IF(A379="","",O379+Q379+R379+IF(S379="",0,S379))</f>
        <v>0</v>
      </c>
      <c r="U379" s="21">
        <f>IF(A379="","",J379-T379)</f>
        <v>0</v>
      </c>
      <c r="V379" s="38">
        <f>IF(OR(A379="",J379=0),"",U379/J379)</f>
        <v>0</v>
      </c>
      <c r="W379" s="21">
        <f>IF(OR(A379="",M379=0,J379=0),"",U379/M379)</f>
        <v>0</v>
      </c>
      <c r="X379" s="34">
        <f>IF(OR(A379="",L379="",L379=0,K379=""),"",L379-K379)</f>
        <v>0</v>
      </c>
      <c r="Y379" s="31">
        <f>IF(A379="","",COUNTIFS($U$5:$U$604,"&gt;"&amp;U379)+COUNTIFS($U$5:U379,U379))</f>
        <v>0</v>
      </c>
      <c r="Z379" s="31">
        <f>IF(A379="","",COUNTIFS($W$5:$W$604,"&gt;"&amp;W379)+COUNTIFS($W$5:W379,W379))</f>
        <v>0</v>
      </c>
      <c r="AA379" s="39">
        <f>IF(A379="","",IF(J379=0,"",IF(U379&lt;0,"Loss - this job cost you money",IF(V379&lt;MarginFloor,"Below - margin under the floor",IF(V379&lt;TargetMargin,"Check - under target margin",IF(AND(X379&lt;&gt;"",X379&gt;0.5),"Check - ran over the estimate","OK"))))))</f>
        <v>0</v>
      </c>
    </row>
    <row r="380" spans="1:27">
      <c r="A380" s="43">
        <f>IF(IFERROR(INDEX(Jobs!$A$5:$A$604,ROW()-4),"")="","",IFERROR(INDEX(Jobs!$A$5:$A$604,ROW()-4),""))</f>
        <v>0</v>
      </c>
      <c r="B380" s="18">
        <f>IF(A380="","",IFERROR(INDEX(Jobs!$B$5:$B$604,MATCH(A380,Jobs!$A$5:$A$604,0)),""))</f>
        <v>0</v>
      </c>
      <c r="C380" s="23">
        <f>IF(B380="","",TEXT(B380,"yyyy-mm"))</f>
        <v>0</v>
      </c>
      <c r="D380" s="43">
        <f>IF(A380="","",IFERROR(INDEX(Jobs!$G$5:$G$604,MATCH(A380,Jobs!$A$5:$A$604,0)),""))</f>
        <v>0</v>
      </c>
      <c r="E380" s="23">
        <f>IF(A380="","",IFERROR(INDEX(Jobs!$H$5:$H$604,MATCH(A380,Jobs!$A$5:$A$604,0)),""))</f>
        <v>0</v>
      </c>
      <c r="F380" s="23">
        <f>IF(A380="","",IFERROR(INDEX(Jobs!$K$5:$K$604,MATCH(A380,Jobs!$A$5:$A$604,0)),""))</f>
        <v>0</v>
      </c>
      <c r="G380" s="23">
        <f>IF(A380="","",IFERROR(INDEX(Jobs!$M$5:$M$604,MATCH(A380,Jobs!$A$5:$A$604,0)),""))</f>
        <v>0</v>
      </c>
      <c r="H380" s="23">
        <f>IF(A380="","",IFERROR(INDEX(Jobs!$R$5:$R$604,MATCH(A380,Jobs!$A$5:$A$604,0)),""))</f>
        <v>0</v>
      </c>
      <c r="I380" s="39">
        <f>IF(A380="","",IFERROR(INDEX(Jobs!$P$5:$P$604,MATCH(A380,Jobs!$A$5:$A$604,0)),""))</f>
        <v>0</v>
      </c>
      <c r="J380" s="21">
        <f>IF(A380="","",IF(OR(I380="Completed",I380="Invoiced"),IFERROR(INDEX(Jobs!$AJ$5:$AJ$604,MATCH(A380,Jobs!$A$5:$A$604,0)),0),0))</f>
        <v>0</v>
      </c>
      <c r="K380" s="34">
        <f>IF(A380="","",IFERROR(INDEX(Jobs!$AD$5:$AD$604,MATCH(A380,Jobs!$A$5:$A$604,0)),0))</f>
        <v>0</v>
      </c>
      <c r="L380" s="34">
        <f>IF(A380="","",IFERROR(INDEX(Jobs!$AK$5:$AK$604,MATCH(A380,Jobs!$A$5:$A$604,0)),0))</f>
        <v>0</v>
      </c>
      <c r="M380" s="34">
        <f>IF(A380="","",IF(IFERROR(L380*1,0)&gt;0,L380,IFERROR(K380*1,0)))</f>
        <v>0</v>
      </c>
      <c r="N380" s="21">
        <f>IF(A380="","",SUMIFS(Timesheets!$X$5:$X$804,Timesheets!$G$5:$G$804,A380))</f>
        <v>0</v>
      </c>
      <c r="O380" s="21">
        <f>IF(A380="","",IF(N380&gt;0,N380,ROUND(M380*CostPerHour,2)))</f>
        <v>0</v>
      </c>
      <c r="P380" s="21">
        <f>IF(A380="","",SUMIFS('Supply Usage'!$L$5:$L$304,'Supply Usage'!$F$5:$F$304,A380))</f>
        <v>0</v>
      </c>
      <c r="Q380" s="21">
        <f>IF(A380="","",IF(P380&gt;0,P380,ROUND(M380*SuppliesPerHour,2)))</f>
        <v>0</v>
      </c>
      <c r="R380" s="21">
        <f>IF(A380="","",ROUND(IFERROR(INDEX(Jobs!$W$5:$W$604,MATCH(A380,Jobs!$A$5:$A$604,0)),0)*MileageRate,2))</f>
        <v>0</v>
      </c>
      <c r="T380" s="21">
        <f>IF(A380="","",O380+Q380+R380+IF(S380="",0,S380))</f>
        <v>0</v>
      </c>
      <c r="U380" s="21">
        <f>IF(A380="","",J380-T380)</f>
        <v>0</v>
      </c>
      <c r="V380" s="38">
        <f>IF(OR(A380="",J380=0),"",U380/J380)</f>
        <v>0</v>
      </c>
      <c r="W380" s="21">
        <f>IF(OR(A380="",M380=0,J380=0),"",U380/M380)</f>
        <v>0</v>
      </c>
      <c r="X380" s="34">
        <f>IF(OR(A380="",L380="",L380=0,K380=""),"",L380-K380)</f>
        <v>0</v>
      </c>
      <c r="Y380" s="31">
        <f>IF(A380="","",COUNTIFS($U$5:$U$604,"&gt;"&amp;U380)+COUNTIFS($U$5:U380,U380))</f>
        <v>0</v>
      </c>
      <c r="Z380" s="31">
        <f>IF(A380="","",COUNTIFS($W$5:$W$604,"&gt;"&amp;W380)+COUNTIFS($W$5:W380,W380))</f>
        <v>0</v>
      </c>
      <c r="AA380" s="39">
        <f>IF(A380="","",IF(J380=0,"",IF(U380&lt;0,"Loss - this job cost you money",IF(V380&lt;MarginFloor,"Below - margin under the floor",IF(V380&lt;TargetMargin,"Check - under target margin",IF(AND(X380&lt;&gt;"",X380&gt;0.5),"Check - ran over the estimate","OK"))))))</f>
        <v>0</v>
      </c>
    </row>
    <row r="381" spans="1:27">
      <c r="A381" s="43">
        <f>IF(IFERROR(INDEX(Jobs!$A$5:$A$604,ROW()-4),"")="","",IFERROR(INDEX(Jobs!$A$5:$A$604,ROW()-4),""))</f>
        <v>0</v>
      </c>
      <c r="B381" s="18">
        <f>IF(A381="","",IFERROR(INDEX(Jobs!$B$5:$B$604,MATCH(A381,Jobs!$A$5:$A$604,0)),""))</f>
        <v>0</v>
      </c>
      <c r="C381" s="23">
        <f>IF(B381="","",TEXT(B381,"yyyy-mm"))</f>
        <v>0</v>
      </c>
      <c r="D381" s="43">
        <f>IF(A381="","",IFERROR(INDEX(Jobs!$G$5:$G$604,MATCH(A381,Jobs!$A$5:$A$604,0)),""))</f>
        <v>0</v>
      </c>
      <c r="E381" s="23">
        <f>IF(A381="","",IFERROR(INDEX(Jobs!$H$5:$H$604,MATCH(A381,Jobs!$A$5:$A$604,0)),""))</f>
        <v>0</v>
      </c>
      <c r="F381" s="23">
        <f>IF(A381="","",IFERROR(INDEX(Jobs!$K$5:$K$604,MATCH(A381,Jobs!$A$5:$A$604,0)),""))</f>
        <v>0</v>
      </c>
      <c r="G381" s="23">
        <f>IF(A381="","",IFERROR(INDEX(Jobs!$M$5:$M$604,MATCH(A381,Jobs!$A$5:$A$604,0)),""))</f>
        <v>0</v>
      </c>
      <c r="H381" s="23">
        <f>IF(A381="","",IFERROR(INDEX(Jobs!$R$5:$R$604,MATCH(A381,Jobs!$A$5:$A$604,0)),""))</f>
        <v>0</v>
      </c>
      <c r="I381" s="39">
        <f>IF(A381="","",IFERROR(INDEX(Jobs!$P$5:$P$604,MATCH(A381,Jobs!$A$5:$A$604,0)),""))</f>
        <v>0</v>
      </c>
      <c r="J381" s="21">
        <f>IF(A381="","",IF(OR(I381="Completed",I381="Invoiced"),IFERROR(INDEX(Jobs!$AJ$5:$AJ$604,MATCH(A381,Jobs!$A$5:$A$604,0)),0),0))</f>
        <v>0</v>
      </c>
      <c r="K381" s="34">
        <f>IF(A381="","",IFERROR(INDEX(Jobs!$AD$5:$AD$604,MATCH(A381,Jobs!$A$5:$A$604,0)),0))</f>
        <v>0</v>
      </c>
      <c r="L381" s="34">
        <f>IF(A381="","",IFERROR(INDEX(Jobs!$AK$5:$AK$604,MATCH(A381,Jobs!$A$5:$A$604,0)),0))</f>
        <v>0</v>
      </c>
      <c r="M381" s="34">
        <f>IF(A381="","",IF(IFERROR(L381*1,0)&gt;0,L381,IFERROR(K381*1,0)))</f>
        <v>0</v>
      </c>
      <c r="N381" s="21">
        <f>IF(A381="","",SUMIFS(Timesheets!$X$5:$X$804,Timesheets!$G$5:$G$804,A381))</f>
        <v>0</v>
      </c>
      <c r="O381" s="21">
        <f>IF(A381="","",IF(N381&gt;0,N381,ROUND(M381*CostPerHour,2)))</f>
        <v>0</v>
      </c>
      <c r="P381" s="21">
        <f>IF(A381="","",SUMIFS('Supply Usage'!$L$5:$L$304,'Supply Usage'!$F$5:$F$304,A381))</f>
        <v>0</v>
      </c>
      <c r="Q381" s="21">
        <f>IF(A381="","",IF(P381&gt;0,P381,ROUND(M381*SuppliesPerHour,2)))</f>
        <v>0</v>
      </c>
      <c r="R381" s="21">
        <f>IF(A381="","",ROUND(IFERROR(INDEX(Jobs!$W$5:$W$604,MATCH(A381,Jobs!$A$5:$A$604,0)),0)*MileageRate,2))</f>
        <v>0</v>
      </c>
      <c r="T381" s="21">
        <f>IF(A381="","",O381+Q381+R381+IF(S381="",0,S381))</f>
        <v>0</v>
      </c>
      <c r="U381" s="21">
        <f>IF(A381="","",J381-T381)</f>
        <v>0</v>
      </c>
      <c r="V381" s="38">
        <f>IF(OR(A381="",J381=0),"",U381/J381)</f>
        <v>0</v>
      </c>
      <c r="W381" s="21">
        <f>IF(OR(A381="",M381=0,J381=0),"",U381/M381)</f>
        <v>0</v>
      </c>
      <c r="X381" s="34">
        <f>IF(OR(A381="",L381="",L381=0,K381=""),"",L381-K381)</f>
        <v>0</v>
      </c>
      <c r="Y381" s="31">
        <f>IF(A381="","",COUNTIFS($U$5:$U$604,"&gt;"&amp;U381)+COUNTIFS($U$5:U381,U381))</f>
        <v>0</v>
      </c>
      <c r="Z381" s="31">
        <f>IF(A381="","",COUNTIFS($W$5:$W$604,"&gt;"&amp;W381)+COUNTIFS($W$5:W381,W381))</f>
        <v>0</v>
      </c>
      <c r="AA381" s="39">
        <f>IF(A381="","",IF(J381=0,"",IF(U381&lt;0,"Loss - this job cost you money",IF(V381&lt;MarginFloor,"Below - margin under the floor",IF(V381&lt;TargetMargin,"Check - under target margin",IF(AND(X381&lt;&gt;"",X381&gt;0.5),"Check - ran over the estimate","OK"))))))</f>
        <v>0</v>
      </c>
    </row>
    <row r="382" spans="1:27">
      <c r="A382" s="43">
        <f>IF(IFERROR(INDEX(Jobs!$A$5:$A$604,ROW()-4),"")="","",IFERROR(INDEX(Jobs!$A$5:$A$604,ROW()-4),""))</f>
        <v>0</v>
      </c>
      <c r="B382" s="18">
        <f>IF(A382="","",IFERROR(INDEX(Jobs!$B$5:$B$604,MATCH(A382,Jobs!$A$5:$A$604,0)),""))</f>
        <v>0</v>
      </c>
      <c r="C382" s="23">
        <f>IF(B382="","",TEXT(B382,"yyyy-mm"))</f>
        <v>0</v>
      </c>
      <c r="D382" s="43">
        <f>IF(A382="","",IFERROR(INDEX(Jobs!$G$5:$G$604,MATCH(A382,Jobs!$A$5:$A$604,0)),""))</f>
        <v>0</v>
      </c>
      <c r="E382" s="23">
        <f>IF(A382="","",IFERROR(INDEX(Jobs!$H$5:$H$604,MATCH(A382,Jobs!$A$5:$A$604,0)),""))</f>
        <v>0</v>
      </c>
      <c r="F382" s="23">
        <f>IF(A382="","",IFERROR(INDEX(Jobs!$K$5:$K$604,MATCH(A382,Jobs!$A$5:$A$604,0)),""))</f>
        <v>0</v>
      </c>
      <c r="G382" s="23">
        <f>IF(A382="","",IFERROR(INDEX(Jobs!$M$5:$M$604,MATCH(A382,Jobs!$A$5:$A$604,0)),""))</f>
        <v>0</v>
      </c>
      <c r="H382" s="23">
        <f>IF(A382="","",IFERROR(INDEX(Jobs!$R$5:$R$604,MATCH(A382,Jobs!$A$5:$A$604,0)),""))</f>
        <v>0</v>
      </c>
      <c r="I382" s="39">
        <f>IF(A382="","",IFERROR(INDEX(Jobs!$P$5:$P$604,MATCH(A382,Jobs!$A$5:$A$604,0)),""))</f>
        <v>0</v>
      </c>
      <c r="J382" s="21">
        <f>IF(A382="","",IF(OR(I382="Completed",I382="Invoiced"),IFERROR(INDEX(Jobs!$AJ$5:$AJ$604,MATCH(A382,Jobs!$A$5:$A$604,0)),0),0))</f>
        <v>0</v>
      </c>
      <c r="K382" s="34">
        <f>IF(A382="","",IFERROR(INDEX(Jobs!$AD$5:$AD$604,MATCH(A382,Jobs!$A$5:$A$604,0)),0))</f>
        <v>0</v>
      </c>
      <c r="L382" s="34">
        <f>IF(A382="","",IFERROR(INDEX(Jobs!$AK$5:$AK$604,MATCH(A382,Jobs!$A$5:$A$604,0)),0))</f>
        <v>0</v>
      </c>
      <c r="M382" s="34">
        <f>IF(A382="","",IF(IFERROR(L382*1,0)&gt;0,L382,IFERROR(K382*1,0)))</f>
        <v>0</v>
      </c>
      <c r="N382" s="21">
        <f>IF(A382="","",SUMIFS(Timesheets!$X$5:$X$804,Timesheets!$G$5:$G$804,A382))</f>
        <v>0</v>
      </c>
      <c r="O382" s="21">
        <f>IF(A382="","",IF(N382&gt;0,N382,ROUND(M382*CostPerHour,2)))</f>
        <v>0</v>
      </c>
      <c r="P382" s="21">
        <f>IF(A382="","",SUMIFS('Supply Usage'!$L$5:$L$304,'Supply Usage'!$F$5:$F$304,A382))</f>
        <v>0</v>
      </c>
      <c r="Q382" s="21">
        <f>IF(A382="","",IF(P382&gt;0,P382,ROUND(M382*SuppliesPerHour,2)))</f>
        <v>0</v>
      </c>
      <c r="R382" s="21">
        <f>IF(A382="","",ROUND(IFERROR(INDEX(Jobs!$W$5:$W$604,MATCH(A382,Jobs!$A$5:$A$604,0)),0)*MileageRate,2))</f>
        <v>0</v>
      </c>
      <c r="T382" s="21">
        <f>IF(A382="","",O382+Q382+R382+IF(S382="",0,S382))</f>
        <v>0</v>
      </c>
      <c r="U382" s="21">
        <f>IF(A382="","",J382-T382)</f>
        <v>0</v>
      </c>
      <c r="V382" s="38">
        <f>IF(OR(A382="",J382=0),"",U382/J382)</f>
        <v>0</v>
      </c>
      <c r="W382" s="21">
        <f>IF(OR(A382="",M382=0,J382=0),"",U382/M382)</f>
        <v>0</v>
      </c>
      <c r="X382" s="34">
        <f>IF(OR(A382="",L382="",L382=0,K382=""),"",L382-K382)</f>
        <v>0</v>
      </c>
      <c r="Y382" s="31">
        <f>IF(A382="","",COUNTIFS($U$5:$U$604,"&gt;"&amp;U382)+COUNTIFS($U$5:U382,U382))</f>
        <v>0</v>
      </c>
      <c r="Z382" s="31">
        <f>IF(A382="","",COUNTIFS($W$5:$W$604,"&gt;"&amp;W382)+COUNTIFS($W$5:W382,W382))</f>
        <v>0</v>
      </c>
      <c r="AA382" s="39">
        <f>IF(A382="","",IF(J382=0,"",IF(U382&lt;0,"Loss - this job cost you money",IF(V382&lt;MarginFloor,"Below - margin under the floor",IF(V382&lt;TargetMargin,"Check - under target margin",IF(AND(X382&lt;&gt;"",X382&gt;0.5),"Check - ran over the estimate","OK"))))))</f>
        <v>0</v>
      </c>
    </row>
    <row r="383" spans="1:27">
      <c r="A383" s="43">
        <f>IF(IFERROR(INDEX(Jobs!$A$5:$A$604,ROW()-4),"")="","",IFERROR(INDEX(Jobs!$A$5:$A$604,ROW()-4),""))</f>
        <v>0</v>
      </c>
      <c r="B383" s="18">
        <f>IF(A383="","",IFERROR(INDEX(Jobs!$B$5:$B$604,MATCH(A383,Jobs!$A$5:$A$604,0)),""))</f>
        <v>0</v>
      </c>
      <c r="C383" s="23">
        <f>IF(B383="","",TEXT(B383,"yyyy-mm"))</f>
        <v>0</v>
      </c>
      <c r="D383" s="43">
        <f>IF(A383="","",IFERROR(INDEX(Jobs!$G$5:$G$604,MATCH(A383,Jobs!$A$5:$A$604,0)),""))</f>
        <v>0</v>
      </c>
      <c r="E383" s="23">
        <f>IF(A383="","",IFERROR(INDEX(Jobs!$H$5:$H$604,MATCH(A383,Jobs!$A$5:$A$604,0)),""))</f>
        <v>0</v>
      </c>
      <c r="F383" s="23">
        <f>IF(A383="","",IFERROR(INDEX(Jobs!$K$5:$K$604,MATCH(A383,Jobs!$A$5:$A$604,0)),""))</f>
        <v>0</v>
      </c>
      <c r="G383" s="23">
        <f>IF(A383="","",IFERROR(INDEX(Jobs!$M$5:$M$604,MATCH(A383,Jobs!$A$5:$A$604,0)),""))</f>
        <v>0</v>
      </c>
      <c r="H383" s="23">
        <f>IF(A383="","",IFERROR(INDEX(Jobs!$R$5:$R$604,MATCH(A383,Jobs!$A$5:$A$604,0)),""))</f>
        <v>0</v>
      </c>
      <c r="I383" s="39">
        <f>IF(A383="","",IFERROR(INDEX(Jobs!$P$5:$P$604,MATCH(A383,Jobs!$A$5:$A$604,0)),""))</f>
        <v>0</v>
      </c>
      <c r="J383" s="21">
        <f>IF(A383="","",IF(OR(I383="Completed",I383="Invoiced"),IFERROR(INDEX(Jobs!$AJ$5:$AJ$604,MATCH(A383,Jobs!$A$5:$A$604,0)),0),0))</f>
        <v>0</v>
      </c>
      <c r="K383" s="34">
        <f>IF(A383="","",IFERROR(INDEX(Jobs!$AD$5:$AD$604,MATCH(A383,Jobs!$A$5:$A$604,0)),0))</f>
        <v>0</v>
      </c>
      <c r="L383" s="34">
        <f>IF(A383="","",IFERROR(INDEX(Jobs!$AK$5:$AK$604,MATCH(A383,Jobs!$A$5:$A$604,0)),0))</f>
        <v>0</v>
      </c>
      <c r="M383" s="34">
        <f>IF(A383="","",IF(IFERROR(L383*1,0)&gt;0,L383,IFERROR(K383*1,0)))</f>
        <v>0</v>
      </c>
      <c r="N383" s="21">
        <f>IF(A383="","",SUMIFS(Timesheets!$X$5:$X$804,Timesheets!$G$5:$G$804,A383))</f>
        <v>0</v>
      </c>
      <c r="O383" s="21">
        <f>IF(A383="","",IF(N383&gt;0,N383,ROUND(M383*CostPerHour,2)))</f>
        <v>0</v>
      </c>
      <c r="P383" s="21">
        <f>IF(A383="","",SUMIFS('Supply Usage'!$L$5:$L$304,'Supply Usage'!$F$5:$F$304,A383))</f>
        <v>0</v>
      </c>
      <c r="Q383" s="21">
        <f>IF(A383="","",IF(P383&gt;0,P383,ROUND(M383*SuppliesPerHour,2)))</f>
        <v>0</v>
      </c>
      <c r="R383" s="21">
        <f>IF(A383="","",ROUND(IFERROR(INDEX(Jobs!$W$5:$W$604,MATCH(A383,Jobs!$A$5:$A$604,0)),0)*MileageRate,2))</f>
        <v>0</v>
      </c>
      <c r="T383" s="21">
        <f>IF(A383="","",O383+Q383+R383+IF(S383="",0,S383))</f>
        <v>0</v>
      </c>
      <c r="U383" s="21">
        <f>IF(A383="","",J383-T383)</f>
        <v>0</v>
      </c>
      <c r="V383" s="38">
        <f>IF(OR(A383="",J383=0),"",U383/J383)</f>
        <v>0</v>
      </c>
      <c r="W383" s="21">
        <f>IF(OR(A383="",M383=0,J383=0),"",U383/M383)</f>
        <v>0</v>
      </c>
      <c r="X383" s="34">
        <f>IF(OR(A383="",L383="",L383=0,K383=""),"",L383-K383)</f>
        <v>0</v>
      </c>
      <c r="Y383" s="31">
        <f>IF(A383="","",COUNTIFS($U$5:$U$604,"&gt;"&amp;U383)+COUNTIFS($U$5:U383,U383))</f>
        <v>0</v>
      </c>
      <c r="Z383" s="31">
        <f>IF(A383="","",COUNTIFS($W$5:$W$604,"&gt;"&amp;W383)+COUNTIFS($W$5:W383,W383))</f>
        <v>0</v>
      </c>
      <c r="AA383" s="39">
        <f>IF(A383="","",IF(J383=0,"",IF(U383&lt;0,"Loss - this job cost you money",IF(V383&lt;MarginFloor,"Below - margin under the floor",IF(V383&lt;TargetMargin,"Check - under target margin",IF(AND(X383&lt;&gt;"",X383&gt;0.5),"Check - ran over the estimate","OK"))))))</f>
        <v>0</v>
      </c>
    </row>
    <row r="384" spans="1:27">
      <c r="A384" s="43">
        <f>IF(IFERROR(INDEX(Jobs!$A$5:$A$604,ROW()-4),"")="","",IFERROR(INDEX(Jobs!$A$5:$A$604,ROW()-4),""))</f>
        <v>0</v>
      </c>
      <c r="B384" s="18">
        <f>IF(A384="","",IFERROR(INDEX(Jobs!$B$5:$B$604,MATCH(A384,Jobs!$A$5:$A$604,0)),""))</f>
        <v>0</v>
      </c>
      <c r="C384" s="23">
        <f>IF(B384="","",TEXT(B384,"yyyy-mm"))</f>
        <v>0</v>
      </c>
      <c r="D384" s="43">
        <f>IF(A384="","",IFERROR(INDEX(Jobs!$G$5:$G$604,MATCH(A384,Jobs!$A$5:$A$604,0)),""))</f>
        <v>0</v>
      </c>
      <c r="E384" s="23">
        <f>IF(A384="","",IFERROR(INDEX(Jobs!$H$5:$H$604,MATCH(A384,Jobs!$A$5:$A$604,0)),""))</f>
        <v>0</v>
      </c>
      <c r="F384" s="23">
        <f>IF(A384="","",IFERROR(INDEX(Jobs!$K$5:$K$604,MATCH(A384,Jobs!$A$5:$A$604,0)),""))</f>
        <v>0</v>
      </c>
      <c r="G384" s="23">
        <f>IF(A384="","",IFERROR(INDEX(Jobs!$M$5:$M$604,MATCH(A384,Jobs!$A$5:$A$604,0)),""))</f>
        <v>0</v>
      </c>
      <c r="H384" s="23">
        <f>IF(A384="","",IFERROR(INDEX(Jobs!$R$5:$R$604,MATCH(A384,Jobs!$A$5:$A$604,0)),""))</f>
        <v>0</v>
      </c>
      <c r="I384" s="39">
        <f>IF(A384="","",IFERROR(INDEX(Jobs!$P$5:$P$604,MATCH(A384,Jobs!$A$5:$A$604,0)),""))</f>
        <v>0</v>
      </c>
      <c r="J384" s="21">
        <f>IF(A384="","",IF(OR(I384="Completed",I384="Invoiced"),IFERROR(INDEX(Jobs!$AJ$5:$AJ$604,MATCH(A384,Jobs!$A$5:$A$604,0)),0),0))</f>
        <v>0</v>
      </c>
      <c r="K384" s="34">
        <f>IF(A384="","",IFERROR(INDEX(Jobs!$AD$5:$AD$604,MATCH(A384,Jobs!$A$5:$A$604,0)),0))</f>
        <v>0</v>
      </c>
      <c r="L384" s="34">
        <f>IF(A384="","",IFERROR(INDEX(Jobs!$AK$5:$AK$604,MATCH(A384,Jobs!$A$5:$A$604,0)),0))</f>
        <v>0</v>
      </c>
      <c r="M384" s="34">
        <f>IF(A384="","",IF(IFERROR(L384*1,0)&gt;0,L384,IFERROR(K384*1,0)))</f>
        <v>0</v>
      </c>
      <c r="N384" s="21">
        <f>IF(A384="","",SUMIFS(Timesheets!$X$5:$X$804,Timesheets!$G$5:$G$804,A384))</f>
        <v>0</v>
      </c>
      <c r="O384" s="21">
        <f>IF(A384="","",IF(N384&gt;0,N384,ROUND(M384*CostPerHour,2)))</f>
        <v>0</v>
      </c>
      <c r="P384" s="21">
        <f>IF(A384="","",SUMIFS('Supply Usage'!$L$5:$L$304,'Supply Usage'!$F$5:$F$304,A384))</f>
        <v>0</v>
      </c>
      <c r="Q384" s="21">
        <f>IF(A384="","",IF(P384&gt;0,P384,ROUND(M384*SuppliesPerHour,2)))</f>
        <v>0</v>
      </c>
      <c r="R384" s="21">
        <f>IF(A384="","",ROUND(IFERROR(INDEX(Jobs!$W$5:$W$604,MATCH(A384,Jobs!$A$5:$A$604,0)),0)*MileageRate,2))</f>
        <v>0</v>
      </c>
      <c r="T384" s="21">
        <f>IF(A384="","",O384+Q384+R384+IF(S384="",0,S384))</f>
        <v>0</v>
      </c>
      <c r="U384" s="21">
        <f>IF(A384="","",J384-T384)</f>
        <v>0</v>
      </c>
      <c r="V384" s="38">
        <f>IF(OR(A384="",J384=0),"",U384/J384)</f>
        <v>0</v>
      </c>
      <c r="W384" s="21">
        <f>IF(OR(A384="",M384=0,J384=0),"",U384/M384)</f>
        <v>0</v>
      </c>
      <c r="X384" s="34">
        <f>IF(OR(A384="",L384="",L384=0,K384=""),"",L384-K384)</f>
        <v>0</v>
      </c>
      <c r="Y384" s="31">
        <f>IF(A384="","",COUNTIFS($U$5:$U$604,"&gt;"&amp;U384)+COUNTIFS($U$5:U384,U384))</f>
        <v>0</v>
      </c>
      <c r="Z384" s="31">
        <f>IF(A384="","",COUNTIFS($W$5:$W$604,"&gt;"&amp;W384)+COUNTIFS($W$5:W384,W384))</f>
        <v>0</v>
      </c>
      <c r="AA384" s="39">
        <f>IF(A384="","",IF(J384=0,"",IF(U384&lt;0,"Loss - this job cost you money",IF(V384&lt;MarginFloor,"Below - margin under the floor",IF(V384&lt;TargetMargin,"Check - under target margin",IF(AND(X384&lt;&gt;"",X384&gt;0.5),"Check - ran over the estimate","OK"))))))</f>
        <v>0</v>
      </c>
    </row>
    <row r="385" spans="1:27">
      <c r="A385" s="43">
        <f>IF(IFERROR(INDEX(Jobs!$A$5:$A$604,ROW()-4),"")="","",IFERROR(INDEX(Jobs!$A$5:$A$604,ROW()-4),""))</f>
        <v>0</v>
      </c>
      <c r="B385" s="18">
        <f>IF(A385="","",IFERROR(INDEX(Jobs!$B$5:$B$604,MATCH(A385,Jobs!$A$5:$A$604,0)),""))</f>
        <v>0</v>
      </c>
      <c r="C385" s="23">
        <f>IF(B385="","",TEXT(B385,"yyyy-mm"))</f>
        <v>0</v>
      </c>
      <c r="D385" s="43">
        <f>IF(A385="","",IFERROR(INDEX(Jobs!$G$5:$G$604,MATCH(A385,Jobs!$A$5:$A$604,0)),""))</f>
        <v>0</v>
      </c>
      <c r="E385" s="23">
        <f>IF(A385="","",IFERROR(INDEX(Jobs!$H$5:$H$604,MATCH(A385,Jobs!$A$5:$A$604,0)),""))</f>
        <v>0</v>
      </c>
      <c r="F385" s="23">
        <f>IF(A385="","",IFERROR(INDEX(Jobs!$K$5:$K$604,MATCH(A385,Jobs!$A$5:$A$604,0)),""))</f>
        <v>0</v>
      </c>
      <c r="G385" s="23">
        <f>IF(A385="","",IFERROR(INDEX(Jobs!$M$5:$M$604,MATCH(A385,Jobs!$A$5:$A$604,0)),""))</f>
        <v>0</v>
      </c>
      <c r="H385" s="23">
        <f>IF(A385="","",IFERROR(INDEX(Jobs!$R$5:$R$604,MATCH(A385,Jobs!$A$5:$A$604,0)),""))</f>
        <v>0</v>
      </c>
      <c r="I385" s="39">
        <f>IF(A385="","",IFERROR(INDEX(Jobs!$P$5:$P$604,MATCH(A385,Jobs!$A$5:$A$604,0)),""))</f>
        <v>0</v>
      </c>
      <c r="J385" s="21">
        <f>IF(A385="","",IF(OR(I385="Completed",I385="Invoiced"),IFERROR(INDEX(Jobs!$AJ$5:$AJ$604,MATCH(A385,Jobs!$A$5:$A$604,0)),0),0))</f>
        <v>0</v>
      </c>
      <c r="K385" s="34">
        <f>IF(A385="","",IFERROR(INDEX(Jobs!$AD$5:$AD$604,MATCH(A385,Jobs!$A$5:$A$604,0)),0))</f>
        <v>0</v>
      </c>
      <c r="L385" s="34">
        <f>IF(A385="","",IFERROR(INDEX(Jobs!$AK$5:$AK$604,MATCH(A385,Jobs!$A$5:$A$604,0)),0))</f>
        <v>0</v>
      </c>
      <c r="M385" s="34">
        <f>IF(A385="","",IF(IFERROR(L385*1,0)&gt;0,L385,IFERROR(K385*1,0)))</f>
        <v>0</v>
      </c>
      <c r="N385" s="21">
        <f>IF(A385="","",SUMIFS(Timesheets!$X$5:$X$804,Timesheets!$G$5:$G$804,A385))</f>
        <v>0</v>
      </c>
      <c r="O385" s="21">
        <f>IF(A385="","",IF(N385&gt;0,N385,ROUND(M385*CostPerHour,2)))</f>
        <v>0</v>
      </c>
      <c r="P385" s="21">
        <f>IF(A385="","",SUMIFS('Supply Usage'!$L$5:$L$304,'Supply Usage'!$F$5:$F$304,A385))</f>
        <v>0</v>
      </c>
      <c r="Q385" s="21">
        <f>IF(A385="","",IF(P385&gt;0,P385,ROUND(M385*SuppliesPerHour,2)))</f>
        <v>0</v>
      </c>
      <c r="R385" s="21">
        <f>IF(A385="","",ROUND(IFERROR(INDEX(Jobs!$W$5:$W$604,MATCH(A385,Jobs!$A$5:$A$604,0)),0)*MileageRate,2))</f>
        <v>0</v>
      </c>
      <c r="T385" s="21">
        <f>IF(A385="","",O385+Q385+R385+IF(S385="",0,S385))</f>
        <v>0</v>
      </c>
      <c r="U385" s="21">
        <f>IF(A385="","",J385-T385)</f>
        <v>0</v>
      </c>
      <c r="V385" s="38">
        <f>IF(OR(A385="",J385=0),"",U385/J385)</f>
        <v>0</v>
      </c>
      <c r="W385" s="21">
        <f>IF(OR(A385="",M385=0,J385=0),"",U385/M385)</f>
        <v>0</v>
      </c>
      <c r="X385" s="34">
        <f>IF(OR(A385="",L385="",L385=0,K385=""),"",L385-K385)</f>
        <v>0</v>
      </c>
      <c r="Y385" s="31">
        <f>IF(A385="","",COUNTIFS($U$5:$U$604,"&gt;"&amp;U385)+COUNTIFS($U$5:U385,U385))</f>
        <v>0</v>
      </c>
      <c r="Z385" s="31">
        <f>IF(A385="","",COUNTIFS($W$5:$W$604,"&gt;"&amp;W385)+COUNTIFS($W$5:W385,W385))</f>
        <v>0</v>
      </c>
      <c r="AA385" s="39">
        <f>IF(A385="","",IF(J385=0,"",IF(U385&lt;0,"Loss - this job cost you money",IF(V385&lt;MarginFloor,"Below - margin under the floor",IF(V385&lt;TargetMargin,"Check - under target margin",IF(AND(X385&lt;&gt;"",X385&gt;0.5),"Check - ran over the estimate","OK"))))))</f>
        <v>0</v>
      </c>
    </row>
    <row r="386" spans="1:27">
      <c r="A386" s="43">
        <f>IF(IFERROR(INDEX(Jobs!$A$5:$A$604,ROW()-4),"")="","",IFERROR(INDEX(Jobs!$A$5:$A$604,ROW()-4),""))</f>
        <v>0</v>
      </c>
      <c r="B386" s="18">
        <f>IF(A386="","",IFERROR(INDEX(Jobs!$B$5:$B$604,MATCH(A386,Jobs!$A$5:$A$604,0)),""))</f>
        <v>0</v>
      </c>
      <c r="C386" s="23">
        <f>IF(B386="","",TEXT(B386,"yyyy-mm"))</f>
        <v>0</v>
      </c>
      <c r="D386" s="43">
        <f>IF(A386="","",IFERROR(INDEX(Jobs!$G$5:$G$604,MATCH(A386,Jobs!$A$5:$A$604,0)),""))</f>
        <v>0</v>
      </c>
      <c r="E386" s="23">
        <f>IF(A386="","",IFERROR(INDEX(Jobs!$H$5:$H$604,MATCH(A386,Jobs!$A$5:$A$604,0)),""))</f>
        <v>0</v>
      </c>
      <c r="F386" s="23">
        <f>IF(A386="","",IFERROR(INDEX(Jobs!$K$5:$K$604,MATCH(A386,Jobs!$A$5:$A$604,0)),""))</f>
        <v>0</v>
      </c>
      <c r="G386" s="23">
        <f>IF(A386="","",IFERROR(INDEX(Jobs!$M$5:$M$604,MATCH(A386,Jobs!$A$5:$A$604,0)),""))</f>
        <v>0</v>
      </c>
      <c r="H386" s="23">
        <f>IF(A386="","",IFERROR(INDEX(Jobs!$R$5:$R$604,MATCH(A386,Jobs!$A$5:$A$604,0)),""))</f>
        <v>0</v>
      </c>
      <c r="I386" s="39">
        <f>IF(A386="","",IFERROR(INDEX(Jobs!$P$5:$P$604,MATCH(A386,Jobs!$A$5:$A$604,0)),""))</f>
        <v>0</v>
      </c>
      <c r="J386" s="21">
        <f>IF(A386="","",IF(OR(I386="Completed",I386="Invoiced"),IFERROR(INDEX(Jobs!$AJ$5:$AJ$604,MATCH(A386,Jobs!$A$5:$A$604,0)),0),0))</f>
        <v>0</v>
      </c>
      <c r="K386" s="34">
        <f>IF(A386="","",IFERROR(INDEX(Jobs!$AD$5:$AD$604,MATCH(A386,Jobs!$A$5:$A$604,0)),0))</f>
        <v>0</v>
      </c>
      <c r="L386" s="34">
        <f>IF(A386="","",IFERROR(INDEX(Jobs!$AK$5:$AK$604,MATCH(A386,Jobs!$A$5:$A$604,0)),0))</f>
        <v>0</v>
      </c>
      <c r="M386" s="34">
        <f>IF(A386="","",IF(IFERROR(L386*1,0)&gt;0,L386,IFERROR(K386*1,0)))</f>
        <v>0</v>
      </c>
      <c r="N386" s="21">
        <f>IF(A386="","",SUMIFS(Timesheets!$X$5:$X$804,Timesheets!$G$5:$G$804,A386))</f>
        <v>0</v>
      </c>
      <c r="O386" s="21">
        <f>IF(A386="","",IF(N386&gt;0,N386,ROUND(M386*CostPerHour,2)))</f>
        <v>0</v>
      </c>
      <c r="P386" s="21">
        <f>IF(A386="","",SUMIFS('Supply Usage'!$L$5:$L$304,'Supply Usage'!$F$5:$F$304,A386))</f>
        <v>0</v>
      </c>
      <c r="Q386" s="21">
        <f>IF(A386="","",IF(P386&gt;0,P386,ROUND(M386*SuppliesPerHour,2)))</f>
        <v>0</v>
      </c>
      <c r="R386" s="21">
        <f>IF(A386="","",ROUND(IFERROR(INDEX(Jobs!$W$5:$W$604,MATCH(A386,Jobs!$A$5:$A$604,0)),0)*MileageRate,2))</f>
        <v>0</v>
      </c>
      <c r="T386" s="21">
        <f>IF(A386="","",O386+Q386+R386+IF(S386="",0,S386))</f>
        <v>0</v>
      </c>
      <c r="U386" s="21">
        <f>IF(A386="","",J386-T386)</f>
        <v>0</v>
      </c>
      <c r="V386" s="38">
        <f>IF(OR(A386="",J386=0),"",U386/J386)</f>
        <v>0</v>
      </c>
      <c r="W386" s="21">
        <f>IF(OR(A386="",M386=0,J386=0),"",U386/M386)</f>
        <v>0</v>
      </c>
      <c r="X386" s="34">
        <f>IF(OR(A386="",L386="",L386=0,K386=""),"",L386-K386)</f>
        <v>0</v>
      </c>
      <c r="Y386" s="31">
        <f>IF(A386="","",COUNTIFS($U$5:$U$604,"&gt;"&amp;U386)+COUNTIFS($U$5:U386,U386))</f>
        <v>0</v>
      </c>
      <c r="Z386" s="31">
        <f>IF(A386="","",COUNTIFS($W$5:$W$604,"&gt;"&amp;W386)+COUNTIFS($W$5:W386,W386))</f>
        <v>0</v>
      </c>
      <c r="AA386" s="39">
        <f>IF(A386="","",IF(J386=0,"",IF(U386&lt;0,"Loss - this job cost you money",IF(V386&lt;MarginFloor,"Below - margin under the floor",IF(V386&lt;TargetMargin,"Check - under target margin",IF(AND(X386&lt;&gt;"",X386&gt;0.5),"Check - ran over the estimate","OK"))))))</f>
        <v>0</v>
      </c>
    </row>
    <row r="387" spans="1:27">
      <c r="A387" s="43">
        <f>IF(IFERROR(INDEX(Jobs!$A$5:$A$604,ROW()-4),"")="","",IFERROR(INDEX(Jobs!$A$5:$A$604,ROW()-4),""))</f>
        <v>0</v>
      </c>
      <c r="B387" s="18">
        <f>IF(A387="","",IFERROR(INDEX(Jobs!$B$5:$B$604,MATCH(A387,Jobs!$A$5:$A$604,0)),""))</f>
        <v>0</v>
      </c>
      <c r="C387" s="23">
        <f>IF(B387="","",TEXT(B387,"yyyy-mm"))</f>
        <v>0</v>
      </c>
      <c r="D387" s="43">
        <f>IF(A387="","",IFERROR(INDEX(Jobs!$G$5:$G$604,MATCH(A387,Jobs!$A$5:$A$604,0)),""))</f>
        <v>0</v>
      </c>
      <c r="E387" s="23">
        <f>IF(A387="","",IFERROR(INDEX(Jobs!$H$5:$H$604,MATCH(A387,Jobs!$A$5:$A$604,0)),""))</f>
        <v>0</v>
      </c>
      <c r="F387" s="23">
        <f>IF(A387="","",IFERROR(INDEX(Jobs!$K$5:$K$604,MATCH(A387,Jobs!$A$5:$A$604,0)),""))</f>
        <v>0</v>
      </c>
      <c r="G387" s="23">
        <f>IF(A387="","",IFERROR(INDEX(Jobs!$M$5:$M$604,MATCH(A387,Jobs!$A$5:$A$604,0)),""))</f>
        <v>0</v>
      </c>
      <c r="H387" s="23">
        <f>IF(A387="","",IFERROR(INDEX(Jobs!$R$5:$R$604,MATCH(A387,Jobs!$A$5:$A$604,0)),""))</f>
        <v>0</v>
      </c>
      <c r="I387" s="39">
        <f>IF(A387="","",IFERROR(INDEX(Jobs!$P$5:$P$604,MATCH(A387,Jobs!$A$5:$A$604,0)),""))</f>
        <v>0</v>
      </c>
      <c r="J387" s="21">
        <f>IF(A387="","",IF(OR(I387="Completed",I387="Invoiced"),IFERROR(INDEX(Jobs!$AJ$5:$AJ$604,MATCH(A387,Jobs!$A$5:$A$604,0)),0),0))</f>
        <v>0</v>
      </c>
      <c r="K387" s="34">
        <f>IF(A387="","",IFERROR(INDEX(Jobs!$AD$5:$AD$604,MATCH(A387,Jobs!$A$5:$A$604,0)),0))</f>
        <v>0</v>
      </c>
      <c r="L387" s="34">
        <f>IF(A387="","",IFERROR(INDEX(Jobs!$AK$5:$AK$604,MATCH(A387,Jobs!$A$5:$A$604,0)),0))</f>
        <v>0</v>
      </c>
      <c r="M387" s="34">
        <f>IF(A387="","",IF(IFERROR(L387*1,0)&gt;0,L387,IFERROR(K387*1,0)))</f>
        <v>0</v>
      </c>
      <c r="N387" s="21">
        <f>IF(A387="","",SUMIFS(Timesheets!$X$5:$X$804,Timesheets!$G$5:$G$804,A387))</f>
        <v>0</v>
      </c>
      <c r="O387" s="21">
        <f>IF(A387="","",IF(N387&gt;0,N387,ROUND(M387*CostPerHour,2)))</f>
        <v>0</v>
      </c>
      <c r="P387" s="21">
        <f>IF(A387="","",SUMIFS('Supply Usage'!$L$5:$L$304,'Supply Usage'!$F$5:$F$304,A387))</f>
        <v>0</v>
      </c>
      <c r="Q387" s="21">
        <f>IF(A387="","",IF(P387&gt;0,P387,ROUND(M387*SuppliesPerHour,2)))</f>
        <v>0</v>
      </c>
      <c r="R387" s="21">
        <f>IF(A387="","",ROUND(IFERROR(INDEX(Jobs!$W$5:$W$604,MATCH(A387,Jobs!$A$5:$A$604,0)),0)*MileageRate,2))</f>
        <v>0</v>
      </c>
      <c r="T387" s="21">
        <f>IF(A387="","",O387+Q387+R387+IF(S387="",0,S387))</f>
        <v>0</v>
      </c>
      <c r="U387" s="21">
        <f>IF(A387="","",J387-T387)</f>
        <v>0</v>
      </c>
      <c r="V387" s="38">
        <f>IF(OR(A387="",J387=0),"",U387/J387)</f>
        <v>0</v>
      </c>
      <c r="W387" s="21">
        <f>IF(OR(A387="",M387=0,J387=0),"",U387/M387)</f>
        <v>0</v>
      </c>
      <c r="X387" s="34">
        <f>IF(OR(A387="",L387="",L387=0,K387=""),"",L387-K387)</f>
        <v>0</v>
      </c>
      <c r="Y387" s="31">
        <f>IF(A387="","",COUNTIFS($U$5:$U$604,"&gt;"&amp;U387)+COUNTIFS($U$5:U387,U387))</f>
        <v>0</v>
      </c>
      <c r="Z387" s="31">
        <f>IF(A387="","",COUNTIFS($W$5:$W$604,"&gt;"&amp;W387)+COUNTIFS($W$5:W387,W387))</f>
        <v>0</v>
      </c>
      <c r="AA387" s="39">
        <f>IF(A387="","",IF(J387=0,"",IF(U387&lt;0,"Loss - this job cost you money",IF(V387&lt;MarginFloor,"Below - margin under the floor",IF(V387&lt;TargetMargin,"Check - under target margin",IF(AND(X387&lt;&gt;"",X387&gt;0.5),"Check - ran over the estimate","OK"))))))</f>
        <v>0</v>
      </c>
    </row>
    <row r="388" spans="1:27">
      <c r="A388" s="43">
        <f>IF(IFERROR(INDEX(Jobs!$A$5:$A$604,ROW()-4),"")="","",IFERROR(INDEX(Jobs!$A$5:$A$604,ROW()-4),""))</f>
        <v>0</v>
      </c>
      <c r="B388" s="18">
        <f>IF(A388="","",IFERROR(INDEX(Jobs!$B$5:$B$604,MATCH(A388,Jobs!$A$5:$A$604,0)),""))</f>
        <v>0</v>
      </c>
      <c r="C388" s="23">
        <f>IF(B388="","",TEXT(B388,"yyyy-mm"))</f>
        <v>0</v>
      </c>
      <c r="D388" s="43">
        <f>IF(A388="","",IFERROR(INDEX(Jobs!$G$5:$G$604,MATCH(A388,Jobs!$A$5:$A$604,0)),""))</f>
        <v>0</v>
      </c>
      <c r="E388" s="23">
        <f>IF(A388="","",IFERROR(INDEX(Jobs!$H$5:$H$604,MATCH(A388,Jobs!$A$5:$A$604,0)),""))</f>
        <v>0</v>
      </c>
      <c r="F388" s="23">
        <f>IF(A388="","",IFERROR(INDEX(Jobs!$K$5:$K$604,MATCH(A388,Jobs!$A$5:$A$604,0)),""))</f>
        <v>0</v>
      </c>
      <c r="G388" s="23">
        <f>IF(A388="","",IFERROR(INDEX(Jobs!$M$5:$M$604,MATCH(A388,Jobs!$A$5:$A$604,0)),""))</f>
        <v>0</v>
      </c>
      <c r="H388" s="23">
        <f>IF(A388="","",IFERROR(INDEX(Jobs!$R$5:$R$604,MATCH(A388,Jobs!$A$5:$A$604,0)),""))</f>
        <v>0</v>
      </c>
      <c r="I388" s="39">
        <f>IF(A388="","",IFERROR(INDEX(Jobs!$P$5:$P$604,MATCH(A388,Jobs!$A$5:$A$604,0)),""))</f>
        <v>0</v>
      </c>
      <c r="J388" s="21">
        <f>IF(A388="","",IF(OR(I388="Completed",I388="Invoiced"),IFERROR(INDEX(Jobs!$AJ$5:$AJ$604,MATCH(A388,Jobs!$A$5:$A$604,0)),0),0))</f>
        <v>0</v>
      </c>
      <c r="K388" s="34">
        <f>IF(A388="","",IFERROR(INDEX(Jobs!$AD$5:$AD$604,MATCH(A388,Jobs!$A$5:$A$604,0)),0))</f>
        <v>0</v>
      </c>
      <c r="L388" s="34">
        <f>IF(A388="","",IFERROR(INDEX(Jobs!$AK$5:$AK$604,MATCH(A388,Jobs!$A$5:$A$604,0)),0))</f>
        <v>0</v>
      </c>
      <c r="M388" s="34">
        <f>IF(A388="","",IF(IFERROR(L388*1,0)&gt;0,L388,IFERROR(K388*1,0)))</f>
        <v>0</v>
      </c>
      <c r="N388" s="21">
        <f>IF(A388="","",SUMIFS(Timesheets!$X$5:$X$804,Timesheets!$G$5:$G$804,A388))</f>
        <v>0</v>
      </c>
      <c r="O388" s="21">
        <f>IF(A388="","",IF(N388&gt;0,N388,ROUND(M388*CostPerHour,2)))</f>
        <v>0</v>
      </c>
      <c r="P388" s="21">
        <f>IF(A388="","",SUMIFS('Supply Usage'!$L$5:$L$304,'Supply Usage'!$F$5:$F$304,A388))</f>
        <v>0</v>
      </c>
      <c r="Q388" s="21">
        <f>IF(A388="","",IF(P388&gt;0,P388,ROUND(M388*SuppliesPerHour,2)))</f>
        <v>0</v>
      </c>
      <c r="R388" s="21">
        <f>IF(A388="","",ROUND(IFERROR(INDEX(Jobs!$W$5:$W$604,MATCH(A388,Jobs!$A$5:$A$604,0)),0)*MileageRate,2))</f>
        <v>0</v>
      </c>
      <c r="T388" s="21">
        <f>IF(A388="","",O388+Q388+R388+IF(S388="",0,S388))</f>
        <v>0</v>
      </c>
      <c r="U388" s="21">
        <f>IF(A388="","",J388-T388)</f>
        <v>0</v>
      </c>
      <c r="V388" s="38">
        <f>IF(OR(A388="",J388=0),"",U388/J388)</f>
        <v>0</v>
      </c>
      <c r="W388" s="21">
        <f>IF(OR(A388="",M388=0,J388=0),"",U388/M388)</f>
        <v>0</v>
      </c>
      <c r="X388" s="34">
        <f>IF(OR(A388="",L388="",L388=0,K388=""),"",L388-K388)</f>
        <v>0</v>
      </c>
      <c r="Y388" s="31">
        <f>IF(A388="","",COUNTIFS($U$5:$U$604,"&gt;"&amp;U388)+COUNTIFS($U$5:U388,U388))</f>
        <v>0</v>
      </c>
      <c r="Z388" s="31">
        <f>IF(A388="","",COUNTIFS($W$5:$W$604,"&gt;"&amp;W388)+COUNTIFS($W$5:W388,W388))</f>
        <v>0</v>
      </c>
      <c r="AA388" s="39">
        <f>IF(A388="","",IF(J388=0,"",IF(U388&lt;0,"Loss - this job cost you money",IF(V388&lt;MarginFloor,"Below - margin under the floor",IF(V388&lt;TargetMargin,"Check - under target margin",IF(AND(X388&lt;&gt;"",X388&gt;0.5),"Check - ran over the estimate","OK"))))))</f>
        <v>0</v>
      </c>
    </row>
    <row r="389" spans="1:27">
      <c r="A389" s="43">
        <f>IF(IFERROR(INDEX(Jobs!$A$5:$A$604,ROW()-4),"")="","",IFERROR(INDEX(Jobs!$A$5:$A$604,ROW()-4),""))</f>
        <v>0</v>
      </c>
      <c r="B389" s="18">
        <f>IF(A389="","",IFERROR(INDEX(Jobs!$B$5:$B$604,MATCH(A389,Jobs!$A$5:$A$604,0)),""))</f>
        <v>0</v>
      </c>
      <c r="C389" s="23">
        <f>IF(B389="","",TEXT(B389,"yyyy-mm"))</f>
        <v>0</v>
      </c>
      <c r="D389" s="43">
        <f>IF(A389="","",IFERROR(INDEX(Jobs!$G$5:$G$604,MATCH(A389,Jobs!$A$5:$A$604,0)),""))</f>
        <v>0</v>
      </c>
      <c r="E389" s="23">
        <f>IF(A389="","",IFERROR(INDEX(Jobs!$H$5:$H$604,MATCH(A389,Jobs!$A$5:$A$604,0)),""))</f>
        <v>0</v>
      </c>
      <c r="F389" s="23">
        <f>IF(A389="","",IFERROR(INDEX(Jobs!$K$5:$K$604,MATCH(A389,Jobs!$A$5:$A$604,0)),""))</f>
        <v>0</v>
      </c>
      <c r="G389" s="23">
        <f>IF(A389="","",IFERROR(INDEX(Jobs!$M$5:$M$604,MATCH(A389,Jobs!$A$5:$A$604,0)),""))</f>
        <v>0</v>
      </c>
      <c r="H389" s="23">
        <f>IF(A389="","",IFERROR(INDEX(Jobs!$R$5:$R$604,MATCH(A389,Jobs!$A$5:$A$604,0)),""))</f>
        <v>0</v>
      </c>
      <c r="I389" s="39">
        <f>IF(A389="","",IFERROR(INDEX(Jobs!$P$5:$P$604,MATCH(A389,Jobs!$A$5:$A$604,0)),""))</f>
        <v>0</v>
      </c>
      <c r="J389" s="21">
        <f>IF(A389="","",IF(OR(I389="Completed",I389="Invoiced"),IFERROR(INDEX(Jobs!$AJ$5:$AJ$604,MATCH(A389,Jobs!$A$5:$A$604,0)),0),0))</f>
        <v>0</v>
      </c>
      <c r="K389" s="34">
        <f>IF(A389="","",IFERROR(INDEX(Jobs!$AD$5:$AD$604,MATCH(A389,Jobs!$A$5:$A$604,0)),0))</f>
        <v>0</v>
      </c>
      <c r="L389" s="34">
        <f>IF(A389="","",IFERROR(INDEX(Jobs!$AK$5:$AK$604,MATCH(A389,Jobs!$A$5:$A$604,0)),0))</f>
        <v>0</v>
      </c>
      <c r="M389" s="34">
        <f>IF(A389="","",IF(IFERROR(L389*1,0)&gt;0,L389,IFERROR(K389*1,0)))</f>
        <v>0</v>
      </c>
      <c r="N389" s="21">
        <f>IF(A389="","",SUMIFS(Timesheets!$X$5:$X$804,Timesheets!$G$5:$G$804,A389))</f>
        <v>0</v>
      </c>
      <c r="O389" s="21">
        <f>IF(A389="","",IF(N389&gt;0,N389,ROUND(M389*CostPerHour,2)))</f>
        <v>0</v>
      </c>
      <c r="P389" s="21">
        <f>IF(A389="","",SUMIFS('Supply Usage'!$L$5:$L$304,'Supply Usage'!$F$5:$F$304,A389))</f>
        <v>0</v>
      </c>
      <c r="Q389" s="21">
        <f>IF(A389="","",IF(P389&gt;0,P389,ROUND(M389*SuppliesPerHour,2)))</f>
        <v>0</v>
      </c>
      <c r="R389" s="21">
        <f>IF(A389="","",ROUND(IFERROR(INDEX(Jobs!$W$5:$W$604,MATCH(A389,Jobs!$A$5:$A$604,0)),0)*MileageRate,2))</f>
        <v>0</v>
      </c>
      <c r="T389" s="21">
        <f>IF(A389="","",O389+Q389+R389+IF(S389="",0,S389))</f>
        <v>0</v>
      </c>
      <c r="U389" s="21">
        <f>IF(A389="","",J389-T389)</f>
        <v>0</v>
      </c>
      <c r="V389" s="38">
        <f>IF(OR(A389="",J389=0),"",U389/J389)</f>
        <v>0</v>
      </c>
      <c r="W389" s="21">
        <f>IF(OR(A389="",M389=0,J389=0),"",U389/M389)</f>
        <v>0</v>
      </c>
      <c r="X389" s="34">
        <f>IF(OR(A389="",L389="",L389=0,K389=""),"",L389-K389)</f>
        <v>0</v>
      </c>
      <c r="Y389" s="31">
        <f>IF(A389="","",COUNTIFS($U$5:$U$604,"&gt;"&amp;U389)+COUNTIFS($U$5:U389,U389))</f>
        <v>0</v>
      </c>
      <c r="Z389" s="31">
        <f>IF(A389="","",COUNTIFS($W$5:$W$604,"&gt;"&amp;W389)+COUNTIFS($W$5:W389,W389))</f>
        <v>0</v>
      </c>
      <c r="AA389" s="39">
        <f>IF(A389="","",IF(J389=0,"",IF(U389&lt;0,"Loss - this job cost you money",IF(V389&lt;MarginFloor,"Below - margin under the floor",IF(V389&lt;TargetMargin,"Check - under target margin",IF(AND(X389&lt;&gt;"",X389&gt;0.5),"Check - ran over the estimate","OK"))))))</f>
        <v>0</v>
      </c>
    </row>
    <row r="390" spans="1:27">
      <c r="A390" s="43">
        <f>IF(IFERROR(INDEX(Jobs!$A$5:$A$604,ROW()-4),"")="","",IFERROR(INDEX(Jobs!$A$5:$A$604,ROW()-4),""))</f>
        <v>0</v>
      </c>
      <c r="B390" s="18">
        <f>IF(A390="","",IFERROR(INDEX(Jobs!$B$5:$B$604,MATCH(A390,Jobs!$A$5:$A$604,0)),""))</f>
        <v>0</v>
      </c>
      <c r="C390" s="23">
        <f>IF(B390="","",TEXT(B390,"yyyy-mm"))</f>
        <v>0</v>
      </c>
      <c r="D390" s="43">
        <f>IF(A390="","",IFERROR(INDEX(Jobs!$G$5:$G$604,MATCH(A390,Jobs!$A$5:$A$604,0)),""))</f>
        <v>0</v>
      </c>
      <c r="E390" s="23">
        <f>IF(A390="","",IFERROR(INDEX(Jobs!$H$5:$H$604,MATCH(A390,Jobs!$A$5:$A$604,0)),""))</f>
        <v>0</v>
      </c>
      <c r="F390" s="23">
        <f>IF(A390="","",IFERROR(INDEX(Jobs!$K$5:$K$604,MATCH(A390,Jobs!$A$5:$A$604,0)),""))</f>
        <v>0</v>
      </c>
      <c r="G390" s="23">
        <f>IF(A390="","",IFERROR(INDEX(Jobs!$M$5:$M$604,MATCH(A390,Jobs!$A$5:$A$604,0)),""))</f>
        <v>0</v>
      </c>
      <c r="H390" s="23">
        <f>IF(A390="","",IFERROR(INDEX(Jobs!$R$5:$R$604,MATCH(A390,Jobs!$A$5:$A$604,0)),""))</f>
        <v>0</v>
      </c>
      <c r="I390" s="39">
        <f>IF(A390="","",IFERROR(INDEX(Jobs!$P$5:$P$604,MATCH(A390,Jobs!$A$5:$A$604,0)),""))</f>
        <v>0</v>
      </c>
      <c r="J390" s="21">
        <f>IF(A390="","",IF(OR(I390="Completed",I390="Invoiced"),IFERROR(INDEX(Jobs!$AJ$5:$AJ$604,MATCH(A390,Jobs!$A$5:$A$604,0)),0),0))</f>
        <v>0</v>
      </c>
      <c r="K390" s="34">
        <f>IF(A390="","",IFERROR(INDEX(Jobs!$AD$5:$AD$604,MATCH(A390,Jobs!$A$5:$A$604,0)),0))</f>
        <v>0</v>
      </c>
      <c r="L390" s="34">
        <f>IF(A390="","",IFERROR(INDEX(Jobs!$AK$5:$AK$604,MATCH(A390,Jobs!$A$5:$A$604,0)),0))</f>
        <v>0</v>
      </c>
      <c r="M390" s="34">
        <f>IF(A390="","",IF(IFERROR(L390*1,0)&gt;0,L390,IFERROR(K390*1,0)))</f>
        <v>0</v>
      </c>
      <c r="N390" s="21">
        <f>IF(A390="","",SUMIFS(Timesheets!$X$5:$X$804,Timesheets!$G$5:$G$804,A390))</f>
        <v>0</v>
      </c>
      <c r="O390" s="21">
        <f>IF(A390="","",IF(N390&gt;0,N390,ROUND(M390*CostPerHour,2)))</f>
        <v>0</v>
      </c>
      <c r="P390" s="21">
        <f>IF(A390="","",SUMIFS('Supply Usage'!$L$5:$L$304,'Supply Usage'!$F$5:$F$304,A390))</f>
        <v>0</v>
      </c>
      <c r="Q390" s="21">
        <f>IF(A390="","",IF(P390&gt;0,P390,ROUND(M390*SuppliesPerHour,2)))</f>
        <v>0</v>
      </c>
      <c r="R390" s="21">
        <f>IF(A390="","",ROUND(IFERROR(INDEX(Jobs!$W$5:$W$604,MATCH(A390,Jobs!$A$5:$A$604,0)),0)*MileageRate,2))</f>
        <v>0</v>
      </c>
      <c r="T390" s="21">
        <f>IF(A390="","",O390+Q390+R390+IF(S390="",0,S390))</f>
        <v>0</v>
      </c>
      <c r="U390" s="21">
        <f>IF(A390="","",J390-T390)</f>
        <v>0</v>
      </c>
      <c r="V390" s="38">
        <f>IF(OR(A390="",J390=0),"",U390/J390)</f>
        <v>0</v>
      </c>
      <c r="W390" s="21">
        <f>IF(OR(A390="",M390=0,J390=0),"",U390/M390)</f>
        <v>0</v>
      </c>
      <c r="X390" s="34">
        <f>IF(OR(A390="",L390="",L390=0,K390=""),"",L390-K390)</f>
        <v>0</v>
      </c>
      <c r="Y390" s="31">
        <f>IF(A390="","",COUNTIFS($U$5:$U$604,"&gt;"&amp;U390)+COUNTIFS($U$5:U390,U390))</f>
        <v>0</v>
      </c>
      <c r="Z390" s="31">
        <f>IF(A390="","",COUNTIFS($W$5:$W$604,"&gt;"&amp;W390)+COUNTIFS($W$5:W390,W390))</f>
        <v>0</v>
      </c>
      <c r="AA390" s="39">
        <f>IF(A390="","",IF(J390=0,"",IF(U390&lt;0,"Loss - this job cost you money",IF(V390&lt;MarginFloor,"Below - margin under the floor",IF(V390&lt;TargetMargin,"Check - under target margin",IF(AND(X390&lt;&gt;"",X390&gt;0.5),"Check - ran over the estimate","OK"))))))</f>
        <v>0</v>
      </c>
    </row>
    <row r="391" spans="1:27">
      <c r="A391" s="43">
        <f>IF(IFERROR(INDEX(Jobs!$A$5:$A$604,ROW()-4),"")="","",IFERROR(INDEX(Jobs!$A$5:$A$604,ROW()-4),""))</f>
        <v>0</v>
      </c>
      <c r="B391" s="18">
        <f>IF(A391="","",IFERROR(INDEX(Jobs!$B$5:$B$604,MATCH(A391,Jobs!$A$5:$A$604,0)),""))</f>
        <v>0</v>
      </c>
      <c r="C391" s="23">
        <f>IF(B391="","",TEXT(B391,"yyyy-mm"))</f>
        <v>0</v>
      </c>
      <c r="D391" s="43">
        <f>IF(A391="","",IFERROR(INDEX(Jobs!$G$5:$G$604,MATCH(A391,Jobs!$A$5:$A$604,0)),""))</f>
        <v>0</v>
      </c>
      <c r="E391" s="23">
        <f>IF(A391="","",IFERROR(INDEX(Jobs!$H$5:$H$604,MATCH(A391,Jobs!$A$5:$A$604,0)),""))</f>
        <v>0</v>
      </c>
      <c r="F391" s="23">
        <f>IF(A391="","",IFERROR(INDEX(Jobs!$K$5:$K$604,MATCH(A391,Jobs!$A$5:$A$604,0)),""))</f>
        <v>0</v>
      </c>
      <c r="G391" s="23">
        <f>IF(A391="","",IFERROR(INDEX(Jobs!$M$5:$M$604,MATCH(A391,Jobs!$A$5:$A$604,0)),""))</f>
        <v>0</v>
      </c>
      <c r="H391" s="23">
        <f>IF(A391="","",IFERROR(INDEX(Jobs!$R$5:$R$604,MATCH(A391,Jobs!$A$5:$A$604,0)),""))</f>
        <v>0</v>
      </c>
      <c r="I391" s="39">
        <f>IF(A391="","",IFERROR(INDEX(Jobs!$P$5:$P$604,MATCH(A391,Jobs!$A$5:$A$604,0)),""))</f>
        <v>0</v>
      </c>
      <c r="J391" s="21">
        <f>IF(A391="","",IF(OR(I391="Completed",I391="Invoiced"),IFERROR(INDEX(Jobs!$AJ$5:$AJ$604,MATCH(A391,Jobs!$A$5:$A$604,0)),0),0))</f>
        <v>0</v>
      </c>
      <c r="K391" s="34">
        <f>IF(A391="","",IFERROR(INDEX(Jobs!$AD$5:$AD$604,MATCH(A391,Jobs!$A$5:$A$604,0)),0))</f>
        <v>0</v>
      </c>
      <c r="L391" s="34">
        <f>IF(A391="","",IFERROR(INDEX(Jobs!$AK$5:$AK$604,MATCH(A391,Jobs!$A$5:$A$604,0)),0))</f>
        <v>0</v>
      </c>
      <c r="M391" s="34">
        <f>IF(A391="","",IF(IFERROR(L391*1,0)&gt;0,L391,IFERROR(K391*1,0)))</f>
        <v>0</v>
      </c>
      <c r="N391" s="21">
        <f>IF(A391="","",SUMIFS(Timesheets!$X$5:$X$804,Timesheets!$G$5:$G$804,A391))</f>
        <v>0</v>
      </c>
      <c r="O391" s="21">
        <f>IF(A391="","",IF(N391&gt;0,N391,ROUND(M391*CostPerHour,2)))</f>
        <v>0</v>
      </c>
      <c r="P391" s="21">
        <f>IF(A391="","",SUMIFS('Supply Usage'!$L$5:$L$304,'Supply Usage'!$F$5:$F$304,A391))</f>
        <v>0</v>
      </c>
      <c r="Q391" s="21">
        <f>IF(A391="","",IF(P391&gt;0,P391,ROUND(M391*SuppliesPerHour,2)))</f>
        <v>0</v>
      </c>
      <c r="R391" s="21">
        <f>IF(A391="","",ROUND(IFERROR(INDEX(Jobs!$W$5:$W$604,MATCH(A391,Jobs!$A$5:$A$604,0)),0)*MileageRate,2))</f>
        <v>0</v>
      </c>
      <c r="T391" s="21">
        <f>IF(A391="","",O391+Q391+R391+IF(S391="",0,S391))</f>
        <v>0</v>
      </c>
      <c r="U391" s="21">
        <f>IF(A391="","",J391-T391)</f>
        <v>0</v>
      </c>
      <c r="V391" s="38">
        <f>IF(OR(A391="",J391=0),"",U391/J391)</f>
        <v>0</v>
      </c>
      <c r="W391" s="21">
        <f>IF(OR(A391="",M391=0,J391=0),"",U391/M391)</f>
        <v>0</v>
      </c>
      <c r="X391" s="34">
        <f>IF(OR(A391="",L391="",L391=0,K391=""),"",L391-K391)</f>
        <v>0</v>
      </c>
      <c r="Y391" s="31">
        <f>IF(A391="","",COUNTIFS($U$5:$U$604,"&gt;"&amp;U391)+COUNTIFS($U$5:U391,U391))</f>
        <v>0</v>
      </c>
      <c r="Z391" s="31">
        <f>IF(A391="","",COUNTIFS($W$5:$W$604,"&gt;"&amp;W391)+COUNTIFS($W$5:W391,W391))</f>
        <v>0</v>
      </c>
      <c r="AA391" s="39">
        <f>IF(A391="","",IF(J391=0,"",IF(U391&lt;0,"Loss - this job cost you money",IF(V391&lt;MarginFloor,"Below - margin under the floor",IF(V391&lt;TargetMargin,"Check - under target margin",IF(AND(X391&lt;&gt;"",X391&gt;0.5),"Check - ran over the estimate","OK"))))))</f>
        <v>0</v>
      </c>
    </row>
    <row r="392" spans="1:27">
      <c r="A392" s="43">
        <f>IF(IFERROR(INDEX(Jobs!$A$5:$A$604,ROW()-4),"")="","",IFERROR(INDEX(Jobs!$A$5:$A$604,ROW()-4),""))</f>
        <v>0</v>
      </c>
      <c r="B392" s="18">
        <f>IF(A392="","",IFERROR(INDEX(Jobs!$B$5:$B$604,MATCH(A392,Jobs!$A$5:$A$604,0)),""))</f>
        <v>0</v>
      </c>
      <c r="C392" s="23">
        <f>IF(B392="","",TEXT(B392,"yyyy-mm"))</f>
        <v>0</v>
      </c>
      <c r="D392" s="43">
        <f>IF(A392="","",IFERROR(INDEX(Jobs!$G$5:$G$604,MATCH(A392,Jobs!$A$5:$A$604,0)),""))</f>
        <v>0</v>
      </c>
      <c r="E392" s="23">
        <f>IF(A392="","",IFERROR(INDEX(Jobs!$H$5:$H$604,MATCH(A392,Jobs!$A$5:$A$604,0)),""))</f>
        <v>0</v>
      </c>
      <c r="F392" s="23">
        <f>IF(A392="","",IFERROR(INDEX(Jobs!$K$5:$K$604,MATCH(A392,Jobs!$A$5:$A$604,0)),""))</f>
        <v>0</v>
      </c>
      <c r="G392" s="23">
        <f>IF(A392="","",IFERROR(INDEX(Jobs!$M$5:$M$604,MATCH(A392,Jobs!$A$5:$A$604,0)),""))</f>
        <v>0</v>
      </c>
      <c r="H392" s="23">
        <f>IF(A392="","",IFERROR(INDEX(Jobs!$R$5:$R$604,MATCH(A392,Jobs!$A$5:$A$604,0)),""))</f>
        <v>0</v>
      </c>
      <c r="I392" s="39">
        <f>IF(A392="","",IFERROR(INDEX(Jobs!$P$5:$P$604,MATCH(A392,Jobs!$A$5:$A$604,0)),""))</f>
        <v>0</v>
      </c>
      <c r="J392" s="21">
        <f>IF(A392="","",IF(OR(I392="Completed",I392="Invoiced"),IFERROR(INDEX(Jobs!$AJ$5:$AJ$604,MATCH(A392,Jobs!$A$5:$A$604,0)),0),0))</f>
        <v>0</v>
      </c>
      <c r="K392" s="34">
        <f>IF(A392="","",IFERROR(INDEX(Jobs!$AD$5:$AD$604,MATCH(A392,Jobs!$A$5:$A$604,0)),0))</f>
        <v>0</v>
      </c>
      <c r="L392" s="34">
        <f>IF(A392="","",IFERROR(INDEX(Jobs!$AK$5:$AK$604,MATCH(A392,Jobs!$A$5:$A$604,0)),0))</f>
        <v>0</v>
      </c>
      <c r="M392" s="34">
        <f>IF(A392="","",IF(IFERROR(L392*1,0)&gt;0,L392,IFERROR(K392*1,0)))</f>
        <v>0</v>
      </c>
      <c r="N392" s="21">
        <f>IF(A392="","",SUMIFS(Timesheets!$X$5:$X$804,Timesheets!$G$5:$G$804,A392))</f>
        <v>0</v>
      </c>
      <c r="O392" s="21">
        <f>IF(A392="","",IF(N392&gt;0,N392,ROUND(M392*CostPerHour,2)))</f>
        <v>0</v>
      </c>
      <c r="P392" s="21">
        <f>IF(A392="","",SUMIFS('Supply Usage'!$L$5:$L$304,'Supply Usage'!$F$5:$F$304,A392))</f>
        <v>0</v>
      </c>
      <c r="Q392" s="21">
        <f>IF(A392="","",IF(P392&gt;0,P392,ROUND(M392*SuppliesPerHour,2)))</f>
        <v>0</v>
      </c>
      <c r="R392" s="21">
        <f>IF(A392="","",ROUND(IFERROR(INDEX(Jobs!$W$5:$W$604,MATCH(A392,Jobs!$A$5:$A$604,0)),0)*MileageRate,2))</f>
        <v>0</v>
      </c>
      <c r="T392" s="21">
        <f>IF(A392="","",O392+Q392+R392+IF(S392="",0,S392))</f>
        <v>0</v>
      </c>
      <c r="U392" s="21">
        <f>IF(A392="","",J392-T392)</f>
        <v>0</v>
      </c>
      <c r="V392" s="38">
        <f>IF(OR(A392="",J392=0),"",U392/J392)</f>
        <v>0</v>
      </c>
      <c r="W392" s="21">
        <f>IF(OR(A392="",M392=0,J392=0),"",U392/M392)</f>
        <v>0</v>
      </c>
      <c r="X392" s="34">
        <f>IF(OR(A392="",L392="",L392=0,K392=""),"",L392-K392)</f>
        <v>0</v>
      </c>
      <c r="Y392" s="31">
        <f>IF(A392="","",COUNTIFS($U$5:$U$604,"&gt;"&amp;U392)+COUNTIFS($U$5:U392,U392))</f>
        <v>0</v>
      </c>
      <c r="Z392" s="31">
        <f>IF(A392="","",COUNTIFS($W$5:$W$604,"&gt;"&amp;W392)+COUNTIFS($W$5:W392,W392))</f>
        <v>0</v>
      </c>
      <c r="AA392" s="39">
        <f>IF(A392="","",IF(J392=0,"",IF(U392&lt;0,"Loss - this job cost you money",IF(V392&lt;MarginFloor,"Below - margin under the floor",IF(V392&lt;TargetMargin,"Check - under target margin",IF(AND(X392&lt;&gt;"",X392&gt;0.5),"Check - ran over the estimate","OK"))))))</f>
        <v>0</v>
      </c>
    </row>
    <row r="393" spans="1:27">
      <c r="A393" s="43">
        <f>IF(IFERROR(INDEX(Jobs!$A$5:$A$604,ROW()-4),"")="","",IFERROR(INDEX(Jobs!$A$5:$A$604,ROW()-4),""))</f>
        <v>0</v>
      </c>
      <c r="B393" s="18">
        <f>IF(A393="","",IFERROR(INDEX(Jobs!$B$5:$B$604,MATCH(A393,Jobs!$A$5:$A$604,0)),""))</f>
        <v>0</v>
      </c>
      <c r="C393" s="23">
        <f>IF(B393="","",TEXT(B393,"yyyy-mm"))</f>
        <v>0</v>
      </c>
      <c r="D393" s="43">
        <f>IF(A393="","",IFERROR(INDEX(Jobs!$G$5:$G$604,MATCH(A393,Jobs!$A$5:$A$604,0)),""))</f>
        <v>0</v>
      </c>
      <c r="E393" s="23">
        <f>IF(A393="","",IFERROR(INDEX(Jobs!$H$5:$H$604,MATCH(A393,Jobs!$A$5:$A$604,0)),""))</f>
        <v>0</v>
      </c>
      <c r="F393" s="23">
        <f>IF(A393="","",IFERROR(INDEX(Jobs!$K$5:$K$604,MATCH(A393,Jobs!$A$5:$A$604,0)),""))</f>
        <v>0</v>
      </c>
      <c r="G393" s="23">
        <f>IF(A393="","",IFERROR(INDEX(Jobs!$M$5:$M$604,MATCH(A393,Jobs!$A$5:$A$604,0)),""))</f>
        <v>0</v>
      </c>
      <c r="H393" s="23">
        <f>IF(A393="","",IFERROR(INDEX(Jobs!$R$5:$R$604,MATCH(A393,Jobs!$A$5:$A$604,0)),""))</f>
        <v>0</v>
      </c>
      <c r="I393" s="39">
        <f>IF(A393="","",IFERROR(INDEX(Jobs!$P$5:$P$604,MATCH(A393,Jobs!$A$5:$A$604,0)),""))</f>
        <v>0</v>
      </c>
      <c r="J393" s="21">
        <f>IF(A393="","",IF(OR(I393="Completed",I393="Invoiced"),IFERROR(INDEX(Jobs!$AJ$5:$AJ$604,MATCH(A393,Jobs!$A$5:$A$604,0)),0),0))</f>
        <v>0</v>
      </c>
      <c r="K393" s="34">
        <f>IF(A393="","",IFERROR(INDEX(Jobs!$AD$5:$AD$604,MATCH(A393,Jobs!$A$5:$A$604,0)),0))</f>
        <v>0</v>
      </c>
      <c r="L393" s="34">
        <f>IF(A393="","",IFERROR(INDEX(Jobs!$AK$5:$AK$604,MATCH(A393,Jobs!$A$5:$A$604,0)),0))</f>
        <v>0</v>
      </c>
      <c r="M393" s="34">
        <f>IF(A393="","",IF(IFERROR(L393*1,0)&gt;0,L393,IFERROR(K393*1,0)))</f>
        <v>0</v>
      </c>
      <c r="N393" s="21">
        <f>IF(A393="","",SUMIFS(Timesheets!$X$5:$X$804,Timesheets!$G$5:$G$804,A393))</f>
        <v>0</v>
      </c>
      <c r="O393" s="21">
        <f>IF(A393="","",IF(N393&gt;0,N393,ROUND(M393*CostPerHour,2)))</f>
        <v>0</v>
      </c>
      <c r="P393" s="21">
        <f>IF(A393="","",SUMIFS('Supply Usage'!$L$5:$L$304,'Supply Usage'!$F$5:$F$304,A393))</f>
        <v>0</v>
      </c>
      <c r="Q393" s="21">
        <f>IF(A393="","",IF(P393&gt;0,P393,ROUND(M393*SuppliesPerHour,2)))</f>
        <v>0</v>
      </c>
      <c r="R393" s="21">
        <f>IF(A393="","",ROUND(IFERROR(INDEX(Jobs!$W$5:$W$604,MATCH(A393,Jobs!$A$5:$A$604,0)),0)*MileageRate,2))</f>
        <v>0</v>
      </c>
      <c r="T393" s="21">
        <f>IF(A393="","",O393+Q393+R393+IF(S393="",0,S393))</f>
        <v>0</v>
      </c>
      <c r="U393" s="21">
        <f>IF(A393="","",J393-T393)</f>
        <v>0</v>
      </c>
      <c r="V393" s="38">
        <f>IF(OR(A393="",J393=0),"",U393/J393)</f>
        <v>0</v>
      </c>
      <c r="W393" s="21">
        <f>IF(OR(A393="",M393=0,J393=0),"",U393/M393)</f>
        <v>0</v>
      </c>
      <c r="X393" s="34">
        <f>IF(OR(A393="",L393="",L393=0,K393=""),"",L393-K393)</f>
        <v>0</v>
      </c>
      <c r="Y393" s="31">
        <f>IF(A393="","",COUNTIFS($U$5:$U$604,"&gt;"&amp;U393)+COUNTIFS($U$5:U393,U393))</f>
        <v>0</v>
      </c>
      <c r="Z393" s="31">
        <f>IF(A393="","",COUNTIFS($W$5:$W$604,"&gt;"&amp;W393)+COUNTIFS($W$5:W393,W393))</f>
        <v>0</v>
      </c>
      <c r="AA393" s="39">
        <f>IF(A393="","",IF(J393=0,"",IF(U393&lt;0,"Loss - this job cost you money",IF(V393&lt;MarginFloor,"Below - margin under the floor",IF(V393&lt;TargetMargin,"Check - under target margin",IF(AND(X393&lt;&gt;"",X393&gt;0.5),"Check - ran over the estimate","OK"))))))</f>
        <v>0</v>
      </c>
    </row>
    <row r="394" spans="1:27">
      <c r="A394" s="43">
        <f>IF(IFERROR(INDEX(Jobs!$A$5:$A$604,ROW()-4),"")="","",IFERROR(INDEX(Jobs!$A$5:$A$604,ROW()-4),""))</f>
        <v>0</v>
      </c>
      <c r="B394" s="18">
        <f>IF(A394="","",IFERROR(INDEX(Jobs!$B$5:$B$604,MATCH(A394,Jobs!$A$5:$A$604,0)),""))</f>
        <v>0</v>
      </c>
      <c r="C394" s="23">
        <f>IF(B394="","",TEXT(B394,"yyyy-mm"))</f>
        <v>0</v>
      </c>
      <c r="D394" s="43">
        <f>IF(A394="","",IFERROR(INDEX(Jobs!$G$5:$G$604,MATCH(A394,Jobs!$A$5:$A$604,0)),""))</f>
        <v>0</v>
      </c>
      <c r="E394" s="23">
        <f>IF(A394="","",IFERROR(INDEX(Jobs!$H$5:$H$604,MATCH(A394,Jobs!$A$5:$A$604,0)),""))</f>
        <v>0</v>
      </c>
      <c r="F394" s="23">
        <f>IF(A394="","",IFERROR(INDEX(Jobs!$K$5:$K$604,MATCH(A394,Jobs!$A$5:$A$604,0)),""))</f>
        <v>0</v>
      </c>
      <c r="G394" s="23">
        <f>IF(A394="","",IFERROR(INDEX(Jobs!$M$5:$M$604,MATCH(A394,Jobs!$A$5:$A$604,0)),""))</f>
        <v>0</v>
      </c>
      <c r="H394" s="23">
        <f>IF(A394="","",IFERROR(INDEX(Jobs!$R$5:$R$604,MATCH(A394,Jobs!$A$5:$A$604,0)),""))</f>
        <v>0</v>
      </c>
      <c r="I394" s="39">
        <f>IF(A394="","",IFERROR(INDEX(Jobs!$P$5:$P$604,MATCH(A394,Jobs!$A$5:$A$604,0)),""))</f>
        <v>0</v>
      </c>
      <c r="J394" s="21">
        <f>IF(A394="","",IF(OR(I394="Completed",I394="Invoiced"),IFERROR(INDEX(Jobs!$AJ$5:$AJ$604,MATCH(A394,Jobs!$A$5:$A$604,0)),0),0))</f>
        <v>0</v>
      </c>
      <c r="K394" s="34">
        <f>IF(A394="","",IFERROR(INDEX(Jobs!$AD$5:$AD$604,MATCH(A394,Jobs!$A$5:$A$604,0)),0))</f>
        <v>0</v>
      </c>
      <c r="L394" s="34">
        <f>IF(A394="","",IFERROR(INDEX(Jobs!$AK$5:$AK$604,MATCH(A394,Jobs!$A$5:$A$604,0)),0))</f>
        <v>0</v>
      </c>
      <c r="M394" s="34">
        <f>IF(A394="","",IF(IFERROR(L394*1,0)&gt;0,L394,IFERROR(K394*1,0)))</f>
        <v>0</v>
      </c>
      <c r="N394" s="21">
        <f>IF(A394="","",SUMIFS(Timesheets!$X$5:$X$804,Timesheets!$G$5:$G$804,A394))</f>
        <v>0</v>
      </c>
      <c r="O394" s="21">
        <f>IF(A394="","",IF(N394&gt;0,N394,ROUND(M394*CostPerHour,2)))</f>
        <v>0</v>
      </c>
      <c r="P394" s="21">
        <f>IF(A394="","",SUMIFS('Supply Usage'!$L$5:$L$304,'Supply Usage'!$F$5:$F$304,A394))</f>
        <v>0</v>
      </c>
      <c r="Q394" s="21">
        <f>IF(A394="","",IF(P394&gt;0,P394,ROUND(M394*SuppliesPerHour,2)))</f>
        <v>0</v>
      </c>
      <c r="R394" s="21">
        <f>IF(A394="","",ROUND(IFERROR(INDEX(Jobs!$W$5:$W$604,MATCH(A394,Jobs!$A$5:$A$604,0)),0)*MileageRate,2))</f>
        <v>0</v>
      </c>
      <c r="T394" s="21">
        <f>IF(A394="","",O394+Q394+R394+IF(S394="",0,S394))</f>
        <v>0</v>
      </c>
      <c r="U394" s="21">
        <f>IF(A394="","",J394-T394)</f>
        <v>0</v>
      </c>
      <c r="V394" s="38">
        <f>IF(OR(A394="",J394=0),"",U394/J394)</f>
        <v>0</v>
      </c>
      <c r="W394" s="21">
        <f>IF(OR(A394="",M394=0,J394=0),"",U394/M394)</f>
        <v>0</v>
      </c>
      <c r="X394" s="34">
        <f>IF(OR(A394="",L394="",L394=0,K394=""),"",L394-K394)</f>
        <v>0</v>
      </c>
      <c r="Y394" s="31">
        <f>IF(A394="","",COUNTIFS($U$5:$U$604,"&gt;"&amp;U394)+COUNTIFS($U$5:U394,U394))</f>
        <v>0</v>
      </c>
      <c r="Z394" s="31">
        <f>IF(A394="","",COUNTIFS($W$5:$W$604,"&gt;"&amp;W394)+COUNTIFS($W$5:W394,W394))</f>
        <v>0</v>
      </c>
      <c r="AA394" s="39">
        <f>IF(A394="","",IF(J394=0,"",IF(U394&lt;0,"Loss - this job cost you money",IF(V394&lt;MarginFloor,"Below - margin under the floor",IF(V394&lt;TargetMargin,"Check - under target margin",IF(AND(X394&lt;&gt;"",X394&gt;0.5),"Check - ran over the estimate","OK"))))))</f>
        <v>0</v>
      </c>
    </row>
    <row r="395" spans="1:27">
      <c r="A395" s="43">
        <f>IF(IFERROR(INDEX(Jobs!$A$5:$A$604,ROW()-4),"")="","",IFERROR(INDEX(Jobs!$A$5:$A$604,ROW()-4),""))</f>
        <v>0</v>
      </c>
      <c r="B395" s="18">
        <f>IF(A395="","",IFERROR(INDEX(Jobs!$B$5:$B$604,MATCH(A395,Jobs!$A$5:$A$604,0)),""))</f>
        <v>0</v>
      </c>
      <c r="C395" s="23">
        <f>IF(B395="","",TEXT(B395,"yyyy-mm"))</f>
        <v>0</v>
      </c>
      <c r="D395" s="43">
        <f>IF(A395="","",IFERROR(INDEX(Jobs!$G$5:$G$604,MATCH(A395,Jobs!$A$5:$A$604,0)),""))</f>
        <v>0</v>
      </c>
      <c r="E395" s="23">
        <f>IF(A395="","",IFERROR(INDEX(Jobs!$H$5:$H$604,MATCH(A395,Jobs!$A$5:$A$604,0)),""))</f>
        <v>0</v>
      </c>
      <c r="F395" s="23">
        <f>IF(A395="","",IFERROR(INDEX(Jobs!$K$5:$K$604,MATCH(A395,Jobs!$A$5:$A$604,0)),""))</f>
        <v>0</v>
      </c>
      <c r="G395" s="23">
        <f>IF(A395="","",IFERROR(INDEX(Jobs!$M$5:$M$604,MATCH(A395,Jobs!$A$5:$A$604,0)),""))</f>
        <v>0</v>
      </c>
      <c r="H395" s="23">
        <f>IF(A395="","",IFERROR(INDEX(Jobs!$R$5:$R$604,MATCH(A395,Jobs!$A$5:$A$604,0)),""))</f>
        <v>0</v>
      </c>
      <c r="I395" s="39">
        <f>IF(A395="","",IFERROR(INDEX(Jobs!$P$5:$P$604,MATCH(A395,Jobs!$A$5:$A$604,0)),""))</f>
        <v>0</v>
      </c>
      <c r="J395" s="21">
        <f>IF(A395="","",IF(OR(I395="Completed",I395="Invoiced"),IFERROR(INDEX(Jobs!$AJ$5:$AJ$604,MATCH(A395,Jobs!$A$5:$A$604,0)),0),0))</f>
        <v>0</v>
      </c>
      <c r="K395" s="34">
        <f>IF(A395="","",IFERROR(INDEX(Jobs!$AD$5:$AD$604,MATCH(A395,Jobs!$A$5:$A$604,0)),0))</f>
        <v>0</v>
      </c>
      <c r="L395" s="34">
        <f>IF(A395="","",IFERROR(INDEX(Jobs!$AK$5:$AK$604,MATCH(A395,Jobs!$A$5:$A$604,0)),0))</f>
        <v>0</v>
      </c>
      <c r="M395" s="34">
        <f>IF(A395="","",IF(IFERROR(L395*1,0)&gt;0,L395,IFERROR(K395*1,0)))</f>
        <v>0</v>
      </c>
      <c r="N395" s="21">
        <f>IF(A395="","",SUMIFS(Timesheets!$X$5:$X$804,Timesheets!$G$5:$G$804,A395))</f>
        <v>0</v>
      </c>
      <c r="O395" s="21">
        <f>IF(A395="","",IF(N395&gt;0,N395,ROUND(M395*CostPerHour,2)))</f>
        <v>0</v>
      </c>
      <c r="P395" s="21">
        <f>IF(A395="","",SUMIFS('Supply Usage'!$L$5:$L$304,'Supply Usage'!$F$5:$F$304,A395))</f>
        <v>0</v>
      </c>
      <c r="Q395" s="21">
        <f>IF(A395="","",IF(P395&gt;0,P395,ROUND(M395*SuppliesPerHour,2)))</f>
        <v>0</v>
      </c>
      <c r="R395" s="21">
        <f>IF(A395="","",ROUND(IFERROR(INDEX(Jobs!$W$5:$W$604,MATCH(A395,Jobs!$A$5:$A$604,0)),0)*MileageRate,2))</f>
        <v>0</v>
      </c>
      <c r="T395" s="21">
        <f>IF(A395="","",O395+Q395+R395+IF(S395="",0,S395))</f>
        <v>0</v>
      </c>
      <c r="U395" s="21">
        <f>IF(A395="","",J395-T395)</f>
        <v>0</v>
      </c>
      <c r="V395" s="38">
        <f>IF(OR(A395="",J395=0),"",U395/J395)</f>
        <v>0</v>
      </c>
      <c r="W395" s="21">
        <f>IF(OR(A395="",M395=0,J395=0),"",U395/M395)</f>
        <v>0</v>
      </c>
      <c r="X395" s="34">
        <f>IF(OR(A395="",L395="",L395=0,K395=""),"",L395-K395)</f>
        <v>0</v>
      </c>
      <c r="Y395" s="31">
        <f>IF(A395="","",COUNTIFS($U$5:$U$604,"&gt;"&amp;U395)+COUNTIFS($U$5:U395,U395))</f>
        <v>0</v>
      </c>
      <c r="Z395" s="31">
        <f>IF(A395="","",COUNTIFS($W$5:$W$604,"&gt;"&amp;W395)+COUNTIFS($W$5:W395,W395))</f>
        <v>0</v>
      </c>
      <c r="AA395" s="39">
        <f>IF(A395="","",IF(J395=0,"",IF(U395&lt;0,"Loss - this job cost you money",IF(V395&lt;MarginFloor,"Below - margin under the floor",IF(V395&lt;TargetMargin,"Check - under target margin",IF(AND(X395&lt;&gt;"",X395&gt;0.5),"Check - ran over the estimate","OK"))))))</f>
        <v>0</v>
      </c>
    </row>
    <row r="396" spans="1:27">
      <c r="A396" s="43">
        <f>IF(IFERROR(INDEX(Jobs!$A$5:$A$604,ROW()-4),"")="","",IFERROR(INDEX(Jobs!$A$5:$A$604,ROW()-4),""))</f>
        <v>0</v>
      </c>
      <c r="B396" s="18">
        <f>IF(A396="","",IFERROR(INDEX(Jobs!$B$5:$B$604,MATCH(A396,Jobs!$A$5:$A$604,0)),""))</f>
        <v>0</v>
      </c>
      <c r="C396" s="23">
        <f>IF(B396="","",TEXT(B396,"yyyy-mm"))</f>
        <v>0</v>
      </c>
      <c r="D396" s="43">
        <f>IF(A396="","",IFERROR(INDEX(Jobs!$G$5:$G$604,MATCH(A396,Jobs!$A$5:$A$604,0)),""))</f>
        <v>0</v>
      </c>
      <c r="E396" s="23">
        <f>IF(A396="","",IFERROR(INDEX(Jobs!$H$5:$H$604,MATCH(A396,Jobs!$A$5:$A$604,0)),""))</f>
        <v>0</v>
      </c>
      <c r="F396" s="23">
        <f>IF(A396="","",IFERROR(INDEX(Jobs!$K$5:$K$604,MATCH(A396,Jobs!$A$5:$A$604,0)),""))</f>
        <v>0</v>
      </c>
      <c r="G396" s="23">
        <f>IF(A396="","",IFERROR(INDEX(Jobs!$M$5:$M$604,MATCH(A396,Jobs!$A$5:$A$604,0)),""))</f>
        <v>0</v>
      </c>
      <c r="H396" s="23">
        <f>IF(A396="","",IFERROR(INDEX(Jobs!$R$5:$R$604,MATCH(A396,Jobs!$A$5:$A$604,0)),""))</f>
        <v>0</v>
      </c>
      <c r="I396" s="39">
        <f>IF(A396="","",IFERROR(INDEX(Jobs!$P$5:$P$604,MATCH(A396,Jobs!$A$5:$A$604,0)),""))</f>
        <v>0</v>
      </c>
      <c r="J396" s="21">
        <f>IF(A396="","",IF(OR(I396="Completed",I396="Invoiced"),IFERROR(INDEX(Jobs!$AJ$5:$AJ$604,MATCH(A396,Jobs!$A$5:$A$604,0)),0),0))</f>
        <v>0</v>
      </c>
      <c r="K396" s="34">
        <f>IF(A396="","",IFERROR(INDEX(Jobs!$AD$5:$AD$604,MATCH(A396,Jobs!$A$5:$A$604,0)),0))</f>
        <v>0</v>
      </c>
      <c r="L396" s="34">
        <f>IF(A396="","",IFERROR(INDEX(Jobs!$AK$5:$AK$604,MATCH(A396,Jobs!$A$5:$A$604,0)),0))</f>
        <v>0</v>
      </c>
      <c r="M396" s="34">
        <f>IF(A396="","",IF(IFERROR(L396*1,0)&gt;0,L396,IFERROR(K396*1,0)))</f>
        <v>0</v>
      </c>
      <c r="N396" s="21">
        <f>IF(A396="","",SUMIFS(Timesheets!$X$5:$X$804,Timesheets!$G$5:$G$804,A396))</f>
        <v>0</v>
      </c>
      <c r="O396" s="21">
        <f>IF(A396="","",IF(N396&gt;0,N396,ROUND(M396*CostPerHour,2)))</f>
        <v>0</v>
      </c>
      <c r="P396" s="21">
        <f>IF(A396="","",SUMIFS('Supply Usage'!$L$5:$L$304,'Supply Usage'!$F$5:$F$304,A396))</f>
        <v>0</v>
      </c>
      <c r="Q396" s="21">
        <f>IF(A396="","",IF(P396&gt;0,P396,ROUND(M396*SuppliesPerHour,2)))</f>
        <v>0</v>
      </c>
      <c r="R396" s="21">
        <f>IF(A396="","",ROUND(IFERROR(INDEX(Jobs!$W$5:$W$604,MATCH(A396,Jobs!$A$5:$A$604,0)),0)*MileageRate,2))</f>
        <v>0</v>
      </c>
      <c r="T396" s="21">
        <f>IF(A396="","",O396+Q396+R396+IF(S396="",0,S396))</f>
        <v>0</v>
      </c>
      <c r="U396" s="21">
        <f>IF(A396="","",J396-T396)</f>
        <v>0</v>
      </c>
      <c r="V396" s="38">
        <f>IF(OR(A396="",J396=0),"",U396/J396)</f>
        <v>0</v>
      </c>
      <c r="W396" s="21">
        <f>IF(OR(A396="",M396=0,J396=0),"",U396/M396)</f>
        <v>0</v>
      </c>
      <c r="X396" s="34">
        <f>IF(OR(A396="",L396="",L396=0,K396=""),"",L396-K396)</f>
        <v>0</v>
      </c>
      <c r="Y396" s="31">
        <f>IF(A396="","",COUNTIFS($U$5:$U$604,"&gt;"&amp;U396)+COUNTIFS($U$5:U396,U396))</f>
        <v>0</v>
      </c>
      <c r="Z396" s="31">
        <f>IF(A396="","",COUNTIFS($W$5:$W$604,"&gt;"&amp;W396)+COUNTIFS($W$5:W396,W396))</f>
        <v>0</v>
      </c>
      <c r="AA396" s="39">
        <f>IF(A396="","",IF(J396=0,"",IF(U396&lt;0,"Loss - this job cost you money",IF(V396&lt;MarginFloor,"Below - margin under the floor",IF(V396&lt;TargetMargin,"Check - under target margin",IF(AND(X396&lt;&gt;"",X396&gt;0.5),"Check - ran over the estimate","OK"))))))</f>
        <v>0</v>
      </c>
    </row>
    <row r="397" spans="1:27">
      <c r="A397" s="43">
        <f>IF(IFERROR(INDEX(Jobs!$A$5:$A$604,ROW()-4),"")="","",IFERROR(INDEX(Jobs!$A$5:$A$604,ROW()-4),""))</f>
        <v>0</v>
      </c>
      <c r="B397" s="18">
        <f>IF(A397="","",IFERROR(INDEX(Jobs!$B$5:$B$604,MATCH(A397,Jobs!$A$5:$A$604,0)),""))</f>
        <v>0</v>
      </c>
      <c r="C397" s="23">
        <f>IF(B397="","",TEXT(B397,"yyyy-mm"))</f>
        <v>0</v>
      </c>
      <c r="D397" s="43">
        <f>IF(A397="","",IFERROR(INDEX(Jobs!$G$5:$G$604,MATCH(A397,Jobs!$A$5:$A$604,0)),""))</f>
        <v>0</v>
      </c>
      <c r="E397" s="23">
        <f>IF(A397="","",IFERROR(INDEX(Jobs!$H$5:$H$604,MATCH(A397,Jobs!$A$5:$A$604,0)),""))</f>
        <v>0</v>
      </c>
      <c r="F397" s="23">
        <f>IF(A397="","",IFERROR(INDEX(Jobs!$K$5:$K$604,MATCH(A397,Jobs!$A$5:$A$604,0)),""))</f>
        <v>0</v>
      </c>
      <c r="G397" s="23">
        <f>IF(A397="","",IFERROR(INDEX(Jobs!$M$5:$M$604,MATCH(A397,Jobs!$A$5:$A$604,0)),""))</f>
        <v>0</v>
      </c>
      <c r="H397" s="23">
        <f>IF(A397="","",IFERROR(INDEX(Jobs!$R$5:$R$604,MATCH(A397,Jobs!$A$5:$A$604,0)),""))</f>
        <v>0</v>
      </c>
      <c r="I397" s="39">
        <f>IF(A397="","",IFERROR(INDEX(Jobs!$P$5:$P$604,MATCH(A397,Jobs!$A$5:$A$604,0)),""))</f>
        <v>0</v>
      </c>
      <c r="J397" s="21">
        <f>IF(A397="","",IF(OR(I397="Completed",I397="Invoiced"),IFERROR(INDEX(Jobs!$AJ$5:$AJ$604,MATCH(A397,Jobs!$A$5:$A$604,0)),0),0))</f>
        <v>0</v>
      </c>
      <c r="K397" s="34">
        <f>IF(A397="","",IFERROR(INDEX(Jobs!$AD$5:$AD$604,MATCH(A397,Jobs!$A$5:$A$604,0)),0))</f>
        <v>0</v>
      </c>
      <c r="L397" s="34">
        <f>IF(A397="","",IFERROR(INDEX(Jobs!$AK$5:$AK$604,MATCH(A397,Jobs!$A$5:$A$604,0)),0))</f>
        <v>0</v>
      </c>
      <c r="M397" s="34">
        <f>IF(A397="","",IF(IFERROR(L397*1,0)&gt;0,L397,IFERROR(K397*1,0)))</f>
        <v>0</v>
      </c>
      <c r="N397" s="21">
        <f>IF(A397="","",SUMIFS(Timesheets!$X$5:$X$804,Timesheets!$G$5:$G$804,A397))</f>
        <v>0</v>
      </c>
      <c r="O397" s="21">
        <f>IF(A397="","",IF(N397&gt;0,N397,ROUND(M397*CostPerHour,2)))</f>
        <v>0</v>
      </c>
      <c r="P397" s="21">
        <f>IF(A397="","",SUMIFS('Supply Usage'!$L$5:$L$304,'Supply Usage'!$F$5:$F$304,A397))</f>
        <v>0</v>
      </c>
      <c r="Q397" s="21">
        <f>IF(A397="","",IF(P397&gt;0,P397,ROUND(M397*SuppliesPerHour,2)))</f>
        <v>0</v>
      </c>
      <c r="R397" s="21">
        <f>IF(A397="","",ROUND(IFERROR(INDEX(Jobs!$W$5:$W$604,MATCH(A397,Jobs!$A$5:$A$604,0)),0)*MileageRate,2))</f>
        <v>0</v>
      </c>
      <c r="T397" s="21">
        <f>IF(A397="","",O397+Q397+R397+IF(S397="",0,S397))</f>
        <v>0</v>
      </c>
      <c r="U397" s="21">
        <f>IF(A397="","",J397-T397)</f>
        <v>0</v>
      </c>
      <c r="V397" s="38">
        <f>IF(OR(A397="",J397=0),"",U397/J397)</f>
        <v>0</v>
      </c>
      <c r="W397" s="21">
        <f>IF(OR(A397="",M397=0,J397=0),"",U397/M397)</f>
        <v>0</v>
      </c>
      <c r="X397" s="34">
        <f>IF(OR(A397="",L397="",L397=0,K397=""),"",L397-K397)</f>
        <v>0</v>
      </c>
      <c r="Y397" s="31">
        <f>IF(A397="","",COUNTIFS($U$5:$U$604,"&gt;"&amp;U397)+COUNTIFS($U$5:U397,U397))</f>
        <v>0</v>
      </c>
      <c r="Z397" s="31">
        <f>IF(A397="","",COUNTIFS($W$5:$W$604,"&gt;"&amp;W397)+COUNTIFS($W$5:W397,W397))</f>
        <v>0</v>
      </c>
      <c r="AA397" s="39">
        <f>IF(A397="","",IF(J397=0,"",IF(U397&lt;0,"Loss - this job cost you money",IF(V397&lt;MarginFloor,"Below - margin under the floor",IF(V397&lt;TargetMargin,"Check - under target margin",IF(AND(X397&lt;&gt;"",X397&gt;0.5),"Check - ran over the estimate","OK"))))))</f>
        <v>0</v>
      </c>
    </row>
    <row r="398" spans="1:27">
      <c r="A398" s="43">
        <f>IF(IFERROR(INDEX(Jobs!$A$5:$A$604,ROW()-4),"")="","",IFERROR(INDEX(Jobs!$A$5:$A$604,ROW()-4),""))</f>
        <v>0</v>
      </c>
      <c r="B398" s="18">
        <f>IF(A398="","",IFERROR(INDEX(Jobs!$B$5:$B$604,MATCH(A398,Jobs!$A$5:$A$604,0)),""))</f>
        <v>0</v>
      </c>
      <c r="C398" s="23">
        <f>IF(B398="","",TEXT(B398,"yyyy-mm"))</f>
        <v>0</v>
      </c>
      <c r="D398" s="43">
        <f>IF(A398="","",IFERROR(INDEX(Jobs!$G$5:$G$604,MATCH(A398,Jobs!$A$5:$A$604,0)),""))</f>
        <v>0</v>
      </c>
      <c r="E398" s="23">
        <f>IF(A398="","",IFERROR(INDEX(Jobs!$H$5:$H$604,MATCH(A398,Jobs!$A$5:$A$604,0)),""))</f>
        <v>0</v>
      </c>
      <c r="F398" s="23">
        <f>IF(A398="","",IFERROR(INDEX(Jobs!$K$5:$K$604,MATCH(A398,Jobs!$A$5:$A$604,0)),""))</f>
        <v>0</v>
      </c>
      <c r="G398" s="23">
        <f>IF(A398="","",IFERROR(INDEX(Jobs!$M$5:$M$604,MATCH(A398,Jobs!$A$5:$A$604,0)),""))</f>
        <v>0</v>
      </c>
      <c r="H398" s="23">
        <f>IF(A398="","",IFERROR(INDEX(Jobs!$R$5:$R$604,MATCH(A398,Jobs!$A$5:$A$604,0)),""))</f>
        <v>0</v>
      </c>
      <c r="I398" s="39">
        <f>IF(A398="","",IFERROR(INDEX(Jobs!$P$5:$P$604,MATCH(A398,Jobs!$A$5:$A$604,0)),""))</f>
        <v>0</v>
      </c>
      <c r="J398" s="21">
        <f>IF(A398="","",IF(OR(I398="Completed",I398="Invoiced"),IFERROR(INDEX(Jobs!$AJ$5:$AJ$604,MATCH(A398,Jobs!$A$5:$A$604,0)),0),0))</f>
        <v>0</v>
      </c>
      <c r="K398" s="34">
        <f>IF(A398="","",IFERROR(INDEX(Jobs!$AD$5:$AD$604,MATCH(A398,Jobs!$A$5:$A$604,0)),0))</f>
        <v>0</v>
      </c>
      <c r="L398" s="34">
        <f>IF(A398="","",IFERROR(INDEX(Jobs!$AK$5:$AK$604,MATCH(A398,Jobs!$A$5:$A$604,0)),0))</f>
        <v>0</v>
      </c>
      <c r="M398" s="34">
        <f>IF(A398="","",IF(IFERROR(L398*1,0)&gt;0,L398,IFERROR(K398*1,0)))</f>
        <v>0</v>
      </c>
      <c r="N398" s="21">
        <f>IF(A398="","",SUMIFS(Timesheets!$X$5:$X$804,Timesheets!$G$5:$G$804,A398))</f>
        <v>0</v>
      </c>
      <c r="O398" s="21">
        <f>IF(A398="","",IF(N398&gt;0,N398,ROUND(M398*CostPerHour,2)))</f>
        <v>0</v>
      </c>
      <c r="P398" s="21">
        <f>IF(A398="","",SUMIFS('Supply Usage'!$L$5:$L$304,'Supply Usage'!$F$5:$F$304,A398))</f>
        <v>0</v>
      </c>
      <c r="Q398" s="21">
        <f>IF(A398="","",IF(P398&gt;0,P398,ROUND(M398*SuppliesPerHour,2)))</f>
        <v>0</v>
      </c>
      <c r="R398" s="21">
        <f>IF(A398="","",ROUND(IFERROR(INDEX(Jobs!$W$5:$W$604,MATCH(A398,Jobs!$A$5:$A$604,0)),0)*MileageRate,2))</f>
        <v>0</v>
      </c>
      <c r="T398" s="21">
        <f>IF(A398="","",O398+Q398+R398+IF(S398="",0,S398))</f>
        <v>0</v>
      </c>
      <c r="U398" s="21">
        <f>IF(A398="","",J398-T398)</f>
        <v>0</v>
      </c>
      <c r="V398" s="38">
        <f>IF(OR(A398="",J398=0),"",U398/J398)</f>
        <v>0</v>
      </c>
      <c r="W398" s="21">
        <f>IF(OR(A398="",M398=0,J398=0),"",U398/M398)</f>
        <v>0</v>
      </c>
      <c r="X398" s="34">
        <f>IF(OR(A398="",L398="",L398=0,K398=""),"",L398-K398)</f>
        <v>0</v>
      </c>
      <c r="Y398" s="31">
        <f>IF(A398="","",COUNTIFS($U$5:$U$604,"&gt;"&amp;U398)+COUNTIFS($U$5:U398,U398))</f>
        <v>0</v>
      </c>
      <c r="Z398" s="31">
        <f>IF(A398="","",COUNTIFS($W$5:$W$604,"&gt;"&amp;W398)+COUNTIFS($W$5:W398,W398))</f>
        <v>0</v>
      </c>
      <c r="AA398" s="39">
        <f>IF(A398="","",IF(J398=0,"",IF(U398&lt;0,"Loss - this job cost you money",IF(V398&lt;MarginFloor,"Below - margin under the floor",IF(V398&lt;TargetMargin,"Check - under target margin",IF(AND(X398&lt;&gt;"",X398&gt;0.5),"Check - ran over the estimate","OK"))))))</f>
        <v>0</v>
      </c>
    </row>
    <row r="399" spans="1:27">
      <c r="A399" s="43">
        <f>IF(IFERROR(INDEX(Jobs!$A$5:$A$604,ROW()-4),"")="","",IFERROR(INDEX(Jobs!$A$5:$A$604,ROW()-4),""))</f>
        <v>0</v>
      </c>
      <c r="B399" s="18">
        <f>IF(A399="","",IFERROR(INDEX(Jobs!$B$5:$B$604,MATCH(A399,Jobs!$A$5:$A$604,0)),""))</f>
        <v>0</v>
      </c>
      <c r="C399" s="23">
        <f>IF(B399="","",TEXT(B399,"yyyy-mm"))</f>
        <v>0</v>
      </c>
      <c r="D399" s="43">
        <f>IF(A399="","",IFERROR(INDEX(Jobs!$G$5:$G$604,MATCH(A399,Jobs!$A$5:$A$604,0)),""))</f>
        <v>0</v>
      </c>
      <c r="E399" s="23">
        <f>IF(A399="","",IFERROR(INDEX(Jobs!$H$5:$H$604,MATCH(A399,Jobs!$A$5:$A$604,0)),""))</f>
        <v>0</v>
      </c>
      <c r="F399" s="23">
        <f>IF(A399="","",IFERROR(INDEX(Jobs!$K$5:$K$604,MATCH(A399,Jobs!$A$5:$A$604,0)),""))</f>
        <v>0</v>
      </c>
      <c r="G399" s="23">
        <f>IF(A399="","",IFERROR(INDEX(Jobs!$M$5:$M$604,MATCH(A399,Jobs!$A$5:$A$604,0)),""))</f>
        <v>0</v>
      </c>
      <c r="H399" s="23">
        <f>IF(A399="","",IFERROR(INDEX(Jobs!$R$5:$R$604,MATCH(A399,Jobs!$A$5:$A$604,0)),""))</f>
        <v>0</v>
      </c>
      <c r="I399" s="39">
        <f>IF(A399="","",IFERROR(INDEX(Jobs!$P$5:$P$604,MATCH(A399,Jobs!$A$5:$A$604,0)),""))</f>
        <v>0</v>
      </c>
      <c r="J399" s="21">
        <f>IF(A399="","",IF(OR(I399="Completed",I399="Invoiced"),IFERROR(INDEX(Jobs!$AJ$5:$AJ$604,MATCH(A399,Jobs!$A$5:$A$604,0)),0),0))</f>
        <v>0</v>
      </c>
      <c r="K399" s="34">
        <f>IF(A399="","",IFERROR(INDEX(Jobs!$AD$5:$AD$604,MATCH(A399,Jobs!$A$5:$A$604,0)),0))</f>
        <v>0</v>
      </c>
      <c r="L399" s="34">
        <f>IF(A399="","",IFERROR(INDEX(Jobs!$AK$5:$AK$604,MATCH(A399,Jobs!$A$5:$A$604,0)),0))</f>
        <v>0</v>
      </c>
      <c r="M399" s="34">
        <f>IF(A399="","",IF(IFERROR(L399*1,0)&gt;0,L399,IFERROR(K399*1,0)))</f>
        <v>0</v>
      </c>
      <c r="N399" s="21">
        <f>IF(A399="","",SUMIFS(Timesheets!$X$5:$X$804,Timesheets!$G$5:$G$804,A399))</f>
        <v>0</v>
      </c>
      <c r="O399" s="21">
        <f>IF(A399="","",IF(N399&gt;0,N399,ROUND(M399*CostPerHour,2)))</f>
        <v>0</v>
      </c>
      <c r="P399" s="21">
        <f>IF(A399="","",SUMIFS('Supply Usage'!$L$5:$L$304,'Supply Usage'!$F$5:$F$304,A399))</f>
        <v>0</v>
      </c>
      <c r="Q399" s="21">
        <f>IF(A399="","",IF(P399&gt;0,P399,ROUND(M399*SuppliesPerHour,2)))</f>
        <v>0</v>
      </c>
      <c r="R399" s="21">
        <f>IF(A399="","",ROUND(IFERROR(INDEX(Jobs!$W$5:$W$604,MATCH(A399,Jobs!$A$5:$A$604,0)),0)*MileageRate,2))</f>
        <v>0</v>
      </c>
      <c r="T399" s="21">
        <f>IF(A399="","",O399+Q399+R399+IF(S399="",0,S399))</f>
        <v>0</v>
      </c>
      <c r="U399" s="21">
        <f>IF(A399="","",J399-T399)</f>
        <v>0</v>
      </c>
      <c r="V399" s="38">
        <f>IF(OR(A399="",J399=0),"",U399/J399)</f>
        <v>0</v>
      </c>
      <c r="W399" s="21">
        <f>IF(OR(A399="",M399=0,J399=0),"",U399/M399)</f>
        <v>0</v>
      </c>
      <c r="X399" s="34">
        <f>IF(OR(A399="",L399="",L399=0,K399=""),"",L399-K399)</f>
        <v>0</v>
      </c>
      <c r="Y399" s="31">
        <f>IF(A399="","",COUNTIFS($U$5:$U$604,"&gt;"&amp;U399)+COUNTIFS($U$5:U399,U399))</f>
        <v>0</v>
      </c>
      <c r="Z399" s="31">
        <f>IF(A399="","",COUNTIFS($W$5:$W$604,"&gt;"&amp;W399)+COUNTIFS($W$5:W399,W399))</f>
        <v>0</v>
      </c>
      <c r="AA399" s="39">
        <f>IF(A399="","",IF(J399=0,"",IF(U399&lt;0,"Loss - this job cost you money",IF(V399&lt;MarginFloor,"Below - margin under the floor",IF(V399&lt;TargetMargin,"Check - under target margin",IF(AND(X399&lt;&gt;"",X399&gt;0.5),"Check - ran over the estimate","OK"))))))</f>
        <v>0</v>
      </c>
    </row>
    <row r="400" spans="1:27">
      <c r="A400" s="43">
        <f>IF(IFERROR(INDEX(Jobs!$A$5:$A$604,ROW()-4),"")="","",IFERROR(INDEX(Jobs!$A$5:$A$604,ROW()-4),""))</f>
        <v>0</v>
      </c>
      <c r="B400" s="18">
        <f>IF(A400="","",IFERROR(INDEX(Jobs!$B$5:$B$604,MATCH(A400,Jobs!$A$5:$A$604,0)),""))</f>
        <v>0</v>
      </c>
      <c r="C400" s="23">
        <f>IF(B400="","",TEXT(B400,"yyyy-mm"))</f>
        <v>0</v>
      </c>
      <c r="D400" s="43">
        <f>IF(A400="","",IFERROR(INDEX(Jobs!$G$5:$G$604,MATCH(A400,Jobs!$A$5:$A$604,0)),""))</f>
        <v>0</v>
      </c>
      <c r="E400" s="23">
        <f>IF(A400="","",IFERROR(INDEX(Jobs!$H$5:$H$604,MATCH(A400,Jobs!$A$5:$A$604,0)),""))</f>
        <v>0</v>
      </c>
      <c r="F400" s="23">
        <f>IF(A400="","",IFERROR(INDEX(Jobs!$K$5:$K$604,MATCH(A400,Jobs!$A$5:$A$604,0)),""))</f>
        <v>0</v>
      </c>
      <c r="G400" s="23">
        <f>IF(A400="","",IFERROR(INDEX(Jobs!$M$5:$M$604,MATCH(A400,Jobs!$A$5:$A$604,0)),""))</f>
        <v>0</v>
      </c>
      <c r="H400" s="23">
        <f>IF(A400="","",IFERROR(INDEX(Jobs!$R$5:$R$604,MATCH(A400,Jobs!$A$5:$A$604,0)),""))</f>
        <v>0</v>
      </c>
      <c r="I400" s="39">
        <f>IF(A400="","",IFERROR(INDEX(Jobs!$P$5:$P$604,MATCH(A400,Jobs!$A$5:$A$604,0)),""))</f>
        <v>0</v>
      </c>
      <c r="J400" s="21">
        <f>IF(A400="","",IF(OR(I400="Completed",I400="Invoiced"),IFERROR(INDEX(Jobs!$AJ$5:$AJ$604,MATCH(A400,Jobs!$A$5:$A$604,0)),0),0))</f>
        <v>0</v>
      </c>
      <c r="K400" s="34">
        <f>IF(A400="","",IFERROR(INDEX(Jobs!$AD$5:$AD$604,MATCH(A400,Jobs!$A$5:$A$604,0)),0))</f>
        <v>0</v>
      </c>
      <c r="L400" s="34">
        <f>IF(A400="","",IFERROR(INDEX(Jobs!$AK$5:$AK$604,MATCH(A400,Jobs!$A$5:$A$604,0)),0))</f>
        <v>0</v>
      </c>
      <c r="M400" s="34">
        <f>IF(A400="","",IF(IFERROR(L400*1,0)&gt;0,L400,IFERROR(K400*1,0)))</f>
        <v>0</v>
      </c>
      <c r="N400" s="21">
        <f>IF(A400="","",SUMIFS(Timesheets!$X$5:$X$804,Timesheets!$G$5:$G$804,A400))</f>
        <v>0</v>
      </c>
      <c r="O400" s="21">
        <f>IF(A400="","",IF(N400&gt;0,N400,ROUND(M400*CostPerHour,2)))</f>
        <v>0</v>
      </c>
      <c r="P400" s="21">
        <f>IF(A400="","",SUMIFS('Supply Usage'!$L$5:$L$304,'Supply Usage'!$F$5:$F$304,A400))</f>
        <v>0</v>
      </c>
      <c r="Q400" s="21">
        <f>IF(A400="","",IF(P400&gt;0,P400,ROUND(M400*SuppliesPerHour,2)))</f>
        <v>0</v>
      </c>
      <c r="R400" s="21">
        <f>IF(A400="","",ROUND(IFERROR(INDEX(Jobs!$W$5:$W$604,MATCH(A400,Jobs!$A$5:$A$604,0)),0)*MileageRate,2))</f>
        <v>0</v>
      </c>
      <c r="T400" s="21">
        <f>IF(A400="","",O400+Q400+R400+IF(S400="",0,S400))</f>
        <v>0</v>
      </c>
      <c r="U400" s="21">
        <f>IF(A400="","",J400-T400)</f>
        <v>0</v>
      </c>
      <c r="V400" s="38">
        <f>IF(OR(A400="",J400=0),"",U400/J400)</f>
        <v>0</v>
      </c>
      <c r="W400" s="21">
        <f>IF(OR(A400="",M400=0,J400=0),"",U400/M400)</f>
        <v>0</v>
      </c>
      <c r="X400" s="34">
        <f>IF(OR(A400="",L400="",L400=0,K400=""),"",L400-K400)</f>
        <v>0</v>
      </c>
      <c r="Y400" s="31">
        <f>IF(A400="","",COUNTIFS($U$5:$U$604,"&gt;"&amp;U400)+COUNTIFS($U$5:U400,U400))</f>
        <v>0</v>
      </c>
      <c r="Z400" s="31">
        <f>IF(A400="","",COUNTIFS($W$5:$W$604,"&gt;"&amp;W400)+COUNTIFS($W$5:W400,W400))</f>
        <v>0</v>
      </c>
      <c r="AA400" s="39">
        <f>IF(A400="","",IF(J400=0,"",IF(U400&lt;0,"Loss - this job cost you money",IF(V400&lt;MarginFloor,"Below - margin under the floor",IF(V400&lt;TargetMargin,"Check - under target margin",IF(AND(X400&lt;&gt;"",X400&gt;0.5),"Check - ran over the estimate","OK"))))))</f>
        <v>0</v>
      </c>
    </row>
    <row r="401" spans="1:27">
      <c r="A401" s="43">
        <f>IF(IFERROR(INDEX(Jobs!$A$5:$A$604,ROW()-4),"")="","",IFERROR(INDEX(Jobs!$A$5:$A$604,ROW()-4),""))</f>
        <v>0</v>
      </c>
      <c r="B401" s="18">
        <f>IF(A401="","",IFERROR(INDEX(Jobs!$B$5:$B$604,MATCH(A401,Jobs!$A$5:$A$604,0)),""))</f>
        <v>0</v>
      </c>
      <c r="C401" s="23">
        <f>IF(B401="","",TEXT(B401,"yyyy-mm"))</f>
        <v>0</v>
      </c>
      <c r="D401" s="43">
        <f>IF(A401="","",IFERROR(INDEX(Jobs!$G$5:$G$604,MATCH(A401,Jobs!$A$5:$A$604,0)),""))</f>
        <v>0</v>
      </c>
      <c r="E401" s="23">
        <f>IF(A401="","",IFERROR(INDEX(Jobs!$H$5:$H$604,MATCH(A401,Jobs!$A$5:$A$604,0)),""))</f>
        <v>0</v>
      </c>
      <c r="F401" s="23">
        <f>IF(A401="","",IFERROR(INDEX(Jobs!$K$5:$K$604,MATCH(A401,Jobs!$A$5:$A$604,0)),""))</f>
        <v>0</v>
      </c>
      <c r="G401" s="23">
        <f>IF(A401="","",IFERROR(INDEX(Jobs!$M$5:$M$604,MATCH(A401,Jobs!$A$5:$A$604,0)),""))</f>
        <v>0</v>
      </c>
      <c r="H401" s="23">
        <f>IF(A401="","",IFERROR(INDEX(Jobs!$R$5:$R$604,MATCH(A401,Jobs!$A$5:$A$604,0)),""))</f>
        <v>0</v>
      </c>
      <c r="I401" s="39">
        <f>IF(A401="","",IFERROR(INDEX(Jobs!$P$5:$P$604,MATCH(A401,Jobs!$A$5:$A$604,0)),""))</f>
        <v>0</v>
      </c>
      <c r="J401" s="21">
        <f>IF(A401="","",IF(OR(I401="Completed",I401="Invoiced"),IFERROR(INDEX(Jobs!$AJ$5:$AJ$604,MATCH(A401,Jobs!$A$5:$A$604,0)),0),0))</f>
        <v>0</v>
      </c>
      <c r="K401" s="34">
        <f>IF(A401="","",IFERROR(INDEX(Jobs!$AD$5:$AD$604,MATCH(A401,Jobs!$A$5:$A$604,0)),0))</f>
        <v>0</v>
      </c>
      <c r="L401" s="34">
        <f>IF(A401="","",IFERROR(INDEX(Jobs!$AK$5:$AK$604,MATCH(A401,Jobs!$A$5:$A$604,0)),0))</f>
        <v>0</v>
      </c>
      <c r="M401" s="34">
        <f>IF(A401="","",IF(IFERROR(L401*1,0)&gt;0,L401,IFERROR(K401*1,0)))</f>
        <v>0</v>
      </c>
      <c r="N401" s="21">
        <f>IF(A401="","",SUMIFS(Timesheets!$X$5:$X$804,Timesheets!$G$5:$G$804,A401))</f>
        <v>0</v>
      </c>
      <c r="O401" s="21">
        <f>IF(A401="","",IF(N401&gt;0,N401,ROUND(M401*CostPerHour,2)))</f>
        <v>0</v>
      </c>
      <c r="P401" s="21">
        <f>IF(A401="","",SUMIFS('Supply Usage'!$L$5:$L$304,'Supply Usage'!$F$5:$F$304,A401))</f>
        <v>0</v>
      </c>
      <c r="Q401" s="21">
        <f>IF(A401="","",IF(P401&gt;0,P401,ROUND(M401*SuppliesPerHour,2)))</f>
        <v>0</v>
      </c>
      <c r="R401" s="21">
        <f>IF(A401="","",ROUND(IFERROR(INDEX(Jobs!$W$5:$W$604,MATCH(A401,Jobs!$A$5:$A$604,0)),0)*MileageRate,2))</f>
        <v>0</v>
      </c>
      <c r="T401" s="21">
        <f>IF(A401="","",O401+Q401+R401+IF(S401="",0,S401))</f>
        <v>0</v>
      </c>
      <c r="U401" s="21">
        <f>IF(A401="","",J401-T401)</f>
        <v>0</v>
      </c>
      <c r="V401" s="38">
        <f>IF(OR(A401="",J401=0),"",U401/J401)</f>
        <v>0</v>
      </c>
      <c r="W401" s="21">
        <f>IF(OR(A401="",M401=0,J401=0),"",U401/M401)</f>
        <v>0</v>
      </c>
      <c r="X401" s="34">
        <f>IF(OR(A401="",L401="",L401=0,K401=""),"",L401-K401)</f>
        <v>0</v>
      </c>
      <c r="Y401" s="31">
        <f>IF(A401="","",COUNTIFS($U$5:$U$604,"&gt;"&amp;U401)+COUNTIFS($U$5:U401,U401))</f>
        <v>0</v>
      </c>
      <c r="Z401" s="31">
        <f>IF(A401="","",COUNTIFS($W$5:$W$604,"&gt;"&amp;W401)+COUNTIFS($W$5:W401,W401))</f>
        <v>0</v>
      </c>
      <c r="AA401" s="39">
        <f>IF(A401="","",IF(J401=0,"",IF(U401&lt;0,"Loss - this job cost you money",IF(V401&lt;MarginFloor,"Below - margin under the floor",IF(V401&lt;TargetMargin,"Check - under target margin",IF(AND(X401&lt;&gt;"",X401&gt;0.5),"Check - ran over the estimate","OK"))))))</f>
        <v>0</v>
      </c>
    </row>
    <row r="402" spans="1:27">
      <c r="A402" s="43">
        <f>IF(IFERROR(INDEX(Jobs!$A$5:$A$604,ROW()-4),"")="","",IFERROR(INDEX(Jobs!$A$5:$A$604,ROW()-4),""))</f>
        <v>0</v>
      </c>
      <c r="B402" s="18">
        <f>IF(A402="","",IFERROR(INDEX(Jobs!$B$5:$B$604,MATCH(A402,Jobs!$A$5:$A$604,0)),""))</f>
        <v>0</v>
      </c>
      <c r="C402" s="23">
        <f>IF(B402="","",TEXT(B402,"yyyy-mm"))</f>
        <v>0</v>
      </c>
      <c r="D402" s="43">
        <f>IF(A402="","",IFERROR(INDEX(Jobs!$G$5:$G$604,MATCH(A402,Jobs!$A$5:$A$604,0)),""))</f>
        <v>0</v>
      </c>
      <c r="E402" s="23">
        <f>IF(A402="","",IFERROR(INDEX(Jobs!$H$5:$H$604,MATCH(A402,Jobs!$A$5:$A$604,0)),""))</f>
        <v>0</v>
      </c>
      <c r="F402" s="23">
        <f>IF(A402="","",IFERROR(INDEX(Jobs!$K$5:$K$604,MATCH(A402,Jobs!$A$5:$A$604,0)),""))</f>
        <v>0</v>
      </c>
      <c r="G402" s="23">
        <f>IF(A402="","",IFERROR(INDEX(Jobs!$M$5:$M$604,MATCH(A402,Jobs!$A$5:$A$604,0)),""))</f>
        <v>0</v>
      </c>
      <c r="H402" s="23">
        <f>IF(A402="","",IFERROR(INDEX(Jobs!$R$5:$R$604,MATCH(A402,Jobs!$A$5:$A$604,0)),""))</f>
        <v>0</v>
      </c>
      <c r="I402" s="39">
        <f>IF(A402="","",IFERROR(INDEX(Jobs!$P$5:$P$604,MATCH(A402,Jobs!$A$5:$A$604,0)),""))</f>
        <v>0</v>
      </c>
      <c r="J402" s="21">
        <f>IF(A402="","",IF(OR(I402="Completed",I402="Invoiced"),IFERROR(INDEX(Jobs!$AJ$5:$AJ$604,MATCH(A402,Jobs!$A$5:$A$604,0)),0),0))</f>
        <v>0</v>
      </c>
      <c r="K402" s="34">
        <f>IF(A402="","",IFERROR(INDEX(Jobs!$AD$5:$AD$604,MATCH(A402,Jobs!$A$5:$A$604,0)),0))</f>
        <v>0</v>
      </c>
      <c r="L402" s="34">
        <f>IF(A402="","",IFERROR(INDEX(Jobs!$AK$5:$AK$604,MATCH(A402,Jobs!$A$5:$A$604,0)),0))</f>
        <v>0</v>
      </c>
      <c r="M402" s="34">
        <f>IF(A402="","",IF(IFERROR(L402*1,0)&gt;0,L402,IFERROR(K402*1,0)))</f>
        <v>0</v>
      </c>
      <c r="N402" s="21">
        <f>IF(A402="","",SUMIFS(Timesheets!$X$5:$X$804,Timesheets!$G$5:$G$804,A402))</f>
        <v>0</v>
      </c>
      <c r="O402" s="21">
        <f>IF(A402="","",IF(N402&gt;0,N402,ROUND(M402*CostPerHour,2)))</f>
        <v>0</v>
      </c>
      <c r="P402" s="21">
        <f>IF(A402="","",SUMIFS('Supply Usage'!$L$5:$L$304,'Supply Usage'!$F$5:$F$304,A402))</f>
        <v>0</v>
      </c>
      <c r="Q402" s="21">
        <f>IF(A402="","",IF(P402&gt;0,P402,ROUND(M402*SuppliesPerHour,2)))</f>
        <v>0</v>
      </c>
      <c r="R402" s="21">
        <f>IF(A402="","",ROUND(IFERROR(INDEX(Jobs!$W$5:$W$604,MATCH(A402,Jobs!$A$5:$A$604,0)),0)*MileageRate,2))</f>
        <v>0</v>
      </c>
      <c r="T402" s="21">
        <f>IF(A402="","",O402+Q402+R402+IF(S402="",0,S402))</f>
        <v>0</v>
      </c>
      <c r="U402" s="21">
        <f>IF(A402="","",J402-T402)</f>
        <v>0</v>
      </c>
      <c r="V402" s="38">
        <f>IF(OR(A402="",J402=0),"",U402/J402)</f>
        <v>0</v>
      </c>
      <c r="W402" s="21">
        <f>IF(OR(A402="",M402=0,J402=0),"",U402/M402)</f>
        <v>0</v>
      </c>
      <c r="X402" s="34">
        <f>IF(OR(A402="",L402="",L402=0,K402=""),"",L402-K402)</f>
        <v>0</v>
      </c>
      <c r="Y402" s="31">
        <f>IF(A402="","",COUNTIFS($U$5:$U$604,"&gt;"&amp;U402)+COUNTIFS($U$5:U402,U402))</f>
        <v>0</v>
      </c>
      <c r="Z402" s="31">
        <f>IF(A402="","",COUNTIFS($W$5:$W$604,"&gt;"&amp;W402)+COUNTIFS($W$5:W402,W402))</f>
        <v>0</v>
      </c>
      <c r="AA402" s="39">
        <f>IF(A402="","",IF(J402=0,"",IF(U402&lt;0,"Loss - this job cost you money",IF(V402&lt;MarginFloor,"Below - margin under the floor",IF(V402&lt;TargetMargin,"Check - under target margin",IF(AND(X402&lt;&gt;"",X402&gt;0.5),"Check - ran over the estimate","OK"))))))</f>
        <v>0</v>
      </c>
    </row>
    <row r="403" spans="1:27">
      <c r="A403" s="43">
        <f>IF(IFERROR(INDEX(Jobs!$A$5:$A$604,ROW()-4),"")="","",IFERROR(INDEX(Jobs!$A$5:$A$604,ROW()-4),""))</f>
        <v>0</v>
      </c>
      <c r="B403" s="18">
        <f>IF(A403="","",IFERROR(INDEX(Jobs!$B$5:$B$604,MATCH(A403,Jobs!$A$5:$A$604,0)),""))</f>
        <v>0</v>
      </c>
      <c r="C403" s="23">
        <f>IF(B403="","",TEXT(B403,"yyyy-mm"))</f>
        <v>0</v>
      </c>
      <c r="D403" s="43">
        <f>IF(A403="","",IFERROR(INDEX(Jobs!$G$5:$G$604,MATCH(A403,Jobs!$A$5:$A$604,0)),""))</f>
        <v>0</v>
      </c>
      <c r="E403" s="23">
        <f>IF(A403="","",IFERROR(INDEX(Jobs!$H$5:$H$604,MATCH(A403,Jobs!$A$5:$A$604,0)),""))</f>
        <v>0</v>
      </c>
      <c r="F403" s="23">
        <f>IF(A403="","",IFERROR(INDEX(Jobs!$K$5:$K$604,MATCH(A403,Jobs!$A$5:$A$604,0)),""))</f>
        <v>0</v>
      </c>
      <c r="G403" s="23">
        <f>IF(A403="","",IFERROR(INDEX(Jobs!$M$5:$M$604,MATCH(A403,Jobs!$A$5:$A$604,0)),""))</f>
        <v>0</v>
      </c>
      <c r="H403" s="23">
        <f>IF(A403="","",IFERROR(INDEX(Jobs!$R$5:$R$604,MATCH(A403,Jobs!$A$5:$A$604,0)),""))</f>
        <v>0</v>
      </c>
      <c r="I403" s="39">
        <f>IF(A403="","",IFERROR(INDEX(Jobs!$P$5:$P$604,MATCH(A403,Jobs!$A$5:$A$604,0)),""))</f>
        <v>0</v>
      </c>
      <c r="J403" s="21">
        <f>IF(A403="","",IF(OR(I403="Completed",I403="Invoiced"),IFERROR(INDEX(Jobs!$AJ$5:$AJ$604,MATCH(A403,Jobs!$A$5:$A$604,0)),0),0))</f>
        <v>0</v>
      </c>
      <c r="K403" s="34">
        <f>IF(A403="","",IFERROR(INDEX(Jobs!$AD$5:$AD$604,MATCH(A403,Jobs!$A$5:$A$604,0)),0))</f>
        <v>0</v>
      </c>
      <c r="L403" s="34">
        <f>IF(A403="","",IFERROR(INDEX(Jobs!$AK$5:$AK$604,MATCH(A403,Jobs!$A$5:$A$604,0)),0))</f>
        <v>0</v>
      </c>
      <c r="M403" s="34">
        <f>IF(A403="","",IF(IFERROR(L403*1,0)&gt;0,L403,IFERROR(K403*1,0)))</f>
        <v>0</v>
      </c>
      <c r="N403" s="21">
        <f>IF(A403="","",SUMIFS(Timesheets!$X$5:$X$804,Timesheets!$G$5:$G$804,A403))</f>
        <v>0</v>
      </c>
      <c r="O403" s="21">
        <f>IF(A403="","",IF(N403&gt;0,N403,ROUND(M403*CostPerHour,2)))</f>
        <v>0</v>
      </c>
      <c r="P403" s="21">
        <f>IF(A403="","",SUMIFS('Supply Usage'!$L$5:$L$304,'Supply Usage'!$F$5:$F$304,A403))</f>
        <v>0</v>
      </c>
      <c r="Q403" s="21">
        <f>IF(A403="","",IF(P403&gt;0,P403,ROUND(M403*SuppliesPerHour,2)))</f>
        <v>0</v>
      </c>
      <c r="R403" s="21">
        <f>IF(A403="","",ROUND(IFERROR(INDEX(Jobs!$W$5:$W$604,MATCH(A403,Jobs!$A$5:$A$604,0)),0)*MileageRate,2))</f>
        <v>0</v>
      </c>
      <c r="T403" s="21">
        <f>IF(A403="","",O403+Q403+R403+IF(S403="",0,S403))</f>
        <v>0</v>
      </c>
      <c r="U403" s="21">
        <f>IF(A403="","",J403-T403)</f>
        <v>0</v>
      </c>
      <c r="V403" s="38">
        <f>IF(OR(A403="",J403=0),"",U403/J403)</f>
        <v>0</v>
      </c>
      <c r="W403" s="21">
        <f>IF(OR(A403="",M403=0,J403=0),"",U403/M403)</f>
        <v>0</v>
      </c>
      <c r="X403" s="34">
        <f>IF(OR(A403="",L403="",L403=0,K403=""),"",L403-K403)</f>
        <v>0</v>
      </c>
      <c r="Y403" s="31">
        <f>IF(A403="","",COUNTIFS($U$5:$U$604,"&gt;"&amp;U403)+COUNTIFS($U$5:U403,U403))</f>
        <v>0</v>
      </c>
      <c r="Z403" s="31">
        <f>IF(A403="","",COUNTIFS($W$5:$W$604,"&gt;"&amp;W403)+COUNTIFS($W$5:W403,W403))</f>
        <v>0</v>
      </c>
      <c r="AA403" s="39">
        <f>IF(A403="","",IF(J403=0,"",IF(U403&lt;0,"Loss - this job cost you money",IF(V403&lt;MarginFloor,"Below - margin under the floor",IF(V403&lt;TargetMargin,"Check - under target margin",IF(AND(X403&lt;&gt;"",X403&gt;0.5),"Check - ran over the estimate","OK"))))))</f>
        <v>0</v>
      </c>
    </row>
    <row r="404" spans="1:27">
      <c r="A404" s="43">
        <f>IF(IFERROR(INDEX(Jobs!$A$5:$A$604,ROW()-4),"")="","",IFERROR(INDEX(Jobs!$A$5:$A$604,ROW()-4),""))</f>
        <v>0</v>
      </c>
      <c r="B404" s="18">
        <f>IF(A404="","",IFERROR(INDEX(Jobs!$B$5:$B$604,MATCH(A404,Jobs!$A$5:$A$604,0)),""))</f>
        <v>0</v>
      </c>
      <c r="C404" s="23">
        <f>IF(B404="","",TEXT(B404,"yyyy-mm"))</f>
        <v>0</v>
      </c>
      <c r="D404" s="43">
        <f>IF(A404="","",IFERROR(INDEX(Jobs!$G$5:$G$604,MATCH(A404,Jobs!$A$5:$A$604,0)),""))</f>
        <v>0</v>
      </c>
      <c r="E404" s="23">
        <f>IF(A404="","",IFERROR(INDEX(Jobs!$H$5:$H$604,MATCH(A404,Jobs!$A$5:$A$604,0)),""))</f>
        <v>0</v>
      </c>
      <c r="F404" s="23">
        <f>IF(A404="","",IFERROR(INDEX(Jobs!$K$5:$K$604,MATCH(A404,Jobs!$A$5:$A$604,0)),""))</f>
        <v>0</v>
      </c>
      <c r="G404" s="23">
        <f>IF(A404="","",IFERROR(INDEX(Jobs!$M$5:$M$604,MATCH(A404,Jobs!$A$5:$A$604,0)),""))</f>
        <v>0</v>
      </c>
      <c r="H404" s="23">
        <f>IF(A404="","",IFERROR(INDEX(Jobs!$R$5:$R$604,MATCH(A404,Jobs!$A$5:$A$604,0)),""))</f>
        <v>0</v>
      </c>
      <c r="I404" s="39">
        <f>IF(A404="","",IFERROR(INDEX(Jobs!$P$5:$P$604,MATCH(A404,Jobs!$A$5:$A$604,0)),""))</f>
        <v>0</v>
      </c>
      <c r="J404" s="21">
        <f>IF(A404="","",IF(OR(I404="Completed",I404="Invoiced"),IFERROR(INDEX(Jobs!$AJ$5:$AJ$604,MATCH(A404,Jobs!$A$5:$A$604,0)),0),0))</f>
        <v>0</v>
      </c>
      <c r="K404" s="34">
        <f>IF(A404="","",IFERROR(INDEX(Jobs!$AD$5:$AD$604,MATCH(A404,Jobs!$A$5:$A$604,0)),0))</f>
        <v>0</v>
      </c>
      <c r="L404" s="34">
        <f>IF(A404="","",IFERROR(INDEX(Jobs!$AK$5:$AK$604,MATCH(A404,Jobs!$A$5:$A$604,0)),0))</f>
        <v>0</v>
      </c>
      <c r="M404" s="34">
        <f>IF(A404="","",IF(IFERROR(L404*1,0)&gt;0,L404,IFERROR(K404*1,0)))</f>
        <v>0</v>
      </c>
      <c r="N404" s="21">
        <f>IF(A404="","",SUMIFS(Timesheets!$X$5:$X$804,Timesheets!$G$5:$G$804,A404))</f>
        <v>0</v>
      </c>
      <c r="O404" s="21">
        <f>IF(A404="","",IF(N404&gt;0,N404,ROUND(M404*CostPerHour,2)))</f>
        <v>0</v>
      </c>
      <c r="P404" s="21">
        <f>IF(A404="","",SUMIFS('Supply Usage'!$L$5:$L$304,'Supply Usage'!$F$5:$F$304,A404))</f>
        <v>0</v>
      </c>
      <c r="Q404" s="21">
        <f>IF(A404="","",IF(P404&gt;0,P404,ROUND(M404*SuppliesPerHour,2)))</f>
        <v>0</v>
      </c>
      <c r="R404" s="21">
        <f>IF(A404="","",ROUND(IFERROR(INDEX(Jobs!$W$5:$W$604,MATCH(A404,Jobs!$A$5:$A$604,0)),0)*MileageRate,2))</f>
        <v>0</v>
      </c>
      <c r="T404" s="21">
        <f>IF(A404="","",O404+Q404+R404+IF(S404="",0,S404))</f>
        <v>0</v>
      </c>
      <c r="U404" s="21">
        <f>IF(A404="","",J404-T404)</f>
        <v>0</v>
      </c>
      <c r="V404" s="38">
        <f>IF(OR(A404="",J404=0),"",U404/J404)</f>
        <v>0</v>
      </c>
      <c r="W404" s="21">
        <f>IF(OR(A404="",M404=0,J404=0),"",U404/M404)</f>
        <v>0</v>
      </c>
      <c r="X404" s="34">
        <f>IF(OR(A404="",L404="",L404=0,K404=""),"",L404-K404)</f>
        <v>0</v>
      </c>
      <c r="Y404" s="31">
        <f>IF(A404="","",COUNTIFS($U$5:$U$604,"&gt;"&amp;U404)+COUNTIFS($U$5:U404,U404))</f>
        <v>0</v>
      </c>
      <c r="Z404" s="31">
        <f>IF(A404="","",COUNTIFS($W$5:$W$604,"&gt;"&amp;W404)+COUNTIFS($W$5:W404,W404))</f>
        <v>0</v>
      </c>
      <c r="AA404" s="39">
        <f>IF(A404="","",IF(J404=0,"",IF(U404&lt;0,"Loss - this job cost you money",IF(V404&lt;MarginFloor,"Below - margin under the floor",IF(V404&lt;TargetMargin,"Check - under target margin",IF(AND(X404&lt;&gt;"",X404&gt;0.5),"Check - ran over the estimate","OK"))))))</f>
        <v>0</v>
      </c>
    </row>
    <row r="405" spans="1:27">
      <c r="A405" s="43">
        <f>IF(IFERROR(INDEX(Jobs!$A$5:$A$604,ROW()-4),"")="","",IFERROR(INDEX(Jobs!$A$5:$A$604,ROW()-4),""))</f>
        <v>0</v>
      </c>
      <c r="B405" s="18">
        <f>IF(A405="","",IFERROR(INDEX(Jobs!$B$5:$B$604,MATCH(A405,Jobs!$A$5:$A$604,0)),""))</f>
        <v>0</v>
      </c>
      <c r="C405" s="23">
        <f>IF(B405="","",TEXT(B405,"yyyy-mm"))</f>
        <v>0</v>
      </c>
      <c r="D405" s="43">
        <f>IF(A405="","",IFERROR(INDEX(Jobs!$G$5:$G$604,MATCH(A405,Jobs!$A$5:$A$604,0)),""))</f>
        <v>0</v>
      </c>
      <c r="E405" s="23">
        <f>IF(A405="","",IFERROR(INDEX(Jobs!$H$5:$H$604,MATCH(A405,Jobs!$A$5:$A$604,0)),""))</f>
        <v>0</v>
      </c>
      <c r="F405" s="23">
        <f>IF(A405="","",IFERROR(INDEX(Jobs!$K$5:$K$604,MATCH(A405,Jobs!$A$5:$A$604,0)),""))</f>
        <v>0</v>
      </c>
      <c r="G405" s="23">
        <f>IF(A405="","",IFERROR(INDEX(Jobs!$M$5:$M$604,MATCH(A405,Jobs!$A$5:$A$604,0)),""))</f>
        <v>0</v>
      </c>
      <c r="H405" s="23">
        <f>IF(A405="","",IFERROR(INDEX(Jobs!$R$5:$R$604,MATCH(A405,Jobs!$A$5:$A$604,0)),""))</f>
        <v>0</v>
      </c>
      <c r="I405" s="39">
        <f>IF(A405="","",IFERROR(INDEX(Jobs!$P$5:$P$604,MATCH(A405,Jobs!$A$5:$A$604,0)),""))</f>
        <v>0</v>
      </c>
      <c r="J405" s="21">
        <f>IF(A405="","",IF(OR(I405="Completed",I405="Invoiced"),IFERROR(INDEX(Jobs!$AJ$5:$AJ$604,MATCH(A405,Jobs!$A$5:$A$604,0)),0),0))</f>
        <v>0</v>
      </c>
      <c r="K405" s="34">
        <f>IF(A405="","",IFERROR(INDEX(Jobs!$AD$5:$AD$604,MATCH(A405,Jobs!$A$5:$A$604,0)),0))</f>
        <v>0</v>
      </c>
      <c r="L405" s="34">
        <f>IF(A405="","",IFERROR(INDEX(Jobs!$AK$5:$AK$604,MATCH(A405,Jobs!$A$5:$A$604,0)),0))</f>
        <v>0</v>
      </c>
      <c r="M405" s="34">
        <f>IF(A405="","",IF(IFERROR(L405*1,0)&gt;0,L405,IFERROR(K405*1,0)))</f>
        <v>0</v>
      </c>
      <c r="N405" s="21">
        <f>IF(A405="","",SUMIFS(Timesheets!$X$5:$X$804,Timesheets!$G$5:$G$804,A405))</f>
        <v>0</v>
      </c>
      <c r="O405" s="21">
        <f>IF(A405="","",IF(N405&gt;0,N405,ROUND(M405*CostPerHour,2)))</f>
        <v>0</v>
      </c>
      <c r="P405" s="21">
        <f>IF(A405="","",SUMIFS('Supply Usage'!$L$5:$L$304,'Supply Usage'!$F$5:$F$304,A405))</f>
        <v>0</v>
      </c>
      <c r="Q405" s="21">
        <f>IF(A405="","",IF(P405&gt;0,P405,ROUND(M405*SuppliesPerHour,2)))</f>
        <v>0</v>
      </c>
      <c r="R405" s="21">
        <f>IF(A405="","",ROUND(IFERROR(INDEX(Jobs!$W$5:$W$604,MATCH(A405,Jobs!$A$5:$A$604,0)),0)*MileageRate,2))</f>
        <v>0</v>
      </c>
      <c r="T405" s="21">
        <f>IF(A405="","",O405+Q405+R405+IF(S405="",0,S405))</f>
        <v>0</v>
      </c>
      <c r="U405" s="21">
        <f>IF(A405="","",J405-T405)</f>
        <v>0</v>
      </c>
      <c r="V405" s="38">
        <f>IF(OR(A405="",J405=0),"",U405/J405)</f>
        <v>0</v>
      </c>
      <c r="W405" s="21">
        <f>IF(OR(A405="",M405=0,J405=0),"",U405/M405)</f>
        <v>0</v>
      </c>
      <c r="X405" s="34">
        <f>IF(OR(A405="",L405="",L405=0,K405=""),"",L405-K405)</f>
        <v>0</v>
      </c>
      <c r="Y405" s="31">
        <f>IF(A405="","",COUNTIFS($U$5:$U$604,"&gt;"&amp;U405)+COUNTIFS($U$5:U405,U405))</f>
        <v>0</v>
      </c>
      <c r="Z405" s="31">
        <f>IF(A405="","",COUNTIFS($W$5:$W$604,"&gt;"&amp;W405)+COUNTIFS($W$5:W405,W405))</f>
        <v>0</v>
      </c>
      <c r="AA405" s="39">
        <f>IF(A405="","",IF(J405=0,"",IF(U405&lt;0,"Loss - this job cost you money",IF(V405&lt;MarginFloor,"Below - margin under the floor",IF(V405&lt;TargetMargin,"Check - under target margin",IF(AND(X405&lt;&gt;"",X405&gt;0.5),"Check - ran over the estimate","OK"))))))</f>
        <v>0</v>
      </c>
    </row>
    <row r="406" spans="1:27">
      <c r="A406" s="43">
        <f>IF(IFERROR(INDEX(Jobs!$A$5:$A$604,ROW()-4),"")="","",IFERROR(INDEX(Jobs!$A$5:$A$604,ROW()-4),""))</f>
        <v>0</v>
      </c>
      <c r="B406" s="18">
        <f>IF(A406="","",IFERROR(INDEX(Jobs!$B$5:$B$604,MATCH(A406,Jobs!$A$5:$A$604,0)),""))</f>
        <v>0</v>
      </c>
      <c r="C406" s="23">
        <f>IF(B406="","",TEXT(B406,"yyyy-mm"))</f>
        <v>0</v>
      </c>
      <c r="D406" s="43">
        <f>IF(A406="","",IFERROR(INDEX(Jobs!$G$5:$G$604,MATCH(A406,Jobs!$A$5:$A$604,0)),""))</f>
        <v>0</v>
      </c>
      <c r="E406" s="23">
        <f>IF(A406="","",IFERROR(INDEX(Jobs!$H$5:$H$604,MATCH(A406,Jobs!$A$5:$A$604,0)),""))</f>
        <v>0</v>
      </c>
      <c r="F406" s="23">
        <f>IF(A406="","",IFERROR(INDEX(Jobs!$K$5:$K$604,MATCH(A406,Jobs!$A$5:$A$604,0)),""))</f>
        <v>0</v>
      </c>
      <c r="G406" s="23">
        <f>IF(A406="","",IFERROR(INDEX(Jobs!$M$5:$M$604,MATCH(A406,Jobs!$A$5:$A$604,0)),""))</f>
        <v>0</v>
      </c>
      <c r="H406" s="23">
        <f>IF(A406="","",IFERROR(INDEX(Jobs!$R$5:$R$604,MATCH(A406,Jobs!$A$5:$A$604,0)),""))</f>
        <v>0</v>
      </c>
      <c r="I406" s="39">
        <f>IF(A406="","",IFERROR(INDEX(Jobs!$P$5:$P$604,MATCH(A406,Jobs!$A$5:$A$604,0)),""))</f>
        <v>0</v>
      </c>
      <c r="J406" s="21">
        <f>IF(A406="","",IF(OR(I406="Completed",I406="Invoiced"),IFERROR(INDEX(Jobs!$AJ$5:$AJ$604,MATCH(A406,Jobs!$A$5:$A$604,0)),0),0))</f>
        <v>0</v>
      </c>
      <c r="K406" s="34">
        <f>IF(A406="","",IFERROR(INDEX(Jobs!$AD$5:$AD$604,MATCH(A406,Jobs!$A$5:$A$604,0)),0))</f>
        <v>0</v>
      </c>
      <c r="L406" s="34">
        <f>IF(A406="","",IFERROR(INDEX(Jobs!$AK$5:$AK$604,MATCH(A406,Jobs!$A$5:$A$604,0)),0))</f>
        <v>0</v>
      </c>
      <c r="M406" s="34">
        <f>IF(A406="","",IF(IFERROR(L406*1,0)&gt;0,L406,IFERROR(K406*1,0)))</f>
        <v>0</v>
      </c>
      <c r="N406" s="21">
        <f>IF(A406="","",SUMIFS(Timesheets!$X$5:$X$804,Timesheets!$G$5:$G$804,A406))</f>
        <v>0</v>
      </c>
      <c r="O406" s="21">
        <f>IF(A406="","",IF(N406&gt;0,N406,ROUND(M406*CostPerHour,2)))</f>
        <v>0</v>
      </c>
      <c r="P406" s="21">
        <f>IF(A406="","",SUMIFS('Supply Usage'!$L$5:$L$304,'Supply Usage'!$F$5:$F$304,A406))</f>
        <v>0</v>
      </c>
      <c r="Q406" s="21">
        <f>IF(A406="","",IF(P406&gt;0,P406,ROUND(M406*SuppliesPerHour,2)))</f>
        <v>0</v>
      </c>
      <c r="R406" s="21">
        <f>IF(A406="","",ROUND(IFERROR(INDEX(Jobs!$W$5:$W$604,MATCH(A406,Jobs!$A$5:$A$604,0)),0)*MileageRate,2))</f>
        <v>0</v>
      </c>
      <c r="T406" s="21">
        <f>IF(A406="","",O406+Q406+R406+IF(S406="",0,S406))</f>
        <v>0</v>
      </c>
      <c r="U406" s="21">
        <f>IF(A406="","",J406-T406)</f>
        <v>0</v>
      </c>
      <c r="V406" s="38">
        <f>IF(OR(A406="",J406=0),"",U406/J406)</f>
        <v>0</v>
      </c>
      <c r="W406" s="21">
        <f>IF(OR(A406="",M406=0,J406=0),"",U406/M406)</f>
        <v>0</v>
      </c>
      <c r="X406" s="34">
        <f>IF(OR(A406="",L406="",L406=0,K406=""),"",L406-K406)</f>
        <v>0</v>
      </c>
      <c r="Y406" s="31">
        <f>IF(A406="","",COUNTIFS($U$5:$U$604,"&gt;"&amp;U406)+COUNTIFS($U$5:U406,U406))</f>
        <v>0</v>
      </c>
      <c r="Z406" s="31">
        <f>IF(A406="","",COUNTIFS($W$5:$W$604,"&gt;"&amp;W406)+COUNTIFS($W$5:W406,W406))</f>
        <v>0</v>
      </c>
      <c r="AA406" s="39">
        <f>IF(A406="","",IF(J406=0,"",IF(U406&lt;0,"Loss - this job cost you money",IF(V406&lt;MarginFloor,"Below - margin under the floor",IF(V406&lt;TargetMargin,"Check - under target margin",IF(AND(X406&lt;&gt;"",X406&gt;0.5),"Check - ran over the estimate","OK"))))))</f>
        <v>0</v>
      </c>
    </row>
    <row r="407" spans="1:27">
      <c r="A407" s="43">
        <f>IF(IFERROR(INDEX(Jobs!$A$5:$A$604,ROW()-4),"")="","",IFERROR(INDEX(Jobs!$A$5:$A$604,ROW()-4),""))</f>
        <v>0</v>
      </c>
      <c r="B407" s="18">
        <f>IF(A407="","",IFERROR(INDEX(Jobs!$B$5:$B$604,MATCH(A407,Jobs!$A$5:$A$604,0)),""))</f>
        <v>0</v>
      </c>
      <c r="C407" s="23">
        <f>IF(B407="","",TEXT(B407,"yyyy-mm"))</f>
        <v>0</v>
      </c>
      <c r="D407" s="43">
        <f>IF(A407="","",IFERROR(INDEX(Jobs!$G$5:$G$604,MATCH(A407,Jobs!$A$5:$A$604,0)),""))</f>
        <v>0</v>
      </c>
      <c r="E407" s="23">
        <f>IF(A407="","",IFERROR(INDEX(Jobs!$H$5:$H$604,MATCH(A407,Jobs!$A$5:$A$604,0)),""))</f>
        <v>0</v>
      </c>
      <c r="F407" s="23">
        <f>IF(A407="","",IFERROR(INDEX(Jobs!$K$5:$K$604,MATCH(A407,Jobs!$A$5:$A$604,0)),""))</f>
        <v>0</v>
      </c>
      <c r="G407" s="23">
        <f>IF(A407="","",IFERROR(INDEX(Jobs!$M$5:$M$604,MATCH(A407,Jobs!$A$5:$A$604,0)),""))</f>
        <v>0</v>
      </c>
      <c r="H407" s="23">
        <f>IF(A407="","",IFERROR(INDEX(Jobs!$R$5:$R$604,MATCH(A407,Jobs!$A$5:$A$604,0)),""))</f>
        <v>0</v>
      </c>
      <c r="I407" s="39">
        <f>IF(A407="","",IFERROR(INDEX(Jobs!$P$5:$P$604,MATCH(A407,Jobs!$A$5:$A$604,0)),""))</f>
        <v>0</v>
      </c>
      <c r="J407" s="21">
        <f>IF(A407="","",IF(OR(I407="Completed",I407="Invoiced"),IFERROR(INDEX(Jobs!$AJ$5:$AJ$604,MATCH(A407,Jobs!$A$5:$A$604,0)),0),0))</f>
        <v>0</v>
      </c>
      <c r="K407" s="34">
        <f>IF(A407="","",IFERROR(INDEX(Jobs!$AD$5:$AD$604,MATCH(A407,Jobs!$A$5:$A$604,0)),0))</f>
        <v>0</v>
      </c>
      <c r="L407" s="34">
        <f>IF(A407="","",IFERROR(INDEX(Jobs!$AK$5:$AK$604,MATCH(A407,Jobs!$A$5:$A$604,0)),0))</f>
        <v>0</v>
      </c>
      <c r="M407" s="34">
        <f>IF(A407="","",IF(IFERROR(L407*1,0)&gt;0,L407,IFERROR(K407*1,0)))</f>
        <v>0</v>
      </c>
      <c r="N407" s="21">
        <f>IF(A407="","",SUMIFS(Timesheets!$X$5:$X$804,Timesheets!$G$5:$G$804,A407))</f>
        <v>0</v>
      </c>
      <c r="O407" s="21">
        <f>IF(A407="","",IF(N407&gt;0,N407,ROUND(M407*CostPerHour,2)))</f>
        <v>0</v>
      </c>
      <c r="P407" s="21">
        <f>IF(A407="","",SUMIFS('Supply Usage'!$L$5:$L$304,'Supply Usage'!$F$5:$F$304,A407))</f>
        <v>0</v>
      </c>
      <c r="Q407" s="21">
        <f>IF(A407="","",IF(P407&gt;0,P407,ROUND(M407*SuppliesPerHour,2)))</f>
        <v>0</v>
      </c>
      <c r="R407" s="21">
        <f>IF(A407="","",ROUND(IFERROR(INDEX(Jobs!$W$5:$W$604,MATCH(A407,Jobs!$A$5:$A$604,0)),0)*MileageRate,2))</f>
        <v>0</v>
      </c>
      <c r="T407" s="21">
        <f>IF(A407="","",O407+Q407+R407+IF(S407="",0,S407))</f>
        <v>0</v>
      </c>
      <c r="U407" s="21">
        <f>IF(A407="","",J407-T407)</f>
        <v>0</v>
      </c>
      <c r="V407" s="38">
        <f>IF(OR(A407="",J407=0),"",U407/J407)</f>
        <v>0</v>
      </c>
      <c r="W407" s="21">
        <f>IF(OR(A407="",M407=0,J407=0),"",U407/M407)</f>
        <v>0</v>
      </c>
      <c r="X407" s="34">
        <f>IF(OR(A407="",L407="",L407=0,K407=""),"",L407-K407)</f>
        <v>0</v>
      </c>
      <c r="Y407" s="31">
        <f>IF(A407="","",COUNTIFS($U$5:$U$604,"&gt;"&amp;U407)+COUNTIFS($U$5:U407,U407))</f>
        <v>0</v>
      </c>
      <c r="Z407" s="31">
        <f>IF(A407="","",COUNTIFS($W$5:$W$604,"&gt;"&amp;W407)+COUNTIFS($W$5:W407,W407))</f>
        <v>0</v>
      </c>
      <c r="AA407" s="39">
        <f>IF(A407="","",IF(J407=0,"",IF(U407&lt;0,"Loss - this job cost you money",IF(V407&lt;MarginFloor,"Below - margin under the floor",IF(V407&lt;TargetMargin,"Check - under target margin",IF(AND(X407&lt;&gt;"",X407&gt;0.5),"Check - ran over the estimate","OK"))))))</f>
        <v>0</v>
      </c>
    </row>
    <row r="408" spans="1:27">
      <c r="A408" s="43">
        <f>IF(IFERROR(INDEX(Jobs!$A$5:$A$604,ROW()-4),"")="","",IFERROR(INDEX(Jobs!$A$5:$A$604,ROW()-4),""))</f>
        <v>0</v>
      </c>
      <c r="B408" s="18">
        <f>IF(A408="","",IFERROR(INDEX(Jobs!$B$5:$B$604,MATCH(A408,Jobs!$A$5:$A$604,0)),""))</f>
        <v>0</v>
      </c>
      <c r="C408" s="23">
        <f>IF(B408="","",TEXT(B408,"yyyy-mm"))</f>
        <v>0</v>
      </c>
      <c r="D408" s="43">
        <f>IF(A408="","",IFERROR(INDEX(Jobs!$G$5:$G$604,MATCH(A408,Jobs!$A$5:$A$604,0)),""))</f>
        <v>0</v>
      </c>
      <c r="E408" s="23">
        <f>IF(A408="","",IFERROR(INDEX(Jobs!$H$5:$H$604,MATCH(A408,Jobs!$A$5:$A$604,0)),""))</f>
        <v>0</v>
      </c>
      <c r="F408" s="23">
        <f>IF(A408="","",IFERROR(INDEX(Jobs!$K$5:$K$604,MATCH(A408,Jobs!$A$5:$A$604,0)),""))</f>
        <v>0</v>
      </c>
      <c r="G408" s="23">
        <f>IF(A408="","",IFERROR(INDEX(Jobs!$M$5:$M$604,MATCH(A408,Jobs!$A$5:$A$604,0)),""))</f>
        <v>0</v>
      </c>
      <c r="H408" s="23">
        <f>IF(A408="","",IFERROR(INDEX(Jobs!$R$5:$R$604,MATCH(A408,Jobs!$A$5:$A$604,0)),""))</f>
        <v>0</v>
      </c>
      <c r="I408" s="39">
        <f>IF(A408="","",IFERROR(INDEX(Jobs!$P$5:$P$604,MATCH(A408,Jobs!$A$5:$A$604,0)),""))</f>
        <v>0</v>
      </c>
      <c r="J408" s="21">
        <f>IF(A408="","",IF(OR(I408="Completed",I408="Invoiced"),IFERROR(INDEX(Jobs!$AJ$5:$AJ$604,MATCH(A408,Jobs!$A$5:$A$604,0)),0),0))</f>
        <v>0</v>
      </c>
      <c r="K408" s="34">
        <f>IF(A408="","",IFERROR(INDEX(Jobs!$AD$5:$AD$604,MATCH(A408,Jobs!$A$5:$A$604,0)),0))</f>
        <v>0</v>
      </c>
      <c r="L408" s="34">
        <f>IF(A408="","",IFERROR(INDEX(Jobs!$AK$5:$AK$604,MATCH(A408,Jobs!$A$5:$A$604,0)),0))</f>
        <v>0</v>
      </c>
      <c r="M408" s="34">
        <f>IF(A408="","",IF(IFERROR(L408*1,0)&gt;0,L408,IFERROR(K408*1,0)))</f>
        <v>0</v>
      </c>
      <c r="N408" s="21">
        <f>IF(A408="","",SUMIFS(Timesheets!$X$5:$X$804,Timesheets!$G$5:$G$804,A408))</f>
        <v>0</v>
      </c>
      <c r="O408" s="21">
        <f>IF(A408="","",IF(N408&gt;0,N408,ROUND(M408*CostPerHour,2)))</f>
        <v>0</v>
      </c>
      <c r="P408" s="21">
        <f>IF(A408="","",SUMIFS('Supply Usage'!$L$5:$L$304,'Supply Usage'!$F$5:$F$304,A408))</f>
        <v>0</v>
      </c>
      <c r="Q408" s="21">
        <f>IF(A408="","",IF(P408&gt;0,P408,ROUND(M408*SuppliesPerHour,2)))</f>
        <v>0</v>
      </c>
      <c r="R408" s="21">
        <f>IF(A408="","",ROUND(IFERROR(INDEX(Jobs!$W$5:$W$604,MATCH(A408,Jobs!$A$5:$A$604,0)),0)*MileageRate,2))</f>
        <v>0</v>
      </c>
      <c r="T408" s="21">
        <f>IF(A408="","",O408+Q408+R408+IF(S408="",0,S408))</f>
        <v>0</v>
      </c>
      <c r="U408" s="21">
        <f>IF(A408="","",J408-T408)</f>
        <v>0</v>
      </c>
      <c r="V408" s="38">
        <f>IF(OR(A408="",J408=0),"",U408/J408)</f>
        <v>0</v>
      </c>
      <c r="W408" s="21">
        <f>IF(OR(A408="",M408=0,J408=0),"",U408/M408)</f>
        <v>0</v>
      </c>
      <c r="X408" s="34">
        <f>IF(OR(A408="",L408="",L408=0,K408=""),"",L408-K408)</f>
        <v>0</v>
      </c>
      <c r="Y408" s="31">
        <f>IF(A408="","",COUNTIFS($U$5:$U$604,"&gt;"&amp;U408)+COUNTIFS($U$5:U408,U408))</f>
        <v>0</v>
      </c>
      <c r="Z408" s="31">
        <f>IF(A408="","",COUNTIFS($W$5:$W$604,"&gt;"&amp;W408)+COUNTIFS($W$5:W408,W408))</f>
        <v>0</v>
      </c>
      <c r="AA408" s="39">
        <f>IF(A408="","",IF(J408=0,"",IF(U408&lt;0,"Loss - this job cost you money",IF(V408&lt;MarginFloor,"Below - margin under the floor",IF(V408&lt;TargetMargin,"Check - under target margin",IF(AND(X408&lt;&gt;"",X408&gt;0.5),"Check - ran over the estimate","OK"))))))</f>
        <v>0</v>
      </c>
    </row>
    <row r="409" spans="1:27">
      <c r="A409" s="43">
        <f>IF(IFERROR(INDEX(Jobs!$A$5:$A$604,ROW()-4),"")="","",IFERROR(INDEX(Jobs!$A$5:$A$604,ROW()-4),""))</f>
        <v>0</v>
      </c>
      <c r="B409" s="18">
        <f>IF(A409="","",IFERROR(INDEX(Jobs!$B$5:$B$604,MATCH(A409,Jobs!$A$5:$A$604,0)),""))</f>
        <v>0</v>
      </c>
      <c r="C409" s="23">
        <f>IF(B409="","",TEXT(B409,"yyyy-mm"))</f>
        <v>0</v>
      </c>
      <c r="D409" s="43">
        <f>IF(A409="","",IFERROR(INDEX(Jobs!$G$5:$G$604,MATCH(A409,Jobs!$A$5:$A$604,0)),""))</f>
        <v>0</v>
      </c>
      <c r="E409" s="23">
        <f>IF(A409="","",IFERROR(INDEX(Jobs!$H$5:$H$604,MATCH(A409,Jobs!$A$5:$A$604,0)),""))</f>
        <v>0</v>
      </c>
      <c r="F409" s="23">
        <f>IF(A409="","",IFERROR(INDEX(Jobs!$K$5:$K$604,MATCH(A409,Jobs!$A$5:$A$604,0)),""))</f>
        <v>0</v>
      </c>
      <c r="G409" s="23">
        <f>IF(A409="","",IFERROR(INDEX(Jobs!$M$5:$M$604,MATCH(A409,Jobs!$A$5:$A$604,0)),""))</f>
        <v>0</v>
      </c>
      <c r="H409" s="23">
        <f>IF(A409="","",IFERROR(INDEX(Jobs!$R$5:$R$604,MATCH(A409,Jobs!$A$5:$A$604,0)),""))</f>
        <v>0</v>
      </c>
      <c r="I409" s="39">
        <f>IF(A409="","",IFERROR(INDEX(Jobs!$P$5:$P$604,MATCH(A409,Jobs!$A$5:$A$604,0)),""))</f>
        <v>0</v>
      </c>
      <c r="J409" s="21">
        <f>IF(A409="","",IF(OR(I409="Completed",I409="Invoiced"),IFERROR(INDEX(Jobs!$AJ$5:$AJ$604,MATCH(A409,Jobs!$A$5:$A$604,0)),0),0))</f>
        <v>0</v>
      </c>
      <c r="K409" s="34">
        <f>IF(A409="","",IFERROR(INDEX(Jobs!$AD$5:$AD$604,MATCH(A409,Jobs!$A$5:$A$604,0)),0))</f>
        <v>0</v>
      </c>
      <c r="L409" s="34">
        <f>IF(A409="","",IFERROR(INDEX(Jobs!$AK$5:$AK$604,MATCH(A409,Jobs!$A$5:$A$604,0)),0))</f>
        <v>0</v>
      </c>
      <c r="M409" s="34">
        <f>IF(A409="","",IF(IFERROR(L409*1,0)&gt;0,L409,IFERROR(K409*1,0)))</f>
        <v>0</v>
      </c>
      <c r="N409" s="21">
        <f>IF(A409="","",SUMIFS(Timesheets!$X$5:$X$804,Timesheets!$G$5:$G$804,A409))</f>
        <v>0</v>
      </c>
      <c r="O409" s="21">
        <f>IF(A409="","",IF(N409&gt;0,N409,ROUND(M409*CostPerHour,2)))</f>
        <v>0</v>
      </c>
      <c r="P409" s="21">
        <f>IF(A409="","",SUMIFS('Supply Usage'!$L$5:$L$304,'Supply Usage'!$F$5:$F$304,A409))</f>
        <v>0</v>
      </c>
      <c r="Q409" s="21">
        <f>IF(A409="","",IF(P409&gt;0,P409,ROUND(M409*SuppliesPerHour,2)))</f>
        <v>0</v>
      </c>
      <c r="R409" s="21">
        <f>IF(A409="","",ROUND(IFERROR(INDEX(Jobs!$W$5:$W$604,MATCH(A409,Jobs!$A$5:$A$604,0)),0)*MileageRate,2))</f>
        <v>0</v>
      </c>
      <c r="T409" s="21">
        <f>IF(A409="","",O409+Q409+R409+IF(S409="",0,S409))</f>
        <v>0</v>
      </c>
      <c r="U409" s="21">
        <f>IF(A409="","",J409-T409)</f>
        <v>0</v>
      </c>
      <c r="V409" s="38">
        <f>IF(OR(A409="",J409=0),"",U409/J409)</f>
        <v>0</v>
      </c>
      <c r="W409" s="21">
        <f>IF(OR(A409="",M409=0,J409=0),"",U409/M409)</f>
        <v>0</v>
      </c>
      <c r="X409" s="34">
        <f>IF(OR(A409="",L409="",L409=0,K409=""),"",L409-K409)</f>
        <v>0</v>
      </c>
      <c r="Y409" s="31">
        <f>IF(A409="","",COUNTIFS($U$5:$U$604,"&gt;"&amp;U409)+COUNTIFS($U$5:U409,U409))</f>
        <v>0</v>
      </c>
      <c r="Z409" s="31">
        <f>IF(A409="","",COUNTIFS($W$5:$W$604,"&gt;"&amp;W409)+COUNTIFS($W$5:W409,W409))</f>
        <v>0</v>
      </c>
      <c r="AA409" s="39">
        <f>IF(A409="","",IF(J409=0,"",IF(U409&lt;0,"Loss - this job cost you money",IF(V409&lt;MarginFloor,"Below - margin under the floor",IF(V409&lt;TargetMargin,"Check - under target margin",IF(AND(X409&lt;&gt;"",X409&gt;0.5),"Check - ran over the estimate","OK"))))))</f>
        <v>0</v>
      </c>
    </row>
    <row r="410" spans="1:27">
      <c r="A410" s="43">
        <f>IF(IFERROR(INDEX(Jobs!$A$5:$A$604,ROW()-4),"")="","",IFERROR(INDEX(Jobs!$A$5:$A$604,ROW()-4),""))</f>
        <v>0</v>
      </c>
      <c r="B410" s="18">
        <f>IF(A410="","",IFERROR(INDEX(Jobs!$B$5:$B$604,MATCH(A410,Jobs!$A$5:$A$604,0)),""))</f>
        <v>0</v>
      </c>
      <c r="C410" s="23">
        <f>IF(B410="","",TEXT(B410,"yyyy-mm"))</f>
        <v>0</v>
      </c>
      <c r="D410" s="43">
        <f>IF(A410="","",IFERROR(INDEX(Jobs!$G$5:$G$604,MATCH(A410,Jobs!$A$5:$A$604,0)),""))</f>
        <v>0</v>
      </c>
      <c r="E410" s="23">
        <f>IF(A410="","",IFERROR(INDEX(Jobs!$H$5:$H$604,MATCH(A410,Jobs!$A$5:$A$604,0)),""))</f>
        <v>0</v>
      </c>
      <c r="F410" s="23">
        <f>IF(A410="","",IFERROR(INDEX(Jobs!$K$5:$K$604,MATCH(A410,Jobs!$A$5:$A$604,0)),""))</f>
        <v>0</v>
      </c>
      <c r="G410" s="23">
        <f>IF(A410="","",IFERROR(INDEX(Jobs!$M$5:$M$604,MATCH(A410,Jobs!$A$5:$A$604,0)),""))</f>
        <v>0</v>
      </c>
      <c r="H410" s="23">
        <f>IF(A410="","",IFERROR(INDEX(Jobs!$R$5:$R$604,MATCH(A410,Jobs!$A$5:$A$604,0)),""))</f>
        <v>0</v>
      </c>
      <c r="I410" s="39">
        <f>IF(A410="","",IFERROR(INDEX(Jobs!$P$5:$P$604,MATCH(A410,Jobs!$A$5:$A$604,0)),""))</f>
        <v>0</v>
      </c>
      <c r="J410" s="21">
        <f>IF(A410="","",IF(OR(I410="Completed",I410="Invoiced"),IFERROR(INDEX(Jobs!$AJ$5:$AJ$604,MATCH(A410,Jobs!$A$5:$A$604,0)),0),0))</f>
        <v>0</v>
      </c>
      <c r="K410" s="34">
        <f>IF(A410="","",IFERROR(INDEX(Jobs!$AD$5:$AD$604,MATCH(A410,Jobs!$A$5:$A$604,0)),0))</f>
        <v>0</v>
      </c>
      <c r="L410" s="34">
        <f>IF(A410="","",IFERROR(INDEX(Jobs!$AK$5:$AK$604,MATCH(A410,Jobs!$A$5:$A$604,0)),0))</f>
        <v>0</v>
      </c>
      <c r="M410" s="34">
        <f>IF(A410="","",IF(IFERROR(L410*1,0)&gt;0,L410,IFERROR(K410*1,0)))</f>
        <v>0</v>
      </c>
      <c r="N410" s="21">
        <f>IF(A410="","",SUMIFS(Timesheets!$X$5:$X$804,Timesheets!$G$5:$G$804,A410))</f>
        <v>0</v>
      </c>
      <c r="O410" s="21">
        <f>IF(A410="","",IF(N410&gt;0,N410,ROUND(M410*CostPerHour,2)))</f>
        <v>0</v>
      </c>
      <c r="P410" s="21">
        <f>IF(A410="","",SUMIFS('Supply Usage'!$L$5:$L$304,'Supply Usage'!$F$5:$F$304,A410))</f>
        <v>0</v>
      </c>
      <c r="Q410" s="21">
        <f>IF(A410="","",IF(P410&gt;0,P410,ROUND(M410*SuppliesPerHour,2)))</f>
        <v>0</v>
      </c>
      <c r="R410" s="21">
        <f>IF(A410="","",ROUND(IFERROR(INDEX(Jobs!$W$5:$W$604,MATCH(A410,Jobs!$A$5:$A$604,0)),0)*MileageRate,2))</f>
        <v>0</v>
      </c>
      <c r="T410" s="21">
        <f>IF(A410="","",O410+Q410+R410+IF(S410="",0,S410))</f>
        <v>0</v>
      </c>
      <c r="U410" s="21">
        <f>IF(A410="","",J410-T410)</f>
        <v>0</v>
      </c>
      <c r="V410" s="38">
        <f>IF(OR(A410="",J410=0),"",U410/J410)</f>
        <v>0</v>
      </c>
      <c r="W410" s="21">
        <f>IF(OR(A410="",M410=0,J410=0),"",U410/M410)</f>
        <v>0</v>
      </c>
      <c r="X410" s="34">
        <f>IF(OR(A410="",L410="",L410=0,K410=""),"",L410-K410)</f>
        <v>0</v>
      </c>
      <c r="Y410" s="31">
        <f>IF(A410="","",COUNTIFS($U$5:$U$604,"&gt;"&amp;U410)+COUNTIFS($U$5:U410,U410))</f>
        <v>0</v>
      </c>
      <c r="Z410" s="31">
        <f>IF(A410="","",COUNTIFS($W$5:$W$604,"&gt;"&amp;W410)+COUNTIFS($W$5:W410,W410))</f>
        <v>0</v>
      </c>
      <c r="AA410" s="39">
        <f>IF(A410="","",IF(J410=0,"",IF(U410&lt;0,"Loss - this job cost you money",IF(V410&lt;MarginFloor,"Below - margin under the floor",IF(V410&lt;TargetMargin,"Check - under target margin",IF(AND(X410&lt;&gt;"",X410&gt;0.5),"Check - ran over the estimate","OK"))))))</f>
        <v>0</v>
      </c>
    </row>
    <row r="411" spans="1:27">
      <c r="A411" s="43">
        <f>IF(IFERROR(INDEX(Jobs!$A$5:$A$604,ROW()-4),"")="","",IFERROR(INDEX(Jobs!$A$5:$A$604,ROW()-4),""))</f>
        <v>0</v>
      </c>
      <c r="B411" s="18">
        <f>IF(A411="","",IFERROR(INDEX(Jobs!$B$5:$B$604,MATCH(A411,Jobs!$A$5:$A$604,0)),""))</f>
        <v>0</v>
      </c>
      <c r="C411" s="23">
        <f>IF(B411="","",TEXT(B411,"yyyy-mm"))</f>
        <v>0</v>
      </c>
      <c r="D411" s="43">
        <f>IF(A411="","",IFERROR(INDEX(Jobs!$G$5:$G$604,MATCH(A411,Jobs!$A$5:$A$604,0)),""))</f>
        <v>0</v>
      </c>
      <c r="E411" s="23">
        <f>IF(A411="","",IFERROR(INDEX(Jobs!$H$5:$H$604,MATCH(A411,Jobs!$A$5:$A$604,0)),""))</f>
        <v>0</v>
      </c>
      <c r="F411" s="23">
        <f>IF(A411="","",IFERROR(INDEX(Jobs!$K$5:$K$604,MATCH(A411,Jobs!$A$5:$A$604,0)),""))</f>
        <v>0</v>
      </c>
      <c r="G411" s="23">
        <f>IF(A411="","",IFERROR(INDEX(Jobs!$M$5:$M$604,MATCH(A411,Jobs!$A$5:$A$604,0)),""))</f>
        <v>0</v>
      </c>
      <c r="H411" s="23">
        <f>IF(A411="","",IFERROR(INDEX(Jobs!$R$5:$R$604,MATCH(A411,Jobs!$A$5:$A$604,0)),""))</f>
        <v>0</v>
      </c>
      <c r="I411" s="39">
        <f>IF(A411="","",IFERROR(INDEX(Jobs!$P$5:$P$604,MATCH(A411,Jobs!$A$5:$A$604,0)),""))</f>
        <v>0</v>
      </c>
      <c r="J411" s="21">
        <f>IF(A411="","",IF(OR(I411="Completed",I411="Invoiced"),IFERROR(INDEX(Jobs!$AJ$5:$AJ$604,MATCH(A411,Jobs!$A$5:$A$604,0)),0),0))</f>
        <v>0</v>
      </c>
      <c r="K411" s="34">
        <f>IF(A411="","",IFERROR(INDEX(Jobs!$AD$5:$AD$604,MATCH(A411,Jobs!$A$5:$A$604,0)),0))</f>
        <v>0</v>
      </c>
      <c r="L411" s="34">
        <f>IF(A411="","",IFERROR(INDEX(Jobs!$AK$5:$AK$604,MATCH(A411,Jobs!$A$5:$A$604,0)),0))</f>
        <v>0</v>
      </c>
      <c r="M411" s="34">
        <f>IF(A411="","",IF(IFERROR(L411*1,0)&gt;0,L411,IFERROR(K411*1,0)))</f>
        <v>0</v>
      </c>
      <c r="N411" s="21">
        <f>IF(A411="","",SUMIFS(Timesheets!$X$5:$X$804,Timesheets!$G$5:$G$804,A411))</f>
        <v>0</v>
      </c>
      <c r="O411" s="21">
        <f>IF(A411="","",IF(N411&gt;0,N411,ROUND(M411*CostPerHour,2)))</f>
        <v>0</v>
      </c>
      <c r="P411" s="21">
        <f>IF(A411="","",SUMIFS('Supply Usage'!$L$5:$L$304,'Supply Usage'!$F$5:$F$304,A411))</f>
        <v>0</v>
      </c>
      <c r="Q411" s="21">
        <f>IF(A411="","",IF(P411&gt;0,P411,ROUND(M411*SuppliesPerHour,2)))</f>
        <v>0</v>
      </c>
      <c r="R411" s="21">
        <f>IF(A411="","",ROUND(IFERROR(INDEX(Jobs!$W$5:$W$604,MATCH(A411,Jobs!$A$5:$A$604,0)),0)*MileageRate,2))</f>
        <v>0</v>
      </c>
      <c r="T411" s="21">
        <f>IF(A411="","",O411+Q411+R411+IF(S411="",0,S411))</f>
        <v>0</v>
      </c>
      <c r="U411" s="21">
        <f>IF(A411="","",J411-T411)</f>
        <v>0</v>
      </c>
      <c r="V411" s="38">
        <f>IF(OR(A411="",J411=0),"",U411/J411)</f>
        <v>0</v>
      </c>
      <c r="W411" s="21">
        <f>IF(OR(A411="",M411=0,J411=0),"",U411/M411)</f>
        <v>0</v>
      </c>
      <c r="X411" s="34">
        <f>IF(OR(A411="",L411="",L411=0,K411=""),"",L411-K411)</f>
        <v>0</v>
      </c>
      <c r="Y411" s="31">
        <f>IF(A411="","",COUNTIFS($U$5:$U$604,"&gt;"&amp;U411)+COUNTIFS($U$5:U411,U411))</f>
        <v>0</v>
      </c>
      <c r="Z411" s="31">
        <f>IF(A411="","",COUNTIFS($W$5:$W$604,"&gt;"&amp;W411)+COUNTIFS($W$5:W411,W411))</f>
        <v>0</v>
      </c>
      <c r="AA411" s="39">
        <f>IF(A411="","",IF(J411=0,"",IF(U411&lt;0,"Loss - this job cost you money",IF(V411&lt;MarginFloor,"Below - margin under the floor",IF(V411&lt;TargetMargin,"Check - under target margin",IF(AND(X411&lt;&gt;"",X411&gt;0.5),"Check - ran over the estimate","OK"))))))</f>
        <v>0</v>
      </c>
    </row>
    <row r="412" spans="1:27">
      <c r="A412" s="43">
        <f>IF(IFERROR(INDEX(Jobs!$A$5:$A$604,ROW()-4),"")="","",IFERROR(INDEX(Jobs!$A$5:$A$604,ROW()-4),""))</f>
        <v>0</v>
      </c>
      <c r="B412" s="18">
        <f>IF(A412="","",IFERROR(INDEX(Jobs!$B$5:$B$604,MATCH(A412,Jobs!$A$5:$A$604,0)),""))</f>
        <v>0</v>
      </c>
      <c r="C412" s="23">
        <f>IF(B412="","",TEXT(B412,"yyyy-mm"))</f>
        <v>0</v>
      </c>
      <c r="D412" s="43">
        <f>IF(A412="","",IFERROR(INDEX(Jobs!$G$5:$G$604,MATCH(A412,Jobs!$A$5:$A$604,0)),""))</f>
        <v>0</v>
      </c>
      <c r="E412" s="23">
        <f>IF(A412="","",IFERROR(INDEX(Jobs!$H$5:$H$604,MATCH(A412,Jobs!$A$5:$A$604,0)),""))</f>
        <v>0</v>
      </c>
      <c r="F412" s="23">
        <f>IF(A412="","",IFERROR(INDEX(Jobs!$K$5:$K$604,MATCH(A412,Jobs!$A$5:$A$604,0)),""))</f>
        <v>0</v>
      </c>
      <c r="G412" s="23">
        <f>IF(A412="","",IFERROR(INDEX(Jobs!$M$5:$M$604,MATCH(A412,Jobs!$A$5:$A$604,0)),""))</f>
        <v>0</v>
      </c>
      <c r="H412" s="23">
        <f>IF(A412="","",IFERROR(INDEX(Jobs!$R$5:$R$604,MATCH(A412,Jobs!$A$5:$A$604,0)),""))</f>
        <v>0</v>
      </c>
      <c r="I412" s="39">
        <f>IF(A412="","",IFERROR(INDEX(Jobs!$P$5:$P$604,MATCH(A412,Jobs!$A$5:$A$604,0)),""))</f>
        <v>0</v>
      </c>
      <c r="J412" s="21">
        <f>IF(A412="","",IF(OR(I412="Completed",I412="Invoiced"),IFERROR(INDEX(Jobs!$AJ$5:$AJ$604,MATCH(A412,Jobs!$A$5:$A$604,0)),0),0))</f>
        <v>0</v>
      </c>
      <c r="K412" s="34">
        <f>IF(A412="","",IFERROR(INDEX(Jobs!$AD$5:$AD$604,MATCH(A412,Jobs!$A$5:$A$604,0)),0))</f>
        <v>0</v>
      </c>
      <c r="L412" s="34">
        <f>IF(A412="","",IFERROR(INDEX(Jobs!$AK$5:$AK$604,MATCH(A412,Jobs!$A$5:$A$604,0)),0))</f>
        <v>0</v>
      </c>
      <c r="M412" s="34">
        <f>IF(A412="","",IF(IFERROR(L412*1,0)&gt;0,L412,IFERROR(K412*1,0)))</f>
        <v>0</v>
      </c>
      <c r="N412" s="21">
        <f>IF(A412="","",SUMIFS(Timesheets!$X$5:$X$804,Timesheets!$G$5:$G$804,A412))</f>
        <v>0</v>
      </c>
      <c r="O412" s="21">
        <f>IF(A412="","",IF(N412&gt;0,N412,ROUND(M412*CostPerHour,2)))</f>
        <v>0</v>
      </c>
      <c r="P412" s="21">
        <f>IF(A412="","",SUMIFS('Supply Usage'!$L$5:$L$304,'Supply Usage'!$F$5:$F$304,A412))</f>
        <v>0</v>
      </c>
      <c r="Q412" s="21">
        <f>IF(A412="","",IF(P412&gt;0,P412,ROUND(M412*SuppliesPerHour,2)))</f>
        <v>0</v>
      </c>
      <c r="R412" s="21">
        <f>IF(A412="","",ROUND(IFERROR(INDEX(Jobs!$W$5:$W$604,MATCH(A412,Jobs!$A$5:$A$604,0)),0)*MileageRate,2))</f>
        <v>0</v>
      </c>
      <c r="T412" s="21">
        <f>IF(A412="","",O412+Q412+R412+IF(S412="",0,S412))</f>
        <v>0</v>
      </c>
      <c r="U412" s="21">
        <f>IF(A412="","",J412-T412)</f>
        <v>0</v>
      </c>
      <c r="V412" s="38">
        <f>IF(OR(A412="",J412=0),"",U412/J412)</f>
        <v>0</v>
      </c>
      <c r="W412" s="21">
        <f>IF(OR(A412="",M412=0,J412=0),"",U412/M412)</f>
        <v>0</v>
      </c>
      <c r="X412" s="34">
        <f>IF(OR(A412="",L412="",L412=0,K412=""),"",L412-K412)</f>
        <v>0</v>
      </c>
      <c r="Y412" s="31">
        <f>IF(A412="","",COUNTIFS($U$5:$U$604,"&gt;"&amp;U412)+COUNTIFS($U$5:U412,U412))</f>
        <v>0</v>
      </c>
      <c r="Z412" s="31">
        <f>IF(A412="","",COUNTIFS($W$5:$W$604,"&gt;"&amp;W412)+COUNTIFS($W$5:W412,W412))</f>
        <v>0</v>
      </c>
      <c r="AA412" s="39">
        <f>IF(A412="","",IF(J412=0,"",IF(U412&lt;0,"Loss - this job cost you money",IF(V412&lt;MarginFloor,"Below - margin under the floor",IF(V412&lt;TargetMargin,"Check - under target margin",IF(AND(X412&lt;&gt;"",X412&gt;0.5),"Check - ran over the estimate","OK"))))))</f>
        <v>0</v>
      </c>
    </row>
    <row r="413" spans="1:27">
      <c r="A413" s="43">
        <f>IF(IFERROR(INDEX(Jobs!$A$5:$A$604,ROW()-4),"")="","",IFERROR(INDEX(Jobs!$A$5:$A$604,ROW()-4),""))</f>
        <v>0</v>
      </c>
      <c r="B413" s="18">
        <f>IF(A413="","",IFERROR(INDEX(Jobs!$B$5:$B$604,MATCH(A413,Jobs!$A$5:$A$604,0)),""))</f>
        <v>0</v>
      </c>
      <c r="C413" s="23">
        <f>IF(B413="","",TEXT(B413,"yyyy-mm"))</f>
        <v>0</v>
      </c>
      <c r="D413" s="43">
        <f>IF(A413="","",IFERROR(INDEX(Jobs!$G$5:$G$604,MATCH(A413,Jobs!$A$5:$A$604,0)),""))</f>
        <v>0</v>
      </c>
      <c r="E413" s="23">
        <f>IF(A413="","",IFERROR(INDEX(Jobs!$H$5:$H$604,MATCH(A413,Jobs!$A$5:$A$604,0)),""))</f>
        <v>0</v>
      </c>
      <c r="F413" s="23">
        <f>IF(A413="","",IFERROR(INDEX(Jobs!$K$5:$K$604,MATCH(A413,Jobs!$A$5:$A$604,0)),""))</f>
        <v>0</v>
      </c>
      <c r="G413" s="23">
        <f>IF(A413="","",IFERROR(INDEX(Jobs!$M$5:$M$604,MATCH(A413,Jobs!$A$5:$A$604,0)),""))</f>
        <v>0</v>
      </c>
      <c r="H413" s="23">
        <f>IF(A413="","",IFERROR(INDEX(Jobs!$R$5:$R$604,MATCH(A413,Jobs!$A$5:$A$604,0)),""))</f>
        <v>0</v>
      </c>
      <c r="I413" s="39">
        <f>IF(A413="","",IFERROR(INDEX(Jobs!$P$5:$P$604,MATCH(A413,Jobs!$A$5:$A$604,0)),""))</f>
        <v>0</v>
      </c>
      <c r="J413" s="21">
        <f>IF(A413="","",IF(OR(I413="Completed",I413="Invoiced"),IFERROR(INDEX(Jobs!$AJ$5:$AJ$604,MATCH(A413,Jobs!$A$5:$A$604,0)),0),0))</f>
        <v>0</v>
      </c>
      <c r="K413" s="34">
        <f>IF(A413="","",IFERROR(INDEX(Jobs!$AD$5:$AD$604,MATCH(A413,Jobs!$A$5:$A$604,0)),0))</f>
        <v>0</v>
      </c>
      <c r="L413" s="34">
        <f>IF(A413="","",IFERROR(INDEX(Jobs!$AK$5:$AK$604,MATCH(A413,Jobs!$A$5:$A$604,0)),0))</f>
        <v>0</v>
      </c>
      <c r="M413" s="34">
        <f>IF(A413="","",IF(IFERROR(L413*1,0)&gt;0,L413,IFERROR(K413*1,0)))</f>
        <v>0</v>
      </c>
      <c r="N413" s="21">
        <f>IF(A413="","",SUMIFS(Timesheets!$X$5:$X$804,Timesheets!$G$5:$G$804,A413))</f>
        <v>0</v>
      </c>
      <c r="O413" s="21">
        <f>IF(A413="","",IF(N413&gt;0,N413,ROUND(M413*CostPerHour,2)))</f>
        <v>0</v>
      </c>
      <c r="P413" s="21">
        <f>IF(A413="","",SUMIFS('Supply Usage'!$L$5:$L$304,'Supply Usage'!$F$5:$F$304,A413))</f>
        <v>0</v>
      </c>
      <c r="Q413" s="21">
        <f>IF(A413="","",IF(P413&gt;0,P413,ROUND(M413*SuppliesPerHour,2)))</f>
        <v>0</v>
      </c>
      <c r="R413" s="21">
        <f>IF(A413="","",ROUND(IFERROR(INDEX(Jobs!$W$5:$W$604,MATCH(A413,Jobs!$A$5:$A$604,0)),0)*MileageRate,2))</f>
        <v>0</v>
      </c>
      <c r="T413" s="21">
        <f>IF(A413="","",O413+Q413+R413+IF(S413="",0,S413))</f>
        <v>0</v>
      </c>
      <c r="U413" s="21">
        <f>IF(A413="","",J413-T413)</f>
        <v>0</v>
      </c>
      <c r="V413" s="38">
        <f>IF(OR(A413="",J413=0),"",U413/J413)</f>
        <v>0</v>
      </c>
      <c r="W413" s="21">
        <f>IF(OR(A413="",M413=0,J413=0),"",U413/M413)</f>
        <v>0</v>
      </c>
      <c r="X413" s="34">
        <f>IF(OR(A413="",L413="",L413=0,K413=""),"",L413-K413)</f>
        <v>0</v>
      </c>
      <c r="Y413" s="31">
        <f>IF(A413="","",COUNTIFS($U$5:$U$604,"&gt;"&amp;U413)+COUNTIFS($U$5:U413,U413))</f>
        <v>0</v>
      </c>
      <c r="Z413" s="31">
        <f>IF(A413="","",COUNTIFS($W$5:$W$604,"&gt;"&amp;W413)+COUNTIFS($W$5:W413,W413))</f>
        <v>0</v>
      </c>
      <c r="AA413" s="39">
        <f>IF(A413="","",IF(J413=0,"",IF(U413&lt;0,"Loss - this job cost you money",IF(V413&lt;MarginFloor,"Below - margin under the floor",IF(V413&lt;TargetMargin,"Check - under target margin",IF(AND(X413&lt;&gt;"",X413&gt;0.5),"Check - ran over the estimate","OK"))))))</f>
        <v>0</v>
      </c>
    </row>
    <row r="414" spans="1:27">
      <c r="A414" s="43">
        <f>IF(IFERROR(INDEX(Jobs!$A$5:$A$604,ROW()-4),"")="","",IFERROR(INDEX(Jobs!$A$5:$A$604,ROW()-4),""))</f>
        <v>0</v>
      </c>
      <c r="B414" s="18">
        <f>IF(A414="","",IFERROR(INDEX(Jobs!$B$5:$B$604,MATCH(A414,Jobs!$A$5:$A$604,0)),""))</f>
        <v>0</v>
      </c>
      <c r="C414" s="23">
        <f>IF(B414="","",TEXT(B414,"yyyy-mm"))</f>
        <v>0</v>
      </c>
      <c r="D414" s="43">
        <f>IF(A414="","",IFERROR(INDEX(Jobs!$G$5:$G$604,MATCH(A414,Jobs!$A$5:$A$604,0)),""))</f>
        <v>0</v>
      </c>
      <c r="E414" s="23">
        <f>IF(A414="","",IFERROR(INDEX(Jobs!$H$5:$H$604,MATCH(A414,Jobs!$A$5:$A$604,0)),""))</f>
        <v>0</v>
      </c>
      <c r="F414" s="23">
        <f>IF(A414="","",IFERROR(INDEX(Jobs!$K$5:$K$604,MATCH(A414,Jobs!$A$5:$A$604,0)),""))</f>
        <v>0</v>
      </c>
      <c r="G414" s="23">
        <f>IF(A414="","",IFERROR(INDEX(Jobs!$M$5:$M$604,MATCH(A414,Jobs!$A$5:$A$604,0)),""))</f>
        <v>0</v>
      </c>
      <c r="H414" s="23">
        <f>IF(A414="","",IFERROR(INDEX(Jobs!$R$5:$R$604,MATCH(A414,Jobs!$A$5:$A$604,0)),""))</f>
        <v>0</v>
      </c>
      <c r="I414" s="39">
        <f>IF(A414="","",IFERROR(INDEX(Jobs!$P$5:$P$604,MATCH(A414,Jobs!$A$5:$A$604,0)),""))</f>
        <v>0</v>
      </c>
      <c r="J414" s="21">
        <f>IF(A414="","",IF(OR(I414="Completed",I414="Invoiced"),IFERROR(INDEX(Jobs!$AJ$5:$AJ$604,MATCH(A414,Jobs!$A$5:$A$604,0)),0),0))</f>
        <v>0</v>
      </c>
      <c r="K414" s="34">
        <f>IF(A414="","",IFERROR(INDEX(Jobs!$AD$5:$AD$604,MATCH(A414,Jobs!$A$5:$A$604,0)),0))</f>
        <v>0</v>
      </c>
      <c r="L414" s="34">
        <f>IF(A414="","",IFERROR(INDEX(Jobs!$AK$5:$AK$604,MATCH(A414,Jobs!$A$5:$A$604,0)),0))</f>
        <v>0</v>
      </c>
      <c r="M414" s="34">
        <f>IF(A414="","",IF(IFERROR(L414*1,0)&gt;0,L414,IFERROR(K414*1,0)))</f>
        <v>0</v>
      </c>
      <c r="N414" s="21">
        <f>IF(A414="","",SUMIFS(Timesheets!$X$5:$X$804,Timesheets!$G$5:$G$804,A414))</f>
        <v>0</v>
      </c>
      <c r="O414" s="21">
        <f>IF(A414="","",IF(N414&gt;0,N414,ROUND(M414*CostPerHour,2)))</f>
        <v>0</v>
      </c>
      <c r="P414" s="21">
        <f>IF(A414="","",SUMIFS('Supply Usage'!$L$5:$L$304,'Supply Usage'!$F$5:$F$304,A414))</f>
        <v>0</v>
      </c>
      <c r="Q414" s="21">
        <f>IF(A414="","",IF(P414&gt;0,P414,ROUND(M414*SuppliesPerHour,2)))</f>
        <v>0</v>
      </c>
      <c r="R414" s="21">
        <f>IF(A414="","",ROUND(IFERROR(INDEX(Jobs!$W$5:$W$604,MATCH(A414,Jobs!$A$5:$A$604,0)),0)*MileageRate,2))</f>
        <v>0</v>
      </c>
      <c r="T414" s="21">
        <f>IF(A414="","",O414+Q414+R414+IF(S414="",0,S414))</f>
        <v>0</v>
      </c>
      <c r="U414" s="21">
        <f>IF(A414="","",J414-T414)</f>
        <v>0</v>
      </c>
      <c r="V414" s="38">
        <f>IF(OR(A414="",J414=0),"",U414/J414)</f>
        <v>0</v>
      </c>
      <c r="W414" s="21">
        <f>IF(OR(A414="",M414=0,J414=0),"",U414/M414)</f>
        <v>0</v>
      </c>
      <c r="X414" s="34">
        <f>IF(OR(A414="",L414="",L414=0,K414=""),"",L414-K414)</f>
        <v>0</v>
      </c>
      <c r="Y414" s="31">
        <f>IF(A414="","",COUNTIFS($U$5:$U$604,"&gt;"&amp;U414)+COUNTIFS($U$5:U414,U414))</f>
        <v>0</v>
      </c>
      <c r="Z414" s="31">
        <f>IF(A414="","",COUNTIFS($W$5:$W$604,"&gt;"&amp;W414)+COUNTIFS($W$5:W414,W414))</f>
        <v>0</v>
      </c>
      <c r="AA414" s="39">
        <f>IF(A414="","",IF(J414=0,"",IF(U414&lt;0,"Loss - this job cost you money",IF(V414&lt;MarginFloor,"Below - margin under the floor",IF(V414&lt;TargetMargin,"Check - under target margin",IF(AND(X414&lt;&gt;"",X414&gt;0.5),"Check - ran over the estimate","OK"))))))</f>
        <v>0</v>
      </c>
    </row>
    <row r="415" spans="1:27">
      <c r="A415" s="43">
        <f>IF(IFERROR(INDEX(Jobs!$A$5:$A$604,ROW()-4),"")="","",IFERROR(INDEX(Jobs!$A$5:$A$604,ROW()-4),""))</f>
        <v>0</v>
      </c>
      <c r="B415" s="18">
        <f>IF(A415="","",IFERROR(INDEX(Jobs!$B$5:$B$604,MATCH(A415,Jobs!$A$5:$A$604,0)),""))</f>
        <v>0</v>
      </c>
      <c r="C415" s="23">
        <f>IF(B415="","",TEXT(B415,"yyyy-mm"))</f>
        <v>0</v>
      </c>
      <c r="D415" s="43">
        <f>IF(A415="","",IFERROR(INDEX(Jobs!$G$5:$G$604,MATCH(A415,Jobs!$A$5:$A$604,0)),""))</f>
        <v>0</v>
      </c>
      <c r="E415" s="23">
        <f>IF(A415="","",IFERROR(INDEX(Jobs!$H$5:$H$604,MATCH(A415,Jobs!$A$5:$A$604,0)),""))</f>
        <v>0</v>
      </c>
      <c r="F415" s="23">
        <f>IF(A415="","",IFERROR(INDEX(Jobs!$K$5:$K$604,MATCH(A415,Jobs!$A$5:$A$604,0)),""))</f>
        <v>0</v>
      </c>
      <c r="G415" s="23">
        <f>IF(A415="","",IFERROR(INDEX(Jobs!$M$5:$M$604,MATCH(A415,Jobs!$A$5:$A$604,0)),""))</f>
        <v>0</v>
      </c>
      <c r="H415" s="23">
        <f>IF(A415="","",IFERROR(INDEX(Jobs!$R$5:$R$604,MATCH(A415,Jobs!$A$5:$A$604,0)),""))</f>
        <v>0</v>
      </c>
      <c r="I415" s="39">
        <f>IF(A415="","",IFERROR(INDEX(Jobs!$P$5:$P$604,MATCH(A415,Jobs!$A$5:$A$604,0)),""))</f>
        <v>0</v>
      </c>
      <c r="J415" s="21">
        <f>IF(A415="","",IF(OR(I415="Completed",I415="Invoiced"),IFERROR(INDEX(Jobs!$AJ$5:$AJ$604,MATCH(A415,Jobs!$A$5:$A$604,0)),0),0))</f>
        <v>0</v>
      </c>
      <c r="K415" s="34">
        <f>IF(A415="","",IFERROR(INDEX(Jobs!$AD$5:$AD$604,MATCH(A415,Jobs!$A$5:$A$604,0)),0))</f>
        <v>0</v>
      </c>
      <c r="L415" s="34">
        <f>IF(A415="","",IFERROR(INDEX(Jobs!$AK$5:$AK$604,MATCH(A415,Jobs!$A$5:$A$604,0)),0))</f>
        <v>0</v>
      </c>
      <c r="M415" s="34">
        <f>IF(A415="","",IF(IFERROR(L415*1,0)&gt;0,L415,IFERROR(K415*1,0)))</f>
        <v>0</v>
      </c>
      <c r="N415" s="21">
        <f>IF(A415="","",SUMIFS(Timesheets!$X$5:$X$804,Timesheets!$G$5:$G$804,A415))</f>
        <v>0</v>
      </c>
      <c r="O415" s="21">
        <f>IF(A415="","",IF(N415&gt;0,N415,ROUND(M415*CostPerHour,2)))</f>
        <v>0</v>
      </c>
      <c r="P415" s="21">
        <f>IF(A415="","",SUMIFS('Supply Usage'!$L$5:$L$304,'Supply Usage'!$F$5:$F$304,A415))</f>
        <v>0</v>
      </c>
      <c r="Q415" s="21">
        <f>IF(A415="","",IF(P415&gt;0,P415,ROUND(M415*SuppliesPerHour,2)))</f>
        <v>0</v>
      </c>
      <c r="R415" s="21">
        <f>IF(A415="","",ROUND(IFERROR(INDEX(Jobs!$W$5:$W$604,MATCH(A415,Jobs!$A$5:$A$604,0)),0)*MileageRate,2))</f>
        <v>0</v>
      </c>
      <c r="T415" s="21">
        <f>IF(A415="","",O415+Q415+R415+IF(S415="",0,S415))</f>
        <v>0</v>
      </c>
      <c r="U415" s="21">
        <f>IF(A415="","",J415-T415)</f>
        <v>0</v>
      </c>
      <c r="V415" s="38">
        <f>IF(OR(A415="",J415=0),"",U415/J415)</f>
        <v>0</v>
      </c>
      <c r="W415" s="21">
        <f>IF(OR(A415="",M415=0,J415=0),"",U415/M415)</f>
        <v>0</v>
      </c>
      <c r="X415" s="34">
        <f>IF(OR(A415="",L415="",L415=0,K415=""),"",L415-K415)</f>
        <v>0</v>
      </c>
      <c r="Y415" s="31">
        <f>IF(A415="","",COUNTIFS($U$5:$U$604,"&gt;"&amp;U415)+COUNTIFS($U$5:U415,U415))</f>
        <v>0</v>
      </c>
      <c r="Z415" s="31">
        <f>IF(A415="","",COUNTIFS($W$5:$W$604,"&gt;"&amp;W415)+COUNTIFS($W$5:W415,W415))</f>
        <v>0</v>
      </c>
      <c r="AA415" s="39">
        <f>IF(A415="","",IF(J415=0,"",IF(U415&lt;0,"Loss - this job cost you money",IF(V415&lt;MarginFloor,"Below - margin under the floor",IF(V415&lt;TargetMargin,"Check - under target margin",IF(AND(X415&lt;&gt;"",X415&gt;0.5),"Check - ran over the estimate","OK"))))))</f>
        <v>0</v>
      </c>
    </row>
    <row r="416" spans="1:27">
      <c r="A416" s="43">
        <f>IF(IFERROR(INDEX(Jobs!$A$5:$A$604,ROW()-4),"")="","",IFERROR(INDEX(Jobs!$A$5:$A$604,ROW()-4),""))</f>
        <v>0</v>
      </c>
      <c r="B416" s="18">
        <f>IF(A416="","",IFERROR(INDEX(Jobs!$B$5:$B$604,MATCH(A416,Jobs!$A$5:$A$604,0)),""))</f>
        <v>0</v>
      </c>
      <c r="C416" s="23">
        <f>IF(B416="","",TEXT(B416,"yyyy-mm"))</f>
        <v>0</v>
      </c>
      <c r="D416" s="43">
        <f>IF(A416="","",IFERROR(INDEX(Jobs!$G$5:$G$604,MATCH(A416,Jobs!$A$5:$A$604,0)),""))</f>
        <v>0</v>
      </c>
      <c r="E416" s="23">
        <f>IF(A416="","",IFERROR(INDEX(Jobs!$H$5:$H$604,MATCH(A416,Jobs!$A$5:$A$604,0)),""))</f>
        <v>0</v>
      </c>
      <c r="F416" s="23">
        <f>IF(A416="","",IFERROR(INDEX(Jobs!$K$5:$K$604,MATCH(A416,Jobs!$A$5:$A$604,0)),""))</f>
        <v>0</v>
      </c>
      <c r="G416" s="23">
        <f>IF(A416="","",IFERROR(INDEX(Jobs!$M$5:$M$604,MATCH(A416,Jobs!$A$5:$A$604,0)),""))</f>
        <v>0</v>
      </c>
      <c r="H416" s="23">
        <f>IF(A416="","",IFERROR(INDEX(Jobs!$R$5:$R$604,MATCH(A416,Jobs!$A$5:$A$604,0)),""))</f>
        <v>0</v>
      </c>
      <c r="I416" s="39">
        <f>IF(A416="","",IFERROR(INDEX(Jobs!$P$5:$P$604,MATCH(A416,Jobs!$A$5:$A$604,0)),""))</f>
        <v>0</v>
      </c>
      <c r="J416" s="21">
        <f>IF(A416="","",IF(OR(I416="Completed",I416="Invoiced"),IFERROR(INDEX(Jobs!$AJ$5:$AJ$604,MATCH(A416,Jobs!$A$5:$A$604,0)),0),0))</f>
        <v>0</v>
      </c>
      <c r="K416" s="34">
        <f>IF(A416="","",IFERROR(INDEX(Jobs!$AD$5:$AD$604,MATCH(A416,Jobs!$A$5:$A$604,0)),0))</f>
        <v>0</v>
      </c>
      <c r="L416" s="34">
        <f>IF(A416="","",IFERROR(INDEX(Jobs!$AK$5:$AK$604,MATCH(A416,Jobs!$A$5:$A$604,0)),0))</f>
        <v>0</v>
      </c>
      <c r="M416" s="34">
        <f>IF(A416="","",IF(IFERROR(L416*1,0)&gt;0,L416,IFERROR(K416*1,0)))</f>
        <v>0</v>
      </c>
      <c r="N416" s="21">
        <f>IF(A416="","",SUMIFS(Timesheets!$X$5:$X$804,Timesheets!$G$5:$G$804,A416))</f>
        <v>0</v>
      </c>
      <c r="O416" s="21">
        <f>IF(A416="","",IF(N416&gt;0,N416,ROUND(M416*CostPerHour,2)))</f>
        <v>0</v>
      </c>
      <c r="P416" s="21">
        <f>IF(A416="","",SUMIFS('Supply Usage'!$L$5:$L$304,'Supply Usage'!$F$5:$F$304,A416))</f>
        <v>0</v>
      </c>
      <c r="Q416" s="21">
        <f>IF(A416="","",IF(P416&gt;0,P416,ROUND(M416*SuppliesPerHour,2)))</f>
        <v>0</v>
      </c>
      <c r="R416" s="21">
        <f>IF(A416="","",ROUND(IFERROR(INDEX(Jobs!$W$5:$W$604,MATCH(A416,Jobs!$A$5:$A$604,0)),0)*MileageRate,2))</f>
        <v>0</v>
      </c>
      <c r="T416" s="21">
        <f>IF(A416="","",O416+Q416+R416+IF(S416="",0,S416))</f>
        <v>0</v>
      </c>
      <c r="U416" s="21">
        <f>IF(A416="","",J416-T416)</f>
        <v>0</v>
      </c>
      <c r="V416" s="38">
        <f>IF(OR(A416="",J416=0),"",U416/J416)</f>
        <v>0</v>
      </c>
      <c r="W416" s="21">
        <f>IF(OR(A416="",M416=0,J416=0),"",U416/M416)</f>
        <v>0</v>
      </c>
      <c r="X416" s="34">
        <f>IF(OR(A416="",L416="",L416=0,K416=""),"",L416-K416)</f>
        <v>0</v>
      </c>
      <c r="Y416" s="31">
        <f>IF(A416="","",COUNTIFS($U$5:$U$604,"&gt;"&amp;U416)+COUNTIFS($U$5:U416,U416))</f>
        <v>0</v>
      </c>
      <c r="Z416" s="31">
        <f>IF(A416="","",COUNTIFS($W$5:$W$604,"&gt;"&amp;W416)+COUNTIFS($W$5:W416,W416))</f>
        <v>0</v>
      </c>
      <c r="AA416" s="39">
        <f>IF(A416="","",IF(J416=0,"",IF(U416&lt;0,"Loss - this job cost you money",IF(V416&lt;MarginFloor,"Below - margin under the floor",IF(V416&lt;TargetMargin,"Check - under target margin",IF(AND(X416&lt;&gt;"",X416&gt;0.5),"Check - ran over the estimate","OK"))))))</f>
        <v>0</v>
      </c>
    </row>
    <row r="417" spans="1:27">
      <c r="A417" s="43">
        <f>IF(IFERROR(INDEX(Jobs!$A$5:$A$604,ROW()-4),"")="","",IFERROR(INDEX(Jobs!$A$5:$A$604,ROW()-4),""))</f>
        <v>0</v>
      </c>
      <c r="B417" s="18">
        <f>IF(A417="","",IFERROR(INDEX(Jobs!$B$5:$B$604,MATCH(A417,Jobs!$A$5:$A$604,0)),""))</f>
        <v>0</v>
      </c>
      <c r="C417" s="23">
        <f>IF(B417="","",TEXT(B417,"yyyy-mm"))</f>
        <v>0</v>
      </c>
      <c r="D417" s="43">
        <f>IF(A417="","",IFERROR(INDEX(Jobs!$G$5:$G$604,MATCH(A417,Jobs!$A$5:$A$604,0)),""))</f>
        <v>0</v>
      </c>
      <c r="E417" s="23">
        <f>IF(A417="","",IFERROR(INDEX(Jobs!$H$5:$H$604,MATCH(A417,Jobs!$A$5:$A$604,0)),""))</f>
        <v>0</v>
      </c>
      <c r="F417" s="23">
        <f>IF(A417="","",IFERROR(INDEX(Jobs!$K$5:$K$604,MATCH(A417,Jobs!$A$5:$A$604,0)),""))</f>
        <v>0</v>
      </c>
      <c r="G417" s="23">
        <f>IF(A417="","",IFERROR(INDEX(Jobs!$M$5:$M$604,MATCH(A417,Jobs!$A$5:$A$604,0)),""))</f>
        <v>0</v>
      </c>
      <c r="H417" s="23">
        <f>IF(A417="","",IFERROR(INDEX(Jobs!$R$5:$R$604,MATCH(A417,Jobs!$A$5:$A$604,0)),""))</f>
        <v>0</v>
      </c>
      <c r="I417" s="39">
        <f>IF(A417="","",IFERROR(INDEX(Jobs!$P$5:$P$604,MATCH(A417,Jobs!$A$5:$A$604,0)),""))</f>
        <v>0</v>
      </c>
      <c r="J417" s="21">
        <f>IF(A417="","",IF(OR(I417="Completed",I417="Invoiced"),IFERROR(INDEX(Jobs!$AJ$5:$AJ$604,MATCH(A417,Jobs!$A$5:$A$604,0)),0),0))</f>
        <v>0</v>
      </c>
      <c r="K417" s="34">
        <f>IF(A417="","",IFERROR(INDEX(Jobs!$AD$5:$AD$604,MATCH(A417,Jobs!$A$5:$A$604,0)),0))</f>
        <v>0</v>
      </c>
      <c r="L417" s="34">
        <f>IF(A417="","",IFERROR(INDEX(Jobs!$AK$5:$AK$604,MATCH(A417,Jobs!$A$5:$A$604,0)),0))</f>
        <v>0</v>
      </c>
      <c r="M417" s="34">
        <f>IF(A417="","",IF(IFERROR(L417*1,0)&gt;0,L417,IFERROR(K417*1,0)))</f>
        <v>0</v>
      </c>
      <c r="N417" s="21">
        <f>IF(A417="","",SUMIFS(Timesheets!$X$5:$X$804,Timesheets!$G$5:$G$804,A417))</f>
        <v>0</v>
      </c>
      <c r="O417" s="21">
        <f>IF(A417="","",IF(N417&gt;0,N417,ROUND(M417*CostPerHour,2)))</f>
        <v>0</v>
      </c>
      <c r="P417" s="21">
        <f>IF(A417="","",SUMIFS('Supply Usage'!$L$5:$L$304,'Supply Usage'!$F$5:$F$304,A417))</f>
        <v>0</v>
      </c>
      <c r="Q417" s="21">
        <f>IF(A417="","",IF(P417&gt;0,P417,ROUND(M417*SuppliesPerHour,2)))</f>
        <v>0</v>
      </c>
      <c r="R417" s="21">
        <f>IF(A417="","",ROUND(IFERROR(INDEX(Jobs!$W$5:$W$604,MATCH(A417,Jobs!$A$5:$A$604,0)),0)*MileageRate,2))</f>
        <v>0</v>
      </c>
      <c r="T417" s="21">
        <f>IF(A417="","",O417+Q417+R417+IF(S417="",0,S417))</f>
        <v>0</v>
      </c>
      <c r="U417" s="21">
        <f>IF(A417="","",J417-T417)</f>
        <v>0</v>
      </c>
      <c r="V417" s="38">
        <f>IF(OR(A417="",J417=0),"",U417/J417)</f>
        <v>0</v>
      </c>
      <c r="W417" s="21">
        <f>IF(OR(A417="",M417=0,J417=0),"",U417/M417)</f>
        <v>0</v>
      </c>
      <c r="X417" s="34">
        <f>IF(OR(A417="",L417="",L417=0,K417=""),"",L417-K417)</f>
        <v>0</v>
      </c>
      <c r="Y417" s="31">
        <f>IF(A417="","",COUNTIFS($U$5:$U$604,"&gt;"&amp;U417)+COUNTIFS($U$5:U417,U417))</f>
        <v>0</v>
      </c>
      <c r="Z417" s="31">
        <f>IF(A417="","",COUNTIFS($W$5:$W$604,"&gt;"&amp;W417)+COUNTIFS($W$5:W417,W417))</f>
        <v>0</v>
      </c>
      <c r="AA417" s="39">
        <f>IF(A417="","",IF(J417=0,"",IF(U417&lt;0,"Loss - this job cost you money",IF(V417&lt;MarginFloor,"Below - margin under the floor",IF(V417&lt;TargetMargin,"Check - under target margin",IF(AND(X417&lt;&gt;"",X417&gt;0.5),"Check - ran over the estimate","OK"))))))</f>
        <v>0</v>
      </c>
    </row>
    <row r="418" spans="1:27">
      <c r="A418" s="43">
        <f>IF(IFERROR(INDEX(Jobs!$A$5:$A$604,ROW()-4),"")="","",IFERROR(INDEX(Jobs!$A$5:$A$604,ROW()-4),""))</f>
        <v>0</v>
      </c>
      <c r="B418" s="18">
        <f>IF(A418="","",IFERROR(INDEX(Jobs!$B$5:$B$604,MATCH(A418,Jobs!$A$5:$A$604,0)),""))</f>
        <v>0</v>
      </c>
      <c r="C418" s="23">
        <f>IF(B418="","",TEXT(B418,"yyyy-mm"))</f>
        <v>0</v>
      </c>
      <c r="D418" s="43">
        <f>IF(A418="","",IFERROR(INDEX(Jobs!$G$5:$G$604,MATCH(A418,Jobs!$A$5:$A$604,0)),""))</f>
        <v>0</v>
      </c>
      <c r="E418" s="23">
        <f>IF(A418="","",IFERROR(INDEX(Jobs!$H$5:$H$604,MATCH(A418,Jobs!$A$5:$A$604,0)),""))</f>
        <v>0</v>
      </c>
      <c r="F418" s="23">
        <f>IF(A418="","",IFERROR(INDEX(Jobs!$K$5:$K$604,MATCH(A418,Jobs!$A$5:$A$604,0)),""))</f>
        <v>0</v>
      </c>
      <c r="G418" s="23">
        <f>IF(A418="","",IFERROR(INDEX(Jobs!$M$5:$M$604,MATCH(A418,Jobs!$A$5:$A$604,0)),""))</f>
        <v>0</v>
      </c>
      <c r="H418" s="23">
        <f>IF(A418="","",IFERROR(INDEX(Jobs!$R$5:$R$604,MATCH(A418,Jobs!$A$5:$A$604,0)),""))</f>
        <v>0</v>
      </c>
      <c r="I418" s="39">
        <f>IF(A418="","",IFERROR(INDEX(Jobs!$P$5:$P$604,MATCH(A418,Jobs!$A$5:$A$604,0)),""))</f>
        <v>0</v>
      </c>
      <c r="J418" s="21">
        <f>IF(A418="","",IF(OR(I418="Completed",I418="Invoiced"),IFERROR(INDEX(Jobs!$AJ$5:$AJ$604,MATCH(A418,Jobs!$A$5:$A$604,0)),0),0))</f>
        <v>0</v>
      </c>
      <c r="K418" s="34">
        <f>IF(A418="","",IFERROR(INDEX(Jobs!$AD$5:$AD$604,MATCH(A418,Jobs!$A$5:$A$604,0)),0))</f>
        <v>0</v>
      </c>
      <c r="L418" s="34">
        <f>IF(A418="","",IFERROR(INDEX(Jobs!$AK$5:$AK$604,MATCH(A418,Jobs!$A$5:$A$604,0)),0))</f>
        <v>0</v>
      </c>
      <c r="M418" s="34">
        <f>IF(A418="","",IF(IFERROR(L418*1,0)&gt;0,L418,IFERROR(K418*1,0)))</f>
        <v>0</v>
      </c>
      <c r="N418" s="21">
        <f>IF(A418="","",SUMIFS(Timesheets!$X$5:$X$804,Timesheets!$G$5:$G$804,A418))</f>
        <v>0</v>
      </c>
      <c r="O418" s="21">
        <f>IF(A418="","",IF(N418&gt;0,N418,ROUND(M418*CostPerHour,2)))</f>
        <v>0</v>
      </c>
      <c r="P418" s="21">
        <f>IF(A418="","",SUMIFS('Supply Usage'!$L$5:$L$304,'Supply Usage'!$F$5:$F$304,A418))</f>
        <v>0</v>
      </c>
      <c r="Q418" s="21">
        <f>IF(A418="","",IF(P418&gt;0,P418,ROUND(M418*SuppliesPerHour,2)))</f>
        <v>0</v>
      </c>
      <c r="R418" s="21">
        <f>IF(A418="","",ROUND(IFERROR(INDEX(Jobs!$W$5:$W$604,MATCH(A418,Jobs!$A$5:$A$604,0)),0)*MileageRate,2))</f>
        <v>0</v>
      </c>
      <c r="T418" s="21">
        <f>IF(A418="","",O418+Q418+R418+IF(S418="",0,S418))</f>
        <v>0</v>
      </c>
      <c r="U418" s="21">
        <f>IF(A418="","",J418-T418)</f>
        <v>0</v>
      </c>
      <c r="V418" s="38">
        <f>IF(OR(A418="",J418=0),"",U418/J418)</f>
        <v>0</v>
      </c>
      <c r="W418" s="21">
        <f>IF(OR(A418="",M418=0,J418=0),"",U418/M418)</f>
        <v>0</v>
      </c>
      <c r="X418" s="34">
        <f>IF(OR(A418="",L418="",L418=0,K418=""),"",L418-K418)</f>
        <v>0</v>
      </c>
      <c r="Y418" s="31">
        <f>IF(A418="","",COUNTIFS($U$5:$U$604,"&gt;"&amp;U418)+COUNTIFS($U$5:U418,U418))</f>
        <v>0</v>
      </c>
      <c r="Z418" s="31">
        <f>IF(A418="","",COUNTIFS($W$5:$W$604,"&gt;"&amp;W418)+COUNTIFS($W$5:W418,W418))</f>
        <v>0</v>
      </c>
      <c r="AA418" s="39">
        <f>IF(A418="","",IF(J418=0,"",IF(U418&lt;0,"Loss - this job cost you money",IF(V418&lt;MarginFloor,"Below - margin under the floor",IF(V418&lt;TargetMargin,"Check - under target margin",IF(AND(X418&lt;&gt;"",X418&gt;0.5),"Check - ran over the estimate","OK"))))))</f>
        <v>0</v>
      </c>
    </row>
    <row r="419" spans="1:27">
      <c r="A419" s="43">
        <f>IF(IFERROR(INDEX(Jobs!$A$5:$A$604,ROW()-4),"")="","",IFERROR(INDEX(Jobs!$A$5:$A$604,ROW()-4),""))</f>
        <v>0</v>
      </c>
      <c r="B419" s="18">
        <f>IF(A419="","",IFERROR(INDEX(Jobs!$B$5:$B$604,MATCH(A419,Jobs!$A$5:$A$604,0)),""))</f>
        <v>0</v>
      </c>
      <c r="C419" s="23">
        <f>IF(B419="","",TEXT(B419,"yyyy-mm"))</f>
        <v>0</v>
      </c>
      <c r="D419" s="43">
        <f>IF(A419="","",IFERROR(INDEX(Jobs!$G$5:$G$604,MATCH(A419,Jobs!$A$5:$A$604,0)),""))</f>
        <v>0</v>
      </c>
      <c r="E419" s="23">
        <f>IF(A419="","",IFERROR(INDEX(Jobs!$H$5:$H$604,MATCH(A419,Jobs!$A$5:$A$604,0)),""))</f>
        <v>0</v>
      </c>
      <c r="F419" s="23">
        <f>IF(A419="","",IFERROR(INDEX(Jobs!$K$5:$K$604,MATCH(A419,Jobs!$A$5:$A$604,0)),""))</f>
        <v>0</v>
      </c>
      <c r="G419" s="23">
        <f>IF(A419="","",IFERROR(INDEX(Jobs!$M$5:$M$604,MATCH(A419,Jobs!$A$5:$A$604,0)),""))</f>
        <v>0</v>
      </c>
      <c r="H419" s="23">
        <f>IF(A419="","",IFERROR(INDEX(Jobs!$R$5:$R$604,MATCH(A419,Jobs!$A$5:$A$604,0)),""))</f>
        <v>0</v>
      </c>
      <c r="I419" s="39">
        <f>IF(A419="","",IFERROR(INDEX(Jobs!$P$5:$P$604,MATCH(A419,Jobs!$A$5:$A$604,0)),""))</f>
        <v>0</v>
      </c>
      <c r="J419" s="21">
        <f>IF(A419="","",IF(OR(I419="Completed",I419="Invoiced"),IFERROR(INDEX(Jobs!$AJ$5:$AJ$604,MATCH(A419,Jobs!$A$5:$A$604,0)),0),0))</f>
        <v>0</v>
      </c>
      <c r="K419" s="34">
        <f>IF(A419="","",IFERROR(INDEX(Jobs!$AD$5:$AD$604,MATCH(A419,Jobs!$A$5:$A$604,0)),0))</f>
        <v>0</v>
      </c>
      <c r="L419" s="34">
        <f>IF(A419="","",IFERROR(INDEX(Jobs!$AK$5:$AK$604,MATCH(A419,Jobs!$A$5:$A$604,0)),0))</f>
        <v>0</v>
      </c>
      <c r="M419" s="34">
        <f>IF(A419="","",IF(IFERROR(L419*1,0)&gt;0,L419,IFERROR(K419*1,0)))</f>
        <v>0</v>
      </c>
      <c r="N419" s="21">
        <f>IF(A419="","",SUMIFS(Timesheets!$X$5:$X$804,Timesheets!$G$5:$G$804,A419))</f>
        <v>0</v>
      </c>
      <c r="O419" s="21">
        <f>IF(A419="","",IF(N419&gt;0,N419,ROUND(M419*CostPerHour,2)))</f>
        <v>0</v>
      </c>
      <c r="P419" s="21">
        <f>IF(A419="","",SUMIFS('Supply Usage'!$L$5:$L$304,'Supply Usage'!$F$5:$F$304,A419))</f>
        <v>0</v>
      </c>
      <c r="Q419" s="21">
        <f>IF(A419="","",IF(P419&gt;0,P419,ROUND(M419*SuppliesPerHour,2)))</f>
        <v>0</v>
      </c>
      <c r="R419" s="21">
        <f>IF(A419="","",ROUND(IFERROR(INDEX(Jobs!$W$5:$W$604,MATCH(A419,Jobs!$A$5:$A$604,0)),0)*MileageRate,2))</f>
        <v>0</v>
      </c>
      <c r="T419" s="21">
        <f>IF(A419="","",O419+Q419+R419+IF(S419="",0,S419))</f>
        <v>0</v>
      </c>
      <c r="U419" s="21">
        <f>IF(A419="","",J419-T419)</f>
        <v>0</v>
      </c>
      <c r="V419" s="38">
        <f>IF(OR(A419="",J419=0),"",U419/J419)</f>
        <v>0</v>
      </c>
      <c r="W419" s="21">
        <f>IF(OR(A419="",M419=0,J419=0),"",U419/M419)</f>
        <v>0</v>
      </c>
      <c r="X419" s="34">
        <f>IF(OR(A419="",L419="",L419=0,K419=""),"",L419-K419)</f>
        <v>0</v>
      </c>
      <c r="Y419" s="31">
        <f>IF(A419="","",COUNTIFS($U$5:$U$604,"&gt;"&amp;U419)+COUNTIFS($U$5:U419,U419))</f>
        <v>0</v>
      </c>
      <c r="Z419" s="31">
        <f>IF(A419="","",COUNTIFS($W$5:$W$604,"&gt;"&amp;W419)+COUNTIFS($W$5:W419,W419))</f>
        <v>0</v>
      </c>
      <c r="AA419" s="39">
        <f>IF(A419="","",IF(J419=0,"",IF(U419&lt;0,"Loss - this job cost you money",IF(V419&lt;MarginFloor,"Below - margin under the floor",IF(V419&lt;TargetMargin,"Check - under target margin",IF(AND(X419&lt;&gt;"",X419&gt;0.5),"Check - ran over the estimate","OK"))))))</f>
        <v>0</v>
      </c>
    </row>
    <row r="420" spans="1:27">
      <c r="A420" s="43">
        <f>IF(IFERROR(INDEX(Jobs!$A$5:$A$604,ROW()-4),"")="","",IFERROR(INDEX(Jobs!$A$5:$A$604,ROW()-4),""))</f>
        <v>0</v>
      </c>
      <c r="B420" s="18">
        <f>IF(A420="","",IFERROR(INDEX(Jobs!$B$5:$B$604,MATCH(A420,Jobs!$A$5:$A$604,0)),""))</f>
        <v>0</v>
      </c>
      <c r="C420" s="23">
        <f>IF(B420="","",TEXT(B420,"yyyy-mm"))</f>
        <v>0</v>
      </c>
      <c r="D420" s="43">
        <f>IF(A420="","",IFERROR(INDEX(Jobs!$G$5:$G$604,MATCH(A420,Jobs!$A$5:$A$604,0)),""))</f>
        <v>0</v>
      </c>
      <c r="E420" s="23">
        <f>IF(A420="","",IFERROR(INDEX(Jobs!$H$5:$H$604,MATCH(A420,Jobs!$A$5:$A$604,0)),""))</f>
        <v>0</v>
      </c>
      <c r="F420" s="23">
        <f>IF(A420="","",IFERROR(INDEX(Jobs!$K$5:$K$604,MATCH(A420,Jobs!$A$5:$A$604,0)),""))</f>
        <v>0</v>
      </c>
      <c r="G420" s="23">
        <f>IF(A420="","",IFERROR(INDEX(Jobs!$M$5:$M$604,MATCH(A420,Jobs!$A$5:$A$604,0)),""))</f>
        <v>0</v>
      </c>
      <c r="H420" s="23">
        <f>IF(A420="","",IFERROR(INDEX(Jobs!$R$5:$R$604,MATCH(A420,Jobs!$A$5:$A$604,0)),""))</f>
        <v>0</v>
      </c>
      <c r="I420" s="39">
        <f>IF(A420="","",IFERROR(INDEX(Jobs!$P$5:$P$604,MATCH(A420,Jobs!$A$5:$A$604,0)),""))</f>
        <v>0</v>
      </c>
      <c r="J420" s="21">
        <f>IF(A420="","",IF(OR(I420="Completed",I420="Invoiced"),IFERROR(INDEX(Jobs!$AJ$5:$AJ$604,MATCH(A420,Jobs!$A$5:$A$604,0)),0),0))</f>
        <v>0</v>
      </c>
      <c r="K420" s="34">
        <f>IF(A420="","",IFERROR(INDEX(Jobs!$AD$5:$AD$604,MATCH(A420,Jobs!$A$5:$A$604,0)),0))</f>
        <v>0</v>
      </c>
      <c r="L420" s="34">
        <f>IF(A420="","",IFERROR(INDEX(Jobs!$AK$5:$AK$604,MATCH(A420,Jobs!$A$5:$A$604,0)),0))</f>
        <v>0</v>
      </c>
      <c r="M420" s="34">
        <f>IF(A420="","",IF(IFERROR(L420*1,0)&gt;0,L420,IFERROR(K420*1,0)))</f>
        <v>0</v>
      </c>
      <c r="N420" s="21">
        <f>IF(A420="","",SUMIFS(Timesheets!$X$5:$X$804,Timesheets!$G$5:$G$804,A420))</f>
        <v>0</v>
      </c>
      <c r="O420" s="21">
        <f>IF(A420="","",IF(N420&gt;0,N420,ROUND(M420*CostPerHour,2)))</f>
        <v>0</v>
      </c>
      <c r="P420" s="21">
        <f>IF(A420="","",SUMIFS('Supply Usage'!$L$5:$L$304,'Supply Usage'!$F$5:$F$304,A420))</f>
        <v>0</v>
      </c>
      <c r="Q420" s="21">
        <f>IF(A420="","",IF(P420&gt;0,P420,ROUND(M420*SuppliesPerHour,2)))</f>
        <v>0</v>
      </c>
      <c r="R420" s="21">
        <f>IF(A420="","",ROUND(IFERROR(INDEX(Jobs!$W$5:$W$604,MATCH(A420,Jobs!$A$5:$A$604,0)),0)*MileageRate,2))</f>
        <v>0</v>
      </c>
      <c r="T420" s="21">
        <f>IF(A420="","",O420+Q420+R420+IF(S420="",0,S420))</f>
        <v>0</v>
      </c>
      <c r="U420" s="21">
        <f>IF(A420="","",J420-T420)</f>
        <v>0</v>
      </c>
      <c r="V420" s="38">
        <f>IF(OR(A420="",J420=0),"",U420/J420)</f>
        <v>0</v>
      </c>
      <c r="W420" s="21">
        <f>IF(OR(A420="",M420=0,J420=0),"",U420/M420)</f>
        <v>0</v>
      </c>
      <c r="X420" s="34">
        <f>IF(OR(A420="",L420="",L420=0,K420=""),"",L420-K420)</f>
        <v>0</v>
      </c>
      <c r="Y420" s="31">
        <f>IF(A420="","",COUNTIFS($U$5:$U$604,"&gt;"&amp;U420)+COUNTIFS($U$5:U420,U420))</f>
        <v>0</v>
      </c>
      <c r="Z420" s="31">
        <f>IF(A420="","",COUNTIFS($W$5:$W$604,"&gt;"&amp;W420)+COUNTIFS($W$5:W420,W420))</f>
        <v>0</v>
      </c>
      <c r="AA420" s="39">
        <f>IF(A420="","",IF(J420=0,"",IF(U420&lt;0,"Loss - this job cost you money",IF(V420&lt;MarginFloor,"Below - margin under the floor",IF(V420&lt;TargetMargin,"Check - under target margin",IF(AND(X420&lt;&gt;"",X420&gt;0.5),"Check - ran over the estimate","OK"))))))</f>
        <v>0</v>
      </c>
    </row>
    <row r="421" spans="1:27">
      <c r="A421" s="43">
        <f>IF(IFERROR(INDEX(Jobs!$A$5:$A$604,ROW()-4),"")="","",IFERROR(INDEX(Jobs!$A$5:$A$604,ROW()-4),""))</f>
        <v>0</v>
      </c>
      <c r="B421" s="18">
        <f>IF(A421="","",IFERROR(INDEX(Jobs!$B$5:$B$604,MATCH(A421,Jobs!$A$5:$A$604,0)),""))</f>
        <v>0</v>
      </c>
      <c r="C421" s="23">
        <f>IF(B421="","",TEXT(B421,"yyyy-mm"))</f>
        <v>0</v>
      </c>
      <c r="D421" s="43">
        <f>IF(A421="","",IFERROR(INDEX(Jobs!$G$5:$G$604,MATCH(A421,Jobs!$A$5:$A$604,0)),""))</f>
        <v>0</v>
      </c>
      <c r="E421" s="23">
        <f>IF(A421="","",IFERROR(INDEX(Jobs!$H$5:$H$604,MATCH(A421,Jobs!$A$5:$A$604,0)),""))</f>
        <v>0</v>
      </c>
      <c r="F421" s="23">
        <f>IF(A421="","",IFERROR(INDEX(Jobs!$K$5:$K$604,MATCH(A421,Jobs!$A$5:$A$604,0)),""))</f>
        <v>0</v>
      </c>
      <c r="G421" s="23">
        <f>IF(A421="","",IFERROR(INDEX(Jobs!$M$5:$M$604,MATCH(A421,Jobs!$A$5:$A$604,0)),""))</f>
        <v>0</v>
      </c>
      <c r="H421" s="23">
        <f>IF(A421="","",IFERROR(INDEX(Jobs!$R$5:$R$604,MATCH(A421,Jobs!$A$5:$A$604,0)),""))</f>
        <v>0</v>
      </c>
      <c r="I421" s="39">
        <f>IF(A421="","",IFERROR(INDEX(Jobs!$P$5:$P$604,MATCH(A421,Jobs!$A$5:$A$604,0)),""))</f>
        <v>0</v>
      </c>
      <c r="J421" s="21">
        <f>IF(A421="","",IF(OR(I421="Completed",I421="Invoiced"),IFERROR(INDEX(Jobs!$AJ$5:$AJ$604,MATCH(A421,Jobs!$A$5:$A$604,0)),0),0))</f>
        <v>0</v>
      </c>
      <c r="K421" s="34">
        <f>IF(A421="","",IFERROR(INDEX(Jobs!$AD$5:$AD$604,MATCH(A421,Jobs!$A$5:$A$604,0)),0))</f>
        <v>0</v>
      </c>
      <c r="L421" s="34">
        <f>IF(A421="","",IFERROR(INDEX(Jobs!$AK$5:$AK$604,MATCH(A421,Jobs!$A$5:$A$604,0)),0))</f>
        <v>0</v>
      </c>
      <c r="M421" s="34">
        <f>IF(A421="","",IF(IFERROR(L421*1,0)&gt;0,L421,IFERROR(K421*1,0)))</f>
        <v>0</v>
      </c>
      <c r="N421" s="21">
        <f>IF(A421="","",SUMIFS(Timesheets!$X$5:$X$804,Timesheets!$G$5:$G$804,A421))</f>
        <v>0</v>
      </c>
      <c r="O421" s="21">
        <f>IF(A421="","",IF(N421&gt;0,N421,ROUND(M421*CostPerHour,2)))</f>
        <v>0</v>
      </c>
      <c r="P421" s="21">
        <f>IF(A421="","",SUMIFS('Supply Usage'!$L$5:$L$304,'Supply Usage'!$F$5:$F$304,A421))</f>
        <v>0</v>
      </c>
      <c r="Q421" s="21">
        <f>IF(A421="","",IF(P421&gt;0,P421,ROUND(M421*SuppliesPerHour,2)))</f>
        <v>0</v>
      </c>
      <c r="R421" s="21">
        <f>IF(A421="","",ROUND(IFERROR(INDEX(Jobs!$W$5:$W$604,MATCH(A421,Jobs!$A$5:$A$604,0)),0)*MileageRate,2))</f>
        <v>0</v>
      </c>
      <c r="T421" s="21">
        <f>IF(A421="","",O421+Q421+R421+IF(S421="",0,S421))</f>
        <v>0</v>
      </c>
      <c r="U421" s="21">
        <f>IF(A421="","",J421-T421)</f>
        <v>0</v>
      </c>
      <c r="V421" s="38">
        <f>IF(OR(A421="",J421=0),"",U421/J421)</f>
        <v>0</v>
      </c>
      <c r="W421" s="21">
        <f>IF(OR(A421="",M421=0,J421=0),"",U421/M421)</f>
        <v>0</v>
      </c>
      <c r="X421" s="34">
        <f>IF(OR(A421="",L421="",L421=0,K421=""),"",L421-K421)</f>
        <v>0</v>
      </c>
      <c r="Y421" s="31">
        <f>IF(A421="","",COUNTIFS($U$5:$U$604,"&gt;"&amp;U421)+COUNTIFS($U$5:U421,U421))</f>
        <v>0</v>
      </c>
      <c r="Z421" s="31">
        <f>IF(A421="","",COUNTIFS($W$5:$W$604,"&gt;"&amp;W421)+COUNTIFS($W$5:W421,W421))</f>
        <v>0</v>
      </c>
      <c r="AA421" s="39">
        <f>IF(A421="","",IF(J421=0,"",IF(U421&lt;0,"Loss - this job cost you money",IF(V421&lt;MarginFloor,"Below - margin under the floor",IF(V421&lt;TargetMargin,"Check - under target margin",IF(AND(X421&lt;&gt;"",X421&gt;0.5),"Check - ran over the estimate","OK"))))))</f>
        <v>0</v>
      </c>
    </row>
    <row r="422" spans="1:27">
      <c r="A422" s="43">
        <f>IF(IFERROR(INDEX(Jobs!$A$5:$A$604,ROW()-4),"")="","",IFERROR(INDEX(Jobs!$A$5:$A$604,ROW()-4),""))</f>
        <v>0</v>
      </c>
      <c r="B422" s="18">
        <f>IF(A422="","",IFERROR(INDEX(Jobs!$B$5:$B$604,MATCH(A422,Jobs!$A$5:$A$604,0)),""))</f>
        <v>0</v>
      </c>
      <c r="C422" s="23">
        <f>IF(B422="","",TEXT(B422,"yyyy-mm"))</f>
        <v>0</v>
      </c>
      <c r="D422" s="43">
        <f>IF(A422="","",IFERROR(INDEX(Jobs!$G$5:$G$604,MATCH(A422,Jobs!$A$5:$A$604,0)),""))</f>
        <v>0</v>
      </c>
      <c r="E422" s="23">
        <f>IF(A422="","",IFERROR(INDEX(Jobs!$H$5:$H$604,MATCH(A422,Jobs!$A$5:$A$604,0)),""))</f>
        <v>0</v>
      </c>
      <c r="F422" s="23">
        <f>IF(A422="","",IFERROR(INDEX(Jobs!$K$5:$K$604,MATCH(A422,Jobs!$A$5:$A$604,0)),""))</f>
        <v>0</v>
      </c>
      <c r="G422" s="23">
        <f>IF(A422="","",IFERROR(INDEX(Jobs!$M$5:$M$604,MATCH(A422,Jobs!$A$5:$A$604,0)),""))</f>
        <v>0</v>
      </c>
      <c r="H422" s="23">
        <f>IF(A422="","",IFERROR(INDEX(Jobs!$R$5:$R$604,MATCH(A422,Jobs!$A$5:$A$604,0)),""))</f>
        <v>0</v>
      </c>
      <c r="I422" s="39">
        <f>IF(A422="","",IFERROR(INDEX(Jobs!$P$5:$P$604,MATCH(A422,Jobs!$A$5:$A$604,0)),""))</f>
        <v>0</v>
      </c>
      <c r="J422" s="21">
        <f>IF(A422="","",IF(OR(I422="Completed",I422="Invoiced"),IFERROR(INDEX(Jobs!$AJ$5:$AJ$604,MATCH(A422,Jobs!$A$5:$A$604,0)),0),0))</f>
        <v>0</v>
      </c>
      <c r="K422" s="34">
        <f>IF(A422="","",IFERROR(INDEX(Jobs!$AD$5:$AD$604,MATCH(A422,Jobs!$A$5:$A$604,0)),0))</f>
        <v>0</v>
      </c>
      <c r="L422" s="34">
        <f>IF(A422="","",IFERROR(INDEX(Jobs!$AK$5:$AK$604,MATCH(A422,Jobs!$A$5:$A$604,0)),0))</f>
        <v>0</v>
      </c>
      <c r="M422" s="34">
        <f>IF(A422="","",IF(IFERROR(L422*1,0)&gt;0,L422,IFERROR(K422*1,0)))</f>
        <v>0</v>
      </c>
      <c r="N422" s="21">
        <f>IF(A422="","",SUMIFS(Timesheets!$X$5:$X$804,Timesheets!$G$5:$G$804,A422))</f>
        <v>0</v>
      </c>
      <c r="O422" s="21">
        <f>IF(A422="","",IF(N422&gt;0,N422,ROUND(M422*CostPerHour,2)))</f>
        <v>0</v>
      </c>
      <c r="P422" s="21">
        <f>IF(A422="","",SUMIFS('Supply Usage'!$L$5:$L$304,'Supply Usage'!$F$5:$F$304,A422))</f>
        <v>0</v>
      </c>
      <c r="Q422" s="21">
        <f>IF(A422="","",IF(P422&gt;0,P422,ROUND(M422*SuppliesPerHour,2)))</f>
        <v>0</v>
      </c>
      <c r="R422" s="21">
        <f>IF(A422="","",ROUND(IFERROR(INDEX(Jobs!$W$5:$W$604,MATCH(A422,Jobs!$A$5:$A$604,0)),0)*MileageRate,2))</f>
        <v>0</v>
      </c>
      <c r="T422" s="21">
        <f>IF(A422="","",O422+Q422+R422+IF(S422="",0,S422))</f>
        <v>0</v>
      </c>
      <c r="U422" s="21">
        <f>IF(A422="","",J422-T422)</f>
        <v>0</v>
      </c>
      <c r="V422" s="38">
        <f>IF(OR(A422="",J422=0),"",U422/J422)</f>
        <v>0</v>
      </c>
      <c r="W422" s="21">
        <f>IF(OR(A422="",M422=0,J422=0),"",U422/M422)</f>
        <v>0</v>
      </c>
      <c r="X422" s="34">
        <f>IF(OR(A422="",L422="",L422=0,K422=""),"",L422-K422)</f>
        <v>0</v>
      </c>
      <c r="Y422" s="31">
        <f>IF(A422="","",COUNTIFS($U$5:$U$604,"&gt;"&amp;U422)+COUNTIFS($U$5:U422,U422))</f>
        <v>0</v>
      </c>
      <c r="Z422" s="31">
        <f>IF(A422="","",COUNTIFS($W$5:$W$604,"&gt;"&amp;W422)+COUNTIFS($W$5:W422,W422))</f>
        <v>0</v>
      </c>
      <c r="AA422" s="39">
        <f>IF(A422="","",IF(J422=0,"",IF(U422&lt;0,"Loss - this job cost you money",IF(V422&lt;MarginFloor,"Below - margin under the floor",IF(V422&lt;TargetMargin,"Check - under target margin",IF(AND(X422&lt;&gt;"",X422&gt;0.5),"Check - ran over the estimate","OK"))))))</f>
        <v>0</v>
      </c>
    </row>
    <row r="423" spans="1:27">
      <c r="A423" s="43">
        <f>IF(IFERROR(INDEX(Jobs!$A$5:$A$604,ROW()-4),"")="","",IFERROR(INDEX(Jobs!$A$5:$A$604,ROW()-4),""))</f>
        <v>0</v>
      </c>
      <c r="B423" s="18">
        <f>IF(A423="","",IFERROR(INDEX(Jobs!$B$5:$B$604,MATCH(A423,Jobs!$A$5:$A$604,0)),""))</f>
        <v>0</v>
      </c>
      <c r="C423" s="23">
        <f>IF(B423="","",TEXT(B423,"yyyy-mm"))</f>
        <v>0</v>
      </c>
      <c r="D423" s="43">
        <f>IF(A423="","",IFERROR(INDEX(Jobs!$G$5:$G$604,MATCH(A423,Jobs!$A$5:$A$604,0)),""))</f>
        <v>0</v>
      </c>
      <c r="E423" s="23">
        <f>IF(A423="","",IFERROR(INDEX(Jobs!$H$5:$H$604,MATCH(A423,Jobs!$A$5:$A$604,0)),""))</f>
        <v>0</v>
      </c>
      <c r="F423" s="23">
        <f>IF(A423="","",IFERROR(INDEX(Jobs!$K$5:$K$604,MATCH(A423,Jobs!$A$5:$A$604,0)),""))</f>
        <v>0</v>
      </c>
      <c r="G423" s="23">
        <f>IF(A423="","",IFERROR(INDEX(Jobs!$M$5:$M$604,MATCH(A423,Jobs!$A$5:$A$604,0)),""))</f>
        <v>0</v>
      </c>
      <c r="H423" s="23">
        <f>IF(A423="","",IFERROR(INDEX(Jobs!$R$5:$R$604,MATCH(A423,Jobs!$A$5:$A$604,0)),""))</f>
        <v>0</v>
      </c>
      <c r="I423" s="39">
        <f>IF(A423="","",IFERROR(INDEX(Jobs!$P$5:$P$604,MATCH(A423,Jobs!$A$5:$A$604,0)),""))</f>
        <v>0</v>
      </c>
      <c r="J423" s="21">
        <f>IF(A423="","",IF(OR(I423="Completed",I423="Invoiced"),IFERROR(INDEX(Jobs!$AJ$5:$AJ$604,MATCH(A423,Jobs!$A$5:$A$604,0)),0),0))</f>
        <v>0</v>
      </c>
      <c r="K423" s="34">
        <f>IF(A423="","",IFERROR(INDEX(Jobs!$AD$5:$AD$604,MATCH(A423,Jobs!$A$5:$A$604,0)),0))</f>
        <v>0</v>
      </c>
      <c r="L423" s="34">
        <f>IF(A423="","",IFERROR(INDEX(Jobs!$AK$5:$AK$604,MATCH(A423,Jobs!$A$5:$A$604,0)),0))</f>
        <v>0</v>
      </c>
      <c r="M423" s="34">
        <f>IF(A423="","",IF(IFERROR(L423*1,0)&gt;0,L423,IFERROR(K423*1,0)))</f>
        <v>0</v>
      </c>
      <c r="N423" s="21">
        <f>IF(A423="","",SUMIFS(Timesheets!$X$5:$X$804,Timesheets!$G$5:$G$804,A423))</f>
        <v>0</v>
      </c>
      <c r="O423" s="21">
        <f>IF(A423="","",IF(N423&gt;0,N423,ROUND(M423*CostPerHour,2)))</f>
        <v>0</v>
      </c>
      <c r="P423" s="21">
        <f>IF(A423="","",SUMIFS('Supply Usage'!$L$5:$L$304,'Supply Usage'!$F$5:$F$304,A423))</f>
        <v>0</v>
      </c>
      <c r="Q423" s="21">
        <f>IF(A423="","",IF(P423&gt;0,P423,ROUND(M423*SuppliesPerHour,2)))</f>
        <v>0</v>
      </c>
      <c r="R423" s="21">
        <f>IF(A423="","",ROUND(IFERROR(INDEX(Jobs!$W$5:$W$604,MATCH(A423,Jobs!$A$5:$A$604,0)),0)*MileageRate,2))</f>
        <v>0</v>
      </c>
      <c r="T423" s="21">
        <f>IF(A423="","",O423+Q423+R423+IF(S423="",0,S423))</f>
        <v>0</v>
      </c>
      <c r="U423" s="21">
        <f>IF(A423="","",J423-T423)</f>
        <v>0</v>
      </c>
      <c r="V423" s="38">
        <f>IF(OR(A423="",J423=0),"",U423/J423)</f>
        <v>0</v>
      </c>
      <c r="W423" s="21">
        <f>IF(OR(A423="",M423=0,J423=0),"",U423/M423)</f>
        <v>0</v>
      </c>
      <c r="X423" s="34">
        <f>IF(OR(A423="",L423="",L423=0,K423=""),"",L423-K423)</f>
        <v>0</v>
      </c>
      <c r="Y423" s="31">
        <f>IF(A423="","",COUNTIFS($U$5:$U$604,"&gt;"&amp;U423)+COUNTIFS($U$5:U423,U423))</f>
        <v>0</v>
      </c>
      <c r="Z423" s="31">
        <f>IF(A423="","",COUNTIFS($W$5:$W$604,"&gt;"&amp;W423)+COUNTIFS($W$5:W423,W423))</f>
        <v>0</v>
      </c>
      <c r="AA423" s="39">
        <f>IF(A423="","",IF(J423=0,"",IF(U423&lt;0,"Loss - this job cost you money",IF(V423&lt;MarginFloor,"Below - margin under the floor",IF(V423&lt;TargetMargin,"Check - under target margin",IF(AND(X423&lt;&gt;"",X423&gt;0.5),"Check - ran over the estimate","OK"))))))</f>
        <v>0</v>
      </c>
    </row>
    <row r="424" spans="1:27">
      <c r="A424" s="43">
        <f>IF(IFERROR(INDEX(Jobs!$A$5:$A$604,ROW()-4),"")="","",IFERROR(INDEX(Jobs!$A$5:$A$604,ROW()-4),""))</f>
        <v>0</v>
      </c>
      <c r="B424" s="18">
        <f>IF(A424="","",IFERROR(INDEX(Jobs!$B$5:$B$604,MATCH(A424,Jobs!$A$5:$A$604,0)),""))</f>
        <v>0</v>
      </c>
      <c r="C424" s="23">
        <f>IF(B424="","",TEXT(B424,"yyyy-mm"))</f>
        <v>0</v>
      </c>
      <c r="D424" s="43">
        <f>IF(A424="","",IFERROR(INDEX(Jobs!$G$5:$G$604,MATCH(A424,Jobs!$A$5:$A$604,0)),""))</f>
        <v>0</v>
      </c>
      <c r="E424" s="23">
        <f>IF(A424="","",IFERROR(INDEX(Jobs!$H$5:$H$604,MATCH(A424,Jobs!$A$5:$A$604,0)),""))</f>
        <v>0</v>
      </c>
      <c r="F424" s="23">
        <f>IF(A424="","",IFERROR(INDEX(Jobs!$K$5:$K$604,MATCH(A424,Jobs!$A$5:$A$604,0)),""))</f>
        <v>0</v>
      </c>
      <c r="G424" s="23">
        <f>IF(A424="","",IFERROR(INDEX(Jobs!$M$5:$M$604,MATCH(A424,Jobs!$A$5:$A$604,0)),""))</f>
        <v>0</v>
      </c>
      <c r="H424" s="23">
        <f>IF(A424="","",IFERROR(INDEX(Jobs!$R$5:$R$604,MATCH(A424,Jobs!$A$5:$A$604,0)),""))</f>
        <v>0</v>
      </c>
      <c r="I424" s="39">
        <f>IF(A424="","",IFERROR(INDEX(Jobs!$P$5:$P$604,MATCH(A424,Jobs!$A$5:$A$604,0)),""))</f>
        <v>0</v>
      </c>
      <c r="J424" s="21">
        <f>IF(A424="","",IF(OR(I424="Completed",I424="Invoiced"),IFERROR(INDEX(Jobs!$AJ$5:$AJ$604,MATCH(A424,Jobs!$A$5:$A$604,0)),0),0))</f>
        <v>0</v>
      </c>
      <c r="K424" s="34">
        <f>IF(A424="","",IFERROR(INDEX(Jobs!$AD$5:$AD$604,MATCH(A424,Jobs!$A$5:$A$604,0)),0))</f>
        <v>0</v>
      </c>
      <c r="L424" s="34">
        <f>IF(A424="","",IFERROR(INDEX(Jobs!$AK$5:$AK$604,MATCH(A424,Jobs!$A$5:$A$604,0)),0))</f>
        <v>0</v>
      </c>
      <c r="M424" s="34">
        <f>IF(A424="","",IF(IFERROR(L424*1,0)&gt;0,L424,IFERROR(K424*1,0)))</f>
        <v>0</v>
      </c>
      <c r="N424" s="21">
        <f>IF(A424="","",SUMIFS(Timesheets!$X$5:$X$804,Timesheets!$G$5:$G$804,A424))</f>
        <v>0</v>
      </c>
      <c r="O424" s="21">
        <f>IF(A424="","",IF(N424&gt;0,N424,ROUND(M424*CostPerHour,2)))</f>
        <v>0</v>
      </c>
      <c r="P424" s="21">
        <f>IF(A424="","",SUMIFS('Supply Usage'!$L$5:$L$304,'Supply Usage'!$F$5:$F$304,A424))</f>
        <v>0</v>
      </c>
      <c r="Q424" s="21">
        <f>IF(A424="","",IF(P424&gt;0,P424,ROUND(M424*SuppliesPerHour,2)))</f>
        <v>0</v>
      </c>
      <c r="R424" s="21">
        <f>IF(A424="","",ROUND(IFERROR(INDEX(Jobs!$W$5:$W$604,MATCH(A424,Jobs!$A$5:$A$604,0)),0)*MileageRate,2))</f>
        <v>0</v>
      </c>
      <c r="T424" s="21">
        <f>IF(A424="","",O424+Q424+R424+IF(S424="",0,S424))</f>
        <v>0</v>
      </c>
      <c r="U424" s="21">
        <f>IF(A424="","",J424-T424)</f>
        <v>0</v>
      </c>
      <c r="V424" s="38">
        <f>IF(OR(A424="",J424=0),"",U424/J424)</f>
        <v>0</v>
      </c>
      <c r="W424" s="21">
        <f>IF(OR(A424="",M424=0,J424=0),"",U424/M424)</f>
        <v>0</v>
      </c>
      <c r="X424" s="34">
        <f>IF(OR(A424="",L424="",L424=0,K424=""),"",L424-K424)</f>
        <v>0</v>
      </c>
      <c r="Y424" s="31">
        <f>IF(A424="","",COUNTIFS($U$5:$U$604,"&gt;"&amp;U424)+COUNTIFS($U$5:U424,U424))</f>
        <v>0</v>
      </c>
      <c r="Z424" s="31">
        <f>IF(A424="","",COUNTIFS($W$5:$W$604,"&gt;"&amp;W424)+COUNTIFS($W$5:W424,W424))</f>
        <v>0</v>
      </c>
      <c r="AA424" s="39">
        <f>IF(A424="","",IF(J424=0,"",IF(U424&lt;0,"Loss - this job cost you money",IF(V424&lt;MarginFloor,"Below - margin under the floor",IF(V424&lt;TargetMargin,"Check - under target margin",IF(AND(X424&lt;&gt;"",X424&gt;0.5),"Check - ran over the estimate","OK"))))))</f>
        <v>0</v>
      </c>
    </row>
    <row r="425" spans="1:27">
      <c r="A425" s="43">
        <f>IF(IFERROR(INDEX(Jobs!$A$5:$A$604,ROW()-4),"")="","",IFERROR(INDEX(Jobs!$A$5:$A$604,ROW()-4),""))</f>
        <v>0</v>
      </c>
      <c r="B425" s="18">
        <f>IF(A425="","",IFERROR(INDEX(Jobs!$B$5:$B$604,MATCH(A425,Jobs!$A$5:$A$604,0)),""))</f>
        <v>0</v>
      </c>
      <c r="C425" s="23">
        <f>IF(B425="","",TEXT(B425,"yyyy-mm"))</f>
        <v>0</v>
      </c>
      <c r="D425" s="43">
        <f>IF(A425="","",IFERROR(INDEX(Jobs!$G$5:$G$604,MATCH(A425,Jobs!$A$5:$A$604,0)),""))</f>
        <v>0</v>
      </c>
      <c r="E425" s="23">
        <f>IF(A425="","",IFERROR(INDEX(Jobs!$H$5:$H$604,MATCH(A425,Jobs!$A$5:$A$604,0)),""))</f>
        <v>0</v>
      </c>
      <c r="F425" s="23">
        <f>IF(A425="","",IFERROR(INDEX(Jobs!$K$5:$K$604,MATCH(A425,Jobs!$A$5:$A$604,0)),""))</f>
        <v>0</v>
      </c>
      <c r="G425" s="23">
        <f>IF(A425="","",IFERROR(INDEX(Jobs!$M$5:$M$604,MATCH(A425,Jobs!$A$5:$A$604,0)),""))</f>
        <v>0</v>
      </c>
      <c r="H425" s="23">
        <f>IF(A425="","",IFERROR(INDEX(Jobs!$R$5:$R$604,MATCH(A425,Jobs!$A$5:$A$604,0)),""))</f>
        <v>0</v>
      </c>
      <c r="I425" s="39">
        <f>IF(A425="","",IFERROR(INDEX(Jobs!$P$5:$P$604,MATCH(A425,Jobs!$A$5:$A$604,0)),""))</f>
        <v>0</v>
      </c>
      <c r="J425" s="21">
        <f>IF(A425="","",IF(OR(I425="Completed",I425="Invoiced"),IFERROR(INDEX(Jobs!$AJ$5:$AJ$604,MATCH(A425,Jobs!$A$5:$A$604,0)),0),0))</f>
        <v>0</v>
      </c>
      <c r="K425" s="34">
        <f>IF(A425="","",IFERROR(INDEX(Jobs!$AD$5:$AD$604,MATCH(A425,Jobs!$A$5:$A$604,0)),0))</f>
        <v>0</v>
      </c>
      <c r="L425" s="34">
        <f>IF(A425="","",IFERROR(INDEX(Jobs!$AK$5:$AK$604,MATCH(A425,Jobs!$A$5:$A$604,0)),0))</f>
        <v>0</v>
      </c>
      <c r="M425" s="34">
        <f>IF(A425="","",IF(IFERROR(L425*1,0)&gt;0,L425,IFERROR(K425*1,0)))</f>
        <v>0</v>
      </c>
      <c r="N425" s="21">
        <f>IF(A425="","",SUMIFS(Timesheets!$X$5:$X$804,Timesheets!$G$5:$G$804,A425))</f>
        <v>0</v>
      </c>
      <c r="O425" s="21">
        <f>IF(A425="","",IF(N425&gt;0,N425,ROUND(M425*CostPerHour,2)))</f>
        <v>0</v>
      </c>
      <c r="P425" s="21">
        <f>IF(A425="","",SUMIFS('Supply Usage'!$L$5:$L$304,'Supply Usage'!$F$5:$F$304,A425))</f>
        <v>0</v>
      </c>
      <c r="Q425" s="21">
        <f>IF(A425="","",IF(P425&gt;0,P425,ROUND(M425*SuppliesPerHour,2)))</f>
        <v>0</v>
      </c>
      <c r="R425" s="21">
        <f>IF(A425="","",ROUND(IFERROR(INDEX(Jobs!$W$5:$W$604,MATCH(A425,Jobs!$A$5:$A$604,0)),0)*MileageRate,2))</f>
        <v>0</v>
      </c>
      <c r="T425" s="21">
        <f>IF(A425="","",O425+Q425+R425+IF(S425="",0,S425))</f>
        <v>0</v>
      </c>
      <c r="U425" s="21">
        <f>IF(A425="","",J425-T425)</f>
        <v>0</v>
      </c>
      <c r="V425" s="38">
        <f>IF(OR(A425="",J425=0),"",U425/J425)</f>
        <v>0</v>
      </c>
      <c r="W425" s="21">
        <f>IF(OR(A425="",M425=0,J425=0),"",U425/M425)</f>
        <v>0</v>
      </c>
      <c r="X425" s="34">
        <f>IF(OR(A425="",L425="",L425=0,K425=""),"",L425-K425)</f>
        <v>0</v>
      </c>
      <c r="Y425" s="31">
        <f>IF(A425="","",COUNTIFS($U$5:$U$604,"&gt;"&amp;U425)+COUNTIFS($U$5:U425,U425))</f>
        <v>0</v>
      </c>
      <c r="Z425" s="31">
        <f>IF(A425="","",COUNTIFS($W$5:$W$604,"&gt;"&amp;W425)+COUNTIFS($W$5:W425,W425))</f>
        <v>0</v>
      </c>
      <c r="AA425" s="39">
        <f>IF(A425="","",IF(J425=0,"",IF(U425&lt;0,"Loss - this job cost you money",IF(V425&lt;MarginFloor,"Below - margin under the floor",IF(V425&lt;TargetMargin,"Check - under target margin",IF(AND(X425&lt;&gt;"",X425&gt;0.5),"Check - ran over the estimate","OK"))))))</f>
        <v>0</v>
      </c>
    </row>
    <row r="426" spans="1:27">
      <c r="A426" s="43">
        <f>IF(IFERROR(INDEX(Jobs!$A$5:$A$604,ROW()-4),"")="","",IFERROR(INDEX(Jobs!$A$5:$A$604,ROW()-4),""))</f>
        <v>0</v>
      </c>
      <c r="B426" s="18">
        <f>IF(A426="","",IFERROR(INDEX(Jobs!$B$5:$B$604,MATCH(A426,Jobs!$A$5:$A$604,0)),""))</f>
        <v>0</v>
      </c>
      <c r="C426" s="23">
        <f>IF(B426="","",TEXT(B426,"yyyy-mm"))</f>
        <v>0</v>
      </c>
      <c r="D426" s="43">
        <f>IF(A426="","",IFERROR(INDEX(Jobs!$G$5:$G$604,MATCH(A426,Jobs!$A$5:$A$604,0)),""))</f>
        <v>0</v>
      </c>
      <c r="E426" s="23">
        <f>IF(A426="","",IFERROR(INDEX(Jobs!$H$5:$H$604,MATCH(A426,Jobs!$A$5:$A$604,0)),""))</f>
        <v>0</v>
      </c>
      <c r="F426" s="23">
        <f>IF(A426="","",IFERROR(INDEX(Jobs!$K$5:$K$604,MATCH(A426,Jobs!$A$5:$A$604,0)),""))</f>
        <v>0</v>
      </c>
      <c r="G426" s="23">
        <f>IF(A426="","",IFERROR(INDEX(Jobs!$M$5:$M$604,MATCH(A426,Jobs!$A$5:$A$604,0)),""))</f>
        <v>0</v>
      </c>
      <c r="H426" s="23">
        <f>IF(A426="","",IFERROR(INDEX(Jobs!$R$5:$R$604,MATCH(A426,Jobs!$A$5:$A$604,0)),""))</f>
        <v>0</v>
      </c>
      <c r="I426" s="39">
        <f>IF(A426="","",IFERROR(INDEX(Jobs!$P$5:$P$604,MATCH(A426,Jobs!$A$5:$A$604,0)),""))</f>
        <v>0</v>
      </c>
      <c r="J426" s="21">
        <f>IF(A426="","",IF(OR(I426="Completed",I426="Invoiced"),IFERROR(INDEX(Jobs!$AJ$5:$AJ$604,MATCH(A426,Jobs!$A$5:$A$604,0)),0),0))</f>
        <v>0</v>
      </c>
      <c r="K426" s="34">
        <f>IF(A426="","",IFERROR(INDEX(Jobs!$AD$5:$AD$604,MATCH(A426,Jobs!$A$5:$A$604,0)),0))</f>
        <v>0</v>
      </c>
      <c r="L426" s="34">
        <f>IF(A426="","",IFERROR(INDEX(Jobs!$AK$5:$AK$604,MATCH(A426,Jobs!$A$5:$A$604,0)),0))</f>
        <v>0</v>
      </c>
      <c r="M426" s="34">
        <f>IF(A426="","",IF(IFERROR(L426*1,0)&gt;0,L426,IFERROR(K426*1,0)))</f>
        <v>0</v>
      </c>
      <c r="N426" s="21">
        <f>IF(A426="","",SUMIFS(Timesheets!$X$5:$X$804,Timesheets!$G$5:$G$804,A426))</f>
        <v>0</v>
      </c>
      <c r="O426" s="21">
        <f>IF(A426="","",IF(N426&gt;0,N426,ROUND(M426*CostPerHour,2)))</f>
        <v>0</v>
      </c>
      <c r="P426" s="21">
        <f>IF(A426="","",SUMIFS('Supply Usage'!$L$5:$L$304,'Supply Usage'!$F$5:$F$304,A426))</f>
        <v>0</v>
      </c>
      <c r="Q426" s="21">
        <f>IF(A426="","",IF(P426&gt;0,P426,ROUND(M426*SuppliesPerHour,2)))</f>
        <v>0</v>
      </c>
      <c r="R426" s="21">
        <f>IF(A426="","",ROUND(IFERROR(INDEX(Jobs!$W$5:$W$604,MATCH(A426,Jobs!$A$5:$A$604,0)),0)*MileageRate,2))</f>
        <v>0</v>
      </c>
      <c r="T426" s="21">
        <f>IF(A426="","",O426+Q426+R426+IF(S426="",0,S426))</f>
        <v>0</v>
      </c>
      <c r="U426" s="21">
        <f>IF(A426="","",J426-T426)</f>
        <v>0</v>
      </c>
      <c r="V426" s="38">
        <f>IF(OR(A426="",J426=0),"",U426/J426)</f>
        <v>0</v>
      </c>
      <c r="W426" s="21">
        <f>IF(OR(A426="",M426=0,J426=0),"",U426/M426)</f>
        <v>0</v>
      </c>
      <c r="X426" s="34">
        <f>IF(OR(A426="",L426="",L426=0,K426=""),"",L426-K426)</f>
        <v>0</v>
      </c>
      <c r="Y426" s="31">
        <f>IF(A426="","",COUNTIFS($U$5:$U$604,"&gt;"&amp;U426)+COUNTIFS($U$5:U426,U426))</f>
        <v>0</v>
      </c>
      <c r="Z426" s="31">
        <f>IF(A426="","",COUNTIFS($W$5:$W$604,"&gt;"&amp;W426)+COUNTIFS($W$5:W426,W426))</f>
        <v>0</v>
      </c>
      <c r="AA426" s="39">
        <f>IF(A426="","",IF(J426=0,"",IF(U426&lt;0,"Loss - this job cost you money",IF(V426&lt;MarginFloor,"Below - margin under the floor",IF(V426&lt;TargetMargin,"Check - under target margin",IF(AND(X426&lt;&gt;"",X426&gt;0.5),"Check - ran over the estimate","OK"))))))</f>
        <v>0</v>
      </c>
    </row>
    <row r="427" spans="1:27">
      <c r="A427" s="43">
        <f>IF(IFERROR(INDEX(Jobs!$A$5:$A$604,ROW()-4),"")="","",IFERROR(INDEX(Jobs!$A$5:$A$604,ROW()-4),""))</f>
        <v>0</v>
      </c>
      <c r="B427" s="18">
        <f>IF(A427="","",IFERROR(INDEX(Jobs!$B$5:$B$604,MATCH(A427,Jobs!$A$5:$A$604,0)),""))</f>
        <v>0</v>
      </c>
      <c r="C427" s="23">
        <f>IF(B427="","",TEXT(B427,"yyyy-mm"))</f>
        <v>0</v>
      </c>
      <c r="D427" s="43">
        <f>IF(A427="","",IFERROR(INDEX(Jobs!$G$5:$G$604,MATCH(A427,Jobs!$A$5:$A$604,0)),""))</f>
        <v>0</v>
      </c>
      <c r="E427" s="23">
        <f>IF(A427="","",IFERROR(INDEX(Jobs!$H$5:$H$604,MATCH(A427,Jobs!$A$5:$A$604,0)),""))</f>
        <v>0</v>
      </c>
      <c r="F427" s="23">
        <f>IF(A427="","",IFERROR(INDEX(Jobs!$K$5:$K$604,MATCH(A427,Jobs!$A$5:$A$604,0)),""))</f>
        <v>0</v>
      </c>
      <c r="G427" s="23">
        <f>IF(A427="","",IFERROR(INDEX(Jobs!$M$5:$M$604,MATCH(A427,Jobs!$A$5:$A$604,0)),""))</f>
        <v>0</v>
      </c>
      <c r="H427" s="23">
        <f>IF(A427="","",IFERROR(INDEX(Jobs!$R$5:$R$604,MATCH(A427,Jobs!$A$5:$A$604,0)),""))</f>
        <v>0</v>
      </c>
      <c r="I427" s="39">
        <f>IF(A427="","",IFERROR(INDEX(Jobs!$P$5:$P$604,MATCH(A427,Jobs!$A$5:$A$604,0)),""))</f>
        <v>0</v>
      </c>
      <c r="J427" s="21">
        <f>IF(A427="","",IF(OR(I427="Completed",I427="Invoiced"),IFERROR(INDEX(Jobs!$AJ$5:$AJ$604,MATCH(A427,Jobs!$A$5:$A$604,0)),0),0))</f>
        <v>0</v>
      </c>
      <c r="K427" s="34">
        <f>IF(A427="","",IFERROR(INDEX(Jobs!$AD$5:$AD$604,MATCH(A427,Jobs!$A$5:$A$604,0)),0))</f>
        <v>0</v>
      </c>
      <c r="L427" s="34">
        <f>IF(A427="","",IFERROR(INDEX(Jobs!$AK$5:$AK$604,MATCH(A427,Jobs!$A$5:$A$604,0)),0))</f>
        <v>0</v>
      </c>
      <c r="M427" s="34">
        <f>IF(A427="","",IF(IFERROR(L427*1,0)&gt;0,L427,IFERROR(K427*1,0)))</f>
        <v>0</v>
      </c>
      <c r="N427" s="21">
        <f>IF(A427="","",SUMIFS(Timesheets!$X$5:$X$804,Timesheets!$G$5:$G$804,A427))</f>
        <v>0</v>
      </c>
      <c r="O427" s="21">
        <f>IF(A427="","",IF(N427&gt;0,N427,ROUND(M427*CostPerHour,2)))</f>
        <v>0</v>
      </c>
      <c r="P427" s="21">
        <f>IF(A427="","",SUMIFS('Supply Usage'!$L$5:$L$304,'Supply Usage'!$F$5:$F$304,A427))</f>
        <v>0</v>
      </c>
      <c r="Q427" s="21">
        <f>IF(A427="","",IF(P427&gt;0,P427,ROUND(M427*SuppliesPerHour,2)))</f>
        <v>0</v>
      </c>
      <c r="R427" s="21">
        <f>IF(A427="","",ROUND(IFERROR(INDEX(Jobs!$W$5:$W$604,MATCH(A427,Jobs!$A$5:$A$604,0)),0)*MileageRate,2))</f>
        <v>0</v>
      </c>
      <c r="T427" s="21">
        <f>IF(A427="","",O427+Q427+R427+IF(S427="",0,S427))</f>
        <v>0</v>
      </c>
      <c r="U427" s="21">
        <f>IF(A427="","",J427-T427)</f>
        <v>0</v>
      </c>
      <c r="V427" s="38">
        <f>IF(OR(A427="",J427=0),"",U427/J427)</f>
        <v>0</v>
      </c>
      <c r="W427" s="21">
        <f>IF(OR(A427="",M427=0,J427=0),"",U427/M427)</f>
        <v>0</v>
      </c>
      <c r="X427" s="34">
        <f>IF(OR(A427="",L427="",L427=0,K427=""),"",L427-K427)</f>
        <v>0</v>
      </c>
      <c r="Y427" s="31">
        <f>IF(A427="","",COUNTIFS($U$5:$U$604,"&gt;"&amp;U427)+COUNTIFS($U$5:U427,U427))</f>
        <v>0</v>
      </c>
      <c r="Z427" s="31">
        <f>IF(A427="","",COUNTIFS($W$5:$W$604,"&gt;"&amp;W427)+COUNTIFS($W$5:W427,W427))</f>
        <v>0</v>
      </c>
      <c r="AA427" s="39">
        <f>IF(A427="","",IF(J427=0,"",IF(U427&lt;0,"Loss - this job cost you money",IF(V427&lt;MarginFloor,"Below - margin under the floor",IF(V427&lt;TargetMargin,"Check - under target margin",IF(AND(X427&lt;&gt;"",X427&gt;0.5),"Check - ran over the estimate","OK"))))))</f>
        <v>0</v>
      </c>
    </row>
    <row r="428" spans="1:27">
      <c r="A428" s="43">
        <f>IF(IFERROR(INDEX(Jobs!$A$5:$A$604,ROW()-4),"")="","",IFERROR(INDEX(Jobs!$A$5:$A$604,ROW()-4),""))</f>
        <v>0</v>
      </c>
      <c r="B428" s="18">
        <f>IF(A428="","",IFERROR(INDEX(Jobs!$B$5:$B$604,MATCH(A428,Jobs!$A$5:$A$604,0)),""))</f>
        <v>0</v>
      </c>
      <c r="C428" s="23">
        <f>IF(B428="","",TEXT(B428,"yyyy-mm"))</f>
        <v>0</v>
      </c>
      <c r="D428" s="43">
        <f>IF(A428="","",IFERROR(INDEX(Jobs!$G$5:$G$604,MATCH(A428,Jobs!$A$5:$A$604,0)),""))</f>
        <v>0</v>
      </c>
      <c r="E428" s="23">
        <f>IF(A428="","",IFERROR(INDEX(Jobs!$H$5:$H$604,MATCH(A428,Jobs!$A$5:$A$604,0)),""))</f>
        <v>0</v>
      </c>
      <c r="F428" s="23">
        <f>IF(A428="","",IFERROR(INDEX(Jobs!$K$5:$K$604,MATCH(A428,Jobs!$A$5:$A$604,0)),""))</f>
        <v>0</v>
      </c>
      <c r="G428" s="23">
        <f>IF(A428="","",IFERROR(INDEX(Jobs!$M$5:$M$604,MATCH(A428,Jobs!$A$5:$A$604,0)),""))</f>
        <v>0</v>
      </c>
      <c r="H428" s="23">
        <f>IF(A428="","",IFERROR(INDEX(Jobs!$R$5:$R$604,MATCH(A428,Jobs!$A$5:$A$604,0)),""))</f>
        <v>0</v>
      </c>
      <c r="I428" s="39">
        <f>IF(A428="","",IFERROR(INDEX(Jobs!$P$5:$P$604,MATCH(A428,Jobs!$A$5:$A$604,0)),""))</f>
        <v>0</v>
      </c>
      <c r="J428" s="21">
        <f>IF(A428="","",IF(OR(I428="Completed",I428="Invoiced"),IFERROR(INDEX(Jobs!$AJ$5:$AJ$604,MATCH(A428,Jobs!$A$5:$A$604,0)),0),0))</f>
        <v>0</v>
      </c>
      <c r="K428" s="34">
        <f>IF(A428="","",IFERROR(INDEX(Jobs!$AD$5:$AD$604,MATCH(A428,Jobs!$A$5:$A$604,0)),0))</f>
        <v>0</v>
      </c>
      <c r="L428" s="34">
        <f>IF(A428="","",IFERROR(INDEX(Jobs!$AK$5:$AK$604,MATCH(A428,Jobs!$A$5:$A$604,0)),0))</f>
        <v>0</v>
      </c>
      <c r="M428" s="34">
        <f>IF(A428="","",IF(IFERROR(L428*1,0)&gt;0,L428,IFERROR(K428*1,0)))</f>
        <v>0</v>
      </c>
      <c r="N428" s="21">
        <f>IF(A428="","",SUMIFS(Timesheets!$X$5:$X$804,Timesheets!$G$5:$G$804,A428))</f>
        <v>0</v>
      </c>
      <c r="O428" s="21">
        <f>IF(A428="","",IF(N428&gt;0,N428,ROUND(M428*CostPerHour,2)))</f>
        <v>0</v>
      </c>
      <c r="P428" s="21">
        <f>IF(A428="","",SUMIFS('Supply Usage'!$L$5:$L$304,'Supply Usage'!$F$5:$F$304,A428))</f>
        <v>0</v>
      </c>
      <c r="Q428" s="21">
        <f>IF(A428="","",IF(P428&gt;0,P428,ROUND(M428*SuppliesPerHour,2)))</f>
        <v>0</v>
      </c>
      <c r="R428" s="21">
        <f>IF(A428="","",ROUND(IFERROR(INDEX(Jobs!$W$5:$W$604,MATCH(A428,Jobs!$A$5:$A$604,0)),0)*MileageRate,2))</f>
        <v>0</v>
      </c>
      <c r="T428" s="21">
        <f>IF(A428="","",O428+Q428+R428+IF(S428="",0,S428))</f>
        <v>0</v>
      </c>
      <c r="U428" s="21">
        <f>IF(A428="","",J428-T428)</f>
        <v>0</v>
      </c>
      <c r="V428" s="38">
        <f>IF(OR(A428="",J428=0),"",U428/J428)</f>
        <v>0</v>
      </c>
      <c r="W428" s="21">
        <f>IF(OR(A428="",M428=0,J428=0),"",U428/M428)</f>
        <v>0</v>
      </c>
      <c r="X428" s="34">
        <f>IF(OR(A428="",L428="",L428=0,K428=""),"",L428-K428)</f>
        <v>0</v>
      </c>
      <c r="Y428" s="31">
        <f>IF(A428="","",COUNTIFS($U$5:$U$604,"&gt;"&amp;U428)+COUNTIFS($U$5:U428,U428))</f>
        <v>0</v>
      </c>
      <c r="Z428" s="31">
        <f>IF(A428="","",COUNTIFS($W$5:$W$604,"&gt;"&amp;W428)+COUNTIFS($W$5:W428,W428))</f>
        <v>0</v>
      </c>
      <c r="AA428" s="39">
        <f>IF(A428="","",IF(J428=0,"",IF(U428&lt;0,"Loss - this job cost you money",IF(V428&lt;MarginFloor,"Below - margin under the floor",IF(V428&lt;TargetMargin,"Check - under target margin",IF(AND(X428&lt;&gt;"",X428&gt;0.5),"Check - ran over the estimate","OK"))))))</f>
        <v>0</v>
      </c>
    </row>
    <row r="429" spans="1:27">
      <c r="A429" s="43">
        <f>IF(IFERROR(INDEX(Jobs!$A$5:$A$604,ROW()-4),"")="","",IFERROR(INDEX(Jobs!$A$5:$A$604,ROW()-4),""))</f>
        <v>0</v>
      </c>
      <c r="B429" s="18">
        <f>IF(A429="","",IFERROR(INDEX(Jobs!$B$5:$B$604,MATCH(A429,Jobs!$A$5:$A$604,0)),""))</f>
        <v>0</v>
      </c>
      <c r="C429" s="23">
        <f>IF(B429="","",TEXT(B429,"yyyy-mm"))</f>
        <v>0</v>
      </c>
      <c r="D429" s="43">
        <f>IF(A429="","",IFERROR(INDEX(Jobs!$G$5:$G$604,MATCH(A429,Jobs!$A$5:$A$604,0)),""))</f>
        <v>0</v>
      </c>
      <c r="E429" s="23">
        <f>IF(A429="","",IFERROR(INDEX(Jobs!$H$5:$H$604,MATCH(A429,Jobs!$A$5:$A$604,0)),""))</f>
        <v>0</v>
      </c>
      <c r="F429" s="23">
        <f>IF(A429="","",IFERROR(INDEX(Jobs!$K$5:$K$604,MATCH(A429,Jobs!$A$5:$A$604,0)),""))</f>
        <v>0</v>
      </c>
      <c r="G429" s="23">
        <f>IF(A429="","",IFERROR(INDEX(Jobs!$M$5:$M$604,MATCH(A429,Jobs!$A$5:$A$604,0)),""))</f>
        <v>0</v>
      </c>
      <c r="H429" s="23">
        <f>IF(A429="","",IFERROR(INDEX(Jobs!$R$5:$R$604,MATCH(A429,Jobs!$A$5:$A$604,0)),""))</f>
        <v>0</v>
      </c>
      <c r="I429" s="39">
        <f>IF(A429="","",IFERROR(INDEX(Jobs!$P$5:$P$604,MATCH(A429,Jobs!$A$5:$A$604,0)),""))</f>
        <v>0</v>
      </c>
      <c r="J429" s="21">
        <f>IF(A429="","",IF(OR(I429="Completed",I429="Invoiced"),IFERROR(INDEX(Jobs!$AJ$5:$AJ$604,MATCH(A429,Jobs!$A$5:$A$604,0)),0),0))</f>
        <v>0</v>
      </c>
      <c r="K429" s="34">
        <f>IF(A429="","",IFERROR(INDEX(Jobs!$AD$5:$AD$604,MATCH(A429,Jobs!$A$5:$A$604,0)),0))</f>
        <v>0</v>
      </c>
      <c r="L429" s="34">
        <f>IF(A429="","",IFERROR(INDEX(Jobs!$AK$5:$AK$604,MATCH(A429,Jobs!$A$5:$A$604,0)),0))</f>
        <v>0</v>
      </c>
      <c r="M429" s="34">
        <f>IF(A429="","",IF(IFERROR(L429*1,0)&gt;0,L429,IFERROR(K429*1,0)))</f>
        <v>0</v>
      </c>
      <c r="N429" s="21">
        <f>IF(A429="","",SUMIFS(Timesheets!$X$5:$X$804,Timesheets!$G$5:$G$804,A429))</f>
        <v>0</v>
      </c>
      <c r="O429" s="21">
        <f>IF(A429="","",IF(N429&gt;0,N429,ROUND(M429*CostPerHour,2)))</f>
        <v>0</v>
      </c>
      <c r="P429" s="21">
        <f>IF(A429="","",SUMIFS('Supply Usage'!$L$5:$L$304,'Supply Usage'!$F$5:$F$304,A429))</f>
        <v>0</v>
      </c>
      <c r="Q429" s="21">
        <f>IF(A429="","",IF(P429&gt;0,P429,ROUND(M429*SuppliesPerHour,2)))</f>
        <v>0</v>
      </c>
      <c r="R429" s="21">
        <f>IF(A429="","",ROUND(IFERROR(INDEX(Jobs!$W$5:$W$604,MATCH(A429,Jobs!$A$5:$A$604,0)),0)*MileageRate,2))</f>
        <v>0</v>
      </c>
      <c r="T429" s="21">
        <f>IF(A429="","",O429+Q429+R429+IF(S429="",0,S429))</f>
        <v>0</v>
      </c>
      <c r="U429" s="21">
        <f>IF(A429="","",J429-T429)</f>
        <v>0</v>
      </c>
      <c r="V429" s="38">
        <f>IF(OR(A429="",J429=0),"",U429/J429)</f>
        <v>0</v>
      </c>
      <c r="W429" s="21">
        <f>IF(OR(A429="",M429=0,J429=0),"",U429/M429)</f>
        <v>0</v>
      </c>
      <c r="X429" s="34">
        <f>IF(OR(A429="",L429="",L429=0,K429=""),"",L429-K429)</f>
        <v>0</v>
      </c>
      <c r="Y429" s="31">
        <f>IF(A429="","",COUNTIFS($U$5:$U$604,"&gt;"&amp;U429)+COUNTIFS($U$5:U429,U429))</f>
        <v>0</v>
      </c>
      <c r="Z429" s="31">
        <f>IF(A429="","",COUNTIFS($W$5:$W$604,"&gt;"&amp;W429)+COUNTIFS($W$5:W429,W429))</f>
        <v>0</v>
      </c>
      <c r="AA429" s="39">
        <f>IF(A429="","",IF(J429=0,"",IF(U429&lt;0,"Loss - this job cost you money",IF(V429&lt;MarginFloor,"Below - margin under the floor",IF(V429&lt;TargetMargin,"Check - under target margin",IF(AND(X429&lt;&gt;"",X429&gt;0.5),"Check - ran over the estimate","OK"))))))</f>
        <v>0</v>
      </c>
    </row>
    <row r="430" spans="1:27">
      <c r="A430" s="43">
        <f>IF(IFERROR(INDEX(Jobs!$A$5:$A$604,ROW()-4),"")="","",IFERROR(INDEX(Jobs!$A$5:$A$604,ROW()-4),""))</f>
        <v>0</v>
      </c>
      <c r="B430" s="18">
        <f>IF(A430="","",IFERROR(INDEX(Jobs!$B$5:$B$604,MATCH(A430,Jobs!$A$5:$A$604,0)),""))</f>
        <v>0</v>
      </c>
      <c r="C430" s="23">
        <f>IF(B430="","",TEXT(B430,"yyyy-mm"))</f>
        <v>0</v>
      </c>
      <c r="D430" s="43">
        <f>IF(A430="","",IFERROR(INDEX(Jobs!$G$5:$G$604,MATCH(A430,Jobs!$A$5:$A$604,0)),""))</f>
        <v>0</v>
      </c>
      <c r="E430" s="23">
        <f>IF(A430="","",IFERROR(INDEX(Jobs!$H$5:$H$604,MATCH(A430,Jobs!$A$5:$A$604,0)),""))</f>
        <v>0</v>
      </c>
      <c r="F430" s="23">
        <f>IF(A430="","",IFERROR(INDEX(Jobs!$K$5:$K$604,MATCH(A430,Jobs!$A$5:$A$604,0)),""))</f>
        <v>0</v>
      </c>
      <c r="G430" s="23">
        <f>IF(A430="","",IFERROR(INDEX(Jobs!$M$5:$M$604,MATCH(A430,Jobs!$A$5:$A$604,0)),""))</f>
        <v>0</v>
      </c>
      <c r="H430" s="23">
        <f>IF(A430="","",IFERROR(INDEX(Jobs!$R$5:$R$604,MATCH(A430,Jobs!$A$5:$A$604,0)),""))</f>
        <v>0</v>
      </c>
      <c r="I430" s="39">
        <f>IF(A430="","",IFERROR(INDEX(Jobs!$P$5:$P$604,MATCH(A430,Jobs!$A$5:$A$604,0)),""))</f>
        <v>0</v>
      </c>
      <c r="J430" s="21">
        <f>IF(A430="","",IF(OR(I430="Completed",I430="Invoiced"),IFERROR(INDEX(Jobs!$AJ$5:$AJ$604,MATCH(A430,Jobs!$A$5:$A$604,0)),0),0))</f>
        <v>0</v>
      </c>
      <c r="K430" s="34">
        <f>IF(A430="","",IFERROR(INDEX(Jobs!$AD$5:$AD$604,MATCH(A430,Jobs!$A$5:$A$604,0)),0))</f>
        <v>0</v>
      </c>
      <c r="L430" s="34">
        <f>IF(A430="","",IFERROR(INDEX(Jobs!$AK$5:$AK$604,MATCH(A430,Jobs!$A$5:$A$604,0)),0))</f>
        <v>0</v>
      </c>
      <c r="M430" s="34">
        <f>IF(A430="","",IF(IFERROR(L430*1,0)&gt;0,L430,IFERROR(K430*1,0)))</f>
        <v>0</v>
      </c>
      <c r="N430" s="21">
        <f>IF(A430="","",SUMIFS(Timesheets!$X$5:$X$804,Timesheets!$G$5:$G$804,A430))</f>
        <v>0</v>
      </c>
      <c r="O430" s="21">
        <f>IF(A430="","",IF(N430&gt;0,N430,ROUND(M430*CostPerHour,2)))</f>
        <v>0</v>
      </c>
      <c r="P430" s="21">
        <f>IF(A430="","",SUMIFS('Supply Usage'!$L$5:$L$304,'Supply Usage'!$F$5:$F$304,A430))</f>
        <v>0</v>
      </c>
      <c r="Q430" s="21">
        <f>IF(A430="","",IF(P430&gt;0,P430,ROUND(M430*SuppliesPerHour,2)))</f>
        <v>0</v>
      </c>
      <c r="R430" s="21">
        <f>IF(A430="","",ROUND(IFERROR(INDEX(Jobs!$W$5:$W$604,MATCH(A430,Jobs!$A$5:$A$604,0)),0)*MileageRate,2))</f>
        <v>0</v>
      </c>
      <c r="T430" s="21">
        <f>IF(A430="","",O430+Q430+R430+IF(S430="",0,S430))</f>
        <v>0</v>
      </c>
      <c r="U430" s="21">
        <f>IF(A430="","",J430-T430)</f>
        <v>0</v>
      </c>
      <c r="V430" s="38">
        <f>IF(OR(A430="",J430=0),"",U430/J430)</f>
        <v>0</v>
      </c>
      <c r="W430" s="21">
        <f>IF(OR(A430="",M430=0,J430=0),"",U430/M430)</f>
        <v>0</v>
      </c>
      <c r="X430" s="34">
        <f>IF(OR(A430="",L430="",L430=0,K430=""),"",L430-K430)</f>
        <v>0</v>
      </c>
      <c r="Y430" s="31">
        <f>IF(A430="","",COUNTIFS($U$5:$U$604,"&gt;"&amp;U430)+COUNTIFS($U$5:U430,U430))</f>
        <v>0</v>
      </c>
      <c r="Z430" s="31">
        <f>IF(A430="","",COUNTIFS($W$5:$W$604,"&gt;"&amp;W430)+COUNTIFS($W$5:W430,W430))</f>
        <v>0</v>
      </c>
      <c r="AA430" s="39">
        <f>IF(A430="","",IF(J430=0,"",IF(U430&lt;0,"Loss - this job cost you money",IF(V430&lt;MarginFloor,"Below - margin under the floor",IF(V430&lt;TargetMargin,"Check - under target margin",IF(AND(X430&lt;&gt;"",X430&gt;0.5),"Check - ran over the estimate","OK"))))))</f>
        <v>0</v>
      </c>
    </row>
    <row r="431" spans="1:27">
      <c r="A431" s="43">
        <f>IF(IFERROR(INDEX(Jobs!$A$5:$A$604,ROW()-4),"")="","",IFERROR(INDEX(Jobs!$A$5:$A$604,ROW()-4),""))</f>
        <v>0</v>
      </c>
      <c r="B431" s="18">
        <f>IF(A431="","",IFERROR(INDEX(Jobs!$B$5:$B$604,MATCH(A431,Jobs!$A$5:$A$604,0)),""))</f>
        <v>0</v>
      </c>
      <c r="C431" s="23">
        <f>IF(B431="","",TEXT(B431,"yyyy-mm"))</f>
        <v>0</v>
      </c>
      <c r="D431" s="43">
        <f>IF(A431="","",IFERROR(INDEX(Jobs!$G$5:$G$604,MATCH(A431,Jobs!$A$5:$A$604,0)),""))</f>
        <v>0</v>
      </c>
      <c r="E431" s="23">
        <f>IF(A431="","",IFERROR(INDEX(Jobs!$H$5:$H$604,MATCH(A431,Jobs!$A$5:$A$604,0)),""))</f>
        <v>0</v>
      </c>
      <c r="F431" s="23">
        <f>IF(A431="","",IFERROR(INDEX(Jobs!$K$5:$K$604,MATCH(A431,Jobs!$A$5:$A$604,0)),""))</f>
        <v>0</v>
      </c>
      <c r="G431" s="23">
        <f>IF(A431="","",IFERROR(INDEX(Jobs!$M$5:$M$604,MATCH(A431,Jobs!$A$5:$A$604,0)),""))</f>
        <v>0</v>
      </c>
      <c r="H431" s="23">
        <f>IF(A431="","",IFERROR(INDEX(Jobs!$R$5:$R$604,MATCH(A431,Jobs!$A$5:$A$604,0)),""))</f>
        <v>0</v>
      </c>
      <c r="I431" s="39">
        <f>IF(A431="","",IFERROR(INDEX(Jobs!$P$5:$P$604,MATCH(A431,Jobs!$A$5:$A$604,0)),""))</f>
        <v>0</v>
      </c>
      <c r="J431" s="21">
        <f>IF(A431="","",IF(OR(I431="Completed",I431="Invoiced"),IFERROR(INDEX(Jobs!$AJ$5:$AJ$604,MATCH(A431,Jobs!$A$5:$A$604,0)),0),0))</f>
        <v>0</v>
      </c>
      <c r="K431" s="34">
        <f>IF(A431="","",IFERROR(INDEX(Jobs!$AD$5:$AD$604,MATCH(A431,Jobs!$A$5:$A$604,0)),0))</f>
        <v>0</v>
      </c>
      <c r="L431" s="34">
        <f>IF(A431="","",IFERROR(INDEX(Jobs!$AK$5:$AK$604,MATCH(A431,Jobs!$A$5:$A$604,0)),0))</f>
        <v>0</v>
      </c>
      <c r="M431" s="34">
        <f>IF(A431="","",IF(IFERROR(L431*1,0)&gt;0,L431,IFERROR(K431*1,0)))</f>
        <v>0</v>
      </c>
      <c r="N431" s="21">
        <f>IF(A431="","",SUMIFS(Timesheets!$X$5:$X$804,Timesheets!$G$5:$G$804,A431))</f>
        <v>0</v>
      </c>
      <c r="O431" s="21">
        <f>IF(A431="","",IF(N431&gt;0,N431,ROUND(M431*CostPerHour,2)))</f>
        <v>0</v>
      </c>
      <c r="P431" s="21">
        <f>IF(A431="","",SUMIFS('Supply Usage'!$L$5:$L$304,'Supply Usage'!$F$5:$F$304,A431))</f>
        <v>0</v>
      </c>
      <c r="Q431" s="21">
        <f>IF(A431="","",IF(P431&gt;0,P431,ROUND(M431*SuppliesPerHour,2)))</f>
        <v>0</v>
      </c>
      <c r="R431" s="21">
        <f>IF(A431="","",ROUND(IFERROR(INDEX(Jobs!$W$5:$W$604,MATCH(A431,Jobs!$A$5:$A$604,0)),0)*MileageRate,2))</f>
        <v>0</v>
      </c>
      <c r="T431" s="21">
        <f>IF(A431="","",O431+Q431+R431+IF(S431="",0,S431))</f>
        <v>0</v>
      </c>
      <c r="U431" s="21">
        <f>IF(A431="","",J431-T431)</f>
        <v>0</v>
      </c>
      <c r="V431" s="38">
        <f>IF(OR(A431="",J431=0),"",U431/J431)</f>
        <v>0</v>
      </c>
      <c r="W431" s="21">
        <f>IF(OR(A431="",M431=0,J431=0),"",U431/M431)</f>
        <v>0</v>
      </c>
      <c r="X431" s="34">
        <f>IF(OR(A431="",L431="",L431=0,K431=""),"",L431-K431)</f>
        <v>0</v>
      </c>
      <c r="Y431" s="31">
        <f>IF(A431="","",COUNTIFS($U$5:$U$604,"&gt;"&amp;U431)+COUNTIFS($U$5:U431,U431))</f>
        <v>0</v>
      </c>
      <c r="Z431" s="31">
        <f>IF(A431="","",COUNTIFS($W$5:$W$604,"&gt;"&amp;W431)+COUNTIFS($W$5:W431,W431))</f>
        <v>0</v>
      </c>
      <c r="AA431" s="39">
        <f>IF(A431="","",IF(J431=0,"",IF(U431&lt;0,"Loss - this job cost you money",IF(V431&lt;MarginFloor,"Below - margin under the floor",IF(V431&lt;TargetMargin,"Check - under target margin",IF(AND(X431&lt;&gt;"",X431&gt;0.5),"Check - ran over the estimate","OK"))))))</f>
        <v>0</v>
      </c>
    </row>
    <row r="432" spans="1:27">
      <c r="A432" s="43">
        <f>IF(IFERROR(INDEX(Jobs!$A$5:$A$604,ROW()-4),"")="","",IFERROR(INDEX(Jobs!$A$5:$A$604,ROW()-4),""))</f>
        <v>0</v>
      </c>
      <c r="B432" s="18">
        <f>IF(A432="","",IFERROR(INDEX(Jobs!$B$5:$B$604,MATCH(A432,Jobs!$A$5:$A$604,0)),""))</f>
        <v>0</v>
      </c>
      <c r="C432" s="23">
        <f>IF(B432="","",TEXT(B432,"yyyy-mm"))</f>
        <v>0</v>
      </c>
      <c r="D432" s="43">
        <f>IF(A432="","",IFERROR(INDEX(Jobs!$G$5:$G$604,MATCH(A432,Jobs!$A$5:$A$604,0)),""))</f>
        <v>0</v>
      </c>
      <c r="E432" s="23">
        <f>IF(A432="","",IFERROR(INDEX(Jobs!$H$5:$H$604,MATCH(A432,Jobs!$A$5:$A$604,0)),""))</f>
        <v>0</v>
      </c>
      <c r="F432" s="23">
        <f>IF(A432="","",IFERROR(INDEX(Jobs!$K$5:$K$604,MATCH(A432,Jobs!$A$5:$A$604,0)),""))</f>
        <v>0</v>
      </c>
      <c r="G432" s="23">
        <f>IF(A432="","",IFERROR(INDEX(Jobs!$M$5:$M$604,MATCH(A432,Jobs!$A$5:$A$604,0)),""))</f>
        <v>0</v>
      </c>
      <c r="H432" s="23">
        <f>IF(A432="","",IFERROR(INDEX(Jobs!$R$5:$R$604,MATCH(A432,Jobs!$A$5:$A$604,0)),""))</f>
        <v>0</v>
      </c>
      <c r="I432" s="39">
        <f>IF(A432="","",IFERROR(INDEX(Jobs!$P$5:$P$604,MATCH(A432,Jobs!$A$5:$A$604,0)),""))</f>
        <v>0</v>
      </c>
      <c r="J432" s="21">
        <f>IF(A432="","",IF(OR(I432="Completed",I432="Invoiced"),IFERROR(INDEX(Jobs!$AJ$5:$AJ$604,MATCH(A432,Jobs!$A$5:$A$604,0)),0),0))</f>
        <v>0</v>
      </c>
      <c r="K432" s="34">
        <f>IF(A432="","",IFERROR(INDEX(Jobs!$AD$5:$AD$604,MATCH(A432,Jobs!$A$5:$A$604,0)),0))</f>
        <v>0</v>
      </c>
      <c r="L432" s="34">
        <f>IF(A432="","",IFERROR(INDEX(Jobs!$AK$5:$AK$604,MATCH(A432,Jobs!$A$5:$A$604,0)),0))</f>
        <v>0</v>
      </c>
      <c r="M432" s="34">
        <f>IF(A432="","",IF(IFERROR(L432*1,0)&gt;0,L432,IFERROR(K432*1,0)))</f>
        <v>0</v>
      </c>
      <c r="N432" s="21">
        <f>IF(A432="","",SUMIFS(Timesheets!$X$5:$X$804,Timesheets!$G$5:$G$804,A432))</f>
        <v>0</v>
      </c>
      <c r="O432" s="21">
        <f>IF(A432="","",IF(N432&gt;0,N432,ROUND(M432*CostPerHour,2)))</f>
        <v>0</v>
      </c>
      <c r="P432" s="21">
        <f>IF(A432="","",SUMIFS('Supply Usage'!$L$5:$L$304,'Supply Usage'!$F$5:$F$304,A432))</f>
        <v>0</v>
      </c>
      <c r="Q432" s="21">
        <f>IF(A432="","",IF(P432&gt;0,P432,ROUND(M432*SuppliesPerHour,2)))</f>
        <v>0</v>
      </c>
      <c r="R432" s="21">
        <f>IF(A432="","",ROUND(IFERROR(INDEX(Jobs!$W$5:$W$604,MATCH(A432,Jobs!$A$5:$A$604,0)),0)*MileageRate,2))</f>
        <v>0</v>
      </c>
      <c r="T432" s="21">
        <f>IF(A432="","",O432+Q432+R432+IF(S432="",0,S432))</f>
        <v>0</v>
      </c>
      <c r="U432" s="21">
        <f>IF(A432="","",J432-T432)</f>
        <v>0</v>
      </c>
      <c r="V432" s="38">
        <f>IF(OR(A432="",J432=0),"",U432/J432)</f>
        <v>0</v>
      </c>
      <c r="W432" s="21">
        <f>IF(OR(A432="",M432=0,J432=0),"",U432/M432)</f>
        <v>0</v>
      </c>
      <c r="X432" s="34">
        <f>IF(OR(A432="",L432="",L432=0,K432=""),"",L432-K432)</f>
        <v>0</v>
      </c>
      <c r="Y432" s="31">
        <f>IF(A432="","",COUNTIFS($U$5:$U$604,"&gt;"&amp;U432)+COUNTIFS($U$5:U432,U432))</f>
        <v>0</v>
      </c>
      <c r="Z432" s="31">
        <f>IF(A432="","",COUNTIFS($W$5:$W$604,"&gt;"&amp;W432)+COUNTIFS($W$5:W432,W432))</f>
        <v>0</v>
      </c>
      <c r="AA432" s="39">
        <f>IF(A432="","",IF(J432=0,"",IF(U432&lt;0,"Loss - this job cost you money",IF(V432&lt;MarginFloor,"Below - margin under the floor",IF(V432&lt;TargetMargin,"Check - under target margin",IF(AND(X432&lt;&gt;"",X432&gt;0.5),"Check - ran over the estimate","OK"))))))</f>
        <v>0</v>
      </c>
    </row>
    <row r="433" spans="1:27">
      <c r="A433" s="43">
        <f>IF(IFERROR(INDEX(Jobs!$A$5:$A$604,ROW()-4),"")="","",IFERROR(INDEX(Jobs!$A$5:$A$604,ROW()-4),""))</f>
        <v>0</v>
      </c>
      <c r="B433" s="18">
        <f>IF(A433="","",IFERROR(INDEX(Jobs!$B$5:$B$604,MATCH(A433,Jobs!$A$5:$A$604,0)),""))</f>
        <v>0</v>
      </c>
      <c r="C433" s="23">
        <f>IF(B433="","",TEXT(B433,"yyyy-mm"))</f>
        <v>0</v>
      </c>
      <c r="D433" s="43">
        <f>IF(A433="","",IFERROR(INDEX(Jobs!$G$5:$G$604,MATCH(A433,Jobs!$A$5:$A$604,0)),""))</f>
        <v>0</v>
      </c>
      <c r="E433" s="23">
        <f>IF(A433="","",IFERROR(INDEX(Jobs!$H$5:$H$604,MATCH(A433,Jobs!$A$5:$A$604,0)),""))</f>
        <v>0</v>
      </c>
      <c r="F433" s="23">
        <f>IF(A433="","",IFERROR(INDEX(Jobs!$K$5:$K$604,MATCH(A433,Jobs!$A$5:$A$604,0)),""))</f>
        <v>0</v>
      </c>
      <c r="G433" s="23">
        <f>IF(A433="","",IFERROR(INDEX(Jobs!$M$5:$M$604,MATCH(A433,Jobs!$A$5:$A$604,0)),""))</f>
        <v>0</v>
      </c>
      <c r="H433" s="23">
        <f>IF(A433="","",IFERROR(INDEX(Jobs!$R$5:$R$604,MATCH(A433,Jobs!$A$5:$A$604,0)),""))</f>
        <v>0</v>
      </c>
      <c r="I433" s="39">
        <f>IF(A433="","",IFERROR(INDEX(Jobs!$P$5:$P$604,MATCH(A433,Jobs!$A$5:$A$604,0)),""))</f>
        <v>0</v>
      </c>
      <c r="J433" s="21">
        <f>IF(A433="","",IF(OR(I433="Completed",I433="Invoiced"),IFERROR(INDEX(Jobs!$AJ$5:$AJ$604,MATCH(A433,Jobs!$A$5:$A$604,0)),0),0))</f>
        <v>0</v>
      </c>
      <c r="K433" s="34">
        <f>IF(A433="","",IFERROR(INDEX(Jobs!$AD$5:$AD$604,MATCH(A433,Jobs!$A$5:$A$604,0)),0))</f>
        <v>0</v>
      </c>
      <c r="L433" s="34">
        <f>IF(A433="","",IFERROR(INDEX(Jobs!$AK$5:$AK$604,MATCH(A433,Jobs!$A$5:$A$604,0)),0))</f>
        <v>0</v>
      </c>
      <c r="M433" s="34">
        <f>IF(A433="","",IF(IFERROR(L433*1,0)&gt;0,L433,IFERROR(K433*1,0)))</f>
        <v>0</v>
      </c>
      <c r="N433" s="21">
        <f>IF(A433="","",SUMIFS(Timesheets!$X$5:$X$804,Timesheets!$G$5:$G$804,A433))</f>
        <v>0</v>
      </c>
      <c r="O433" s="21">
        <f>IF(A433="","",IF(N433&gt;0,N433,ROUND(M433*CostPerHour,2)))</f>
        <v>0</v>
      </c>
      <c r="P433" s="21">
        <f>IF(A433="","",SUMIFS('Supply Usage'!$L$5:$L$304,'Supply Usage'!$F$5:$F$304,A433))</f>
        <v>0</v>
      </c>
      <c r="Q433" s="21">
        <f>IF(A433="","",IF(P433&gt;0,P433,ROUND(M433*SuppliesPerHour,2)))</f>
        <v>0</v>
      </c>
      <c r="R433" s="21">
        <f>IF(A433="","",ROUND(IFERROR(INDEX(Jobs!$W$5:$W$604,MATCH(A433,Jobs!$A$5:$A$604,0)),0)*MileageRate,2))</f>
        <v>0</v>
      </c>
      <c r="T433" s="21">
        <f>IF(A433="","",O433+Q433+R433+IF(S433="",0,S433))</f>
        <v>0</v>
      </c>
      <c r="U433" s="21">
        <f>IF(A433="","",J433-T433)</f>
        <v>0</v>
      </c>
      <c r="V433" s="38">
        <f>IF(OR(A433="",J433=0),"",U433/J433)</f>
        <v>0</v>
      </c>
      <c r="W433" s="21">
        <f>IF(OR(A433="",M433=0,J433=0),"",U433/M433)</f>
        <v>0</v>
      </c>
      <c r="X433" s="34">
        <f>IF(OR(A433="",L433="",L433=0,K433=""),"",L433-K433)</f>
        <v>0</v>
      </c>
      <c r="Y433" s="31">
        <f>IF(A433="","",COUNTIFS($U$5:$U$604,"&gt;"&amp;U433)+COUNTIFS($U$5:U433,U433))</f>
        <v>0</v>
      </c>
      <c r="Z433" s="31">
        <f>IF(A433="","",COUNTIFS($W$5:$W$604,"&gt;"&amp;W433)+COUNTIFS($W$5:W433,W433))</f>
        <v>0</v>
      </c>
      <c r="AA433" s="39">
        <f>IF(A433="","",IF(J433=0,"",IF(U433&lt;0,"Loss - this job cost you money",IF(V433&lt;MarginFloor,"Below - margin under the floor",IF(V433&lt;TargetMargin,"Check - under target margin",IF(AND(X433&lt;&gt;"",X433&gt;0.5),"Check - ran over the estimate","OK"))))))</f>
        <v>0</v>
      </c>
    </row>
    <row r="434" spans="1:27">
      <c r="A434" s="43">
        <f>IF(IFERROR(INDEX(Jobs!$A$5:$A$604,ROW()-4),"")="","",IFERROR(INDEX(Jobs!$A$5:$A$604,ROW()-4),""))</f>
        <v>0</v>
      </c>
      <c r="B434" s="18">
        <f>IF(A434="","",IFERROR(INDEX(Jobs!$B$5:$B$604,MATCH(A434,Jobs!$A$5:$A$604,0)),""))</f>
        <v>0</v>
      </c>
      <c r="C434" s="23">
        <f>IF(B434="","",TEXT(B434,"yyyy-mm"))</f>
        <v>0</v>
      </c>
      <c r="D434" s="43">
        <f>IF(A434="","",IFERROR(INDEX(Jobs!$G$5:$G$604,MATCH(A434,Jobs!$A$5:$A$604,0)),""))</f>
        <v>0</v>
      </c>
      <c r="E434" s="23">
        <f>IF(A434="","",IFERROR(INDEX(Jobs!$H$5:$H$604,MATCH(A434,Jobs!$A$5:$A$604,0)),""))</f>
        <v>0</v>
      </c>
      <c r="F434" s="23">
        <f>IF(A434="","",IFERROR(INDEX(Jobs!$K$5:$K$604,MATCH(A434,Jobs!$A$5:$A$604,0)),""))</f>
        <v>0</v>
      </c>
      <c r="G434" s="23">
        <f>IF(A434="","",IFERROR(INDEX(Jobs!$M$5:$M$604,MATCH(A434,Jobs!$A$5:$A$604,0)),""))</f>
        <v>0</v>
      </c>
      <c r="H434" s="23">
        <f>IF(A434="","",IFERROR(INDEX(Jobs!$R$5:$R$604,MATCH(A434,Jobs!$A$5:$A$604,0)),""))</f>
        <v>0</v>
      </c>
      <c r="I434" s="39">
        <f>IF(A434="","",IFERROR(INDEX(Jobs!$P$5:$P$604,MATCH(A434,Jobs!$A$5:$A$604,0)),""))</f>
        <v>0</v>
      </c>
      <c r="J434" s="21">
        <f>IF(A434="","",IF(OR(I434="Completed",I434="Invoiced"),IFERROR(INDEX(Jobs!$AJ$5:$AJ$604,MATCH(A434,Jobs!$A$5:$A$604,0)),0),0))</f>
        <v>0</v>
      </c>
      <c r="K434" s="34">
        <f>IF(A434="","",IFERROR(INDEX(Jobs!$AD$5:$AD$604,MATCH(A434,Jobs!$A$5:$A$604,0)),0))</f>
        <v>0</v>
      </c>
      <c r="L434" s="34">
        <f>IF(A434="","",IFERROR(INDEX(Jobs!$AK$5:$AK$604,MATCH(A434,Jobs!$A$5:$A$604,0)),0))</f>
        <v>0</v>
      </c>
      <c r="M434" s="34">
        <f>IF(A434="","",IF(IFERROR(L434*1,0)&gt;0,L434,IFERROR(K434*1,0)))</f>
        <v>0</v>
      </c>
      <c r="N434" s="21">
        <f>IF(A434="","",SUMIFS(Timesheets!$X$5:$X$804,Timesheets!$G$5:$G$804,A434))</f>
        <v>0</v>
      </c>
      <c r="O434" s="21">
        <f>IF(A434="","",IF(N434&gt;0,N434,ROUND(M434*CostPerHour,2)))</f>
        <v>0</v>
      </c>
      <c r="P434" s="21">
        <f>IF(A434="","",SUMIFS('Supply Usage'!$L$5:$L$304,'Supply Usage'!$F$5:$F$304,A434))</f>
        <v>0</v>
      </c>
      <c r="Q434" s="21">
        <f>IF(A434="","",IF(P434&gt;0,P434,ROUND(M434*SuppliesPerHour,2)))</f>
        <v>0</v>
      </c>
      <c r="R434" s="21">
        <f>IF(A434="","",ROUND(IFERROR(INDEX(Jobs!$W$5:$W$604,MATCH(A434,Jobs!$A$5:$A$604,0)),0)*MileageRate,2))</f>
        <v>0</v>
      </c>
      <c r="T434" s="21">
        <f>IF(A434="","",O434+Q434+R434+IF(S434="",0,S434))</f>
        <v>0</v>
      </c>
      <c r="U434" s="21">
        <f>IF(A434="","",J434-T434)</f>
        <v>0</v>
      </c>
      <c r="V434" s="38">
        <f>IF(OR(A434="",J434=0),"",U434/J434)</f>
        <v>0</v>
      </c>
      <c r="W434" s="21">
        <f>IF(OR(A434="",M434=0,J434=0),"",U434/M434)</f>
        <v>0</v>
      </c>
      <c r="X434" s="34">
        <f>IF(OR(A434="",L434="",L434=0,K434=""),"",L434-K434)</f>
        <v>0</v>
      </c>
      <c r="Y434" s="31">
        <f>IF(A434="","",COUNTIFS($U$5:$U$604,"&gt;"&amp;U434)+COUNTIFS($U$5:U434,U434))</f>
        <v>0</v>
      </c>
      <c r="Z434" s="31">
        <f>IF(A434="","",COUNTIFS($W$5:$W$604,"&gt;"&amp;W434)+COUNTIFS($W$5:W434,W434))</f>
        <v>0</v>
      </c>
      <c r="AA434" s="39">
        <f>IF(A434="","",IF(J434=0,"",IF(U434&lt;0,"Loss - this job cost you money",IF(V434&lt;MarginFloor,"Below - margin under the floor",IF(V434&lt;TargetMargin,"Check - under target margin",IF(AND(X434&lt;&gt;"",X434&gt;0.5),"Check - ran over the estimate","OK"))))))</f>
        <v>0</v>
      </c>
    </row>
    <row r="435" spans="1:27">
      <c r="A435" s="43">
        <f>IF(IFERROR(INDEX(Jobs!$A$5:$A$604,ROW()-4),"")="","",IFERROR(INDEX(Jobs!$A$5:$A$604,ROW()-4),""))</f>
        <v>0</v>
      </c>
      <c r="B435" s="18">
        <f>IF(A435="","",IFERROR(INDEX(Jobs!$B$5:$B$604,MATCH(A435,Jobs!$A$5:$A$604,0)),""))</f>
        <v>0</v>
      </c>
      <c r="C435" s="23">
        <f>IF(B435="","",TEXT(B435,"yyyy-mm"))</f>
        <v>0</v>
      </c>
      <c r="D435" s="43">
        <f>IF(A435="","",IFERROR(INDEX(Jobs!$G$5:$G$604,MATCH(A435,Jobs!$A$5:$A$604,0)),""))</f>
        <v>0</v>
      </c>
      <c r="E435" s="23">
        <f>IF(A435="","",IFERROR(INDEX(Jobs!$H$5:$H$604,MATCH(A435,Jobs!$A$5:$A$604,0)),""))</f>
        <v>0</v>
      </c>
      <c r="F435" s="23">
        <f>IF(A435="","",IFERROR(INDEX(Jobs!$K$5:$K$604,MATCH(A435,Jobs!$A$5:$A$604,0)),""))</f>
        <v>0</v>
      </c>
      <c r="G435" s="23">
        <f>IF(A435="","",IFERROR(INDEX(Jobs!$M$5:$M$604,MATCH(A435,Jobs!$A$5:$A$604,0)),""))</f>
        <v>0</v>
      </c>
      <c r="H435" s="23">
        <f>IF(A435="","",IFERROR(INDEX(Jobs!$R$5:$R$604,MATCH(A435,Jobs!$A$5:$A$604,0)),""))</f>
        <v>0</v>
      </c>
      <c r="I435" s="39">
        <f>IF(A435="","",IFERROR(INDEX(Jobs!$P$5:$P$604,MATCH(A435,Jobs!$A$5:$A$604,0)),""))</f>
        <v>0</v>
      </c>
      <c r="J435" s="21">
        <f>IF(A435="","",IF(OR(I435="Completed",I435="Invoiced"),IFERROR(INDEX(Jobs!$AJ$5:$AJ$604,MATCH(A435,Jobs!$A$5:$A$604,0)),0),0))</f>
        <v>0</v>
      </c>
      <c r="K435" s="34">
        <f>IF(A435="","",IFERROR(INDEX(Jobs!$AD$5:$AD$604,MATCH(A435,Jobs!$A$5:$A$604,0)),0))</f>
        <v>0</v>
      </c>
      <c r="L435" s="34">
        <f>IF(A435="","",IFERROR(INDEX(Jobs!$AK$5:$AK$604,MATCH(A435,Jobs!$A$5:$A$604,0)),0))</f>
        <v>0</v>
      </c>
      <c r="M435" s="34">
        <f>IF(A435="","",IF(IFERROR(L435*1,0)&gt;0,L435,IFERROR(K435*1,0)))</f>
        <v>0</v>
      </c>
      <c r="N435" s="21">
        <f>IF(A435="","",SUMIFS(Timesheets!$X$5:$X$804,Timesheets!$G$5:$G$804,A435))</f>
        <v>0</v>
      </c>
      <c r="O435" s="21">
        <f>IF(A435="","",IF(N435&gt;0,N435,ROUND(M435*CostPerHour,2)))</f>
        <v>0</v>
      </c>
      <c r="P435" s="21">
        <f>IF(A435="","",SUMIFS('Supply Usage'!$L$5:$L$304,'Supply Usage'!$F$5:$F$304,A435))</f>
        <v>0</v>
      </c>
      <c r="Q435" s="21">
        <f>IF(A435="","",IF(P435&gt;0,P435,ROUND(M435*SuppliesPerHour,2)))</f>
        <v>0</v>
      </c>
      <c r="R435" s="21">
        <f>IF(A435="","",ROUND(IFERROR(INDEX(Jobs!$W$5:$W$604,MATCH(A435,Jobs!$A$5:$A$604,0)),0)*MileageRate,2))</f>
        <v>0</v>
      </c>
      <c r="T435" s="21">
        <f>IF(A435="","",O435+Q435+R435+IF(S435="",0,S435))</f>
        <v>0</v>
      </c>
      <c r="U435" s="21">
        <f>IF(A435="","",J435-T435)</f>
        <v>0</v>
      </c>
      <c r="V435" s="38">
        <f>IF(OR(A435="",J435=0),"",U435/J435)</f>
        <v>0</v>
      </c>
      <c r="W435" s="21">
        <f>IF(OR(A435="",M435=0,J435=0),"",U435/M435)</f>
        <v>0</v>
      </c>
      <c r="X435" s="34">
        <f>IF(OR(A435="",L435="",L435=0,K435=""),"",L435-K435)</f>
        <v>0</v>
      </c>
      <c r="Y435" s="31">
        <f>IF(A435="","",COUNTIFS($U$5:$U$604,"&gt;"&amp;U435)+COUNTIFS($U$5:U435,U435))</f>
        <v>0</v>
      </c>
      <c r="Z435" s="31">
        <f>IF(A435="","",COUNTIFS($W$5:$W$604,"&gt;"&amp;W435)+COUNTIFS($W$5:W435,W435))</f>
        <v>0</v>
      </c>
      <c r="AA435" s="39">
        <f>IF(A435="","",IF(J435=0,"",IF(U435&lt;0,"Loss - this job cost you money",IF(V435&lt;MarginFloor,"Below - margin under the floor",IF(V435&lt;TargetMargin,"Check - under target margin",IF(AND(X435&lt;&gt;"",X435&gt;0.5),"Check - ran over the estimate","OK"))))))</f>
        <v>0</v>
      </c>
    </row>
    <row r="436" spans="1:27">
      <c r="A436" s="43">
        <f>IF(IFERROR(INDEX(Jobs!$A$5:$A$604,ROW()-4),"")="","",IFERROR(INDEX(Jobs!$A$5:$A$604,ROW()-4),""))</f>
        <v>0</v>
      </c>
      <c r="B436" s="18">
        <f>IF(A436="","",IFERROR(INDEX(Jobs!$B$5:$B$604,MATCH(A436,Jobs!$A$5:$A$604,0)),""))</f>
        <v>0</v>
      </c>
      <c r="C436" s="23">
        <f>IF(B436="","",TEXT(B436,"yyyy-mm"))</f>
        <v>0</v>
      </c>
      <c r="D436" s="43">
        <f>IF(A436="","",IFERROR(INDEX(Jobs!$G$5:$G$604,MATCH(A436,Jobs!$A$5:$A$604,0)),""))</f>
        <v>0</v>
      </c>
      <c r="E436" s="23">
        <f>IF(A436="","",IFERROR(INDEX(Jobs!$H$5:$H$604,MATCH(A436,Jobs!$A$5:$A$604,0)),""))</f>
        <v>0</v>
      </c>
      <c r="F436" s="23">
        <f>IF(A436="","",IFERROR(INDEX(Jobs!$K$5:$K$604,MATCH(A436,Jobs!$A$5:$A$604,0)),""))</f>
        <v>0</v>
      </c>
      <c r="G436" s="23">
        <f>IF(A436="","",IFERROR(INDEX(Jobs!$M$5:$M$604,MATCH(A436,Jobs!$A$5:$A$604,0)),""))</f>
        <v>0</v>
      </c>
      <c r="H436" s="23">
        <f>IF(A436="","",IFERROR(INDEX(Jobs!$R$5:$R$604,MATCH(A436,Jobs!$A$5:$A$604,0)),""))</f>
        <v>0</v>
      </c>
      <c r="I436" s="39">
        <f>IF(A436="","",IFERROR(INDEX(Jobs!$P$5:$P$604,MATCH(A436,Jobs!$A$5:$A$604,0)),""))</f>
        <v>0</v>
      </c>
      <c r="J436" s="21">
        <f>IF(A436="","",IF(OR(I436="Completed",I436="Invoiced"),IFERROR(INDEX(Jobs!$AJ$5:$AJ$604,MATCH(A436,Jobs!$A$5:$A$604,0)),0),0))</f>
        <v>0</v>
      </c>
      <c r="K436" s="34">
        <f>IF(A436="","",IFERROR(INDEX(Jobs!$AD$5:$AD$604,MATCH(A436,Jobs!$A$5:$A$604,0)),0))</f>
        <v>0</v>
      </c>
      <c r="L436" s="34">
        <f>IF(A436="","",IFERROR(INDEX(Jobs!$AK$5:$AK$604,MATCH(A436,Jobs!$A$5:$A$604,0)),0))</f>
        <v>0</v>
      </c>
      <c r="M436" s="34">
        <f>IF(A436="","",IF(IFERROR(L436*1,0)&gt;0,L436,IFERROR(K436*1,0)))</f>
        <v>0</v>
      </c>
      <c r="N436" s="21">
        <f>IF(A436="","",SUMIFS(Timesheets!$X$5:$X$804,Timesheets!$G$5:$G$804,A436))</f>
        <v>0</v>
      </c>
      <c r="O436" s="21">
        <f>IF(A436="","",IF(N436&gt;0,N436,ROUND(M436*CostPerHour,2)))</f>
        <v>0</v>
      </c>
      <c r="P436" s="21">
        <f>IF(A436="","",SUMIFS('Supply Usage'!$L$5:$L$304,'Supply Usage'!$F$5:$F$304,A436))</f>
        <v>0</v>
      </c>
      <c r="Q436" s="21">
        <f>IF(A436="","",IF(P436&gt;0,P436,ROUND(M436*SuppliesPerHour,2)))</f>
        <v>0</v>
      </c>
      <c r="R436" s="21">
        <f>IF(A436="","",ROUND(IFERROR(INDEX(Jobs!$W$5:$W$604,MATCH(A436,Jobs!$A$5:$A$604,0)),0)*MileageRate,2))</f>
        <v>0</v>
      </c>
      <c r="T436" s="21">
        <f>IF(A436="","",O436+Q436+R436+IF(S436="",0,S436))</f>
        <v>0</v>
      </c>
      <c r="U436" s="21">
        <f>IF(A436="","",J436-T436)</f>
        <v>0</v>
      </c>
      <c r="V436" s="38">
        <f>IF(OR(A436="",J436=0),"",U436/J436)</f>
        <v>0</v>
      </c>
      <c r="W436" s="21">
        <f>IF(OR(A436="",M436=0,J436=0),"",U436/M436)</f>
        <v>0</v>
      </c>
      <c r="X436" s="34">
        <f>IF(OR(A436="",L436="",L436=0,K436=""),"",L436-K436)</f>
        <v>0</v>
      </c>
      <c r="Y436" s="31">
        <f>IF(A436="","",COUNTIFS($U$5:$U$604,"&gt;"&amp;U436)+COUNTIFS($U$5:U436,U436))</f>
        <v>0</v>
      </c>
      <c r="Z436" s="31">
        <f>IF(A436="","",COUNTIFS($W$5:$W$604,"&gt;"&amp;W436)+COUNTIFS($W$5:W436,W436))</f>
        <v>0</v>
      </c>
      <c r="AA436" s="39">
        <f>IF(A436="","",IF(J436=0,"",IF(U436&lt;0,"Loss - this job cost you money",IF(V436&lt;MarginFloor,"Below - margin under the floor",IF(V436&lt;TargetMargin,"Check - under target margin",IF(AND(X436&lt;&gt;"",X436&gt;0.5),"Check - ran over the estimate","OK"))))))</f>
        <v>0</v>
      </c>
    </row>
    <row r="437" spans="1:27">
      <c r="A437" s="43">
        <f>IF(IFERROR(INDEX(Jobs!$A$5:$A$604,ROW()-4),"")="","",IFERROR(INDEX(Jobs!$A$5:$A$604,ROW()-4),""))</f>
        <v>0</v>
      </c>
      <c r="B437" s="18">
        <f>IF(A437="","",IFERROR(INDEX(Jobs!$B$5:$B$604,MATCH(A437,Jobs!$A$5:$A$604,0)),""))</f>
        <v>0</v>
      </c>
      <c r="C437" s="23">
        <f>IF(B437="","",TEXT(B437,"yyyy-mm"))</f>
        <v>0</v>
      </c>
      <c r="D437" s="43">
        <f>IF(A437="","",IFERROR(INDEX(Jobs!$G$5:$G$604,MATCH(A437,Jobs!$A$5:$A$604,0)),""))</f>
        <v>0</v>
      </c>
      <c r="E437" s="23">
        <f>IF(A437="","",IFERROR(INDEX(Jobs!$H$5:$H$604,MATCH(A437,Jobs!$A$5:$A$604,0)),""))</f>
        <v>0</v>
      </c>
      <c r="F437" s="23">
        <f>IF(A437="","",IFERROR(INDEX(Jobs!$K$5:$K$604,MATCH(A437,Jobs!$A$5:$A$604,0)),""))</f>
        <v>0</v>
      </c>
      <c r="G437" s="23">
        <f>IF(A437="","",IFERROR(INDEX(Jobs!$M$5:$M$604,MATCH(A437,Jobs!$A$5:$A$604,0)),""))</f>
        <v>0</v>
      </c>
      <c r="H437" s="23">
        <f>IF(A437="","",IFERROR(INDEX(Jobs!$R$5:$R$604,MATCH(A437,Jobs!$A$5:$A$604,0)),""))</f>
        <v>0</v>
      </c>
      <c r="I437" s="39">
        <f>IF(A437="","",IFERROR(INDEX(Jobs!$P$5:$P$604,MATCH(A437,Jobs!$A$5:$A$604,0)),""))</f>
        <v>0</v>
      </c>
      <c r="J437" s="21">
        <f>IF(A437="","",IF(OR(I437="Completed",I437="Invoiced"),IFERROR(INDEX(Jobs!$AJ$5:$AJ$604,MATCH(A437,Jobs!$A$5:$A$604,0)),0),0))</f>
        <v>0</v>
      </c>
      <c r="K437" s="34">
        <f>IF(A437="","",IFERROR(INDEX(Jobs!$AD$5:$AD$604,MATCH(A437,Jobs!$A$5:$A$604,0)),0))</f>
        <v>0</v>
      </c>
      <c r="L437" s="34">
        <f>IF(A437="","",IFERROR(INDEX(Jobs!$AK$5:$AK$604,MATCH(A437,Jobs!$A$5:$A$604,0)),0))</f>
        <v>0</v>
      </c>
      <c r="M437" s="34">
        <f>IF(A437="","",IF(IFERROR(L437*1,0)&gt;0,L437,IFERROR(K437*1,0)))</f>
        <v>0</v>
      </c>
      <c r="N437" s="21">
        <f>IF(A437="","",SUMIFS(Timesheets!$X$5:$X$804,Timesheets!$G$5:$G$804,A437))</f>
        <v>0</v>
      </c>
      <c r="O437" s="21">
        <f>IF(A437="","",IF(N437&gt;0,N437,ROUND(M437*CostPerHour,2)))</f>
        <v>0</v>
      </c>
      <c r="P437" s="21">
        <f>IF(A437="","",SUMIFS('Supply Usage'!$L$5:$L$304,'Supply Usage'!$F$5:$F$304,A437))</f>
        <v>0</v>
      </c>
      <c r="Q437" s="21">
        <f>IF(A437="","",IF(P437&gt;0,P437,ROUND(M437*SuppliesPerHour,2)))</f>
        <v>0</v>
      </c>
      <c r="R437" s="21">
        <f>IF(A437="","",ROUND(IFERROR(INDEX(Jobs!$W$5:$W$604,MATCH(A437,Jobs!$A$5:$A$604,0)),0)*MileageRate,2))</f>
        <v>0</v>
      </c>
      <c r="T437" s="21">
        <f>IF(A437="","",O437+Q437+R437+IF(S437="",0,S437))</f>
        <v>0</v>
      </c>
      <c r="U437" s="21">
        <f>IF(A437="","",J437-T437)</f>
        <v>0</v>
      </c>
      <c r="V437" s="38">
        <f>IF(OR(A437="",J437=0),"",U437/J437)</f>
        <v>0</v>
      </c>
      <c r="W437" s="21">
        <f>IF(OR(A437="",M437=0,J437=0),"",U437/M437)</f>
        <v>0</v>
      </c>
      <c r="X437" s="34">
        <f>IF(OR(A437="",L437="",L437=0,K437=""),"",L437-K437)</f>
        <v>0</v>
      </c>
      <c r="Y437" s="31">
        <f>IF(A437="","",COUNTIFS($U$5:$U$604,"&gt;"&amp;U437)+COUNTIFS($U$5:U437,U437))</f>
        <v>0</v>
      </c>
      <c r="Z437" s="31">
        <f>IF(A437="","",COUNTIFS($W$5:$W$604,"&gt;"&amp;W437)+COUNTIFS($W$5:W437,W437))</f>
        <v>0</v>
      </c>
      <c r="AA437" s="39">
        <f>IF(A437="","",IF(J437=0,"",IF(U437&lt;0,"Loss - this job cost you money",IF(V437&lt;MarginFloor,"Below - margin under the floor",IF(V437&lt;TargetMargin,"Check - under target margin",IF(AND(X437&lt;&gt;"",X437&gt;0.5),"Check - ran over the estimate","OK"))))))</f>
        <v>0</v>
      </c>
    </row>
    <row r="438" spans="1:27">
      <c r="A438" s="43">
        <f>IF(IFERROR(INDEX(Jobs!$A$5:$A$604,ROW()-4),"")="","",IFERROR(INDEX(Jobs!$A$5:$A$604,ROW()-4),""))</f>
        <v>0</v>
      </c>
      <c r="B438" s="18">
        <f>IF(A438="","",IFERROR(INDEX(Jobs!$B$5:$B$604,MATCH(A438,Jobs!$A$5:$A$604,0)),""))</f>
        <v>0</v>
      </c>
      <c r="C438" s="23">
        <f>IF(B438="","",TEXT(B438,"yyyy-mm"))</f>
        <v>0</v>
      </c>
      <c r="D438" s="43">
        <f>IF(A438="","",IFERROR(INDEX(Jobs!$G$5:$G$604,MATCH(A438,Jobs!$A$5:$A$604,0)),""))</f>
        <v>0</v>
      </c>
      <c r="E438" s="23">
        <f>IF(A438="","",IFERROR(INDEX(Jobs!$H$5:$H$604,MATCH(A438,Jobs!$A$5:$A$604,0)),""))</f>
        <v>0</v>
      </c>
      <c r="F438" s="23">
        <f>IF(A438="","",IFERROR(INDEX(Jobs!$K$5:$K$604,MATCH(A438,Jobs!$A$5:$A$604,0)),""))</f>
        <v>0</v>
      </c>
      <c r="G438" s="23">
        <f>IF(A438="","",IFERROR(INDEX(Jobs!$M$5:$M$604,MATCH(A438,Jobs!$A$5:$A$604,0)),""))</f>
        <v>0</v>
      </c>
      <c r="H438" s="23">
        <f>IF(A438="","",IFERROR(INDEX(Jobs!$R$5:$R$604,MATCH(A438,Jobs!$A$5:$A$604,0)),""))</f>
        <v>0</v>
      </c>
      <c r="I438" s="39">
        <f>IF(A438="","",IFERROR(INDEX(Jobs!$P$5:$P$604,MATCH(A438,Jobs!$A$5:$A$604,0)),""))</f>
        <v>0</v>
      </c>
      <c r="J438" s="21">
        <f>IF(A438="","",IF(OR(I438="Completed",I438="Invoiced"),IFERROR(INDEX(Jobs!$AJ$5:$AJ$604,MATCH(A438,Jobs!$A$5:$A$604,0)),0),0))</f>
        <v>0</v>
      </c>
      <c r="K438" s="34">
        <f>IF(A438="","",IFERROR(INDEX(Jobs!$AD$5:$AD$604,MATCH(A438,Jobs!$A$5:$A$604,0)),0))</f>
        <v>0</v>
      </c>
      <c r="L438" s="34">
        <f>IF(A438="","",IFERROR(INDEX(Jobs!$AK$5:$AK$604,MATCH(A438,Jobs!$A$5:$A$604,0)),0))</f>
        <v>0</v>
      </c>
      <c r="M438" s="34">
        <f>IF(A438="","",IF(IFERROR(L438*1,0)&gt;0,L438,IFERROR(K438*1,0)))</f>
        <v>0</v>
      </c>
      <c r="N438" s="21">
        <f>IF(A438="","",SUMIFS(Timesheets!$X$5:$X$804,Timesheets!$G$5:$G$804,A438))</f>
        <v>0</v>
      </c>
      <c r="O438" s="21">
        <f>IF(A438="","",IF(N438&gt;0,N438,ROUND(M438*CostPerHour,2)))</f>
        <v>0</v>
      </c>
      <c r="P438" s="21">
        <f>IF(A438="","",SUMIFS('Supply Usage'!$L$5:$L$304,'Supply Usage'!$F$5:$F$304,A438))</f>
        <v>0</v>
      </c>
      <c r="Q438" s="21">
        <f>IF(A438="","",IF(P438&gt;0,P438,ROUND(M438*SuppliesPerHour,2)))</f>
        <v>0</v>
      </c>
      <c r="R438" s="21">
        <f>IF(A438="","",ROUND(IFERROR(INDEX(Jobs!$W$5:$W$604,MATCH(A438,Jobs!$A$5:$A$604,0)),0)*MileageRate,2))</f>
        <v>0</v>
      </c>
      <c r="T438" s="21">
        <f>IF(A438="","",O438+Q438+R438+IF(S438="",0,S438))</f>
        <v>0</v>
      </c>
      <c r="U438" s="21">
        <f>IF(A438="","",J438-T438)</f>
        <v>0</v>
      </c>
      <c r="V438" s="38">
        <f>IF(OR(A438="",J438=0),"",U438/J438)</f>
        <v>0</v>
      </c>
      <c r="W438" s="21">
        <f>IF(OR(A438="",M438=0,J438=0),"",U438/M438)</f>
        <v>0</v>
      </c>
      <c r="X438" s="34">
        <f>IF(OR(A438="",L438="",L438=0,K438=""),"",L438-K438)</f>
        <v>0</v>
      </c>
      <c r="Y438" s="31">
        <f>IF(A438="","",COUNTIFS($U$5:$U$604,"&gt;"&amp;U438)+COUNTIFS($U$5:U438,U438))</f>
        <v>0</v>
      </c>
      <c r="Z438" s="31">
        <f>IF(A438="","",COUNTIFS($W$5:$W$604,"&gt;"&amp;W438)+COUNTIFS($W$5:W438,W438))</f>
        <v>0</v>
      </c>
      <c r="AA438" s="39">
        <f>IF(A438="","",IF(J438=0,"",IF(U438&lt;0,"Loss - this job cost you money",IF(V438&lt;MarginFloor,"Below - margin under the floor",IF(V438&lt;TargetMargin,"Check - under target margin",IF(AND(X438&lt;&gt;"",X438&gt;0.5),"Check - ran over the estimate","OK"))))))</f>
        <v>0</v>
      </c>
    </row>
    <row r="439" spans="1:27">
      <c r="A439" s="43">
        <f>IF(IFERROR(INDEX(Jobs!$A$5:$A$604,ROW()-4),"")="","",IFERROR(INDEX(Jobs!$A$5:$A$604,ROW()-4),""))</f>
        <v>0</v>
      </c>
      <c r="B439" s="18">
        <f>IF(A439="","",IFERROR(INDEX(Jobs!$B$5:$B$604,MATCH(A439,Jobs!$A$5:$A$604,0)),""))</f>
        <v>0</v>
      </c>
      <c r="C439" s="23">
        <f>IF(B439="","",TEXT(B439,"yyyy-mm"))</f>
        <v>0</v>
      </c>
      <c r="D439" s="43">
        <f>IF(A439="","",IFERROR(INDEX(Jobs!$G$5:$G$604,MATCH(A439,Jobs!$A$5:$A$604,0)),""))</f>
        <v>0</v>
      </c>
      <c r="E439" s="23">
        <f>IF(A439="","",IFERROR(INDEX(Jobs!$H$5:$H$604,MATCH(A439,Jobs!$A$5:$A$604,0)),""))</f>
        <v>0</v>
      </c>
      <c r="F439" s="23">
        <f>IF(A439="","",IFERROR(INDEX(Jobs!$K$5:$K$604,MATCH(A439,Jobs!$A$5:$A$604,0)),""))</f>
        <v>0</v>
      </c>
      <c r="G439" s="23">
        <f>IF(A439="","",IFERROR(INDEX(Jobs!$M$5:$M$604,MATCH(A439,Jobs!$A$5:$A$604,0)),""))</f>
        <v>0</v>
      </c>
      <c r="H439" s="23">
        <f>IF(A439="","",IFERROR(INDEX(Jobs!$R$5:$R$604,MATCH(A439,Jobs!$A$5:$A$604,0)),""))</f>
        <v>0</v>
      </c>
      <c r="I439" s="39">
        <f>IF(A439="","",IFERROR(INDEX(Jobs!$P$5:$P$604,MATCH(A439,Jobs!$A$5:$A$604,0)),""))</f>
        <v>0</v>
      </c>
      <c r="J439" s="21">
        <f>IF(A439="","",IF(OR(I439="Completed",I439="Invoiced"),IFERROR(INDEX(Jobs!$AJ$5:$AJ$604,MATCH(A439,Jobs!$A$5:$A$604,0)),0),0))</f>
        <v>0</v>
      </c>
      <c r="K439" s="34">
        <f>IF(A439="","",IFERROR(INDEX(Jobs!$AD$5:$AD$604,MATCH(A439,Jobs!$A$5:$A$604,0)),0))</f>
        <v>0</v>
      </c>
      <c r="L439" s="34">
        <f>IF(A439="","",IFERROR(INDEX(Jobs!$AK$5:$AK$604,MATCH(A439,Jobs!$A$5:$A$604,0)),0))</f>
        <v>0</v>
      </c>
      <c r="M439" s="34">
        <f>IF(A439="","",IF(IFERROR(L439*1,0)&gt;0,L439,IFERROR(K439*1,0)))</f>
        <v>0</v>
      </c>
      <c r="N439" s="21">
        <f>IF(A439="","",SUMIFS(Timesheets!$X$5:$X$804,Timesheets!$G$5:$G$804,A439))</f>
        <v>0</v>
      </c>
      <c r="O439" s="21">
        <f>IF(A439="","",IF(N439&gt;0,N439,ROUND(M439*CostPerHour,2)))</f>
        <v>0</v>
      </c>
      <c r="P439" s="21">
        <f>IF(A439="","",SUMIFS('Supply Usage'!$L$5:$L$304,'Supply Usage'!$F$5:$F$304,A439))</f>
        <v>0</v>
      </c>
      <c r="Q439" s="21">
        <f>IF(A439="","",IF(P439&gt;0,P439,ROUND(M439*SuppliesPerHour,2)))</f>
        <v>0</v>
      </c>
      <c r="R439" s="21">
        <f>IF(A439="","",ROUND(IFERROR(INDEX(Jobs!$W$5:$W$604,MATCH(A439,Jobs!$A$5:$A$604,0)),0)*MileageRate,2))</f>
        <v>0</v>
      </c>
      <c r="T439" s="21">
        <f>IF(A439="","",O439+Q439+R439+IF(S439="",0,S439))</f>
        <v>0</v>
      </c>
      <c r="U439" s="21">
        <f>IF(A439="","",J439-T439)</f>
        <v>0</v>
      </c>
      <c r="V439" s="38">
        <f>IF(OR(A439="",J439=0),"",U439/J439)</f>
        <v>0</v>
      </c>
      <c r="W439" s="21">
        <f>IF(OR(A439="",M439=0,J439=0),"",U439/M439)</f>
        <v>0</v>
      </c>
      <c r="X439" s="34">
        <f>IF(OR(A439="",L439="",L439=0,K439=""),"",L439-K439)</f>
        <v>0</v>
      </c>
      <c r="Y439" s="31">
        <f>IF(A439="","",COUNTIFS($U$5:$U$604,"&gt;"&amp;U439)+COUNTIFS($U$5:U439,U439))</f>
        <v>0</v>
      </c>
      <c r="Z439" s="31">
        <f>IF(A439="","",COUNTIFS($W$5:$W$604,"&gt;"&amp;W439)+COUNTIFS($W$5:W439,W439))</f>
        <v>0</v>
      </c>
      <c r="AA439" s="39">
        <f>IF(A439="","",IF(J439=0,"",IF(U439&lt;0,"Loss - this job cost you money",IF(V439&lt;MarginFloor,"Below - margin under the floor",IF(V439&lt;TargetMargin,"Check - under target margin",IF(AND(X439&lt;&gt;"",X439&gt;0.5),"Check - ran over the estimate","OK"))))))</f>
        <v>0</v>
      </c>
    </row>
    <row r="440" spans="1:27">
      <c r="A440" s="43">
        <f>IF(IFERROR(INDEX(Jobs!$A$5:$A$604,ROW()-4),"")="","",IFERROR(INDEX(Jobs!$A$5:$A$604,ROW()-4),""))</f>
        <v>0</v>
      </c>
      <c r="B440" s="18">
        <f>IF(A440="","",IFERROR(INDEX(Jobs!$B$5:$B$604,MATCH(A440,Jobs!$A$5:$A$604,0)),""))</f>
        <v>0</v>
      </c>
      <c r="C440" s="23">
        <f>IF(B440="","",TEXT(B440,"yyyy-mm"))</f>
        <v>0</v>
      </c>
      <c r="D440" s="43">
        <f>IF(A440="","",IFERROR(INDEX(Jobs!$G$5:$G$604,MATCH(A440,Jobs!$A$5:$A$604,0)),""))</f>
        <v>0</v>
      </c>
      <c r="E440" s="23">
        <f>IF(A440="","",IFERROR(INDEX(Jobs!$H$5:$H$604,MATCH(A440,Jobs!$A$5:$A$604,0)),""))</f>
        <v>0</v>
      </c>
      <c r="F440" s="23">
        <f>IF(A440="","",IFERROR(INDEX(Jobs!$K$5:$K$604,MATCH(A440,Jobs!$A$5:$A$604,0)),""))</f>
        <v>0</v>
      </c>
      <c r="G440" s="23">
        <f>IF(A440="","",IFERROR(INDEX(Jobs!$M$5:$M$604,MATCH(A440,Jobs!$A$5:$A$604,0)),""))</f>
        <v>0</v>
      </c>
      <c r="H440" s="23">
        <f>IF(A440="","",IFERROR(INDEX(Jobs!$R$5:$R$604,MATCH(A440,Jobs!$A$5:$A$604,0)),""))</f>
        <v>0</v>
      </c>
      <c r="I440" s="39">
        <f>IF(A440="","",IFERROR(INDEX(Jobs!$P$5:$P$604,MATCH(A440,Jobs!$A$5:$A$604,0)),""))</f>
        <v>0</v>
      </c>
      <c r="J440" s="21">
        <f>IF(A440="","",IF(OR(I440="Completed",I440="Invoiced"),IFERROR(INDEX(Jobs!$AJ$5:$AJ$604,MATCH(A440,Jobs!$A$5:$A$604,0)),0),0))</f>
        <v>0</v>
      </c>
      <c r="K440" s="34">
        <f>IF(A440="","",IFERROR(INDEX(Jobs!$AD$5:$AD$604,MATCH(A440,Jobs!$A$5:$A$604,0)),0))</f>
        <v>0</v>
      </c>
      <c r="L440" s="34">
        <f>IF(A440="","",IFERROR(INDEX(Jobs!$AK$5:$AK$604,MATCH(A440,Jobs!$A$5:$A$604,0)),0))</f>
        <v>0</v>
      </c>
      <c r="M440" s="34">
        <f>IF(A440="","",IF(IFERROR(L440*1,0)&gt;0,L440,IFERROR(K440*1,0)))</f>
        <v>0</v>
      </c>
      <c r="N440" s="21">
        <f>IF(A440="","",SUMIFS(Timesheets!$X$5:$X$804,Timesheets!$G$5:$G$804,A440))</f>
        <v>0</v>
      </c>
      <c r="O440" s="21">
        <f>IF(A440="","",IF(N440&gt;0,N440,ROUND(M440*CostPerHour,2)))</f>
        <v>0</v>
      </c>
      <c r="P440" s="21">
        <f>IF(A440="","",SUMIFS('Supply Usage'!$L$5:$L$304,'Supply Usage'!$F$5:$F$304,A440))</f>
        <v>0</v>
      </c>
      <c r="Q440" s="21">
        <f>IF(A440="","",IF(P440&gt;0,P440,ROUND(M440*SuppliesPerHour,2)))</f>
        <v>0</v>
      </c>
      <c r="R440" s="21">
        <f>IF(A440="","",ROUND(IFERROR(INDEX(Jobs!$W$5:$W$604,MATCH(A440,Jobs!$A$5:$A$604,0)),0)*MileageRate,2))</f>
        <v>0</v>
      </c>
      <c r="T440" s="21">
        <f>IF(A440="","",O440+Q440+R440+IF(S440="",0,S440))</f>
        <v>0</v>
      </c>
      <c r="U440" s="21">
        <f>IF(A440="","",J440-T440)</f>
        <v>0</v>
      </c>
      <c r="V440" s="38">
        <f>IF(OR(A440="",J440=0),"",U440/J440)</f>
        <v>0</v>
      </c>
      <c r="W440" s="21">
        <f>IF(OR(A440="",M440=0,J440=0),"",U440/M440)</f>
        <v>0</v>
      </c>
      <c r="X440" s="34">
        <f>IF(OR(A440="",L440="",L440=0,K440=""),"",L440-K440)</f>
        <v>0</v>
      </c>
      <c r="Y440" s="31">
        <f>IF(A440="","",COUNTIFS($U$5:$U$604,"&gt;"&amp;U440)+COUNTIFS($U$5:U440,U440))</f>
        <v>0</v>
      </c>
      <c r="Z440" s="31">
        <f>IF(A440="","",COUNTIFS($W$5:$W$604,"&gt;"&amp;W440)+COUNTIFS($W$5:W440,W440))</f>
        <v>0</v>
      </c>
      <c r="AA440" s="39">
        <f>IF(A440="","",IF(J440=0,"",IF(U440&lt;0,"Loss - this job cost you money",IF(V440&lt;MarginFloor,"Below - margin under the floor",IF(V440&lt;TargetMargin,"Check - under target margin",IF(AND(X440&lt;&gt;"",X440&gt;0.5),"Check - ran over the estimate","OK"))))))</f>
        <v>0</v>
      </c>
    </row>
    <row r="441" spans="1:27">
      <c r="A441" s="43">
        <f>IF(IFERROR(INDEX(Jobs!$A$5:$A$604,ROW()-4),"")="","",IFERROR(INDEX(Jobs!$A$5:$A$604,ROW()-4),""))</f>
        <v>0</v>
      </c>
      <c r="B441" s="18">
        <f>IF(A441="","",IFERROR(INDEX(Jobs!$B$5:$B$604,MATCH(A441,Jobs!$A$5:$A$604,0)),""))</f>
        <v>0</v>
      </c>
      <c r="C441" s="23">
        <f>IF(B441="","",TEXT(B441,"yyyy-mm"))</f>
        <v>0</v>
      </c>
      <c r="D441" s="43">
        <f>IF(A441="","",IFERROR(INDEX(Jobs!$G$5:$G$604,MATCH(A441,Jobs!$A$5:$A$604,0)),""))</f>
        <v>0</v>
      </c>
      <c r="E441" s="23">
        <f>IF(A441="","",IFERROR(INDEX(Jobs!$H$5:$H$604,MATCH(A441,Jobs!$A$5:$A$604,0)),""))</f>
        <v>0</v>
      </c>
      <c r="F441" s="23">
        <f>IF(A441="","",IFERROR(INDEX(Jobs!$K$5:$K$604,MATCH(A441,Jobs!$A$5:$A$604,0)),""))</f>
        <v>0</v>
      </c>
      <c r="G441" s="23">
        <f>IF(A441="","",IFERROR(INDEX(Jobs!$M$5:$M$604,MATCH(A441,Jobs!$A$5:$A$604,0)),""))</f>
        <v>0</v>
      </c>
      <c r="H441" s="23">
        <f>IF(A441="","",IFERROR(INDEX(Jobs!$R$5:$R$604,MATCH(A441,Jobs!$A$5:$A$604,0)),""))</f>
        <v>0</v>
      </c>
      <c r="I441" s="39">
        <f>IF(A441="","",IFERROR(INDEX(Jobs!$P$5:$P$604,MATCH(A441,Jobs!$A$5:$A$604,0)),""))</f>
        <v>0</v>
      </c>
      <c r="J441" s="21">
        <f>IF(A441="","",IF(OR(I441="Completed",I441="Invoiced"),IFERROR(INDEX(Jobs!$AJ$5:$AJ$604,MATCH(A441,Jobs!$A$5:$A$604,0)),0),0))</f>
        <v>0</v>
      </c>
      <c r="K441" s="34">
        <f>IF(A441="","",IFERROR(INDEX(Jobs!$AD$5:$AD$604,MATCH(A441,Jobs!$A$5:$A$604,0)),0))</f>
        <v>0</v>
      </c>
      <c r="L441" s="34">
        <f>IF(A441="","",IFERROR(INDEX(Jobs!$AK$5:$AK$604,MATCH(A441,Jobs!$A$5:$A$604,0)),0))</f>
        <v>0</v>
      </c>
      <c r="M441" s="34">
        <f>IF(A441="","",IF(IFERROR(L441*1,0)&gt;0,L441,IFERROR(K441*1,0)))</f>
        <v>0</v>
      </c>
      <c r="N441" s="21">
        <f>IF(A441="","",SUMIFS(Timesheets!$X$5:$X$804,Timesheets!$G$5:$G$804,A441))</f>
        <v>0</v>
      </c>
      <c r="O441" s="21">
        <f>IF(A441="","",IF(N441&gt;0,N441,ROUND(M441*CostPerHour,2)))</f>
        <v>0</v>
      </c>
      <c r="P441" s="21">
        <f>IF(A441="","",SUMIFS('Supply Usage'!$L$5:$L$304,'Supply Usage'!$F$5:$F$304,A441))</f>
        <v>0</v>
      </c>
      <c r="Q441" s="21">
        <f>IF(A441="","",IF(P441&gt;0,P441,ROUND(M441*SuppliesPerHour,2)))</f>
        <v>0</v>
      </c>
      <c r="R441" s="21">
        <f>IF(A441="","",ROUND(IFERROR(INDEX(Jobs!$W$5:$W$604,MATCH(A441,Jobs!$A$5:$A$604,0)),0)*MileageRate,2))</f>
        <v>0</v>
      </c>
      <c r="T441" s="21">
        <f>IF(A441="","",O441+Q441+R441+IF(S441="",0,S441))</f>
        <v>0</v>
      </c>
      <c r="U441" s="21">
        <f>IF(A441="","",J441-T441)</f>
        <v>0</v>
      </c>
      <c r="V441" s="38">
        <f>IF(OR(A441="",J441=0),"",U441/J441)</f>
        <v>0</v>
      </c>
      <c r="W441" s="21">
        <f>IF(OR(A441="",M441=0,J441=0),"",U441/M441)</f>
        <v>0</v>
      </c>
      <c r="X441" s="34">
        <f>IF(OR(A441="",L441="",L441=0,K441=""),"",L441-K441)</f>
        <v>0</v>
      </c>
      <c r="Y441" s="31">
        <f>IF(A441="","",COUNTIFS($U$5:$U$604,"&gt;"&amp;U441)+COUNTIFS($U$5:U441,U441))</f>
        <v>0</v>
      </c>
      <c r="Z441" s="31">
        <f>IF(A441="","",COUNTIFS($W$5:$W$604,"&gt;"&amp;W441)+COUNTIFS($W$5:W441,W441))</f>
        <v>0</v>
      </c>
      <c r="AA441" s="39">
        <f>IF(A441="","",IF(J441=0,"",IF(U441&lt;0,"Loss - this job cost you money",IF(V441&lt;MarginFloor,"Below - margin under the floor",IF(V441&lt;TargetMargin,"Check - under target margin",IF(AND(X441&lt;&gt;"",X441&gt;0.5),"Check - ran over the estimate","OK"))))))</f>
        <v>0</v>
      </c>
    </row>
    <row r="442" spans="1:27">
      <c r="A442" s="43">
        <f>IF(IFERROR(INDEX(Jobs!$A$5:$A$604,ROW()-4),"")="","",IFERROR(INDEX(Jobs!$A$5:$A$604,ROW()-4),""))</f>
        <v>0</v>
      </c>
      <c r="B442" s="18">
        <f>IF(A442="","",IFERROR(INDEX(Jobs!$B$5:$B$604,MATCH(A442,Jobs!$A$5:$A$604,0)),""))</f>
        <v>0</v>
      </c>
      <c r="C442" s="23">
        <f>IF(B442="","",TEXT(B442,"yyyy-mm"))</f>
        <v>0</v>
      </c>
      <c r="D442" s="43">
        <f>IF(A442="","",IFERROR(INDEX(Jobs!$G$5:$G$604,MATCH(A442,Jobs!$A$5:$A$604,0)),""))</f>
        <v>0</v>
      </c>
      <c r="E442" s="23">
        <f>IF(A442="","",IFERROR(INDEX(Jobs!$H$5:$H$604,MATCH(A442,Jobs!$A$5:$A$604,0)),""))</f>
        <v>0</v>
      </c>
      <c r="F442" s="23">
        <f>IF(A442="","",IFERROR(INDEX(Jobs!$K$5:$K$604,MATCH(A442,Jobs!$A$5:$A$604,0)),""))</f>
        <v>0</v>
      </c>
      <c r="G442" s="23">
        <f>IF(A442="","",IFERROR(INDEX(Jobs!$M$5:$M$604,MATCH(A442,Jobs!$A$5:$A$604,0)),""))</f>
        <v>0</v>
      </c>
      <c r="H442" s="23">
        <f>IF(A442="","",IFERROR(INDEX(Jobs!$R$5:$R$604,MATCH(A442,Jobs!$A$5:$A$604,0)),""))</f>
        <v>0</v>
      </c>
      <c r="I442" s="39">
        <f>IF(A442="","",IFERROR(INDEX(Jobs!$P$5:$P$604,MATCH(A442,Jobs!$A$5:$A$604,0)),""))</f>
        <v>0</v>
      </c>
      <c r="J442" s="21">
        <f>IF(A442="","",IF(OR(I442="Completed",I442="Invoiced"),IFERROR(INDEX(Jobs!$AJ$5:$AJ$604,MATCH(A442,Jobs!$A$5:$A$604,0)),0),0))</f>
        <v>0</v>
      </c>
      <c r="K442" s="34">
        <f>IF(A442="","",IFERROR(INDEX(Jobs!$AD$5:$AD$604,MATCH(A442,Jobs!$A$5:$A$604,0)),0))</f>
        <v>0</v>
      </c>
      <c r="L442" s="34">
        <f>IF(A442="","",IFERROR(INDEX(Jobs!$AK$5:$AK$604,MATCH(A442,Jobs!$A$5:$A$604,0)),0))</f>
        <v>0</v>
      </c>
      <c r="M442" s="34">
        <f>IF(A442="","",IF(IFERROR(L442*1,0)&gt;0,L442,IFERROR(K442*1,0)))</f>
        <v>0</v>
      </c>
      <c r="N442" s="21">
        <f>IF(A442="","",SUMIFS(Timesheets!$X$5:$X$804,Timesheets!$G$5:$G$804,A442))</f>
        <v>0</v>
      </c>
      <c r="O442" s="21">
        <f>IF(A442="","",IF(N442&gt;0,N442,ROUND(M442*CostPerHour,2)))</f>
        <v>0</v>
      </c>
      <c r="P442" s="21">
        <f>IF(A442="","",SUMIFS('Supply Usage'!$L$5:$L$304,'Supply Usage'!$F$5:$F$304,A442))</f>
        <v>0</v>
      </c>
      <c r="Q442" s="21">
        <f>IF(A442="","",IF(P442&gt;0,P442,ROUND(M442*SuppliesPerHour,2)))</f>
        <v>0</v>
      </c>
      <c r="R442" s="21">
        <f>IF(A442="","",ROUND(IFERROR(INDEX(Jobs!$W$5:$W$604,MATCH(A442,Jobs!$A$5:$A$604,0)),0)*MileageRate,2))</f>
        <v>0</v>
      </c>
      <c r="T442" s="21">
        <f>IF(A442="","",O442+Q442+R442+IF(S442="",0,S442))</f>
        <v>0</v>
      </c>
      <c r="U442" s="21">
        <f>IF(A442="","",J442-T442)</f>
        <v>0</v>
      </c>
      <c r="V442" s="38">
        <f>IF(OR(A442="",J442=0),"",U442/J442)</f>
        <v>0</v>
      </c>
      <c r="W442" s="21">
        <f>IF(OR(A442="",M442=0,J442=0),"",U442/M442)</f>
        <v>0</v>
      </c>
      <c r="X442" s="34">
        <f>IF(OR(A442="",L442="",L442=0,K442=""),"",L442-K442)</f>
        <v>0</v>
      </c>
      <c r="Y442" s="31">
        <f>IF(A442="","",COUNTIFS($U$5:$U$604,"&gt;"&amp;U442)+COUNTIFS($U$5:U442,U442))</f>
        <v>0</v>
      </c>
      <c r="Z442" s="31">
        <f>IF(A442="","",COUNTIFS($W$5:$W$604,"&gt;"&amp;W442)+COUNTIFS($W$5:W442,W442))</f>
        <v>0</v>
      </c>
      <c r="AA442" s="39">
        <f>IF(A442="","",IF(J442=0,"",IF(U442&lt;0,"Loss - this job cost you money",IF(V442&lt;MarginFloor,"Below - margin under the floor",IF(V442&lt;TargetMargin,"Check - under target margin",IF(AND(X442&lt;&gt;"",X442&gt;0.5),"Check - ran over the estimate","OK"))))))</f>
        <v>0</v>
      </c>
    </row>
    <row r="443" spans="1:27">
      <c r="A443" s="43">
        <f>IF(IFERROR(INDEX(Jobs!$A$5:$A$604,ROW()-4),"")="","",IFERROR(INDEX(Jobs!$A$5:$A$604,ROW()-4),""))</f>
        <v>0</v>
      </c>
      <c r="B443" s="18">
        <f>IF(A443="","",IFERROR(INDEX(Jobs!$B$5:$B$604,MATCH(A443,Jobs!$A$5:$A$604,0)),""))</f>
        <v>0</v>
      </c>
      <c r="C443" s="23">
        <f>IF(B443="","",TEXT(B443,"yyyy-mm"))</f>
        <v>0</v>
      </c>
      <c r="D443" s="43">
        <f>IF(A443="","",IFERROR(INDEX(Jobs!$G$5:$G$604,MATCH(A443,Jobs!$A$5:$A$604,0)),""))</f>
        <v>0</v>
      </c>
      <c r="E443" s="23">
        <f>IF(A443="","",IFERROR(INDEX(Jobs!$H$5:$H$604,MATCH(A443,Jobs!$A$5:$A$604,0)),""))</f>
        <v>0</v>
      </c>
      <c r="F443" s="23">
        <f>IF(A443="","",IFERROR(INDEX(Jobs!$K$5:$K$604,MATCH(A443,Jobs!$A$5:$A$604,0)),""))</f>
        <v>0</v>
      </c>
      <c r="G443" s="23">
        <f>IF(A443="","",IFERROR(INDEX(Jobs!$M$5:$M$604,MATCH(A443,Jobs!$A$5:$A$604,0)),""))</f>
        <v>0</v>
      </c>
      <c r="H443" s="23">
        <f>IF(A443="","",IFERROR(INDEX(Jobs!$R$5:$R$604,MATCH(A443,Jobs!$A$5:$A$604,0)),""))</f>
        <v>0</v>
      </c>
      <c r="I443" s="39">
        <f>IF(A443="","",IFERROR(INDEX(Jobs!$P$5:$P$604,MATCH(A443,Jobs!$A$5:$A$604,0)),""))</f>
        <v>0</v>
      </c>
      <c r="J443" s="21">
        <f>IF(A443="","",IF(OR(I443="Completed",I443="Invoiced"),IFERROR(INDEX(Jobs!$AJ$5:$AJ$604,MATCH(A443,Jobs!$A$5:$A$604,0)),0),0))</f>
        <v>0</v>
      </c>
      <c r="K443" s="34">
        <f>IF(A443="","",IFERROR(INDEX(Jobs!$AD$5:$AD$604,MATCH(A443,Jobs!$A$5:$A$604,0)),0))</f>
        <v>0</v>
      </c>
      <c r="L443" s="34">
        <f>IF(A443="","",IFERROR(INDEX(Jobs!$AK$5:$AK$604,MATCH(A443,Jobs!$A$5:$A$604,0)),0))</f>
        <v>0</v>
      </c>
      <c r="M443" s="34">
        <f>IF(A443="","",IF(IFERROR(L443*1,0)&gt;0,L443,IFERROR(K443*1,0)))</f>
        <v>0</v>
      </c>
      <c r="N443" s="21">
        <f>IF(A443="","",SUMIFS(Timesheets!$X$5:$X$804,Timesheets!$G$5:$G$804,A443))</f>
        <v>0</v>
      </c>
      <c r="O443" s="21">
        <f>IF(A443="","",IF(N443&gt;0,N443,ROUND(M443*CostPerHour,2)))</f>
        <v>0</v>
      </c>
      <c r="P443" s="21">
        <f>IF(A443="","",SUMIFS('Supply Usage'!$L$5:$L$304,'Supply Usage'!$F$5:$F$304,A443))</f>
        <v>0</v>
      </c>
      <c r="Q443" s="21">
        <f>IF(A443="","",IF(P443&gt;0,P443,ROUND(M443*SuppliesPerHour,2)))</f>
        <v>0</v>
      </c>
      <c r="R443" s="21">
        <f>IF(A443="","",ROUND(IFERROR(INDEX(Jobs!$W$5:$W$604,MATCH(A443,Jobs!$A$5:$A$604,0)),0)*MileageRate,2))</f>
        <v>0</v>
      </c>
      <c r="T443" s="21">
        <f>IF(A443="","",O443+Q443+R443+IF(S443="",0,S443))</f>
        <v>0</v>
      </c>
      <c r="U443" s="21">
        <f>IF(A443="","",J443-T443)</f>
        <v>0</v>
      </c>
      <c r="V443" s="38">
        <f>IF(OR(A443="",J443=0),"",U443/J443)</f>
        <v>0</v>
      </c>
      <c r="W443" s="21">
        <f>IF(OR(A443="",M443=0,J443=0),"",U443/M443)</f>
        <v>0</v>
      </c>
      <c r="X443" s="34">
        <f>IF(OR(A443="",L443="",L443=0,K443=""),"",L443-K443)</f>
        <v>0</v>
      </c>
      <c r="Y443" s="31">
        <f>IF(A443="","",COUNTIFS($U$5:$U$604,"&gt;"&amp;U443)+COUNTIFS($U$5:U443,U443))</f>
        <v>0</v>
      </c>
      <c r="Z443" s="31">
        <f>IF(A443="","",COUNTIFS($W$5:$W$604,"&gt;"&amp;W443)+COUNTIFS($W$5:W443,W443))</f>
        <v>0</v>
      </c>
      <c r="AA443" s="39">
        <f>IF(A443="","",IF(J443=0,"",IF(U443&lt;0,"Loss - this job cost you money",IF(V443&lt;MarginFloor,"Below - margin under the floor",IF(V443&lt;TargetMargin,"Check - under target margin",IF(AND(X443&lt;&gt;"",X443&gt;0.5),"Check - ran over the estimate","OK"))))))</f>
        <v>0</v>
      </c>
    </row>
    <row r="444" spans="1:27">
      <c r="A444" s="43">
        <f>IF(IFERROR(INDEX(Jobs!$A$5:$A$604,ROW()-4),"")="","",IFERROR(INDEX(Jobs!$A$5:$A$604,ROW()-4),""))</f>
        <v>0</v>
      </c>
      <c r="B444" s="18">
        <f>IF(A444="","",IFERROR(INDEX(Jobs!$B$5:$B$604,MATCH(A444,Jobs!$A$5:$A$604,0)),""))</f>
        <v>0</v>
      </c>
      <c r="C444" s="23">
        <f>IF(B444="","",TEXT(B444,"yyyy-mm"))</f>
        <v>0</v>
      </c>
      <c r="D444" s="43">
        <f>IF(A444="","",IFERROR(INDEX(Jobs!$G$5:$G$604,MATCH(A444,Jobs!$A$5:$A$604,0)),""))</f>
        <v>0</v>
      </c>
      <c r="E444" s="23">
        <f>IF(A444="","",IFERROR(INDEX(Jobs!$H$5:$H$604,MATCH(A444,Jobs!$A$5:$A$604,0)),""))</f>
        <v>0</v>
      </c>
      <c r="F444" s="23">
        <f>IF(A444="","",IFERROR(INDEX(Jobs!$K$5:$K$604,MATCH(A444,Jobs!$A$5:$A$604,0)),""))</f>
        <v>0</v>
      </c>
      <c r="G444" s="23">
        <f>IF(A444="","",IFERROR(INDEX(Jobs!$M$5:$M$604,MATCH(A444,Jobs!$A$5:$A$604,0)),""))</f>
        <v>0</v>
      </c>
      <c r="H444" s="23">
        <f>IF(A444="","",IFERROR(INDEX(Jobs!$R$5:$R$604,MATCH(A444,Jobs!$A$5:$A$604,0)),""))</f>
        <v>0</v>
      </c>
      <c r="I444" s="39">
        <f>IF(A444="","",IFERROR(INDEX(Jobs!$P$5:$P$604,MATCH(A444,Jobs!$A$5:$A$604,0)),""))</f>
        <v>0</v>
      </c>
      <c r="J444" s="21">
        <f>IF(A444="","",IF(OR(I444="Completed",I444="Invoiced"),IFERROR(INDEX(Jobs!$AJ$5:$AJ$604,MATCH(A444,Jobs!$A$5:$A$604,0)),0),0))</f>
        <v>0</v>
      </c>
      <c r="K444" s="34">
        <f>IF(A444="","",IFERROR(INDEX(Jobs!$AD$5:$AD$604,MATCH(A444,Jobs!$A$5:$A$604,0)),0))</f>
        <v>0</v>
      </c>
      <c r="L444" s="34">
        <f>IF(A444="","",IFERROR(INDEX(Jobs!$AK$5:$AK$604,MATCH(A444,Jobs!$A$5:$A$604,0)),0))</f>
        <v>0</v>
      </c>
      <c r="M444" s="34">
        <f>IF(A444="","",IF(IFERROR(L444*1,0)&gt;0,L444,IFERROR(K444*1,0)))</f>
        <v>0</v>
      </c>
      <c r="N444" s="21">
        <f>IF(A444="","",SUMIFS(Timesheets!$X$5:$X$804,Timesheets!$G$5:$G$804,A444))</f>
        <v>0</v>
      </c>
      <c r="O444" s="21">
        <f>IF(A444="","",IF(N444&gt;0,N444,ROUND(M444*CostPerHour,2)))</f>
        <v>0</v>
      </c>
      <c r="P444" s="21">
        <f>IF(A444="","",SUMIFS('Supply Usage'!$L$5:$L$304,'Supply Usage'!$F$5:$F$304,A444))</f>
        <v>0</v>
      </c>
      <c r="Q444" s="21">
        <f>IF(A444="","",IF(P444&gt;0,P444,ROUND(M444*SuppliesPerHour,2)))</f>
        <v>0</v>
      </c>
      <c r="R444" s="21">
        <f>IF(A444="","",ROUND(IFERROR(INDEX(Jobs!$W$5:$W$604,MATCH(A444,Jobs!$A$5:$A$604,0)),0)*MileageRate,2))</f>
        <v>0</v>
      </c>
      <c r="T444" s="21">
        <f>IF(A444="","",O444+Q444+R444+IF(S444="",0,S444))</f>
        <v>0</v>
      </c>
      <c r="U444" s="21">
        <f>IF(A444="","",J444-T444)</f>
        <v>0</v>
      </c>
      <c r="V444" s="38">
        <f>IF(OR(A444="",J444=0),"",U444/J444)</f>
        <v>0</v>
      </c>
      <c r="W444" s="21">
        <f>IF(OR(A444="",M444=0,J444=0),"",U444/M444)</f>
        <v>0</v>
      </c>
      <c r="X444" s="34">
        <f>IF(OR(A444="",L444="",L444=0,K444=""),"",L444-K444)</f>
        <v>0</v>
      </c>
      <c r="Y444" s="31">
        <f>IF(A444="","",COUNTIFS($U$5:$U$604,"&gt;"&amp;U444)+COUNTIFS($U$5:U444,U444))</f>
        <v>0</v>
      </c>
      <c r="Z444" s="31">
        <f>IF(A444="","",COUNTIFS($W$5:$W$604,"&gt;"&amp;W444)+COUNTIFS($W$5:W444,W444))</f>
        <v>0</v>
      </c>
      <c r="AA444" s="39">
        <f>IF(A444="","",IF(J444=0,"",IF(U444&lt;0,"Loss - this job cost you money",IF(V444&lt;MarginFloor,"Below - margin under the floor",IF(V444&lt;TargetMargin,"Check - under target margin",IF(AND(X444&lt;&gt;"",X444&gt;0.5),"Check - ran over the estimate","OK"))))))</f>
        <v>0</v>
      </c>
    </row>
    <row r="445" spans="1:27">
      <c r="A445" s="43">
        <f>IF(IFERROR(INDEX(Jobs!$A$5:$A$604,ROW()-4),"")="","",IFERROR(INDEX(Jobs!$A$5:$A$604,ROW()-4),""))</f>
        <v>0</v>
      </c>
      <c r="B445" s="18">
        <f>IF(A445="","",IFERROR(INDEX(Jobs!$B$5:$B$604,MATCH(A445,Jobs!$A$5:$A$604,0)),""))</f>
        <v>0</v>
      </c>
      <c r="C445" s="23">
        <f>IF(B445="","",TEXT(B445,"yyyy-mm"))</f>
        <v>0</v>
      </c>
      <c r="D445" s="43">
        <f>IF(A445="","",IFERROR(INDEX(Jobs!$G$5:$G$604,MATCH(A445,Jobs!$A$5:$A$604,0)),""))</f>
        <v>0</v>
      </c>
      <c r="E445" s="23">
        <f>IF(A445="","",IFERROR(INDEX(Jobs!$H$5:$H$604,MATCH(A445,Jobs!$A$5:$A$604,0)),""))</f>
        <v>0</v>
      </c>
      <c r="F445" s="23">
        <f>IF(A445="","",IFERROR(INDEX(Jobs!$K$5:$K$604,MATCH(A445,Jobs!$A$5:$A$604,0)),""))</f>
        <v>0</v>
      </c>
      <c r="G445" s="23">
        <f>IF(A445="","",IFERROR(INDEX(Jobs!$M$5:$M$604,MATCH(A445,Jobs!$A$5:$A$604,0)),""))</f>
        <v>0</v>
      </c>
      <c r="H445" s="23">
        <f>IF(A445="","",IFERROR(INDEX(Jobs!$R$5:$R$604,MATCH(A445,Jobs!$A$5:$A$604,0)),""))</f>
        <v>0</v>
      </c>
      <c r="I445" s="39">
        <f>IF(A445="","",IFERROR(INDEX(Jobs!$P$5:$P$604,MATCH(A445,Jobs!$A$5:$A$604,0)),""))</f>
        <v>0</v>
      </c>
      <c r="J445" s="21">
        <f>IF(A445="","",IF(OR(I445="Completed",I445="Invoiced"),IFERROR(INDEX(Jobs!$AJ$5:$AJ$604,MATCH(A445,Jobs!$A$5:$A$604,0)),0),0))</f>
        <v>0</v>
      </c>
      <c r="K445" s="34">
        <f>IF(A445="","",IFERROR(INDEX(Jobs!$AD$5:$AD$604,MATCH(A445,Jobs!$A$5:$A$604,0)),0))</f>
        <v>0</v>
      </c>
      <c r="L445" s="34">
        <f>IF(A445="","",IFERROR(INDEX(Jobs!$AK$5:$AK$604,MATCH(A445,Jobs!$A$5:$A$604,0)),0))</f>
        <v>0</v>
      </c>
      <c r="M445" s="34">
        <f>IF(A445="","",IF(IFERROR(L445*1,0)&gt;0,L445,IFERROR(K445*1,0)))</f>
        <v>0</v>
      </c>
      <c r="N445" s="21">
        <f>IF(A445="","",SUMIFS(Timesheets!$X$5:$X$804,Timesheets!$G$5:$G$804,A445))</f>
        <v>0</v>
      </c>
      <c r="O445" s="21">
        <f>IF(A445="","",IF(N445&gt;0,N445,ROUND(M445*CostPerHour,2)))</f>
        <v>0</v>
      </c>
      <c r="P445" s="21">
        <f>IF(A445="","",SUMIFS('Supply Usage'!$L$5:$L$304,'Supply Usage'!$F$5:$F$304,A445))</f>
        <v>0</v>
      </c>
      <c r="Q445" s="21">
        <f>IF(A445="","",IF(P445&gt;0,P445,ROUND(M445*SuppliesPerHour,2)))</f>
        <v>0</v>
      </c>
      <c r="R445" s="21">
        <f>IF(A445="","",ROUND(IFERROR(INDEX(Jobs!$W$5:$W$604,MATCH(A445,Jobs!$A$5:$A$604,0)),0)*MileageRate,2))</f>
        <v>0</v>
      </c>
      <c r="T445" s="21">
        <f>IF(A445="","",O445+Q445+R445+IF(S445="",0,S445))</f>
        <v>0</v>
      </c>
      <c r="U445" s="21">
        <f>IF(A445="","",J445-T445)</f>
        <v>0</v>
      </c>
      <c r="V445" s="38">
        <f>IF(OR(A445="",J445=0),"",U445/J445)</f>
        <v>0</v>
      </c>
      <c r="W445" s="21">
        <f>IF(OR(A445="",M445=0,J445=0),"",U445/M445)</f>
        <v>0</v>
      </c>
      <c r="X445" s="34">
        <f>IF(OR(A445="",L445="",L445=0,K445=""),"",L445-K445)</f>
        <v>0</v>
      </c>
      <c r="Y445" s="31">
        <f>IF(A445="","",COUNTIFS($U$5:$U$604,"&gt;"&amp;U445)+COUNTIFS($U$5:U445,U445))</f>
        <v>0</v>
      </c>
      <c r="Z445" s="31">
        <f>IF(A445="","",COUNTIFS($W$5:$W$604,"&gt;"&amp;W445)+COUNTIFS($W$5:W445,W445))</f>
        <v>0</v>
      </c>
      <c r="AA445" s="39">
        <f>IF(A445="","",IF(J445=0,"",IF(U445&lt;0,"Loss - this job cost you money",IF(V445&lt;MarginFloor,"Below - margin under the floor",IF(V445&lt;TargetMargin,"Check - under target margin",IF(AND(X445&lt;&gt;"",X445&gt;0.5),"Check - ran over the estimate","OK"))))))</f>
        <v>0</v>
      </c>
    </row>
    <row r="446" spans="1:27">
      <c r="A446" s="43">
        <f>IF(IFERROR(INDEX(Jobs!$A$5:$A$604,ROW()-4),"")="","",IFERROR(INDEX(Jobs!$A$5:$A$604,ROW()-4),""))</f>
        <v>0</v>
      </c>
      <c r="B446" s="18">
        <f>IF(A446="","",IFERROR(INDEX(Jobs!$B$5:$B$604,MATCH(A446,Jobs!$A$5:$A$604,0)),""))</f>
        <v>0</v>
      </c>
      <c r="C446" s="23">
        <f>IF(B446="","",TEXT(B446,"yyyy-mm"))</f>
        <v>0</v>
      </c>
      <c r="D446" s="43">
        <f>IF(A446="","",IFERROR(INDEX(Jobs!$G$5:$G$604,MATCH(A446,Jobs!$A$5:$A$604,0)),""))</f>
        <v>0</v>
      </c>
      <c r="E446" s="23">
        <f>IF(A446="","",IFERROR(INDEX(Jobs!$H$5:$H$604,MATCH(A446,Jobs!$A$5:$A$604,0)),""))</f>
        <v>0</v>
      </c>
      <c r="F446" s="23">
        <f>IF(A446="","",IFERROR(INDEX(Jobs!$K$5:$K$604,MATCH(A446,Jobs!$A$5:$A$604,0)),""))</f>
        <v>0</v>
      </c>
      <c r="G446" s="23">
        <f>IF(A446="","",IFERROR(INDEX(Jobs!$M$5:$M$604,MATCH(A446,Jobs!$A$5:$A$604,0)),""))</f>
        <v>0</v>
      </c>
      <c r="H446" s="23">
        <f>IF(A446="","",IFERROR(INDEX(Jobs!$R$5:$R$604,MATCH(A446,Jobs!$A$5:$A$604,0)),""))</f>
        <v>0</v>
      </c>
      <c r="I446" s="39">
        <f>IF(A446="","",IFERROR(INDEX(Jobs!$P$5:$P$604,MATCH(A446,Jobs!$A$5:$A$604,0)),""))</f>
        <v>0</v>
      </c>
      <c r="J446" s="21">
        <f>IF(A446="","",IF(OR(I446="Completed",I446="Invoiced"),IFERROR(INDEX(Jobs!$AJ$5:$AJ$604,MATCH(A446,Jobs!$A$5:$A$604,0)),0),0))</f>
        <v>0</v>
      </c>
      <c r="K446" s="34">
        <f>IF(A446="","",IFERROR(INDEX(Jobs!$AD$5:$AD$604,MATCH(A446,Jobs!$A$5:$A$604,0)),0))</f>
        <v>0</v>
      </c>
      <c r="L446" s="34">
        <f>IF(A446="","",IFERROR(INDEX(Jobs!$AK$5:$AK$604,MATCH(A446,Jobs!$A$5:$A$604,0)),0))</f>
        <v>0</v>
      </c>
      <c r="M446" s="34">
        <f>IF(A446="","",IF(IFERROR(L446*1,0)&gt;0,L446,IFERROR(K446*1,0)))</f>
        <v>0</v>
      </c>
      <c r="N446" s="21">
        <f>IF(A446="","",SUMIFS(Timesheets!$X$5:$X$804,Timesheets!$G$5:$G$804,A446))</f>
        <v>0</v>
      </c>
      <c r="O446" s="21">
        <f>IF(A446="","",IF(N446&gt;0,N446,ROUND(M446*CostPerHour,2)))</f>
        <v>0</v>
      </c>
      <c r="P446" s="21">
        <f>IF(A446="","",SUMIFS('Supply Usage'!$L$5:$L$304,'Supply Usage'!$F$5:$F$304,A446))</f>
        <v>0</v>
      </c>
      <c r="Q446" s="21">
        <f>IF(A446="","",IF(P446&gt;0,P446,ROUND(M446*SuppliesPerHour,2)))</f>
        <v>0</v>
      </c>
      <c r="R446" s="21">
        <f>IF(A446="","",ROUND(IFERROR(INDEX(Jobs!$W$5:$W$604,MATCH(A446,Jobs!$A$5:$A$604,0)),0)*MileageRate,2))</f>
        <v>0</v>
      </c>
      <c r="T446" s="21">
        <f>IF(A446="","",O446+Q446+R446+IF(S446="",0,S446))</f>
        <v>0</v>
      </c>
      <c r="U446" s="21">
        <f>IF(A446="","",J446-T446)</f>
        <v>0</v>
      </c>
      <c r="V446" s="38">
        <f>IF(OR(A446="",J446=0),"",U446/J446)</f>
        <v>0</v>
      </c>
      <c r="W446" s="21">
        <f>IF(OR(A446="",M446=0,J446=0),"",U446/M446)</f>
        <v>0</v>
      </c>
      <c r="X446" s="34">
        <f>IF(OR(A446="",L446="",L446=0,K446=""),"",L446-K446)</f>
        <v>0</v>
      </c>
      <c r="Y446" s="31">
        <f>IF(A446="","",COUNTIFS($U$5:$U$604,"&gt;"&amp;U446)+COUNTIFS($U$5:U446,U446))</f>
        <v>0</v>
      </c>
      <c r="Z446" s="31">
        <f>IF(A446="","",COUNTIFS($W$5:$W$604,"&gt;"&amp;W446)+COUNTIFS($W$5:W446,W446))</f>
        <v>0</v>
      </c>
      <c r="AA446" s="39">
        <f>IF(A446="","",IF(J446=0,"",IF(U446&lt;0,"Loss - this job cost you money",IF(V446&lt;MarginFloor,"Below - margin under the floor",IF(V446&lt;TargetMargin,"Check - under target margin",IF(AND(X446&lt;&gt;"",X446&gt;0.5),"Check - ran over the estimate","OK"))))))</f>
        <v>0</v>
      </c>
    </row>
    <row r="447" spans="1:27">
      <c r="A447" s="43">
        <f>IF(IFERROR(INDEX(Jobs!$A$5:$A$604,ROW()-4),"")="","",IFERROR(INDEX(Jobs!$A$5:$A$604,ROW()-4),""))</f>
        <v>0</v>
      </c>
      <c r="B447" s="18">
        <f>IF(A447="","",IFERROR(INDEX(Jobs!$B$5:$B$604,MATCH(A447,Jobs!$A$5:$A$604,0)),""))</f>
        <v>0</v>
      </c>
      <c r="C447" s="23">
        <f>IF(B447="","",TEXT(B447,"yyyy-mm"))</f>
        <v>0</v>
      </c>
      <c r="D447" s="43">
        <f>IF(A447="","",IFERROR(INDEX(Jobs!$G$5:$G$604,MATCH(A447,Jobs!$A$5:$A$604,0)),""))</f>
        <v>0</v>
      </c>
      <c r="E447" s="23">
        <f>IF(A447="","",IFERROR(INDEX(Jobs!$H$5:$H$604,MATCH(A447,Jobs!$A$5:$A$604,0)),""))</f>
        <v>0</v>
      </c>
      <c r="F447" s="23">
        <f>IF(A447="","",IFERROR(INDEX(Jobs!$K$5:$K$604,MATCH(A447,Jobs!$A$5:$A$604,0)),""))</f>
        <v>0</v>
      </c>
      <c r="G447" s="23">
        <f>IF(A447="","",IFERROR(INDEX(Jobs!$M$5:$M$604,MATCH(A447,Jobs!$A$5:$A$604,0)),""))</f>
        <v>0</v>
      </c>
      <c r="H447" s="23">
        <f>IF(A447="","",IFERROR(INDEX(Jobs!$R$5:$R$604,MATCH(A447,Jobs!$A$5:$A$604,0)),""))</f>
        <v>0</v>
      </c>
      <c r="I447" s="39">
        <f>IF(A447="","",IFERROR(INDEX(Jobs!$P$5:$P$604,MATCH(A447,Jobs!$A$5:$A$604,0)),""))</f>
        <v>0</v>
      </c>
      <c r="J447" s="21">
        <f>IF(A447="","",IF(OR(I447="Completed",I447="Invoiced"),IFERROR(INDEX(Jobs!$AJ$5:$AJ$604,MATCH(A447,Jobs!$A$5:$A$604,0)),0),0))</f>
        <v>0</v>
      </c>
      <c r="K447" s="34">
        <f>IF(A447="","",IFERROR(INDEX(Jobs!$AD$5:$AD$604,MATCH(A447,Jobs!$A$5:$A$604,0)),0))</f>
        <v>0</v>
      </c>
      <c r="L447" s="34">
        <f>IF(A447="","",IFERROR(INDEX(Jobs!$AK$5:$AK$604,MATCH(A447,Jobs!$A$5:$A$604,0)),0))</f>
        <v>0</v>
      </c>
      <c r="M447" s="34">
        <f>IF(A447="","",IF(IFERROR(L447*1,0)&gt;0,L447,IFERROR(K447*1,0)))</f>
        <v>0</v>
      </c>
      <c r="N447" s="21">
        <f>IF(A447="","",SUMIFS(Timesheets!$X$5:$X$804,Timesheets!$G$5:$G$804,A447))</f>
        <v>0</v>
      </c>
      <c r="O447" s="21">
        <f>IF(A447="","",IF(N447&gt;0,N447,ROUND(M447*CostPerHour,2)))</f>
        <v>0</v>
      </c>
      <c r="P447" s="21">
        <f>IF(A447="","",SUMIFS('Supply Usage'!$L$5:$L$304,'Supply Usage'!$F$5:$F$304,A447))</f>
        <v>0</v>
      </c>
      <c r="Q447" s="21">
        <f>IF(A447="","",IF(P447&gt;0,P447,ROUND(M447*SuppliesPerHour,2)))</f>
        <v>0</v>
      </c>
      <c r="R447" s="21">
        <f>IF(A447="","",ROUND(IFERROR(INDEX(Jobs!$W$5:$W$604,MATCH(A447,Jobs!$A$5:$A$604,0)),0)*MileageRate,2))</f>
        <v>0</v>
      </c>
      <c r="T447" s="21">
        <f>IF(A447="","",O447+Q447+R447+IF(S447="",0,S447))</f>
        <v>0</v>
      </c>
      <c r="U447" s="21">
        <f>IF(A447="","",J447-T447)</f>
        <v>0</v>
      </c>
      <c r="V447" s="38">
        <f>IF(OR(A447="",J447=0),"",U447/J447)</f>
        <v>0</v>
      </c>
      <c r="W447" s="21">
        <f>IF(OR(A447="",M447=0,J447=0),"",U447/M447)</f>
        <v>0</v>
      </c>
      <c r="X447" s="34">
        <f>IF(OR(A447="",L447="",L447=0,K447=""),"",L447-K447)</f>
        <v>0</v>
      </c>
      <c r="Y447" s="31">
        <f>IF(A447="","",COUNTIFS($U$5:$U$604,"&gt;"&amp;U447)+COUNTIFS($U$5:U447,U447))</f>
        <v>0</v>
      </c>
      <c r="Z447" s="31">
        <f>IF(A447="","",COUNTIFS($W$5:$W$604,"&gt;"&amp;W447)+COUNTIFS($W$5:W447,W447))</f>
        <v>0</v>
      </c>
      <c r="AA447" s="39">
        <f>IF(A447="","",IF(J447=0,"",IF(U447&lt;0,"Loss - this job cost you money",IF(V447&lt;MarginFloor,"Below - margin under the floor",IF(V447&lt;TargetMargin,"Check - under target margin",IF(AND(X447&lt;&gt;"",X447&gt;0.5),"Check - ran over the estimate","OK"))))))</f>
        <v>0</v>
      </c>
    </row>
    <row r="448" spans="1:27">
      <c r="A448" s="43">
        <f>IF(IFERROR(INDEX(Jobs!$A$5:$A$604,ROW()-4),"")="","",IFERROR(INDEX(Jobs!$A$5:$A$604,ROW()-4),""))</f>
        <v>0</v>
      </c>
      <c r="B448" s="18">
        <f>IF(A448="","",IFERROR(INDEX(Jobs!$B$5:$B$604,MATCH(A448,Jobs!$A$5:$A$604,0)),""))</f>
        <v>0</v>
      </c>
      <c r="C448" s="23">
        <f>IF(B448="","",TEXT(B448,"yyyy-mm"))</f>
        <v>0</v>
      </c>
      <c r="D448" s="43">
        <f>IF(A448="","",IFERROR(INDEX(Jobs!$G$5:$G$604,MATCH(A448,Jobs!$A$5:$A$604,0)),""))</f>
        <v>0</v>
      </c>
      <c r="E448" s="23">
        <f>IF(A448="","",IFERROR(INDEX(Jobs!$H$5:$H$604,MATCH(A448,Jobs!$A$5:$A$604,0)),""))</f>
        <v>0</v>
      </c>
      <c r="F448" s="23">
        <f>IF(A448="","",IFERROR(INDEX(Jobs!$K$5:$K$604,MATCH(A448,Jobs!$A$5:$A$604,0)),""))</f>
        <v>0</v>
      </c>
      <c r="G448" s="23">
        <f>IF(A448="","",IFERROR(INDEX(Jobs!$M$5:$M$604,MATCH(A448,Jobs!$A$5:$A$604,0)),""))</f>
        <v>0</v>
      </c>
      <c r="H448" s="23">
        <f>IF(A448="","",IFERROR(INDEX(Jobs!$R$5:$R$604,MATCH(A448,Jobs!$A$5:$A$604,0)),""))</f>
        <v>0</v>
      </c>
      <c r="I448" s="39">
        <f>IF(A448="","",IFERROR(INDEX(Jobs!$P$5:$P$604,MATCH(A448,Jobs!$A$5:$A$604,0)),""))</f>
        <v>0</v>
      </c>
      <c r="J448" s="21">
        <f>IF(A448="","",IF(OR(I448="Completed",I448="Invoiced"),IFERROR(INDEX(Jobs!$AJ$5:$AJ$604,MATCH(A448,Jobs!$A$5:$A$604,0)),0),0))</f>
        <v>0</v>
      </c>
      <c r="K448" s="34">
        <f>IF(A448="","",IFERROR(INDEX(Jobs!$AD$5:$AD$604,MATCH(A448,Jobs!$A$5:$A$604,0)),0))</f>
        <v>0</v>
      </c>
      <c r="L448" s="34">
        <f>IF(A448="","",IFERROR(INDEX(Jobs!$AK$5:$AK$604,MATCH(A448,Jobs!$A$5:$A$604,0)),0))</f>
        <v>0</v>
      </c>
      <c r="M448" s="34">
        <f>IF(A448="","",IF(IFERROR(L448*1,0)&gt;0,L448,IFERROR(K448*1,0)))</f>
        <v>0</v>
      </c>
      <c r="N448" s="21">
        <f>IF(A448="","",SUMIFS(Timesheets!$X$5:$X$804,Timesheets!$G$5:$G$804,A448))</f>
        <v>0</v>
      </c>
      <c r="O448" s="21">
        <f>IF(A448="","",IF(N448&gt;0,N448,ROUND(M448*CostPerHour,2)))</f>
        <v>0</v>
      </c>
      <c r="P448" s="21">
        <f>IF(A448="","",SUMIFS('Supply Usage'!$L$5:$L$304,'Supply Usage'!$F$5:$F$304,A448))</f>
        <v>0</v>
      </c>
      <c r="Q448" s="21">
        <f>IF(A448="","",IF(P448&gt;0,P448,ROUND(M448*SuppliesPerHour,2)))</f>
        <v>0</v>
      </c>
      <c r="R448" s="21">
        <f>IF(A448="","",ROUND(IFERROR(INDEX(Jobs!$W$5:$W$604,MATCH(A448,Jobs!$A$5:$A$604,0)),0)*MileageRate,2))</f>
        <v>0</v>
      </c>
      <c r="T448" s="21">
        <f>IF(A448="","",O448+Q448+R448+IF(S448="",0,S448))</f>
        <v>0</v>
      </c>
      <c r="U448" s="21">
        <f>IF(A448="","",J448-T448)</f>
        <v>0</v>
      </c>
      <c r="V448" s="38">
        <f>IF(OR(A448="",J448=0),"",U448/J448)</f>
        <v>0</v>
      </c>
      <c r="W448" s="21">
        <f>IF(OR(A448="",M448=0,J448=0),"",U448/M448)</f>
        <v>0</v>
      </c>
      <c r="X448" s="34">
        <f>IF(OR(A448="",L448="",L448=0,K448=""),"",L448-K448)</f>
        <v>0</v>
      </c>
      <c r="Y448" s="31">
        <f>IF(A448="","",COUNTIFS($U$5:$U$604,"&gt;"&amp;U448)+COUNTIFS($U$5:U448,U448))</f>
        <v>0</v>
      </c>
      <c r="Z448" s="31">
        <f>IF(A448="","",COUNTIFS($W$5:$W$604,"&gt;"&amp;W448)+COUNTIFS($W$5:W448,W448))</f>
        <v>0</v>
      </c>
      <c r="AA448" s="39">
        <f>IF(A448="","",IF(J448=0,"",IF(U448&lt;0,"Loss - this job cost you money",IF(V448&lt;MarginFloor,"Below - margin under the floor",IF(V448&lt;TargetMargin,"Check - under target margin",IF(AND(X448&lt;&gt;"",X448&gt;0.5),"Check - ran over the estimate","OK"))))))</f>
        <v>0</v>
      </c>
    </row>
    <row r="449" spans="1:27">
      <c r="A449" s="43">
        <f>IF(IFERROR(INDEX(Jobs!$A$5:$A$604,ROW()-4),"")="","",IFERROR(INDEX(Jobs!$A$5:$A$604,ROW()-4),""))</f>
        <v>0</v>
      </c>
      <c r="B449" s="18">
        <f>IF(A449="","",IFERROR(INDEX(Jobs!$B$5:$B$604,MATCH(A449,Jobs!$A$5:$A$604,0)),""))</f>
        <v>0</v>
      </c>
      <c r="C449" s="23">
        <f>IF(B449="","",TEXT(B449,"yyyy-mm"))</f>
        <v>0</v>
      </c>
      <c r="D449" s="43">
        <f>IF(A449="","",IFERROR(INDEX(Jobs!$G$5:$G$604,MATCH(A449,Jobs!$A$5:$A$604,0)),""))</f>
        <v>0</v>
      </c>
      <c r="E449" s="23">
        <f>IF(A449="","",IFERROR(INDEX(Jobs!$H$5:$H$604,MATCH(A449,Jobs!$A$5:$A$604,0)),""))</f>
        <v>0</v>
      </c>
      <c r="F449" s="23">
        <f>IF(A449="","",IFERROR(INDEX(Jobs!$K$5:$K$604,MATCH(A449,Jobs!$A$5:$A$604,0)),""))</f>
        <v>0</v>
      </c>
      <c r="G449" s="23">
        <f>IF(A449="","",IFERROR(INDEX(Jobs!$M$5:$M$604,MATCH(A449,Jobs!$A$5:$A$604,0)),""))</f>
        <v>0</v>
      </c>
      <c r="H449" s="23">
        <f>IF(A449="","",IFERROR(INDEX(Jobs!$R$5:$R$604,MATCH(A449,Jobs!$A$5:$A$604,0)),""))</f>
        <v>0</v>
      </c>
      <c r="I449" s="39">
        <f>IF(A449="","",IFERROR(INDEX(Jobs!$P$5:$P$604,MATCH(A449,Jobs!$A$5:$A$604,0)),""))</f>
        <v>0</v>
      </c>
      <c r="J449" s="21">
        <f>IF(A449="","",IF(OR(I449="Completed",I449="Invoiced"),IFERROR(INDEX(Jobs!$AJ$5:$AJ$604,MATCH(A449,Jobs!$A$5:$A$604,0)),0),0))</f>
        <v>0</v>
      </c>
      <c r="K449" s="34">
        <f>IF(A449="","",IFERROR(INDEX(Jobs!$AD$5:$AD$604,MATCH(A449,Jobs!$A$5:$A$604,0)),0))</f>
        <v>0</v>
      </c>
      <c r="L449" s="34">
        <f>IF(A449="","",IFERROR(INDEX(Jobs!$AK$5:$AK$604,MATCH(A449,Jobs!$A$5:$A$604,0)),0))</f>
        <v>0</v>
      </c>
      <c r="M449" s="34">
        <f>IF(A449="","",IF(IFERROR(L449*1,0)&gt;0,L449,IFERROR(K449*1,0)))</f>
        <v>0</v>
      </c>
      <c r="N449" s="21">
        <f>IF(A449="","",SUMIFS(Timesheets!$X$5:$X$804,Timesheets!$G$5:$G$804,A449))</f>
        <v>0</v>
      </c>
      <c r="O449" s="21">
        <f>IF(A449="","",IF(N449&gt;0,N449,ROUND(M449*CostPerHour,2)))</f>
        <v>0</v>
      </c>
      <c r="P449" s="21">
        <f>IF(A449="","",SUMIFS('Supply Usage'!$L$5:$L$304,'Supply Usage'!$F$5:$F$304,A449))</f>
        <v>0</v>
      </c>
      <c r="Q449" s="21">
        <f>IF(A449="","",IF(P449&gt;0,P449,ROUND(M449*SuppliesPerHour,2)))</f>
        <v>0</v>
      </c>
      <c r="R449" s="21">
        <f>IF(A449="","",ROUND(IFERROR(INDEX(Jobs!$W$5:$W$604,MATCH(A449,Jobs!$A$5:$A$604,0)),0)*MileageRate,2))</f>
        <v>0</v>
      </c>
      <c r="T449" s="21">
        <f>IF(A449="","",O449+Q449+R449+IF(S449="",0,S449))</f>
        <v>0</v>
      </c>
      <c r="U449" s="21">
        <f>IF(A449="","",J449-T449)</f>
        <v>0</v>
      </c>
      <c r="V449" s="38">
        <f>IF(OR(A449="",J449=0),"",U449/J449)</f>
        <v>0</v>
      </c>
      <c r="W449" s="21">
        <f>IF(OR(A449="",M449=0,J449=0),"",U449/M449)</f>
        <v>0</v>
      </c>
      <c r="X449" s="34">
        <f>IF(OR(A449="",L449="",L449=0,K449=""),"",L449-K449)</f>
        <v>0</v>
      </c>
      <c r="Y449" s="31">
        <f>IF(A449="","",COUNTIFS($U$5:$U$604,"&gt;"&amp;U449)+COUNTIFS($U$5:U449,U449))</f>
        <v>0</v>
      </c>
      <c r="Z449" s="31">
        <f>IF(A449="","",COUNTIFS($W$5:$W$604,"&gt;"&amp;W449)+COUNTIFS($W$5:W449,W449))</f>
        <v>0</v>
      </c>
      <c r="AA449" s="39">
        <f>IF(A449="","",IF(J449=0,"",IF(U449&lt;0,"Loss - this job cost you money",IF(V449&lt;MarginFloor,"Below - margin under the floor",IF(V449&lt;TargetMargin,"Check - under target margin",IF(AND(X449&lt;&gt;"",X449&gt;0.5),"Check - ran over the estimate","OK"))))))</f>
        <v>0</v>
      </c>
    </row>
    <row r="450" spans="1:27">
      <c r="A450" s="43">
        <f>IF(IFERROR(INDEX(Jobs!$A$5:$A$604,ROW()-4),"")="","",IFERROR(INDEX(Jobs!$A$5:$A$604,ROW()-4),""))</f>
        <v>0</v>
      </c>
      <c r="B450" s="18">
        <f>IF(A450="","",IFERROR(INDEX(Jobs!$B$5:$B$604,MATCH(A450,Jobs!$A$5:$A$604,0)),""))</f>
        <v>0</v>
      </c>
      <c r="C450" s="23">
        <f>IF(B450="","",TEXT(B450,"yyyy-mm"))</f>
        <v>0</v>
      </c>
      <c r="D450" s="43">
        <f>IF(A450="","",IFERROR(INDEX(Jobs!$G$5:$G$604,MATCH(A450,Jobs!$A$5:$A$604,0)),""))</f>
        <v>0</v>
      </c>
      <c r="E450" s="23">
        <f>IF(A450="","",IFERROR(INDEX(Jobs!$H$5:$H$604,MATCH(A450,Jobs!$A$5:$A$604,0)),""))</f>
        <v>0</v>
      </c>
      <c r="F450" s="23">
        <f>IF(A450="","",IFERROR(INDEX(Jobs!$K$5:$K$604,MATCH(A450,Jobs!$A$5:$A$604,0)),""))</f>
        <v>0</v>
      </c>
      <c r="G450" s="23">
        <f>IF(A450="","",IFERROR(INDEX(Jobs!$M$5:$M$604,MATCH(A450,Jobs!$A$5:$A$604,0)),""))</f>
        <v>0</v>
      </c>
      <c r="H450" s="23">
        <f>IF(A450="","",IFERROR(INDEX(Jobs!$R$5:$R$604,MATCH(A450,Jobs!$A$5:$A$604,0)),""))</f>
        <v>0</v>
      </c>
      <c r="I450" s="39">
        <f>IF(A450="","",IFERROR(INDEX(Jobs!$P$5:$P$604,MATCH(A450,Jobs!$A$5:$A$604,0)),""))</f>
        <v>0</v>
      </c>
      <c r="J450" s="21">
        <f>IF(A450="","",IF(OR(I450="Completed",I450="Invoiced"),IFERROR(INDEX(Jobs!$AJ$5:$AJ$604,MATCH(A450,Jobs!$A$5:$A$604,0)),0),0))</f>
        <v>0</v>
      </c>
      <c r="K450" s="34">
        <f>IF(A450="","",IFERROR(INDEX(Jobs!$AD$5:$AD$604,MATCH(A450,Jobs!$A$5:$A$604,0)),0))</f>
        <v>0</v>
      </c>
      <c r="L450" s="34">
        <f>IF(A450="","",IFERROR(INDEX(Jobs!$AK$5:$AK$604,MATCH(A450,Jobs!$A$5:$A$604,0)),0))</f>
        <v>0</v>
      </c>
      <c r="M450" s="34">
        <f>IF(A450="","",IF(IFERROR(L450*1,0)&gt;0,L450,IFERROR(K450*1,0)))</f>
        <v>0</v>
      </c>
      <c r="N450" s="21">
        <f>IF(A450="","",SUMIFS(Timesheets!$X$5:$X$804,Timesheets!$G$5:$G$804,A450))</f>
        <v>0</v>
      </c>
      <c r="O450" s="21">
        <f>IF(A450="","",IF(N450&gt;0,N450,ROUND(M450*CostPerHour,2)))</f>
        <v>0</v>
      </c>
      <c r="P450" s="21">
        <f>IF(A450="","",SUMIFS('Supply Usage'!$L$5:$L$304,'Supply Usage'!$F$5:$F$304,A450))</f>
        <v>0</v>
      </c>
      <c r="Q450" s="21">
        <f>IF(A450="","",IF(P450&gt;0,P450,ROUND(M450*SuppliesPerHour,2)))</f>
        <v>0</v>
      </c>
      <c r="R450" s="21">
        <f>IF(A450="","",ROUND(IFERROR(INDEX(Jobs!$W$5:$W$604,MATCH(A450,Jobs!$A$5:$A$604,0)),0)*MileageRate,2))</f>
        <v>0</v>
      </c>
      <c r="T450" s="21">
        <f>IF(A450="","",O450+Q450+R450+IF(S450="",0,S450))</f>
        <v>0</v>
      </c>
      <c r="U450" s="21">
        <f>IF(A450="","",J450-T450)</f>
        <v>0</v>
      </c>
      <c r="V450" s="38">
        <f>IF(OR(A450="",J450=0),"",U450/J450)</f>
        <v>0</v>
      </c>
      <c r="W450" s="21">
        <f>IF(OR(A450="",M450=0,J450=0),"",U450/M450)</f>
        <v>0</v>
      </c>
      <c r="X450" s="34">
        <f>IF(OR(A450="",L450="",L450=0,K450=""),"",L450-K450)</f>
        <v>0</v>
      </c>
      <c r="Y450" s="31">
        <f>IF(A450="","",COUNTIFS($U$5:$U$604,"&gt;"&amp;U450)+COUNTIFS($U$5:U450,U450))</f>
        <v>0</v>
      </c>
      <c r="Z450" s="31">
        <f>IF(A450="","",COUNTIFS($W$5:$W$604,"&gt;"&amp;W450)+COUNTIFS($W$5:W450,W450))</f>
        <v>0</v>
      </c>
      <c r="AA450" s="39">
        <f>IF(A450="","",IF(J450=0,"",IF(U450&lt;0,"Loss - this job cost you money",IF(V450&lt;MarginFloor,"Below - margin under the floor",IF(V450&lt;TargetMargin,"Check - under target margin",IF(AND(X450&lt;&gt;"",X450&gt;0.5),"Check - ran over the estimate","OK"))))))</f>
        <v>0</v>
      </c>
    </row>
    <row r="451" spans="1:27">
      <c r="A451" s="43">
        <f>IF(IFERROR(INDEX(Jobs!$A$5:$A$604,ROW()-4),"")="","",IFERROR(INDEX(Jobs!$A$5:$A$604,ROW()-4),""))</f>
        <v>0</v>
      </c>
      <c r="B451" s="18">
        <f>IF(A451="","",IFERROR(INDEX(Jobs!$B$5:$B$604,MATCH(A451,Jobs!$A$5:$A$604,0)),""))</f>
        <v>0</v>
      </c>
      <c r="C451" s="23">
        <f>IF(B451="","",TEXT(B451,"yyyy-mm"))</f>
        <v>0</v>
      </c>
      <c r="D451" s="43">
        <f>IF(A451="","",IFERROR(INDEX(Jobs!$G$5:$G$604,MATCH(A451,Jobs!$A$5:$A$604,0)),""))</f>
        <v>0</v>
      </c>
      <c r="E451" s="23">
        <f>IF(A451="","",IFERROR(INDEX(Jobs!$H$5:$H$604,MATCH(A451,Jobs!$A$5:$A$604,0)),""))</f>
        <v>0</v>
      </c>
      <c r="F451" s="23">
        <f>IF(A451="","",IFERROR(INDEX(Jobs!$K$5:$K$604,MATCH(A451,Jobs!$A$5:$A$604,0)),""))</f>
        <v>0</v>
      </c>
      <c r="G451" s="23">
        <f>IF(A451="","",IFERROR(INDEX(Jobs!$M$5:$M$604,MATCH(A451,Jobs!$A$5:$A$604,0)),""))</f>
        <v>0</v>
      </c>
      <c r="H451" s="23">
        <f>IF(A451="","",IFERROR(INDEX(Jobs!$R$5:$R$604,MATCH(A451,Jobs!$A$5:$A$604,0)),""))</f>
        <v>0</v>
      </c>
      <c r="I451" s="39">
        <f>IF(A451="","",IFERROR(INDEX(Jobs!$P$5:$P$604,MATCH(A451,Jobs!$A$5:$A$604,0)),""))</f>
        <v>0</v>
      </c>
      <c r="J451" s="21">
        <f>IF(A451="","",IF(OR(I451="Completed",I451="Invoiced"),IFERROR(INDEX(Jobs!$AJ$5:$AJ$604,MATCH(A451,Jobs!$A$5:$A$604,0)),0),0))</f>
        <v>0</v>
      </c>
      <c r="K451" s="34">
        <f>IF(A451="","",IFERROR(INDEX(Jobs!$AD$5:$AD$604,MATCH(A451,Jobs!$A$5:$A$604,0)),0))</f>
        <v>0</v>
      </c>
      <c r="L451" s="34">
        <f>IF(A451="","",IFERROR(INDEX(Jobs!$AK$5:$AK$604,MATCH(A451,Jobs!$A$5:$A$604,0)),0))</f>
        <v>0</v>
      </c>
      <c r="M451" s="34">
        <f>IF(A451="","",IF(IFERROR(L451*1,0)&gt;0,L451,IFERROR(K451*1,0)))</f>
        <v>0</v>
      </c>
      <c r="N451" s="21">
        <f>IF(A451="","",SUMIFS(Timesheets!$X$5:$X$804,Timesheets!$G$5:$G$804,A451))</f>
        <v>0</v>
      </c>
      <c r="O451" s="21">
        <f>IF(A451="","",IF(N451&gt;0,N451,ROUND(M451*CostPerHour,2)))</f>
        <v>0</v>
      </c>
      <c r="P451" s="21">
        <f>IF(A451="","",SUMIFS('Supply Usage'!$L$5:$L$304,'Supply Usage'!$F$5:$F$304,A451))</f>
        <v>0</v>
      </c>
      <c r="Q451" s="21">
        <f>IF(A451="","",IF(P451&gt;0,P451,ROUND(M451*SuppliesPerHour,2)))</f>
        <v>0</v>
      </c>
      <c r="R451" s="21">
        <f>IF(A451="","",ROUND(IFERROR(INDEX(Jobs!$W$5:$W$604,MATCH(A451,Jobs!$A$5:$A$604,0)),0)*MileageRate,2))</f>
        <v>0</v>
      </c>
      <c r="T451" s="21">
        <f>IF(A451="","",O451+Q451+R451+IF(S451="",0,S451))</f>
        <v>0</v>
      </c>
      <c r="U451" s="21">
        <f>IF(A451="","",J451-T451)</f>
        <v>0</v>
      </c>
      <c r="V451" s="38">
        <f>IF(OR(A451="",J451=0),"",U451/J451)</f>
        <v>0</v>
      </c>
      <c r="W451" s="21">
        <f>IF(OR(A451="",M451=0,J451=0),"",U451/M451)</f>
        <v>0</v>
      </c>
      <c r="X451" s="34">
        <f>IF(OR(A451="",L451="",L451=0,K451=""),"",L451-K451)</f>
        <v>0</v>
      </c>
      <c r="Y451" s="31">
        <f>IF(A451="","",COUNTIFS($U$5:$U$604,"&gt;"&amp;U451)+COUNTIFS($U$5:U451,U451))</f>
        <v>0</v>
      </c>
      <c r="Z451" s="31">
        <f>IF(A451="","",COUNTIFS($W$5:$W$604,"&gt;"&amp;W451)+COUNTIFS($W$5:W451,W451))</f>
        <v>0</v>
      </c>
      <c r="AA451" s="39">
        <f>IF(A451="","",IF(J451=0,"",IF(U451&lt;0,"Loss - this job cost you money",IF(V451&lt;MarginFloor,"Below - margin under the floor",IF(V451&lt;TargetMargin,"Check - under target margin",IF(AND(X451&lt;&gt;"",X451&gt;0.5),"Check - ran over the estimate","OK"))))))</f>
        <v>0</v>
      </c>
    </row>
    <row r="452" spans="1:27">
      <c r="A452" s="43">
        <f>IF(IFERROR(INDEX(Jobs!$A$5:$A$604,ROW()-4),"")="","",IFERROR(INDEX(Jobs!$A$5:$A$604,ROW()-4),""))</f>
        <v>0</v>
      </c>
      <c r="B452" s="18">
        <f>IF(A452="","",IFERROR(INDEX(Jobs!$B$5:$B$604,MATCH(A452,Jobs!$A$5:$A$604,0)),""))</f>
        <v>0</v>
      </c>
      <c r="C452" s="23">
        <f>IF(B452="","",TEXT(B452,"yyyy-mm"))</f>
        <v>0</v>
      </c>
      <c r="D452" s="43">
        <f>IF(A452="","",IFERROR(INDEX(Jobs!$G$5:$G$604,MATCH(A452,Jobs!$A$5:$A$604,0)),""))</f>
        <v>0</v>
      </c>
      <c r="E452" s="23">
        <f>IF(A452="","",IFERROR(INDEX(Jobs!$H$5:$H$604,MATCH(A452,Jobs!$A$5:$A$604,0)),""))</f>
        <v>0</v>
      </c>
      <c r="F452" s="23">
        <f>IF(A452="","",IFERROR(INDEX(Jobs!$K$5:$K$604,MATCH(A452,Jobs!$A$5:$A$604,0)),""))</f>
        <v>0</v>
      </c>
      <c r="G452" s="23">
        <f>IF(A452="","",IFERROR(INDEX(Jobs!$M$5:$M$604,MATCH(A452,Jobs!$A$5:$A$604,0)),""))</f>
        <v>0</v>
      </c>
      <c r="H452" s="23">
        <f>IF(A452="","",IFERROR(INDEX(Jobs!$R$5:$R$604,MATCH(A452,Jobs!$A$5:$A$604,0)),""))</f>
        <v>0</v>
      </c>
      <c r="I452" s="39">
        <f>IF(A452="","",IFERROR(INDEX(Jobs!$P$5:$P$604,MATCH(A452,Jobs!$A$5:$A$604,0)),""))</f>
        <v>0</v>
      </c>
      <c r="J452" s="21">
        <f>IF(A452="","",IF(OR(I452="Completed",I452="Invoiced"),IFERROR(INDEX(Jobs!$AJ$5:$AJ$604,MATCH(A452,Jobs!$A$5:$A$604,0)),0),0))</f>
        <v>0</v>
      </c>
      <c r="K452" s="34">
        <f>IF(A452="","",IFERROR(INDEX(Jobs!$AD$5:$AD$604,MATCH(A452,Jobs!$A$5:$A$604,0)),0))</f>
        <v>0</v>
      </c>
      <c r="L452" s="34">
        <f>IF(A452="","",IFERROR(INDEX(Jobs!$AK$5:$AK$604,MATCH(A452,Jobs!$A$5:$A$604,0)),0))</f>
        <v>0</v>
      </c>
      <c r="M452" s="34">
        <f>IF(A452="","",IF(IFERROR(L452*1,0)&gt;0,L452,IFERROR(K452*1,0)))</f>
        <v>0</v>
      </c>
      <c r="N452" s="21">
        <f>IF(A452="","",SUMIFS(Timesheets!$X$5:$X$804,Timesheets!$G$5:$G$804,A452))</f>
        <v>0</v>
      </c>
      <c r="O452" s="21">
        <f>IF(A452="","",IF(N452&gt;0,N452,ROUND(M452*CostPerHour,2)))</f>
        <v>0</v>
      </c>
      <c r="P452" s="21">
        <f>IF(A452="","",SUMIFS('Supply Usage'!$L$5:$L$304,'Supply Usage'!$F$5:$F$304,A452))</f>
        <v>0</v>
      </c>
      <c r="Q452" s="21">
        <f>IF(A452="","",IF(P452&gt;0,P452,ROUND(M452*SuppliesPerHour,2)))</f>
        <v>0</v>
      </c>
      <c r="R452" s="21">
        <f>IF(A452="","",ROUND(IFERROR(INDEX(Jobs!$W$5:$W$604,MATCH(A452,Jobs!$A$5:$A$604,0)),0)*MileageRate,2))</f>
        <v>0</v>
      </c>
      <c r="T452" s="21">
        <f>IF(A452="","",O452+Q452+R452+IF(S452="",0,S452))</f>
        <v>0</v>
      </c>
      <c r="U452" s="21">
        <f>IF(A452="","",J452-T452)</f>
        <v>0</v>
      </c>
      <c r="V452" s="38">
        <f>IF(OR(A452="",J452=0),"",U452/J452)</f>
        <v>0</v>
      </c>
      <c r="W452" s="21">
        <f>IF(OR(A452="",M452=0,J452=0),"",U452/M452)</f>
        <v>0</v>
      </c>
      <c r="X452" s="34">
        <f>IF(OR(A452="",L452="",L452=0,K452=""),"",L452-K452)</f>
        <v>0</v>
      </c>
      <c r="Y452" s="31">
        <f>IF(A452="","",COUNTIFS($U$5:$U$604,"&gt;"&amp;U452)+COUNTIFS($U$5:U452,U452))</f>
        <v>0</v>
      </c>
      <c r="Z452" s="31">
        <f>IF(A452="","",COUNTIFS($W$5:$W$604,"&gt;"&amp;W452)+COUNTIFS($W$5:W452,W452))</f>
        <v>0</v>
      </c>
      <c r="AA452" s="39">
        <f>IF(A452="","",IF(J452=0,"",IF(U452&lt;0,"Loss - this job cost you money",IF(V452&lt;MarginFloor,"Below - margin under the floor",IF(V452&lt;TargetMargin,"Check - under target margin",IF(AND(X452&lt;&gt;"",X452&gt;0.5),"Check - ran over the estimate","OK"))))))</f>
        <v>0</v>
      </c>
    </row>
    <row r="453" spans="1:27">
      <c r="A453" s="43">
        <f>IF(IFERROR(INDEX(Jobs!$A$5:$A$604,ROW()-4),"")="","",IFERROR(INDEX(Jobs!$A$5:$A$604,ROW()-4),""))</f>
        <v>0</v>
      </c>
      <c r="B453" s="18">
        <f>IF(A453="","",IFERROR(INDEX(Jobs!$B$5:$B$604,MATCH(A453,Jobs!$A$5:$A$604,0)),""))</f>
        <v>0</v>
      </c>
      <c r="C453" s="23">
        <f>IF(B453="","",TEXT(B453,"yyyy-mm"))</f>
        <v>0</v>
      </c>
      <c r="D453" s="43">
        <f>IF(A453="","",IFERROR(INDEX(Jobs!$G$5:$G$604,MATCH(A453,Jobs!$A$5:$A$604,0)),""))</f>
        <v>0</v>
      </c>
      <c r="E453" s="23">
        <f>IF(A453="","",IFERROR(INDEX(Jobs!$H$5:$H$604,MATCH(A453,Jobs!$A$5:$A$604,0)),""))</f>
        <v>0</v>
      </c>
      <c r="F453" s="23">
        <f>IF(A453="","",IFERROR(INDEX(Jobs!$K$5:$K$604,MATCH(A453,Jobs!$A$5:$A$604,0)),""))</f>
        <v>0</v>
      </c>
      <c r="G453" s="23">
        <f>IF(A453="","",IFERROR(INDEX(Jobs!$M$5:$M$604,MATCH(A453,Jobs!$A$5:$A$604,0)),""))</f>
        <v>0</v>
      </c>
      <c r="H453" s="23">
        <f>IF(A453="","",IFERROR(INDEX(Jobs!$R$5:$R$604,MATCH(A453,Jobs!$A$5:$A$604,0)),""))</f>
        <v>0</v>
      </c>
      <c r="I453" s="39">
        <f>IF(A453="","",IFERROR(INDEX(Jobs!$P$5:$P$604,MATCH(A453,Jobs!$A$5:$A$604,0)),""))</f>
        <v>0</v>
      </c>
      <c r="J453" s="21">
        <f>IF(A453="","",IF(OR(I453="Completed",I453="Invoiced"),IFERROR(INDEX(Jobs!$AJ$5:$AJ$604,MATCH(A453,Jobs!$A$5:$A$604,0)),0),0))</f>
        <v>0</v>
      </c>
      <c r="K453" s="34">
        <f>IF(A453="","",IFERROR(INDEX(Jobs!$AD$5:$AD$604,MATCH(A453,Jobs!$A$5:$A$604,0)),0))</f>
        <v>0</v>
      </c>
      <c r="L453" s="34">
        <f>IF(A453="","",IFERROR(INDEX(Jobs!$AK$5:$AK$604,MATCH(A453,Jobs!$A$5:$A$604,0)),0))</f>
        <v>0</v>
      </c>
      <c r="M453" s="34">
        <f>IF(A453="","",IF(IFERROR(L453*1,0)&gt;0,L453,IFERROR(K453*1,0)))</f>
        <v>0</v>
      </c>
      <c r="N453" s="21">
        <f>IF(A453="","",SUMIFS(Timesheets!$X$5:$X$804,Timesheets!$G$5:$G$804,A453))</f>
        <v>0</v>
      </c>
      <c r="O453" s="21">
        <f>IF(A453="","",IF(N453&gt;0,N453,ROUND(M453*CostPerHour,2)))</f>
        <v>0</v>
      </c>
      <c r="P453" s="21">
        <f>IF(A453="","",SUMIFS('Supply Usage'!$L$5:$L$304,'Supply Usage'!$F$5:$F$304,A453))</f>
        <v>0</v>
      </c>
      <c r="Q453" s="21">
        <f>IF(A453="","",IF(P453&gt;0,P453,ROUND(M453*SuppliesPerHour,2)))</f>
        <v>0</v>
      </c>
      <c r="R453" s="21">
        <f>IF(A453="","",ROUND(IFERROR(INDEX(Jobs!$W$5:$W$604,MATCH(A453,Jobs!$A$5:$A$604,0)),0)*MileageRate,2))</f>
        <v>0</v>
      </c>
      <c r="T453" s="21">
        <f>IF(A453="","",O453+Q453+R453+IF(S453="",0,S453))</f>
        <v>0</v>
      </c>
      <c r="U453" s="21">
        <f>IF(A453="","",J453-T453)</f>
        <v>0</v>
      </c>
      <c r="V453" s="38">
        <f>IF(OR(A453="",J453=0),"",U453/J453)</f>
        <v>0</v>
      </c>
      <c r="W453" s="21">
        <f>IF(OR(A453="",M453=0,J453=0),"",U453/M453)</f>
        <v>0</v>
      </c>
      <c r="X453" s="34">
        <f>IF(OR(A453="",L453="",L453=0,K453=""),"",L453-K453)</f>
        <v>0</v>
      </c>
      <c r="Y453" s="31">
        <f>IF(A453="","",COUNTIFS($U$5:$U$604,"&gt;"&amp;U453)+COUNTIFS($U$5:U453,U453))</f>
        <v>0</v>
      </c>
      <c r="Z453" s="31">
        <f>IF(A453="","",COUNTIFS($W$5:$W$604,"&gt;"&amp;W453)+COUNTIFS($W$5:W453,W453))</f>
        <v>0</v>
      </c>
      <c r="AA453" s="39">
        <f>IF(A453="","",IF(J453=0,"",IF(U453&lt;0,"Loss - this job cost you money",IF(V453&lt;MarginFloor,"Below - margin under the floor",IF(V453&lt;TargetMargin,"Check - under target margin",IF(AND(X453&lt;&gt;"",X453&gt;0.5),"Check - ran over the estimate","OK"))))))</f>
        <v>0</v>
      </c>
    </row>
    <row r="454" spans="1:27">
      <c r="A454" s="43">
        <f>IF(IFERROR(INDEX(Jobs!$A$5:$A$604,ROW()-4),"")="","",IFERROR(INDEX(Jobs!$A$5:$A$604,ROW()-4),""))</f>
        <v>0</v>
      </c>
      <c r="B454" s="18">
        <f>IF(A454="","",IFERROR(INDEX(Jobs!$B$5:$B$604,MATCH(A454,Jobs!$A$5:$A$604,0)),""))</f>
        <v>0</v>
      </c>
      <c r="C454" s="23">
        <f>IF(B454="","",TEXT(B454,"yyyy-mm"))</f>
        <v>0</v>
      </c>
      <c r="D454" s="43">
        <f>IF(A454="","",IFERROR(INDEX(Jobs!$G$5:$G$604,MATCH(A454,Jobs!$A$5:$A$604,0)),""))</f>
        <v>0</v>
      </c>
      <c r="E454" s="23">
        <f>IF(A454="","",IFERROR(INDEX(Jobs!$H$5:$H$604,MATCH(A454,Jobs!$A$5:$A$604,0)),""))</f>
        <v>0</v>
      </c>
      <c r="F454" s="23">
        <f>IF(A454="","",IFERROR(INDEX(Jobs!$K$5:$K$604,MATCH(A454,Jobs!$A$5:$A$604,0)),""))</f>
        <v>0</v>
      </c>
      <c r="G454" s="23">
        <f>IF(A454="","",IFERROR(INDEX(Jobs!$M$5:$M$604,MATCH(A454,Jobs!$A$5:$A$604,0)),""))</f>
        <v>0</v>
      </c>
      <c r="H454" s="23">
        <f>IF(A454="","",IFERROR(INDEX(Jobs!$R$5:$R$604,MATCH(A454,Jobs!$A$5:$A$604,0)),""))</f>
        <v>0</v>
      </c>
      <c r="I454" s="39">
        <f>IF(A454="","",IFERROR(INDEX(Jobs!$P$5:$P$604,MATCH(A454,Jobs!$A$5:$A$604,0)),""))</f>
        <v>0</v>
      </c>
      <c r="J454" s="21">
        <f>IF(A454="","",IF(OR(I454="Completed",I454="Invoiced"),IFERROR(INDEX(Jobs!$AJ$5:$AJ$604,MATCH(A454,Jobs!$A$5:$A$604,0)),0),0))</f>
        <v>0</v>
      </c>
      <c r="K454" s="34">
        <f>IF(A454="","",IFERROR(INDEX(Jobs!$AD$5:$AD$604,MATCH(A454,Jobs!$A$5:$A$604,0)),0))</f>
        <v>0</v>
      </c>
      <c r="L454" s="34">
        <f>IF(A454="","",IFERROR(INDEX(Jobs!$AK$5:$AK$604,MATCH(A454,Jobs!$A$5:$A$604,0)),0))</f>
        <v>0</v>
      </c>
      <c r="M454" s="34">
        <f>IF(A454="","",IF(IFERROR(L454*1,0)&gt;0,L454,IFERROR(K454*1,0)))</f>
        <v>0</v>
      </c>
      <c r="N454" s="21">
        <f>IF(A454="","",SUMIFS(Timesheets!$X$5:$X$804,Timesheets!$G$5:$G$804,A454))</f>
        <v>0</v>
      </c>
      <c r="O454" s="21">
        <f>IF(A454="","",IF(N454&gt;0,N454,ROUND(M454*CostPerHour,2)))</f>
        <v>0</v>
      </c>
      <c r="P454" s="21">
        <f>IF(A454="","",SUMIFS('Supply Usage'!$L$5:$L$304,'Supply Usage'!$F$5:$F$304,A454))</f>
        <v>0</v>
      </c>
      <c r="Q454" s="21">
        <f>IF(A454="","",IF(P454&gt;0,P454,ROUND(M454*SuppliesPerHour,2)))</f>
        <v>0</v>
      </c>
      <c r="R454" s="21">
        <f>IF(A454="","",ROUND(IFERROR(INDEX(Jobs!$W$5:$W$604,MATCH(A454,Jobs!$A$5:$A$604,0)),0)*MileageRate,2))</f>
        <v>0</v>
      </c>
      <c r="T454" s="21">
        <f>IF(A454="","",O454+Q454+R454+IF(S454="",0,S454))</f>
        <v>0</v>
      </c>
      <c r="U454" s="21">
        <f>IF(A454="","",J454-T454)</f>
        <v>0</v>
      </c>
      <c r="V454" s="38">
        <f>IF(OR(A454="",J454=0),"",U454/J454)</f>
        <v>0</v>
      </c>
      <c r="W454" s="21">
        <f>IF(OR(A454="",M454=0,J454=0),"",U454/M454)</f>
        <v>0</v>
      </c>
      <c r="X454" s="34">
        <f>IF(OR(A454="",L454="",L454=0,K454=""),"",L454-K454)</f>
        <v>0</v>
      </c>
      <c r="Y454" s="31">
        <f>IF(A454="","",COUNTIFS($U$5:$U$604,"&gt;"&amp;U454)+COUNTIFS($U$5:U454,U454))</f>
        <v>0</v>
      </c>
      <c r="Z454" s="31">
        <f>IF(A454="","",COUNTIFS($W$5:$W$604,"&gt;"&amp;W454)+COUNTIFS($W$5:W454,W454))</f>
        <v>0</v>
      </c>
      <c r="AA454" s="39">
        <f>IF(A454="","",IF(J454=0,"",IF(U454&lt;0,"Loss - this job cost you money",IF(V454&lt;MarginFloor,"Below - margin under the floor",IF(V454&lt;TargetMargin,"Check - under target margin",IF(AND(X454&lt;&gt;"",X454&gt;0.5),"Check - ran over the estimate","OK"))))))</f>
        <v>0</v>
      </c>
    </row>
    <row r="455" spans="1:27">
      <c r="A455" s="43">
        <f>IF(IFERROR(INDEX(Jobs!$A$5:$A$604,ROW()-4),"")="","",IFERROR(INDEX(Jobs!$A$5:$A$604,ROW()-4),""))</f>
        <v>0</v>
      </c>
      <c r="B455" s="18">
        <f>IF(A455="","",IFERROR(INDEX(Jobs!$B$5:$B$604,MATCH(A455,Jobs!$A$5:$A$604,0)),""))</f>
        <v>0</v>
      </c>
      <c r="C455" s="23">
        <f>IF(B455="","",TEXT(B455,"yyyy-mm"))</f>
        <v>0</v>
      </c>
      <c r="D455" s="43">
        <f>IF(A455="","",IFERROR(INDEX(Jobs!$G$5:$G$604,MATCH(A455,Jobs!$A$5:$A$604,0)),""))</f>
        <v>0</v>
      </c>
      <c r="E455" s="23">
        <f>IF(A455="","",IFERROR(INDEX(Jobs!$H$5:$H$604,MATCH(A455,Jobs!$A$5:$A$604,0)),""))</f>
        <v>0</v>
      </c>
      <c r="F455" s="23">
        <f>IF(A455="","",IFERROR(INDEX(Jobs!$K$5:$K$604,MATCH(A455,Jobs!$A$5:$A$604,0)),""))</f>
        <v>0</v>
      </c>
      <c r="G455" s="23">
        <f>IF(A455="","",IFERROR(INDEX(Jobs!$M$5:$M$604,MATCH(A455,Jobs!$A$5:$A$604,0)),""))</f>
        <v>0</v>
      </c>
      <c r="H455" s="23">
        <f>IF(A455="","",IFERROR(INDEX(Jobs!$R$5:$R$604,MATCH(A455,Jobs!$A$5:$A$604,0)),""))</f>
        <v>0</v>
      </c>
      <c r="I455" s="39">
        <f>IF(A455="","",IFERROR(INDEX(Jobs!$P$5:$P$604,MATCH(A455,Jobs!$A$5:$A$604,0)),""))</f>
        <v>0</v>
      </c>
      <c r="J455" s="21">
        <f>IF(A455="","",IF(OR(I455="Completed",I455="Invoiced"),IFERROR(INDEX(Jobs!$AJ$5:$AJ$604,MATCH(A455,Jobs!$A$5:$A$604,0)),0),0))</f>
        <v>0</v>
      </c>
      <c r="K455" s="34">
        <f>IF(A455="","",IFERROR(INDEX(Jobs!$AD$5:$AD$604,MATCH(A455,Jobs!$A$5:$A$604,0)),0))</f>
        <v>0</v>
      </c>
      <c r="L455" s="34">
        <f>IF(A455="","",IFERROR(INDEX(Jobs!$AK$5:$AK$604,MATCH(A455,Jobs!$A$5:$A$604,0)),0))</f>
        <v>0</v>
      </c>
      <c r="M455" s="34">
        <f>IF(A455="","",IF(IFERROR(L455*1,0)&gt;0,L455,IFERROR(K455*1,0)))</f>
        <v>0</v>
      </c>
      <c r="N455" s="21">
        <f>IF(A455="","",SUMIFS(Timesheets!$X$5:$X$804,Timesheets!$G$5:$G$804,A455))</f>
        <v>0</v>
      </c>
      <c r="O455" s="21">
        <f>IF(A455="","",IF(N455&gt;0,N455,ROUND(M455*CostPerHour,2)))</f>
        <v>0</v>
      </c>
      <c r="P455" s="21">
        <f>IF(A455="","",SUMIFS('Supply Usage'!$L$5:$L$304,'Supply Usage'!$F$5:$F$304,A455))</f>
        <v>0</v>
      </c>
      <c r="Q455" s="21">
        <f>IF(A455="","",IF(P455&gt;0,P455,ROUND(M455*SuppliesPerHour,2)))</f>
        <v>0</v>
      </c>
      <c r="R455" s="21">
        <f>IF(A455="","",ROUND(IFERROR(INDEX(Jobs!$W$5:$W$604,MATCH(A455,Jobs!$A$5:$A$604,0)),0)*MileageRate,2))</f>
        <v>0</v>
      </c>
      <c r="T455" s="21">
        <f>IF(A455="","",O455+Q455+R455+IF(S455="",0,S455))</f>
        <v>0</v>
      </c>
      <c r="U455" s="21">
        <f>IF(A455="","",J455-T455)</f>
        <v>0</v>
      </c>
      <c r="V455" s="38">
        <f>IF(OR(A455="",J455=0),"",U455/J455)</f>
        <v>0</v>
      </c>
      <c r="W455" s="21">
        <f>IF(OR(A455="",M455=0,J455=0),"",U455/M455)</f>
        <v>0</v>
      </c>
      <c r="X455" s="34">
        <f>IF(OR(A455="",L455="",L455=0,K455=""),"",L455-K455)</f>
        <v>0</v>
      </c>
      <c r="Y455" s="31">
        <f>IF(A455="","",COUNTIFS($U$5:$U$604,"&gt;"&amp;U455)+COUNTIFS($U$5:U455,U455))</f>
        <v>0</v>
      </c>
      <c r="Z455" s="31">
        <f>IF(A455="","",COUNTIFS($W$5:$W$604,"&gt;"&amp;W455)+COUNTIFS($W$5:W455,W455))</f>
        <v>0</v>
      </c>
      <c r="AA455" s="39">
        <f>IF(A455="","",IF(J455=0,"",IF(U455&lt;0,"Loss - this job cost you money",IF(V455&lt;MarginFloor,"Below - margin under the floor",IF(V455&lt;TargetMargin,"Check - under target margin",IF(AND(X455&lt;&gt;"",X455&gt;0.5),"Check - ran over the estimate","OK"))))))</f>
        <v>0</v>
      </c>
    </row>
    <row r="456" spans="1:27">
      <c r="A456" s="43">
        <f>IF(IFERROR(INDEX(Jobs!$A$5:$A$604,ROW()-4),"")="","",IFERROR(INDEX(Jobs!$A$5:$A$604,ROW()-4),""))</f>
        <v>0</v>
      </c>
      <c r="B456" s="18">
        <f>IF(A456="","",IFERROR(INDEX(Jobs!$B$5:$B$604,MATCH(A456,Jobs!$A$5:$A$604,0)),""))</f>
        <v>0</v>
      </c>
      <c r="C456" s="23">
        <f>IF(B456="","",TEXT(B456,"yyyy-mm"))</f>
        <v>0</v>
      </c>
      <c r="D456" s="43">
        <f>IF(A456="","",IFERROR(INDEX(Jobs!$G$5:$G$604,MATCH(A456,Jobs!$A$5:$A$604,0)),""))</f>
        <v>0</v>
      </c>
      <c r="E456" s="23">
        <f>IF(A456="","",IFERROR(INDEX(Jobs!$H$5:$H$604,MATCH(A456,Jobs!$A$5:$A$604,0)),""))</f>
        <v>0</v>
      </c>
      <c r="F456" s="23">
        <f>IF(A456="","",IFERROR(INDEX(Jobs!$K$5:$K$604,MATCH(A456,Jobs!$A$5:$A$604,0)),""))</f>
        <v>0</v>
      </c>
      <c r="G456" s="23">
        <f>IF(A456="","",IFERROR(INDEX(Jobs!$M$5:$M$604,MATCH(A456,Jobs!$A$5:$A$604,0)),""))</f>
        <v>0</v>
      </c>
      <c r="H456" s="23">
        <f>IF(A456="","",IFERROR(INDEX(Jobs!$R$5:$R$604,MATCH(A456,Jobs!$A$5:$A$604,0)),""))</f>
        <v>0</v>
      </c>
      <c r="I456" s="39">
        <f>IF(A456="","",IFERROR(INDEX(Jobs!$P$5:$P$604,MATCH(A456,Jobs!$A$5:$A$604,0)),""))</f>
        <v>0</v>
      </c>
      <c r="J456" s="21">
        <f>IF(A456="","",IF(OR(I456="Completed",I456="Invoiced"),IFERROR(INDEX(Jobs!$AJ$5:$AJ$604,MATCH(A456,Jobs!$A$5:$A$604,0)),0),0))</f>
        <v>0</v>
      </c>
      <c r="K456" s="34">
        <f>IF(A456="","",IFERROR(INDEX(Jobs!$AD$5:$AD$604,MATCH(A456,Jobs!$A$5:$A$604,0)),0))</f>
        <v>0</v>
      </c>
      <c r="L456" s="34">
        <f>IF(A456="","",IFERROR(INDEX(Jobs!$AK$5:$AK$604,MATCH(A456,Jobs!$A$5:$A$604,0)),0))</f>
        <v>0</v>
      </c>
      <c r="M456" s="34">
        <f>IF(A456="","",IF(IFERROR(L456*1,0)&gt;0,L456,IFERROR(K456*1,0)))</f>
        <v>0</v>
      </c>
      <c r="N456" s="21">
        <f>IF(A456="","",SUMIFS(Timesheets!$X$5:$X$804,Timesheets!$G$5:$G$804,A456))</f>
        <v>0</v>
      </c>
      <c r="O456" s="21">
        <f>IF(A456="","",IF(N456&gt;0,N456,ROUND(M456*CostPerHour,2)))</f>
        <v>0</v>
      </c>
      <c r="P456" s="21">
        <f>IF(A456="","",SUMIFS('Supply Usage'!$L$5:$L$304,'Supply Usage'!$F$5:$F$304,A456))</f>
        <v>0</v>
      </c>
      <c r="Q456" s="21">
        <f>IF(A456="","",IF(P456&gt;0,P456,ROUND(M456*SuppliesPerHour,2)))</f>
        <v>0</v>
      </c>
      <c r="R456" s="21">
        <f>IF(A456="","",ROUND(IFERROR(INDEX(Jobs!$W$5:$W$604,MATCH(A456,Jobs!$A$5:$A$604,0)),0)*MileageRate,2))</f>
        <v>0</v>
      </c>
      <c r="T456" s="21">
        <f>IF(A456="","",O456+Q456+R456+IF(S456="",0,S456))</f>
        <v>0</v>
      </c>
      <c r="U456" s="21">
        <f>IF(A456="","",J456-T456)</f>
        <v>0</v>
      </c>
      <c r="V456" s="38">
        <f>IF(OR(A456="",J456=0),"",U456/J456)</f>
        <v>0</v>
      </c>
      <c r="W456" s="21">
        <f>IF(OR(A456="",M456=0,J456=0),"",U456/M456)</f>
        <v>0</v>
      </c>
      <c r="X456" s="34">
        <f>IF(OR(A456="",L456="",L456=0,K456=""),"",L456-K456)</f>
        <v>0</v>
      </c>
      <c r="Y456" s="31">
        <f>IF(A456="","",COUNTIFS($U$5:$U$604,"&gt;"&amp;U456)+COUNTIFS($U$5:U456,U456))</f>
        <v>0</v>
      </c>
      <c r="Z456" s="31">
        <f>IF(A456="","",COUNTIFS($W$5:$W$604,"&gt;"&amp;W456)+COUNTIFS($W$5:W456,W456))</f>
        <v>0</v>
      </c>
      <c r="AA456" s="39">
        <f>IF(A456="","",IF(J456=0,"",IF(U456&lt;0,"Loss - this job cost you money",IF(V456&lt;MarginFloor,"Below - margin under the floor",IF(V456&lt;TargetMargin,"Check - under target margin",IF(AND(X456&lt;&gt;"",X456&gt;0.5),"Check - ran over the estimate","OK"))))))</f>
        <v>0</v>
      </c>
    </row>
    <row r="457" spans="1:27">
      <c r="A457" s="43">
        <f>IF(IFERROR(INDEX(Jobs!$A$5:$A$604,ROW()-4),"")="","",IFERROR(INDEX(Jobs!$A$5:$A$604,ROW()-4),""))</f>
        <v>0</v>
      </c>
      <c r="B457" s="18">
        <f>IF(A457="","",IFERROR(INDEX(Jobs!$B$5:$B$604,MATCH(A457,Jobs!$A$5:$A$604,0)),""))</f>
        <v>0</v>
      </c>
      <c r="C457" s="23">
        <f>IF(B457="","",TEXT(B457,"yyyy-mm"))</f>
        <v>0</v>
      </c>
      <c r="D457" s="43">
        <f>IF(A457="","",IFERROR(INDEX(Jobs!$G$5:$G$604,MATCH(A457,Jobs!$A$5:$A$604,0)),""))</f>
        <v>0</v>
      </c>
      <c r="E457" s="23">
        <f>IF(A457="","",IFERROR(INDEX(Jobs!$H$5:$H$604,MATCH(A457,Jobs!$A$5:$A$604,0)),""))</f>
        <v>0</v>
      </c>
      <c r="F457" s="23">
        <f>IF(A457="","",IFERROR(INDEX(Jobs!$K$5:$K$604,MATCH(A457,Jobs!$A$5:$A$604,0)),""))</f>
        <v>0</v>
      </c>
      <c r="G457" s="23">
        <f>IF(A457="","",IFERROR(INDEX(Jobs!$M$5:$M$604,MATCH(A457,Jobs!$A$5:$A$604,0)),""))</f>
        <v>0</v>
      </c>
      <c r="H457" s="23">
        <f>IF(A457="","",IFERROR(INDEX(Jobs!$R$5:$R$604,MATCH(A457,Jobs!$A$5:$A$604,0)),""))</f>
        <v>0</v>
      </c>
      <c r="I457" s="39">
        <f>IF(A457="","",IFERROR(INDEX(Jobs!$P$5:$P$604,MATCH(A457,Jobs!$A$5:$A$604,0)),""))</f>
        <v>0</v>
      </c>
      <c r="J457" s="21">
        <f>IF(A457="","",IF(OR(I457="Completed",I457="Invoiced"),IFERROR(INDEX(Jobs!$AJ$5:$AJ$604,MATCH(A457,Jobs!$A$5:$A$604,0)),0),0))</f>
        <v>0</v>
      </c>
      <c r="K457" s="34">
        <f>IF(A457="","",IFERROR(INDEX(Jobs!$AD$5:$AD$604,MATCH(A457,Jobs!$A$5:$A$604,0)),0))</f>
        <v>0</v>
      </c>
      <c r="L457" s="34">
        <f>IF(A457="","",IFERROR(INDEX(Jobs!$AK$5:$AK$604,MATCH(A457,Jobs!$A$5:$A$604,0)),0))</f>
        <v>0</v>
      </c>
      <c r="M457" s="34">
        <f>IF(A457="","",IF(IFERROR(L457*1,0)&gt;0,L457,IFERROR(K457*1,0)))</f>
        <v>0</v>
      </c>
      <c r="N457" s="21">
        <f>IF(A457="","",SUMIFS(Timesheets!$X$5:$X$804,Timesheets!$G$5:$G$804,A457))</f>
        <v>0</v>
      </c>
      <c r="O457" s="21">
        <f>IF(A457="","",IF(N457&gt;0,N457,ROUND(M457*CostPerHour,2)))</f>
        <v>0</v>
      </c>
      <c r="P457" s="21">
        <f>IF(A457="","",SUMIFS('Supply Usage'!$L$5:$L$304,'Supply Usage'!$F$5:$F$304,A457))</f>
        <v>0</v>
      </c>
      <c r="Q457" s="21">
        <f>IF(A457="","",IF(P457&gt;0,P457,ROUND(M457*SuppliesPerHour,2)))</f>
        <v>0</v>
      </c>
      <c r="R457" s="21">
        <f>IF(A457="","",ROUND(IFERROR(INDEX(Jobs!$W$5:$W$604,MATCH(A457,Jobs!$A$5:$A$604,0)),0)*MileageRate,2))</f>
        <v>0</v>
      </c>
      <c r="T457" s="21">
        <f>IF(A457="","",O457+Q457+R457+IF(S457="",0,S457))</f>
        <v>0</v>
      </c>
      <c r="U457" s="21">
        <f>IF(A457="","",J457-T457)</f>
        <v>0</v>
      </c>
      <c r="V457" s="38">
        <f>IF(OR(A457="",J457=0),"",U457/J457)</f>
        <v>0</v>
      </c>
      <c r="W457" s="21">
        <f>IF(OR(A457="",M457=0,J457=0),"",U457/M457)</f>
        <v>0</v>
      </c>
      <c r="X457" s="34">
        <f>IF(OR(A457="",L457="",L457=0,K457=""),"",L457-K457)</f>
        <v>0</v>
      </c>
      <c r="Y457" s="31">
        <f>IF(A457="","",COUNTIFS($U$5:$U$604,"&gt;"&amp;U457)+COUNTIFS($U$5:U457,U457))</f>
        <v>0</v>
      </c>
      <c r="Z457" s="31">
        <f>IF(A457="","",COUNTIFS($W$5:$W$604,"&gt;"&amp;W457)+COUNTIFS($W$5:W457,W457))</f>
        <v>0</v>
      </c>
      <c r="AA457" s="39">
        <f>IF(A457="","",IF(J457=0,"",IF(U457&lt;0,"Loss - this job cost you money",IF(V457&lt;MarginFloor,"Below - margin under the floor",IF(V457&lt;TargetMargin,"Check - under target margin",IF(AND(X457&lt;&gt;"",X457&gt;0.5),"Check - ran over the estimate","OK"))))))</f>
        <v>0</v>
      </c>
    </row>
    <row r="458" spans="1:27">
      <c r="A458" s="43">
        <f>IF(IFERROR(INDEX(Jobs!$A$5:$A$604,ROW()-4),"")="","",IFERROR(INDEX(Jobs!$A$5:$A$604,ROW()-4),""))</f>
        <v>0</v>
      </c>
      <c r="B458" s="18">
        <f>IF(A458="","",IFERROR(INDEX(Jobs!$B$5:$B$604,MATCH(A458,Jobs!$A$5:$A$604,0)),""))</f>
        <v>0</v>
      </c>
      <c r="C458" s="23">
        <f>IF(B458="","",TEXT(B458,"yyyy-mm"))</f>
        <v>0</v>
      </c>
      <c r="D458" s="43">
        <f>IF(A458="","",IFERROR(INDEX(Jobs!$G$5:$G$604,MATCH(A458,Jobs!$A$5:$A$604,0)),""))</f>
        <v>0</v>
      </c>
      <c r="E458" s="23">
        <f>IF(A458="","",IFERROR(INDEX(Jobs!$H$5:$H$604,MATCH(A458,Jobs!$A$5:$A$604,0)),""))</f>
        <v>0</v>
      </c>
      <c r="F458" s="23">
        <f>IF(A458="","",IFERROR(INDEX(Jobs!$K$5:$K$604,MATCH(A458,Jobs!$A$5:$A$604,0)),""))</f>
        <v>0</v>
      </c>
      <c r="G458" s="23">
        <f>IF(A458="","",IFERROR(INDEX(Jobs!$M$5:$M$604,MATCH(A458,Jobs!$A$5:$A$604,0)),""))</f>
        <v>0</v>
      </c>
      <c r="H458" s="23">
        <f>IF(A458="","",IFERROR(INDEX(Jobs!$R$5:$R$604,MATCH(A458,Jobs!$A$5:$A$604,0)),""))</f>
        <v>0</v>
      </c>
      <c r="I458" s="39">
        <f>IF(A458="","",IFERROR(INDEX(Jobs!$P$5:$P$604,MATCH(A458,Jobs!$A$5:$A$604,0)),""))</f>
        <v>0</v>
      </c>
      <c r="J458" s="21">
        <f>IF(A458="","",IF(OR(I458="Completed",I458="Invoiced"),IFERROR(INDEX(Jobs!$AJ$5:$AJ$604,MATCH(A458,Jobs!$A$5:$A$604,0)),0),0))</f>
        <v>0</v>
      </c>
      <c r="K458" s="34">
        <f>IF(A458="","",IFERROR(INDEX(Jobs!$AD$5:$AD$604,MATCH(A458,Jobs!$A$5:$A$604,0)),0))</f>
        <v>0</v>
      </c>
      <c r="L458" s="34">
        <f>IF(A458="","",IFERROR(INDEX(Jobs!$AK$5:$AK$604,MATCH(A458,Jobs!$A$5:$A$604,0)),0))</f>
        <v>0</v>
      </c>
      <c r="M458" s="34">
        <f>IF(A458="","",IF(IFERROR(L458*1,0)&gt;0,L458,IFERROR(K458*1,0)))</f>
        <v>0</v>
      </c>
      <c r="N458" s="21">
        <f>IF(A458="","",SUMIFS(Timesheets!$X$5:$X$804,Timesheets!$G$5:$G$804,A458))</f>
        <v>0</v>
      </c>
      <c r="O458" s="21">
        <f>IF(A458="","",IF(N458&gt;0,N458,ROUND(M458*CostPerHour,2)))</f>
        <v>0</v>
      </c>
      <c r="P458" s="21">
        <f>IF(A458="","",SUMIFS('Supply Usage'!$L$5:$L$304,'Supply Usage'!$F$5:$F$304,A458))</f>
        <v>0</v>
      </c>
      <c r="Q458" s="21">
        <f>IF(A458="","",IF(P458&gt;0,P458,ROUND(M458*SuppliesPerHour,2)))</f>
        <v>0</v>
      </c>
      <c r="R458" s="21">
        <f>IF(A458="","",ROUND(IFERROR(INDEX(Jobs!$W$5:$W$604,MATCH(A458,Jobs!$A$5:$A$604,0)),0)*MileageRate,2))</f>
        <v>0</v>
      </c>
      <c r="T458" s="21">
        <f>IF(A458="","",O458+Q458+R458+IF(S458="",0,S458))</f>
        <v>0</v>
      </c>
      <c r="U458" s="21">
        <f>IF(A458="","",J458-T458)</f>
        <v>0</v>
      </c>
      <c r="V458" s="38">
        <f>IF(OR(A458="",J458=0),"",U458/J458)</f>
        <v>0</v>
      </c>
      <c r="W458" s="21">
        <f>IF(OR(A458="",M458=0,J458=0),"",U458/M458)</f>
        <v>0</v>
      </c>
      <c r="X458" s="34">
        <f>IF(OR(A458="",L458="",L458=0,K458=""),"",L458-K458)</f>
        <v>0</v>
      </c>
      <c r="Y458" s="31">
        <f>IF(A458="","",COUNTIFS($U$5:$U$604,"&gt;"&amp;U458)+COUNTIFS($U$5:U458,U458))</f>
        <v>0</v>
      </c>
      <c r="Z458" s="31">
        <f>IF(A458="","",COUNTIFS($W$5:$W$604,"&gt;"&amp;W458)+COUNTIFS($W$5:W458,W458))</f>
        <v>0</v>
      </c>
      <c r="AA458" s="39">
        <f>IF(A458="","",IF(J458=0,"",IF(U458&lt;0,"Loss - this job cost you money",IF(V458&lt;MarginFloor,"Below - margin under the floor",IF(V458&lt;TargetMargin,"Check - under target margin",IF(AND(X458&lt;&gt;"",X458&gt;0.5),"Check - ran over the estimate","OK"))))))</f>
        <v>0</v>
      </c>
    </row>
    <row r="459" spans="1:27">
      <c r="A459" s="43">
        <f>IF(IFERROR(INDEX(Jobs!$A$5:$A$604,ROW()-4),"")="","",IFERROR(INDEX(Jobs!$A$5:$A$604,ROW()-4),""))</f>
        <v>0</v>
      </c>
      <c r="B459" s="18">
        <f>IF(A459="","",IFERROR(INDEX(Jobs!$B$5:$B$604,MATCH(A459,Jobs!$A$5:$A$604,0)),""))</f>
        <v>0</v>
      </c>
      <c r="C459" s="23">
        <f>IF(B459="","",TEXT(B459,"yyyy-mm"))</f>
        <v>0</v>
      </c>
      <c r="D459" s="43">
        <f>IF(A459="","",IFERROR(INDEX(Jobs!$G$5:$G$604,MATCH(A459,Jobs!$A$5:$A$604,0)),""))</f>
        <v>0</v>
      </c>
      <c r="E459" s="23">
        <f>IF(A459="","",IFERROR(INDEX(Jobs!$H$5:$H$604,MATCH(A459,Jobs!$A$5:$A$604,0)),""))</f>
        <v>0</v>
      </c>
      <c r="F459" s="23">
        <f>IF(A459="","",IFERROR(INDEX(Jobs!$K$5:$K$604,MATCH(A459,Jobs!$A$5:$A$604,0)),""))</f>
        <v>0</v>
      </c>
      <c r="G459" s="23">
        <f>IF(A459="","",IFERROR(INDEX(Jobs!$M$5:$M$604,MATCH(A459,Jobs!$A$5:$A$604,0)),""))</f>
        <v>0</v>
      </c>
      <c r="H459" s="23">
        <f>IF(A459="","",IFERROR(INDEX(Jobs!$R$5:$R$604,MATCH(A459,Jobs!$A$5:$A$604,0)),""))</f>
        <v>0</v>
      </c>
      <c r="I459" s="39">
        <f>IF(A459="","",IFERROR(INDEX(Jobs!$P$5:$P$604,MATCH(A459,Jobs!$A$5:$A$604,0)),""))</f>
        <v>0</v>
      </c>
      <c r="J459" s="21">
        <f>IF(A459="","",IF(OR(I459="Completed",I459="Invoiced"),IFERROR(INDEX(Jobs!$AJ$5:$AJ$604,MATCH(A459,Jobs!$A$5:$A$604,0)),0),0))</f>
        <v>0</v>
      </c>
      <c r="K459" s="34">
        <f>IF(A459="","",IFERROR(INDEX(Jobs!$AD$5:$AD$604,MATCH(A459,Jobs!$A$5:$A$604,0)),0))</f>
        <v>0</v>
      </c>
      <c r="L459" s="34">
        <f>IF(A459="","",IFERROR(INDEX(Jobs!$AK$5:$AK$604,MATCH(A459,Jobs!$A$5:$A$604,0)),0))</f>
        <v>0</v>
      </c>
      <c r="M459" s="34">
        <f>IF(A459="","",IF(IFERROR(L459*1,0)&gt;0,L459,IFERROR(K459*1,0)))</f>
        <v>0</v>
      </c>
      <c r="N459" s="21">
        <f>IF(A459="","",SUMIFS(Timesheets!$X$5:$X$804,Timesheets!$G$5:$G$804,A459))</f>
        <v>0</v>
      </c>
      <c r="O459" s="21">
        <f>IF(A459="","",IF(N459&gt;0,N459,ROUND(M459*CostPerHour,2)))</f>
        <v>0</v>
      </c>
      <c r="P459" s="21">
        <f>IF(A459="","",SUMIFS('Supply Usage'!$L$5:$L$304,'Supply Usage'!$F$5:$F$304,A459))</f>
        <v>0</v>
      </c>
      <c r="Q459" s="21">
        <f>IF(A459="","",IF(P459&gt;0,P459,ROUND(M459*SuppliesPerHour,2)))</f>
        <v>0</v>
      </c>
      <c r="R459" s="21">
        <f>IF(A459="","",ROUND(IFERROR(INDEX(Jobs!$W$5:$W$604,MATCH(A459,Jobs!$A$5:$A$604,0)),0)*MileageRate,2))</f>
        <v>0</v>
      </c>
      <c r="T459" s="21">
        <f>IF(A459="","",O459+Q459+R459+IF(S459="",0,S459))</f>
        <v>0</v>
      </c>
      <c r="U459" s="21">
        <f>IF(A459="","",J459-T459)</f>
        <v>0</v>
      </c>
      <c r="V459" s="38">
        <f>IF(OR(A459="",J459=0),"",U459/J459)</f>
        <v>0</v>
      </c>
      <c r="W459" s="21">
        <f>IF(OR(A459="",M459=0,J459=0),"",U459/M459)</f>
        <v>0</v>
      </c>
      <c r="X459" s="34">
        <f>IF(OR(A459="",L459="",L459=0,K459=""),"",L459-K459)</f>
        <v>0</v>
      </c>
      <c r="Y459" s="31">
        <f>IF(A459="","",COUNTIFS($U$5:$U$604,"&gt;"&amp;U459)+COUNTIFS($U$5:U459,U459))</f>
        <v>0</v>
      </c>
      <c r="Z459" s="31">
        <f>IF(A459="","",COUNTIFS($W$5:$W$604,"&gt;"&amp;W459)+COUNTIFS($W$5:W459,W459))</f>
        <v>0</v>
      </c>
      <c r="AA459" s="39">
        <f>IF(A459="","",IF(J459=0,"",IF(U459&lt;0,"Loss - this job cost you money",IF(V459&lt;MarginFloor,"Below - margin under the floor",IF(V459&lt;TargetMargin,"Check - under target margin",IF(AND(X459&lt;&gt;"",X459&gt;0.5),"Check - ran over the estimate","OK"))))))</f>
        <v>0</v>
      </c>
    </row>
    <row r="460" spans="1:27">
      <c r="A460" s="43">
        <f>IF(IFERROR(INDEX(Jobs!$A$5:$A$604,ROW()-4),"")="","",IFERROR(INDEX(Jobs!$A$5:$A$604,ROW()-4),""))</f>
        <v>0</v>
      </c>
      <c r="B460" s="18">
        <f>IF(A460="","",IFERROR(INDEX(Jobs!$B$5:$B$604,MATCH(A460,Jobs!$A$5:$A$604,0)),""))</f>
        <v>0</v>
      </c>
      <c r="C460" s="23">
        <f>IF(B460="","",TEXT(B460,"yyyy-mm"))</f>
        <v>0</v>
      </c>
      <c r="D460" s="43">
        <f>IF(A460="","",IFERROR(INDEX(Jobs!$G$5:$G$604,MATCH(A460,Jobs!$A$5:$A$604,0)),""))</f>
        <v>0</v>
      </c>
      <c r="E460" s="23">
        <f>IF(A460="","",IFERROR(INDEX(Jobs!$H$5:$H$604,MATCH(A460,Jobs!$A$5:$A$604,0)),""))</f>
        <v>0</v>
      </c>
      <c r="F460" s="23">
        <f>IF(A460="","",IFERROR(INDEX(Jobs!$K$5:$K$604,MATCH(A460,Jobs!$A$5:$A$604,0)),""))</f>
        <v>0</v>
      </c>
      <c r="G460" s="23">
        <f>IF(A460="","",IFERROR(INDEX(Jobs!$M$5:$M$604,MATCH(A460,Jobs!$A$5:$A$604,0)),""))</f>
        <v>0</v>
      </c>
      <c r="H460" s="23">
        <f>IF(A460="","",IFERROR(INDEX(Jobs!$R$5:$R$604,MATCH(A460,Jobs!$A$5:$A$604,0)),""))</f>
        <v>0</v>
      </c>
      <c r="I460" s="39">
        <f>IF(A460="","",IFERROR(INDEX(Jobs!$P$5:$P$604,MATCH(A460,Jobs!$A$5:$A$604,0)),""))</f>
        <v>0</v>
      </c>
      <c r="J460" s="21">
        <f>IF(A460="","",IF(OR(I460="Completed",I460="Invoiced"),IFERROR(INDEX(Jobs!$AJ$5:$AJ$604,MATCH(A460,Jobs!$A$5:$A$604,0)),0),0))</f>
        <v>0</v>
      </c>
      <c r="K460" s="34">
        <f>IF(A460="","",IFERROR(INDEX(Jobs!$AD$5:$AD$604,MATCH(A460,Jobs!$A$5:$A$604,0)),0))</f>
        <v>0</v>
      </c>
      <c r="L460" s="34">
        <f>IF(A460="","",IFERROR(INDEX(Jobs!$AK$5:$AK$604,MATCH(A460,Jobs!$A$5:$A$604,0)),0))</f>
        <v>0</v>
      </c>
      <c r="M460" s="34">
        <f>IF(A460="","",IF(IFERROR(L460*1,0)&gt;0,L460,IFERROR(K460*1,0)))</f>
        <v>0</v>
      </c>
      <c r="N460" s="21">
        <f>IF(A460="","",SUMIFS(Timesheets!$X$5:$X$804,Timesheets!$G$5:$G$804,A460))</f>
        <v>0</v>
      </c>
      <c r="O460" s="21">
        <f>IF(A460="","",IF(N460&gt;0,N460,ROUND(M460*CostPerHour,2)))</f>
        <v>0</v>
      </c>
      <c r="P460" s="21">
        <f>IF(A460="","",SUMIFS('Supply Usage'!$L$5:$L$304,'Supply Usage'!$F$5:$F$304,A460))</f>
        <v>0</v>
      </c>
      <c r="Q460" s="21">
        <f>IF(A460="","",IF(P460&gt;0,P460,ROUND(M460*SuppliesPerHour,2)))</f>
        <v>0</v>
      </c>
      <c r="R460" s="21">
        <f>IF(A460="","",ROUND(IFERROR(INDEX(Jobs!$W$5:$W$604,MATCH(A460,Jobs!$A$5:$A$604,0)),0)*MileageRate,2))</f>
        <v>0</v>
      </c>
      <c r="T460" s="21">
        <f>IF(A460="","",O460+Q460+R460+IF(S460="",0,S460))</f>
        <v>0</v>
      </c>
      <c r="U460" s="21">
        <f>IF(A460="","",J460-T460)</f>
        <v>0</v>
      </c>
      <c r="V460" s="38">
        <f>IF(OR(A460="",J460=0),"",U460/J460)</f>
        <v>0</v>
      </c>
      <c r="W460" s="21">
        <f>IF(OR(A460="",M460=0,J460=0),"",U460/M460)</f>
        <v>0</v>
      </c>
      <c r="X460" s="34">
        <f>IF(OR(A460="",L460="",L460=0,K460=""),"",L460-K460)</f>
        <v>0</v>
      </c>
      <c r="Y460" s="31">
        <f>IF(A460="","",COUNTIFS($U$5:$U$604,"&gt;"&amp;U460)+COUNTIFS($U$5:U460,U460))</f>
        <v>0</v>
      </c>
      <c r="Z460" s="31">
        <f>IF(A460="","",COUNTIFS($W$5:$W$604,"&gt;"&amp;W460)+COUNTIFS($W$5:W460,W460))</f>
        <v>0</v>
      </c>
      <c r="AA460" s="39">
        <f>IF(A460="","",IF(J460=0,"",IF(U460&lt;0,"Loss - this job cost you money",IF(V460&lt;MarginFloor,"Below - margin under the floor",IF(V460&lt;TargetMargin,"Check - under target margin",IF(AND(X460&lt;&gt;"",X460&gt;0.5),"Check - ran over the estimate","OK"))))))</f>
        <v>0</v>
      </c>
    </row>
    <row r="461" spans="1:27">
      <c r="A461" s="43">
        <f>IF(IFERROR(INDEX(Jobs!$A$5:$A$604,ROW()-4),"")="","",IFERROR(INDEX(Jobs!$A$5:$A$604,ROW()-4),""))</f>
        <v>0</v>
      </c>
      <c r="B461" s="18">
        <f>IF(A461="","",IFERROR(INDEX(Jobs!$B$5:$B$604,MATCH(A461,Jobs!$A$5:$A$604,0)),""))</f>
        <v>0</v>
      </c>
      <c r="C461" s="23">
        <f>IF(B461="","",TEXT(B461,"yyyy-mm"))</f>
        <v>0</v>
      </c>
      <c r="D461" s="43">
        <f>IF(A461="","",IFERROR(INDEX(Jobs!$G$5:$G$604,MATCH(A461,Jobs!$A$5:$A$604,0)),""))</f>
        <v>0</v>
      </c>
      <c r="E461" s="23">
        <f>IF(A461="","",IFERROR(INDEX(Jobs!$H$5:$H$604,MATCH(A461,Jobs!$A$5:$A$604,0)),""))</f>
        <v>0</v>
      </c>
      <c r="F461" s="23">
        <f>IF(A461="","",IFERROR(INDEX(Jobs!$K$5:$K$604,MATCH(A461,Jobs!$A$5:$A$604,0)),""))</f>
        <v>0</v>
      </c>
      <c r="G461" s="23">
        <f>IF(A461="","",IFERROR(INDEX(Jobs!$M$5:$M$604,MATCH(A461,Jobs!$A$5:$A$604,0)),""))</f>
        <v>0</v>
      </c>
      <c r="H461" s="23">
        <f>IF(A461="","",IFERROR(INDEX(Jobs!$R$5:$R$604,MATCH(A461,Jobs!$A$5:$A$604,0)),""))</f>
        <v>0</v>
      </c>
      <c r="I461" s="39">
        <f>IF(A461="","",IFERROR(INDEX(Jobs!$P$5:$P$604,MATCH(A461,Jobs!$A$5:$A$604,0)),""))</f>
        <v>0</v>
      </c>
      <c r="J461" s="21">
        <f>IF(A461="","",IF(OR(I461="Completed",I461="Invoiced"),IFERROR(INDEX(Jobs!$AJ$5:$AJ$604,MATCH(A461,Jobs!$A$5:$A$604,0)),0),0))</f>
        <v>0</v>
      </c>
      <c r="K461" s="34">
        <f>IF(A461="","",IFERROR(INDEX(Jobs!$AD$5:$AD$604,MATCH(A461,Jobs!$A$5:$A$604,0)),0))</f>
        <v>0</v>
      </c>
      <c r="L461" s="34">
        <f>IF(A461="","",IFERROR(INDEX(Jobs!$AK$5:$AK$604,MATCH(A461,Jobs!$A$5:$A$604,0)),0))</f>
        <v>0</v>
      </c>
      <c r="M461" s="34">
        <f>IF(A461="","",IF(IFERROR(L461*1,0)&gt;0,L461,IFERROR(K461*1,0)))</f>
        <v>0</v>
      </c>
      <c r="N461" s="21">
        <f>IF(A461="","",SUMIFS(Timesheets!$X$5:$X$804,Timesheets!$G$5:$G$804,A461))</f>
        <v>0</v>
      </c>
      <c r="O461" s="21">
        <f>IF(A461="","",IF(N461&gt;0,N461,ROUND(M461*CostPerHour,2)))</f>
        <v>0</v>
      </c>
      <c r="P461" s="21">
        <f>IF(A461="","",SUMIFS('Supply Usage'!$L$5:$L$304,'Supply Usage'!$F$5:$F$304,A461))</f>
        <v>0</v>
      </c>
      <c r="Q461" s="21">
        <f>IF(A461="","",IF(P461&gt;0,P461,ROUND(M461*SuppliesPerHour,2)))</f>
        <v>0</v>
      </c>
      <c r="R461" s="21">
        <f>IF(A461="","",ROUND(IFERROR(INDEX(Jobs!$W$5:$W$604,MATCH(A461,Jobs!$A$5:$A$604,0)),0)*MileageRate,2))</f>
        <v>0</v>
      </c>
      <c r="T461" s="21">
        <f>IF(A461="","",O461+Q461+R461+IF(S461="",0,S461))</f>
        <v>0</v>
      </c>
      <c r="U461" s="21">
        <f>IF(A461="","",J461-T461)</f>
        <v>0</v>
      </c>
      <c r="V461" s="38">
        <f>IF(OR(A461="",J461=0),"",U461/J461)</f>
        <v>0</v>
      </c>
      <c r="W461" s="21">
        <f>IF(OR(A461="",M461=0,J461=0),"",U461/M461)</f>
        <v>0</v>
      </c>
      <c r="X461" s="34">
        <f>IF(OR(A461="",L461="",L461=0,K461=""),"",L461-K461)</f>
        <v>0</v>
      </c>
      <c r="Y461" s="31">
        <f>IF(A461="","",COUNTIFS($U$5:$U$604,"&gt;"&amp;U461)+COUNTIFS($U$5:U461,U461))</f>
        <v>0</v>
      </c>
      <c r="Z461" s="31">
        <f>IF(A461="","",COUNTIFS($W$5:$W$604,"&gt;"&amp;W461)+COUNTIFS($W$5:W461,W461))</f>
        <v>0</v>
      </c>
      <c r="AA461" s="39">
        <f>IF(A461="","",IF(J461=0,"",IF(U461&lt;0,"Loss - this job cost you money",IF(V461&lt;MarginFloor,"Below - margin under the floor",IF(V461&lt;TargetMargin,"Check - under target margin",IF(AND(X461&lt;&gt;"",X461&gt;0.5),"Check - ran over the estimate","OK"))))))</f>
        <v>0</v>
      </c>
    </row>
    <row r="462" spans="1:27">
      <c r="A462" s="43">
        <f>IF(IFERROR(INDEX(Jobs!$A$5:$A$604,ROW()-4),"")="","",IFERROR(INDEX(Jobs!$A$5:$A$604,ROW()-4),""))</f>
        <v>0</v>
      </c>
      <c r="B462" s="18">
        <f>IF(A462="","",IFERROR(INDEX(Jobs!$B$5:$B$604,MATCH(A462,Jobs!$A$5:$A$604,0)),""))</f>
        <v>0</v>
      </c>
      <c r="C462" s="23">
        <f>IF(B462="","",TEXT(B462,"yyyy-mm"))</f>
        <v>0</v>
      </c>
      <c r="D462" s="43">
        <f>IF(A462="","",IFERROR(INDEX(Jobs!$G$5:$G$604,MATCH(A462,Jobs!$A$5:$A$604,0)),""))</f>
        <v>0</v>
      </c>
      <c r="E462" s="23">
        <f>IF(A462="","",IFERROR(INDEX(Jobs!$H$5:$H$604,MATCH(A462,Jobs!$A$5:$A$604,0)),""))</f>
        <v>0</v>
      </c>
      <c r="F462" s="23">
        <f>IF(A462="","",IFERROR(INDEX(Jobs!$K$5:$K$604,MATCH(A462,Jobs!$A$5:$A$604,0)),""))</f>
        <v>0</v>
      </c>
      <c r="G462" s="23">
        <f>IF(A462="","",IFERROR(INDEX(Jobs!$M$5:$M$604,MATCH(A462,Jobs!$A$5:$A$604,0)),""))</f>
        <v>0</v>
      </c>
      <c r="H462" s="23">
        <f>IF(A462="","",IFERROR(INDEX(Jobs!$R$5:$R$604,MATCH(A462,Jobs!$A$5:$A$604,0)),""))</f>
        <v>0</v>
      </c>
      <c r="I462" s="39">
        <f>IF(A462="","",IFERROR(INDEX(Jobs!$P$5:$P$604,MATCH(A462,Jobs!$A$5:$A$604,0)),""))</f>
        <v>0</v>
      </c>
      <c r="J462" s="21">
        <f>IF(A462="","",IF(OR(I462="Completed",I462="Invoiced"),IFERROR(INDEX(Jobs!$AJ$5:$AJ$604,MATCH(A462,Jobs!$A$5:$A$604,0)),0),0))</f>
        <v>0</v>
      </c>
      <c r="K462" s="34">
        <f>IF(A462="","",IFERROR(INDEX(Jobs!$AD$5:$AD$604,MATCH(A462,Jobs!$A$5:$A$604,0)),0))</f>
        <v>0</v>
      </c>
      <c r="L462" s="34">
        <f>IF(A462="","",IFERROR(INDEX(Jobs!$AK$5:$AK$604,MATCH(A462,Jobs!$A$5:$A$604,0)),0))</f>
        <v>0</v>
      </c>
      <c r="M462" s="34">
        <f>IF(A462="","",IF(IFERROR(L462*1,0)&gt;0,L462,IFERROR(K462*1,0)))</f>
        <v>0</v>
      </c>
      <c r="N462" s="21">
        <f>IF(A462="","",SUMIFS(Timesheets!$X$5:$X$804,Timesheets!$G$5:$G$804,A462))</f>
        <v>0</v>
      </c>
      <c r="O462" s="21">
        <f>IF(A462="","",IF(N462&gt;0,N462,ROUND(M462*CostPerHour,2)))</f>
        <v>0</v>
      </c>
      <c r="P462" s="21">
        <f>IF(A462="","",SUMIFS('Supply Usage'!$L$5:$L$304,'Supply Usage'!$F$5:$F$304,A462))</f>
        <v>0</v>
      </c>
      <c r="Q462" s="21">
        <f>IF(A462="","",IF(P462&gt;0,P462,ROUND(M462*SuppliesPerHour,2)))</f>
        <v>0</v>
      </c>
      <c r="R462" s="21">
        <f>IF(A462="","",ROUND(IFERROR(INDEX(Jobs!$W$5:$W$604,MATCH(A462,Jobs!$A$5:$A$604,0)),0)*MileageRate,2))</f>
        <v>0</v>
      </c>
      <c r="T462" s="21">
        <f>IF(A462="","",O462+Q462+R462+IF(S462="",0,S462))</f>
        <v>0</v>
      </c>
      <c r="U462" s="21">
        <f>IF(A462="","",J462-T462)</f>
        <v>0</v>
      </c>
      <c r="V462" s="38">
        <f>IF(OR(A462="",J462=0),"",U462/J462)</f>
        <v>0</v>
      </c>
      <c r="W462" s="21">
        <f>IF(OR(A462="",M462=0,J462=0),"",U462/M462)</f>
        <v>0</v>
      </c>
      <c r="X462" s="34">
        <f>IF(OR(A462="",L462="",L462=0,K462=""),"",L462-K462)</f>
        <v>0</v>
      </c>
      <c r="Y462" s="31">
        <f>IF(A462="","",COUNTIFS($U$5:$U$604,"&gt;"&amp;U462)+COUNTIFS($U$5:U462,U462))</f>
        <v>0</v>
      </c>
      <c r="Z462" s="31">
        <f>IF(A462="","",COUNTIFS($W$5:$W$604,"&gt;"&amp;W462)+COUNTIFS($W$5:W462,W462))</f>
        <v>0</v>
      </c>
      <c r="AA462" s="39">
        <f>IF(A462="","",IF(J462=0,"",IF(U462&lt;0,"Loss - this job cost you money",IF(V462&lt;MarginFloor,"Below - margin under the floor",IF(V462&lt;TargetMargin,"Check - under target margin",IF(AND(X462&lt;&gt;"",X462&gt;0.5),"Check - ran over the estimate","OK"))))))</f>
        <v>0</v>
      </c>
    </row>
    <row r="463" spans="1:27">
      <c r="A463" s="43">
        <f>IF(IFERROR(INDEX(Jobs!$A$5:$A$604,ROW()-4),"")="","",IFERROR(INDEX(Jobs!$A$5:$A$604,ROW()-4),""))</f>
        <v>0</v>
      </c>
      <c r="B463" s="18">
        <f>IF(A463="","",IFERROR(INDEX(Jobs!$B$5:$B$604,MATCH(A463,Jobs!$A$5:$A$604,0)),""))</f>
        <v>0</v>
      </c>
      <c r="C463" s="23">
        <f>IF(B463="","",TEXT(B463,"yyyy-mm"))</f>
        <v>0</v>
      </c>
      <c r="D463" s="43">
        <f>IF(A463="","",IFERROR(INDEX(Jobs!$G$5:$G$604,MATCH(A463,Jobs!$A$5:$A$604,0)),""))</f>
        <v>0</v>
      </c>
      <c r="E463" s="23">
        <f>IF(A463="","",IFERROR(INDEX(Jobs!$H$5:$H$604,MATCH(A463,Jobs!$A$5:$A$604,0)),""))</f>
        <v>0</v>
      </c>
      <c r="F463" s="23">
        <f>IF(A463="","",IFERROR(INDEX(Jobs!$K$5:$K$604,MATCH(A463,Jobs!$A$5:$A$604,0)),""))</f>
        <v>0</v>
      </c>
      <c r="G463" s="23">
        <f>IF(A463="","",IFERROR(INDEX(Jobs!$M$5:$M$604,MATCH(A463,Jobs!$A$5:$A$604,0)),""))</f>
        <v>0</v>
      </c>
      <c r="H463" s="23">
        <f>IF(A463="","",IFERROR(INDEX(Jobs!$R$5:$R$604,MATCH(A463,Jobs!$A$5:$A$604,0)),""))</f>
        <v>0</v>
      </c>
      <c r="I463" s="39">
        <f>IF(A463="","",IFERROR(INDEX(Jobs!$P$5:$P$604,MATCH(A463,Jobs!$A$5:$A$604,0)),""))</f>
        <v>0</v>
      </c>
      <c r="J463" s="21">
        <f>IF(A463="","",IF(OR(I463="Completed",I463="Invoiced"),IFERROR(INDEX(Jobs!$AJ$5:$AJ$604,MATCH(A463,Jobs!$A$5:$A$604,0)),0),0))</f>
        <v>0</v>
      </c>
      <c r="K463" s="34">
        <f>IF(A463="","",IFERROR(INDEX(Jobs!$AD$5:$AD$604,MATCH(A463,Jobs!$A$5:$A$604,0)),0))</f>
        <v>0</v>
      </c>
      <c r="L463" s="34">
        <f>IF(A463="","",IFERROR(INDEX(Jobs!$AK$5:$AK$604,MATCH(A463,Jobs!$A$5:$A$604,0)),0))</f>
        <v>0</v>
      </c>
      <c r="M463" s="34">
        <f>IF(A463="","",IF(IFERROR(L463*1,0)&gt;0,L463,IFERROR(K463*1,0)))</f>
        <v>0</v>
      </c>
      <c r="N463" s="21">
        <f>IF(A463="","",SUMIFS(Timesheets!$X$5:$X$804,Timesheets!$G$5:$G$804,A463))</f>
        <v>0</v>
      </c>
      <c r="O463" s="21">
        <f>IF(A463="","",IF(N463&gt;0,N463,ROUND(M463*CostPerHour,2)))</f>
        <v>0</v>
      </c>
      <c r="P463" s="21">
        <f>IF(A463="","",SUMIFS('Supply Usage'!$L$5:$L$304,'Supply Usage'!$F$5:$F$304,A463))</f>
        <v>0</v>
      </c>
      <c r="Q463" s="21">
        <f>IF(A463="","",IF(P463&gt;0,P463,ROUND(M463*SuppliesPerHour,2)))</f>
        <v>0</v>
      </c>
      <c r="R463" s="21">
        <f>IF(A463="","",ROUND(IFERROR(INDEX(Jobs!$W$5:$W$604,MATCH(A463,Jobs!$A$5:$A$604,0)),0)*MileageRate,2))</f>
        <v>0</v>
      </c>
      <c r="T463" s="21">
        <f>IF(A463="","",O463+Q463+R463+IF(S463="",0,S463))</f>
        <v>0</v>
      </c>
      <c r="U463" s="21">
        <f>IF(A463="","",J463-T463)</f>
        <v>0</v>
      </c>
      <c r="V463" s="38">
        <f>IF(OR(A463="",J463=0),"",U463/J463)</f>
        <v>0</v>
      </c>
      <c r="W463" s="21">
        <f>IF(OR(A463="",M463=0,J463=0),"",U463/M463)</f>
        <v>0</v>
      </c>
      <c r="X463" s="34">
        <f>IF(OR(A463="",L463="",L463=0,K463=""),"",L463-K463)</f>
        <v>0</v>
      </c>
      <c r="Y463" s="31">
        <f>IF(A463="","",COUNTIFS($U$5:$U$604,"&gt;"&amp;U463)+COUNTIFS($U$5:U463,U463))</f>
        <v>0</v>
      </c>
      <c r="Z463" s="31">
        <f>IF(A463="","",COUNTIFS($W$5:$W$604,"&gt;"&amp;W463)+COUNTIFS($W$5:W463,W463))</f>
        <v>0</v>
      </c>
      <c r="AA463" s="39">
        <f>IF(A463="","",IF(J463=0,"",IF(U463&lt;0,"Loss - this job cost you money",IF(V463&lt;MarginFloor,"Below - margin under the floor",IF(V463&lt;TargetMargin,"Check - under target margin",IF(AND(X463&lt;&gt;"",X463&gt;0.5),"Check - ran over the estimate","OK"))))))</f>
        <v>0</v>
      </c>
    </row>
    <row r="464" spans="1:27">
      <c r="A464" s="43">
        <f>IF(IFERROR(INDEX(Jobs!$A$5:$A$604,ROW()-4),"")="","",IFERROR(INDEX(Jobs!$A$5:$A$604,ROW()-4),""))</f>
        <v>0</v>
      </c>
      <c r="B464" s="18">
        <f>IF(A464="","",IFERROR(INDEX(Jobs!$B$5:$B$604,MATCH(A464,Jobs!$A$5:$A$604,0)),""))</f>
        <v>0</v>
      </c>
      <c r="C464" s="23">
        <f>IF(B464="","",TEXT(B464,"yyyy-mm"))</f>
        <v>0</v>
      </c>
      <c r="D464" s="43">
        <f>IF(A464="","",IFERROR(INDEX(Jobs!$G$5:$G$604,MATCH(A464,Jobs!$A$5:$A$604,0)),""))</f>
        <v>0</v>
      </c>
      <c r="E464" s="23">
        <f>IF(A464="","",IFERROR(INDEX(Jobs!$H$5:$H$604,MATCH(A464,Jobs!$A$5:$A$604,0)),""))</f>
        <v>0</v>
      </c>
      <c r="F464" s="23">
        <f>IF(A464="","",IFERROR(INDEX(Jobs!$K$5:$K$604,MATCH(A464,Jobs!$A$5:$A$604,0)),""))</f>
        <v>0</v>
      </c>
      <c r="G464" s="23">
        <f>IF(A464="","",IFERROR(INDEX(Jobs!$M$5:$M$604,MATCH(A464,Jobs!$A$5:$A$604,0)),""))</f>
        <v>0</v>
      </c>
      <c r="H464" s="23">
        <f>IF(A464="","",IFERROR(INDEX(Jobs!$R$5:$R$604,MATCH(A464,Jobs!$A$5:$A$604,0)),""))</f>
        <v>0</v>
      </c>
      <c r="I464" s="39">
        <f>IF(A464="","",IFERROR(INDEX(Jobs!$P$5:$P$604,MATCH(A464,Jobs!$A$5:$A$604,0)),""))</f>
        <v>0</v>
      </c>
      <c r="J464" s="21">
        <f>IF(A464="","",IF(OR(I464="Completed",I464="Invoiced"),IFERROR(INDEX(Jobs!$AJ$5:$AJ$604,MATCH(A464,Jobs!$A$5:$A$604,0)),0),0))</f>
        <v>0</v>
      </c>
      <c r="K464" s="34">
        <f>IF(A464="","",IFERROR(INDEX(Jobs!$AD$5:$AD$604,MATCH(A464,Jobs!$A$5:$A$604,0)),0))</f>
        <v>0</v>
      </c>
      <c r="L464" s="34">
        <f>IF(A464="","",IFERROR(INDEX(Jobs!$AK$5:$AK$604,MATCH(A464,Jobs!$A$5:$A$604,0)),0))</f>
        <v>0</v>
      </c>
      <c r="M464" s="34">
        <f>IF(A464="","",IF(IFERROR(L464*1,0)&gt;0,L464,IFERROR(K464*1,0)))</f>
        <v>0</v>
      </c>
      <c r="N464" s="21">
        <f>IF(A464="","",SUMIFS(Timesheets!$X$5:$X$804,Timesheets!$G$5:$G$804,A464))</f>
        <v>0</v>
      </c>
      <c r="O464" s="21">
        <f>IF(A464="","",IF(N464&gt;0,N464,ROUND(M464*CostPerHour,2)))</f>
        <v>0</v>
      </c>
      <c r="P464" s="21">
        <f>IF(A464="","",SUMIFS('Supply Usage'!$L$5:$L$304,'Supply Usage'!$F$5:$F$304,A464))</f>
        <v>0</v>
      </c>
      <c r="Q464" s="21">
        <f>IF(A464="","",IF(P464&gt;0,P464,ROUND(M464*SuppliesPerHour,2)))</f>
        <v>0</v>
      </c>
      <c r="R464" s="21">
        <f>IF(A464="","",ROUND(IFERROR(INDEX(Jobs!$W$5:$W$604,MATCH(A464,Jobs!$A$5:$A$604,0)),0)*MileageRate,2))</f>
        <v>0</v>
      </c>
      <c r="T464" s="21">
        <f>IF(A464="","",O464+Q464+R464+IF(S464="",0,S464))</f>
        <v>0</v>
      </c>
      <c r="U464" s="21">
        <f>IF(A464="","",J464-T464)</f>
        <v>0</v>
      </c>
      <c r="V464" s="38">
        <f>IF(OR(A464="",J464=0),"",U464/J464)</f>
        <v>0</v>
      </c>
      <c r="W464" s="21">
        <f>IF(OR(A464="",M464=0,J464=0),"",U464/M464)</f>
        <v>0</v>
      </c>
      <c r="X464" s="34">
        <f>IF(OR(A464="",L464="",L464=0,K464=""),"",L464-K464)</f>
        <v>0</v>
      </c>
      <c r="Y464" s="31">
        <f>IF(A464="","",COUNTIFS($U$5:$U$604,"&gt;"&amp;U464)+COUNTIFS($U$5:U464,U464))</f>
        <v>0</v>
      </c>
      <c r="Z464" s="31">
        <f>IF(A464="","",COUNTIFS($W$5:$W$604,"&gt;"&amp;W464)+COUNTIFS($W$5:W464,W464))</f>
        <v>0</v>
      </c>
      <c r="AA464" s="39">
        <f>IF(A464="","",IF(J464=0,"",IF(U464&lt;0,"Loss - this job cost you money",IF(V464&lt;MarginFloor,"Below - margin under the floor",IF(V464&lt;TargetMargin,"Check - under target margin",IF(AND(X464&lt;&gt;"",X464&gt;0.5),"Check - ran over the estimate","OK"))))))</f>
        <v>0</v>
      </c>
    </row>
    <row r="465" spans="1:27">
      <c r="A465" s="43">
        <f>IF(IFERROR(INDEX(Jobs!$A$5:$A$604,ROW()-4),"")="","",IFERROR(INDEX(Jobs!$A$5:$A$604,ROW()-4),""))</f>
        <v>0</v>
      </c>
      <c r="B465" s="18">
        <f>IF(A465="","",IFERROR(INDEX(Jobs!$B$5:$B$604,MATCH(A465,Jobs!$A$5:$A$604,0)),""))</f>
        <v>0</v>
      </c>
      <c r="C465" s="23">
        <f>IF(B465="","",TEXT(B465,"yyyy-mm"))</f>
        <v>0</v>
      </c>
      <c r="D465" s="43">
        <f>IF(A465="","",IFERROR(INDEX(Jobs!$G$5:$G$604,MATCH(A465,Jobs!$A$5:$A$604,0)),""))</f>
        <v>0</v>
      </c>
      <c r="E465" s="23">
        <f>IF(A465="","",IFERROR(INDEX(Jobs!$H$5:$H$604,MATCH(A465,Jobs!$A$5:$A$604,0)),""))</f>
        <v>0</v>
      </c>
      <c r="F465" s="23">
        <f>IF(A465="","",IFERROR(INDEX(Jobs!$K$5:$K$604,MATCH(A465,Jobs!$A$5:$A$604,0)),""))</f>
        <v>0</v>
      </c>
      <c r="G465" s="23">
        <f>IF(A465="","",IFERROR(INDEX(Jobs!$M$5:$M$604,MATCH(A465,Jobs!$A$5:$A$604,0)),""))</f>
        <v>0</v>
      </c>
      <c r="H465" s="23">
        <f>IF(A465="","",IFERROR(INDEX(Jobs!$R$5:$R$604,MATCH(A465,Jobs!$A$5:$A$604,0)),""))</f>
        <v>0</v>
      </c>
      <c r="I465" s="39">
        <f>IF(A465="","",IFERROR(INDEX(Jobs!$P$5:$P$604,MATCH(A465,Jobs!$A$5:$A$604,0)),""))</f>
        <v>0</v>
      </c>
      <c r="J465" s="21">
        <f>IF(A465="","",IF(OR(I465="Completed",I465="Invoiced"),IFERROR(INDEX(Jobs!$AJ$5:$AJ$604,MATCH(A465,Jobs!$A$5:$A$604,0)),0),0))</f>
        <v>0</v>
      </c>
      <c r="K465" s="34">
        <f>IF(A465="","",IFERROR(INDEX(Jobs!$AD$5:$AD$604,MATCH(A465,Jobs!$A$5:$A$604,0)),0))</f>
        <v>0</v>
      </c>
      <c r="L465" s="34">
        <f>IF(A465="","",IFERROR(INDEX(Jobs!$AK$5:$AK$604,MATCH(A465,Jobs!$A$5:$A$604,0)),0))</f>
        <v>0</v>
      </c>
      <c r="M465" s="34">
        <f>IF(A465="","",IF(IFERROR(L465*1,0)&gt;0,L465,IFERROR(K465*1,0)))</f>
        <v>0</v>
      </c>
      <c r="N465" s="21">
        <f>IF(A465="","",SUMIFS(Timesheets!$X$5:$X$804,Timesheets!$G$5:$G$804,A465))</f>
        <v>0</v>
      </c>
      <c r="O465" s="21">
        <f>IF(A465="","",IF(N465&gt;0,N465,ROUND(M465*CostPerHour,2)))</f>
        <v>0</v>
      </c>
      <c r="P465" s="21">
        <f>IF(A465="","",SUMIFS('Supply Usage'!$L$5:$L$304,'Supply Usage'!$F$5:$F$304,A465))</f>
        <v>0</v>
      </c>
      <c r="Q465" s="21">
        <f>IF(A465="","",IF(P465&gt;0,P465,ROUND(M465*SuppliesPerHour,2)))</f>
        <v>0</v>
      </c>
      <c r="R465" s="21">
        <f>IF(A465="","",ROUND(IFERROR(INDEX(Jobs!$W$5:$W$604,MATCH(A465,Jobs!$A$5:$A$604,0)),0)*MileageRate,2))</f>
        <v>0</v>
      </c>
      <c r="T465" s="21">
        <f>IF(A465="","",O465+Q465+R465+IF(S465="",0,S465))</f>
        <v>0</v>
      </c>
      <c r="U465" s="21">
        <f>IF(A465="","",J465-T465)</f>
        <v>0</v>
      </c>
      <c r="V465" s="38">
        <f>IF(OR(A465="",J465=0),"",U465/J465)</f>
        <v>0</v>
      </c>
      <c r="W465" s="21">
        <f>IF(OR(A465="",M465=0,J465=0),"",U465/M465)</f>
        <v>0</v>
      </c>
      <c r="X465" s="34">
        <f>IF(OR(A465="",L465="",L465=0,K465=""),"",L465-K465)</f>
        <v>0</v>
      </c>
      <c r="Y465" s="31">
        <f>IF(A465="","",COUNTIFS($U$5:$U$604,"&gt;"&amp;U465)+COUNTIFS($U$5:U465,U465))</f>
        <v>0</v>
      </c>
      <c r="Z465" s="31">
        <f>IF(A465="","",COUNTIFS($W$5:$W$604,"&gt;"&amp;W465)+COUNTIFS($W$5:W465,W465))</f>
        <v>0</v>
      </c>
      <c r="AA465" s="39">
        <f>IF(A465="","",IF(J465=0,"",IF(U465&lt;0,"Loss - this job cost you money",IF(V465&lt;MarginFloor,"Below - margin under the floor",IF(V465&lt;TargetMargin,"Check - under target margin",IF(AND(X465&lt;&gt;"",X465&gt;0.5),"Check - ran over the estimate","OK"))))))</f>
        <v>0</v>
      </c>
    </row>
    <row r="466" spans="1:27">
      <c r="A466" s="43">
        <f>IF(IFERROR(INDEX(Jobs!$A$5:$A$604,ROW()-4),"")="","",IFERROR(INDEX(Jobs!$A$5:$A$604,ROW()-4),""))</f>
        <v>0</v>
      </c>
      <c r="B466" s="18">
        <f>IF(A466="","",IFERROR(INDEX(Jobs!$B$5:$B$604,MATCH(A466,Jobs!$A$5:$A$604,0)),""))</f>
        <v>0</v>
      </c>
      <c r="C466" s="23">
        <f>IF(B466="","",TEXT(B466,"yyyy-mm"))</f>
        <v>0</v>
      </c>
      <c r="D466" s="43">
        <f>IF(A466="","",IFERROR(INDEX(Jobs!$G$5:$G$604,MATCH(A466,Jobs!$A$5:$A$604,0)),""))</f>
        <v>0</v>
      </c>
      <c r="E466" s="23">
        <f>IF(A466="","",IFERROR(INDEX(Jobs!$H$5:$H$604,MATCH(A466,Jobs!$A$5:$A$604,0)),""))</f>
        <v>0</v>
      </c>
      <c r="F466" s="23">
        <f>IF(A466="","",IFERROR(INDEX(Jobs!$K$5:$K$604,MATCH(A466,Jobs!$A$5:$A$604,0)),""))</f>
        <v>0</v>
      </c>
      <c r="G466" s="23">
        <f>IF(A466="","",IFERROR(INDEX(Jobs!$M$5:$M$604,MATCH(A466,Jobs!$A$5:$A$604,0)),""))</f>
        <v>0</v>
      </c>
      <c r="H466" s="23">
        <f>IF(A466="","",IFERROR(INDEX(Jobs!$R$5:$R$604,MATCH(A466,Jobs!$A$5:$A$604,0)),""))</f>
        <v>0</v>
      </c>
      <c r="I466" s="39">
        <f>IF(A466="","",IFERROR(INDEX(Jobs!$P$5:$P$604,MATCH(A466,Jobs!$A$5:$A$604,0)),""))</f>
        <v>0</v>
      </c>
      <c r="J466" s="21">
        <f>IF(A466="","",IF(OR(I466="Completed",I466="Invoiced"),IFERROR(INDEX(Jobs!$AJ$5:$AJ$604,MATCH(A466,Jobs!$A$5:$A$604,0)),0),0))</f>
        <v>0</v>
      </c>
      <c r="K466" s="34">
        <f>IF(A466="","",IFERROR(INDEX(Jobs!$AD$5:$AD$604,MATCH(A466,Jobs!$A$5:$A$604,0)),0))</f>
        <v>0</v>
      </c>
      <c r="L466" s="34">
        <f>IF(A466="","",IFERROR(INDEX(Jobs!$AK$5:$AK$604,MATCH(A466,Jobs!$A$5:$A$604,0)),0))</f>
        <v>0</v>
      </c>
      <c r="M466" s="34">
        <f>IF(A466="","",IF(IFERROR(L466*1,0)&gt;0,L466,IFERROR(K466*1,0)))</f>
        <v>0</v>
      </c>
      <c r="N466" s="21">
        <f>IF(A466="","",SUMIFS(Timesheets!$X$5:$X$804,Timesheets!$G$5:$G$804,A466))</f>
        <v>0</v>
      </c>
      <c r="O466" s="21">
        <f>IF(A466="","",IF(N466&gt;0,N466,ROUND(M466*CostPerHour,2)))</f>
        <v>0</v>
      </c>
      <c r="P466" s="21">
        <f>IF(A466="","",SUMIFS('Supply Usage'!$L$5:$L$304,'Supply Usage'!$F$5:$F$304,A466))</f>
        <v>0</v>
      </c>
      <c r="Q466" s="21">
        <f>IF(A466="","",IF(P466&gt;0,P466,ROUND(M466*SuppliesPerHour,2)))</f>
        <v>0</v>
      </c>
      <c r="R466" s="21">
        <f>IF(A466="","",ROUND(IFERROR(INDEX(Jobs!$W$5:$W$604,MATCH(A466,Jobs!$A$5:$A$604,0)),0)*MileageRate,2))</f>
        <v>0</v>
      </c>
      <c r="T466" s="21">
        <f>IF(A466="","",O466+Q466+R466+IF(S466="",0,S466))</f>
        <v>0</v>
      </c>
      <c r="U466" s="21">
        <f>IF(A466="","",J466-T466)</f>
        <v>0</v>
      </c>
      <c r="V466" s="38">
        <f>IF(OR(A466="",J466=0),"",U466/J466)</f>
        <v>0</v>
      </c>
      <c r="W466" s="21">
        <f>IF(OR(A466="",M466=0,J466=0),"",U466/M466)</f>
        <v>0</v>
      </c>
      <c r="X466" s="34">
        <f>IF(OR(A466="",L466="",L466=0,K466=""),"",L466-K466)</f>
        <v>0</v>
      </c>
      <c r="Y466" s="31">
        <f>IF(A466="","",COUNTIFS($U$5:$U$604,"&gt;"&amp;U466)+COUNTIFS($U$5:U466,U466))</f>
        <v>0</v>
      </c>
      <c r="Z466" s="31">
        <f>IF(A466="","",COUNTIFS($W$5:$W$604,"&gt;"&amp;W466)+COUNTIFS($W$5:W466,W466))</f>
        <v>0</v>
      </c>
      <c r="AA466" s="39">
        <f>IF(A466="","",IF(J466=0,"",IF(U466&lt;0,"Loss - this job cost you money",IF(V466&lt;MarginFloor,"Below - margin under the floor",IF(V466&lt;TargetMargin,"Check - under target margin",IF(AND(X466&lt;&gt;"",X466&gt;0.5),"Check - ran over the estimate","OK"))))))</f>
        <v>0</v>
      </c>
    </row>
    <row r="467" spans="1:27">
      <c r="A467" s="43">
        <f>IF(IFERROR(INDEX(Jobs!$A$5:$A$604,ROW()-4),"")="","",IFERROR(INDEX(Jobs!$A$5:$A$604,ROW()-4),""))</f>
        <v>0</v>
      </c>
      <c r="B467" s="18">
        <f>IF(A467="","",IFERROR(INDEX(Jobs!$B$5:$B$604,MATCH(A467,Jobs!$A$5:$A$604,0)),""))</f>
        <v>0</v>
      </c>
      <c r="C467" s="23">
        <f>IF(B467="","",TEXT(B467,"yyyy-mm"))</f>
        <v>0</v>
      </c>
      <c r="D467" s="43">
        <f>IF(A467="","",IFERROR(INDEX(Jobs!$G$5:$G$604,MATCH(A467,Jobs!$A$5:$A$604,0)),""))</f>
        <v>0</v>
      </c>
      <c r="E467" s="23">
        <f>IF(A467="","",IFERROR(INDEX(Jobs!$H$5:$H$604,MATCH(A467,Jobs!$A$5:$A$604,0)),""))</f>
        <v>0</v>
      </c>
      <c r="F467" s="23">
        <f>IF(A467="","",IFERROR(INDEX(Jobs!$K$5:$K$604,MATCH(A467,Jobs!$A$5:$A$604,0)),""))</f>
        <v>0</v>
      </c>
      <c r="G467" s="23">
        <f>IF(A467="","",IFERROR(INDEX(Jobs!$M$5:$M$604,MATCH(A467,Jobs!$A$5:$A$604,0)),""))</f>
        <v>0</v>
      </c>
      <c r="H467" s="23">
        <f>IF(A467="","",IFERROR(INDEX(Jobs!$R$5:$R$604,MATCH(A467,Jobs!$A$5:$A$604,0)),""))</f>
        <v>0</v>
      </c>
      <c r="I467" s="39">
        <f>IF(A467="","",IFERROR(INDEX(Jobs!$P$5:$P$604,MATCH(A467,Jobs!$A$5:$A$604,0)),""))</f>
        <v>0</v>
      </c>
      <c r="J467" s="21">
        <f>IF(A467="","",IF(OR(I467="Completed",I467="Invoiced"),IFERROR(INDEX(Jobs!$AJ$5:$AJ$604,MATCH(A467,Jobs!$A$5:$A$604,0)),0),0))</f>
        <v>0</v>
      </c>
      <c r="K467" s="34">
        <f>IF(A467="","",IFERROR(INDEX(Jobs!$AD$5:$AD$604,MATCH(A467,Jobs!$A$5:$A$604,0)),0))</f>
        <v>0</v>
      </c>
      <c r="L467" s="34">
        <f>IF(A467="","",IFERROR(INDEX(Jobs!$AK$5:$AK$604,MATCH(A467,Jobs!$A$5:$A$604,0)),0))</f>
        <v>0</v>
      </c>
      <c r="M467" s="34">
        <f>IF(A467="","",IF(IFERROR(L467*1,0)&gt;0,L467,IFERROR(K467*1,0)))</f>
        <v>0</v>
      </c>
      <c r="N467" s="21">
        <f>IF(A467="","",SUMIFS(Timesheets!$X$5:$X$804,Timesheets!$G$5:$G$804,A467))</f>
        <v>0</v>
      </c>
      <c r="O467" s="21">
        <f>IF(A467="","",IF(N467&gt;0,N467,ROUND(M467*CostPerHour,2)))</f>
        <v>0</v>
      </c>
      <c r="P467" s="21">
        <f>IF(A467="","",SUMIFS('Supply Usage'!$L$5:$L$304,'Supply Usage'!$F$5:$F$304,A467))</f>
        <v>0</v>
      </c>
      <c r="Q467" s="21">
        <f>IF(A467="","",IF(P467&gt;0,P467,ROUND(M467*SuppliesPerHour,2)))</f>
        <v>0</v>
      </c>
      <c r="R467" s="21">
        <f>IF(A467="","",ROUND(IFERROR(INDEX(Jobs!$W$5:$W$604,MATCH(A467,Jobs!$A$5:$A$604,0)),0)*MileageRate,2))</f>
        <v>0</v>
      </c>
      <c r="T467" s="21">
        <f>IF(A467="","",O467+Q467+R467+IF(S467="",0,S467))</f>
        <v>0</v>
      </c>
      <c r="U467" s="21">
        <f>IF(A467="","",J467-T467)</f>
        <v>0</v>
      </c>
      <c r="V467" s="38">
        <f>IF(OR(A467="",J467=0),"",U467/J467)</f>
        <v>0</v>
      </c>
      <c r="W467" s="21">
        <f>IF(OR(A467="",M467=0,J467=0),"",U467/M467)</f>
        <v>0</v>
      </c>
      <c r="X467" s="34">
        <f>IF(OR(A467="",L467="",L467=0,K467=""),"",L467-K467)</f>
        <v>0</v>
      </c>
      <c r="Y467" s="31">
        <f>IF(A467="","",COUNTIFS($U$5:$U$604,"&gt;"&amp;U467)+COUNTIFS($U$5:U467,U467))</f>
        <v>0</v>
      </c>
      <c r="Z467" s="31">
        <f>IF(A467="","",COUNTIFS($W$5:$W$604,"&gt;"&amp;W467)+COUNTIFS($W$5:W467,W467))</f>
        <v>0</v>
      </c>
      <c r="AA467" s="39">
        <f>IF(A467="","",IF(J467=0,"",IF(U467&lt;0,"Loss - this job cost you money",IF(V467&lt;MarginFloor,"Below - margin under the floor",IF(V467&lt;TargetMargin,"Check - under target margin",IF(AND(X467&lt;&gt;"",X467&gt;0.5),"Check - ran over the estimate","OK"))))))</f>
        <v>0</v>
      </c>
    </row>
    <row r="468" spans="1:27">
      <c r="A468" s="43">
        <f>IF(IFERROR(INDEX(Jobs!$A$5:$A$604,ROW()-4),"")="","",IFERROR(INDEX(Jobs!$A$5:$A$604,ROW()-4),""))</f>
        <v>0</v>
      </c>
      <c r="B468" s="18">
        <f>IF(A468="","",IFERROR(INDEX(Jobs!$B$5:$B$604,MATCH(A468,Jobs!$A$5:$A$604,0)),""))</f>
        <v>0</v>
      </c>
      <c r="C468" s="23">
        <f>IF(B468="","",TEXT(B468,"yyyy-mm"))</f>
        <v>0</v>
      </c>
      <c r="D468" s="43">
        <f>IF(A468="","",IFERROR(INDEX(Jobs!$G$5:$G$604,MATCH(A468,Jobs!$A$5:$A$604,0)),""))</f>
        <v>0</v>
      </c>
      <c r="E468" s="23">
        <f>IF(A468="","",IFERROR(INDEX(Jobs!$H$5:$H$604,MATCH(A468,Jobs!$A$5:$A$604,0)),""))</f>
        <v>0</v>
      </c>
      <c r="F468" s="23">
        <f>IF(A468="","",IFERROR(INDEX(Jobs!$K$5:$K$604,MATCH(A468,Jobs!$A$5:$A$604,0)),""))</f>
        <v>0</v>
      </c>
      <c r="G468" s="23">
        <f>IF(A468="","",IFERROR(INDEX(Jobs!$M$5:$M$604,MATCH(A468,Jobs!$A$5:$A$604,0)),""))</f>
        <v>0</v>
      </c>
      <c r="H468" s="23">
        <f>IF(A468="","",IFERROR(INDEX(Jobs!$R$5:$R$604,MATCH(A468,Jobs!$A$5:$A$604,0)),""))</f>
        <v>0</v>
      </c>
      <c r="I468" s="39">
        <f>IF(A468="","",IFERROR(INDEX(Jobs!$P$5:$P$604,MATCH(A468,Jobs!$A$5:$A$604,0)),""))</f>
        <v>0</v>
      </c>
      <c r="J468" s="21">
        <f>IF(A468="","",IF(OR(I468="Completed",I468="Invoiced"),IFERROR(INDEX(Jobs!$AJ$5:$AJ$604,MATCH(A468,Jobs!$A$5:$A$604,0)),0),0))</f>
        <v>0</v>
      </c>
      <c r="K468" s="34">
        <f>IF(A468="","",IFERROR(INDEX(Jobs!$AD$5:$AD$604,MATCH(A468,Jobs!$A$5:$A$604,0)),0))</f>
        <v>0</v>
      </c>
      <c r="L468" s="34">
        <f>IF(A468="","",IFERROR(INDEX(Jobs!$AK$5:$AK$604,MATCH(A468,Jobs!$A$5:$A$604,0)),0))</f>
        <v>0</v>
      </c>
      <c r="M468" s="34">
        <f>IF(A468="","",IF(IFERROR(L468*1,0)&gt;0,L468,IFERROR(K468*1,0)))</f>
        <v>0</v>
      </c>
      <c r="N468" s="21">
        <f>IF(A468="","",SUMIFS(Timesheets!$X$5:$X$804,Timesheets!$G$5:$G$804,A468))</f>
        <v>0</v>
      </c>
      <c r="O468" s="21">
        <f>IF(A468="","",IF(N468&gt;0,N468,ROUND(M468*CostPerHour,2)))</f>
        <v>0</v>
      </c>
      <c r="P468" s="21">
        <f>IF(A468="","",SUMIFS('Supply Usage'!$L$5:$L$304,'Supply Usage'!$F$5:$F$304,A468))</f>
        <v>0</v>
      </c>
      <c r="Q468" s="21">
        <f>IF(A468="","",IF(P468&gt;0,P468,ROUND(M468*SuppliesPerHour,2)))</f>
        <v>0</v>
      </c>
      <c r="R468" s="21">
        <f>IF(A468="","",ROUND(IFERROR(INDEX(Jobs!$W$5:$W$604,MATCH(A468,Jobs!$A$5:$A$604,0)),0)*MileageRate,2))</f>
        <v>0</v>
      </c>
      <c r="T468" s="21">
        <f>IF(A468="","",O468+Q468+R468+IF(S468="",0,S468))</f>
        <v>0</v>
      </c>
      <c r="U468" s="21">
        <f>IF(A468="","",J468-T468)</f>
        <v>0</v>
      </c>
      <c r="V468" s="38">
        <f>IF(OR(A468="",J468=0),"",U468/J468)</f>
        <v>0</v>
      </c>
      <c r="W468" s="21">
        <f>IF(OR(A468="",M468=0,J468=0),"",U468/M468)</f>
        <v>0</v>
      </c>
      <c r="X468" s="34">
        <f>IF(OR(A468="",L468="",L468=0,K468=""),"",L468-K468)</f>
        <v>0</v>
      </c>
      <c r="Y468" s="31">
        <f>IF(A468="","",COUNTIFS($U$5:$U$604,"&gt;"&amp;U468)+COUNTIFS($U$5:U468,U468))</f>
        <v>0</v>
      </c>
      <c r="Z468" s="31">
        <f>IF(A468="","",COUNTIFS($W$5:$W$604,"&gt;"&amp;W468)+COUNTIFS($W$5:W468,W468))</f>
        <v>0</v>
      </c>
      <c r="AA468" s="39">
        <f>IF(A468="","",IF(J468=0,"",IF(U468&lt;0,"Loss - this job cost you money",IF(V468&lt;MarginFloor,"Below - margin under the floor",IF(V468&lt;TargetMargin,"Check - under target margin",IF(AND(X468&lt;&gt;"",X468&gt;0.5),"Check - ran over the estimate","OK"))))))</f>
        <v>0</v>
      </c>
    </row>
    <row r="469" spans="1:27">
      <c r="A469" s="43">
        <f>IF(IFERROR(INDEX(Jobs!$A$5:$A$604,ROW()-4),"")="","",IFERROR(INDEX(Jobs!$A$5:$A$604,ROW()-4),""))</f>
        <v>0</v>
      </c>
      <c r="B469" s="18">
        <f>IF(A469="","",IFERROR(INDEX(Jobs!$B$5:$B$604,MATCH(A469,Jobs!$A$5:$A$604,0)),""))</f>
        <v>0</v>
      </c>
      <c r="C469" s="23">
        <f>IF(B469="","",TEXT(B469,"yyyy-mm"))</f>
        <v>0</v>
      </c>
      <c r="D469" s="43">
        <f>IF(A469="","",IFERROR(INDEX(Jobs!$G$5:$G$604,MATCH(A469,Jobs!$A$5:$A$604,0)),""))</f>
        <v>0</v>
      </c>
      <c r="E469" s="23">
        <f>IF(A469="","",IFERROR(INDEX(Jobs!$H$5:$H$604,MATCH(A469,Jobs!$A$5:$A$604,0)),""))</f>
        <v>0</v>
      </c>
      <c r="F469" s="23">
        <f>IF(A469="","",IFERROR(INDEX(Jobs!$K$5:$K$604,MATCH(A469,Jobs!$A$5:$A$604,0)),""))</f>
        <v>0</v>
      </c>
      <c r="G469" s="23">
        <f>IF(A469="","",IFERROR(INDEX(Jobs!$M$5:$M$604,MATCH(A469,Jobs!$A$5:$A$604,0)),""))</f>
        <v>0</v>
      </c>
      <c r="H469" s="23">
        <f>IF(A469="","",IFERROR(INDEX(Jobs!$R$5:$R$604,MATCH(A469,Jobs!$A$5:$A$604,0)),""))</f>
        <v>0</v>
      </c>
      <c r="I469" s="39">
        <f>IF(A469="","",IFERROR(INDEX(Jobs!$P$5:$P$604,MATCH(A469,Jobs!$A$5:$A$604,0)),""))</f>
        <v>0</v>
      </c>
      <c r="J469" s="21">
        <f>IF(A469="","",IF(OR(I469="Completed",I469="Invoiced"),IFERROR(INDEX(Jobs!$AJ$5:$AJ$604,MATCH(A469,Jobs!$A$5:$A$604,0)),0),0))</f>
        <v>0</v>
      </c>
      <c r="K469" s="34">
        <f>IF(A469="","",IFERROR(INDEX(Jobs!$AD$5:$AD$604,MATCH(A469,Jobs!$A$5:$A$604,0)),0))</f>
        <v>0</v>
      </c>
      <c r="L469" s="34">
        <f>IF(A469="","",IFERROR(INDEX(Jobs!$AK$5:$AK$604,MATCH(A469,Jobs!$A$5:$A$604,0)),0))</f>
        <v>0</v>
      </c>
      <c r="M469" s="34">
        <f>IF(A469="","",IF(IFERROR(L469*1,0)&gt;0,L469,IFERROR(K469*1,0)))</f>
        <v>0</v>
      </c>
      <c r="N469" s="21">
        <f>IF(A469="","",SUMIFS(Timesheets!$X$5:$X$804,Timesheets!$G$5:$G$804,A469))</f>
        <v>0</v>
      </c>
      <c r="O469" s="21">
        <f>IF(A469="","",IF(N469&gt;0,N469,ROUND(M469*CostPerHour,2)))</f>
        <v>0</v>
      </c>
      <c r="P469" s="21">
        <f>IF(A469="","",SUMIFS('Supply Usage'!$L$5:$L$304,'Supply Usage'!$F$5:$F$304,A469))</f>
        <v>0</v>
      </c>
      <c r="Q469" s="21">
        <f>IF(A469="","",IF(P469&gt;0,P469,ROUND(M469*SuppliesPerHour,2)))</f>
        <v>0</v>
      </c>
      <c r="R469" s="21">
        <f>IF(A469="","",ROUND(IFERROR(INDEX(Jobs!$W$5:$W$604,MATCH(A469,Jobs!$A$5:$A$604,0)),0)*MileageRate,2))</f>
        <v>0</v>
      </c>
      <c r="T469" s="21">
        <f>IF(A469="","",O469+Q469+R469+IF(S469="",0,S469))</f>
        <v>0</v>
      </c>
      <c r="U469" s="21">
        <f>IF(A469="","",J469-T469)</f>
        <v>0</v>
      </c>
      <c r="V469" s="38">
        <f>IF(OR(A469="",J469=0),"",U469/J469)</f>
        <v>0</v>
      </c>
      <c r="W469" s="21">
        <f>IF(OR(A469="",M469=0,J469=0),"",U469/M469)</f>
        <v>0</v>
      </c>
      <c r="X469" s="34">
        <f>IF(OR(A469="",L469="",L469=0,K469=""),"",L469-K469)</f>
        <v>0</v>
      </c>
      <c r="Y469" s="31">
        <f>IF(A469="","",COUNTIFS($U$5:$U$604,"&gt;"&amp;U469)+COUNTIFS($U$5:U469,U469))</f>
        <v>0</v>
      </c>
      <c r="Z469" s="31">
        <f>IF(A469="","",COUNTIFS($W$5:$W$604,"&gt;"&amp;W469)+COUNTIFS($W$5:W469,W469))</f>
        <v>0</v>
      </c>
      <c r="AA469" s="39">
        <f>IF(A469="","",IF(J469=0,"",IF(U469&lt;0,"Loss - this job cost you money",IF(V469&lt;MarginFloor,"Below - margin under the floor",IF(V469&lt;TargetMargin,"Check - under target margin",IF(AND(X469&lt;&gt;"",X469&gt;0.5),"Check - ran over the estimate","OK"))))))</f>
        <v>0</v>
      </c>
    </row>
    <row r="470" spans="1:27">
      <c r="A470" s="43">
        <f>IF(IFERROR(INDEX(Jobs!$A$5:$A$604,ROW()-4),"")="","",IFERROR(INDEX(Jobs!$A$5:$A$604,ROW()-4),""))</f>
        <v>0</v>
      </c>
      <c r="B470" s="18">
        <f>IF(A470="","",IFERROR(INDEX(Jobs!$B$5:$B$604,MATCH(A470,Jobs!$A$5:$A$604,0)),""))</f>
        <v>0</v>
      </c>
      <c r="C470" s="23">
        <f>IF(B470="","",TEXT(B470,"yyyy-mm"))</f>
        <v>0</v>
      </c>
      <c r="D470" s="43">
        <f>IF(A470="","",IFERROR(INDEX(Jobs!$G$5:$G$604,MATCH(A470,Jobs!$A$5:$A$604,0)),""))</f>
        <v>0</v>
      </c>
      <c r="E470" s="23">
        <f>IF(A470="","",IFERROR(INDEX(Jobs!$H$5:$H$604,MATCH(A470,Jobs!$A$5:$A$604,0)),""))</f>
        <v>0</v>
      </c>
      <c r="F470" s="23">
        <f>IF(A470="","",IFERROR(INDEX(Jobs!$K$5:$K$604,MATCH(A470,Jobs!$A$5:$A$604,0)),""))</f>
        <v>0</v>
      </c>
      <c r="G470" s="23">
        <f>IF(A470="","",IFERROR(INDEX(Jobs!$M$5:$M$604,MATCH(A470,Jobs!$A$5:$A$604,0)),""))</f>
        <v>0</v>
      </c>
      <c r="H470" s="23">
        <f>IF(A470="","",IFERROR(INDEX(Jobs!$R$5:$R$604,MATCH(A470,Jobs!$A$5:$A$604,0)),""))</f>
        <v>0</v>
      </c>
      <c r="I470" s="39">
        <f>IF(A470="","",IFERROR(INDEX(Jobs!$P$5:$P$604,MATCH(A470,Jobs!$A$5:$A$604,0)),""))</f>
        <v>0</v>
      </c>
      <c r="J470" s="21">
        <f>IF(A470="","",IF(OR(I470="Completed",I470="Invoiced"),IFERROR(INDEX(Jobs!$AJ$5:$AJ$604,MATCH(A470,Jobs!$A$5:$A$604,0)),0),0))</f>
        <v>0</v>
      </c>
      <c r="K470" s="34">
        <f>IF(A470="","",IFERROR(INDEX(Jobs!$AD$5:$AD$604,MATCH(A470,Jobs!$A$5:$A$604,0)),0))</f>
        <v>0</v>
      </c>
      <c r="L470" s="34">
        <f>IF(A470="","",IFERROR(INDEX(Jobs!$AK$5:$AK$604,MATCH(A470,Jobs!$A$5:$A$604,0)),0))</f>
        <v>0</v>
      </c>
      <c r="M470" s="34">
        <f>IF(A470="","",IF(IFERROR(L470*1,0)&gt;0,L470,IFERROR(K470*1,0)))</f>
        <v>0</v>
      </c>
      <c r="N470" s="21">
        <f>IF(A470="","",SUMIFS(Timesheets!$X$5:$X$804,Timesheets!$G$5:$G$804,A470))</f>
        <v>0</v>
      </c>
      <c r="O470" s="21">
        <f>IF(A470="","",IF(N470&gt;0,N470,ROUND(M470*CostPerHour,2)))</f>
        <v>0</v>
      </c>
      <c r="P470" s="21">
        <f>IF(A470="","",SUMIFS('Supply Usage'!$L$5:$L$304,'Supply Usage'!$F$5:$F$304,A470))</f>
        <v>0</v>
      </c>
      <c r="Q470" s="21">
        <f>IF(A470="","",IF(P470&gt;0,P470,ROUND(M470*SuppliesPerHour,2)))</f>
        <v>0</v>
      </c>
      <c r="R470" s="21">
        <f>IF(A470="","",ROUND(IFERROR(INDEX(Jobs!$W$5:$W$604,MATCH(A470,Jobs!$A$5:$A$604,0)),0)*MileageRate,2))</f>
        <v>0</v>
      </c>
      <c r="T470" s="21">
        <f>IF(A470="","",O470+Q470+R470+IF(S470="",0,S470))</f>
        <v>0</v>
      </c>
      <c r="U470" s="21">
        <f>IF(A470="","",J470-T470)</f>
        <v>0</v>
      </c>
      <c r="V470" s="38">
        <f>IF(OR(A470="",J470=0),"",U470/J470)</f>
        <v>0</v>
      </c>
      <c r="W470" s="21">
        <f>IF(OR(A470="",M470=0,J470=0),"",U470/M470)</f>
        <v>0</v>
      </c>
      <c r="X470" s="34">
        <f>IF(OR(A470="",L470="",L470=0,K470=""),"",L470-K470)</f>
        <v>0</v>
      </c>
      <c r="Y470" s="31">
        <f>IF(A470="","",COUNTIFS($U$5:$U$604,"&gt;"&amp;U470)+COUNTIFS($U$5:U470,U470))</f>
        <v>0</v>
      </c>
      <c r="Z470" s="31">
        <f>IF(A470="","",COUNTIFS($W$5:$W$604,"&gt;"&amp;W470)+COUNTIFS($W$5:W470,W470))</f>
        <v>0</v>
      </c>
      <c r="AA470" s="39">
        <f>IF(A470="","",IF(J470=0,"",IF(U470&lt;0,"Loss - this job cost you money",IF(V470&lt;MarginFloor,"Below - margin under the floor",IF(V470&lt;TargetMargin,"Check - under target margin",IF(AND(X470&lt;&gt;"",X470&gt;0.5),"Check - ran over the estimate","OK"))))))</f>
        <v>0</v>
      </c>
    </row>
    <row r="471" spans="1:27">
      <c r="A471" s="43">
        <f>IF(IFERROR(INDEX(Jobs!$A$5:$A$604,ROW()-4),"")="","",IFERROR(INDEX(Jobs!$A$5:$A$604,ROW()-4),""))</f>
        <v>0</v>
      </c>
      <c r="B471" s="18">
        <f>IF(A471="","",IFERROR(INDEX(Jobs!$B$5:$B$604,MATCH(A471,Jobs!$A$5:$A$604,0)),""))</f>
        <v>0</v>
      </c>
      <c r="C471" s="23">
        <f>IF(B471="","",TEXT(B471,"yyyy-mm"))</f>
        <v>0</v>
      </c>
      <c r="D471" s="43">
        <f>IF(A471="","",IFERROR(INDEX(Jobs!$G$5:$G$604,MATCH(A471,Jobs!$A$5:$A$604,0)),""))</f>
        <v>0</v>
      </c>
      <c r="E471" s="23">
        <f>IF(A471="","",IFERROR(INDEX(Jobs!$H$5:$H$604,MATCH(A471,Jobs!$A$5:$A$604,0)),""))</f>
        <v>0</v>
      </c>
      <c r="F471" s="23">
        <f>IF(A471="","",IFERROR(INDEX(Jobs!$K$5:$K$604,MATCH(A471,Jobs!$A$5:$A$604,0)),""))</f>
        <v>0</v>
      </c>
      <c r="G471" s="23">
        <f>IF(A471="","",IFERROR(INDEX(Jobs!$M$5:$M$604,MATCH(A471,Jobs!$A$5:$A$604,0)),""))</f>
        <v>0</v>
      </c>
      <c r="H471" s="23">
        <f>IF(A471="","",IFERROR(INDEX(Jobs!$R$5:$R$604,MATCH(A471,Jobs!$A$5:$A$604,0)),""))</f>
        <v>0</v>
      </c>
      <c r="I471" s="39">
        <f>IF(A471="","",IFERROR(INDEX(Jobs!$P$5:$P$604,MATCH(A471,Jobs!$A$5:$A$604,0)),""))</f>
        <v>0</v>
      </c>
      <c r="J471" s="21">
        <f>IF(A471="","",IF(OR(I471="Completed",I471="Invoiced"),IFERROR(INDEX(Jobs!$AJ$5:$AJ$604,MATCH(A471,Jobs!$A$5:$A$604,0)),0),0))</f>
        <v>0</v>
      </c>
      <c r="K471" s="34">
        <f>IF(A471="","",IFERROR(INDEX(Jobs!$AD$5:$AD$604,MATCH(A471,Jobs!$A$5:$A$604,0)),0))</f>
        <v>0</v>
      </c>
      <c r="L471" s="34">
        <f>IF(A471="","",IFERROR(INDEX(Jobs!$AK$5:$AK$604,MATCH(A471,Jobs!$A$5:$A$604,0)),0))</f>
        <v>0</v>
      </c>
      <c r="M471" s="34">
        <f>IF(A471="","",IF(IFERROR(L471*1,0)&gt;0,L471,IFERROR(K471*1,0)))</f>
        <v>0</v>
      </c>
      <c r="N471" s="21">
        <f>IF(A471="","",SUMIFS(Timesheets!$X$5:$X$804,Timesheets!$G$5:$G$804,A471))</f>
        <v>0</v>
      </c>
      <c r="O471" s="21">
        <f>IF(A471="","",IF(N471&gt;0,N471,ROUND(M471*CostPerHour,2)))</f>
        <v>0</v>
      </c>
      <c r="P471" s="21">
        <f>IF(A471="","",SUMIFS('Supply Usage'!$L$5:$L$304,'Supply Usage'!$F$5:$F$304,A471))</f>
        <v>0</v>
      </c>
      <c r="Q471" s="21">
        <f>IF(A471="","",IF(P471&gt;0,P471,ROUND(M471*SuppliesPerHour,2)))</f>
        <v>0</v>
      </c>
      <c r="R471" s="21">
        <f>IF(A471="","",ROUND(IFERROR(INDEX(Jobs!$W$5:$W$604,MATCH(A471,Jobs!$A$5:$A$604,0)),0)*MileageRate,2))</f>
        <v>0</v>
      </c>
      <c r="T471" s="21">
        <f>IF(A471="","",O471+Q471+R471+IF(S471="",0,S471))</f>
        <v>0</v>
      </c>
      <c r="U471" s="21">
        <f>IF(A471="","",J471-T471)</f>
        <v>0</v>
      </c>
      <c r="V471" s="38">
        <f>IF(OR(A471="",J471=0),"",U471/J471)</f>
        <v>0</v>
      </c>
      <c r="W471" s="21">
        <f>IF(OR(A471="",M471=0,J471=0),"",U471/M471)</f>
        <v>0</v>
      </c>
      <c r="X471" s="34">
        <f>IF(OR(A471="",L471="",L471=0,K471=""),"",L471-K471)</f>
        <v>0</v>
      </c>
      <c r="Y471" s="31">
        <f>IF(A471="","",COUNTIFS($U$5:$U$604,"&gt;"&amp;U471)+COUNTIFS($U$5:U471,U471))</f>
        <v>0</v>
      </c>
      <c r="Z471" s="31">
        <f>IF(A471="","",COUNTIFS($W$5:$W$604,"&gt;"&amp;W471)+COUNTIFS($W$5:W471,W471))</f>
        <v>0</v>
      </c>
      <c r="AA471" s="39">
        <f>IF(A471="","",IF(J471=0,"",IF(U471&lt;0,"Loss - this job cost you money",IF(V471&lt;MarginFloor,"Below - margin under the floor",IF(V471&lt;TargetMargin,"Check - under target margin",IF(AND(X471&lt;&gt;"",X471&gt;0.5),"Check - ran over the estimate","OK"))))))</f>
        <v>0</v>
      </c>
    </row>
    <row r="472" spans="1:27">
      <c r="A472" s="43">
        <f>IF(IFERROR(INDEX(Jobs!$A$5:$A$604,ROW()-4),"")="","",IFERROR(INDEX(Jobs!$A$5:$A$604,ROW()-4),""))</f>
        <v>0</v>
      </c>
      <c r="B472" s="18">
        <f>IF(A472="","",IFERROR(INDEX(Jobs!$B$5:$B$604,MATCH(A472,Jobs!$A$5:$A$604,0)),""))</f>
        <v>0</v>
      </c>
      <c r="C472" s="23">
        <f>IF(B472="","",TEXT(B472,"yyyy-mm"))</f>
        <v>0</v>
      </c>
      <c r="D472" s="43">
        <f>IF(A472="","",IFERROR(INDEX(Jobs!$G$5:$G$604,MATCH(A472,Jobs!$A$5:$A$604,0)),""))</f>
        <v>0</v>
      </c>
      <c r="E472" s="23">
        <f>IF(A472="","",IFERROR(INDEX(Jobs!$H$5:$H$604,MATCH(A472,Jobs!$A$5:$A$604,0)),""))</f>
        <v>0</v>
      </c>
      <c r="F472" s="23">
        <f>IF(A472="","",IFERROR(INDEX(Jobs!$K$5:$K$604,MATCH(A472,Jobs!$A$5:$A$604,0)),""))</f>
        <v>0</v>
      </c>
      <c r="G472" s="23">
        <f>IF(A472="","",IFERROR(INDEX(Jobs!$M$5:$M$604,MATCH(A472,Jobs!$A$5:$A$604,0)),""))</f>
        <v>0</v>
      </c>
      <c r="H472" s="23">
        <f>IF(A472="","",IFERROR(INDEX(Jobs!$R$5:$R$604,MATCH(A472,Jobs!$A$5:$A$604,0)),""))</f>
        <v>0</v>
      </c>
      <c r="I472" s="39">
        <f>IF(A472="","",IFERROR(INDEX(Jobs!$P$5:$P$604,MATCH(A472,Jobs!$A$5:$A$604,0)),""))</f>
        <v>0</v>
      </c>
      <c r="J472" s="21">
        <f>IF(A472="","",IF(OR(I472="Completed",I472="Invoiced"),IFERROR(INDEX(Jobs!$AJ$5:$AJ$604,MATCH(A472,Jobs!$A$5:$A$604,0)),0),0))</f>
        <v>0</v>
      </c>
      <c r="K472" s="34">
        <f>IF(A472="","",IFERROR(INDEX(Jobs!$AD$5:$AD$604,MATCH(A472,Jobs!$A$5:$A$604,0)),0))</f>
        <v>0</v>
      </c>
      <c r="L472" s="34">
        <f>IF(A472="","",IFERROR(INDEX(Jobs!$AK$5:$AK$604,MATCH(A472,Jobs!$A$5:$A$604,0)),0))</f>
        <v>0</v>
      </c>
      <c r="M472" s="34">
        <f>IF(A472="","",IF(IFERROR(L472*1,0)&gt;0,L472,IFERROR(K472*1,0)))</f>
        <v>0</v>
      </c>
      <c r="N472" s="21">
        <f>IF(A472="","",SUMIFS(Timesheets!$X$5:$X$804,Timesheets!$G$5:$G$804,A472))</f>
        <v>0</v>
      </c>
      <c r="O472" s="21">
        <f>IF(A472="","",IF(N472&gt;0,N472,ROUND(M472*CostPerHour,2)))</f>
        <v>0</v>
      </c>
      <c r="P472" s="21">
        <f>IF(A472="","",SUMIFS('Supply Usage'!$L$5:$L$304,'Supply Usage'!$F$5:$F$304,A472))</f>
        <v>0</v>
      </c>
      <c r="Q472" s="21">
        <f>IF(A472="","",IF(P472&gt;0,P472,ROUND(M472*SuppliesPerHour,2)))</f>
        <v>0</v>
      </c>
      <c r="R472" s="21">
        <f>IF(A472="","",ROUND(IFERROR(INDEX(Jobs!$W$5:$W$604,MATCH(A472,Jobs!$A$5:$A$604,0)),0)*MileageRate,2))</f>
        <v>0</v>
      </c>
      <c r="T472" s="21">
        <f>IF(A472="","",O472+Q472+R472+IF(S472="",0,S472))</f>
        <v>0</v>
      </c>
      <c r="U472" s="21">
        <f>IF(A472="","",J472-T472)</f>
        <v>0</v>
      </c>
      <c r="V472" s="38">
        <f>IF(OR(A472="",J472=0),"",U472/J472)</f>
        <v>0</v>
      </c>
      <c r="W472" s="21">
        <f>IF(OR(A472="",M472=0,J472=0),"",U472/M472)</f>
        <v>0</v>
      </c>
      <c r="X472" s="34">
        <f>IF(OR(A472="",L472="",L472=0,K472=""),"",L472-K472)</f>
        <v>0</v>
      </c>
      <c r="Y472" s="31">
        <f>IF(A472="","",COUNTIFS($U$5:$U$604,"&gt;"&amp;U472)+COUNTIFS($U$5:U472,U472))</f>
        <v>0</v>
      </c>
      <c r="Z472" s="31">
        <f>IF(A472="","",COUNTIFS($W$5:$W$604,"&gt;"&amp;W472)+COUNTIFS($W$5:W472,W472))</f>
        <v>0</v>
      </c>
      <c r="AA472" s="39">
        <f>IF(A472="","",IF(J472=0,"",IF(U472&lt;0,"Loss - this job cost you money",IF(V472&lt;MarginFloor,"Below - margin under the floor",IF(V472&lt;TargetMargin,"Check - under target margin",IF(AND(X472&lt;&gt;"",X472&gt;0.5),"Check - ran over the estimate","OK"))))))</f>
        <v>0</v>
      </c>
    </row>
    <row r="473" spans="1:27">
      <c r="A473" s="43">
        <f>IF(IFERROR(INDEX(Jobs!$A$5:$A$604,ROW()-4),"")="","",IFERROR(INDEX(Jobs!$A$5:$A$604,ROW()-4),""))</f>
        <v>0</v>
      </c>
      <c r="B473" s="18">
        <f>IF(A473="","",IFERROR(INDEX(Jobs!$B$5:$B$604,MATCH(A473,Jobs!$A$5:$A$604,0)),""))</f>
        <v>0</v>
      </c>
      <c r="C473" s="23">
        <f>IF(B473="","",TEXT(B473,"yyyy-mm"))</f>
        <v>0</v>
      </c>
      <c r="D473" s="43">
        <f>IF(A473="","",IFERROR(INDEX(Jobs!$G$5:$G$604,MATCH(A473,Jobs!$A$5:$A$604,0)),""))</f>
        <v>0</v>
      </c>
      <c r="E473" s="23">
        <f>IF(A473="","",IFERROR(INDEX(Jobs!$H$5:$H$604,MATCH(A473,Jobs!$A$5:$A$604,0)),""))</f>
        <v>0</v>
      </c>
      <c r="F473" s="23">
        <f>IF(A473="","",IFERROR(INDEX(Jobs!$K$5:$K$604,MATCH(A473,Jobs!$A$5:$A$604,0)),""))</f>
        <v>0</v>
      </c>
      <c r="G473" s="23">
        <f>IF(A473="","",IFERROR(INDEX(Jobs!$M$5:$M$604,MATCH(A473,Jobs!$A$5:$A$604,0)),""))</f>
        <v>0</v>
      </c>
      <c r="H473" s="23">
        <f>IF(A473="","",IFERROR(INDEX(Jobs!$R$5:$R$604,MATCH(A473,Jobs!$A$5:$A$604,0)),""))</f>
        <v>0</v>
      </c>
      <c r="I473" s="39">
        <f>IF(A473="","",IFERROR(INDEX(Jobs!$P$5:$P$604,MATCH(A473,Jobs!$A$5:$A$604,0)),""))</f>
        <v>0</v>
      </c>
      <c r="J473" s="21">
        <f>IF(A473="","",IF(OR(I473="Completed",I473="Invoiced"),IFERROR(INDEX(Jobs!$AJ$5:$AJ$604,MATCH(A473,Jobs!$A$5:$A$604,0)),0),0))</f>
        <v>0</v>
      </c>
      <c r="K473" s="34">
        <f>IF(A473="","",IFERROR(INDEX(Jobs!$AD$5:$AD$604,MATCH(A473,Jobs!$A$5:$A$604,0)),0))</f>
        <v>0</v>
      </c>
      <c r="L473" s="34">
        <f>IF(A473="","",IFERROR(INDEX(Jobs!$AK$5:$AK$604,MATCH(A473,Jobs!$A$5:$A$604,0)),0))</f>
        <v>0</v>
      </c>
      <c r="M473" s="34">
        <f>IF(A473="","",IF(IFERROR(L473*1,0)&gt;0,L473,IFERROR(K473*1,0)))</f>
        <v>0</v>
      </c>
      <c r="N473" s="21">
        <f>IF(A473="","",SUMIFS(Timesheets!$X$5:$X$804,Timesheets!$G$5:$G$804,A473))</f>
        <v>0</v>
      </c>
      <c r="O473" s="21">
        <f>IF(A473="","",IF(N473&gt;0,N473,ROUND(M473*CostPerHour,2)))</f>
        <v>0</v>
      </c>
      <c r="P473" s="21">
        <f>IF(A473="","",SUMIFS('Supply Usage'!$L$5:$L$304,'Supply Usage'!$F$5:$F$304,A473))</f>
        <v>0</v>
      </c>
      <c r="Q473" s="21">
        <f>IF(A473="","",IF(P473&gt;0,P473,ROUND(M473*SuppliesPerHour,2)))</f>
        <v>0</v>
      </c>
      <c r="R473" s="21">
        <f>IF(A473="","",ROUND(IFERROR(INDEX(Jobs!$W$5:$W$604,MATCH(A473,Jobs!$A$5:$A$604,0)),0)*MileageRate,2))</f>
        <v>0</v>
      </c>
      <c r="T473" s="21">
        <f>IF(A473="","",O473+Q473+R473+IF(S473="",0,S473))</f>
        <v>0</v>
      </c>
      <c r="U473" s="21">
        <f>IF(A473="","",J473-T473)</f>
        <v>0</v>
      </c>
      <c r="V473" s="38">
        <f>IF(OR(A473="",J473=0),"",U473/J473)</f>
        <v>0</v>
      </c>
      <c r="W473" s="21">
        <f>IF(OR(A473="",M473=0,J473=0),"",U473/M473)</f>
        <v>0</v>
      </c>
      <c r="X473" s="34">
        <f>IF(OR(A473="",L473="",L473=0,K473=""),"",L473-K473)</f>
        <v>0</v>
      </c>
      <c r="Y473" s="31">
        <f>IF(A473="","",COUNTIFS($U$5:$U$604,"&gt;"&amp;U473)+COUNTIFS($U$5:U473,U473))</f>
        <v>0</v>
      </c>
      <c r="Z473" s="31">
        <f>IF(A473="","",COUNTIFS($W$5:$W$604,"&gt;"&amp;W473)+COUNTIFS($W$5:W473,W473))</f>
        <v>0</v>
      </c>
      <c r="AA473" s="39">
        <f>IF(A473="","",IF(J473=0,"",IF(U473&lt;0,"Loss - this job cost you money",IF(V473&lt;MarginFloor,"Below - margin under the floor",IF(V473&lt;TargetMargin,"Check - under target margin",IF(AND(X473&lt;&gt;"",X473&gt;0.5),"Check - ran over the estimate","OK"))))))</f>
        <v>0</v>
      </c>
    </row>
    <row r="474" spans="1:27">
      <c r="A474" s="43">
        <f>IF(IFERROR(INDEX(Jobs!$A$5:$A$604,ROW()-4),"")="","",IFERROR(INDEX(Jobs!$A$5:$A$604,ROW()-4),""))</f>
        <v>0</v>
      </c>
      <c r="B474" s="18">
        <f>IF(A474="","",IFERROR(INDEX(Jobs!$B$5:$B$604,MATCH(A474,Jobs!$A$5:$A$604,0)),""))</f>
        <v>0</v>
      </c>
      <c r="C474" s="23">
        <f>IF(B474="","",TEXT(B474,"yyyy-mm"))</f>
        <v>0</v>
      </c>
      <c r="D474" s="43">
        <f>IF(A474="","",IFERROR(INDEX(Jobs!$G$5:$G$604,MATCH(A474,Jobs!$A$5:$A$604,0)),""))</f>
        <v>0</v>
      </c>
      <c r="E474" s="23">
        <f>IF(A474="","",IFERROR(INDEX(Jobs!$H$5:$H$604,MATCH(A474,Jobs!$A$5:$A$604,0)),""))</f>
        <v>0</v>
      </c>
      <c r="F474" s="23">
        <f>IF(A474="","",IFERROR(INDEX(Jobs!$K$5:$K$604,MATCH(A474,Jobs!$A$5:$A$604,0)),""))</f>
        <v>0</v>
      </c>
      <c r="G474" s="23">
        <f>IF(A474="","",IFERROR(INDEX(Jobs!$M$5:$M$604,MATCH(A474,Jobs!$A$5:$A$604,0)),""))</f>
        <v>0</v>
      </c>
      <c r="H474" s="23">
        <f>IF(A474="","",IFERROR(INDEX(Jobs!$R$5:$R$604,MATCH(A474,Jobs!$A$5:$A$604,0)),""))</f>
        <v>0</v>
      </c>
      <c r="I474" s="39">
        <f>IF(A474="","",IFERROR(INDEX(Jobs!$P$5:$P$604,MATCH(A474,Jobs!$A$5:$A$604,0)),""))</f>
        <v>0</v>
      </c>
      <c r="J474" s="21">
        <f>IF(A474="","",IF(OR(I474="Completed",I474="Invoiced"),IFERROR(INDEX(Jobs!$AJ$5:$AJ$604,MATCH(A474,Jobs!$A$5:$A$604,0)),0),0))</f>
        <v>0</v>
      </c>
      <c r="K474" s="34">
        <f>IF(A474="","",IFERROR(INDEX(Jobs!$AD$5:$AD$604,MATCH(A474,Jobs!$A$5:$A$604,0)),0))</f>
        <v>0</v>
      </c>
      <c r="L474" s="34">
        <f>IF(A474="","",IFERROR(INDEX(Jobs!$AK$5:$AK$604,MATCH(A474,Jobs!$A$5:$A$604,0)),0))</f>
        <v>0</v>
      </c>
      <c r="M474" s="34">
        <f>IF(A474="","",IF(IFERROR(L474*1,0)&gt;0,L474,IFERROR(K474*1,0)))</f>
        <v>0</v>
      </c>
      <c r="N474" s="21">
        <f>IF(A474="","",SUMIFS(Timesheets!$X$5:$X$804,Timesheets!$G$5:$G$804,A474))</f>
        <v>0</v>
      </c>
      <c r="O474" s="21">
        <f>IF(A474="","",IF(N474&gt;0,N474,ROUND(M474*CostPerHour,2)))</f>
        <v>0</v>
      </c>
      <c r="P474" s="21">
        <f>IF(A474="","",SUMIFS('Supply Usage'!$L$5:$L$304,'Supply Usage'!$F$5:$F$304,A474))</f>
        <v>0</v>
      </c>
      <c r="Q474" s="21">
        <f>IF(A474="","",IF(P474&gt;0,P474,ROUND(M474*SuppliesPerHour,2)))</f>
        <v>0</v>
      </c>
      <c r="R474" s="21">
        <f>IF(A474="","",ROUND(IFERROR(INDEX(Jobs!$W$5:$W$604,MATCH(A474,Jobs!$A$5:$A$604,0)),0)*MileageRate,2))</f>
        <v>0</v>
      </c>
      <c r="T474" s="21">
        <f>IF(A474="","",O474+Q474+R474+IF(S474="",0,S474))</f>
        <v>0</v>
      </c>
      <c r="U474" s="21">
        <f>IF(A474="","",J474-T474)</f>
        <v>0</v>
      </c>
      <c r="V474" s="38">
        <f>IF(OR(A474="",J474=0),"",U474/J474)</f>
        <v>0</v>
      </c>
      <c r="W474" s="21">
        <f>IF(OR(A474="",M474=0,J474=0),"",U474/M474)</f>
        <v>0</v>
      </c>
      <c r="X474" s="34">
        <f>IF(OR(A474="",L474="",L474=0,K474=""),"",L474-K474)</f>
        <v>0</v>
      </c>
      <c r="Y474" s="31">
        <f>IF(A474="","",COUNTIFS($U$5:$U$604,"&gt;"&amp;U474)+COUNTIFS($U$5:U474,U474))</f>
        <v>0</v>
      </c>
      <c r="Z474" s="31">
        <f>IF(A474="","",COUNTIFS($W$5:$W$604,"&gt;"&amp;W474)+COUNTIFS($W$5:W474,W474))</f>
        <v>0</v>
      </c>
      <c r="AA474" s="39">
        <f>IF(A474="","",IF(J474=0,"",IF(U474&lt;0,"Loss - this job cost you money",IF(V474&lt;MarginFloor,"Below - margin under the floor",IF(V474&lt;TargetMargin,"Check - under target margin",IF(AND(X474&lt;&gt;"",X474&gt;0.5),"Check - ran over the estimate","OK"))))))</f>
        <v>0</v>
      </c>
    </row>
    <row r="475" spans="1:27">
      <c r="A475" s="43">
        <f>IF(IFERROR(INDEX(Jobs!$A$5:$A$604,ROW()-4),"")="","",IFERROR(INDEX(Jobs!$A$5:$A$604,ROW()-4),""))</f>
        <v>0</v>
      </c>
      <c r="B475" s="18">
        <f>IF(A475="","",IFERROR(INDEX(Jobs!$B$5:$B$604,MATCH(A475,Jobs!$A$5:$A$604,0)),""))</f>
        <v>0</v>
      </c>
      <c r="C475" s="23">
        <f>IF(B475="","",TEXT(B475,"yyyy-mm"))</f>
        <v>0</v>
      </c>
      <c r="D475" s="43">
        <f>IF(A475="","",IFERROR(INDEX(Jobs!$G$5:$G$604,MATCH(A475,Jobs!$A$5:$A$604,0)),""))</f>
        <v>0</v>
      </c>
      <c r="E475" s="23">
        <f>IF(A475="","",IFERROR(INDEX(Jobs!$H$5:$H$604,MATCH(A475,Jobs!$A$5:$A$604,0)),""))</f>
        <v>0</v>
      </c>
      <c r="F475" s="23">
        <f>IF(A475="","",IFERROR(INDEX(Jobs!$K$5:$K$604,MATCH(A475,Jobs!$A$5:$A$604,0)),""))</f>
        <v>0</v>
      </c>
      <c r="G475" s="23">
        <f>IF(A475="","",IFERROR(INDEX(Jobs!$M$5:$M$604,MATCH(A475,Jobs!$A$5:$A$604,0)),""))</f>
        <v>0</v>
      </c>
      <c r="H475" s="23">
        <f>IF(A475="","",IFERROR(INDEX(Jobs!$R$5:$R$604,MATCH(A475,Jobs!$A$5:$A$604,0)),""))</f>
        <v>0</v>
      </c>
      <c r="I475" s="39">
        <f>IF(A475="","",IFERROR(INDEX(Jobs!$P$5:$P$604,MATCH(A475,Jobs!$A$5:$A$604,0)),""))</f>
        <v>0</v>
      </c>
      <c r="J475" s="21">
        <f>IF(A475="","",IF(OR(I475="Completed",I475="Invoiced"),IFERROR(INDEX(Jobs!$AJ$5:$AJ$604,MATCH(A475,Jobs!$A$5:$A$604,0)),0),0))</f>
        <v>0</v>
      </c>
      <c r="K475" s="34">
        <f>IF(A475="","",IFERROR(INDEX(Jobs!$AD$5:$AD$604,MATCH(A475,Jobs!$A$5:$A$604,0)),0))</f>
        <v>0</v>
      </c>
      <c r="L475" s="34">
        <f>IF(A475="","",IFERROR(INDEX(Jobs!$AK$5:$AK$604,MATCH(A475,Jobs!$A$5:$A$604,0)),0))</f>
        <v>0</v>
      </c>
      <c r="M475" s="34">
        <f>IF(A475="","",IF(IFERROR(L475*1,0)&gt;0,L475,IFERROR(K475*1,0)))</f>
        <v>0</v>
      </c>
      <c r="N475" s="21">
        <f>IF(A475="","",SUMIFS(Timesheets!$X$5:$X$804,Timesheets!$G$5:$G$804,A475))</f>
        <v>0</v>
      </c>
      <c r="O475" s="21">
        <f>IF(A475="","",IF(N475&gt;0,N475,ROUND(M475*CostPerHour,2)))</f>
        <v>0</v>
      </c>
      <c r="P475" s="21">
        <f>IF(A475="","",SUMIFS('Supply Usage'!$L$5:$L$304,'Supply Usage'!$F$5:$F$304,A475))</f>
        <v>0</v>
      </c>
      <c r="Q475" s="21">
        <f>IF(A475="","",IF(P475&gt;0,P475,ROUND(M475*SuppliesPerHour,2)))</f>
        <v>0</v>
      </c>
      <c r="R475" s="21">
        <f>IF(A475="","",ROUND(IFERROR(INDEX(Jobs!$W$5:$W$604,MATCH(A475,Jobs!$A$5:$A$604,0)),0)*MileageRate,2))</f>
        <v>0</v>
      </c>
      <c r="T475" s="21">
        <f>IF(A475="","",O475+Q475+R475+IF(S475="",0,S475))</f>
        <v>0</v>
      </c>
      <c r="U475" s="21">
        <f>IF(A475="","",J475-T475)</f>
        <v>0</v>
      </c>
      <c r="V475" s="38">
        <f>IF(OR(A475="",J475=0),"",U475/J475)</f>
        <v>0</v>
      </c>
      <c r="W475" s="21">
        <f>IF(OR(A475="",M475=0,J475=0),"",U475/M475)</f>
        <v>0</v>
      </c>
      <c r="X475" s="34">
        <f>IF(OR(A475="",L475="",L475=0,K475=""),"",L475-K475)</f>
        <v>0</v>
      </c>
      <c r="Y475" s="31">
        <f>IF(A475="","",COUNTIFS($U$5:$U$604,"&gt;"&amp;U475)+COUNTIFS($U$5:U475,U475))</f>
        <v>0</v>
      </c>
      <c r="Z475" s="31">
        <f>IF(A475="","",COUNTIFS($W$5:$W$604,"&gt;"&amp;W475)+COUNTIFS($W$5:W475,W475))</f>
        <v>0</v>
      </c>
      <c r="AA475" s="39">
        <f>IF(A475="","",IF(J475=0,"",IF(U475&lt;0,"Loss - this job cost you money",IF(V475&lt;MarginFloor,"Below - margin under the floor",IF(V475&lt;TargetMargin,"Check - under target margin",IF(AND(X475&lt;&gt;"",X475&gt;0.5),"Check - ran over the estimate","OK"))))))</f>
        <v>0</v>
      </c>
    </row>
    <row r="476" spans="1:27">
      <c r="A476" s="43">
        <f>IF(IFERROR(INDEX(Jobs!$A$5:$A$604,ROW()-4),"")="","",IFERROR(INDEX(Jobs!$A$5:$A$604,ROW()-4),""))</f>
        <v>0</v>
      </c>
      <c r="B476" s="18">
        <f>IF(A476="","",IFERROR(INDEX(Jobs!$B$5:$B$604,MATCH(A476,Jobs!$A$5:$A$604,0)),""))</f>
        <v>0</v>
      </c>
      <c r="C476" s="23">
        <f>IF(B476="","",TEXT(B476,"yyyy-mm"))</f>
        <v>0</v>
      </c>
      <c r="D476" s="43">
        <f>IF(A476="","",IFERROR(INDEX(Jobs!$G$5:$G$604,MATCH(A476,Jobs!$A$5:$A$604,0)),""))</f>
        <v>0</v>
      </c>
      <c r="E476" s="23">
        <f>IF(A476="","",IFERROR(INDEX(Jobs!$H$5:$H$604,MATCH(A476,Jobs!$A$5:$A$604,0)),""))</f>
        <v>0</v>
      </c>
      <c r="F476" s="23">
        <f>IF(A476="","",IFERROR(INDEX(Jobs!$K$5:$K$604,MATCH(A476,Jobs!$A$5:$A$604,0)),""))</f>
        <v>0</v>
      </c>
      <c r="G476" s="23">
        <f>IF(A476="","",IFERROR(INDEX(Jobs!$M$5:$M$604,MATCH(A476,Jobs!$A$5:$A$604,0)),""))</f>
        <v>0</v>
      </c>
      <c r="H476" s="23">
        <f>IF(A476="","",IFERROR(INDEX(Jobs!$R$5:$R$604,MATCH(A476,Jobs!$A$5:$A$604,0)),""))</f>
        <v>0</v>
      </c>
      <c r="I476" s="39">
        <f>IF(A476="","",IFERROR(INDEX(Jobs!$P$5:$P$604,MATCH(A476,Jobs!$A$5:$A$604,0)),""))</f>
        <v>0</v>
      </c>
      <c r="J476" s="21">
        <f>IF(A476="","",IF(OR(I476="Completed",I476="Invoiced"),IFERROR(INDEX(Jobs!$AJ$5:$AJ$604,MATCH(A476,Jobs!$A$5:$A$604,0)),0),0))</f>
        <v>0</v>
      </c>
      <c r="K476" s="34">
        <f>IF(A476="","",IFERROR(INDEX(Jobs!$AD$5:$AD$604,MATCH(A476,Jobs!$A$5:$A$604,0)),0))</f>
        <v>0</v>
      </c>
      <c r="L476" s="34">
        <f>IF(A476="","",IFERROR(INDEX(Jobs!$AK$5:$AK$604,MATCH(A476,Jobs!$A$5:$A$604,0)),0))</f>
        <v>0</v>
      </c>
      <c r="M476" s="34">
        <f>IF(A476="","",IF(IFERROR(L476*1,0)&gt;0,L476,IFERROR(K476*1,0)))</f>
        <v>0</v>
      </c>
      <c r="N476" s="21">
        <f>IF(A476="","",SUMIFS(Timesheets!$X$5:$X$804,Timesheets!$G$5:$G$804,A476))</f>
        <v>0</v>
      </c>
      <c r="O476" s="21">
        <f>IF(A476="","",IF(N476&gt;0,N476,ROUND(M476*CostPerHour,2)))</f>
        <v>0</v>
      </c>
      <c r="P476" s="21">
        <f>IF(A476="","",SUMIFS('Supply Usage'!$L$5:$L$304,'Supply Usage'!$F$5:$F$304,A476))</f>
        <v>0</v>
      </c>
      <c r="Q476" s="21">
        <f>IF(A476="","",IF(P476&gt;0,P476,ROUND(M476*SuppliesPerHour,2)))</f>
        <v>0</v>
      </c>
      <c r="R476" s="21">
        <f>IF(A476="","",ROUND(IFERROR(INDEX(Jobs!$W$5:$W$604,MATCH(A476,Jobs!$A$5:$A$604,0)),0)*MileageRate,2))</f>
        <v>0</v>
      </c>
      <c r="T476" s="21">
        <f>IF(A476="","",O476+Q476+R476+IF(S476="",0,S476))</f>
        <v>0</v>
      </c>
      <c r="U476" s="21">
        <f>IF(A476="","",J476-T476)</f>
        <v>0</v>
      </c>
      <c r="V476" s="38">
        <f>IF(OR(A476="",J476=0),"",U476/J476)</f>
        <v>0</v>
      </c>
      <c r="W476" s="21">
        <f>IF(OR(A476="",M476=0,J476=0),"",U476/M476)</f>
        <v>0</v>
      </c>
      <c r="X476" s="34">
        <f>IF(OR(A476="",L476="",L476=0,K476=""),"",L476-K476)</f>
        <v>0</v>
      </c>
      <c r="Y476" s="31">
        <f>IF(A476="","",COUNTIFS($U$5:$U$604,"&gt;"&amp;U476)+COUNTIFS($U$5:U476,U476))</f>
        <v>0</v>
      </c>
      <c r="Z476" s="31">
        <f>IF(A476="","",COUNTIFS($W$5:$W$604,"&gt;"&amp;W476)+COUNTIFS($W$5:W476,W476))</f>
        <v>0</v>
      </c>
      <c r="AA476" s="39">
        <f>IF(A476="","",IF(J476=0,"",IF(U476&lt;0,"Loss - this job cost you money",IF(V476&lt;MarginFloor,"Below - margin under the floor",IF(V476&lt;TargetMargin,"Check - under target margin",IF(AND(X476&lt;&gt;"",X476&gt;0.5),"Check - ran over the estimate","OK"))))))</f>
        <v>0</v>
      </c>
    </row>
    <row r="477" spans="1:27">
      <c r="A477" s="43">
        <f>IF(IFERROR(INDEX(Jobs!$A$5:$A$604,ROW()-4),"")="","",IFERROR(INDEX(Jobs!$A$5:$A$604,ROW()-4),""))</f>
        <v>0</v>
      </c>
      <c r="B477" s="18">
        <f>IF(A477="","",IFERROR(INDEX(Jobs!$B$5:$B$604,MATCH(A477,Jobs!$A$5:$A$604,0)),""))</f>
        <v>0</v>
      </c>
      <c r="C477" s="23">
        <f>IF(B477="","",TEXT(B477,"yyyy-mm"))</f>
        <v>0</v>
      </c>
      <c r="D477" s="43">
        <f>IF(A477="","",IFERROR(INDEX(Jobs!$G$5:$G$604,MATCH(A477,Jobs!$A$5:$A$604,0)),""))</f>
        <v>0</v>
      </c>
      <c r="E477" s="23">
        <f>IF(A477="","",IFERROR(INDEX(Jobs!$H$5:$H$604,MATCH(A477,Jobs!$A$5:$A$604,0)),""))</f>
        <v>0</v>
      </c>
      <c r="F477" s="23">
        <f>IF(A477="","",IFERROR(INDEX(Jobs!$K$5:$K$604,MATCH(A477,Jobs!$A$5:$A$604,0)),""))</f>
        <v>0</v>
      </c>
      <c r="G477" s="23">
        <f>IF(A477="","",IFERROR(INDEX(Jobs!$M$5:$M$604,MATCH(A477,Jobs!$A$5:$A$604,0)),""))</f>
        <v>0</v>
      </c>
      <c r="H477" s="23">
        <f>IF(A477="","",IFERROR(INDEX(Jobs!$R$5:$R$604,MATCH(A477,Jobs!$A$5:$A$604,0)),""))</f>
        <v>0</v>
      </c>
      <c r="I477" s="39">
        <f>IF(A477="","",IFERROR(INDEX(Jobs!$P$5:$P$604,MATCH(A477,Jobs!$A$5:$A$604,0)),""))</f>
        <v>0</v>
      </c>
      <c r="J477" s="21">
        <f>IF(A477="","",IF(OR(I477="Completed",I477="Invoiced"),IFERROR(INDEX(Jobs!$AJ$5:$AJ$604,MATCH(A477,Jobs!$A$5:$A$604,0)),0),0))</f>
        <v>0</v>
      </c>
      <c r="K477" s="34">
        <f>IF(A477="","",IFERROR(INDEX(Jobs!$AD$5:$AD$604,MATCH(A477,Jobs!$A$5:$A$604,0)),0))</f>
        <v>0</v>
      </c>
      <c r="L477" s="34">
        <f>IF(A477="","",IFERROR(INDEX(Jobs!$AK$5:$AK$604,MATCH(A477,Jobs!$A$5:$A$604,0)),0))</f>
        <v>0</v>
      </c>
      <c r="M477" s="34">
        <f>IF(A477="","",IF(IFERROR(L477*1,0)&gt;0,L477,IFERROR(K477*1,0)))</f>
        <v>0</v>
      </c>
      <c r="N477" s="21">
        <f>IF(A477="","",SUMIFS(Timesheets!$X$5:$X$804,Timesheets!$G$5:$G$804,A477))</f>
        <v>0</v>
      </c>
      <c r="O477" s="21">
        <f>IF(A477="","",IF(N477&gt;0,N477,ROUND(M477*CostPerHour,2)))</f>
        <v>0</v>
      </c>
      <c r="P477" s="21">
        <f>IF(A477="","",SUMIFS('Supply Usage'!$L$5:$L$304,'Supply Usage'!$F$5:$F$304,A477))</f>
        <v>0</v>
      </c>
      <c r="Q477" s="21">
        <f>IF(A477="","",IF(P477&gt;0,P477,ROUND(M477*SuppliesPerHour,2)))</f>
        <v>0</v>
      </c>
      <c r="R477" s="21">
        <f>IF(A477="","",ROUND(IFERROR(INDEX(Jobs!$W$5:$W$604,MATCH(A477,Jobs!$A$5:$A$604,0)),0)*MileageRate,2))</f>
        <v>0</v>
      </c>
      <c r="T477" s="21">
        <f>IF(A477="","",O477+Q477+R477+IF(S477="",0,S477))</f>
        <v>0</v>
      </c>
      <c r="U477" s="21">
        <f>IF(A477="","",J477-T477)</f>
        <v>0</v>
      </c>
      <c r="V477" s="38">
        <f>IF(OR(A477="",J477=0),"",U477/J477)</f>
        <v>0</v>
      </c>
      <c r="W477" s="21">
        <f>IF(OR(A477="",M477=0,J477=0),"",U477/M477)</f>
        <v>0</v>
      </c>
      <c r="X477" s="34">
        <f>IF(OR(A477="",L477="",L477=0,K477=""),"",L477-K477)</f>
        <v>0</v>
      </c>
      <c r="Y477" s="31">
        <f>IF(A477="","",COUNTIFS($U$5:$U$604,"&gt;"&amp;U477)+COUNTIFS($U$5:U477,U477))</f>
        <v>0</v>
      </c>
      <c r="Z477" s="31">
        <f>IF(A477="","",COUNTIFS($W$5:$W$604,"&gt;"&amp;W477)+COUNTIFS($W$5:W477,W477))</f>
        <v>0</v>
      </c>
      <c r="AA477" s="39">
        <f>IF(A477="","",IF(J477=0,"",IF(U477&lt;0,"Loss - this job cost you money",IF(V477&lt;MarginFloor,"Below - margin under the floor",IF(V477&lt;TargetMargin,"Check - under target margin",IF(AND(X477&lt;&gt;"",X477&gt;0.5),"Check - ran over the estimate","OK"))))))</f>
        <v>0</v>
      </c>
    </row>
    <row r="478" spans="1:27">
      <c r="A478" s="43">
        <f>IF(IFERROR(INDEX(Jobs!$A$5:$A$604,ROW()-4),"")="","",IFERROR(INDEX(Jobs!$A$5:$A$604,ROW()-4),""))</f>
        <v>0</v>
      </c>
      <c r="B478" s="18">
        <f>IF(A478="","",IFERROR(INDEX(Jobs!$B$5:$B$604,MATCH(A478,Jobs!$A$5:$A$604,0)),""))</f>
        <v>0</v>
      </c>
      <c r="C478" s="23">
        <f>IF(B478="","",TEXT(B478,"yyyy-mm"))</f>
        <v>0</v>
      </c>
      <c r="D478" s="43">
        <f>IF(A478="","",IFERROR(INDEX(Jobs!$G$5:$G$604,MATCH(A478,Jobs!$A$5:$A$604,0)),""))</f>
        <v>0</v>
      </c>
      <c r="E478" s="23">
        <f>IF(A478="","",IFERROR(INDEX(Jobs!$H$5:$H$604,MATCH(A478,Jobs!$A$5:$A$604,0)),""))</f>
        <v>0</v>
      </c>
      <c r="F478" s="23">
        <f>IF(A478="","",IFERROR(INDEX(Jobs!$K$5:$K$604,MATCH(A478,Jobs!$A$5:$A$604,0)),""))</f>
        <v>0</v>
      </c>
      <c r="G478" s="23">
        <f>IF(A478="","",IFERROR(INDEX(Jobs!$M$5:$M$604,MATCH(A478,Jobs!$A$5:$A$604,0)),""))</f>
        <v>0</v>
      </c>
      <c r="H478" s="23">
        <f>IF(A478="","",IFERROR(INDEX(Jobs!$R$5:$R$604,MATCH(A478,Jobs!$A$5:$A$604,0)),""))</f>
        <v>0</v>
      </c>
      <c r="I478" s="39">
        <f>IF(A478="","",IFERROR(INDEX(Jobs!$P$5:$P$604,MATCH(A478,Jobs!$A$5:$A$604,0)),""))</f>
        <v>0</v>
      </c>
      <c r="J478" s="21">
        <f>IF(A478="","",IF(OR(I478="Completed",I478="Invoiced"),IFERROR(INDEX(Jobs!$AJ$5:$AJ$604,MATCH(A478,Jobs!$A$5:$A$604,0)),0),0))</f>
        <v>0</v>
      </c>
      <c r="K478" s="34">
        <f>IF(A478="","",IFERROR(INDEX(Jobs!$AD$5:$AD$604,MATCH(A478,Jobs!$A$5:$A$604,0)),0))</f>
        <v>0</v>
      </c>
      <c r="L478" s="34">
        <f>IF(A478="","",IFERROR(INDEX(Jobs!$AK$5:$AK$604,MATCH(A478,Jobs!$A$5:$A$604,0)),0))</f>
        <v>0</v>
      </c>
      <c r="M478" s="34">
        <f>IF(A478="","",IF(IFERROR(L478*1,0)&gt;0,L478,IFERROR(K478*1,0)))</f>
        <v>0</v>
      </c>
      <c r="N478" s="21">
        <f>IF(A478="","",SUMIFS(Timesheets!$X$5:$X$804,Timesheets!$G$5:$G$804,A478))</f>
        <v>0</v>
      </c>
      <c r="O478" s="21">
        <f>IF(A478="","",IF(N478&gt;0,N478,ROUND(M478*CostPerHour,2)))</f>
        <v>0</v>
      </c>
      <c r="P478" s="21">
        <f>IF(A478="","",SUMIFS('Supply Usage'!$L$5:$L$304,'Supply Usage'!$F$5:$F$304,A478))</f>
        <v>0</v>
      </c>
      <c r="Q478" s="21">
        <f>IF(A478="","",IF(P478&gt;0,P478,ROUND(M478*SuppliesPerHour,2)))</f>
        <v>0</v>
      </c>
      <c r="R478" s="21">
        <f>IF(A478="","",ROUND(IFERROR(INDEX(Jobs!$W$5:$W$604,MATCH(A478,Jobs!$A$5:$A$604,0)),0)*MileageRate,2))</f>
        <v>0</v>
      </c>
      <c r="T478" s="21">
        <f>IF(A478="","",O478+Q478+R478+IF(S478="",0,S478))</f>
        <v>0</v>
      </c>
      <c r="U478" s="21">
        <f>IF(A478="","",J478-T478)</f>
        <v>0</v>
      </c>
      <c r="V478" s="38">
        <f>IF(OR(A478="",J478=0),"",U478/J478)</f>
        <v>0</v>
      </c>
      <c r="W478" s="21">
        <f>IF(OR(A478="",M478=0,J478=0),"",U478/M478)</f>
        <v>0</v>
      </c>
      <c r="X478" s="34">
        <f>IF(OR(A478="",L478="",L478=0,K478=""),"",L478-K478)</f>
        <v>0</v>
      </c>
      <c r="Y478" s="31">
        <f>IF(A478="","",COUNTIFS($U$5:$U$604,"&gt;"&amp;U478)+COUNTIFS($U$5:U478,U478))</f>
        <v>0</v>
      </c>
      <c r="Z478" s="31">
        <f>IF(A478="","",COUNTIFS($W$5:$W$604,"&gt;"&amp;W478)+COUNTIFS($W$5:W478,W478))</f>
        <v>0</v>
      </c>
      <c r="AA478" s="39">
        <f>IF(A478="","",IF(J478=0,"",IF(U478&lt;0,"Loss - this job cost you money",IF(V478&lt;MarginFloor,"Below - margin under the floor",IF(V478&lt;TargetMargin,"Check - under target margin",IF(AND(X478&lt;&gt;"",X478&gt;0.5),"Check - ran over the estimate","OK"))))))</f>
        <v>0</v>
      </c>
    </row>
    <row r="479" spans="1:27">
      <c r="A479" s="43">
        <f>IF(IFERROR(INDEX(Jobs!$A$5:$A$604,ROW()-4),"")="","",IFERROR(INDEX(Jobs!$A$5:$A$604,ROW()-4),""))</f>
        <v>0</v>
      </c>
      <c r="B479" s="18">
        <f>IF(A479="","",IFERROR(INDEX(Jobs!$B$5:$B$604,MATCH(A479,Jobs!$A$5:$A$604,0)),""))</f>
        <v>0</v>
      </c>
      <c r="C479" s="23">
        <f>IF(B479="","",TEXT(B479,"yyyy-mm"))</f>
        <v>0</v>
      </c>
      <c r="D479" s="43">
        <f>IF(A479="","",IFERROR(INDEX(Jobs!$G$5:$G$604,MATCH(A479,Jobs!$A$5:$A$604,0)),""))</f>
        <v>0</v>
      </c>
      <c r="E479" s="23">
        <f>IF(A479="","",IFERROR(INDEX(Jobs!$H$5:$H$604,MATCH(A479,Jobs!$A$5:$A$604,0)),""))</f>
        <v>0</v>
      </c>
      <c r="F479" s="23">
        <f>IF(A479="","",IFERROR(INDEX(Jobs!$K$5:$K$604,MATCH(A479,Jobs!$A$5:$A$604,0)),""))</f>
        <v>0</v>
      </c>
      <c r="G479" s="23">
        <f>IF(A479="","",IFERROR(INDEX(Jobs!$M$5:$M$604,MATCH(A479,Jobs!$A$5:$A$604,0)),""))</f>
        <v>0</v>
      </c>
      <c r="H479" s="23">
        <f>IF(A479="","",IFERROR(INDEX(Jobs!$R$5:$R$604,MATCH(A479,Jobs!$A$5:$A$604,0)),""))</f>
        <v>0</v>
      </c>
      <c r="I479" s="39">
        <f>IF(A479="","",IFERROR(INDEX(Jobs!$P$5:$P$604,MATCH(A479,Jobs!$A$5:$A$604,0)),""))</f>
        <v>0</v>
      </c>
      <c r="J479" s="21">
        <f>IF(A479="","",IF(OR(I479="Completed",I479="Invoiced"),IFERROR(INDEX(Jobs!$AJ$5:$AJ$604,MATCH(A479,Jobs!$A$5:$A$604,0)),0),0))</f>
        <v>0</v>
      </c>
      <c r="K479" s="34">
        <f>IF(A479="","",IFERROR(INDEX(Jobs!$AD$5:$AD$604,MATCH(A479,Jobs!$A$5:$A$604,0)),0))</f>
        <v>0</v>
      </c>
      <c r="L479" s="34">
        <f>IF(A479="","",IFERROR(INDEX(Jobs!$AK$5:$AK$604,MATCH(A479,Jobs!$A$5:$A$604,0)),0))</f>
        <v>0</v>
      </c>
      <c r="M479" s="34">
        <f>IF(A479="","",IF(IFERROR(L479*1,0)&gt;0,L479,IFERROR(K479*1,0)))</f>
        <v>0</v>
      </c>
      <c r="N479" s="21">
        <f>IF(A479="","",SUMIFS(Timesheets!$X$5:$X$804,Timesheets!$G$5:$G$804,A479))</f>
        <v>0</v>
      </c>
      <c r="O479" s="21">
        <f>IF(A479="","",IF(N479&gt;0,N479,ROUND(M479*CostPerHour,2)))</f>
        <v>0</v>
      </c>
      <c r="P479" s="21">
        <f>IF(A479="","",SUMIFS('Supply Usage'!$L$5:$L$304,'Supply Usage'!$F$5:$F$304,A479))</f>
        <v>0</v>
      </c>
      <c r="Q479" s="21">
        <f>IF(A479="","",IF(P479&gt;0,P479,ROUND(M479*SuppliesPerHour,2)))</f>
        <v>0</v>
      </c>
      <c r="R479" s="21">
        <f>IF(A479="","",ROUND(IFERROR(INDEX(Jobs!$W$5:$W$604,MATCH(A479,Jobs!$A$5:$A$604,0)),0)*MileageRate,2))</f>
        <v>0</v>
      </c>
      <c r="T479" s="21">
        <f>IF(A479="","",O479+Q479+R479+IF(S479="",0,S479))</f>
        <v>0</v>
      </c>
      <c r="U479" s="21">
        <f>IF(A479="","",J479-T479)</f>
        <v>0</v>
      </c>
      <c r="V479" s="38">
        <f>IF(OR(A479="",J479=0),"",U479/J479)</f>
        <v>0</v>
      </c>
      <c r="W479" s="21">
        <f>IF(OR(A479="",M479=0,J479=0),"",U479/M479)</f>
        <v>0</v>
      </c>
      <c r="X479" s="34">
        <f>IF(OR(A479="",L479="",L479=0,K479=""),"",L479-K479)</f>
        <v>0</v>
      </c>
      <c r="Y479" s="31">
        <f>IF(A479="","",COUNTIFS($U$5:$U$604,"&gt;"&amp;U479)+COUNTIFS($U$5:U479,U479))</f>
        <v>0</v>
      </c>
      <c r="Z479" s="31">
        <f>IF(A479="","",COUNTIFS($W$5:$W$604,"&gt;"&amp;W479)+COUNTIFS($W$5:W479,W479))</f>
        <v>0</v>
      </c>
      <c r="AA479" s="39">
        <f>IF(A479="","",IF(J479=0,"",IF(U479&lt;0,"Loss - this job cost you money",IF(V479&lt;MarginFloor,"Below - margin under the floor",IF(V479&lt;TargetMargin,"Check - under target margin",IF(AND(X479&lt;&gt;"",X479&gt;0.5),"Check - ran over the estimate","OK"))))))</f>
        <v>0</v>
      </c>
    </row>
    <row r="480" spans="1:27">
      <c r="A480" s="43">
        <f>IF(IFERROR(INDEX(Jobs!$A$5:$A$604,ROW()-4),"")="","",IFERROR(INDEX(Jobs!$A$5:$A$604,ROW()-4),""))</f>
        <v>0</v>
      </c>
      <c r="B480" s="18">
        <f>IF(A480="","",IFERROR(INDEX(Jobs!$B$5:$B$604,MATCH(A480,Jobs!$A$5:$A$604,0)),""))</f>
        <v>0</v>
      </c>
      <c r="C480" s="23">
        <f>IF(B480="","",TEXT(B480,"yyyy-mm"))</f>
        <v>0</v>
      </c>
      <c r="D480" s="43">
        <f>IF(A480="","",IFERROR(INDEX(Jobs!$G$5:$G$604,MATCH(A480,Jobs!$A$5:$A$604,0)),""))</f>
        <v>0</v>
      </c>
      <c r="E480" s="23">
        <f>IF(A480="","",IFERROR(INDEX(Jobs!$H$5:$H$604,MATCH(A480,Jobs!$A$5:$A$604,0)),""))</f>
        <v>0</v>
      </c>
      <c r="F480" s="23">
        <f>IF(A480="","",IFERROR(INDEX(Jobs!$K$5:$K$604,MATCH(A480,Jobs!$A$5:$A$604,0)),""))</f>
        <v>0</v>
      </c>
      <c r="G480" s="23">
        <f>IF(A480="","",IFERROR(INDEX(Jobs!$M$5:$M$604,MATCH(A480,Jobs!$A$5:$A$604,0)),""))</f>
        <v>0</v>
      </c>
      <c r="H480" s="23">
        <f>IF(A480="","",IFERROR(INDEX(Jobs!$R$5:$R$604,MATCH(A480,Jobs!$A$5:$A$604,0)),""))</f>
        <v>0</v>
      </c>
      <c r="I480" s="39">
        <f>IF(A480="","",IFERROR(INDEX(Jobs!$P$5:$P$604,MATCH(A480,Jobs!$A$5:$A$604,0)),""))</f>
        <v>0</v>
      </c>
      <c r="J480" s="21">
        <f>IF(A480="","",IF(OR(I480="Completed",I480="Invoiced"),IFERROR(INDEX(Jobs!$AJ$5:$AJ$604,MATCH(A480,Jobs!$A$5:$A$604,0)),0),0))</f>
        <v>0</v>
      </c>
      <c r="K480" s="34">
        <f>IF(A480="","",IFERROR(INDEX(Jobs!$AD$5:$AD$604,MATCH(A480,Jobs!$A$5:$A$604,0)),0))</f>
        <v>0</v>
      </c>
      <c r="L480" s="34">
        <f>IF(A480="","",IFERROR(INDEX(Jobs!$AK$5:$AK$604,MATCH(A480,Jobs!$A$5:$A$604,0)),0))</f>
        <v>0</v>
      </c>
      <c r="M480" s="34">
        <f>IF(A480="","",IF(IFERROR(L480*1,0)&gt;0,L480,IFERROR(K480*1,0)))</f>
        <v>0</v>
      </c>
      <c r="N480" s="21">
        <f>IF(A480="","",SUMIFS(Timesheets!$X$5:$X$804,Timesheets!$G$5:$G$804,A480))</f>
        <v>0</v>
      </c>
      <c r="O480" s="21">
        <f>IF(A480="","",IF(N480&gt;0,N480,ROUND(M480*CostPerHour,2)))</f>
        <v>0</v>
      </c>
      <c r="P480" s="21">
        <f>IF(A480="","",SUMIFS('Supply Usage'!$L$5:$L$304,'Supply Usage'!$F$5:$F$304,A480))</f>
        <v>0</v>
      </c>
      <c r="Q480" s="21">
        <f>IF(A480="","",IF(P480&gt;0,P480,ROUND(M480*SuppliesPerHour,2)))</f>
        <v>0</v>
      </c>
      <c r="R480" s="21">
        <f>IF(A480="","",ROUND(IFERROR(INDEX(Jobs!$W$5:$W$604,MATCH(A480,Jobs!$A$5:$A$604,0)),0)*MileageRate,2))</f>
        <v>0</v>
      </c>
      <c r="T480" s="21">
        <f>IF(A480="","",O480+Q480+R480+IF(S480="",0,S480))</f>
        <v>0</v>
      </c>
      <c r="U480" s="21">
        <f>IF(A480="","",J480-T480)</f>
        <v>0</v>
      </c>
      <c r="V480" s="38">
        <f>IF(OR(A480="",J480=0),"",U480/J480)</f>
        <v>0</v>
      </c>
      <c r="W480" s="21">
        <f>IF(OR(A480="",M480=0,J480=0),"",U480/M480)</f>
        <v>0</v>
      </c>
      <c r="X480" s="34">
        <f>IF(OR(A480="",L480="",L480=0,K480=""),"",L480-K480)</f>
        <v>0</v>
      </c>
      <c r="Y480" s="31">
        <f>IF(A480="","",COUNTIFS($U$5:$U$604,"&gt;"&amp;U480)+COUNTIFS($U$5:U480,U480))</f>
        <v>0</v>
      </c>
      <c r="Z480" s="31">
        <f>IF(A480="","",COUNTIFS($W$5:$W$604,"&gt;"&amp;W480)+COUNTIFS($W$5:W480,W480))</f>
        <v>0</v>
      </c>
      <c r="AA480" s="39">
        <f>IF(A480="","",IF(J480=0,"",IF(U480&lt;0,"Loss - this job cost you money",IF(V480&lt;MarginFloor,"Below - margin under the floor",IF(V480&lt;TargetMargin,"Check - under target margin",IF(AND(X480&lt;&gt;"",X480&gt;0.5),"Check - ran over the estimate","OK"))))))</f>
        <v>0</v>
      </c>
    </row>
    <row r="481" spans="1:27">
      <c r="A481" s="43">
        <f>IF(IFERROR(INDEX(Jobs!$A$5:$A$604,ROW()-4),"")="","",IFERROR(INDEX(Jobs!$A$5:$A$604,ROW()-4),""))</f>
        <v>0</v>
      </c>
      <c r="B481" s="18">
        <f>IF(A481="","",IFERROR(INDEX(Jobs!$B$5:$B$604,MATCH(A481,Jobs!$A$5:$A$604,0)),""))</f>
        <v>0</v>
      </c>
      <c r="C481" s="23">
        <f>IF(B481="","",TEXT(B481,"yyyy-mm"))</f>
        <v>0</v>
      </c>
      <c r="D481" s="43">
        <f>IF(A481="","",IFERROR(INDEX(Jobs!$G$5:$G$604,MATCH(A481,Jobs!$A$5:$A$604,0)),""))</f>
        <v>0</v>
      </c>
      <c r="E481" s="23">
        <f>IF(A481="","",IFERROR(INDEX(Jobs!$H$5:$H$604,MATCH(A481,Jobs!$A$5:$A$604,0)),""))</f>
        <v>0</v>
      </c>
      <c r="F481" s="23">
        <f>IF(A481="","",IFERROR(INDEX(Jobs!$K$5:$K$604,MATCH(A481,Jobs!$A$5:$A$604,0)),""))</f>
        <v>0</v>
      </c>
      <c r="G481" s="23">
        <f>IF(A481="","",IFERROR(INDEX(Jobs!$M$5:$M$604,MATCH(A481,Jobs!$A$5:$A$604,0)),""))</f>
        <v>0</v>
      </c>
      <c r="H481" s="23">
        <f>IF(A481="","",IFERROR(INDEX(Jobs!$R$5:$R$604,MATCH(A481,Jobs!$A$5:$A$604,0)),""))</f>
        <v>0</v>
      </c>
      <c r="I481" s="39">
        <f>IF(A481="","",IFERROR(INDEX(Jobs!$P$5:$P$604,MATCH(A481,Jobs!$A$5:$A$604,0)),""))</f>
        <v>0</v>
      </c>
      <c r="J481" s="21">
        <f>IF(A481="","",IF(OR(I481="Completed",I481="Invoiced"),IFERROR(INDEX(Jobs!$AJ$5:$AJ$604,MATCH(A481,Jobs!$A$5:$A$604,0)),0),0))</f>
        <v>0</v>
      </c>
      <c r="K481" s="34">
        <f>IF(A481="","",IFERROR(INDEX(Jobs!$AD$5:$AD$604,MATCH(A481,Jobs!$A$5:$A$604,0)),0))</f>
        <v>0</v>
      </c>
      <c r="L481" s="34">
        <f>IF(A481="","",IFERROR(INDEX(Jobs!$AK$5:$AK$604,MATCH(A481,Jobs!$A$5:$A$604,0)),0))</f>
        <v>0</v>
      </c>
      <c r="M481" s="34">
        <f>IF(A481="","",IF(IFERROR(L481*1,0)&gt;0,L481,IFERROR(K481*1,0)))</f>
        <v>0</v>
      </c>
      <c r="N481" s="21">
        <f>IF(A481="","",SUMIFS(Timesheets!$X$5:$X$804,Timesheets!$G$5:$G$804,A481))</f>
        <v>0</v>
      </c>
      <c r="O481" s="21">
        <f>IF(A481="","",IF(N481&gt;0,N481,ROUND(M481*CostPerHour,2)))</f>
        <v>0</v>
      </c>
      <c r="P481" s="21">
        <f>IF(A481="","",SUMIFS('Supply Usage'!$L$5:$L$304,'Supply Usage'!$F$5:$F$304,A481))</f>
        <v>0</v>
      </c>
      <c r="Q481" s="21">
        <f>IF(A481="","",IF(P481&gt;0,P481,ROUND(M481*SuppliesPerHour,2)))</f>
        <v>0</v>
      </c>
      <c r="R481" s="21">
        <f>IF(A481="","",ROUND(IFERROR(INDEX(Jobs!$W$5:$W$604,MATCH(A481,Jobs!$A$5:$A$604,0)),0)*MileageRate,2))</f>
        <v>0</v>
      </c>
      <c r="T481" s="21">
        <f>IF(A481="","",O481+Q481+R481+IF(S481="",0,S481))</f>
        <v>0</v>
      </c>
      <c r="U481" s="21">
        <f>IF(A481="","",J481-T481)</f>
        <v>0</v>
      </c>
      <c r="V481" s="38">
        <f>IF(OR(A481="",J481=0),"",U481/J481)</f>
        <v>0</v>
      </c>
      <c r="W481" s="21">
        <f>IF(OR(A481="",M481=0,J481=0),"",U481/M481)</f>
        <v>0</v>
      </c>
      <c r="X481" s="34">
        <f>IF(OR(A481="",L481="",L481=0,K481=""),"",L481-K481)</f>
        <v>0</v>
      </c>
      <c r="Y481" s="31">
        <f>IF(A481="","",COUNTIFS($U$5:$U$604,"&gt;"&amp;U481)+COUNTIFS($U$5:U481,U481))</f>
        <v>0</v>
      </c>
      <c r="Z481" s="31">
        <f>IF(A481="","",COUNTIFS($W$5:$W$604,"&gt;"&amp;W481)+COUNTIFS($W$5:W481,W481))</f>
        <v>0</v>
      </c>
      <c r="AA481" s="39">
        <f>IF(A481="","",IF(J481=0,"",IF(U481&lt;0,"Loss - this job cost you money",IF(V481&lt;MarginFloor,"Below - margin under the floor",IF(V481&lt;TargetMargin,"Check - under target margin",IF(AND(X481&lt;&gt;"",X481&gt;0.5),"Check - ran over the estimate","OK"))))))</f>
        <v>0</v>
      </c>
    </row>
    <row r="482" spans="1:27">
      <c r="A482" s="43">
        <f>IF(IFERROR(INDEX(Jobs!$A$5:$A$604,ROW()-4),"")="","",IFERROR(INDEX(Jobs!$A$5:$A$604,ROW()-4),""))</f>
        <v>0</v>
      </c>
      <c r="B482" s="18">
        <f>IF(A482="","",IFERROR(INDEX(Jobs!$B$5:$B$604,MATCH(A482,Jobs!$A$5:$A$604,0)),""))</f>
        <v>0</v>
      </c>
      <c r="C482" s="23">
        <f>IF(B482="","",TEXT(B482,"yyyy-mm"))</f>
        <v>0</v>
      </c>
      <c r="D482" s="43">
        <f>IF(A482="","",IFERROR(INDEX(Jobs!$G$5:$G$604,MATCH(A482,Jobs!$A$5:$A$604,0)),""))</f>
        <v>0</v>
      </c>
      <c r="E482" s="23">
        <f>IF(A482="","",IFERROR(INDEX(Jobs!$H$5:$H$604,MATCH(A482,Jobs!$A$5:$A$604,0)),""))</f>
        <v>0</v>
      </c>
      <c r="F482" s="23">
        <f>IF(A482="","",IFERROR(INDEX(Jobs!$K$5:$K$604,MATCH(A482,Jobs!$A$5:$A$604,0)),""))</f>
        <v>0</v>
      </c>
      <c r="G482" s="23">
        <f>IF(A482="","",IFERROR(INDEX(Jobs!$M$5:$M$604,MATCH(A482,Jobs!$A$5:$A$604,0)),""))</f>
        <v>0</v>
      </c>
      <c r="H482" s="23">
        <f>IF(A482="","",IFERROR(INDEX(Jobs!$R$5:$R$604,MATCH(A482,Jobs!$A$5:$A$604,0)),""))</f>
        <v>0</v>
      </c>
      <c r="I482" s="39">
        <f>IF(A482="","",IFERROR(INDEX(Jobs!$P$5:$P$604,MATCH(A482,Jobs!$A$5:$A$604,0)),""))</f>
        <v>0</v>
      </c>
      <c r="J482" s="21">
        <f>IF(A482="","",IF(OR(I482="Completed",I482="Invoiced"),IFERROR(INDEX(Jobs!$AJ$5:$AJ$604,MATCH(A482,Jobs!$A$5:$A$604,0)),0),0))</f>
        <v>0</v>
      </c>
      <c r="K482" s="34">
        <f>IF(A482="","",IFERROR(INDEX(Jobs!$AD$5:$AD$604,MATCH(A482,Jobs!$A$5:$A$604,0)),0))</f>
        <v>0</v>
      </c>
      <c r="L482" s="34">
        <f>IF(A482="","",IFERROR(INDEX(Jobs!$AK$5:$AK$604,MATCH(A482,Jobs!$A$5:$A$604,0)),0))</f>
        <v>0</v>
      </c>
      <c r="M482" s="34">
        <f>IF(A482="","",IF(IFERROR(L482*1,0)&gt;0,L482,IFERROR(K482*1,0)))</f>
        <v>0</v>
      </c>
      <c r="N482" s="21">
        <f>IF(A482="","",SUMIFS(Timesheets!$X$5:$X$804,Timesheets!$G$5:$G$804,A482))</f>
        <v>0</v>
      </c>
      <c r="O482" s="21">
        <f>IF(A482="","",IF(N482&gt;0,N482,ROUND(M482*CostPerHour,2)))</f>
        <v>0</v>
      </c>
      <c r="P482" s="21">
        <f>IF(A482="","",SUMIFS('Supply Usage'!$L$5:$L$304,'Supply Usage'!$F$5:$F$304,A482))</f>
        <v>0</v>
      </c>
      <c r="Q482" s="21">
        <f>IF(A482="","",IF(P482&gt;0,P482,ROUND(M482*SuppliesPerHour,2)))</f>
        <v>0</v>
      </c>
      <c r="R482" s="21">
        <f>IF(A482="","",ROUND(IFERROR(INDEX(Jobs!$W$5:$W$604,MATCH(A482,Jobs!$A$5:$A$604,0)),0)*MileageRate,2))</f>
        <v>0</v>
      </c>
      <c r="T482" s="21">
        <f>IF(A482="","",O482+Q482+R482+IF(S482="",0,S482))</f>
        <v>0</v>
      </c>
      <c r="U482" s="21">
        <f>IF(A482="","",J482-T482)</f>
        <v>0</v>
      </c>
      <c r="V482" s="38">
        <f>IF(OR(A482="",J482=0),"",U482/J482)</f>
        <v>0</v>
      </c>
      <c r="W482" s="21">
        <f>IF(OR(A482="",M482=0,J482=0),"",U482/M482)</f>
        <v>0</v>
      </c>
      <c r="X482" s="34">
        <f>IF(OR(A482="",L482="",L482=0,K482=""),"",L482-K482)</f>
        <v>0</v>
      </c>
      <c r="Y482" s="31">
        <f>IF(A482="","",COUNTIFS($U$5:$U$604,"&gt;"&amp;U482)+COUNTIFS($U$5:U482,U482))</f>
        <v>0</v>
      </c>
      <c r="Z482" s="31">
        <f>IF(A482="","",COUNTIFS($W$5:$W$604,"&gt;"&amp;W482)+COUNTIFS($W$5:W482,W482))</f>
        <v>0</v>
      </c>
      <c r="AA482" s="39">
        <f>IF(A482="","",IF(J482=0,"",IF(U482&lt;0,"Loss - this job cost you money",IF(V482&lt;MarginFloor,"Below - margin under the floor",IF(V482&lt;TargetMargin,"Check - under target margin",IF(AND(X482&lt;&gt;"",X482&gt;0.5),"Check - ran over the estimate","OK"))))))</f>
        <v>0</v>
      </c>
    </row>
    <row r="483" spans="1:27">
      <c r="A483" s="43">
        <f>IF(IFERROR(INDEX(Jobs!$A$5:$A$604,ROW()-4),"")="","",IFERROR(INDEX(Jobs!$A$5:$A$604,ROW()-4),""))</f>
        <v>0</v>
      </c>
      <c r="B483" s="18">
        <f>IF(A483="","",IFERROR(INDEX(Jobs!$B$5:$B$604,MATCH(A483,Jobs!$A$5:$A$604,0)),""))</f>
        <v>0</v>
      </c>
      <c r="C483" s="23">
        <f>IF(B483="","",TEXT(B483,"yyyy-mm"))</f>
        <v>0</v>
      </c>
      <c r="D483" s="43">
        <f>IF(A483="","",IFERROR(INDEX(Jobs!$G$5:$G$604,MATCH(A483,Jobs!$A$5:$A$604,0)),""))</f>
        <v>0</v>
      </c>
      <c r="E483" s="23">
        <f>IF(A483="","",IFERROR(INDEX(Jobs!$H$5:$H$604,MATCH(A483,Jobs!$A$5:$A$604,0)),""))</f>
        <v>0</v>
      </c>
      <c r="F483" s="23">
        <f>IF(A483="","",IFERROR(INDEX(Jobs!$K$5:$K$604,MATCH(A483,Jobs!$A$5:$A$604,0)),""))</f>
        <v>0</v>
      </c>
      <c r="G483" s="23">
        <f>IF(A483="","",IFERROR(INDEX(Jobs!$M$5:$M$604,MATCH(A483,Jobs!$A$5:$A$604,0)),""))</f>
        <v>0</v>
      </c>
      <c r="H483" s="23">
        <f>IF(A483="","",IFERROR(INDEX(Jobs!$R$5:$R$604,MATCH(A483,Jobs!$A$5:$A$604,0)),""))</f>
        <v>0</v>
      </c>
      <c r="I483" s="39">
        <f>IF(A483="","",IFERROR(INDEX(Jobs!$P$5:$P$604,MATCH(A483,Jobs!$A$5:$A$604,0)),""))</f>
        <v>0</v>
      </c>
      <c r="J483" s="21">
        <f>IF(A483="","",IF(OR(I483="Completed",I483="Invoiced"),IFERROR(INDEX(Jobs!$AJ$5:$AJ$604,MATCH(A483,Jobs!$A$5:$A$604,0)),0),0))</f>
        <v>0</v>
      </c>
      <c r="K483" s="34">
        <f>IF(A483="","",IFERROR(INDEX(Jobs!$AD$5:$AD$604,MATCH(A483,Jobs!$A$5:$A$604,0)),0))</f>
        <v>0</v>
      </c>
      <c r="L483" s="34">
        <f>IF(A483="","",IFERROR(INDEX(Jobs!$AK$5:$AK$604,MATCH(A483,Jobs!$A$5:$A$604,0)),0))</f>
        <v>0</v>
      </c>
      <c r="M483" s="34">
        <f>IF(A483="","",IF(IFERROR(L483*1,0)&gt;0,L483,IFERROR(K483*1,0)))</f>
        <v>0</v>
      </c>
      <c r="N483" s="21">
        <f>IF(A483="","",SUMIFS(Timesheets!$X$5:$X$804,Timesheets!$G$5:$G$804,A483))</f>
        <v>0</v>
      </c>
      <c r="O483" s="21">
        <f>IF(A483="","",IF(N483&gt;0,N483,ROUND(M483*CostPerHour,2)))</f>
        <v>0</v>
      </c>
      <c r="P483" s="21">
        <f>IF(A483="","",SUMIFS('Supply Usage'!$L$5:$L$304,'Supply Usage'!$F$5:$F$304,A483))</f>
        <v>0</v>
      </c>
      <c r="Q483" s="21">
        <f>IF(A483="","",IF(P483&gt;0,P483,ROUND(M483*SuppliesPerHour,2)))</f>
        <v>0</v>
      </c>
      <c r="R483" s="21">
        <f>IF(A483="","",ROUND(IFERROR(INDEX(Jobs!$W$5:$W$604,MATCH(A483,Jobs!$A$5:$A$604,0)),0)*MileageRate,2))</f>
        <v>0</v>
      </c>
      <c r="T483" s="21">
        <f>IF(A483="","",O483+Q483+R483+IF(S483="",0,S483))</f>
        <v>0</v>
      </c>
      <c r="U483" s="21">
        <f>IF(A483="","",J483-T483)</f>
        <v>0</v>
      </c>
      <c r="V483" s="38">
        <f>IF(OR(A483="",J483=0),"",U483/J483)</f>
        <v>0</v>
      </c>
      <c r="W483" s="21">
        <f>IF(OR(A483="",M483=0,J483=0),"",U483/M483)</f>
        <v>0</v>
      </c>
      <c r="X483" s="34">
        <f>IF(OR(A483="",L483="",L483=0,K483=""),"",L483-K483)</f>
        <v>0</v>
      </c>
      <c r="Y483" s="31">
        <f>IF(A483="","",COUNTIFS($U$5:$U$604,"&gt;"&amp;U483)+COUNTIFS($U$5:U483,U483))</f>
        <v>0</v>
      </c>
      <c r="Z483" s="31">
        <f>IF(A483="","",COUNTIFS($W$5:$W$604,"&gt;"&amp;W483)+COUNTIFS($W$5:W483,W483))</f>
        <v>0</v>
      </c>
      <c r="AA483" s="39">
        <f>IF(A483="","",IF(J483=0,"",IF(U483&lt;0,"Loss - this job cost you money",IF(V483&lt;MarginFloor,"Below - margin under the floor",IF(V483&lt;TargetMargin,"Check - under target margin",IF(AND(X483&lt;&gt;"",X483&gt;0.5),"Check - ran over the estimate","OK"))))))</f>
        <v>0</v>
      </c>
    </row>
    <row r="484" spans="1:27">
      <c r="A484" s="43">
        <f>IF(IFERROR(INDEX(Jobs!$A$5:$A$604,ROW()-4),"")="","",IFERROR(INDEX(Jobs!$A$5:$A$604,ROW()-4),""))</f>
        <v>0</v>
      </c>
      <c r="B484" s="18">
        <f>IF(A484="","",IFERROR(INDEX(Jobs!$B$5:$B$604,MATCH(A484,Jobs!$A$5:$A$604,0)),""))</f>
        <v>0</v>
      </c>
      <c r="C484" s="23">
        <f>IF(B484="","",TEXT(B484,"yyyy-mm"))</f>
        <v>0</v>
      </c>
      <c r="D484" s="43">
        <f>IF(A484="","",IFERROR(INDEX(Jobs!$G$5:$G$604,MATCH(A484,Jobs!$A$5:$A$604,0)),""))</f>
        <v>0</v>
      </c>
      <c r="E484" s="23">
        <f>IF(A484="","",IFERROR(INDEX(Jobs!$H$5:$H$604,MATCH(A484,Jobs!$A$5:$A$604,0)),""))</f>
        <v>0</v>
      </c>
      <c r="F484" s="23">
        <f>IF(A484="","",IFERROR(INDEX(Jobs!$K$5:$K$604,MATCH(A484,Jobs!$A$5:$A$604,0)),""))</f>
        <v>0</v>
      </c>
      <c r="G484" s="23">
        <f>IF(A484="","",IFERROR(INDEX(Jobs!$M$5:$M$604,MATCH(A484,Jobs!$A$5:$A$604,0)),""))</f>
        <v>0</v>
      </c>
      <c r="H484" s="23">
        <f>IF(A484="","",IFERROR(INDEX(Jobs!$R$5:$R$604,MATCH(A484,Jobs!$A$5:$A$604,0)),""))</f>
        <v>0</v>
      </c>
      <c r="I484" s="39">
        <f>IF(A484="","",IFERROR(INDEX(Jobs!$P$5:$P$604,MATCH(A484,Jobs!$A$5:$A$604,0)),""))</f>
        <v>0</v>
      </c>
      <c r="J484" s="21">
        <f>IF(A484="","",IF(OR(I484="Completed",I484="Invoiced"),IFERROR(INDEX(Jobs!$AJ$5:$AJ$604,MATCH(A484,Jobs!$A$5:$A$604,0)),0),0))</f>
        <v>0</v>
      </c>
      <c r="K484" s="34">
        <f>IF(A484="","",IFERROR(INDEX(Jobs!$AD$5:$AD$604,MATCH(A484,Jobs!$A$5:$A$604,0)),0))</f>
        <v>0</v>
      </c>
      <c r="L484" s="34">
        <f>IF(A484="","",IFERROR(INDEX(Jobs!$AK$5:$AK$604,MATCH(A484,Jobs!$A$5:$A$604,0)),0))</f>
        <v>0</v>
      </c>
      <c r="M484" s="34">
        <f>IF(A484="","",IF(IFERROR(L484*1,0)&gt;0,L484,IFERROR(K484*1,0)))</f>
        <v>0</v>
      </c>
      <c r="N484" s="21">
        <f>IF(A484="","",SUMIFS(Timesheets!$X$5:$X$804,Timesheets!$G$5:$G$804,A484))</f>
        <v>0</v>
      </c>
      <c r="O484" s="21">
        <f>IF(A484="","",IF(N484&gt;0,N484,ROUND(M484*CostPerHour,2)))</f>
        <v>0</v>
      </c>
      <c r="P484" s="21">
        <f>IF(A484="","",SUMIFS('Supply Usage'!$L$5:$L$304,'Supply Usage'!$F$5:$F$304,A484))</f>
        <v>0</v>
      </c>
      <c r="Q484" s="21">
        <f>IF(A484="","",IF(P484&gt;0,P484,ROUND(M484*SuppliesPerHour,2)))</f>
        <v>0</v>
      </c>
      <c r="R484" s="21">
        <f>IF(A484="","",ROUND(IFERROR(INDEX(Jobs!$W$5:$W$604,MATCH(A484,Jobs!$A$5:$A$604,0)),0)*MileageRate,2))</f>
        <v>0</v>
      </c>
      <c r="T484" s="21">
        <f>IF(A484="","",O484+Q484+R484+IF(S484="",0,S484))</f>
        <v>0</v>
      </c>
      <c r="U484" s="21">
        <f>IF(A484="","",J484-T484)</f>
        <v>0</v>
      </c>
      <c r="V484" s="38">
        <f>IF(OR(A484="",J484=0),"",U484/J484)</f>
        <v>0</v>
      </c>
      <c r="W484" s="21">
        <f>IF(OR(A484="",M484=0,J484=0),"",U484/M484)</f>
        <v>0</v>
      </c>
      <c r="X484" s="34">
        <f>IF(OR(A484="",L484="",L484=0,K484=""),"",L484-K484)</f>
        <v>0</v>
      </c>
      <c r="Y484" s="31">
        <f>IF(A484="","",COUNTIFS($U$5:$U$604,"&gt;"&amp;U484)+COUNTIFS($U$5:U484,U484))</f>
        <v>0</v>
      </c>
      <c r="Z484" s="31">
        <f>IF(A484="","",COUNTIFS($W$5:$W$604,"&gt;"&amp;W484)+COUNTIFS($W$5:W484,W484))</f>
        <v>0</v>
      </c>
      <c r="AA484" s="39">
        <f>IF(A484="","",IF(J484=0,"",IF(U484&lt;0,"Loss - this job cost you money",IF(V484&lt;MarginFloor,"Below - margin under the floor",IF(V484&lt;TargetMargin,"Check - under target margin",IF(AND(X484&lt;&gt;"",X484&gt;0.5),"Check - ran over the estimate","OK"))))))</f>
        <v>0</v>
      </c>
    </row>
    <row r="485" spans="1:27">
      <c r="A485" s="43">
        <f>IF(IFERROR(INDEX(Jobs!$A$5:$A$604,ROW()-4),"")="","",IFERROR(INDEX(Jobs!$A$5:$A$604,ROW()-4),""))</f>
        <v>0</v>
      </c>
      <c r="B485" s="18">
        <f>IF(A485="","",IFERROR(INDEX(Jobs!$B$5:$B$604,MATCH(A485,Jobs!$A$5:$A$604,0)),""))</f>
        <v>0</v>
      </c>
      <c r="C485" s="23">
        <f>IF(B485="","",TEXT(B485,"yyyy-mm"))</f>
        <v>0</v>
      </c>
      <c r="D485" s="43">
        <f>IF(A485="","",IFERROR(INDEX(Jobs!$G$5:$G$604,MATCH(A485,Jobs!$A$5:$A$604,0)),""))</f>
        <v>0</v>
      </c>
      <c r="E485" s="23">
        <f>IF(A485="","",IFERROR(INDEX(Jobs!$H$5:$H$604,MATCH(A485,Jobs!$A$5:$A$604,0)),""))</f>
        <v>0</v>
      </c>
      <c r="F485" s="23">
        <f>IF(A485="","",IFERROR(INDEX(Jobs!$K$5:$K$604,MATCH(A485,Jobs!$A$5:$A$604,0)),""))</f>
        <v>0</v>
      </c>
      <c r="G485" s="23">
        <f>IF(A485="","",IFERROR(INDEX(Jobs!$M$5:$M$604,MATCH(A485,Jobs!$A$5:$A$604,0)),""))</f>
        <v>0</v>
      </c>
      <c r="H485" s="23">
        <f>IF(A485="","",IFERROR(INDEX(Jobs!$R$5:$R$604,MATCH(A485,Jobs!$A$5:$A$604,0)),""))</f>
        <v>0</v>
      </c>
      <c r="I485" s="39">
        <f>IF(A485="","",IFERROR(INDEX(Jobs!$P$5:$P$604,MATCH(A485,Jobs!$A$5:$A$604,0)),""))</f>
        <v>0</v>
      </c>
      <c r="J485" s="21">
        <f>IF(A485="","",IF(OR(I485="Completed",I485="Invoiced"),IFERROR(INDEX(Jobs!$AJ$5:$AJ$604,MATCH(A485,Jobs!$A$5:$A$604,0)),0),0))</f>
        <v>0</v>
      </c>
      <c r="K485" s="34">
        <f>IF(A485="","",IFERROR(INDEX(Jobs!$AD$5:$AD$604,MATCH(A485,Jobs!$A$5:$A$604,0)),0))</f>
        <v>0</v>
      </c>
      <c r="L485" s="34">
        <f>IF(A485="","",IFERROR(INDEX(Jobs!$AK$5:$AK$604,MATCH(A485,Jobs!$A$5:$A$604,0)),0))</f>
        <v>0</v>
      </c>
      <c r="M485" s="34">
        <f>IF(A485="","",IF(IFERROR(L485*1,0)&gt;0,L485,IFERROR(K485*1,0)))</f>
        <v>0</v>
      </c>
      <c r="N485" s="21">
        <f>IF(A485="","",SUMIFS(Timesheets!$X$5:$X$804,Timesheets!$G$5:$G$804,A485))</f>
        <v>0</v>
      </c>
      <c r="O485" s="21">
        <f>IF(A485="","",IF(N485&gt;0,N485,ROUND(M485*CostPerHour,2)))</f>
        <v>0</v>
      </c>
      <c r="P485" s="21">
        <f>IF(A485="","",SUMIFS('Supply Usage'!$L$5:$L$304,'Supply Usage'!$F$5:$F$304,A485))</f>
        <v>0</v>
      </c>
      <c r="Q485" s="21">
        <f>IF(A485="","",IF(P485&gt;0,P485,ROUND(M485*SuppliesPerHour,2)))</f>
        <v>0</v>
      </c>
      <c r="R485" s="21">
        <f>IF(A485="","",ROUND(IFERROR(INDEX(Jobs!$W$5:$W$604,MATCH(A485,Jobs!$A$5:$A$604,0)),0)*MileageRate,2))</f>
        <v>0</v>
      </c>
      <c r="T485" s="21">
        <f>IF(A485="","",O485+Q485+R485+IF(S485="",0,S485))</f>
        <v>0</v>
      </c>
      <c r="U485" s="21">
        <f>IF(A485="","",J485-T485)</f>
        <v>0</v>
      </c>
      <c r="V485" s="38">
        <f>IF(OR(A485="",J485=0),"",U485/J485)</f>
        <v>0</v>
      </c>
      <c r="W485" s="21">
        <f>IF(OR(A485="",M485=0,J485=0),"",U485/M485)</f>
        <v>0</v>
      </c>
      <c r="X485" s="34">
        <f>IF(OR(A485="",L485="",L485=0,K485=""),"",L485-K485)</f>
        <v>0</v>
      </c>
      <c r="Y485" s="31">
        <f>IF(A485="","",COUNTIFS($U$5:$U$604,"&gt;"&amp;U485)+COUNTIFS($U$5:U485,U485))</f>
        <v>0</v>
      </c>
      <c r="Z485" s="31">
        <f>IF(A485="","",COUNTIFS($W$5:$W$604,"&gt;"&amp;W485)+COUNTIFS($W$5:W485,W485))</f>
        <v>0</v>
      </c>
      <c r="AA485" s="39">
        <f>IF(A485="","",IF(J485=0,"",IF(U485&lt;0,"Loss - this job cost you money",IF(V485&lt;MarginFloor,"Below - margin under the floor",IF(V485&lt;TargetMargin,"Check - under target margin",IF(AND(X485&lt;&gt;"",X485&gt;0.5),"Check - ran over the estimate","OK"))))))</f>
        <v>0</v>
      </c>
    </row>
    <row r="486" spans="1:27">
      <c r="A486" s="43">
        <f>IF(IFERROR(INDEX(Jobs!$A$5:$A$604,ROW()-4),"")="","",IFERROR(INDEX(Jobs!$A$5:$A$604,ROW()-4),""))</f>
        <v>0</v>
      </c>
      <c r="B486" s="18">
        <f>IF(A486="","",IFERROR(INDEX(Jobs!$B$5:$B$604,MATCH(A486,Jobs!$A$5:$A$604,0)),""))</f>
        <v>0</v>
      </c>
      <c r="C486" s="23">
        <f>IF(B486="","",TEXT(B486,"yyyy-mm"))</f>
        <v>0</v>
      </c>
      <c r="D486" s="43">
        <f>IF(A486="","",IFERROR(INDEX(Jobs!$G$5:$G$604,MATCH(A486,Jobs!$A$5:$A$604,0)),""))</f>
        <v>0</v>
      </c>
      <c r="E486" s="23">
        <f>IF(A486="","",IFERROR(INDEX(Jobs!$H$5:$H$604,MATCH(A486,Jobs!$A$5:$A$604,0)),""))</f>
        <v>0</v>
      </c>
      <c r="F486" s="23">
        <f>IF(A486="","",IFERROR(INDEX(Jobs!$K$5:$K$604,MATCH(A486,Jobs!$A$5:$A$604,0)),""))</f>
        <v>0</v>
      </c>
      <c r="G486" s="23">
        <f>IF(A486="","",IFERROR(INDEX(Jobs!$M$5:$M$604,MATCH(A486,Jobs!$A$5:$A$604,0)),""))</f>
        <v>0</v>
      </c>
      <c r="H486" s="23">
        <f>IF(A486="","",IFERROR(INDEX(Jobs!$R$5:$R$604,MATCH(A486,Jobs!$A$5:$A$604,0)),""))</f>
        <v>0</v>
      </c>
      <c r="I486" s="39">
        <f>IF(A486="","",IFERROR(INDEX(Jobs!$P$5:$P$604,MATCH(A486,Jobs!$A$5:$A$604,0)),""))</f>
        <v>0</v>
      </c>
      <c r="J486" s="21">
        <f>IF(A486="","",IF(OR(I486="Completed",I486="Invoiced"),IFERROR(INDEX(Jobs!$AJ$5:$AJ$604,MATCH(A486,Jobs!$A$5:$A$604,0)),0),0))</f>
        <v>0</v>
      </c>
      <c r="K486" s="34">
        <f>IF(A486="","",IFERROR(INDEX(Jobs!$AD$5:$AD$604,MATCH(A486,Jobs!$A$5:$A$604,0)),0))</f>
        <v>0</v>
      </c>
      <c r="L486" s="34">
        <f>IF(A486="","",IFERROR(INDEX(Jobs!$AK$5:$AK$604,MATCH(A486,Jobs!$A$5:$A$604,0)),0))</f>
        <v>0</v>
      </c>
      <c r="M486" s="34">
        <f>IF(A486="","",IF(IFERROR(L486*1,0)&gt;0,L486,IFERROR(K486*1,0)))</f>
        <v>0</v>
      </c>
      <c r="N486" s="21">
        <f>IF(A486="","",SUMIFS(Timesheets!$X$5:$X$804,Timesheets!$G$5:$G$804,A486))</f>
        <v>0</v>
      </c>
      <c r="O486" s="21">
        <f>IF(A486="","",IF(N486&gt;0,N486,ROUND(M486*CostPerHour,2)))</f>
        <v>0</v>
      </c>
      <c r="P486" s="21">
        <f>IF(A486="","",SUMIFS('Supply Usage'!$L$5:$L$304,'Supply Usage'!$F$5:$F$304,A486))</f>
        <v>0</v>
      </c>
      <c r="Q486" s="21">
        <f>IF(A486="","",IF(P486&gt;0,P486,ROUND(M486*SuppliesPerHour,2)))</f>
        <v>0</v>
      </c>
      <c r="R486" s="21">
        <f>IF(A486="","",ROUND(IFERROR(INDEX(Jobs!$W$5:$W$604,MATCH(A486,Jobs!$A$5:$A$604,0)),0)*MileageRate,2))</f>
        <v>0</v>
      </c>
      <c r="T486" s="21">
        <f>IF(A486="","",O486+Q486+R486+IF(S486="",0,S486))</f>
        <v>0</v>
      </c>
      <c r="U486" s="21">
        <f>IF(A486="","",J486-T486)</f>
        <v>0</v>
      </c>
      <c r="V486" s="38">
        <f>IF(OR(A486="",J486=0),"",U486/J486)</f>
        <v>0</v>
      </c>
      <c r="W486" s="21">
        <f>IF(OR(A486="",M486=0,J486=0),"",U486/M486)</f>
        <v>0</v>
      </c>
      <c r="X486" s="34">
        <f>IF(OR(A486="",L486="",L486=0,K486=""),"",L486-K486)</f>
        <v>0</v>
      </c>
      <c r="Y486" s="31">
        <f>IF(A486="","",COUNTIFS($U$5:$U$604,"&gt;"&amp;U486)+COUNTIFS($U$5:U486,U486))</f>
        <v>0</v>
      </c>
      <c r="Z486" s="31">
        <f>IF(A486="","",COUNTIFS($W$5:$W$604,"&gt;"&amp;W486)+COUNTIFS($W$5:W486,W486))</f>
        <v>0</v>
      </c>
      <c r="AA486" s="39">
        <f>IF(A486="","",IF(J486=0,"",IF(U486&lt;0,"Loss - this job cost you money",IF(V486&lt;MarginFloor,"Below - margin under the floor",IF(V486&lt;TargetMargin,"Check - under target margin",IF(AND(X486&lt;&gt;"",X486&gt;0.5),"Check - ran over the estimate","OK"))))))</f>
        <v>0</v>
      </c>
    </row>
    <row r="487" spans="1:27">
      <c r="A487" s="43">
        <f>IF(IFERROR(INDEX(Jobs!$A$5:$A$604,ROW()-4),"")="","",IFERROR(INDEX(Jobs!$A$5:$A$604,ROW()-4),""))</f>
        <v>0</v>
      </c>
      <c r="B487" s="18">
        <f>IF(A487="","",IFERROR(INDEX(Jobs!$B$5:$B$604,MATCH(A487,Jobs!$A$5:$A$604,0)),""))</f>
        <v>0</v>
      </c>
      <c r="C487" s="23">
        <f>IF(B487="","",TEXT(B487,"yyyy-mm"))</f>
        <v>0</v>
      </c>
      <c r="D487" s="43">
        <f>IF(A487="","",IFERROR(INDEX(Jobs!$G$5:$G$604,MATCH(A487,Jobs!$A$5:$A$604,0)),""))</f>
        <v>0</v>
      </c>
      <c r="E487" s="23">
        <f>IF(A487="","",IFERROR(INDEX(Jobs!$H$5:$H$604,MATCH(A487,Jobs!$A$5:$A$604,0)),""))</f>
        <v>0</v>
      </c>
      <c r="F487" s="23">
        <f>IF(A487="","",IFERROR(INDEX(Jobs!$K$5:$K$604,MATCH(A487,Jobs!$A$5:$A$604,0)),""))</f>
        <v>0</v>
      </c>
      <c r="G487" s="23">
        <f>IF(A487="","",IFERROR(INDEX(Jobs!$M$5:$M$604,MATCH(A487,Jobs!$A$5:$A$604,0)),""))</f>
        <v>0</v>
      </c>
      <c r="H487" s="23">
        <f>IF(A487="","",IFERROR(INDEX(Jobs!$R$5:$R$604,MATCH(A487,Jobs!$A$5:$A$604,0)),""))</f>
        <v>0</v>
      </c>
      <c r="I487" s="39">
        <f>IF(A487="","",IFERROR(INDEX(Jobs!$P$5:$P$604,MATCH(A487,Jobs!$A$5:$A$604,0)),""))</f>
        <v>0</v>
      </c>
      <c r="J487" s="21">
        <f>IF(A487="","",IF(OR(I487="Completed",I487="Invoiced"),IFERROR(INDEX(Jobs!$AJ$5:$AJ$604,MATCH(A487,Jobs!$A$5:$A$604,0)),0),0))</f>
        <v>0</v>
      </c>
      <c r="K487" s="34">
        <f>IF(A487="","",IFERROR(INDEX(Jobs!$AD$5:$AD$604,MATCH(A487,Jobs!$A$5:$A$604,0)),0))</f>
        <v>0</v>
      </c>
      <c r="L487" s="34">
        <f>IF(A487="","",IFERROR(INDEX(Jobs!$AK$5:$AK$604,MATCH(A487,Jobs!$A$5:$A$604,0)),0))</f>
        <v>0</v>
      </c>
      <c r="M487" s="34">
        <f>IF(A487="","",IF(IFERROR(L487*1,0)&gt;0,L487,IFERROR(K487*1,0)))</f>
        <v>0</v>
      </c>
      <c r="N487" s="21">
        <f>IF(A487="","",SUMIFS(Timesheets!$X$5:$X$804,Timesheets!$G$5:$G$804,A487))</f>
        <v>0</v>
      </c>
      <c r="O487" s="21">
        <f>IF(A487="","",IF(N487&gt;0,N487,ROUND(M487*CostPerHour,2)))</f>
        <v>0</v>
      </c>
      <c r="P487" s="21">
        <f>IF(A487="","",SUMIFS('Supply Usage'!$L$5:$L$304,'Supply Usage'!$F$5:$F$304,A487))</f>
        <v>0</v>
      </c>
      <c r="Q487" s="21">
        <f>IF(A487="","",IF(P487&gt;0,P487,ROUND(M487*SuppliesPerHour,2)))</f>
        <v>0</v>
      </c>
      <c r="R487" s="21">
        <f>IF(A487="","",ROUND(IFERROR(INDEX(Jobs!$W$5:$W$604,MATCH(A487,Jobs!$A$5:$A$604,0)),0)*MileageRate,2))</f>
        <v>0</v>
      </c>
      <c r="T487" s="21">
        <f>IF(A487="","",O487+Q487+R487+IF(S487="",0,S487))</f>
        <v>0</v>
      </c>
      <c r="U487" s="21">
        <f>IF(A487="","",J487-T487)</f>
        <v>0</v>
      </c>
      <c r="V487" s="38">
        <f>IF(OR(A487="",J487=0),"",U487/J487)</f>
        <v>0</v>
      </c>
      <c r="W487" s="21">
        <f>IF(OR(A487="",M487=0,J487=0),"",U487/M487)</f>
        <v>0</v>
      </c>
      <c r="X487" s="34">
        <f>IF(OR(A487="",L487="",L487=0,K487=""),"",L487-K487)</f>
        <v>0</v>
      </c>
      <c r="Y487" s="31">
        <f>IF(A487="","",COUNTIFS($U$5:$U$604,"&gt;"&amp;U487)+COUNTIFS($U$5:U487,U487))</f>
        <v>0</v>
      </c>
      <c r="Z487" s="31">
        <f>IF(A487="","",COUNTIFS($W$5:$W$604,"&gt;"&amp;W487)+COUNTIFS($W$5:W487,W487))</f>
        <v>0</v>
      </c>
      <c r="AA487" s="39">
        <f>IF(A487="","",IF(J487=0,"",IF(U487&lt;0,"Loss - this job cost you money",IF(V487&lt;MarginFloor,"Below - margin under the floor",IF(V487&lt;TargetMargin,"Check - under target margin",IF(AND(X487&lt;&gt;"",X487&gt;0.5),"Check - ran over the estimate","OK"))))))</f>
        <v>0</v>
      </c>
    </row>
    <row r="488" spans="1:27">
      <c r="A488" s="43">
        <f>IF(IFERROR(INDEX(Jobs!$A$5:$A$604,ROW()-4),"")="","",IFERROR(INDEX(Jobs!$A$5:$A$604,ROW()-4),""))</f>
        <v>0</v>
      </c>
      <c r="B488" s="18">
        <f>IF(A488="","",IFERROR(INDEX(Jobs!$B$5:$B$604,MATCH(A488,Jobs!$A$5:$A$604,0)),""))</f>
        <v>0</v>
      </c>
      <c r="C488" s="23">
        <f>IF(B488="","",TEXT(B488,"yyyy-mm"))</f>
        <v>0</v>
      </c>
      <c r="D488" s="43">
        <f>IF(A488="","",IFERROR(INDEX(Jobs!$G$5:$G$604,MATCH(A488,Jobs!$A$5:$A$604,0)),""))</f>
        <v>0</v>
      </c>
      <c r="E488" s="23">
        <f>IF(A488="","",IFERROR(INDEX(Jobs!$H$5:$H$604,MATCH(A488,Jobs!$A$5:$A$604,0)),""))</f>
        <v>0</v>
      </c>
      <c r="F488" s="23">
        <f>IF(A488="","",IFERROR(INDEX(Jobs!$K$5:$K$604,MATCH(A488,Jobs!$A$5:$A$604,0)),""))</f>
        <v>0</v>
      </c>
      <c r="G488" s="23">
        <f>IF(A488="","",IFERROR(INDEX(Jobs!$M$5:$M$604,MATCH(A488,Jobs!$A$5:$A$604,0)),""))</f>
        <v>0</v>
      </c>
      <c r="H488" s="23">
        <f>IF(A488="","",IFERROR(INDEX(Jobs!$R$5:$R$604,MATCH(A488,Jobs!$A$5:$A$604,0)),""))</f>
        <v>0</v>
      </c>
      <c r="I488" s="39">
        <f>IF(A488="","",IFERROR(INDEX(Jobs!$P$5:$P$604,MATCH(A488,Jobs!$A$5:$A$604,0)),""))</f>
        <v>0</v>
      </c>
      <c r="J488" s="21">
        <f>IF(A488="","",IF(OR(I488="Completed",I488="Invoiced"),IFERROR(INDEX(Jobs!$AJ$5:$AJ$604,MATCH(A488,Jobs!$A$5:$A$604,0)),0),0))</f>
        <v>0</v>
      </c>
      <c r="K488" s="34">
        <f>IF(A488="","",IFERROR(INDEX(Jobs!$AD$5:$AD$604,MATCH(A488,Jobs!$A$5:$A$604,0)),0))</f>
        <v>0</v>
      </c>
      <c r="L488" s="34">
        <f>IF(A488="","",IFERROR(INDEX(Jobs!$AK$5:$AK$604,MATCH(A488,Jobs!$A$5:$A$604,0)),0))</f>
        <v>0</v>
      </c>
      <c r="M488" s="34">
        <f>IF(A488="","",IF(IFERROR(L488*1,0)&gt;0,L488,IFERROR(K488*1,0)))</f>
        <v>0</v>
      </c>
      <c r="N488" s="21">
        <f>IF(A488="","",SUMIFS(Timesheets!$X$5:$X$804,Timesheets!$G$5:$G$804,A488))</f>
        <v>0</v>
      </c>
      <c r="O488" s="21">
        <f>IF(A488="","",IF(N488&gt;0,N488,ROUND(M488*CostPerHour,2)))</f>
        <v>0</v>
      </c>
      <c r="P488" s="21">
        <f>IF(A488="","",SUMIFS('Supply Usage'!$L$5:$L$304,'Supply Usage'!$F$5:$F$304,A488))</f>
        <v>0</v>
      </c>
      <c r="Q488" s="21">
        <f>IF(A488="","",IF(P488&gt;0,P488,ROUND(M488*SuppliesPerHour,2)))</f>
        <v>0</v>
      </c>
      <c r="R488" s="21">
        <f>IF(A488="","",ROUND(IFERROR(INDEX(Jobs!$W$5:$W$604,MATCH(A488,Jobs!$A$5:$A$604,0)),0)*MileageRate,2))</f>
        <v>0</v>
      </c>
      <c r="T488" s="21">
        <f>IF(A488="","",O488+Q488+R488+IF(S488="",0,S488))</f>
        <v>0</v>
      </c>
      <c r="U488" s="21">
        <f>IF(A488="","",J488-T488)</f>
        <v>0</v>
      </c>
      <c r="V488" s="38">
        <f>IF(OR(A488="",J488=0),"",U488/J488)</f>
        <v>0</v>
      </c>
      <c r="W488" s="21">
        <f>IF(OR(A488="",M488=0,J488=0),"",U488/M488)</f>
        <v>0</v>
      </c>
      <c r="X488" s="34">
        <f>IF(OR(A488="",L488="",L488=0,K488=""),"",L488-K488)</f>
        <v>0</v>
      </c>
      <c r="Y488" s="31">
        <f>IF(A488="","",COUNTIFS($U$5:$U$604,"&gt;"&amp;U488)+COUNTIFS($U$5:U488,U488))</f>
        <v>0</v>
      </c>
      <c r="Z488" s="31">
        <f>IF(A488="","",COUNTIFS($W$5:$W$604,"&gt;"&amp;W488)+COUNTIFS($W$5:W488,W488))</f>
        <v>0</v>
      </c>
      <c r="AA488" s="39">
        <f>IF(A488="","",IF(J488=0,"",IF(U488&lt;0,"Loss - this job cost you money",IF(V488&lt;MarginFloor,"Below - margin under the floor",IF(V488&lt;TargetMargin,"Check - under target margin",IF(AND(X488&lt;&gt;"",X488&gt;0.5),"Check - ran over the estimate","OK"))))))</f>
        <v>0</v>
      </c>
    </row>
    <row r="489" spans="1:27">
      <c r="A489" s="43">
        <f>IF(IFERROR(INDEX(Jobs!$A$5:$A$604,ROW()-4),"")="","",IFERROR(INDEX(Jobs!$A$5:$A$604,ROW()-4),""))</f>
        <v>0</v>
      </c>
      <c r="B489" s="18">
        <f>IF(A489="","",IFERROR(INDEX(Jobs!$B$5:$B$604,MATCH(A489,Jobs!$A$5:$A$604,0)),""))</f>
        <v>0</v>
      </c>
      <c r="C489" s="23">
        <f>IF(B489="","",TEXT(B489,"yyyy-mm"))</f>
        <v>0</v>
      </c>
      <c r="D489" s="43">
        <f>IF(A489="","",IFERROR(INDEX(Jobs!$G$5:$G$604,MATCH(A489,Jobs!$A$5:$A$604,0)),""))</f>
        <v>0</v>
      </c>
      <c r="E489" s="23">
        <f>IF(A489="","",IFERROR(INDEX(Jobs!$H$5:$H$604,MATCH(A489,Jobs!$A$5:$A$604,0)),""))</f>
        <v>0</v>
      </c>
      <c r="F489" s="23">
        <f>IF(A489="","",IFERROR(INDEX(Jobs!$K$5:$K$604,MATCH(A489,Jobs!$A$5:$A$604,0)),""))</f>
        <v>0</v>
      </c>
      <c r="G489" s="23">
        <f>IF(A489="","",IFERROR(INDEX(Jobs!$M$5:$M$604,MATCH(A489,Jobs!$A$5:$A$604,0)),""))</f>
        <v>0</v>
      </c>
      <c r="H489" s="23">
        <f>IF(A489="","",IFERROR(INDEX(Jobs!$R$5:$R$604,MATCH(A489,Jobs!$A$5:$A$604,0)),""))</f>
        <v>0</v>
      </c>
      <c r="I489" s="39">
        <f>IF(A489="","",IFERROR(INDEX(Jobs!$P$5:$P$604,MATCH(A489,Jobs!$A$5:$A$604,0)),""))</f>
        <v>0</v>
      </c>
      <c r="J489" s="21">
        <f>IF(A489="","",IF(OR(I489="Completed",I489="Invoiced"),IFERROR(INDEX(Jobs!$AJ$5:$AJ$604,MATCH(A489,Jobs!$A$5:$A$604,0)),0),0))</f>
        <v>0</v>
      </c>
      <c r="K489" s="34">
        <f>IF(A489="","",IFERROR(INDEX(Jobs!$AD$5:$AD$604,MATCH(A489,Jobs!$A$5:$A$604,0)),0))</f>
        <v>0</v>
      </c>
      <c r="L489" s="34">
        <f>IF(A489="","",IFERROR(INDEX(Jobs!$AK$5:$AK$604,MATCH(A489,Jobs!$A$5:$A$604,0)),0))</f>
        <v>0</v>
      </c>
      <c r="M489" s="34">
        <f>IF(A489="","",IF(IFERROR(L489*1,0)&gt;0,L489,IFERROR(K489*1,0)))</f>
        <v>0</v>
      </c>
      <c r="N489" s="21">
        <f>IF(A489="","",SUMIFS(Timesheets!$X$5:$X$804,Timesheets!$G$5:$G$804,A489))</f>
        <v>0</v>
      </c>
      <c r="O489" s="21">
        <f>IF(A489="","",IF(N489&gt;0,N489,ROUND(M489*CostPerHour,2)))</f>
        <v>0</v>
      </c>
      <c r="P489" s="21">
        <f>IF(A489="","",SUMIFS('Supply Usage'!$L$5:$L$304,'Supply Usage'!$F$5:$F$304,A489))</f>
        <v>0</v>
      </c>
      <c r="Q489" s="21">
        <f>IF(A489="","",IF(P489&gt;0,P489,ROUND(M489*SuppliesPerHour,2)))</f>
        <v>0</v>
      </c>
      <c r="R489" s="21">
        <f>IF(A489="","",ROUND(IFERROR(INDEX(Jobs!$W$5:$W$604,MATCH(A489,Jobs!$A$5:$A$604,0)),0)*MileageRate,2))</f>
        <v>0</v>
      </c>
      <c r="T489" s="21">
        <f>IF(A489="","",O489+Q489+R489+IF(S489="",0,S489))</f>
        <v>0</v>
      </c>
      <c r="U489" s="21">
        <f>IF(A489="","",J489-T489)</f>
        <v>0</v>
      </c>
      <c r="V489" s="38">
        <f>IF(OR(A489="",J489=0),"",U489/J489)</f>
        <v>0</v>
      </c>
      <c r="W489" s="21">
        <f>IF(OR(A489="",M489=0,J489=0),"",U489/M489)</f>
        <v>0</v>
      </c>
      <c r="X489" s="34">
        <f>IF(OR(A489="",L489="",L489=0,K489=""),"",L489-K489)</f>
        <v>0</v>
      </c>
      <c r="Y489" s="31">
        <f>IF(A489="","",COUNTIFS($U$5:$U$604,"&gt;"&amp;U489)+COUNTIFS($U$5:U489,U489))</f>
        <v>0</v>
      </c>
      <c r="Z489" s="31">
        <f>IF(A489="","",COUNTIFS($W$5:$W$604,"&gt;"&amp;W489)+COUNTIFS($W$5:W489,W489))</f>
        <v>0</v>
      </c>
      <c r="AA489" s="39">
        <f>IF(A489="","",IF(J489=0,"",IF(U489&lt;0,"Loss - this job cost you money",IF(V489&lt;MarginFloor,"Below - margin under the floor",IF(V489&lt;TargetMargin,"Check - under target margin",IF(AND(X489&lt;&gt;"",X489&gt;0.5),"Check - ran over the estimate","OK"))))))</f>
        <v>0</v>
      </c>
    </row>
    <row r="490" spans="1:27">
      <c r="A490" s="43">
        <f>IF(IFERROR(INDEX(Jobs!$A$5:$A$604,ROW()-4),"")="","",IFERROR(INDEX(Jobs!$A$5:$A$604,ROW()-4),""))</f>
        <v>0</v>
      </c>
      <c r="B490" s="18">
        <f>IF(A490="","",IFERROR(INDEX(Jobs!$B$5:$B$604,MATCH(A490,Jobs!$A$5:$A$604,0)),""))</f>
        <v>0</v>
      </c>
      <c r="C490" s="23">
        <f>IF(B490="","",TEXT(B490,"yyyy-mm"))</f>
        <v>0</v>
      </c>
      <c r="D490" s="43">
        <f>IF(A490="","",IFERROR(INDEX(Jobs!$G$5:$G$604,MATCH(A490,Jobs!$A$5:$A$604,0)),""))</f>
        <v>0</v>
      </c>
      <c r="E490" s="23">
        <f>IF(A490="","",IFERROR(INDEX(Jobs!$H$5:$H$604,MATCH(A490,Jobs!$A$5:$A$604,0)),""))</f>
        <v>0</v>
      </c>
      <c r="F490" s="23">
        <f>IF(A490="","",IFERROR(INDEX(Jobs!$K$5:$K$604,MATCH(A490,Jobs!$A$5:$A$604,0)),""))</f>
        <v>0</v>
      </c>
      <c r="G490" s="23">
        <f>IF(A490="","",IFERROR(INDEX(Jobs!$M$5:$M$604,MATCH(A490,Jobs!$A$5:$A$604,0)),""))</f>
        <v>0</v>
      </c>
      <c r="H490" s="23">
        <f>IF(A490="","",IFERROR(INDEX(Jobs!$R$5:$R$604,MATCH(A490,Jobs!$A$5:$A$604,0)),""))</f>
        <v>0</v>
      </c>
      <c r="I490" s="39">
        <f>IF(A490="","",IFERROR(INDEX(Jobs!$P$5:$P$604,MATCH(A490,Jobs!$A$5:$A$604,0)),""))</f>
        <v>0</v>
      </c>
      <c r="J490" s="21">
        <f>IF(A490="","",IF(OR(I490="Completed",I490="Invoiced"),IFERROR(INDEX(Jobs!$AJ$5:$AJ$604,MATCH(A490,Jobs!$A$5:$A$604,0)),0),0))</f>
        <v>0</v>
      </c>
      <c r="K490" s="34">
        <f>IF(A490="","",IFERROR(INDEX(Jobs!$AD$5:$AD$604,MATCH(A490,Jobs!$A$5:$A$604,0)),0))</f>
        <v>0</v>
      </c>
      <c r="L490" s="34">
        <f>IF(A490="","",IFERROR(INDEX(Jobs!$AK$5:$AK$604,MATCH(A490,Jobs!$A$5:$A$604,0)),0))</f>
        <v>0</v>
      </c>
      <c r="M490" s="34">
        <f>IF(A490="","",IF(IFERROR(L490*1,0)&gt;0,L490,IFERROR(K490*1,0)))</f>
        <v>0</v>
      </c>
      <c r="N490" s="21">
        <f>IF(A490="","",SUMIFS(Timesheets!$X$5:$X$804,Timesheets!$G$5:$G$804,A490))</f>
        <v>0</v>
      </c>
      <c r="O490" s="21">
        <f>IF(A490="","",IF(N490&gt;0,N490,ROUND(M490*CostPerHour,2)))</f>
        <v>0</v>
      </c>
      <c r="P490" s="21">
        <f>IF(A490="","",SUMIFS('Supply Usage'!$L$5:$L$304,'Supply Usage'!$F$5:$F$304,A490))</f>
        <v>0</v>
      </c>
      <c r="Q490" s="21">
        <f>IF(A490="","",IF(P490&gt;0,P490,ROUND(M490*SuppliesPerHour,2)))</f>
        <v>0</v>
      </c>
      <c r="R490" s="21">
        <f>IF(A490="","",ROUND(IFERROR(INDEX(Jobs!$W$5:$W$604,MATCH(A490,Jobs!$A$5:$A$604,0)),0)*MileageRate,2))</f>
        <v>0</v>
      </c>
      <c r="T490" s="21">
        <f>IF(A490="","",O490+Q490+R490+IF(S490="",0,S490))</f>
        <v>0</v>
      </c>
      <c r="U490" s="21">
        <f>IF(A490="","",J490-T490)</f>
        <v>0</v>
      </c>
      <c r="V490" s="38">
        <f>IF(OR(A490="",J490=0),"",U490/J490)</f>
        <v>0</v>
      </c>
      <c r="W490" s="21">
        <f>IF(OR(A490="",M490=0,J490=0),"",U490/M490)</f>
        <v>0</v>
      </c>
      <c r="X490" s="34">
        <f>IF(OR(A490="",L490="",L490=0,K490=""),"",L490-K490)</f>
        <v>0</v>
      </c>
      <c r="Y490" s="31">
        <f>IF(A490="","",COUNTIFS($U$5:$U$604,"&gt;"&amp;U490)+COUNTIFS($U$5:U490,U490))</f>
        <v>0</v>
      </c>
      <c r="Z490" s="31">
        <f>IF(A490="","",COUNTIFS($W$5:$W$604,"&gt;"&amp;W490)+COUNTIFS($W$5:W490,W490))</f>
        <v>0</v>
      </c>
      <c r="AA490" s="39">
        <f>IF(A490="","",IF(J490=0,"",IF(U490&lt;0,"Loss - this job cost you money",IF(V490&lt;MarginFloor,"Below - margin under the floor",IF(V490&lt;TargetMargin,"Check - under target margin",IF(AND(X490&lt;&gt;"",X490&gt;0.5),"Check - ran over the estimate","OK"))))))</f>
        <v>0</v>
      </c>
    </row>
    <row r="491" spans="1:27">
      <c r="A491" s="43">
        <f>IF(IFERROR(INDEX(Jobs!$A$5:$A$604,ROW()-4),"")="","",IFERROR(INDEX(Jobs!$A$5:$A$604,ROW()-4),""))</f>
        <v>0</v>
      </c>
      <c r="B491" s="18">
        <f>IF(A491="","",IFERROR(INDEX(Jobs!$B$5:$B$604,MATCH(A491,Jobs!$A$5:$A$604,0)),""))</f>
        <v>0</v>
      </c>
      <c r="C491" s="23">
        <f>IF(B491="","",TEXT(B491,"yyyy-mm"))</f>
        <v>0</v>
      </c>
      <c r="D491" s="43">
        <f>IF(A491="","",IFERROR(INDEX(Jobs!$G$5:$G$604,MATCH(A491,Jobs!$A$5:$A$604,0)),""))</f>
        <v>0</v>
      </c>
      <c r="E491" s="23">
        <f>IF(A491="","",IFERROR(INDEX(Jobs!$H$5:$H$604,MATCH(A491,Jobs!$A$5:$A$604,0)),""))</f>
        <v>0</v>
      </c>
      <c r="F491" s="23">
        <f>IF(A491="","",IFERROR(INDEX(Jobs!$K$5:$K$604,MATCH(A491,Jobs!$A$5:$A$604,0)),""))</f>
        <v>0</v>
      </c>
      <c r="G491" s="23">
        <f>IF(A491="","",IFERROR(INDEX(Jobs!$M$5:$M$604,MATCH(A491,Jobs!$A$5:$A$604,0)),""))</f>
        <v>0</v>
      </c>
      <c r="H491" s="23">
        <f>IF(A491="","",IFERROR(INDEX(Jobs!$R$5:$R$604,MATCH(A491,Jobs!$A$5:$A$604,0)),""))</f>
        <v>0</v>
      </c>
      <c r="I491" s="39">
        <f>IF(A491="","",IFERROR(INDEX(Jobs!$P$5:$P$604,MATCH(A491,Jobs!$A$5:$A$604,0)),""))</f>
        <v>0</v>
      </c>
      <c r="J491" s="21">
        <f>IF(A491="","",IF(OR(I491="Completed",I491="Invoiced"),IFERROR(INDEX(Jobs!$AJ$5:$AJ$604,MATCH(A491,Jobs!$A$5:$A$604,0)),0),0))</f>
        <v>0</v>
      </c>
      <c r="K491" s="34">
        <f>IF(A491="","",IFERROR(INDEX(Jobs!$AD$5:$AD$604,MATCH(A491,Jobs!$A$5:$A$604,0)),0))</f>
        <v>0</v>
      </c>
      <c r="L491" s="34">
        <f>IF(A491="","",IFERROR(INDEX(Jobs!$AK$5:$AK$604,MATCH(A491,Jobs!$A$5:$A$604,0)),0))</f>
        <v>0</v>
      </c>
      <c r="M491" s="34">
        <f>IF(A491="","",IF(IFERROR(L491*1,0)&gt;0,L491,IFERROR(K491*1,0)))</f>
        <v>0</v>
      </c>
      <c r="N491" s="21">
        <f>IF(A491="","",SUMIFS(Timesheets!$X$5:$X$804,Timesheets!$G$5:$G$804,A491))</f>
        <v>0</v>
      </c>
      <c r="O491" s="21">
        <f>IF(A491="","",IF(N491&gt;0,N491,ROUND(M491*CostPerHour,2)))</f>
        <v>0</v>
      </c>
      <c r="P491" s="21">
        <f>IF(A491="","",SUMIFS('Supply Usage'!$L$5:$L$304,'Supply Usage'!$F$5:$F$304,A491))</f>
        <v>0</v>
      </c>
      <c r="Q491" s="21">
        <f>IF(A491="","",IF(P491&gt;0,P491,ROUND(M491*SuppliesPerHour,2)))</f>
        <v>0</v>
      </c>
      <c r="R491" s="21">
        <f>IF(A491="","",ROUND(IFERROR(INDEX(Jobs!$W$5:$W$604,MATCH(A491,Jobs!$A$5:$A$604,0)),0)*MileageRate,2))</f>
        <v>0</v>
      </c>
      <c r="T491" s="21">
        <f>IF(A491="","",O491+Q491+R491+IF(S491="",0,S491))</f>
        <v>0</v>
      </c>
      <c r="U491" s="21">
        <f>IF(A491="","",J491-T491)</f>
        <v>0</v>
      </c>
      <c r="V491" s="38">
        <f>IF(OR(A491="",J491=0),"",U491/J491)</f>
        <v>0</v>
      </c>
      <c r="W491" s="21">
        <f>IF(OR(A491="",M491=0,J491=0),"",U491/M491)</f>
        <v>0</v>
      </c>
      <c r="X491" s="34">
        <f>IF(OR(A491="",L491="",L491=0,K491=""),"",L491-K491)</f>
        <v>0</v>
      </c>
      <c r="Y491" s="31">
        <f>IF(A491="","",COUNTIFS($U$5:$U$604,"&gt;"&amp;U491)+COUNTIFS($U$5:U491,U491))</f>
        <v>0</v>
      </c>
      <c r="Z491" s="31">
        <f>IF(A491="","",COUNTIFS($W$5:$W$604,"&gt;"&amp;W491)+COUNTIFS($W$5:W491,W491))</f>
        <v>0</v>
      </c>
      <c r="AA491" s="39">
        <f>IF(A491="","",IF(J491=0,"",IF(U491&lt;0,"Loss - this job cost you money",IF(V491&lt;MarginFloor,"Below - margin under the floor",IF(V491&lt;TargetMargin,"Check - under target margin",IF(AND(X491&lt;&gt;"",X491&gt;0.5),"Check - ran over the estimate","OK"))))))</f>
        <v>0</v>
      </c>
    </row>
    <row r="492" spans="1:27">
      <c r="A492" s="43">
        <f>IF(IFERROR(INDEX(Jobs!$A$5:$A$604,ROW()-4),"")="","",IFERROR(INDEX(Jobs!$A$5:$A$604,ROW()-4),""))</f>
        <v>0</v>
      </c>
      <c r="B492" s="18">
        <f>IF(A492="","",IFERROR(INDEX(Jobs!$B$5:$B$604,MATCH(A492,Jobs!$A$5:$A$604,0)),""))</f>
        <v>0</v>
      </c>
      <c r="C492" s="23">
        <f>IF(B492="","",TEXT(B492,"yyyy-mm"))</f>
        <v>0</v>
      </c>
      <c r="D492" s="43">
        <f>IF(A492="","",IFERROR(INDEX(Jobs!$G$5:$G$604,MATCH(A492,Jobs!$A$5:$A$604,0)),""))</f>
        <v>0</v>
      </c>
      <c r="E492" s="23">
        <f>IF(A492="","",IFERROR(INDEX(Jobs!$H$5:$H$604,MATCH(A492,Jobs!$A$5:$A$604,0)),""))</f>
        <v>0</v>
      </c>
      <c r="F492" s="23">
        <f>IF(A492="","",IFERROR(INDEX(Jobs!$K$5:$K$604,MATCH(A492,Jobs!$A$5:$A$604,0)),""))</f>
        <v>0</v>
      </c>
      <c r="G492" s="23">
        <f>IF(A492="","",IFERROR(INDEX(Jobs!$M$5:$M$604,MATCH(A492,Jobs!$A$5:$A$604,0)),""))</f>
        <v>0</v>
      </c>
      <c r="H492" s="23">
        <f>IF(A492="","",IFERROR(INDEX(Jobs!$R$5:$R$604,MATCH(A492,Jobs!$A$5:$A$604,0)),""))</f>
        <v>0</v>
      </c>
      <c r="I492" s="39">
        <f>IF(A492="","",IFERROR(INDEX(Jobs!$P$5:$P$604,MATCH(A492,Jobs!$A$5:$A$604,0)),""))</f>
        <v>0</v>
      </c>
      <c r="J492" s="21">
        <f>IF(A492="","",IF(OR(I492="Completed",I492="Invoiced"),IFERROR(INDEX(Jobs!$AJ$5:$AJ$604,MATCH(A492,Jobs!$A$5:$A$604,0)),0),0))</f>
        <v>0</v>
      </c>
      <c r="K492" s="34">
        <f>IF(A492="","",IFERROR(INDEX(Jobs!$AD$5:$AD$604,MATCH(A492,Jobs!$A$5:$A$604,0)),0))</f>
        <v>0</v>
      </c>
      <c r="L492" s="34">
        <f>IF(A492="","",IFERROR(INDEX(Jobs!$AK$5:$AK$604,MATCH(A492,Jobs!$A$5:$A$604,0)),0))</f>
        <v>0</v>
      </c>
      <c r="M492" s="34">
        <f>IF(A492="","",IF(IFERROR(L492*1,0)&gt;0,L492,IFERROR(K492*1,0)))</f>
        <v>0</v>
      </c>
      <c r="N492" s="21">
        <f>IF(A492="","",SUMIFS(Timesheets!$X$5:$X$804,Timesheets!$G$5:$G$804,A492))</f>
        <v>0</v>
      </c>
      <c r="O492" s="21">
        <f>IF(A492="","",IF(N492&gt;0,N492,ROUND(M492*CostPerHour,2)))</f>
        <v>0</v>
      </c>
      <c r="P492" s="21">
        <f>IF(A492="","",SUMIFS('Supply Usage'!$L$5:$L$304,'Supply Usage'!$F$5:$F$304,A492))</f>
        <v>0</v>
      </c>
      <c r="Q492" s="21">
        <f>IF(A492="","",IF(P492&gt;0,P492,ROUND(M492*SuppliesPerHour,2)))</f>
        <v>0</v>
      </c>
      <c r="R492" s="21">
        <f>IF(A492="","",ROUND(IFERROR(INDEX(Jobs!$W$5:$W$604,MATCH(A492,Jobs!$A$5:$A$604,0)),0)*MileageRate,2))</f>
        <v>0</v>
      </c>
      <c r="T492" s="21">
        <f>IF(A492="","",O492+Q492+R492+IF(S492="",0,S492))</f>
        <v>0</v>
      </c>
      <c r="U492" s="21">
        <f>IF(A492="","",J492-T492)</f>
        <v>0</v>
      </c>
      <c r="V492" s="38">
        <f>IF(OR(A492="",J492=0),"",U492/J492)</f>
        <v>0</v>
      </c>
      <c r="W492" s="21">
        <f>IF(OR(A492="",M492=0,J492=0),"",U492/M492)</f>
        <v>0</v>
      </c>
      <c r="X492" s="34">
        <f>IF(OR(A492="",L492="",L492=0,K492=""),"",L492-K492)</f>
        <v>0</v>
      </c>
      <c r="Y492" s="31">
        <f>IF(A492="","",COUNTIFS($U$5:$U$604,"&gt;"&amp;U492)+COUNTIFS($U$5:U492,U492))</f>
        <v>0</v>
      </c>
      <c r="Z492" s="31">
        <f>IF(A492="","",COUNTIFS($W$5:$W$604,"&gt;"&amp;W492)+COUNTIFS($W$5:W492,W492))</f>
        <v>0</v>
      </c>
      <c r="AA492" s="39">
        <f>IF(A492="","",IF(J492=0,"",IF(U492&lt;0,"Loss - this job cost you money",IF(V492&lt;MarginFloor,"Below - margin under the floor",IF(V492&lt;TargetMargin,"Check - under target margin",IF(AND(X492&lt;&gt;"",X492&gt;0.5),"Check - ran over the estimate","OK"))))))</f>
        <v>0</v>
      </c>
    </row>
    <row r="493" spans="1:27">
      <c r="A493" s="43">
        <f>IF(IFERROR(INDEX(Jobs!$A$5:$A$604,ROW()-4),"")="","",IFERROR(INDEX(Jobs!$A$5:$A$604,ROW()-4),""))</f>
        <v>0</v>
      </c>
      <c r="B493" s="18">
        <f>IF(A493="","",IFERROR(INDEX(Jobs!$B$5:$B$604,MATCH(A493,Jobs!$A$5:$A$604,0)),""))</f>
        <v>0</v>
      </c>
      <c r="C493" s="23">
        <f>IF(B493="","",TEXT(B493,"yyyy-mm"))</f>
        <v>0</v>
      </c>
      <c r="D493" s="43">
        <f>IF(A493="","",IFERROR(INDEX(Jobs!$G$5:$G$604,MATCH(A493,Jobs!$A$5:$A$604,0)),""))</f>
        <v>0</v>
      </c>
      <c r="E493" s="23">
        <f>IF(A493="","",IFERROR(INDEX(Jobs!$H$5:$H$604,MATCH(A493,Jobs!$A$5:$A$604,0)),""))</f>
        <v>0</v>
      </c>
      <c r="F493" s="23">
        <f>IF(A493="","",IFERROR(INDEX(Jobs!$K$5:$K$604,MATCH(A493,Jobs!$A$5:$A$604,0)),""))</f>
        <v>0</v>
      </c>
      <c r="G493" s="23">
        <f>IF(A493="","",IFERROR(INDEX(Jobs!$M$5:$M$604,MATCH(A493,Jobs!$A$5:$A$604,0)),""))</f>
        <v>0</v>
      </c>
      <c r="H493" s="23">
        <f>IF(A493="","",IFERROR(INDEX(Jobs!$R$5:$R$604,MATCH(A493,Jobs!$A$5:$A$604,0)),""))</f>
        <v>0</v>
      </c>
      <c r="I493" s="39">
        <f>IF(A493="","",IFERROR(INDEX(Jobs!$P$5:$P$604,MATCH(A493,Jobs!$A$5:$A$604,0)),""))</f>
        <v>0</v>
      </c>
      <c r="J493" s="21">
        <f>IF(A493="","",IF(OR(I493="Completed",I493="Invoiced"),IFERROR(INDEX(Jobs!$AJ$5:$AJ$604,MATCH(A493,Jobs!$A$5:$A$604,0)),0),0))</f>
        <v>0</v>
      </c>
      <c r="K493" s="34">
        <f>IF(A493="","",IFERROR(INDEX(Jobs!$AD$5:$AD$604,MATCH(A493,Jobs!$A$5:$A$604,0)),0))</f>
        <v>0</v>
      </c>
      <c r="L493" s="34">
        <f>IF(A493="","",IFERROR(INDEX(Jobs!$AK$5:$AK$604,MATCH(A493,Jobs!$A$5:$A$604,0)),0))</f>
        <v>0</v>
      </c>
      <c r="M493" s="34">
        <f>IF(A493="","",IF(IFERROR(L493*1,0)&gt;0,L493,IFERROR(K493*1,0)))</f>
        <v>0</v>
      </c>
      <c r="N493" s="21">
        <f>IF(A493="","",SUMIFS(Timesheets!$X$5:$X$804,Timesheets!$G$5:$G$804,A493))</f>
        <v>0</v>
      </c>
      <c r="O493" s="21">
        <f>IF(A493="","",IF(N493&gt;0,N493,ROUND(M493*CostPerHour,2)))</f>
        <v>0</v>
      </c>
      <c r="P493" s="21">
        <f>IF(A493="","",SUMIFS('Supply Usage'!$L$5:$L$304,'Supply Usage'!$F$5:$F$304,A493))</f>
        <v>0</v>
      </c>
      <c r="Q493" s="21">
        <f>IF(A493="","",IF(P493&gt;0,P493,ROUND(M493*SuppliesPerHour,2)))</f>
        <v>0</v>
      </c>
      <c r="R493" s="21">
        <f>IF(A493="","",ROUND(IFERROR(INDEX(Jobs!$W$5:$W$604,MATCH(A493,Jobs!$A$5:$A$604,0)),0)*MileageRate,2))</f>
        <v>0</v>
      </c>
      <c r="T493" s="21">
        <f>IF(A493="","",O493+Q493+R493+IF(S493="",0,S493))</f>
        <v>0</v>
      </c>
      <c r="U493" s="21">
        <f>IF(A493="","",J493-T493)</f>
        <v>0</v>
      </c>
      <c r="V493" s="38">
        <f>IF(OR(A493="",J493=0),"",U493/J493)</f>
        <v>0</v>
      </c>
      <c r="W493" s="21">
        <f>IF(OR(A493="",M493=0,J493=0),"",U493/M493)</f>
        <v>0</v>
      </c>
      <c r="X493" s="34">
        <f>IF(OR(A493="",L493="",L493=0,K493=""),"",L493-K493)</f>
        <v>0</v>
      </c>
      <c r="Y493" s="31">
        <f>IF(A493="","",COUNTIFS($U$5:$U$604,"&gt;"&amp;U493)+COUNTIFS($U$5:U493,U493))</f>
        <v>0</v>
      </c>
      <c r="Z493" s="31">
        <f>IF(A493="","",COUNTIFS($W$5:$W$604,"&gt;"&amp;W493)+COUNTIFS($W$5:W493,W493))</f>
        <v>0</v>
      </c>
      <c r="AA493" s="39">
        <f>IF(A493="","",IF(J493=0,"",IF(U493&lt;0,"Loss - this job cost you money",IF(V493&lt;MarginFloor,"Below - margin under the floor",IF(V493&lt;TargetMargin,"Check - under target margin",IF(AND(X493&lt;&gt;"",X493&gt;0.5),"Check - ran over the estimate","OK"))))))</f>
        <v>0</v>
      </c>
    </row>
    <row r="494" spans="1:27">
      <c r="A494" s="43">
        <f>IF(IFERROR(INDEX(Jobs!$A$5:$A$604,ROW()-4),"")="","",IFERROR(INDEX(Jobs!$A$5:$A$604,ROW()-4),""))</f>
        <v>0</v>
      </c>
      <c r="B494" s="18">
        <f>IF(A494="","",IFERROR(INDEX(Jobs!$B$5:$B$604,MATCH(A494,Jobs!$A$5:$A$604,0)),""))</f>
        <v>0</v>
      </c>
      <c r="C494" s="23">
        <f>IF(B494="","",TEXT(B494,"yyyy-mm"))</f>
        <v>0</v>
      </c>
      <c r="D494" s="43">
        <f>IF(A494="","",IFERROR(INDEX(Jobs!$G$5:$G$604,MATCH(A494,Jobs!$A$5:$A$604,0)),""))</f>
        <v>0</v>
      </c>
      <c r="E494" s="23">
        <f>IF(A494="","",IFERROR(INDEX(Jobs!$H$5:$H$604,MATCH(A494,Jobs!$A$5:$A$604,0)),""))</f>
        <v>0</v>
      </c>
      <c r="F494" s="23">
        <f>IF(A494="","",IFERROR(INDEX(Jobs!$K$5:$K$604,MATCH(A494,Jobs!$A$5:$A$604,0)),""))</f>
        <v>0</v>
      </c>
      <c r="G494" s="23">
        <f>IF(A494="","",IFERROR(INDEX(Jobs!$M$5:$M$604,MATCH(A494,Jobs!$A$5:$A$604,0)),""))</f>
        <v>0</v>
      </c>
      <c r="H494" s="23">
        <f>IF(A494="","",IFERROR(INDEX(Jobs!$R$5:$R$604,MATCH(A494,Jobs!$A$5:$A$604,0)),""))</f>
        <v>0</v>
      </c>
      <c r="I494" s="39">
        <f>IF(A494="","",IFERROR(INDEX(Jobs!$P$5:$P$604,MATCH(A494,Jobs!$A$5:$A$604,0)),""))</f>
        <v>0</v>
      </c>
      <c r="J494" s="21">
        <f>IF(A494="","",IF(OR(I494="Completed",I494="Invoiced"),IFERROR(INDEX(Jobs!$AJ$5:$AJ$604,MATCH(A494,Jobs!$A$5:$A$604,0)),0),0))</f>
        <v>0</v>
      </c>
      <c r="K494" s="34">
        <f>IF(A494="","",IFERROR(INDEX(Jobs!$AD$5:$AD$604,MATCH(A494,Jobs!$A$5:$A$604,0)),0))</f>
        <v>0</v>
      </c>
      <c r="L494" s="34">
        <f>IF(A494="","",IFERROR(INDEX(Jobs!$AK$5:$AK$604,MATCH(A494,Jobs!$A$5:$A$604,0)),0))</f>
        <v>0</v>
      </c>
      <c r="M494" s="34">
        <f>IF(A494="","",IF(IFERROR(L494*1,0)&gt;0,L494,IFERROR(K494*1,0)))</f>
        <v>0</v>
      </c>
      <c r="N494" s="21">
        <f>IF(A494="","",SUMIFS(Timesheets!$X$5:$X$804,Timesheets!$G$5:$G$804,A494))</f>
        <v>0</v>
      </c>
      <c r="O494" s="21">
        <f>IF(A494="","",IF(N494&gt;0,N494,ROUND(M494*CostPerHour,2)))</f>
        <v>0</v>
      </c>
      <c r="P494" s="21">
        <f>IF(A494="","",SUMIFS('Supply Usage'!$L$5:$L$304,'Supply Usage'!$F$5:$F$304,A494))</f>
        <v>0</v>
      </c>
      <c r="Q494" s="21">
        <f>IF(A494="","",IF(P494&gt;0,P494,ROUND(M494*SuppliesPerHour,2)))</f>
        <v>0</v>
      </c>
      <c r="R494" s="21">
        <f>IF(A494="","",ROUND(IFERROR(INDEX(Jobs!$W$5:$W$604,MATCH(A494,Jobs!$A$5:$A$604,0)),0)*MileageRate,2))</f>
        <v>0</v>
      </c>
      <c r="T494" s="21">
        <f>IF(A494="","",O494+Q494+R494+IF(S494="",0,S494))</f>
        <v>0</v>
      </c>
      <c r="U494" s="21">
        <f>IF(A494="","",J494-T494)</f>
        <v>0</v>
      </c>
      <c r="V494" s="38">
        <f>IF(OR(A494="",J494=0),"",U494/J494)</f>
        <v>0</v>
      </c>
      <c r="W494" s="21">
        <f>IF(OR(A494="",M494=0,J494=0),"",U494/M494)</f>
        <v>0</v>
      </c>
      <c r="X494" s="34">
        <f>IF(OR(A494="",L494="",L494=0,K494=""),"",L494-K494)</f>
        <v>0</v>
      </c>
      <c r="Y494" s="31">
        <f>IF(A494="","",COUNTIFS($U$5:$U$604,"&gt;"&amp;U494)+COUNTIFS($U$5:U494,U494))</f>
        <v>0</v>
      </c>
      <c r="Z494" s="31">
        <f>IF(A494="","",COUNTIFS($W$5:$W$604,"&gt;"&amp;W494)+COUNTIFS($W$5:W494,W494))</f>
        <v>0</v>
      </c>
      <c r="AA494" s="39">
        <f>IF(A494="","",IF(J494=0,"",IF(U494&lt;0,"Loss - this job cost you money",IF(V494&lt;MarginFloor,"Below - margin under the floor",IF(V494&lt;TargetMargin,"Check - under target margin",IF(AND(X494&lt;&gt;"",X494&gt;0.5),"Check - ran over the estimate","OK"))))))</f>
        <v>0</v>
      </c>
    </row>
    <row r="495" spans="1:27">
      <c r="A495" s="43">
        <f>IF(IFERROR(INDEX(Jobs!$A$5:$A$604,ROW()-4),"")="","",IFERROR(INDEX(Jobs!$A$5:$A$604,ROW()-4),""))</f>
        <v>0</v>
      </c>
      <c r="B495" s="18">
        <f>IF(A495="","",IFERROR(INDEX(Jobs!$B$5:$B$604,MATCH(A495,Jobs!$A$5:$A$604,0)),""))</f>
        <v>0</v>
      </c>
      <c r="C495" s="23">
        <f>IF(B495="","",TEXT(B495,"yyyy-mm"))</f>
        <v>0</v>
      </c>
      <c r="D495" s="43">
        <f>IF(A495="","",IFERROR(INDEX(Jobs!$G$5:$G$604,MATCH(A495,Jobs!$A$5:$A$604,0)),""))</f>
        <v>0</v>
      </c>
      <c r="E495" s="23">
        <f>IF(A495="","",IFERROR(INDEX(Jobs!$H$5:$H$604,MATCH(A495,Jobs!$A$5:$A$604,0)),""))</f>
        <v>0</v>
      </c>
      <c r="F495" s="23">
        <f>IF(A495="","",IFERROR(INDEX(Jobs!$K$5:$K$604,MATCH(A495,Jobs!$A$5:$A$604,0)),""))</f>
        <v>0</v>
      </c>
      <c r="G495" s="23">
        <f>IF(A495="","",IFERROR(INDEX(Jobs!$M$5:$M$604,MATCH(A495,Jobs!$A$5:$A$604,0)),""))</f>
        <v>0</v>
      </c>
      <c r="H495" s="23">
        <f>IF(A495="","",IFERROR(INDEX(Jobs!$R$5:$R$604,MATCH(A495,Jobs!$A$5:$A$604,0)),""))</f>
        <v>0</v>
      </c>
      <c r="I495" s="39">
        <f>IF(A495="","",IFERROR(INDEX(Jobs!$P$5:$P$604,MATCH(A495,Jobs!$A$5:$A$604,0)),""))</f>
        <v>0</v>
      </c>
      <c r="J495" s="21">
        <f>IF(A495="","",IF(OR(I495="Completed",I495="Invoiced"),IFERROR(INDEX(Jobs!$AJ$5:$AJ$604,MATCH(A495,Jobs!$A$5:$A$604,0)),0),0))</f>
        <v>0</v>
      </c>
      <c r="K495" s="34">
        <f>IF(A495="","",IFERROR(INDEX(Jobs!$AD$5:$AD$604,MATCH(A495,Jobs!$A$5:$A$604,0)),0))</f>
        <v>0</v>
      </c>
      <c r="L495" s="34">
        <f>IF(A495="","",IFERROR(INDEX(Jobs!$AK$5:$AK$604,MATCH(A495,Jobs!$A$5:$A$604,0)),0))</f>
        <v>0</v>
      </c>
      <c r="M495" s="34">
        <f>IF(A495="","",IF(IFERROR(L495*1,0)&gt;0,L495,IFERROR(K495*1,0)))</f>
        <v>0</v>
      </c>
      <c r="N495" s="21">
        <f>IF(A495="","",SUMIFS(Timesheets!$X$5:$X$804,Timesheets!$G$5:$G$804,A495))</f>
        <v>0</v>
      </c>
      <c r="O495" s="21">
        <f>IF(A495="","",IF(N495&gt;0,N495,ROUND(M495*CostPerHour,2)))</f>
        <v>0</v>
      </c>
      <c r="P495" s="21">
        <f>IF(A495="","",SUMIFS('Supply Usage'!$L$5:$L$304,'Supply Usage'!$F$5:$F$304,A495))</f>
        <v>0</v>
      </c>
      <c r="Q495" s="21">
        <f>IF(A495="","",IF(P495&gt;0,P495,ROUND(M495*SuppliesPerHour,2)))</f>
        <v>0</v>
      </c>
      <c r="R495" s="21">
        <f>IF(A495="","",ROUND(IFERROR(INDEX(Jobs!$W$5:$W$604,MATCH(A495,Jobs!$A$5:$A$604,0)),0)*MileageRate,2))</f>
        <v>0</v>
      </c>
      <c r="T495" s="21">
        <f>IF(A495="","",O495+Q495+R495+IF(S495="",0,S495))</f>
        <v>0</v>
      </c>
      <c r="U495" s="21">
        <f>IF(A495="","",J495-T495)</f>
        <v>0</v>
      </c>
      <c r="V495" s="38">
        <f>IF(OR(A495="",J495=0),"",U495/J495)</f>
        <v>0</v>
      </c>
      <c r="W495" s="21">
        <f>IF(OR(A495="",M495=0,J495=0),"",U495/M495)</f>
        <v>0</v>
      </c>
      <c r="X495" s="34">
        <f>IF(OR(A495="",L495="",L495=0,K495=""),"",L495-K495)</f>
        <v>0</v>
      </c>
      <c r="Y495" s="31">
        <f>IF(A495="","",COUNTIFS($U$5:$U$604,"&gt;"&amp;U495)+COUNTIFS($U$5:U495,U495))</f>
        <v>0</v>
      </c>
      <c r="Z495" s="31">
        <f>IF(A495="","",COUNTIFS($W$5:$W$604,"&gt;"&amp;W495)+COUNTIFS($W$5:W495,W495))</f>
        <v>0</v>
      </c>
      <c r="AA495" s="39">
        <f>IF(A495="","",IF(J495=0,"",IF(U495&lt;0,"Loss - this job cost you money",IF(V495&lt;MarginFloor,"Below - margin under the floor",IF(V495&lt;TargetMargin,"Check - under target margin",IF(AND(X495&lt;&gt;"",X495&gt;0.5),"Check - ran over the estimate","OK"))))))</f>
        <v>0</v>
      </c>
    </row>
    <row r="496" spans="1:27">
      <c r="A496" s="43">
        <f>IF(IFERROR(INDEX(Jobs!$A$5:$A$604,ROW()-4),"")="","",IFERROR(INDEX(Jobs!$A$5:$A$604,ROW()-4),""))</f>
        <v>0</v>
      </c>
      <c r="B496" s="18">
        <f>IF(A496="","",IFERROR(INDEX(Jobs!$B$5:$B$604,MATCH(A496,Jobs!$A$5:$A$604,0)),""))</f>
        <v>0</v>
      </c>
      <c r="C496" s="23">
        <f>IF(B496="","",TEXT(B496,"yyyy-mm"))</f>
        <v>0</v>
      </c>
      <c r="D496" s="43">
        <f>IF(A496="","",IFERROR(INDEX(Jobs!$G$5:$G$604,MATCH(A496,Jobs!$A$5:$A$604,0)),""))</f>
        <v>0</v>
      </c>
      <c r="E496" s="23">
        <f>IF(A496="","",IFERROR(INDEX(Jobs!$H$5:$H$604,MATCH(A496,Jobs!$A$5:$A$604,0)),""))</f>
        <v>0</v>
      </c>
      <c r="F496" s="23">
        <f>IF(A496="","",IFERROR(INDEX(Jobs!$K$5:$K$604,MATCH(A496,Jobs!$A$5:$A$604,0)),""))</f>
        <v>0</v>
      </c>
      <c r="G496" s="23">
        <f>IF(A496="","",IFERROR(INDEX(Jobs!$M$5:$M$604,MATCH(A496,Jobs!$A$5:$A$604,0)),""))</f>
        <v>0</v>
      </c>
      <c r="H496" s="23">
        <f>IF(A496="","",IFERROR(INDEX(Jobs!$R$5:$R$604,MATCH(A496,Jobs!$A$5:$A$604,0)),""))</f>
        <v>0</v>
      </c>
      <c r="I496" s="39">
        <f>IF(A496="","",IFERROR(INDEX(Jobs!$P$5:$P$604,MATCH(A496,Jobs!$A$5:$A$604,0)),""))</f>
        <v>0</v>
      </c>
      <c r="J496" s="21">
        <f>IF(A496="","",IF(OR(I496="Completed",I496="Invoiced"),IFERROR(INDEX(Jobs!$AJ$5:$AJ$604,MATCH(A496,Jobs!$A$5:$A$604,0)),0),0))</f>
        <v>0</v>
      </c>
      <c r="K496" s="34">
        <f>IF(A496="","",IFERROR(INDEX(Jobs!$AD$5:$AD$604,MATCH(A496,Jobs!$A$5:$A$604,0)),0))</f>
        <v>0</v>
      </c>
      <c r="L496" s="34">
        <f>IF(A496="","",IFERROR(INDEX(Jobs!$AK$5:$AK$604,MATCH(A496,Jobs!$A$5:$A$604,0)),0))</f>
        <v>0</v>
      </c>
      <c r="M496" s="34">
        <f>IF(A496="","",IF(IFERROR(L496*1,0)&gt;0,L496,IFERROR(K496*1,0)))</f>
        <v>0</v>
      </c>
      <c r="N496" s="21">
        <f>IF(A496="","",SUMIFS(Timesheets!$X$5:$X$804,Timesheets!$G$5:$G$804,A496))</f>
        <v>0</v>
      </c>
      <c r="O496" s="21">
        <f>IF(A496="","",IF(N496&gt;0,N496,ROUND(M496*CostPerHour,2)))</f>
        <v>0</v>
      </c>
      <c r="P496" s="21">
        <f>IF(A496="","",SUMIFS('Supply Usage'!$L$5:$L$304,'Supply Usage'!$F$5:$F$304,A496))</f>
        <v>0</v>
      </c>
      <c r="Q496" s="21">
        <f>IF(A496="","",IF(P496&gt;0,P496,ROUND(M496*SuppliesPerHour,2)))</f>
        <v>0</v>
      </c>
      <c r="R496" s="21">
        <f>IF(A496="","",ROUND(IFERROR(INDEX(Jobs!$W$5:$W$604,MATCH(A496,Jobs!$A$5:$A$604,0)),0)*MileageRate,2))</f>
        <v>0</v>
      </c>
      <c r="T496" s="21">
        <f>IF(A496="","",O496+Q496+R496+IF(S496="",0,S496))</f>
        <v>0</v>
      </c>
      <c r="U496" s="21">
        <f>IF(A496="","",J496-T496)</f>
        <v>0</v>
      </c>
      <c r="V496" s="38">
        <f>IF(OR(A496="",J496=0),"",U496/J496)</f>
        <v>0</v>
      </c>
      <c r="W496" s="21">
        <f>IF(OR(A496="",M496=0,J496=0),"",U496/M496)</f>
        <v>0</v>
      </c>
      <c r="X496" s="34">
        <f>IF(OR(A496="",L496="",L496=0,K496=""),"",L496-K496)</f>
        <v>0</v>
      </c>
      <c r="Y496" s="31">
        <f>IF(A496="","",COUNTIFS($U$5:$U$604,"&gt;"&amp;U496)+COUNTIFS($U$5:U496,U496))</f>
        <v>0</v>
      </c>
      <c r="Z496" s="31">
        <f>IF(A496="","",COUNTIFS($W$5:$W$604,"&gt;"&amp;W496)+COUNTIFS($W$5:W496,W496))</f>
        <v>0</v>
      </c>
      <c r="AA496" s="39">
        <f>IF(A496="","",IF(J496=0,"",IF(U496&lt;0,"Loss - this job cost you money",IF(V496&lt;MarginFloor,"Below - margin under the floor",IF(V496&lt;TargetMargin,"Check - under target margin",IF(AND(X496&lt;&gt;"",X496&gt;0.5),"Check - ran over the estimate","OK"))))))</f>
        <v>0</v>
      </c>
    </row>
    <row r="497" spans="1:27">
      <c r="A497" s="43">
        <f>IF(IFERROR(INDEX(Jobs!$A$5:$A$604,ROW()-4),"")="","",IFERROR(INDEX(Jobs!$A$5:$A$604,ROW()-4),""))</f>
        <v>0</v>
      </c>
      <c r="B497" s="18">
        <f>IF(A497="","",IFERROR(INDEX(Jobs!$B$5:$B$604,MATCH(A497,Jobs!$A$5:$A$604,0)),""))</f>
        <v>0</v>
      </c>
      <c r="C497" s="23">
        <f>IF(B497="","",TEXT(B497,"yyyy-mm"))</f>
        <v>0</v>
      </c>
      <c r="D497" s="43">
        <f>IF(A497="","",IFERROR(INDEX(Jobs!$G$5:$G$604,MATCH(A497,Jobs!$A$5:$A$604,0)),""))</f>
        <v>0</v>
      </c>
      <c r="E497" s="23">
        <f>IF(A497="","",IFERROR(INDEX(Jobs!$H$5:$H$604,MATCH(A497,Jobs!$A$5:$A$604,0)),""))</f>
        <v>0</v>
      </c>
      <c r="F497" s="23">
        <f>IF(A497="","",IFERROR(INDEX(Jobs!$K$5:$K$604,MATCH(A497,Jobs!$A$5:$A$604,0)),""))</f>
        <v>0</v>
      </c>
      <c r="G497" s="23">
        <f>IF(A497="","",IFERROR(INDEX(Jobs!$M$5:$M$604,MATCH(A497,Jobs!$A$5:$A$604,0)),""))</f>
        <v>0</v>
      </c>
      <c r="H497" s="23">
        <f>IF(A497="","",IFERROR(INDEX(Jobs!$R$5:$R$604,MATCH(A497,Jobs!$A$5:$A$604,0)),""))</f>
        <v>0</v>
      </c>
      <c r="I497" s="39">
        <f>IF(A497="","",IFERROR(INDEX(Jobs!$P$5:$P$604,MATCH(A497,Jobs!$A$5:$A$604,0)),""))</f>
        <v>0</v>
      </c>
      <c r="J497" s="21">
        <f>IF(A497="","",IF(OR(I497="Completed",I497="Invoiced"),IFERROR(INDEX(Jobs!$AJ$5:$AJ$604,MATCH(A497,Jobs!$A$5:$A$604,0)),0),0))</f>
        <v>0</v>
      </c>
      <c r="K497" s="34">
        <f>IF(A497="","",IFERROR(INDEX(Jobs!$AD$5:$AD$604,MATCH(A497,Jobs!$A$5:$A$604,0)),0))</f>
        <v>0</v>
      </c>
      <c r="L497" s="34">
        <f>IF(A497="","",IFERROR(INDEX(Jobs!$AK$5:$AK$604,MATCH(A497,Jobs!$A$5:$A$604,0)),0))</f>
        <v>0</v>
      </c>
      <c r="M497" s="34">
        <f>IF(A497="","",IF(IFERROR(L497*1,0)&gt;0,L497,IFERROR(K497*1,0)))</f>
        <v>0</v>
      </c>
      <c r="N497" s="21">
        <f>IF(A497="","",SUMIFS(Timesheets!$X$5:$X$804,Timesheets!$G$5:$G$804,A497))</f>
        <v>0</v>
      </c>
      <c r="O497" s="21">
        <f>IF(A497="","",IF(N497&gt;0,N497,ROUND(M497*CostPerHour,2)))</f>
        <v>0</v>
      </c>
      <c r="P497" s="21">
        <f>IF(A497="","",SUMIFS('Supply Usage'!$L$5:$L$304,'Supply Usage'!$F$5:$F$304,A497))</f>
        <v>0</v>
      </c>
      <c r="Q497" s="21">
        <f>IF(A497="","",IF(P497&gt;0,P497,ROUND(M497*SuppliesPerHour,2)))</f>
        <v>0</v>
      </c>
      <c r="R497" s="21">
        <f>IF(A497="","",ROUND(IFERROR(INDEX(Jobs!$W$5:$W$604,MATCH(A497,Jobs!$A$5:$A$604,0)),0)*MileageRate,2))</f>
        <v>0</v>
      </c>
      <c r="T497" s="21">
        <f>IF(A497="","",O497+Q497+R497+IF(S497="",0,S497))</f>
        <v>0</v>
      </c>
      <c r="U497" s="21">
        <f>IF(A497="","",J497-T497)</f>
        <v>0</v>
      </c>
      <c r="V497" s="38">
        <f>IF(OR(A497="",J497=0),"",U497/J497)</f>
        <v>0</v>
      </c>
      <c r="W497" s="21">
        <f>IF(OR(A497="",M497=0,J497=0),"",U497/M497)</f>
        <v>0</v>
      </c>
      <c r="X497" s="34">
        <f>IF(OR(A497="",L497="",L497=0,K497=""),"",L497-K497)</f>
        <v>0</v>
      </c>
      <c r="Y497" s="31">
        <f>IF(A497="","",COUNTIFS($U$5:$U$604,"&gt;"&amp;U497)+COUNTIFS($U$5:U497,U497))</f>
        <v>0</v>
      </c>
      <c r="Z497" s="31">
        <f>IF(A497="","",COUNTIFS($W$5:$W$604,"&gt;"&amp;W497)+COUNTIFS($W$5:W497,W497))</f>
        <v>0</v>
      </c>
      <c r="AA497" s="39">
        <f>IF(A497="","",IF(J497=0,"",IF(U497&lt;0,"Loss - this job cost you money",IF(V497&lt;MarginFloor,"Below - margin under the floor",IF(V497&lt;TargetMargin,"Check - under target margin",IF(AND(X497&lt;&gt;"",X497&gt;0.5),"Check - ran over the estimate","OK"))))))</f>
        <v>0</v>
      </c>
    </row>
    <row r="498" spans="1:27">
      <c r="A498" s="43">
        <f>IF(IFERROR(INDEX(Jobs!$A$5:$A$604,ROW()-4),"")="","",IFERROR(INDEX(Jobs!$A$5:$A$604,ROW()-4),""))</f>
        <v>0</v>
      </c>
      <c r="B498" s="18">
        <f>IF(A498="","",IFERROR(INDEX(Jobs!$B$5:$B$604,MATCH(A498,Jobs!$A$5:$A$604,0)),""))</f>
        <v>0</v>
      </c>
      <c r="C498" s="23">
        <f>IF(B498="","",TEXT(B498,"yyyy-mm"))</f>
        <v>0</v>
      </c>
      <c r="D498" s="43">
        <f>IF(A498="","",IFERROR(INDEX(Jobs!$G$5:$G$604,MATCH(A498,Jobs!$A$5:$A$604,0)),""))</f>
        <v>0</v>
      </c>
      <c r="E498" s="23">
        <f>IF(A498="","",IFERROR(INDEX(Jobs!$H$5:$H$604,MATCH(A498,Jobs!$A$5:$A$604,0)),""))</f>
        <v>0</v>
      </c>
      <c r="F498" s="23">
        <f>IF(A498="","",IFERROR(INDEX(Jobs!$K$5:$K$604,MATCH(A498,Jobs!$A$5:$A$604,0)),""))</f>
        <v>0</v>
      </c>
      <c r="G498" s="23">
        <f>IF(A498="","",IFERROR(INDEX(Jobs!$M$5:$M$604,MATCH(A498,Jobs!$A$5:$A$604,0)),""))</f>
        <v>0</v>
      </c>
      <c r="H498" s="23">
        <f>IF(A498="","",IFERROR(INDEX(Jobs!$R$5:$R$604,MATCH(A498,Jobs!$A$5:$A$604,0)),""))</f>
        <v>0</v>
      </c>
      <c r="I498" s="39">
        <f>IF(A498="","",IFERROR(INDEX(Jobs!$P$5:$P$604,MATCH(A498,Jobs!$A$5:$A$604,0)),""))</f>
        <v>0</v>
      </c>
      <c r="J498" s="21">
        <f>IF(A498="","",IF(OR(I498="Completed",I498="Invoiced"),IFERROR(INDEX(Jobs!$AJ$5:$AJ$604,MATCH(A498,Jobs!$A$5:$A$604,0)),0),0))</f>
        <v>0</v>
      </c>
      <c r="K498" s="34">
        <f>IF(A498="","",IFERROR(INDEX(Jobs!$AD$5:$AD$604,MATCH(A498,Jobs!$A$5:$A$604,0)),0))</f>
        <v>0</v>
      </c>
      <c r="L498" s="34">
        <f>IF(A498="","",IFERROR(INDEX(Jobs!$AK$5:$AK$604,MATCH(A498,Jobs!$A$5:$A$604,0)),0))</f>
        <v>0</v>
      </c>
      <c r="M498" s="34">
        <f>IF(A498="","",IF(IFERROR(L498*1,0)&gt;0,L498,IFERROR(K498*1,0)))</f>
        <v>0</v>
      </c>
      <c r="N498" s="21">
        <f>IF(A498="","",SUMIFS(Timesheets!$X$5:$X$804,Timesheets!$G$5:$G$804,A498))</f>
        <v>0</v>
      </c>
      <c r="O498" s="21">
        <f>IF(A498="","",IF(N498&gt;0,N498,ROUND(M498*CostPerHour,2)))</f>
        <v>0</v>
      </c>
      <c r="P498" s="21">
        <f>IF(A498="","",SUMIFS('Supply Usage'!$L$5:$L$304,'Supply Usage'!$F$5:$F$304,A498))</f>
        <v>0</v>
      </c>
      <c r="Q498" s="21">
        <f>IF(A498="","",IF(P498&gt;0,P498,ROUND(M498*SuppliesPerHour,2)))</f>
        <v>0</v>
      </c>
      <c r="R498" s="21">
        <f>IF(A498="","",ROUND(IFERROR(INDEX(Jobs!$W$5:$W$604,MATCH(A498,Jobs!$A$5:$A$604,0)),0)*MileageRate,2))</f>
        <v>0</v>
      </c>
      <c r="T498" s="21">
        <f>IF(A498="","",O498+Q498+R498+IF(S498="",0,S498))</f>
        <v>0</v>
      </c>
      <c r="U498" s="21">
        <f>IF(A498="","",J498-T498)</f>
        <v>0</v>
      </c>
      <c r="V498" s="38">
        <f>IF(OR(A498="",J498=0),"",U498/J498)</f>
        <v>0</v>
      </c>
      <c r="W498" s="21">
        <f>IF(OR(A498="",M498=0,J498=0),"",U498/M498)</f>
        <v>0</v>
      </c>
      <c r="X498" s="34">
        <f>IF(OR(A498="",L498="",L498=0,K498=""),"",L498-K498)</f>
        <v>0</v>
      </c>
      <c r="Y498" s="31">
        <f>IF(A498="","",COUNTIFS($U$5:$U$604,"&gt;"&amp;U498)+COUNTIFS($U$5:U498,U498))</f>
        <v>0</v>
      </c>
      <c r="Z498" s="31">
        <f>IF(A498="","",COUNTIFS($W$5:$W$604,"&gt;"&amp;W498)+COUNTIFS($W$5:W498,W498))</f>
        <v>0</v>
      </c>
      <c r="AA498" s="39">
        <f>IF(A498="","",IF(J498=0,"",IF(U498&lt;0,"Loss - this job cost you money",IF(V498&lt;MarginFloor,"Below - margin under the floor",IF(V498&lt;TargetMargin,"Check - under target margin",IF(AND(X498&lt;&gt;"",X498&gt;0.5),"Check - ran over the estimate","OK"))))))</f>
        <v>0</v>
      </c>
    </row>
    <row r="499" spans="1:27">
      <c r="A499" s="43">
        <f>IF(IFERROR(INDEX(Jobs!$A$5:$A$604,ROW()-4),"")="","",IFERROR(INDEX(Jobs!$A$5:$A$604,ROW()-4),""))</f>
        <v>0</v>
      </c>
      <c r="B499" s="18">
        <f>IF(A499="","",IFERROR(INDEX(Jobs!$B$5:$B$604,MATCH(A499,Jobs!$A$5:$A$604,0)),""))</f>
        <v>0</v>
      </c>
      <c r="C499" s="23">
        <f>IF(B499="","",TEXT(B499,"yyyy-mm"))</f>
        <v>0</v>
      </c>
      <c r="D499" s="43">
        <f>IF(A499="","",IFERROR(INDEX(Jobs!$G$5:$G$604,MATCH(A499,Jobs!$A$5:$A$604,0)),""))</f>
        <v>0</v>
      </c>
      <c r="E499" s="23">
        <f>IF(A499="","",IFERROR(INDEX(Jobs!$H$5:$H$604,MATCH(A499,Jobs!$A$5:$A$604,0)),""))</f>
        <v>0</v>
      </c>
      <c r="F499" s="23">
        <f>IF(A499="","",IFERROR(INDEX(Jobs!$K$5:$K$604,MATCH(A499,Jobs!$A$5:$A$604,0)),""))</f>
        <v>0</v>
      </c>
      <c r="G499" s="23">
        <f>IF(A499="","",IFERROR(INDEX(Jobs!$M$5:$M$604,MATCH(A499,Jobs!$A$5:$A$604,0)),""))</f>
        <v>0</v>
      </c>
      <c r="H499" s="23">
        <f>IF(A499="","",IFERROR(INDEX(Jobs!$R$5:$R$604,MATCH(A499,Jobs!$A$5:$A$604,0)),""))</f>
        <v>0</v>
      </c>
      <c r="I499" s="39">
        <f>IF(A499="","",IFERROR(INDEX(Jobs!$P$5:$P$604,MATCH(A499,Jobs!$A$5:$A$604,0)),""))</f>
        <v>0</v>
      </c>
      <c r="J499" s="21">
        <f>IF(A499="","",IF(OR(I499="Completed",I499="Invoiced"),IFERROR(INDEX(Jobs!$AJ$5:$AJ$604,MATCH(A499,Jobs!$A$5:$A$604,0)),0),0))</f>
        <v>0</v>
      </c>
      <c r="K499" s="34">
        <f>IF(A499="","",IFERROR(INDEX(Jobs!$AD$5:$AD$604,MATCH(A499,Jobs!$A$5:$A$604,0)),0))</f>
        <v>0</v>
      </c>
      <c r="L499" s="34">
        <f>IF(A499="","",IFERROR(INDEX(Jobs!$AK$5:$AK$604,MATCH(A499,Jobs!$A$5:$A$604,0)),0))</f>
        <v>0</v>
      </c>
      <c r="M499" s="34">
        <f>IF(A499="","",IF(IFERROR(L499*1,0)&gt;0,L499,IFERROR(K499*1,0)))</f>
        <v>0</v>
      </c>
      <c r="N499" s="21">
        <f>IF(A499="","",SUMIFS(Timesheets!$X$5:$X$804,Timesheets!$G$5:$G$804,A499))</f>
        <v>0</v>
      </c>
      <c r="O499" s="21">
        <f>IF(A499="","",IF(N499&gt;0,N499,ROUND(M499*CostPerHour,2)))</f>
        <v>0</v>
      </c>
      <c r="P499" s="21">
        <f>IF(A499="","",SUMIFS('Supply Usage'!$L$5:$L$304,'Supply Usage'!$F$5:$F$304,A499))</f>
        <v>0</v>
      </c>
      <c r="Q499" s="21">
        <f>IF(A499="","",IF(P499&gt;0,P499,ROUND(M499*SuppliesPerHour,2)))</f>
        <v>0</v>
      </c>
      <c r="R499" s="21">
        <f>IF(A499="","",ROUND(IFERROR(INDEX(Jobs!$W$5:$W$604,MATCH(A499,Jobs!$A$5:$A$604,0)),0)*MileageRate,2))</f>
        <v>0</v>
      </c>
      <c r="T499" s="21">
        <f>IF(A499="","",O499+Q499+R499+IF(S499="",0,S499))</f>
        <v>0</v>
      </c>
      <c r="U499" s="21">
        <f>IF(A499="","",J499-T499)</f>
        <v>0</v>
      </c>
      <c r="V499" s="38">
        <f>IF(OR(A499="",J499=0),"",U499/J499)</f>
        <v>0</v>
      </c>
      <c r="W499" s="21">
        <f>IF(OR(A499="",M499=0,J499=0),"",U499/M499)</f>
        <v>0</v>
      </c>
      <c r="X499" s="34">
        <f>IF(OR(A499="",L499="",L499=0,K499=""),"",L499-K499)</f>
        <v>0</v>
      </c>
      <c r="Y499" s="31">
        <f>IF(A499="","",COUNTIFS($U$5:$U$604,"&gt;"&amp;U499)+COUNTIFS($U$5:U499,U499))</f>
        <v>0</v>
      </c>
      <c r="Z499" s="31">
        <f>IF(A499="","",COUNTIFS($W$5:$W$604,"&gt;"&amp;W499)+COUNTIFS($W$5:W499,W499))</f>
        <v>0</v>
      </c>
      <c r="AA499" s="39">
        <f>IF(A499="","",IF(J499=0,"",IF(U499&lt;0,"Loss - this job cost you money",IF(V499&lt;MarginFloor,"Below - margin under the floor",IF(V499&lt;TargetMargin,"Check - under target margin",IF(AND(X499&lt;&gt;"",X499&gt;0.5),"Check - ran over the estimate","OK"))))))</f>
        <v>0</v>
      </c>
    </row>
    <row r="500" spans="1:27">
      <c r="A500" s="43">
        <f>IF(IFERROR(INDEX(Jobs!$A$5:$A$604,ROW()-4),"")="","",IFERROR(INDEX(Jobs!$A$5:$A$604,ROW()-4),""))</f>
        <v>0</v>
      </c>
      <c r="B500" s="18">
        <f>IF(A500="","",IFERROR(INDEX(Jobs!$B$5:$B$604,MATCH(A500,Jobs!$A$5:$A$604,0)),""))</f>
        <v>0</v>
      </c>
      <c r="C500" s="23">
        <f>IF(B500="","",TEXT(B500,"yyyy-mm"))</f>
        <v>0</v>
      </c>
      <c r="D500" s="43">
        <f>IF(A500="","",IFERROR(INDEX(Jobs!$G$5:$G$604,MATCH(A500,Jobs!$A$5:$A$604,0)),""))</f>
        <v>0</v>
      </c>
      <c r="E500" s="23">
        <f>IF(A500="","",IFERROR(INDEX(Jobs!$H$5:$H$604,MATCH(A500,Jobs!$A$5:$A$604,0)),""))</f>
        <v>0</v>
      </c>
      <c r="F500" s="23">
        <f>IF(A500="","",IFERROR(INDEX(Jobs!$K$5:$K$604,MATCH(A500,Jobs!$A$5:$A$604,0)),""))</f>
        <v>0</v>
      </c>
      <c r="G500" s="23">
        <f>IF(A500="","",IFERROR(INDEX(Jobs!$M$5:$M$604,MATCH(A500,Jobs!$A$5:$A$604,0)),""))</f>
        <v>0</v>
      </c>
      <c r="H500" s="23">
        <f>IF(A500="","",IFERROR(INDEX(Jobs!$R$5:$R$604,MATCH(A500,Jobs!$A$5:$A$604,0)),""))</f>
        <v>0</v>
      </c>
      <c r="I500" s="39">
        <f>IF(A500="","",IFERROR(INDEX(Jobs!$P$5:$P$604,MATCH(A500,Jobs!$A$5:$A$604,0)),""))</f>
        <v>0</v>
      </c>
      <c r="J500" s="21">
        <f>IF(A500="","",IF(OR(I500="Completed",I500="Invoiced"),IFERROR(INDEX(Jobs!$AJ$5:$AJ$604,MATCH(A500,Jobs!$A$5:$A$604,0)),0),0))</f>
        <v>0</v>
      </c>
      <c r="K500" s="34">
        <f>IF(A500="","",IFERROR(INDEX(Jobs!$AD$5:$AD$604,MATCH(A500,Jobs!$A$5:$A$604,0)),0))</f>
        <v>0</v>
      </c>
      <c r="L500" s="34">
        <f>IF(A500="","",IFERROR(INDEX(Jobs!$AK$5:$AK$604,MATCH(A500,Jobs!$A$5:$A$604,0)),0))</f>
        <v>0</v>
      </c>
      <c r="M500" s="34">
        <f>IF(A500="","",IF(IFERROR(L500*1,0)&gt;0,L500,IFERROR(K500*1,0)))</f>
        <v>0</v>
      </c>
      <c r="N500" s="21">
        <f>IF(A500="","",SUMIFS(Timesheets!$X$5:$X$804,Timesheets!$G$5:$G$804,A500))</f>
        <v>0</v>
      </c>
      <c r="O500" s="21">
        <f>IF(A500="","",IF(N500&gt;0,N500,ROUND(M500*CostPerHour,2)))</f>
        <v>0</v>
      </c>
      <c r="P500" s="21">
        <f>IF(A500="","",SUMIFS('Supply Usage'!$L$5:$L$304,'Supply Usage'!$F$5:$F$304,A500))</f>
        <v>0</v>
      </c>
      <c r="Q500" s="21">
        <f>IF(A500="","",IF(P500&gt;0,P500,ROUND(M500*SuppliesPerHour,2)))</f>
        <v>0</v>
      </c>
      <c r="R500" s="21">
        <f>IF(A500="","",ROUND(IFERROR(INDEX(Jobs!$W$5:$W$604,MATCH(A500,Jobs!$A$5:$A$604,0)),0)*MileageRate,2))</f>
        <v>0</v>
      </c>
      <c r="T500" s="21">
        <f>IF(A500="","",O500+Q500+R500+IF(S500="",0,S500))</f>
        <v>0</v>
      </c>
      <c r="U500" s="21">
        <f>IF(A500="","",J500-T500)</f>
        <v>0</v>
      </c>
      <c r="V500" s="38">
        <f>IF(OR(A500="",J500=0),"",U500/J500)</f>
        <v>0</v>
      </c>
      <c r="W500" s="21">
        <f>IF(OR(A500="",M500=0,J500=0),"",U500/M500)</f>
        <v>0</v>
      </c>
      <c r="X500" s="34">
        <f>IF(OR(A500="",L500="",L500=0,K500=""),"",L500-K500)</f>
        <v>0</v>
      </c>
      <c r="Y500" s="31">
        <f>IF(A500="","",COUNTIFS($U$5:$U$604,"&gt;"&amp;U500)+COUNTIFS($U$5:U500,U500))</f>
        <v>0</v>
      </c>
      <c r="Z500" s="31">
        <f>IF(A500="","",COUNTIFS($W$5:$W$604,"&gt;"&amp;W500)+COUNTIFS($W$5:W500,W500))</f>
        <v>0</v>
      </c>
      <c r="AA500" s="39">
        <f>IF(A500="","",IF(J500=0,"",IF(U500&lt;0,"Loss - this job cost you money",IF(V500&lt;MarginFloor,"Below - margin under the floor",IF(V500&lt;TargetMargin,"Check - under target margin",IF(AND(X500&lt;&gt;"",X500&gt;0.5),"Check - ran over the estimate","OK"))))))</f>
        <v>0</v>
      </c>
    </row>
    <row r="501" spans="1:27">
      <c r="A501" s="43">
        <f>IF(IFERROR(INDEX(Jobs!$A$5:$A$604,ROW()-4),"")="","",IFERROR(INDEX(Jobs!$A$5:$A$604,ROW()-4),""))</f>
        <v>0</v>
      </c>
      <c r="B501" s="18">
        <f>IF(A501="","",IFERROR(INDEX(Jobs!$B$5:$B$604,MATCH(A501,Jobs!$A$5:$A$604,0)),""))</f>
        <v>0</v>
      </c>
      <c r="C501" s="23">
        <f>IF(B501="","",TEXT(B501,"yyyy-mm"))</f>
        <v>0</v>
      </c>
      <c r="D501" s="43">
        <f>IF(A501="","",IFERROR(INDEX(Jobs!$G$5:$G$604,MATCH(A501,Jobs!$A$5:$A$604,0)),""))</f>
        <v>0</v>
      </c>
      <c r="E501" s="23">
        <f>IF(A501="","",IFERROR(INDEX(Jobs!$H$5:$H$604,MATCH(A501,Jobs!$A$5:$A$604,0)),""))</f>
        <v>0</v>
      </c>
      <c r="F501" s="23">
        <f>IF(A501="","",IFERROR(INDEX(Jobs!$K$5:$K$604,MATCH(A501,Jobs!$A$5:$A$604,0)),""))</f>
        <v>0</v>
      </c>
      <c r="G501" s="23">
        <f>IF(A501="","",IFERROR(INDEX(Jobs!$M$5:$M$604,MATCH(A501,Jobs!$A$5:$A$604,0)),""))</f>
        <v>0</v>
      </c>
      <c r="H501" s="23">
        <f>IF(A501="","",IFERROR(INDEX(Jobs!$R$5:$R$604,MATCH(A501,Jobs!$A$5:$A$604,0)),""))</f>
        <v>0</v>
      </c>
      <c r="I501" s="39">
        <f>IF(A501="","",IFERROR(INDEX(Jobs!$P$5:$P$604,MATCH(A501,Jobs!$A$5:$A$604,0)),""))</f>
        <v>0</v>
      </c>
      <c r="J501" s="21">
        <f>IF(A501="","",IF(OR(I501="Completed",I501="Invoiced"),IFERROR(INDEX(Jobs!$AJ$5:$AJ$604,MATCH(A501,Jobs!$A$5:$A$604,0)),0),0))</f>
        <v>0</v>
      </c>
      <c r="K501" s="34">
        <f>IF(A501="","",IFERROR(INDEX(Jobs!$AD$5:$AD$604,MATCH(A501,Jobs!$A$5:$A$604,0)),0))</f>
        <v>0</v>
      </c>
      <c r="L501" s="34">
        <f>IF(A501="","",IFERROR(INDEX(Jobs!$AK$5:$AK$604,MATCH(A501,Jobs!$A$5:$A$604,0)),0))</f>
        <v>0</v>
      </c>
      <c r="M501" s="34">
        <f>IF(A501="","",IF(IFERROR(L501*1,0)&gt;0,L501,IFERROR(K501*1,0)))</f>
        <v>0</v>
      </c>
      <c r="N501" s="21">
        <f>IF(A501="","",SUMIFS(Timesheets!$X$5:$X$804,Timesheets!$G$5:$G$804,A501))</f>
        <v>0</v>
      </c>
      <c r="O501" s="21">
        <f>IF(A501="","",IF(N501&gt;0,N501,ROUND(M501*CostPerHour,2)))</f>
        <v>0</v>
      </c>
      <c r="P501" s="21">
        <f>IF(A501="","",SUMIFS('Supply Usage'!$L$5:$L$304,'Supply Usage'!$F$5:$F$304,A501))</f>
        <v>0</v>
      </c>
      <c r="Q501" s="21">
        <f>IF(A501="","",IF(P501&gt;0,P501,ROUND(M501*SuppliesPerHour,2)))</f>
        <v>0</v>
      </c>
      <c r="R501" s="21">
        <f>IF(A501="","",ROUND(IFERROR(INDEX(Jobs!$W$5:$W$604,MATCH(A501,Jobs!$A$5:$A$604,0)),0)*MileageRate,2))</f>
        <v>0</v>
      </c>
      <c r="T501" s="21">
        <f>IF(A501="","",O501+Q501+R501+IF(S501="",0,S501))</f>
        <v>0</v>
      </c>
      <c r="U501" s="21">
        <f>IF(A501="","",J501-T501)</f>
        <v>0</v>
      </c>
      <c r="V501" s="38">
        <f>IF(OR(A501="",J501=0),"",U501/J501)</f>
        <v>0</v>
      </c>
      <c r="W501" s="21">
        <f>IF(OR(A501="",M501=0,J501=0),"",U501/M501)</f>
        <v>0</v>
      </c>
      <c r="X501" s="34">
        <f>IF(OR(A501="",L501="",L501=0,K501=""),"",L501-K501)</f>
        <v>0</v>
      </c>
      <c r="Y501" s="31">
        <f>IF(A501="","",COUNTIFS($U$5:$U$604,"&gt;"&amp;U501)+COUNTIFS($U$5:U501,U501))</f>
        <v>0</v>
      </c>
      <c r="Z501" s="31">
        <f>IF(A501="","",COUNTIFS($W$5:$W$604,"&gt;"&amp;W501)+COUNTIFS($W$5:W501,W501))</f>
        <v>0</v>
      </c>
      <c r="AA501" s="39">
        <f>IF(A501="","",IF(J501=0,"",IF(U501&lt;0,"Loss - this job cost you money",IF(V501&lt;MarginFloor,"Below - margin under the floor",IF(V501&lt;TargetMargin,"Check - under target margin",IF(AND(X501&lt;&gt;"",X501&gt;0.5),"Check - ran over the estimate","OK"))))))</f>
        <v>0</v>
      </c>
    </row>
    <row r="502" spans="1:27">
      <c r="A502" s="43">
        <f>IF(IFERROR(INDEX(Jobs!$A$5:$A$604,ROW()-4),"")="","",IFERROR(INDEX(Jobs!$A$5:$A$604,ROW()-4),""))</f>
        <v>0</v>
      </c>
      <c r="B502" s="18">
        <f>IF(A502="","",IFERROR(INDEX(Jobs!$B$5:$B$604,MATCH(A502,Jobs!$A$5:$A$604,0)),""))</f>
        <v>0</v>
      </c>
      <c r="C502" s="23">
        <f>IF(B502="","",TEXT(B502,"yyyy-mm"))</f>
        <v>0</v>
      </c>
      <c r="D502" s="43">
        <f>IF(A502="","",IFERROR(INDEX(Jobs!$G$5:$G$604,MATCH(A502,Jobs!$A$5:$A$604,0)),""))</f>
        <v>0</v>
      </c>
      <c r="E502" s="23">
        <f>IF(A502="","",IFERROR(INDEX(Jobs!$H$5:$H$604,MATCH(A502,Jobs!$A$5:$A$604,0)),""))</f>
        <v>0</v>
      </c>
      <c r="F502" s="23">
        <f>IF(A502="","",IFERROR(INDEX(Jobs!$K$5:$K$604,MATCH(A502,Jobs!$A$5:$A$604,0)),""))</f>
        <v>0</v>
      </c>
      <c r="G502" s="23">
        <f>IF(A502="","",IFERROR(INDEX(Jobs!$M$5:$M$604,MATCH(A502,Jobs!$A$5:$A$604,0)),""))</f>
        <v>0</v>
      </c>
      <c r="H502" s="23">
        <f>IF(A502="","",IFERROR(INDEX(Jobs!$R$5:$R$604,MATCH(A502,Jobs!$A$5:$A$604,0)),""))</f>
        <v>0</v>
      </c>
      <c r="I502" s="39">
        <f>IF(A502="","",IFERROR(INDEX(Jobs!$P$5:$P$604,MATCH(A502,Jobs!$A$5:$A$604,0)),""))</f>
        <v>0</v>
      </c>
      <c r="J502" s="21">
        <f>IF(A502="","",IF(OR(I502="Completed",I502="Invoiced"),IFERROR(INDEX(Jobs!$AJ$5:$AJ$604,MATCH(A502,Jobs!$A$5:$A$604,0)),0),0))</f>
        <v>0</v>
      </c>
      <c r="K502" s="34">
        <f>IF(A502="","",IFERROR(INDEX(Jobs!$AD$5:$AD$604,MATCH(A502,Jobs!$A$5:$A$604,0)),0))</f>
        <v>0</v>
      </c>
      <c r="L502" s="34">
        <f>IF(A502="","",IFERROR(INDEX(Jobs!$AK$5:$AK$604,MATCH(A502,Jobs!$A$5:$A$604,0)),0))</f>
        <v>0</v>
      </c>
      <c r="M502" s="34">
        <f>IF(A502="","",IF(IFERROR(L502*1,0)&gt;0,L502,IFERROR(K502*1,0)))</f>
        <v>0</v>
      </c>
      <c r="N502" s="21">
        <f>IF(A502="","",SUMIFS(Timesheets!$X$5:$X$804,Timesheets!$G$5:$G$804,A502))</f>
        <v>0</v>
      </c>
      <c r="O502" s="21">
        <f>IF(A502="","",IF(N502&gt;0,N502,ROUND(M502*CostPerHour,2)))</f>
        <v>0</v>
      </c>
      <c r="P502" s="21">
        <f>IF(A502="","",SUMIFS('Supply Usage'!$L$5:$L$304,'Supply Usage'!$F$5:$F$304,A502))</f>
        <v>0</v>
      </c>
      <c r="Q502" s="21">
        <f>IF(A502="","",IF(P502&gt;0,P502,ROUND(M502*SuppliesPerHour,2)))</f>
        <v>0</v>
      </c>
      <c r="R502" s="21">
        <f>IF(A502="","",ROUND(IFERROR(INDEX(Jobs!$W$5:$W$604,MATCH(A502,Jobs!$A$5:$A$604,0)),0)*MileageRate,2))</f>
        <v>0</v>
      </c>
      <c r="T502" s="21">
        <f>IF(A502="","",O502+Q502+R502+IF(S502="",0,S502))</f>
        <v>0</v>
      </c>
      <c r="U502" s="21">
        <f>IF(A502="","",J502-T502)</f>
        <v>0</v>
      </c>
      <c r="V502" s="38">
        <f>IF(OR(A502="",J502=0),"",U502/J502)</f>
        <v>0</v>
      </c>
      <c r="W502" s="21">
        <f>IF(OR(A502="",M502=0,J502=0),"",U502/M502)</f>
        <v>0</v>
      </c>
      <c r="X502" s="34">
        <f>IF(OR(A502="",L502="",L502=0,K502=""),"",L502-K502)</f>
        <v>0</v>
      </c>
      <c r="Y502" s="31">
        <f>IF(A502="","",COUNTIFS($U$5:$U$604,"&gt;"&amp;U502)+COUNTIFS($U$5:U502,U502))</f>
        <v>0</v>
      </c>
      <c r="Z502" s="31">
        <f>IF(A502="","",COUNTIFS($W$5:$W$604,"&gt;"&amp;W502)+COUNTIFS($W$5:W502,W502))</f>
        <v>0</v>
      </c>
      <c r="AA502" s="39">
        <f>IF(A502="","",IF(J502=0,"",IF(U502&lt;0,"Loss - this job cost you money",IF(V502&lt;MarginFloor,"Below - margin under the floor",IF(V502&lt;TargetMargin,"Check - under target margin",IF(AND(X502&lt;&gt;"",X502&gt;0.5),"Check - ran over the estimate","OK"))))))</f>
        <v>0</v>
      </c>
    </row>
    <row r="503" spans="1:27">
      <c r="A503" s="43">
        <f>IF(IFERROR(INDEX(Jobs!$A$5:$A$604,ROW()-4),"")="","",IFERROR(INDEX(Jobs!$A$5:$A$604,ROW()-4),""))</f>
        <v>0</v>
      </c>
      <c r="B503" s="18">
        <f>IF(A503="","",IFERROR(INDEX(Jobs!$B$5:$B$604,MATCH(A503,Jobs!$A$5:$A$604,0)),""))</f>
        <v>0</v>
      </c>
      <c r="C503" s="23">
        <f>IF(B503="","",TEXT(B503,"yyyy-mm"))</f>
        <v>0</v>
      </c>
      <c r="D503" s="43">
        <f>IF(A503="","",IFERROR(INDEX(Jobs!$G$5:$G$604,MATCH(A503,Jobs!$A$5:$A$604,0)),""))</f>
        <v>0</v>
      </c>
      <c r="E503" s="23">
        <f>IF(A503="","",IFERROR(INDEX(Jobs!$H$5:$H$604,MATCH(A503,Jobs!$A$5:$A$604,0)),""))</f>
        <v>0</v>
      </c>
      <c r="F503" s="23">
        <f>IF(A503="","",IFERROR(INDEX(Jobs!$K$5:$K$604,MATCH(A503,Jobs!$A$5:$A$604,0)),""))</f>
        <v>0</v>
      </c>
      <c r="G503" s="23">
        <f>IF(A503="","",IFERROR(INDEX(Jobs!$M$5:$M$604,MATCH(A503,Jobs!$A$5:$A$604,0)),""))</f>
        <v>0</v>
      </c>
      <c r="H503" s="23">
        <f>IF(A503="","",IFERROR(INDEX(Jobs!$R$5:$R$604,MATCH(A503,Jobs!$A$5:$A$604,0)),""))</f>
        <v>0</v>
      </c>
      <c r="I503" s="39">
        <f>IF(A503="","",IFERROR(INDEX(Jobs!$P$5:$P$604,MATCH(A503,Jobs!$A$5:$A$604,0)),""))</f>
        <v>0</v>
      </c>
      <c r="J503" s="21">
        <f>IF(A503="","",IF(OR(I503="Completed",I503="Invoiced"),IFERROR(INDEX(Jobs!$AJ$5:$AJ$604,MATCH(A503,Jobs!$A$5:$A$604,0)),0),0))</f>
        <v>0</v>
      </c>
      <c r="K503" s="34">
        <f>IF(A503="","",IFERROR(INDEX(Jobs!$AD$5:$AD$604,MATCH(A503,Jobs!$A$5:$A$604,0)),0))</f>
        <v>0</v>
      </c>
      <c r="L503" s="34">
        <f>IF(A503="","",IFERROR(INDEX(Jobs!$AK$5:$AK$604,MATCH(A503,Jobs!$A$5:$A$604,0)),0))</f>
        <v>0</v>
      </c>
      <c r="M503" s="34">
        <f>IF(A503="","",IF(IFERROR(L503*1,0)&gt;0,L503,IFERROR(K503*1,0)))</f>
        <v>0</v>
      </c>
      <c r="N503" s="21">
        <f>IF(A503="","",SUMIFS(Timesheets!$X$5:$X$804,Timesheets!$G$5:$G$804,A503))</f>
        <v>0</v>
      </c>
      <c r="O503" s="21">
        <f>IF(A503="","",IF(N503&gt;0,N503,ROUND(M503*CostPerHour,2)))</f>
        <v>0</v>
      </c>
      <c r="P503" s="21">
        <f>IF(A503="","",SUMIFS('Supply Usage'!$L$5:$L$304,'Supply Usage'!$F$5:$F$304,A503))</f>
        <v>0</v>
      </c>
      <c r="Q503" s="21">
        <f>IF(A503="","",IF(P503&gt;0,P503,ROUND(M503*SuppliesPerHour,2)))</f>
        <v>0</v>
      </c>
      <c r="R503" s="21">
        <f>IF(A503="","",ROUND(IFERROR(INDEX(Jobs!$W$5:$W$604,MATCH(A503,Jobs!$A$5:$A$604,0)),0)*MileageRate,2))</f>
        <v>0</v>
      </c>
      <c r="T503" s="21">
        <f>IF(A503="","",O503+Q503+R503+IF(S503="",0,S503))</f>
        <v>0</v>
      </c>
      <c r="U503" s="21">
        <f>IF(A503="","",J503-T503)</f>
        <v>0</v>
      </c>
      <c r="V503" s="38">
        <f>IF(OR(A503="",J503=0),"",U503/J503)</f>
        <v>0</v>
      </c>
      <c r="W503" s="21">
        <f>IF(OR(A503="",M503=0,J503=0),"",U503/M503)</f>
        <v>0</v>
      </c>
      <c r="X503" s="34">
        <f>IF(OR(A503="",L503="",L503=0,K503=""),"",L503-K503)</f>
        <v>0</v>
      </c>
      <c r="Y503" s="31">
        <f>IF(A503="","",COUNTIFS($U$5:$U$604,"&gt;"&amp;U503)+COUNTIFS($U$5:U503,U503))</f>
        <v>0</v>
      </c>
      <c r="Z503" s="31">
        <f>IF(A503="","",COUNTIFS($W$5:$W$604,"&gt;"&amp;W503)+COUNTIFS($W$5:W503,W503))</f>
        <v>0</v>
      </c>
      <c r="AA503" s="39">
        <f>IF(A503="","",IF(J503=0,"",IF(U503&lt;0,"Loss - this job cost you money",IF(V503&lt;MarginFloor,"Below - margin under the floor",IF(V503&lt;TargetMargin,"Check - under target margin",IF(AND(X503&lt;&gt;"",X503&gt;0.5),"Check - ran over the estimate","OK"))))))</f>
        <v>0</v>
      </c>
    </row>
    <row r="504" spans="1:27">
      <c r="A504" s="43">
        <f>IF(IFERROR(INDEX(Jobs!$A$5:$A$604,ROW()-4),"")="","",IFERROR(INDEX(Jobs!$A$5:$A$604,ROW()-4),""))</f>
        <v>0</v>
      </c>
      <c r="B504" s="18">
        <f>IF(A504="","",IFERROR(INDEX(Jobs!$B$5:$B$604,MATCH(A504,Jobs!$A$5:$A$604,0)),""))</f>
        <v>0</v>
      </c>
      <c r="C504" s="23">
        <f>IF(B504="","",TEXT(B504,"yyyy-mm"))</f>
        <v>0</v>
      </c>
      <c r="D504" s="43">
        <f>IF(A504="","",IFERROR(INDEX(Jobs!$G$5:$G$604,MATCH(A504,Jobs!$A$5:$A$604,0)),""))</f>
        <v>0</v>
      </c>
      <c r="E504" s="23">
        <f>IF(A504="","",IFERROR(INDEX(Jobs!$H$5:$H$604,MATCH(A504,Jobs!$A$5:$A$604,0)),""))</f>
        <v>0</v>
      </c>
      <c r="F504" s="23">
        <f>IF(A504="","",IFERROR(INDEX(Jobs!$K$5:$K$604,MATCH(A504,Jobs!$A$5:$A$604,0)),""))</f>
        <v>0</v>
      </c>
      <c r="G504" s="23">
        <f>IF(A504="","",IFERROR(INDEX(Jobs!$M$5:$M$604,MATCH(A504,Jobs!$A$5:$A$604,0)),""))</f>
        <v>0</v>
      </c>
      <c r="H504" s="23">
        <f>IF(A504="","",IFERROR(INDEX(Jobs!$R$5:$R$604,MATCH(A504,Jobs!$A$5:$A$604,0)),""))</f>
        <v>0</v>
      </c>
      <c r="I504" s="39">
        <f>IF(A504="","",IFERROR(INDEX(Jobs!$P$5:$P$604,MATCH(A504,Jobs!$A$5:$A$604,0)),""))</f>
        <v>0</v>
      </c>
      <c r="J504" s="21">
        <f>IF(A504="","",IF(OR(I504="Completed",I504="Invoiced"),IFERROR(INDEX(Jobs!$AJ$5:$AJ$604,MATCH(A504,Jobs!$A$5:$A$604,0)),0),0))</f>
        <v>0</v>
      </c>
      <c r="K504" s="34">
        <f>IF(A504="","",IFERROR(INDEX(Jobs!$AD$5:$AD$604,MATCH(A504,Jobs!$A$5:$A$604,0)),0))</f>
        <v>0</v>
      </c>
      <c r="L504" s="34">
        <f>IF(A504="","",IFERROR(INDEX(Jobs!$AK$5:$AK$604,MATCH(A504,Jobs!$A$5:$A$604,0)),0))</f>
        <v>0</v>
      </c>
      <c r="M504" s="34">
        <f>IF(A504="","",IF(IFERROR(L504*1,0)&gt;0,L504,IFERROR(K504*1,0)))</f>
        <v>0</v>
      </c>
      <c r="N504" s="21">
        <f>IF(A504="","",SUMIFS(Timesheets!$X$5:$X$804,Timesheets!$G$5:$G$804,A504))</f>
        <v>0</v>
      </c>
      <c r="O504" s="21">
        <f>IF(A504="","",IF(N504&gt;0,N504,ROUND(M504*CostPerHour,2)))</f>
        <v>0</v>
      </c>
      <c r="P504" s="21">
        <f>IF(A504="","",SUMIFS('Supply Usage'!$L$5:$L$304,'Supply Usage'!$F$5:$F$304,A504))</f>
        <v>0</v>
      </c>
      <c r="Q504" s="21">
        <f>IF(A504="","",IF(P504&gt;0,P504,ROUND(M504*SuppliesPerHour,2)))</f>
        <v>0</v>
      </c>
      <c r="R504" s="21">
        <f>IF(A504="","",ROUND(IFERROR(INDEX(Jobs!$W$5:$W$604,MATCH(A504,Jobs!$A$5:$A$604,0)),0)*MileageRate,2))</f>
        <v>0</v>
      </c>
      <c r="T504" s="21">
        <f>IF(A504="","",O504+Q504+R504+IF(S504="",0,S504))</f>
        <v>0</v>
      </c>
      <c r="U504" s="21">
        <f>IF(A504="","",J504-T504)</f>
        <v>0</v>
      </c>
      <c r="V504" s="38">
        <f>IF(OR(A504="",J504=0),"",U504/J504)</f>
        <v>0</v>
      </c>
      <c r="W504" s="21">
        <f>IF(OR(A504="",M504=0,J504=0),"",U504/M504)</f>
        <v>0</v>
      </c>
      <c r="X504" s="34">
        <f>IF(OR(A504="",L504="",L504=0,K504=""),"",L504-K504)</f>
        <v>0</v>
      </c>
      <c r="Y504" s="31">
        <f>IF(A504="","",COUNTIFS($U$5:$U$604,"&gt;"&amp;U504)+COUNTIFS($U$5:U504,U504))</f>
        <v>0</v>
      </c>
      <c r="Z504" s="31">
        <f>IF(A504="","",COUNTIFS($W$5:$W$604,"&gt;"&amp;W504)+COUNTIFS($W$5:W504,W504))</f>
        <v>0</v>
      </c>
      <c r="AA504" s="39">
        <f>IF(A504="","",IF(J504=0,"",IF(U504&lt;0,"Loss - this job cost you money",IF(V504&lt;MarginFloor,"Below - margin under the floor",IF(V504&lt;TargetMargin,"Check - under target margin",IF(AND(X504&lt;&gt;"",X504&gt;0.5),"Check - ran over the estimate","OK"))))))</f>
        <v>0</v>
      </c>
    </row>
    <row r="505" spans="1:27">
      <c r="A505" s="43">
        <f>IF(IFERROR(INDEX(Jobs!$A$5:$A$604,ROW()-4),"")="","",IFERROR(INDEX(Jobs!$A$5:$A$604,ROW()-4),""))</f>
        <v>0</v>
      </c>
      <c r="B505" s="18">
        <f>IF(A505="","",IFERROR(INDEX(Jobs!$B$5:$B$604,MATCH(A505,Jobs!$A$5:$A$604,0)),""))</f>
        <v>0</v>
      </c>
      <c r="C505" s="23">
        <f>IF(B505="","",TEXT(B505,"yyyy-mm"))</f>
        <v>0</v>
      </c>
      <c r="D505" s="43">
        <f>IF(A505="","",IFERROR(INDEX(Jobs!$G$5:$G$604,MATCH(A505,Jobs!$A$5:$A$604,0)),""))</f>
        <v>0</v>
      </c>
      <c r="E505" s="23">
        <f>IF(A505="","",IFERROR(INDEX(Jobs!$H$5:$H$604,MATCH(A505,Jobs!$A$5:$A$604,0)),""))</f>
        <v>0</v>
      </c>
      <c r="F505" s="23">
        <f>IF(A505="","",IFERROR(INDEX(Jobs!$K$5:$K$604,MATCH(A505,Jobs!$A$5:$A$604,0)),""))</f>
        <v>0</v>
      </c>
      <c r="G505" s="23">
        <f>IF(A505="","",IFERROR(INDEX(Jobs!$M$5:$M$604,MATCH(A505,Jobs!$A$5:$A$604,0)),""))</f>
        <v>0</v>
      </c>
      <c r="H505" s="23">
        <f>IF(A505="","",IFERROR(INDEX(Jobs!$R$5:$R$604,MATCH(A505,Jobs!$A$5:$A$604,0)),""))</f>
        <v>0</v>
      </c>
      <c r="I505" s="39">
        <f>IF(A505="","",IFERROR(INDEX(Jobs!$P$5:$P$604,MATCH(A505,Jobs!$A$5:$A$604,0)),""))</f>
        <v>0</v>
      </c>
      <c r="J505" s="21">
        <f>IF(A505="","",IF(OR(I505="Completed",I505="Invoiced"),IFERROR(INDEX(Jobs!$AJ$5:$AJ$604,MATCH(A505,Jobs!$A$5:$A$604,0)),0),0))</f>
        <v>0</v>
      </c>
      <c r="K505" s="34">
        <f>IF(A505="","",IFERROR(INDEX(Jobs!$AD$5:$AD$604,MATCH(A505,Jobs!$A$5:$A$604,0)),0))</f>
        <v>0</v>
      </c>
      <c r="L505" s="34">
        <f>IF(A505="","",IFERROR(INDEX(Jobs!$AK$5:$AK$604,MATCH(A505,Jobs!$A$5:$A$604,0)),0))</f>
        <v>0</v>
      </c>
      <c r="M505" s="34">
        <f>IF(A505="","",IF(IFERROR(L505*1,0)&gt;0,L505,IFERROR(K505*1,0)))</f>
        <v>0</v>
      </c>
      <c r="N505" s="21">
        <f>IF(A505="","",SUMIFS(Timesheets!$X$5:$X$804,Timesheets!$G$5:$G$804,A505))</f>
        <v>0</v>
      </c>
      <c r="O505" s="21">
        <f>IF(A505="","",IF(N505&gt;0,N505,ROUND(M505*CostPerHour,2)))</f>
        <v>0</v>
      </c>
      <c r="P505" s="21">
        <f>IF(A505="","",SUMIFS('Supply Usage'!$L$5:$L$304,'Supply Usage'!$F$5:$F$304,A505))</f>
        <v>0</v>
      </c>
      <c r="Q505" s="21">
        <f>IF(A505="","",IF(P505&gt;0,P505,ROUND(M505*SuppliesPerHour,2)))</f>
        <v>0</v>
      </c>
      <c r="R505" s="21">
        <f>IF(A505="","",ROUND(IFERROR(INDEX(Jobs!$W$5:$W$604,MATCH(A505,Jobs!$A$5:$A$604,0)),0)*MileageRate,2))</f>
        <v>0</v>
      </c>
      <c r="T505" s="21">
        <f>IF(A505="","",O505+Q505+R505+IF(S505="",0,S505))</f>
        <v>0</v>
      </c>
      <c r="U505" s="21">
        <f>IF(A505="","",J505-T505)</f>
        <v>0</v>
      </c>
      <c r="V505" s="38">
        <f>IF(OR(A505="",J505=0),"",U505/J505)</f>
        <v>0</v>
      </c>
      <c r="W505" s="21">
        <f>IF(OR(A505="",M505=0,J505=0),"",U505/M505)</f>
        <v>0</v>
      </c>
      <c r="X505" s="34">
        <f>IF(OR(A505="",L505="",L505=0,K505=""),"",L505-K505)</f>
        <v>0</v>
      </c>
      <c r="Y505" s="31">
        <f>IF(A505="","",COUNTIFS($U$5:$U$604,"&gt;"&amp;U505)+COUNTIFS($U$5:U505,U505))</f>
        <v>0</v>
      </c>
      <c r="Z505" s="31">
        <f>IF(A505="","",COUNTIFS($W$5:$W$604,"&gt;"&amp;W505)+COUNTIFS($W$5:W505,W505))</f>
        <v>0</v>
      </c>
      <c r="AA505" s="39">
        <f>IF(A505="","",IF(J505=0,"",IF(U505&lt;0,"Loss - this job cost you money",IF(V505&lt;MarginFloor,"Below - margin under the floor",IF(V505&lt;TargetMargin,"Check - under target margin",IF(AND(X505&lt;&gt;"",X505&gt;0.5),"Check - ran over the estimate","OK"))))))</f>
        <v>0</v>
      </c>
    </row>
    <row r="506" spans="1:27">
      <c r="A506" s="43">
        <f>IF(IFERROR(INDEX(Jobs!$A$5:$A$604,ROW()-4),"")="","",IFERROR(INDEX(Jobs!$A$5:$A$604,ROW()-4),""))</f>
        <v>0</v>
      </c>
      <c r="B506" s="18">
        <f>IF(A506="","",IFERROR(INDEX(Jobs!$B$5:$B$604,MATCH(A506,Jobs!$A$5:$A$604,0)),""))</f>
        <v>0</v>
      </c>
      <c r="C506" s="23">
        <f>IF(B506="","",TEXT(B506,"yyyy-mm"))</f>
        <v>0</v>
      </c>
      <c r="D506" s="43">
        <f>IF(A506="","",IFERROR(INDEX(Jobs!$G$5:$G$604,MATCH(A506,Jobs!$A$5:$A$604,0)),""))</f>
        <v>0</v>
      </c>
      <c r="E506" s="23">
        <f>IF(A506="","",IFERROR(INDEX(Jobs!$H$5:$H$604,MATCH(A506,Jobs!$A$5:$A$604,0)),""))</f>
        <v>0</v>
      </c>
      <c r="F506" s="23">
        <f>IF(A506="","",IFERROR(INDEX(Jobs!$K$5:$K$604,MATCH(A506,Jobs!$A$5:$A$604,0)),""))</f>
        <v>0</v>
      </c>
      <c r="G506" s="23">
        <f>IF(A506="","",IFERROR(INDEX(Jobs!$M$5:$M$604,MATCH(A506,Jobs!$A$5:$A$604,0)),""))</f>
        <v>0</v>
      </c>
      <c r="H506" s="23">
        <f>IF(A506="","",IFERROR(INDEX(Jobs!$R$5:$R$604,MATCH(A506,Jobs!$A$5:$A$604,0)),""))</f>
        <v>0</v>
      </c>
      <c r="I506" s="39">
        <f>IF(A506="","",IFERROR(INDEX(Jobs!$P$5:$P$604,MATCH(A506,Jobs!$A$5:$A$604,0)),""))</f>
        <v>0</v>
      </c>
      <c r="J506" s="21">
        <f>IF(A506="","",IF(OR(I506="Completed",I506="Invoiced"),IFERROR(INDEX(Jobs!$AJ$5:$AJ$604,MATCH(A506,Jobs!$A$5:$A$604,0)),0),0))</f>
        <v>0</v>
      </c>
      <c r="K506" s="34">
        <f>IF(A506="","",IFERROR(INDEX(Jobs!$AD$5:$AD$604,MATCH(A506,Jobs!$A$5:$A$604,0)),0))</f>
        <v>0</v>
      </c>
      <c r="L506" s="34">
        <f>IF(A506="","",IFERROR(INDEX(Jobs!$AK$5:$AK$604,MATCH(A506,Jobs!$A$5:$A$604,0)),0))</f>
        <v>0</v>
      </c>
      <c r="M506" s="34">
        <f>IF(A506="","",IF(IFERROR(L506*1,0)&gt;0,L506,IFERROR(K506*1,0)))</f>
        <v>0</v>
      </c>
      <c r="N506" s="21">
        <f>IF(A506="","",SUMIFS(Timesheets!$X$5:$X$804,Timesheets!$G$5:$G$804,A506))</f>
        <v>0</v>
      </c>
      <c r="O506" s="21">
        <f>IF(A506="","",IF(N506&gt;0,N506,ROUND(M506*CostPerHour,2)))</f>
        <v>0</v>
      </c>
      <c r="P506" s="21">
        <f>IF(A506="","",SUMIFS('Supply Usage'!$L$5:$L$304,'Supply Usage'!$F$5:$F$304,A506))</f>
        <v>0</v>
      </c>
      <c r="Q506" s="21">
        <f>IF(A506="","",IF(P506&gt;0,P506,ROUND(M506*SuppliesPerHour,2)))</f>
        <v>0</v>
      </c>
      <c r="R506" s="21">
        <f>IF(A506="","",ROUND(IFERROR(INDEX(Jobs!$W$5:$W$604,MATCH(A506,Jobs!$A$5:$A$604,0)),0)*MileageRate,2))</f>
        <v>0</v>
      </c>
      <c r="T506" s="21">
        <f>IF(A506="","",O506+Q506+R506+IF(S506="",0,S506))</f>
        <v>0</v>
      </c>
      <c r="U506" s="21">
        <f>IF(A506="","",J506-T506)</f>
        <v>0</v>
      </c>
      <c r="V506" s="38">
        <f>IF(OR(A506="",J506=0),"",U506/J506)</f>
        <v>0</v>
      </c>
      <c r="W506" s="21">
        <f>IF(OR(A506="",M506=0,J506=0),"",U506/M506)</f>
        <v>0</v>
      </c>
      <c r="X506" s="34">
        <f>IF(OR(A506="",L506="",L506=0,K506=""),"",L506-K506)</f>
        <v>0</v>
      </c>
      <c r="Y506" s="31">
        <f>IF(A506="","",COUNTIFS($U$5:$U$604,"&gt;"&amp;U506)+COUNTIFS($U$5:U506,U506))</f>
        <v>0</v>
      </c>
      <c r="Z506" s="31">
        <f>IF(A506="","",COUNTIFS($W$5:$W$604,"&gt;"&amp;W506)+COUNTIFS($W$5:W506,W506))</f>
        <v>0</v>
      </c>
      <c r="AA506" s="39">
        <f>IF(A506="","",IF(J506=0,"",IF(U506&lt;0,"Loss - this job cost you money",IF(V506&lt;MarginFloor,"Below - margin under the floor",IF(V506&lt;TargetMargin,"Check - under target margin",IF(AND(X506&lt;&gt;"",X506&gt;0.5),"Check - ran over the estimate","OK"))))))</f>
        <v>0</v>
      </c>
    </row>
    <row r="507" spans="1:27">
      <c r="A507" s="43">
        <f>IF(IFERROR(INDEX(Jobs!$A$5:$A$604,ROW()-4),"")="","",IFERROR(INDEX(Jobs!$A$5:$A$604,ROW()-4),""))</f>
        <v>0</v>
      </c>
      <c r="B507" s="18">
        <f>IF(A507="","",IFERROR(INDEX(Jobs!$B$5:$B$604,MATCH(A507,Jobs!$A$5:$A$604,0)),""))</f>
        <v>0</v>
      </c>
      <c r="C507" s="23">
        <f>IF(B507="","",TEXT(B507,"yyyy-mm"))</f>
        <v>0</v>
      </c>
      <c r="D507" s="43">
        <f>IF(A507="","",IFERROR(INDEX(Jobs!$G$5:$G$604,MATCH(A507,Jobs!$A$5:$A$604,0)),""))</f>
        <v>0</v>
      </c>
      <c r="E507" s="23">
        <f>IF(A507="","",IFERROR(INDEX(Jobs!$H$5:$H$604,MATCH(A507,Jobs!$A$5:$A$604,0)),""))</f>
        <v>0</v>
      </c>
      <c r="F507" s="23">
        <f>IF(A507="","",IFERROR(INDEX(Jobs!$K$5:$K$604,MATCH(A507,Jobs!$A$5:$A$604,0)),""))</f>
        <v>0</v>
      </c>
      <c r="G507" s="23">
        <f>IF(A507="","",IFERROR(INDEX(Jobs!$M$5:$M$604,MATCH(A507,Jobs!$A$5:$A$604,0)),""))</f>
        <v>0</v>
      </c>
      <c r="H507" s="23">
        <f>IF(A507="","",IFERROR(INDEX(Jobs!$R$5:$R$604,MATCH(A507,Jobs!$A$5:$A$604,0)),""))</f>
        <v>0</v>
      </c>
      <c r="I507" s="39">
        <f>IF(A507="","",IFERROR(INDEX(Jobs!$P$5:$P$604,MATCH(A507,Jobs!$A$5:$A$604,0)),""))</f>
        <v>0</v>
      </c>
      <c r="J507" s="21">
        <f>IF(A507="","",IF(OR(I507="Completed",I507="Invoiced"),IFERROR(INDEX(Jobs!$AJ$5:$AJ$604,MATCH(A507,Jobs!$A$5:$A$604,0)),0),0))</f>
        <v>0</v>
      </c>
      <c r="K507" s="34">
        <f>IF(A507="","",IFERROR(INDEX(Jobs!$AD$5:$AD$604,MATCH(A507,Jobs!$A$5:$A$604,0)),0))</f>
        <v>0</v>
      </c>
      <c r="L507" s="34">
        <f>IF(A507="","",IFERROR(INDEX(Jobs!$AK$5:$AK$604,MATCH(A507,Jobs!$A$5:$A$604,0)),0))</f>
        <v>0</v>
      </c>
      <c r="M507" s="34">
        <f>IF(A507="","",IF(IFERROR(L507*1,0)&gt;0,L507,IFERROR(K507*1,0)))</f>
        <v>0</v>
      </c>
      <c r="N507" s="21">
        <f>IF(A507="","",SUMIFS(Timesheets!$X$5:$X$804,Timesheets!$G$5:$G$804,A507))</f>
        <v>0</v>
      </c>
      <c r="O507" s="21">
        <f>IF(A507="","",IF(N507&gt;0,N507,ROUND(M507*CostPerHour,2)))</f>
        <v>0</v>
      </c>
      <c r="P507" s="21">
        <f>IF(A507="","",SUMIFS('Supply Usage'!$L$5:$L$304,'Supply Usage'!$F$5:$F$304,A507))</f>
        <v>0</v>
      </c>
      <c r="Q507" s="21">
        <f>IF(A507="","",IF(P507&gt;0,P507,ROUND(M507*SuppliesPerHour,2)))</f>
        <v>0</v>
      </c>
      <c r="R507" s="21">
        <f>IF(A507="","",ROUND(IFERROR(INDEX(Jobs!$W$5:$W$604,MATCH(A507,Jobs!$A$5:$A$604,0)),0)*MileageRate,2))</f>
        <v>0</v>
      </c>
      <c r="T507" s="21">
        <f>IF(A507="","",O507+Q507+R507+IF(S507="",0,S507))</f>
        <v>0</v>
      </c>
      <c r="U507" s="21">
        <f>IF(A507="","",J507-T507)</f>
        <v>0</v>
      </c>
      <c r="V507" s="38">
        <f>IF(OR(A507="",J507=0),"",U507/J507)</f>
        <v>0</v>
      </c>
      <c r="W507" s="21">
        <f>IF(OR(A507="",M507=0,J507=0),"",U507/M507)</f>
        <v>0</v>
      </c>
      <c r="X507" s="34">
        <f>IF(OR(A507="",L507="",L507=0,K507=""),"",L507-K507)</f>
        <v>0</v>
      </c>
      <c r="Y507" s="31">
        <f>IF(A507="","",COUNTIFS($U$5:$U$604,"&gt;"&amp;U507)+COUNTIFS($U$5:U507,U507))</f>
        <v>0</v>
      </c>
      <c r="Z507" s="31">
        <f>IF(A507="","",COUNTIFS($W$5:$W$604,"&gt;"&amp;W507)+COUNTIFS($W$5:W507,W507))</f>
        <v>0</v>
      </c>
      <c r="AA507" s="39">
        <f>IF(A507="","",IF(J507=0,"",IF(U507&lt;0,"Loss - this job cost you money",IF(V507&lt;MarginFloor,"Below - margin under the floor",IF(V507&lt;TargetMargin,"Check - under target margin",IF(AND(X507&lt;&gt;"",X507&gt;0.5),"Check - ran over the estimate","OK"))))))</f>
        <v>0</v>
      </c>
    </row>
    <row r="508" spans="1:27">
      <c r="A508" s="43">
        <f>IF(IFERROR(INDEX(Jobs!$A$5:$A$604,ROW()-4),"")="","",IFERROR(INDEX(Jobs!$A$5:$A$604,ROW()-4),""))</f>
        <v>0</v>
      </c>
      <c r="B508" s="18">
        <f>IF(A508="","",IFERROR(INDEX(Jobs!$B$5:$B$604,MATCH(A508,Jobs!$A$5:$A$604,0)),""))</f>
        <v>0</v>
      </c>
      <c r="C508" s="23">
        <f>IF(B508="","",TEXT(B508,"yyyy-mm"))</f>
        <v>0</v>
      </c>
      <c r="D508" s="43">
        <f>IF(A508="","",IFERROR(INDEX(Jobs!$G$5:$G$604,MATCH(A508,Jobs!$A$5:$A$604,0)),""))</f>
        <v>0</v>
      </c>
      <c r="E508" s="23">
        <f>IF(A508="","",IFERROR(INDEX(Jobs!$H$5:$H$604,MATCH(A508,Jobs!$A$5:$A$604,0)),""))</f>
        <v>0</v>
      </c>
      <c r="F508" s="23">
        <f>IF(A508="","",IFERROR(INDEX(Jobs!$K$5:$K$604,MATCH(A508,Jobs!$A$5:$A$604,0)),""))</f>
        <v>0</v>
      </c>
      <c r="G508" s="23">
        <f>IF(A508="","",IFERROR(INDEX(Jobs!$M$5:$M$604,MATCH(A508,Jobs!$A$5:$A$604,0)),""))</f>
        <v>0</v>
      </c>
      <c r="H508" s="23">
        <f>IF(A508="","",IFERROR(INDEX(Jobs!$R$5:$R$604,MATCH(A508,Jobs!$A$5:$A$604,0)),""))</f>
        <v>0</v>
      </c>
      <c r="I508" s="39">
        <f>IF(A508="","",IFERROR(INDEX(Jobs!$P$5:$P$604,MATCH(A508,Jobs!$A$5:$A$604,0)),""))</f>
        <v>0</v>
      </c>
      <c r="J508" s="21">
        <f>IF(A508="","",IF(OR(I508="Completed",I508="Invoiced"),IFERROR(INDEX(Jobs!$AJ$5:$AJ$604,MATCH(A508,Jobs!$A$5:$A$604,0)),0),0))</f>
        <v>0</v>
      </c>
      <c r="K508" s="34">
        <f>IF(A508="","",IFERROR(INDEX(Jobs!$AD$5:$AD$604,MATCH(A508,Jobs!$A$5:$A$604,0)),0))</f>
        <v>0</v>
      </c>
      <c r="L508" s="34">
        <f>IF(A508="","",IFERROR(INDEX(Jobs!$AK$5:$AK$604,MATCH(A508,Jobs!$A$5:$A$604,0)),0))</f>
        <v>0</v>
      </c>
      <c r="M508" s="34">
        <f>IF(A508="","",IF(IFERROR(L508*1,0)&gt;0,L508,IFERROR(K508*1,0)))</f>
        <v>0</v>
      </c>
      <c r="N508" s="21">
        <f>IF(A508="","",SUMIFS(Timesheets!$X$5:$X$804,Timesheets!$G$5:$G$804,A508))</f>
        <v>0</v>
      </c>
      <c r="O508" s="21">
        <f>IF(A508="","",IF(N508&gt;0,N508,ROUND(M508*CostPerHour,2)))</f>
        <v>0</v>
      </c>
      <c r="P508" s="21">
        <f>IF(A508="","",SUMIFS('Supply Usage'!$L$5:$L$304,'Supply Usage'!$F$5:$F$304,A508))</f>
        <v>0</v>
      </c>
      <c r="Q508" s="21">
        <f>IF(A508="","",IF(P508&gt;0,P508,ROUND(M508*SuppliesPerHour,2)))</f>
        <v>0</v>
      </c>
      <c r="R508" s="21">
        <f>IF(A508="","",ROUND(IFERROR(INDEX(Jobs!$W$5:$W$604,MATCH(A508,Jobs!$A$5:$A$604,0)),0)*MileageRate,2))</f>
        <v>0</v>
      </c>
      <c r="T508" s="21">
        <f>IF(A508="","",O508+Q508+R508+IF(S508="",0,S508))</f>
        <v>0</v>
      </c>
      <c r="U508" s="21">
        <f>IF(A508="","",J508-T508)</f>
        <v>0</v>
      </c>
      <c r="V508" s="38">
        <f>IF(OR(A508="",J508=0),"",U508/J508)</f>
        <v>0</v>
      </c>
      <c r="W508" s="21">
        <f>IF(OR(A508="",M508=0,J508=0),"",U508/M508)</f>
        <v>0</v>
      </c>
      <c r="X508" s="34">
        <f>IF(OR(A508="",L508="",L508=0,K508=""),"",L508-K508)</f>
        <v>0</v>
      </c>
      <c r="Y508" s="31">
        <f>IF(A508="","",COUNTIFS($U$5:$U$604,"&gt;"&amp;U508)+COUNTIFS($U$5:U508,U508))</f>
        <v>0</v>
      </c>
      <c r="Z508" s="31">
        <f>IF(A508="","",COUNTIFS($W$5:$W$604,"&gt;"&amp;W508)+COUNTIFS($W$5:W508,W508))</f>
        <v>0</v>
      </c>
      <c r="AA508" s="39">
        <f>IF(A508="","",IF(J508=0,"",IF(U508&lt;0,"Loss - this job cost you money",IF(V508&lt;MarginFloor,"Below - margin under the floor",IF(V508&lt;TargetMargin,"Check - under target margin",IF(AND(X508&lt;&gt;"",X508&gt;0.5),"Check - ran over the estimate","OK"))))))</f>
        <v>0</v>
      </c>
    </row>
    <row r="509" spans="1:27">
      <c r="A509" s="43">
        <f>IF(IFERROR(INDEX(Jobs!$A$5:$A$604,ROW()-4),"")="","",IFERROR(INDEX(Jobs!$A$5:$A$604,ROW()-4),""))</f>
        <v>0</v>
      </c>
      <c r="B509" s="18">
        <f>IF(A509="","",IFERROR(INDEX(Jobs!$B$5:$B$604,MATCH(A509,Jobs!$A$5:$A$604,0)),""))</f>
        <v>0</v>
      </c>
      <c r="C509" s="23">
        <f>IF(B509="","",TEXT(B509,"yyyy-mm"))</f>
        <v>0</v>
      </c>
      <c r="D509" s="43">
        <f>IF(A509="","",IFERROR(INDEX(Jobs!$G$5:$G$604,MATCH(A509,Jobs!$A$5:$A$604,0)),""))</f>
        <v>0</v>
      </c>
      <c r="E509" s="23">
        <f>IF(A509="","",IFERROR(INDEX(Jobs!$H$5:$H$604,MATCH(A509,Jobs!$A$5:$A$604,0)),""))</f>
        <v>0</v>
      </c>
      <c r="F509" s="23">
        <f>IF(A509="","",IFERROR(INDEX(Jobs!$K$5:$K$604,MATCH(A509,Jobs!$A$5:$A$604,0)),""))</f>
        <v>0</v>
      </c>
      <c r="G509" s="23">
        <f>IF(A509="","",IFERROR(INDEX(Jobs!$M$5:$M$604,MATCH(A509,Jobs!$A$5:$A$604,0)),""))</f>
        <v>0</v>
      </c>
      <c r="H509" s="23">
        <f>IF(A509="","",IFERROR(INDEX(Jobs!$R$5:$R$604,MATCH(A509,Jobs!$A$5:$A$604,0)),""))</f>
        <v>0</v>
      </c>
      <c r="I509" s="39">
        <f>IF(A509="","",IFERROR(INDEX(Jobs!$P$5:$P$604,MATCH(A509,Jobs!$A$5:$A$604,0)),""))</f>
        <v>0</v>
      </c>
      <c r="J509" s="21">
        <f>IF(A509="","",IF(OR(I509="Completed",I509="Invoiced"),IFERROR(INDEX(Jobs!$AJ$5:$AJ$604,MATCH(A509,Jobs!$A$5:$A$604,0)),0),0))</f>
        <v>0</v>
      </c>
      <c r="K509" s="34">
        <f>IF(A509="","",IFERROR(INDEX(Jobs!$AD$5:$AD$604,MATCH(A509,Jobs!$A$5:$A$604,0)),0))</f>
        <v>0</v>
      </c>
      <c r="L509" s="34">
        <f>IF(A509="","",IFERROR(INDEX(Jobs!$AK$5:$AK$604,MATCH(A509,Jobs!$A$5:$A$604,0)),0))</f>
        <v>0</v>
      </c>
      <c r="M509" s="34">
        <f>IF(A509="","",IF(IFERROR(L509*1,0)&gt;0,L509,IFERROR(K509*1,0)))</f>
        <v>0</v>
      </c>
      <c r="N509" s="21">
        <f>IF(A509="","",SUMIFS(Timesheets!$X$5:$X$804,Timesheets!$G$5:$G$804,A509))</f>
        <v>0</v>
      </c>
      <c r="O509" s="21">
        <f>IF(A509="","",IF(N509&gt;0,N509,ROUND(M509*CostPerHour,2)))</f>
        <v>0</v>
      </c>
      <c r="P509" s="21">
        <f>IF(A509="","",SUMIFS('Supply Usage'!$L$5:$L$304,'Supply Usage'!$F$5:$F$304,A509))</f>
        <v>0</v>
      </c>
      <c r="Q509" s="21">
        <f>IF(A509="","",IF(P509&gt;0,P509,ROUND(M509*SuppliesPerHour,2)))</f>
        <v>0</v>
      </c>
      <c r="R509" s="21">
        <f>IF(A509="","",ROUND(IFERROR(INDEX(Jobs!$W$5:$W$604,MATCH(A509,Jobs!$A$5:$A$604,0)),0)*MileageRate,2))</f>
        <v>0</v>
      </c>
      <c r="T509" s="21">
        <f>IF(A509="","",O509+Q509+R509+IF(S509="",0,S509))</f>
        <v>0</v>
      </c>
      <c r="U509" s="21">
        <f>IF(A509="","",J509-T509)</f>
        <v>0</v>
      </c>
      <c r="V509" s="38">
        <f>IF(OR(A509="",J509=0),"",U509/J509)</f>
        <v>0</v>
      </c>
      <c r="W509" s="21">
        <f>IF(OR(A509="",M509=0,J509=0),"",U509/M509)</f>
        <v>0</v>
      </c>
      <c r="X509" s="34">
        <f>IF(OR(A509="",L509="",L509=0,K509=""),"",L509-K509)</f>
        <v>0</v>
      </c>
      <c r="Y509" s="31">
        <f>IF(A509="","",COUNTIFS($U$5:$U$604,"&gt;"&amp;U509)+COUNTIFS($U$5:U509,U509))</f>
        <v>0</v>
      </c>
      <c r="Z509" s="31">
        <f>IF(A509="","",COUNTIFS($W$5:$W$604,"&gt;"&amp;W509)+COUNTIFS($W$5:W509,W509))</f>
        <v>0</v>
      </c>
      <c r="AA509" s="39">
        <f>IF(A509="","",IF(J509=0,"",IF(U509&lt;0,"Loss - this job cost you money",IF(V509&lt;MarginFloor,"Below - margin under the floor",IF(V509&lt;TargetMargin,"Check - under target margin",IF(AND(X509&lt;&gt;"",X509&gt;0.5),"Check - ran over the estimate","OK"))))))</f>
        <v>0</v>
      </c>
    </row>
    <row r="510" spans="1:27">
      <c r="A510" s="43">
        <f>IF(IFERROR(INDEX(Jobs!$A$5:$A$604,ROW()-4),"")="","",IFERROR(INDEX(Jobs!$A$5:$A$604,ROW()-4),""))</f>
        <v>0</v>
      </c>
      <c r="B510" s="18">
        <f>IF(A510="","",IFERROR(INDEX(Jobs!$B$5:$B$604,MATCH(A510,Jobs!$A$5:$A$604,0)),""))</f>
        <v>0</v>
      </c>
      <c r="C510" s="23">
        <f>IF(B510="","",TEXT(B510,"yyyy-mm"))</f>
        <v>0</v>
      </c>
      <c r="D510" s="43">
        <f>IF(A510="","",IFERROR(INDEX(Jobs!$G$5:$G$604,MATCH(A510,Jobs!$A$5:$A$604,0)),""))</f>
        <v>0</v>
      </c>
      <c r="E510" s="23">
        <f>IF(A510="","",IFERROR(INDEX(Jobs!$H$5:$H$604,MATCH(A510,Jobs!$A$5:$A$604,0)),""))</f>
        <v>0</v>
      </c>
      <c r="F510" s="23">
        <f>IF(A510="","",IFERROR(INDEX(Jobs!$K$5:$K$604,MATCH(A510,Jobs!$A$5:$A$604,0)),""))</f>
        <v>0</v>
      </c>
      <c r="G510" s="23">
        <f>IF(A510="","",IFERROR(INDEX(Jobs!$M$5:$M$604,MATCH(A510,Jobs!$A$5:$A$604,0)),""))</f>
        <v>0</v>
      </c>
      <c r="H510" s="23">
        <f>IF(A510="","",IFERROR(INDEX(Jobs!$R$5:$R$604,MATCH(A510,Jobs!$A$5:$A$604,0)),""))</f>
        <v>0</v>
      </c>
      <c r="I510" s="39">
        <f>IF(A510="","",IFERROR(INDEX(Jobs!$P$5:$P$604,MATCH(A510,Jobs!$A$5:$A$604,0)),""))</f>
        <v>0</v>
      </c>
      <c r="J510" s="21">
        <f>IF(A510="","",IF(OR(I510="Completed",I510="Invoiced"),IFERROR(INDEX(Jobs!$AJ$5:$AJ$604,MATCH(A510,Jobs!$A$5:$A$604,0)),0),0))</f>
        <v>0</v>
      </c>
      <c r="K510" s="34">
        <f>IF(A510="","",IFERROR(INDEX(Jobs!$AD$5:$AD$604,MATCH(A510,Jobs!$A$5:$A$604,0)),0))</f>
        <v>0</v>
      </c>
      <c r="L510" s="34">
        <f>IF(A510="","",IFERROR(INDEX(Jobs!$AK$5:$AK$604,MATCH(A510,Jobs!$A$5:$A$604,0)),0))</f>
        <v>0</v>
      </c>
      <c r="M510" s="34">
        <f>IF(A510="","",IF(IFERROR(L510*1,0)&gt;0,L510,IFERROR(K510*1,0)))</f>
        <v>0</v>
      </c>
      <c r="N510" s="21">
        <f>IF(A510="","",SUMIFS(Timesheets!$X$5:$X$804,Timesheets!$G$5:$G$804,A510))</f>
        <v>0</v>
      </c>
      <c r="O510" s="21">
        <f>IF(A510="","",IF(N510&gt;0,N510,ROUND(M510*CostPerHour,2)))</f>
        <v>0</v>
      </c>
      <c r="P510" s="21">
        <f>IF(A510="","",SUMIFS('Supply Usage'!$L$5:$L$304,'Supply Usage'!$F$5:$F$304,A510))</f>
        <v>0</v>
      </c>
      <c r="Q510" s="21">
        <f>IF(A510="","",IF(P510&gt;0,P510,ROUND(M510*SuppliesPerHour,2)))</f>
        <v>0</v>
      </c>
      <c r="R510" s="21">
        <f>IF(A510="","",ROUND(IFERROR(INDEX(Jobs!$W$5:$W$604,MATCH(A510,Jobs!$A$5:$A$604,0)),0)*MileageRate,2))</f>
        <v>0</v>
      </c>
      <c r="T510" s="21">
        <f>IF(A510="","",O510+Q510+R510+IF(S510="",0,S510))</f>
        <v>0</v>
      </c>
      <c r="U510" s="21">
        <f>IF(A510="","",J510-T510)</f>
        <v>0</v>
      </c>
      <c r="V510" s="38">
        <f>IF(OR(A510="",J510=0),"",U510/J510)</f>
        <v>0</v>
      </c>
      <c r="W510" s="21">
        <f>IF(OR(A510="",M510=0,J510=0),"",U510/M510)</f>
        <v>0</v>
      </c>
      <c r="X510" s="34">
        <f>IF(OR(A510="",L510="",L510=0,K510=""),"",L510-K510)</f>
        <v>0</v>
      </c>
      <c r="Y510" s="31">
        <f>IF(A510="","",COUNTIFS($U$5:$U$604,"&gt;"&amp;U510)+COUNTIFS($U$5:U510,U510))</f>
        <v>0</v>
      </c>
      <c r="Z510" s="31">
        <f>IF(A510="","",COUNTIFS($W$5:$W$604,"&gt;"&amp;W510)+COUNTIFS($W$5:W510,W510))</f>
        <v>0</v>
      </c>
      <c r="AA510" s="39">
        <f>IF(A510="","",IF(J510=0,"",IF(U510&lt;0,"Loss - this job cost you money",IF(V510&lt;MarginFloor,"Below - margin under the floor",IF(V510&lt;TargetMargin,"Check - under target margin",IF(AND(X510&lt;&gt;"",X510&gt;0.5),"Check - ran over the estimate","OK"))))))</f>
        <v>0</v>
      </c>
    </row>
    <row r="511" spans="1:27">
      <c r="A511" s="43">
        <f>IF(IFERROR(INDEX(Jobs!$A$5:$A$604,ROW()-4),"")="","",IFERROR(INDEX(Jobs!$A$5:$A$604,ROW()-4),""))</f>
        <v>0</v>
      </c>
      <c r="B511" s="18">
        <f>IF(A511="","",IFERROR(INDEX(Jobs!$B$5:$B$604,MATCH(A511,Jobs!$A$5:$A$604,0)),""))</f>
        <v>0</v>
      </c>
      <c r="C511" s="23">
        <f>IF(B511="","",TEXT(B511,"yyyy-mm"))</f>
        <v>0</v>
      </c>
      <c r="D511" s="43">
        <f>IF(A511="","",IFERROR(INDEX(Jobs!$G$5:$G$604,MATCH(A511,Jobs!$A$5:$A$604,0)),""))</f>
        <v>0</v>
      </c>
      <c r="E511" s="23">
        <f>IF(A511="","",IFERROR(INDEX(Jobs!$H$5:$H$604,MATCH(A511,Jobs!$A$5:$A$604,0)),""))</f>
        <v>0</v>
      </c>
      <c r="F511" s="23">
        <f>IF(A511="","",IFERROR(INDEX(Jobs!$K$5:$K$604,MATCH(A511,Jobs!$A$5:$A$604,0)),""))</f>
        <v>0</v>
      </c>
      <c r="G511" s="23">
        <f>IF(A511="","",IFERROR(INDEX(Jobs!$M$5:$M$604,MATCH(A511,Jobs!$A$5:$A$604,0)),""))</f>
        <v>0</v>
      </c>
      <c r="H511" s="23">
        <f>IF(A511="","",IFERROR(INDEX(Jobs!$R$5:$R$604,MATCH(A511,Jobs!$A$5:$A$604,0)),""))</f>
        <v>0</v>
      </c>
      <c r="I511" s="39">
        <f>IF(A511="","",IFERROR(INDEX(Jobs!$P$5:$P$604,MATCH(A511,Jobs!$A$5:$A$604,0)),""))</f>
        <v>0</v>
      </c>
      <c r="J511" s="21">
        <f>IF(A511="","",IF(OR(I511="Completed",I511="Invoiced"),IFERROR(INDEX(Jobs!$AJ$5:$AJ$604,MATCH(A511,Jobs!$A$5:$A$604,0)),0),0))</f>
        <v>0</v>
      </c>
      <c r="K511" s="34">
        <f>IF(A511="","",IFERROR(INDEX(Jobs!$AD$5:$AD$604,MATCH(A511,Jobs!$A$5:$A$604,0)),0))</f>
        <v>0</v>
      </c>
      <c r="L511" s="34">
        <f>IF(A511="","",IFERROR(INDEX(Jobs!$AK$5:$AK$604,MATCH(A511,Jobs!$A$5:$A$604,0)),0))</f>
        <v>0</v>
      </c>
      <c r="M511" s="34">
        <f>IF(A511="","",IF(IFERROR(L511*1,0)&gt;0,L511,IFERROR(K511*1,0)))</f>
        <v>0</v>
      </c>
      <c r="N511" s="21">
        <f>IF(A511="","",SUMIFS(Timesheets!$X$5:$X$804,Timesheets!$G$5:$G$804,A511))</f>
        <v>0</v>
      </c>
      <c r="O511" s="21">
        <f>IF(A511="","",IF(N511&gt;0,N511,ROUND(M511*CostPerHour,2)))</f>
        <v>0</v>
      </c>
      <c r="P511" s="21">
        <f>IF(A511="","",SUMIFS('Supply Usage'!$L$5:$L$304,'Supply Usage'!$F$5:$F$304,A511))</f>
        <v>0</v>
      </c>
      <c r="Q511" s="21">
        <f>IF(A511="","",IF(P511&gt;0,P511,ROUND(M511*SuppliesPerHour,2)))</f>
        <v>0</v>
      </c>
      <c r="R511" s="21">
        <f>IF(A511="","",ROUND(IFERROR(INDEX(Jobs!$W$5:$W$604,MATCH(A511,Jobs!$A$5:$A$604,0)),0)*MileageRate,2))</f>
        <v>0</v>
      </c>
      <c r="T511" s="21">
        <f>IF(A511="","",O511+Q511+R511+IF(S511="",0,S511))</f>
        <v>0</v>
      </c>
      <c r="U511" s="21">
        <f>IF(A511="","",J511-T511)</f>
        <v>0</v>
      </c>
      <c r="V511" s="38">
        <f>IF(OR(A511="",J511=0),"",U511/J511)</f>
        <v>0</v>
      </c>
      <c r="W511" s="21">
        <f>IF(OR(A511="",M511=0,J511=0),"",U511/M511)</f>
        <v>0</v>
      </c>
      <c r="X511" s="34">
        <f>IF(OR(A511="",L511="",L511=0,K511=""),"",L511-K511)</f>
        <v>0</v>
      </c>
      <c r="Y511" s="31">
        <f>IF(A511="","",COUNTIFS($U$5:$U$604,"&gt;"&amp;U511)+COUNTIFS($U$5:U511,U511))</f>
        <v>0</v>
      </c>
      <c r="Z511" s="31">
        <f>IF(A511="","",COUNTIFS($W$5:$W$604,"&gt;"&amp;W511)+COUNTIFS($W$5:W511,W511))</f>
        <v>0</v>
      </c>
      <c r="AA511" s="39">
        <f>IF(A511="","",IF(J511=0,"",IF(U511&lt;0,"Loss - this job cost you money",IF(V511&lt;MarginFloor,"Below - margin under the floor",IF(V511&lt;TargetMargin,"Check - under target margin",IF(AND(X511&lt;&gt;"",X511&gt;0.5),"Check - ran over the estimate","OK"))))))</f>
        <v>0</v>
      </c>
    </row>
    <row r="512" spans="1:27">
      <c r="A512" s="43">
        <f>IF(IFERROR(INDEX(Jobs!$A$5:$A$604,ROW()-4),"")="","",IFERROR(INDEX(Jobs!$A$5:$A$604,ROW()-4),""))</f>
        <v>0</v>
      </c>
      <c r="B512" s="18">
        <f>IF(A512="","",IFERROR(INDEX(Jobs!$B$5:$B$604,MATCH(A512,Jobs!$A$5:$A$604,0)),""))</f>
        <v>0</v>
      </c>
      <c r="C512" s="23">
        <f>IF(B512="","",TEXT(B512,"yyyy-mm"))</f>
        <v>0</v>
      </c>
      <c r="D512" s="43">
        <f>IF(A512="","",IFERROR(INDEX(Jobs!$G$5:$G$604,MATCH(A512,Jobs!$A$5:$A$604,0)),""))</f>
        <v>0</v>
      </c>
      <c r="E512" s="23">
        <f>IF(A512="","",IFERROR(INDEX(Jobs!$H$5:$H$604,MATCH(A512,Jobs!$A$5:$A$604,0)),""))</f>
        <v>0</v>
      </c>
      <c r="F512" s="23">
        <f>IF(A512="","",IFERROR(INDEX(Jobs!$K$5:$K$604,MATCH(A512,Jobs!$A$5:$A$604,0)),""))</f>
        <v>0</v>
      </c>
      <c r="G512" s="23">
        <f>IF(A512="","",IFERROR(INDEX(Jobs!$M$5:$M$604,MATCH(A512,Jobs!$A$5:$A$604,0)),""))</f>
        <v>0</v>
      </c>
      <c r="H512" s="23">
        <f>IF(A512="","",IFERROR(INDEX(Jobs!$R$5:$R$604,MATCH(A512,Jobs!$A$5:$A$604,0)),""))</f>
        <v>0</v>
      </c>
      <c r="I512" s="39">
        <f>IF(A512="","",IFERROR(INDEX(Jobs!$P$5:$P$604,MATCH(A512,Jobs!$A$5:$A$604,0)),""))</f>
        <v>0</v>
      </c>
      <c r="J512" s="21">
        <f>IF(A512="","",IF(OR(I512="Completed",I512="Invoiced"),IFERROR(INDEX(Jobs!$AJ$5:$AJ$604,MATCH(A512,Jobs!$A$5:$A$604,0)),0),0))</f>
        <v>0</v>
      </c>
      <c r="K512" s="34">
        <f>IF(A512="","",IFERROR(INDEX(Jobs!$AD$5:$AD$604,MATCH(A512,Jobs!$A$5:$A$604,0)),0))</f>
        <v>0</v>
      </c>
      <c r="L512" s="34">
        <f>IF(A512="","",IFERROR(INDEX(Jobs!$AK$5:$AK$604,MATCH(A512,Jobs!$A$5:$A$604,0)),0))</f>
        <v>0</v>
      </c>
      <c r="M512" s="34">
        <f>IF(A512="","",IF(IFERROR(L512*1,0)&gt;0,L512,IFERROR(K512*1,0)))</f>
        <v>0</v>
      </c>
      <c r="N512" s="21">
        <f>IF(A512="","",SUMIFS(Timesheets!$X$5:$X$804,Timesheets!$G$5:$G$804,A512))</f>
        <v>0</v>
      </c>
      <c r="O512" s="21">
        <f>IF(A512="","",IF(N512&gt;0,N512,ROUND(M512*CostPerHour,2)))</f>
        <v>0</v>
      </c>
      <c r="P512" s="21">
        <f>IF(A512="","",SUMIFS('Supply Usage'!$L$5:$L$304,'Supply Usage'!$F$5:$F$304,A512))</f>
        <v>0</v>
      </c>
      <c r="Q512" s="21">
        <f>IF(A512="","",IF(P512&gt;0,P512,ROUND(M512*SuppliesPerHour,2)))</f>
        <v>0</v>
      </c>
      <c r="R512" s="21">
        <f>IF(A512="","",ROUND(IFERROR(INDEX(Jobs!$W$5:$W$604,MATCH(A512,Jobs!$A$5:$A$604,0)),0)*MileageRate,2))</f>
        <v>0</v>
      </c>
      <c r="T512" s="21">
        <f>IF(A512="","",O512+Q512+R512+IF(S512="",0,S512))</f>
        <v>0</v>
      </c>
      <c r="U512" s="21">
        <f>IF(A512="","",J512-T512)</f>
        <v>0</v>
      </c>
      <c r="V512" s="38">
        <f>IF(OR(A512="",J512=0),"",U512/J512)</f>
        <v>0</v>
      </c>
      <c r="W512" s="21">
        <f>IF(OR(A512="",M512=0,J512=0),"",U512/M512)</f>
        <v>0</v>
      </c>
      <c r="X512" s="34">
        <f>IF(OR(A512="",L512="",L512=0,K512=""),"",L512-K512)</f>
        <v>0</v>
      </c>
      <c r="Y512" s="31">
        <f>IF(A512="","",COUNTIFS($U$5:$U$604,"&gt;"&amp;U512)+COUNTIFS($U$5:U512,U512))</f>
        <v>0</v>
      </c>
      <c r="Z512" s="31">
        <f>IF(A512="","",COUNTIFS($W$5:$W$604,"&gt;"&amp;W512)+COUNTIFS($W$5:W512,W512))</f>
        <v>0</v>
      </c>
      <c r="AA512" s="39">
        <f>IF(A512="","",IF(J512=0,"",IF(U512&lt;0,"Loss - this job cost you money",IF(V512&lt;MarginFloor,"Below - margin under the floor",IF(V512&lt;TargetMargin,"Check - under target margin",IF(AND(X512&lt;&gt;"",X512&gt;0.5),"Check - ran over the estimate","OK"))))))</f>
        <v>0</v>
      </c>
    </row>
    <row r="513" spans="1:27">
      <c r="A513" s="43">
        <f>IF(IFERROR(INDEX(Jobs!$A$5:$A$604,ROW()-4),"")="","",IFERROR(INDEX(Jobs!$A$5:$A$604,ROW()-4),""))</f>
        <v>0</v>
      </c>
      <c r="B513" s="18">
        <f>IF(A513="","",IFERROR(INDEX(Jobs!$B$5:$B$604,MATCH(A513,Jobs!$A$5:$A$604,0)),""))</f>
        <v>0</v>
      </c>
      <c r="C513" s="23">
        <f>IF(B513="","",TEXT(B513,"yyyy-mm"))</f>
        <v>0</v>
      </c>
      <c r="D513" s="43">
        <f>IF(A513="","",IFERROR(INDEX(Jobs!$G$5:$G$604,MATCH(A513,Jobs!$A$5:$A$604,0)),""))</f>
        <v>0</v>
      </c>
      <c r="E513" s="23">
        <f>IF(A513="","",IFERROR(INDEX(Jobs!$H$5:$H$604,MATCH(A513,Jobs!$A$5:$A$604,0)),""))</f>
        <v>0</v>
      </c>
      <c r="F513" s="23">
        <f>IF(A513="","",IFERROR(INDEX(Jobs!$K$5:$K$604,MATCH(A513,Jobs!$A$5:$A$604,0)),""))</f>
        <v>0</v>
      </c>
      <c r="G513" s="23">
        <f>IF(A513="","",IFERROR(INDEX(Jobs!$M$5:$M$604,MATCH(A513,Jobs!$A$5:$A$604,0)),""))</f>
        <v>0</v>
      </c>
      <c r="H513" s="23">
        <f>IF(A513="","",IFERROR(INDEX(Jobs!$R$5:$R$604,MATCH(A513,Jobs!$A$5:$A$604,0)),""))</f>
        <v>0</v>
      </c>
      <c r="I513" s="39">
        <f>IF(A513="","",IFERROR(INDEX(Jobs!$P$5:$P$604,MATCH(A513,Jobs!$A$5:$A$604,0)),""))</f>
        <v>0</v>
      </c>
      <c r="J513" s="21">
        <f>IF(A513="","",IF(OR(I513="Completed",I513="Invoiced"),IFERROR(INDEX(Jobs!$AJ$5:$AJ$604,MATCH(A513,Jobs!$A$5:$A$604,0)),0),0))</f>
        <v>0</v>
      </c>
      <c r="K513" s="34">
        <f>IF(A513="","",IFERROR(INDEX(Jobs!$AD$5:$AD$604,MATCH(A513,Jobs!$A$5:$A$604,0)),0))</f>
        <v>0</v>
      </c>
      <c r="L513" s="34">
        <f>IF(A513="","",IFERROR(INDEX(Jobs!$AK$5:$AK$604,MATCH(A513,Jobs!$A$5:$A$604,0)),0))</f>
        <v>0</v>
      </c>
      <c r="M513" s="34">
        <f>IF(A513="","",IF(IFERROR(L513*1,0)&gt;0,L513,IFERROR(K513*1,0)))</f>
        <v>0</v>
      </c>
      <c r="N513" s="21">
        <f>IF(A513="","",SUMIFS(Timesheets!$X$5:$X$804,Timesheets!$G$5:$G$804,A513))</f>
        <v>0</v>
      </c>
      <c r="O513" s="21">
        <f>IF(A513="","",IF(N513&gt;0,N513,ROUND(M513*CostPerHour,2)))</f>
        <v>0</v>
      </c>
      <c r="P513" s="21">
        <f>IF(A513="","",SUMIFS('Supply Usage'!$L$5:$L$304,'Supply Usage'!$F$5:$F$304,A513))</f>
        <v>0</v>
      </c>
      <c r="Q513" s="21">
        <f>IF(A513="","",IF(P513&gt;0,P513,ROUND(M513*SuppliesPerHour,2)))</f>
        <v>0</v>
      </c>
      <c r="R513" s="21">
        <f>IF(A513="","",ROUND(IFERROR(INDEX(Jobs!$W$5:$W$604,MATCH(A513,Jobs!$A$5:$A$604,0)),0)*MileageRate,2))</f>
        <v>0</v>
      </c>
      <c r="T513" s="21">
        <f>IF(A513="","",O513+Q513+R513+IF(S513="",0,S513))</f>
        <v>0</v>
      </c>
      <c r="U513" s="21">
        <f>IF(A513="","",J513-T513)</f>
        <v>0</v>
      </c>
      <c r="V513" s="38">
        <f>IF(OR(A513="",J513=0),"",U513/J513)</f>
        <v>0</v>
      </c>
      <c r="W513" s="21">
        <f>IF(OR(A513="",M513=0,J513=0),"",U513/M513)</f>
        <v>0</v>
      </c>
      <c r="X513" s="34">
        <f>IF(OR(A513="",L513="",L513=0,K513=""),"",L513-K513)</f>
        <v>0</v>
      </c>
      <c r="Y513" s="31">
        <f>IF(A513="","",COUNTIFS($U$5:$U$604,"&gt;"&amp;U513)+COUNTIFS($U$5:U513,U513))</f>
        <v>0</v>
      </c>
      <c r="Z513" s="31">
        <f>IF(A513="","",COUNTIFS($W$5:$W$604,"&gt;"&amp;W513)+COUNTIFS($W$5:W513,W513))</f>
        <v>0</v>
      </c>
      <c r="AA513" s="39">
        <f>IF(A513="","",IF(J513=0,"",IF(U513&lt;0,"Loss - this job cost you money",IF(V513&lt;MarginFloor,"Below - margin under the floor",IF(V513&lt;TargetMargin,"Check - under target margin",IF(AND(X513&lt;&gt;"",X513&gt;0.5),"Check - ran over the estimate","OK"))))))</f>
        <v>0</v>
      </c>
    </row>
    <row r="514" spans="1:27">
      <c r="A514" s="43">
        <f>IF(IFERROR(INDEX(Jobs!$A$5:$A$604,ROW()-4),"")="","",IFERROR(INDEX(Jobs!$A$5:$A$604,ROW()-4),""))</f>
        <v>0</v>
      </c>
      <c r="B514" s="18">
        <f>IF(A514="","",IFERROR(INDEX(Jobs!$B$5:$B$604,MATCH(A514,Jobs!$A$5:$A$604,0)),""))</f>
        <v>0</v>
      </c>
      <c r="C514" s="23">
        <f>IF(B514="","",TEXT(B514,"yyyy-mm"))</f>
        <v>0</v>
      </c>
      <c r="D514" s="43">
        <f>IF(A514="","",IFERROR(INDEX(Jobs!$G$5:$G$604,MATCH(A514,Jobs!$A$5:$A$604,0)),""))</f>
        <v>0</v>
      </c>
      <c r="E514" s="23">
        <f>IF(A514="","",IFERROR(INDEX(Jobs!$H$5:$H$604,MATCH(A514,Jobs!$A$5:$A$604,0)),""))</f>
        <v>0</v>
      </c>
      <c r="F514" s="23">
        <f>IF(A514="","",IFERROR(INDEX(Jobs!$K$5:$K$604,MATCH(A514,Jobs!$A$5:$A$604,0)),""))</f>
        <v>0</v>
      </c>
      <c r="G514" s="23">
        <f>IF(A514="","",IFERROR(INDEX(Jobs!$M$5:$M$604,MATCH(A514,Jobs!$A$5:$A$604,0)),""))</f>
        <v>0</v>
      </c>
      <c r="H514" s="23">
        <f>IF(A514="","",IFERROR(INDEX(Jobs!$R$5:$R$604,MATCH(A514,Jobs!$A$5:$A$604,0)),""))</f>
        <v>0</v>
      </c>
      <c r="I514" s="39">
        <f>IF(A514="","",IFERROR(INDEX(Jobs!$P$5:$P$604,MATCH(A514,Jobs!$A$5:$A$604,0)),""))</f>
        <v>0</v>
      </c>
      <c r="J514" s="21">
        <f>IF(A514="","",IF(OR(I514="Completed",I514="Invoiced"),IFERROR(INDEX(Jobs!$AJ$5:$AJ$604,MATCH(A514,Jobs!$A$5:$A$604,0)),0),0))</f>
        <v>0</v>
      </c>
      <c r="K514" s="34">
        <f>IF(A514="","",IFERROR(INDEX(Jobs!$AD$5:$AD$604,MATCH(A514,Jobs!$A$5:$A$604,0)),0))</f>
        <v>0</v>
      </c>
      <c r="L514" s="34">
        <f>IF(A514="","",IFERROR(INDEX(Jobs!$AK$5:$AK$604,MATCH(A514,Jobs!$A$5:$A$604,0)),0))</f>
        <v>0</v>
      </c>
      <c r="M514" s="34">
        <f>IF(A514="","",IF(IFERROR(L514*1,0)&gt;0,L514,IFERROR(K514*1,0)))</f>
        <v>0</v>
      </c>
      <c r="N514" s="21">
        <f>IF(A514="","",SUMIFS(Timesheets!$X$5:$X$804,Timesheets!$G$5:$G$804,A514))</f>
        <v>0</v>
      </c>
      <c r="O514" s="21">
        <f>IF(A514="","",IF(N514&gt;0,N514,ROUND(M514*CostPerHour,2)))</f>
        <v>0</v>
      </c>
      <c r="P514" s="21">
        <f>IF(A514="","",SUMIFS('Supply Usage'!$L$5:$L$304,'Supply Usage'!$F$5:$F$304,A514))</f>
        <v>0</v>
      </c>
      <c r="Q514" s="21">
        <f>IF(A514="","",IF(P514&gt;0,P514,ROUND(M514*SuppliesPerHour,2)))</f>
        <v>0</v>
      </c>
      <c r="R514" s="21">
        <f>IF(A514="","",ROUND(IFERROR(INDEX(Jobs!$W$5:$W$604,MATCH(A514,Jobs!$A$5:$A$604,0)),0)*MileageRate,2))</f>
        <v>0</v>
      </c>
      <c r="T514" s="21">
        <f>IF(A514="","",O514+Q514+R514+IF(S514="",0,S514))</f>
        <v>0</v>
      </c>
      <c r="U514" s="21">
        <f>IF(A514="","",J514-T514)</f>
        <v>0</v>
      </c>
      <c r="V514" s="38">
        <f>IF(OR(A514="",J514=0),"",U514/J514)</f>
        <v>0</v>
      </c>
      <c r="W514" s="21">
        <f>IF(OR(A514="",M514=0,J514=0),"",U514/M514)</f>
        <v>0</v>
      </c>
      <c r="X514" s="34">
        <f>IF(OR(A514="",L514="",L514=0,K514=""),"",L514-K514)</f>
        <v>0</v>
      </c>
      <c r="Y514" s="31">
        <f>IF(A514="","",COUNTIFS($U$5:$U$604,"&gt;"&amp;U514)+COUNTIFS($U$5:U514,U514))</f>
        <v>0</v>
      </c>
      <c r="Z514" s="31">
        <f>IF(A514="","",COUNTIFS($W$5:$W$604,"&gt;"&amp;W514)+COUNTIFS($W$5:W514,W514))</f>
        <v>0</v>
      </c>
      <c r="AA514" s="39">
        <f>IF(A514="","",IF(J514=0,"",IF(U514&lt;0,"Loss - this job cost you money",IF(V514&lt;MarginFloor,"Below - margin under the floor",IF(V514&lt;TargetMargin,"Check - under target margin",IF(AND(X514&lt;&gt;"",X514&gt;0.5),"Check - ran over the estimate","OK"))))))</f>
        <v>0</v>
      </c>
    </row>
    <row r="515" spans="1:27">
      <c r="A515" s="43">
        <f>IF(IFERROR(INDEX(Jobs!$A$5:$A$604,ROW()-4),"")="","",IFERROR(INDEX(Jobs!$A$5:$A$604,ROW()-4),""))</f>
        <v>0</v>
      </c>
      <c r="B515" s="18">
        <f>IF(A515="","",IFERROR(INDEX(Jobs!$B$5:$B$604,MATCH(A515,Jobs!$A$5:$A$604,0)),""))</f>
        <v>0</v>
      </c>
      <c r="C515" s="23">
        <f>IF(B515="","",TEXT(B515,"yyyy-mm"))</f>
        <v>0</v>
      </c>
      <c r="D515" s="43">
        <f>IF(A515="","",IFERROR(INDEX(Jobs!$G$5:$G$604,MATCH(A515,Jobs!$A$5:$A$604,0)),""))</f>
        <v>0</v>
      </c>
      <c r="E515" s="23">
        <f>IF(A515="","",IFERROR(INDEX(Jobs!$H$5:$H$604,MATCH(A515,Jobs!$A$5:$A$604,0)),""))</f>
        <v>0</v>
      </c>
      <c r="F515" s="23">
        <f>IF(A515="","",IFERROR(INDEX(Jobs!$K$5:$K$604,MATCH(A515,Jobs!$A$5:$A$604,0)),""))</f>
        <v>0</v>
      </c>
      <c r="G515" s="23">
        <f>IF(A515="","",IFERROR(INDEX(Jobs!$M$5:$M$604,MATCH(A515,Jobs!$A$5:$A$604,0)),""))</f>
        <v>0</v>
      </c>
      <c r="H515" s="23">
        <f>IF(A515="","",IFERROR(INDEX(Jobs!$R$5:$R$604,MATCH(A515,Jobs!$A$5:$A$604,0)),""))</f>
        <v>0</v>
      </c>
      <c r="I515" s="39">
        <f>IF(A515="","",IFERROR(INDEX(Jobs!$P$5:$P$604,MATCH(A515,Jobs!$A$5:$A$604,0)),""))</f>
        <v>0</v>
      </c>
      <c r="J515" s="21">
        <f>IF(A515="","",IF(OR(I515="Completed",I515="Invoiced"),IFERROR(INDEX(Jobs!$AJ$5:$AJ$604,MATCH(A515,Jobs!$A$5:$A$604,0)),0),0))</f>
        <v>0</v>
      </c>
      <c r="K515" s="34">
        <f>IF(A515="","",IFERROR(INDEX(Jobs!$AD$5:$AD$604,MATCH(A515,Jobs!$A$5:$A$604,0)),0))</f>
        <v>0</v>
      </c>
      <c r="L515" s="34">
        <f>IF(A515="","",IFERROR(INDEX(Jobs!$AK$5:$AK$604,MATCH(A515,Jobs!$A$5:$A$604,0)),0))</f>
        <v>0</v>
      </c>
      <c r="M515" s="34">
        <f>IF(A515="","",IF(IFERROR(L515*1,0)&gt;0,L515,IFERROR(K515*1,0)))</f>
        <v>0</v>
      </c>
      <c r="N515" s="21">
        <f>IF(A515="","",SUMIFS(Timesheets!$X$5:$X$804,Timesheets!$G$5:$G$804,A515))</f>
        <v>0</v>
      </c>
      <c r="O515" s="21">
        <f>IF(A515="","",IF(N515&gt;0,N515,ROUND(M515*CostPerHour,2)))</f>
        <v>0</v>
      </c>
      <c r="P515" s="21">
        <f>IF(A515="","",SUMIFS('Supply Usage'!$L$5:$L$304,'Supply Usage'!$F$5:$F$304,A515))</f>
        <v>0</v>
      </c>
      <c r="Q515" s="21">
        <f>IF(A515="","",IF(P515&gt;0,P515,ROUND(M515*SuppliesPerHour,2)))</f>
        <v>0</v>
      </c>
      <c r="R515" s="21">
        <f>IF(A515="","",ROUND(IFERROR(INDEX(Jobs!$W$5:$W$604,MATCH(A515,Jobs!$A$5:$A$604,0)),0)*MileageRate,2))</f>
        <v>0</v>
      </c>
      <c r="T515" s="21">
        <f>IF(A515="","",O515+Q515+R515+IF(S515="",0,S515))</f>
        <v>0</v>
      </c>
      <c r="U515" s="21">
        <f>IF(A515="","",J515-T515)</f>
        <v>0</v>
      </c>
      <c r="V515" s="38">
        <f>IF(OR(A515="",J515=0),"",U515/J515)</f>
        <v>0</v>
      </c>
      <c r="W515" s="21">
        <f>IF(OR(A515="",M515=0,J515=0),"",U515/M515)</f>
        <v>0</v>
      </c>
      <c r="X515" s="34">
        <f>IF(OR(A515="",L515="",L515=0,K515=""),"",L515-K515)</f>
        <v>0</v>
      </c>
      <c r="Y515" s="31">
        <f>IF(A515="","",COUNTIFS($U$5:$U$604,"&gt;"&amp;U515)+COUNTIFS($U$5:U515,U515))</f>
        <v>0</v>
      </c>
      <c r="Z515" s="31">
        <f>IF(A515="","",COUNTIFS($W$5:$W$604,"&gt;"&amp;W515)+COUNTIFS($W$5:W515,W515))</f>
        <v>0</v>
      </c>
      <c r="AA515" s="39">
        <f>IF(A515="","",IF(J515=0,"",IF(U515&lt;0,"Loss - this job cost you money",IF(V515&lt;MarginFloor,"Below - margin under the floor",IF(V515&lt;TargetMargin,"Check - under target margin",IF(AND(X515&lt;&gt;"",X515&gt;0.5),"Check - ran over the estimate","OK"))))))</f>
        <v>0</v>
      </c>
    </row>
    <row r="516" spans="1:27">
      <c r="A516" s="43">
        <f>IF(IFERROR(INDEX(Jobs!$A$5:$A$604,ROW()-4),"")="","",IFERROR(INDEX(Jobs!$A$5:$A$604,ROW()-4),""))</f>
        <v>0</v>
      </c>
      <c r="B516" s="18">
        <f>IF(A516="","",IFERROR(INDEX(Jobs!$B$5:$B$604,MATCH(A516,Jobs!$A$5:$A$604,0)),""))</f>
        <v>0</v>
      </c>
      <c r="C516" s="23">
        <f>IF(B516="","",TEXT(B516,"yyyy-mm"))</f>
        <v>0</v>
      </c>
      <c r="D516" s="43">
        <f>IF(A516="","",IFERROR(INDEX(Jobs!$G$5:$G$604,MATCH(A516,Jobs!$A$5:$A$604,0)),""))</f>
        <v>0</v>
      </c>
      <c r="E516" s="23">
        <f>IF(A516="","",IFERROR(INDEX(Jobs!$H$5:$H$604,MATCH(A516,Jobs!$A$5:$A$604,0)),""))</f>
        <v>0</v>
      </c>
      <c r="F516" s="23">
        <f>IF(A516="","",IFERROR(INDEX(Jobs!$K$5:$K$604,MATCH(A516,Jobs!$A$5:$A$604,0)),""))</f>
        <v>0</v>
      </c>
      <c r="G516" s="23">
        <f>IF(A516="","",IFERROR(INDEX(Jobs!$M$5:$M$604,MATCH(A516,Jobs!$A$5:$A$604,0)),""))</f>
        <v>0</v>
      </c>
      <c r="H516" s="23">
        <f>IF(A516="","",IFERROR(INDEX(Jobs!$R$5:$R$604,MATCH(A516,Jobs!$A$5:$A$604,0)),""))</f>
        <v>0</v>
      </c>
      <c r="I516" s="39">
        <f>IF(A516="","",IFERROR(INDEX(Jobs!$P$5:$P$604,MATCH(A516,Jobs!$A$5:$A$604,0)),""))</f>
        <v>0</v>
      </c>
      <c r="J516" s="21">
        <f>IF(A516="","",IF(OR(I516="Completed",I516="Invoiced"),IFERROR(INDEX(Jobs!$AJ$5:$AJ$604,MATCH(A516,Jobs!$A$5:$A$604,0)),0),0))</f>
        <v>0</v>
      </c>
      <c r="K516" s="34">
        <f>IF(A516="","",IFERROR(INDEX(Jobs!$AD$5:$AD$604,MATCH(A516,Jobs!$A$5:$A$604,0)),0))</f>
        <v>0</v>
      </c>
      <c r="L516" s="34">
        <f>IF(A516="","",IFERROR(INDEX(Jobs!$AK$5:$AK$604,MATCH(A516,Jobs!$A$5:$A$604,0)),0))</f>
        <v>0</v>
      </c>
      <c r="M516" s="34">
        <f>IF(A516="","",IF(IFERROR(L516*1,0)&gt;0,L516,IFERROR(K516*1,0)))</f>
        <v>0</v>
      </c>
      <c r="N516" s="21">
        <f>IF(A516="","",SUMIFS(Timesheets!$X$5:$X$804,Timesheets!$G$5:$G$804,A516))</f>
        <v>0</v>
      </c>
      <c r="O516" s="21">
        <f>IF(A516="","",IF(N516&gt;0,N516,ROUND(M516*CostPerHour,2)))</f>
        <v>0</v>
      </c>
      <c r="P516" s="21">
        <f>IF(A516="","",SUMIFS('Supply Usage'!$L$5:$L$304,'Supply Usage'!$F$5:$F$304,A516))</f>
        <v>0</v>
      </c>
      <c r="Q516" s="21">
        <f>IF(A516="","",IF(P516&gt;0,P516,ROUND(M516*SuppliesPerHour,2)))</f>
        <v>0</v>
      </c>
      <c r="R516" s="21">
        <f>IF(A516="","",ROUND(IFERROR(INDEX(Jobs!$W$5:$W$604,MATCH(A516,Jobs!$A$5:$A$604,0)),0)*MileageRate,2))</f>
        <v>0</v>
      </c>
      <c r="T516" s="21">
        <f>IF(A516="","",O516+Q516+R516+IF(S516="",0,S516))</f>
        <v>0</v>
      </c>
      <c r="U516" s="21">
        <f>IF(A516="","",J516-T516)</f>
        <v>0</v>
      </c>
      <c r="V516" s="38">
        <f>IF(OR(A516="",J516=0),"",U516/J516)</f>
        <v>0</v>
      </c>
      <c r="W516" s="21">
        <f>IF(OR(A516="",M516=0,J516=0),"",U516/M516)</f>
        <v>0</v>
      </c>
      <c r="X516" s="34">
        <f>IF(OR(A516="",L516="",L516=0,K516=""),"",L516-K516)</f>
        <v>0</v>
      </c>
      <c r="Y516" s="31">
        <f>IF(A516="","",COUNTIFS($U$5:$U$604,"&gt;"&amp;U516)+COUNTIFS($U$5:U516,U516))</f>
        <v>0</v>
      </c>
      <c r="Z516" s="31">
        <f>IF(A516="","",COUNTIFS($W$5:$W$604,"&gt;"&amp;W516)+COUNTIFS($W$5:W516,W516))</f>
        <v>0</v>
      </c>
      <c r="AA516" s="39">
        <f>IF(A516="","",IF(J516=0,"",IF(U516&lt;0,"Loss - this job cost you money",IF(V516&lt;MarginFloor,"Below - margin under the floor",IF(V516&lt;TargetMargin,"Check - under target margin",IF(AND(X516&lt;&gt;"",X516&gt;0.5),"Check - ran over the estimate","OK"))))))</f>
        <v>0</v>
      </c>
    </row>
    <row r="517" spans="1:27">
      <c r="A517" s="43">
        <f>IF(IFERROR(INDEX(Jobs!$A$5:$A$604,ROW()-4),"")="","",IFERROR(INDEX(Jobs!$A$5:$A$604,ROW()-4),""))</f>
        <v>0</v>
      </c>
      <c r="B517" s="18">
        <f>IF(A517="","",IFERROR(INDEX(Jobs!$B$5:$B$604,MATCH(A517,Jobs!$A$5:$A$604,0)),""))</f>
        <v>0</v>
      </c>
      <c r="C517" s="23">
        <f>IF(B517="","",TEXT(B517,"yyyy-mm"))</f>
        <v>0</v>
      </c>
      <c r="D517" s="43">
        <f>IF(A517="","",IFERROR(INDEX(Jobs!$G$5:$G$604,MATCH(A517,Jobs!$A$5:$A$604,0)),""))</f>
        <v>0</v>
      </c>
      <c r="E517" s="23">
        <f>IF(A517="","",IFERROR(INDEX(Jobs!$H$5:$H$604,MATCH(A517,Jobs!$A$5:$A$604,0)),""))</f>
        <v>0</v>
      </c>
      <c r="F517" s="23">
        <f>IF(A517="","",IFERROR(INDEX(Jobs!$K$5:$K$604,MATCH(A517,Jobs!$A$5:$A$604,0)),""))</f>
        <v>0</v>
      </c>
      <c r="G517" s="23">
        <f>IF(A517="","",IFERROR(INDEX(Jobs!$M$5:$M$604,MATCH(A517,Jobs!$A$5:$A$604,0)),""))</f>
        <v>0</v>
      </c>
      <c r="H517" s="23">
        <f>IF(A517="","",IFERROR(INDEX(Jobs!$R$5:$R$604,MATCH(A517,Jobs!$A$5:$A$604,0)),""))</f>
        <v>0</v>
      </c>
      <c r="I517" s="39">
        <f>IF(A517="","",IFERROR(INDEX(Jobs!$P$5:$P$604,MATCH(A517,Jobs!$A$5:$A$604,0)),""))</f>
        <v>0</v>
      </c>
      <c r="J517" s="21">
        <f>IF(A517="","",IF(OR(I517="Completed",I517="Invoiced"),IFERROR(INDEX(Jobs!$AJ$5:$AJ$604,MATCH(A517,Jobs!$A$5:$A$604,0)),0),0))</f>
        <v>0</v>
      </c>
      <c r="K517" s="34">
        <f>IF(A517="","",IFERROR(INDEX(Jobs!$AD$5:$AD$604,MATCH(A517,Jobs!$A$5:$A$604,0)),0))</f>
        <v>0</v>
      </c>
      <c r="L517" s="34">
        <f>IF(A517="","",IFERROR(INDEX(Jobs!$AK$5:$AK$604,MATCH(A517,Jobs!$A$5:$A$604,0)),0))</f>
        <v>0</v>
      </c>
      <c r="M517" s="34">
        <f>IF(A517="","",IF(IFERROR(L517*1,0)&gt;0,L517,IFERROR(K517*1,0)))</f>
        <v>0</v>
      </c>
      <c r="N517" s="21">
        <f>IF(A517="","",SUMIFS(Timesheets!$X$5:$X$804,Timesheets!$G$5:$G$804,A517))</f>
        <v>0</v>
      </c>
      <c r="O517" s="21">
        <f>IF(A517="","",IF(N517&gt;0,N517,ROUND(M517*CostPerHour,2)))</f>
        <v>0</v>
      </c>
      <c r="P517" s="21">
        <f>IF(A517="","",SUMIFS('Supply Usage'!$L$5:$L$304,'Supply Usage'!$F$5:$F$304,A517))</f>
        <v>0</v>
      </c>
      <c r="Q517" s="21">
        <f>IF(A517="","",IF(P517&gt;0,P517,ROUND(M517*SuppliesPerHour,2)))</f>
        <v>0</v>
      </c>
      <c r="R517" s="21">
        <f>IF(A517="","",ROUND(IFERROR(INDEX(Jobs!$W$5:$W$604,MATCH(A517,Jobs!$A$5:$A$604,0)),0)*MileageRate,2))</f>
        <v>0</v>
      </c>
      <c r="T517" s="21">
        <f>IF(A517="","",O517+Q517+R517+IF(S517="",0,S517))</f>
        <v>0</v>
      </c>
      <c r="U517" s="21">
        <f>IF(A517="","",J517-T517)</f>
        <v>0</v>
      </c>
      <c r="V517" s="38">
        <f>IF(OR(A517="",J517=0),"",U517/J517)</f>
        <v>0</v>
      </c>
      <c r="W517" s="21">
        <f>IF(OR(A517="",M517=0,J517=0),"",U517/M517)</f>
        <v>0</v>
      </c>
      <c r="X517" s="34">
        <f>IF(OR(A517="",L517="",L517=0,K517=""),"",L517-K517)</f>
        <v>0</v>
      </c>
      <c r="Y517" s="31">
        <f>IF(A517="","",COUNTIFS($U$5:$U$604,"&gt;"&amp;U517)+COUNTIFS($U$5:U517,U517))</f>
        <v>0</v>
      </c>
      <c r="Z517" s="31">
        <f>IF(A517="","",COUNTIFS($W$5:$W$604,"&gt;"&amp;W517)+COUNTIFS($W$5:W517,W517))</f>
        <v>0</v>
      </c>
      <c r="AA517" s="39">
        <f>IF(A517="","",IF(J517=0,"",IF(U517&lt;0,"Loss - this job cost you money",IF(V517&lt;MarginFloor,"Below - margin under the floor",IF(V517&lt;TargetMargin,"Check - under target margin",IF(AND(X517&lt;&gt;"",X517&gt;0.5),"Check - ran over the estimate","OK"))))))</f>
        <v>0</v>
      </c>
    </row>
    <row r="518" spans="1:27">
      <c r="A518" s="43">
        <f>IF(IFERROR(INDEX(Jobs!$A$5:$A$604,ROW()-4),"")="","",IFERROR(INDEX(Jobs!$A$5:$A$604,ROW()-4),""))</f>
        <v>0</v>
      </c>
      <c r="B518" s="18">
        <f>IF(A518="","",IFERROR(INDEX(Jobs!$B$5:$B$604,MATCH(A518,Jobs!$A$5:$A$604,0)),""))</f>
        <v>0</v>
      </c>
      <c r="C518" s="23">
        <f>IF(B518="","",TEXT(B518,"yyyy-mm"))</f>
        <v>0</v>
      </c>
      <c r="D518" s="43">
        <f>IF(A518="","",IFERROR(INDEX(Jobs!$G$5:$G$604,MATCH(A518,Jobs!$A$5:$A$604,0)),""))</f>
        <v>0</v>
      </c>
      <c r="E518" s="23">
        <f>IF(A518="","",IFERROR(INDEX(Jobs!$H$5:$H$604,MATCH(A518,Jobs!$A$5:$A$604,0)),""))</f>
        <v>0</v>
      </c>
      <c r="F518" s="23">
        <f>IF(A518="","",IFERROR(INDEX(Jobs!$K$5:$K$604,MATCH(A518,Jobs!$A$5:$A$604,0)),""))</f>
        <v>0</v>
      </c>
      <c r="G518" s="23">
        <f>IF(A518="","",IFERROR(INDEX(Jobs!$M$5:$M$604,MATCH(A518,Jobs!$A$5:$A$604,0)),""))</f>
        <v>0</v>
      </c>
      <c r="H518" s="23">
        <f>IF(A518="","",IFERROR(INDEX(Jobs!$R$5:$R$604,MATCH(A518,Jobs!$A$5:$A$604,0)),""))</f>
        <v>0</v>
      </c>
      <c r="I518" s="39">
        <f>IF(A518="","",IFERROR(INDEX(Jobs!$P$5:$P$604,MATCH(A518,Jobs!$A$5:$A$604,0)),""))</f>
        <v>0</v>
      </c>
      <c r="J518" s="21">
        <f>IF(A518="","",IF(OR(I518="Completed",I518="Invoiced"),IFERROR(INDEX(Jobs!$AJ$5:$AJ$604,MATCH(A518,Jobs!$A$5:$A$604,0)),0),0))</f>
        <v>0</v>
      </c>
      <c r="K518" s="34">
        <f>IF(A518="","",IFERROR(INDEX(Jobs!$AD$5:$AD$604,MATCH(A518,Jobs!$A$5:$A$604,0)),0))</f>
        <v>0</v>
      </c>
      <c r="L518" s="34">
        <f>IF(A518="","",IFERROR(INDEX(Jobs!$AK$5:$AK$604,MATCH(A518,Jobs!$A$5:$A$604,0)),0))</f>
        <v>0</v>
      </c>
      <c r="M518" s="34">
        <f>IF(A518="","",IF(IFERROR(L518*1,0)&gt;0,L518,IFERROR(K518*1,0)))</f>
        <v>0</v>
      </c>
      <c r="N518" s="21">
        <f>IF(A518="","",SUMIFS(Timesheets!$X$5:$X$804,Timesheets!$G$5:$G$804,A518))</f>
        <v>0</v>
      </c>
      <c r="O518" s="21">
        <f>IF(A518="","",IF(N518&gt;0,N518,ROUND(M518*CostPerHour,2)))</f>
        <v>0</v>
      </c>
      <c r="P518" s="21">
        <f>IF(A518="","",SUMIFS('Supply Usage'!$L$5:$L$304,'Supply Usage'!$F$5:$F$304,A518))</f>
        <v>0</v>
      </c>
      <c r="Q518" s="21">
        <f>IF(A518="","",IF(P518&gt;0,P518,ROUND(M518*SuppliesPerHour,2)))</f>
        <v>0</v>
      </c>
      <c r="R518" s="21">
        <f>IF(A518="","",ROUND(IFERROR(INDEX(Jobs!$W$5:$W$604,MATCH(A518,Jobs!$A$5:$A$604,0)),0)*MileageRate,2))</f>
        <v>0</v>
      </c>
      <c r="T518" s="21">
        <f>IF(A518="","",O518+Q518+R518+IF(S518="",0,S518))</f>
        <v>0</v>
      </c>
      <c r="U518" s="21">
        <f>IF(A518="","",J518-T518)</f>
        <v>0</v>
      </c>
      <c r="V518" s="38">
        <f>IF(OR(A518="",J518=0),"",U518/J518)</f>
        <v>0</v>
      </c>
      <c r="W518" s="21">
        <f>IF(OR(A518="",M518=0,J518=0),"",U518/M518)</f>
        <v>0</v>
      </c>
      <c r="X518" s="34">
        <f>IF(OR(A518="",L518="",L518=0,K518=""),"",L518-K518)</f>
        <v>0</v>
      </c>
      <c r="Y518" s="31">
        <f>IF(A518="","",COUNTIFS($U$5:$U$604,"&gt;"&amp;U518)+COUNTIFS($U$5:U518,U518))</f>
        <v>0</v>
      </c>
      <c r="Z518" s="31">
        <f>IF(A518="","",COUNTIFS($W$5:$W$604,"&gt;"&amp;W518)+COUNTIFS($W$5:W518,W518))</f>
        <v>0</v>
      </c>
      <c r="AA518" s="39">
        <f>IF(A518="","",IF(J518=0,"",IF(U518&lt;0,"Loss - this job cost you money",IF(V518&lt;MarginFloor,"Below - margin under the floor",IF(V518&lt;TargetMargin,"Check - under target margin",IF(AND(X518&lt;&gt;"",X518&gt;0.5),"Check - ran over the estimate","OK"))))))</f>
        <v>0</v>
      </c>
    </row>
    <row r="519" spans="1:27">
      <c r="A519" s="43">
        <f>IF(IFERROR(INDEX(Jobs!$A$5:$A$604,ROW()-4),"")="","",IFERROR(INDEX(Jobs!$A$5:$A$604,ROW()-4),""))</f>
        <v>0</v>
      </c>
      <c r="B519" s="18">
        <f>IF(A519="","",IFERROR(INDEX(Jobs!$B$5:$B$604,MATCH(A519,Jobs!$A$5:$A$604,0)),""))</f>
        <v>0</v>
      </c>
      <c r="C519" s="23">
        <f>IF(B519="","",TEXT(B519,"yyyy-mm"))</f>
        <v>0</v>
      </c>
      <c r="D519" s="43">
        <f>IF(A519="","",IFERROR(INDEX(Jobs!$G$5:$G$604,MATCH(A519,Jobs!$A$5:$A$604,0)),""))</f>
        <v>0</v>
      </c>
      <c r="E519" s="23">
        <f>IF(A519="","",IFERROR(INDEX(Jobs!$H$5:$H$604,MATCH(A519,Jobs!$A$5:$A$604,0)),""))</f>
        <v>0</v>
      </c>
      <c r="F519" s="23">
        <f>IF(A519="","",IFERROR(INDEX(Jobs!$K$5:$K$604,MATCH(A519,Jobs!$A$5:$A$604,0)),""))</f>
        <v>0</v>
      </c>
      <c r="G519" s="23">
        <f>IF(A519="","",IFERROR(INDEX(Jobs!$M$5:$M$604,MATCH(A519,Jobs!$A$5:$A$604,0)),""))</f>
        <v>0</v>
      </c>
      <c r="H519" s="23">
        <f>IF(A519="","",IFERROR(INDEX(Jobs!$R$5:$R$604,MATCH(A519,Jobs!$A$5:$A$604,0)),""))</f>
        <v>0</v>
      </c>
      <c r="I519" s="39">
        <f>IF(A519="","",IFERROR(INDEX(Jobs!$P$5:$P$604,MATCH(A519,Jobs!$A$5:$A$604,0)),""))</f>
        <v>0</v>
      </c>
      <c r="J519" s="21">
        <f>IF(A519="","",IF(OR(I519="Completed",I519="Invoiced"),IFERROR(INDEX(Jobs!$AJ$5:$AJ$604,MATCH(A519,Jobs!$A$5:$A$604,0)),0),0))</f>
        <v>0</v>
      </c>
      <c r="K519" s="34">
        <f>IF(A519="","",IFERROR(INDEX(Jobs!$AD$5:$AD$604,MATCH(A519,Jobs!$A$5:$A$604,0)),0))</f>
        <v>0</v>
      </c>
      <c r="L519" s="34">
        <f>IF(A519="","",IFERROR(INDEX(Jobs!$AK$5:$AK$604,MATCH(A519,Jobs!$A$5:$A$604,0)),0))</f>
        <v>0</v>
      </c>
      <c r="M519" s="34">
        <f>IF(A519="","",IF(IFERROR(L519*1,0)&gt;0,L519,IFERROR(K519*1,0)))</f>
        <v>0</v>
      </c>
      <c r="N519" s="21">
        <f>IF(A519="","",SUMIFS(Timesheets!$X$5:$X$804,Timesheets!$G$5:$G$804,A519))</f>
        <v>0</v>
      </c>
      <c r="O519" s="21">
        <f>IF(A519="","",IF(N519&gt;0,N519,ROUND(M519*CostPerHour,2)))</f>
        <v>0</v>
      </c>
      <c r="P519" s="21">
        <f>IF(A519="","",SUMIFS('Supply Usage'!$L$5:$L$304,'Supply Usage'!$F$5:$F$304,A519))</f>
        <v>0</v>
      </c>
      <c r="Q519" s="21">
        <f>IF(A519="","",IF(P519&gt;0,P519,ROUND(M519*SuppliesPerHour,2)))</f>
        <v>0</v>
      </c>
      <c r="R519" s="21">
        <f>IF(A519="","",ROUND(IFERROR(INDEX(Jobs!$W$5:$W$604,MATCH(A519,Jobs!$A$5:$A$604,0)),0)*MileageRate,2))</f>
        <v>0</v>
      </c>
      <c r="T519" s="21">
        <f>IF(A519="","",O519+Q519+R519+IF(S519="",0,S519))</f>
        <v>0</v>
      </c>
      <c r="U519" s="21">
        <f>IF(A519="","",J519-T519)</f>
        <v>0</v>
      </c>
      <c r="V519" s="38">
        <f>IF(OR(A519="",J519=0),"",U519/J519)</f>
        <v>0</v>
      </c>
      <c r="W519" s="21">
        <f>IF(OR(A519="",M519=0,J519=0),"",U519/M519)</f>
        <v>0</v>
      </c>
      <c r="X519" s="34">
        <f>IF(OR(A519="",L519="",L519=0,K519=""),"",L519-K519)</f>
        <v>0</v>
      </c>
      <c r="Y519" s="31">
        <f>IF(A519="","",COUNTIFS($U$5:$U$604,"&gt;"&amp;U519)+COUNTIFS($U$5:U519,U519))</f>
        <v>0</v>
      </c>
      <c r="Z519" s="31">
        <f>IF(A519="","",COUNTIFS($W$5:$W$604,"&gt;"&amp;W519)+COUNTIFS($W$5:W519,W519))</f>
        <v>0</v>
      </c>
      <c r="AA519" s="39">
        <f>IF(A519="","",IF(J519=0,"",IF(U519&lt;0,"Loss - this job cost you money",IF(V519&lt;MarginFloor,"Below - margin under the floor",IF(V519&lt;TargetMargin,"Check - under target margin",IF(AND(X519&lt;&gt;"",X519&gt;0.5),"Check - ran over the estimate","OK"))))))</f>
        <v>0</v>
      </c>
    </row>
    <row r="520" spans="1:27">
      <c r="A520" s="43">
        <f>IF(IFERROR(INDEX(Jobs!$A$5:$A$604,ROW()-4),"")="","",IFERROR(INDEX(Jobs!$A$5:$A$604,ROW()-4),""))</f>
        <v>0</v>
      </c>
      <c r="B520" s="18">
        <f>IF(A520="","",IFERROR(INDEX(Jobs!$B$5:$B$604,MATCH(A520,Jobs!$A$5:$A$604,0)),""))</f>
        <v>0</v>
      </c>
      <c r="C520" s="23">
        <f>IF(B520="","",TEXT(B520,"yyyy-mm"))</f>
        <v>0</v>
      </c>
      <c r="D520" s="43">
        <f>IF(A520="","",IFERROR(INDEX(Jobs!$G$5:$G$604,MATCH(A520,Jobs!$A$5:$A$604,0)),""))</f>
        <v>0</v>
      </c>
      <c r="E520" s="23">
        <f>IF(A520="","",IFERROR(INDEX(Jobs!$H$5:$H$604,MATCH(A520,Jobs!$A$5:$A$604,0)),""))</f>
        <v>0</v>
      </c>
      <c r="F520" s="23">
        <f>IF(A520="","",IFERROR(INDEX(Jobs!$K$5:$K$604,MATCH(A520,Jobs!$A$5:$A$604,0)),""))</f>
        <v>0</v>
      </c>
      <c r="G520" s="23">
        <f>IF(A520="","",IFERROR(INDEX(Jobs!$M$5:$M$604,MATCH(A520,Jobs!$A$5:$A$604,0)),""))</f>
        <v>0</v>
      </c>
      <c r="H520" s="23">
        <f>IF(A520="","",IFERROR(INDEX(Jobs!$R$5:$R$604,MATCH(A520,Jobs!$A$5:$A$604,0)),""))</f>
        <v>0</v>
      </c>
      <c r="I520" s="39">
        <f>IF(A520="","",IFERROR(INDEX(Jobs!$P$5:$P$604,MATCH(A520,Jobs!$A$5:$A$604,0)),""))</f>
        <v>0</v>
      </c>
      <c r="J520" s="21">
        <f>IF(A520="","",IF(OR(I520="Completed",I520="Invoiced"),IFERROR(INDEX(Jobs!$AJ$5:$AJ$604,MATCH(A520,Jobs!$A$5:$A$604,0)),0),0))</f>
        <v>0</v>
      </c>
      <c r="K520" s="34">
        <f>IF(A520="","",IFERROR(INDEX(Jobs!$AD$5:$AD$604,MATCH(A520,Jobs!$A$5:$A$604,0)),0))</f>
        <v>0</v>
      </c>
      <c r="L520" s="34">
        <f>IF(A520="","",IFERROR(INDEX(Jobs!$AK$5:$AK$604,MATCH(A520,Jobs!$A$5:$A$604,0)),0))</f>
        <v>0</v>
      </c>
      <c r="M520" s="34">
        <f>IF(A520="","",IF(IFERROR(L520*1,0)&gt;0,L520,IFERROR(K520*1,0)))</f>
        <v>0</v>
      </c>
      <c r="N520" s="21">
        <f>IF(A520="","",SUMIFS(Timesheets!$X$5:$X$804,Timesheets!$G$5:$G$804,A520))</f>
        <v>0</v>
      </c>
      <c r="O520" s="21">
        <f>IF(A520="","",IF(N520&gt;0,N520,ROUND(M520*CostPerHour,2)))</f>
        <v>0</v>
      </c>
      <c r="P520" s="21">
        <f>IF(A520="","",SUMIFS('Supply Usage'!$L$5:$L$304,'Supply Usage'!$F$5:$F$304,A520))</f>
        <v>0</v>
      </c>
      <c r="Q520" s="21">
        <f>IF(A520="","",IF(P520&gt;0,P520,ROUND(M520*SuppliesPerHour,2)))</f>
        <v>0</v>
      </c>
      <c r="R520" s="21">
        <f>IF(A520="","",ROUND(IFERROR(INDEX(Jobs!$W$5:$W$604,MATCH(A520,Jobs!$A$5:$A$604,0)),0)*MileageRate,2))</f>
        <v>0</v>
      </c>
      <c r="T520" s="21">
        <f>IF(A520="","",O520+Q520+R520+IF(S520="",0,S520))</f>
        <v>0</v>
      </c>
      <c r="U520" s="21">
        <f>IF(A520="","",J520-T520)</f>
        <v>0</v>
      </c>
      <c r="V520" s="38">
        <f>IF(OR(A520="",J520=0),"",U520/J520)</f>
        <v>0</v>
      </c>
      <c r="W520" s="21">
        <f>IF(OR(A520="",M520=0,J520=0),"",U520/M520)</f>
        <v>0</v>
      </c>
      <c r="X520" s="34">
        <f>IF(OR(A520="",L520="",L520=0,K520=""),"",L520-K520)</f>
        <v>0</v>
      </c>
      <c r="Y520" s="31">
        <f>IF(A520="","",COUNTIFS($U$5:$U$604,"&gt;"&amp;U520)+COUNTIFS($U$5:U520,U520))</f>
        <v>0</v>
      </c>
      <c r="Z520" s="31">
        <f>IF(A520="","",COUNTIFS($W$5:$W$604,"&gt;"&amp;W520)+COUNTIFS($W$5:W520,W520))</f>
        <v>0</v>
      </c>
      <c r="AA520" s="39">
        <f>IF(A520="","",IF(J520=0,"",IF(U520&lt;0,"Loss - this job cost you money",IF(V520&lt;MarginFloor,"Below - margin under the floor",IF(V520&lt;TargetMargin,"Check - under target margin",IF(AND(X520&lt;&gt;"",X520&gt;0.5),"Check - ran over the estimate","OK"))))))</f>
        <v>0</v>
      </c>
    </row>
    <row r="521" spans="1:27">
      <c r="A521" s="43">
        <f>IF(IFERROR(INDEX(Jobs!$A$5:$A$604,ROW()-4),"")="","",IFERROR(INDEX(Jobs!$A$5:$A$604,ROW()-4),""))</f>
        <v>0</v>
      </c>
      <c r="B521" s="18">
        <f>IF(A521="","",IFERROR(INDEX(Jobs!$B$5:$B$604,MATCH(A521,Jobs!$A$5:$A$604,0)),""))</f>
        <v>0</v>
      </c>
      <c r="C521" s="23">
        <f>IF(B521="","",TEXT(B521,"yyyy-mm"))</f>
        <v>0</v>
      </c>
      <c r="D521" s="43">
        <f>IF(A521="","",IFERROR(INDEX(Jobs!$G$5:$G$604,MATCH(A521,Jobs!$A$5:$A$604,0)),""))</f>
        <v>0</v>
      </c>
      <c r="E521" s="23">
        <f>IF(A521="","",IFERROR(INDEX(Jobs!$H$5:$H$604,MATCH(A521,Jobs!$A$5:$A$604,0)),""))</f>
        <v>0</v>
      </c>
      <c r="F521" s="23">
        <f>IF(A521="","",IFERROR(INDEX(Jobs!$K$5:$K$604,MATCH(A521,Jobs!$A$5:$A$604,0)),""))</f>
        <v>0</v>
      </c>
      <c r="G521" s="23">
        <f>IF(A521="","",IFERROR(INDEX(Jobs!$M$5:$M$604,MATCH(A521,Jobs!$A$5:$A$604,0)),""))</f>
        <v>0</v>
      </c>
      <c r="H521" s="23">
        <f>IF(A521="","",IFERROR(INDEX(Jobs!$R$5:$R$604,MATCH(A521,Jobs!$A$5:$A$604,0)),""))</f>
        <v>0</v>
      </c>
      <c r="I521" s="39">
        <f>IF(A521="","",IFERROR(INDEX(Jobs!$P$5:$P$604,MATCH(A521,Jobs!$A$5:$A$604,0)),""))</f>
        <v>0</v>
      </c>
      <c r="J521" s="21">
        <f>IF(A521="","",IF(OR(I521="Completed",I521="Invoiced"),IFERROR(INDEX(Jobs!$AJ$5:$AJ$604,MATCH(A521,Jobs!$A$5:$A$604,0)),0),0))</f>
        <v>0</v>
      </c>
      <c r="K521" s="34">
        <f>IF(A521="","",IFERROR(INDEX(Jobs!$AD$5:$AD$604,MATCH(A521,Jobs!$A$5:$A$604,0)),0))</f>
        <v>0</v>
      </c>
      <c r="L521" s="34">
        <f>IF(A521="","",IFERROR(INDEX(Jobs!$AK$5:$AK$604,MATCH(A521,Jobs!$A$5:$A$604,0)),0))</f>
        <v>0</v>
      </c>
      <c r="M521" s="34">
        <f>IF(A521="","",IF(IFERROR(L521*1,0)&gt;0,L521,IFERROR(K521*1,0)))</f>
        <v>0</v>
      </c>
      <c r="N521" s="21">
        <f>IF(A521="","",SUMIFS(Timesheets!$X$5:$X$804,Timesheets!$G$5:$G$804,A521))</f>
        <v>0</v>
      </c>
      <c r="O521" s="21">
        <f>IF(A521="","",IF(N521&gt;0,N521,ROUND(M521*CostPerHour,2)))</f>
        <v>0</v>
      </c>
      <c r="P521" s="21">
        <f>IF(A521="","",SUMIFS('Supply Usage'!$L$5:$L$304,'Supply Usage'!$F$5:$F$304,A521))</f>
        <v>0</v>
      </c>
      <c r="Q521" s="21">
        <f>IF(A521="","",IF(P521&gt;0,P521,ROUND(M521*SuppliesPerHour,2)))</f>
        <v>0</v>
      </c>
      <c r="R521" s="21">
        <f>IF(A521="","",ROUND(IFERROR(INDEX(Jobs!$W$5:$W$604,MATCH(A521,Jobs!$A$5:$A$604,0)),0)*MileageRate,2))</f>
        <v>0</v>
      </c>
      <c r="T521" s="21">
        <f>IF(A521="","",O521+Q521+R521+IF(S521="",0,S521))</f>
        <v>0</v>
      </c>
      <c r="U521" s="21">
        <f>IF(A521="","",J521-T521)</f>
        <v>0</v>
      </c>
      <c r="V521" s="38">
        <f>IF(OR(A521="",J521=0),"",U521/J521)</f>
        <v>0</v>
      </c>
      <c r="W521" s="21">
        <f>IF(OR(A521="",M521=0,J521=0),"",U521/M521)</f>
        <v>0</v>
      </c>
      <c r="X521" s="34">
        <f>IF(OR(A521="",L521="",L521=0,K521=""),"",L521-K521)</f>
        <v>0</v>
      </c>
      <c r="Y521" s="31">
        <f>IF(A521="","",COUNTIFS($U$5:$U$604,"&gt;"&amp;U521)+COUNTIFS($U$5:U521,U521))</f>
        <v>0</v>
      </c>
      <c r="Z521" s="31">
        <f>IF(A521="","",COUNTIFS($W$5:$W$604,"&gt;"&amp;W521)+COUNTIFS($W$5:W521,W521))</f>
        <v>0</v>
      </c>
      <c r="AA521" s="39">
        <f>IF(A521="","",IF(J521=0,"",IF(U521&lt;0,"Loss - this job cost you money",IF(V521&lt;MarginFloor,"Below - margin under the floor",IF(V521&lt;TargetMargin,"Check - under target margin",IF(AND(X521&lt;&gt;"",X521&gt;0.5),"Check - ran over the estimate","OK"))))))</f>
        <v>0</v>
      </c>
    </row>
    <row r="522" spans="1:27">
      <c r="A522" s="43">
        <f>IF(IFERROR(INDEX(Jobs!$A$5:$A$604,ROW()-4),"")="","",IFERROR(INDEX(Jobs!$A$5:$A$604,ROW()-4),""))</f>
        <v>0</v>
      </c>
      <c r="B522" s="18">
        <f>IF(A522="","",IFERROR(INDEX(Jobs!$B$5:$B$604,MATCH(A522,Jobs!$A$5:$A$604,0)),""))</f>
        <v>0</v>
      </c>
      <c r="C522" s="23">
        <f>IF(B522="","",TEXT(B522,"yyyy-mm"))</f>
        <v>0</v>
      </c>
      <c r="D522" s="43">
        <f>IF(A522="","",IFERROR(INDEX(Jobs!$G$5:$G$604,MATCH(A522,Jobs!$A$5:$A$604,0)),""))</f>
        <v>0</v>
      </c>
      <c r="E522" s="23">
        <f>IF(A522="","",IFERROR(INDEX(Jobs!$H$5:$H$604,MATCH(A522,Jobs!$A$5:$A$604,0)),""))</f>
        <v>0</v>
      </c>
      <c r="F522" s="23">
        <f>IF(A522="","",IFERROR(INDEX(Jobs!$K$5:$K$604,MATCH(A522,Jobs!$A$5:$A$604,0)),""))</f>
        <v>0</v>
      </c>
      <c r="G522" s="23">
        <f>IF(A522="","",IFERROR(INDEX(Jobs!$M$5:$M$604,MATCH(A522,Jobs!$A$5:$A$604,0)),""))</f>
        <v>0</v>
      </c>
      <c r="H522" s="23">
        <f>IF(A522="","",IFERROR(INDEX(Jobs!$R$5:$R$604,MATCH(A522,Jobs!$A$5:$A$604,0)),""))</f>
        <v>0</v>
      </c>
      <c r="I522" s="39">
        <f>IF(A522="","",IFERROR(INDEX(Jobs!$P$5:$P$604,MATCH(A522,Jobs!$A$5:$A$604,0)),""))</f>
        <v>0</v>
      </c>
      <c r="J522" s="21">
        <f>IF(A522="","",IF(OR(I522="Completed",I522="Invoiced"),IFERROR(INDEX(Jobs!$AJ$5:$AJ$604,MATCH(A522,Jobs!$A$5:$A$604,0)),0),0))</f>
        <v>0</v>
      </c>
      <c r="K522" s="34">
        <f>IF(A522="","",IFERROR(INDEX(Jobs!$AD$5:$AD$604,MATCH(A522,Jobs!$A$5:$A$604,0)),0))</f>
        <v>0</v>
      </c>
      <c r="L522" s="34">
        <f>IF(A522="","",IFERROR(INDEX(Jobs!$AK$5:$AK$604,MATCH(A522,Jobs!$A$5:$A$604,0)),0))</f>
        <v>0</v>
      </c>
      <c r="M522" s="34">
        <f>IF(A522="","",IF(IFERROR(L522*1,0)&gt;0,L522,IFERROR(K522*1,0)))</f>
        <v>0</v>
      </c>
      <c r="N522" s="21">
        <f>IF(A522="","",SUMIFS(Timesheets!$X$5:$X$804,Timesheets!$G$5:$G$804,A522))</f>
        <v>0</v>
      </c>
      <c r="O522" s="21">
        <f>IF(A522="","",IF(N522&gt;0,N522,ROUND(M522*CostPerHour,2)))</f>
        <v>0</v>
      </c>
      <c r="P522" s="21">
        <f>IF(A522="","",SUMIFS('Supply Usage'!$L$5:$L$304,'Supply Usage'!$F$5:$F$304,A522))</f>
        <v>0</v>
      </c>
      <c r="Q522" s="21">
        <f>IF(A522="","",IF(P522&gt;0,P522,ROUND(M522*SuppliesPerHour,2)))</f>
        <v>0</v>
      </c>
      <c r="R522" s="21">
        <f>IF(A522="","",ROUND(IFERROR(INDEX(Jobs!$W$5:$W$604,MATCH(A522,Jobs!$A$5:$A$604,0)),0)*MileageRate,2))</f>
        <v>0</v>
      </c>
      <c r="T522" s="21">
        <f>IF(A522="","",O522+Q522+R522+IF(S522="",0,S522))</f>
        <v>0</v>
      </c>
      <c r="U522" s="21">
        <f>IF(A522="","",J522-T522)</f>
        <v>0</v>
      </c>
      <c r="V522" s="38">
        <f>IF(OR(A522="",J522=0),"",U522/J522)</f>
        <v>0</v>
      </c>
      <c r="W522" s="21">
        <f>IF(OR(A522="",M522=0,J522=0),"",U522/M522)</f>
        <v>0</v>
      </c>
      <c r="X522" s="34">
        <f>IF(OR(A522="",L522="",L522=0,K522=""),"",L522-K522)</f>
        <v>0</v>
      </c>
      <c r="Y522" s="31">
        <f>IF(A522="","",COUNTIFS($U$5:$U$604,"&gt;"&amp;U522)+COUNTIFS($U$5:U522,U522))</f>
        <v>0</v>
      </c>
      <c r="Z522" s="31">
        <f>IF(A522="","",COUNTIFS($W$5:$W$604,"&gt;"&amp;W522)+COUNTIFS($W$5:W522,W522))</f>
        <v>0</v>
      </c>
      <c r="AA522" s="39">
        <f>IF(A522="","",IF(J522=0,"",IF(U522&lt;0,"Loss - this job cost you money",IF(V522&lt;MarginFloor,"Below - margin under the floor",IF(V522&lt;TargetMargin,"Check - under target margin",IF(AND(X522&lt;&gt;"",X522&gt;0.5),"Check - ran over the estimate","OK"))))))</f>
        <v>0</v>
      </c>
    </row>
    <row r="523" spans="1:27">
      <c r="A523" s="43">
        <f>IF(IFERROR(INDEX(Jobs!$A$5:$A$604,ROW()-4),"")="","",IFERROR(INDEX(Jobs!$A$5:$A$604,ROW()-4),""))</f>
        <v>0</v>
      </c>
      <c r="B523" s="18">
        <f>IF(A523="","",IFERROR(INDEX(Jobs!$B$5:$B$604,MATCH(A523,Jobs!$A$5:$A$604,0)),""))</f>
        <v>0</v>
      </c>
      <c r="C523" s="23">
        <f>IF(B523="","",TEXT(B523,"yyyy-mm"))</f>
        <v>0</v>
      </c>
      <c r="D523" s="43">
        <f>IF(A523="","",IFERROR(INDEX(Jobs!$G$5:$G$604,MATCH(A523,Jobs!$A$5:$A$604,0)),""))</f>
        <v>0</v>
      </c>
      <c r="E523" s="23">
        <f>IF(A523="","",IFERROR(INDEX(Jobs!$H$5:$H$604,MATCH(A523,Jobs!$A$5:$A$604,0)),""))</f>
        <v>0</v>
      </c>
      <c r="F523" s="23">
        <f>IF(A523="","",IFERROR(INDEX(Jobs!$K$5:$K$604,MATCH(A523,Jobs!$A$5:$A$604,0)),""))</f>
        <v>0</v>
      </c>
      <c r="G523" s="23">
        <f>IF(A523="","",IFERROR(INDEX(Jobs!$M$5:$M$604,MATCH(A523,Jobs!$A$5:$A$604,0)),""))</f>
        <v>0</v>
      </c>
      <c r="H523" s="23">
        <f>IF(A523="","",IFERROR(INDEX(Jobs!$R$5:$R$604,MATCH(A523,Jobs!$A$5:$A$604,0)),""))</f>
        <v>0</v>
      </c>
      <c r="I523" s="39">
        <f>IF(A523="","",IFERROR(INDEX(Jobs!$P$5:$P$604,MATCH(A523,Jobs!$A$5:$A$604,0)),""))</f>
        <v>0</v>
      </c>
      <c r="J523" s="21">
        <f>IF(A523="","",IF(OR(I523="Completed",I523="Invoiced"),IFERROR(INDEX(Jobs!$AJ$5:$AJ$604,MATCH(A523,Jobs!$A$5:$A$604,0)),0),0))</f>
        <v>0</v>
      </c>
      <c r="K523" s="34">
        <f>IF(A523="","",IFERROR(INDEX(Jobs!$AD$5:$AD$604,MATCH(A523,Jobs!$A$5:$A$604,0)),0))</f>
        <v>0</v>
      </c>
      <c r="L523" s="34">
        <f>IF(A523="","",IFERROR(INDEX(Jobs!$AK$5:$AK$604,MATCH(A523,Jobs!$A$5:$A$604,0)),0))</f>
        <v>0</v>
      </c>
      <c r="M523" s="34">
        <f>IF(A523="","",IF(IFERROR(L523*1,0)&gt;0,L523,IFERROR(K523*1,0)))</f>
        <v>0</v>
      </c>
      <c r="N523" s="21">
        <f>IF(A523="","",SUMIFS(Timesheets!$X$5:$X$804,Timesheets!$G$5:$G$804,A523))</f>
        <v>0</v>
      </c>
      <c r="O523" s="21">
        <f>IF(A523="","",IF(N523&gt;0,N523,ROUND(M523*CostPerHour,2)))</f>
        <v>0</v>
      </c>
      <c r="P523" s="21">
        <f>IF(A523="","",SUMIFS('Supply Usage'!$L$5:$L$304,'Supply Usage'!$F$5:$F$304,A523))</f>
        <v>0</v>
      </c>
      <c r="Q523" s="21">
        <f>IF(A523="","",IF(P523&gt;0,P523,ROUND(M523*SuppliesPerHour,2)))</f>
        <v>0</v>
      </c>
      <c r="R523" s="21">
        <f>IF(A523="","",ROUND(IFERROR(INDEX(Jobs!$W$5:$W$604,MATCH(A523,Jobs!$A$5:$A$604,0)),0)*MileageRate,2))</f>
        <v>0</v>
      </c>
      <c r="T523" s="21">
        <f>IF(A523="","",O523+Q523+R523+IF(S523="",0,S523))</f>
        <v>0</v>
      </c>
      <c r="U523" s="21">
        <f>IF(A523="","",J523-T523)</f>
        <v>0</v>
      </c>
      <c r="V523" s="38">
        <f>IF(OR(A523="",J523=0),"",U523/J523)</f>
        <v>0</v>
      </c>
      <c r="W523" s="21">
        <f>IF(OR(A523="",M523=0,J523=0),"",U523/M523)</f>
        <v>0</v>
      </c>
      <c r="X523" s="34">
        <f>IF(OR(A523="",L523="",L523=0,K523=""),"",L523-K523)</f>
        <v>0</v>
      </c>
      <c r="Y523" s="31">
        <f>IF(A523="","",COUNTIFS($U$5:$U$604,"&gt;"&amp;U523)+COUNTIFS($U$5:U523,U523))</f>
        <v>0</v>
      </c>
      <c r="Z523" s="31">
        <f>IF(A523="","",COUNTIFS($W$5:$W$604,"&gt;"&amp;W523)+COUNTIFS($W$5:W523,W523))</f>
        <v>0</v>
      </c>
      <c r="AA523" s="39">
        <f>IF(A523="","",IF(J523=0,"",IF(U523&lt;0,"Loss - this job cost you money",IF(V523&lt;MarginFloor,"Below - margin under the floor",IF(V523&lt;TargetMargin,"Check - under target margin",IF(AND(X523&lt;&gt;"",X523&gt;0.5),"Check - ran over the estimate","OK"))))))</f>
        <v>0</v>
      </c>
    </row>
    <row r="524" spans="1:27">
      <c r="A524" s="43">
        <f>IF(IFERROR(INDEX(Jobs!$A$5:$A$604,ROW()-4),"")="","",IFERROR(INDEX(Jobs!$A$5:$A$604,ROW()-4),""))</f>
        <v>0</v>
      </c>
      <c r="B524" s="18">
        <f>IF(A524="","",IFERROR(INDEX(Jobs!$B$5:$B$604,MATCH(A524,Jobs!$A$5:$A$604,0)),""))</f>
        <v>0</v>
      </c>
      <c r="C524" s="23">
        <f>IF(B524="","",TEXT(B524,"yyyy-mm"))</f>
        <v>0</v>
      </c>
      <c r="D524" s="43">
        <f>IF(A524="","",IFERROR(INDEX(Jobs!$G$5:$G$604,MATCH(A524,Jobs!$A$5:$A$604,0)),""))</f>
        <v>0</v>
      </c>
      <c r="E524" s="23">
        <f>IF(A524="","",IFERROR(INDEX(Jobs!$H$5:$H$604,MATCH(A524,Jobs!$A$5:$A$604,0)),""))</f>
        <v>0</v>
      </c>
      <c r="F524" s="23">
        <f>IF(A524="","",IFERROR(INDEX(Jobs!$K$5:$K$604,MATCH(A524,Jobs!$A$5:$A$604,0)),""))</f>
        <v>0</v>
      </c>
      <c r="G524" s="23">
        <f>IF(A524="","",IFERROR(INDEX(Jobs!$M$5:$M$604,MATCH(A524,Jobs!$A$5:$A$604,0)),""))</f>
        <v>0</v>
      </c>
      <c r="H524" s="23">
        <f>IF(A524="","",IFERROR(INDEX(Jobs!$R$5:$R$604,MATCH(A524,Jobs!$A$5:$A$604,0)),""))</f>
        <v>0</v>
      </c>
      <c r="I524" s="39">
        <f>IF(A524="","",IFERROR(INDEX(Jobs!$P$5:$P$604,MATCH(A524,Jobs!$A$5:$A$604,0)),""))</f>
        <v>0</v>
      </c>
      <c r="J524" s="21">
        <f>IF(A524="","",IF(OR(I524="Completed",I524="Invoiced"),IFERROR(INDEX(Jobs!$AJ$5:$AJ$604,MATCH(A524,Jobs!$A$5:$A$604,0)),0),0))</f>
        <v>0</v>
      </c>
      <c r="K524" s="34">
        <f>IF(A524="","",IFERROR(INDEX(Jobs!$AD$5:$AD$604,MATCH(A524,Jobs!$A$5:$A$604,0)),0))</f>
        <v>0</v>
      </c>
      <c r="L524" s="34">
        <f>IF(A524="","",IFERROR(INDEX(Jobs!$AK$5:$AK$604,MATCH(A524,Jobs!$A$5:$A$604,0)),0))</f>
        <v>0</v>
      </c>
      <c r="M524" s="34">
        <f>IF(A524="","",IF(IFERROR(L524*1,0)&gt;0,L524,IFERROR(K524*1,0)))</f>
        <v>0</v>
      </c>
      <c r="N524" s="21">
        <f>IF(A524="","",SUMIFS(Timesheets!$X$5:$X$804,Timesheets!$G$5:$G$804,A524))</f>
        <v>0</v>
      </c>
      <c r="O524" s="21">
        <f>IF(A524="","",IF(N524&gt;0,N524,ROUND(M524*CostPerHour,2)))</f>
        <v>0</v>
      </c>
      <c r="P524" s="21">
        <f>IF(A524="","",SUMIFS('Supply Usage'!$L$5:$L$304,'Supply Usage'!$F$5:$F$304,A524))</f>
        <v>0</v>
      </c>
      <c r="Q524" s="21">
        <f>IF(A524="","",IF(P524&gt;0,P524,ROUND(M524*SuppliesPerHour,2)))</f>
        <v>0</v>
      </c>
      <c r="R524" s="21">
        <f>IF(A524="","",ROUND(IFERROR(INDEX(Jobs!$W$5:$W$604,MATCH(A524,Jobs!$A$5:$A$604,0)),0)*MileageRate,2))</f>
        <v>0</v>
      </c>
      <c r="T524" s="21">
        <f>IF(A524="","",O524+Q524+R524+IF(S524="",0,S524))</f>
        <v>0</v>
      </c>
      <c r="U524" s="21">
        <f>IF(A524="","",J524-T524)</f>
        <v>0</v>
      </c>
      <c r="V524" s="38">
        <f>IF(OR(A524="",J524=0),"",U524/J524)</f>
        <v>0</v>
      </c>
      <c r="W524" s="21">
        <f>IF(OR(A524="",M524=0,J524=0),"",U524/M524)</f>
        <v>0</v>
      </c>
      <c r="X524" s="34">
        <f>IF(OR(A524="",L524="",L524=0,K524=""),"",L524-K524)</f>
        <v>0</v>
      </c>
      <c r="Y524" s="31">
        <f>IF(A524="","",COUNTIFS($U$5:$U$604,"&gt;"&amp;U524)+COUNTIFS($U$5:U524,U524))</f>
        <v>0</v>
      </c>
      <c r="Z524" s="31">
        <f>IF(A524="","",COUNTIFS($W$5:$W$604,"&gt;"&amp;W524)+COUNTIFS($W$5:W524,W524))</f>
        <v>0</v>
      </c>
      <c r="AA524" s="39">
        <f>IF(A524="","",IF(J524=0,"",IF(U524&lt;0,"Loss - this job cost you money",IF(V524&lt;MarginFloor,"Below - margin under the floor",IF(V524&lt;TargetMargin,"Check - under target margin",IF(AND(X524&lt;&gt;"",X524&gt;0.5),"Check - ran over the estimate","OK"))))))</f>
        <v>0</v>
      </c>
    </row>
    <row r="525" spans="1:27">
      <c r="A525" s="43">
        <f>IF(IFERROR(INDEX(Jobs!$A$5:$A$604,ROW()-4),"")="","",IFERROR(INDEX(Jobs!$A$5:$A$604,ROW()-4),""))</f>
        <v>0</v>
      </c>
      <c r="B525" s="18">
        <f>IF(A525="","",IFERROR(INDEX(Jobs!$B$5:$B$604,MATCH(A525,Jobs!$A$5:$A$604,0)),""))</f>
        <v>0</v>
      </c>
      <c r="C525" s="23">
        <f>IF(B525="","",TEXT(B525,"yyyy-mm"))</f>
        <v>0</v>
      </c>
      <c r="D525" s="43">
        <f>IF(A525="","",IFERROR(INDEX(Jobs!$G$5:$G$604,MATCH(A525,Jobs!$A$5:$A$604,0)),""))</f>
        <v>0</v>
      </c>
      <c r="E525" s="23">
        <f>IF(A525="","",IFERROR(INDEX(Jobs!$H$5:$H$604,MATCH(A525,Jobs!$A$5:$A$604,0)),""))</f>
        <v>0</v>
      </c>
      <c r="F525" s="23">
        <f>IF(A525="","",IFERROR(INDEX(Jobs!$K$5:$K$604,MATCH(A525,Jobs!$A$5:$A$604,0)),""))</f>
        <v>0</v>
      </c>
      <c r="G525" s="23">
        <f>IF(A525="","",IFERROR(INDEX(Jobs!$M$5:$M$604,MATCH(A525,Jobs!$A$5:$A$604,0)),""))</f>
        <v>0</v>
      </c>
      <c r="H525" s="23">
        <f>IF(A525="","",IFERROR(INDEX(Jobs!$R$5:$R$604,MATCH(A525,Jobs!$A$5:$A$604,0)),""))</f>
        <v>0</v>
      </c>
      <c r="I525" s="39">
        <f>IF(A525="","",IFERROR(INDEX(Jobs!$P$5:$P$604,MATCH(A525,Jobs!$A$5:$A$604,0)),""))</f>
        <v>0</v>
      </c>
      <c r="J525" s="21">
        <f>IF(A525="","",IF(OR(I525="Completed",I525="Invoiced"),IFERROR(INDEX(Jobs!$AJ$5:$AJ$604,MATCH(A525,Jobs!$A$5:$A$604,0)),0),0))</f>
        <v>0</v>
      </c>
      <c r="K525" s="34">
        <f>IF(A525="","",IFERROR(INDEX(Jobs!$AD$5:$AD$604,MATCH(A525,Jobs!$A$5:$A$604,0)),0))</f>
        <v>0</v>
      </c>
      <c r="L525" s="34">
        <f>IF(A525="","",IFERROR(INDEX(Jobs!$AK$5:$AK$604,MATCH(A525,Jobs!$A$5:$A$604,0)),0))</f>
        <v>0</v>
      </c>
      <c r="M525" s="34">
        <f>IF(A525="","",IF(IFERROR(L525*1,0)&gt;0,L525,IFERROR(K525*1,0)))</f>
        <v>0</v>
      </c>
      <c r="N525" s="21">
        <f>IF(A525="","",SUMIFS(Timesheets!$X$5:$X$804,Timesheets!$G$5:$G$804,A525))</f>
        <v>0</v>
      </c>
      <c r="O525" s="21">
        <f>IF(A525="","",IF(N525&gt;0,N525,ROUND(M525*CostPerHour,2)))</f>
        <v>0</v>
      </c>
      <c r="P525" s="21">
        <f>IF(A525="","",SUMIFS('Supply Usage'!$L$5:$L$304,'Supply Usage'!$F$5:$F$304,A525))</f>
        <v>0</v>
      </c>
      <c r="Q525" s="21">
        <f>IF(A525="","",IF(P525&gt;0,P525,ROUND(M525*SuppliesPerHour,2)))</f>
        <v>0</v>
      </c>
      <c r="R525" s="21">
        <f>IF(A525="","",ROUND(IFERROR(INDEX(Jobs!$W$5:$W$604,MATCH(A525,Jobs!$A$5:$A$604,0)),0)*MileageRate,2))</f>
        <v>0</v>
      </c>
      <c r="T525" s="21">
        <f>IF(A525="","",O525+Q525+R525+IF(S525="",0,S525))</f>
        <v>0</v>
      </c>
      <c r="U525" s="21">
        <f>IF(A525="","",J525-T525)</f>
        <v>0</v>
      </c>
      <c r="V525" s="38">
        <f>IF(OR(A525="",J525=0),"",U525/J525)</f>
        <v>0</v>
      </c>
      <c r="W525" s="21">
        <f>IF(OR(A525="",M525=0,J525=0),"",U525/M525)</f>
        <v>0</v>
      </c>
      <c r="X525" s="34">
        <f>IF(OR(A525="",L525="",L525=0,K525=""),"",L525-K525)</f>
        <v>0</v>
      </c>
      <c r="Y525" s="31">
        <f>IF(A525="","",COUNTIFS($U$5:$U$604,"&gt;"&amp;U525)+COUNTIFS($U$5:U525,U525))</f>
        <v>0</v>
      </c>
      <c r="Z525" s="31">
        <f>IF(A525="","",COUNTIFS($W$5:$W$604,"&gt;"&amp;W525)+COUNTIFS($W$5:W525,W525))</f>
        <v>0</v>
      </c>
      <c r="AA525" s="39">
        <f>IF(A525="","",IF(J525=0,"",IF(U525&lt;0,"Loss - this job cost you money",IF(V525&lt;MarginFloor,"Below - margin under the floor",IF(V525&lt;TargetMargin,"Check - under target margin",IF(AND(X525&lt;&gt;"",X525&gt;0.5),"Check - ran over the estimate","OK"))))))</f>
        <v>0</v>
      </c>
    </row>
    <row r="526" spans="1:27">
      <c r="A526" s="43">
        <f>IF(IFERROR(INDEX(Jobs!$A$5:$A$604,ROW()-4),"")="","",IFERROR(INDEX(Jobs!$A$5:$A$604,ROW()-4),""))</f>
        <v>0</v>
      </c>
      <c r="B526" s="18">
        <f>IF(A526="","",IFERROR(INDEX(Jobs!$B$5:$B$604,MATCH(A526,Jobs!$A$5:$A$604,0)),""))</f>
        <v>0</v>
      </c>
      <c r="C526" s="23">
        <f>IF(B526="","",TEXT(B526,"yyyy-mm"))</f>
        <v>0</v>
      </c>
      <c r="D526" s="43">
        <f>IF(A526="","",IFERROR(INDEX(Jobs!$G$5:$G$604,MATCH(A526,Jobs!$A$5:$A$604,0)),""))</f>
        <v>0</v>
      </c>
      <c r="E526" s="23">
        <f>IF(A526="","",IFERROR(INDEX(Jobs!$H$5:$H$604,MATCH(A526,Jobs!$A$5:$A$604,0)),""))</f>
        <v>0</v>
      </c>
      <c r="F526" s="23">
        <f>IF(A526="","",IFERROR(INDEX(Jobs!$K$5:$K$604,MATCH(A526,Jobs!$A$5:$A$604,0)),""))</f>
        <v>0</v>
      </c>
      <c r="G526" s="23">
        <f>IF(A526="","",IFERROR(INDEX(Jobs!$M$5:$M$604,MATCH(A526,Jobs!$A$5:$A$604,0)),""))</f>
        <v>0</v>
      </c>
      <c r="H526" s="23">
        <f>IF(A526="","",IFERROR(INDEX(Jobs!$R$5:$R$604,MATCH(A526,Jobs!$A$5:$A$604,0)),""))</f>
        <v>0</v>
      </c>
      <c r="I526" s="39">
        <f>IF(A526="","",IFERROR(INDEX(Jobs!$P$5:$P$604,MATCH(A526,Jobs!$A$5:$A$604,0)),""))</f>
        <v>0</v>
      </c>
      <c r="J526" s="21">
        <f>IF(A526="","",IF(OR(I526="Completed",I526="Invoiced"),IFERROR(INDEX(Jobs!$AJ$5:$AJ$604,MATCH(A526,Jobs!$A$5:$A$604,0)),0),0))</f>
        <v>0</v>
      </c>
      <c r="K526" s="34">
        <f>IF(A526="","",IFERROR(INDEX(Jobs!$AD$5:$AD$604,MATCH(A526,Jobs!$A$5:$A$604,0)),0))</f>
        <v>0</v>
      </c>
      <c r="L526" s="34">
        <f>IF(A526="","",IFERROR(INDEX(Jobs!$AK$5:$AK$604,MATCH(A526,Jobs!$A$5:$A$604,0)),0))</f>
        <v>0</v>
      </c>
      <c r="M526" s="34">
        <f>IF(A526="","",IF(IFERROR(L526*1,0)&gt;0,L526,IFERROR(K526*1,0)))</f>
        <v>0</v>
      </c>
      <c r="N526" s="21">
        <f>IF(A526="","",SUMIFS(Timesheets!$X$5:$X$804,Timesheets!$G$5:$G$804,A526))</f>
        <v>0</v>
      </c>
      <c r="O526" s="21">
        <f>IF(A526="","",IF(N526&gt;0,N526,ROUND(M526*CostPerHour,2)))</f>
        <v>0</v>
      </c>
      <c r="P526" s="21">
        <f>IF(A526="","",SUMIFS('Supply Usage'!$L$5:$L$304,'Supply Usage'!$F$5:$F$304,A526))</f>
        <v>0</v>
      </c>
      <c r="Q526" s="21">
        <f>IF(A526="","",IF(P526&gt;0,P526,ROUND(M526*SuppliesPerHour,2)))</f>
        <v>0</v>
      </c>
      <c r="R526" s="21">
        <f>IF(A526="","",ROUND(IFERROR(INDEX(Jobs!$W$5:$W$604,MATCH(A526,Jobs!$A$5:$A$604,0)),0)*MileageRate,2))</f>
        <v>0</v>
      </c>
      <c r="T526" s="21">
        <f>IF(A526="","",O526+Q526+R526+IF(S526="",0,S526))</f>
        <v>0</v>
      </c>
      <c r="U526" s="21">
        <f>IF(A526="","",J526-T526)</f>
        <v>0</v>
      </c>
      <c r="V526" s="38">
        <f>IF(OR(A526="",J526=0),"",U526/J526)</f>
        <v>0</v>
      </c>
      <c r="W526" s="21">
        <f>IF(OR(A526="",M526=0,J526=0),"",U526/M526)</f>
        <v>0</v>
      </c>
      <c r="X526" s="34">
        <f>IF(OR(A526="",L526="",L526=0,K526=""),"",L526-K526)</f>
        <v>0</v>
      </c>
      <c r="Y526" s="31">
        <f>IF(A526="","",COUNTIFS($U$5:$U$604,"&gt;"&amp;U526)+COUNTIFS($U$5:U526,U526))</f>
        <v>0</v>
      </c>
      <c r="Z526" s="31">
        <f>IF(A526="","",COUNTIFS($W$5:$W$604,"&gt;"&amp;W526)+COUNTIFS($W$5:W526,W526))</f>
        <v>0</v>
      </c>
      <c r="AA526" s="39">
        <f>IF(A526="","",IF(J526=0,"",IF(U526&lt;0,"Loss - this job cost you money",IF(V526&lt;MarginFloor,"Below - margin under the floor",IF(V526&lt;TargetMargin,"Check - under target margin",IF(AND(X526&lt;&gt;"",X526&gt;0.5),"Check - ran over the estimate","OK"))))))</f>
        <v>0</v>
      </c>
    </row>
    <row r="527" spans="1:27">
      <c r="A527" s="43">
        <f>IF(IFERROR(INDEX(Jobs!$A$5:$A$604,ROW()-4),"")="","",IFERROR(INDEX(Jobs!$A$5:$A$604,ROW()-4),""))</f>
        <v>0</v>
      </c>
      <c r="B527" s="18">
        <f>IF(A527="","",IFERROR(INDEX(Jobs!$B$5:$B$604,MATCH(A527,Jobs!$A$5:$A$604,0)),""))</f>
        <v>0</v>
      </c>
      <c r="C527" s="23">
        <f>IF(B527="","",TEXT(B527,"yyyy-mm"))</f>
        <v>0</v>
      </c>
      <c r="D527" s="43">
        <f>IF(A527="","",IFERROR(INDEX(Jobs!$G$5:$G$604,MATCH(A527,Jobs!$A$5:$A$604,0)),""))</f>
        <v>0</v>
      </c>
      <c r="E527" s="23">
        <f>IF(A527="","",IFERROR(INDEX(Jobs!$H$5:$H$604,MATCH(A527,Jobs!$A$5:$A$604,0)),""))</f>
        <v>0</v>
      </c>
      <c r="F527" s="23">
        <f>IF(A527="","",IFERROR(INDEX(Jobs!$K$5:$K$604,MATCH(A527,Jobs!$A$5:$A$604,0)),""))</f>
        <v>0</v>
      </c>
      <c r="G527" s="23">
        <f>IF(A527="","",IFERROR(INDEX(Jobs!$M$5:$M$604,MATCH(A527,Jobs!$A$5:$A$604,0)),""))</f>
        <v>0</v>
      </c>
      <c r="H527" s="23">
        <f>IF(A527="","",IFERROR(INDEX(Jobs!$R$5:$R$604,MATCH(A527,Jobs!$A$5:$A$604,0)),""))</f>
        <v>0</v>
      </c>
      <c r="I527" s="39">
        <f>IF(A527="","",IFERROR(INDEX(Jobs!$P$5:$P$604,MATCH(A527,Jobs!$A$5:$A$604,0)),""))</f>
        <v>0</v>
      </c>
      <c r="J527" s="21">
        <f>IF(A527="","",IF(OR(I527="Completed",I527="Invoiced"),IFERROR(INDEX(Jobs!$AJ$5:$AJ$604,MATCH(A527,Jobs!$A$5:$A$604,0)),0),0))</f>
        <v>0</v>
      </c>
      <c r="K527" s="34">
        <f>IF(A527="","",IFERROR(INDEX(Jobs!$AD$5:$AD$604,MATCH(A527,Jobs!$A$5:$A$604,0)),0))</f>
        <v>0</v>
      </c>
      <c r="L527" s="34">
        <f>IF(A527="","",IFERROR(INDEX(Jobs!$AK$5:$AK$604,MATCH(A527,Jobs!$A$5:$A$604,0)),0))</f>
        <v>0</v>
      </c>
      <c r="M527" s="34">
        <f>IF(A527="","",IF(IFERROR(L527*1,0)&gt;0,L527,IFERROR(K527*1,0)))</f>
        <v>0</v>
      </c>
      <c r="N527" s="21">
        <f>IF(A527="","",SUMIFS(Timesheets!$X$5:$X$804,Timesheets!$G$5:$G$804,A527))</f>
        <v>0</v>
      </c>
      <c r="O527" s="21">
        <f>IF(A527="","",IF(N527&gt;0,N527,ROUND(M527*CostPerHour,2)))</f>
        <v>0</v>
      </c>
      <c r="P527" s="21">
        <f>IF(A527="","",SUMIFS('Supply Usage'!$L$5:$L$304,'Supply Usage'!$F$5:$F$304,A527))</f>
        <v>0</v>
      </c>
      <c r="Q527" s="21">
        <f>IF(A527="","",IF(P527&gt;0,P527,ROUND(M527*SuppliesPerHour,2)))</f>
        <v>0</v>
      </c>
      <c r="R527" s="21">
        <f>IF(A527="","",ROUND(IFERROR(INDEX(Jobs!$W$5:$W$604,MATCH(A527,Jobs!$A$5:$A$604,0)),0)*MileageRate,2))</f>
        <v>0</v>
      </c>
      <c r="T527" s="21">
        <f>IF(A527="","",O527+Q527+R527+IF(S527="",0,S527))</f>
        <v>0</v>
      </c>
      <c r="U527" s="21">
        <f>IF(A527="","",J527-T527)</f>
        <v>0</v>
      </c>
      <c r="V527" s="38">
        <f>IF(OR(A527="",J527=0),"",U527/J527)</f>
        <v>0</v>
      </c>
      <c r="W527" s="21">
        <f>IF(OR(A527="",M527=0,J527=0),"",U527/M527)</f>
        <v>0</v>
      </c>
      <c r="X527" s="34">
        <f>IF(OR(A527="",L527="",L527=0,K527=""),"",L527-K527)</f>
        <v>0</v>
      </c>
      <c r="Y527" s="31">
        <f>IF(A527="","",COUNTIFS($U$5:$U$604,"&gt;"&amp;U527)+COUNTIFS($U$5:U527,U527))</f>
        <v>0</v>
      </c>
      <c r="Z527" s="31">
        <f>IF(A527="","",COUNTIFS($W$5:$W$604,"&gt;"&amp;W527)+COUNTIFS($W$5:W527,W527))</f>
        <v>0</v>
      </c>
      <c r="AA527" s="39">
        <f>IF(A527="","",IF(J527=0,"",IF(U527&lt;0,"Loss - this job cost you money",IF(V527&lt;MarginFloor,"Below - margin under the floor",IF(V527&lt;TargetMargin,"Check - under target margin",IF(AND(X527&lt;&gt;"",X527&gt;0.5),"Check - ran over the estimate","OK"))))))</f>
        <v>0</v>
      </c>
    </row>
    <row r="528" spans="1:27">
      <c r="A528" s="43">
        <f>IF(IFERROR(INDEX(Jobs!$A$5:$A$604,ROW()-4),"")="","",IFERROR(INDEX(Jobs!$A$5:$A$604,ROW()-4),""))</f>
        <v>0</v>
      </c>
      <c r="B528" s="18">
        <f>IF(A528="","",IFERROR(INDEX(Jobs!$B$5:$B$604,MATCH(A528,Jobs!$A$5:$A$604,0)),""))</f>
        <v>0</v>
      </c>
      <c r="C528" s="23">
        <f>IF(B528="","",TEXT(B528,"yyyy-mm"))</f>
        <v>0</v>
      </c>
      <c r="D528" s="43">
        <f>IF(A528="","",IFERROR(INDEX(Jobs!$G$5:$G$604,MATCH(A528,Jobs!$A$5:$A$604,0)),""))</f>
        <v>0</v>
      </c>
      <c r="E528" s="23">
        <f>IF(A528="","",IFERROR(INDEX(Jobs!$H$5:$H$604,MATCH(A528,Jobs!$A$5:$A$604,0)),""))</f>
        <v>0</v>
      </c>
      <c r="F528" s="23">
        <f>IF(A528="","",IFERROR(INDEX(Jobs!$K$5:$K$604,MATCH(A528,Jobs!$A$5:$A$604,0)),""))</f>
        <v>0</v>
      </c>
      <c r="G528" s="23">
        <f>IF(A528="","",IFERROR(INDEX(Jobs!$M$5:$M$604,MATCH(A528,Jobs!$A$5:$A$604,0)),""))</f>
        <v>0</v>
      </c>
      <c r="H528" s="23">
        <f>IF(A528="","",IFERROR(INDEX(Jobs!$R$5:$R$604,MATCH(A528,Jobs!$A$5:$A$604,0)),""))</f>
        <v>0</v>
      </c>
      <c r="I528" s="39">
        <f>IF(A528="","",IFERROR(INDEX(Jobs!$P$5:$P$604,MATCH(A528,Jobs!$A$5:$A$604,0)),""))</f>
        <v>0</v>
      </c>
      <c r="J528" s="21">
        <f>IF(A528="","",IF(OR(I528="Completed",I528="Invoiced"),IFERROR(INDEX(Jobs!$AJ$5:$AJ$604,MATCH(A528,Jobs!$A$5:$A$604,0)),0),0))</f>
        <v>0</v>
      </c>
      <c r="K528" s="34">
        <f>IF(A528="","",IFERROR(INDEX(Jobs!$AD$5:$AD$604,MATCH(A528,Jobs!$A$5:$A$604,0)),0))</f>
        <v>0</v>
      </c>
      <c r="L528" s="34">
        <f>IF(A528="","",IFERROR(INDEX(Jobs!$AK$5:$AK$604,MATCH(A528,Jobs!$A$5:$A$604,0)),0))</f>
        <v>0</v>
      </c>
      <c r="M528" s="34">
        <f>IF(A528="","",IF(IFERROR(L528*1,0)&gt;0,L528,IFERROR(K528*1,0)))</f>
        <v>0</v>
      </c>
      <c r="N528" s="21">
        <f>IF(A528="","",SUMIFS(Timesheets!$X$5:$X$804,Timesheets!$G$5:$G$804,A528))</f>
        <v>0</v>
      </c>
      <c r="O528" s="21">
        <f>IF(A528="","",IF(N528&gt;0,N528,ROUND(M528*CostPerHour,2)))</f>
        <v>0</v>
      </c>
      <c r="P528" s="21">
        <f>IF(A528="","",SUMIFS('Supply Usage'!$L$5:$L$304,'Supply Usage'!$F$5:$F$304,A528))</f>
        <v>0</v>
      </c>
      <c r="Q528" s="21">
        <f>IF(A528="","",IF(P528&gt;0,P528,ROUND(M528*SuppliesPerHour,2)))</f>
        <v>0</v>
      </c>
      <c r="R528" s="21">
        <f>IF(A528="","",ROUND(IFERROR(INDEX(Jobs!$W$5:$W$604,MATCH(A528,Jobs!$A$5:$A$604,0)),0)*MileageRate,2))</f>
        <v>0</v>
      </c>
      <c r="T528" s="21">
        <f>IF(A528="","",O528+Q528+R528+IF(S528="",0,S528))</f>
        <v>0</v>
      </c>
      <c r="U528" s="21">
        <f>IF(A528="","",J528-T528)</f>
        <v>0</v>
      </c>
      <c r="V528" s="38">
        <f>IF(OR(A528="",J528=0),"",U528/J528)</f>
        <v>0</v>
      </c>
      <c r="W528" s="21">
        <f>IF(OR(A528="",M528=0,J528=0),"",U528/M528)</f>
        <v>0</v>
      </c>
      <c r="X528" s="34">
        <f>IF(OR(A528="",L528="",L528=0,K528=""),"",L528-K528)</f>
        <v>0</v>
      </c>
      <c r="Y528" s="31">
        <f>IF(A528="","",COUNTIFS($U$5:$U$604,"&gt;"&amp;U528)+COUNTIFS($U$5:U528,U528))</f>
        <v>0</v>
      </c>
      <c r="Z528" s="31">
        <f>IF(A528="","",COUNTIFS($W$5:$W$604,"&gt;"&amp;W528)+COUNTIFS($W$5:W528,W528))</f>
        <v>0</v>
      </c>
      <c r="AA528" s="39">
        <f>IF(A528="","",IF(J528=0,"",IF(U528&lt;0,"Loss - this job cost you money",IF(V528&lt;MarginFloor,"Below - margin under the floor",IF(V528&lt;TargetMargin,"Check - under target margin",IF(AND(X528&lt;&gt;"",X528&gt;0.5),"Check - ran over the estimate","OK"))))))</f>
        <v>0</v>
      </c>
    </row>
    <row r="529" spans="1:27">
      <c r="A529" s="43">
        <f>IF(IFERROR(INDEX(Jobs!$A$5:$A$604,ROW()-4),"")="","",IFERROR(INDEX(Jobs!$A$5:$A$604,ROW()-4),""))</f>
        <v>0</v>
      </c>
      <c r="B529" s="18">
        <f>IF(A529="","",IFERROR(INDEX(Jobs!$B$5:$B$604,MATCH(A529,Jobs!$A$5:$A$604,0)),""))</f>
        <v>0</v>
      </c>
      <c r="C529" s="23">
        <f>IF(B529="","",TEXT(B529,"yyyy-mm"))</f>
        <v>0</v>
      </c>
      <c r="D529" s="43">
        <f>IF(A529="","",IFERROR(INDEX(Jobs!$G$5:$G$604,MATCH(A529,Jobs!$A$5:$A$604,0)),""))</f>
        <v>0</v>
      </c>
      <c r="E529" s="23">
        <f>IF(A529="","",IFERROR(INDEX(Jobs!$H$5:$H$604,MATCH(A529,Jobs!$A$5:$A$604,0)),""))</f>
        <v>0</v>
      </c>
      <c r="F529" s="23">
        <f>IF(A529="","",IFERROR(INDEX(Jobs!$K$5:$K$604,MATCH(A529,Jobs!$A$5:$A$604,0)),""))</f>
        <v>0</v>
      </c>
      <c r="G529" s="23">
        <f>IF(A529="","",IFERROR(INDEX(Jobs!$M$5:$M$604,MATCH(A529,Jobs!$A$5:$A$604,0)),""))</f>
        <v>0</v>
      </c>
      <c r="H529" s="23">
        <f>IF(A529="","",IFERROR(INDEX(Jobs!$R$5:$R$604,MATCH(A529,Jobs!$A$5:$A$604,0)),""))</f>
        <v>0</v>
      </c>
      <c r="I529" s="39">
        <f>IF(A529="","",IFERROR(INDEX(Jobs!$P$5:$P$604,MATCH(A529,Jobs!$A$5:$A$604,0)),""))</f>
        <v>0</v>
      </c>
      <c r="J529" s="21">
        <f>IF(A529="","",IF(OR(I529="Completed",I529="Invoiced"),IFERROR(INDEX(Jobs!$AJ$5:$AJ$604,MATCH(A529,Jobs!$A$5:$A$604,0)),0),0))</f>
        <v>0</v>
      </c>
      <c r="K529" s="34">
        <f>IF(A529="","",IFERROR(INDEX(Jobs!$AD$5:$AD$604,MATCH(A529,Jobs!$A$5:$A$604,0)),0))</f>
        <v>0</v>
      </c>
      <c r="L529" s="34">
        <f>IF(A529="","",IFERROR(INDEX(Jobs!$AK$5:$AK$604,MATCH(A529,Jobs!$A$5:$A$604,0)),0))</f>
        <v>0</v>
      </c>
      <c r="M529" s="34">
        <f>IF(A529="","",IF(IFERROR(L529*1,0)&gt;0,L529,IFERROR(K529*1,0)))</f>
        <v>0</v>
      </c>
      <c r="N529" s="21">
        <f>IF(A529="","",SUMIFS(Timesheets!$X$5:$X$804,Timesheets!$G$5:$G$804,A529))</f>
        <v>0</v>
      </c>
      <c r="O529" s="21">
        <f>IF(A529="","",IF(N529&gt;0,N529,ROUND(M529*CostPerHour,2)))</f>
        <v>0</v>
      </c>
      <c r="P529" s="21">
        <f>IF(A529="","",SUMIFS('Supply Usage'!$L$5:$L$304,'Supply Usage'!$F$5:$F$304,A529))</f>
        <v>0</v>
      </c>
      <c r="Q529" s="21">
        <f>IF(A529="","",IF(P529&gt;0,P529,ROUND(M529*SuppliesPerHour,2)))</f>
        <v>0</v>
      </c>
      <c r="R529" s="21">
        <f>IF(A529="","",ROUND(IFERROR(INDEX(Jobs!$W$5:$W$604,MATCH(A529,Jobs!$A$5:$A$604,0)),0)*MileageRate,2))</f>
        <v>0</v>
      </c>
      <c r="T529" s="21">
        <f>IF(A529="","",O529+Q529+R529+IF(S529="",0,S529))</f>
        <v>0</v>
      </c>
      <c r="U529" s="21">
        <f>IF(A529="","",J529-T529)</f>
        <v>0</v>
      </c>
      <c r="V529" s="38">
        <f>IF(OR(A529="",J529=0),"",U529/J529)</f>
        <v>0</v>
      </c>
      <c r="W529" s="21">
        <f>IF(OR(A529="",M529=0,J529=0),"",U529/M529)</f>
        <v>0</v>
      </c>
      <c r="X529" s="34">
        <f>IF(OR(A529="",L529="",L529=0,K529=""),"",L529-K529)</f>
        <v>0</v>
      </c>
      <c r="Y529" s="31">
        <f>IF(A529="","",COUNTIFS($U$5:$U$604,"&gt;"&amp;U529)+COUNTIFS($U$5:U529,U529))</f>
        <v>0</v>
      </c>
      <c r="Z529" s="31">
        <f>IF(A529="","",COUNTIFS($W$5:$W$604,"&gt;"&amp;W529)+COUNTIFS($W$5:W529,W529))</f>
        <v>0</v>
      </c>
      <c r="AA529" s="39">
        <f>IF(A529="","",IF(J529=0,"",IF(U529&lt;0,"Loss - this job cost you money",IF(V529&lt;MarginFloor,"Below - margin under the floor",IF(V529&lt;TargetMargin,"Check - under target margin",IF(AND(X529&lt;&gt;"",X529&gt;0.5),"Check - ran over the estimate","OK"))))))</f>
        <v>0</v>
      </c>
    </row>
    <row r="530" spans="1:27">
      <c r="A530" s="43">
        <f>IF(IFERROR(INDEX(Jobs!$A$5:$A$604,ROW()-4),"")="","",IFERROR(INDEX(Jobs!$A$5:$A$604,ROW()-4),""))</f>
        <v>0</v>
      </c>
      <c r="B530" s="18">
        <f>IF(A530="","",IFERROR(INDEX(Jobs!$B$5:$B$604,MATCH(A530,Jobs!$A$5:$A$604,0)),""))</f>
        <v>0</v>
      </c>
      <c r="C530" s="23">
        <f>IF(B530="","",TEXT(B530,"yyyy-mm"))</f>
        <v>0</v>
      </c>
      <c r="D530" s="43">
        <f>IF(A530="","",IFERROR(INDEX(Jobs!$G$5:$G$604,MATCH(A530,Jobs!$A$5:$A$604,0)),""))</f>
        <v>0</v>
      </c>
      <c r="E530" s="23">
        <f>IF(A530="","",IFERROR(INDEX(Jobs!$H$5:$H$604,MATCH(A530,Jobs!$A$5:$A$604,0)),""))</f>
        <v>0</v>
      </c>
      <c r="F530" s="23">
        <f>IF(A530="","",IFERROR(INDEX(Jobs!$K$5:$K$604,MATCH(A530,Jobs!$A$5:$A$604,0)),""))</f>
        <v>0</v>
      </c>
      <c r="G530" s="23">
        <f>IF(A530="","",IFERROR(INDEX(Jobs!$M$5:$M$604,MATCH(A530,Jobs!$A$5:$A$604,0)),""))</f>
        <v>0</v>
      </c>
      <c r="H530" s="23">
        <f>IF(A530="","",IFERROR(INDEX(Jobs!$R$5:$R$604,MATCH(A530,Jobs!$A$5:$A$604,0)),""))</f>
        <v>0</v>
      </c>
      <c r="I530" s="39">
        <f>IF(A530="","",IFERROR(INDEX(Jobs!$P$5:$P$604,MATCH(A530,Jobs!$A$5:$A$604,0)),""))</f>
        <v>0</v>
      </c>
      <c r="J530" s="21">
        <f>IF(A530="","",IF(OR(I530="Completed",I530="Invoiced"),IFERROR(INDEX(Jobs!$AJ$5:$AJ$604,MATCH(A530,Jobs!$A$5:$A$604,0)),0),0))</f>
        <v>0</v>
      </c>
      <c r="K530" s="34">
        <f>IF(A530="","",IFERROR(INDEX(Jobs!$AD$5:$AD$604,MATCH(A530,Jobs!$A$5:$A$604,0)),0))</f>
        <v>0</v>
      </c>
      <c r="L530" s="34">
        <f>IF(A530="","",IFERROR(INDEX(Jobs!$AK$5:$AK$604,MATCH(A530,Jobs!$A$5:$A$604,0)),0))</f>
        <v>0</v>
      </c>
      <c r="M530" s="34">
        <f>IF(A530="","",IF(IFERROR(L530*1,0)&gt;0,L530,IFERROR(K530*1,0)))</f>
        <v>0</v>
      </c>
      <c r="N530" s="21">
        <f>IF(A530="","",SUMIFS(Timesheets!$X$5:$X$804,Timesheets!$G$5:$G$804,A530))</f>
        <v>0</v>
      </c>
      <c r="O530" s="21">
        <f>IF(A530="","",IF(N530&gt;0,N530,ROUND(M530*CostPerHour,2)))</f>
        <v>0</v>
      </c>
      <c r="P530" s="21">
        <f>IF(A530="","",SUMIFS('Supply Usage'!$L$5:$L$304,'Supply Usage'!$F$5:$F$304,A530))</f>
        <v>0</v>
      </c>
      <c r="Q530" s="21">
        <f>IF(A530="","",IF(P530&gt;0,P530,ROUND(M530*SuppliesPerHour,2)))</f>
        <v>0</v>
      </c>
      <c r="R530" s="21">
        <f>IF(A530="","",ROUND(IFERROR(INDEX(Jobs!$W$5:$W$604,MATCH(A530,Jobs!$A$5:$A$604,0)),0)*MileageRate,2))</f>
        <v>0</v>
      </c>
      <c r="T530" s="21">
        <f>IF(A530="","",O530+Q530+R530+IF(S530="",0,S530))</f>
        <v>0</v>
      </c>
      <c r="U530" s="21">
        <f>IF(A530="","",J530-T530)</f>
        <v>0</v>
      </c>
      <c r="V530" s="38">
        <f>IF(OR(A530="",J530=0),"",U530/J530)</f>
        <v>0</v>
      </c>
      <c r="W530" s="21">
        <f>IF(OR(A530="",M530=0,J530=0),"",U530/M530)</f>
        <v>0</v>
      </c>
      <c r="X530" s="34">
        <f>IF(OR(A530="",L530="",L530=0,K530=""),"",L530-K530)</f>
        <v>0</v>
      </c>
      <c r="Y530" s="31">
        <f>IF(A530="","",COUNTIFS($U$5:$U$604,"&gt;"&amp;U530)+COUNTIFS($U$5:U530,U530))</f>
        <v>0</v>
      </c>
      <c r="Z530" s="31">
        <f>IF(A530="","",COUNTIFS($W$5:$W$604,"&gt;"&amp;W530)+COUNTIFS($W$5:W530,W530))</f>
        <v>0</v>
      </c>
      <c r="AA530" s="39">
        <f>IF(A530="","",IF(J530=0,"",IF(U530&lt;0,"Loss - this job cost you money",IF(V530&lt;MarginFloor,"Below - margin under the floor",IF(V530&lt;TargetMargin,"Check - under target margin",IF(AND(X530&lt;&gt;"",X530&gt;0.5),"Check - ran over the estimate","OK"))))))</f>
        <v>0</v>
      </c>
    </row>
    <row r="531" spans="1:27">
      <c r="A531" s="43">
        <f>IF(IFERROR(INDEX(Jobs!$A$5:$A$604,ROW()-4),"")="","",IFERROR(INDEX(Jobs!$A$5:$A$604,ROW()-4),""))</f>
        <v>0</v>
      </c>
      <c r="B531" s="18">
        <f>IF(A531="","",IFERROR(INDEX(Jobs!$B$5:$B$604,MATCH(A531,Jobs!$A$5:$A$604,0)),""))</f>
        <v>0</v>
      </c>
      <c r="C531" s="23">
        <f>IF(B531="","",TEXT(B531,"yyyy-mm"))</f>
        <v>0</v>
      </c>
      <c r="D531" s="43">
        <f>IF(A531="","",IFERROR(INDEX(Jobs!$G$5:$G$604,MATCH(A531,Jobs!$A$5:$A$604,0)),""))</f>
        <v>0</v>
      </c>
      <c r="E531" s="23">
        <f>IF(A531="","",IFERROR(INDEX(Jobs!$H$5:$H$604,MATCH(A531,Jobs!$A$5:$A$604,0)),""))</f>
        <v>0</v>
      </c>
      <c r="F531" s="23">
        <f>IF(A531="","",IFERROR(INDEX(Jobs!$K$5:$K$604,MATCH(A531,Jobs!$A$5:$A$604,0)),""))</f>
        <v>0</v>
      </c>
      <c r="G531" s="23">
        <f>IF(A531="","",IFERROR(INDEX(Jobs!$M$5:$M$604,MATCH(A531,Jobs!$A$5:$A$604,0)),""))</f>
        <v>0</v>
      </c>
      <c r="H531" s="23">
        <f>IF(A531="","",IFERROR(INDEX(Jobs!$R$5:$R$604,MATCH(A531,Jobs!$A$5:$A$604,0)),""))</f>
        <v>0</v>
      </c>
      <c r="I531" s="39">
        <f>IF(A531="","",IFERROR(INDEX(Jobs!$P$5:$P$604,MATCH(A531,Jobs!$A$5:$A$604,0)),""))</f>
        <v>0</v>
      </c>
      <c r="J531" s="21">
        <f>IF(A531="","",IF(OR(I531="Completed",I531="Invoiced"),IFERROR(INDEX(Jobs!$AJ$5:$AJ$604,MATCH(A531,Jobs!$A$5:$A$604,0)),0),0))</f>
        <v>0</v>
      </c>
      <c r="K531" s="34">
        <f>IF(A531="","",IFERROR(INDEX(Jobs!$AD$5:$AD$604,MATCH(A531,Jobs!$A$5:$A$604,0)),0))</f>
        <v>0</v>
      </c>
      <c r="L531" s="34">
        <f>IF(A531="","",IFERROR(INDEX(Jobs!$AK$5:$AK$604,MATCH(A531,Jobs!$A$5:$A$604,0)),0))</f>
        <v>0</v>
      </c>
      <c r="M531" s="34">
        <f>IF(A531="","",IF(IFERROR(L531*1,0)&gt;0,L531,IFERROR(K531*1,0)))</f>
        <v>0</v>
      </c>
      <c r="N531" s="21">
        <f>IF(A531="","",SUMIFS(Timesheets!$X$5:$X$804,Timesheets!$G$5:$G$804,A531))</f>
        <v>0</v>
      </c>
      <c r="O531" s="21">
        <f>IF(A531="","",IF(N531&gt;0,N531,ROUND(M531*CostPerHour,2)))</f>
        <v>0</v>
      </c>
      <c r="P531" s="21">
        <f>IF(A531="","",SUMIFS('Supply Usage'!$L$5:$L$304,'Supply Usage'!$F$5:$F$304,A531))</f>
        <v>0</v>
      </c>
      <c r="Q531" s="21">
        <f>IF(A531="","",IF(P531&gt;0,P531,ROUND(M531*SuppliesPerHour,2)))</f>
        <v>0</v>
      </c>
      <c r="R531" s="21">
        <f>IF(A531="","",ROUND(IFERROR(INDEX(Jobs!$W$5:$W$604,MATCH(A531,Jobs!$A$5:$A$604,0)),0)*MileageRate,2))</f>
        <v>0</v>
      </c>
      <c r="T531" s="21">
        <f>IF(A531="","",O531+Q531+R531+IF(S531="",0,S531))</f>
        <v>0</v>
      </c>
      <c r="U531" s="21">
        <f>IF(A531="","",J531-T531)</f>
        <v>0</v>
      </c>
      <c r="V531" s="38">
        <f>IF(OR(A531="",J531=0),"",U531/J531)</f>
        <v>0</v>
      </c>
      <c r="W531" s="21">
        <f>IF(OR(A531="",M531=0,J531=0),"",U531/M531)</f>
        <v>0</v>
      </c>
      <c r="X531" s="34">
        <f>IF(OR(A531="",L531="",L531=0,K531=""),"",L531-K531)</f>
        <v>0</v>
      </c>
      <c r="Y531" s="31">
        <f>IF(A531="","",COUNTIFS($U$5:$U$604,"&gt;"&amp;U531)+COUNTIFS($U$5:U531,U531))</f>
        <v>0</v>
      </c>
      <c r="Z531" s="31">
        <f>IF(A531="","",COUNTIFS($W$5:$W$604,"&gt;"&amp;W531)+COUNTIFS($W$5:W531,W531))</f>
        <v>0</v>
      </c>
      <c r="AA531" s="39">
        <f>IF(A531="","",IF(J531=0,"",IF(U531&lt;0,"Loss - this job cost you money",IF(V531&lt;MarginFloor,"Below - margin under the floor",IF(V531&lt;TargetMargin,"Check - under target margin",IF(AND(X531&lt;&gt;"",X531&gt;0.5),"Check - ran over the estimate","OK"))))))</f>
        <v>0</v>
      </c>
    </row>
    <row r="532" spans="1:27">
      <c r="A532" s="43">
        <f>IF(IFERROR(INDEX(Jobs!$A$5:$A$604,ROW()-4),"")="","",IFERROR(INDEX(Jobs!$A$5:$A$604,ROW()-4),""))</f>
        <v>0</v>
      </c>
      <c r="B532" s="18">
        <f>IF(A532="","",IFERROR(INDEX(Jobs!$B$5:$B$604,MATCH(A532,Jobs!$A$5:$A$604,0)),""))</f>
        <v>0</v>
      </c>
      <c r="C532" s="23">
        <f>IF(B532="","",TEXT(B532,"yyyy-mm"))</f>
        <v>0</v>
      </c>
      <c r="D532" s="43">
        <f>IF(A532="","",IFERROR(INDEX(Jobs!$G$5:$G$604,MATCH(A532,Jobs!$A$5:$A$604,0)),""))</f>
        <v>0</v>
      </c>
      <c r="E532" s="23">
        <f>IF(A532="","",IFERROR(INDEX(Jobs!$H$5:$H$604,MATCH(A532,Jobs!$A$5:$A$604,0)),""))</f>
        <v>0</v>
      </c>
      <c r="F532" s="23">
        <f>IF(A532="","",IFERROR(INDEX(Jobs!$K$5:$K$604,MATCH(A532,Jobs!$A$5:$A$604,0)),""))</f>
        <v>0</v>
      </c>
      <c r="G532" s="23">
        <f>IF(A532="","",IFERROR(INDEX(Jobs!$M$5:$M$604,MATCH(A532,Jobs!$A$5:$A$604,0)),""))</f>
        <v>0</v>
      </c>
      <c r="H532" s="23">
        <f>IF(A532="","",IFERROR(INDEX(Jobs!$R$5:$R$604,MATCH(A532,Jobs!$A$5:$A$604,0)),""))</f>
        <v>0</v>
      </c>
      <c r="I532" s="39">
        <f>IF(A532="","",IFERROR(INDEX(Jobs!$P$5:$P$604,MATCH(A532,Jobs!$A$5:$A$604,0)),""))</f>
        <v>0</v>
      </c>
      <c r="J532" s="21">
        <f>IF(A532="","",IF(OR(I532="Completed",I532="Invoiced"),IFERROR(INDEX(Jobs!$AJ$5:$AJ$604,MATCH(A532,Jobs!$A$5:$A$604,0)),0),0))</f>
        <v>0</v>
      </c>
      <c r="K532" s="34">
        <f>IF(A532="","",IFERROR(INDEX(Jobs!$AD$5:$AD$604,MATCH(A532,Jobs!$A$5:$A$604,0)),0))</f>
        <v>0</v>
      </c>
      <c r="L532" s="34">
        <f>IF(A532="","",IFERROR(INDEX(Jobs!$AK$5:$AK$604,MATCH(A532,Jobs!$A$5:$A$604,0)),0))</f>
        <v>0</v>
      </c>
      <c r="M532" s="34">
        <f>IF(A532="","",IF(IFERROR(L532*1,0)&gt;0,L532,IFERROR(K532*1,0)))</f>
        <v>0</v>
      </c>
      <c r="N532" s="21">
        <f>IF(A532="","",SUMIFS(Timesheets!$X$5:$X$804,Timesheets!$G$5:$G$804,A532))</f>
        <v>0</v>
      </c>
      <c r="O532" s="21">
        <f>IF(A532="","",IF(N532&gt;0,N532,ROUND(M532*CostPerHour,2)))</f>
        <v>0</v>
      </c>
      <c r="P532" s="21">
        <f>IF(A532="","",SUMIFS('Supply Usage'!$L$5:$L$304,'Supply Usage'!$F$5:$F$304,A532))</f>
        <v>0</v>
      </c>
      <c r="Q532" s="21">
        <f>IF(A532="","",IF(P532&gt;0,P532,ROUND(M532*SuppliesPerHour,2)))</f>
        <v>0</v>
      </c>
      <c r="R532" s="21">
        <f>IF(A532="","",ROUND(IFERROR(INDEX(Jobs!$W$5:$W$604,MATCH(A532,Jobs!$A$5:$A$604,0)),0)*MileageRate,2))</f>
        <v>0</v>
      </c>
      <c r="T532" s="21">
        <f>IF(A532="","",O532+Q532+R532+IF(S532="",0,S532))</f>
        <v>0</v>
      </c>
      <c r="U532" s="21">
        <f>IF(A532="","",J532-T532)</f>
        <v>0</v>
      </c>
      <c r="V532" s="38">
        <f>IF(OR(A532="",J532=0),"",U532/J532)</f>
        <v>0</v>
      </c>
      <c r="W532" s="21">
        <f>IF(OR(A532="",M532=0,J532=0),"",U532/M532)</f>
        <v>0</v>
      </c>
      <c r="X532" s="34">
        <f>IF(OR(A532="",L532="",L532=0,K532=""),"",L532-K532)</f>
        <v>0</v>
      </c>
      <c r="Y532" s="31">
        <f>IF(A532="","",COUNTIFS($U$5:$U$604,"&gt;"&amp;U532)+COUNTIFS($U$5:U532,U532))</f>
        <v>0</v>
      </c>
      <c r="Z532" s="31">
        <f>IF(A532="","",COUNTIFS($W$5:$W$604,"&gt;"&amp;W532)+COUNTIFS($W$5:W532,W532))</f>
        <v>0</v>
      </c>
      <c r="AA532" s="39">
        <f>IF(A532="","",IF(J532=0,"",IF(U532&lt;0,"Loss - this job cost you money",IF(V532&lt;MarginFloor,"Below - margin under the floor",IF(V532&lt;TargetMargin,"Check - under target margin",IF(AND(X532&lt;&gt;"",X532&gt;0.5),"Check - ran over the estimate","OK"))))))</f>
        <v>0</v>
      </c>
    </row>
    <row r="533" spans="1:27">
      <c r="A533" s="43">
        <f>IF(IFERROR(INDEX(Jobs!$A$5:$A$604,ROW()-4),"")="","",IFERROR(INDEX(Jobs!$A$5:$A$604,ROW()-4),""))</f>
        <v>0</v>
      </c>
      <c r="B533" s="18">
        <f>IF(A533="","",IFERROR(INDEX(Jobs!$B$5:$B$604,MATCH(A533,Jobs!$A$5:$A$604,0)),""))</f>
        <v>0</v>
      </c>
      <c r="C533" s="23">
        <f>IF(B533="","",TEXT(B533,"yyyy-mm"))</f>
        <v>0</v>
      </c>
      <c r="D533" s="43">
        <f>IF(A533="","",IFERROR(INDEX(Jobs!$G$5:$G$604,MATCH(A533,Jobs!$A$5:$A$604,0)),""))</f>
        <v>0</v>
      </c>
      <c r="E533" s="23">
        <f>IF(A533="","",IFERROR(INDEX(Jobs!$H$5:$H$604,MATCH(A533,Jobs!$A$5:$A$604,0)),""))</f>
        <v>0</v>
      </c>
      <c r="F533" s="23">
        <f>IF(A533="","",IFERROR(INDEX(Jobs!$K$5:$K$604,MATCH(A533,Jobs!$A$5:$A$604,0)),""))</f>
        <v>0</v>
      </c>
      <c r="G533" s="23">
        <f>IF(A533="","",IFERROR(INDEX(Jobs!$M$5:$M$604,MATCH(A533,Jobs!$A$5:$A$604,0)),""))</f>
        <v>0</v>
      </c>
      <c r="H533" s="23">
        <f>IF(A533="","",IFERROR(INDEX(Jobs!$R$5:$R$604,MATCH(A533,Jobs!$A$5:$A$604,0)),""))</f>
        <v>0</v>
      </c>
      <c r="I533" s="39">
        <f>IF(A533="","",IFERROR(INDEX(Jobs!$P$5:$P$604,MATCH(A533,Jobs!$A$5:$A$604,0)),""))</f>
        <v>0</v>
      </c>
      <c r="J533" s="21">
        <f>IF(A533="","",IF(OR(I533="Completed",I533="Invoiced"),IFERROR(INDEX(Jobs!$AJ$5:$AJ$604,MATCH(A533,Jobs!$A$5:$A$604,0)),0),0))</f>
        <v>0</v>
      </c>
      <c r="K533" s="34">
        <f>IF(A533="","",IFERROR(INDEX(Jobs!$AD$5:$AD$604,MATCH(A533,Jobs!$A$5:$A$604,0)),0))</f>
        <v>0</v>
      </c>
      <c r="L533" s="34">
        <f>IF(A533="","",IFERROR(INDEX(Jobs!$AK$5:$AK$604,MATCH(A533,Jobs!$A$5:$A$604,0)),0))</f>
        <v>0</v>
      </c>
      <c r="M533" s="34">
        <f>IF(A533="","",IF(IFERROR(L533*1,0)&gt;0,L533,IFERROR(K533*1,0)))</f>
        <v>0</v>
      </c>
      <c r="N533" s="21">
        <f>IF(A533="","",SUMIFS(Timesheets!$X$5:$X$804,Timesheets!$G$5:$G$804,A533))</f>
        <v>0</v>
      </c>
      <c r="O533" s="21">
        <f>IF(A533="","",IF(N533&gt;0,N533,ROUND(M533*CostPerHour,2)))</f>
        <v>0</v>
      </c>
      <c r="P533" s="21">
        <f>IF(A533="","",SUMIFS('Supply Usage'!$L$5:$L$304,'Supply Usage'!$F$5:$F$304,A533))</f>
        <v>0</v>
      </c>
      <c r="Q533" s="21">
        <f>IF(A533="","",IF(P533&gt;0,P533,ROUND(M533*SuppliesPerHour,2)))</f>
        <v>0</v>
      </c>
      <c r="R533" s="21">
        <f>IF(A533="","",ROUND(IFERROR(INDEX(Jobs!$W$5:$W$604,MATCH(A533,Jobs!$A$5:$A$604,0)),0)*MileageRate,2))</f>
        <v>0</v>
      </c>
      <c r="T533" s="21">
        <f>IF(A533="","",O533+Q533+R533+IF(S533="",0,S533))</f>
        <v>0</v>
      </c>
      <c r="U533" s="21">
        <f>IF(A533="","",J533-T533)</f>
        <v>0</v>
      </c>
      <c r="V533" s="38">
        <f>IF(OR(A533="",J533=0),"",U533/J533)</f>
        <v>0</v>
      </c>
      <c r="W533" s="21">
        <f>IF(OR(A533="",M533=0,J533=0),"",U533/M533)</f>
        <v>0</v>
      </c>
      <c r="X533" s="34">
        <f>IF(OR(A533="",L533="",L533=0,K533=""),"",L533-K533)</f>
        <v>0</v>
      </c>
      <c r="Y533" s="31">
        <f>IF(A533="","",COUNTIFS($U$5:$U$604,"&gt;"&amp;U533)+COUNTIFS($U$5:U533,U533))</f>
        <v>0</v>
      </c>
      <c r="Z533" s="31">
        <f>IF(A533="","",COUNTIFS($W$5:$W$604,"&gt;"&amp;W533)+COUNTIFS($W$5:W533,W533))</f>
        <v>0</v>
      </c>
      <c r="AA533" s="39">
        <f>IF(A533="","",IF(J533=0,"",IF(U533&lt;0,"Loss - this job cost you money",IF(V533&lt;MarginFloor,"Below - margin under the floor",IF(V533&lt;TargetMargin,"Check - under target margin",IF(AND(X533&lt;&gt;"",X533&gt;0.5),"Check - ran over the estimate","OK"))))))</f>
        <v>0</v>
      </c>
    </row>
    <row r="534" spans="1:27">
      <c r="A534" s="43">
        <f>IF(IFERROR(INDEX(Jobs!$A$5:$A$604,ROW()-4),"")="","",IFERROR(INDEX(Jobs!$A$5:$A$604,ROW()-4),""))</f>
        <v>0</v>
      </c>
      <c r="B534" s="18">
        <f>IF(A534="","",IFERROR(INDEX(Jobs!$B$5:$B$604,MATCH(A534,Jobs!$A$5:$A$604,0)),""))</f>
        <v>0</v>
      </c>
      <c r="C534" s="23">
        <f>IF(B534="","",TEXT(B534,"yyyy-mm"))</f>
        <v>0</v>
      </c>
      <c r="D534" s="43">
        <f>IF(A534="","",IFERROR(INDEX(Jobs!$G$5:$G$604,MATCH(A534,Jobs!$A$5:$A$604,0)),""))</f>
        <v>0</v>
      </c>
      <c r="E534" s="23">
        <f>IF(A534="","",IFERROR(INDEX(Jobs!$H$5:$H$604,MATCH(A534,Jobs!$A$5:$A$604,0)),""))</f>
        <v>0</v>
      </c>
      <c r="F534" s="23">
        <f>IF(A534="","",IFERROR(INDEX(Jobs!$K$5:$K$604,MATCH(A534,Jobs!$A$5:$A$604,0)),""))</f>
        <v>0</v>
      </c>
      <c r="G534" s="23">
        <f>IF(A534="","",IFERROR(INDEX(Jobs!$M$5:$M$604,MATCH(A534,Jobs!$A$5:$A$604,0)),""))</f>
        <v>0</v>
      </c>
      <c r="H534" s="23">
        <f>IF(A534="","",IFERROR(INDEX(Jobs!$R$5:$R$604,MATCH(A534,Jobs!$A$5:$A$604,0)),""))</f>
        <v>0</v>
      </c>
      <c r="I534" s="39">
        <f>IF(A534="","",IFERROR(INDEX(Jobs!$P$5:$P$604,MATCH(A534,Jobs!$A$5:$A$604,0)),""))</f>
        <v>0</v>
      </c>
      <c r="J534" s="21">
        <f>IF(A534="","",IF(OR(I534="Completed",I534="Invoiced"),IFERROR(INDEX(Jobs!$AJ$5:$AJ$604,MATCH(A534,Jobs!$A$5:$A$604,0)),0),0))</f>
        <v>0</v>
      </c>
      <c r="K534" s="34">
        <f>IF(A534="","",IFERROR(INDEX(Jobs!$AD$5:$AD$604,MATCH(A534,Jobs!$A$5:$A$604,0)),0))</f>
        <v>0</v>
      </c>
      <c r="L534" s="34">
        <f>IF(A534="","",IFERROR(INDEX(Jobs!$AK$5:$AK$604,MATCH(A534,Jobs!$A$5:$A$604,0)),0))</f>
        <v>0</v>
      </c>
      <c r="M534" s="34">
        <f>IF(A534="","",IF(IFERROR(L534*1,0)&gt;0,L534,IFERROR(K534*1,0)))</f>
        <v>0</v>
      </c>
      <c r="N534" s="21">
        <f>IF(A534="","",SUMIFS(Timesheets!$X$5:$X$804,Timesheets!$G$5:$G$804,A534))</f>
        <v>0</v>
      </c>
      <c r="O534" s="21">
        <f>IF(A534="","",IF(N534&gt;0,N534,ROUND(M534*CostPerHour,2)))</f>
        <v>0</v>
      </c>
      <c r="P534" s="21">
        <f>IF(A534="","",SUMIFS('Supply Usage'!$L$5:$L$304,'Supply Usage'!$F$5:$F$304,A534))</f>
        <v>0</v>
      </c>
      <c r="Q534" s="21">
        <f>IF(A534="","",IF(P534&gt;0,P534,ROUND(M534*SuppliesPerHour,2)))</f>
        <v>0</v>
      </c>
      <c r="R534" s="21">
        <f>IF(A534="","",ROUND(IFERROR(INDEX(Jobs!$W$5:$W$604,MATCH(A534,Jobs!$A$5:$A$604,0)),0)*MileageRate,2))</f>
        <v>0</v>
      </c>
      <c r="T534" s="21">
        <f>IF(A534="","",O534+Q534+R534+IF(S534="",0,S534))</f>
        <v>0</v>
      </c>
      <c r="U534" s="21">
        <f>IF(A534="","",J534-T534)</f>
        <v>0</v>
      </c>
      <c r="V534" s="38">
        <f>IF(OR(A534="",J534=0),"",U534/J534)</f>
        <v>0</v>
      </c>
      <c r="W534" s="21">
        <f>IF(OR(A534="",M534=0,J534=0),"",U534/M534)</f>
        <v>0</v>
      </c>
      <c r="X534" s="34">
        <f>IF(OR(A534="",L534="",L534=0,K534=""),"",L534-K534)</f>
        <v>0</v>
      </c>
      <c r="Y534" s="31">
        <f>IF(A534="","",COUNTIFS($U$5:$U$604,"&gt;"&amp;U534)+COUNTIFS($U$5:U534,U534))</f>
        <v>0</v>
      </c>
      <c r="Z534" s="31">
        <f>IF(A534="","",COUNTIFS($W$5:$W$604,"&gt;"&amp;W534)+COUNTIFS($W$5:W534,W534))</f>
        <v>0</v>
      </c>
      <c r="AA534" s="39">
        <f>IF(A534="","",IF(J534=0,"",IF(U534&lt;0,"Loss - this job cost you money",IF(V534&lt;MarginFloor,"Below - margin under the floor",IF(V534&lt;TargetMargin,"Check - under target margin",IF(AND(X534&lt;&gt;"",X534&gt;0.5),"Check - ran over the estimate","OK"))))))</f>
        <v>0</v>
      </c>
    </row>
    <row r="535" spans="1:27">
      <c r="A535" s="43">
        <f>IF(IFERROR(INDEX(Jobs!$A$5:$A$604,ROW()-4),"")="","",IFERROR(INDEX(Jobs!$A$5:$A$604,ROW()-4),""))</f>
        <v>0</v>
      </c>
      <c r="B535" s="18">
        <f>IF(A535="","",IFERROR(INDEX(Jobs!$B$5:$B$604,MATCH(A535,Jobs!$A$5:$A$604,0)),""))</f>
        <v>0</v>
      </c>
      <c r="C535" s="23">
        <f>IF(B535="","",TEXT(B535,"yyyy-mm"))</f>
        <v>0</v>
      </c>
      <c r="D535" s="43">
        <f>IF(A535="","",IFERROR(INDEX(Jobs!$G$5:$G$604,MATCH(A535,Jobs!$A$5:$A$604,0)),""))</f>
        <v>0</v>
      </c>
      <c r="E535" s="23">
        <f>IF(A535="","",IFERROR(INDEX(Jobs!$H$5:$H$604,MATCH(A535,Jobs!$A$5:$A$604,0)),""))</f>
        <v>0</v>
      </c>
      <c r="F535" s="23">
        <f>IF(A535="","",IFERROR(INDEX(Jobs!$K$5:$K$604,MATCH(A535,Jobs!$A$5:$A$604,0)),""))</f>
        <v>0</v>
      </c>
      <c r="G535" s="23">
        <f>IF(A535="","",IFERROR(INDEX(Jobs!$M$5:$M$604,MATCH(A535,Jobs!$A$5:$A$604,0)),""))</f>
        <v>0</v>
      </c>
      <c r="H535" s="23">
        <f>IF(A535="","",IFERROR(INDEX(Jobs!$R$5:$R$604,MATCH(A535,Jobs!$A$5:$A$604,0)),""))</f>
        <v>0</v>
      </c>
      <c r="I535" s="39">
        <f>IF(A535="","",IFERROR(INDEX(Jobs!$P$5:$P$604,MATCH(A535,Jobs!$A$5:$A$604,0)),""))</f>
        <v>0</v>
      </c>
      <c r="J535" s="21">
        <f>IF(A535="","",IF(OR(I535="Completed",I535="Invoiced"),IFERROR(INDEX(Jobs!$AJ$5:$AJ$604,MATCH(A535,Jobs!$A$5:$A$604,0)),0),0))</f>
        <v>0</v>
      </c>
      <c r="K535" s="34">
        <f>IF(A535="","",IFERROR(INDEX(Jobs!$AD$5:$AD$604,MATCH(A535,Jobs!$A$5:$A$604,0)),0))</f>
        <v>0</v>
      </c>
      <c r="L535" s="34">
        <f>IF(A535="","",IFERROR(INDEX(Jobs!$AK$5:$AK$604,MATCH(A535,Jobs!$A$5:$A$604,0)),0))</f>
        <v>0</v>
      </c>
      <c r="M535" s="34">
        <f>IF(A535="","",IF(IFERROR(L535*1,0)&gt;0,L535,IFERROR(K535*1,0)))</f>
        <v>0</v>
      </c>
      <c r="N535" s="21">
        <f>IF(A535="","",SUMIFS(Timesheets!$X$5:$X$804,Timesheets!$G$5:$G$804,A535))</f>
        <v>0</v>
      </c>
      <c r="O535" s="21">
        <f>IF(A535="","",IF(N535&gt;0,N535,ROUND(M535*CostPerHour,2)))</f>
        <v>0</v>
      </c>
      <c r="P535" s="21">
        <f>IF(A535="","",SUMIFS('Supply Usage'!$L$5:$L$304,'Supply Usage'!$F$5:$F$304,A535))</f>
        <v>0</v>
      </c>
      <c r="Q535" s="21">
        <f>IF(A535="","",IF(P535&gt;0,P535,ROUND(M535*SuppliesPerHour,2)))</f>
        <v>0</v>
      </c>
      <c r="R535" s="21">
        <f>IF(A535="","",ROUND(IFERROR(INDEX(Jobs!$W$5:$W$604,MATCH(A535,Jobs!$A$5:$A$604,0)),0)*MileageRate,2))</f>
        <v>0</v>
      </c>
      <c r="T535" s="21">
        <f>IF(A535="","",O535+Q535+R535+IF(S535="",0,S535))</f>
        <v>0</v>
      </c>
      <c r="U535" s="21">
        <f>IF(A535="","",J535-T535)</f>
        <v>0</v>
      </c>
      <c r="V535" s="38">
        <f>IF(OR(A535="",J535=0),"",U535/J535)</f>
        <v>0</v>
      </c>
      <c r="W535" s="21">
        <f>IF(OR(A535="",M535=0,J535=0),"",U535/M535)</f>
        <v>0</v>
      </c>
      <c r="X535" s="34">
        <f>IF(OR(A535="",L535="",L535=0,K535=""),"",L535-K535)</f>
        <v>0</v>
      </c>
      <c r="Y535" s="31">
        <f>IF(A535="","",COUNTIFS($U$5:$U$604,"&gt;"&amp;U535)+COUNTIFS($U$5:U535,U535))</f>
        <v>0</v>
      </c>
      <c r="Z535" s="31">
        <f>IF(A535="","",COUNTIFS($W$5:$W$604,"&gt;"&amp;W535)+COUNTIFS($W$5:W535,W535))</f>
        <v>0</v>
      </c>
      <c r="AA535" s="39">
        <f>IF(A535="","",IF(J535=0,"",IF(U535&lt;0,"Loss - this job cost you money",IF(V535&lt;MarginFloor,"Below - margin under the floor",IF(V535&lt;TargetMargin,"Check - under target margin",IF(AND(X535&lt;&gt;"",X535&gt;0.5),"Check - ran over the estimate","OK"))))))</f>
        <v>0</v>
      </c>
    </row>
    <row r="536" spans="1:27">
      <c r="A536" s="43">
        <f>IF(IFERROR(INDEX(Jobs!$A$5:$A$604,ROW()-4),"")="","",IFERROR(INDEX(Jobs!$A$5:$A$604,ROW()-4),""))</f>
        <v>0</v>
      </c>
      <c r="B536" s="18">
        <f>IF(A536="","",IFERROR(INDEX(Jobs!$B$5:$B$604,MATCH(A536,Jobs!$A$5:$A$604,0)),""))</f>
        <v>0</v>
      </c>
      <c r="C536" s="23">
        <f>IF(B536="","",TEXT(B536,"yyyy-mm"))</f>
        <v>0</v>
      </c>
      <c r="D536" s="43">
        <f>IF(A536="","",IFERROR(INDEX(Jobs!$G$5:$G$604,MATCH(A536,Jobs!$A$5:$A$604,0)),""))</f>
        <v>0</v>
      </c>
      <c r="E536" s="23">
        <f>IF(A536="","",IFERROR(INDEX(Jobs!$H$5:$H$604,MATCH(A536,Jobs!$A$5:$A$604,0)),""))</f>
        <v>0</v>
      </c>
      <c r="F536" s="23">
        <f>IF(A536="","",IFERROR(INDEX(Jobs!$K$5:$K$604,MATCH(A536,Jobs!$A$5:$A$604,0)),""))</f>
        <v>0</v>
      </c>
      <c r="G536" s="23">
        <f>IF(A536="","",IFERROR(INDEX(Jobs!$M$5:$M$604,MATCH(A536,Jobs!$A$5:$A$604,0)),""))</f>
        <v>0</v>
      </c>
      <c r="H536" s="23">
        <f>IF(A536="","",IFERROR(INDEX(Jobs!$R$5:$R$604,MATCH(A536,Jobs!$A$5:$A$604,0)),""))</f>
        <v>0</v>
      </c>
      <c r="I536" s="39">
        <f>IF(A536="","",IFERROR(INDEX(Jobs!$P$5:$P$604,MATCH(A536,Jobs!$A$5:$A$604,0)),""))</f>
        <v>0</v>
      </c>
      <c r="J536" s="21">
        <f>IF(A536="","",IF(OR(I536="Completed",I536="Invoiced"),IFERROR(INDEX(Jobs!$AJ$5:$AJ$604,MATCH(A536,Jobs!$A$5:$A$604,0)),0),0))</f>
        <v>0</v>
      </c>
      <c r="K536" s="34">
        <f>IF(A536="","",IFERROR(INDEX(Jobs!$AD$5:$AD$604,MATCH(A536,Jobs!$A$5:$A$604,0)),0))</f>
        <v>0</v>
      </c>
      <c r="L536" s="34">
        <f>IF(A536="","",IFERROR(INDEX(Jobs!$AK$5:$AK$604,MATCH(A536,Jobs!$A$5:$A$604,0)),0))</f>
        <v>0</v>
      </c>
      <c r="M536" s="34">
        <f>IF(A536="","",IF(IFERROR(L536*1,0)&gt;0,L536,IFERROR(K536*1,0)))</f>
        <v>0</v>
      </c>
      <c r="N536" s="21">
        <f>IF(A536="","",SUMIFS(Timesheets!$X$5:$X$804,Timesheets!$G$5:$G$804,A536))</f>
        <v>0</v>
      </c>
      <c r="O536" s="21">
        <f>IF(A536="","",IF(N536&gt;0,N536,ROUND(M536*CostPerHour,2)))</f>
        <v>0</v>
      </c>
      <c r="P536" s="21">
        <f>IF(A536="","",SUMIFS('Supply Usage'!$L$5:$L$304,'Supply Usage'!$F$5:$F$304,A536))</f>
        <v>0</v>
      </c>
      <c r="Q536" s="21">
        <f>IF(A536="","",IF(P536&gt;0,P536,ROUND(M536*SuppliesPerHour,2)))</f>
        <v>0</v>
      </c>
      <c r="R536" s="21">
        <f>IF(A536="","",ROUND(IFERROR(INDEX(Jobs!$W$5:$W$604,MATCH(A536,Jobs!$A$5:$A$604,0)),0)*MileageRate,2))</f>
        <v>0</v>
      </c>
      <c r="T536" s="21">
        <f>IF(A536="","",O536+Q536+R536+IF(S536="",0,S536))</f>
        <v>0</v>
      </c>
      <c r="U536" s="21">
        <f>IF(A536="","",J536-T536)</f>
        <v>0</v>
      </c>
      <c r="V536" s="38">
        <f>IF(OR(A536="",J536=0),"",U536/J536)</f>
        <v>0</v>
      </c>
      <c r="W536" s="21">
        <f>IF(OR(A536="",M536=0,J536=0),"",U536/M536)</f>
        <v>0</v>
      </c>
      <c r="X536" s="34">
        <f>IF(OR(A536="",L536="",L536=0,K536=""),"",L536-K536)</f>
        <v>0</v>
      </c>
      <c r="Y536" s="31">
        <f>IF(A536="","",COUNTIFS($U$5:$U$604,"&gt;"&amp;U536)+COUNTIFS($U$5:U536,U536))</f>
        <v>0</v>
      </c>
      <c r="Z536" s="31">
        <f>IF(A536="","",COUNTIFS($W$5:$W$604,"&gt;"&amp;W536)+COUNTIFS($W$5:W536,W536))</f>
        <v>0</v>
      </c>
      <c r="AA536" s="39">
        <f>IF(A536="","",IF(J536=0,"",IF(U536&lt;0,"Loss - this job cost you money",IF(V536&lt;MarginFloor,"Below - margin under the floor",IF(V536&lt;TargetMargin,"Check - under target margin",IF(AND(X536&lt;&gt;"",X536&gt;0.5),"Check - ran over the estimate","OK"))))))</f>
        <v>0</v>
      </c>
    </row>
    <row r="537" spans="1:27">
      <c r="A537" s="43">
        <f>IF(IFERROR(INDEX(Jobs!$A$5:$A$604,ROW()-4),"")="","",IFERROR(INDEX(Jobs!$A$5:$A$604,ROW()-4),""))</f>
        <v>0</v>
      </c>
      <c r="B537" s="18">
        <f>IF(A537="","",IFERROR(INDEX(Jobs!$B$5:$B$604,MATCH(A537,Jobs!$A$5:$A$604,0)),""))</f>
        <v>0</v>
      </c>
      <c r="C537" s="23">
        <f>IF(B537="","",TEXT(B537,"yyyy-mm"))</f>
        <v>0</v>
      </c>
      <c r="D537" s="43">
        <f>IF(A537="","",IFERROR(INDEX(Jobs!$G$5:$G$604,MATCH(A537,Jobs!$A$5:$A$604,0)),""))</f>
        <v>0</v>
      </c>
      <c r="E537" s="23">
        <f>IF(A537="","",IFERROR(INDEX(Jobs!$H$5:$H$604,MATCH(A537,Jobs!$A$5:$A$604,0)),""))</f>
        <v>0</v>
      </c>
      <c r="F537" s="23">
        <f>IF(A537="","",IFERROR(INDEX(Jobs!$K$5:$K$604,MATCH(A537,Jobs!$A$5:$A$604,0)),""))</f>
        <v>0</v>
      </c>
      <c r="G537" s="23">
        <f>IF(A537="","",IFERROR(INDEX(Jobs!$M$5:$M$604,MATCH(A537,Jobs!$A$5:$A$604,0)),""))</f>
        <v>0</v>
      </c>
      <c r="H537" s="23">
        <f>IF(A537="","",IFERROR(INDEX(Jobs!$R$5:$R$604,MATCH(A537,Jobs!$A$5:$A$604,0)),""))</f>
        <v>0</v>
      </c>
      <c r="I537" s="39">
        <f>IF(A537="","",IFERROR(INDEX(Jobs!$P$5:$P$604,MATCH(A537,Jobs!$A$5:$A$604,0)),""))</f>
        <v>0</v>
      </c>
      <c r="J537" s="21">
        <f>IF(A537="","",IF(OR(I537="Completed",I537="Invoiced"),IFERROR(INDEX(Jobs!$AJ$5:$AJ$604,MATCH(A537,Jobs!$A$5:$A$604,0)),0),0))</f>
        <v>0</v>
      </c>
      <c r="K537" s="34">
        <f>IF(A537="","",IFERROR(INDEX(Jobs!$AD$5:$AD$604,MATCH(A537,Jobs!$A$5:$A$604,0)),0))</f>
        <v>0</v>
      </c>
      <c r="L537" s="34">
        <f>IF(A537="","",IFERROR(INDEX(Jobs!$AK$5:$AK$604,MATCH(A537,Jobs!$A$5:$A$604,0)),0))</f>
        <v>0</v>
      </c>
      <c r="M537" s="34">
        <f>IF(A537="","",IF(IFERROR(L537*1,0)&gt;0,L537,IFERROR(K537*1,0)))</f>
        <v>0</v>
      </c>
      <c r="N537" s="21">
        <f>IF(A537="","",SUMIFS(Timesheets!$X$5:$X$804,Timesheets!$G$5:$G$804,A537))</f>
        <v>0</v>
      </c>
      <c r="O537" s="21">
        <f>IF(A537="","",IF(N537&gt;0,N537,ROUND(M537*CostPerHour,2)))</f>
        <v>0</v>
      </c>
      <c r="P537" s="21">
        <f>IF(A537="","",SUMIFS('Supply Usage'!$L$5:$L$304,'Supply Usage'!$F$5:$F$304,A537))</f>
        <v>0</v>
      </c>
      <c r="Q537" s="21">
        <f>IF(A537="","",IF(P537&gt;0,P537,ROUND(M537*SuppliesPerHour,2)))</f>
        <v>0</v>
      </c>
      <c r="R537" s="21">
        <f>IF(A537="","",ROUND(IFERROR(INDEX(Jobs!$W$5:$W$604,MATCH(A537,Jobs!$A$5:$A$604,0)),0)*MileageRate,2))</f>
        <v>0</v>
      </c>
      <c r="T537" s="21">
        <f>IF(A537="","",O537+Q537+R537+IF(S537="",0,S537))</f>
        <v>0</v>
      </c>
      <c r="U537" s="21">
        <f>IF(A537="","",J537-T537)</f>
        <v>0</v>
      </c>
      <c r="V537" s="38">
        <f>IF(OR(A537="",J537=0),"",U537/J537)</f>
        <v>0</v>
      </c>
      <c r="W537" s="21">
        <f>IF(OR(A537="",M537=0,J537=0),"",U537/M537)</f>
        <v>0</v>
      </c>
      <c r="X537" s="34">
        <f>IF(OR(A537="",L537="",L537=0,K537=""),"",L537-K537)</f>
        <v>0</v>
      </c>
      <c r="Y537" s="31">
        <f>IF(A537="","",COUNTIFS($U$5:$U$604,"&gt;"&amp;U537)+COUNTIFS($U$5:U537,U537))</f>
        <v>0</v>
      </c>
      <c r="Z537" s="31">
        <f>IF(A537="","",COUNTIFS($W$5:$W$604,"&gt;"&amp;W537)+COUNTIFS($W$5:W537,W537))</f>
        <v>0</v>
      </c>
      <c r="AA537" s="39">
        <f>IF(A537="","",IF(J537=0,"",IF(U537&lt;0,"Loss - this job cost you money",IF(V537&lt;MarginFloor,"Below - margin under the floor",IF(V537&lt;TargetMargin,"Check - under target margin",IF(AND(X537&lt;&gt;"",X537&gt;0.5),"Check - ran over the estimate","OK"))))))</f>
        <v>0</v>
      </c>
    </row>
    <row r="538" spans="1:27">
      <c r="A538" s="43">
        <f>IF(IFERROR(INDEX(Jobs!$A$5:$A$604,ROW()-4),"")="","",IFERROR(INDEX(Jobs!$A$5:$A$604,ROW()-4),""))</f>
        <v>0</v>
      </c>
      <c r="B538" s="18">
        <f>IF(A538="","",IFERROR(INDEX(Jobs!$B$5:$B$604,MATCH(A538,Jobs!$A$5:$A$604,0)),""))</f>
        <v>0</v>
      </c>
      <c r="C538" s="23">
        <f>IF(B538="","",TEXT(B538,"yyyy-mm"))</f>
        <v>0</v>
      </c>
      <c r="D538" s="43">
        <f>IF(A538="","",IFERROR(INDEX(Jobs!$G$5:$G$604,MATCH(A538,Jobs!$A$5:$A$604,0)),""))</f>
        <v>0</v>
      </c>
      <c r="E538" s="23">
        <f>IF(A538="","",IFERROR(INDEX(Jobs!$H$5:$H$604,MATCH(A538,Jobs!$A$5:$A$604,0)),""))</f>
        <v>0</v>
      </c>
      <c r="F538" s="23">
        <f>IF(A538="","",IFERROR(INDEX(Jobs!$K$5:$K$604,MATCH(A538,Jobs!$A$5:$A$604,0)),""))</f>
        <v>0</v>
      </c>
      <c r="G538" s="23">
        <f>IF(A538="","",IFERROR(INDEX(Jobs!$M$5:$M$604,MATCH(A538,Jobs!$A$5:$A$604,0)),""))</f>
        <v>0</v>
      </c>
      <c r="H538" s="23">
        <f>IF(A538="","",IFERROR(INDEX(Jobs!$R$5:$R$604,MATCH(A538,Jobs!$A$5:$A$604,0)),""))</f>
        <v>0</v>
      </c>
      <c r="I538" s="39">
        <f>IF(A538="","",IFERROR(INDEX(Jobs!$P$5:$P$604,MATCH(A538,Jobs!$A$5:$A$604,0)),""))</f>
        <v>0</v>
      </c>
      <c r="J538" s="21">
        <f>IF(A538="","",IF(OR(I538="Completed",I538="Invoiced"),IFERROR(INDEX(Jobs!$AJ$5:$AJ$604,MATCH(A538,Jobs!$A$5:$A$604,0)),0),0))</f>
        <v>0</v>
      </c>
      <c r="K538" s="34">
        <f>IF(A538="","",IFERROR(INDEX(Jobs!$AD$5:$AD$604,MATCH(A538,Jobs!$A$5:$A$604,0)),0))</f>
        <v>0</v>
      </c>
      <c r="L538" s="34">
        <f>IF(A538="","",IFERROR(INDEX(Jobs!$AK$5:$AK$604,MATCH(A538,Jobs!$A$5:$A$604,0)),0))</f>
        <v>0</v>
      </c>
      <c r="M538" s="34">
        <f>IF(A538="","",IF(IFERROR(L538*1,0)&gt;0,L538,IFERROR(K538*1,0)))</f>
        <v>0</v>
      </c>
      <c r="N538" s="21">
        <f>IF(A538="","",SUMIFS(Timesheets!$X$5:$X$804,Timesheets!$G$5:$G$804,A538))</f>
        <v>0</v>
      </c>
      <c r="O538" s="21">
        <f>IF(A538="","",IF(N538&gt;0,N538,ROUND(M538*CostPerHour,2)))</f>
        <v>0</v>
      </c>
      <c r="P538" s="21">
        <f>IF(A538="","",SUMIFS('Supply Usage'!$L$5:$L$304,'Supply Usage'!$F$5:$F$304,A538))</f>
        <v>0</v>
      </c>
      <c r="Q538" s="21">
        <f>IF(A538="","",IF(P538&gt;0,P538,ROUND(M538*SuppliesPerHour,2)))</f>
        <v>0</v>
      </c>
      <c r="R538" s="21">
        <f>IF(A538="","",ROUND(IFERROR(INDEX(Jobs!$W$5:$W$604,MATCH(A538,Jobs!$A$5:$A$604,0)),0)*MileageRate,2))</f>
        <v>0</v>
      </c>
      <c r="T538" s="21">
        <f>IF(A538="","",O538+Q538+R538+IF(S538="",0,S538))</f>
        <v>0</v>
      </c>
      <c r="U538" s="21">
        <f>IF(A538="","",J538-T538)</f>
        <v>0</v>
      </c>
      <c r="V538" s="38">
        <f>IF(OR(A538="",J538=0),"",U538/J538)</f>
        <v>0</v>
      </c>
      <c r="W538" s="21">
        <f>IF(OR(A538="",M538=0,J538=0),"",U538/M538)</f>
        <v>0</v>
      </c>
      <c r="X538" s="34">
        <f>IF(OR(A538="",L538="",L538=0,K538=""),"",L538-K538)</f>
        <v>0</v>
      </c>
      <c r="Y538" s="31">
        <f>IF(A538="","",COUNTIFS($U$5:$U$604,"&gt;"&amp;U538)+COUNTIFS($U$5:U538,U538))</f>
        <v>0</v>
      </c>
      <c r="Z538" s="31">
        <f>IF(A538="","",COUNTIFS($W$5:$W$604,"&gt;"&amp;W538)+COUNTIFS($W$5:W538,W538))</f>
        <v>0</v>
      </c>
      <c r="AA538" s="39">
        <f>IF(A538="","",IF(J538=0,"",IF(U538&lt;0,"Loss - this job cost you money",IF(V538&lt;MarginFloor,"Below - margin under the floor",IF(V538&lt;TargetMargin,"Check - under target margin",IF(AND(X538&lt;&gt;"",X538&gt;0.5),"Check - ran over the estimate","OK"))))))</f>
        <v>0</v>
      </c>
    </row>
    <row r="539" spans="1:27">
      <c r="A539" s="43">
        <f>IF(IFERROR(INDEX(Jobs!$A$5:$A$604,ROW()-4),"")="","",IFERROR(INDEX(Jobs!$A$5:$A$604,ROW()-4),""))</f>
        <v>0</v>
      </c>
      <c r="B539" s="18">
        <f>IF(A539="","",IFERROR(INDEX(Jobs!$B$5:$B$604,MATCH(A539,Jobs!$A$5:$A$604,0)),""))</f>
        <v>0</v>
      </c>
      <c r="C539" s="23">
        <f>IF(B539="","",TEXT(B539,"yyyy-mm"))</f>
        <v>0</v>
      </c>
      <c r="D539" s="43">
        <f>IF(A539="","",IFERROR(INDEX(Jobs!$G$5:$G$604,MATCH(A539,Jobs!$A$5:$A$604,0)),""))</f>
        <v>0</v>
      </c>
      <c r="E539" s="23">
        <f>IF(A539="","",IFERROR(INDEX(Jobs!$H$5:$H$604,MATCH(A539,Jobs!$A$5:$A$604,0)),""))</f>
        <v>0</v>
      </c>
      <c r="F539" s="23">
        <f>IF(A539="","",IFERROR(INDEX(Jobs!$K$5:$K$604,MATCH(A539,Jobs!$A$5:$A$604,0)),""))</f>
        <v>0</v>
      </c>
      <c r="G539" s="23">
        <f>IF(A539="","",IFERROR(INDEX(Jobs!$M$5:$M$604,MATCH(A539,Jobs!$A$5:$A$604,0)),""))</f>
        <v>0</v>
      </c>
      <c r="H539" s="23">
        <f>IF(A539="","",IFERROR(INDEX(Jobs!$R$5:$R$604,MATCH(A539,Jobs!$A$5:$A$604,0)),""))</f>
        <v>0</v>
      </c>
      <c r="I539" s="39">
        <f>IF(A539="","",IFERROR(INDEX(Jobs!$P$5:$P$604,MATCH(A539,Jobs!$A$5:$A$604,0)),""))</f>
        <v>0</v>
      </c>
      <c r="J539" s="21">
        <f>IF(A539="","",IF(OR(I539="Completed",I539="Invoiced"),IFERROR(INDEX(Jobs!$AJ$5:$AJ$604,MATCH(A539,Jobs!$A$5:$A$604,0)),0),0))</f>
        <v>0</v>
      </c>
      <c r="K539" s="34">
        <f>IF(A539="","",IFERROR(INDEX(Jobs!$AD$5:$AD$604,MATCH(A539,Jobs!$A$5:$A$604,0)),0))</f>
        <v>0</v>
      </c>
      <c r="L539" s="34">
        <f>IF(A539="","",IFERROR(INDEX(Jobs!$AK$5:$AK$604,MATCH(A539,Jobs!$A$5:$A$604,0)),0))</f>
        <v>0</v>
      </c>
      <c r="M539" s="34">
        <f>IF(A539="","",IF(IFERROR(L539*1,0)&gt;0,L539,IFERROR(K539*1,0)))</f>
        <v>0</v>
      </c>
      <c r="N539" s="21">
        <f>IF(A539="","",SUMIFS(Timesheets!$X$5:$X$804,Timesheets!$G$5:$G$804,A539))</f>
        <v>0</v>
      </c>
      <c r="O539" s="21">
        <f>IF(A539="","",IF(N539&gt;0,N539,ROUND(M539*CostPerHour,2)))</f>
        <v>0</v>
      </c>
      <c r="P539" s="21">
        <f>IF(A539="","",SUMIFS('Supply Usage'!$L$5:$L$304,'Supply Usage'!$F$5:$F$304,A539))</f>
        <v>0</v>
      </c>
      <c r="Q539" s="21">
        <f>IF(A539="","",IF(P539&gt;0,P539,ROUND(M539*SuppliesPerHour,2)))</f>
        <v>0</v>
      </c>
      <c r="R539" s="21">
        <f>IF(A539="","",ROUND(IFERROR(INDEX(Jobs!$W$5:$W$604,MATCH(A539,Jobs!$A$5:$A$604,0)),0)*MileageRate,2))</f>
        <v>0</v>
      </c>
      <c r="T539" s="21">
        <f>IF(A539="","",O539+Q539+R539+IF(S539="",0,S539))</f>
        <v>0</v>
      </c>
      <c r="U539" s="21">
        <f>IF(A539="","",J539-T539)</f>
        <v>0</v>
      </c>
      <c r="V539" s="38">
        <f>IF(OR(A539="",J539=0),"",U539/J539)</f>
        <v>0</v>
      </c>
      <c r="W539" s="21">
        <f>IF(OR(A539="",M539=0,J539=0),"",U539/M539)</f>
        <v>0</v>
      </c>
      <c r="X539" s="34">
        <f>IF(OR(A539="",L539="",L539=0,K539=""),"",L539-K539)</f>
        <v>0</v>
      </c>
      <c r="Y539" s="31">
        <f>IF(A539="","",COUNTIFS($U$5:$U$604,"&gt;"&amp;U539)+COUNTIFS($U$5:U539,U539))</f>
        <v>0</v>
      </c>
      <c r="Z539" s="31">
        <f>IF(A539="","",COUNTIFS($W$5:$W$604,"&gt;"&amp;W539)+COUNTIFS($W$5:W539,W539))</f>
        <v>0</v>
      </c>
      <c r="AA539" s="39">
        <f>IF(A539="","",IF(J539=0,"",IF(U539&lt;0,"Loss - this job cost you money",IF(V539&lt;MarginFloor,"Below - margin under the floor",IF(V539&lt;TargetMargin,"Check - under target margin",IF(AND(X539&lt;&gt;"",X539&gt;0.5),"Check - ran over the estimate","OK"))))))</f>
        <v>0</v>
      </c>
    </row>
    <row r="540" spans="1:27">
      <c r="A540" s="43">
        <f>IF(IFERROR(INDEX(Jobs!$A$5:$A$604,ROW()-4),"")="","",IFERROR(INDEX(Jobs!$A$5:$A$604,ROW()-4),""))</f>
        <v>0</v>
      </c>
      <c r="B540" s="18">
        <f>IF(A540="","",IFERROR(INDEX(Jobs!$B$5:$B$604,MATCH(A540,Jobs!$A$5:$A$604,0)),""))</f>
        <v>0</v>
      </c>
      <c r="C540" s="23">
        <f>IF(B540="","",TEXT(B540,"yyyy-mm"))</f>
        <v>0</v>
      </c>
      <c r="D540" s="43">
        <f>IF(A540="","",IFERROR(INDEX(Jobs!$G$5:$G$604,MATCH(A540,Jobs!$A$5:$A$604,0)),""))</f>
        <v>0</v>
      </c>
      <c r="E540" s="23">
        <f>IF(A540="","",IFERROR(INDEX(Jobs!$H$5:$H$604,MATCH(A540,Jobs!$A$5:$A$604,0)),""))</f>
        <v>0</v>
      </c>
      <c r="F540" s="23">
        <f>IF(A540="","",IFERROR(INDEX(Jobs!$K$5:$K$604,MATCH(A540,Jobs!$A$5:$A$604,0)),""))</f>
        <v>0</v>
      </c>
      <c r="G540" s="23">
        <f>IF(A540="","",IFERROR(INDEX(Jobs!$M$5:$M$604,MATCH(A540,Jobs!$A$5:$A$604,0)),""))</f>
        <v>0</v>
      </c>
      <c r="H540" s="23">
        <f>IF(A540="","",IFERROR(INDEX(Jobs!$R$5:$R$604,MATCH(A540,Jobs!$A$5:$A$604,0)),""))</f>
        <v>0</v>
      </c>
      <c r="I540" s="39">
        <f>IF(A540="","",IFERROR(INDEX(Jobs!$P$5:$P$604,MATCH(A540,Jobs!$A$5:$A$604,0)),""))</f>
        <v>0</v>
      </c>
      <c r="J540" s="21">
        <f>IF(A540="","",IF(OR(I540="Completed",I540="Invoiced"),IFERROR(INDEX(Jobs!$AJ$5:$AJ$604,MATCH(A540,Jobs!$A$5:$A$604,0)),0),0))</f>
        <v>0</v>
      </c>
      <c r="K540" s="34">
        <f>IF(A540="","",IFERROR(INDEX(Jobs!$AD$5:$AD$604,MATCH(A540,Jobs!$A$5:$A$604,0)),0))</f>
        <v>0</v>
      </c>
      <c r="L540" s="34">
        <f>IF(A540="","",IFERROR(INDEX(Jobs!$AK$5:$AK$604,MATCH(A540,Jobs!$A$5:$A$604,0)),0))</f>
        <v>0</v>
      </c>
      <c r="M540" s="34">
        <f>IF(A540="","",IF(IFERROR(L540*1,0)&gt;0,L540,IFERROR(K540*1,0)))</f>
        <v>0</v>
      </c>
      <c r="N540" s="21">
        <f>IF(A540="","",SUMIFS(Timesheets!$X$5:$X$804,Timesheets!$G$5:$G$804,A540))</f>
        <v>0</v>
      </c>
      <c r="O540" s="21">
        <f>IF(A540="","",IF(N540&gt;0,N540,ROUND(M540*CostPerHour,2)))</f>
        <v>0</v>
      </c>
      <c r="P540" s="21">
        <f>IF(A540="","",SUMIFS('Supply Usage'!$L$5:$L$304,'Supply Usage'!$F$5:$F$304,A540))</f>
        <v>0</v>
      </c>
      <c r="Q540" s="21">
        <f>IF(A540="","",IF(P540&gt;0,P540,ROUND(M540*SuppliesPerHour,2)))</f>
        <v>0</v>
      </c>
      <c r="R540" s="21">
        <f>IF(A540="","",ROUND(IFERROR(INDEX(Jobs!$W$5:$W$604,MATCH(A540,Jobs!$A$5:$A$604,0)),0)*MileageRate,2))</f>
        <v>0</v>
      </c>
      <c r="T540" s="21">
        <f>IF(A540="","",O540+Q540+R540+IF(S540="",0,S540))</f>
        <v>0</v>
      </c>
      <c r="U540" s="21">
        <f>IF(A540="","",J540-T540)</f>
        <v>0</v>
      </c>
      <c r="V540" s="38">
        <f>IF(OR(A540="",J540=0),"",U540/J540)</f>
        <v>0</v>
      </c>
      <c r="W540" s="21">
        <f>IF(OR(A540="",M540=0,J540=0),"",U540/M540)</f>
        <v>0</v>
      </c>
      <c r="X540" s="34">
        <f>IF(OR(A540="",L540="",L540=0,K540=""),"",L540-K540)</f>
        <v>0</v>
      </c>
      <c r="Y540" s="31">
        <f>IF(A540="","",COUNTIFS($U$5:$U$604,"&gt;"&amp;U540)+COUNTIFS($U$5:U540,U540))</f>
        <v>0</v>
      </c>
      <c r="Z540" s="31">
        <f>IF(A540="","",COUNTIFS($W$5:$W$604,"&gt;"&amp;W540)+COUNTIFS($W$5:W540,W540))</f>
        <v>0</v>
      </c>
      <c r="AA540" s="39">
        <f>IF(A540="","",IF(J540=0,"",IF(U540&lt;0,"Loss - this job cost you money",IF(V540&lt;MarginFloor,"Below - margin under the floor",IF(V540&lt;TargetMargin,"Check - under target margin",IF(AND(X540&lt;&gt;"",X540&gt;0.5),"Check - ran over the estimate","OK"))))))</f>
        <v>0</v>
      </c>
    </row>
    <row r="541" spans="1:27">
      <c r="A541" s="43">
        <f>IF(IFERROR(INDEX(Jobs!$A$5:$A$604,ROW()-4),"")="","",IFERROR(INDEX(Jobs!$A$5:$A$604,ROW()-4),""))</f>
        <v>0</v>
      </c>
      <c r="B541" s="18">
        <f>IF(A541="","",IFERROR(INDEX(Jobs!$B$5:$B$604,MATCH(A541,Jobs!$A$5:$A$604,0)),""))</f>
        <v>0</v>
      </c>
      <c r="C541" s="23">
        <f>IF(B541="","",TEXT(B541,"yyyy-mm"))</f>
        <v>0</v>
      </c>
      <c r="D541" s="43">
        <f>IF(A541="","",IFERROR(INDEX(Jobs!$G$5:$G$604,MATCH(A541,Jobs!$A$5:$A$604,0)),""))</f>
        <v>0</v>
      </c>
      <c r="E541" s="23">
        <f>IF(A541="","",IFERROR(INDEX(Jobs!$H$5:$H$604,MATCH(A541,Jobs!$A$5:$A$604,0)),""))</f>
        <v>0</v>
      </c>
      <c r="F541" s="23">
        <f>IF(A541="","",IFERROR(INDEX(Jobs!$K$5:$K$604,MATCH(A541,Jobs!$A$5:$A$604,0)),""))</f>
        <v>0</v>
      </c>
      <c r="G541" s="23">
        <f>IF(A541="","",IFERROR(INDEX(Jobs!$M$5:$M$604,MATCH(A541,Jobs!$A$5:$A$604,0)),""))</f>
        <v>0</v>
      </c>
      <c r="H541" s="23">
        <f>IF(A541="","",IFERROR(INDEX(Jobs!$R$5:$R$604,MATCH(A541,Jobs!$A$5:$A$604,0)),""))</f>
        <v>0</v>
      </c>
      <c r="I541" s="39">
        <f>IF(A541="","",IFERROR(INDEX(Jobs!$P$5:$P$604,MATCH(A541,Jobs!$A$5:$A$604,0)),""))</f>
        <v>0</v>
      </c>
      <c r="J541" s="21">
        <f>IF(A541="","",IF(OR(I541="Completed",I541="Invoiced"),IFERROR(INDEX(Jobs!$AJ$5:$AJ$604,MATCH(A541,Jobs!$A$5:$A$604,0)),0),0))</f>
        <v>0</v>
      </c>
      <c r="K541" s="34">
        <f>IF(A541="","",IFERROR(INDEX(Jobs!$AD$5:$AD$604,MATCH(A541,Jobs!$A$5:$A$604,0)),0))</f>
        <v>0</v>
      </c>
      <c r="L541" s="34">
        <f>IF(A541="","",IFERROR(INDEX(Jobs!$AK$5:$AK$604,MATCH(A541,Jobs!$A$5:$A$604,0)),0))</f>
        <v>0</v>
      </c>
      <c r="M541" s="34">
        <f>IF(A541="","",IF(IFERROR(L541*1,0)&gt;0,L541,IFERROR(K541*1,0)))</f>
        <v>0</v>
      </c>
      <c r="N541" s="21">
        <f>IF(A541="","",SUMIFS(Timesheets!$X$5:$X$804,Timesheets!$G$5:$G$804,A541))</f>
        <v>0</v>
      </c>
      <c r="O541" s="21">
        <f>IF(A541="","",IF(N541&gt;0,N541,ROUND(M541*CostPerHour,2)))</f>
        <v>0</v>
      </c>
      <c r="P541" s="21">
        <f>IF(A541="","",SUMIFS('Supply Usage'!$L$5:$L$304,'Supply Usage'!$F$5:$F$304,A541))</f>
        <v>0</v>
      </c>
      <c r="Q541" s="21">
        <f>IF(A541="","",IF(P541&gt;0,P541,ROUND(M541*SuppliesPerHour,2)))</f>
        <v>0</v>
      </c>
      <c r="R541" s="21">
        <f>IF(A541="","",ROUND(IFERROR(INDEX(Jobs!$W$5:$W$604,MATCH(A541,Jobs!$A$5:$A$604,0)),0)*MileageRate,2))</f>
        <v>0</v>
      </c>
      <c r="T541" s="21">
        <f>IF(A541="","",O541+Q541+R541+IF(S541="",0,S541))</f>
        <v>0</v>
      </c>
      <c r="U541" s="21">
        <f>IF(A541="","",J541-T541)</f>
        <v>0</v>
      </c>
      <c r="V541" s="38">
        <f>IF(OR(A541="",J541=0),"",U541/J541)</f>
        <v>0</v>
      </c>
      <c r="W541" s="21">
        <f>IF(OR(A541="",M541=0,J541=0),"",U541/M541)</f>
        <v>0</v>
      </c>
      <c r="X541" s="34">
        <f>IF(OR(A541="",L541="",L541=0,K541=""),"",L541-K541)</f>
        <v>0</v>
      </c>
      <c r="Y541" s="31">
        <f>IF(A541="","",COUNTIFS($U$5:$U$604,"&gt;"&amp;U541)+COUNTIFS($U$5:U541,U541))</f>
        <v>0</v>
      </c>
      <c r="Z541" s="31">
        <f>IF(A541="","",COUNTIFS($W$5:$W$604,"&gt;"&amp;W541)+COUNTIFS($W$5:W541,W541))</f>
        <v>0</v>
      </c>
      <c r="AA541" s="39">
        <f>IF(A541="","",IF(J541=0,"",IF(U541&lt;0,"Loss - this job cost you money",IF(V541&lt;MarginFloor,"Below - margin under the floor",IF(V541&lt;TargetMargin,"Check - under target margin",IF(AND(X541&lt;&gt;"",X541&gt;0.5),"Check - ran over the estimate","OK"))))))</f>
        <v>0</v>
      </c>
    </row>
    <row r="542" spans="1:27">
      <c r="A542" s="43">
        <f>IF(IFERROR(INDEX(Jobs!$A$5:$A$604,ROW()-4),"")="","",IFERROR(INDEX(Jobs!$A$5:$A$604,ROW()-4),""))</f>
        <v>0</v>
      </c>
      <c r="B542" s="18">
        <f>IF(A542="","",IFERROR(INDEX(Jobs!$B$5:$B$604,MATCH(A542,Jobs!$A$5:$A$604,0)),""))</f>
        <v>0</v>
      </c>
      <c r="C542" s="23">
        <f>IF(B542="","",TEXT(B542,"yyyy-mm"))</f>
        <v>0</v>
      </c>
      <c r="D542" s="43">
        <f>IF(A542="","",IFERROR(INDEX(Jobs!$G$5:$G$604,MATCH(A542,Jobs!$A$5:$A$604,0)),""))</f>
        <v>0</v>
      </c>
      <c r="E542" s="23">
        <f>IF(A542="","",IFERROR(INDEX(Jobs!$H$5:$H$604,MATCH(A542,Jobs!$A$5:$A$604,0)),""))</f>
        <v>0</v>
      </c>
      <c r="F542" s="23">
        <f>IF(A542="","",IFERROR(INDEX(Jobs!$K$5:$K$604,MATCH(A542,Jobs!$A$5:$A$604,0)),""))</f>
        <v>0</v>
      </c>
      <c r="G542" s="23">
        <f>IF(A542="","",IFERROR(INDEX(Jobs!$M$5:$M$604,MATCH(A542,Jobs!$A$5:$A$604,0)),""))</f>
        <v>0</v>
      </c>
      <c r="H542" s="23">
        <f>IF(A542="","",IFERROR(INDEX(Jobs!$R$5:$R$604,MATCH(A542,Jobs!$A$5:$A$604,0)),""))</f>
        <v>0</v>
      </c>
      <c r="I542" s="39">
        <f>IF(A542="","",IFERROR(INDEX(Jobs!$P$5:$P$604,MATCH(A542,Jobs!$A$5:$A$604,0)),""))</f>
        <v>0</v>
      </c>
      <c r="J542" s="21">
        <f>IF(A542="","",IF(OR(I542="Completed",I542="Invoiced"),IFERROR(INDEX(Jobs!$AJ$5:$AJ$604,MATCH(A542,Jobs!$A$5:$A$604,0)),0),0))</f>
        <v>0</v>
      </c>
      <c r="K542" s="34">
        <f>IF(A542="","",IFERROR(INDEX(Jobs!$AD$5:$AD$604,MATCH(A542,Jobs!$A$5:$A$604,0)),0))</f>
        <v>0</v>
      </c>
      <c r="L542" s="34">
        <f>IF(A542="","",IFERROR(INDEX(Jobs!$AK$5:$AK$604,MATCH(A542,Jobs!$A$5:$A$604,0)),0))</f>
        <v>0</v>
      </c>
      <c r="M542" s="34">
        <f>IF(A542="","",IF(IFERROR(L542*1,0)&gt;0,L542,IFERROR(K542*1,0)))</f>
        <v>0</v>
      </c>
      <c r="N542" s="21">
        <f>IF(A542="","",SUMIFS(Timesheets!$X$5:$X$804,Timesheets!$G$5:$G$804,A542))</f>
        <v>0</v>
      </c>
      <c r="O542" s="21">
        <f>IF(A542="","",IF(N542&gt;0,N542,ROUND(M542*CostPerHour,2)))</f>
        <v>0</v>
      </c>
      <c r="P542" s="21">
        <f>IF(A542="","",SUMIFS('Supply Usage'!$L$5:$L$304,'Supply Usage'!$F$5:$F$304,A542))</f>
        <v>0</v>
      </c>
      <c r="Q542" s="21">
        <f>IF(A542="","",IF(P542&gt;0,P542,ROUND(M542*SuppliesPerHour,2)))</f>
        <v>0</v>
      </c>
      <c r="R542" s="21">
        <f>IF(A542="","",ROUND(IFERROR(INDEX(Jobs!$W$5:$W$604,MATCH(A542,Jobs!$A$5:$A$604,0)),0)*MileageRate,2))</f>
        <v>0</v>
      </c>
      <c r="T542" s="21">
        <f>IF(A542="","",O542+Q542+R542+IF(S542="",0,S542))</f>
        <v>0</v>
      </c>
      <c r="U542" s="21">
        <f>IF(A542="","",J542-T542)</f>
        <v>0</v>
      </c>
      <c r="V542" s="38">
        <f>IF(OR(A542="",J542=0),"",U542/J542)</f>
        <v>0</v>
      </c>
      <c r="W542" s="21">
        <f>IF(OR(A542="",M542=0,J542=0),"",U542/M542)</f>
        <v>0</v>
      </c>
      <c r="X542" s="34">
        <f>IF(OR(A542="",L542="",L542=0,K542=""),"",L542-K542)</f>
        <v>0</v>
      </c>
      <c r="Y542" s="31">
        <f>IF(A542="","",COUNTIFS($U$5:$U$604,"&gt;"&amp;U542)+COUNTIFS($U$5:U542,U542))</f>
        <v>0</v>
      </c>
      <c r="Z542" s="31">
        <f>IF(A542="","",COUNTIFS($W$5:$W$604,"&gt;"&amp;W542)+COUNTIFS($W$5:W542,W542))</f>
        <v>0</v>
      </c>
      <c r="AA542" s="39">
        <f>IF(A542="","",IF(J542=0,"",IF(U542&lt;0,"Loss - this job cost you money",IF(V542&lt;MarginFloor,"Below - margin under the floor",IF(V542&lt;TargetMargin,"Check - under target margin",IF(AND(X542&lt;&gt;"",X542&gt;0.5),"Check - ran over the estimate","OK"))))))</f>
        <v>0</v>
      </c>
    </row>
    <row r="543" spans="1:27">
      <c r="A543" s="43">
        <f>IF(IFERROR(INDEX(Jobs!$A$5:$A$604,ROW()-4),"")="","",IFERROR(INDEX(Jobs!$A$5:$A$604,ROW()-4),""))</f>
        <v>0</v>
      </c>
      <c r="B543" s="18">
        <f>IF(A543="","",IFERROR(INDEX(Jobs!$B$5:$B$604,MATCH(A543,Jobs!$A$5:$A$604,0)),""))</f>
        <v>0</v>
      </c>
      <c r="C543" s="23">
        <f>IF(B543="","",TEXT(B543,"yyyy-mm"))</f>
        <v>0</v>
      </c>
      <c r="D543" s="43">
        <f>IF(A543="","",IFERROR(INDEX(Jobs!$G$5:$G$604,MATCH(A543,Jobs!$A$5:$A$604,0)),""))</f>
        <v>0</v>
      </c>
      <c r="E543" s="23">
        <f>IF(A543="","",IFERROR(INDEX(Jobs!$H$5:$H$604,MATCH(A543,Jobs!$A$5:$A$604,0)),""))</f>
        <v>0</v>
      </c>
      <c r="F543" s="23">
        <f>IF(A543="","",IFERROR(INDEX(Jobs!$K$5:$K$604,MATCH(A543,Jobs!$A$5:$A$604,0)),""))</f>
        <v>0</v>
      </c>
      <c r="G543" s="23">
        <f>IF(A543="","",IFERROR(INDEX(Jobs!$M$5:$M$604,MATCH(A543,Jobs!$A$5:$A$604,0)),""))</f>
        <v>0</v>
      </c>
      <c r="H543" s="23">
        <f>IF(A543="","",IFERROR(INDEX(Jobs!$R$5:$R$604,MATCH(A543,Jobs!$A$5:$A$604,0)),""))</f>
        <v>0</v>
      </c>
      <c r="I543" s="39">
        <f>IF(A543="","",IFERROR(INDEX(Jobs!$P$5:$P$604,MATCH(A543,Jobs!$A$5:$A$604,0)),""))</f>
        <v>0</v>
      </c>
      <c r="J543" s="21">
        <f>IF(A543="","",IF(OR(I543="Completed",I543="Invoiced"),IFERROR(INDEX(Jobs!$AJ$5:$AJ$604,MATCH(A543,Jobs!$A$5:$A$604,0)),0),0))</f>
        <v>0</v>
      </c>
      <c r="K543" s="34">
        <f>IF(A543="","",IFERROR(INDEX(Jobs!$AD$5:$AD$604,MATCH(A543,Jobs!$A$5:$A$604,0)),0))</f>
        <v>0</v>
      </c>
      <c r="L543" s="34">
        <f>IF(A543="","",IFERROR(INDEX(Jobs!$AK$5:$AK$604,MATCH(A543,Jobs!$A$5:$A$604,0)),0))</f>
        <v>0</v>
      </c>
      <c r="M543" s="34">
        <f>IF(A543="","",IF(IFERROR(L543*1,0)&gt;0,L543,IFERROR(K543*1,0)))</f>
        <v>0</v>
      </c>
      <c r="N543" s="21">
        <f>IF(A543="","",SUMIFS(Timesheets!$X$5:$X$804,Timesheets!$G$5:$G$804,A543))</f>
        <v>0</v>
      </c>
      <c r="O543" s="21">
        <f>IF(A543="","",IF(N543&gt;0,N543,ROUND(M543*CostPerHour,2)))</f>
        <v>0</v>
      </c>
      <c r="P543" s="21">
        <f>IF(A543="","",SUMIFS('Supply Usage'!$L$5:$L$304,'Supply Usage'!$F$5:$F$304,A543))</f>
        <v>0</v>
      </c>
      <c r="Q543" s="21">
        <f>IF(A543="","",IF(P543&gt;0,P543,ROUND(M543*SuppliesPerHour,2)))</f>
        <v>0</v>
      </c>
      <c r="R543" s="21">
        <f>IF(A543="","",ROUND(IFERROR(INDEX(Jobs!$W$5:$W$604,MATCH(A543,Jobs!$A$5:$A$604,0)),0)*MileageRate,2))</f>
        <v>0</v>
      </c>
      <c r="T543" s="21">
        <f>IF(A543="","",O543+Q543+R543+IF(S543="",0,S543))</f>
        <v>0</v>
      </c>
      <c r="U543" s="21">
        <f>IF(A543="","",J543-T543)</f>
        <v>0</v>
      </c>
      <c r="V543" s="38">
        <f>IF(OR(A543="",J543=0),"",U543/J543)</f>
        <v>0</v>
      </c>
      <c r="W543" s="21">
        <f>IF(OR(A543="",M543=0,J543=0),"",U543/M543)</f>
        <v>0</v>
      </c>
      <c r="X543" s="34">
        <f>IF(OR(A543="",L543="",L543=0,K543=""),"",L543-K543)</f>
        <v>0</v>
      </c>
      <c r="Y543" s="31">
        <f>IF(A543="","",COUNTIFS($U$5:$U$604,"&gt;"&amp;U543)+COUNTIFS($U$5:U543,U543))</f>
        <v>0</v>
      </c>
      <c r="Z543" s="31">
        <f>IF(A543="","",COUNTIFS($W$5:$W$604,"&gt;"&amp;W543)+COUNTIFS($W$5:W543,W543))</f>
        <v>0</v>
      </c>
      <c r="AA543" s="39">
        <f>IF(A543="","",IF(J543=0,"",IF(U543&lt;0,"Loss - this job cost you money",IF(V543&lt;MarginFloor,"Below - margin under the floor",IF(V543&lt;TargetMargin,"Check - under target margin",IF(AND(X543&lt;&gt;"",X543&gt;0.5),"Check - ran over the estimate","OK"))))))</f>
        <v>0</v>
      </c>
    </row>
    <row r="544" spans="1:27">
      <c r="A544" s="43">
        <f>IF(IFERROR(INDEX(Jobs!$A$5:$A$604,ROW()-4),"")="","",IFERROR(INDEX(Jobs!$A$5:$A$604,ROW()-4),""))</f>
        <v>0</v>
      </c>
      <c r="B544" s="18">
        <f>IF(A544="","",IFERROR(INDEX(Jobs!$B$5:$B$604,MATCH(A544,Jobs!$A$5:$A$604,0)),""))</f>
        <v>0</v>
      </c>
      <c r="C544" s="23">
        <f>IF(B544="","",TEXT(B544,"yyyy-mm"))</f>
        <v>0</v>
      </c>
      <c r="D544" s="43">
        <f>IF(A544="","",IFERROR(INDEX(Jobs!$G$5:$G$604,MATCH(A544,Jobs!$A$5:$A$604,0)),""))</f>
        <v>0</v>
      </c>
      <c r="E544" s="23">
        <f>IF(A544="","",IFERROR(INDEX(Jobs!$H$5:$H$604,MATCH(A544,Jobs!$A$5:$A$604,0)),""))</f>
        <v>0</v>
      </c>
      <c r="F544" s="23">
        <f>IF(A544="","",IFERROR(INDEX(Jobs!$K$5:$K$604,MATCH(A544,Jobs!$A$5:$A$604,0)),""))</f>
        <v>0</v>
      </c>
      <c r="G544" s="23">
        <f>IF(A544="","",IFERROR(INDEX(Jobs!$M$5:$M$604,MATCH(A544,Jobs!$A$5:$A$604,0)),""))</f>
        <v>0</v>
      </c>
      <c r="H544" s="23">
        <f>IF(A544="","",IFERROR(INDEX(Jobs!$R$5:$R$604,MATCH(A544,Jobs!$A$5:$A$604,0)),""))</f>
        <v>0</v>
      </c>
      <c r="I544" s="39">
        <f>IF(A544="","",IFERROR(INDEX(Jobs!$P$5:$P$604,MATCH(A544,Jobs!$A$5:$A$604,0)),""))</f>
        <v>0</v>
      </c>
      <c r="J544" s="21">
        <f>IF(A544="","",IF(OR(I544="Completed",I544="Invoiced"),IFERROR(INDEX(Jobs!$AJ$5:$AJ$604,MATCH(A544,Jobs!$A$5:$A$604,0)),0),0))</f>
        <v>0</v>
      </c>
      <c r="K544" s="34">
        <f>IF(A544="","",IFERROR(INDEX(Jobs!$AD$5:$AD$604,MATCH(A544,Jobs!$A$5:$A$604,0)),0))</f>
        <v>0</v>
      </c>
      <c r="L544" s="34">
        <f>IF(A544="","",IFERROR(INDEX(Jobs!$AK$5:$AK$604,MATCH(A544,Jobs!$A$5:$A$604,0)),0))</f>
        <v>0</v>
      </c>
      <c r="M544" s="34">
        <f>IF(A544="","",IF(IFERROR(L544*1,0)&gt;0,L544,IFERROR(K544*1,0)))</f>
        <v>0</v>
      </c>
      <c r="N544" s="21">
        <f>IF(A544="","",SUMIFS(Timesheets!$X$5:$X$804,Timesheets!$G$5:$G$804,A544))</f>
        <v>0</v>
      </c>
      <c r="O544" s="21">
        <f>IF(A544="","",IF(N544&gt;0,N544,ROUND(M544*CostPerHour,2)))</f>
        <v>0</v>
      </c>
      <c r="P544" s="21">
        <f>IF(A544="","",SUMIFS('Supply Usage'!$L$5:$L$304,'Supply Usage'!$F$5:$F$304,A544))</f>
        <v>0</v>
      </c>
      <c r="Q544" s="21">
        <f>IF(A544="","",IF(P544&gt;0,P544,ROUND(M544*SuppliesPerHour,2)))</f>
        <v>0</v>
      </c>
      <c r="R544" s="21">
        <f>IF(A544="","",ROUND(IFERROR(INDEX(Jobs!$W$5:$W$604,MATCH(A544,Jobs!$A$5:$A$604,0)),0)*MileageRate,2))</f>
        <v>0</v>
      </c>
      <c r="T544" s="21">
        <f>IF(A544="","",O544+Q544+R544+IF(S544="",0,S544))</f>
        <v>0</v>
      </c>
      <c r="U544" s="21">
        <f>IF(A544="","",J544-T544)</f>
        <v>0</v>
      </c>
      <c r="V544" s="38">
        <f>IF(OR(A544="",J544=0),"",U544/J544)</f>
        <v>0</v>
      </c>
      <c r="W544" s="21">
        <f>IF(OR(A544="",M544=0,J544=0),"",U544/M544)</f>
        <v>0</v>
      </c>
      <c r="X544" s="34">
        <f>IF(OR(A544="",L544="",L544=0,K544=""),"",L544-K544)</f>
        <v>0</v>
      </c>
      <c r="Y544" s="31">
        <f>IF(A544="","",COUNTIFS($U$5:$U$604,"&gt;"&amp;U544)+COUNTIFS($U$5:U544,U544))</f>
        <v>0</v>
      </c>
      <c r="Z544" s="31">
        <f>IF(A544="","",COUNTIFS($W$5:$W$604,"&gt;"&amp;W544)+COUNTIFS($W$5:W544,W544))</f>
        <v>0</v>
      </c>
      <c r="AA544" s="39">
        <f>IF(A544="","",IF(J544=0,"",IF(U544&lt;0,"Loss - this job cost you money",IF(V544&lt;MarginFloor,"Below - margin under the floor",IF(V544&lt;TargetMargin,"Check - under target margin",IF(AND(X544&lt;&gt;"",X544&gt;0.5),"Check - ran over the estimate","OK"))))))</f>
        <v>0</v>
      </c>
    </row>
    <row r="545" spans="1:27">
      <c r="A545" s="43">
        <f>IF(IFERROR(INDEX(Jobs!$A$5:$A$604,ROW()-4),"")="","",IFERROR(INDEX(Jobs!$A$5:$A$604,ROW()-4),""))</f>
        <v>0</v>
      </c>
      <c r="B545" s="18">
        <f>IF(A545="","",IFERROR(INDEX(Jobs!$B$5:$B$604,MATCH(A545,Jobs!$A$5:$A$604,0)),""))</f>
        <v>0</v>
      </c>
      <c r="C545" s="23">
        <f>IF(B545="","",TEXT(B545,"yyyy-mm"))</f>
        <v>0</v>
      </c>
      <c r="D545" s="43">
        <f>IF(A545="","",IFERROR(INDEX(Jobs!$G$5:$G$604,MATCH(A545,Jobs!$A$5:$A$604,0)),""))</f>
        <v>0</v>
      </c>
      <c r="E545" s="23">
        <f>IF(A545="","",IFERROR(INDEX(Jobs!$H$5:$H$604,MATCH(A545,Jobs!$A$5:$A$604,0)),""))</f>
        <v>0</v>
      </c>
      <c r="F545" s="23">
        <f>IF(A545="","",IFERROR(INDEX(Jobs!$K$5:$K$604,MATCH(A545,Jobs!$A$5:$A$604,0)),""))</f>
        <v>0</v>
      </c>
      <c r="G545" s="23">
        <f>IF(A545="","",IFERROR(INDEX(Jobs!$M$5:$M$604,MATCH(A545,Jobs!$A$5:$A$604,0)),""))</f>
        <v>0</v>
      </c>
      <c r="H545" s="23">
        <f>IF(A545="","",IFERROR(INDEX(Jobs!$R$5:$R$604,MATCH(A545,Jobs!$A$5:$A$604,0)),""))</f>
        <v>0</v>
      </c>
      <c r="I545" s="39">
        <f>IF(A545="","",IFERROR(INDEX(Jobs!$P$5:$P$604,MATCH(A545,Jobs!$A$5:$A$604,0)),""))</f>
        <v>0</v>
      </c>
      <c r="J545" s="21">
        <f>IF(A545="","",IF(OR(I545="Completed",I545="Invoiced"),IFERROR(INDEX(Jobs!$AJ$5:$AJ$604,MATCH(A545,Jobs!$A$5:$A$604,0)),0),0))</f>
        <v>0</v>
      </c>
      <c r="K545" s="34">
        <f>IF(A545="","",IFERROR(INDEX(Jobs!$AD$5:$AD$604,MATCH(A545,Jobs!$A$5:$A$604,0)),0))</f>
        <v>0</v>
      </c>
      <c r="L545" s="34">
        <f>IF(A545="","",IFERROR(INDEX(Jobs!$AK$5:$AK$604,MATCH(A545,Jobs!$A$5:$A$604,0)),0))</f>
        <v>0</v>
      </c>
      <c r="M545" s="34">
        <f>IF(A545="","",IF(IFERROR(L545*1,0)&gt;0,L545,IFERROR(K545*1,0)))</f>
        <v>0</v>
      </c>
      <c r="N545" s="21">
        <f>IF(A545="","",SUMIFS(Timesheets!$X$5:$X$804,Timesheets!$G$5:$G$804,A545))</f>
        <v>0</v>
      </c>
      <c r="O545" s="21">
        <f>IF(A545="","",IF(N545&gt;0,N545,ROUND(M545*CostPerHour,2)))</f>
        <v>0</v>
      </c>
      <c r="P545" s="21">
        <f>IF(A545="","",SUMIFS('Supply Usage'!$L$5:$L$304,'Supply Usage'!$F$5:$F$304,A545))</f>
        <v>0</v>
      </c>
      <c r="Q545" s="21">
        <f>IF(A545="","",IF(P545&gt;0,P545,ROUND(M545*SuppliesPerHour,2)))</f>
        <v>0</v>
      </c>
      <c r="R545" s="21">
        <f>IF(A545="","",ROUND(IFERROR(INDEX(Jobs!$W$5:$W$604,MATCH(A545,Jobs!$A$5:$A$604,0)),0)*MileageRate,2))</f>
        <v>0</v>
      </c>
      <c r="T545" s="21">
        <f>IF(A545="","",O545+Q545+R545+IF(S545="",0,S545))</f>
        <v>0</v>
      </c>
      <c r="U545" s="21">
        <f>IF(A545="","",J545-T545)</f>
        <v>0</v>
      </c>
      <c r="V545" s="38">
        <f>IF(OR(A545="",J545=0),"",U545/J545)</f>
        <v>0</v>
      </c>
      <c r="W545" s="21">
        <f>IF(OR(A545="",M545=0,J545=0),"",U545/M545)</f>
        <v>0</v>
      </c>
      <c r="X545" s="34">
        <f>IF(OR(A545="",L545="",L545=0,K545=""),"",L545-K545)</f>
        <v>0</v>
      </c>
      <c r="Y545" s="31">
        <f>IF(A545="","",COUNTIFS($U$5:$U$604,"&gt;"&amp;U545)+COUNTIFS($U$5:U545,U545))</f>
        <v>0</v>
      </c>
      <c r="Z545" s="31">
        <f>IF(A545="","",COUNTIFS($W$5:$W$604,"&gt;"&amp;W545)+COUNTIFS($W$5:W545,W545))</f>
        <v>0</v>
      </c>
      <c r="AA545" s="39">
        <f>IF(A545="","",IF(J545=0,"",IF(U545&lt;0,"Loss - this job cost you money",IF(V545&lt;MarginFloor,"Below - margin under the floor",IF(V545&lt;TargetMargin,"Check - under target margin",IF(AND(X545&lt;&gt;"",X545&gt;0.5),"Check - ran over the estimate","OK"))))))</f>
        <v>0</v>
      </c>
    </row>
    <row r="546" spans="1:27">
      <c r="A546" s="43">
        <f>IF(IFERROR(INDEX(Jobs!$A$5:$A$604,ROW()-4),"")="","",IFERROR(INDEX(Jobs!$A$5:$A$604,ROW()-4),""))</f>
        <v>0</v>
      </c>
      <c r="B546" s="18">
        <f>IF(A546="","",IFERROR(INDEX(Jobs!$B$5:$B$604,MATCH(A546,Jobs!$A$5:$A$604,0)),""))</f>
        <v>0</v>
      </c>
      <c r="C546" s="23">
        <f>IF(B546="","",TEXT(B546,"yyyy-mm"))</f>
        <v>0</v>
      </c>
      <c r="D546" s="43">
        <f>IF(A546="","",IFERROR(INDEX(Jobs!$G$5:$G$604,MATCH(A546,Jobs!$A$5:$A$604,0)),""))</f>
        <v>0</v>
      </c>
      <c r="E546" s="23">
        <f>IF(A546="","",IFERROR(INDEX(Jobs!$H$5:$H$604,MATCH(A546,Jobs!$A$5:$A$604,0)),""))</f>
        <v>0</v>
      </c>
      <c r="F546" s="23">
        <f>IF(A546="","",IFERROR(INDEX(Jobs!$K$5:$K$604,MATCH(A546,Jobs!$A$5:$A$604,0)),""))</f>
        <v>0</v>
      </c>
      <c r="G546" s="23">
        <f>IF(A546="","",IFERROR(INDEX(Jobs!$M$5:$M$604,MATCH(A546,Jobs!$A$5:$A$604,0)),""))</f>
        <v>0</v>
      </c>
      <c r="H546" s="23">
        <f>IF(A546="","",IFERROR(INDEX(Jobs!$R$5:$R$604,MATCH(A546,Jobs!$A$5:$A$604,0)),""))</f>
        <v>0</v>
      </c>
      <c r="I546" s="39">
        <f>IF(A546="","",IFERROR(INDEX(Jobs!$P$5:$P$604,MATCH(A546,Jobs!$A$5:$A$604,0)),""))</f>
        <v>0</v>
      </c>
      <c r="J546" s="21">
        <f>IF(A546="","",IF(OR(I546="Completed",I546="Invoiced"),IFERROR(INDEX(Jobs!$AJ$5:$AJ$604,MATCH(A546,Jobs!$A$5:$A$604,0)),0),0))</f>
        <v>0</v>
      </c>
      <c r="K546" s="34">
        <f>IF(A546="","",IFERROR(INDEX(Jobs!$AD$5:$AD$604,MATCH(A546,Jobs!$A$5:$A$604,0)),0))</f>
        <v>0</v>
      </c>
      <c r="L546" s="34">
        <f>IF(A546="","",IFERROR(INDEX(Jobs!$AK$5:$AK$604,MATCH(A546,Jobs!$A$5:$A$604,0)),0))</f>
        <v>0</v>
      </c>
      <c r="M546" s="34">
        <f>IF(A546="","",IF(IFERROR(L546*1,0)&gt;0,L546,IFERROR(K546*1,0)))</f>
        <v>0</v>
      </c>
      <c r="N546" s="21">
        <f>IF(A546="","",SUMIFS(Timesheets!$X$5:$X$804,Timesheets!$G$5:$G$804,A546))</f>
        <v>0</v>
      </c>
      <c r="O546" s="21">
        <f>IF(A546="","",IF(N546&gt;0,N546,ROUND(M546*CostPerHour,2)))</f>
        <v>0</v>
      </c>
      <c r="P546" s="21">
        <f>IF(A546="","",SUMIFS('Supply Usage'!$L$5:$L$304,'Supply Usage'!$F$5:$F$304,A546))</f>
        <v>0</v>
      </c>
      <c r="Q546" s="21">
        <f>IF(A546="","",IF(P546&gt;0,P546,ROUND(M546*SuppliesPerHour,2)))</f>
        <v>0</v>
      </c>
      <c r="R546" s="21">
        <f>IF(A546="","",ROUND(IFERROR(INDEX(Jobs!$W$5:$W$604,MATCH(A546,Jobs!$A$5:$A$604,0)),0)*MileageRate,2))</f>
        <v>0</v>
      </c>
      <c r="T546" s="21">
        <f>IF(A546="","",O546+Q546+R546+IF(S546="",0,S546))</f>
        <v>0</v>
      </c>
      <c r="U546" s="21">
        <f>IF(A546="","",J546-T546)</f>
        <v>0</v>
      </c>
      <c r="V546" s="38">
        <f>IF(OR(A546="",J546=0),"",U546/J546)</f>
        <v>0</v>
      </c>
      <c r="W546" s="21">
        <f>IF(OR(A546="",M546=0,J546=0),"",U546/M546)</f>
        <v>0</v>
      </c>
      <c r="X546" s="34">
        <f>IF(OR(A546="",L546="",L546=0,K546=""),"",L546-K546)</f>
        <v>0</v>
      </c>
      <c r="Y546" s="31">
        <f>IF(A546="","",COUNTIFS($U$5:$U$604,"&gt;"&amp;U546)+COUNTIFS($U$5:U546,U546))</f>
        <v>0</v>
      </c>
      <c r="Z546" s="31">
        <f>IF(A546="","",COUNTIFS($W$5:$W$604,"&gt;"&amp;W546)+COUNTIFS($W$5:W546,W546))</f>
        <v>0</v>
      </c>
      <c r="AA546" s="39">
        <f>IF(A546="","",IF(J546=0,"",IF(U546&lt;0,"Loss - this job cost you money",IF(V546&lt;MarginFloor,"Below - margin under the floor",IF(V546&lt;TargetMargin,"Check - under target margin",IF(AND(X546&lt;&gt;"",X546&gt;0.5),"Check - ran over the estimate","OK"))))))</f>
        <v>0</v>
      </c>
    </row>
    <row r="547" spans="1:27">
      <c r="A547" s="43">
        <f>IF(IFERROR(INDEX(Jobs!$A$5:$A$604,ROW()-4),"")="","",IFERROR(INDEX(Jobs!$A$5:$A$604,ROW()-4),""))</f>
        <v>0</v>
      </c>
      <c r="B547" s="18">
        <f>IF(A547="","",IFERROR(INDEX(Jobs!$B$5:$B$604,MATCH(A547,Jobs!$A$5:$A$604,0)),""))</f>
        <v>0</v>
      </c>
      <c r="C547" s="23">
        <f>IF(B547="","",TEXT(B547,"yyyy-mm"))</f>
        <v>0</v>
      </c>
      <c r="D547" s="43">
        <f>IF(A547="","",IFERROR(INDEX(Jobs!$G$5:$G$604,MATCH(A547,Jobs!$A$5:$A$604,0)),""))</f>
        <v>0</v>
      </c>
      <c r="E547" s="23">
        <f>IF(A547="","",IFERROR(INDEX(Jobs!$H$5:$H$604,MATCH(A547,Jobs!$A$5:$A$604,0)),""))</f>
        <v>0</v>
      </c>
      <c r="F547" s="23">
        <f>IF(A547="","",IFERROR(INDEX(Jobs!$K$5:$K$604,MATCH(A547,Jobs!$A$5:$A$604,0)),""))</f>
        <v>0</v>
      </c>
      <c r="G547" s="23">
        <f>IF(A547="","",IFERROR(INDEX(Jobs!$M$5:$M$604,MATCH(A547,Jobs!$A$5:$A$604,0)),""))</f>
        <v>0</v>
      </c>
      <c r="H547" s="23">
        <f>IF(A547="","",IFERROR(INDEX(Jobs!$R$5:$R$604,MATCH(A547,Jobs!$A$5:$A$604,0)),""))</f>
        <v>0</v>
      </c>
      <c r="I547" s="39">
        <f>IF(A547="","",IFERROR(INDEX(Jobs!$P$5:$P$604,MATCH(A547,Jobs!$A$5:$A$604,0)),""))</f>
        <v>0</v>
      </c>
      <c r="J547" s="21">
        <f>IF(A547="","",IF(OR(I547="Completed",I547="Invoiced"),IFERROR(INDEX(Jobs!$AJ$5:$AJ$604,MATCH(A547,Jobs!$A$5:$A$604,0)),0),0))</f>
        <v>0</v>
      </c>
      <c r="K547" s="34">
        <f>IF(A547="","",IFERROR(INDEX(Jobs!$AD$5:$AD$604,MATCH(A547,Jobs!$A$5:$A$604,0)),0))</f>
        <v>0</v>
      </c>
      <c r="L547" s="34">
        <f>IF(A547="","",IFERROR(INDEX(Jobs!$AK$5:$AK$604,MATCH(A547,Jobs!$A$5:$A$604,0)),0))</f>
        <v>0</v>
      </c>
      <c r="M547" s="34">
        <f>IF(A547="","",IF(IFERROR(L547*1,0)&gt;0,L547,IFERROR(K547*1,0)))</f>
        <v>0</v>
      </c>
      <c r="N547" s="21">
        <f>IF(A547="","",SUMIFS(Timesheets!$X$5:$X$804,Timesheets!$G$5:$G$804,A547))</f>
        <v>0</v>
      </c>
      <c r="O547" s="21">
        <f>IF(A547="","",IF(N547&gt;0,N547,ROUND(M547*CostPerHour,2)))</f>
        <v>0</v>
      </c>
      <c r="P547" s="21">
        <f>IF(A547="","",SUMIFS('Supply Usage'!$L$5:$L$304,'Supply Usage'!$F$5:$F$304,A547))</f>
        <v>0</v>
      </c>
      <c r="Q547" s="21">
        <f>IF(A547="","",IF(P547&gt;0,P547,ROUND(M547*SuppliesPerHour,2)))</f>
        <v>0</v>
      </c>
      <c r="R547" s="21">
        <f>IF(A547="","",ROUND(IFERROR(INDEX(Jobs!$W$5:$W$604,MATCH(A547,Jobs!$A$5:$A$604,0)),0)*MileageRate,2))</f>
        <v>0</v>
      </c>
      <c r="T547" s="21">
        <f>IF(A547="","",O547+Q547+R547+IF(S547="",0,S547))</f>
        <v>0</v>
      </c>
      <c r="U547" s="21">
        <f>IF(A547="","",J547-T547)</f>
        <v>0</v>
      </c>
      <c r="V547" s="38">
        <f>IF(OR(A547="",J547=0),"",U547/J547)</f>
        <v>0</v>
      </c>
      <c r="W547" s="21">
        <f>IF(OR(A547="",M547=0,J547=0),"",U547/M547)</f>
        <v>0</v>
      </c>
      <c r="X547" s="34">
        <f>IF(OR(A547="",L547="",L547=0,K547=""),"",L547-K547)</f>
        <v>0</v>
      </c>
      <c r="Y547" s="31">
        <f>IF(A547="","",COUNTIFS($U$5:$U$604,"&gt;"&amp;U547)+COUNTIFS($U$5:U547,U547))</f>
        <v>0</v>
      </c>
      <c r="Z547" s="31">
        <f>IF(A547="","",COUNTIFS($W$5:$W$604,"&gt;"&amp;W547)+COUNTIFS($W$5:W547,W547))</f>
        <v>0</v>
      </c>
      <c r="AA547" s="39">
        <f>IF(A547="","",IF(J547=0,"",IF(U547&lt;0,"Loss - this job cost you money",IF(V547&lt;MarginFloor,"Below - margin under the floor",IF(V547&lt;TargetMargin,"Check - under target margin",IF(AND(X547&lt;&gt;"",X547&gt;0.5),"Check - ran over the estimate","OK"))))))</f>
        <v>0</v>
      </c>
    </row>
    <row r="548" spans="1:27">
      <c r="A548" s="43">
        <f>IF(IFERROR(INDEX(Jobs!$A$5:$A$604,ROW()-4),"")="","",IFERROR(INDEX(Jobs!$A$5:$A$604,ROW()-4),""))</f>
        <v>0</v>
      </c>
      <c r="B548" s="18">
        <f>IF(A548="","",IFERROR(INDEX(Jobs!$B$5:$B$604,MATCH(A548,Jobs!$A$5:$A$604,0)),""))</f>
        <v>0</v>
      </c>
      <c r="C548" s="23">
        <f>IF(B548="","",TEXT(B548,"yyyy-mm"))</f>
        <v>0</v>
      </c>
      <c r="D548" s="43">
        <f>IF(A548="","",IFERROR(INDEX(Jobs!$G$5:$G$604,MATCH(A548,Jobs!$A$5:$A$604,0)),""))</f>
        <v>0</v>
      </c>
      <c r="E548" s="23">
        <f>IF(A548="","",IFERROR(INDEX(Jobs!$H$5:$H$604,MATCH(A548,Jobs!$A$5:$A$604,0)),""))</f>
        <v>0</v>
      </c>
      <c r="F548" s="23">
        <f>IF(A548="","",IFERROR(INDEX(Jobs!$K$5:$K$604,MATCH(A548,Jobs!$A$5:$A$604,0)),""))</f>
        <v>0</v>
      </c>
      <c r="G548" s="23">
        <f>IF(A548="","",IFERROR(INDEX(Jobs!$M$5:$M$604,MATCH(A548,Jobs!$A$5:$A$604,0)),""))</f>
        <v>0</v>
      </c>
      <c r="H548" s="23">
        <f>IF(A548="","",IFERROR(INDEX(Jobs!$R$5:$R$604,MATCH(A548,Jobs!$A$5:$A$604,0)),""))</f>
        <v>0</v>
      </c>
      <c r="I548" s="39">
        <f>IF(A548="","",IFERROR(INDEX(Jobs!$P$5:$P$604,MATCH(A548,Jobs!$A$5:$A$604,0)),""))</f>
        <v>0</v>
      </c>
      <c r="J548" s="21">
        <f>IF(A548="","",IF(OR(I548="Completed",I548="Invoiced"),IFERROR(INDEX(Jobs!$AJ$5:$AJ$604,MATCH(A548,Jobs!$A$5:$A$604,0)),0),0))</f>
        <v>0</v>
      </c>
      <c r="K548" s="34">
        <f>IF(A548="","",IFERROR(INDEX(Jobs!$AD$5:$AD$604,MATCH(A548,Jobs!$A$5:$A$604,0)),0))</f>
        <v>0</v>
      </c>
      <c r="L548" s="34">
        <f>IF(A548="","",IFERROR(INDEX(Jobs!$AK$5:$AK$604,MATCH(A548,Jobs!$A$5:$A$604,0)),0))</f>
        <v>0</v>
      </c>
      <c r="M548" s="34">
        <f>IF(A548="","",IF(IFERROR(L548*1,0)&gt;0,L548,IFERROR(K548*1,0)))</f>
        <v>0</v>
      </c>
      <c r="N548" s="21">
        <f>IF(A548="","",SUMIFS(Timesheets!$X$5:$X$804,Timesheets!$G$5:$G$804,A548))</f>
        <v>0</v>
      </c>
      <c r="O548" s="21">
        <f>IF(A548="","",IF(N548&gt;0,N548,ROUND(M548*CostPerHour,2)))</f>
        <v>0</v>
      </c>
      <c r="P548" s="21">
        <f>IF(A548="","",SUMIFS('Supply Usage'!$L$5:$L$304,'Supply Usage'!$F$5:$F$304,A548))</f>
        <v>0</v>
      </c>
      <c r="Q548" s="21">
        <f>IF(A548="","",IF(P548&gt;0,P548,ROUND(M548*SuppliesPerHour,2)))</f>
        <v>0</v>
      </c>
      <c r="R548" s="21">
        <f>IF(A548="","",ROUND(IFERROR(INDEX(Jobs!$W$5:$W$604,MATCH(A548,Jobs!$A$5:$A$604,0)),0)*MileageRate,2))</f>
        <v>0</v>
      </c>
      <c r="T548" s="21">
        <f>IF(A548="","",O548+Q548+R548+IF(S548="",0,S548))</f>
        <v>0</v>
      </c>
      <c r="U548" s="21">
        <f>IF(A548="","",J548-T548)</f>
        <v>0</v>
      </c>
      <c r="V548" s="38">
        <f>IF(OR(A548="",J548=0),"",U548/J548)</f>
        <v>0</v>
      </c>
      <c r="W548" s="21">
        <f>IF(OR(A548="",M548=0,J548=0),"",U548/M548)</f>
        <v>0</v>
      </c>
      <c r="X548" s="34">
        <f>IF(OR(A548="",L548="",L548=0,K548=""),"",L548-K548)</f>
        <v>0</v>
      </c>
      <c r="Y548" s="31">
        <f>IF(A548="","",COUNTIFS($U$5:$U$604,"&gt;"&amp;U548)+COUNTIFS($U$5:U548,U548))</f>
        <v>0</v>
      </c>
      <c r="Z548" s="31">
        <f>IF(A548="","",COUNTIFS($W$5:$W$604,"&gt;"&amp;W548)+COUNTIFS($W$5:W548,W548))</f>
        <v>0</v>
      </c>
      <c r="AA548" s="39">
        <f>IF(A548="","",IF(J548=0,"",IF(U548&lt;0,"Loss - this job cost you money",IF(V548&lt;MarginFloor,"Below - margin under the floor",IF(V548&lt;TargetMargin,"Check - under target margin",IF(AND(X548&lt;&gt;"",X548&gt;0.5),"Check - ran over the estimate","OK"))))))</f>
        <v>0</v>
      </c>
    </row>
    <row r="549" spans="1:27">
      <c r="A549" s="43">
        <f>IF(IFERROR(INDEX(Jobs!$A$5:$A$604,ROW()-4),"")="","",IFERROR(INDEX(Jobs!$A$5:$A$604,ROW()-4),""))</f>
        <v>0</v>
      </c>
      <c r="B549" s="18">
        <f>IF(A549="","",IFERROR(INDEX(Jobs!$B$5:$B$604,MATCH(A549,Jobs!$A$5:$A$604,0)),""))</f>
        <v>0</v>
      </c>
      <c r="C549" s="23">
        <f>IF(B549="","",TEXT(B549,"yyyy-mm"))</f>
        <v>0</v>
      </c>
      <c r="D549" s="43">
        <f>IF(A549="","",IFERROR(INDEX(Jobs!$G$5:$G$604,MATCH(A549,Jobs!$A$5:$A$604,0)),""))</f>
        <v>0</v>
      </c>
      <c r="E549" s="23">
        <f>IF(A549="","",IFERROR(INDEX(Jobs!$H$5:$H$604,MATCH(A549,Jobs!$A$5:$A$604,0)),""))</f>
        <v>0</v>
      </c>
      <c r="F549" s="23">
        <f>IF(A549="","",IFERROR(INDEX(Jobs!$K$5:$K$604,MATCH(A549,Jobs!$A$5:$A$604,0)),""))</f>
        <v>0</v>
      </c>
      <c r="G549" s="23">
        <f>IF(A549="","",IFERROR(INDEX(Jobs!$M$5:$M$604,MATCH(A549,Jobs!$A$5:$A$604,0)),""))</f>
        <v>0</v>
      </c>
      <c r="H549" s="23">
        <f>IF(A549="","",IFERROR(INDEX(Jobs!$R$5:$R$604,MATCH(A549,Jobs!$A$5:$A$604,0)),""))</f>
        <v>0</v>
      </c>
      <c r="I549" s="39">
        <f>IF(A549="","",IFERROR(INDEX(Jobs!$P$5:$P$604,MATCH(A549,Jobs!$A$5:$A$604,0)),""))</f>
        <v>0</v>
      </c>
      <c r="J549" s="21">
        <f>IF(A549="","",IF(OR(I549="Completed",I549="Invoiced"),IFERROR(INDEX(Jobs!$AJ$5:$AJ$604,MATCH(A549,Jobs!$A$5:$A$604,0)),0),0))</f>
        <v>0</v>
      </c>
      <c r="K549" s="34">
        <f>IF(A549="","",IFERROR(INDEX(Jobs!$AD$5:$AD$604,MATCH(A549,Jobs!$A$5:$A$604,0)),0))</f>
        <v>0</v>
      </c>
      <c r="L549" s="34">
        <f>IF(A549="","",IFERROR(INDEX(Jobs!$AK$5:$AK$604,MATCH(A549,Jobs!$A$5:$A$604,0)),0))</f>
        <v>0</v>
      </c>
      <c r="M549" s="34">
        <f>IF(A549="","",IF(IFERROR(L549*1,0)&gt;0,L549,IFERROR(K549*1,0)))</f>
        <v>0</v>
      </c>
      <c r="N549" s="21">
        <f>IF(A549="","",SUMIFS(Timesheets!$X$5:$X$804,Timesheets!$G$5:$G$804,A549))</f>
        <v>0</v>
      </c>
      <c r="O549" s="21">
        <f>IF(A549="","",IF(N549&gt;0,N549,ROUND(M549*CostPerHour,2)))</f>
        <v>0</v>
      </c>
      <c r="P549" s="21">
        <f>IF(A549="","",SUMIFS('Supply Usage'!$L$5:$L$304,'Supply Usage'!$F$5:$F$304,A549))</f>
        <v>0</v>
      </c>
      <c r="Q549" s="21">
        <f>IF(A549="","",IF(P549&gt;0,P549,ROUND(M549*SuppliesPerHour,2)))</f>
        <v>0</v>
      </c>
      <c r="R549" s="21">
        <f>IF(A549="","",ROUND(IFERROR(INDEX(Jobs!$W$5:$W$604,MATCH(A549,Jobs!$A$5:$A$604,0)),0)*MileageRate,2))</f>
        <v>0</v>
      </c>
      <c r="T549" s="21">
        <f>IF(A549="","",O549+Q549+R549+IF(S549="",0,S549))</f>
        <v>0</v>
      </c>
      <c r="U549" s="21">
        <f>IF(A549="","",J549-T549)</f>
        <v>0</v>
      </c>
      <c r="V549" s="38">
        <f>IF(OR(A549="",J549=0),"",U549/J549)</f>
        <v>0</v>
      </c>
      <c r="W549" s="21">
        <f>IF(OR(A549="",M549=0,J549=0),"",U549/M549)</f>
        <v>0</v>
      </c>
      <c r="X549" s="34">
        <f>IF(OR(A549="",L549="",L549=0,K549=""),"",L549-K549)</f>
        <v>0</v>
      </c>
      <c r="Y549" s="31">
        <f>IF(A549="","",COUNTIFS($U$5:$U$604,"&gt;"&amp;U549)+COUNTIFS($U$5:U549,U549))</f>
        <v>0</v>
      </c>
      <c r="Z549" s="31">
        <f>IF(A549="","",COUNTIFS($W$5:$W$604,"&gt;"&amp;W549)+COUNTIFS($W$5:W549,W549))</f>
        <v>0</v>
      </c>
      <c r="AA549" s="39">
        <f>IF(A549="","",IF(J549=0,"",IF(U549&lt;0,"Loss - this job cost you money",IF(V549&lt;MarginFloor,"Below - margin under the floor",IF(V549&lt;TargetMargin,"Check - under target margin",IF(AND(X549&lt;&gt;"",X549&gt;0.5),"Check - ran over the estimate","OK"))))))</f>
        <v>0</v>
      </c>
    </row>
    <row r="550" spans="1:27">
      <c r="A550" s="43">
        <f>IF(IFERROR(INDEX(Jobs!$A$5:$A$604,ROW()-4),"")="","",IFERROR(INDEX(Jobs!$A$5:$A$604,ROW()-4),""))</f>
        <v>0</v>
      </c>
      <c r="B550" s="18">
        <f>IF(A550="","",IFERROR(INDEX(Jobs!$B$5:$B$604,MATCH(A550,Jobs!$A$5:$A$604,0)),""))</f>
        <v>0</v>
      </c>
      <c r="C550" s="23">
        <f>IF(B550="","",TEXT(B550,"yyyy-mm"))</f>
        <v>0</v>
      </c>
      <c r="D550" s="43">
        <f>IF(A550="","",IFERROR(INDEX(Jobs!$G$5:$G$604,MATCH(A550,Jobs!$A$5:$A$604,0)),""))</f>
        <v>0</v>
      </c>
      <c r="E550" s="23">
        <f>IF(A550="","",IFERROR(INDEX(Jobs!$H$5:$H$604,MATCH(A550,Jobs!$A$5:$A$604,0)),""))</f>
        <v>0</v>
      </c>
      <c r="F550" s="23">
        <f>IF(A550="","",IFERROR(INDEX(Jobs!$K$5:$K$604,MATCH(A550,Jobs!$A$5:$A$604,0)),""))</f>
        <v>0</v>
      </c>
      <c r="G550" s="23">
        <f>IF(A550="","",IFERROR(INDEX(Jobs!$M$5:$M$604,MATCH(A550,Jobs!$A$5:$A$604,0)),""))</f>
        <v>0</v>
      </c>
      <c r="H550" s="23">
        <f>IF(A550="","",IFERROR(INDEX(Jobs!$R$5:$R$604,MATCH(A550,Jobs!$A$5:$A$604,0)),""))</f>
        <v>0</v>
      </c>
      <c r="I550" s="39">
        <f>IF(A550="","",IFERROR(INDEX(Jobs!$P$5:$P$604,MATCH(A550,Jobs!$A$5:$A$604,0)),""))</f>
        <v>0</v>
      </c>
      <c r="J550" s="21">
        <f>IF(A550="","",IF(OR(I550="Completed",I550="Invoiced"),IFERROR(INDEX(Jobs!$AJ$5:$AJ$604,MATCH(A550,Jobs!$A$5:$A$604,0)),0),0))</f>
        <v>0</v>
      </c>
      <c r="K550" s="34">
        <f>IF(A550="","",IFERROR(INDEX(Jobs!$AD$5:$AD$604,MATCH(A550,Jobs!$A$5:$A$604,0)),0))</f>
        <v>0</v>
      </c>
      <c r="L550" s="34">
        <f>IF(A550="","",IFERROR(INDEX(Jobs!$AK$5:$AK$604,MATCH(A550,Jobs!$A$5:$A$604,0)),0))</f>
        <v>0</v>
      </c>
      <c r="M550" s="34">
        <f>IF(A550="","",IF(IFERROR(L550*1,0)&gt;0,L550,IFERROR(K550*1,0)))</f>
        <v>0</v>
      </c>
      <c r="N550" s="21">
        <f>IF(A550="","",SUMIFS(Timesheets!$X$5:$X$804,Timesheets!$G$5:$G$804,A550))</f>
        <v>0</v>
      </c>
      <c r="O550" s="21">
        <f>IF(A550="","",IF(N550&gt;0,N550,ROUND(M550*CostPerHour,2)))</f>
        <v>0</v>
      </c>
      <c r="P550" s="21">
        <f>IF(A550="","",SUMIFS('Supply Usage'!$L$5:$L$304,'Supply Usage'!$F$5:$F$304,A550))</f>
        <v>0</v>
      </c>
      <c r="Q550" s="21">
        <f>IF(A550="","",IF(P550&gt;0,P550,ROUND(M550*SuppliesPerHour,2)))</f>
        <v>0</v>
      </c>
      <c r="R550" s="21">
        <f>IF(A550="","",ROUND(IFERROR(INDEX(Jobs!$W$5:$W$604,MATCH(A550,Jobs!$A$5:$A$604,0)),0)*MileageRate,2))</f>
        <v>0</v>
      </c>
      <c r="T550" s="21">
        <f>IF(A550="","",O550+Q550+R550+IF(S550="",0,S550))</f>
        <v>0</v>
      </c>
      <c r="U550" s="21">
        <f>IF(A550="","",J550-T550)</f>
        <v>0</v>
      </c>
      <c r="V550" s="38">
        <f>IF(OR(A550="",J550=0),"",U550/J550)</f>
        <v>0</v>
      </c>
      <c r="W550" s="21">
        <f>IF(OR(A550="",M550=0,J550=0),"",U550/M550)</f>
        <v>0</v>
      </c>
      <c r="X550" s="34">
        <f>IF(OR(A550="",L550="",L550=0,K550=""),"",L550-K550)</f>
        <v>0</v>
      </c>
      <c r="Y550" s="31">
        <f>IF(A550="","",COUNTIFS($U$5:$U$604,"&gt;"&amp;U550)+COUNTIFS($U$5:U550,U550))</f>
        <v>0</v>
      </c>
      <c r="Z550" s="31">
        <f>IF(A550="","",COUNTIFS($W$5:$W$604,"&gt;"&amp;W550)+COUNTIFS($W$5:W550,W550))</f>
        <v>0</v>
      </c>
      <c r="AA550" s="39">
        <f>IF(A550="","",IF(J550=0,"",IF(U550&lt;0,"Loss - this job cost you money",IF(V550&lt;MarginFloor,"Below - margin under the floor",IF(V550&lt;TargetMargin,"Check - under target margin",IF(AND(X550&lt;&gt;"",X550&gt;0.5),"Check - ran over the estimate","OK"))))))</f>
        <v>0</v>
      </c>
    </row>
    <row r="551" spans="1:27">
      <c r="A551" s="43">
        <f>IF(IFERROR(INDEX(Jobs!$A$5:$A$604,ROW()-4),"")="","",IFERROR(INDEX(Jobs!$A$5:$A$604,ROW()-4),""))</f>
        <v>0</v>
      </c>
      <c r="B551" s="18">
        <f>IF(A551="","",IFERROR(INDEX(Jobs!$B$5:$B$604,MATCH(A551,Jobs!$A$5:$A$604,0)),""))</f>
        <v>0</v>
      </c>
      <c r="C551" s="23">
        <f>IF(B551="","",TEXT(B551,"yyyy-mm"))</f>
        <v>0</v>
      </c>
      <c r="D551" s="43">
        <f>IF(A551="","",IFERROR(INDEX(Jobs!$G$5:$G$604,MATCH(A551,Jobs!$A$5:$A$604,0)),""))</f>
        <v>0</v>
      </c>
      <c r="E551" s="23">
        <f>IF(A551="","",IFERROR(INDEX(Jobs!$H$5:$H$604,MATCH(A551,Jobs!$A$5:$A$604,0)),""))</f>
        <v>0</v>
      </c>
      <c r="F551" s="23">
        <f>IF(A551="","",IFERROR(INDEX(Jobs!$K$5:$K$604,MATCH(A551,Jobs!$A$5:$A$604,0)),""))</f>
        <v>0</v>
      </c>
      <c r="G551" s="23">
        <f>IF(A551="","",IFERROR(INDEX(Jobs!$M$5:$M$604,MATCH(A551,Jobs!$A$5:$A$604,0)),""))</f>
        <v>0</v>
      </c>
      <c r="H551" s="23">
        <f>IF(A551="","",IFERROR(INDEX(Jobs!$R$5:$R$604,MATCH(A551,Jobs!$A$5:$A$604,0)),""))</f>
        <v>0</v>
      </c>
      <c r="I551" s="39">
        <f>IF(A551="","",IFERROR(INDEX(Jobs!$P$5:$P$604,MATCH(A551,Jobs!$A$5:$A$604,0)),""))</f>
        <v>0</v>
      </c>
      <c r="J551" s="21">
        <f>IF(A551="","",IF(OR(I551="Completed",I551="Invoiced"),IFERROR(INDEX(Jobs!$AJ$5:$AJ$604,MATCH(A551,Jobs!$A$5:$A$604,0)),0),0))</f>
        <v>0</v>
      </c>
      <c r="K551" s="34">
        <f>IF(A551="","",IFERROR(INDEX(Jobs!$AD$5:$AD$604,MATCH(A551,Jobs!$A$5:$A$604,0)),0))</f>
        <v>0</v>
      </c>
      <c r="L551" s="34">
        <f>IF(A551="","",IFERROR(INDEX(Jobs!$AK$5:$AK$604,MATCH(A551,Jobs!$A$5:$A$604,0)),0))</f>
        <v>0</v>
      </c>
      <c r="M551" s="34">
        <f>IF(A551="","",IF(IFERROR(L551*1,0)&gt;0,L551,IFERROR(K551*1,0)))</f>
        <v>0</v>
      </c>
      <c r="N551" s="21">
        <f>IF(A551="","",SUMIFS(Timesheets!$X$5:$X$804,Timesheets!$G$5:$G$804,A551))</f>
        <v>0</v>
      </c>
      <c r="O551" s="21">
        <f>IF(A551="","",IF(N551&gt;0,N551,ROUND(M551*CostPerHour,2)))</f>
        <v>0</v>
      </c>
      <c r="P551" s="21">
        <f>IF(A551="","",SUMIFS('Supply Usage'!$L$5:$L$304,'Supply Usage'!$F$5:$F$304,A551))</f>
        <v>0</v>
      </c>
      <c r="Q551" s="21">
        <f>IF(A551="","",IF(P551&gt;0,P551,ROUND(M551*SuppliesPerHour,2)))</f>
        <v>0</v>
      </c>
      <c r="R551" s="21">
        <f>IF(A551="","",ROUND(IFERROR(INDEX(Jobs!$W$5:$W$604,MATCH(A551,Jobs!$A$5:$A$604,0)),0)*MileageRate,2))</f>
        <v>0</v>
      </c>
      <c r="T551" s="21">
        <f>IF(A551="","",O551+Q551+R551+IF(S551="",0,S551))</f>
        <v>0</v>
      </c>
      <c r="U551" s="21">
        <f>IF(A551="","",J551-T551)</f>
        <v>0</v>
      </c>
      <c r="V551" s="38">
        <f>IF(OR(A551="",J551=0),"",U551/J551)</f>
        <v>0</v>
      </c>
      <c r="W551" s="21">
        <f>IF(OR(A551="",M551=0,J551=0),"",U551/M551)</f>
        <v>0</v>
      </c>
      <c r="X551" s="34">
        <f>IF(OR(A551="",L551="",L551=0,K551=""),"",L551-K551)</f>
        <v>0</v>
      </c>
      <c r="Y551" s="31">
        <f>IF(A551="","",COUNTIFS($U$5:$U$604,"&gt;"&amp;U551)+COUNTIFS($U$5:U551,U551))</f>
        <v>0</v>
      </c>
      <c r="Z551" s="31">
        <f>IF(A551="","",COUNTIFS($W$5:$W$604,"&gt;"&amp;W551)+COUNTIFS($W$5:W551,W551))</f>
        <v>0</v>
      </c>
      <c r="AA551" s="39">
        <f>IF(A551="","",IF(J551=0,"",IF(U551&lt;0,"Loss - this job cost you money",IF(V551&lt;MarginFloor,"Below - margin under the floor",IF(V551&lt;TargetMargin,"Check - under target margin",IF(AND(X551&lt;&gt;"",X551&gt;0.5),"Check - ran over the estimate","OK"))))))</f>
        <v>0</v>
      </c>
    </row>
    <row r="552" spans="1:27">
      <c r="A552" s="43">
        <f>IF(IFERROR(INDEX(Jobs!$A$5:$A$604,ROW()-4),"")="","",IFERROR(INDEX(Jobs!$A$5:$A$604,ROW()-4),""))</f>
        <v>0</v>
      </c>
      <c r="B552" s="18">
        <f>IF(A552="","",IFERROR(INDEX(Jobs!$B$5:$B$604,MATCH(A552,Jobs!$A$5:$A$604,0)),""))</f>
        <v>0</v>
      </c>
      <c r="C552" s="23">
        <f>IF(B552="","",TEXT(B552,"yyyy-mm"))</f>
        <v>0</v>
      </c>
      <c r="D552" s="43">
        <f>IF(A552="","",IFERROR(INDEX(Jobs!$G$5:$G$604,MATCH(A552,Jobs!$A$5:$A$604,0)),""))</f>
        <v>0</v>
      </c>
      <c r="E552" s="23">
        <f>IF(A552="","",IFERROR(INDEX(Jobs!$H$5:$H$604,MATCH(A552,Jobs!$A$5:$A$604,0)),""))</f>
        <v>0</v>
      </c>
      <c r="F552" s="23">
        <f>IF(A552="","",IFERROR(INDEX(Jobs!$K$5:$K$604,MATCH(A552,Jobs!$A$5:$A$604,0)),""))</f>
        <v>0</v>
      </c>
      <c r="G552" s="23">
        <f>IF(A552="","",IFERROR(INDEX(Jobs!$M$5:$M$604,MATCH(A552,Jobs!$A$5:$A$604,0)),""))</f>
        <v>0</v>
      </c>
      <c r="H552" s="23">
        <f>IF(A552="","",IFERROR(INDEX(Jobs!$R$5:$R$604,MATCH(A552,Jobs!$A$5:$A$604,0)),""))</f>
        <v>0</v>
      </c>
      <c r="I552" s="39">
        <f>IF(A552="","",IFERROR(INDEX(Jobs!$P$5:$P$604,MATCH(A552,Jobs!$A$5:$A$604,0)),""))</f>
        <v>0</v>
      </c>
      <c r="J552" s="21">
        <f>IF(A552="","",IF(OR(I552="Completed",I552="Invoiced"),IFERROR(INDEX(Jobs!$AJ$5:$AJ$604,MATCH(A552,Jobs!$A$5:$A$604,0)),0),0))</f>
        <v>0</v>
      </c>
      <c r="K552" s="34">
        <f>IF(A552="","",IFERROR(INDEX(Jobs!$AD$5:$AD$604,MATCH(A552,Jobs!$A$5:$A$604,0)),0))</f>
        <v>0</v>
      </c>
      <c r="L552" s="34">
        <f>IF(A552="","",IFERROR(INDEX(Jobs!$AK$5:$AK$604,MATCH(A552,Jobs!$A$5:$A$604,0)),0))</f>
        <v>0</v>
      </c>
      <c r="M552" s="34">
        <f>IF(A552="","",IF(IFERROR(L552*1,0)&gt;0,L552,IFERROR(K552*1,0)))</f>
        <v>0</v>
      </c>
      <c r="N552" s="21">
        <f>IF(A552="","",SUMIFS(Timesheets!$X$5:$X$804,Timesheets!$G$5:$G$804,A552))</f>
        <v>0</v>
      </c>
      <c r="O552" s="21">
        <f>IF(A552="","",IF(N552&gt;0,N552,ROUND(M552*CostPerHour,2)))</f>
        <v>0</v>
      </c>
      <c r="P552" s="21">
        <f>IF(A552="","",SUMIFS('Supply Usage'!$L$5:$L$304,'Supply Usage'!$F$5:$F$304,A552))</f>
        <v>0</v>
      </c>
      <c r="Q552" s="21">
        <f>IF(A552="","",IF(P552&gt;0,P552,ROUND(M552*SuppliesPerHour,2)))</f>
        <v>0</v>
      </c>
      <c r="R552" s="21">
        <f>IF(A552="","",ROUND(IFERROR(INDEX(Jobs!$W$5:$W$604,MATCH(A552,Jobs!$A$5:$A$604,0)),0)*MileageRate,2))</f>
        <v>0</v>
      </c>
      <c r="T552" s="21">
        <f>IF(A552="","",O552+Q552+R552+IF(S552="",0,S552))</f>
        <v>0</v>
      </c>
      <c r="U552" s="21">
        <f>IF(A552="","",J552-T552)</f>
        <v>0</v>
      </c>
      <c r="V552" s="38">
        <f>IF(OR(A552="",J552=0),"",U552/J552)</f>
        <v>0</v>
      </c>
      <c r="W552" s="21">
        <f>IF(OR(A552="",M552=0,J552=0),"",U552/M552)</f>
        <v>0</v>
      </c>
      <c r="X552" s="34">
        <f>IF(OR(A552="",L552="",L552=0,K552=""),"",L552-K552)</f>
        <v>0</v>
      </c>
      <c r="Y552" s="31">
        <f>IF(A552="","",COUNTIFS($U$5:$U$604,"&gt;"&amp;U552)+COUNTIFS($U$5:U552,U552))</f>
        <v>0</v>
      </c>
      <c r="Z552" s="31">
        <f>IF(A552="","",COUNTIFS($W$5:$W$604,"&gt;"&amp;W552)+COUNTIFS($W$5:W552,W552))</f>
        <v>0</v>
      </c>
      <c r="AA552" s="39">
        <f>IF(A552="","",IF(J552=0,"",IF(U552&lt;0,"Loss - this job cost you money",IF(V552&lt;MarginFloor,"Below - margin under the floor",IF(V552&lt;TargetMargin,"Check - under target margin",IF(AND(X552&lt;&gt;"",X552&gt;0.5),"Check - ran over the estimate","OK"))))))</f>
        <v>0</v>
      </c>
    </row>
    <row r="553" spans="1:27">
      <c r="A553" s="43">
        <f>IF(IFERROR(INDEX(Jobs!$A$5:$A$604,ROW()-4),"")="","",IFERROR(INDEX(Jobs!$A$5:$A$604,ROW()-4),""))</f>
        <v>0</v>
      </c>
      <c r="B553" s="18">
        <f>IF(A553="","",IFERROR(INDEX(Jobs!$B$5:$B$604,MATCH(A553,Jobs!$A$5:$A$604,0)),""))</f>
        <v>0</v>
      </c>
      <c r="C553" s="23">
        <f>IF(B553="","",TEXT(B553,"yyyy-mm"))</f>
        <v>0</v>
      </c>
      <c r="D553" s="43">
        <f>IF(A553="","",IFERROR(INDEX(Jobs!$G$5:$G$604,MATCH(A553,Jobs!$A$5:$A$604,0)),""))</f>
        <v>0</v>
      </c>
      <c r="E553" s="23">
        <f>IF(A553="","",IFERROR(INDEX(Jobs!$H$5:$H$604,MATCH(A553,Jobs!$A$5:$A$604,0)),""))</f>
        <v>0</v>
      </c>
      <c r="F553" s="23">
        <f>IF(A553="","",IFERROR(INDEX(Jobs!$K$5:$K$604,MATCH(A553,Jobs!$A$5:$A$604,0)),""))</f>
        <v>0</v>
      </c>
      <c r="G553" s="23">
        <f>IF(A553="","",IFERROR(INDEX(Jobs!$M$5:$M$604,MATCH(A553,Jobs!$A$5:$A$604,0)),""))</f>
        <v>0</v>
      </c>
      <c r="H553" s="23">
        <f>IF(A553="","",IFERROR(INDEX(Jobs!$R$5:$R$604,MATCH(A553,Jobs!$A$5:$A$604,0)),""))</f>
        <v>0</v>
      </c>
      <c r="I553" s="39">
        <f>IF(A553="","",IFERROR(INDEX(Jobs!$P$5:$P$604,MATCH(A553,Jobs!$A$5:$A$604,0)),""))</f>
        <v>0</v>
      </c>
      <c r="J553" s="21">
        <f>IF(A553="","",IF(OR(I553="Completed",I553="Invoiced"),IFERROR(INDEX(Jobs!$AJ$5:$AJ$604,MATCH(A553,Jobs!$A$5:$A$604,0)),0),0))</f>
        <v>0</v>
      </c>
      <c r="K553" s="34">
        <f>IF(A553="","",IFERROR(INDEX(Jobs!$AD$5:$AD$604,MATCH(A553,Jobs!$A$5:$A$604,0)),0))</f>
        <v>0</v>
      </c>
      <c r="L553" s="34">
        <f>IF(A553="","",IFERROR(INDEX(Jobs!$AK$5:$AK$604,MATCH(A553,Jobs!$A$5:$A$604,0)),0))</f>
        <v>0</v>
      </c>
      <c r="M553" s="34">
        <f>IF(A553="","",IF(IFERROR(L553*1,0)&gt;0,L553,IFERROR(K553*1,0)))</f>
        <v>0</v>
      </c>
      <c r="N553" s="21">
        <f>IF(A553="","",SUMIFS(Timesheets!$X$5:$X$804,Timesheets!$G$5:$G$804,A553))</f>
        <v>0</v>
      </c>
      <c r="O553" s="21">
        <f>IF(A553="","",IF(N553&gt;0,N553,ROUND(M553*CostPerHour,2)))</f>
        <v>0</v>
      </c>
      <c r="P553" s="21">
        <f>IF(A553="","",SUMIFS('Supply Usage'!$L$5:$L$304,'Supply Usage'!$F$5:$F$304,A553))</f>
        <v>0</v>
      </c>
      <c r="Q553" s="21">
        <f>IF(A553="","",IF(P553&gt;0,P553,ROUND(M553*SuppliesPerHour,2)))</f>
        <v>0</v>
      </c>
      <c r="R553" s="21">
        <f>IF(A553="","",ROUND(IFERROR(INDEX(Jobs!$W$5:$W$604,MATCH(A553,Jobs!$A$5:$A$604,0)),0)*MileageRate,2))</f>
        <v>0</v>
      </c>
      <c r="T553" s="21">
        <f>IF(A553="","",O553+Q553+R553+IF(S553="",0,S553))</f>
        <v>0</v>
      </c>
      <c r="U553" s="21">
        <f>IF(A553="","",J553-T553)</f>
        <v>0</v>
      </c>
      <c r="V553" s="38">
        <f>IF(OR(A553="",J553=0),"",U553/J553)</f>
        <v>0</v>
      </c>
      <c r="W553" s="21">
        <f>IF(OR(A553="",M553=0,J553=0),"",U553/M553)</f>
        <v>0</v>
      </c>
      <c r="X553" s="34">
        <f>IF(OR(A553="",L553="",L553=0,K553=""),"",L553-K553)</f>
        <v>0</v>
      </c>
      <c r="Y553" s="31">
        <f>IF(A553="","",COUNTIFS($U$5:$U$604,"&gt;"&amp;U553)+COUNTIFS($U$5:U553,U553))</f>
        <v>0</v>
      </c>
      <c r="Z553" s="31">
        <f>IF(A553="","",COUNTIFS($W$5:$W$604,"&gt;"&amp;W553)+COUNTIFS($W$5:W553,W553))</f>
        <v>0</v>
      </c>
      <c r="AA553" s="39">
        <f>IF(A553="","",IF(J553=0,"",IF(U553&lt;0,"Loss - this job cost you money",IF(V553&lt;MarginFloor,"Below - margin under the floor",IF(V553&lt;TargetMargin,"Check - under target margin",IF(AND(X553&lt;&gt;"",X553&gt;0.5),"Check - ran over the estimate","OK"))))))</f>
        <v>0</v>
      </c>
    </row>
    <row r="554" spans="1:27">
      <c r="A554" s="43">
        <f>IF(IFERROR(INDEX(Jobs!$A$5:$A$604,ROW()-4),"")="","",IFERROR(INDEX(Jobs!$A$5:$A$604,ROW()-4),""))</f>
        <v>0</v>
      </c>
      <c r="B554" s="18">
        <f>IF(A554="","",IFERROR(INDEX(Jobs!$B$5:$B$604,MATCH(A554,Jobs!$A$5:$A$604,0)),""))</f>
        <v>0</v>
      </c>
      <c r="C554" s="23">
        <f>IF(B554="","",TEXT(B554,"yyyy-mm"))</f>
        <v>0</v>
      </c>
      <c r="D554" s="43">
        <f>IF(A554="","",IFERROR(INDEX(Jobs!$G$5:$G$604,MATCH(A554,Jobs!$A$5:$A$604,0)),""))</f>
        <v>0</v>
      </c>
      <c r="E554" s="23">
        <f>IF(A554="","",IFERROR(INDEX(Jobs!$H$5:$H$604,MATCH(A554,Jobs!$A$5:$A$604,0)),""))</f>
        <v>0</v>
      </c>
      <c r="F554" s="23">
        <f>IF(A554="","",IFERROR(INDEX(Jobs!$K$5:$K$604,MATCH(A554,Jobs!$A$5:$A$604,0)),""))</f>
        <v>0</v>
      </c>
      <c r="G554" s="23">
        <f>IF(A554="","",IFERROR(INDEX(Jobs!$M$5:$M$604,MATCH(A554,Jobs!$A$5:$A$604,0)),""))</f>
        <v>0</v>
      </c>
      <c r="H554" s="23">
        <f>IF(A554="","",IFERROR(INDEX(Jobs!$R$5:$R$604,MATCH(A554,Jobs!$A$5:$A$604,0)),""))</f>
        <v>0</v>
      </c>
      <c r="I554" s="39">
        <f>IF(A554="","",IFERROR(INDEX(Jobs!$P$5:$P$604,MATCH(A554,Jobs!$A$5:$A$604,0)),""))</f>
        <v>0</v>
      </c>
      <c r="J554" s="21">
        <f>IF(A554="","",IF(OR(I554="Completed",I554="Invoiced"),IFERROR(INDEX(Jobs!$AJ$5:$AJ$604,MATCH(A554,Jobs!$A$5:$A$604,0)),0),0))</f>
        <v>0</v>
      </c>
      <c r="K554" s="34">
        <f>IF(A554="","",IFERROR(INDEX(Jobs!$AD$5:$AD$604,MATCH(A554,Jobs!$A$5:$A$604,0)),0))</f>
        <v>0</v>
      </c>
      <c r="L554" s="34">
        <f>IF(A554="","",IFERROR(INDEX(Jobs!$AK$5:$AK$604,MATCH(A554,Jobs!$A$5:$A$604,0)),0))</f>
        <v>0</v>
      </c>
      <c r="M554" s="34">
        <f>IF(A554="","",IF(IFERROR(L554*1,0)&gt;0,L554,IFERROR(K554*1,0)))</f>
        <v>0</v>
      </c>
      <c r="N554" s="21">
        <f>IF(A554="","",SUMIFS(Timesheets!$X$5:$X$804,Timesheets!$G$5:$G$804,A554))</f>
        <v>0</v>
      </c>
      <c r="O554" s="21">
        <f>IF(A554="","",IF(N554&gt;0,N554,ROUND(M554*CostPerHour,2)))</f>
        <v>0</v>
      </c>
      <c r="P554" s="21">
        <f>IF(A554="","",SUMIFS('Supply Usage'!$L$5:$L$304,'Supply Usage'!$F$5:$F$304,A554))</f>
        <v>0</v>
      </c>
      <c r="Q554" s="21">
        <f>IF(A554="","",IF(P554&gt;0,P554,ROUND(M554*SuppliesPerHour,2)))</f>
        <v>0</v>
      </c>
      <c r="R554" s="21">
        <f>IF(A554="","",ROUND(IFERROR(INDEX(Jobs!$W$5:$W$604,MATCH(A554,Jobs!$A$5:$A$604,0)),0)*MileageRate,2))</f>
        <v>0</v>
      </c>
      <c r="T554" s="21">
        <f>IF(A554="","",O554+Q554+R554+IF(S554="",0,S554))</f>
        <v>0</v>
      </c>
      <c r="U554" s="21">
        <f>IF(A554="","",J554-T554)</f>
        <v>0</v>
      </c>
      <c r="V554" s="38">
        <f>IF(OR(A554="",J554=0),"",U554/J554)</f>
        <v>0</v>
      </c>
      <c r="W554" s="21">
        <f>IF(OR(A554="",M554=0,J554=0),"",U554/M554)</f>
        <v>0</v>
      </c>
      <c r="X554" s="34">
        <f>IF(OR(A554="",L554="",L554=0,K554=""),"",L554-K554)</f>
        <v>0</v>
      </c>
      <c r="Y554" s="31">
        <f>IF(A554="","",COUNTIFS($U$5:$U$604,"&gt;"&amp;U554)+COUNTIFS($U$5:U554,U554))</f>
        <v>0</v>
      </c>
      <c r="Z554" s="31">
        <f>IF(A554="","",COUNTIFS($W$5:$W$604,"&gt;"&amp;W554)+COUNTIFS($W$5:W554,W554))</f>
        <v>0</v>
      </c>
      <c r="AA554" s="39">
        <f>IF(A554="","",IF(J554=0,"",IF(U554&lt;0,"Loss - this job cost you money",IF(V554&lt;MarginFloor,"Below - margin under the floor",IF(V554&lt;TargetMargin,"Check - under target margin",IF(AND(X554&lt;&gt;"",X554&gt;0.5),"Check - ran over the estimate","OK"))))))</f>
        <v>0</v>
      </c>
    </row>
    <row r="555" spans="1:27">
      <c r="A555" s="43">
        <f>IF(IFERROR(INDEX(Jobs!$A$5:$A$604,ROW()-4),"")="","",IFERROR(INDEX(Jobs!$A$5:$A$604,ROW()-4),""))</f>
        <v>0</v>
      </c>
      <c r="B555" s="18">
        <f>IF(A555="","",IFERROR(INDEX(Jobs!$B$5:$B$604,MATCH(A555,Jobs!$A$5:$A$604,0)),""))</f>
        <v>0</v>
      </c>
      <c r="C555" s="23">
        <f>IF(B555="","",TEXT(B555,"yyyy-mm"))</f>
        <v>0</v>
      </c>
      <c r="D555" s="43">
        <f>IF(A555="","",IFERROR(INDEX(Jobs!$G$5:$G$604,MATCH(A555,Jobs!$A$5:$A$604,0)),""))</f>
        <v>0</v>
      </c>
      <c r="E555" s="23">
        <f>IF(A555="","",IFERROR(INDEX(Jobs!$H$5:$H$604,MATCH(A555,Jobs!$A$5:$A$604,0)),""))</f>
        <v>0</v>
      </c>
      <c r="F555" s="23">
        <f>IF(A555="","",IFERROR(INDEX(Jobs!$K$5:$K$604,MATCH(A555,Jobs!$A$5:$A$604,0)),""))</f>
        <v>0</v>
      </c>
      <c r="G555" s="23">
        <f>IF(A555="","",IFERROR(INDEX(Jobs!$M$5:$M$604,MATCH(A555,Jobs!$A$5:$A$604,0)),""))</f>
        <v>0</v>
      </c>
      <c r="H555" s="23">
        <f>IF(A555="","",IFERROR(INDEX(Jobs!$R$5:$R$604,MATCH(A555,Jobs!$A$5:$A$604,0)),""))</f>
        <v>0</v>
      </c>
      <c r="I555" s="39">
        <f>IF(A555="","",IFERROR(INDEX(Jobs!$P$5:$P$604,MATCH(A555,Jobs!$A$5:$A$604,0)),""))</f>
        <v>0</v>
      </c>
      <c r="J555" s="21">
        <f>IF(A555="","",IF(OR(I555="Completed",I555="Invoiced"),IFERROR(INDEX(Jobs!$AJ$5:$AJ$604,MATCH(A555,Jobs!$A$5:$A$604,0)),0),0))</f>
        <v>0</v>
      </c>
      <c r="K555" s="34">
        <f>IF(A555="","",IFERROR(INDEX(Jobs!$AD$5:$AD$604,MATCH(A555,Jobs!$A$5:$A$604,0)),0))</f>
        <v>0</v>
      </c>
      <c r="L555" s="34">
        <f>IF(A555="","",IFERROR(INDEX(Jobs!$AK$5:$AK$604,MATCH(A555,Jobs!$A$5:$A$604,0)),0))</f>
        <v>0</v>
      </c>
      <c r="M555" s="34">
        <f>IF(A555="","",IF(IFERROR(L555*1,0)&gt;0,L555,IFERROR(K555*1,0)))</f>
        <v>0</v>
      </c>
      <c r="N555" s="21">
        <f>IF(A555="","",SUMIFS(Timesheets!$X$5:$X$804,Timesheets!$G$5:$G$804,A555))</f>
        <v>0</v>
      </c>
      <c r="O555" s="21">
        <f>IF(A555="","",IF(N555&gt;0,N555,ROUND(M555*CostPerHour,2)))</f>
        <v>0</v>
      </c>
      <c r="P555" s="21">
        <f>IF(A555="","",SUMIFS('Supply Usage'!$L$5:$L$304,'Supply Usage'!$F$5:$F$304,A555))</f>
        <v>0</v>
      </c>
      <c r="Q555" s="21">
        <f>IF(A555="","",IF(P555&gt;0,P555,ROUND(M555*SuppliesPerHour,2)))</f>
        <v>0</v>
      </c>
      <c r="R555" s="21">
        <f>IF(A555="","",ROUND(IFERROR(INDEX(Jobs!$W$5:$W$604,MATCH(A555,Jobs!$A$5:$A$604,0)),0)*MileageRate,2))</f>
        <v>0</v>
      </c>
      <c r="T555" s="21">
        <f>IF(A555="","",O555+Q555+R555+IF(S555="",0,S555))</f>
        <v>0</v>
      </c>
      <c r="U555" s="21">
        <f>IF(A555="","",J555-T555)</f>
        <v>0</v>
      </c>
      <c r="V555" s="38">
        <f>IF(OR(A555="",J555=0),"",U555/J555)</f>
        <v>0</v>
      </c>
      <c r="W555" s="21">
        <f>IF(OR(A555="",M555=0,J555=0),"",U555/M555)</f>
        <v>0</v>
      </c>
      <c r="X555" s="34">
        <f>IF(OR(A555="",L555="",L555=0,K555=""),"",L555-K555)</f>
        <v>0</v>
      </c>
      <c r="Y555" s="31">
        <f>IF(A555="","",COUNTIFS($U$5:$U$604,"&gt;"&amp;U555)+COUNTIFS($U$5:U555,U555))</f>
        <v>0</v>
      </c>
      <c r="Z555" s="31">
        <f>IF(A555="","",COUNTIFS($W$5:$W$604,"&gt;"&amp;W555)+COUNTIFS($W$5:W555,W555))</f>
        <v>0</v>
      </c>
      <c r="AA555" s="39">
        <f>IF(A555="","",IF(J555=0,"",IF(U555&lt;0,"Loss - this job cost you money",IF(V555&lt;MarginFloor,"Below - margin under the floor",IF(V555&lt;TargetMargin,"Check - under target margin",IF(AND(X555&lt;&gt;"",X555&gt;0.5),"Check - ran over the estimate","OK"))))))</f>
        <v>0</v>
      </c>
    </row>
    <row r="556" spans="1:27">
      <c r="A556" s="43">
        <f>IF(IFERROR(INDEX(Jobs!$A$5:$A$604,ROW()-4),"")="","",IFERROR(INDEX(Jobs!$A$5:$A$604,ROW()-4),""))</f>
        <v>0</v>
      </c>
      <c r="B556" s="18">
        <f>IF(A556="","",IFERROR(INDEX(Jobs!$B$5:$B$604,MATCH(A556,Jobs!$A$5:$A$604,0)),""))</f>
        <v>0</v>
      </c>
      <c r="C556" s="23">
        <f>IF(B556="","",TEXT(B556,"yyyy-mm"))</f>
        <v>0</v>
      </c>
      <c r="D556" s="43">
        <f>IF(A556="","",IFERROR(INDEX(Jobs!$G$5:$G$604,MATCH(A556,Jobs!$A$5:$A$604,0)),""))</f>
        <v>0</v>
      </c>
      <c r="E556" s="23">
        <f>IF(A556="","",IFERROR(INDEX(Jobs!$H$5:$H$604,MATCH(A556,Jobs!$A$5:$A$604,0)),""))</f>
        <v>0</v>
      </c>
      <c r="F556" s="23">
        <f>IF(A556="","",IFERROR(INDEX(Jobs!$K$5:$K$604,MATCH(A556,Jobs!$A$5:$A$604,0)),""))</f>
        <v>0</v>
      </c>
      <c r="G556" s="23">
        <f>IF(A556="","",IFERROR(INDEX(Jobs!$M$5:$M$604,MATCH(A556,Jobs!$A$5:$A$604,0)),""))</f>
        <v>0</v>
      </c>
      <c r="H556" s="23">
        <f>IF(A556="","",IFERROR(INDEX(Jobs!$R$5:$R$604,MATCH(A556,Jobs!$A$5:$A$604,0)),""))</f>
        <v>0</v>
      </c>
      <c r="I556" s="39">
        <f>IF(A556="","",IFERROR(INDEX(Jobs!$P$5:$P$604,MATCH(A556,Jobs!$A$5:$A$604,0)),""))</f>
        <v>0</v>
      </c>
      <c r="J556" s="21">
        <f>IF(A556="","",IF(OR(I556="Completed",I556="Invoiced"),IFERROR(INDEX(Jobs!$AJ$5:$AJ$604,MATCH(A556,Jobs!$A$5:$A$604,0)),0),0))</f>
        <v>0</v>
      </c>
      <c r="K556" s="34">
        <f>IF(A556="","",IFERROR(INDEX(Jobs!$AD$5:$AD$604,MATCH(A556,Jobs!$A$5:$A$604,0)),0))</f>
        <v>0</v>
      </c>
      <c r="L556" s="34">
        <f>IF(A556="","",IFERROR(INDEX(Jobs!$AK$5:$AK$604,MATCH(A556,Jobs!$A$5:$A$604,0)),0))</f>
        <v>0</v>
      </c>
      <c r="M556" s="34">
        <f>IF(A556="","",IF(IFERROR(L556*1,0)&gt;0,L556,IFERROR(K556*1,0)))</f>
        <v>0</v>
      </c>
      <c r="N556" s="21">
        <f>IF(A556="","",SUMIFS(Timesheets!$X$5:$X$804,Timesheets!$G$5:$G$804,A556))</f>
        <v>0</v>
      </c>
      <c r="O556" s="21">
        <f>IF(A556="","",IF(N556&gt;0,N556,ROUND(M556*CostPerHour,2)))</f>
        <v>0</v>
      </c>
      <c r="P556" s="21">
        <f>IF(A556="","",SUMIFS('Supply Usage'!$L$5:$L$304,'Supply Usage'!$F$5:$F$304,A556))</f>
        <v>0</v>
      </c>
      <c r="Q556" s="21">
        <f>IF(A556="","",IF(P556&gt;0,P556,ROUND(M556*SuppliesPerHour,2)))</f>
        <v>0</v>
      </c>
      <c r="R556" s="21">
        <f>IF(A556="","",ROUND(IFERROR(INDEX(Jobs!$W$5:$W$604,MATCH(A556,Jobs!$A$5:$A$604,0)),0)*MileageRate,2))</f>
        <v>0</v>
      </c>
      <c r="T556" s="21">
        <f>IF(A556="","",O556+Q556+R556+IF(S556="",0,S556))</f>
        <v>0</v>
      </c>
      <c r="U556" s="21">
        <f>IF(A556="","",J556-T556)</f>
        <v>0</v>
      </c>
      <c r="V556" s="38">
        <f>IF(OR(A556="",J556=0),"",U556/J556)</f>
        <v>0</v>
      </c>
      <c r="W556" s="21">
        <f>IF(OR(A556="",M556=0,J556=0),"",U556/M556)</f>
        <v>0</v>
      </c>
      <c r="X556" s="34">
        <f>IF(OR(A556="",L556="",L556=0,K556=""),"",L556-K556)</f>
        <v>0</v>
      </c>
      <c r="Y556" s="31">
        <f>IF(A556="","",COUNTIFS($U$5:$U$604,"&gt;"&amp;U556)+COUNTIFS($U$5:U556,U556))</f>
        <v>0</v>
      </c>
      <c r="Z556" s="31">
        <f>IF(A556="","",COUNTIFS($W$5:$W$604,"&gt;"&amp;W556)+COUNTIFS($W$5:W556,W556))</f>
        <v>0</v>
      </c>
      <c r="AA556" s="39">
        <f>IF(A556="","",IF(J556=0,"",IF(U556&lt;0,"Loss - this job cost you money",IF(V556&lt;MarginFloor,"Below - margin under the floor",IF(V556&lt;TargetMargin,"Check - under target margin",IF(AND(X556&lt;&gt;"",X556&gt;0.5),"Check - ran over the estimate","OK"))))))</f>
        <v>0</v>
      </c>
    </row>
    <row r="557" spans="1:27">
      <c r="A557" s="43">
        <f>IF(IFERROR(INDEX(Jobs!$A$5:$A$604,ROW()-4),"")="","",IFERROR(INDEX(Jobs!$A$5:$A$604,ROW()-4),""))</f>
        <v>0</v>
      </c>
      <c r="B557" s="18">
        <f>IF(A557="","",IFERROR(INDEX(Jobs!$B$5:$B$604,MATCH(A557,Jobs!$A$5:$A$604,0)),""))</f>
        <v>0</v>
      </c>
      <c r="C557" s="23">
        <f>IF(B557="","",TEXT(B557,"yyyy-mm"))</f>
        <v>0</v>
      </c>
      <c r="D557" s="43">
        <f>IF(A557="","",IFERROR(INDEX(Jobs!$G$5:$G$604,MATCH(A557,Jobs!$A$5:$A$604,0)),""))</f>
        <v>0</v>
      </c>
      <c r="E557" s="23">
        <f>IF(A557="","",IFERROR(INDEX(Jobs!$H$5:$H$604,MATCH(A557,Jobs!$A$5:$A$604,0)),""))</f>
        <v>0</v>
      </c>
      <c r="F557" s="23">
        <f>IF(A557="","",IFERROR(INDEX(Jobs!$K$5:$K$604,MATCH(A557,Jobs!$A$5:$A$604,0)),""))</f>
        <v>0</v>
      </c>
      <c r="G557" s="23">
        <f>IF(A557="","",IFERROR(INDEX(Jobs!$M$5:$M$604,MATCH(A557,Jobs!$A$5:$A$604,0)),""))</f>
        <v>0</v>
      </c>
      <c r="H557" s="23">
        <f>IF(A557="","",IFERROR(INDEX(Jobs!$R$5:$R$604,MATCH(A557,Jobs!$A$5:$A$604,0)),""))</f>
        <v>0</v>
      </c>
      <c r="I557" s="39">
        <f>IF(A557="","",IFERROR(INDEX(Jobs!$P$5:$P$604,MATCH(A557,Jobs!$A$5:$A$604,0)),""))</f>
        <v>0</v>
      </c>
      <c r="J557" s="21">
        <f>IF(A557="","",IF(OR(I557="Completed",I557="Invoiced"),IFERROR(INDEX(Jobs!$AJ$5:$AJ$604,MATCH(A557,Jobs!$A$5:$A$604,0)),0),0))</f>
        <v>0</v>
      </c>
      <c r="K557" s="34">
        <f>IF(A557="","",IFERROR(INDEX(Jobs!$AD$5:$AD$604,MATCH(A557,Jobs!$A$5:$A$604,0)),0))</f>
        <v>0</v>
      </c>
      <c r="L557" s="34">
        <f>IF(A557="","",IFERROR(INDEX(Jobs!$AK$5:$AK$604,MATCH(A557,Jobs!$A$5:$A$604,0)),0))</f>
        <v>0</v>
      </c>
      <c r="M557" s="34">
        <f>IF(A557="","",IF(IFERROR(L557*1,0)&gt;0,L557,IFERROR(K557*1,0)))</f>
        <v>0</v>
      </c>
      <c r="N557" s="21">
        <f>IF(A557="","",SUMIFS(Timesheets!$X$5:$X$804,Timesheets!$G$5:$G$804,A557))</f>
        <v>0</v>
      </c>
      <c r="O557" s="21">
        <f>IF(A557="","",IF(N557&gt;0,N557,ROUND(M557*CostPerHour,2)))</f>
        <v>0</v>
      </c>
      <c r="P557" s="21">
        <f>IF(A557="","",SUMIFS('Supply Usage'!$L$5:$L$304,'Supply Usage'!$F$5:$F$304,A557))</f>
        <v>0</v>
      </c>
      <c r="Q557" s="21">
        <f>IF(A557="","",IF(P557&gt;0,P557,ROUND(M557*SuppliesPerHour,2)))</f>
        <v>0</v>
      </c>
      <c r="R557" s="21">
        <f>IF(A557="","",ROUND(IFERROR(INDEX(Jobs!$W$5:$W$604,MATCH(A557,Jobs!$A$5:$A$604,0)),0)*MileageRate,2))</f>
        <v>0</v>
      </c>
      <c r="T557" s="21">
        <f>IF(A557="","",O557+Q557+R557+IF(S557="",0,S557))</f>
        <v>0</v>
      </c>
      <c r="U557" s="21">
        <f>IF(A557="","",J557-T557)</f>
        <v>0</v>
      </c>
      <c r="V557" s="38">
        <f>IF(OR(A557="",J557=0),"",U557/J557)</f>
        <v>0</v>
      </c>
      <c r="W557" s="21">
        <f>IF(OR(A557="",M557=0,J557=0),"",U557/M557)</f>
        <v>0</v>
      </c>
      <c r="X557" s="34">
        <f>IF(OR(A557="",L557="",L557=0,K557=""),"",L557-K557)</f>
        <v>0</v>
      </c>
      <c r="Y557" s="31">
        <f>IF(A557="","",COUNTIFS($U$5:$U$604,"&gt;"&amp;U557)+COUNTIFS($U$5:U557,U557))</f>
        <v>0</v>
      </c>
      <c r="Z557" s="31">
        <f>IF(A557="","",COUNTIFS($W$5:$W$604,"&gt;"&amp;W557)+COUNTIFS($W$5:W557,W557))</f>
        <v>0</v>
      </c>
      <c r="AA557" s="39">
        <f>IF(A557="","",IF(J557=0,"",IF(U557&lt;0,"Loss - this job cost you money",IF(V557&lt;MarginFloor,"Below - margin under the floor",IF(V557&lt;TargetMargin,"Check - under target margin",IF(AND(X557&lt;&gt;"",X557&gt;0.5),"Check - ran over the estimate","OK"))))))</f>
        <v>0</v>
      </c>
    </row>
    <row r="558" spans="1:27">
      <c r="A558" s="43">
        <f>IF(IFERROR(INDEX(Jobs!$A$5:$A$604,ROW()-4),"")="","",IFERROR(INDEX(Jobs!$A$5:$A$604,ROW()-4),""))</f>
        <v>0</v>
      </c>
      <c r="B558" s="18">
        <f>IF(A558="","",IFERROR(INDEX(Jobs!$B$5:$B$604,MATCH(A558,Jobs!$A$5:$A$604,0)),""))</f>
        <v>0</v>
      </c>
      <c r="C558" s="23">
        <f>IF(B558="","",TEXT(B558,"yyyy-mm"))</f>
        <v>0</v>
      </c>
      <c r="D558" s="43">
        <f>IF(A558="","",IFERROR(INDEX(Jobs!$G$5:$G$604,MATCH(A558,Jobs!$A$5:$A$604,0)),""))</f>
        <v>0</v>
      </c>
      <c r="E558" s="23">
        <f>IF(A558="","",IFERROR(INDEX(Jobs!$H$5:$H$604,MATCH(A558,Jobs!$A$5:$A$604,0)),""))</f>
        <v>0</v>
      </c>
      <c r="F558" s="23">
        <f>IF(A558="","",IFERROR(INDEX(Jobs!$K$5:$K$604,MATCH(A558,Jobs!$A$5:$A$604,0)),""))</f>
        <v>0</v>
      </c>
      <c r="G558" s="23">
        <f>IF(A558="","",IFERROR(INDEX(Jobs!$M$5:$M$604,MATCH(A558,Jobs!$A$5:$A$604,0)),""))</f>
        <v>0</v>
      </c>
      <c r="H558" s="23">
        <f>IF(A558="","",IFERROR(INDEX(Jobs!$R$5:$R$604,MATCH(A558,Jobs!$A$5:$A$604,0)),""))</f>
        <v>0</v>
      </c>
      <c r="I558" s="39">
        <f>IF(A558="","",IFERROR(INDEX(Jobs!$P$5:$P$604,MATCH(A558,Jobs!$A$5:$A$604,0)),""))</f>
        <v>0</v>
      </c>
      <c r="J558" s="21">
        <f>IF(A558="","",IF(OR(I558="Completed",I558="Invoiced"),IFERROR(INDEX(Jobs!$AJ$5:$AJ$604,MATCH(A558,Jobs!$A$5:$A$604,0)),0),0))</f>
        <v>0</v>
      </c>
      <c r="K558" s="34">
        <f>IF(A558="","",IFERROR(INDEX(Jobs!$AD$5:$AD$604,MATCH(A558,Jobs!$A$5:$A$604,0)),0))</f>
        <v>0</v>
      </c>
      <c r="L558" s="34">
        <f>IF(A558="","",IFERROR(INDEX(Jobs!$AK$5:$AK$604,MATCH(A558,Jobs!$A$5:$A$604,0)),0))</f>
        <v>0</v>
      </c>
      <c r="M558" s="34">
        <f>IF(A558="","",IF(IFERROR(L558*1,0)&gt;0,L558,IFERROR(K558*1,0)))</f>
        <v>0</v>
      </c>
      <c r="N558" s="21">
        <f>IF(A558="","",SUMIFS(Timesheets!$X$5:$X$804,Timesheets!$G$5:$G$804,A558))</f>
        <v>0</v>
      </c>
      <c r="O558" s="21">
        <f>IF(A558="","",IF(N558&gt;0,N558,ROUND(M558*CostPerHour,2)))</f>
        <v>0</v>
      </c>
      <c r="P558" s="21">
        <f>IF(A558="","",SUMIFS('Supply Usage'!$L$5:$L$304,'Supply Usage'!$F$5:$F$304,A558))</f>
        <v>0</v>
      </c>
      <c r="Q558" s="21">
        <f>IF(A558="","",IF(P558&gt;0,P558,ROUND(M558*SuppliesPerHour,2)))</f>
        <v>0</v>
      </c>
      <c r="R558" s="21">
        <f>IF(A558="","",ROUND(IFERROR(INDEX(Jobs!$W$5:$W$604,MATCH(A558,Jobs!$A$5:$A$604,0)),0)*MileageRate,2))</f>
        <v>0</v>
      </c>
      <c r="T558" s="21">
        <f>IF(A558="","",O558+Q558+R558+IF(S558="",0,S558))</f>
        <v>0</v>
      </c>
      <c r="U558" s="21">
        <f>IF(A558="","",J558-T558)</f>
        <v>0</v>
      </c>
      <c r="V558" s="38">
        <f>IF(OR(A558="",J558=0),"",U558/J558)</f>
        <v>0</v>
      </c>
      <c r="W558" s="21">
        <f>IF(OR(A558="",M558=0,J558=0),"",U558/M558)</f>
        <v>0</v>
      </c>
      <c r="X558" s="34">
        <f>IF(OR(A558="",L558="",L558=0,K558=""),"",L558-K558)</f>
        <v>0</v>
      </c>
      <c r="Y558" s="31">
        <f>IF(A558="","",COUNTIFS($U$5:$U$604,"&gt;"&amp;U558)+COUNTIFS($U$5:U558,U558))</f>
        <v>0</v>
      </c>
      <c r="Z558" s="31">
        <f>IF(A558="","",COUNTIFS($W$5:$W$604,"&gt;"&amp;W558)+COUNTIFS($W$5:W558,W558))</f>
        <v>0</v>
      </c>
      <c r="AA558" s="39">
        <f>IF(A558="","",IF(J558=0,"",IF(U558&lt;0,"Loss - this job cost you money",IF(V558&lt;MarginFloor,"Below - margin under the floor",IF(V558&lt;TargetMargin,"Check - under target margin",IF(AND(X558&lt;&gt;"",X558&gt;0.5),"Check - ran over the estimate","OK"))))))</f>
        <v>0</v>
      </c>
    </row>
    <row r="559" spans="1:27">
      <c r="A559" s="43">
        <f>IF(IFERROR(INDEX(Jobs!$A$5:$A$604,ROW()-4),"")="","",IFERROR(INDEX(Jobs!$A$5:$A$604,ROW()-4),""))</f>
        <v>0</v>
      </c>
      <c r="B559" s="18">
        <f>IF(A559="","",IFERROR(INDEX(Jobs!$B$5:$B$604,MATCH(A559,Jobs!$A$5:$A$604,0)),""))</f>
        <v>0</v>
      </c>
      <c r="C559" s="23">
        <f>IF(B559="","",TEXT(B559,"yyyy-mm"))</f>
        <v>0</v>
      </c>
      <c r="D559" s="43">
        <f>IF(A559="","",IFERROR(INDEX(Jobs!$G$5:$G$604,MATCH(A559,Jobs!$A$5:$A$604,0)),""))</f>
        <v>0</v>
      </c>
      <c r="E559" s="23">
        <f>IF(A559="","",IFERROR(INDEX(Jobs!$H$5:$H$604,MATCH(A559,Jobs!$A$5:$A$604,0)),""))</f>
        <v>0</v>
      </c>
      <c r="F559" s="23">
        <f>IF(A559="","",IFERROR(INDEX(Jobs!$K$5:$K$604,MATCH(A559,Jobs!$A$5:$A$604,0)),""))</f>
        <v>0</v>
      </c>
      <c r="G559" s="23">
        <f>IF(A559="","",IFERROR(INDEX(Jobs!$M$5:$M$604,MATCH(A559,Jobs!$A$5:$A$604,0)),""))</f>
        <v>0</v>
      </c>
      <c r="H559" s="23">
        <f>IF(A559="","",IFERROR(INDEX(Jobs!$R$5:$R$604,MATCH(A559,Jobs!$A$5:$A$604,0)),""))</f>
        <v>0</v>
      </c>
      <c r="I559" s="39">
        <f>IF(A559="","",IFERROR(INDEX(Jobs!$P$5:$P$604,MATCH(A559,Jobs!$A$5:$A$604,0)),""))</f>
        <v>0</v>
      </c>
      <c r="J559" s="21">
        <f>IF(A559="","",IF(OR(I559="Completed",I559="Invoiced"),IFERROR(INDEX(Jobs!$AJ$5:$AJ$604,MATCH(A559,Jobs!$A$5:$A$604,0)),0),0))</f>
        <v>0</v>
      </c>
      <c r="K559" s="34">
        <f>IF(A559="","",IFERROR(INDEX(Jobs!$AD$5:$AD$604,MATCH(A559,Jobs!$A$5:$A$604,0)),0))</f>
        <v>0</v>
      </c>
      <c r="L559" s="34">
        <f>IF(A559="","",IFERROR(INDEX(Jobs!$AK$5:$AK$604,MATCH(A559,Jobs!$A$5:$A$604,0)),0))</f>
        <v>0</v>
      </c>
      <c r="M559" s="34">
        <f>IF(A559="","",IF(IFERROR(L559*1,0)&gt;0,L559,IFERROR(K559*1,0)))</f>
        <v>0</v>
      </c>
      <c r="N559" s="21">
        <f>IF(A559="","",SUMIFS(Timesheets!$X$5:$X$804,Timesheets!$G$5:$G$804,A559))</f>
        <v>0</v>
      </c>
      <c r="O559" s="21">
        <f>IF(A559="","",IF(N559&gt;0,N559,ROUND(M559*CostPerHour,2)))</f>
        <v>0</v>
      </c>
      <c r="P559" s="21">
        <f>IF(A559="","",SUMIFS('Supply Usage'!$L$5:$L$304,'Supply Usage'!$F$5:$F$304,A559))</f>
        <v>0</v>
      </c>
      <c r="Q559" s="21">
        <f>IF(A559="","",IF(P559&gt;0,P559,ROUND(M559*SuppliesPerHour,2)))</f>
        <v>0</v>
      </c>
      <c r="R559" s="21">
        <f>IF(A559="","",ROUND(IFERROR(INDEX(Jobs!$W$5:$W$604,MATCH(A559,Jobs!$A$5:$A$604,0)),0)*MileageRate,2))</f>
        <v>0</v>
      </c>
      <c r="T559" s="21">
        <f>IF(A559="","",O559+Q559+R559+IF(S559="",0,S559))</f>
        <v>0</v>
      </c>
      <c r="U559" s="21">
        <f>IF(A559="","",J559-T559)</f>
        <v>0</v>
      </c>
      <c r="V559" s="38">
        <f>IF(OR(A559="",J559=0),"",U559/J559)</f>
        <v>0</v>
      </c>
      <c r="W559" s="21">
        <f>IF(OR(A559="",M559=0,J559=0),"",U559/M559)</f>
        <v>0</v>
      </c>
      <c r="X559" s="34">
        <f>IF(OR(A559="",L559="",L559=0,K559=""),"",L559-K559)</f>
        <v>0</v>
      </c>
      <c r="Y559" s="31">
        <f>IF(A559="","",COUNTIFS($U$5:$U$604,"&gt;"&amp;U559)+COUNTIFS($U$5:U559,U559))</f>
        <v>0</v>
      </c>
      <c r="Z559" s="31">
        <f>IF(A559="","",COUNTIFS($W$5:$W$604,"&gt;"&amp;W559)+COUNTIFS($W$5:W559,W559))</f>
        <v>0</v>
      </c>
      <c r="AA559" s="39">
        <f>IF(A559="","",IF(J559=0,"",IF(U559&lt;0,"Loss - this job cost you money",IF(V559&lt;MarginFloor,"Below - margin under the floor",IF(V559&lt;TargetMargin,"Check - under target margin",IF(AND(X559&lt;&gt;"",X559&gt;0.5),"Check - ran over the estimate","OK"))))))</f>
        <v>0</v>
      </c>
    </row>
    <row r="560" spans="1:27">
      <c r="A560" s="43">
        <f>IF(IFERROR(INDEX(Jobs!$A$5:$A$604,ROW()-4),"")="","",IFERROR(INDEX(Jobs!$A$5:$A$604,ROW()-4),""))</f>
        <v>0</v>
      </c>
      <c r="B560" s="18">
        <f>IF(A560="","",IFERROR(INDEX(Jobs!$B$5:$B$604,MATCH(A560,Jobs!$A$5:$A$604,0)),""))</f>
        <v>0</v>
      </c>
      <c r="C560" s="23">
        <f>IF(B560="","",TEXT(B560,"yyyy-mm"))</f>
        <v>0</v>
      </c>
      <c r="D560" s="43">
        <f>IF(A560="","",IFERROR(INDEX(Jobs!$G$5:$G$604,MATCH(A560,Jobs!$A$5:$A$604,0)),""))</f>
        <v>0</v>
      </c>
      <c r="E560" s="23">
        <f>IF(A560="","",IFERROR(INDEX(Jobs!$H$5:$H$604,MATCH(A560,Jobs!$A$5:$A$604,0)),""))</f>
        <v>0</v>
      </c>
      <c r="F560" s="23">
        <f>IF(A560="","",IFERROR(INDEX(Jobs!$K$5:$K$604,MATCH(A560,Jobs!$A$5:$A$604,0)),""))</f>
        <v>0</v>
      </c>
      <c r="G560" s="23">
        <f>IF(A560="","",IFERROR(INDEX(Jobs!$M$5:$M$604,MATCH(A560,Jobs!$A$5:$A$604,0)),""))</f>
        <v>0</v>
      </c>
      <c r="H560" s="23">
        <f>IF(A560="","",IFERROR(INDEX(Jobs!$R$5:$R$604,MATCH(A560,Jobs!$A$5:$A$604,0)),""))</f>
        <v>0</v>
      </c>
      <c r="I560" s="39">
        <f>IF(A560="","",IFERROR(INDEX(Jobs!$P$5:$P$604,MATCH(A560,Jobs!$A$5:$A$604,0)),""))</f>
        <v>0</v>
      </c>
      <c r="J560" s="21">
        <f>IF(A560="","",IF(OR(I560="Completed",I560="Invoiced"),IFERROR(INDEX(Jobs!$AJ$5:$AJ$604,MATCH(A560,Jobs!$A$5:$A$604,0)),0),0))</f>
        <v>0</v>
      </c>
      <c r="K560" s="34">
        <f>IF(A560="","",IFERROR(INDEX(Jobs!$AD$5:$AD$604,MATCH(A560,Jobs!$A$5:$A$604,0)),0))</f>
        <v>0</v>
      </c>
      <c r="L560" s="34">
        <f>IF(A560="","",IFERROR(INDEX(Jobs!$AK$5:$AK$604,MATCH(A560,Jobs!$A$5:$A$604,0)),0))</f>
        <v>0</v>
      </c>
      <c r="M560" s="34">
        <f>IF(A560="","",IF(IFERROR(L560*1,0)&gt;0,L560,IFERROR(K560*1,0)))</f>
        <v>0</v>
      </c>
      <c r="N560" s="21">
        <f>IF(A560="","",SUMIFS(Timesheets!$X$5:$X$804,Timesheets!$G$5:$G$804,A560))</f>
        <v>0</v>
      </c>
      <c r="O560" s="21">
        <f>IF(A560="","",IF(N560&gt;0,N560,ROUND(M560*CostPerHour,2)))</f>
        <v>0</v>
      </c>
      <c r="P560" s="21">
        <f>IF(A560="","",SUMIFS('Supply Usage'!$L$5:$L$304,'Supply Usage'!$F$5:$F$304,A560))</f>
        <v>0</v>
      </c>
      <c r="Q560" s="21">
        <f>IF(A560="","",IF(P560&gt;0,P560,ROUND(M560*SuppliesPerHour,2)))</f>
        <v>0</v>
      </c>
      <c r="R560" s="21">
        <f>IF(A560="","",ROUND(IFERROR(INDEX(Jobs!$W$5:$W$604,MATCH(A560,Jobs!$A$5:$A$604,0)),0)*MileageRate,2))</f>
        <v>0</v>
      </c>
      <c r="T560" s="21">
        <f>IF(A560="","",O560+Q560+R560+IF(S560="",0,S560))</f>
        <v>0</v>
      </c>
      <c r="U560" s="21">
        <f>IF(A560="","",J560-T560)</f>
        <v>0</v>
      </c>
      <c r="V560" s="38">
        <f>IF(OR(A560="",J560=0),"",U560/J560)</f>
        <v>0</v>
      </c>
      <c r="W560" s="21">
        <f>IF(OR(A560="",M560=0,J560=0),"",U560/M560)</f>
        <v>0</v>
      </c>
      <c r="X560" s="34">
        <f>IF(OR(A560="",L560="",L560=0,K560=""),"",L560-K560)</f>
        <v>0</v>
      </c>
      <c r="Y560" s="31">
        <f>IF(A560="","",COUNTIFS($U$5:$U$604,"&gt;"&amp;U560)+COUNTIFS($U$5:U560,U560))</f>
        <v>0</v>
      </c>
      <c r="Z560" s="31">
        <f>IF(A560="","",COUNTIFS($W$5:$W$604,"&gt;"&amp;W560)+COUNTIFS($W$5:W560,W560))</f>
        <v>0</v>
      </c>
      <c r="AA560" s="39">
        <f>IF(A560="","",IF(J560=0,"",IF(U560&lt;0,"Loss - this job cost you money",IF(V560&lt;MarginFloor,"Below - margin under the floor",IF(V560&lt;TargetMargin,"Check - under target margin",IF(AND(X560&lt;&gt;"",X560&gt;0.5),"Check - ran over the estimate","OK"))))))</f>
        <v>0</v>
      </c>
    </row>
    <row r="561" spans="1:27">
      <c r="A561" s="43">
        <f>IF(IFERROR(INDEX(Jobs!$A$5:$A$604,ROW()-4),"")="","",IFERROR(INDEX(Jobs!$A$5:$A$604,ROW()-4),""))</f>
        <v>0</v>
      </c>
      <c r="B561" s="18">
        <f>IF(A561="","",IFERROR(INDEX(Jobs!$B$5:$B$604,MATCH(A561,Jobs!$A$5:$A$604,0)),""))</f>
        <v>0</v>
      </c>
      <c r="C561" s="23">
        <f>IF(B561="","",TEXT(B561,"yyyy-mm"))</f>
        <v>0</v>
      </c>
      <c r="D561" s="43">
        <f>IF(A561="","",IFERROR(INDEX(Jobs!$G$5:$G$604,MATCH(A561,Jobs!$A$5:$A$604,0)),""))</f>
        <v>0</v>
      </c>
      <c r="E561" s="23">
        <f>IF(A561="","",IFERROR(INDEX(Jobs!$H$5:$H$604,MATCH(A561,Jobs!$A$5:$A$604,0)),""))</f>
        <v>0</v>
      </c>
      <c r="F561" s="23">
        <f>IF(A561="","",IFERROR(INDEX(Jobs!$K$5:$K$604,MATCH(A561,Jobs!$A$5:$A$604,0)),""))</f>
        <v>0</v>
      </c>
      <c r="G561" s="23">
        <f>IF(A561="","",IFERROR(INDEX(Jobs!$M$5:$M$604,MATCH(A561,Jobs!$A$5:$A$604,0)),""))</f>
        <v>0</v>
      </c>
      <c r="H561" s="23">
        <f>IF(A561="","",IFERROR(INDEX(Jobs!$R$5:$R$604,MATCH(A561,Jobs!$A$5:$A$604,0)),""))</f>
        <v>0</v>
      </c>
      <c r="I561" s="39">
        <f>IF(A561="","",IFERROR(INDEX(Jobs!$P$5:$P$604,MATCH(A561,Jobs!$A$5:$A$604,0)),""))</f>
        <v>0</v>
      </c>
      <c r="J561" s="21">
        <f>IF(A561="","",IF(OR(I561="Completed",I561="Invoiced"),IFERROR(INDEX(Jobs!$AJ$5:$AJ$604,MATCH(A561,Jobs!$A$5:$A$604,0)),0),0))</f>
        <v>0</v>
      </c>
      <c r="K561" s="34">
        <f>IF(A561="","",IFERROR(INDEX(Jobs!$AD$5:$AD$604,MATCH(A561,Jobs!$A$5:$A$604,0)),0))</f>
        <v>0</v>
      </c>
      <c r="L561" s="34">
        <f>IF(A561="","",IFERROR(INDEX(Jobs!$AK$5:$AK$604,MATCH(A561,Jobs!$A$5:$A$604,0)),0))</f>
        <v>0</v>
      </c>
      <c r="M561" s="34">
        <f>IF(A561="","",IF(IFERROR(L561*1,0)&gt;0,L561,IFERROR(K561*1,0)))</f>
        <v>0</v>
      </c>
      <c r="N561" s="21">
        <f>IF(A561="","",SUMIFS(Timesheets!$X$5:$X$804,Timesheets!$G$5:$G$804,A561))</f>
        <v>0</v>
      </c>
      <c r="O561" s="21">
        <f>IF(A561="","",IF(N561&gt;0,N561,ROUND(M561*CostPerHour,2)))</f>
        <v>0</v>
      </c>
      <c r="P561" s="21">
        <f>IF(A561="","",SUMIFS('Supply Usage'!$L$5:$L$304,'Supply Usage'!$F$5:$F$304,A561))</f>
        <v>0</v>
      </c>
      <c r="Q561" s="21">
        <f>IF(A561="","",IF(P561&gt;0,P561,ROUND(M561*SuppliesPerHour,2)))</f>
        <v>0</v>
      </c>
      <c r="R561" s="21">
        <f>IF(A561="","",ROUND(IFERROR(INDEX(Jobs!$W$5:$W$604,MATCH(A561,Jobs!$A$5:$A$604,0)),0)*MileageRate,2))</f>
        <v>0</v>
      </c>
      <c r="T561" s="21">
        <f>IF(A561="","",O561+Q561+R561+IF(S561="",0,S561))</f>
        <v>0</v>
      </c>
      <c r="U561" s="21">
        <f>IF(A561="","",J561-T561)</f>
        <v>0</v>
      </c>
      <c r="V561" s="38">
        <f>IF(OR(A561="",J561=0),"",U561/J561)</f>
        <v>0</v>
      </c>
      <c r="W561" s="21">
        <f>IF(OR(A561="",M561=0,J561=0),"",U561/M561)</f>
        <v>0</v>
      </c>
      <c r="X561" s="34">
        <f>IF(OR(A561="",L561="",L561=0,K561=""),"",L561-K561)</f>
        <v>0</v>
      </c>
      <c r="Y561" s="31">
        <f>IF(A561="","",COUNTIFS($U$5:$U$604,"&gt;"&amp;U561)+COUNTIFS($U$5:U561,U561))</f>
        <v>0</v>
      </c>
      <c r="Z561" s="31">
        <f>IF(A561="","",COUNTIFS($W$5:$W$604,"&gt;"&amp;W561)+COUNTIFS($W$5:W561,W561))</f>
        <v>0</v>
      </c>
      <c r="AA561" s="39">
        <f>IF(A561="","",IF(J561=0,"",IF(U561&lt;0,"Loss - this job cost you money",IF(V561&lt;MarginFloor,"Below - margin under the floor",IF(V561&lt;TargetMargin,"Check - under target margin",IF(AND(X561&lt;&gt;"",X561&gt;0.5),"Check - ran over the estimate","OK"))))))</f>
        <v>0</v>
      </c>
    </row>
    <row r="562" spans="1:27">
      <c r="A562" s="43">
        <f>IF(IFERROR(INDEX(Jobs!$A$5:$A$604,ROW()-4),"")="","",IFERROR(INDEX(Jobs!$A$5:$A$604,ROW()-4),""))</f>
        <v>0</v>
      </c>
      <c r="B562" s="18">
        <f>IF(A562="","",IFERROR(INDEX(Jobs!$B$5:$B$604,MATCH(A562,Jobs!$A$5:$A$604,0)),""))</f>
        <v>0</v>
      </c>
      <c r="C562" s="23">
        <f>IF(B562="","",TEXT(B562,"yyyy-mm"))</f>
        <v>0</v>
      </c>
      <c r="D562" s="43">
        <f>IF(A562="","",IFERROR(INDEX(Jobs!$G$5:$G$604,MATCH(A562,Jobs!$A$5:$A$604,0)),""))</f>
        <v>0</v>
      </c>
      <c r="E562" s="23">
        <f>IF(A562="","",IFERROR(INDEX(Jobs!$H$5:$H$604,MATCH(A562,Jobs!$A$5:$A$604,0)),""))</f>
        <v>0</v>
      </c>
      <c r="F562" s="23">
        <f>IF(A562="","",IFERROR(INDEX(Jobs!$K$5:$K$604,MATCH(A562,Jobs!$A$5:$A$604,0)),""))</f>
        <v>0</v>
      </c>
      <c r="G562" s="23">
        <f>IF(A562="","",IFERROR(INDEX(Jobs!$M$5:$M$604,MATCH(A562,Jobs!$A$5:$A$604,0)),""))</f>
        <v>0</v>
      </c>
      <c r="H562" s="23">
        <f>IF(A562="","",IFERROR(INDEX(Jobs!$R$5:$R$604,MATCH(A562,Jobs!$A$5:$A$604,0)),""))</f>
        <v>0</v>
      </c>
      <c r="I562" s="39">
        <f>IF(A562="","",IFERROR(INDEX(Jobs!$P$5:$P$604,MATCH(A562,Jobs!$A$5:$A$604,0)),""))</f>
        <v>0</v>
      </c>
      <c r="J562" s="21">
        <f>IF(A562="","",IF(OR(I562="Completed",I562="Invoiced"),IFERROR(INDEX(Jobs!$AJ$5:$AJ$604,MATCH(A562,Jobs!$A$5:$A$604,0)),0),0))</f>
        <v>0</v>
      </c>
      <c r="K562" s="34">
        <f>IF(A562="","",IFERROR(INDEX(Jobs!$AD$5:$AD$604,MATCH(A562,Jobs!$A$5:$A$604,0)),0))</f>
        <v>0</v>
      </c>
      <c r="L562" s="34">
        <f>IF(A562="","",IFERROR(INDEX(Jobs!$AK$5:$AK$604,MATCH(A562,Jobs!$A$5:$A$604,0)),0))</f>
        <v>0</v>
      </c>
      <c r="M562" s="34">
        <f>IF(A562="","",IF(IFERROR(L562*1,0)&gt;0,L562,IFERROR(K562*1,0)))</f>
        <v>0</v>
      </c>
      <c r="N562" s="21">
        <f>IF(A562="","",SUMIFS(Timesheets!$X$5:$X$804,Timesheets!$G$5:$G$804,A562))</f>
        <v>0</v>
      </c>
      <c r="O562" s="21">
        <f>IF(A562="","",IF(N562&gt;0,N562,ROUND(M562*CostPerHour,2)))</f>
        <v>0</v>
      </c>
      <c r="P562" s="21">
        <f>IF(A562="","",SUMIFS('Supply Usage'!$L$5:$L$304,'Supply Usage'!$F$5:$F$304,A562))</f>
        <v>0</v>
      </c>
      <c r="Q562" s="21">
        <f>IF(A562="","",IF(P562&gt;0,P562,ROUND(M562*SuppliesPerHour,2)))</f>
        <v>0</v>
      </c>
      <c r="R562" s="21">
        <f>IF(A562="","",ROUND(IFERROR(INDEX(Jobs!$W$5:$W$604,MATCH(A562,Jobs!$A$5:$A$604,0)),0)*MileageRate,2))</f>
        <v>0</v>
      </c>
      <c r="T562" s="21">
        <f>IF(A562="","",O562+Q562+R562+IF(S562="",0,S562))</f>
        <v>0</v>
      </c>
      <c r="U562" s="21">
        <f>IF(A562="","",J562-T562)</f>
        <v>0</v>
      </c>
      <c r="V562" s="38">
        <f>IF(OR(A562="",J562=0),"",U562/J562)</f>
        <v>0</v>
      </c>
      <c r="W562" s="21">
        <f>IF(OR(A562="",M562=0,J562=0),"",U562/M562)</f>
        <v>0</v>
      </c>
      <c r="X562" s="34">
        <f>IF(OR(A562="",L562="",L562=0,K562=""),"",L562-K562)</f>
        <v>0</v>
      </c>
      <c r="Y562" s="31">
        <f>IF(A562="","",COUNTIFS($U$5:$U$604,"&gt;"&amp;U562)+COUNTIFS($U$5:U562,U562))</f>
        <v>0</v>
      </c>
      <c r="Z562" s="31">
        <f>IF(A562="","",COUNTIFS($W$5:$W$604,"&gt;"&amp;W562)+COUNTIFS($W$5:W562,W562))</f>
        <v>0</v>
      </c>
      <c r="AA562" s="39">
        <f>IF(A562="","",IF(J562=0,"",IF(U562&lt;0,"Loss - this job cost you money",IF(V562&lt;MarginFloor,"Below - margin under the floor",IF(V562&lt;TargetMargin,"Check - under target margin",IF(AND(X562&lt;&gt;"",X562&gt;0.5),"Check - ran over the estimate","OK"))))))</f>
        <v>0</v>
      </c>
    </row>
    <row r="563" spans="1:27">
      <c r="A563" s="43">
        <f>IF(IFERROR(INDEX(Jobs!$A$5:$A$604,ROW()-4),"")="","",IFERROR(INDEX(Jobs!$A$5:$A$604,ROW()-4),""))</f>
        <v>0</v>
      </c>
      <c r="B563" s="18">
        <f>IF(A563="","",IFERROR(INDEX(Jobs!$B$5:$B$604,MATCH(A563,Jobs!$A$5:$A$604,0)),""))</f>
        <v>0</v>
      </c>
      <c r="C563" s="23">
        <f>IF(B563="","",TEXT(B563,"yyyy-mm"))</f>
        <v>0</v>
      </c>
      <c r="D563" s="43">
        <f>IF(A563="","",IFERROR(INDEX(Jobs!$G$5:$G$604,MATCH(A563,Jobs!$A$5:$A$604,0)),""))</f>
        <v>0</v>
      </c>
      <c r="E563" s="23">
        <f>IF(A563="","",IFERROR(INDEX(Jobs!$H$5:$H$604,MATCH(A563,Jobs!$A$5:$A$604,0)),""))</f>
        <v>0</v>
      </c>
      <c r="F563" s="23">
        <f>IF(A563="","",IFERROR(INDEX(Jobs!$K$5:$K$604,MATCH(A563,Jobs!$A$5:$A$604,0)),""))</f>
        <v>0</v>
      </c>
      <c r="G563" s="23">
        <f>IF(A563="","",IFERROR(INDEX(Jobs!$M$5:$M$604,MATCH(A563,Jobs!$A$5:$A$604,0)),""))</f>
        <v>0</v>
      </c>
      <c r="H563" s="23">
        <f>IF(A563="","",IFERROR(INDEX(Jobs!$R$5:$R$604,MATCH(A563,Jobs!$A$5:$A$604,0)),""))</f>
        <v>0</v>
      </c>
      <c r="I563" s="39">
        <f>IF(A563="","",IFERROR(INDEX(Jobs!$P$5:$P$604,MATCH(A563,Jobs!$A$5:$A$604,0)),""))</f>
        <v>0</v>
      </c>
      <c r="J563" s="21">
        <f>IF(A563="","",IF(OR(I563="Completed",I563="Invoiced"),IFERROR(INDEX(Jobs!$AJ$5:$AJ$604,MATCH(A563,Jobs!$A$5:$A$604,0)),0),0))</f>
        <v>0</v>
      </c>
      <c r="K563" s="34">
        <f>IF(A563="","",IFERROR(INDEX(Jobs!$AD$5:$AD$604,MATCH(A563,Jobs!$A$5:$A$604,0)),0))</f>
        <v>0</v>
      </c>
      <c r="L563" s="34">
        <f>IF(A563="","",IFERROR(INDEX(Jobs!$AK$5:$AK$604,MATCH(A563,Jobs!$A$5:$A$604,0)),0))</f>
        <v>0</v>
      </c>
      <c r="M563" s="34">
        <f>IF(A563="","",IF(IFERROR(L563*1,0)&gt;0,L563,IFERROR(K563*1,0)))</f>
        <v>0</v>
      </c>
      <c r="N563" s="21">
        <f>IF(A563="","",SUMIFS(Timesheets!$X$5:$X$804,Timesheets!$G$5:$G$804,A563))</f>
        <v>0</v>
      </c>
      <c r="O563" s="21">
        <f>IF(A563="","",IF(N563&gt;0,N563,ROUND(M563*CostPerHour,2)))</f>
        <v>0</v>
      </c>
      <c r="P563" s="21">
        <f>IF(A563="","",SUMIFS('Supply Usage'!$L$5:$L$304,'Supply Usage'!$F$5:$F$304,A563))</f>
        <v>0</v>
      </c>
      <c r="Q563" s="21">
        <f>IF(A563="","",IF(P563&gt;0,P563,ROUND(M563*SuppliesPerHour,2)))</f>
        <v>0</v>
      </c>
      <c r="R563" s="21">
        <f>IF(A563="","",ROUND(IFERROR(INDEX(Jobs!$W$5:$W$604,MATCH(A563,Jobs!$A$5:$A$604,0)),0)*MileageRate,2))</f>
        <v>0</v>
      </c>
      <c r="T563" s="21">
        <f>IF(A563="","",O563+Q563+R563+IF(S563="",0,S563))</f>
        <v>0</v>
      </c>
      <c r="U563" s="21">
        <f>IF(A563="","",J563-T563)</f>
        <v>0</v>
      </c>
      <c r="V563" s="38">
        <f>IF(OR(A563="",J563=0),"",U563/J563)</f>
        <v>0</v>
      </c>
      <c r="W563" s="21">
        <f>IF(OR(A563="",M563=0,J563=0),"",U563/M563)</f>
        <v>0</v>
      </c>
      <c r="X563" s="34">
        <f>IF(OR(A563="",L563="",L563=0,K563=""),"",L563-K563)</f>
        <v>0</v>
      </c>
      <c r="Y563" s="31">
        <f>IF(A563="","",COUNTIFS($U$5:$U$604,"&gt;"&amp;U563)+COUNTIFS($U$5:U563,U563))</f>
        <v>0</v>
      </c>
      <c r="Z563" s="31">
        <f>IF(A563="","",COUNTIFS($W$5:$W$604,"&gt;"&amp;W563)+COUNTIFS($W$5:W563,W563))</f>
        <v>0</v>
      </c>
      <c r="AA563" s="39">
        <f>IF(A563="","",IF(J563=0,"",IF(U563&lt;0,"Loss - this job cost you money",IF(V563&lt;MarginFloor,"Below - margin under the floor",IF(V563&lt;TargetMargin,"Check - under target margin",IF(AND(X563&lt;&gt;"",X563&gt;0.5),"Check - ran over the estimate","OK"))))))</f>
        <v>0</v>
      </c>
    </row>
    <row r="564" spans="1:27">
      <c r="A564" s="43">
        <f>IF(IFERROR(INDEX(Jobs!$A$5:$A$604,ROW()-4),"")="","",IFERROR(INDEX(Jobs!$A$5:$A$604,ROW()-4),""))</f>
        <v>0</v>
      </c>
      <c r="B564" s="18">
        <f>IF(A564="","",IFERROR(INDEX(Jobs!$B$5:$B$604,MATCH(A564,Jobs!$A$5:$A$604,0)),""))</f>
        <v>0</v>
      </c>
      <c r="C564" s="23">
        <f>IF(B564="","",TEXT(B564,"yyyy-mm"))</f>
        <v>0</v>
      </c>
      <c r="D564" s="43">
        <f>IF(A564="","",IFERROR(INDEX(Jobs!$G$5:$G$604,MATCH(A564,Jobs!$A$5:$A$604,0)),""))</f>
        <v>0</v>
      </c>
      <c r="E564" s="23">
        <f>IF(A564="","",IFERROR(INDEX(Jobs!$H$5:$H$604,MATCH(A564,Jobs!$A$5:$A$604,0)),""))</f>
        <v>0</v>
      </c>
      <c r="F564" s="23">
        <f>IF(A564="","",IFERROR(INDEX(Jobs!$K$5:$K$604,MATCH(A564,Jobs!$A$5:$A$604,0)),""))</f>
        <v>0</v>
      </c>
      <c r="G564" s="23">
        <f>IF(A564="","",IFERROR(INDEX(Jobs!$M$5:$M$604,MATCH(A564,Jobs!$A$5:$A$604,0)),""))</f>
        <v>0</v>
      </c>
      <c r="H564" s="23">
        <f>IF(A564="","",IFERROR(INDEX(Jobs!$R$5:$R$604,MATCH(A564,Jobs!$A$5:$A$604,0)),""))</f>
        <v>0</v>
      </c>
      <c r="I564" s="39">
        <f>IF(A564="","",IFERROR(INDEX(Jobs!$P$5:$P$604,MATCH(A564,Jobs!$A$5:$A$604,0)),""))</f>
        <v>0</v>
      </c>
      <c r="J564" s="21">
        <f>IF(A564="","",IF(OR(I564="Completed",I564="Invoiced"),IFERROR(INDEX(Jobs!$AJ$5:$AJ$604,MATCH(A564,Jobs!$A$5:$A$604,0)),0),0))</f>
        <v>0</v>
      </c>
      <c r="K564" s="34">
        <f>IF(A564="","",IFERROR(INDEX(Jobs!$AD$5:$AD$604,MATCH(A564,Jobs!$A$5:$A$604,0)),0))</f>
        <v>0</v>
      </c>
      <c r="L564" s="34">
        <f>IF(A564="","",IFERROR(INDEX(Jobs!$AK$5:$AK$604,MATCH(A564,Jobs!$A$5:$A$604,0)),0))</f>
        <v>0</v>
      </c>
      <c r="M564" s="34">
        <f>IF(A564="","",IF(IFERROR(L564*1,0)&gt;0,L564,IFERROR(K564*1,0)))</f>
        <v>0</v>
      </c>
      <c r="N564" s="21">
        <f>IF(A564="","",SUMIFS(Timesheets!$X$5:$X$804,Timesheets!$G$5:$G$804,A564))</f>
        <v>0</v>
      </c>
      <c r="O564" s="21">
        <f>IF(A564="","",IF(N564&gt;0,N564,ROUND(M564*CostPerHour,2)))</f>
        <v>0</v>
      </c>
      <c r="P564" s="21">
        <f>IF(A564="","",SUMIFS('Supply Usage'!$L$5:$L$304,'Supply Usage'!$F$5:$F$304,A564))</f>
        <v>0</v>
      </c>
      <c r="Q564" s="21">
        <f>IF(A564="","",IF(P564&gt;0,P564,ROUND(M564*SuppliesPerHour,2)))</f>
        <v>0</v>
      </c>
      <c r="R564" s="21">
        <f>IF(A564="","",ROUND(IFERROR(INDEX(Jobs!$W$5:$W$604,MATCH(A564,Jobs!$A$5:$A$604,0)),0)*MileageRate,2))</f>
        <v>0</v>
      </c>
      <c r="T564" s="21">
        <f>IF(A564="","",O564+Q564+R564+IF(S564="",0,S564))</f>
        <v>0</v>
      </c>
      <c r="U564" s="21">
        <f>IF(A564="","",J564-T564)</f>
        <v>0</v>
      </c>
      <c r="V564" s="38">
        <f>IF(OR(A564="",J564=0),"",U564/J564)</f>
        <v>0</v>
      </c>
      <c r="W564" s="21">
        <f>IF(OR(A564="",M564=0,J564=0),"",U564/M564)</f>
        <v>0</v>
      </c>
      <c r="X564" s="34">
        <f>IF(OR(A564="",L564="",L564=0,K564=""),"",L564-K564)</f>
        <v>0</v>
      </c>
      <c r="Y564" s="31">
        <f>IF(A564="","",COUNTIFS($U$5:$U$604,"&gt;"&amp;U564)+COUNTIFS($U$5:U564,U564))</f>
        <v>0</v>
      </c>
      <c r="Z564" s="31">
        <f>IF(A564="","",COUNTIFS($W$5:$W$604,"&gt;"&amp;W564)+COUNTIFS($W$5:W564,W564))</f>
        <v>0</v>
      </c>
      <c r="AA564" s="39">
        <f>IF(A564="","",IF(J564=0,"",IF(U564&lt;0,"Loss - this job cost you money",IF(V564&lt;MarginFloor,"Below - margin under the floor",IF(V564&lt;TargetMargin,"Check - under target margin",IF(AND(X564&lt;&gt;"",X564&gt;0.5),"Check - ran over the estimate","OK"))))))</f>
        <v>0</v>
      </c>
    </row>
    <row r="565" spans="1:27">
      <c r="A565" s="43">
        <f>IF(IFERROR(INDEX(Jobs!$A$5:$A$604,ROW()-4),"")="","",IFERROR(INDEX(Jobs!$A$5:$A$604,ROW()-4),""))</f>
        <v>0</v>
      </c>
      <c r="B565" s="18">
        <f>IF(A565="","",IFERROR(INDEX(Jobs!$B$5:$B$604,MATCH(A565,Jobs!$A$5:$A$604,0)),""))</f>
        <v>0</v>
      </c>
      <c r="C565" s="23">
        <f>IF(B565="","",TEXT(B565,"yyyy-mm"))</f>
        <v>0</v>
      </c>
      <c r="D565" s="43">
        <f>IF(A565="","",IFERROR(INDEX(Jobs!$G$5:$G$604,MATCH(A565,Jobs!$A$5:$A$604,0)),""))</f>
        <v>0</v>
      </c>
      <c r="E565" s="23">
        <f>IF(A565="","",IFERROR(INDEX(Jobs!$H$5:$H$604,MATCH(A565,Jobs!$A$5:$A$604,0)),""))</f>
        <v>0</v>
      </c>
      <c r="F565" s="23">
        <f>IF(A565="","",IFERROR(INDEX(Jobs!$K$5:$K$604,MATCH(A565,Jobs!$A$5:$A$604,0)),""))</f>
        <v>0</v>
      </c>
      <c r="G565" s="23">
        <f>IF(A565="","",IFERROR(INDEX(Jobs!$M$5:$M$604,MATCH(A565,Jobs!$A$5:$A$604,0)),""))</f>
        <v>0</v>
      </c>
      <c r="H565" s="23">
        <f>IF(A565="","",IFERROR(INDEX(Jobs!$R$5:$R$604,MATCH(A565,Jobs!$A$5:$A$604,0)),""))</f>
        <v>0</v>
      </c>
      <c r="I565" s="39">
        <f>IF(A565="","",IFERROR(INDEX(Jobs!$P$5:$P$604,MATCH(A565,Jobs!$A$5:$A$604,0)),""))</f>
        <v>0</v>
      </c>
      <c r="J565" s="21">
        <f>IF(A565="","",IF(OR(I565="Completed",I565="Invoiced"),IFERROR(INDEX(Jobs!$AJ$5:$AJ$604,MATCH(A565,Jobs!$A$5:$A$604,0)),0),0))</f>
        <v>0</v>
      </c>
      <c r="K565" s="34">
        <f>IF(A565="","",IFERROR(INDEX(Jobs!$AD$5:$AD$604,MATCH(A565,Jobs!$A$5:$A$604,0)),0))</f>
        <v>0</v>
      </c>
      <c r="L565" s="34">
        <f>IF(A565="","",IFERROR(INDEX(Jobs!$AK$5:$AK$604,MATCH(A565,Jobs!$A$5:$A$604,0)),0))</f>
        <v>0</v>
      </c>
      <c r="M565" s="34">
        <f>IF(A565="","",IF(IFERROR(L565*1,0)&gt;0,L565,IFERROR(K565*1,0)))</f>
        <v>0</v>
      </c>
      <c r="N565" s="21">
        <f>IF(A565="","",SUMIFS(Timesheets!$X$5:$X$804,Timesheets!$G$5:$G$804,A565))</f>
        <v>0</v>
      </c>
      <c r="O565" s="21">
        <f>IF(A565="","",IF(N565&gt;0,N565,ROUND(M565*CostPerHour,2)))</f>
        <v>0</v>
      </c>
      <c r="P565" s="21">
        <f>IF(A565="","",SUMIFS('Supply Usage'!$L$5:$L$304,'Supply Usage'!$F$5:$F$304,A565))</f>
        <v>0</v>
      </c>
      <c r="Q565" s="21">
        <f>IF(A565="","",IF(P565&gt;0,P565,ROUND(M565*SuppliesPerHour,2)))</f>
        <v>0</v>
      </c>
      <c r="R565" s="21">
        <f>IF(A565="","",ROUND(IFERROR(INDEX(Jobs!$W$5:$W$604,MATCH(A565,Jobs!$A$5:$A$604,0)),0)*MileageRate,2))</f>
        <v>0</v>
      </c>
      <c r="T565" s="21">
        <f>IF(A565="","",O565+Q565+R565+IF(S565="",0,S565))</f>
        <v>0</v>
      </c>
      <c r="U565" s="21">
        <f>IF(A565="","",J565-T565)</f>
        <v>0</v>
      </c>
      <c r="V565" s="38">
        <f>IF(OR(A565="",J565=0),"",U565/J565)</f>
        <v>0</v>
      </c>
      <c r="W565" s="21">
        <f>IF(OR(A565="",M565=0,J565=0),"",U565/M565)</f>
        <v>0</v>
      </c>
      <c r="X565" s="34">
        <f>IF(OR(A565="",L565="",L565=0,K565=""),"",L565-K565)</f>
        <v>0</v>
      </c>
      <c r="Y565" s="31">
        <f>IF(A565="","",COUNTIFS($U$5:$U$604,"&gt;"&amp;U565)+COUNTIFS($U$5:U565,U565))</f>
        <v>0</v>
      </c>
      <c r="Z565" s="31">
        <f>IF(A565="","",COUNTIFS($W$5:$W$604,"&gt;"&amp;W565)+COUNTIFS($W$5:W565,W565))</f>
        <v>0</v>
      </c>
      <c r="AA565" s="39">
        <f>IF(A565="","",IF(J565=0,"",IF(U565&lt;0,"Loss - this job cost you money",IF(V565&lt;MarginFloor,"Below - margin under the floor",IF(V565&lt;TargetMargin,"Check - under target margin",IF(AND(X565&lt;&gt;"",X565&gt;0.5),"Check - ran over the estimate","OK"))))))</f>
        <v>0</v>
      </c>
    </row>
    <row r="566" spans="1:27">
      <c r="A566" s="43">
        <f>IF(IFERROR(INDEX(Jobs!$A$5:$A$604,ROW()-4),"")="","",IFERROR(INDEX(Jobs!$A$5:$A$604,ROW()-4),""))</f>
        <v>0</v>
      </c>
      <c r="B566" s="18">
        <f>IF(A566="","",IFERROR(INDEX(Jobs!$B$5:$B$604,MATCH(A566,Jobs!$A$5:$A$604,0)),""))</f>
        <v>0</v>
      </c>
      <c r="C566" s="23">
        <f>IF(B566="","",TEXT(B566,"yyyy-mm"))</f>
        <v>0</v>
      </c>
      <c r="D566" s="43">
        <f>IF(A566="","",IFERROR(INDEX(Jobs!$G$5:$G$604,MATCH(A566,Jobs!$A$5:$A$604,0)),""))</f>
        <v>0</v>
      </c>
      <c r="E566" s="23">
        <f>IF(A566="","",IFERROR(INDEX(Jobs!$H$5:$H$604,MATCH(A566,Jobs!$A$5:$A$604,0)),""))</f>
        <v>0</v>
      </c>
      <c r="F566" s="23">
        <f>IF(A566="","",IFERROR(INDEX(Jobs!$K$5:$K$604,MATCH(A566,Jobs!$A$5:$A$604,0)),""))</f>
        <v>0</v>
      </c>
      <c r="G566" s="23">
        <f>IF(A566="","",IFERROR(INDEX(Jobs!$M$5:$M$604,MATCH(A566,Jobs!$A$5:$A$604,0)),""))</f>
        <v>0</v>
      </c>
      <c r="H566" s="23">
        <f>IF(A566="","",IFERROR(INDEX(Jobs!$R$5:$R$604,MATCH(A566,Jobs!$A$5:$A$604,0)),""))</f>
        <v>0</v>
      </c>
      <c r="I566" s="39">
        <f>IF(A566="","",IFERROR(INDEX(Jobs!$P$5:$P$604,MATCH(A566,Jobs!$A$5:$A$604,0)),""))</f>
        <v>0</v>
      </c>
      <c r="J566" s="21">
        <f>IF(A566="","",IF(OR(I566="Completed",I566="Invoiced"),IFERROR(INDEX(Jobs!$AJ$5:$AJ$604,MATCH(A566,Jobs!$A$5:$A$604,0)),0),0))</f>
        <v>0</v>
      </c>
      <c r="K566" s="34">
        <f>IF(A566="","",IFERROR(INDEX(Jobs!$AD$5:$AD$604,MATCH(A566,Jobs!$A$5:$A$604,0)),0))</f>
        <v>0</v>
      </c>
      <c r="L566" s="34">
        <f>IF(A566="","",IFERROR(INDEX(Jobs!$AK$5:$AK$604,MATCH(A566,Jobs!$A$5:$A$604,0)),0))</f>
        <v>0</v>
      </c>
      <c r="M566" s="34">
        <f>IF(A566="","",IF(IFERROR(L566*1,0)&gt;0,L566,IFERROR(K566*1,0)))</f>
        <v>0</v>
      </c>
      <c r="N566" s="21">
        <f>IF(A566="","",SUMIFS(Timesheets!$X$5:$X$804,Timesheets!$G$5:$G$804,A566))</f>
        <v>0</v>
      </c>
      <c r="O566" s="21">
        <f>IF(A566="","",IF(N566&gt;0,N566,ROUND(M566*CostPerHour,2)))</f>
        <v>0</v>
      </c>
      <c r="P566" s="21">
        <f>IF(A566="","",SUMIFS('Supply Usage'!$L$5:$L$304,'Supply Usage'!$F$5:$F$304,A566))</f>
        <v>0</v>
      </c>
      <c r="Q566" s="21">
        <f>IF(A566="","",IF(P566&gt;0,P566,ROUND(M566*SuppliesPerHour,2)))</f>
        <v>0</v>
      </c>
      <c r="R566" s="21">
        <f>IF(A566="","",ROUND(IFERROR(INDEX(Jobs!$W$5:$W$604,MATCH(A566,Jobs!$A$5:$A$604,0)),0)*MileageRate,2))</f>
        <v>0</v>
      </c>
      <c r="T566" s="21">
        <f>IF(A566="","",O566+Q566+R566+IF(S566="",0,S566))</f>
        <v>0</v>
      </c>
      <c r="U566" s="21">
        <f>IF(A566="","",J566-T566)</f>
        <v>0</v>
      </c>
      <c r="V566" s="38">
        <f>IF(OR(A566="",J566=0),"",U566/J566)</f>
        <v>0</v>
      </c>
      <c r="W566" s="21">
        <f>IF(OR(A566="",M566=0,J566=0),"",U566/M566)</f>
        <v>0</v>
      </c>
      <c r="X566" s="34">
        <f>IF(OR(A566="",L566="",L566=0,K566=""),"",L566-K566)</f>
        <v>0</v>
      </c>
      <c r="Y566" s="31">
        <f>IF(A566="","",COUNTIFS($U$5:$U$604,"&gt;"&amp;U566)+COUNTIFS($U$5:U566,U566))</f>
        <v>0</v>
      </c>
      <c r="Z566" s="31">
        <f>IF(A566="","",COUNTIFS($W$5:$W$604,"&gt;"&amp;W566)+COUNTIFS($W$5:W566,W566))</f>
        <v>0</v>
      </c>
      <c r="AA566" s="39">
        <f>IF(A566="","",IF(J566=0,"",IF(U566&lt;0,"Loss - this job cost you money",IF(V566&lt;MarginFloor,"Below - margin under the floor",IF(V566&lt;TargetMargin,"Check - under target margin",IF(AND(X566&lt;&gt;"",X566&gt;0.5),"Check - ran over the estimate","OK"))))))</f>
        <v>0</v>
      </c>
    </row>
    <row r="567" spans="1:27">
      <c r="A567" s="43">
        <f>IF(IFERROR(INDEX(Jobs!$A$5:$A$604,ROW()-4),"")="","",IFERROR(INDEX(Jobs!$A$5:$A$604,ROW()-4),""))</f>
        <v>0</v>
      </c>
      <c r="B567" s="18">
        <f>IF(A567="","",IFERROR(INDEX(Jobs!$B$5:$B$604,MATCH(A567,Jobs!$A$5:$A$604,0)),""))</f>
        <v>0</v>
      </c>
      <c r="C567" s="23">
        <f>IF(B567="","",TEXT(B567,"yyyy-mm"))</f>
        <v>0</v>
      </c>
      <c r="D567" s="43">
        <f>IF(A567="","",IFERROR(INDEX(Jobs!$G$5:$G$604,MATCH(A567,Jobs!$A$5:$A$604,0)),""))</f>
        <v>0</v>
      </c>
      <c r="E567" s="23">
        <f>IF(A567="","",IFERROR(INDEX(Jobs!$H$5:$H$604,MATCH(A567,Jobs!$A$5:$A$604,0)),""))</f>
        <v>0</v>
      </c>
      <c r="F567" s="23">
        <f>IF(A567="","",IFERROR(INDEX(Jobs!$K$5:$K$604,MATCH(A567,Jobs!$A$5:$A$604,0)),""))</f>
        <v>0</v>
      </c>
      <c r="G567" s="23">
        <f>IF(A567="","",IFERROR(INDEX(Jobs!$M$5:$M$604,MATCH(A567,Jobs!$A$5:$A$604,0)),""))</f>
        <v>0</v>
      </c>
      <c r="H567" s="23">
        <f>IF(A567="","",IFERROR(INDEX(Jobs!$R$5:$R$604,MATCH(A567,Jobs!$A$5:$A$604,0)),""))</f>
        <v>0</v>
      </c>
      <c r="I567" s="39">
        <f>IF(A567="","",IFERROR(INDEX(Jobs!$P$5:$P$604,MATCH(A567,Jobs!$A$5:$A$604,0)),""))</f>
        <v>0</v>
      </c>
      <c r="J567" s="21">
        <f>IF(A567="","",IF(OR(I567="Completed",I567="Invoiced"),IFERROR(INDEX(Jobs!$AJ$5:$AJ$604,MATCH(A567,Jobs!$A$5:$A$604,0)),0),0))</f>
        <v>0</v>
      </c>
      <c r="K567" s="34">
        <f>IF(A567="","",IFERROR(INDEX(Jobs!$AD$5:$AD$604,MATCH(A567,Jobs!$A$5:$A$604,0)),0))</f>
        <v>0</v>
      </c>
      <c r="L567" s="34">
        <f>IF(A567="","",IFERROR(INDEX(Jobs!$AK$5:$AK$604,MATCH(A567,Jobs!$A$5:$A$604,0)),0))</f>
        <v>0</v>
      </c>
      <c r="M567" s="34">
        <f>IF(A567="","",IF(IFERROR(L567*1,0)&gt;0,L567,IFERROR(K567*1,0)))</f>
        <v>0</v>
      </c>
      <c r="N567" s="21">
        <f>IF(A567="","",SUMIFS(Timesheets!$X$5:$X$804,Timesheets!$G$5:$G$804,A567))</f>
        <v>0</v>
      </c>
      <c r="O567" s="21">
        <f>IF(A567="","",IF(N567&gt;0,N567,ROUND(M567*CostPerHour,2)))</f>
        <v>0</v>
      </c>
      <c r="P567" s="21">
        <f>IF(A567="","",SUMIFS('Supply Usage'!$L$5:$L$304,'Supply Usage'!$F$5:$F$304,A567))</f>
        <v>0</v>
      </c>
      <c r="Q567" s="21">
        <f>IF(A567="","",IF(P567&gt;0,P567,ROUND(M567*SuppliesPerHour,2)))</f>
        <v>0</v>
      </c>
      <c r="R567" s="21">
        <f>IF(A567="","",ROUND(IFERROR(INDEX(Jobs!$W$5:$W$604,MATCH(A567,Jobs!$A$5:$A$604,0)),0)*MileageRate,2))</f>
        <v>0</v>
      </c>
      <c r="T567" s="21">
        <f>IF(A567="","",O567+Q567+R567+IF(S567="",0,S567))</f>
        <v>0</v>
      </c>
      <c r="U567" s="21">
        <f>IF(A567="","",J567-T567)</f>
        <v>0</v>
      </c>
      <c r="V567" s="38">
        <f>IF(OR(A567="",J567=0),"",U567/J567)</f>
        <v>0</v>
      </c>
      <c r="W567" s="21">
        <f>IF(OR(A567="",M567=0,J567=0),"",U567/M567)</f>
        <v>0</v>
      </c>
      <c r="X567" s="34">
        <f>IF(OR(A567="",L567="",L567=0,K567=""),"",L567-K567)</f>
        <v>0</v>
      </c>
      <c r="Y567" s="31">
        <f>IF(A567="","",COUNTIFS($U$5:$U$604,"&gt;"&amp;U567)+COUNTIFS($U$5:U567,U567))</f>
        <v>0</v>
      </c>
      <c r="Z567" s="31">
        <f>IF(A567="","",COUNTIFS($W$5:$W$604,"&gt;"&amp;W567)+COUNTIFS($W$5:W567,W567))</f>
        <v>0</v>
      </c>
      <c r="AA567" s="39">
        <f>IF(A567="","",IF(J567=0,"",IF(U567&lt;0,"Loss - this job cost you money",IF(V567&lt;MarginFloor,"Below - margin under the floor",IF(V567&lt;TargetMargin,"Check - under target margin",IF(AND(X567&lt;&gt;"",X567&gt;0.5),"Check - ran over the estimate","OK"))))))</f>
        <v>0</v>
      </c>
    </row>
    <row r="568" spans="1:27">
      <c r="A568" s="43">
        <f>IF(IFERROR(INDEX(Jobs!$A$5:$A$604,ROW()-4),"")="","",IFERROR(INDEX(Jobs!$A$5:$A$604,ROW()-4),""))</f>
        <v>0</v>
      </c>
      <c r="B568" s="18">
        <f>IF(A568="","",IFERROR(INDEX(Jobs!$B$5:$B$604,MATCH(A568,Jobs!$A$5:$A$604,0)),""))</f>
        <v>0</v>
      </c>
      <c r="C568" s="23">
        <f>IF(B568="","",TEXT(B568,"yyyy-mm"))</f>
        <v>0</v>
      </c>
      <c r="D568" s="43">
        <f>IF(A568="","",IFERROR(INDEX(Jobs!$G$5:$G$604,MATCH(A568,Jobs!$A$5:$A$604,0)),""))</f>
        <v>0</v>
      </c>
      <c r="E568" s="23">
        <f>IF(A568="","",IFERROR(INDEX(Jobs!$H$5:$H$604,MATCH(A568,Jobs!$A$5:$A$604,0)),""))</f>
        <v>0</v>
      </c>
      <c r="F568" s="23">
        <f>IF(A568="","",IFERROR(INDEX(Jobs!$K$5:$K$604,MATCH(A568,Jobs!$A$5:$A$604,0)),""))</f>
        <v>0</v>
      </c>
      <c r="G568" s="23">
        <f>IF(A568="","",IFERROR(INDEX(Jobs!$M$5:$M$604,MATCH(A568,Jobs!$A$5:$A$604,0)),""))</f>
        <v>0</v>
      </c>
      <c r="H568" s="23">
        <f>IF(A568="","",IFERROR(INDEX(Jobs!$R$5:$R$604,MATCH(A568,Jobs!$A$5:$A$604,0)),""))</f>
        <v>0</v>
      </c>
      <c r="I568" s="39">
        <f>IF(A568="","",IFERROR(INDEX(Jobs!$P$5:$P$604,MATCH(A568,Jobs!$A$5:$A$604,0)),""))</f>
        <v>0</v>
      </c>
      <c r="J568" s="21">
        <f>IF(A568="","",IF(OR(I568="Completed",I568="Invoiced"),IFERROR(INDEX(Jobs!$AJ$5:$AJ$604,MATCH(A568,Jobs!$A$5:$A$604,0)),0),0))</f>
        <v>0</v>
      </c>
      <c r="K568" s="34">
        <f>IF(A568="","",IFERROR(INDEX(Jobs!$AD$5:$AD$604,MATCH(A568,Jobs!$A$5:$A$604,0)),0))</f>
        <v>0</v>
      </c>
      <c r="L568" s="34">
        <f>IF(A568="","",IFERROR(INDEX(Jobs!$AK$5:$AK$604,MATCH(A568,Jobs!$A$5:$A$604,0)),0))</f>
        <v>0</v>
      </c>
      <c r="M568" s="34">
        <f>IF(A568="","",IF(IFERROR(L568*1,0)&gt;0,L568,IFERROR(K568*1,0)))</f>
        <v>0</v>
      </c>
      <c r="N568" s="21">
        <f>IF(A568="","",SUMIFS(Timesheets!$X$5:$X$804,Timesheets!$G$5:$G$804,A568))</f>
        <v>0</v>
      </c>
      <c r="O568" s="21">
        <f>IF(A568="","",IF(N568&gt;0,N568,ROUND(M568*CostPerHour,2)))</f>
        <v>0</v>
      </c>
      <c r="P568" s="21">
        <f>IF(A568="","",SUMIFS('Supply Usage'!$L$5:$L$304,'Supply Usage'!$F$5:$F$304,A568))</f>
        <v>0</v>
      </c>
      <c r="Q568" s="21">
        <f>IF(A568="","",IF(P568&gt;0,P568,ROUND(M568*SuppliesPerHour,2)))</f>
        <v>0</v>
      </c>
      <c r="R568" s="21">
        <f>IF(A568="","",ROUND(IFERROR(INDEX(Jobs!$W$5:$W$604,MATCH(A568,Jobs!$A$5:$A$604,0)),0)*MileageRate,2))</f>
        <v>0</v>
      </c>
      <c r="T568" s="21">
        <f>IF(A568="","",O568+Q568+R568+IF(S568="",0,S568))</f>
        <v>0</v>
      </c>
      <c r="U568" s="21">
        <f>IF(A568="","",J568-T568)</f>
        <v>0</v>
      </c>
      <c r="V568" s="38">
        <f>IF(OR(A568="",J568=0),"",U568/J568)</f>
        <v>0</v>
      </c>
      <c r="W568" s="21">
        <f>IF(OR(A568="",M568=0,J568=0),"",U568/M568)</f>
        <v>0</v>
      </c>
      <c r="X568" s="34">
        <f>IF(OR(A568="",L568="",L568=0,K568=""),"",L568-K568)</f>
        <v>0</v>
      </c>
      <c r="Y568" s="31">
        <f>IF(A568="","",COUNTIFS($U$5:$U$604,"&gt;"&amp;U568)+COUNTIFS($U$5:U568,U568))</f>
        <v>0</v>
      </c>
      <c r="Z568" s="31">
        <f>IF(A568="","",COUNTIFS($W$5:$W$604,"&gt;"&amp;W568)+COUNTIFS($W$5:W568,W568))</f>
        <v>0</v>
      </c>
      <c r="AA568" s="39">
        <f>IF(A568="","",IF(J568=0,"",IF(U568&lt;0,"Loss - this job cost you money",IF(V568&lt;MarginFloor,"Below - margin under the floor",IF(V568&lt;TargetMargin,"Check - under target margin",IF(AND(X568&lt;&gt;"",X568&gt;0.5),"Check - ran over the estimate","OK"))))))</f>
        <v>0</v>
      </c>
    </row>
    <row r="569" spans="1:27">
      <c r="A569" s="43">
        <f>IF(IFERROR(INDEX(Jobs!$A$5:$A$604,ROW()-4),"")="","",IFERROR(INDEX(Jobs!$A$5:$A$604,ROW()-4),""))</f>
        <v>0</v>
      </c>
      <c r="B569" s="18">
        <f>IF(A569="","",IFERROR(INDEX(Jobs!$B$5:$B$604,MATCH(A569,Jobs!$A$5:$A$604,0)),""))</f>
        <v>0</v>
      </c>
      <c r="C569" s="23">
        <f>IF(B569="","",TEXT(B569,"yyyy-mm"))</f>
        <v>0</v>
      </c>
      <c r="D569" s="43">
        <f>IF(A569="","",IFERROR(INDEX(Jobs!$G$5:$G$604,MATCH(A569,Jobs!$A$5:$A$604,0)),""))</f>
        <v>0</v>
      </c>
      <c r="E569" s="23">
        <f>IF(A569="","",IFERROR(INDEX(Jobs!$H$5:$H$604,MATCH(A569,Jobs!$A$5:$A$604,0)),""))</f>
        <v>0</v>
      </c>
      <c r="F569" s="23">
        <f>IF(A569="","",IFERROR(INDEX(Jobs!$K$5:$K$604,MATCH(A569,Jobs!$A$5:$A$604,0)),""))</f>
        <v>0</v>
      </c>
      <c r="G569" s="23">
        <f>IF(A569="","",IFERROR(INDEX(Jobs!$M$5:$M$604,MATCH(A569,Jobs!$A$5:$A$604,0)),""))</f>
        <v>0</v>
      </c>
      <c r="H569" s="23">
        <f>IF(A569="","",IFERROR(INDEX(Jobs!$R$5:$R$604,MATCH(A569,Jobs!$A$5:$A$604,0)),""))</f>
        <v>0</v>
      </c>
      <c r="I569" s="39">
        <f>IF(A569="","",IFERROR(INDEX(Jobs!$P$5:$P$604,MATCH(A569,Jobs!$A$5:$A$604,0)),""))</f>
        <v>0</v>
      </c>
      <c r="J569" s="21">
        <f>IF(A569="","",IF(OR(I569="Completed",I569="Invoiced"),IFERROR(INDEX(Jobs!$AJ$5:$AJ$604,MATCH(A569,Jobs!$A$5:$A$604,0)),0),0))</f>
        <v>0</v>
      </c>
      <c r="K569" s="34">
        <f>IF(A569="","",IFERROR(INDEX(Jobs!$AD$5:$AD$604,MATCH(A569,Jobs!$A$5:$A$604,0)),0))</f>
        <v>0</v>
      </c>
      <c r="L569" s="34">
        <f>IF(A569="","",IFERROR(INDEX(Jobs!$AK$5:$AK$604,MATCH(A569,Jobs!$A$5:$A$604,0)),0))</f>
        <v>0</v>
      </c>
      <c r="M569" s="34">
        <f>IF(A569="","",IF(IFERROR(L569*1,0)&gt;0,L569,IFERROR(K569*1,0)))</f>
        <v>0</v>
      </c>
      <c r="N569" s="21">
        <f>IF(A569="","",SUMIFS(Timesheets!$X$5:$X$804,Timesheets!$G$5:$G$804,A569))</f>
        <v>0</v>
      </c>
      <c r="O569" s="21">
        <f>IF(A569="","",IF(N569&gt;0,N569,ROUND(M569*CostPerHour,2)))</f>
        <v>0</v>
      </c>
      <c r="P569" s="21">
        <f>IF(A569="","",SUMIFS('Supply Usage'!$L$5:$L$304,'Supply Usage'!$F$5:$F$304,A569))</f>
        <v>0</v>
      </c>
      <c r="Q569" s="21">
        <f>IF(A569="","",IF(P569&gt;0,P569,ROUND(M569*SuppliesPerHour,2)))</f>
        <v>0</v>
      </c>
      <c r="R569" s="21">
        <f>IF(A569="","",ROUND(IFERROR(INDEX(Jobs!$W$5:$W$604,MATCH(A569,Jobs!$A$5:$A$604,0)),0)*MileageRate,2))</f>
        <v>0</v>
      </c>
      <c r="T569" s="21">
        <f>IF(A569="","",O569+Q569+R569+IF(S569="",0,S569))</f>
        <v>0</v>
      </c>
      <c r="U569" s="21">
        <f>IF(A569="","",J569-T569)</f>
        <v>0</v>
      </c>
      <c r="V569" s="38">
        <f>IF(OR(A569="",J569=0),"",U569/J569)</f>
        <v>0</v>
      </c>
      <c r="W569" s="21">
        <f>IF(OR(A569="",M569=0,J569=0),"",U569/M569)</f>
        <v>0</v>
      </c>
      <c r="X569" s="34">
        <f>IF(OR(A569="",L569="",L569=0,K569=""),"",L569-K569)</f>
        <v>0</v>
      </c>
      <c r="Y569" s="31">
        <f>IF(A569="","",COUNTIFS($U$5:$U$604,"&gt;"&amp;U569)+COUNTIFS($U$5:U569,U569))</f>
        <v>0</v>
      </c>
      <c r="Z569" s="31">
        <f>IF(A569="","",COUNTIFS($W$5:$W$604,"&gt;"&amp;W569)+COUNTIFS($W$5:W569,W569))</f>
        <v>0</v>
      </c>
      <c r="AA569" s="39">
        <f>IF(A569="","",IF(J569=0,"",IF(U569&lt;0,"Loss - this job cost you money",IF(V569&lt;MarginFloor,"Below - margin under the floor",IF(V569&lt;TargetMargin,"Check - under target margin",IF(AND(X569&lt;&gt;"",X569&gt;0.5),"Check - ran over the estimate","OK"))))))</f>
        <v>0</v>
      </c>
    </row>
    <row r="570" spans="1:27">
      <c r="A570" s="43">
        <f>IF(IFERROR(INDEX(Jobs!$A$5:$A$604,ROW()-4),"")="","",IFERROR(INDEX(Jobs!$A$5:$A$604,ROW()-4),""))</f>
        <v>0</v>
      </c>
      <c r="B570" s="18">
        <f>IF(A570="","",IFERROR(INDEX(Jobs!$B$5:$B$604,MATCH(A570,Jobs!$A$5:$A$604,0)),""))</f>
        <v>0</v>
      </c>
      <c r="C570" s="23">
        <f>IF(B570="","",TEXT(B570,"yyyy-mm"))</f>
        <v>0</v>
      </c>
      <c r="D570" s="43">
        <f>IF(A570="","",IFERROR(INDEX(Jobs!$G$5:$G$604,MATCH(A570,Jobs!$A$5:$A$604,0)),""))</f>
        <v>0</v>
      </c>
      <c r="E570" s="23">
        <f>IF(A570="","",IFERROR(INDEX(Jobs!$H$5:$H$604,MATCH(A570,Jobs!$A$5:$A$604,0)),""))</f>
        <v>0</v>
      </c>
      <c r="F570" s="23">
        <f>IF(A570="","",IFERROR(INDEX(Jobs!$K$5:$K$604,MATCH(A570,Jobs!$A$5:$A$604,0)),""))</f>
        <v>0</v>
      </c>
      <c r="G570" s="23">
        <f>IF(A570="","",IFERROR(INDEX(Jobs!$M$5:$M$604,MATCH(A570,Jobs!$A$5:$A$604,0)),""))</f>
        <v>0</v>
      </c>
      <c r="H570" s="23">
        <f>IF(A570="","",IFERROR(INDEX(Jobs!$R$5:$R$604,MATCH(A570,Jobs!$A$5:$A$604,0)),""))</f>
        <v>0</v>
      </c>
      <c r="I570" s="39">
        <f>IF(A570="","",IFERROR(INDEX(Jobs!$P$5:$P$604,MATCH(A570,Jobs!$A$5:$A$604,0)),""))</f>
        <v>0</v>
      </c>
      <c r="J570" s="21">
        <f>IF(A570="","",IF(OR(I570="Completed",I570="Invoiced"),IFERROR(INDEX(Jobs!$AJ$5:$AJ$604,MATCH(A570,Jobs!$A$5:$A$604,0)),0),0))</f>
        <v>0</v>
      </c>
      <c r="K570" s="34">
        <f>IF(A570="","",IFERROR(INDEX(Jobs!$AD$5:$AD$604,MATCH(A570,Jobs!$A$5:$A$604,0)),0))</f>
        <v>0</v>
      </c>
      <c r="L570" s="34">
        <f>IF(A570="","",IFERROR(INDEX(Jobs!$AK$5:$AK$604,MATCH(A570,Jobs!$A$5:$A$604,0)),0))</f>
        <v>0</v>
      </c>
      <c r="M570" s="34">
        <f>IF(A570="","",IF(IFERROR(L570*1,0)&gt;0,L570,IFERROR(K570*1,0)))</f>
        <v>0</v>
      </c>
      <c r="N570" s="21">
        <f>IF(A570="","",SUMIFS(Timesheets!$X$5:$X$804,Timesheets!$G$5:$G$804,A570))</f>
        <v>0</v>
      </c>
      <c r="O570" s="21">
        <f>IF(A570="","",IF(N570&gt;0,N570,ROUND(M570*CostPerHour,2)))</f>
        <v>0</v>
      </c>
      <c r="P570" s="21">
        <f>IF(A570="","",SUMIFS('Supply Usage'!$L$5:$L$304,'Supply Usage'!$F$5:$F$304,A570))</f>
        <v>0</v>
      </c>
      <c r="Q570" s="21">
        <f>IF(A570="","",IF(P570&gt;0,P570,ROUND(M570*SuppliesPerHour,2)))</f>
        <v>0</v>
      </c>
      <c r="R570" s="21">
        <f>IF(A570="","",ROUND(IFERROR(INDEX(Jobs!$W$5:$W$604,MATCH(A570,Jobs!$A$5:$A$604,0)),0)*MileageRate,2))</f>
        <v>0</v>
      </c>
      <c r="T570" s="21">
        <f>IF(A570="","",O570+Q570+R570+IF(S570="",0,S570))</f>
        <v>0</v>
      </c>
      <c r="U570" s="21">
        <f>IF(A570="","",J570-T570)</f>
        <v>0</v>
      </c>
      <c r="V570" s="38">
        <f>IF(OR(A570="",J570=0),"",U570/J570)</f>
        <v>0</v>
      </c>
      <c r="W570" s="21">
        <f>IF(OR(A570="",M570=0,J570=0),"",U570/M570)</f>
        <v>0</v>
      </c>
      <c r="X570" s="34">
        <f>IF(OR(A570="",L570="",L570=0,K570=""),"",L570-K570)</f>
        <v>0</v>
      </c>
      <c r="Y570" s="31">
        <f>IF(A570="","",COUNTIFS($U$5:$U$604,"&gt;"&amp;U570)+COUNTIFS($U$5:U570,U570))</f>
        <v>0</v>
      </c>
      <c r="Z570" s="31">
        <f>IF(A570="","",COUNTIFS($W$5:$W$604,"&gt;"&amp;W570)+COUNTIFS($W$5:W570,W570))</f>
        <v>0</v>
      </c>
      <c r="AA570" s="39">
        <f>IF(A570="","",IF(J570=0,"",IF(U570&lt;0,"Loss - this job cost you money",IF(V570&lt;MarginFloor,"Below - margin under the floor",IF(V570&lt;TargetMargin,"Check - under target margin",IF(AND(X570&lt;&gt;"",X570&gt;0.5),"Check - ran over the estimate","OK"))))))</f>
        <v>0</v>
      </c>
    </row>
    <row r="571" spans="1:27">
      <c r="A571" s="43">
        <f>IF(IFERROR(INDEX(Jobs!$A$5:$A$604,ROW()-4),"")="","",IFERROR(INDEX(Jobs!$A$5:$A$604,ROW()-4),""))</f>
        <v>0</v>
      </c>
      <c r="B571" s="18">
        <f>IF(A571="","",IFERROR(INDEX(Jobs!$B$5:$B$604,MATCH(A571,Jobs!$A$5:$A$604,0)),""))</f>
        <v>0</v>
      </c>
      <c r="C571" s="23">
        <f>IF(B571="","",TEXT(B571,"yyyy-mm"))</f>
        <v>0</v>
      </c>
      <c r="D571" s="43">
        <f>IF(A571="","",IFERROR(INDEX(Jobs!$G$5:$G$604,MATCH(A571,Jobs!$A$5:$A$604,0)),""))</f>
        <v>0</v>
      </c>
      <c r="E571" s="23">
        <f>IF(A571="","",IFERROR(INDEX(Jobs!$H$5:$H$604,MATCH(A571,Jobs!$A$5:$A$604,0)),""))</f>
        <v>0</v>
      </c>
      <c r="F571" s="23">
        <f>IF(A571="","",IFERROR(INDEX(Jobs!$K$5:$K$604,MATCH(A571,Jobs!$A$5:$A$604,0)),""))</f>
        <v>0</v>
      </c>
      <c r="G571" s="23">
        <f>IF(A571="","",IFERROR(INDEX(Jobs!$M$5:$M$604,MATCH(A571,Jobs!$A$5:$A$604,0)),""))</f>
        <v>0</v>
      </c>
      <c r="H571" s="23">
        <f>IF(A571="","",IFERROR(INDEX(Jobs!$R$5:$R$604,MATCH(A571,Jobs!$A$5:$A$604,0)),""))</f>
        <v>0</v>
      </c>
      <c r="I571" s="39">
        <f>IF(A571="","",IFERROR(INDEX(Jobs!$P$5:$P$604,MATCH(A571,Jobs!$A$5:$A$604,0)),""))</f>
        <v>0</v>
      </c>
      <c r="J571" s="21">
        <f>IF(A571="","",IF(OR(I571="Completed",I571="Invoiced"),IFERROR(INDEX(Jobs!$AJ$5:$AJ$604,MATCH(A571,Jobs!$A$5:$A$604,0)),0),0))</f>
        <v>0</v>
      </c>
      <c r="K571" s="34">
        <f>IF(A571="","",IFERROR(INDEX(Jobs!$AD$5:$AD$604,MATCH(A571,Jobs!$A$5:$A$604,0)),0))</f>
        <v>0</v>
      </c>
      <c r="L571" s="34">
        <f>IF(A571="","",IFERROR(INDEX(Jobs!$AK$5:$AK$604,MATCH(A571,Jobs!$A$5:$A$604,0)),0))</f>
        <v>0</v>
      </c>
      <c r="M571" s="34">
        <f>IF(A571="","",IF(IFERROR(L571*1,0)&gt;0,L571,IFERROR(K571*1,0)))</f>
        <v>0</v>
      </c>
      <c r="N571" s="21">
        <f>IF(A571="","",SUMIFS(Timesheets!$X$5:$X$804,Timesheets!$G$5:$G$804,A571))</f>
        <v>0</v>
      </c>
      <c r="O571" s="21">
        <f>IF(A571="","",IF(N571&gt;0,N571,ROUND(M571*CostPerHour,2)))</f>
        <v>0</v>
      </c>
      <c r="P571" s="21">
        <f>IF(A571="","",SUMIFS('Supply Usage'!$L$5:$L$304,'Supply Usage'!$F$5:$F$304,A571))</f>
        <v>0</v>
      </c>
      <c r="Q571" s="21">
        <f>IF(A571="","",IF(P571&gt;0,P571,ROUND(M571*SuppliesPerHour,2)))</f>
        <v>0</v>
      </c>
      <c r="R571" s="21">
        <f>IF(A571="","",ROUND(IFERROR(INDEX(Jobs!$W$5:$W$604,MATCH(A571,Jobs!$A$5:$A$604,0)),0)*MileageRate,2))</f>
        <v>0</v>
      </c>
      <c r="T571" s="21">
        <f>IF(A571="","",O571+Q571+R571+IF(S571="",0,S571))</f>
        <v>0</v>
      </c>
      <c r="U571" s="21">
        <f>IF(A571="","",J571-T571)</f>
        <v>0</v>
      </c>
      <c r="V571" s="38">
        <f>IF(OR(A571="",J571=0),"",U571/J571)</f>
        <v>0</v>
      </c>
      <c r="W571" s="21">
        <f>IF(OR(A571="",M571=0,J571=0),"",U571/M571)</f>
        <v>0</v>
      </c>
      <c r="X571" s="34">
        <f>IF(OR(A571="",L571="",L571=0,K571=""),"",L571-K571)</f>
        <v>0</v>
      </c>
      <c r="Y571" s="31">
        <f>IF(A571="","",COUNTIFS($U$5:$U$604,"&gt;"&amp;U571)+COUNTIFS($U$5:U571,U571))</f>
        <v>0</v>
      </c>
      <c r="Z571" s="31">
        <f>IF(A571="","",COUNTIFS($W$5:$W$604,"&gt;"&amp;W571)+COUNTIFS($W$5:W571,W571))</f>
        <v>0</v>
      </c>
      <c r="AA571" s="39">
        <f>IF(A571="","",IF(J571=0,"",IF(U571&lt;0,"Loss - this job cost you money",IF(V571&lt;MarginFloor,"Below - margin under the floor",IF(V571&lt;TargetMargin,"Check - under target margin",IF(AND(X571&lt;&gt;"",X571&gt;0.5),"Check - ran over the estimate","OK"))))))</f>
        <v>0</v>
      </c>
    </row>
    <row r="572" spans="1:27">
      <c r="A572" s="43">
        <f>IF(IFERROR(INDEX(Jobs!$A$5:$A$604,ROW()-4),"")="","",IFERROR(INDEX(Jobs!$A$5:$A$604,ROW()-4),""))</f>
        <v>0</v>
      </c>
      <c r="B572" s="18">
        <f>IF(A572="","",IFERROR(INDEX(Jobs!$B$5:$B$604,MATCH(A572,Jobs!$A$5:$A$604,0)),""))</f>
        <v>0</v>
      </c>
      <c r="C572" s="23">
        <f>IF(B572="","",TEXT(B572,"yyyy-mm"))</f>
        <v>0</v>
      </c>
      <c r="D572" s="43">
        <f>IF(A572="","",IFERROR(INDEX(Jobs!$G$5:$G$604,MATCH(A572,Jobs!$A$5:$A$604,0)),""))</f>
        <v>0</v>
      </c>
      <c r="E572" s="23">
        <f>IF(A572="","",IFERROR(INDEX(Jobs!$H$5:$H$604,MATCH(A572,Jobs!$A$5:$A$604,0)),""))</f>
        <v>0</v>
      </c>
      <c r="F572" s="23">
        <f>IF(A572="","",IFERROR(INDEX(Jobs!$K$5:$K$604,MATCH(A572,Jobs!$A$5:$A$604,0)),""))</f>
        <v>0</v>
      </c>
      <c r="G572" s="23">
        <f>IF(A572="","",IFERROR(INDEX(Jobs!$M$5:$M$604,MATCH(A572,Jobs!$A$5:$A$604,0)),""))</f>
        <v>0</v>
      </c>
      <c r="H572" s="23">
        <f>IF(A572="","",IFERROR(INDEX(Jobs!$R$5:$R$604,MATCH(A572,Jobs!$A$5:$A$604,0)),""))</f>
        <v>0</v>
      </c>
      <c r="I572" s="39">
        <f>IF(A572="","",IFERROR(INDEX(Jobs!$P$5:$P$604,MATCH(A572,Jobs!$A$5:$A$604,0)),""))</f>
        <v>0</v>
      </c>
      <c r="J572" s="21">
        <f>IF(A572="","",IF(OR(I572="Completed",I572="Invoiced"),IFERROR(INDEX(Jobs!$AJ$5:$AJ$604,MATCH(A572,Jobs!$A$5:$A$604,0)),0),0))</f>
        <v>0</v>
      </c>
      <c r="K572" s="34">
        <f>IF(A572="","",IFERROR(INDEX(Jobs!$AD$5:$AD$604,MATCH(A572,Jobs!$A$5:$A$604,0)),0))</f>
        <v>0</v>
      </c>
      <c r="L572" s="34">
        <f>IF(A572="","",IFERROR(INDEX(Jobs!$AK$5:$AK$604,MATCH(A572,Jobs!$A$5:$A$604,0)),0))</f>
        <v>0</v>
      </c>
      <c r="M572" s="34">
        <f>IF(A572="","",IF(IFERROR(L572*1,0)&gt;0,L572,IFERROR(K572*1,0)))</f>
        <v>0</v>
      </c>
      <c r="N572" s="21">
        <f>IF(A572="","",SUMIFS(Timesheets!$X$5:$X$804,Timesheets!$G$5:$G$804,A572))</f>
        <v>0</v>
      </c>
      <c r="O572" s="21">
        <f>IF(A572="","",IF(N572&gt;0,N572,ROUND(M572*CostPerHour,2)))</f>
        <v>0</v>
      </c>
      <c r="P572" s="21">
        <f>IF(A572="","",SUMIFS('Supply Usage'!$L$5:$L$304,'Supply Usage'!$F$5:$F$304,A572))</f>
        <v>0</v>
      </c>
      <c r="Q572" s="21">
        <f>IF(A572="","",IF(P572&gt;0,P572,ROUND(M572*SuppliesPerHour,2)))</f>
        <v>0</v>
      </c>
      <c r="R572" s="21">
        <f>IF(A572="","",ROUND(IFERROR(INDEX(Jobs!$W$5:$W$604,MATCH(A572,Jobs!$A$5:$A$604,0)),0)*MileageRate,2))</f>
        <v>0</v>
      </c>
      <c r="T572" s="21">
        <f>IF(A572="","",O572+Q572+R572+IF(S572="",0,S572))</f>
        <v>0</v>
      </c>
      <c r="U572" s="21">
        <f>IF(A572="","",J572-T572)</f>
        <v>0</v>
      </c>
      <c r="V572" s="38">
        <f>IF(OR(A572="",J572=0),"",U572/J572)</f>
        <v>0</v>
      </c>
      <c r="W572" s="21">
        <f>IF(OR(A572="",M572=0,J572=0),"",U572/M572)</f>
        <v>0</v>
      </c>
      <c r="X572" s="34">
        <f>IF(OR(A572="",L572="",L572=0,K572=""),"",L572-K572)</f>
        <v>0</v>
      </c>
      <c r="Y572" s="31">
        <f>IF(A572="","",COUNTIFS($U$5:$U$604,"&gt;"&amp;U572)+COUNTIFS($U$5:U572,U572))</f>
        <v>0</v>
      </c>
      <c r="Z572" s="31">
        <f>IF(A572="","",COUNTIFS($W$5:$W$604,"&gt;"&amp;W572)+COUNTIFS($W$5:W572,W572))</f>
        <v>0</v>
      </c>
      <c r="AA572" s="39">
        <f>IF(A572="","",IF(J572=0,"",IF(U572&lt;0,"Loss - this job cost you money",IF(V572&lt;MarginFloor,"Below - margin under the floor",IF(V572&lt;TargetMargin,"Check - under target margin",IF(AND(X572&lt;&gt;"",X572&gt;0.5),"Check - ran over the estimate","OK"))))))</f>
        <v>0</v>
      </c>
    </row>
    <row r="573" spans="1:27">
      <c r="A573" s="43">
        <f>IF(IFERROR(INDEX(Jobs!$A$5:$A$604,ROW()-4),"")="","",IFERROR(INDEX(Jobs!$A$5:$A$604,ROW()-4),""))</f>
        <v>0</v>
      </c>
      <c r="B573" s="18">
        <f>IF(A573="","",IFERROR(INDEX(Jobs!$B$5:$B$604,MATCH(A573,Jobs!$A$5:$A$604,0)),""))</f>
        <v>0</v>
      </c>
      <c r="C573" s="23">
        <f>IF(B573="","",TEXT(B573,"yyyy-mm"))</f>
        <v>0</v>
      </c>
      <c r="D573" s="43">
        <f>IF(A573="","",IFERROR(INDEX(Jobs!$G$5:$G$604,MATCH(A573,Jobs!$A$5:$A$604,0)),""))</f>
        <v>0</v>
      </c>
      <c r="E573" s="23">
        <f>IF(A573="","",IFERROR(INDEX(Jobs!$H$5:$H$604,MATCH(A573,Jobs!$A$5:$A$604,0)),""))</f>
        <v>0</v>
      </c>
      <c r="F573" s="23">
        <f>IF(A573="","",IFERROR(INDEX(Jobs!$K$5:$K$604,MATCH(A573,Jobs!$A$5:$A$604,0)),""))</f>
        <v>0</v>
      </c>
      <c r="G573" s="23">
        <f>IF(A573="","",IFERROR(INDEX(Jobs!$M$5:$M$604,MATCH(A573,Jobs!$A$5:$A$604,0)),""))</f>
        <v>0</v>
      </c>
      <c r="H573" s="23">
        <f>IF(A573="","",IFERROR(INDEX(Jobs!$R$5:$R$604,MATCH(A573,Jobs!$A$5:$A$604,0)),""))</f>
        <v>0</v>
      </c>
      <c r="I573" s="39">
        <f>IF(A573="","",IFERROR(INDEX(Jobs!$P$5:$P$604,MATCH(A573,Jobs!$A$5:$A$604,0)),""))</f>
        <v>0</v>
      </c>
      <c r="J573" s="21">
        <f>IF(A573="","",IF(OR(I573="Completed",I573="Invoiced"),IFERROR(INDEX(Jobs!$AJ$5:$AJ$604,MATCH(A573,Jobs!$A$5:$A$604,0)),0),0))</f>
        <v>0</v>
      </c>
      <c r="K573" s="34">
        <f>IF(A573="","",IFERROR(INDEX(Jobs!$AD$5:$AD$604,MATCH(A573,Jobs!$A$5:$A$604,0)),0))</f>
        <v>0</v>
      </c>
      <c r="L573" s="34">
        <f>IF(A573="","",IFERROR(INDEX(Jobs!$AK$5:$AK$604,MATCH(A573,Jobs!$A$5:$A$604,0)),0))</f>
        <v>0</v>
      </c>
      <c r="M573" s="34">
        <f>IF(A573="","",IF(IFERROR(L573*1,0)&gt;0,L573,IFERROR(K573*1,0)))</f>
        <v>0</v>
      </c>
      <c r="N573" s="21">
        <f>IF(A573="","",SUMIFS(Timesheets!$X$5:$X$804,Timesheets!$G$5:$G$804,A573))</f>
        <v>0</v>
      </c>
      <c r="O573" s="21">
        <f>IF(A573="","",IF(N573&gt;0,N573,ROUND(M573*CostPerHour,2)))</f>
        <v>0</v>
      </c>
      <c r="P573" s="21">
        <f>IF(A573="","",SUMIFS('Supply Usage'!$L$5:$L$304,'Supply Usage'!$F$5:$F$304,A573))</f>
        <v>0</v>
      </c>
      <c r="Q573" s="21">
        <f>IF(A573="","",IF(P573&gt;0,P573,ROUND(M573*SuppliesPerHour,2)))</f>
        <v>0</v>
      </c>
      <c r="R573" s="21">
        <f>IF(A573="","",ROUND(IFERROR(INDEX(Jobs!$W$5:$W$604,MATCH(A573,Jobs!$A$5:$A$604,0)),0)*MileageRate,2))</f>
        <v>0</v>
      </c>
      <c r="T573" s="21">
        <f>IF(A573="","",O573+Q573+R573+IF(S573="",0,S573))</f>
        <v>0</v>
      </c>
      <c r="U573" s="21">
        <f>IF(A573="","",J573-T573)</f>
        <v>0</v>
      </c>
      <c r="V573" s="38">
        <f>IF(OR(A573="",J573=0),"",U573/J573)</f>
        <v>0</v>
      </c>
      <c r="W573" s="21">
        <f>IF(OR(A573="",M573=0,J573=0),"",U573/M573)</f>
        <v>0</v>
      </c>
      <c r="X573" s="34">
        <f>IF(OR(A573="",L573="",L573=0,K573=""),"",L573-K573)</f>
        <v>0</v>
      </c>
      <c r="Y573" s="31">
        <f>IF(A573="","",COUNTIFS($U$5:$U$604,"&gt;"&amp;U573)+COUNTIFS($U$5:U573,U573))</f>
        <v>0</v>
      </c>
      <c r="Z573" s="31">
        <f>IF(A573="","",COUNTIFS($W$5:$W$604,"&gt;"&amp;W573)+COUNTIFS($W$5:W573,W573))</f>
        <v>0</v>
      </c>
      <c r="AA573" s="39">
        <f>IF(A573="","",IF(J573=0,"",IF(U573&lt;0,"Loss - this job cost you money",IF(V573&lt;MarginFloor,"Below - margin under the floor",IF(V573&lt;TargetMargin,"Check - under target margin",IF(AND(X573&lt;&gt;"",X573&gt;0.5),"Check - ran over the estimate","OK"))))))</f>
        <v>0</v>
      </c>
    </row>
    <row r="574" spans="1:27">
      <c r="A574" s="43">
        <f>IF(IFERROR(INDEX(Jobs!$A$5:$A$604,ROW()-4),"")="","",IFERROR(INDEX(Jobs!$A$5:$A$604,ROW()-4),""))</f>
        <v>0</v>
      </c>
      <c r="B574" s="18">
        <f>IF(A574="","",IFERROR(INDEX(Jobs!$B$5:$B$604,MATCH(A574,Jobs!$A$5:$A$604,0)),""))</f>
        <v>0</v>
      </c>
      <c r="C574" s="23">
        <f>IF(B574="","",TEXT(B574,"yyyy-mm"))</f>
        <v>0</v>
      </c>
      <c r="D574" s="43">
        <f>IF(A574="","",IFERROR(INDEX(Jobs!$G$5:$G$604,MATCH(A574,Jobs!$A$5:$A$604,0)),""))</f>
        <v>0</v>
      </c>
      <c r="E574" s="23">
        <f>IF(A574="","",IFERROR(INDEX(Jobs!$H$5:$H$604,MATCH(A574,Jobs!$A$5:$A$604,0)),""))</f>
        <v>0</v>
      </c>
      <c r="F574" s="23">
        <f>IF(A574="","",IFERROR(INDEX(Jobs!$K$5:$K$604,MATCH(A574,Jobs!$A$5:$A$604,0)),""))</f>
        <v>0</v>
      </c>
      <c r="G574" s="23">
        <f>IF(A574="","",IFERROR(INDEX(Jobs!$M$5:$M$604,MATCH(A574,Jobs!$A$5:$A$604,0)),""))</f>
        <v>0</v>
      </c>
      <c r="H574" s="23">
        <f>IF(A574="","",IFERROR(INDEX(Jobs!$R$5:$R$604,MATCH(A574,Jobs!$A$5:$A$604,0)),""))</f>
        <v>0</v>
      </c>
      <c r="I574" s="39">
        <f>IF(A574="","",IFERROR(INDEX(Jobs!$P$5:$P$604,MATCH(A574,Jobs!$A$5:$A$604,0)),""))</f>
        <v>0</v>
      </c>
      <c r="J574" s="21">
        <f>IF(A574="","",IF(OR(I574="Completed",I574="Invoiced"),IFERROR(INDEX(Jobs!$AJ$5:$AJ$604,MATCH(A574,Jobs!$A$5:$A$604,0)),0),0))</f>
        <v>0</v>
      </c>
      <c r="K574" s="34">
        <f>IF(A574="","",IFERROR(INDEX(Jobs!$AD$5:$AD$604,MATCH(A574,Jobs!$A$5:$A$604,0)),0))</f>
        <v>0</v>
      </c>
      <c r="L574" s="34">
        <f>IF(A574="","",IFERROR(INDEX(Jobs!$AK$5:$AK$604,MATCH(A574,Jobs!$A$5:$A$604,0)),0))</f>
        <v>0</v>
      </c>
      <c r="M574" s="34">
        <f>IF(A574="","",IF(IFERROR(L574*1,0)&gt;0,L574,IFERROR(K574*1,0)))</f>
        <v>0</v>
      </c>
      <c r="N574" s="21">
        <f>IF(A574="","",SUMIFS(Timesheets!$X$5:$X$804,Timesheets!$G$5:$G$804,A574))</f>
        <v>0</v>
      </c>
      <c r="O574" s="21">
        <f>IF(A574="","",IF(N574&gt;0,N574,ROUND(M574*CostPerHour,2)))</f>
        <v>0</v>
      </c>
      <c r="P574" s="21">
        <f>IF(A574="","",SUMIFS('Supply Usage'!$L$5:$L$304,'Supply Usage'!$F$5:$F$304,A574))</f>
        <v>0</v>
      </c>
      <c r="Q574" s="21">
        <f>IF(A574="","",IF(P574&gt;0,P574,ROUND(M574*SuppliesPerHour,2)))</f>
        <v>0</v>
      </c>
      <c r="R574" s="21">
        <f>IF(A574="","",ROUND(IFERROR(INDEX(Jobs!$W$5:$W$604,MATCH(A574,Jobs!$A$5:$A$604,0)),0)*MileageRate,2))</f>
        <v>0</v>
      </c>
      <c r="T574" s="21">
        <f>IF(A574="","",O574+Q574+R574+IF(S574="",0,S574))</f>
        <v>0</v>
      </c>
      <c r="U574" s="21">
        <f>IF(A574="","",J574-T574)</f>
        <v>0</v>
      </c>
      <c r="V574" s="38">
        <f>IF(OR(A574="",J574=0),"",U574/J574)</f>
        <v>0</v>
      </c>
      <c r="W574" s="21">
        <f>IF(OR(A574="",M574=0,J574=0),"",U574/M574)</f>
        <v>0</v>
      </c>
      <c r="X574" s="34">
        <f>IF(OR(A574="",L574="",L574=0,K574=""),"",L574-K574)</f>
        <v>0</v>
      </c>
      <c r="Y574" s="31">
        <f>IF(A574="","",COUNTIFS($U$5:$U$604,"&gt;"&amp;U574)+COUNTIFS($U$5:U574,U574))</f>
        <v>0</v>
      </c>
      <c r="Z574" s="31">
        <f>IF(A574="","",COUNTIFS($W$5:$W$604,"&gt;"&amp;W574)+COUNTIFS($W$5:W574,W574))</f>
        <v>0</v>
      </c>
      <c r="AA574" s="39">
        <f>IF(A574="","",IF(J574=0,"",IF(U574&lt;0,"Loss - this job cost you money",IF(V574&lt;MarginFloor,"Below - margin under the floor",IF(V574&lt;TargetMargin,"Check - under target margin",IF(AND(X574&lt;&gt;"",X574&gt;0.5),"Check - ran over the estimate","OK"))))))</f>
        <v>0</v>
      </c>
    </row>
    <row r="575" spans="1:27">
      <c r="A575" s="43">
        <f>IF(IFERROR(INDEX(Jobs!$A$5:$A$604,ROW()-4),"")="","",IFERROR(INDEX(Jobs!$A$5:$A$604,ROW()-4),""))</f>
        <v>0</v>
      </c>
      <c r="B575" s="18">
        <f>IF(A575="","",IFERROR(INDEX(Jobs!$B$5:$B$604,MATCH(A575,Jobs!$A$5:$A$604,0)),""))</f>
        <v>0</v>
      </c>
      <c r="C575" s="23">
        <f>IF(B575="","",TEXT(B575,"yyyy-mm"))</f>
        <v>0</v>
      </c>
      <c r="D575" s="43">
        <f>IF(A575="","",IFERROR(INDEX(Jobs!$G$5:$G$604,MATCH(A575,Jobs!$A$5:$A$604,0)),""))</f>
        <v>0</v>
      </c>
      <c r="E575" s="23">
        <f>IF(A575="","",IFERROR(INDEX(Jobs!$H$5:$H$604,MATCH(A575,Jobs!$A$5:$A$604,0)),""))</f>
        <v>0</v>
      </c>
      <c r="F575" s="23">
        <f>IF(A575="","",IFERROR(INDEX(Jobs!$K$5:$K$604,MATCH(A575,Jobs!$A$5:$A$604,0)),""))</f>
        <v>0</v>
      </c>
      <c r="G575" s="23">
        <f>IF(A575="","",IFERROR(INDEX(Jobs!$M$5:$M$604,MATCH(A575,Jobs!$A$5:$A$604,0)),""))</f>
        <v>0</v>
      </c>
      <c r="H575" s="23">
        <f>IF(A575="","",IFERROR(INDEX(Jobs!$R$5:$R$604,MATCH(A575,Jobs!$A$5:$A$604,0)),""))</f>
        <v>0</v>
      </c>
      <c r="I575" s="39">
        <f>IF(A575="","",IFERROR(INDEX(Jobs!$P$5:$P$604,MATCH(A575,Jobs!$A$5:$A$604,0)),""))</f>
        <v>0</v>
      </c>
      <c r="J575" s="21">
        <f>IF(A575="","",IF(OR(I575="Completed",I575="Invoiced"),IFERROR(INDEX(Jobs!$AJ$5:$AJ$604,MATCH(A575,Jobs!$A$5:$A$604,0)),0),0))</f>
        <v>0</v>
      </c>
      <c r="K575" s="34">
        <f>IF(A575="","",IFERROR(INDEX(Jobs!$AD$5:$AD$604,MATCH(A575,Jobs!$A$5:$A$604,0)),0))</f>
        <v>0</v>
      </c>
      <c r="L575" s="34">
        <f>IF(A575="","",IFERROR(INDEX(Jobs!$AK$5:$AK$604,MATCH(A575,Jobs!$A$5:$A$604,0)),0))</f>
        <v>0</v>
      </c>
      <c r="M575" s="34">
        <f>IF(A575="","",IF(IFERROR(L575*1,0)&gt;0,L575,IFERROR(K575*1,0)))</f>
        <v>0</v>
      </c>
      <c r="N575" s="21">
        <f>IF(A575="","",SUMIFS(Timesheets!$X$5:$X$804,Timesheets!$G$5:$G$804,A575))</f>
        <v>0</v>
      </c>
      <c r="O575" s="21">
        <f>IF(A575="","",IF(N575&gt;0,N575,ROUND(M575*CostPerHour,2)))</f>
        <v>0</v>
      </c>
      <c r="P575" s="21">
        <f>IF(A575="","",SUMIFS('Supply Usage'!$L$5:$L$304,'Supply Usage'!$F$5:$F$304,A575))</f>
        <v>0</v>
      </c>
      <c r="Q575" s="21">
        <f>IF(A575="","",IF(P575&gt;0,P575,ROUND(M575*SuppliesPerHour,2)))</f>
        <v>0</v>
      </c>
      <c r="R575" s="21">
        <f>IF(A575="","",ROUND(IFERROR(INDEX(Jobs!$W$5:$W$604,MATCH(A575,Jobs!$A$5:$A$604,0)),0)*MileageRate,2))</f>
        <v>0</v>
      </c>
      <c r="T575" s="21">
        <f>IF(A575="","",O575+Q575+R575+IF(S575="",0,S575))</f>
        <v>0</v>
      </c>
      <c r="U575" s="21">
        <f>IF(A575="","",J575-T575)</f>
        <v>0</v>
      </c>
      <c r="V575" s="38">
        <f>IF(OR(A575="",J575=0),"",U575/J575)</f>
        <v>0</v>
      </c>
      <c r="W575" s="21">
        <f>IF(OR(A575="",M575=0,J575=0),"",U575/M575)</f>
        <v>0</v>
      </c>
      <c r="X575" s="34">
        <f>IF(OR(A575="",L575="",L575=0,K575=""),"",L575-K575)</f>
        <v>0</v>
      </c>
      <c r="Y575" s="31">
        <f>IF(A575="","",COUNTIFS($U$5:$U$604,"&gt;"&amp;U575)+COUNTIFS($U$5:U575,U575))</f>
        <v>0</v>
      </c>
      <c r="Z575" s="31">
        <f>IF(A575="","",COUNTIFS($W$5:$W$604,"&gt;"&amp;W575)+COUNTIFS($W$5:W575,W575))</f>
        <v>0</v>
      </c>
      <c r="AA575" s="39">
        <f>IF(A575="","",IF(J575=0,"",IF(U575&lt;0,"Loss - this job cost you money",IF(V575&lt;MarginFloor,"Below - margin under the floor",IF(V575&lt;TargetMargin,"Check - under target margin",IF(AND(X575&lt;&gt;"",X575&gt;0.5),"Check - ran over the estimate","OK"))))))</f>
        <v>0</v>
      </c>
    </row>
    <row r="576" spans="1:27">
      <c r="A576" s="43">
        <f>IF(IFERROR(INDEX(Jobs!$A$5:$A$604,ROW()-4),"")="","",IFERROR(INDEX(Jobs!$A$5:$A$604,ROW()-4),""))</f>
        <v>0</v>
      </c>
      <c r="B576" s="18">
        <f>IF(A576="","",IFERROR(INDEX(Jobs!$B$5:$B$604,MATCH(A576,Jobs!$A$5:$A$604,0)),""))</f>
        <v>0</v>
      </c>
      <c r="C576" s="23">
        <f>IF(B576="","",TEXT(B576,"yyyy-mm"))</f>
        <v>0</v>
      </c>
      <c r="D576" s="43">
        <f>IF(A576="","",IFERROR(INDEX(Jobs!$G$5:$G$604,MATCH(A576,Jobs!$A$5:$A$604,0)),""))</f>
        <v>0</v>
      </c>
      <c r="E576" s="23">
        <f>IF(A576="","",IFERROR(INDEX(Jobs!$H$5:$H$604,MATCH(A576,Jobs!$A$5:$A$604,0)),""))</f>
        <v>0</v>
      </c>
      <c r="F576" s="23">
        <f>IF(A576="","",IFERROR(INDEX(Jobs!$K$5:$K$604,MATCH(A576,Jobs!$A$5:$A$604,0)),""))</f>
        <v>0</v>
      </c>
      <c r="G576" s="23">
        <f>IF(A576="","",IFERROR(INDEX(Jobs!$M$5:$M$604,MATCH(A576,Jobs!$A$5:$A$604,0)),""))</f>
        <v>0</v>
      </c>
      <c r="H576" s="23">
        <f>IF(A576="","",IFERROR(INDEX(Jobs!$R$5:$R$604,MATCH(A576,Jobs!$A$5:$A$604,0)),""))</f>
        <v>0</v>
      </c>
      <c r="I576" s="39">
        <f>IF(A576="","",IFERROR(INDEX(Jobs!$P$5:$P$604,MATCH(A576,Jobs!$A$5:$A$604,0)),""))</f>
        <v>0</v>
      </c>
      <c r="J576" s="21">
        <f>IF(A576="","",IF(OR(I576="Completed",I576="Invoiced"),IFERROR(INDEX(Jobs!$AJ$5:$AJ$604,MATCH(A576,Jobs!$A$5:$A$604,0)),0),0))</f>
        <v>0</v>
      </c>
      <c r="K576" s="34">
        <f>IF(A576="","",IFERROR(INDEX(Jobs!$AD$5:$AD$604,MATCH(A576,Jobs!$A$5:$A$604,0)),0))</f>
        <v>0</v>
      </c>
      <c r="L576" s="34">
        <f>IF(A576="","",IFERROR(INDEX(Jobs!$AK$5:$AK$604,MATCH(A576,Jobs!$A$5:$A$604,0)),0))</f>
        <v>0</v>
      </c>
      <c r="M576" s="34">
        <f>IF(A576="","",IF(IFERROR(L576*1,0)&gt;0,L576,IFERROR(K576*1,0)))</f>
        <v>0</v>
      </c>
      <c r="N576" s="21">
        <f>IF(A576="","",SUMIFS(Timesheets!$X$5:$X$804,Timesheets!$G$5:$G$804,A576))</f>
        <v>0</v>
      </c>
      <c r="O576" s="21">
        <f>IF(A576="","",IF(N576&gt;0,N576,ROUND(M576*CostPerHour,2)))</f>
        <v>0</v>
      </c>
      <c r="P576" s="21">
        <f>IF(A576="","",SUMIFS('Supply Usage'!$L$5:$L$304,'Supply Usage'!$F$5:$F$304,A576))</f>
        <v>0</v>
      </c>
      <c r="Q576" s="21">
        <f>IF(A576="","",IF(P576&gt;0,P576,ROUND(M576*SuppliesPerHour,2)))</f>
        <v>0</v>
      </c>
      <c r="R576" s="21">
        <f>IF(A576="","",ROUND(IFERROR(INDEX(Jobs!$W$5:$W$604,MATCH(A576,Jobs!$A$5:$A$604,0)),0)*MileageRate,2))</f>
        <v>0</v>
      </c>
      <c r="T576" s="21">
        <f>IF(A576="","",O576+Q576+R576+IF(S576="",0,S576))</f>
        <v>0</v>
      </c>
      <c r="U576" s="21">
        <f>IF(A576="","",J576-T576)</f>
        <v>0</v>
      </c>
      <c r="V576" s="38">
        <f>IF(OR(A576="",J576=0),"",U576/J576)</f>
        <v>0</v>
      </c>
      <c r="W576" s="21">
        <f>IF(OR(A576="",M576=0,J576=0),"",U576/M576)</f>
        <v>0</v>
      </c>
      <c r="X576" s="34">
        <f>IF(OR(A576="",L576="",L576=0,K576=""),"",L576-K576)</f>
        <v>0</v>
      </c>
      <c r="Y576" s="31">
        <f>IF(A576="","",COUNTIFS($U$5:$U$604,"&gt;"&amp;U576)+COUNTIFS($U$5:U576,U576))</f>
        <v>0</v>
      </c>
      <c r="Z576" s="31">
        <f>IF(A576="","",COUNTIFS($W$5:$W$604,"&gt;"&amp;W576)+COUNTIFS($W$5:W576,W576))</f>
        <v>0</v>
      </c>
      <c r="AA576" s="39">
        <f>IF(A576="","",IF(J576=0,"",IF(U576&lt;0,"Loss - this job cost you money",IF(V576&lt;MarginFloor,"Below - margin under the floor",IF(V576&lt;TargetMargin,"Check - under target margin",IF(AND(X576&lt;&gt;"",X576&gt;0.5),"Check - ran over the estimate","OK"))))))</f>
        <v>0</v>
      </c>
    </row>
    <row r="577" spans="1:27">
      <c r="A577" s="43">
        <f>IF(IFERROR(INDEX(Jobs!$A$5:$A$604,ROW()-4),"")="","",IFERROR(INDEX(Jobs!$A$5:$A$604,ROW()-4),""))</f>
        <v>0</v>
      </c>
      <c r="B577" s="18">
        <f>IF(A577="","",IFERROR(INDEX(Jobs!$B$5:$B$604,MATCH(A577,Jobs!$A$5:$A$604,0)),""))</f>
        <v>0</v>
      </c>
      <c r="C577" s="23">
        <f>IF(B577="","",TEXT(B577,"yyyy-mm"))</f>
        <v>0</v>
      </c>
      <c r="D577" s="43">
        <f>IF(A577="","",IFERROR(INDEX(Jobs!$G$5:$G$604,MATCH(A577,Jobs!$A$5:$A$604,0)),""))</f>
        <v>0</v>
      </c>
      <c r="E577" s="23">
        <f>IF(A577="","",IFERROR(INDEX(Jobs!$H$5:$H$604,MATCH(A577,Jobs!$A$5:$A$604,0)),""))</f>
        <v>0</v>
      </c>
      <c r="F577" s="23">
        <f>IF(A577="","",IFERROR(INDEX(Jobs!$K$5:$K$604,MATCH(A577,Jobs!$A$5:$A$604,0)),""))</f>
        <v>0</v>
      </c>
      <c r="G577" s="23">
        <f>IF(A577="","",IFERROR(INDEX(Jobs!$M$5:$M$604,MATCH(A577,Jobs!$A$5:$A$604,0)),""))</f>
        <v>0</v>
      </c>
      <c r="H577" s="23">
        <f>IF(A577="","",IFERROR(INDEX(Jobs!$R$5:$R$604,MATCH(A577,Jobs!$A$5:$A$604,0)),""))</f>
        <v>0</v>
      </c>
      <c r="I577" s="39">
        <f>IF(A577="","",IFERROR(INDEX(Jobs!$P$5:$P$604,MATCH(A577,Jobs!$A$5:$A$604,0)),""))</f>
        <v>0</v>
      </c>
      <c r="J577" s="21">
        <f>IF(A577="","",IF(OR(I577="Completed",I577="Invoiced"),IFERROR(INDEX(Jobs!$AJ$5:$AJ$604,MATCH(A577,Jobs!$A$5:$A$604,0)),0),0))</f>
        <v>0</v>
      </c>
      <c r="K577" s="34">
        <f>IF(A577="","",IFERROR(INDEX(Jobs!$AD$5:$AD$604,MATCH(A577,Jobs!$A$5:$A$604,0)),0))</f>
        <v>0</v>
      </c>
      <c r="L577" s="34">
        <f>IF(A577="","",IFERROR(INDEX(Jobs!$AK$5:$AK$604,MATCH(A577,Jobs!$A$5:$A$604,0)),0))</f>
        <v>0</v>
      </c>
      <c r="M577" s="34">
        <f>IF(A577="","",IF(IFERROR(L577*1,0)&gt;0,L577,IFERROR(K577*1,0)))</f>
        <v>0</v>
      </c>
      <c r="N577" s="21">
        <f>IF(A577="","",SUMIFS(Timesheets!$X$5:$X$804,Timesheets!$G$5:$G$804,A577))</f>
        <v>0</v>
      </c>
      <c r="O577" s="21">
        <f>IF(A577="","",IF(N577&gt;0,N577,ROUND(M577*CostPerHour,2)))</f>
        <v>0</v>
      </c>
      <c r="P577" s="21">
        <f>IF(A577="","",SUMIFS('Supply Usage'!$L$5:$L$304,'Supply Usage'!$F$5:$F$304,A577))</f>
        <v>0</v>
      </c>
      <c r="Q577" s="21">
        <f>IF(A577="","",IF(P577&gt;0,P577,ROUND(M577*SuppliesPerHour,2)))</f>
        <v>0</v>
      </c>
      <c r="R577" s="21">
        <f>IF(A577="","",ROUND(IFERROR(INDEX(Jobs!$W$5:$W$604,MATCH(A577,Jobs!$A$5:$A$604,0)),0)*MileageRate,2))</f>
        <v>0</v>
      </c>
      <c r="T577" s="21">
        <f>IF(A577="","",O577+Q577+R577+IF(S577="",0,S577))</f>
        <v>0</v>
      </c>
      <c r="U577" s="21">
        <f>IF(A577="","",J577-T577)</f>
        <v>0</v>
      </c>
      <c r="V577" s="38">
        <f>IF(OR(A577="",J577=0),"",U577/J577)</f>
        <v>0</v>
      </c>
      <c r="W577" s="21">
        <f>IF(OR(A577="",M577=0,J577=0),"",U577/M577)</f>
        <v>0</v>
      </c>
      <c r="X577" s="34">
        <f>IF(OR(A577="",L577="",L577=0,K577=""),"",L577-K577)</f>
        <v>0</v>
      </c>
      <c r="Y577" s="31">
        <f>IF(A577="","",COUNTIFS($U$5:$U$604,"&gt;"&amp;U577)+COUNTIFS($U$5:U577,U577))</f>
        <v>0</v>
      </c>
      <c r="Z577" s="31">
        <f>IF(A577="","",COUNTIFS($W$5:$W$604,"&gt;"&amp;W577)+COUNTIFS($W$5:W577,W577))</f>
        <v>0</v>
      </c>
      <c r="AA577" s="39">
        <f>IF(A577="","",IF(J577=0,"",IF(U577&lt;0,"Loss - this job cost you money",IF(V577&lt;MarginFloor,"Below - margin under the floor",IF(V577&lt;TargetMargin,"Check - under target margin",IF(AND(X577&lt;&gt;"",X577&gt;0.5),"Check - ran over the estimate","OK"))))))</f>
        <v>0</v>
      </c>
    </row>
    <row r="578" spans="1:27">
      <c r="A578" s="43">
        <f>IF(IFERROR(INDEX(Jobs!$A$5:$A$604,ROW()-4),"")="","",IFERROR(INDEX(Jobs!$A$5:$A$604,ROW()-4),""))</f>
        <v>0</v>
      </c>
      <c r="B578" s="18">
        <f>IF(A578="","",IFERROR(INDEX(Jobs!$B$5:$B$604,MATCH(A578,Jobs!$A$5:$A$604,0)),""))</f>
        <v>0</v>
      </c>
      <c r="C578" s="23">
        <f>IF(B578="","",TEXT(B578,"yyyy-mm"))</f>
        <v>0</v>
      </c>
      <c r="D578" s="43">
        <f>IF(A578="","",IFERROR(INDEX(Jobs!$G$5:$G$604,MATCH(A578,Jobs!$A$5:$A$604,0)),""))</f>
        <v>0</v>
      </c>
      <c r="E578" s="23">
        <f>IF(A578="","",IFERROR(INDEX(Jobs!$H$5:$H$604,MATCH(A578,Jobs!$A$5:$A$604,0)),""))</f>
        <v>0</v>
      </c>
      <c r="F578" s="23">
        <f>IF(A578="","",IFERROR(INDEX(Jobs!$K$5:$K$604,MATCH(A578,Jobs!$A$5:$A$604,0)),""))</f>
        <v>0</v>
      </c>
      <c r="G578" s="23">
        <f>IF(A578="","",IFERROR(INDEX(Jobs!$M$5:$M$604,MATCH(A578,Jobs!$A$5:$A$604,0)),""))</f>
        <v>0</v>
      </c>
      <c r="H578" s="23">
        <f>IF(A578="","",IFERROR(INDEX(Jobs!$R$5:$R$604,MATCH(A578,Jobs!$A$5:$A$604,0)),""))</f>
        <v>0</v>
      </c>
      <c r="I578" s="39">
        <f>IF(A578="","",IFERROR(INDEX(Jobs!$P$5:$P$604,MATCH(A578,Jobs!$A$5:$A$604,0)),""))</f>
        <v>0</v>
      </c>
      <c r="J578" s="21">
        <f>IF(A578="","",IF(OR(I578="Completed",I578="Invoiced"),IFERROR(INDEX(Jobs!$AJ$5:$AJ$604,MATCH(A578,Jobs!$A$5:$A$604,0)),0),0))</f>
        <v>0</v>
      </c>
      <c r="K578" s="34">
        <f>IF(A578="","",IFERROR(INDEX(Jobs!$AD$5:$AD$604,MATCH(A578,Jobs!$A$5:$A$604,0)),0))</f>
        <v>0</v>
      </c>
      <c r="L578" s="34">
        <f>IF(A578="","",IFERROR(INDEX(Jobs!$AK$5:$AK$604,MATCH(A578,Jobs!$A$5:$A$604,0)),0))</f>
        <v>0</v>
      </c>
      <c r="M578" s="34">
        <f>IF(A578="","",IF(IFERROR(L578*1,0)&gt;0,L578,IFERROR(K578*1,0)))</f>
        <v>0</v>
      </c>
      <c r="N578" s="21">
        <f>IF(A578="","",SUMIFS(Timesheets!$X$5:$X$804,Timesheets!$G$5:$G$804,A578))</f>
        <v>0</v>
      </c>
      <c r="O578" s="21">
        <f>IF(A578="","",IF(N578&gt;0,N578,ROUND(M578*CostPerHour,2)))</f>
        <v>0</v>
      </c>
      <c r="P578" s="21">
        <f>IF(A578="","",SUMIFS('Supply Usage'!$L$5:$L$304,'Supply Usage'!$F$5:$F$304,A578))</f>
        <v>0</v>
      </c>
      <c r="Q578" s="21">
        <f>IF(A578="","",IF(P578&gt;0,P578,ROUND(M578*SuppliesPerHour,2)))</f>
        <v>0</v>
      </c>
      <c r="R578" s="21">
        <f>IF(A578="","",ROUND(IFERROR(INDEX(Jobs!$W$5:$W$604,MATCH(A578,Jobs!$A$5:$A$604,0)),0)*MileageRate,2))</f>
        <v>0</v>
      </c>
      <c r="T578" s="21">
        <f>IF(A578="","",O578+Q578+R578+IF(S578="",0,S578))</f>
        <v>0</v>
      </c>
      <c r="U578" s="21">
        <f>IF(A578="","",J578-T578)</f>
        <v>0</v>
      </c>
      <c r="V578" s="38">
        <f>IF(OR(A578="",J578=0),"",U578/J578)</f>
        <v>0</v>
      </c>
      <c r="W578" s="21">
        <f>IF(OR(A578="",M578=0,J578=0),"",U578/M578)</f>
        <v>0</v>
      </c>
      <c r="X578" s="34">
        <f>IF(OR(A578="",L578="",L578=0,K578=""),"",L578-K578)</f>
        <v>0</v>
      </c>
      <c r="Y578" s="31">
        <f>IF(A578="","",COUNTIFS($U$5:$U$604,"&gt;"&amp;U578)+COUNTIFS($U$5:U578,U578))</f>
        <v>0</v>
      </c>
      <c r="Z578" s="31">
        <f>IF(A578="","",COUNTIFS($W$5:$W$604,"&gt;"&amp;W578)+COUNTIFS($W$5:W578,W578))</f>
        <v>0</v>
      </c>
      <c r="AA578" s="39">
        <f>IF(A578="","",IF(J578=0,"",IF(U578&lt;0,"Loss - this job cost you money",IF(V578&lt;MarginFloor,"Below - margin under the floor",IF(V578&lt;TargetMargin,"Check - under target margin",IF(AND(X578&lt;&gt;"",X578&gt;0.5),"Check - ran over the estimate","OK"))))))</f>
        <v>0</v>
      </c>
    </row>
    <row r="579" spans="1:27">
      <c r="A579" s="43">
        <f>IF(IFERROR(INDEX(Jobs!$A$5:$A$604,ROW()-4),"")="","",IFERROR(INDEX(Jobs!$A$5:$A$604,ROW()-4),""))</f>
        <v>0</v>
      </c>
      <c r="B579" s="18">
        <f>IF(A579="","",IFERROR(INDEX(Jobs!$B$5:$B$604,MATCH(A579,Jobs!$A$5:$A$604,0)),""))</f>
        <v>0</v>
      </c>
      <c r="C579" s="23">
        <f>IF(B579="","",TEXT(B579,"yyyy-mm"))</f>
        <v>0</v>
      </c>
      <c r="D579" s="43">
        <f>IF(A579="","",IFERROR(INDEX(Jobs!$G$5:$G$604,MATCH(A579,Jobs!$A$5:$A$604,0)),""))</f>
        <v>0</v>
      </c>
      <c r="E579" s="23">
        <f>IF(A579="","",IFERROR(INDEX(Jobs!$H$5:$H$604,MATCH(A579,Jobs!$A$5:$A$604,0)),""))</f>
        <v>0</v>
      </c>
      <c r="F579" s="23">
        <f>IF(A579="","",IFERROR(INDEX(Jobs!$K$5:$K$604,MATCH(A579,Jobs!$A$5:$A$604,0)),""))</f>
        <v>0</v>
      </c>
      <c r="G579" s="23">
        <f>IF(A579="","",IFERROR(INDEX(Jobs!$M$5:$M$604,MATCH(A579,Jobs!$A$5:$A$604,0)),""))</f>
        <v>0</v>
      </c>
      <c r="H579" s="23">
        <f>IF(A579="","",IFERROR(INDEX(Jobs!$R$5:$R$604,MATCH(A579,Jobs!$A$5:$A$604,0)),""))</f>
        <v>0</v>
      </c>
      <c r="I579" s="39">
        <f>IF(A579="","",IFERROR(INDEX(Jobs!$P$5:$P$604,MATCH(A579,Jobs!$A$5:$A$604,0)),""))</f>
        <v>0</v>
      </c>
      <c r="J579" s="21">
        <f>IF(A579="","",IF(OR(I579="Completed",I579="Invoiced"),IFERROR(INDEX(Jobs!$AJ$5:$AJ$604,MATCH(A579,Jobs!$A$5:$A$604,0)),0),0))</f>
        <v>0</v>
      </c>
      <c r="K579" s="34">
        <f>IF(A579="","",IFERROR(INDEX(Jobs!$AD$5:$AD$604,MATCH(A579,Jobs!$A$5:$A$604,0)),0))</f>
        <v>0</v>
      </c>
      <c r="L579" s="34">
        <f>IF(A579="","",IFERROR(INDEX(Jobs!$AK$5:$AK$604,MATCH(A579,Jobs!$A$5:$A$604,0)),0))</f>
        <v>0</v>
      </c>
      <c r="M579" s="34">
        <f>IF(A579="","",IF(IFERROR(L579*1,0)&gt;0,L579,IFERROR(K579*1,0)))</f>
        <v>0</v>
      </c>
      <c r="N579" s="21">
        <f>IF(A579="","",SUMIFS(Timesheets!$X$5:$X$804,Timesheets!$G$5:$G$804,A579))</f>
        <v>0</v>
      </c>
      <c r="O579" s="21">
        <f>IF(A579="","",IF(N579&gt;0,N579,ROUND(M579*CostPerHour,2)))</f>
        <v>0</v>
      </c>
      <c r="P579" s="21">
        <f>IF(A579="","",SUMIFS('Supply Usage'!$L$5:$L$304,'Supply Usage'!$F$5:$F$304,A579))</f>
        <v>0</v>
      </c>
      <c r="Q579" s="21">
        <f>IF(A579="","",IF(P579&gt;0,P579,ROUND(M579*SuppliesPerHour,2)))</f>
        <v>0</v>
      </c>
      <c r="R579" s="21">
        <f>IF(A579="","",ROUND(IFERROR(INDEX(Jobs!$W$5:$W$604,MATCH(A579,Jobs!$A$5:$A$604,0)),0)*MileageRate,2))</f>
        <v>0</v>
      </c>
      <c r="T579" s="21">
        <f>IF(A579="","",O579+Q579+R579+IF(S579="",0,S579))</f>
        <v>0</v>
      </c>
      <c r="U579" s="21">
        <f>IF(A579="","",J579-T579)</f>
        <v>0</v>
      </c>
      <c r="V579" s="38">
        <f>IF(OR(A579="",J579=0),"",U579/J579)</f>
        <v>0</v>
      </c>
      <c r="W579" s="21">
        <f>IF(OR(A579="",M579=0,J579=0),"",U579/M579)</f>
        <v>0</v>
      </c>
      <c r="X579" s="34">
        <f>IF(OR(A579="",L579="",L579=0,K579=""),"",L579-K579)</f>
        <v>0</v>
      </c>
      <c r="Y579" s="31">
        <f>IF(A579="","",COUNTIFS($U$5:$U$604,"&gt;"&amp;U579)+COUNTIFS($U$5:U579,U579))</f>
        <v>0</v>
      </c>
      <c r="Z579" s="31">
        <f>IF(A579="","",COUNTIFS($W$5:$W$604,"&gt;"&amp;W579)+COUNTIFS($W$5:W579,W579))</f>
        <v>0</v>
      </c>
      <c r="AA579" s="39">
        <f>IF(A579="","",IF(J579=0,"",IF(U579&lt;0,"Loss - this job cost you money",IF(V579&lt;MarginFloor,"Below - margin under the floor",IF(V579&lt;TargetMargin,"Check - under target margin",IF(AND(X579&lt;&gt;"",X579&gt;0.5),"Check - ran over the estimate","OK"))))))</f>
        <v>0</v>
      </c>
    </row>
    <row r="580" spans="1:27">
      <c r="A580" s="43">
        <f>IF(IFERROR(INDEX(Jobs!$A$5:$A$604,ROW()-4),"")="","",IFERROR(INDEX(Jobs!$A$5:$A$604,ROW()-4),""))</f>
        <v>0</v>
      </c>
      <c r="B580" s="18">
        <f>IF(A580="","",IFERROR(INDEX(Jobs!$B$5:$B$604,MATCH(A580,Jobs!$A$5:$A$604,0)),""))</f>
        <v>0</v>
      </c>
      <c r="C580" s="23">
        <f>IF(B580="","",TEXT(B580,"yyyy-mm"))</f>
        <v>0</v>
      </c>
      <c r="D580" s="43">
        <f>IF(A580="","",IFERROR(INDEX(Jobs!$G$5:$G$604,MATCH(A580,Jobs!$A$5:$A$604,0)),""))</f>
        <v>0</v>
      </c>
      <c r="E580" s="23">
        <f>IF(A580="","",IFERROR(INDEX(Jobs!$H$5:$H$604,MATCH(A580,Jobs!$A$5:$A$604,0)),""))</f>
        <v>0</v>
      </c>
      <c r="F580" s="23">
        <f>IF(A580="","",IFERROR(INDEX(Jobs!$K$5:$K$604,MATCH(A580,Jobs!$A$5:$A$604,0)),""))</f>
        <v>0</v>
      </c>
      <c r="G580" s="23">
        <f>IF(A580="","",IFERROR(INDEX(Jobs!$M$5:$M$604,MATCH(A580,Jobs!$A$5:$A$604,0)),""))</f>
        <v>0</v>
      </c>
      <c r="H580" s="23">
        <f>IF(A580="","",IFERROR(INDEX(Jobs!$R$5:$R$604,MATCH(A580,Jobs!$A$5:$A$604,0)),""))</f>
        <v>0</v>
      </c>
      <c r="I580" s="39">
        <f>IF(A580="","",IFERROR(INDEX(Jobs!$P$5:$P$604,MATCH(A580,Jobs!$A$5:$A$604,0)),""))</f>
        <v>0</v>
      </c>
      <c r="J580" s="21">
        <f>IF(A580="","",IF(OR(I580="Completed",I580="Invoiced"),IFERROR(INDEX(Jobs!$AJ$5:$AJ$604,MATCH(A580,Jobs!$A$5:$A$604,0)),0),0))</f>
        <v>0</v>
      </c>
      <c r="K580" s="34">
        <f>IF(A580="","",IFERROR(INDEX(Jobs!$AD$5:$AD$604,MATCH(A580,Jobs!$A$5:$A$604,0)),0))</f>
        <v>0</v>
      </c>
      <c r="L580" s="34">
        <f>IF(A580="","",IFERROR(INDEX(Jobs!$AK$5:$AK$604,MATCH(A580,Jobs!$A$5:$A$604,0)),0))</f>
        <v>0</v>
      </c>
      <c r="M580" s="34">
        <f>IF(A580="","",IF(IFERROR(L580*1,0)&gt;0,L580,IFERROR(K580*1,0)))</f>
        <v>0</v>
      </c>
      <c r="N580" s="21">
        <f>IF(A580="","",SUMIFS(Timesheets!$X$5:$X$804,Timesheets!$G$5:$G$804,A580))</f>
        <v>0</v>
      </c>
      <c r="O580" s="21">
        <f>IF(A580="","",IF(N580&gt;0,N580,ROUND(M580*CostPerHour,2)))</f>
        <v>0</v>
      </c>
      <c r="P580" s="21">
        <f>IF(A580="","",SUMIFS('Supply Usage'!$L$5:$L$304,'Supply Usage'!$F$5:$F$304,A580))</f>
        <v>0</v>
      </c>
      <c r="Q580" s="21">
        <f>IF(A580="","",IF(P580&gt;0,P580,ROUND(M580*SuppliesPerHour,2)))</f>
        <v>0</v>
      </c>
      <c r="R580" s="21">
        <f>IF(A580="","",ROUND(IFERROR(INDEX(Jobs!$W$5:$W$604,MATCH(A580,Jobs!$A$5:$A$604,0)),0)*MileageRate,2))</f>
        <v>0</v>
      </c>
      <c r="T580" s="21">
        <f>IF(A580="","",O580+Q580+R580+IF(S580="",0,S580))</f>
        <v>0</v>
      </c>
      <c r="U580" s="21">
        <f>IF(A580="","",J580-T580)</f>
        <v>0</v>
      </c>
      <c r="V580" s="38">
        <f>IF(OR(A580="",J580=0),"",U580/J580)</f>
        <v>0</v>
      </c>
      <c r="W580" s="21">
        <f>IF(OR(A580="",M580=0,J580=0),"",U580/M580)</f>
        <v>0</v>
      </c>
      <c r="X580" s="34">
        <f>IF(OR(A580="",L580="",L580=0,K580=""),"",L580-K580)</f>
        <v>0</v>
      </c>
      <c r="Y580" s="31">
        <f>IF(A580="","",COUNTIFS($U$5:$U$604,"&gt;"&amp;U580)+COUNTIFS($U$5:U580,U580))</f>
        <v>0</v>
      </c>
      <c r="Z580" s="31">
        <f>IF(A580="","",COUNTIFS($W$5:$W$604,"&gt;"&amp;W580)+COUNTIFS($W$5:W580,W580))</f>
        <v>0</v>
      </c>
      <c r="AA580" s="39">
        <f>IF(A580="","",IF(J580=0,"",IF(U580&lt;0,"Loss - this job cost you money",IF(V580&lt;MarginFloor,"Below - margin under the floor",IF(V580&lt;TargetMargin,"Check - under target margin",IF(AND(X580&lt;&gt;"",X580&gt;0.5),"Check - ran over the estimate","OK"))))))</f>
        <v>0</v>
      </c>
    </row>
    <row r="581" spans="1:27">
      <c r="A581" s="43">
        <f>IF(IFERROR(INDEX(Jobs!$A$5:$A$604,ROW()-4),"")="","",IFERROR(INDEX(Jobs!$A$5:$A$604,ROW()-4),""))</f>
        <v>0</v>
      </c>
      <c r="B581" s="18">
        <f>IF(A581="","",IFERROR(INDEX(Jobs!$B$5:$B$604,MATCH(A581,Jobs!$A$5:$A$604,0)),""))</f>
        <v>0</v>
      </c>
      <c r="C581" s="23">
        <f>IF(B581="","",TEXT(B581,"yyyy-mm"))</f>
        <v>0</v>
      </c>
      <c r="D581" s="43">
        <f>IF(A581="","",IFERROR(INDEX(Jobs!$G$5:$G$604,MATCH(A581,Jobs!$A$5:$A$604,0)),""))</f>
        <v>0</v>
      </c>
      <c r="E581" s="23">
        <f>IF(A581="","",IFERROR(INDEX(Jobs!$H$5:$H$604,MATCH(A581,Jobs!$A$5:$A$604,0)),""))</f>
        <v>0</v>
      </c>
      <c r="F581" s="23">
        <f>IF(A581="","",IFERROR(INDEX(Jobs!$K$5:$K$604,MATCH(A581,Jobs!$A$5:$A$604,0)),""))</f>
        <v>0</v>
      </c>
      <c r="G581" s="23">
        <f>IF(A581="","",IFERROR(INDEX(Jobs!$M$5:$M$604,MATCH(A581,Jobs!$A$5:$A$604,0)),""))</f>
        <v>0</v>
      </c>
      <c r="H581" s="23">
        <f>IF(A581="","",IFERROR(INDEX(Jobs!$R$5:$R$604,MATCH(A581,Jobs!$A$5:$A$604,0)),""))</f>
        <v>0</v>
      </c>
      <c r="I581" s="39">
        <f>IF(A581="","",IFERROR(INDEX(Jobs!$P$5:$P$604,MATCH(A581,Jobs!$A$5:$A$604,0)),""))</f>
        <v>0</v>
      </c>
      <c r="J581" s="21">
        <f>IF(A581="","",IF(OR(I581="Completed",I581="Invoiced"),IFERROR(INDEX(Jobs!$AJ$5:$AJ$604,MATCH(A581,Jobs!$A$5:$A$604,0)),0),0))</f>
        <v>0</v>
      </c>
      <c r="K581" s="34">
        <f>IF(A581="","",IFERROR(INDEX(Jobs!$AD$5:$AD$604,MATCH(A581,Jobs!$A$5:$A$604,0)),0))</f>
        <v>0</v>
      </c>
      <c r="L581" s="34">
        <f>IF(A581="","",IFERROR(INDEX(Jobs!$AK$5:$AK$604,MATCH(A581,Jobs!$A$5:$A$604,0)),0))</f>
        <v>0</v>
      </c>
      <c r="M581" s="34">
        <f>IF(A581="","",IF(IFERROR(L581*1,0)&gt;0,L581,IFERROR(K581*1,0)))</f>
        <v>0</v>
      </c>
      <c r="N581" s="21">
        <f>IF(A581="","",SUMIFS(Timesheets!$X$5:$X$804,Timesheets!$G$5:$G$804,A581))</f>
        <v>0</v>
      </c>
      <c r="O581" s="21">
        <f>IF(A581="","",IF(N581&gt;0,N581,ROUND(M581*CostPerHour,2)))</f>
        <v>0</v>
      </c>
      <c r="P581" s="21">
        <f>IF(A581="","",SUMIFS('Supply Usage'!$L$5:$L$304,'Supply Usage'!$F$5:$F$304,A581))</f>
        <v>0</v>
      </c>
      <c r="Q581" s="21">
        <f>IF(A581="","",IF(P581&gt;0,P581,ROUND(M581*SuppliesPerHour,2)))</f>
        <v>0</v>
      </c>
      <c r="R581" s="21">
        <f>IF(A581="","",ROUND(IFERROR(INDEX(Jobs!$W$5:$W$604,MATCH(A581,Jobs!$A$5:$A$604,0)),0)*MileageRate,2))</f>
        <v>0</v>
      </c>
      <c r="T581" s="21">
        <f>IF(A581="","",O581+Q581+R581+IF(S581="",0,S581))</f>
        <v>0</v>
      </c>
      <c r="U581" s="21">
        <f>IF(A581="","",J581-T581)</f>
        <v>0</v>
      </c>
      <c r="V581" s="38">
        <f>IF(OR(A581="",J581=0),"",U581/J581)</f>
        <v>0</v>
      </c>
      <c r="W581" s="21">
        <f>IF(OR(A581="",M581=0,J581=0),"",U581/M581)</f>
        <v>0</v>
      </c>
      <c r="X581" s="34">
        <f>IF(OR(A581="",L581="",L581=0,K581=""),"",L581-K581)</f>
        <v>0</v>
      </c>
      <c r="Y581" s="31">
        <f>IF(A581="","",COUNTIFS($U$5:$U$604,"&gt;"&amp;U581)+COUNTIFS($U$5:U581,U581))</f>
        <v>0</v>
      </c>
      <c r="Z581" s="31">
        <f>IF(A581="","",COUNTIFS($W$5:$W$604,"&gt;"&amp;W581)+COUNTIFS($W$5:W581,W581))</f>
        <v>0</v>
      </c>
      <c r="AA581" s="39">
        <f>IF(A581="","",IF(J581=0,"",IF(U581&lt;0,"Loss - this job cost you money",IF(V581&lt;MarginFloor,"Below - margin under the floor",IF(V581&lt;TargetMargin,"Check - under target margin",IF(AND(X581&lt;&gt;"",X581&gt;0.5),"Check - ran over the estimate","OK"))))))</f>
        <v>0</v>
      </c>
    </row>
    <row r="582" spans="1:27">
      <c r="A582" s="43">
        <f>IF(IFERROR(INDEX(Jobs!$A$5:$A$604,ROW()-4),"")="","",IFERROR(INDEX(Jobs!$A$5:$A$604,ROW()-4),""))</f>
        <v>0</v>
      </c>
      <c r="B582" s="18">
        <f>IF(A582="","",IFERROR(INDEX(Jobs!$B$5:$B$604,MATCH(A582,Jobs!$A$5:$A$604,0)),""))</f>
        <v>0</v>
      </c>
      <c r="C582" s="23">
        <f>IF(B582="","",TEXT(B582,"yyyy-mm"))</f>
        <v>0</v>
      </c>
      <c r="D582" s="43">
        <f>IF(A582="","",IFERROR(INDEX(Jobs!$G$5:$G$604,MATCH(A582,Jobs!$A$5:$A$604,0)),""))</f>
        <v>0</v>
      </c>
      <c r="E582" s="23">
        <f>IF(A582="","",IFERROR(INDEX(Jobs!$H$5:$H$604,MATCH(A582,Jobs!$A$5:$A$604,0)),""))</f>
        <v>0</v>
      </c>
      <c r="F582" s="23">
        <f>IF(A582="","",IFERROR(INDEX(Jobs!$K$5:$K$604,MATCH(A582,Jobs!$A$5:$A$604,0)),""))</f>
        <v>0</v>
      </c>
      <c r="G582" s="23">
        <f>IF(A582="","",IFERROR(INDEX(Jobs!$M$5:$M$604,MATCH(A582,Jobs!$A$5:$A$604,0)),""))</f>
        <v>0</v>
      </c>
      <c r="H582" s="23">
        <f>IF(A582="","",IFERROR(INDEX(Jobs!$R$5:$R$604,MATCH(A582,Jobs!$A$5:$A$604,0)),""))</f>
        <v>0</v>
      </c>
      <c r="I582" s="39">
        <f>IF(A582="","",IFERROR(INDEX(Jobs!$P$5:$P$604,MATCH(A582,Jobs!$A$5:$A$604,0)),""))</f>
        <v>0</v>
      </c>
      <c r="J582" s="21">
        <f>IF(A582="","",IF(OR(I582="Completed",I582="Invoiced"),IFERROR(INDEX(Jobs!$AJ$5:$AJ$604,MATCH(A582,Jobs!$A$5:$A$604,0)),0),0))</f>
        <v>0</v>
      </c>
      <c r="K582" s="34">
        <f>IF(A582="","",IFERROR(INDEX(Jobs!$AD$5:$AD$604,MATCH(A582,Jobs!$A$5:$A$604,0)),0))</f>
        <v>0</v>
      </c>
      <c r="L582" s="34">
        <f>IF(A582="","",IFERROR(INDEX(Jobs!$AK$5:$AK$604,MATCH(A582,Jobs!$A$5:$A$604,0)),0))</f>
        <v>0</v>
      </c>
      <c r="M582" s="34">
        <f>IF(A582="","",IF(IFERROR(L582*1,0)&gt;0,L582,IFERROR(K582*1,0)))</f>
        <v>0</v>
      </c>
      <c r="N582" s="21">
        <f>IF(A582="","",SUMIFS(Timesheets!$X$5:$X$804,Timesheets!$G$5:$G$804,A582))</f>
        <v>0</v>
      </c>
      <c r="O582" s="21">
        <f>IF(A582="","",IF(N582&gt;0,N582,ROUND(M582*CostPerHour,2)))</f>
        <v>0</v>
      </c>
      <c r="P582" s="21">
        <f>IF(A582="","",SUMIFS('Supply Usage'!$L$5:$L$304,'Supply Usage'!$F$5:$F$304,A582))</f>
        <v>0</v>
      </c>
      <c r="Q582" s="21">
        <f>IF(A582="","",IF(P582&gt;0,P582,ROUND(M582*SuppliesPerHour,2)))</f>
        <v>0</v>
      </c>
      <c r="R582" s="21">
        <f>IF(A582="","",ROUND(IFERROR(INDEX(Jobs!$W$5:$W$604,MATCH(A582,Jobs!$A$5:$A$604,0)),0)*MileageRate,2))</f>
        <v>0</v>
      </c>
      <c r="T582" s="21">
        <f>IF(A582="","",O582+Q582+R582+IF(S582="",0,S582))</f>
        <v>0</v>
      </c>
      <c r="U582" s="21">
        <f>IF(A582="","",J582-T582)</f>
        <v>0</v>
      </c>
      <c r="V582" s="38">
        <f>IF(OR(A582="",J582=0),"",U582/J582)</f>
        <v>0</v>
      </c>
      <c r="W582" s="21">
        <f>IF(OR(A582="",M582=0,J582=0),"",U582/M582)</f>
        <v>0</v>
      </c>
      <c r="X582" s="34">
        <f>IF(OR(A582="",L582="",L582=0,K582=""),"",L582-K582)</f>
        <v>0</v>
      </c>
      <c r="Y582" s="31">
        <f>IF(A582="","",COUNTIFS($U$5:$U$604,"&gt;"&amp;U582)+COUNTIFS($U$5:U582,U582))</f>
        <v>0</v>
      </c>
      <c r="Z582" s="31">
        <f>IF(A582="","",COUNTIFS($W$5:$W$604,"&gt;"&amp;W582)+COUNTIFS($W$5:W582,W582))</f>
        <v>0</v>
      </c>
      <c r="AA582" s="39">
        <f>IF(A582="","",IF(J582=0,"",IF(U582&lt;0,"Loss - this job cost you money",IF(V582&lt;MarginFloor,"Below - margin under the floor",IF(V582&lt;TargetMargin,"Check - under target margin",IF(AND(X582&lt;&gt;"",X582&gt;0.5),"Check - ran over the estimate","OK"))))))</f>
        <v>0</v>
      </c>
    </row>
    <row r="583" spans="1:27">
      <c r="A583" s="43">
        <f>IF(IFERROR(INDEX(Jobs!$A$5:$A$604,ROW()-4),"")="","",IFERROR(INDEX(Jobs!$A$5:$A$604,ROW()-4),""))</f>
        <v>0</v>
      </c>
      <c r="B583" s="18">
        <f>IF(A583="","",IFERROR(INDEX(Jobs!$B$5:$B$604,MATCH(A583,Jobs!$A$5:$A$604,0)),""))</f>
        <v>0</v>
      </c>
      <c r="C583" s="23">
        <f>IF(B583="","",TEXT(B583,"yyyy-mm"))</f>
        <v>0</v>
      </c>
      <c r="D583" s="43">
        <f>IF(A583="","",IFERROR(INDEX(Jobs!$G$5:$G$604,MATCH(A583,Jobs!$A$5:$A$604,0)),""))</f>
        <v>0</v>
      </c>
      <c r="E583" s="23">
        <f>IF(A583="","",IFERROR(INDEX(Jobs!$H$5:$H$604,MATCH(A583,Jobs!$A$5:$A$604,0)),""))</f>
        <v>0</v>
      </c>
      <c r="F583" s="23">
        <f>IF(A583="","",IFERROR(INDEX(Jobs!$K$5:$K$604,MATCH(A583,Jobs!$A$5:$A$604,0)),""))</f>
        <v>0</v>
      </c>
      <c r="G583" s="23">
        <f>IF(A583="","",IFERROR(INDEX(Jobs!$M$5:$M$604,MATCH(A583,Jobs!$A$5:$A$604,0)),""))</f>
        <v>0</v>
      </c>
      <c r="H583" s="23">
        <f>IF(A583="","",IFERROR(INDEX(Jobs!$R$5:$R$604,MATCH(A583,Jobs!$A$5:$A$604,0)),""))</f>
        <v>0</v>
      </c>
      <c r="I583" s="39">
        <f>IF(A583="","",IFERROR(INDEX(Jobs!$P$5:$P$604,MATCH(A583,Jobs!$A$5:$A$604,0)),""))</f>
        <v>0</v>
      </c>
      <c r="J583" s="21">
        <f>IF(A583="","",IF(OR(I583="Completed",I583="Invoiced"),IFERROR(INDEX(Jobs!$AJ$5:$AJ$604,MATCH(A583,Jobs!$A$5:$A$604,0)),0),0))</f>
        <v>0</v>
      </c>
      <c r="K583" s="34">
        <f>IF(A583="","",IFERROR(INDEX(Jobs!$AD$5:$AD$604,MATCH(A583,Jobs!$A$5:$A$604,0)),0))</f>
        <v>0</v>
      </c>
      <c r="L583" s="34">
        <f>IF(A583="","",IFERROR(INDEX(Jobs!$AK$5:$AK$604,MATCH(A583,Jobs!$A$5:$A$604,0)),0))</f>
        <v>0</v>
      </c>
      <c r="M583" s="34">
        <f>IF(A583="","",IF(IFERROR(L583*1,0)&gt;0,L583,IFERROR(K583*1,0)))</f>
        <v>0</v>
      </c>
      <c r="N583" s="21">
        <f>IF(A583="","",SUMIFS(Timesheets!$X$5:$X$804,Timesheets!$G$5:$G$804,A583))</f>
        <v>0</v>
      </c>
      <c r="O583" s="21">
        <f>IF(A583="","",IF(N583&gt;0,N583,ROUND(M583*CostPerHour,2)))</f>
        <v>0</v>
      </c>
      <c r="P583" s="21">
        <f>IF(A583="","",SUMIFS('Supply Usage'!$L$5:$L$304,'Supply Usage'!$F$5:$F$304,A583))</f>
        <v>0</v>
      </c>
      <c r="Q583" s="21">
        <f>IF(A583="","",IF(P583&gt;0,P583,ROUND(M583*SuppliesPerHour,2)))</f>
        <v>0</v>
      </c>
      <c r="R583" s="21">
        <f>IF(A583="","",ROUND(IFERROR(INDEX(Jobs!$W$5:$W$604,MATCH(A583,Jobs!$A$5:$A$604,0)),0)*MileageRate,2))</f>
        <v>0</v>
      </c>
      <c r="T583" s="21">
        <f>IF(A583="","",O583+Q583+R583+IF(S583="",0,S583))</f>
        <v>0</v>
      </c>
      <c r="U583" s="21">
        <f>IF(A583="","",J583-T583)</f>
        <v>0</v>
      </c>
      <c r="V583" s="38">
        <f>IF(OR(A583="",J583=0),"",U583/J583)</f>
        <v>0</v>
      </c>
      <c r="W583" s="21">
        <f>IF(OR(A583="",M583=0,J583=0),"",U583/M583)</f>
        <v>0</v>
      </c>
      <c r="X583" s="34">
        <f>IF(OR(A583="",L583="",L583=0,K583=""),"",L583-K583)</f>
        <v>0</v>
      </c>
      <c r="Y583" s="31">
        <f>IF(A583="","",COUNTIFS($U$5:$U$604,"&gt;"&amp;U583)+COUNTIFS($U$5:U583,U583))</f>
        <v>0</v>
      </c>
      <c r="Z583" s="31">
        <f>IF(A583="","",COUNTIFS($W$5:$W$604,"&gt;"&amp;W583)+COUNTIFS($W$5:W583,W583))</f>
        <v>0</v>
      </c>
      <c r="AA583" s="39">
        <f>IF(A583="","",IF(J583=0,"",IF(U583&lt;0,"Loss - this job cost you money",IF(V583&lt;MarginFloor,"Below - margin under the floor",IF(V583&lt;TargetMargin,"Check - under target margin",IF(AND(X583&lt;&gt;"",X583&gt;0.5),"Check - ran over the estimate","OK"))))))</f>
        <v>0</v>
      </c>
    </row>
    <row r="584" spans="1:27">
      <c r="A584" s="43">
        <f>IF(IFERROR(INDEX(Jobs!$A$5:$A$604,ROW()-4),"")="","",IFERROR(INDEX(Jobs!$A$5:$A$604,ROW()-4),""))</f>
        <v>0</v>
      </c>
      <c r="B584" s="18">
        <f>IF(A584="","",IFERROR(INDEX(Jobs!$B$5:$B$604,MATCH(A584,Jobs!$A$5:$A$604,0)),""))</f>
        <v>0</v>
      </c>
      <c r="C584" s="23">
        <f>IF(B584="","",TEXT(B584,"yyyy-mm"))</f>
        <v>0</v>
      </c>
      <c r="D584" s="43">
        <f>IF(A584="","",IFERROR(INDEX(Jobs!$G$5:$G$604,MATCH(A584,Jobs!$A$5:$A$604,0)),""))</f>
        <v>0</v>
      </c>
      <c r="E584" s="23">
        <f>IF(A584="","",IFERROR(INDEX(Jobs!$H$5:$H$604,MATCH(A584,Jobs!$A$5:$A$604,0)),""))</f>
        <v>0</v>
      </c>
      <c r="F584" s="23">
        <f>IF(A584="","",IFERROR(INDEX(Jobs!$K$5:$K$604,MATCH(A584,Jobs!$A$5:$A$604,0)),""))</f>
        <v>0</v>
      </c>
      <c r="G584" s="23">
        <f>IF(A584="","",IFERROR(INDEX(Jobs!$M$5:$M$604,MATCH(A584,Jobs!$A$5:$A$604,0)),""))</f>
        <v>0</v>
      </c>
      <c r="H584" s="23">
        <f>IF(A584="","",IFERROR(INDEX(Jobs!$R$5:$R$604,MATCH(A584,Jobs!$A$5:$A$604,0)),""))</f>
        <v>0</v>
      </c>
      <c r="I584" s="39">
        <f>IF(A584="","",IFERROR(INDEX(Jobs!$P$5:$P$604,MATCH(A584,Jobs!$A$5:$A$604,0)),""))</f>
        <v>0</v>
      </c>
      <c r="J584" s="21">
        <f>IF(A584="","",IF(OR(I584="Completed",I584="Invoiced"),IFERROR(INDEX(Jobs!$AJ$5:$AJ$604,MATCH(A584,Jobs!$A$5:$A$604,0)),0),0))</f>
        <v>0</v>
      </c>
      <c r="K584" s="34">
        <f>IF(A584="","",IFERROR(INDEX(Jobs!$AD$5:$AD$604,MATCH(A584,Jobs!$A$5:$A$604,0)),0))</f>
        <v>0</v>
      </c>
      <c r="L584" s="34">
        <f>IF(A584="","",IFERROR(INDEX(Jobs!$AK$5:$AK$604,MATCH(A584,Jobs!$A$5:$A$604,0)),0))</f>
        <v>0</v>
      </c>
      <c r="M584" s="34">
        <f>IF(A584="","",IF(IFERROR(L584*1,0)&gt;0,L584,IFERROR(K584*1,0)))</f>
        <v>0</v>
      </c>
      <c r="N584" s="21">
        <f>IF(A584="","",SUMIFS(Timesheets!$X$5:$X$804,Timesheets!$G$5:$G$804,A584))</f>
        <v>0</v>
      </c>
      <c r="O584" s="21">
        <f>IF(A584="","",IF(N584&gt;0,N584,ROUND(M584*CostPerHour,2)))</f>
        <v>0</v>
      </c>
      <c r="P584" s="21">
        <f>IF(A584="","",SUMIFS('Supply Usage'!$L$5:$L$304,'Supply Usage'!$F$5:$F$304,A584))</f>
        <v>0</v>
      </c>
      <c r="Q584" s="21">
        <f>IF(A584="","",IF(P584&gt;0,P584,ROUND(M584*SuppliesPerHour,2)))</f>
        <v>0</v>
      </c>
      <c r="R584" s="21">
        <f>IF(A584="","",ROUND(IFERROR(INDEX(Jobs!$W$5:$W$604,MATCH(A584,Jobs!$A$5:$A$604,0)),0)*MileageRate,2))</f>
        <v>0</v>
      </c>
      <c r="T584" s="21">
        <f>IF(A584="","",O584+Q584+R584+IF(S584="",0,S584))</f>
        <v>0</v>
      </c>
      <c r="U584" s="21">
        <f>IF(A584="","",J584-T584)</f>
        <v>0</v>
      </c>
      <c r="V584" s="38">
        <f>IF(OR(A584="",J584=0),"",U584/J584)</f>
        <v>0</v>
      </c>
      <c r="W584" s="21">
        <f>IF(OR(A584="",M584=0,J584=0),"",U584/M584)</f>
        <v>0</v>
      </c>
      <c r="X584" s="34">
        <f>IF(OR(A584="",L584="",L584=0,K584=""),"",L584-K584)</f>
        <v>0</v>
      </c>
      <c r="Y584" s="31">
        <f>IF(A584="","",COUNTIFS($U$5:$U$604,"&gt;"&amp;U584)+COUNTIFS($U$5:U584,U584))</f>
        <v>0</v>
      </c>
      <c r="Z584" s="31">
        <f>IF(A584="","",COUNTIFS($W$5:$W$604,"&gt;"&amp;W584)+COUNTIFS($W$5:W584,W584))</f>
        <v>0</v>
      </c>
      <c r="AA584" s="39">
        <f>IF(A584="","",IF(J584=0,"",IF(U584&lt;0,"Loss - this job cost you money",IF(V584&lt;MarginFloor,"Below - margin under the floor",IF(V584&lt;TargetMargin,"Check - under target margin",IF(AND(X584&lt;&gt;"",X584&gt;0.5),"Check - ran over the estimate","OK"))))))</f>
        <v>0</v>
      </c>
    </row>
    <row r="585" spans="1:27">
      <c r="A585" s="43">
        <f>IF(IFERROR(INDEX(Jobs!$A$5:$A$604,ROW()-4),"")="","",IFERROR(INDEX(Jobs!$A$5:$A$604,ROW()-4),""))</f>
        <v>0</v>
      </c>
      <c r="B585" s="18">
        <f>IF(A585="","",IFERROR(INDEX(Jobs!$B$5:$B$604,MATCH(A585,Jobs!$A$5:$A$604,0)),""))</f>
        <v>0</v>
      </c>
      <c r="C585" s="23">
        <f>IF(B585="","",TEXT(B585,"yyyy-mm"))</f>
        <v>0</v>
      </c>
      <c r="D585" s="43">
        <f>IF(A585="","",IFERROR(INDEX(Jobs!$G$5:$G$604,MATCH(A585,Jobs!$A$5:$A$604,0)),""))</f>
        <v>0</v>
      </c>
      <c r="E585" s="23">
        <f>IF(A585="","",IFERROR(INDEX(Jobs!$H$5:$H$604,MATCH(A585,Jobs!$A$5:$A$604,0)),""))</f>
        <v>0</v>
      </c>
      <c r="F585" s="23">
        <f>IF(A585="","",IFERROR(INDEX(Jobs!$K$5:$K$604,MATCH(A585,Jobs!$A$5:$A$604,0)),""))</f>
        <v>0</v>
      </c>
      <c r="G585" s="23">
        <f>IF(A585="","",IFERROR(INDEX(Jobs!$M$5:$M$604,MATCH(A585,Jobs!$A$5:$A$604,0)),""))</f>
        <v>0</v>
      </c>
      <c r="H585" s="23">
        <f>IF(A585="","",IFERROR(INDEX(Jobs!$R$5:$R$604,MATCH(A585,Jobs!$A$5:$A$604,0)),""))</f>
        <v>0</v>
      </c>
      <c r="I585" s="39">
        <f>IF(A585="","",IFERROR(INDEX(Jobs!$P$5:$P$604,MATCH(A585,Jobs!$A$5:$A$604,0)),""))</f>
        <v>0</v>
      </c>
      <c r="J585" s="21">
        <f>IF(A585="","",IF(OR(I585="Completed",I585="Invoiced"),IFERROR(INDEX(Jobs!$AJ$5:$AJ$604,MATCH(A585,Jobs!$A$5:$A$604,0)),0),0))</f>
        <v>0</v>
      </c>
      <c r="K585" s="34">
        <f>IF(A585="","",IFERROR(INDEX(Jobs!$AD$5:$AD$604,MATCH(A585,Jobs!$A$5:$A$604,0)),0))</f>
        <v>0</v>
      </c>
      <c r="L585" s="34">
        <f>IF(A585="","",IFERROR(INDEX(Jobs!$AK$5:$AK$604,MATCH(A585,Jobs!$A$5:$A$604,0)),0))</f>
        <v>0</v>
      </c>
      <c r="M585" s="34">
        <f>IF(A585="","",IF(IFERROR(L585*1,0)&gt;0,L585,IFERROR(K585*1,0)))</f>
        <v>0</v>
      </c>
      <c r="N585" s="21">
        <f>IF(A585="","",SUMIFS(Timesheets!$X$5:$X$804,Timesheets!$G$5:$G$804,A585))</f>
        <v>0</v>
      </c>
      <c r="O585" s="21">
        <f>IF(A585="","",IF(N585&gt;0,N585,ROUND(M585*CostPerHour,2)))</f>
        <v>0</v>
      </c>
      <c r="P585" s="21">
        <f>IF(A585="","",SUMIFS('Supply Usage'!$L$5:$L$304,'Supply Usage'!$F$5:$F$304,A585))</f>
        <v>0</v>
      </c>
      <c r="Q585" s="21">
        <f>IF(A585="","",IF(P585&gt;0,P585,ROUND(M585*SuppliesPerHour,2)))</f>
        <v>0</v>
      </c>
      <c r="R585" s="21">
        <f>IF(A585="","",ROUND(IFERROR(INDEX(Jobs!$W$5:$W$604,MATCH(A585,Jobs!$A$5:$A$604,0)),0)*MileageRate,2))</f>
        <v>0</v>
      </c>
      <c r="T585" s="21">
        <f>IF(A585="","",O585+Q585+R585+IF(S585="",0,S585))</f>
        <v>0</v>
      </c>
      <c r="U585" s="21">
        <f>IF(A585="","",J585-T585)</f>
        <v>0</v>
      </c>
      <c r="V585" s="38">
        <f>IF(OR(A585="",J585=0),"",U585/J585)</f>
        <v>0</v>
      </c>
      <c r="W585" s="21">
        <f>IF(OR(A585="",M585=0,J585=0),"",U585/M585)</f>
        <v>0</v>
      </c>
      <c r="X585" s="34">
        <f>IF(OR(A585="",L585="",L585=0,K585=""),"",L585-K585)</f>
        <v>0</v>
      </c>
      <c r="Y585" s="31">
        <f>IF(A585="","",COUNTIFS($U$5:$U$604,"&gt;"&amp;U585)+COUNTIFS($U$5:U585,U585))</f>
        <v>0</v>
      </c>
      <c r="Z585" s="31">
        <f>IF(A585="","",COUNTIFS($W$5:$W$604,"&gt;"&amp;W585)+COUNTIFS($W$5:W585,W585))</f>
        <v>0</v>
      </c>
      <c r="AA585" s="39">
        <f>IF(A585="","",IF(J585=0,"",IF(U585&lt;0,"Loss - this job cost you money",IF(V585&lt;MarginFloor,"Below - margin under the floor",IF(V585&lt;TargetMargin,"Check - under target margin",IF(AND(X585&lt;&gt;"",X585&gt;0.5),"Check - ran over the estimate","OK"))))))</f>
        <v>0</v>
      </c>
    </row>
    <row r="586" spans="1:27">
      <c r="A586" s="43">
        <f>IF(IFERROR(INDEX(Jobs!$A$5:$A$604,ROW()-4),"")="","",IFERROR(INDEX(Jobs!$A$5:$A$604,ROW()-4),""))</f>
        <v>0</v>
      </c>
      <c r="B586" s="18">
        <f>IF(A586="","",IFERROR(INDEX(Jobs!$B$5:$B$604,MATCH(A586,Jobs!$A$5:$A$604,0)),""))</f>
        <v>0</v>
      </c>
      <c r="C586" s="23">
        <f>IF(B586="","",TEXT(B586,"yyyy-mm"))</f>
        <v>0</v>
      </c>
      <c r="D586" s="43">
        <f>IF(A586="","",IFERROR(INDEX(Jobs!$G$5:$G$604,MATCH(A586,Jobs!$A$5:$A$604,0)),""))</f>
        <v>0</v>
      </c>
      <c r="E586" s="23">
        <f>IF(A586="","",IFERROR(INDEX(Jobs!$H$5:$H$604,MATCH(A586,Jobs!$A$5:$A$604,0)),""))</f>
        <v>0</v>
      </c>
      <c r="F586" s="23">
        <f>IF(A586="","",IFERROR(INDEX(Jobs!$K$5:$K$604,MATCH(A586,Jobs!$A$5:$A$604,0)),""))</f>
        <v>0</v>
      </c>
      <c r="G586" s="23">
        <f>IF(A586="","",IFERROR(INDEX(Jobs!$M$5:$M$604,MATCH(A586,Jobs!$A$5:$A$604,0)),""))</f>
        <v>0</v>
      </c>
      <c r="H586" s="23">
        <f>IF(A586="","",IFERROR(INDEX(Jobs!$R$5:$R$604,MATCH(A586,Jobs!$A$5:$A$604,0)),""))</f>
        <v>0</v>
      </c>
      <c r="I586" s="39">
        <f>IF(A586="","",IFERROR(INDEX(Jobs!$P$5:$P$604,MATCH(A586,Jobs!$A$5:$A$604,0)),""))</f>
        <v>0</v>
      </c>
      <c r="J586" s="21">
        <f>IF(A586="","",IF(OR(I586="Completed",I586="Invoiced"),IFERROR(INDEX(Jobs!$AJ$5:$AJ$604,MATCH(A586,Jobs!$A$5:$A$604,0)),0),0))</f>
        <v>0</v>
      </c>
      <c r="K586" s="34">
        <f>IF(A586="","",IFERROR(INDEX(Jobs!$AD$5:$AD$604,MATCH(A586,Jobs!$A$5:$A$604,0)),0))</f>
        <v>0</v>
      </c>
      <c r="L586" s="34">
        <f>IF(A586="","",IFERROR(INDEX(Jobs!$AK$5:$AK$604,MATCH(A586,Jobs!$A$5:$A$604,0)),0))</f>
        <v>0</v>
      </c>
      <c r="M586" s="34">
        <f>IF(A586="","",IF(IFERROR(L586*1,0)&gt;0,L586,IFERROR(K586*1,0)))</f>
        <v>0</v>
      </c>
      <c r="N586" s="21">
        <f>IF(A586="","",SUMIFS(Timesheets!$X$5:$X$804,Timesheets!$G$5:$G$804,A586))</f>
        <v>0</v>
      </c>
      <c r="O586" s="21">
        <f>IF(A586="","",IF(N586&gt;0,N586,ROUND(M586*CostPerHour,2)))</f>
        <v>0</v>
      </c>
      <c r="P586" s="21">
        <f>IF(A586="","",SUMIFS('Supply Usage'!$L$5:$L$304,'Supply Usage'!$F$5:$F$304,A586))</f>
        <v>0</v>
      </c>
      <c r="Q586" s="21">
        <f>IF(A586="","",IF(P586&gt;0,P586,ROUND(M586*SuppliesPerHour,2)))</f>
        <v>0</v>
      </c>
      <c r="R586" s="21">
        <f>IF(A586="","",ROUND(IFERROR(INDEX(Jobs!$W$5:$W$604,MATCH(A586,Jobs!$A$5:$A$604,0)),0)*MileageRate,2))</f>
        <v>0</v>
      </c>
      <c r="T586" s="21">
        <f>IF(A586="","",O586+Q586+R586+IF(S586="",0,S586))</f>
        <v>0</v>
      </c>
      <c r="U586" s="21">
        <f>IF(A586="","",J586-T586)</f>
        <v>0</v>
      </c>
      <c r="V586" s="38">
        <f>IF(OR(A586="",J586=0),"",U586/J586)</f>
        <v>0</v>
      </c>
      <c r="W586" s="21">
        <f>IF(OR(A586="",M586=0,J586=0),"",U586/M586)</f>
        <v>0</v>
      </c>
      <c r="X586" s="34">
        <f>IF(OR(A586="",L586="",L586=0,K586=""),"",L586-K586)</f>
        <v>0</v>
      </c>
      <c r="Y586" s="31">
        <f>IF(A586="","",COUNTIFS($U$5:$U$604,"&gt;"&amp;U586)+COUNTIFS($U$5:U586,U586))</f>
        <v>0</v>
      </c>
      <c r="Z586" s="31">
        <f>IF(A586="","",COUNTIFS($W$5:$W$604,"&gt;"&amp;W586)+COUNTIFS($W$5:W586,W586))</f>
        <v>0</v>
      </c>
      <c r="AA586" s="39">
        <f>IF(A586="","",IF(J586=0,"",IF(U586&lt;0,"Loss - this job cost you money",IF(V586&lt;MarginFloor,"Below - margin under the floor",IF(V586&lt;TargetMargin,"Check - under target margin",IF(AND(X586&lt;&gt;"",X586&gt;0.5),"Check - ran over the estimate","OK"))))))</f>
        <v>0</v>
      </c>
    </row>
    <row r="587" spans="1:27">
      <c r="A587" s="43">
        <f>IF(IFERROR(INDEX(Jobs!$A$5:$A$604,ROW()-4),"")="","",IFERROR(INDEX(Jobs!$A$5:$A$604,ROW()-4),""))</f>
        <v>0</v>
      </c>
      <c r="B587" s="18">
        <f>IF(A587="","",IFERROR(INDEX(Jobs!$B$5:$B$604,MATCH(A587,Jobs!$A$5:$A$604,0)),""))</f>
        <v>0</v>
      </c>
      <c r="C587" s="23">
        <f>IF(B587="","",TEXT(B587,"yyyy-mm"))</f>
        <v>0</v>
      </c>
      <c r="D587" s="43">
        <f>IF(A587="","",IFERROR(INDEX(Jobs!$G$5:$G$604,MATCH(A587,Jobs!$A$5:$A$604,0)),""))</f>
        <v>0</v>
      </c>
      <c r="E587" s="23">
        <f>IF(A587="","",IFERROR(INDEX(Jobs!$H$5:$H$604,MATCH(A587,Jobs!$A$5:$A$604,0)),""))</f>
        <v>0</v>
      </c>
      <c r="F587" s="23">
        <f>IF(A587="","",IFERROR(INDEX(Jobs!$K$5:$K$604,MATCH(A587,Jobs!$A$5:$A$604,0)),""))</f>
        <v>0</v>
      </c>
      <c r="G587" s="23">
        <f>IF(A587="","",IFERROR(INDEX(Jobs!$M$5:$M$604,MATCH(A587,Jobs!$A$5:$A$604,0)),""))</f>
        <v>0</v>
      </c>
      <c r="H587" s="23">
        <f>IF(A587="","",IFERROR(INDEX(Jobs!$R$5:$R$604,MATCH(A587,Jobs!$A$5:$A$604,0)),""))</f>
        <v>0</v>
      </c>
      <c r="I587" s="39">
        <f>IF(A587="","",IFERROR(INDEX(Jobs!$P$5:$P$604,MATCH(A587,Jobs!$A$5:$A$604,0)),""))</f>
        <v>0</v>
      </c>
      <c r="J587" s="21">
        <f>IF(A587="","",IF(OR(I587="Completed",I587="Invoiced"),IFERROR(INDEX(Jobs!$AJ$5:$AJ$604,MATCH(A587,Jobs!$A$5:$A$604,0)),0),0))</f>
        <v>0</v>
      </c>
      <c r="K587" s="34">
        <f>IF(A587="","",IFERROR(INDEX(Jobs!$AD$5:$AD$604,MATCH(A587,Jobs!$A$5:$A$604,0)),0))</f>
        <v>0</v>
      </c>
      <c r="L587" s="34">
        <f>IF(A587="","",IFERROR(INDEX(Jobs!$AK$5:$AK$604,MATCH(A587,Jobs!$A$5:$A$604,0)),0))</f>
        <v>0</v>
      </c>
      <c r="M587" s="34">
        <f>IF(A587="","",IF(IFERROR(L587*1,0)&gt;0,L587,IFERROR(K587*1,0)))</f>
        <v>0</v>
      </c>
      <c r="N587" s="21">
        <f>IF(A587="","",SUMIFS(Timesheets!$X$5:$X$804,Timesheets!$G$5:$G$804,A587))</f>
        <v>0</v>
      </c>
      <c r="O587" s="21">
        <f>IF(A587="","",IF(N587&gt;0,N587,ROUND(M587*CostPerHour,2)))</f>
        <v>0</v>
      </c>
      <c r="P587" s="21">
        <f>IF(A587="","",SUMIFS('Supply Usage'!$L$5:$L$304,'Supply Usage'!$F$5:$F$304,A587))</f>
        <v>0</v>
      </c>
      <c r="Q587" s="21">
        <f>IF(A587="","",IF(P587&gt;0,P587,ROUND(M587*SuppliesPerHour,2)))</f>
        <v>0</v>
      </c>
      <c r="R587" s="21">
        <f>IF(A587="","",ROUND(IFERROR(INDEX(Jobs!$W$5:$W$604,MATCH(A587,Jobs!$A$5:$A$604,0)),0)*MileageRate,2))</f>
        <v>0</v>
      </c>
      <c r="T587" s="21">
        <f>IF(A587="","",O587+Q587+R587+IF(S587="",0,S587))</f>
        <v>0</v>
      </c>
      <c r="U587" s="21">
        <f>IF(A587="","",J587-T587)</f>
        <v>0</v>
      </c>
      <c r="V587" s="38">
        <f>IF(OR(A587="",J587=0),"",U587/J587)</f>
        <v>0</v>
      </c>
      <c r="W587" s="21">
        <f>IF(OR(A587="",M587=0,J587=0),"",U587/M587)</f>
        <v>0</v>
      </c>
      <c r="X587" s="34">
        <f>IF(OR(A587="",L587="",L587=0,K587=""),"",L587-K587)</f>
        <v>0</v>
      </c>
      <c r="Y587" s="31">
        <f>IF(A587="","",COUNTIFS($U$5:$U$604,"&gt;"&amp;U587)+COUNTIFS($U$5:U587,U587))</f>
        <v>0</v>
      </c>
      <c r="Z587" s="31">
        <f>IF(A587="","",COUNTIFS($W$5:$W$604,"&gt;"&amp;W587)+COUNTIFS($W$5:W587,W587))</f>
        <v>0</v>
      </c>
      <c r="AA587" s="39">
        <f>IF(A587="","",IF(J587=0,"",IF(U587&lt;0,"Loss - this job cost you money",IF(V587&lt;MarginFloor,"Below - margin under the floor",IF(V587&lt;TargetMargin,"Check - under target margin",IF(AND(X587&lt;&gt;"",X587&gt;0.5),"Check - ran over the estimate","OK"))))))</f>
        <v>0</v>
      </c>
    </row>
    <row r="588" spans="1:27">
      <c r="A588" s="43">
        <f>IF(IFERROR(INDEX(Jobs!$A$5:$A$604,ROW()-4),"")="","",IFERROR(INDEX(Jobs!$A$5:$A$604,ROW()-4),""))</f>
        <v>0</v>
      </c>
      <c r="B588" s="18">
        <f>IF(A588="","",IFERROR(INDEX(Jobs!$B$5:$B$604,MATCH(A588,Jobs!$A$5:$A$604,0)),""))</f>
        <v>0</v>
      </c>
      <c r="C588" s="23">
        <f>IF(B588="","",TEXT(B588,"yyyy-mm"))</f>
        <v>0</v>
      </c>
      <c r="D588" s="43">
        <f>IF(A588="","",IFERROR(INDEX(Jobs!$G$5:$G$604,MATCH(A588,Jobs!$A$5:$A$604,0)),""))</f>
        <v>0</v>
      </c>
      <c r="E588" s="23">
        <f>IF(A588="","",IFERROR(INDEX(Jobs!$H$5:$H$604,MATCH(A588,Jobs!$A$5:$A$604,0)),""))</f>
        <v>0</v>
      </c>
      <c r="F588" s="23">
        <f>IF(A588="","",IFERROR(INDEX(Jobs!$K$5:$K$604,MATCH(A588,Jobs!$A$5:$A$604,0)),""))</f>
        <v>0</v>
      </c>
      <c r="G588" s="23">
        <f>IF(A588="","",IFERROR(INDEX(Jobs!$M$5:$M$604,MATCH(A588,Jobs!$A$5:$A$604,0)),""))</f>
        <v>0</v>
      </c>
      <c r="H588" s="23">
        <f>IF(A588="","",IFERROR(INDEX(Jobs!$R$5:$R$604,MATCH(A588,Jobs!$A$5:$A$604,0)),""))</f>
        <v>0</v>
      </c>
      <c r="I588" s="39">
        <f>IF(A588="","",IFERROR(INDEX(Jobs!$P$5:$P$604,MATCH(A588,Jobs!$A$5:$A$604,0)),""))</f>
        <v>0</v>
      </c>
      <c r="J588" s="21">
        <f>IF(A588="","",IF(OR(I588="Completed",I588="Invoiced"),IFERROR(INDEX(Jobs!$AJ$5:$AJ$604,MATCH(A588,Jobs!$A$5:$A$604,0)),0),0))</f>
        <v>0</v>
      </c>
      <c r="K588" s="34">
        <f>IF(A588="","",IFERROR(INDEX(Jobs!$AD$5:$AD$604,MATCH(A588,Jobs!$A$5:$A$604,0)),0))</f>
        <v>0</v>
      </c>
      <c r="L588" s="34">
        <f>IF(A588="","",IFERROR(INDEX(Jobs!$AK$5:$AK$604,MATCH(A588,Jobs!$A$5:$A$604,0)),0))</f>
        <v>0</v>
      </c>
      <c r="M588" s="34">
        <f>IF(A588="","",IF(IFERROR(L588*1,0)&gt;0,L588,IFERROR(K588*1,0)))</f>
        <v>0</v>
      </c>
      <c r="N588" s="21">
        <f>IF(A588="","",SUMIFS(Timesheets!$X$5:$X$804,Timesheets!$G$5:$G$804,A588))</f>
        <v>0</v>
      </c>
      <c r="O588" s="21">
        <f>IF(A588="","",IF(N588&gt;0,N588,ROUND(M588*CostPerHour,2)))</f>
        <v>0</v>
      </c>
      <c r="P588" s="21">
        <f>IF(A588="","",SUMIFS('Supply Usage'!$L$5:$L$304,'Supply Usage'!$F$5:$F$304,A588))</f>
        <v>0</v>
      </c>
      <c r="Q588" s="21">
        <f>IF(A588="","",IF(P588&gt;0,P588,ROUND(M588*SuppliesPerHour,2)))</f>
        <v>0</v>
      </c>
      <c r="R588" s="21">
        <f>IF(A588="","",ROUND(IFERROR(INDEX(Jobs!$W$5:$W$604,MATCH(A588,Jobs!$A$5:$A$604,0)),0)*MileageRate,2))</f>
        <v>0</v>
      </c>
      <c r="T588" s="21">
        <f>IF(A588="","",O588+Q588+R588+IF(S588="",0,S588))</f>
        <v>0</v>
      </c>
      <c r="U588" s="21">
        <f>IF(A588="","",J588-T588)</f>
        <v>0</v>
      </c>
      <c r="V588" s="38">
        <f>IF(OR(A588="",J588=0),"",U588/J588)</f>
        <v>0</v>
      </c>
      <c r="W588" s="21">
        <f>IF(OR(A588="",M588=0,J588=0),"",U588/M588)</f>
        <v>0</v>
      </c>
      <c r="X588" s="34">
        <f>IF(OR(A588="",L588="",L588=0,K588=""),"",L588-K588)</f>
        <v>0</v>
      </c>
      <c r="Y588" s="31">
        <f>IF(A588="","",COUNTIFS($U$5:$U$604,"&gt;"&amp;U588)+COUNTIFS($U$5:U588,U588))</f>
        <v>0</v>
      </c>
      <c r="Z588" s="31">
        <f>IF(A588="","",COUNTIFS($W$5:$W$604,"&gt;"&amp;W588)+COUNTIFS($W$5:W588,W588))</f>
        <v>0</v>
      </c>
      <c r="AA588" s="39">
        <f>IF(A588="","",IF(J588=0,"",IF(U588&lt;0,"Loss - this job cost you money",IF(V588&lt;MarginFloor,"Below - margin under the floor",IF(V588&lt;TargetMargin,"Check - under target margin",IF(AND(X588&lt;&gt;"",X588&gt;0.5),"Check - ran over the estimate","OK"))))))</f>
        <v>0</v>
      </c>
    </row>
    <row r="589" spans="1:27">
      <c r="A589" s="43">
        <f>IF(IFERROR(INDEX(Jobs!$A$5:$A$604,ROW()-4),"")="","",IFERROR(INDEX(Jobs!$A$5:$A$604,ROW()-4),""))</f>
        <v>0</v>
      </c>
      <c r="B589" s="18">
        <f>IF(A589="","",IFERROR(INDEX(Jobs!$B$5:$B$604,MATCH(A589,Jobs!$A$5:$A$604,0)),""))</f>
        <v>0</v>
      </c>
      <c r="C589" s="23">
        <f>IF(B589="","",TEXT(B589,"yyyy-mm"))</f>
        <v>0</v>
      </c>
      <c r="D589" s="43">
        <f>IF(A589="","",IFERROR(INDEX(Jobs!$G$5:$G$604,MATCH(A589,Jobs!$A$5:$A$604,0)),""))</f>
        <v>0</v>
      </c>
      <c r="E589" s="23">
        <f>IF(A589="","",IFERROR(INDEX(Jobs!$H$5:$H$604,MATCH(A589,Jobs!$A$5:$A$604,0)),""))</f>
        <v>0</v>
      </c>
      <c r="F589" s="23">
        <f>IF(A589="","",IFERROR(INDEX(Jobs!$K$5:$K$604,MATCH(A589,Jobs!$A$5:$A$604,0)),""))</f>
        <v>0</v>
      </c>
      <c r="G589" s="23">
        <f>IF(A589="","",IFERROR(INDEX(Jobs!$M$5:$M$604,MATCH(A589,Jobs!$A$5:$A$604,0)),""))</f>
        <v>0</v>
      </c>
      <c r="H589" s="23">
        <f>IF(A589="","",IFERROR(INDEX(Jobs!$R$5:$R$604,MATCH(A589,Jobs!$A$5:$A$604,0)),""))</f>
        <v>0</v>
      </c>
      <c r="I589" s="39">
        <f>IF(A589="","",IFERROR(INDEX(Jobs!$P$5:$P$604,MATCH(A589,Jobs!$A$5:$A$604,0)),""))</f>
        <v>0</v>
      </c>
      <c r="J589" s="21">
        <f>IF(A589="","",IF(OR(I589="Completed",I589="Invoiced"),IFERROR(INDEX(Jobs!$AJ$5:$AJ$604,MATCH(A589,Jobs!$A$5:$A$604,0)),0),0))</f>
        <v>0</v>
      </c>
      <c r="K589" s="34">
        <f>IF(A589="","",IFERROR(INDEX(Jobs!$AD$5:$AD$604,MATCH(A589,Jobs!$A$5:$A$604,0)),0))</f>
        <v>0</v>
      </c>
      <c r="L589" s="34">
        <f>IF(A589="","",IFERROR(INDEX(Jobs!$AK$5:$AK$604,MATCH(A589,Jobs!$A$5:$A$604,0)),0))</f>
        <v>0</v>
      </c>
      <c r="M589" s="34">
        <f>IF(A589="","",IF(IFERROR(L589*1,0)&gt;0,L589,IFERROR(K589*1,0)))</f>
        <v>0</v>
      </c>
      <c r="N589" s="21">
        <f>IF(A589="","",SUMIFS(Timesheets!$X$5:$X$804,Timesheets!$G$5:$G$804,A589))</f>
        <v>0</v>
      </c>
      <c r="O589" s="21">
        <f>IF(A589="","",IF(N589&gt;0,N589,ROUND(M589*CostPerHour,2)))</f>
        <v>0</v>
      </c>
      <c r="P589" s="21">
        <f>IF(A589="","",SUMIFS('Supply Usage'!$L$5:$L$304,'Supply Usage'!$F$5:$F$304,A589))</f>
        <v>0</v>
      </c>
      <c r="Q589" s="21">
        <f>IF(A589="","",IF(P589&gt;0,P589,ROUND(M589*SuppliesPerHour,2)))</f>
        <v>0</v>
      </c>
      <c r="R589" s="21">
        <f>IF(A589="","",ROUND(IFERROR(INDEX(Jobs!$W$5:$W$604,MATCH(A589,Jobs!$A$5:$A$604,0)),0)*MileageRate,2))</f>
        <v>0</v>
      </c>
      <c r="T589" s="21">
        <f>IF(A589="","",O589+Q589+R589+IF(S589="",0,S589))</f>
        <v>0</v>
      </c>
      <c r="U589" s="21">
        <f>IF(A589="","",J589-T589)</f>
        <v>0</v>
      </c>
      <c r="V589" s="38">
        <f>IF(OR(A589="",J589=0),"",U589/J589)</f>
        <v>0</v>
      </c>
      <c r="W589" s="21">
        <f>IF(OR(A589="",M589=0,J589=0),"",U589/M589)</f>
        <v>0</v>
      </c>
      <c r="X589" s="34">
        <f>IF(OR(A589="",L589="",L589=0,K589=""),"",L589-K589)</f>
        <v>0</v>
      </c>
      <c r="Y589" s="31">
        <f>IF(A589="","",COUNTIFS($U$5:$U$604,"&gt;"&amp;U589)+COUNTIFS($U$5:U589,U589))</f>
        <v>0</v>
      </c>
      <c r="Z589" s="31">
        <f>IF(A589="","",COUNTIFS($W$5:$W$604,"&gt;"&amp;W589)+COUNTIFS($W$5:W589,W589))</f>
        <v>0</v>
      </c>
      <c r="AA589" s="39">
        <f>IF(A589="","",IF(J589=0,"",IF(U589&lt;0,"Loss - this job cost you money",IF(V589&lt;MarginFloor,"Below - margin under the floor",IF(V589&lt;TargetMargin,"Check - under target margin",IF(AND(X589&lt;&gt;"",X589&gt;0.5),"Check - ran over the estimate","OK"))))))</f>
        <v>0</v>
      </c>
    </row>
    <row r="590" spans="1:27">
      <c r="A590" s="43">
        <f>IF(IFERROR(INDEX(Jobs!$A$5:$A$604,ROW()-4),"")="","",IFERROR(INDEX(Jobs!$A$5:$A$604,ROW()-4),""))</f>
        <v>0</v>
      </c>
      <c r="B590" s="18">
        <f>IF(A590="","",IFERROR(INDEX(Jobs!$B$5:$B$604,MATCH(A590,Jobs!$A$5:$A$604,0)),""))</f>
        <v>0</v>
      </c>
      <c r="C590" s="23">
        <f>IF(B590="","",TEXT(B590,"yyyy-mm"))</f>
        <v>0</v>
      </c>
      <c r="D590" s="43">
        <f>IF(A590="","",IFERROR(INDEX(Jobs!$G$5:$G$604,MATCH(A590,Jobs!$A$5:$A$604,0)),""))</f>
        <v>0</v>
      </c>
      <c r="E590" s="23">
        <f>IF(A590="","",IFERROR(INDEX(Jobs!$H$5:$H$604,MATCH(A590,Jobs!$A$5:$A$604,0)),""))</f>
        <v>0</v>
      </c>
      <c r="F590" s="23">
        <f>IF(A590="","",IFERROR(INDEX(Jobs!$K$5:$K$604,MATCH(A590,Jobs!$A$5:$A$604,0)),""))</f>
        <v>0</v>
      </c>
      <c r="G590" s="23">
        <f>IF(A590="","",IFERROR(INDEX(Jobs!$M$5:$M$604,MATCH(A590,Jobs!$A$5:$A$604,0)),""))</f>
        <v>0</v>
      </c>
      <c r="H590" s="23">
        <f>IF(A590="","",IFERROR(INDEX(Jobs!$R$5:$R$604,MATCH(A590,Jobs!$A$5:$A$604,0)),""))</f>
        <v>0</v>
      </c>
      <c r="I590" s="39">
        <f>IF(A590="","",IFERROR(INDEX(Jobs!$P$5:$P$604,MATCH(A590,Jobs!$A$5:$A$604,0)),""))</f>
        <v>0</v>
      </c>
      <c r="J590" s="21">
        <f>IF(A590="","",IF(OR(I590="Completed",I590="Invoiced"),IFERROR(INDEX(Jobs!$AJ$5:$AJ$604,MATCH(A590,Jobs!$A$5:$A$604,0)),0),0))</f>
        <v>0</v>
      </c>
      <c r="K590" s="34">
        <f>IF(A590="","",IFERROR(INDEX(Jobs!$AD$5:$AD$604,MATCH(A590,Jobs!$A$5:$A$604,0)),0))</f>
        <v>0</v>
      </c>
      <c r="L590" s="34">
        <f>IF(A590="","",IFERROR(INDEX(Jobs!$AK$5:$AK$604,MATCH(A590,Jobs!$A$5:$A$604,0)),0))</f>
        <v>0</v>
      </c>
      <c r="M590" s="34">
        <f>IF(A590="","",IF(IFERROR(L590*1,0)&gt;0,L590,IFERROR(K590*1,0)))</f>
        <v>0</v>
      </c>
      <c r="N590" s="21">
        <f>IF(A590="","",SUMIFS(Timesheets!$X$5:$X$804,Timesheets!$G$5:$G$804,A590))</f>
        <v>0</v>
      </c>
      <c r="O590" s="21">
        <f>IF(A590="","",IF(N590&gt;0,N590,ROUND(M590*CostPerHour,2)))</f>
        <v>0</v>
      </c>
      <c r="P590" s="21">
        <f>IF(A590="","",SUMIFS('Supply Usage'!$L$5:$L$304,'Supply Usage'!$F$5:$F$304,A590))</f>
        <v>0</v>
      </c>
      <c r="Q590" s="21">
        <f>IF(A590="","",IF(P590&gt;0,P590,ROUND(M590*SuppliesPerHour,2)))</f>
        <v>0</v>
      </c>
      <c r="R590" s="21">
        <f>IF(A590="","",ROUND(IFERROR(INDEX(Jobs!$W$5:$W$604,MATCH(A590,Jobs!$A$5:$A$604,0)),0)*MileageRate,2))</f>
        <v>0</v>
      </c>
      <c r="T590" s="21">
        <f>IF(A590="","",O590+Q590+R590+IF(S590="",0,S590))</f>
        <v>0</v>
      </c>
      <c r="U590" s="21">
        <f>IF(A590="","",J590-T590)</f>
        <v>0</v>
      </c>
      <c r="V590" s="38">
        <f>IF(OR(A590="",J590=0),"",U590/J590)</f>
        <v>0</v>
      </c>
      <c r="W590" s="21">
        <f>IF(OR(A590="",M590=0,J590=0),"",U590/M590)</f>
        <v>0</v>
      </c>
      <c r="X590" s="34">
        <f>IF(OR(A590="",L590="",L590=0,K590=""),"",L590-K590)</f>
        <v>0</v>
      </c>
      <c r="Y590" s="31">
        <f>IF(A590="","",COUNTIFS($U$5:$U$604,"&gt;"&amp;U590)+COUNTIFS($U$5:U590,U590))</f>
        <v>0</v>
      </c>
      <c r="Z590" s="31">
        <f>IF(A590="","",COUNTIFS($W$5:$W$604,"&gt;"&amp;W590)+COUNTIFS($W$5:W590,W590))</f>
        <v>0</v>
      </c>
      <c r="AA590" s="39">
        <f>IF(A590="","",IF(J590=0,"",IF(U590&lt;0,"Loss - this job cost you money",IF(V590&lt;MarginFloor,"Below - margin under the floor",IF(V590&lt;TargetMargin,"Check - under target margin",IF(AND(X590&lt;&gt;"",X590&gt;0.5),"Check - ran over the estimate","OK"))))))</f>
        <v>0</v>
      </c>
    </row>
    <row r="591" spans="1:27">
      <c r="A591" s="43">
        <f>IF(IFERROR(INDEX(Jobs!$A$5:$A$604,ROW()-4),"")="","",IFERROR(INDEX(Jobs!$A$5:$A$604,ROW()-4),""))</f>
        <v>0</v>
      </c>
      <c r="B591" s="18">
        <f>IF(A591="","",IFERROR(INDEX(Jobs!$B$5:$B$604,MATCH(A591,Jobs!$A$5:$A$604,0)),""))</f>
        <v>0</v>
      </c>
      <c r="C591" s="23">
        <f>IF(B591="","",TEXT(B591,"yyyy-mm"))</f>
        <v>0</v>
      </c>
      <c r="D591" s="43">
        <f>IF(A591="","",IFERROR(INDEX(Jobs!$G$5:$G$604,MATCH(A591,Jobs!$A$5:$A$604,0)),""))</f>
        <v>0</v>
      </c>
      <c r="E591" s="23">
        <f>IF(A591="","",IFERROR(INDEX(Jobs!$H$5:$H$604,MATCH(A591,Jobs!$A$5:$A$604,0)),""))</f>
        <v>0</v>
      </c>
      <c r="F591" s="23">
        <f>IF(A591="","",IFERROR(INDEX(Jobs!$K$5:$K$604,MATCH(A591,Jobs!$A$5:$A$604,0)),""))</f>
        <v>0</v>
      </c>
      <c r="G591" s="23">
        <f>IF(A591="","",IFERROR(INDEX(Jobs!$M$5:$M$604,MATCH(A591,Jobs!$A$5:$A$604,0)),""))</f>
        <v>0</v>
      </c>
      <c r="H591" s="23">
        <f>IF(A591="","",IFERROR(INDEX(Jobs!$R$5:$R$604,MATCH(A591,Jobs!$A$5:$A$604,0)),""))</f>
        <v>0</v>
      </c>
      <c r="I591" s="39">
        <f>IF(A591="","",IFERROR(INDEX(Jobs!$P$5:$P$604,MATCH(A591,Jobs!$A$5:$A$604,0)),""))</f>
        <v>0</v>
      </c>
      <c r="J591" s="21">
        <f>IF(A591="","",IF(OR(I591="Completed",I591="Invoiced"),IFERROR(INDEX(Jobs!$AJ$5:$AJ$604,MATCH(A591,Jobs!$A$5:$A$604,0)),0),0))</f>
        <v>0</v>
      </c>
      <c r="K591" s="34">
        <f>IF(A591="","",IFERROR(INDEX(Jobs!$AD$5:$AD$604,MATCH(A591,Jobs!$A$5:$A$604,0)),0))</f>
        <v>0</v>
      </c>
      <c r="L591" s="34">
        <f>IF(A591="","",IFERROR(INDEX(Jobs!$AK$5:$AK$604,MATCH(A591,Jobs!$A$5:$A$604,0)),0))</f>
        <v>0</v>
      </c>
      <c r="M591" s="34">
        <f>IF(A591="","",IF(IFERROR(L591*1,0)&gt;0,L591,IFERROR(K591*1,0)))</f>
        <v>0</v>
      </c>
      <c r="N591" s="21">
        <f>IF(A591="","",SUMIFS(Timesheets!$X$5:$X$804,Timesheets!$G$5:$G$804,A591))</f>
        <v>0</v>
      </c>
      <c r="O591" s="21">
        <f>IF(A591="","",IF(N591&gt;0,N591,ROUND(M591*CostPerHour,2)))</f>
        <v>0</v>
      </c>
      <c r="P591" s="21">
        <f>IF(A591="","",SUMIFS('Supply Usage'!$L$5:$L$304,'Supply Usage'!$F$5:$F$304,A591))</f>
        <v>0</v>
      </c>
      <c r="Q591" s="21">
        <f>IF(A591="","",IF(P591&gt;0,P591,ROUND(M591*SuppliesPerHour,2)))</f>
        <v>0</v>
      </c>
      <c r="R591" s="21">
        <f>IF(A591="","",ROUND(IFERROR(INDEX(Jobs!$W$5:$W$604,MATCH(A591,Jobs!$A$5:$A$604,0)),0)*MileageRate,2))</f>
        <v>0</v>
      </c>
      <c r="T591" s="21">
        <f>IF(A591="","",O591+Q591+R591+IF(S591="",0,S591))</f>
        <v>0</v>
      </c>
      <c r="U591" s="21">
        <f>IF(A591="","",J591-T591)</f>
        <v>0</v>
      </c>
      <c r="V591" s="38">
        <f>IF(OR(A591="",J591=0),"",U591/J591)</f>
        <v>0</v>
      </c>
      <c r="W591" s="21">
        <f>IF(OR(A591="",M591=0,J591=0),"",U591/M591)</f>
        <v>0</v>
      </c>
      <c r="X591" s="34">
        <f>IF(OR(A591="",L591="",L591=0,K591=""),"",L591-K591)</f>
        <v>0</v>
      </c>
      <c r="Y591" s="31">
        <f>IF(A591="","",COUNTIFS($U$5:$U$604,"&gt;"&amp;U591)+COUNTIFS($U$5:U591,U591))</f>
        <v>0</v>
      </c>
      <c r="Z591" s="31">
        <f>IF(A591="","",COUNTIFS($W$5:$W$604,"&gt;"&amp;W591)+COUNTIFS($W$5:W591,W591))</f>
        <v>0</v>
      </c>
      <c r="AA591" s="39">
        <f>IF(A591="","",IF(J591=0,"",IF(U591&lt;0,"Loss - this job cost you money",IF(V591&lt;MarginFloor,"Below - margin under the floor",IF(V591&lt;TargetMargin,"Check - under target margin",IF(AND(X591&lt;&gt;"",X591&gt;0.5),"Check - ran over the estimate","OK"))))))</f>
        <v>0</v>
      </c>
    </row>
    <row r="592" spans="1:27">
      <c r="A592" s="43">
        <f>IF(IFERROR(INDEX(Jobs!$A$5:$A$604,ROW()-4),"")="","",IFERROR(INDEX(Jobs!$A$5:$A$604,ROW()-4),""))</f>
        <v>0</v>
      </c>
      <c r="B592" s="18">
        <f>IF(A592="","",IFERROR(INDEX(Jobs!$B$5:$B$604,MATCH(A592,Jobs!$A$5:$A$604,0)),""))</f>
        <v>0</v>
      </c>
      <c r="C592" s="23">
        <f>IF(B592="","",TEXT(B592,"yyyy-mm"))</f>
        <v>0</v>
      </c>
      <c r="D592" s="43">
        <f>IF(A592="","",IFERROR(INDEX(Jobs!$G$5:$G$604,MATCH(A592,Jobs!$A$5:$A$604,0)),""))</f>
        <v>0</v>
      </c>
      <c r="E592" s="23">
        <f>IF(A592="","",IFERROR(INDEX(Jobs!$H$5:$H$604,MATCH(A592,Jobs!$A$5:$A$604,0)),""))</f>
        <v>0</v>
      </c>
      <c r="F592" s="23">
        <f>IF(A592="","",IFERROR(INDEX(Jobs!$K$5:$K$604,MATCH(A592,Jobs!$A$5:$A$604,0)),""))</f>
        <v>0</v>
      </c>
      <c r="G592" s="23">
        <f>IF(A592="","",IFERROR(INDEX(Jobs!$M$5:$M$604,MATCH(A592,Jobs!$A$5:$A$604,0)),""))</f>
        <v>0</v>
      </c>
      <c r="H592" s="23">
        <f>IF(A592="","",IFERROR(INDEX(Jobs!$R$5:$R$604,MATCH(A592,Jobs!$A$5:$A$604,0)),""))</f>
        <v>0</v>
      </c>
      <c r="I592" s="39">
        <f>IF(A592="","",IFERROR(INDEX(Jobs!$P$5:$P$604,MATCH(A592,Jobs!$A$5:$A$604,0)),""))</f>
        <v>0</v>
      </c>
      <c r="J592" s="21">
        <f>IF(A592="","",IF(OR(I592="Completed",I592="Invoiced"),IFERROR(INDEX(Jobs!$AJ$5:$AJ$604,MATCH(A592,Jobs!$A$5:$A$604,0)),0),0))</f>
        <v>0</v>
      </c>
      <c r="K592" s="34">
        <f>IF(A592="","",IFERROR(INDEX(Jobs!$AD$5:$AD$604,MATCH(A592,Jobs!$A$5:$A$604,0)),0))</f>
        <v>0</v>
      </c>
      <c r="L592" s="34">
        <f>IF(A592="","",IFERROR(INDEX(Jobs!$AK$5:$AK$604,MATCH(A592,Jobs!$A$5:$A$604,0)),0))</f>
        <v>0</v>
      </c>
      <c r="M592" s="34">
        <f>IF(A592="","",IF(IFERROR(L592*1,0)&gt;0,L592,IFERROR(K592*1,0)))</f>
        <v>0</v>
      </c>
      <c r="N592" s="21">
        <f>IF(A592="","",SUMIFS(Timesheets!$X$5:$X$804,Timesheets!$G$5:$G$804,A592))</f>
        <v>0</v>
      </c>
      <c r="O592" s="21">
        <f>IF(A592="","",IF(N592&gt;0,N592,ROUND(M592*CostPerHour,2)))</f>
        <v>0</v>
      </c>
      <c r="P592" s="21">
        <f>IF(A592="","",SUMIFS('Supply Usage'!$L$5:$L$304,'Supply Usage'!$F$5:$F$304,A592))</f>
        <v>0</v>
      </c>
      <c r="Q592" s="21">
        <f>IF(A592="","",IF(P592&gt;0,P592,ROUND(M592*SuppliesPerHour,2)))</f>
        <v>0</v>
      </c>
      <c r="R592" s="21">
        <f>IF(A592="","",ROUND(IFERROR(INDEX(Jobs!$W$5:$W$604,MATCH(A592,Jobs!$A$5:$A$604,0)),0)*MileageRate,2))</f>
        <v>0</v>
      </c>
      <c r="T592" s="21">
        <f>IF(A592="","",O592+Q592+R592+IF(S592="",0,S592))</f>
        <v>0</v>
      </c>
      <c r="U592" s="21">
        <f>IF(A592="","",J592-T592)</f>
        <v>0</v>
      </c>
      <c r="V592" s="38">
        <f>IF(OR(A592="",J592=0),"",U592/J592)</f>
        <v>0</v>
      </c>
      <c r="W592" s="21">
        <f>IF(OR(A592="",M592=0,J592=0),"",U592/M592)</f>
        <v>0</v>
      </c>
      <c r="X592" s="34">
        <f>IF(OR(A592="",L592="",L592=0,K592=""),"",L592-K592)</f>
        <v>0</v>
      </c>
      <c r="Y592" s="31">
        <f>IF(A592="","",COUNTIFS($U$5:$U$604,"&gt;"&amp;U592)+COUNTIFS($U$5:U592,U592))</f>
        <v>0</v>
      </c>
      <c r="Z592" s="31">
        <f>IF(A592="","",COUNTIFS($W$5:$W$604,"&gt;"&amp;W592)+COUNTIFS($W$5:W592,W592))</f>
        <v>0</v>
      </c>
      <c r="AA592" s="39">
        <f>IF(A592="","",IF(J592=0,"",IF(U592&lt;0,"Loss - this job cost you money",IF(V592&lt;MarginFloor,"Below - margin under the floor",IF(V592&lt;TargetMargin,"Check - under target margin",IF(AND(X592&lt;&gt;"",X592&gt;0.5),"Check - ran over the estimate","OK"))))))</f>
        <v>0</v>
      </c>
    </row>
    <row r="593" spans="1:27">
      <c r="A593" s="43">
        <f>IF(IFERROR(INDEX(Jobs!$A$5:$A$604,ROW()-4),"")="","",IFERROR(INDEX(Jobs!$A$5:$A$604,ROW()-4),""))</f>
        <v>0</v>
      </c>
      <c r="B593" s="18">
        <f>IF(A593="","",IFERROR(INDEX(Jobs!$B$5:$B$604,MATCH(A593,Jobs!$A$5:$A$604,0)),""))</f>
        <v>0</v>
      </c>
      <c r="C593" s="23">
        <f>IF(B593="","",TEXT(B593,"yyyy-mm"))</f>
        <v>0</v>
      </c>
      <c r="D593" s="43">
        <f>IF(A593="","",IFERROR(INDEX(Jobs!$G$5:$G$604,MATCH(A593,Jobs!$A$5:$A$604,0)),""))</f>
        <v>0</v>
      </c>
      <c r="E593" s="23">
        <f>IF(A593="","",IFERROR(INDEX(Jobs!$H$5:$H$604,MATCH(A593,Jobs!$A$5:$A$604,0)),""))</f>
        <v>0</v>
      </c>
      <c r="F593" s="23">
        <f>IF(A593="","",IFERROR(INDEX(Jobs!$K$5:$K$604,MATCH(A593,Jobs!$A$5:$A$604,0)),""))</f>
        <v>0</v>
      </c>
      <c r="G593" s="23">
        <f>IF(A593="","",IFERROR(INDEX(Jobs!$M$5:$M$604,MATCH(A593,Jobs!$A$5:$A$604,0)),""))</f>
        <v>0</v>
      </c>
      <c r="H593" s="23">
        <f>IF(A593="","",IFERROR(INDEX(Jobs!$R$5:$R$604,MATCH(A593,Jobs!$A$5:$A$604,0)),""))</f>
        <v>0</v>
      </c>
      <c r="I593" s="39">
        <f>IF(A593="","",IFERROR(INDEX(Jobs!$P$5:$P$604,MATCH(A593,Jobs!$A$5:$A$604,0)),""))</f>
        <v>0</v>
      </c>
      <c r="J593" s="21">
        <f>IF(A593="","",IF(OR(I593="Completed",I593="Invoiced"),IFERROR(INDEX(Jobs!$AJ$5:$AJ$604,MATCH(A593,Jobs!$A$5:$A$604,0)),0),0))</f>
        <v>0</v>
      </c>
      <c r="K593" s="34">
        <f>IF(A593="","",IFERROR(INDEX(Jobs!$AD$5:$AD$604,MATCH(A593,Jobs!$A$5:$A$604,0)),0))</f>
        <v>0</v>
      </c>
      <c r="L593" s="34">
        <f>IF(A593="","",IFERROR(INDEX(Jobs!$AK$5:$AK$604,MATCH(A593,Jobs!$A$5:$A$604,0)),0))</f>
        <v>0</v>
      </c>
      <c r="M593" s="34">
        <f>IF(A593="","",IF(IFERROR(L593*1,0)&gt;0,L593,IFERROR(K593*1,0)))</f>
        <v>0</v>
      </c>
      <c r="N593" s="21">
        <f>IF(A593="","",SUMIFS(Timesheets!$X$5:$X$804,Timesheets!$G$5:$G$804,A593))</f>
        <v>0</v>
      </c>
      <c r="O593" s="21">
        <f>IF(A593="","",IF(N593&gt;0,N593,ROUND(M593*CostPerHour,2)))</f>
        <v>0</v>
      </c>
      <c r="P593" s="21">
        <f>IF(A593="","",SUMIFS('Supply Usage'!$L$5:$L$304,'Supply Usage'!$F$5:$F$304,A593))</f>
        <v>0</v>
      </c>
      <c r="Q593" s="21">
        <f>IF(A593="","",IF(P593&gt;0,P593,ROUND(M593*SuppliesPerHour,2)))</f>
        <v>0</v>
      </c>
      <c r="R593" s="21">
        <f>IF(A593="","",ROUND(IFERROR(INDEX(Jobs!$W$5:$W$604,MATCH(A593,Jobs!$A$5:$A$604,0)),0)*MileageRate,2))</f>
        <v>0</v>
      </c>
      <c r="T593" s="21">
        <f>IF(A593="","",O593+Q593+R593+IF(S593="",0,S593))</f>
        <v>0</v>
      </c>
      <c r="U593" s="21">
        <f>IF(A593="","",J593-T593)</f>
        <v>0</v>
      </c>
      <c r="V593" s="38">
        <f>IF(OR(A593="",J593=0),"",U593/J593)</f>
        <v>0</v>
      </c>
      <c r="W593" s="21">
        <f>IF(OR(A593="",M593=0,J593=0),"",U593/M593)</f>
        <v>0</v>
      </c>
      <c r="X593" s="34">
        <f>IF(OR(A593="",L593="",L593=0,K593=""),"",L593-K593)</f>
        <v>0</v>
      </c>
      <c r="Y593" s="31">
        <f>IF(A593="","",COUNTIFS($U$5:$U$604,"&gt;"&amp;U593)+COUNTIFS($U$5:U593,U593))</f>
        <v>0</v>
      </c>
      <c r="Z593" s="31">
        <f>IF(A593="","",COUNTIFS($W$5:$W$604,"&gt;"&amp;W593)+COUNTIFS($W$5:W593,W593))</f>
        <v>0</v>
      </c>
      <c r="AA593" s="39">
        <f>IF(A593="","",IF(J593=0,"",IF(U593&lt;0,"Loss - this job cost you money",IF(V593&lt;MarginFloor,"Below - margin under the floor",IF(V593&lt;TargetMargin,"Check - under target margin",IF(AND(X593&lt;&gt;"",X593&gt;0.5),"Check - ran over the estimate","OK"))))))</f>
        <v>0</v>
      </c>
    </row>
    <row r="594" spans="1:27">
      <c r="A594" s="43">
        <f>IF(IFERROR(INDEX(Jobs!$A$5:$A$604,ROW()-4),"")="","",IFERROR(INDEX(Jobs!$A$5:$A$604,ROW()-4),""))</f>
        <v>0</v>
      </c>
      <c r="B594" s="18">
        <f>IF(A594="","",IFERROR(INDEX(Jobs!$B$5:$B$604,MATCH(A594,Jobs!$A$5:$A$604,0)),""))</f>
        <v>0</v>
      </c>
      <c r="C594" s="23">
        <f>IF(B594="","",TEXT(B594,"yyyy-mm"))</f>
        <v>0</v>
      </c>
      <c r="D594" s="43">
        <f>IF(A594="","",IFERROR(INDEX(Jobs!$G$5:$G$604,MATCH(A594,Jobs!$A$5:$A$604,0)),""))</f>
        <v>0</v>
      </c>
      <c r="E594" s="23">
        <f>IF(A594="","",IFERROR(INDEX(Jobs!$H$5:$H$604,MATCH(A594,Jobs!$A$5:$A$604,0)),""))</f>
        <v>0</v>
      </c>
      <c r="F594" s="23">
        <f>IF(A594="","",IFERROR(INDEX(Jobs!$K$5:$K$604,MATCH(A594,Jobs!$A$5:$A$604,0)),""))</f>
        <v>0</v>
      </c>
      <c r="G594" s="23">
        <f>IF(A594="","",IFERROR(INDEX(Jobs!$M$5:$M$604,MATCH(A594,Jobs!$A$5:$A$604,0)),""))</f>
        <v>0</v>
      </c>
      <c r="H594" s="23">
        <f>IF(A594="","",IFERROR(INDEX(Jobs!$R$5:$R$604,MATCH(A594,Jobs!$A$5:$A$604,0)),""))</f>
        <v>0</v>
      </c>
      <c r="I594" s="39">
        <f>IF(A594="","",IFERROR(INDEX(Jobs!$P$5:$P$604,MATCH(A594,Jobs!$A$5:$A$604,0)),""))</f>
        <v>0</v>
      </c>
      <c r="J594" s="21">
        <f>IF(A594="","",IF(OR(I594="Completed",I594="Invoiced"),IFERROR(INDEX(Jobs!$AJ$5:$AJ$604,MATCH(A594,Jobs!$A$5:$A$604,0)),0),0))</f>
        <v>0</v>
      </c>
      <c r="K594" s="34">
        <f>IF(A594="","",IFERROR(INDEX(Jobs!$AD$5:$AD$604,MATCH(A594,Jobs!$A$5:$A$604,0)),0))</f>
        <v>0</v>
      </c>
      <c r="L594" s="34">
        <f>IF(A594="","",IFERROR(INDEX(Jobs!$AK$5:$AK$604,MATCH(A594,Jobs!$A$5:$A$604,0)),0))</f>
        <v>0</v>
      </c>
      <c r="M594" s="34">
        <f>IF(A594="","",IF(IFERROR(L594*1,0)&gt;0,L594,IFERROR(K594*1,0)))</f>
        <v>0</v>
      </c>
      <c r="N594" s="21">
        <f>IF(A594="","",SUMIFS(Timesheets!$X$5:$X$804,Timesheets!$G$5:$G$804,A594))</f>
        <v>0</v>
      </c>
      <c r="O594" s="21">
        <f>IF(A594="","",IF(N594&gt;0,N594,ROUND(M594*CostPerHour,2)))</f>
        <v>0</v>
      </c>
      <c r="P594" s="21">
        <f>IF(A594="","",SUMIFS('Supply Usage'!$L$5:$L$304,'Supply Usage'!$F$5:$F$304,A594))</f>
        <v>0</v>
      </c>
      <c r="Q594" s="21">
        <f>IF(A594="","",IF(P594&gt;0,P594,ROUND(M594*SuppliesPerHour,2)))</f>
        <v>0</v>
      </c>
      <c r="R594" s="21">
        <f>IF(A594="","",ROUND(IFERROR(INDEX(Jobs!$W$5:$W$604,MATCH(A594,Jobs!$A$5:$A$604,0)),0)*MileageRate,2))</f>
        <v>0</v>
      </c>
      <c r="T594" s="21">
        <f>IF(A594="","",O594+Q594+R594+IF(S594="",0,S594))</f>
        <v>0</v>
      </c>
      <c r="U594" s="21">
        <f>IF(A594="","",J594-T594)</f>
        <v>0</v>
      </c>
      <c r="V594" s="38">
        <f>IF(OR(A594="",J594=0),"",U594/J594)</f>
        <v>0</v>
      </c>
      <c r="W594" s="21">
        <f>IF(OR(A594="",M594=0,J594=0),"",U594/M594)</f>
        <v>0</v>
      </c>
      <c r="X594" s="34">
        <f>IF(OR(A594="",L594="",L594=0,K594=""),"",L594-K594)</f>
        <v>0</v>
      </c>
      <c r="Y594" s="31">
        <f>IF(A594="","",COUNTIFS($U$5:$U$604,"&gt;"&amp;U594)+COUNTIFS($U$5:U594,U594))</f>
        <v>0</v>
      </c>
      <c r="Z594" s="31">
        <f>IF(A594="","",COUNTIFS($W$5:$W$604,"&gt;"&amp;W594)+COUNTIFS($W$5:W594,W594))</f>
        <v>0</v>
      </c>
      <c r="AA594" s="39">
        <f>IF(A594="","",IF(J594=0,"",IF(U594&lt;0,"Loss - this job cost you money",IF(V594&lt;MarginFloor,"Below - margin under the floor",IF(V594&lt;TargetMargin,"Check - under target margin",IF(AND(X594&lt;&gt;"",X594&gt;0.5),"Check - ran over the estimate","OK"))))))</f>
        <v>0</v>
      </c>
    </row>
    <row r="595" spans="1:27">
      <c r="A595" s="43">
        <f>IF(IFERROR(INDEX(Jobs!$A$5:$A$604,ROW()-4),"")="","",IFERROR(INDEX(Jobs!$A$5:$A$604,ROW()-4),""))</f>
        <v>0</v>
      </c>
      <c r="B595" s="18">
        <f>IF(A595="","",IFERROR(INDEX(Jobs!$B$5:$B$604,MATCH(A595,Jobs!$A$5:$A$604,0)),""))</f>
        <v>0</v>
      </c>
      <c r="C595" s="23">
        <f>IF(B595="","",TEXT(B595,"yyyy-mm"))</f>
        <v>0</v>
      </c>
      <c r="D595" s="43">
        <f>IF(A595="","",IFERROR(INDEX(Jobs!$G$5:$G$604,MATCH(A595,Jobs!$A$5:$A$604,0)),""))</f>
        <v>0</v>
      </c>
      <c r="E595" s="23">
        <f>IF(A595="","",IFERROR(INDEX(Jobs!$H$5:$H$604,MATCH(A595,Jobs!$A$5:$A$604,0)),""))</f>
        <v>0</v>
      </c>
      <c r="F595" s="23">
        <f>IF(A595="","",IFERROR(INDEX(Jobs!$K$5:$K$604,MATCH(A595,Jobs!$A$5:$A$604,0)),""))</f>
        <v>0</v>
      </c>
      <c r="G595" s="23">
        <f>IF(A595="","",IFERROR(INDEX(Jobs!$M$5:$M$604,MATCH(A595,Jobs!$A$5:$A$604,0)),""))</f>
        <v>0</v>
      </c>
      <c r="H595" s="23">
        <f>IF(A595="","",IFERROR(INDEX(Jobs!$R$5:$R$604,MATCH(A595,Jobs!$A$5:$A$604,0)),""))</f>
        <v>0</v>
      </c>
      <c r="I595" s="39">
        <f>IF(A595="","",IFERROR(INDEX(Jobs!$P$5:$P$604,MATCH(A595,Jobs!$A$5:$A$604,0)),""))</f>
        <v>0</v>
      </c>
      <c r="J595" s="21">
        <f>IF(A595="","",IF(OR(I595="Completed",I595="Invoiced"),IFERROR(INDEX(Jobs!$AJ$5:$AJ$604,MATCH(A595,Jobs!$A$5:$A$604,0)),0),0))</f>
        <v>0</v>
      </c>
      <c r="K595" s="34">
        <f>IF(A595="","",IFERROR(INDEX(Jobs!$AD$5:$AD$604,MATCH(A595,Jobs!$A$5:$A$604,0)),0))</f>
        <v>0</v>
      </c>
      <c r="L595" s="34">
        <f>IF(A595="","",IFERROR(INDEX(Jobs!$AK$5:$AK$604,MATCH(A595,Jobs!$A$5:$A$604,0)),0))</f>
        <v>0</v>
      </c>
      <c r="M595" s="34">
        <f>IF(A595="","",IF(IFERROR(L595*1,0)&gt;0,L595,IFERROR(K595*1,0)))</f>
        <v>0</v>
      </c>
      <c r="N595" s="21">
        <f>IF(A595="","",SUMIFS(Timesheets!$X$5:$X$804,Timesheets!$G$5:$G$804,A595))</f>
        <v>0</v>
      </c>
      <c r="O595" s="21">
        <f>IF(A595="","",IF(N595&gt;0,N595,ROUND(M595*CostPerHour,2)))</f>
        <v>0</v>
      </c>
      <c r="P595" s="21">
        <f>IF(A595="","",SUMIFS('Supply Usage'!$L$5:$L$304,'Supply Usage'!$F$5:$F$304,A595))</f>
        <v>0</v>
      </c>
      <c r="Q595" s="21">
        <f>IF(A595="","",IF(P595&gt;0,P595,ROUND(M595*SuppliesPerHour,2)))</f>
        <v>0</v>
      </c>
      <c r="R595" s="21">
        <f>IF(A595="","",ROUND(IFERROR(INDEX(Jobs!$W$5:$W$604,MATCH(A595,Jobs!$A$5:$A$604,0)),0)*MileageRate,2))</f>
        <v>0</v>
      </c>
      <c r="T595" s="21">
        <f>IF(A595="","",O595+Q595+R595+IF(S595="",0,S595))</f>
        <v>0</v>
      </c>
      <c r="U595" s="21">
        <f>IF(A595="","",J595-T595)</f>
        <v>0</v>
      </c>
      <c r="V595" s="38">
        <f>IF(OR(A595="",J595=0),"",U595/J595)</f>
        <v>0</v>
      </c>
      <c r="W595" s="21">
        <f>IF(OR(A595="",M595=0,J595=0),"",U595/M595)</f>
        <v>0</v>
      </c>
      <c r="X595" s="34">
        <f>IF(OR(A595="",L595="",L595=0,K595=""),"",L595-K595)</f>
        <v>0</v>
      </c>
      <c r="Y595" s="31">
        <f>IF(A595="","",COUNTIFS($U$5:$U$604,"&gt;"&amp;U595)+COUNTIFS($U$5:U595,U595))</f>
        <v>0</v>
      </c>
      <c r="Z595" s="31">
        <f>IF(A595="","",COUNTIFS($W$5:$W$604,"&gt;"&amp;W595)+COUNTIFS($W$5:W595,W595))</f>
        <v>0</v>
      </c>
      <c r="AA595" s="39">
        <f>IF(A595="","",IF(J595=0,"",IF(U595&lt;0,"Loss - this job cost you money",IF(V595&lt;MarginFloor,"Below - margin under the floor",IF(V595&lt;TargetMargin,"Check - under target margin",IF(AND(X595&lt;&gt;"",X595&gt;0.5),"Check - ran over the estimate","OK"))))))</f>
        <v>0</v>
      </c>
    </row>
    <row r="596" spans="1:27">
      <c r="A596" s="43">
        <f>IF(IFERROR(INDEX(Jobs!$A$5:$A$604,ROW()-4),"")="","",IFERROR(INDEX(Jobs!$A$5:$A$604,ROW()-4),""))</f>
        <v>0</v>
      </c>
      <c r="B596" s="18">
        <f>IF(A596="","",IFERROR(INDEX(Jobs!$B$5:$B$604,MATCH(A596,Jobs!$A$5:$A$604,0)),""))</f>
        <v>0</v>
      </c>
      <c r="C596" s="23">
        <f>IF(B596="","",TEXT(B596,"yyyy-mm"))</f>
        <v>0</v>
      </c>
      <c r="D596" s="43">
        <f>IF(A596="","",IFERROR(INDEX(Jobs!$G$5:$G$604,MATCH(A596,Jobs!$A$5:$A$604,0)),""))</f>
        <v>0</v>
      </c>
      <c r="E596" s="23">
        <f>IF(A596="","",IFERROR(INDEX(Jobs!$H$5:$H$604,MATCH(A596,Jobs!$A$5:$A$604,0)),""))</f>
        <v>0</v>
      </c>
      <c r="F596" s="23">
        <f>IF(A596="","",IFERROR(INDEX(Jobs!$K$5:$K$604,MATCH(A596,Jobs!$A$5:$A$604,0)),""))</f>
        <v>0</v>
      </c>
      <c r="G596" s="23">
        <f>IF(A596="","",IFERROR(INDEX(Jobs!$M$5:$M$604,MATCH(A596,Jobs!$A$5:$A$604,0)),""))</f>
        <v>0</v>
      </c>
      <c r="H596" s="23">
        <f>IF(A596="","",IFERROR(INDEX(Jobs!$R$5:$R$604,MATCH(A596,Jobs!$A$5:$A$604,0)),""))</f>
        <v>0</v>
      </c>
      <c r="I596" s="39">
        <f>IF(A596="","",IFERROR(INDEX(Jobs!$P$5:$P$604,MATCH(A596,Jobs!$A$5:$A$604,0)),""))</f>
        <v>0</v>
      </c>
      <c r="J596" s="21">
        <f>IF(A596="","",IF(OR(I596="Completed",I596="Invoiced"),IFERROR(INDEX(Jobs!$AJ$5:$AJ$604,MATCH(A596,Jobs!$A$5:$A$604,0)),0),0))</f>
        <v>0</v>
      </c>
      <c r="K596" s="34">
        <f>IF(A596="","",IFERROR(INDEX(Jobs!$AD$5:$AD$604,MATCH(A596,Jobs!$A$5:$A$604,0)),0))</f>
        <v>0</v>
      </c>
      <c r="L596" s="34">
        <f>IF(A596="","",IFERROR(INDEX(Jobs!$AK$5:$AK$604,MATCH(A596,Jobs!$A$5:$A$604,0)),0))</f>
        <v>0</v>
      </c>
      <c r="M596" s="34">
        <f>IF(A596="","",IF(IFERROR(L596*1,0)&gt;0,L596,IFERROR(K596*1,0)))</f>
        <v>0</v>
      </c>
      <c r="N596" s="21">
        <f>IF(A596="","",SUMIFS(Timesheets!$X$5:$X$804,Timesheets!$G$5:$G$804,A596))</f>
        <v>0</v>
      </c>
      <c r="O596" s="21">
        <f>IF(A596="","",IF(N596&gt;0,N596,ROUND(M596*CostPerHour,2)))</f>
        <v>0</v>
      </c>
      <c r="P596" s="21">
        <f>IF(A596="","",SUMIFS('Supply Usage'!$L$5:$L$304,'Supply Usage'!$F$5:$F$304,A596))</f>
        <v>0</v>
      </c>
      <c r="Q596" s="21">
        <f>IF(A596="","",IF(P596&gt;0,P596,ROUND(M596*SuppliesPerHour,2)))</f>
        <v>0</v>
      </c>
      <c r="R596" s="21">
        <f>IF(A596="","",ROUND(IFERROR(INDEX(Jobs!$W$5:$W$604,MATCH(A596,Jobs!$A$5:$A$604,0)),0)*MileageRate,2))</f>
        <v>0</v>
      </c>
      <c r="T596" s="21">
        <f>IF(A596="","",O596+Q596+R596+IF(S596="",0,S596))</f>
        <v>0</v>
      </c>
      <c r="U596" s="21">
        <f>IF(A596="","",J596-T596)</f>
        <v>0</v>
      </c>
      <c r="V596" s="38">
        <f>IF(OR(A596="",J596=0),"",U596/J596)</f>
        <v>0</v>
      </c>
      <c r="W596" s="21">
        <f>IF(OR(A596="",M596=0,J596=0),"",U596/M596)</f>
        <v>0</v>
      </c>
      <c r="X596" s="34">
        <f>IF(OR(A596="",L596="",L596=0,K596=""),"",L596-K596)</f>
        <v>0</v>
      </c>
      <c r="Y596" s="31">
        <f>IF(A596="","",COUNTIFS($U$5:$U$604,"&gt;"&amp;U596)+COUNTIFS($U$5:U596,U596))</f>
        <v>0</v>
      </c>
      <c r="Z596" s="31">
        <f>IF(A596="","",COUNTIFS($W$5:$W$604,"&gt;"&amp;W596)+COUNTIFS($W$5:W596,W596))</f>
        <v>0</v>
      </c>
      <c r="AA596" s="39">
        <f>IF(A596="","",IF(J596=0,"",IF(U596&lt;0,"Loss - this job cost you money",IF(V596&lt;MarginFloor,"Below - margin under the floor",IF(V596&lt;TargetMargin,"Check - under target margin",IF(AND(X596&lt;&gt;"",X596&gt;0.5),"Check - ran over the estimate","OK"))))))</f>
        <v>0</v>
      </c>
    </row>
    <row r="597" spans="1:27">
      <c r="A597" s="43">
        <f>IF(IFERROR(INDEX(Jobs!$A$5:$A$604,ROW()-4),"")="","",IFERROR(INDEX(Jobs!$A$5:$A$604,ROW()-4),""))</f>
        <v>0</v>
      </c>
      <c r="B597" s="18">
        <f>IF(A597="","",IFERROR(INDEX(Jobs!$B$5:$B$604,MATCH(A597,Jobs!$A$5:$A$604,0)),""))</f>
        <v>0</v>
      </c>
      <c r="C597" s="23">
        <f>IF(B597="","",TEXT(B597,"yyyy-mm"))</f>
        <v>0</v>
      </c>
      <c r="D597" s="43">
        <f>IF(A597="","",IFERROR(INDEX(Jobs!$G$5:$G$604,MATCH(A597,Jobs!$A$5:$A$604,0)),""))</f>
        <v>0</v>
      </c>
      <c r="E597" s="23">
        <f>IF(A597="","",IFERROR(INDEX(Jobs!$H$5:$H$604,MATCH(A597,Jobs!$A$5:$A$604,0)),""))</f>
        <v>0</v>
      </c>
      <c r="F597" s="23">
        <f>IF(A597="","",IFERROR(INDEX(Jobs!$K$5:$K$604,MATCH(A597,Jobs!$A$5:$A$604,0)),""))</f>
        <v>0</v>
      </c>
      <c r="G597" s="23">
        <f>IF(A597="","",IFERROR(INDEX(Jobs!$M$5:$M$604,MATCH(A597,Jobs!$A$5:$A$604,0)),""))</f>
        <v>0</v>
      </c>
      <c r="H597" s="23">
        <f>IF(A597="","",IFERROR(INDEX(Jobs!$R$5:$R$604,MATCH(A597,Jobs!$A$5:$A$604,0)),""))</f>
        <v>0</v>
      </c>
      <c r="I597" s="39">
        <f>IF(A597="","",IFERROR(INDEX(Jobs!$P$5:$P$604,MATCH(A597,Jobs!$A$5:$A$604,0)),""))</f>
        <v>0</v>
      </c>
      <c r="J597" s="21">
        <f>IF(A597="","",IF(OR(I597="Completed",I597="Invoiced"),IFERROR(INDEX(Jobs!$AJ$5:$AJ$604,MATCH(A597,Jobs!$A$5:$A$604,0)),0),0))</f>
        <v>0</v>
      </c>
      <c r="K597" s="34">
        <f>IF(A597="","",IFERROR(INDEX(Jobs!$AD$5:$AD$604,MATCH(A597,Jobs!$A$5:$A$604,0)),0))</f>
        <v>0</v>
      </c>
      <c r="L597" s="34">
        <f>IF(A597="","",IFERROR(INDEX(Jobs!$AK$5:$AK$604,MATCH(A597,Jobs!$A$5:$A$604,0)),0))</f>
        <v>0</v>
      </c>
      <c r="M597" s="34">
        <f>IF(A597="","",IF(IFERROR(L597*1,0)&gt;0,L597,IFERROR(K597*1,0)))</f>
        <v>0</v>
      </c>
      <c r="N597" s="21">
        <f>IF(A597="","",SUMIFS(Timesheets!$X$5:$X$804,Timesheets!$G$5:$G$804,A597))</f>
        <v>0</v>
      </c>
      <c r="O597" s="21">
        <f>IF(A597="","",IF(N597&gt;0,N597,ROUND(M597*CostPerHour,2)))</f>
        <v>0</v>
      </c>
      <c r="P597" s="21">
        <f>IF(A597="","",SUMIFS('Supply Usage'!$L$5:$L$304,'Supply Usage'!$F$5:$F$304,A597))</f>
        <v>0</v>
      </c>
      <c r="Q597" s="21">
        <f>IF(A597="","",IF(P597&gt;0,P597,ROUND(M597*SuppliesPerHour,2)))</f>
        <v>0</v>
      </c>
      <c r="R597" s="21">
        <f>IF(A597="","",ROUND(IFERROR(INDEX(Jobs!$W$5:$W$604,MATCH(A597,Jobs!$A$5:$A$604,0)),0)*MileageRate,2))</f>
        <v>0</v>
      </c>
      <c r="T597" s="21">
        <f>IF(A597="","",O597+Q597+R597+IF(S597="",0,S597))</f>
        <v>0</v>
      </c>
      <c r="U597" s="21">
        <f>IF(A597="","",J597-T597)</f>
        <v>0</v>
      </c>
      <c r="V597" s="38">
        <f>IF(OR(A597="",J597=0),"",U597/J597)</f>
        <v>0</v>
      </c>
      <c r="W597" s="21">
        <f>IF(OR(A597="",M597=0,J597=0),"",U597/M597)</f>
        <v>0</v>
      </c>
      <c r="X597" s="34">
        <f>IF(OR(A597="",L597="",L597=0,K597=""),"",L597-K597)</f>
        <v>0</v>
      </c>
      <c r="Y597" s="31">
        <f>IF(A597="","",COUNTIFS($U$5:$U$604,"&gt;"&amp;U597)+COUNTIFS($U$5:U597,U597))</f>
        <v>0</v>
      </c>
      <c r="Z597" s="31">
        <f>IF(A597="","",COUNTIFS($W$5:$W$604,"&gt;"&amp;W597)+COUNTIFS($W$5:W597,W597))</f>
        <v>0</v>
      </c>
      <c r="AA597" s="39">
        <f>IF(A597="","",IF(J597=0,"",IF(U597&lt;0,"Loss - this job cost you money",IF(V597&lt;MarginFloor,"Below - margin under the floor",IF(V597&lt;TargetMargin,"Check - under target margin",IF(AND(X597&lt;&gt;"",X597&gt;0.5),"Check - ran over the estimate","OK"))))))</f>
        <v>0</v>
      </c>
    </row>
    <row r="598" spans="1:27">
      <c r="A598" s="43">
        <f>IF(IFERROR(INDEX(Jobs!$A$5:$A$604,ROW()-4),"")="","",IFERROR(INDEX(Jobs!$A$5:$A$604,ROW()-4),""))</f>
        <v>0</v>
      </c>
      <c r="B598" s="18">
        <f>IF(A598="","",IFERROR(INDEX(Jobs!$B$5:$B$604,MATCH(A598,Jobs!$A$5:$A$604,0)),""))</f>
        <v>0</v>
      </c>
      <c r="C598" s="23">
        <f>IF(B598="","",TEXT(B598,"yyyy-mm"))</f>
        <v>0</v>
      </c>
      <c r="D598" s="43">
        <f>IF(A598="","",IFERROR(INDEX(Jobs!$G$5:$G$604,MATCH(A598,Jobs!$A$5:$A$604,0)),""))</f>
        <v>0</v>
      </c>
      <c r="E598" s="23">
        <f>IF(A598="","",IFERROR(INDEX(Jobs!$H$5:$H$604,MATCH(A598,Jobs!$A$5:$A$604,0)),""))</f>
        <v>0</v>
      </c>
      <c r="F598" s="23">
        <f>IF(A598="","",IFERROR(INDEX(Jobs!$K$5:$K$604,MATCH(A598,Jobs!$A$5:$A$604,0)),""))</f>
        <v>0</v>
      </c>
      <c r="G598" s="23">
        <f>IF(A598="","",IFERROR(INDEX(Jobs!$M$5:$M$604,MATCH(A598,Jobs!$A$5:$A$604,0)),""))</f>
        <v>0</v>
      </c>
      <c r="H598" s="23">
        <f>IF(A598="","",IFERROR(INDEX(Jobs!$R$5:$R$604,MATCH(A598,Jobs!$A$5:$A$604,0)),""))</f>
        <v>0</v>
      </c>
      <c r="I598" s="39">
        <f>IF(A598="","",IFERROR(INDEX(Jobs!$P$5:$P$604,MATCH(A598,Jobs!$A$5:$A$604,0)),""))</f>
        <v>0</v>
      </c>
      <c r="J598" s="21">
        <f>IF(A598="","",IF(OR(I598="Completed",I598="Invoiced"),IFERROR(INDEX(Jobs!$AJ$5:$AJ$604,MATCH(A598,Jobs!$A$5:$A$604,0)),0),0))</f>
        <v>0</v>
      </c>
      <c r="K598" s="34">
        <f>IF(A598="","",IFERROR(INDEX(Jobs!$AD$5:$AD$604,MATCH(A598,Jobs!$A$5:$A$604,0)),0))</f>
        <v>0</v>
      </c>
      <c r="L598" s="34">
        <f>IF(A598="","",IFERROR(INDEX(Jobs!$AK$5:$AK$604,MATCH(A598,Jobs!$A$5:$A$604,0)),0))</f>
        <v>0</v>
      </c>
      <c r="M598" s="34">
        <f>IF(A598="","",IF(IFERROR(L598*1,0)&gt;0,L598,IFERROR(K598*1,0)))</f>
        <v>0</v>
      </c>
      <c r="N598" s="21">
        <f>IF(A598="","",SUMIFS(Timesheets!$X$5:$X$804,Timesheets!$G$5:$G$804,A598))</f>
        <v>0</v>
      </c>
      <c r="O598" s="21">
        <f>IF(A598="","",IF(N598&gt;0,N598,ROUND(M598*CostPerHour,2)))</f>
        <v>0</v>
      </c>
      <c r="P598" s="21">
        <f>IF(A598="","",SUMIFS('Supply Usage'!$L$5:$L$304,'Supply Usage'!$F$5:$F$304,A598))</f>
        <v>0</v>
      </c>
      <c r="Q598" s="21">
        <f>IF(A598="","",IF(P598&gt;0,P598,ROUND(M598*SuppliesPerHour,2)))</f>
        <v>0</v>
      </c>
      <c r="R598" s="21">
        <f>IF(A598="","",ROUND(IFERROR(INDEX(Jobs!$W$5:$W$604,MATCH(A598,Jobs!$A$5:$A$604,0)),0)*MileageRate,2))</f>
        <v>0</v>
      </c>
      <c r="T598" s="21">
        <f>IF(A598="","",O598+Q598+R598+IF(S598="",0,S598))</f>
        <v>0</v>
      </c>
      <c r="U598" s="21">
        <f>IF(A598="","",J598-T598)</f>
        <v>0</v>
      </c>
      <c r="V598" s="38">
        <f>IF(OR(A598="",J598=0),"",U598/J598)</f>
        <v>0</v>
      </c>
      <c r="W598" s="21">
        <f>IF(OR(A598="",M598=0,J598=0),"",U598/M598)</f>
        <v>0</v>
      </c>
      <c r="X598" s="34">
        <f>IF(OR(A598="",L598="",L598=0,K598=""),"",L598-K598)</f>
        <v>0</v>
      </c>
      <c r="Y598" s="31">
        <f>IF(A598="","",COUNTIFS($U$5:$U$604,"&gt;"&amp;U598)+COUNTIFS($U$5:U598,U598))</f>
        <v>0</v>
      </c>
      <c r="Z598" s="31">
        <f>IF(A598="","",COUNTIFS($W$5:$W$604,"&gt;"&amp;W598)+COUNTIFS($W$5:W598,W598))</f>
        <v>0</v>
      </c>
      <c r="AA598" s="39">
        <f>IF(A598="","",IF(J598=0,"",IF(U598&lt;0,"Loss - this job cost you money",IF(V598&lt;MarginFloor,"Below - margin under the floor",IF(V598&lt;TargetMargin,"Check - under target margin",IF(AND(X598&lt;&gt;"",X598&gt;0.5),"Check - ran over the estimate","OK"))))))</f>
        <v>0</v>
      </c>
    </row>
    <row r="599" spans="1:27">
      <c r="A599" s="43">
        <f>IF(IFERROR(INDEX(Jobs!$A$5:$A$604,ROW()-4),"")="","",IFERROR(INDEX(Jobs!$A$5:$A$604,ROW()-4),""))</f>
        <v>0</v>
      </c>
      <c r="B599" s="18">
        <f>IF(A599="","",IFERROR(INDEX(Jobs!$B$5:$B$604,MATCH(A599,Jobs!$A$5:$A$604,0)),""))</f>
        <v>0</v>
      </c>
      <c r="C599" s="23">
        <f>IF(B599="","",TEXT(B599,"yyyy-mm"))</f>
        <v>0</v>
      </c>
      <c r="D599" s="43">
        <f>IF(A599="","",IFERROR(INDEX(Jobs!$G$5:$G$604,MATCH(A599,Jobs!$A$5:$A$604,0)),""))</f>
        <v>0</v>
      </c>
      <c r="E599" s="23">
        <f>IF(A599="","",IFERROR(INDEX(Jobs!$H$5:$H$604,MATCH(A599,Jobs!$A$5:$A$604,0)),""))</f>
        <v>0</v>
      </c>
      <c r="F599" s="23">
        <f>IF(A599="","",IFERROR(INDEX(Jobs!$K$5:$K$604,MATCH(A599,Jobs!$A$5:$A$604,0)),""))</f>
        <v>0</v>
      </c>
      <c r="G599" s="23">
        <f>IF(A599="","",IFERROR(INDEX(Jobs!$M$5:$M$604,MATCH(A599,Jobs!$A$5:$A$604,0)),""))</f>
        <v>0</v>
      </c>
      <c r="H599" s="23">
        <f>IF(A599="","",IFERROR(INDEX(Jobs!$R$5:$R$604,MATCH(A599,Jobs!$A$5:$A$604,0)),""))</f>
        <v>0</v>
      </c>
      <c r="I599" s="39">
        <f>IF(A599="","",IFERROR(INDEX(Jobs!$P$5:$P$604,MATCH(A599,Jobs!$A$5:$A$604,0)),""))</f>
        <v>0</v>
      </c>
      <c r="J599" s="21">
        <f>IF(A599="","",IF(OR(I599="Completed",I599="Invoiced"),IFERROR(INDEX(Jobs!$AJ$5:$AJ$604,MATCH(A599,Jobs!$A$5:$A$604,0)),0),0))</f>
        <v>0</v>
      </c>
      <c r="K599" s="34">
        <f>IF(A599="","",IFERROR(INDEX(Jobs!$AD$5:$AD$604,MATCH(A599,Jobs!$A$5:$A$604,0)),0))</f>
        <v>0</v>
      </c>
      <c r="L599" s="34">
        <f>IF(A599="","",IFERROR(INDEX(Jobs!$AK$5:$AK$604,MATCH(A599,Jobs!$A$5:$A$604,0)),0))</f>
        <v>0</v>
      </c>
      <c r="M599" s="34">
        <f>IF(A599="","",IF(IFERROR(L599*1,0)&gt;0,L599,IFERROR(K599*1,0)))</f>
        <v>0</v>
      </c>
      <c r="N599" s="21">
        <f>IF(A599="","",SUMIFS(Timesheets!$X$5:$X$804,Timesheets!$G$5:$G$804,A599))</f>
        <v>0</v>
      </c>
      <c r="O599" s="21">
        <f>IF(A599="","",IF(N599&gt;0,N599,ROUND(M599*CostPerHour,2)))</f>
        <v>0</v>
      </c>
      <c r="P599" s="21">
        <f>IF(A599="","",SUMIFS('Supply Usage'!$L$5:$L$304,'Supply Usage'!$F$5:$F$304,A599))</f>
        <v>0</v>
      </c>
      <c r="Q599" s="21">
        <f>IF(A599="","",IF(P599&gt;0,P599,ROUND(M599*SuppliesPerHour,2)))</f>
        <v>0</v>
      </c>
      <c r="R599" s="21">
        <f>IF(A599="","",ROUND(IFERROR(INDEX(Jobs!$W$5:$W$604,MATCH(A599,Jobs!$A$5:$A$604,0)),0)*MileageRate,2))</f>
        <v>0</v>
      </c>
      <c r="T599" s="21">
        <f>IF(A599="","",O599+Q599+R599+IF(S599="",0,S599))</f>
        <v>0</v>
      </c>
      <c r="U599" s="21">
        <f>IF(A599="","",J599-T599)</f>
        <v>0</v>
      </c>
      <c r="V599" s="38">
        <f>IF(OR(A599="",J599=0),"",U599/J599)</f>
        <v>0</v>
      </c>
      <c r="W599" s="21">
        <f>IF(OR(A599="",M599=0,J599=0),"",U599/M599)</f>
        <v>0</v>
      </c>
      <c r="X599" s="34">
        <f>IF(OR(A599="",L599="",L599=0,K599=""),"",L599-K599)</f>
        <v>0</v>
      </c>
      <c r="Y599" s="31">
        <f>IF(A599="","",COUNTIFS($U$5:$U$604,"&gt;"&amp;U599)+COUNTIFS($U$5:U599,U599))</f>
        <v>0</v>
      </c>
      <c r="Z599" s="31">
        <f>IF(A599="","",COUNTIFS($W$5:$W$604,"&gt;"&amp;W599)+COUNTIFS($W$5:W599,W599))</f>
        <v>0</v>
      </c>
      <c r="AA599" s="39">
        <f>IF(A599="","",IF(J599=0,"",IF(U599&lt;0,"Loss - this job cost you money",IF(V599&lt;MarginFloor,"Below - margin under the floor",IF(V599&lt;TargetMargin,"Check - under target margin",IF(AND(X599&lt;&gt;"",X599&gt;0.5),"Check - ran over the estimate","OK"))))))</f>
        <v>0</v>
      </c>
    </row>
    <row r="600" spans="1:27">
      <c r="A600" s="43">
        <f>IF(IFERROR(INDEX(Jobs!$A$5:$A$604,ROW()-4),"")="","",IFERROR(INDEX(Jobs!$A$5:$A$604,ROW()-4),""))</f>
        <v>0</v>
      </c>
      <c r="B600" s="18">
        <f>IF(A600="","",IFERROR(INDEX(Jobs!$B$5:$B$604,MATCH(A600,Jobs!$A$5:$A$604,0)),""))</f>
        <v>0</v>
      </c>
      <c r="C600" s="23">
        <f>IF(B600="","",TEXT(B600,"yyyy-mm"))</f>
        <v>0</v>
      </c>
      <c r="D600" s="43">
        <f>IF(A600="","",IFERROR(INDEX(Jobs!$G$5:$G$604,MATCH(A600,Jobs!$A$5:$A$604,0)),""))</f>
        <v>0</v>
      </c>
      <c r="E600" s="23">
        <f>IF(A600="","",IFERROR(INDEX(Jobs!$H$5:$H$604,MATCH(A600,Jobs!$A$5:$A$604,0)),""))</f>
        <v>0</v>
      </c>
      <c r="F600" s="23">
        <f>IF(A600="","",IFERROR(INDEX(Jobs!$K$5:$K$604,MATCH(A600,Jobs!$A$5:$A$604,0)),""))</f>
        <v>0</v>
      </c>
      <c r="G600" s="23">
        <f>IF(A600="","",IFERROR(INDEX(Jobs!$M$5:$M$604,MATCH(A600,Jobs!$A$5:$A$604,0)),""))</f>
        <v>0</v>
      </c>
      <c r="H600" s="23">
        <f>IF(A600="","",IFERROR(INDEX(Jobs!$R$5:$R$604,MATCH(A600,Jobs!$A$5:$A$604,0)),""))</f>
        <v>0</v>
      </c>
      <c r="I600" s="39">
        <f>IF(A600="","",IFERROR(INDEX(Jobs!$P$5:$P$604,MATCH(A600,Jobs!$A$5:$A$604,0)),""))</f>
        <v>0</v>
      </c>
      <c r="J600" s="21">
        <f>IF(A600="","",IF(OR(I600="Completed",I600="Invoiced"),IFERROR(INDEX(Jobs!$AJ$5:$AJ$604,MATCH(A600,Jobs!$A$5:$A$604,0)),0),0))</f>
        <v>0</v>
      </c>
      <c r="K600" s="34">
        <f>IF(A600="","",IFERROR(INDEX(Jobs!$AD$5:$AD$604,MATCH(A600,Jobs!$A$5:$A$604,0)),0))</f>
        <v>0</v>
      </c>
      <c r="L600" s="34">
        <f>IF(A600="","",IFERROR(INDEX(Jobs!$AK$5:$AK$604,MATCH(A600,Jobs!$A$5:$A$604,0)),0))</f>
        <v>0</v>
      </c>
      <c r="M600" s="34">
        <f>IF(A600="","",IF(IFERROR(L600*1,0)&gt;0,L600,IFERROR(K600*1,0)))</f>
        <v>0</v>
      </c>
      <c r="N600" s="21">
        <f>IF(A600="","",SUMIFS(Timesheets!$X$5:$X$804,Timesheets!$G$5:$G$804,A600))</f>
        <v>0</v>
      </c>
      <c r="O600" s="21">
        <f>IF(A600="","",IF(N600&gt;0,N600,ROUND(M600*CostPerHour,2)))</f>
        <v>0</v>
      </c>
      <c r="P600" s="21">
        <f>IF(A600="","",SUMIFS('Supply Usage'!$L$5:$L$304,'Supply Usage'!$F$5:$F$304,A600))</f>
        <v>0</v>
      </c>
      <c r="Q600" s="21">
        <f>IF(A600="","",IF(P600&gt;0,P600,ROUND(M600*SuppliesPerHour,2)))</f>
        <v>0</v>
      </c>
      <c r="R600" s="21">
        <f>IF(A600="","",ROUND(IFERROR(INDEX(Jobs!$W$5:$W$604,MATCH(A600,Jobs!$A$5:$A$604,0)),0)*MileageRate,2))</f>
        <v>0</v>
      </c>
      <c r="T600" s="21">
        <f>IF(A600="","",O600+Q600+R600+IF(S600="",0,S600))</f>
        <v>0</v>
      </c>
      <c r="U600" s="21">
        <f>IF(A600="","",J600-T600)</f>
        <v>0</v>
      </c>
      <c r="V600" s="38">
        <f>IF(OR(A600="",J600=0),"",U600/J600)</f>
        <v>0</v>
      </c>
      <c r="W600" s="21">
        <f>IF(OR(A600="",M600=0,J600=0),"",U600/M600)</f>
        <v>0</v>
      </c>
      <c r="X600" s="34">
        <f>IF(OR(A600="",L600="",L600=0,K600=""),"",L600-K600)</f>
        <v>0</v>
      </c>
      <c r="Y600" s="31">
        <f>IF(A600="","",COUNTIFS($U$5:$U$604,"&gt;"&amp;U600)+COUNTIFS($U$5:U600,U600))</f>
        <v>0</v>
      </c>
      <c r="Z600" s="31">
        <f>IF(A600="","",COUNTIFS($W$5:$W$604,"&gt;"&amp;W600)+COUNTIFS($W$5:W600,W600))</f>
        <v>0</v>
      </c>
      <c r="AA600" s="39">
        <f>IF(A600="","",IF(J600=0,"",IF(U600&lt;0,"Loss - this job cost you money",IF(V600&lt;MarginFloor,"Below - margin under the floor",IF(V600&lt;TargetMargin,"Check - under target margin",IF(AND(X600&lt;&gt;"",X600&gt;0.5),"Check - ran over the estimate","OK"))))))</f>
        <v>0</v>
      </c>
    </row>
    <row r="601" spans="1:27">
      <c r="A601" s="43">
        <f>IF(IFERROR(INDEX(Jobs!$A$5:$A$604,ROW()-4),"")="","",IFERROR(INDEX(Jobs!$A$5:$A$604,ROW()-4),""))</f>
        <v>0</v>
      </c>
      <c r="B601" s="18">
        <f>IF(A601="","",IFERROR(INDEX(Jobs!$B$5:$B$604,MATCH(A601,Jobs!$A$5:$A$604,0)),""))</f>
        <v>0</v>
      </c>
      <c r="C601" s="23">
        <f>IF(B601="","",TEXT(B601,"yyyy-mm"))</f>
        <v>0</v>
      </c>
      <c r="D601" s="43">
        <f>IF(A601="","",IFERROR(INDEX(Jobs!$G$5:$G$604,MATCH(A601,Jobs!$A$5:$A$604,0)),""))</f>
        <v>0</v>
      </c>
      <c r="E601" s="23">
        <f>IF(A601="","",IFERROR(INDEX(Jobs!$H$5:$H$604,MATCH(A601,Jobs!$A$5:$A$604,0)),""))</f>
        <v>0</v>
      </c>
      <c r="F601" s="23">
        <f>IF(A601="","",IFERROR(INDEX(Jobs!$K$5:$K$604,MATCH(A601,Jobs!$A$5:$A$604,0)),""))</f>
        <v>0</v>
      </c>
      <c r="G601" s="23">
        <f>IF(A601="","",IFERROR(INDEX(Jobs!$M$5:$M$604,MATCH(A601,Jobs!$A$5:$A$604,0)),""))</f>
        <v>0</v>
      </c>
      <c r="H601" s="23">
        <f>IF(A601="","",IFERROR(INDEX(Jobs!$R$5:$R$604,MATCH(A601,Jobs!$A$5:$A$604,0)),""))</f>
        <v>0</v>
      </c>
      <c r="I601" s="39">
        <f>IF(A601="","",IFERROR(INDEX(Jobs!$P$5:$P$604,MATCH(A601,Jobs!$A$5:$A$604,0)),""))</f>
        <v>0</v>
      </c>
      <c r="J601" s="21">
        <f>IF(A601="","",IF(OR(I601="Completed",I601="Invoiced"),IFERROR(INDEX(Jobs!$AJ$5:$AJ$604,MATCH(A601,Jobs!$A$5:$A$604,0)),0),0))</f>
        <v>0</v>
      </c>
      <c r="K601" s="34">
        <f>IF(A601="","",IFERROR(INDEX(Jobs!$AD$5:$AD$604,MATCH(A601,Jobs!$A$5:$A$604,0)),0))</f>
        <v>0</v>
      </c>
      <c r="L601" s="34">
        <f>IF(A601="","",IFERROR(INDEX(Jobs!$AK$5:$AK$604,MATCH(A601,Jobs!$A$5:$A$604,0)),0))</f>
        <v>0</v>
      </c>
      <c r="M601" s="34">
        <f>IF(A601="","",IF(IFERROR(L601*1,0)&gt;0,L601,IFERROR(K601*1,0)))</f>
        <v>0</v>
      </c>
      <c r="N601" s="21">
        <f>IF(A601="","",SUMIFS(Timesheets!$X$5:$X$804,Timesheets!$G$5:$G$804,A601))</f>
        <v>0</v>
      </c>
      <c r="O601" s="21">
        <f>IF(A601="","",IF(N601&gt;0,N601,ROUND(M601*CostPerHour,2)))</f>
        <v>0</v>
      </c>
      <c r="P601" s="21">
        <f>IF(A601="","",SUMIFS('Supply Usage'!$L$5:$L$304,'Supply Usage'!$F$5:$F$304,A601))</f>
        <v>0</v>
      </c>
      <c r="Q601" s="21">
        <f>IF(A601="","",IF(P601&gt;0,P601,ROUND(M601*SuppliesPerHour,2)))</f>
        <v>0</v>
      </c>
      <c r="R601" s="21">
        <f>IF(A601="","",ROUND(IFERROR(INDEX(Jobs!$W$5:$W$604,MATCH(A601,Jobs!$A$5:$A$604,0)),0)*MileageRate,2))</f>
        <v>0</v>
      </c>
      <c r="T601" s="21">
        <f>IF(A601="","",O601+Q601+R601+IF(S601="",0,S601))</f>
        <v>0</v>
      </c>
      <c r="U601" s="21">
        <f>IF(A601="","",J601-T601)</f>
        <v>0</v>
      </c>
      <c r="V601" s="38">
        <f>IF(OR(A601="",J601=0),"",U601/J601)</f>
        <v>0</v>
      </c>
      <c r="W601" s="21">
        <f>IF(OR(A601="",M601=0,J601=0),"",U601/M601)</f>
        <v>0</v>
      </c>
      <c r="X601" s="34">
        <f>IF(OR(A601="",L601="",L601=0,K601=""),"",L601-K601)</f>
        <v>0</v>
      </c>
      <c r="Y601" s="31">
        <f>IF(A601="","",COUNTIFS($U$5:$U$604,"&gt;"&amp;U601)+COUNTIFS($U$5:U601,U601))</f>
        <v>0</v>
      </c>
      <c r="Z601" s="31">
        <f>IF(A601="","",COUNTIFS($W$5:$W$604,"&gt;"&amp;W601)+COUNTIFS($W$5:W601,W601))</f>
        <v>0</v>
      </c>
      <c r="AA601" s="39">
        <f>IF(A601="","",IF(J601=0,"",IF(U601&lt;0,"Loss - this job cost you money",IF(V601&lt;MarginFloor,"Below - margin under the floor",IF(V601&lt;TargetMargin,"Check - under target margin",IF(AND(X601&lt;&gt;"",X601&gt;0.5),"Check - ran over the estimate","OK"))))))</f>
        <v>0</v>
      </c>
    </row>
    <row r="602" spans="1:27">
      <c r="A602" s="43">
        <f>IF(IFERROR(INDEX(Jobs!$A$5:$A$604,ROW()-4),"")="","",IFERROR(INDEX(Jobs!$A$5:$A$604,ROW()-4),""))</f>
        <v>0</v>
      </c>
      <c r="B602" s="18">
        <f>IF(A602="","",IFERROR(INDEX(Jobs!$B$5:$B$604,MATCH(A602,Jobs!$A$5:$A$604,0)),""))</f>
        <v>0</v>
      </c>
      <c r="C602" s="23">
        <f>IF(B602="","",TEXT(B602,"yyyy-mm"))</f>
        <v>0</v>
      </c>
      <c r="D602" s="43">
        <f>IF(A602="","",IFERROR(INDEX(Jobs!$G$5:$G$604,MATCH(A602,Jobs!$A$5:$A$604,0)),""))</f>
        <v>0</v>
      </c>
      <c r="E602" s="23">
        <f>IF(A602="","",IFERROR(INDEX(Jobs!$H$5:$H$604,MATCH(A602,Jobs!$A$5:$A$604,0)),""))</f>
        <v>0</v>
      </c>
      <c r="F602" s="23">
        <f>IF(A602="","",IFERROR(INDEX(Jobs!$K$5:$K$604,MATCH(A602,Jobs!$A$5:$A$604,0)),""))</f>
        <v>0</v>
      </c>
      <c r="G602" s="23">
        <f>IF(A602="","",IFERROR(INDEX(Jobs!$M$5:$M$604,MATCH(A602,Jobs!$A$5:$A$604,0)),""))</f>
        <v>0</v>
      </c>
      <c r="H602" s="23">
        <f>IF(A602="","",IFERROR(INDEX(Jobs!$R$5:$R$604,MATCH(A602,Jobs!$A$5:$A$604,0)),""))</f>
        <v>0</v>
      </c>
      <c r="I602" s="39">
        <f>IF(A602="","",IFERROR(INDEX(Jobs!$P$5:$P$604,MATCH(A602,Jobs!$A$5:$A$604,0)),""))</f>
        <v>0</v>
      </c>
      <c r="J602" s="21">
        <f>IF(A602="","",IF(OR(I602="Completed",I602="Invoiced"),IFERROR(INDEX(Jobs!$AJ$5:$AJ$604,MATCH(A602,Jobs!$A$5:$A$604,0)),0),0))</f>
        <v>0</v>
      </c>
      <c r="K602" s="34">
        <f>IF(A602="","",IFERROR(INDEX(Jobs!$AD$5:$AD$604,MATCH(A602,Jobs!$A$5:$A$604,0)),0))</f>
        <v>0</v>
      </c>
      <c r="L602" s="34">
        <f>IF(A602="","",IFERROR(INDEX(Jobs!$AK$5:$AK$604,MATCH(A602,Jobs!$A$5:$A$604,0)),0))</f>
        <v>0</v>
      </c>
      <c r="M602" s="34">
        <f>IF(A602="","",IF(IFERROR(L602*1,0)&gt;0,L602,IFERROR(K602*1,0)))</f>
        <v>0</v>
      </c>
      <c r="N602" s="21">
        <f>IF(A602="","",SUMIFS(Timesheets!$X$5:$X$804,Timesheets!$G$5:$G$804,A602))</f>
        <v>0</v>
      </c>
      <c r="O602" s="21">
        <f>IF(A602="","",IF(N602&gt;0,N602,ROUND(M602*CostPerHour,2)))</f>
        <v>0</v>
      </c>
      <c r="P602" s="21">
        <f>IF(A602="","",SUMIFS('Supply Usage'!$L$5:$L$304,'Supply Usage'!$F$5:$F$304,A602))</f>
        <v>0</v>
      </c>
      <c r="Q602" s="21">
        <f>IF(A602="","",IF(P602&gt;0,P602,ROUND(M602*SuppliesPerHour,2)))</f>
        <v>0</v>
      </c>
      <c r="R602" s="21">
        <f>IF(A602="","",ROUND(IFERROR(INDEX(Jobs!$W$5:$W$604,MATCH(A602,Jobs!$A$5:$A$604,0)),0)*MileageRate,2))</f>
        <v>0</v>
      </c>
      <c r="T602" s="21">
        <f>IF(A602="","",O602+Q602+R602+IF(S602="",0,S602))</f>
        <v>0</v>
      </c>
      <c r="U602" s="21">
        <f>IF(A602="","",J602-T602)</f>
        <v>0</v>
      </c>
      <c r="V602" s="38">
        <f>IF(OR(A602="",J602=0),"",U602/J602)</f>
        <v>0</v>
      </c>
      <c r="W602" s="21">
        <f>IF(OR(A602="",M602=0,J602=0),"",U602/M602)</f>
        <v>0</v>
      </c>
      <c r="X602" s="34">
        <f>IF(OR(A602="",L602="",L602=0,K602=""),"",L602-K602)</f>
        <v>0</v>
      </c>
      <c r="Y602" s="31">
        <f>IF(A602="","",COUNTIFS($U$5:$U$604,"&gt;"&amp;U602)+COUNTIFS($U$5:U602,U602))</f>
        <v>0</v>
      </c>
      <c r="Z602" s="31">
        <f>IF(A602="","",COUNTIFS($W$5:$W$604,"&gt;"&amp;W602)+COUNTIFS($W$5:W602,W602))</f>
        <v>0</v>
      </c>
      <c r="AA602" s="39">
        <f>IF(A602="","",IF(J602=0,"",IF(U602&lt;0,"Loss - this job cost you money",IF(V602&lt;MarginFloor,"Below - margin under the floor",IF(V602&lt;TargetMargin,"Check - under target margin",IF(AND(X602&lt;&gt;"",X602&gt;0.5),"Check - ran over the estimate","OK"))))))</f>
        <v>0</v>
      </c>
    </row>
    <row r="603" spans="1:27">
      <c r="A603" s="43">
        <f>IF(IFERROR(INDEX(Jobs!$A$5:$A$604,ROW()-4),"")="","",IFERROR(INDEX(Jobs!$A$5:$A$604,ROW()-4),""))</f>
        <v>0</v>
      </c>
      <c r="B603" s="18">
        <f>IF(A603="","",IFERROR(INDEX(Jobs!$B$5:$B$604,MATCH(A603,Jobs!$A$5:$A$604,0)),""))</f>
        <v>0</v>
      </c>
      <c r="C603" s="23">
        <f>IF(B603="","",TEXT(B603,"yyyy-mm"))</f>
        <v>0</v>
      </c>
      <c r="D603" s="43">
        <f>IF(A603="","",IFERROR(INDEX(Jobs!$G$5:$G$604,MATCH(A603,Jobs!$A$5:$A$604,0)),""))</f>
        <v>0</v>
      </c>
      <c r="E603" s="23">
        <f>IF(A603="","",IFERROR(INDEX(Jobs!$H$5:$H$604,MATCH(A603,Jobs!$A$5:$A$604,0)),""))</f>
        <v>0</v>
      </c>
      <c r="F603" s="23">
        <f>IF(A603="","",IFERROR(INDEX(Jobs!$K$5:$K$604,MATCH(A603,Jobs!$A$5:$A$604,0)),""))</f>
        <v>0</v>
      </c>
      <c r="G603" s="23">
        <f>IF(A603="","",IFERROR(INDEX(Jobs!$M$5:$M$604,MATCH(A603,Jobs!$A$5:$A$604,0)),""))</f>
        <v>0</v>
      </c>
      <c r="H603" s="23">
        <f>IF(A603="","",IFERROR(INDEX(Jobs!$R$5:$R$604,MATCH(A603,Jobs!$A$5:$A$604,0)),""))</f>
        <v>0</v>
      </c>
      <c r="I603" s="39">
        <f>IF(A603="","",IFERROR(INDEX(Jobs!$P$5:$P$604,MATCH(A603,Jobs!$A$5:$A$604,0)),""))</f>
        <v>0</v>
      </c>
      <c r="J603" s="21">
        <f>IF(A603="","",IF(OR(I603="Completed",I603="Invoiced"),IFERROR(INDEX(Jobs!$AJ$5:$AJ$604,MATCH(A603,Jobs!$A$5:$A$604,0)),0),0))</f>
        <v>0</v>
      </c>
      <c r="K603" s="34">
        <f>IF(A603="","",IFERROR(INDEX(Jobs!$AD$5:$AD$604,MATCH(A603,Jobs!$A$5:$A$604,0)),0))</f>
        <v>0</v>
      </c>
      <c r="L603" s="34">
        <f>IF(A603="","",IFERROR(INDEX(Jobs!$AK$5:$AK$604,MATCH(A603,Jobs!$A$5:$A$604,0)),0))</f>
        <v>0</v>
      </c>
      <c r="M603" s="34">
        <f>IF(A603="","",IF(IFERROR(L603*1,0)&gt;0,L603,IFERROR(K603*1,0)))</f>
        <v>0</v>
      </c>
      <c r="N603" s="21">
        <f>IF(A603="","",SUMIFS(Timesheets!$X$5:$X$804,Timesheets!$G$5:$G$804,A603))</f>
        <v>0</v>
      </c>
      <c r="O603" s="21">
        <f>IF(A603="","",IF(N603&gt;0,N603,ROUND(M603*CostPerHour,2)))</f>
        <v>0</v>
      </c>
      <c r="P603" s="21">
        <f>IF(A603="","",SUMIFS('Supply Usage'!$L$5:$L$304,'Supply Usage'!$F$5:$F$304,A603))</f>
        <v>0</v>
      </c>
      <c r="Q603" s="21">
        <f>IF(A603="","",IF(P603&gt;0,P603,ROUND(M603*SuppliesPerHour,2)))</f>
        <v>0</v>
      </c>
      <c r="R603" s="21">
        <f>IF(A603="","",ROUND(IFERROR(INDEX(Jobs!$W$5:$W$604,MATCH(A603,Jobs!$A$5:$A$604,0)),0)*MileageRate,2))</f>
        <v>0</v>
      </c>
      <c r="T603" s="21">
        <f>IF(A603="","",O603+Q603+R603+IF(S603="",0,S603))</f>
        <v>0</v>
      </c>
      <c r="U603" s="21">
        <f>IF(A603="","",J603-T603)</f>
        <v>0</v>
      </c>
      <c r="V603" s="38">
        <f>IF(OR(A603="",J603=0),"",U603/J603)</f>
        <v>0</v>
      </c>
      <c r="W603" s="21">
        <f>IF(OR(A603="",M603=0,J603=0),"",U603/M603)</f>
        <v>0</v>
      </c>
      <c r="X603" s="34">
        <f>IF(OR(A603="",L603="",L603=0,K603=""),"",L603-K603)</f>
        <v>0</v>
      </c>
      <c r="Y603" s="31">
        <f>IF(A603="","",COUNTIFS($U$5:$U$604,"&gt;"&amp;U603)+COUNTIFS($U$5:U603,U603))</f>
        <v>0</v>
      </c>
      <c r="Z603" s="31">
        <f>IF(A603="","",COUNTIFS($W$5:$W$604,"&gt;"&amp;W603)+COUNTIFS($W$5:W603,W603))</f>
        <v>0</v>
      </c>
      <c r="AA603" s="39">
        <f>IF(A603="","",IF(J603=0,"",IF(U603&lt;0,"Loss - this job cost you money",IF(V603&lt;MarginFloor,"Below - margin under the floor",IF(V603&lt;TargetMargin,"Check - under target margin",IF(AND(X603&lt;&gt;"",X603&gt;0.5),"Check - ran over the estimate","OK"))))))</f>
        <v>0</v>
      </c>
    </row>
    <row r="604" spans="1:27">
      <c r="A604" s="43">
        <f>IF(IFERROR(INDEX(Jobs!$A$5:$A$604,ROW()-4),"")="","",IFERROR(INDEX(Jobs!$A$5:$A$604,ROW()-4),""))</f>
        <v>0</v>
      </c>
      <c r="B604" s="18">
        <f>IF(A604="","",IFERROR(INDEX(Jobs!$B$5:$B$604,MATCH(A604,Jobs!$A$5:$A$604,0)),""))</f>
        <v>0</v>
      </c>
      <c r="C604" s="23">
        <f>IF(B604="","",TEXT(B604,"yyyy-mm"))</f>
        <v>0</v>
      </c>
      <c r="D604" s="43">
        <f>IF(A604="","",IFERROR(INDEX(Jobs!$G$5:$G$604,MATCH(A604,Jobs!$A$5:$A$604,0)),""))</f>
        <v>0</v>
      </c>
      <c r="E604" s="23">
        <f>IF(A604="","",IFERROR(INDEX(Jobs!$H$5:$H$604,MATCH(A604,Jobs!$A$5:$A$604,0)),""))</f>
        <v>0</v>
      </c>
      <c r="F604" s="23">
        <f>IF(A604="","",IFERROR(INDEX(Jobs!$K$5:$K$604,MATCH(A604,Jobs!$A$5:$A$604,0)),""))</f>
        <v>0</v>
      </c>
      <c r="G604" s="23">
        <f>IF(A604="","",IFERROR(INDEX(Jobs!$M$5:$M$604,MATCH(A604,Jobs!$A$5:$A$604,0)),""))</f>
        <v>0</v>
      </c>
      <c r="H604" s="23">
        <f>IF(A604="","",IFERROR(INDEX(Jobs!$R$5:$R$604,MATCH(A604,Jobs!$A$5:$A$604,0)),""))</f>
        <v>0</v>
      </c>
      <c r="I604" s="39">
        <f>IF(A604="","",IFERROR(INDEX(Jobs!$P$5:$P$604,MATCH(A604,Jobs!$A$5:$A$604,0)),""))</f>
        <v>0</v>
      </c>
      <c r="J604" s="21">
        <f>IF(A604="","",IF(OR(I604="Completed",I604="Invoiced"),IFERROR(INDEX(Jobs!$AJ$5:$AJ$604,MATCH(A604,Jobs!$A$5:$A$604,0)),0),0))</f>
        <v>0</v>
      </c>
      <c r="K604" s="34">
        <f>IF(A604="","",IFERROR(INDEX(Jobs!$AD$5:$AD$604,MATCH(A604,Jobs!$A$5:$A$604,0)),0))</f>
        <v>0</v>
      </c>
      <c r="L604" s="34">
        <f>IF(A604="","",IFERROR(INDEX(Jobs!$AK$5:$AK$604,MATCH(A604,Jobs!$A$5:$A$604,0)),0))</f>
        <v>0</v>
      </c>
      <c r="M604" s="34">
        <f>IF(A604="","",IF(IFERROR(L604*1,0)&gt;0,L604,IFERROR(K604*1,0)))</f>
        <v>0</v>
      </c>
      <c r="N604" s="21">
        <f>IF(A604="","",SUMIFS(Timesheets!$X$5:$X$804,Timesheets!$G$5:$G$804,A604))</f>
        <v>0</v>
      </c>
      <c r="O604" s="21">
        <f>IF(A604="","",IF(N604&gt;0,N604,ROUND(M604*CostPerHour,2)))</f>
        <v>0</v>
      </c>
      <c r="P604" s="21">
        <f>IF(A604="","",SUMIFS('Supply Usage'!$L$5:$L$304,'Supply Usage'!$F$5:$F$304,A604))</f>
        <v>0</v>
      </c>
      <c r="Q604" s="21">
        <f>IF(A604="","",IF(P604&gt;0,P604,ROUND(M604*SuppliesPerHour,2)))</f>
        <v>0</v>
      </c>
      <c r="R604" s="21">
        <f>IF(A604="","",ROUND(IFERROR(INDEX(Jobs!$W$5:$W$604,MATCH(A604,Jobs!$A$5:$A$604,0)),0)*MileageRate,2))</f>
        <v>0</v>
      </c>
      <c r="T604" s="21">
        <f>IF(A604="","",O604+Q604+R604+IF(S604="",0,S604))</f>
        <v>0</v>
      </c>
      <c r="U604" s="21">
        <f>IF(A604="","",J604-T604)</f>
        <v>0</v>
      </c>
      <c r="V604" s="38">
        <f>IF(OR(A604="",J604=0),"",U604/J604)</f>
        <v>0</v>
      </c>
      <c r="W604" s="21">
        <f>IF(OR(A604="",M604=0,J604=0),"",U604/M604)</f>
        <v>0</v>
      </c>
      <c r="X604" s="34">
        <f>IF(OR(A604="",L604="",L604=0,K604=""),"",L604-K604)</f>
        <v>0</v>
      </c>
      <c r="Y604" s="31">
        <f>IF(A604="","",COUNTIFS($U$5:$U$604,"&gt;"&amp;U604)+COUNTIFS($U$5:U604,U604))</f>
        <v>0</v>
      </c>
      <c r="Z604" s="31">
        <f>IF(A604="","",COUNTIFS($W$5:$W$604,"&gt;"&amp;W604)+COUNTIFS($W$5:W604,W604))</f>
        <v>0</v>
      </c>
      <c r="AA604" s="39">
        <f>IF(A604="","",IF(J604=0,"",IF(U604&lt;0,"Loss - this job cost you money",IF(V604&lt;MarginFloor,"Below - margin under the floor",IF(V604&lt;TargetMargin,"Check - under target margin",IF(AND(X604&lt;&gt;"",X604&gt;0.5),"Check - ran over the estimate","OK"))))))</f>
        <v>0</v>
      </c>
    </row>
  </sheetData>
  <sheetProtection password="EC7C" sheet="1" objects="1" scenarios="1" formatCells="0" formatColumns="0" formatRows="0" insertRows="0" insertHyperlinks="0" deleteRows="0" autoFilter="0"/>
  <autoFilter ref="A4:AB604"/>
  <mergeCells count="13">
    <mergeCell ref="A1:Y1"/>
    <mergeCell ref="Z1:AB1"/>
    <mergeCell ref="A2:AB2"/>
    <mergeCell ref="A3:B3"/>
    <mergeCell ref="C3:D3"/>
    <mergeCell ref="E3:F3"/>
    <mergeCell ref="G3:H3"/>
    <mergeCell ref="I3:J3"/>
    <mergeCell ref="K3:L3"/>
    <mergeCell ref="M3:N3"/>
    <mergeCell ref="O3:P3"/>
    <mergeCell ref="Q3:R3"/>
    <mergeCell ref="S3:AB3"/>
  </mergeCells>
  <conditionalFormatting sqref="AA5:AA604">
    <cfRule type="beginsWith" dxfId="1" priority="46" operator="beginsWith" text="OK">
      <formula>LEFT(AA5,2)="OK"</formula>
    </cfRule>
    <cfRule type="containsText" dxfId="2" priority="47" operator="containsText" text="Overdue">
      <formula>NOT(ISERROR(SEARCH("Overdue",AA5)))</formula>
    </cfRule>
    <cfRule type="containsText" dxfId="2" priority="48" operator="containsText" text="Late">
      <formula>NOT(ISERROR(SEARCH("Late",AA5)))</formula>
    </cfRule>
    <cfRule type="containsText" dxfId="2" priority="49" operator="containsText" text="Missing">
      <formula>NOT(ISERROR(SEARCH("Missing",AA5)))</formula>
    </cfRule>
    <cfRule type="containsText" dxfId="2" priority="50" operator="containsText" text="Conflict">
      <formula>NOT(ISERROR(SEARCH("Conflict",AA5)))</formula>
    </cfRule>
    <cfRule type="containsText" dxfId="2" priority="51" operator="containsText" text="Clash">
      <formula>NOT(ISERROR(SEARCH("Clash",AA5)))</formula>
    </cfRule>
    <cfRule type="containsText" dxfId="2" priority="52" operator="containsText" text="Expired">
      <formula>NOT(ISERROR(SEARCH("Expired",AA5)))</formula>
    </cfRule>
    <cfRule type="containsText" dxfId="2" priority="53" operator="containsText" text="Duplicate">
      <formula>NOT(ISERROR(SEARCH("Duplicate",AA5)))</formula>
    </cfRule>
    <cfRule type="containsText" dxfId="2" priority="54" operator="containsText" text="Unpaid">
      <formula>NOT(ISERROR(SEARCH("Unpaid",AA5)))</formula>
    </cfRule>
    <cfRule type="containsText" dxfId="2" priority="55" operator="containsText" text="Loss">
      <formula>NOT(ISERROR(SEARCH("Loss",AA5)))</formula>
    </cfRule>
    <cfRule type="containsText" dxfId="2" priority="56" operator="containsText" text="Below">
      <formula>NOT(ISERROR(SEARCH("Below",AA5)))</formula>
    </cfRule>
    <cfRule type="containsText" dxfId="0" priority="57" operator="containsText" text="Action">
      <formula>NOT(ISERROR(SEARCH("Action",AA5)))</formula>
    </cfRule>
    <cfRule type="containsText" dxfId="0" priority="58" operator="containsText" text="Due">
      <formula>NOT(ISERROR(SEARCH("Due",AA5)))</formula>
    </cfRule>
    <cfRule type="containsText" dxfId="0" priority="59" operator="containsText" text="Check">
      <formula>NOT(ISERROR(SEARCH("Check",AA5)))</formula>
    </cfRule>
    <cfRule type="containsText" dxfId="0" priority="60" operator="containsText" text="Chase">
      <formula>NOT(ISERROR(SEARCH("Chase",AA5)))</formula>
    </cfRule>
    <cfRule type="containsText" dxfId="0" priority="61" operator="containsText" text="Assign">
      <formula>NOT(ISERROR(SEARCH("Assign",AA5)))</formula>
    </cfRule>
    <cfRule type="containsText" dxfId="0" priority="62" operator="containsText" text="Confirm">
      <formula>NOT(ISERROR(SEARCH("Confirm",AA5)))</formula>
    </cfRule>
    <cfRule type="containsText" dxfId="0" priority="63" operator="containsText" text="Order">
      <formula>NOT(ISERROR(SEARCH("Order",AA5)))</formula>
    </cfRule>
    <cfRule type="containsText" dxfId="3" priority="64" operator="containsText" text="Today">
      <formula>NOT(ISERROR(SEARCH("Today",AA5)))</formula>
    </cfRule>
    <cfRule type="containsText" dxfId="3" priority="65" operator="containsText" text="Upcoming">
      <formula>NOT(ISERROR(SEARCH("Upcoming",AA5)))</formula>
    </cfRule>
    <cfRule type="containsText" dxfId="3" priority="66" operator="containsText" text="Tomorrow">
      <formula>NOT(ISERROR(SEARCH("Tomorrow",AA5)))</formula>
    </cfRule>
  </conditionalFormatting>
  <conditionalFormatting sqref="I5:I604">
    <cfRule type="containsText" dxfId="1" priority="1" operator="containsText" text="Completed">
      <formula>NOT(ISERROR(SEARCH("Completed",I5)))</formula>
    </cfRule>
    <cfRule type="containsText" dxfId="1" priority="2" operator="containsText" text="Complete">
      <formula>NOT(ISERROR(SEARCH("Complete",I5)))</formula>
    </cfRule>
    <cfRule type="containsText" dxfId="1" priority="3" operator="containsText" text="Done">
      <formula>NOT(ISERROR(SEARCH("Done",I5)))</formula>
    </cfRule>
    <cfRule type="containsText" dxfId="1" priority="4" operator="containsText" text="Paid">
      <formula>NOT(ISERROR(SEARCH("Paid",I5)))</formula>
    </cfRule>
    <cfRule type="containsText" dxfId="1" priority="5" operator="containsText" text="Accepted">
      <formula>NOT(ISERROR(SEARCH("Accepted",I5)))</formula>
    </cfRule>
    <cfRule type="containsText" dxfId="1" priority="6" operator="containsText" text="Won">
      <formula>NOT(ISERROR(SEARCH("Won",I5)))</formula>
    </cfRule>
    <cfRule type="containsText" dxfId="1" priority="7" operator="containsText" text="Active">
      <formula>NOT(ISERROR(SEARCH("Active",I5)))</formula>
    </cfRule>
    <cfRule type="containsText" dxfId="1" priority="8" operator="containsText" text="In stock">
      <formula>NOT(ISERROR(SEARCH("In stock",I5)))</formula>
    </cfRule>
    <cfRule type="containsText" dxfId="1" priority="9" operator="containsText" text="Resolved">
      <formula>NOT(ISERROR(SEARCH("Resolved",I5)))</formula>
    </cfRule>
    <cfRule type="containsText" dxfId="1" priority="10" operator="containsText" text="Signed">
      <formula>NOT(ISERROR(SEARCH("Signed",I5)))</formula>
    </cfRule>
    <cfRule type="containsText" dxfId="1" priority="11" operator="containsText" text="Yes">
      <formula>NOT(ISERROR(SEARCH("Yes",I5)))</formula>
    </cfRule>
    <cfRule type="containsText" dxfId="3" priority="12" operator="containsText" text="Booked">
      <formula>NOT(ISERROR(SEARCH("Booked",I5)))</formula>
    </cfRule>
    <cfRule type="containsText" dxfId="3" priority="13" operator="containsText" text="Confirmed">
      <formula>NOT(ISERROR(SEARCH("Confirmed",I5)))</formula>
    </cfRule>
    <cfRule type="containsText" dxfId="3" priority="14" operator="containsText" text="Scheduled">
      <formula>NOT(ISERROR(SEARCH("Scheduled",I5)))</formula>
    </cfRule>
    <cfRule type="containsText" dxfId="3" priority="15" operator="containsText" text="In progress">
      <formula>NOT(ISERROR(SEARCH("In progress",I5)))</formula>
    </cfRule>
    <cfRule type="containsText" dxfId="3" priority="16" operator="containsText" text="Sent">
      <formula>NOT(ISERROR(SEARCH("Sent",I5)))</formula>
    </cfRule>
    <cfRule type="containsText" dxfId="3" priority="17" operator="containsText" text="Invoiced">
      <formula>NOT(ISERROR(SEARCH("Invoiced",I5)))</formula>
    </cfRule>
    <cfRule type="containsText" dxfId="3" priority="18" operator="containsText" text="Quoted">
      <formula>NOT(ISERROR(SEARCH("Quoted",I5)))</formula>
    </cfRule>
    <cfRule type="containsText" dxfId="3" priority="19" operator="containsText" text="Prospect">
      <formula>NOT(ISERROR(SEARCH("Prospect",I5)))</formula>
    </cfRule>
    <cfRule type="containsText" dxfId="0" priority="20" operator="containsText" text="Draft">
      <formula>NOT(ISERROR(SEARCH("Draft",I5)))</formula>
    </cfRule>
    <cfRule type="containsText" dxfId="0" priority="21" operator="containsText" text="Enquiry">
      <formula>NOT(ISERROR(SEARCH("Enquiry",I5)))</formula>
    </cfRule>
    <cfRule type="containsText" dxfId="0" priority="22" operator="containsText" text="Pending">
      <formula>NOT(ISERROR(SEARCH("Pending",I5)))</formula>
    </cfRule>
    <cfRule type="containsText" dxfId="0" priority="23" operator="containsText" text="Part paid">
      <formula>NOT(ISERROR(SEARCH("Part paid",I5)))</formula>
    </cfRule>
    <cfRule type="containsText" dxfId="0" priority="24" operator="containsText" text="Followed up">
      <formula>NOT(ISERROR(SEARCH("Followed up",I5)))</formula>
    </cfRule>
    <cfRule type="containsText" dxfId="0" priority="25" operator="containsText" text="Low stock">
      <formula>NOT(ISERROR(SEARCH("Low stock",I5)))</formula>
    </cfRule>
    <cfRule type="containsText" dxfId="0" priority="26" operator="containsText" text="Due soon">
      <formula>NOT(ISERROR(SEARCH("Due soon",I5)))</formula>
    </cfRule>
    <cfRule type="containsText" dxfId="0" priority="27" operator="containsText" text="On hold">
      <formula>NOT(ISERROR(SEARCH("On hold",I5)))</formula>
    </cfRule>
    <cfRule type="containsText" dxfId="0" priority="28" operator="containsText" text="Unassigned">
      <formula>NOT(ISERROR(SEARCH("Unassigned",I5)))</formula>
    </cfRule>
    <cfRule type="containsText" dxfId="2" priority="29" operator="containsText" text="Overdue">
      <formula>NOT(ISERROR(SEARCH("Overdue",I5)))</formula>
    </cfRule>
    <cfRule type="containsText" dxfId="2" priority="30" operator="containsText" text="Cancelled">
      <formula>NOT(ISERROR(SEARCH("Cancelled",I5)))</formula>
    </cfRule>
    <cfRule type="containsText" dxfId="2" priority="31" operator="containsText" text="Declined">
      <formula>NOT(ISERROR(SEARCH("Declined",I5)))</formula>
    </cfRule>
    <cfRule type="containsText" dxfId="2" priority="32" operator="containsText" text="Lost">
      <formula>NOT(ISERROR(SEARCH("Lost",I5)))</formula>
    </cfRule>
    <cfRule type="containsText" dxfId="2" priority="33" operator="containsText" text="No access">
      <formula>NOT(ISERROR(SEARCH("No access",I5)))</formula>
    </cfRule>
    <cfRule type="containsText" dxfId="2" priority="34" operator="containsText" text="Out of stock">
      <formula>NOT(ISERROR(SEARCH("Out of stock",I5)))</formula>
    </cfRule>
    <cfRule type="containsText" dxfId="2" priority="35" operator="containsText" text="Written off">
      <formula>NOT(ISERROR(SEARCH("Written off",I5)))</formula>
    </cfRule>
    <cfRule type="containsText" dxfId="2" priority="36" operator="containsText" text="Expired">
      <formula>NOT(ISERROR(SEARCH("Expired",I5)))</formula>
    </cfRule>
    <cfRule type="containsText" dxfId="4" priority="37" operator="containsText" text="Inactive">
      <formula>NOT(ISERROR(SEARCH("Inactive",I5)))</formula>
    </cfRule>
    <cfRule type="containsText" dxfId="4" priority="38" operator="containsText" text="Archived">
      <formula>NOT(ISERROR(SEARCH("Archived",I5)))</formula>
    </cfRule>
    <cfRule type="containsText" dxfId="4" priority="39" operator="containsText" text="Not needed">
      <formula>NOT(ISERROR(SEARCH("Not needed",I5)))</formula>
    </cfRule>
  </conditionalFormatting>
  <conditionalFormatting sqref="J5:J604">
    <cfRule type="dataBar" priority="40">
      <dataBar>
        <cfvo type="min" val="0"/>
        <cfvo type="max" val="0"/>
        <color rgb="FFE8A33D"/>
      </dataBar>
    </cfRule>
  </conditionalFormatting>
  <conditionalFormatting sqref="U5:U604">
    <cfRule type="cellIs" dxfId="5" priority="41" operator="lessThan">
      <formula>0</formula>
    </cfRule>
    <cfRule type="cellIs" dxfId="1" priority="42" operator="greaterThan">
      <formula>0</formula>
    </cfRule>
  </conditionalFormatting>
  <conditionalFormatting sqref="V5:V604">
    <cfRule type="cellIs" dxfId="2" priority="43" operator="lessThan">
      <formula>MarginFloor</formula>
    </cfRule>
    <cfRule type="cellIs" dxfId="1" priority="44" operator="greaterThanOrEqual">
      <formula>TargetMargin</formula>
    </cfRule>
  </conditionalFormatting>
  <conditionalFormatting sqref="W5:W604">
    <cfRule type="colorScale" priority="45">
      <colorScale>
        <cfvo type="min" val="0"/>
        <cfvo type="percentile" val="50"/>
        <cfvo type="max" val="0"/>
        <color rgb="FFFBD9DD"/>
        <color rgb="FFFFF0CE"/>
        <color rgb="FFD7F2E3"/>
      </colorScale>
    </cfRule>
  </conditionalFormatting>
  <dataValidations count="1">
    <dataValidation type="decimal" allowBlank="1" showInputMessage="1" showErrorMessage="1" errorTitle="Check the value" error="Enter a number between 0 and 1000000." promptTitle="Other cost" prompt="The only cell you ever type on this tab: parking, a skip, a replacement item, a subcontractor's invoice." sqref="S5:S604">
      <formula1>0</formula1>
      <formula2>1000000</formula2>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&amp;L&amp;"Calibri,Bold"&amp;12&amp;C&amp;"Calibri,Bold"&amp;11Job Costing&amp;R&amp;"Calibri,Italic"&amp;9Cleaning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19.xml><?xml version="1.0" encoding="utf-8"?>
<worksheet xmlns="http://schemas.openxmlformats.org/spreadsheetml/2006/main" xmlns:r="http://schemas.openxmlformats.org/officeDocument/2006/relationships">
  <sheetPr>
    <tabColor rgb="FF14616B"/>
    <pageSetUpPr fitToPage="1"/>
  </sheetPr>
  <dimension ref="A1:AE4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3" customWidth="1"/>
    <col min="2" max="2" width="11.7109375" style="46" customWidth="1"/>
    <col min="3" max="3" width="10.7109375" style="23" customWidth="1"/>
    <col min="4" max="4" width="11.7109375" style="49" customWidth="1"/>
    <col min="5" max="5" width="22.7109375" style="23" customWidth="1"/>
    <col min="6" max="6" width="30.7109375" style="23" hidden="1" customWidth="1"/>
    <col min="7" max="7" width="20.7109375" style="15" customWidth="1"/>
    <col min="8" max="8" width="13.7109375" style="45" customWidth="1"/>
    <col min="9" max="9" width="11.7109375" style="46" customWidth="1"/>
    <col min="10" max="10" width="10.7109375" style="16" customWidth="1"/>
    <col min="11" max="11" width="9.7109375" style="20" customWidth="1"/>
    <col min="12" max="12" width="14.7109375" style="15" customWidth="1"/>
    <col min="13" max="13" width="14.7109375" style="15" customWidth="1"/>
    <col min="14" max="14" width="10.7109375" style="16" customWidth="1"/>
    <col min="15" max="15" width="11.7109375" style="46" customWidth="1"/>
    <col min="16" max="16" width="30.7109375" style="44" customWidth="1"/>
    <col min="17" max="17" width="7.7109375" style="31" hidden="1" customWidth="1"/>
    <col min="18" max="18" width="12.7109375" style="21" customWidth="1"/>
    <col min="19" max="19" width="11.7109375" style="21" hidden="1" customWidth="1"/>
    <col min="20" max="20" width="12.7109375" style="21" customWidth="1"/>
    <col min="21" max="21" width="10.7109375" style="21" customWidth="1"/>
    <col min="22" max="22" width="12.7109375" style="21" customWidth="1"/>
    <col min="23" max="23" width="12.7109375" style="21" customWidth="1"/>
    <col min="24" max="24" width="12.7109375" style="21" customWidth="1"/>
    <col min="25" max="25" width="9.7109375" style="31" hidden="1" customWidth="1"/>
    <col min="26" max="26" width="11.7109375" style="18" customWidth="1"/>
    <col min="27" max="27" width="9.7109375" style="31" customWidth="1"/>
    <col min="28" max="28" width="12.7109375" style="39" customWidth="1"/>
    <col min="29" max="29" width="10.7109375" style="21" hidden="1" customWidth="1"/>
    <col min="30" max="30" width="9.7109375" style="50" hidden="1" customWidth="1"/>
    <col min="31" max="31" width="32.7109375" style="39" customWidth="1"/>
  </cols>
  <sheetData>
    <row r="1" spans="1:31" ht="34" customHeight="1">
      <c r="A1" s="2" t="s">
        <v>375</v>
      </c>
      <c r="B1" s="2"/>
      <c r="C1" s="2"/>
      <c r="D1" s="2"/>
      <c r="E1" s="2"/>
      <c r="F1" s="2"/>
      <c r="G1" s="2"/>
      <c r="H1" s="2"/>
      <c r="I1" s="2"/>
      <c r="J1" s="2"/>
      <c r="K1" s="2"/>
      <c r="L1" s="2"/>
      <c r="M1" s="2"/>
      <c r="N1" s="2"/>
      <c r="O1" s="2"/>
      <c r="P1" s="2"/>
      <c r="Q1" s="2"/>
      <c r="R1" s="2"/>
      <c r="S1" s="2"/>
      <c r="T1" s="2"/>
      <c r="U1" s="2"/>
      <c r="V1" s="2"/>
      <c r="W1" s="2"/>
      <c r="X1" s="2"/>
      <c r="Y1" s="2"/>
      <c r="Z1" s="2"/>
      <c r="AA1" s="2"/>
      <c r="AB1" s="2"/>
      <c r="AC1" s="3" t="s">
        <v>1</v>
      </c>
      <c r="AD1" s="3"/>
      <c r="AE1" s="3"/>
    </row>
    <row r="2" spans="1:31" ht="18" customHeight="1">
      <c r="A2" s="4" t="s">
        <v>1571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row>
    <row r="3" spans="1:31"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1572</v>
      </c>
      <c r="T3" s="48"/>
      <c r="U3" s="48"/>
      <c r="V3" s="48"/>
      <c r="W3" s="48"/>
      <c r="X3" s="48"/>
      <c r="Y3" s="48"/>
      <c r="Z3" s="48"/>
      <c r="AA3" s="48"/>
      <c r="AB3" s="48"/>
      <c r="AC3" s="48"/>
      <c r="AD3" s="48"/>
      <c r="AE3" s="48"/>
    </row>
    <row r="4" spans="1:31" ht="30" customHeight="1">
      <c r="A4" s="8" t="s">
        <v>545</v>
      </c>
      <c r="B4" s="8" t="s">
        <v>1573</v>
      </c>
      <c r="C4" s="9" t="s">
        <v>340</v>
      </c>
      <c r="D4" s="9" t="s">
        <v>719</v>
      </c>
      <c r="E4" s="9" t="s">
        <v>403</v>
      </c>
      <c r="F4" s="9" t="s">
        <v>547</v>
      </c>
      <c r="G4" s="9" t="s">
        <v>1574</v>
      </c>
      <c r="H4" s="9" t="s">
        <v>548</v>
      </c>
      <c r="I4" s="9" t="s">
        <v>1031</v>
      </c>
      <c r="J4" s="9" t="s">
        <v>1575</v>
      </c>
      <c r="K4" s="9" t="s">
        <v>464</v>
      </c>
      <c r="L4" s="9" t="s">
        <v>1576</v>
      </c>
      <c r="M4" s="9" t="s">
        <v>1577</v>
      </c>
      <c r="N4" s="9" t="s">
        <v>1578</v>
      </c>
      <c r="O4" s="9" t="s">
        <v>1579</v>
      </c>
      <c r="P4" s="9" t="s">
        <v>421</v>
      </c>
      <c r="Q4" s="9" t="s">
        <v>1039</v>
      </c>
      <c r="R4" s="9" t="s">
        <v>1041</v>
      </c>
      <c r="S4" s="9" t="s">
        <v>1042</v>
      </c>
      <c r="T4" s="9" t="s">
        <v>1043</v>
      </c>
      <c r="U4" s="9" t="s">
        <v>1044</v>
      </c>
      <c r="V4" s="9" t="s">
        <v>471</v>
      </c>
      <c r="W4" s="9" t="s">
        <v>1580</v>
      </c>
      <c r="X4" s="9" t="s">
        <v>1581</v>
      </c>
      <c r="Y4" s="9" t="s">
        <v>1582</v>
      </c>
      <c r="Z4" s="9" t="s">
        <v>1583</v>
      </c>
      <c r="AA4" s="9" t="s">
        <v>1584</v>
      </c>
      <c r="AB4" s="9" t="s">
        <v>1585</v>
      </c>
      <c r="AC4" s="9" t="s">
        <v>1586</v>
      </c>
      <c r="AD4" s="9" t="s">
        <v>1587</v>
      </c>
      <c r="AE4" s="9" t="s">
        <v>574</v>
      </c>
    </row>
    <row r="5" spans="1:31">
      <c r="A5" s="43">
        <f>IF(B5="","",InvoicePrefix&amp;TEXT(ROW()-4,"0000"))</f>
        <v>0</v>
      </c>
      <c r="B5" s="46">
        <v>46295</v>
      </c>
      <c r="C5" s="23">
        <f>IF(B5="","",TEXT(B5,"yyyy-mm"))</f>
        <v>0</v>
      </c>
      <c r="D5" s="49" t="s">
        <v>743</v>
      </c>
      <c r="E5" s="23">
        <f>IF(D5="","",IFERROR(INDEX(Clients!$B$5:$B$204,MATCH(D5,Clients!$A$5:$A$204,0)),"Not found"))</f>
        <v>0</v>
      </c>
      <c r="F5" s="23">
        <f>IF(D5="","",IFERROR(INDEX(Clients!$G$5:$G$204,MATCH(D5,Clients!$A$5:$A$204,0)),""))</f>
        <v>0</v>
      </c>
      <c r="G5" s="15" t="s">
        <v>1588</v>
      </c>
      <c r="H5" s="45" t="s">
        <v>1589</v>
      </c>
      <c r="I5" s="46">
        <v>46295</v>
      </c>
      <c r="L5" s="15" t="s">
        <v>1590</v>
      </c>
      <c r="M5" s="15" t="s">
        <v>172</v>
      </c>
      <c r="P5" s="44" t="s">
        <v>172</v>
      </c>
      <c r="Q5" s="31">
        <f>IF(A5="","",COUNTIFS('Invoice Lines'!$B$5:$B$804,A5))</f>
        <v>0</v>
      </c>
      <c r="R5" s="21">
        <f>IF(A5="","",SUMIFS('Invoice Lines'!$N$5:$N$804,'Invoice Lines'!$B$5:$B$804,A5))</f>
        <v>0</v>
      </c>
      <c r="S5" s="21">
        <f>IF(A5="","",ROUND(R5*IF(K5="",0,K5),2))</f>
        <v>0</v>
      </c>
      <c r="T5" s="21">
        <f>IF(A5="","",R5-S5)</f>
        <v>0</v>
      </c>
      <c r="U5" s="21">
        <f>IF(A5="","",ROUND(T5*TaxRate,2))</f>
        <v>0</v>
      </c>
      <c r="V5" s="21">
        <f>IF(A5="","",T5+U5)</f>
        <v>0</v>
      </c>
      <c r="W5" s="21">
        <f>IF(A5="","",SUMIFS(Payments!$G$5:$G$404,Payments!$D$5:$D$404,A5))</f>
        <v>0</v>
      </c>
      <c r="X5" s="21">
        <f>IF(A5="","",ROUND(V5-W5,2))</f>
        <v>0</v>
      </c>
      <c r="Y5" s="31">
        <f>IF(B5="","",IF(J5&lt;&gt;"",J5,IF(IFERROR(INDEX(Clients!$P$5:$P$204,MATCH(D5,Clients!$A$5:$A$204,0)),"")&lt;&gt;"",INDEX(Clients!$P$5:$P$204,MATCH(D5,Clients!$A$5:$A$204,0)),PaymentTerms)))</f>
        <v>0</v>
      </c>
      <c r="Z5" s="18">
        <f>IF(OR(A5="",B5=""),"",B5+Y5)</f>
        <v>0</v>
      </c>
      <c r="AA5" s="31">
        <f>IF(OR(A5="",Z5=""),"",IF(X5&lt;=0.004,"",MAX(0,TodayDate-Z5-OverdueGrace)))</f>
        <v>0</v>
      </c>
      <c r="AB5" s="39">
        <f>IF(B5="","",IF(X5&lt;=0.004,"Paid",IF(AA5="","Not due yet",IF(AA5=0,"Due now",IF(AA5&lt;=30,"1-30 days",IF(AA5&lt;=60,"31-60 days",IF(AA5&lt;=90,"61-90 days","90+ days")))))))</f>
        <v>0</v>
      </c>
      <c r="AC5" s="21">
        <f>IF(OR(A5="",AA5=""),"",IF(AA5&lt;=0,0,ROUND(X5*LateFeePercent,2)))</f>
        <v>0</v>
      </c>
      <c r="AD5" s="50">
        <f>IF(B5="","",IF(X5&lt;=0.004,"Yes","No"))</f>
        <v>0</v>
      </c>
      <c r="AE5" s="39">
        <f>IF(B5="","",IF(Q5=0,"Add - no lines on this invoice yet",IF(H5="Written off","Written off",IF(AD5="Yes","OK - paid",IF(H5="Draft","Draft - not sent yet",IF(AND(AA5&lt;&gt;"",AA5&gt;30),"Overdue - "&amp;AA5&amp;" days, call them",IF(AND(AA5&lt;&gt;"",AA5&gt;0),"Overdue - send a reminder",IF(W5&gt;0,"Part paid","Due - waiting for payment"))))))))</f>
        <v>0</v>
      </c>
    </row>
    <row r="6" spans="1:31">
      <c r="A6" s="43">
        <f>IF(B6="","",InvoicePrefix&amp;TEXT(ROW()-4,"0000"))</f>
        <v>0</v>
      </c>
      <c r="B6" s="46">
        <v>46290</v>
      </c>
      <c r="C6" s="23">
        <f>IF(B6="","",TEXT(B6,"yyyy-mm"))</f>
        <v>0</v>
      </c>
      <c r="D6" s="49" t="s">
        <v>753</v>
      </c>
      <c r="E6" s="23">
        <f>IF(D6="","",IFERROR(INDEX(Clients!$B$5:$B$204,MATCH(D6,Clients!$A$5:$A$204,0)),"Not found"))</f>
        <v>0</v>
      </c>
      <c r="F6" s="23">
        <f>IF(D6="","",IFERROR(INDEX(Clients!$G$5:$G$204,MATCH(D6,Clients!$A$5:$A$204,0)),""))</f>
        <v>0</v>
      </c>
      <c r="G6" s="15" t="s">
        <v>1588</v>
      </c>
      <c r="H6" s="45" t="s">
        <v>1589</v>
      </c>
      <c r="I6" s="46">
        <v>46290</v>
      </c>
      <c r="L6" s="15" t="s">
        <v>1590</v>
      </c>
      <c r="M6" s="15" t="s">
        <v>172</v>
      </c>
      <c r="P6" s="44" t="s">
        <v>172</v>
      </c>
      <c r="Q6" s="31">
        <f>IF(A6="","",COUNTIFS('Invoice Lines'!$B$5:$B$804,A6))</f>
        <v>0</v>
      </c>
      <c r="R6" s="21">
        <f>IF(A6="","",SUMIFS('Invoice Lines'!$N$5:$N$804,'Invoice Lines'!$B$5:$B$804,A6))</f>
        <v>0</v>
      </c>
      <c r="S6" s="21">
        <f>IF(A6="","",ROUND(R6*IF(K6="",0,K6),2))</f>
        <v>0</v>
      </c>
      <c r="T6" s="21">
        <f>IF(A6="","",R6-S6)</f>
        <v>0</v>
      </c>
      <c r="U6" s="21">
        <f>IF(A6="","",ROUND(T6*TaxRate,2))</f>
        <v>0</v>
      </c>
      <c r="V6" s="21">
        <f>IF(A6="","",T6+U6)</f>
        <v>0</v>
      </c>
      <c r="W6" s="21">
        <f>IF(A6="","",SUMIFS(Payments!$G$5:$G$404,Payments!$D$5:$D$404,A6))</f>
        <v>0</v>
      </c>
      <c r="X6" s="21">
        <f>IF(A6="","",ROUND(V6-W6,2))</f>
        <v>0</v>
      </c>
      <c r="Y6" s="31">
        <f>IF(B6="","",IF(J6&lt;&gt;"",J6,IF(IFERROR(INDEX(Clients!$P$5:$P$204,MATCH(D6,Clients!$A$5:$A$204,0)),"")&lt;&gt;"",INDEX(Clients!$P$5:$P$204,MATCH(D6,Clients!$A$5:$A$204,0)),PaymentTerms)))</f>
        <v>0</v>
      </c>
      <c r="Z6" s="18">
        <f>IF(OR(A6="",B6=""),"",B6+Y6)</f>
        <v>0</v>
      </c>
      <c r="AA6" s="31">
        <f>IF(OR(A6="",Z6=""),"",IF(X6&lt;=0.004,"",MAX(0,TodayDate-Z6-OverdueGrace)))</f>
        <v>0</v>
      </c>
      <c r="AB6" s="39">
        <f>IF(B6="","",IF(X6&lt;=0.004,"Paid",IF(AA6="","Not due yet",IF(AA6=0,"Due now",IF(AA6&lt;=30,"1-30 days",IF(AA6&lt;=60,"31-60 days",IF(AA6&lt;=90,"61-90 days","90+ days")))))))</f>
        <v>0</v>
      </c>
      <c r="AC6" s="21">
        <f>IF(OR(A6="",AA6=""),"",IF(AA6&lt;=0,0,ROUND(X6*LateFeePercent,2)))</f>
        <v>0</v>
      </c>
      <c r="AD6" s="50">
        <f>IF(B6="","",IF(X6&lt;=0.004,"Yes","No"))</f>
        <v>0</v>
      </c>
      <c r="AE6" s="39">
        <f>IF(B6="","",IF(Q6=0,"Add - no lines on this invoice yet",IF(H6="Written off","Written off",IF(AD6="Yes","OK - paid",IF(H6="Draft","Draft - not sent yet",IF(AND(AA6&lt;&gt;"",AA6&gt;30),"Overdue - "&amp;AA6&amp;" days, call them",IF(AND(AA6&lt;&gt;"",AA6&gt;0),"Overdue - send a reminder",IF(W6&gt;0,"Part paid","Due - waiting for payment"))))))))</f>
        <v>0</v>
      </c>
    </row>
    <row r="7" spans="1:31">
      <c r="A7" s="43">
        <f>IF(B7="","",InvoicePrefix&amp;TEXT(ROW()-4,"0000"))</f>
        <v>0</v>
      </c>
      <c r="B7" s="46">
        <v>46291</v>
      </c>
      <c r="C7" s="23">
        <f>IF(B7="","",TEXT(B7,"yyyy-mm"))</f>
        <v>0</v>
      </c>
      <c r="D7" s="49" t="s">
        <v>764</v>
      </c>
      <c r="E7" s="23">
        <f>IF(D7="","",IFERROR(INDEX(Clients!$B$5:$B$204,MATCH(D7,Clients!$A$5:$A$204,0)),"Not found"))</f>
        <v>0</v>
      </c>
      <c r="F7" s="23">
        <f>IF(D7="","",IFERROR(INDEX(Clients!$G$5:$G$204,MATCH(D7,Clients!$A$5:$A$204,0)),""))</f>
        <v>0</v>
      </c>
      <c r="G7" s="15" t="s">
        <v>1588</v>
      </c>
      <c r="H7" s="45" t="s">
        <v>1591</v>
      </c>
      <c r="I7" s="46">
        <v>46291</v>
      </c>
      <c r="L7" s="15" t="s">
        <v>1592</v>
      </c>
      <c r="M7" s="15" t="s">
        <v>1593</v>
      </c>
      <c r="N7" s="16">
        <v>2</v>
      </c>
      <c r="O7" s="46">
        <v>46310</v>
      </c>
      <c r="P7" s="44" t="s">
        <v>1594</v>
      </c>
      <c r="Q7" s="31">
        <f>IF(A7="","",COUNTIFS('Invoice Lines'!$B$5:$B$804,A7))</f>
        <v>0</v>
      </c>
      <c r="R7" s="21">
        <f>IF(A7="","",SUMIFS('Invoice Lines'!$N$5:$N$804,'Invoice Lines'!$B$5:$B$804,A7))</f>
        <v>0</v>
      </c>
      <c r="S7" s="21">
        <f>IF(A7="","",ROUND(R7*IF(K7="",0,K7),2))</f>
        <v>0</v>
      </c>
      <c r="T7" s="21">
        <f>IF(A7="","",R7-S7)</f>
        <v>0</v>
      </c>
      <c r="U7" s="21">
        <f>IF(A7="","",ROUND(T7*TaxRate,2))</f>
        <v>0</v>
      </c>
      <c r="V7" s="21">
        <f>IF(A7="","",T7+U7)</f>
        <v>0</v>
      </c>
      <c r="W7" s="21">
        <f>IF(A7="","",SUMIFS(Payments!$G$5:$G$404,Payments!$D$5:$D$404,A7))</f>
        <v>0</v>
      </c>
      <c r="X7" s="21">
        <f>IF(A7="","",ROUND(V7-W7,2))</f>
        <v>0</v>
      </c>
      <c r="Y7" s="31">
        <f>IF(B7="","",IF(J7&lt;&gt;"",J7,IF(IFERROR(INDEX(Clients!$P$5:$P$204,MATCH(D7,Clients!$A$5:$A$204,0)),"")&lt;&gt;"",INDEX(Clients!$P$5:$P$204,MATCH(D7,Clients!$A$5:$A$204,0)),PaymentTerms)))</f>
        <v>0</v>
      </c>
      <c r="Z7" s="18">
        <f>IF(OR(A7="",B7=""),"",B7+Y7)</f>
        <v>0</v>
      </c>
      <c r="AA7" s="31">
        <f>IF(OR(A7="",Z7=""),"",IF(X7&lt;=0.004,"",MAX(0,TodayDate-Z7-OverdueGrace)))</f>
        <v>0</v>
      </c>
      <c r="AB7" s="39">
        <f>IF(B7="","",IF(X7&lt;=0.004,"Paid",IF(AA7="","Not due yet",IF(AA7=0,"Due now",IF(AA7&lt;=30,"1-30 days",IF(AA7&lt;=60,"31-60 days",IF(AA7&lt;=90,"61-90 days","90+ days")))))))</f>
        <v>0</v>
      </c>
      <c r="AC7" s="21">
        <f>IF(OR(A7="",AA7=""),"",IF(AA7&lt;=0,0,ROUND(X7*LateFeePercent,2)))</f>
        <v>0</v>
      </c>
      <c r="AD7" s="50">
        <f>IF(B7="","",IF(X7&lt;=0.004,"Yes","No"))</f>
        <v>0</v>
      </c>
      <c r="AE7" s="39">
        <f>IF(B7="","",IF(Q7=0,"Add - no lines on this invoice yet",IF(H7="Written off","Written off",IF(AD7="Yes","OK - paid",IF(H7="Draft","Draft - not sent yet",IF(AND(AA7&lt;&gt;"",AA7&gt;30),"Overdue - "&amp;AA7&amp;" days, call them",IF(AND(AA7&lt;&gt;"",AA7&gt;0),"Overdue - send a reminder",IF(W7&gt;0,"Part paid","Due - waiting for payment"))))))))</f>
        <v>0</v>
      </c>
    </row>
    <row r="8" spans="1:31">
      <c r="A8" s="43">
        <f>IF(B8="","",InvoicePrefix&amp;TEXT(ROW()-4,"0000"))</f>
        <v>0</v>
      </c>
      <c r="B8" s="46">
        <v>46294</v>
      </c>
      <c r="C8" s="23">
        <f>IF(B8="","",TEXT(B8,"yyyy-mm"))</f>
        <v>0</v>
      </c>
      <c r="D8" s="49" t="s">
        <v>773</v>
      </c>
      <c r="E8" s="23">
        <f>IF(D8="","",IFERROR(INDEX(Clients!$B$5:$B$204,MATCH(D8,Clients!$A$5:$A$204,0)),"Not found"))</f>
        <v>0</v>
      </c>
      <c r="F8" s="23">
        <f>IF(D8="","",IFERROR(INDEX(Clients!$G$5:$G$204,MATCH(D8,Clients!$A$5:$A$204,0)),""))</f>
        <v>0</v>
      </c>
      <c r="G8" s="15" t="s">
        <v>1588</v>
      </c>
      <c r="H8" s="45" t="s">
        <v>1589</v>
      </c>
      <c r="I8" s="46">
        <v>46294</v>
      </c>
      <c r="L8" s="15" t="s">
        <v>1592</v>
      </c>
      <c r="M8" s="15" t="s">
        <v>1595</v>
      </c>
      <c r="P8" s="44" t="s">
        <v>1594</v>
      </c>
      <c r="Q8" s="31">
        <f>IF(A8="","",COUNTIFS('Invoice Lines'!$B$5:$B$804,A8))</f>
        <v>0</v>
      </c>
      <c r="R8" s="21">
        <f>IF(A8="","",SUMIFS('Invoice Lines'!$N$5:$N$804,'Invoice Lines'!$B$5:$B$804,A8))</f>
        <v>0</v>
      </c>
      <c r="S8" s="21">
        <f>IF(A8="","",ROUND(R8*IF(K8="",0,K8),2))</f>
        <v>0</v>
      </c>
      <c r="T8" s="21">
        <f>IF(A8="","",R8-S8)</f>
        <v>0</v>
      </c>
      <c r="U8" s="21">
        <f>IF(A8="","",ROUND(T8*TaxRate,2))</f>
        <v>0</v>
      </c>
      <c r="V8" s="21">
        <f>IF(A8="","",T8+U8)</f>
        <v>0</v>
      </c>
      <c r="W8" s="21">
        <f>IF(A8="","",SUMIFS(Payments!$G$5:$G$404,Payments!$D$5:$D$404,A8))</f>
        <v>0</v>
      </c>
      <c r="X8" s="21">
        <f>IF(A8="","",ROUND(V8-W8,2))</f>
        <v>0</v>
      </c>
      <c r="Y8" s="31">
        <f>IF(B8="","",IF(J8&lt;&gt;"",J8,IF(IFERROR(INDEX(Clients!$P$5:$P$204,MATCH(D8,Clients!$A$5:$A$204,0)),"")&lt;&gt;"",INDEX(Clients!$P$5:$P$204,MATCH(D8,Clients!$A$5:$A$204,0)),PaymentTerms)))</f>
        <v>0</v>
      </c>
      <c r="Z8" s="18">
        <f>IF(OR(A8="",B8=""),"",B8+Y8)</f>
        <v>0</v>
      </c>
      <c r="AA8" s="31">
        <f>IF(OR(A8="",Z8=""),"",IF(X8&lt;=0.004,"",MAX(0,TodayDate-Z8-OverdueGrace)))</f>
        <v>0</v>
      </c>
      <c r="AB8" s="39">
        <f>IF(B8="","",IF(X8&lt;=0.004,"Paid",IF(AA8="","Not due yet",IF(AA8=0,"Due now",IF(AA8&lt;=30,"1-30 days",IF(AA8&lt;=60,"31-60 days",IF(AA8&lt;=90,"61-90 days","90+ days")))))))</f>
        <v>0</v>
      </c>
      <c r="AC8" s="21">
        <f>IF(OR(A8="",AA8=""),"",IF(AA8&lt;=0,0,ROUND(X8*LateFeePercent,2)))</f>
        <v>0</v>
      </c>
      <c r="AD8" s="50">
        <f>IF(B8="","",IF(X8&lt;=0.004,"Yes","No"))</f>
        <v>0</v>
      </c>
      <c r="AE8" s="39">
        <f>IF(B8="","",IF(Q8=0,"Add - no lines on this invoice yet",IF(H8="Written off","Written off",IF(AD8="Yes","OK - paid",IF(H8="Draft","Draft - not sent yet",IF(AND(AA8&lt;&gt;"",AA8&gt;30),"Overdue - "&amp;AA8&amp;" days, call them",IF(AND(AA8&lt;&gt;"",AA8&gt;0),"Overdue - send a reminder",IF(W8&gt;0,"Part paid","Due - waiting for payment"))))))))</f>
        <v>0</v>
      </c>
    </row>
    <row r="9" spans="1:31">
      <c r="A9" s="43">
        <f>IF(B9="","",InvoicePrefix&amp;TEXT(ROW()-4,"0000"))</f>
        <v>0</v>
      </c>
      <c r="B9" s="46">
        <v>46293</v>
      </c>
      <c r="C9" s="23">
        <f>IF(B9="","",TEXT(B9,"yyyy-mm"))</f>
        <v>0</v>
      </c>
      <c r="D9" s="49" t="s">
        <v>793</v>
      </c>
      <c r="E9" s="23">
        <f>IF(D9="","",IFERROR(INDEX(Clients!$B$5:$B$204,MATCH(D9,Clients!$A$5:$A$204,0)),"Not found"))</f>
        <v>0</v>
      </c>
      <c r="F9" s="23">
        <f>IF(D9="","",IFERROR(INDEX(Clients!$G$5:$G$204,MATCH(D9,Clients!$A$5:$A$204,0)),""))</f>
        <v>0</v>
      </c>
      <c r="G9" s="15" t="s">
        <v>1588</v>
      </c>
      <c r="H9" s="45" t="s">
        <v>1589</v>
      </c>
      <c r="I9" s="46">
        <v>46293</v>
      </c>
      <c r="L9" s="15" t="s">
        <v>1592</v>
      </c>
      <c r="M9" s="15" t="s">
        <v>1596</v>
      </c>
      <c r="P9" s="44" t="s">
        <v>1594</v>
      </c>
      <c r="Q9" s="31">
        <f>IF(A9="","",COUNTIFS('Invoice Lines'!$B$5:$B$804,A9))</f>
        <v>0</v>
      </c>
      <c r="R9" s="21">
        <f>IF(A9="","",SUMIFS('Invoice Lines'!$N$5:$N$804,'Invoice Lines'!$B$5:$B$804,A9))</f>
        <v>0</v>
      </c>
      <c r="S9" s="21">
        <f>IF(A9="","",ROUND(R9*IF(K9="",0,K9),2))</f>
        <v>0</v>
      </c>
      <c r="T9" s="21">
        <f>IF(A9="","",R9-S9)</f>
        <v>0</v>
      </c>
      <c r="U9" s="21">
        <f>IF(A9="","",ROUND(T9*TaxRate,2))</f>
        <v>0</v>
      </c>
      <c r="V9" s="21">
        <f>IF(A9="","",T9+U9)</f>
        <v>0</v>
      </c>
      <c r="W9" s="21">
        <f>IF(A9="","",SUMIFS(Payments!$G$5:$G$404,Payments!$D$5:$D$404,A9))</f>
        <v>0</v>
      </c>
      <c r="X9" s="21">
        <f>IF(A9="","",ROUND(V9-W9,2))</f>
        <v>0</v>
      </c>
      <c r="Y9" s="31">
        <f>IF(B9="","",IF(J9&lt;&gt;"",J9,IF(IFERROR(INDEX(Clients!$P$5:$P$204,MATCH(D9,Clients!$A$5:$A$204,0)),"")&lt;&gt;"",INDEX(Clients!$P$5:$P$204,MATCH(D9,Clients!$A$5:$A$204,0)),PaymentTerms)))</f>
        <v>0</v>
      </c>
      <c r="Z9" s="18">
        <f>IF(OR(A9="",B9=""),"",B9+Y9)</f>
        <v>0</v>
      </c>
      <c r="AA9" s="31">
        <f>IF(OR(A9="",Z9=""),"",IF(X9&lt;=0.004,"",MAX(0,TodayDate-Z9-OverdueGrace)))</f>
        <v>0</v>
      </c>
      <c r="AB9" s="39">
        <f>IF(B9="","",IF(X9&lt;=0.004,"Paid",IF(AA9="","Not due yet",IF(AA9=0,"Due now",IF(AA9&lt;=30,"1-30 days",IF(AA9&lt;=60,"31-60 days",IF(AA9&lt;=90,"61-90 days","90+ days")))))))</f>
        <v>0</v>
      </c>
      <c r="AC9" s="21">
        <f>IF(OR(A9="",AA9=""),"",IF(AA9&lt;=0,0,ROUND(X9*LateFeePercent,2)))</f>
        <v>0</v>
      </c>
      <c r="AD9" s="50">
        <f>IF(B9="","",IF(X9&lt;=0.004,"Yes","No"))</f>
        <v>0</v>
      </c>
      <c r="AE9" s="39">
        <f>IF(B9="","",IF(Q9=0,"Add - no lines on this invoice yet",IF(H9="Written off","Written off",IF(AD9="Yes","OK - paid",IF(H9="Draft","Draft - not sent yet",IF(AND(AA9&lt;&gt;"",AA9&gt;30),"Overdue - "&amp;AA9&amp;" days, call them",IF(AND(AA9&lt;&gt;"",AA9&gt;0),"Overdue - send a reminder",IF(W9&gt;0,"Part paid","Due - waiting for payment"))))))))</f>
        <v>0</v>
      </c>
    </row>
    <row r="10" spans="1:31">
      <c r="A10" s="43">
        <f>IF(B10="","",InvoicePrefix&amp;TEXT(ROW()-4,"0000"))</f>
        <v>0</v>
      </c>
      <c r="B10" s="46">
        <v>46291</v>
      </c>
      <c r="C10" s="23">
        <f>IF(B10="","",TEXT(B10,"yyyy-mm"))</f>
        <v>0</v>
      </c>
      <c r="D10" s="49" t="s">
        <v>800</v>
      </c>
      <c r="E10" s="23">
        <f>IF(D10="","",IFERROR(INDEX(Clients!$B$5:$B$204,MATCH(D10,Clients!$A$5:$A$204,0)),"Not found"))</f>
        <v>0</v>
      </c>
      <c r="F10" s="23">
        <f>IF(D10="","",IFERROR(INDEX(Clients!$G$5:$G$204,MATCH(D10,Clients!$A$5:$A$204,0)),""))</f>
        <v>0</v>
      </c>
      <c r="G10" s="15" t="s">
        <v>1588</v>
      </c>
      <c r="H10" s="45" t="s">
        <v>1591</v>
      </c>
      <c r="I10" s="46">
        <v>46291</v>
      </c>
      <c r="L10" s="15" t="s">
        <v>1592</v>
      </c>
      <c r="M10" s="15" t="s">
        <v>1597</v>
      </c>
      <c r="N10" s="16">
        <v>2</v>
      </c>
      <c r="O10" s="46">
        <v>46310</v>
      </c>
      <c r="P10" s="44" t="s">
        <v>1594</v>
      </c>
      <c r="Q10" s="31">
        <f>IF(A10="","",COUNTIFS('Invoice Lines'!$B$5:$B$804,A10))</f>
        <v>0</v>
      </c>
      <c r="R10" s="21">
        <f>IF(A10="","",SUMIFS('Invoice Lines'!$N$5:$N$804,'Invoice Lines'!$B$5:$B$804,A10))</f>
        <v>0</v>
      </c>
      <c r="S10" s="21">
        <f>IF(A10="","",ROUND(R10*IF(K10="",0,K10),2))</f>
        <v>0</v>
      </c>
      <c r="T10" s="21">
        <f>IF(A10="","",R10-S10)</f>
        <v>0</v>
      </c>
      <c r="U10" s="21">
        <f>IF(A10="","",ROUND(T10*TaxRate,2))</f>
        <v>0</v>
      </c>
      <c r="V10" s="21">
        <f>IF(A10="","",T10+U10)</f>
        <v>0</v>
      </c>
      <c r="W10" s="21">
        <f>IF(A10="","",SUMIFS(Payments!$G$5:$G$404,Payments!$D$5:$D$404,A10))</f>
        <v>0</v>
      </c>
      <c r="X10" s="21">
        <f>IF(A10="","",ROUND(V10-W10,2))</f>
        <v>0</v>
      </c>
      <c r="Y10" s="31">
        <f>IF(B10="","",IF(J10&lt;&gt;"",J10,IF(IFERROR(INDEX(Clients!$P$5:$P$204,MATCH(D10,Clients!$A$5:$A$204,0)),"")&lt;&gt;"",INDEX(Clients!$P$5:$P$204,MATCH(D10,Clients!$A$5:$A$204,0)),PaymentTerms)))</f>
        <v>0</v>
      </c>
      <c r="Z10" s="18">
        <f>IF(OR(A10="",B10=""),"",B10+Y10)</f>
        <v>0</v>
      </c>
      <c r="AA10" s="31">
        <f>IF(OR(A10="",Z10=""),"",IF(X10&lt;=0.004,"",MAX(0,TodayDate-Z10-OverdueGrace)))</f>
        <v>0</v>
      </c>
      <c r="AB10" s="39">
        <f>IF(B10="","",IF(X10&lt;=0.004,"Paid",IF(AA10="","Not due yet",IF(AA10=0,"Due now",IF(AA10&lt;=30,"1-30 days",IF(AA10&lt;=60,"31-60 days",IF(AA10&lt;=90,"61-90 days","90+ days")))))))</f>
        <v>0</v>
      </c>
      <c r="AC10" s="21">
        <f>IF(OR(A10="",AA10=""),"",IF(AA10&lt;=0,0,ROUND(X10*LateFeePercent,2)))</f>
        <v>0</v>
      </c>
      <c r="AD10" s="50">
        <f>IF(B10="","",IF(X10&lt;=0.004,"Yes","No"))</f>
        <v>0</v>
      </c>
      <c r="AE10" s="39">
        <f>IF(B10="","",IF(Q10=0,"Add - no lines on this invoice yet",IF(H10="Written off","Written off",IF(AD10="Yes","OK - paid",IF(H10="Draft","Draft - not sent yet",IF(AND(AA10&lt;&gt;"",AA10&gt;30),"Overdue - "&amp;AA10&amp;" days, call them",IF(AND(AA10&lt;&gt;"",AA10&gt;0),"Overdue - send a reminder",IF(W10&gt;0,"Part paid","Due - waiting for payment"))))))))</f>
        <v>0</v>
      </c>
    </row>
    <row r="11" spans="1:31">
      <c r="A11" s="43">
        <f>IF(B11="","",InvoicePrefix&amp;TEXT(ROW()-4,"0000"))</f>
        <v>0</v>
      </c>
      <c r="B11" s="46">
        <v>46275</v>
      </c>
      <c r="C11" s="23">
        <f>IF(B11="","",TEXT(B11,"yyyy-mm"))</f>
        <v>0</v>
      </c>
      <c r="D11" s="49" t="s">
        <v>806</v>
      </c>
      <c r="E11" s="23">
        <f>IF(D11="","",IFERROR(INDEX(Clients!$B$5:$B$204,MATCH(D11,Clients!$A$5:$A$204,0)),"Not found"))</f>
        <v>0</v>
      </c>
      <c r="F11" s="23">
        <f>IF(D11="","",IFERROR(INDEX(Clients!$G$5:$G$204,MATCH(D11,Clients!$A$5:$A$204,0)),""))</f>
        <v>0</v>
      </c>
      <c r="G11" s="15" t="s">
        <v>1588</v>
      </c>
      <c r="H11" s="45" t="s">
        <v>1589</v>
      </c>
      <c r="I11" s="46">
        <v>46275</v>
      </c>
      <c r="L11" s="15" t="s">
        <v>1590</v>
      </c>
      <c r="M11" s="15" t="s">
        <v>172</v>
      </c>
      <c r="P11" s="44" t="s">
        <v>172</v>
      </c>
      <c r="Q11" s="31">
        <f>IF(A11="","",COUNTIFS('Invoice Lines'!$B$5:$B$804,A11))</f>
        <v>0</v>
      </c>
      <c r="R11" s="21">
        <f>IF(A11="","",SUMIFS('Invoice Lines'!$N$5:$N$804,'Invoice Lines'!$B$5:$B$804,A11))</f>
        <v>0</v>
      </c>
      <c r="S11" s="21">
        <f>IF(A11="","",ROUND(R11*IF(K11="",0,K11),2))</f>
        <v>0</v>
      </c>
      <c r="T11" s="21">
        <f>IF(A11="","",R11-S11)</f>
        <v>0</v>
      </c>
      <c r="U11" s="21">
        <f>IF(A11="","",ROUND(T11*TaxRate,2))</f>
        <v>0</v>
      </c>
      <c r="V11" s="21">
        <f>IF(A11="","",T11+U11)</f>
        <v>0</v>
      </c>
      <c r="W11" s="21">
        <f>IF(A11="","",SUMIFS(Payments!$G$5:$G$404,Payments!$D$5:$D$404,A11))</f>
        <v>0</v>
      </c>
      <c r="X11" s="21">
        <f>IF(A11="","",ROUND(V11-W11,2))</f>
        <v>0</v>
      </c>
      <c r="Y11" s="31">
        <f>IF(B11="","",IF(J11&lt;&gt;"",J11,IF(IFERROR(INDEX(Clients!$P$5:$P$204,MATCH(D11,Clients!$A$5:$A$204,0)),"")&lt;&gt;"",INDEX(Clients!$P$5:$P$204,MATCH(D11,Clients!$A$5:$A$204,0)),PaymentTerms)))</f>
        <v>0</v>
      </c>
      <c r="Z11" s="18">
        <f>IF(OR(A11="",B11=""),"",B11+Y11)</f>
        <v>0</v>
      </c>
      <c r="AA11" s="31">
        <f>IF(OR(A11="",Z11=""),"",IF(X11&lt;=0.004,"",MAX(0,TodayDate-Z11-OverdueGrace)))</f>
        <v>0</v>
      </c>
      <c r="AB11" s="39">
        <f>IF(B11="","",IF(X11&lt;=0.004,"Paid",IF(AA11="","Not due yet",IF(AA11=0,"Due now",IF(AA11&lt;=30,"1-30 days",IF(AA11&lt;=60,"31-60 days",IF(AA11&lt;=90,"61-90 days","90+ days")))))))</f>
        <v>0</v>
      </c>
      <c r="AC11" s="21">
        <f>IF(OR(A11="",AA11=""),"",IF(AA11&lt;=0,0,ROUND(X11*LateFeePercent,2)))</f>
        <v>0</v>
      </c>
      <c r="AD11" s="50">
        <f>IF(B11="","",IF(X11&lt;=0.004,"Yes","No"))</f>
        <v>0</v>
      </c>
      <c r="AE11" s="39">
        <f>IF(B11="","",IF(Q11=0,"Add - no lines on this invoice yet",IF(H11="Written off","Written off",IF(AD11="Yes","OK - paid",IF(H11="Draft","Draft - not sent yet",IF(AND(AA11&lt;&gt;"",AA11&gt;30),"Overdue - "&amp;AA11&amp;" days, call them",IF(AND(AA11&lt;&gt;"",AA11&gt;0),"Overdue - send a reminder",IF(W11&gt;0,"Part paid","Due - waiting for payment"))))))))</f>
        <v>0</v>
      </c>
    </row>
    <row r="12" spans="1:31">
      <c r="A12" s="43">
        <f>IF(B12="","",InvoicePrefix&amp;TEXT(ROW()-4,"0000"))</f>
        <v>0</v>
      </c>
      <c r="B12" s="46">
        <v>46294</v>
      </c>
      <c r="C12" s="23">
        <f>IF(B12="","",TEXT(B12,"yyyy-mm"))</f>
        <v>0</v>
      </c>
      <c r="D12" s="49" t="s">
        <v>813</v>
      </c>
      <c r="E12" s="23">
        <f>IF(D12="","",IFERROR(INDEX(Clients!$B$5:$B$204,MATCH(D12,Clients!$A$5:$A$204,0)),"Not found"))</f>
        <v>0</v>
      </c>
      <c r="F12" s="23">
        <f>IF(D12="","",IFERROR(INDEX(Clients!$G$5:$G$204,MATCH(D12,Clients!$A$5:$A$204,0)),""))</f>
        <v>0</v>
      </c>
      <c r="G12" s="15" t="s">
        <v>1588</v>
      </c>
      <c r="H12" s="45" t="s">
        <v>1589</v>
      </c>
      <c r="I12" s="46">
        <v>46294</v>
      </c>
      <c r="L12" s="15" t="s">
        <v>1592</v>
      </c>
      <c r="M12" s="15" t="s">
        <v>1598</v>
      </c>
      <c r="P12" s="44" t="s">
        <v>1594</v>
      </c>
      <c r="Q12" s="31">
        <f>IF(A12="","",COUNTIFS('Invoice Lines'!$B$5:$B$804,A12))</f>
        <v>0</v>
      </c>
      <c r="R12" s="21">
        <f>IF(A12="","",SUMIFS('Invoice Lines'!$N$5:$N$804,'Invoice Lines'!$B$5:$B$804,A12))</f>
        <v>0</v>
      </c>
      <c r="S12" s="21">
        <f>IF(A12="","",ROUND(R12*IF(K12="",0,K12),2))</f>
        <v>0</v>
      </c>
      <c r="T12" s="21">
        <f>IF(A12="","",R12-S12)</f>
        <v>0</v>
      </c>
      <c r="U12" s="21">
        <f>IF(A12="","",ROUND(T12*TaxRate,2))</f>
        <v>0</v>
      </c>
      <c r="V12" s="21">
        <f>IF(A12="","",T12+U12)</f>
        <v>0</v>
      </c>
      <c r="W12" s="21">
        <f>IF(A12="","",SUMIFS(Payments!$G$5:$G$404,Payments!$D$5:$D$404,A12))</f>
        <v>0</v>
      </c>
      <c r="X12" s="21">
        <f>IF(A12="","",ROUND(V12-W12,2))</f>
        <v>0</v>
      </c>
      <c r="Y12" s="31">
        <f>IF(B12="","",IF(J12&lt;&gt;"",J12,IF(IFERROR(INDEX(Clients!$P$5:$P$204,MATCH(D12,Clients!$A$5:$A$204,0)),"")&lt;&gt;"",INDEX(Clients!$P$5:$P$204,MATCH(D12,Clients!$A$5:$A$204,0)),PaymentTerms)))</f>
        <v>0</v>
      </c>
      <c r="Z12" s="18">
        <f>IF(OR(A12="",B12=""),"",B12+Y12)</f>
        <v>0</v>
      </c>
      <c r="AA12" s="31">
        <f>IF(OR(A12="",Z12=""),"",IF(X12&lt;=0.004,"",MAX(0,TodayDate-Z12-OverdueGrace)))</f>
        <v>0</v>
      </c>
      <c r="AB12" s="39">
        <f>IF(B12="","",IF(X12&lt;=0.004,"Paid",IF(AA12="","Not due yet",IF(AA12=0,"Due now",IF(AA12&lt;=30,"1-30 days",IF(AA12&lt;=60,"31-60 days",IF(AA12&lt;=90,"61-90 days","90+ days")))))))</f>
        <v>0</v>
      </c>
      <c r="AC12" s="21">
        <f>IF(OR(A12="",AA12=""),"",IF(AA12&lt;=0,0,ROUND(X12*LateFeePercent,2)))</f>
        <v>0</v>
      </c>
      <c r="AD12" s="50">
        <f>IF(B12="","",IF(X12&lt;=0.004,"Yes","No"))</f>
        <v>0</v>
      </c>
      <c r="AE12" s="39">
        <f>IF(B12="","",IF(Q12=0,"Add - no lines on this invoice yet",IF(H12="Written off","Written off",IF(AD12="Yes","OK - paid",IF(H12="Draft","Draft - not sent yet",IF(AND(AA12&lt;&gt;"",AA12&gt;30),"Overdue - "&amp;AA12&amp;" days, call them",IF(AND(AA12&lt;&gt;"",AA12&gt;0),"Overdue - send a reminder",IF(W12&gt;0,"Part paid","Due - waiting for payment"))))))))</f>
        <v>0</v>
      </c>
    </row>
    <row r="13" spans="1:31">
      <c r="A13" s="43">
        <f>IF(B13="","",InvoicePrefix&amp;TEXT(ROW()-4,"0000"))</f>
        <v>0</v>
      </c>
      <c r="B13" s="46">
        <v>46292</v>
      </c>
      <c r="C13" s="23">
        <f>IF(B13="","",TEXT(B13,"yyyy-mm"))</f>
        <v>0</v>
      </c>
      <c r="D13" s="49" t="s">
        <v>818</v>
      </c>
      <c r="E13" s="23">
        <f>IF(D13="","",IFERROR(INDEX(Clients!$B$5:$B$204,MATCH(D13,Clients!$A$5:$A$204,0)),"Not found"))</f>
        <v>0</v>
      </c>
      <c r="F13" s="23">
        <f>IF(D13="","",IFERROR(INDEX(Clients!$G$5:$G$204,MATCH(D13,Clients!$A$5:$A$204,0)),""))</f>
        <v>0</v>
      </c>
      <c r="G13" s="15" t="s">
        <v>1588</v>
      </c>
      <c r="H13" s="45" t="s">
        <v>1599</v>
      </c>
      <c r="I13" s="46">
        <v>46292</v>
      </c>
      <c r="L13" s="15" t="s">
        <v>1592</v>
      </c>
      <c r="M13" s="15" t="s">
        <v>1600</v>
      </c>
      <c r="N13" s="16">
        <v>1</v>
      </c>
      <c r="P13" s="44" t="s">
        <v>1594</v>
      </c>
      <c r="Q13" s="31">
        <f>IF(A13="","",COUNTIFS('Invoice Lines'!$B$5:$B$804,A13))</f>
        <v>0</v>
      </c>
      <c r="R13" s="21">
        <f>IF(A13="","",SUMIFS('Invoice Lines'!$N$5:$N$804,'Invoice Lines'!$B$5:$B$804,A13))</f>
        <v>0</v>
      </c>
      <c r="S13" s="21">
        <f>IF(A13="","",ROUND(R13*IF(K13="",0,K13),2))</f>
        <v>0</v>
      </c>
      <c r="T13" s="21">
        <f>IF(A13="","",R13-S13)</f>
        <v>0</v>
      </c>
      <c r="U13" s="21">
        <f>IF(A13="","",ROUND(T13*TaxRate,2))</f>
        <v>0</v>
      </c>
      <c r="V13" s="21">
        <f>IF(A13="","",T13+U13)</f>
        <v>0</v>
      </c>
      <c r="W13" s="21">
        <f>IF(A13="","",SUMIFS(Payments!$G$5:$G$404,Payments!$D$5:$D$404,A13))</f>
        <v>0</v>
      </c>
      <c r="X13" s="21">
        <f>IF(A13="","",ROUND(V13-W13,2))</f>
        <v>0</v>
      </c>
      <c r="Y13" s="31">
        <f>IF(B13="","",IF(J13&lt;&gt;"",J13,IF(IFERROR(INDEX(Clients!$P$5:$P$204,MATCH(D13,Clients!$A$5:$A$204,0)),"")&lt;&gt;"",INDEX(Clients!$P$5:$P$204,MATCH(D13,Clients!$A$5:$A$204,0)),PaymentTerms)))</f>
        <v>0</v>
      </c>
      <c r="Z13" s="18">
        <f>IF(OR(A13="",B13=""),"",B13+Y13)</f>
        <v>0</v>
      </c>
      <c r="AA13" s="31">
        <f>IF(OR(A13="",Z13=""),"",IF(X13&lt;=0.004,"",MAX(0,TodayDate-Z13-OverdueGrace)))</f>
        <v>0</v>
      </c>
      <c r="AB13" s="39">
        <f>IF(B13="","",IF(X13&lt;=0.004,"Paid",IF(AA13="","Not due yet",IF(AA13=0,"Due now",IF(AA13&lt;=30,"1-30 days",IF(AA13&lt;=60,"31-60 days",IF(AA13&lt;=90,"61-90 days","90+ days")))))))</f>
        <v>0</v>
      </c>
      <c r="AC13" s="21">
        <f>IF(OR(A13="",AA13=""),"",IF(AA13&lt;=0,0,ROUND(X13*LateFeePercent,2)))</f>
        <v>0</v>
      </c>
      <c r="AD13" s="50">
        <f>IF(B13="","",IF(X13&lt;=0.004,"Yes","No"))</f>
        <v>0</v>
      </c>
      <c r="AE13" s="39">
        <f>IF(B13="","",IF(Q13=0,"Add - no lines on this invoice yet",IF(H13="Written off","Written off",IF(AD13="Yes","OK - paid",IF(H13="Draft","Draft - not sent yet",IF(AND(AA13&lt;&gt;"",AA13&gt;30),"Overdue - "&amp;AA13&amp;" days, call them",IF(AND(AA13&lt;&gt;"",AA13&gt;0),"Overdue - send a reminder",IF(W13&gt;0,"Part paid","Due - waiting for payment"))))))))</f>
        <v>0</v>
      </c>
    </row>
    <row r="14" spans="1:31">
      <c r="A14" s="43">
        <f>IF(B14="","",InvoicePrefix&amp;TEXT(ROW()-4,"0000"))</f>
        <v>0</v>
      </c>
      <c r="B14" s="46">
        <v>46275</v>
      </c>
      <c r="C14" s="23">
        <f>IF(B14="","",TEXT(B14,"yyyy-mm"))</f>
        <v>0</v>
      </c>
      <c r="D14" s="49" t="s">
        <v>833</v>
      </c>
      <c r="E14" s="23">
        <f>IF(D14="","",IFERROR(INDEX(Clients!$B$5:$B$204,MATCH(D14,Clients!$A$5:$A$204,0)),"Not found"))</f>
        <v>0</v>
      </c>
      <c r="F14" s="23">
        <f>IF(D14="","",IFERROR(INDEX(Clients!$G$5:$G$204,MATCH(D14,Clients!$A$5:$A$204,0)),""))</f>
        <v>0</v>
      </c>
      <c r="G14" s="15" t="s">
        <v>1588</v>
      </c>
      <c r="H14" s="45" t="s">
        <v>1589</v>
      </c>
      <c r="I14" s="46">
        <v>46275</v>
      </c>
      <c r="L14" s="15" t="s">
        <v>1592</v>
      </c>
      <c r="M14" s="15" t="s">
        <v>1601</v>
      </c>
      <c r="P14" s="44" t="s">
        <v>1594</v>
      </c>
      <c r="Q14" s="31">
        <f>IF(A14="","",COUNTIFS('Invoice Lines'!$B$5:$B$804,A14))</f>
        <v>0</v>
      </c>
      <c r="R14" s="21">
        <f>IF(A14="","",SUMIFS('Invoice Lines'!$N$5:$N$804,'Invoice Lines'!$B$5:$B$804,A14))</f>
        <v>0</v>
      </c>
      <c r="S14" s="21">
        <f>IF(A14="","",ROUND(R14*IF(K14="",0,K14),2))</f>
        <v>0</v>
      </c>
      <c r="T14" s="21">
        <f>IF(A14="","",R14-S14)</f>
        <v>0</v>
      </c>
      <c r="U14" s="21">
        <f>IF(A14="","",ROUND(T14*TaxRate,2))</f>
        <v>0</v>
      </c>
      <c r="V14" s="21">
        <f>IF(A14="","",T14+U14)</f>
        <v>0</v>
      </c>
      <c r="W14" s="21">
        <f>IF(A14="","",SUMIFS(Payments!$G$5:$G$404,Payments!$D$5:$D$404,A14))</f>
        <v>0</v>
      </c>
      <c r="X14" s="21">
        <f>IF(A14="","",ROUND(V14-W14,2))</f>
        <v>0</v>
      </c>
      <c r="Y14" s="31">
        <f>IF(B14="","",IF(J14&lt;&gt;"",J14,IF(IFERROR(INDEX(Clients!$P$5:$P$204,MATCH(D14,Clients!$A$5:$A$204,0)),"")&lt;&gt;"",INDEX(Clients!$P$5:$P$204,MATCH(D14,Clients!$A$5:$A$204,0)),PaymentTerms)))</f>
        <v>0</v>
      </c>
      <c r="Z14" s="18">
        <f>IF(OR(A14="",B14=""),"",B14+Y14)</f>
        <v>0</v>
      </c>
      <c r="AA14" s="31">
        <f>IF(OR(A14="",Z14=""),"",IF(X14&lt;=0.004,"",MAX(0,TodayDate-Z14-OverdueGrace)))</f>
        <v>0</v>
      </c>
      <c r="AB14" s="39">
        <f>IF(B14="","",IF(X14&lt;=0.004,"Paid",IF(AA14="","Not due yet",IF(AA14=0,"Due now",IF(AA14&lt;=30,"1-30 days",IF(AA14&lt;=60,"31-60 days",IF(AA14&lt;=90,"61-90 days","90+ days")))))))</f>
        <v>0</v>
      </c>
      <c r="AC14" s="21">
        <f>IF(OR(A14="",AA14=""),"",IF(AA14&lt;=0,0,ROUND(X14*LateFeePercent,2)))</f>
        <v>0</v>
      </c>
      <c r="AD14" s="50">
        <f>IF(B14="","",IF(X14&lt;=0.004,"Yes","No"))</f>
        <v>0</v>
      </c>
      <c r="AE14" s="39">
        <f>IF(B14="","",IF(Q14=0,"Add - no lines on this invoice yet",IF(H14="Written off","Written off",IF(AD14="Yes","OK - paid",IF(H14="Draft","Draft - not sent yet",IF(AND(AA14&lt;&gt;"",AA14&gt;30),"Overdue - "&amp;AA14&amp;" days, call them",IF(AND(AA14&lt;&gt;"",AA14&gt;0),"Overdue - send a reminder",IF(W14&gt;0,"Part paid","Due - waiting for payment"))))))))</f>
        <v>0</v>
      </c>
    </row>
    <row r="15" spans="1:31">
      <c r="A15" s="43">
        <f>IF(B15="","",InvoicePrefix&amp;TEXT(ROW()-4,"0000"))</f>
        <v>0</v>
      </c>
      <c r="B15" s="46">
        <v>46296</v>
      </c>
      <c r="C15" s="23">
        <f>IF(B15="","",TEXT(B15,"yyyy-mm"))</f>
        <v>0</v>
      </c>
      <c r="D15" s="49" t="s">
        <v>845</v>
      </c>
      <c r="E15" s="23">
        <f>IF(D15="","",IFERROR(INDEX(Clients!$B$5:$B$204,MATCH(D15,Clients!$A$5:$A$204,0)),"Not found"))</f>
        <v>0</v>
      </c>
      <c r="F15" s="23">
        <f>IF(D15="","",IFERROR(INDEX(Clients!$G$5:$G$204,MATCH(D15,Clients!$A$5:$A$204,0)),""))</f>
        <v>0</v>
      </c>
      <c r="G15" s="15" t="s">
        <v>1588</v>
      </c>
      <c r="H15" s="45" t="s">
        <v>1589</v>
      </c>
      <c r="I15" s="46">
        <v>46296</v>
      </c>
      <c r="L15" s="15" t="s">
        <v>1590</v>
      </c>
      <c r="M15" s="15" t="s">
        <v>172</v>
      </c>
      <c r="P15" s="44" t="s">
        <v>172</v>
      </c>
      <c r="Q15" s="31">
        <f>IF(A15="","",COUNTIFS('Invoice Lines'!$B$5:$B$804,A15))</f>
        <v>0</v>
      </c>
      <c r="R15" s="21">
        <f>IF(A15="","",SUMIFS('Invoice Lines'!$N$5:$N$804,'Invoice Lines'!$B$5:$B$804,A15))</f>
        <v>0</v>
      </c>
      <c r="S15" s="21">
        <f>IF(A15="","",ROUND(R15*IF(K15="",0,K15),2))</f>
        <v>0</v>
      </c>
      <c r="T15" s="21">
        <f>IF(A15="","",R15-S15)</f>
        <v>0</v>
      </c>
      <c r="U15" s="21">
        <f>IF(A15="","",ROUND(T15*TaxRate,2))</f>
        <v>0</v>
      </c>
      <c r="V15" s="21">
        <f>IF(A15="","",T15+U15)</f>
        <v>0</v>
      </c>
      <c r="W15" s="21">
        <f>IF(A15="","",SUMIFS(Payments!$G$5:$G$404,Payments!$D$5:$D$404,A15))</f>
        <v>0</v>
      </c>
      <c r="X15" s="21">
        <f>IF(A15="","",ROUND(V15-W15,2))</f>
        <v>0</v>
      </c>
      <c r="Y15" s="31">
        <f>IF(B15="","",IF(J15&lt;&gt;"",J15,IF(IFERROR(INDEX(Clients!$P$5:$P$204,MATCH(D15,Clients!$A$5:$A$204,0)),"")&lt;&gt;"",INDEX(Clients!$P$5:$P$204,MATCH(D15,Clients!$A$5:$A$204,0)),PaymentTerms)))</f>
        <v>0</v>
      </c>
      <c r="Z15" s="18">
        <f>IF(OR(A15="",B15=""),"",B15+Y15)</f>
        <v>0</v>
      </c>
      <c r="AA15" s="31">
        <f>IF(OR(A15="",Z15=""),"",IF(X15&lt;=0.004,"",MAX(0,TodayDate-Z15-OverdueGrace)))</f>
        <v>0</v>
      </c>
      <c r="AB15" s="39">
        <f>IF(B15="","",IF(X15&lt;=0.004,"Paid",IF(AA15="","Not due yet",IF(AA15=0,"Due now",IF(AA15&lt;=30,"1-30 days",IF(AA15&lt;=60,"31-60 days",IF(AA15&lt;=90,"61-90 days","90+ days")))))))</f>
        <v>0</v>
      </c>
      <c r="AC15" s="21">
        <f>IF(OR(A15="",AA15=""),"",IF(AA15&lt;=0,0,ROUND(X15*LateFeePercent,2)))</f>
        <v>0</v>
      </c>
      <c r="AD15" s="50">
        <f>IF(B15="","",IF(X15&lt;=0.004,"Yes","No"))</f>
        <v>0</v>
      </c>
      <c r="AE15" s="39">
        <f>IF(B15="","",IF(Q15=0,"Add - no lines on this invoice yet",IF(H15="Written off","Written off",IF(AD15="Yes","OK - paid",IF(H15="Draft","Draft - not sent yet",IF(AND(AA15&lt;&gt;"",AA15&gt;30),"Overdue - "&amp;AA15&amp;" days, call them",IF(AND(AA15&lt;&gt;"",AA15&gt;0),"Overdue - send a reminder",IF(W15&gt;0,"Part paid","Due - waiting for payment"))))))))</f>
        <v>0</v>
      </c>
    </row>
    <row r="16" spans="1:31">
      <c r="A16" s="43">
        <f>IF(B16="","",InvoicePrefix&amp;TEXT(ROW()-4,"0000"))</f>
        <v>0</v>
      </c>
      <c r="B16" s="46">
        <v>46291</v>
      </c>
      <c r="C16" s="23">
        <f>IF(B16="","",TEXT(B16,"yyyy-mm"))</f>
        <v>0</v>
      </c>
      <c r="D16" s="49" t="s">
        <v>848</v>
      </c>
      <c r="E16" s="23">
        <f>IF(D16="","",IFERROR(INDEX(Clients!$B$5:$B$204,MATCH(D16,Clients!$A$5:$A$204,0)),"Not found"))</f>
        <v>0</v>
      </c>
      <c r="F16" s="23">
        <f>IF(D16="","",IFERROR(INDEX(Clients!$G$5:$G$204,MATCH(D16,Clients!$A$5:$A$204,0)),""))</f>
        <v>0</v>
      </c>
      <c r="G16" s="15" t="s">
        <v>1588</v>
      </c>
      <c r="H16" s="45" t="s">
        <v>1589</v>
      </c>
      <c r="I16" s="46">
        <v>46291</v>
      </c>
      <c r="L16" s="15" t="s">
        <v>1592</v>
      </c>
      <c r="M16" s="15" t="s">
        <v>1602</v>
      </c>
      <c r="P16" s="44" t="s">
        <v>1594</v>
      </c>
      <c r="Q16" s="31">
        <f>IF(A16="","",COUNTIFS('Invoice Lines'!$B$5:$B$804,A16))</f>
        <v>0</v>
      </c>
      <c r="R16" s="21">
        <f>IF(A16="","",SUMIFS('Invoice Lines'!$N$5:$N$804,'Invoice Lines'!$B$5:$B$804,A16))</f>
        <v>0</v>
      </c>
      <c r="S16" s="21">
        <f>IF(A16="","",ROUND(R16*IF(K16="",0,K16),2))</f>
        <v>0</v>
      </c>
      <c r="T16" s="21">
        <f>IF(A16="","",R16-S16)</f>
        <v>0</v>
      </c>
      <c r="U16" s="21">
        <f>IF(A16="","",ROUND(T16*TaxRate,2))</f>
        <v>0</v>
      </c>
      <c r="V16" s="21">
        <f>IF(A16="","",T16+U16)</f>
        <v>0</v>
      </c>
      <c r="W16" s="21">
        <f>IF(A16="","",SUMIFS(Payments!$G$5:$G$404,Payments!$D$5:$D$404,A16))</f>
        <v>0</v>
      </c>
      <c r="X16" s="21">
        <f>IF(A16="","",ROUND(V16-W16,2))</f>
        <v>0</v>
      </c>
      <c r="Y16" s="31">
        <f>IF(B16="","",IF(J16&lt;&gt;"",J16,IF(IFERROR(INDEX(Clients!$P$5:$P$204,MATCH(D16,Clients!$A$5:$A$204,0)),"")&lt;&gt;"",INDEX(Clients!$P$5:$P$204,MATCH(D16,Clients!$A$5:$A$204,0)),PaymentTerms)))</f>
        <v>0</v>
      </c>
      <c r="Z16" s="18">
        <f>IF(OR(A16="",B16=""),"",B16+Y16)</f>
        <v>0</v>
      </c>
      <c r="AA16" s="31">
        <f>IF(OR(A16="",Z16=""),"",IF(X16&lt;=0.004,"",MAX(0,TodayDate-Z16-OverdueGrace)))</f>
        <v>0</v>
      </c>
      <c r="AB16" s="39">
        <f>IF(B16="","",IF(X16&lt;=0.004,"Paid",IF(AA16="","Not due yet",IF(AA16=0,"Due now",IF(AA16&lt;=30,"1-30 days",IF(AA16&lt;=60,"31-60 days",IF(AA16&lt;=90,"61-90 days","90+ days")))))))</f>
        <v>0</v>
      </c>
      <c r="AC16" s="21">
        <f>IF(OR(A16="",AA16=""),"",IF(AA16&lt;=0,0,ROUND(X16*LateFeePercent,2)))</f>
        <v>0</v>
      </c>
      <c r="AD16" s="50">
        <f>IF(B16="","",IF(X16&lt;=0.004,"Yes","No"))</f>
        <v>0</v>
      </c>
      <c r="AE16" s="39">
        <f>IF(B16="","",IF(Q16=0,"Add - no lines on this invoice yet",IF(H16="Written off","Written off",IF(AD16="Yes","OK - paid",IF(H16="Draft","Draft - not sent yet",IF(AND(AA16&lt;&gt;"",AA16&gt;30),"Overdue - "&amp;AA16&amp;" days, call them",IF(AND(AA16&lt;&gt;"",AA16&gt;0),"Overdue - send a reminder",IF(W16&gt;0,"Part paid","Due - waiting for payment"))))))))</f>
        <v>0</v>
      </c>
    </row>
    <row r="17" spans="1:31">
      <c r="A17" s="43">
        <f>IF(B17="","",InvoicePrefix&amp;TEXT(ROW()-4,"0000"))</f>
        <v>0</v>
      </c>
      <c r="B17" s="46">
        <v>46309</v>
      </c>
      <c r="C17" s="23">
        <f>IF(B17="","",TEXT(B17,"yyyy-mm"))</f>
        <v>0</v>
      </c>
      <c r="D17" s="49" t="s">
        <v>743</v>
      </c>
      <c r="E17" s="23">
        <f>IF(D17="","",IFERROR(INDEX(Clients!$B$5:$B$204,MATCH(D17,Clients!$A$5:$A$204,0)),"Not found"))</f>
        <v>0</v>
      </c>
      <c r="F17" s="23">
        <f>IF(D17="","",IFERROR(INDEX(Clients!$G$5:$G$204,MATCH(D17,Clients!$A$5:$A$204,0)),""))</f>
        <v>0</v>
      </c>
      <c r="G17" s="15" t="s">
        <v>1603</v>
      </c>
      <c r="H17" s="45" t="s">
        <v>1055</v>
      </c>
      <c r="I17" s="46">
        <v>46309</v>
      </c>
      <c r="L17" s="15" t="s">
        <v>1590</v>
      </c>
      <c r="M17" s="15" t="s">
        <v>172</v>
      </c>
      <c r="P17" s="44" t="s">
        <v>172</v>
      </c>
      <c r="Q17" s="31">
        <f>IF(A17="","",COUNTIFS('Invoice Lines'!$B$5:$B$804,A17))</f>
        <v>0</v>
      </c>
      <c r="R17" s="21">
        <f>IF(A17="","",SUMIFS('Invoice Lines'!$N$5:$N$804,'Invoice Lines'!$B$5:$B$804,A17))</f>
        <v>0</v>
      </c>
      <c r="S17" s="21">
        <f>IF(A17="","",ROUND(R17*IF(K17="",0,K17),2))</f>
        <v>0</v>
      </c>
      <c r="T17" s="21">
        <f>IF(A17="","",R17-S17)</f>
        <v>0</v>
      </c>
      <c r="U17" s="21">
        <f>IF(A17="","",ROUND(T17*TaxRate,2))</f>
        <v>0</v>
      </c>
      <c r="V17" s="21">
        <f>IF(A17="","",T17+U17)</f>
        <v>0</v>
      </c>
      <c r="W17" s="21">
        <f>IF(A17="","",SUMIFS(Payments!$G$5:$G$404,Payments!$D$5:$D$404,A17))</f>
        <v>0</v>
      </c>
      <c r="X17" s="21">
        <f>IF(A17="","",ROUND(V17-W17,2))</f>
        <v>0</v>
      </c>
      <c r="Y17" s="31">
        <f>IF(B17="","",IF(J17&lt;&gt;"",J17,IF(IFERROR(INDEX(Clients!$P$5:$P$204,MATCH(D17,Clients!$A$5:$A$204,0)),"")&lt;&gt;"",INDEX(Clients!$P$5:$P$204,MATCH(D17,Clients!$A$5:$A$204,0)),PaymentTerms)))</f>
        <v>0</v>
      </c>
      <c r="Z17" s="18">
        <f>IF(OR(A17="",B17=""),"",B17+Y17)</f>
        <v>0</v>
      </c>
      <c r="AA17" s="31">
        <f>IF(OR(A17="",Z17=""),"",IF(X17&lt;=0.004,"",MAX(0,TodayDate-Z17-OverdueGrace)))</f>
        <v>0</v>
      </c>
      <c r="AB17" s="39">
        <f>IF(B17="","",IF(X17&lt;=0.004,"Paid",IF(AA17="","Not due yet",IF(AA17=0,"Due now",IF(AA17&lt;=30,"1-30 days",IF(AA17&lt;=60,"31-60 days",IF(AA17&lt;=90,"61-90 days","90+ days")))))))</f>
        <v>0</v>
      </c>
      <c r="AC17" s="21">
        <f>IF(OR(A17="",AA17=""),"",IF(AA17&lt;=0,0,ROUND(X17*LateFeePercent,2)))</f>
        <v>0</v>
      </c>
      <c r="AD17" s="50">
        <f>IF(B17="","",IF(X17&lt;=0.004,"Yes","No"))</f>
        <v>0</v>
      </c>
      <c r="AE17" s="39">
        <f>IF(B17="","",IF(Q17=0,"Add - no lines on this invoice yet",IF(H17="Written off","Written off",IF(AD17="Yes","OK - paid",IF(H17="Draft","Draft - not sent yet",IF(AND(AA17&lt;&gt;"",AA17&gt;30),"Overdue - "&amp;AA17&amp;" days, call them",IF(AND(AA17&lt;&gt;"",AA17&gt;0),"Overdue - send a reminder",IF(W17&gt;0,"Part paid","Due - waiting for payment"))))))))</f>
        <v>0</v>
      </c>
    </row>
    <row r="18" spans="1:31">
      <c r="A18" s="43">
        <f>IF(B18="","",InvoicePrefix&amp;TEXT(ROW()-4,"0000"))</f>
        <v>0</v>
      </c>
      <c r="B18" s="46">
        <v>46304</v>
      </c>
      <c r="C18" s="23">
        <f>IF(B18="","",TEXT(B18,"yyyy-mm"))</f>
        <v>0</v>
      </c>
      <c r="D18" s="49" t="s">
        <v>753</v>
      </c>
      <c r="E18" s="23">
        <f>IF(D18="","",IFERROR(INDEX(Clients!$B$5:$B$204,MATCH(D18,Clients!$A$5:$A$204,0)),"Not found"))</f>
        <v>0</v>
      </c>
      <c r="F18" s="23">
        <f>IF(D18="","",IFERROR(INDEX(Clients!$G$5:$G$204,MATCH(D18,Clients!$A$5:$A$204,0)),""))</f>
        <v>0</v>
      </c>
      <c r="G18" s="15" t="s">
        <v>1603</v>
      </c>
      <c r="H18" s="45" t="s">
        <v>1589</v>
      </c>
      <c r="I18" s="46">
        <v>46304</v>
      </c>
      <c r="L18" s="15" t="s">
        <v>1590</v>
      </c>
      <c r="M18" s="15" t="s">
        <v>172</v>
      </c>
      <c r="P18" s="44" t="s">
        <v>172</v>
      </c>
      <c r="Q18" s="31">
        <f>IF(A18="","",COUNTIFS('Invoice Lines'!$B$5:$B$804,A18))</f>
        <v>0</v>
      </c>
      <c r="R18" s="21">
        <f>IF(A18="","",SUMIFS('Invoice Lines'!$N$5:$N$804,'Invoice Lines'!$B$5:$B$804,A18))</f>
        <v>0</v>
      </c>
      <c r="S18" s="21">
        <f>IF(A18="","",ROUND(R18*IF(K18="",0,K18),2))</f>
        <v>0</v>
      </c>
      <c r="T18" s="21">
        <f>IF(A18="","",R18-S18)</f>
        <v>0</v>
      </c>
      <c r="U18" s="21">
        <f>IF(A18="","",ROUND(T18*TaxRate,2))</f>
        <v>0</v>
      </c>
      <c r="V18" s="21">
        <f>IF(A18="","",T18+U18)</f>
        <v>0</v>
      </c>
      <c r="W18" s="21">
        <f>IF(A18="","",SUMIFS(Payments!$G$5:$G$404,Payments!$D$5:$D$404,A18))</f>
        <v>0</v>
      </c>
      <c r="X18" s="21">
        <f>IF(A18="","",ROUND(V18-W18,2))</f>
        <v>0</v>
      </c>
      <c r="Y18" s="31">
        <f>IF(B18="","",IF(J18&lt;&gt;"",J18,IF(IFERROR(INDEX(Clients!$P$5:$P$204,MATCH(D18,Clients!$A$5:$A$204,0)),"")&lt;&gt;"",INDEX(Clients!$P$5:$P$204,MATCH(D18,Clients!$A$5:$A$204,0)),PaymentTerms)))</f>
        <v>0</v>
      </c>
      <c r="Z18" s="18">
        <f>IF(OR(A18="",B18=""),"",B18+Y18)</f>
        <v>0</v>
      </c>
      <c r="AA18" s="31">
        <f>IF(OR(A18="",Z18=""),"",IF(X18&lt;=0.004,"",MAX(0,TodayDate-Z18-OverdueGrace)))</f>
        <v>0</v>
      </c>
      <c r="AB18" s="39">
        <f>IF(B18="","",IF(X18&lt;=0.004,"Paid",IF(AA18="","Not due yet",IF(AA18=0,"Due now",IF(AA18&lt;=30,"1-30 days",IF(AA18&lt;=60,"31-60 days",IF(AA18&lt;=90,"61-90 days","90+ days")))))))</f>
        <v>0</v>
      </c>
      <c r="AC18" s="21">
        <f>IF(OR(A18="",AA18=""),"",IF(AA18&lt;=0,0,ROUND(X18*LateFeePercent,2)))</f>
        <v>0</v>
      </c>
      <c r="AD18" s="50">
        <f>IF(B18="","",IF(X18&lt;=0.004,"Yes","No"))</f>
        <v>0</v>
      </c>
      <c r="AE18" s="39">
        <f>IF(B18="","",IF(Q18=0,"Add - no lines on this invoice yet",IF(H18="Written off","Written off",IF(AD18="Yes","OK - paid",IF(H18="Draft","Draft - not sent yet",IF(AND(AA18&lt;&gt;"",AA18&gt;30),"Overdue - "&amp;AA18&amp;" days, call them",IF(AND(AA18&lt;&gt;"",AA18&gt;0),"Overdue - send a reminder",IF(W18&gt;0,"Part paid","Due - waiting for payment"))))))))</f>
        <v>0</v>
      </c>
    </row>
    <row r="19" spans="1:31">
      <c r="A19" s="43">
        <f>IF(B19="","",InvoicePrefix&amp;TEXT(ROW()-4,"0000"))</f>
        <v>0</v>
      </c>
      <c r="B19" s="46">
        <v>46305</v>
      </c>
      <c r="C19" s="23">
        <f>IF(B19="","",TEXT(B19,"yyyy-mm"))</f>
        <v>0</v>
      </c>
      <c r="D19" s="49" t="s">
        <v>764</v>
      </c>
      <c r="E19" s="23">
        <f>IF(D19="","",IFERROR(INDEX(Clients!$B$5:$B$204,MATCH(D19,Clients!$A$5:$A$204,0)),"Not found"))</f>
        <v>0</v>
      </c>
      <c r="F19" s="23">
        <f>IF(D19="","",IFERROR(INDEX(Clients!$G$5:$G$204,MATCH(D19,Clients!$A$5:$A$204,0)),""))</f>
        <v>0</v>
      </c>
      <c r="G19" s="15" t="s">
        <v>1603</v>
      </c>
      <c r="H19" s="45" t="s">
        <v>1055</v>
      </c>
      <c r="I19" s="46">
        <v>46305</v>
      </c>
      <c r="L19" s="15" t="s">
        <v>1592</v>
      </c>
      <c r="M19" s="15" t="s">
        <v>1604</v>
      </c>
      <c r="P19" s="44" t="s">
        <v>1594</v>
      </c>
      <c r="Q19" s="31">
        <f>IF(A19="","",COUNTIFS('Invoice Lines'!$B$5:$B$804,A19))</f>
        <v>0</v>
      </c>
      <c r="R19" s="21">
        <f>IF(A19="","",SUMIFS('Invoice Lines'!$N$5:$N$804,'Invoice Lines'!$B$5:$B$804,A19))</f>
        <v>0</v>
      </c>
      <c r="S19" s="21">
        <f>IF(A19="","",ROUND(R19*IF(K19="",0,K19),2))</f>
        <v>0</v>
      </c>
      <c r="T19" s="21">
        <f>IF(A19="","",R19-S19)</f>
        <v>0</v>
      </c>
      <c r="U19" s="21">
        <f>IF(A19="","",ROUND(T19*TaxRate,2))</f>
        <v>0</v>
      </c>
      <c r="V19" s="21">
        <f>IF(A19="","",T19+U19)</f>
        <v>0</v>
      </c>
      <c r="W19" s="21">
        <f>IF(A19="","",SUMIFS(Payments!$G$5:$G$404,Payments!$D$5:$D$404,A19))</f>
        <v>0</v>
      </c>
      <c r="X19" s="21">
        <f>IF(A19="","",ROUND(V19-W19,2))</f>
        <v>0</v>
      </c>
      <c r="Y19" s="31">
        <f>IF(B19="","",IF(J19&lt;&gt;"",J19,IF(IFERROR(INDEX(Clients!$P$5:$P$204,MATCH(D19,Clients!$A$5:$A$204,0)),"")&lt;&gt;"",INDEX(Clients!$P$5:$P$204,MATCH(D19,Clients!$A$5:$A$204,0)),PaymentTerms)))</f>
        <v>0</v>
      </c>
      <c r="Z19" s="18">
        <f>IF(OR(A19="",B19=""),"",B19+Y19)</f>
        <v>0</v>
      </c>
      <c r="AA19" s="31">
        <f>IF(OR(A19="",Z19=""),"",IF(X19&lt;=0.004,"",MAX(0,TodayDate-Z19-OverdueGrace)))</f>
        <v>0</v>
      </c>
      <c r="AB19" s="39">
        <f>IF(B19="","",IF(X19&lt;=0.004,"Paid",IF(AA19="","Not due yet",IF(AA19=0,"Due now",IF(AA19&lt;=30,"1-30 days",IF(AA19&lt;=60,"31-60 days",IF(AA19&lt;=90,"61-90 days","90+ days")))))))</f>
        <v>0</v>
      </c>
      <c r="AC19" s="21">
        <f>IF(OR(A19="",AA19=""),"",IF(AA19&lt;=0,0,ROUND(X19*LateFeePercent,2)))</f>
        <v>0</v>
      </c>
      <c r="AD19" s="50">
        <f>IF(B19="","",IF(X19&lt;=0.004,"Yes","No"))</f>
        <v>0</v>
      </c>
      <c r="AE19" s="39">
        <f>IF(B19="","",IF(Q19=0,"Add - no lines on this invoice yet",IF(H19="Written off","Written off",IF(AD19="Yes","OK - paid",IF(H19="Draft","Draft - not sent yet",IF(AND(AA19&lt;&gt;"",AA19&gt;30),"Overdue - "&amp;AA19&amp;" days, call them",IF(AND(AA19&lt;&gt;"",AA19&gt;0),"Overdue - send a reminder",IF(W19&gt;0,"Part paid","Due - waiting for payment"))))))))</f>
        <v>0</v>
      </c>
    </row>
    <row r="20" spans="1:31">
      <c r="A20" s="43">
        <f>IF(B20="","",InvoicePrefix&amp;TEXT(ROW()-4,"0000"))</f>
        <v>0</v>
      </c>
      <c r="B20" s="46">
        <v>46308</v>
      </c>
      <c r="C20" s="23">
        <f>IF(B20="","",TEXT(B20,"yyyy-mm"))</f>
        <v>0</v>
      </c>
      <c r="D20" s="49" t="s">
        <v>773</v>
      </c>
      <c r="E20" s="23">
        <f>IF(D20="","",IFERROR(INDEX(Clients!$B$5:$B$204,MATCH(D20,Clients!$A$5:$A$204,0)),"Not found"))</f>
        <v>0</v>
      </c>
      <c r="F20" s="23">
        <f>IF(D20="","",IFERROR(INDEX(Clients!$G$5:$G$204,MATCH(D20,Clients!$A$5:$A$204,0)),""))</f>
        <v>0</v>
      </c>
      <c r="G20" s="15" t="s">
        <v>1603</v>
      </c>
      <c r="H20" s="45" t="s">
        <v>1055</v>
      </c>
      <c r="I20" s="46">
        <v>46308</v>
      </c>
      <c r="L20" s="15" t="s">
        <v>1592</v>
      </c>
      <c r="M20" s="15" t="s">
        <v>1605</v>
      </c>
      <c r="P20" s="44" t="s">
        <v>1594</v>
      </c>
      <c r="Q20" s="31">
        <f>IF(A20="","",COUNTIFS('Invoice Lines'!$B$5:$B$804,A20))</f>
        <v>0</v>
      </c>
      <c r="R20" s="21">
        <f>IF(A20="","",SUMIFS('Invoice Lines'!$N$5:$N$804,'Invoice Lines'!$B$5:$B$804,A20))</f>
        <v>0</v>
      </c>
      <c r="S20" s="21">
        <f>IF(A20="","",ROUND(R20*IF(K20="",0,K20),2))</f>
        <v>0</v>
      </c>
      <c r="T20" s="21">
        <f>IF(A20="","",R20-S20)</f>
        <v>0</v>
      </c>
      <c r="U20" s="21">
        <f>IF(A20="","",ROUND(T20*TaxRate,2))</f>
        <v>0</v>
      </c>
      <c r="V20" s="21">
        <f>IF(A20="","",T20+U20)</f>
        <v>0</v>
      </c>
      <c r="W20" s="21">
        <f>IF(A20="","",SUMIFS(Payments!$G$5:$G$404,Payments!$D$5:$D$404,A20))</f>
        <v>0</v>
      </c>
      <c r="X20" s="21">
        <f>IF(A20="","",ROUND(V20-W20,2))</f>
        <v>0</v>
      </c>
      <c r="Y20" s="31">
        <f>IF(B20="","",IF(J20&lt;&gt;"",J20,IF(IFERROR(INDEX(Clients!$P$5:$P$204,MATCH(D20,Clients!$A$5:$A$204,0)),"")&lt;&gt;"",INDEX(Clients!$P$5:$P$204,MATCH(D20,Clients!$A$5:$A$204,0)),PaymentTerms)))</f>
        <v>0</v>
      </c>
      <c r="Z20" s="18">
        <f>IF(OR(A20="",B20=""),"",B20+Y20)</f>
        <v>0</v>
      </c>
      <c r="AA20" s="31">
        <f>IF(OR(A20="",Z20=""),"",IF(X20&lt;=0.004,"",MAX(0,TodayDate-Z20-OverdueGrace)))</f>
        <v>0</v>
      </c>
      <c r="AB20" s="39">
        <f>IF(B20="","",IF(X20&lt;=0.004,"Paid",IF(AA20="","Not due yet",IF(AA20=0,"Due now",IF(AA20&lt;=30,"1-30 days",IF(AA20&lt;=60,"31-60 days",IF(AA20&lt;=90,"61-90 days","90+ days")))))))</f>
        <v>0</v>
      </c>
      <c r="AC20" s="21">
        <f>IF(OR(A20="",AA20=""),"",IF(AA20&lt;=0,0,ROUND(X20*LateFeePercent,2)))</f>
        <v>0</v>
      </c>
      <c r="AD20" s="50">
        <f>IF(B20="","",IF(X20&lt;=0.004,"Yes","No"))</f>
        <v>0</v>
      </c>
      <c r="AE20" s="39">
        <f>IF(B20="","",IF(Q20=0,"Add - no lines on this invoice yet",IF(H20="Written off","Written off",IF(AD20="Yes","OK - paid",IF(H20="Draft","Draft - not sent yet",IF(AND(AA20&lt;&gt;"",AA20&gt;30),"Overdue - "&amp;AA20&amp;" days, call them",IF(AND(AA20&lt;&gt;"",AA20&gt;0),"Overdue - send a reminder",IF(W20&gt;0,"Part paid","Due - waiting for payment"))))))))</f>
        <v>0</v>
      </c>
    </row>
    <row r="21" spans="1:31">
      <c r="A21" s="43">
        <f>IF(B21="","",InvoicePrefix&amp;TEXT(ROW()-4,"0000"))</f>
        <v>0</v>
      </c>
      <c r="B21" s="46">
        <v>46306</v>
      </c>
      <c r="C21" s="23">
        <f>IF(B21="","",TEXT(B21,"yyyy-mm"))</f>
        <v>0</v>
      </c>
      <c r="D21" s="49" t="s">
        <v>782</v>
      </c>
      <c r="E21" s="23">
        <f>IF(D21="","",IFERROR(INDEX(Clients!$B$5:$B$204,MATCH(D21,Clients!$A$5:$A$204,0)),"Not found"))</f>
        <v>0</v>
      </c>
      <c r="F21" s="23">
        <f>IF(D21="","",IFERROR(INDEX(Clients!$G$5:$G$204,MATCH(D21,Clients!$A$5:$A$204,0)),""))</f>
        <v>0</v>
      </c>
      <c r="G21" s="15" t="s">
        <v>1603</v>
      </c>
      <c r="H21" s="45" t="s">
        <v>1055</v>
      </c>
      <c r="I21" s="46">
        <v>46306</v>
      </c>
      <c r="L21" s="15" t="s">
        <v>1592</v>
      </c>
      <c r="M21" s="15" t="s">
        <v>1606</v>
      </c>
      <c r="P21" s="44" t="s">
        <v>1594</v>
      </c>
      <c r="Q21" s="31">
        <f>IF(A21="","",COUNTIFS('Invoice Lines'!$B$5:$B$804,A21))</f>
        <v>0</v>
      </c>
      <c r="R21" s="21">
        <f>IF(A21="","",SUMIFS('Invoice Lines'!$N$5:$N$804,'Invoice Lines'!$B$5:$B$804,A21))</f>
        <v>0</v>
      </c>
      <c r="S21" s="21">
        <f>IF(A21="","",ROUND(R21*IF(K21="",0,K21),2))</f>
        <v>0</v>
      </c>
      <c r="T21" s="21">
        <f>IF(A21="","",R21-S21)</f>
        <v>0</v>
      </c>
      <c r="U21" s="21">
        <f>IF(A21="","",ROUND(T21*TaxRate,2))</f>
        <v>0</v>
      </c>
      <c r="V21" s="21">
        <f>IF(A21="","",T21+U21)</f>
        <v>0</v>
      </c>
      <c r="W21" s="21">
        <f>IF(A21="","",SUMIFS(Payments!$G$5:$G$404,Payments!$D$5:$D$404,A21))</f>
        <v>0</v>
      </c>
      <c r="X21" s="21">
        <f>IF(A21="","",ROUND(V21-W21,2))</f>
        <v>0</v>
      </c>
      <c r="Y21" s="31">
        <f>IF(B21="","",IF(J21&lt;&gt;"",J21,IF(IFERROR(INDEX(Clients!$P$5:$P$204,MATCH(D21,Clients!$A$5:$A$204,0)),"")&lt;&gt;"",INDEX(Clients!$P$5:$P$204,MATCH(D21,Clients!$A$5:$A$204,0)),PaymentTerms)))</f>
        <v>0</v>
      </c>
      <c r="Z21" s="18">
        <f>IF(OR(A21="",B21=""),"",B21+Y21)</f>
        <v>0</v>
      </c>
      <c r="AA21" s="31">
        <f>IF(OR(A21="",Z21=""),"",IF(X21&lt;=0.004,"",MAX(0,TodayDate-Z21-OverdueGrace)))</f>
        <v>0</v>
      </c>
      <c r="AB21" s="39">
        <f>IF(B21="","",IF(X21&lt;=0.004,"Paid",IF(AA21="","Not due yet",IF(AA21=0,"Due now",IF(AA21&lt;=30,"1-30 days",IF(AA21&lt;=60,"31-60 days",IF(AA21&lt;=90,"61-90 days","90+ days")))))))</f>
        <v>0</v>
      </c>
      <c r="AC21" s="21">
        <f>IF(OR(A21="",AA21=""),"",IF(AA21&lt;=0,0,ROUND(X21*LateFeePercent,2)))</f>
        <v>0</v>
      </c>
      <c r="AD21" s="50">
        <f>IF(B21="","",IF(X21&lt;=0.004,"Yes","No"))</f>
        <v>0</v>
      </c>
      <c r="AE21" s="39">
        <f>IF(B21="","",IF(Q21=0,"Add - no lines on this invoice yet",IF(H21="Written off","Written off",IF(AD21="Yes","OK - paid",IF(H21="Draft","Draft - not sent yet",IF(AND(AA21&lt;&gt;"",AA21&gt;30),"Overdue - "&amp;AA21&amp;" days, call them",IF(AND(AA21&lt;&gt;"",AA21&gt;0),"Overdue - send a reminder",IF(W21&gt;0,"Part paid","Due - waiting for payment"))))))))</f>
        <v>0</v>
      </c>
    </row>
    <row r="22" spans="1:31">
      <c r="A22" s="43">
        <f>IF(B22="","",InvoicePrefix&amp;TEXT(ROW()-4,"0000"))</f>
        <v>0</v>
      </c>
      <c r="B22" s="46">
        <v>46307</v>
      </c>
      <c r="C22" s="23">
        <f>IF(B22="","",TEXT(B22,"yyyy-mm"))</f>
        <v>0</v>
      </c>
      <c r="D22" s="49" t="s">
        <v>793</v>
      </c>
      <c r="E22" s="23">
        <f>IF(D22="","",IFERROR(INDEX(Clients!$B$5:$B$204,MATCH(D22,Clients!$A$5:$A$204,0)),"Not found"))</f>
        <v>0</v>
      </c>
      <c r="F22" s="23">
        <f>IF(D22="","",IFERROR(INDEX(Clients!$G$5:$G$204,MATCH(D22,Clients!$A$5:$A$204,0)),""))</f>
        <v>0</v>
      </c>
      <c r="G22" s="15" t="s">
        <v>1603</v>
      </c>
      <c r="H22" s="45" t="s">
        <v>1055</v>
      </c>
      <c r="I22" s="46">
        <v>46307</v>
      </c>
      <c r="L22" s="15" t="s">
        <v>1592</v>
      </c>
      <c r="M22" s="15" t="s">
        <v>1607</v>
      </c>
      <c r="P22" s="44" t="s">
        <v>1594</v>
      </c>
      <c r="Q22" s="31">
        <f>IF(A22="","",COUNTIFS('Invoice Lines'!$B$5:$B$804,A22))</f>
        <v>0</v>
      </c>
      <c r="R22" s="21">
        <f>IF(A22="","",SUMIFS('Invoice Lines'!$N$5:$N$804,'Invoice Lines'!$B$5:$B$804,A22))</f>
        <v>0</v>
      </c>
      <c r="S22" s="21">
        <f>IF(A22="","",ROUND(R22*IF(K22="",0,K22),2))</f>
        <v>0</v>
      </c>
      <c r="T22" s="21">
        <f>IF(A22="","",R22-S22)</f>
        <v>0</v>
      </c>
      <c r="U22" s="21">
        <f>IF(A22="","",ROUND(T22*TaxRate,2))</f>
        <v>0</v>
      </c>
      <c r="V22" s="21">
        <f>IF(A22="","",T22+U22)</f>
        <v>0</v>
      </c>
      <c r="W22" s="21">
        <f>IF(A22="","",SUMIFS(Payments!$G$5:$G$404,Payments!$D$5:$D$404,A22))</f>
        <v>0</v>
      </c>
      <c r="X22" s="21">
        <f>IF(A22="","",ROUND(V22-W22,2))</f>
        <v>0</v>
      </c>
      <c r="Y22" s="31">
        <f>IF(B22="","",IF(J22&lt;&gt;"",J22,IF(IFERROR(INDEX(Clients!$P$5:$P$204,MATCH(D22,Clients!$A$5:$A$204,0)),"")&lt;&gt;"",INDEX(Clients!$P$5:$P$204,MATCH(D22,Clients!$A$5:$A$204,0)),PaymentTerms)))</f>
        <v>0</v>
      </c>
      <c r="Z22" s="18">
        <f>IF(OR(A22="",B22=""),"",B22+Y22)</f>
        <v>0</v>
      </c>
      <c r="AA22" s="31">
        <f>IF(OR(A22="",Z22=""),"",IF(X22&lt;=0.004,"",MAX(0,TodayDate-Z22-OverdueGrace)))</f>
        <v>0</v>
      </c>
      <c r="AB22" s="39">
        <f>IF(B22="","",IF(X22&lt;=0.004,"Paid",IF(AA22="","Not due yet",IF(AA22=0,"Due now",IF(AA22&lt;=30,"1-30 days",IF(AA22&lt;=60,"31-60 days",IF(AA22&lt;=90,"61-90 days","90+ days")))))))</f>
        <v>0</v>
      </c>
      <c r="AC22" s="21">
        <f>IF(OR(A22="",AA22=""),"",IF(AA22&lt;=0,0,ROUND(X22*LateFeePercent,2)))</f>
        <v>0</v>
      </c>
      <c r="AD22" s="50">
        <f>IF(B22="","",IF(X22&lt;=0.004,"Yes","No"))</f>
        <v>0</v>
      </c>
      <c r="AE22" s="39">
        <f>IF(B22="","",IF(Q22=0,"Add - no lines on this invoice yet",IF(H22="Written off","Written off",IF(AD22="Yes","OK - paid",IF(H22="Draft","Draft - not sent yet",IF(AND(AA22&lt;&gt;"",AA22&gt;30),"Overdue - "&amp;AA22&amp;" days, call them",IF(AND(AA22&lt;&gt;"",AA22&gt;0),"Overdue - send a reminder",IF(W22&gt;0,"Part paid","Due - waiting for payment"))))))))</f>
        <v>0</v>
      </c>
    </row>
    <row r="23" spans="1:31">
      <c r="A23" s="43">
        <f>IF(B23="","",InvoicePrefix&amp;TEXT(ROW()-4,"0000"))</f>
        <v>0</v>
      </c>
      <c r="B23" s="46">
        <v>46305</v>
      </c>
      <c r="C23" s="23">
        <f>IF(B23="","",TEXT(B23,"yyyy-mm"))</f>
        <v>0</v>
      </c>
      <c r="D23" s="49" t="s">
        <v>800</v>
      </c>
      <c r="E23" s="23">
        <f>IF(D23="","",IFERROR(INDEX(Clients!$B$5:$B$204,MATCH(D23,Clients!$A$5:$A$204,0)),"Not found"))</f>
        <v>0</v>
      </c>
      <c r="F23" s="23">
        <f>IF(D23="","",IFERROR(INDEX(Clients!$G$5:$G$204,MATCH(D23,Clients!$A$5:$A$204,0)),""))</f>
        <v>0</v>
      </c>
      <c r="G23" s="15" t="s">
        <v>1603</v>
      </c>
      <c r="H23" s="45" t="s">
        <v>1055</v>
      </c>
      <c r="I23" s="46">
        <v>46305</v>
      </c>
      <c r="L23" s="15" t="s">
        <v>1592</v>
      </c>
      <c r="M23" s="15" t="s">
        <v>1608</v>
      </c>
      <c r="P23" s="44" t="s">
        <v>1594</v>
      </c>
      <c r="Q23" s="31">
        <f>IF(A23="","",COUNTIFS('Invoice Lines'!$B$5:$B$804,A23))</f>
        <v>0</v>
      </c>
      <c r="R23" s="21">
        <f>IF(A23="","",SUMIFS('Invoice Lines'!$N$5:$N$804,'Invoice Lines'!$B$5:$B$804,A23))</f>
        <v>0</v>
      </c>
      <c r="S23" s="21">
        <f>IF(A23="","",ROUND(R23*IF(K23="",0,K23),2))</f>
        <v>0</v>
      </c>
      <c r="T23" s="21">
        <f>IF(A23="","",R23-S23)</f>
        <v>0</v>
      </c>
      <c r="U23" s="21">
        <f>IF(A23="","",ROUND(T23*TaxRate,2))</f>
        <v>0</v>
      </c>
      <c r="V23" s="21">
        <f>IF(A23="","",T23+U23)</f>
        <v>0</v>
      </c>
      <c r="W23" s="21">
        <f>IF(A23="","",SUMIFS(Payments!$G$5:$G$404,Payments!$D$5:$D$404,A23))</f>
        <v>0</v>
      </c>
      <c r="X23" s="21">
        <f>IF(A23="","",ROUND(V23-W23,2))</f>
        <v>0</v>
      </c>
      <c r="Y23" s="31">
        <f>IF(B23="","",IF(J23&lt;&gt;"",J23,IF(IFERROR(INDEX(Clients!$P$5:$P$204,MATCH(D23,Clients!$A$5:$A$204,0)),"")&lt;&gt;"",INDEX(Clients!$P$5:$P$204,MATCH(D23,Clients!$A$5:$A$204,0)),PaymentTerms)))</f>
        <v>0</v>
      </c>
      <c r="Z23" s="18">
        <f>IF(OR(A23="",B23=""),"",B23+Y23)</f>
        <v>0</v>
      </c>
      <c r="AA23" s="31">
        <f>IF(OR(A23="",Z23=""),"",IF(X23&lt;=0.004,"",MAX(0,TodayDate-Z23-OverdueGrace)))</f>
        <v>0</v>
      </c>
      <c r="AB23" s="39">
        <f>IF(B23="","",IF(X23&lt;=0.004,"Paid",IF(AA23="","Not due yet",IF(AA23=0,"Due now",IF(AA23&lt;=30,"1-30 days",IF(AA23&lt;=60,"31-60 days",IF(AA23&lt;=90,"61-90 days","90+ days")))))))</f>
        <v>0</v>
      </c>
      <c r="AC23" s="21">
        <f>IF(OR(A23="",AA23=""),"",IF(AA23&lt;=0,0,ROUND(X23*LateFeePercent,2)))</f>
        <v>0</v>
      </c>
      <c r="AD23" s="50">
        <f>IF(B23="","",IF(X23&lt;=0.004,"Yes","No"))</f>
        <v>0</v>
      </c>
      <c r="AE23" s="39">
        <f>IF(B23="","",IF(Q23=0,"Add - no lines on this invoice yet",IF(H23="Written off","Written off",IF(AD23="Yes","OK - paid",IF(H23="Draft","Draft - not sent yet",IF(AND(AA23&lt;&gt;"",AA23&gt;30),"Overdue - "&amp;AA23&amp;" days, call them",IF(AND(AA23&lt;&gt;"",AA23&gt;0),"Overdue - send a reminder",IF(W23&gt;0,"Part paid","Due - waiting for payment"))))))))</f>
        <v>0</v>
      </c>
    </row>
    <row r="24" spans="1:31">
      <c r="A24" s="43">
        <f>IF(B24="","",InvoicePrefix&amp;TEXT(ROW()-4,"0000"))</f>
        <v>0</v>
      </c>
      <c r="B24" s="46">
        <v>46303</v>
      </c>
      <c r="C24" s="23">
        <f>IF(B24="","",TEXT(B24,"yyyy-mm"))</f>
        <v>0</v>
      </c>
      <c r="D24" s="49" t="s">
        <v>806</v>
      </c>
      <c r="E24" s="23">
        <f>IF(D24="","",IFERROR(INDEX(Clients!$B$5:$B$204,MATCH(D24,Clients!$A$5:$A$204,0)),"Not found"))</f>
        <v>0</v>
      </c>
      <c r="F24" s="23">
        <f>IF(D24="","",IFERROR(INDEX(Clients!$G$5:$G$204,MATCH(D24,Clients!$A$5:$A$204,0)),""))</f>
        <v>0</v>
      </c>
      <c r="G24" s="15" t="s">
        <v>1603</v>
      </c>
      <c r="H24" s="45" t="s">
        <v>1589</v>
      </c>
      <c r="I24" s="46">
        <v>46303</v>
      </c>
      <c r="L24" s="15" t="s">
        <v>1590</v>
      </c>
      <c r="M24" s="15" t="s">
        <v>172</v>
      </c>
      <c r="P24" s="44" t="s">
        <v>172</v>
      </c>
      <c r="Q24" s="31">
        <f>IF(A24="","",COUNTIFS('Invoice Lines'!$B$5:$B$804,A24))</f>
        <v>0</v>
      </c>
      <c r="R24" s="21">
        <f>IF(A24="","",SUMIFS('Invoice Lines'!$N$5:$N$804,'Invoice Lines'!$B$5:$B$804,A24))</f>
        <v>0</v>
      </c>
      <c r="S24" s="21">
        <f>IF(A24="","",ROUND(R24*IF(K24="",0,K24),2))</f>
        <v>0</v>
      </c>
      <c r="T24" s="21">
        <f>IF(A24="","",R24-S24)</f>
        <v>0</v>
      </c>
      <c r="U24" s="21">
        <f>IF(A24="","",ROUND(T24*TaxRate,2))</f>
        <v>0</v>
      </c>
      <c r="V24" s="21">
        <f>IF(A24="","",T24+U24)</f>
        <v>0</v>
      </c>
      <c r="W24" s="21">
        <f>IF(A24="","",SUMIFS(Payments!$G$5:$G$404,Payments!$D$5:$D$404,A24))</f>
        <v>0</v>
      </c>
      <c r="X24" s="21">
        <f>IF(A24="","",ROUND(V24-W24,2))</f>
        <v>0</v>
      </c>
      <c r="Y24" s="31">
        <f>IF(B24="","",IF(J24&lt;&gt;"",J24,IF(IFERROR(INDEX(Clients!$P$5:$P$204,MATCH(D24,Clients!$A$5:$A$204,0)),"")&lt;&gt;"",INDEX(Clients!$P$5:$P$204,MATCH(D24,Clients!$A$5:$A$204,0)),PaymentTerms)))</f>
        <v>0</v>
      </c>
      <c r="Z24" s="18">
        <f>IF(OR(A24="",B24=""),"",B24+Y24)</f>
        <v>0</v>
      </c>
      <c r="AA24" s="31">
        <f>IF(OR(A24="",Z24=""),"",IF(X24&lt;=0.004,"",MAX(0,TodayDate-Z24-OverdueGrace)))</f>
        <v>0</v>
      </c>
      <c r="AB24" s="39">
        <f>IF(B24="","",IF(X24&lt;=0.004,"Paid",IF(AA24="","Not due yet",IF(AA24=0,"Due now",IF(AA24&lt;=30,"1-30 days",IF(AA24&lt;=60,"31-60 days",IF(AA24&lt;=90,"61-90 days","90+ days")))))))</f>
        <v>0</v>
      </c>
      <c r="AC24" s="21">
        <f>IF(OR(A24="",AA24=""),"",IF(AA24&lt;=0,0,ROUND(X24*LateFeePercent,2)))</f>
        <v>0</v>
      </c>
      <c r="AD24" s="50">
        <f>IF(B24="","",IF(X24&lt;=0.004,"Yes","No"))</f>
        <v>0</v>
      </c>
      <c r="AE24" s="39">
        <f>IF(B24="","",IF(Q24=0,"Add - no lines on this invoice yet",IF(H24="Written off","Written off",IF(AD24="Yes","OK - paid",IF(H24="Draft","Draft - not sent yet",IF(AND(AA24&lt;&gt;"",AA24&gt;30),"Overdue - "&amp;AA24&amp;" days, call them",IF(AND(AA24&lt;&gt;"",AA24&gt;0),"Overdue - send a reminder",IF(W24&gt;0,"Part paid","Due - waiting for payment"))))))))</f>
        <v>0</v>
      </c>
    </row>
    <row r="25" spans="1:31">
      <c r="A25" s="43">
        <f>IF(B25="","",InvoicePrefix&amp;TEXT(ROW()-4,"0000"))</f>
        <v>0</v>
      </c>
      <c r="B25" s="46">
        <v>46308</v>
      </c>
      <c r="C25" s="23">
        <f>IF(B25="","",TEXT(B25,"yyyy-mm"))</f>
        <v>0</v>
      </c>
      <c r="D25" s="49" t="s">
        <v>813</v>
      </c>
      <c r="E25" s="23">
        <f>IF(D25="","",IFERROR(INDEX(Clients!$B$5:$B$204,MATCH(D25,Clients!$A$5:$A$204,0)),"Not found"))</f>
        <v>0</v>
      </c>
      <c r="F25" s="23">
        <f>IF(D25="","",IFERROR(INDEX(Clients!$G$5:$G$204,MATCH(D25,Clients!$A$5:$A$204,0)),""))</f>
        <v>0</v>
      </c>
      <c r="G25" s="15" t="s">
        <v>1603</v>
      </c>
      <c r="H25" s="45" t="s">
        <v>1055</v>
      </c>
      <c r="I25" s="46">
        <v>46308</v>
      </c>
      <c r="L25" s="15" t="s">
        <v>1592</v>
      </c>
      <c r="M25" s="15" t="s">
        <v>1609</v>
      </c>
      <c r="P25" s="44" t="s">
        <v>1594</v>
      </c>
      <c r="Q25" s="31">
        <f>IF(A25="","",COUNTIFS('Invoice Lines'!$B$5:$B$804,A25))</f>
        <v>0</v>
      </c>
      <c r="R25" s="21">
        <f>IF(A25="","",SUMIFS('Invoice Lines'!$N$5:$N$804,'Invoice Lines'!$B$5:$B$804,A25))</f>
        <v>0</v>
      </c>
      <c r="S25" s="21">
        <f>IF(A25="","",ROUND(R25*IF(K25="",0,K25),2))</f>
        <v>0</v>
      </c>
      <c r="T25" s="21">
        <f>IF(A25="","",R25-S25)</f>
        <v>0</v>
      </c>
      <c r="U25" s="21">
        <f>IF(A25="","",ROUND(T25*TaxRate,2))</f>
        <v>0</v>
      </c>
      <c r="V25" s="21">
        <f>IF(A25="","",T25+U25)</f>
        <v>0</v>
      </c>
      <c r="W25" s="21">
        <f>IF(A25="","",SUMIFS(Payments!$G$5:$G$404,Payments!$D$5:$D$404,A25))</f>
        <v>0</v>
      </c>
      <c r="X25" s="21">
        <f>IF(A25="","",ROUND(V25-W25,2))</f>
        <v>0</v>
      </c>
      <c r="Y25" s="31">
        <f>IF(B25="","",IF(J25&lt;&gt;"",J25,IF(IFERROR(INDEX(Clients!$P$5:$P$204,MATCH(D25,Clients!$A$5:$A$204,0)),"")&lt;&gt;"",INDEX(Clients!$P$5:$P$204,MATCH(D25,Clients!$A$5:$A$204,0)),PaymentTerms)))</f>
        <v>0</v>
      </c>
      <c r="Z25" s="18">
        <f>IF(OR(A25="",B25=""),"",B25+Y25)</f>
        <v>0</v>
      </c>
      <c r="AA25" s="31">
        <f>IF(OR(A25="",Z25=""),"",IF(X25&lt;=0.004,"",MAX(0,TodayDate-Z25-OverdueGrace)))</f>
        <v>0</v>
      </c>
      <c r="AB25" s="39">
        <f>IF(B25="","",IF(X25&lt;=0.004,"Paid",IF(AA25="","Not due yet",IF(AA25=0,"Due now",IF(AA25&lt;=30,"1-30 days",IF(AA25&lt;=60,"31-60 days",IF(AA25&lt;=90,"61-90 days","90+ days")))))))</f>
        <v>0</v>
      </c>
      <c r="AC25" s="21">
        <f>IF(OR(A25="",AA25=""),"",IF(AA25&lt;=0,0,ROUND(X25*LateFeePercent,2)))</f>
        <v>0</v>
      </c>
      <c r="AD25" s="50">
        <f>IF(B25="","",IF(X25&lt;=0.004,"Yes","No"))</f>
        <v>0</v>
      </c>
      <c r="AE25" s="39">
        <f>IF(B25="","",IF(Q25=0,"Add - no lines on this invoice yet",IF(H25="Written off","Written off",IF(AD25="Yes","OK - paid",IF(H25="Draft","Draft - not sent yet",IF(AND(AA25&lt;&gt;"",AA25&gt;30),"Overdue - "&amp;AA25&amp;" days, call them",IF(AND(AA25&lt;&gt;"",AA25&gt;0),"Overdue - send a reminder",IF(W25&gt;0,"Part paid","Due - waiting for payment"))))))))</f>
        <v>0</v>
      </c>
    </row>
    <row r="26" spans="1:31">
      <c r="A26" s="43">
        <f>IF(B26="","",InvoicePrefix&amp;TEXT(ROW()-4,"0000"))</f>
        <v>0</v>
      </c>
      <c r="B26" s="46">
        <v>46306</v>
      </c>
      <c r="C26" s="23">
        <f>IF(B26="","",TEXT(B26,"yyyy-mm"))</f>
        <v>0</v>
      </c>
      <c r="D26" s="49" t="s">
        <v>818</v>
      </c>
      <c r="E26" s="23">
        <f>IF(D26="","",IFERROR(INDEX(Clients!$B$5:$B$204,MATCH(D26,Clients!$A$5:$A$204,0)),"Not found"))</f>
        <v>0</v>
      </c>
      <c r="F26" s="23">
        <f>IF(D26="","",IFERROR(INDEX(Clients!$G$5:$G$204,MATCH(D26,Clients!$A$5:$A$204,0)),""))</f>
        <v>0</v>
      </c>
      <c r="G26" s="15" t="s">
        <v>1603</v>
      </c>
      <c r="H26" s="45" t="s">
        <v>1589</v>
      </c>
      <c r="I26" s="46">
        <v>46306</v>
      </c>
      <c r="L26" s="15" t="s">
        <v>1592</v>
      </c>
      <c r="M26" s="15" t="s">
        <v>1610</v>
      </c>
      <c r="P26" s="44" t="s">
        <v>1594</v>
      </c>
      <c r="Q26" s="31">
        <f>IF(A26="","",COUNTIFS('Invoice Lines'!$B$5:$B$804,A26))</f>
        <v>0</v>
      </c>
      <c r="R26" s="21">
        <f>IF(A26="","",SUMIFS('Invoice Lines'!$N$5:$N$804,'Invoice Lines'!$B$5:$B$804,A26))</f>
        <v>0</v>
      </c>
      <c r="S26" s="21">
        <f>IF(A26="","",ROUND(R26*IF(K26="",0,K26),2))</f>
        <v>0</v>
      </c>
      <c r="T26" s="21">
        <f>IF(A26="","",R26-S26)</f>
        <v>0</v>
      </c>
      <c r="U26" s="21">
        <f>IF(A26="","",ROUND(T26*TaxRate,2))</f>
        <v>0</v>
      </c>
      <c r="V26" s="21">
        <f>IF(A26="","",T26+U26)</f>
        <v>0</v>
      </c>
      <c r="W26" s="21">
        <f>IF(A26="","",SUMIFS(Payments!$G$5:$G$404,Payments!$D$5:$D$404,A26))</f>
        <v>0</v>
      </c>
      <c r="X26" s="21">
        <f>IF(A26="","",ROUND(V26-W26,2))</f>
        <v>0</v>
      </c>
      <c r="Y26" s="31">
        <f>IF(B26="","",IF(J26&lt;&gt;"",J26,IF(IFERROR(INDEX(Clients!$P$5:$P$204,MATCH(D26,Clients!$A$5:$A$204,0)),"")&lt;&gt;"",INDEX(Clients!$P$5:$P$204,MATCH(D26,Clients!$A$5:$A$204,0)),PaymentTerms)))</f>
        <v>0</v>
      </c>
      <c r="Z26" s="18">
        <f>IF(OR(A26="",B26=""),"",B26+Y26)</f>
        <v>0</v>
      </c>
      <c r="AA26" s="31">
        <f>IF(OR(A26="",Z26=""),"",IF(X26&lt;=0.004,"",MAX(0,TodayDate-Z26-OverdueGrace)))</f>
        <v>0</v>
      </c>
      <c r="AB26" s="39">
        <f>IF(B26="","",IF(X26&lt;=0.004,"Paid",IF(AA26="","Not due yet",IF(AA26=0,"Due now",IF(AA26&lt;=30,"1-30 days",IF(AA26&lt;=60,"31-60 days",IF(AA26&lt;=90,"61-90 days","90+ days")))))))</f>
        <v>0</v>
      </c>
      <c r="AC26" s="21">
        <f>IF(OR(A26="",AA26=""),"",IF(AA26&lt;=0,0,ROUND(X26*LateFeePercent,2)))</f>
        <v>0</v>
      </c>
      <c r="AD26" s="50">
        <f>IF(B26="","",IF(X26&lt;=0.004,"Yes","No"))</f>
        <v>0</v>
      </c>
      <c r="AE26" s="39">
        <f>IF(B26="","",IF(Q26=0,"Add - no lines on this invoice yet",IF(H26="Written off","Written off",IF(AD26="Yes","OK - paid",IF(H26="Draft","Draft - not sent yet",IF(AND(AA26&lt;&gt;"",AA26&gt;30),"Overdue - "&amp;AA26&amp;" days, call them",IF(AND(AA26&lt;&gt;"",AA26&gt;0),"Overdue - send a reminder",IF(W26&gt;0,"Part paid","Due - waiting for payment"))))))))</f>
        <v>0</v>
      </c>
    </row>
    <row r="27" spans="1:31">
      <c r="A27" s="43">
        <f>IF(B27="","",InvoicePrefix&amp;TEXT(ROW()-4,"0000"))</f>
        <v>0</v>
      </c>
      <c r="B27" s="46">
        <v>46303</v>
      </c>
      <c r="C27" s="23">
        <f>IF(B27="","",TEXT(B27,"yyyy-mm"))</f>
        <v>0</v>
      </c>
      <c r="D27" s="49" t="s">
        <v>833</v>
      </c>
      <c r="E27" s="23">
        <f>IF(D27="","",IFERROR(INDEX(Clients!$B$5:$B$204,MATCH(D27,Clients!$A$5:$A$204,0)),"Not found"))</f>
        <v>0</v>
      </c>
      <c r="F27" s="23">
        <f>IF(D27="","",IFERROR(INDEX(Clients!$G$5:$G$204,MATCH(D27,Clients!$A$5:$A$204,0)),""))</f>
        <v>0</v>
      </c>
      <c r="G27" s="15" t="s">
        <v>1603</v>
      </c>
      <c r="H27" s="45" t="s">
        <v>1055</v>
      </c>
      <c r="I27" s="46">
        <v>46303</v>
      </c>
      <c r="L27" s="15" t="s">
        <v>1592</v>
      </c>
      <c r="M27" s="15" t="s">
        <v>1611</v>
      </c>
      <c r="P27" s="44" t="s">
        <v>1594</v>
      </c>
      <c r="Q27" s="31">
        <f>IF(A27="","",COUNTIFS('Invoice Lines'!$B$5:$B$804,A27))</f>
        <v>0</v>
      </c>
      <c r="R27" s="21">
        <f>IF(A27="","",SUMIFS('Invoice Lines'!$N$5:$N$804,'Invoice Lines'!$B$5:$B$804,A27))</f>
        <v>0</v>
      </c>
      <c r="S27" s="21">
        <f>IF(A27="","",ROUND(R27*IF(K27="",0,K27),2))</f>
        <v>0</v>
      </c>
      <c r="T27" s="21">
        <f>IF(A27="","",R27-S27)</f>
        <v>0</v>
      </c>
      <c r="U27" s="21">
        <f>IF(A27="","",ROUND(T27*TaxRate,2))</f>
        <v>0</v>
      </c>
      <c r="V27" s="21">
        <f>IF(A27="","",T27+U27)</f>
        <v>0</v>
      </c>
      <c r="W27" s="21">
        <f>IF(A27="","",SUMIFS(Payments!$G$5:$G$404,Payments!$D$5:$D$404,A27))</f>
        <v>0</v>
      </c>
      <c r="X27" s="21">
        <f>IF(A27="","",ROUND(V27-W27,2))</f>
        <v>0</v>
      </c>
      <c r="Y27" s="31">
        <f>IF(B27="","",IF(J27&lt;&gt;"",J27,IF(IFERROR(INDEX(Clients!$P$5:$P$204,MATCH(D27,Clients!$A$5:$A$204,0)),"")&lt;&gt;"",INDEX(Clients!$P$5:$P$204,MATCH(D27,Clients!$A$5:$A$204,0)),PaymentTerms)))</f>
        <v>0</v>
      </c>
      <c r="Z27" s="18">
        <f>IF(OR(A27="",B27=""),"",B27+Y27)</f>
        <v>0</v>
      </c>
      <c r="AA27" s="31">
        <f>IF(OR(A27="",Z27=""),"",IF(X27&lt;=0.004,"",MAX(0,TodayDate-Z27-OverdueGrace)))</f>
        <v>0</v>
      </c>
      <c r="AB27" s="39">
        <f>IF(B27="","",IF(X27&lt;=0.004,"Paid",IF(AA27="","Not due yet",IF(AA27=0,"Due now",IF(AA27&lt;=30,"1-30 days",IF(AA27&lt;=60,"31-60 days",IF(AA27&lt;=90,"61-90 days","90+ days")))))))</f>
        <v>0</v>
      </c>
      <c r="AC27" s="21">
        <f>IF(OR(A27="",AA27=""),"",IF(AA27&lt;=0,0,ROUND(X27*LateFeePercent,2)))</f>
        <v>0</v>
      </c>
      <c r="AD27" s="50">
        <f>IF(B27="","",IF(X27&lt;=0.004,"Yes","No"))</f>
        <v>0</v>
      </c>
      <c r="AE27" s="39">
        <f>IF(B27="","",IF(Q27=0,"Add - no lines on this invoice yet",IF(H27="Written off","Written off",IF(AD27="Yes","OK - paid",IF(H27="Draft","Draft - not sent yet",IF(AND(AA27&lt;&gt;"",AA27&gt;30),"Overdue - "&amp;AA27&amp;" days, call them",IF(AND(AA27&lt;&gt;"",AA27&gt;0),"Overdue - send a reminder",IF(W27&gt;0,"Part paid","Due - waiting for payment"))))))))</f>
        <v>0</v>
      </c>
    </row>
    <row r="28" spans="1:31">
      <c r="A28" s="43">
        <f>IF(B28="","",InvoicePrefix&amp;TEXT(ROW()-4,"0000"))</f>
        <v>0</v>
      </c>
      <c r="B28" s="46">
        <v>46302</v>
      </c>
      <c r="C28" s="23">
        <f>IF(B28="","",TEXT(B28,"yyyy-mm"))</f>
        <v>0</v>
      </c>
      <c r="D28" s="49" t="s">
        <v>845</v>
      </c>
      <c r="E28" s="23">
        <f>IF(D28="","",IFERROR(INDEX(Clients!$B$5:$B$204,MATCH(D28,Clients!$A$5:$A$204,0)),"Not found"))</f>
        <v>0</v>
      </c>
      <c r="F28" s="23">
        <f>IF(D28="","",IFERROR(INDEX(Clients!$G$5:$G$204,MATCH(D28,Clients!$A$5:$A$204,0)),""))</f>
        <v>0</v>
      </c>
      <c r="G28" s="15" t="s">
        <v>1603</v>
      </c>
      <c r="H28" s="45" t="s">
        <v>1589</v>
      </c>
      <c r="I28" s="46">
        <v>46302</v>
      </c>
      <c r="L28" s="15" t="s">
        <v>1590</v>
      </c>
      <c r="M28" s="15" t="s">
        <v>172</v>
      </c>
      <c r="P28" s="44" t="s">
        <v>172</v>
      </c>
      <c r="Q28" s="31">
        <f>IF(A28="","",COUNTIFS('Invoice Lines'!$B$5:$B$804,A28))</f>
        <v>0</v>
      </c>
      <c r="R28" s="21">
        <f>IF(A28="","",SUMIFS('Invoice Lines'!$N$5:$N$804,'Invoice Lines'!$B$5:$B$804,A28))</f>
        <v>0</v>
      </c>
      <c r="S28" s="21">
        <f>IF(A28="","",ROUND(R28*IF(K28="",0,K28),2))</f>
        <v>0</v>
      </c>
      <c r="T28" s="21">
        <f>IF(A28="","",R28-S28)</f>
        <v>0</v>
      </c>
      <c r="U28" s="21">
        <f>IF(A28="","",ROUND(T28*TaxRate,2))</f>
        <v>0</v>
      </c>
      <c r="V28" s="21">
        <f>IF(A28="","",T28+U28)</f>
        <v>0</v>
      </c>
      <c r="W28" s="21">
        <f>IF(A28="","",SUMIFS(Payments!$G$5:$G$404,Payments!$D$5:$D$404,A28))</f>
        <v>0</v>
      </c>
      <c r="X28" s="21">
        <f>IF(A28="","",ROUND(V28-W28,2))</f>
        <v>0</v>
      </c>
      <c r="Y28" s="31">
        <f>IF(B28="","",IF(J28&lt;&gt;"",J28,IF(IFERROR(INDEX(Clients!$P$5:$P$204,MATCH(D28,Clients!$A$5:$A$204,0)),"")&lt;&gt;"",INDEX(Clients!$P$5:$P$204,MATCH(D28,Clients!$A$5:$A$204,0)),PaymentTerms)))</f>
        <v>0</v>
      </c>
      <c r="Z28" s="18">
        <f>IF(OR(A28="",B28=""),"",B28+Y28)</f>
        <v>0</v>
      </c>
      <c r="AA28" s="31">
        <f>IF(OR(A28="",Z28=""),"",IF(X28&lt;=0.004,"",MAX(0,TodayDate-Z28-OverdueGrace)))</f>
        <v>0</v>
      </c>
      <c r="AB28" s="39">
        <f>IF(B28="","",IF(X28&lt;=0.004,"Paid",IF(AA28="","Not due yet",IF(AA28=0,"Due now",IF(AA28&lt;=30,"1-30 days",IF(AA28&lt;=60,"31-60 days",IF(AA28&lt;=90,"61-90 days","90+ days")))))))</f>
        <v>0</v>
      </c>
      <c r="AC28" s="21">
        <f>IF(OR(A28="",AA28=""),"",IF(AA28&lt;=0,0,ROUND(X28*LateFeePercent,2)))</f>
        <v>0</v>
      </c>
      <c r="AD28" s="50">
        <f>IF(B28="","",IF(X28&lt;=0.004,"Yes","No"))</f>
        <v>0</v>
      </c>
      <c r="AE28" s="39">
        <f>IF(B28="","",IF(Q28=0,"Add - no lines on this invoice yet",IF(H28="Written off","Written off",IF(AD28="Yes","OK - paid",IF(H28="Draft","Draft - not sent yet",IF(AND(AA28&lt;&gt;"",AA28&gt;30),"Overdue - "&amp;AA28&amp;" days, call them",IF(AND(AA28&lt;&gt;"",AA28&gt;0),"Overdue - send a reminder",IF(W28&gt;0,"Part paid","Due - waiting for payment"))))))))</f>
        <v>0</v>
      </c>
    </row>
    <row r="29" spans="1:31">
      <c r="A29" s="43">
        <f>IF(B29="","",InvoicePrefix&amp;TEXT(ROW()-4,"0000"))</f>
        <v>0</v>
      </c>
      <c r="B29" s="46">
        <v>46305</v>
      </c>
      <c r="C29" s="23">
        <f>IF(B29="","",TEXT(B29,"yyyy-mm"))</f>
        <v>0</v>
      </c>
      <c r="D29" s="49" t="s">
        <v>848</v>
      </c>
      <c r="E29" s="23">
        <f>IF(D29="","",IFERROR(INDEX(Clients!$B$5:$B$204,MATCH(D29,Clients!$A$5:$A$204,0)),"Not found"))</f>
        <v>0</v>
      </c>
      <c r="F29" s="23">
        <f>IF(D29="","",IFERROR(INDEX(Clients!$G$5:$G$204,MATCH(D29,Clients!$A$5:$A$204,0)),""))</f>
        <v>0</v>
      </c>
      <c r="G29" s="15" t="s">
        <v>1603</v>
      </c>
      <c r="H29" s="45" t="s">
        <v>1055</v>
      </c>
      <c r="I29" s="46">
        <v>46305</v>
      </c>
      <c r="L29" s="15" t="s">
        <v>1592</v>
      </c>
      <c r="M29" s="15" t="s">
        <v>1612</v>
      </c>
      <c r="P29" s="44" t="s">
        <v>1594</v>
      </c>
      <c r="Q29" s="31">
        <f>IF(A29="","",COUNTIFS('Invoice Lines'!$B$5:$B$804,A29))</f>
        <v>0</v>
      </c>
      <c r="R29" s="21">
        <f>IF(A29="","",SUMIFS('Invoice Lines'!$N$5:$N$804,'Invoice Lines'!$B$5:$B$804,A29))</f>
        <v>0</v>
      </c>
      <c r="S29" s="21">
        <f>IF(A29="","",ROUND(R29*IF(K29="",0,K29),2))</f>
        <v>0</v>
      </c>
      <c r="T29" s="21">
        <f>IF(A29="","",R29-S29)</f>
        <v>0</v>
      </c>
      <c r="U29" s="21">
        <f>IF(A29="","",ROUND(T29*TaxRate,2))</f>
        <v>0</v>
      </c>
      <c r="V29" s="21">
        <f>IF(A29="","",T29+U29)</f>
        <v>0</v>
      </c>
      <c r="W29" s="21">
        <f>IF(A29="","",SUMIFS(Payments!$G$5:$G$404,Payments!$D$5:$D$404,A29))</f>
        <v>0</v>
      </c>
      <c r="X29" s="21">
        <f>IF(A29="","",ROUND(V29-W29,2))</f>
        <v>0</v>
      </c>
      <c r="Y29" s="31">
        <f>IF(B29="","",IF(J29&lt;&gt;"",J29,IF(IFERROR(INDEX(Clients!$P$5:$P$204,MATCH(D29,Clients!$A$5:$A$204,0)),"")&lt;&gt;"",INDEX(Clients!$P$5:$P$204,MATCH(D29,Clients!$A$5:$A$204,0)),PaymentTerms)))</f>
        <v>0</v>
      </c>
      <c r="Z29" s="18">
        <f>IF(OR(A29="",B29=""),"",B29+Y29)</f>
        <v>0</v>
      </c>
      <c r="AA29" s="31">
        <f>IF(OR(A29="",Z29=""),"",IF(X29&lt;=0.004,"",MAX(0,TodayDate-Z29-OverdueGrace)))</f>
        <v>0</v>
      </c>
      <c r="AB29" s="39">
        <f>IF(B29="","",IF(X29&lt;=0.004,"Paid",IF(AA29="","Not due yet",IF(AA29=0,"Due now",IF(AA29&lt;=30,"1-30 days",IF(AA29&lt;=60,"31-60 days",IF(AA29&lt;=90,"61-90 days","90+ days")))))))</f>
        <v>0</v>
      </c>
      <c r="AC29" s="21">
        <f>IF(OR(A29="",AA29=""),"",IF(AA29&lt;=0,0,ROUND(X29*LateFeePercent,2)))</f>
        <v>0</v>
      </c>
      <c r="AD29" s="50">
        <f>IF(B29="","",IF(X29&lt;=0.004,"Yes","No"))</f>
        <v>0</v>
      </c>
      <c r="AE29" s="39">
        <f>IF(B29="","",IF(Q29=0,"Add - no lines on this invoice yet",IF(H29="Written off","Written off",IF(AD29="Yes","OK - paid",IF(H29="Draft","Draft - not sent yet",IF(AND(AA29&lt;&gt;"",AA29&gt;30),"Overdue - "&amp;AA29&amp;" days, call them",IF(AND(AA29&lt;&gt;"",AA29&gt;0),"Overdue - send a reminder",IF(W29&gt;0,"Part paid","Due - waiting for payment"))))))))</f>
        <v>0</v>
      </c>
    </row>
    <row r="30" spans="1:31">
      <c r="A30" s="43">
        <f>IF(B30="","",InvoicePrefix&amp;TEXT(ROW()-4,"0000"))</f>
        <v>0</v>
      </c>
      <c r="C30" s="23">
        <f>IF(B30="","",TEXT(B30,"yyyy-mm"))</f>
        <v>0</v>
      </c>
      <c r="E30" s="23">
        <f>IF(D30="","",IFERROR(INDEX(Clients!$B$5:$B$204,MATCH(D30,Clients!$A$5:$A$204,0)),"Not found"))</f>
        <v>0</v>
      </c>
      <c r="F30" s="23">
        <f>IF(D30="","",IFERROR(INDEX(Clients!$G$5:$G$204,MATCH(D30,Clients!$A$5:$A$204,0)),""))</f>
        <v>0</v>
      </c>
      <c r="Q30" s="31">
        <f>IF(A30="","",COUNTIFS('Invoice Lines'!$B$5:$B$804,A30))</f>
        <v>0</v>
      </c>
      <c r="R30" s="21">
        <f>IF(A30="","",SUMIFS('Invoice Lines'!$N$5:$N$804,'Invoice Lines'!$B$5:$B$804,A30))</f>
        <v>0</v>
      </c>
      <c r="S30" s="21">
        <f>IF(A30="","",ROUND(R30*IF(K30="",0,K30),2))</f>
        <v>0</v>
      </c>
      <c r="T30" s="21">
        <f>IF(A30="","",R30-S30)</f>
        <v>0</v>
      </c>
      <c r="U30" s="21">
        <f>IF(A30="","",ROUND(T30*TaxRate,2))</f>
        <v>0</v>
      </c>
      <c r="V30" s="21">
        <f>IF(A30="","",T30+U30)</f>
        <v>0</v>
      </c>
      <c r="W30" s="21">
        <f>IF(A30="","",SUMIFS(Payments!$G$5:$G$404,Payments!$D$5:$D$404,A30))</f>
        <v>0</v>
      </c>
      <c r="X30" s="21">
        <f>IF(A30="","",ROUND(V30-W30,2))</f>
        <v>0</v>
      </c>
      <c r="Y30" s="31">
        <f>IF(B30="","",IF(J30&lt;&gt;"",J30,IF(IFERROR(INDEX(Clients!$P$5:$P$204,MATCH(D30,Clients!$A$5:$A$204,0)),"")&lt;&gt;"",INDEX(Clients!$P$5:$P$204,MATCH(D30,Clients!$A$5:$A$204,0)),PaymentTerms)))</f>
        <v>0</v>
      </c>
      <c r="Z30" s="18">
        <f>IF(OR(A30="",B30=""),"",B30+Y30)</f>
        <v>0</v>
      </c>
      <c r="AA30" s="31">
        <f>IF(OR(A30="",Z30=""),"",IF(X30&lt;=0.004,"",MAX(0,TodayDate-Z30-OverdueGrace)))</f>
        <v>0</v>
      </c>
      <c r="AB30" s="39">
        <f>IF(B30="","",IF(X30&lt;=0.004,"Paid",IF(AA30="","Not due yet",IF(AA30=0,"Due now",IF(AA30&lt;=30,"1-30 days",IF(AA30&lt;=60,"31-60 days",IF(AA30&lt;=90,"61-90 days","90+ days")))))))</f>
        <v>0</v>
      </c>
      <c r="AC30" s="21">
        <f>IF(OR(A30="",AA30=""),"",IF(AA30&lt;=0,0,ROUND(X30*LateFeePercent,2)))</f>
        <v>0</v>
      </c>
      <c r="AD30" s="50">
        <f>IF(B30="","",IF(X30&lt;=0.004,"Yes","No"))</f>
        <v>0</v>
      </c>
      <c r="AE30" s="39">
        <f>IF(B30="","",IF(Q30=0,"Add - no lines on this invoice yet",IF(H30="Written off","Written off",IF(AD30="Yes","OK - paid",IF(H30="Draft","Draft - not sent yet",IF(AND(AA30&lt;&gt;"",AA30&gt;30),"Overdue - "&amp;AA30&amp;" days, call them",IF(AND(AA30&lt;&gt;"",AA30&gt;0),"Overdue - send a reminder",IF(W30&gt;0,"Part paid","Due - waiting for payment"))))))))</f>
        <v>0</v>
      </c>
    </row>
    <row r="31" spans="1:31">
      <c r="A31" s="43">
        <f>IF(B31="","",InvoicePrefix&amp;TEXT(ROW()-4,"0000"))</f>
        <v>0</v>
      </c>
      <c r="C31" s="23">
        <f>IF(B31="","",TEXT(B31,"yyyy-mm"))</f>
        <v>0</v>
      </c>
      <c r="E31" s="23">
        <f>IF(D31="","",IFERROR(INDEX(Clients!$B$5:$B$204,MATCH(D31,Clients!$A$5:$A$204,0)),"Not found"))</f>
        <v>0</v>
      </c>
      <c r="F31" s="23">
        <f>IF(D31="","",IFERROR(INDEX(Clients!$G$5:$G$204,MATCH(D31,Clients!$A$5:$A$204,0)),""))</f>
        <v>0</v>
      </c>
      <c r="Q31" s="31">
        <f>IF(A31="","",COUNTIFS('Invoice Lines'!$B$5:$B$804,A31))</f>
        <v>0</v>
      </c>
      <c r="R31" s="21">
        <f>IF(A31="","",SUMIFS('Invoice Lines'!$N$5:$N$804,'Invoice Lines'!$B$5:$B$804,A31))</f>
        <v>0</v>
      </c>
      <c r="S31" s="21">
        <f>IF(A31="","",ROUND(R31*IF(K31="",0,K31),2))</f>
        <v>0</v>
      </c>
      <c r="T31" s="21">
        <f>IF(A31="","",R31-S31)</f>
        <v>0</v>
      </c>
      <c r="U31" s="21">
        <f>IF(A31="","",ROUND(T31*TaxRate,2))</f>
        <v>0</v>
      </c>
      <c r="V31" s="21">
        <f>IF(A31="","",T31+U31)</f>
        <v>0</v>
      </c>
      <c r="W31" s="21">
        <f>IF(A31="","",SUMIFS(Payments!$G$5:$G$404,Payments!$D$5:$D$404,A31))</f>
        <v>0</v>
      </c>
      <c r="X31" s="21">
        <f>IF(A31="","",ROUND(V31-W31,2))</f>
        <v>0</v>
      </c>
      <c r="Y31" s="31">
        <f>IF(B31="","",IF(J31&lt;&gt;"",J31,IF(IFERROR(INDEX(Clients!$P$5:$P$204,MATCH(D31,Clients!$A$5:$A$204,0)),"")&lt;&gt;"",INDEX(Clients!$P$5:$P$204,MATCH(D31,Clients!$A$5:$A$204,0)),PaymentTerms)))</f>
        <v>0</v>
      </c>
      <c r="Z31" s="18">
        <f>IF(OR(A31="",B31=""),"",B31+Y31)</f>
        <v>0</v>
      </c>
      <c r="AA31" s="31">
        <f>IF(OR(A31="",Z31=""),"",IF(X31&lt;=0.004,"",MAX(0,TodayDate-Z31-OverdueGrace)))</f>
        <v>0</v>
      </c>
      <c r="AB31" s="39">
        <f>IF(B31="","",IF(X31&lt;=0.004,"Paid",IF(AA31="","Not due yet",IF(AA31=0,"Due now",IF(AA31&lt;=30,"1-30 days",IF(AA31&lt;=60,"31-60 days",IF(AA31&lt;=90,"61-90 days","90+ days")))))))</f>
        <v>0</v>
      </c>
      <c r="AC31" s="21">
        <f>IF(OR(A31="",AA31=""),"",IF(AA31&lt;=0,0,ROUND(X31*LateFeePercent,2)))</f>
        <v>0</v>
      </c>
      <c r="AD31" s="50">
        <f>IF(B31="","",IF(X31&lt;=0.004,"Yes","No"))</f>
        <v>0</v>
      </c>
      <c r="AE31" s="39">
        <f>IF(B31="","",IF(Q31=0,"Add - no lines on this invoice yet",IF(H31="Written off","Written off",IF(AD31="Yes","OK - paid",IF(H31="Draft","Draft - not sent yet",IF(AND(AA31&lt;&gt;"",AA31&gt;30),"Overdue - "&amp;AA31&amp;" days, call them",IF(AND(AA31&lt;&gt;"",AA31&gt;0),"Overdue - send a reminder",IF(W31&gt;0,"Part paid","Due - waiting for payment"))))))))</f>
        <v>0</v>
      </c>
    </row>
    <row r="32" spans="1:31">
      <c r="A32" s="43">
        <f>IF(B32="","",InvoicePrefix&amp;TEXT(ROW()-4,"0000"))</f>
        <v>0</v>
      </c>
      <c r="C32" s="23">
        <f>IF(B32="","",TEXT(B32,"yyyy-mm"))</f>
        <v>0</v>
      </c>
      <c r="E32" s="23">
        <f>IF(D32="","",IFERROR(INDEX(Clients!$B$5:$B$204,MATCH(D32,Clients!$A$5:$A$204,0)),"Not found"))</f>
        <v>0</v>
      </c>
      <c r="F32" s="23">
        <f>IF(D32="","",IFERROR(INDEX(Clients!$G$5:$G$204,MATCH(D32,Clients!$A$5:$A$204,0)),""))</f>
        <v>0</v>
      </c>
      <c r="Q32" s="31">
        <f>IF(A32="","",COUNTIFS('Invoice Lines'!$B$5:$B$804,A32))</f>
        <v>0</v>
      </c>
      <c r="R32" s="21">
        <f>IF(A32="","",SUMIFS('Invoice Lines'!$N$5:$N$804,'Invoice Lines'!$B$5:$B$804,A32))</f>
        <v>0</v>
      </c>
      <c r="S32" s="21">
        <f>IF(A32="","",ROUND(R32*IF(K32="",0,K32),2))</f>
        <v>0</v>
      </c>
      <c r="T32" s="21">
        <f>IF(A32="","",R32-S32)</f>
        <v>0</v>
      </c>
      <c r="U32" s="21">
        <f>IF(A32="","",ROUND(T32*TaxRate,2))</f>
        <v>0</v>
      </c>
      <c r="V32" s="21">
        <f>IF(A32="","",T32+U32)</f>
        <v>0</v>
      </c>
      <c r="W32" s="21">
        <f>IF(A32="","",SUMIFS(Payments!$G$5:$G$404,Payments!$D$5:$D$404,A32))</f>
        <v>0</v>
      </c>
      <c r="X32" s="21">
        <f>IF(A32="","",ROUND(V32-W32,2))</f>
        <v>0</v>
      </c>
      <c r="Y32" s="31">
        <f>IF(B32="","",IF(J32&lt;&gt;"",J32,IF(IFERROR(INDEX(Clients!$P$5:$P$204,MATCH(D32,Clients!$A$5:$A$204,0)),"")&lt;&gt;"",INDEX(Clients!$P$5:$P$204,MATCH(D32,Clients!$A$5:$A$204,0)),PaymentTerms)))</f>
        <v>0</v>
      </c>
      <c r="Z32" s="18">
        <f>IF(OR(A32="",B32=""),"",B32+Y32)</f>
        <v>0</v>
      </c>
      <c r="AA32" s="31">
        <f>IF(OR(A32="",Z32=""),"",IF(X32&lt;=0.004,"",MAX(0,TodayDate-Z32-OverdueGrace)))</f>
        <v>0</v>
      </c>
      <c r="AB32" s="39">
        <f>IF(B32="","",IF(X32&lt;=0.004,"Paid",IF(AA32="","Not due yet",IF(AA32=0,"Due now",IF(AA32&lt;=30,"1-30 days",IF(AA32&lt;=60,"31-60 days",IF(AA32&lt;=90,"61-90 days","90+ days")))))))</f>
        <v>0</v>
      </c>
      <c r="AC32" s="21">
        <f>IF(OR(A32="",AA32=""),"",IF(AA32&lt;=0,0,ROUND(X32*LateFeePercent,2)))</f>
        <v>0</v>
      </c>
      <c r="AD32" s="50">
        <f>IF(B32="","",IF(X32&lt;=0.004,"Yes","No"))</f>
        <v>0</v>
      </c>
      <c r="AE32" s="39">
        <f>IF(B32="","",IF(Q32=0,"Add - no lines on this invoice yet",IF(H32="Written off","Written off",IF(AD32="Yes","OK - paid",IF(H32="Draft","Draft - not sent yet",IF(AND(AA32&lt;&gt;"",AA32&gt;30),"Overdue - "&amp;AA32&amp;" days, call them",IF(AND(AA32&lt;&gt;"",AA32&gt;0),"Overdue - send a reminder",IF(W32&gt;0,"Part paid","Due - waiting for payment"))))))))</f>
        <v>0</v>
      </c>
    </row>
    <row r="33" spans="1:31">
      <c r="A33" s="43">
        <f>IF(B33="","",InvoicePrefix&amp;TEXT(ROW()-4,"0000"))</f>
        <v>0</v>
      </c>
      <c r="C33" s="23">
        <f>IF(B33="","",TEXT(B33,"yyyy-mm"))</f>
        <v>0</v>
      </c>
      <c r="E33" s="23">
        <f>IF(D33="","",IFERROR(INDEX(Clients!$B$5:$B$204,MATCH(D33,Clients!$A$5:$A$204,0)),"Not found"))</f>
        <v>0</v>
      </c>
      <c r="F33" s="23">
        <f>IF(D33="","",IFERROR(INDEX(Clients!$G$5:$G$204,MATCH(D33,Clients!$A$5:$A$204,0)),""))</f>
        <v>0</v>
      </c>
      <c r="Q33" s="31">
        <f>IF(A33="","",COUNTIFS('Invoice Lines'!$B$5:$B$804,A33))</f>
        <v>0</v>
      </c>
      <c r="R33" s="21">
        <f>IF(A33="","",SUMIFS('Invoice Lines'!$N$5:$N$804,'Invoice Lines'!$B$5:$B$804,A33))</f>
        <v>0</v>
      </c>
      <c r="S33" s="21">
        <f>IF(A33="","",ROUND(R33*IF(K33="",0,K33),2))</f>
        <v>0</v>
      </c>
      <c r="T33" s="21">
        <f>IF(A33="","",R33-S33)</f>
        <v>0</v>
      </c>
      <c r="U33" s="21">
        <f>IF(A33="","",ROUND(T33*TaxRate,2))</f>
        <v>0</v>
      </c>
      <c r="V33" s="21">
        <f>IF(A33="","",T33+U33)</f>
        <v>0</v>
      </c>
      <c r="W33" s="21">
        <f>IF(A33="","",SUMIFS(Payments!$G$5:$G$404,Payments!$D$5:$D$404,A33))</f>
        <v>0</v>
      </c>
      <c r="X33" s="21">
        <f>IF(A33="","",ROUND(V33-W33,2))</f>
        <v>0</v>
      </c>
      <c r="Y33" s="31">
        <f>IF(B33="","",IF(J33&lt;&gt;"",J33,IF(IFERROR(INDEX(Clients!$P$5:$P$204,MATCH(D33,Clients!$A$5:$A$204,0)),"")&lt;&gt;"",INDEX(Clients!$P$5:$P$204,MATCH(D33,Clients!$A$5:$A$204,0)),PaymentTerms)))</f>
        <v>0</v>
      </c>
      <c r="Z33" s="18">
        <f>IF(OR(A33="",B33=""),"",B33+Y33)</f>
        <v>0</v>
      </c>
      <c r="AA33" s="31">
        <f>IF(OR(A33="",Z33=""),"",IF(X33&lt;=0.004,"",MAX(0,TodayDate-Z33-OverdueGrace)))</f>
        <v>0</v>
      </c>
      <c r="AB33" s="39">
        <f>IF(B33="","",IF(X33&lt;=0.004,"Paid",IF(AA33="","Not due yet",IF(AA33=0,"Due now",IF(AA33&lt;=30,"1-30 days",IF(AA33&lt;=60,"31-60 days",IF(AA33&lt;=90,"61-90 days","90+ days")))))))</f>
        <v>0</v>
      </c>
      <c r="AC33" s="21">
        <f>IF(OR(A33="",AA33=""),"",IF(AA33&lt;=0,0,ROUND(X33*LateFeePercent,2)))</f>
        <v>0</v>
      </c>
      <c r="AD33" s="50">
        <f>IF(B33="","",IF(X33&lt;=0.004,"Yes","No"))</f>
        <v>0</v>
      </c>
      <c r="AE33" s="39">
        <f>IF(B33="","",IF(Q33=0,"Add - no lines on this invoice yet",IF(H33="Written off","Written off",IF(AD33="Yes","OK - paid",IF(H33="Draft","Draft - not sent yet",IF(AND(AA33&lt;&gt;"",AA33&gt;30),"Overdue - "&amp;AA33&amp;" days, call them",IF(AND(AA33&lt;&gt;"",AA33&gt;0),"Overdue - send a reminder",IF(W33&gt;0,"Part paid","Due - waiting for payment"))))))))</f>
        <v>0</v>
      </c>
    </row>
    <row r="34" spans="1:31">
      <c r="A34" s="43">
        <f>IF(B34="","",InvoicePrefix&amp;TEXT(ROW()-4,"0000"))</f>
        <v>0</v>
      </c>
      <c r="C34" s="23">
        <f>IF(B34="","",TEXT(B34,"yyyy-mm"))</f>
        <v>0</v>
      </c>
      <c r="E34" s="23">
        <f>IF(D34="","",IFERROR(INDEX(Clients!$B$5:$B$204,MATCH(D34,Clients!$A$5:$A$204,0)),"Not found"))</f>
        <v>0</v>
      </c>
      <c r="F34" s="23">
        <f>IF(D34="","",IFERROR(INDEX(Clients!$G$5:$G$204,MATCH(D34,Clients!$A$5:$A$204,0)),""))</f>
        <v>0</v>
      </c>
      <c r="Q34" s="31">
        <f>IF(A34="","",COUNTIFS('Invoice Lines'!$B$5:$B$804,A34))</f>
        <v>0</v>
      </c>
      <c r="R34" s="21">
        <f>IF(A34="","",SUMIFS('Invoice Lines'!$N$5:$N$804,'Invoice Lines'!$B$5:$B$804,A34))</f>
        <v>0</v>
      </c>
      <c r="S34" s="21">
        <f>IF(A34="","",ROUND(R34*IF(K34="",0,K34),2))</f>
        <v>0</v>
      </c>
      <c r="T34" s="21">
        <f>IF(A34="","",R34-S34)</f>
        <v>0</v>
      </c>
      <c r="U34" s="21">
        <f>IF(A34="","",ROUND(T34*TaxRate,2))</f>
        <v>0</v>
      </c>
      <c r="V34" s="21">
        <f>IF(A34="","",T34+U34)</f>
        <v>0</v>
      </c>
      <c r="W34" s="21">
        <f>IF(A34="","",SUMIFS(Payments!$G$5:$G$404,Payments!$D$5:$D$404,A34))</f>
        <v>0</v>
      </c>
      <c r="X34" s="21">
        <f>IF(A34="","",ROUND(V34-W34,2))</f>
        <v>0</v>
      </c>
      <c r="Y34" s="31">
        <f>IF(B34="","",IF(J34&lt;&gt;"",J34,IF(IFERROR(INDEX(Clients!$P$5:$P$204,MATCH(D34,Clients!$A$5:$A$204,0)),"")&lt;&gt;"",INDEX(Clients!$P$5:$P$204,MATCH(D34,Clients!$A$5:$A$204,0)),PaymentTerms)))</f>
        <v>0</v>
      </c>
      <c r="Z34" s="18">
        <f>IF(OR(A34="",B34=""),"",B34+Y34)</f>
        <v>0</v>
      </c>
      <c r="AA34" s="31">
        <f>IF(OR(A34="",Z34=""),"",IF(X34&lt;=0.004,"",MAX(0,TodayDate-Z34-OverdueGrace)))</f>
        <v>0</v>
      </c>
      <c r="AB34" s="39">
        <f>IF(B34="","",IF(X34&lt;=0.004,"Paid",IF(AA34="","Not due yet",IF(AA34=0,"Due now",IF(AA34&lt;=30,"1-30 days",IF(AA34&lt;=60,"31-60 days",IF(AA34&lt;=90,"61-90 days","90+ days")))))))</f>
        <v>0</v>
      </c>
      <c r="AC34" s="21">
        <f>IF(OR(A34="",AA34=""),"",IF(AA34&lt;=0,0,ROUND(X34*LateFeePercent,2)))</f>
        <v>0</v>
      </c>
      <c r="AD34" s="50">
        <f>IF(B34="","",IF(X34&lt;=0.004,"Yes","No"))</f>
        <v>0</v>
      </c>
      <c r="AE34" s="39">
        <f>IF(B34="","",IF(Q34=0,"Add - no lines on this invoice yet",IF(H34="Written off","Written off",IF(AD34="Yes","OK - paid",IF(H34="Draft","Draft - not sent yet",IF(AND(AA34&lt;&gt;"",AA34&gt;30),"Overdue - "&amp;AA34&amp;" days, call them",IF(AND(AA34&lt;&gt;"",AA34&gt;0),"Overdue - send a reminder",IF(W34&gt;0,"Part paid","Due - waiting for payment"))))))))</f>
        <v>0</v>
      </c>
    </row>
    <row r="35" spans="1:31">
      <c r="A35" s="43">
        <f>IF(B35="","",InvoicePrefix&amp;TEXT(ROW()-4,"0000"))</f>
        <v>0</v>
      </c>
      <c r="C35" s="23">
        <f>IF(B35="","",TEXT(B35,"yyyy-mm"))</f>
        <v>0</v>
      </c>
      <c r="E35" s="23">
        <f>IF(D35="","",IFERROR(INDEX(Clients!$B$5:$B$204,MATCH(D35,Clients!$A$5:$A$204,0)),"Not found"))</f>
        <v>0</v>
      </c>
      <c r="F35" s="23">
        <f>IF(D35="","",IFERROR(INDEX(Clients!$G$5:$G$204,MATCH(D35,Clients!$A$5:$A$204,0)),""))</f>
        <v>0</v>
      </c>
      <c r="Q35" s="31">
        <f>IF(A35="","",COUNTIFS('Invoice Lines'!$B$5:$B$804,A35))</f>
        <v>0</v>
      </c>
      <c r="R35" s="21">
        <f>IF(A35="","",SUMIFS('Invoice Lines'!$N$5:$N$804,'Invoice Lines'!$B$5:$B$804,A35))</f>
        <v>0</v>
      </c>
      <c r="S35" s="21">
        <f>IF(A35="","",ROUND(R35*IF(K35="",0,K35),2))</f>
        <v>0</v>
      </c>
      <c r="T35" s="21">
        <f>IF(A35="","",R35-S35)</f>
        <v>0</v>
      </c>
      <c r="U35" s="21">
        <f>IF(A35="","",ROUND(T35*TaxRate,2))</f>
        <v>0</v>
      </c>
      <c r="V35" s="21">
        <f>IF(A35="","",T35+U35)</f>
        <v>0</v>
      </c>
      <c r="W35" s="21">
        <f>IF(A35="","",SUMIFS(Payments!$G$5:$G$404,Payments!$D$5:$D$404,A35))</f>
        <v>0</v>
      </c>
      <c r="X35" s="21">
        <f>IF(A35="","",ROUND(V35-W35,2))</f>
        <v>0</v>
      </c>
      <c r="Y35" s="31">
        <f>IF(B35="","",IF(J35&lt;&gt;"",J35,IF(IFERROR(INDEX(Clients!$P$5:$P$204,MATCH(D35,Clients!$A$5:$A$204,0)),"")&lt;&gt;"",INDEX(Clients!$P$5:$P$204,MATCH(D35,Clients!$A$5:$A$204,0)),PaymentTerms)))</f>
        <v>0</v>
      </c>
      <c r="Z35" s="18">
        <f>IF(OR(A35="",B35=""),"",B35+Y35)</f>
        <v>0</v>
      </c>
      <c r="AA35" s="31">
        <f>IF(OR(A35="",Z35=""),"",IF(X35&lt;=0.004,"",MAX(0,TodayDate-Z35-OverdueGrace)))</f>
        <v>0</v>
      </c>
      <c r="AB35" s="39">
        <f>IF(B35="","",IF(X35&lt;=0.004,"Paid",IF(AA35="","Not due yet",IF(AA35=0,"Due now",IF(AA35&lt;=30,"1-30 days",IF(AA35&lt;=60,"31-60 days",IF(AA35&lt;=90,"61-90 days","90+ days")))))))</f>
        <v>0</v>
      </c>
      <c r="AC35" s="21">
        <f>IF(OR(A35="",AA35=""),"",IF(AA35&lt;=0,0,ROUND(X35*LateFeePercent,2)))</f>
        <v>0</v>
      </c>
      <c r="AD35" s="50">
        <f>IF(B35="","",IF(X35&lt;=0.004,"Yes","No"))</f>
        <v>0</v>
      </c>
      <c r="AE35" s="39">
        <f>IF(B35="","",IF(Q35=0,"Add - no lines on this invoice yet",IF(H35="Written off","Written off",IF(AD35="Yes","OK - paid",IF(H35="Draft","Draft - not sent yet",IF(AND(AA35&lt;&gt;"",AA35&gt;30),"Overdue - "&amp;AA35&amp;" days, call them",IF(AND(AA35&lt;&gt;"",AA35&gt;0),"Overdue - send a reminder",IF(W35&gt;0,"Part paid","Due - waiting for payment"))))))))</f>
        <v>0</v>
      </c>
    </row>
    <row r="36" spans="1:31">
      <c r="A36" s="43">
        <f>IF(B36="","",InvoicePrefix&amp;TEXT(ROW()-4,"0000"))</f>
        <v>0</v>
      </c>
      <c r="C36" s="23">
        <f>IF(B36="","",TEXT(B36,"yyyy-mm"))</f>
        <v>0</v>
      </c>
      <c r="E36" s="23">
        <f>IF(D36="","",IFERROR(INDEX(Clients!$B$5:$B$204,MATCH(D36,Clients!$A$5:$A$204,0)),"Not found"))</f>
        <v>0</v>
      </c>
      <c r="F36" s="23">
        <f>IF(D36="","",IFERROR(INDEX(Clients!$G$5:$G$204,MATCH(D36,Clients!$A$5:$A$204,0)),""))</f>
        <v>0</v>
      </c>
      <c r="Q36" s="31">
        <f>IF(A36="","",COUNTIFS('Invoice Lines'!$B$5:$B$804,A36))</f>
        <v>0</v>
      </c>
      <c r="R36" s="21">
        <f>IF(A36="","",SUMIFS('Invoice Lines'!$N$5:$N$804,'Invoice Lines'!$B$5:$B$804,A36))</f>
        <v>0</v>
      </c>
      <c r="S36" s="21">
        <f>IF(A36="","",ROUND(R36*IF(K36="",0,K36),2))</f>
        <v>0</v>
      </c>
      <c r="T36" s="21">
        <f>IF(A36="","",R36-S36)</f>
        <v>0</v>
      </c>
      <c r="U36" s="21">
        <f>IF(A36="","",ROUND(T36*TaxRate,2))</f>
        <v>0</v>
      </c>
      <c r="V36" s="21">
        <f>IF(A36="","",T36+U36)</f>
        <v>0</v>
      </c>
      <c r="W36" s="21">
        <f>IF(A36="","",SUMIFS(Payments!$G$5:$G$404,Payments!$D$5:$D$404,A36))</f>
        <v>0</v>
      </c>
      <c r="X36" s="21">
        <f>IF(A36="","",ROUND(V36-W36,2))</f>
        <v>0</v>
      </c>
      <c r="Y36" s="31">
        <f>IF(B36="","",IF(J36&lt;&gt;"",J36,IF(IFERROR(INDEX(Clients!$P$5:$P$204,MATCH(D36,Clients!$A$5:$A$204,0)),"")&lt;&gt;"",INDEX(Clients!$P$5:$P$204,MATCH(D36,Clients!$A$5:$A$204,0)),PaymentTerms)))</f>
        <v>0</v>
      </c>
      <c r="Z36" s="18">
        <f>IF(OR(A36="",B36=""),"",B36+Y36)</f>
        <v>0</v>
      </c>
      <c r="AA36" s="31">
        <f>IF(OR(A36="",Z36=""),"",IF(X36&lt;=0.004,"",MAX(0,TodayDate-Z36-OverdueGrace)))</f>
        <v>0</v>
      </c>
      <c r="AB36" s="39">
        <f>IF(B36="","",IF(X36&lt;=0.004,"Paid",IF(AA36="","Not due yet",IF(AA36=0,"Due now",IF(AA36&lt;=30,"1-30 days",IF(AA36&lt;=60,"31-60 days",IF(AA36&lt;=90,"61-90 days","90+ days")))))))</f>
        <v>0</v>
      </c>
      <c r="AC36" s="21">
        <f>IF(OR(A36="",AA36=""),"",IF(AA36&lt;=0,0,ROUND(X36*LateFeePercent,2)))</f>
        <v>0</v>
      </c>
      <c r="AD36" s="50">
        <f>IF(B36="","",IF(X36&lt;=0.004,"Yes","No"))</f>
        <v>0</v>
      </c>
      <c r="AE36" s="39">
        <f>IF(B36="","",IF(Q36=0,"Add - no lines on this invoice yet",IF(H36="Written off","Written off",IF(AD36="Yes","OK - paid",IF(H36="Draft","Draft - not sent yet",IF(AND(AA36&lt;&gt;"",AA36&gt;30),"Overdue - "&amp;AA36&amp;" days, call them",IF(AND(AA36&lt;&gt;"",AA36&gt;0),"Overdue - send a reminder",IF(W36&gt;0,"Part paid","Due - waiting for payment"))))))))</f>
        <v>0</v>
      </c>
    </row>
    <row r="37" spans="1:31">
      <c r="A37" s="43">
        <f>IF(B37="","",InvoicePrefix&amp;TEXT(ROW()-4,"0000"))</f>
        <v>0</v>
      </c>
      <c r="C37" s="23">
        <f>IF(B37="","",TEXT(B37,"yyyy-mm"))</f>
        <v>0</v>
      </c>
      <c r="E37" s="23">
        <f>IF(D37="","",IFERROR(INDEX(Clients!$B$5:$B$204,MATCH(D37,Clients!$A$5:$A$204,0)),"Not found"))</f>
        <v>0</v>
      </c>
      <c r="F37" s="23">
        <f>IF(D37="","",IFERROR(INDEX(Clients!$G$5:$G$204,MATCH(D37,Clients!$A$5:$A$204,0)),""))</f>
        <v>0</v>
      </c>
      <c r="Q37" s="31">
        <f>IF(A37="","",COUNTIFS('Invoice Lines'!$B$5:$B$804,A37))</f>
        <v>0</v>
      </c>
      <c r="R37" s="21">
        <f>IF(A37="","",SUMIFS('Invoice Lines'!$N$5:$N$804,'Invoice Lines'!$B$5:$B$804,A37))</f>
        <v>0</v>
      </c>
      <c r="S37" s="21">
        <f>IF(A37="","",ROUND(R37*IF(K37="",0,K37),2))</f>
        <v>0</v>
      </c>
      <c r="T37" s="21">
        <f>IF(A37="","",R37-S37)</f>
        <v>0</v>
      </c>
      <c r="U37" s="21">
        <f>IF(A37="","",ROUND(T37*TaxRate,2))</f>
        <v>0</v>
      </c>
      <c r="V37" s="21">
        <f>IF(A37="","",T37+U37)</f>
        <v>0</v>
      </c>
      <c r="W37" s="21">
        <f>IF(A37="","",SUMIFS(Payments!$G$5:$G$404,Payments!$D$5:$D$404,A37))</f>
        <v>0</v>
      </c>
      <c r="X37" s="21">
        <f>IF(A37="","",ROUND(V37-W37,2))</f>
        <v>0</v>
      </c>
      <c r="Y37" s="31">
        <f>IF(B37="","",IF(J37&lt;&gt;"",J37,IF(IFERROR(INDEX(Clients!$P$5:$P$204,MATCH(D37,Clients!$A$5:$A$204,0)),"")&lt;&gt;"",INDEX(Clients!$P$5:$P$204,MATCH(D37,Clients!$A$5:$A$204,0)),PaymentTerms)))</f>
        <v>0</v>
      </c>
      <c r="Z37" s="18">
        <f>IF(OR(A37="",B37=""),"",B37+Y37)</f>
        <v>0</v>
      </c>
      <c r="AA37" s="31">
        <f>IF(OR(A37="",Z37=""),"",IF(X37&lt;=0.004,"",MAX(0,TodayDate-Z37-OverdueGrace)))</f>
        <v>0</v>
      </c>
      <c r="AB37" s="39">
        <f>IF(B37="","",IF(X37&lt;=0.004,"Paid",IF(AA37="","Not due yet",IF(AA37=0,"Due now",IF(AA37&lt;=30,"1-30 days",IF(AA37&lt;=60,"31-60 days",IF(AA37&lt;=90,"61-90 days","90+ days")))))))</f>
        <v>0</v>
      </c>
      <c r="AC37" s="21">
        <f>IF(OR(A37="",AA37=""),"",IF(AA37&lt;=0,0,ROUND(X37*LateFeePercent,2)))</f>
        <v>0</v>
      </c>
      <c r="AD37" s="50">
        <f>IF(B37="","",IF(X37&lt;=0.004,"Yes","No"))</f>
        <v>0</v>
      </c>
      <c r="AE37" s="39">
        <f>IF(B37="","",IF(Q37=0,"Add - no lines on this invoice yet",IF(H37="Written off","Written off",IF(AD37="Yes","OK - paid",IF(H37="Draft","Draft - not sent yet",IF(AND(AA37&lt;&gt;"",AA37&gt;30),"Overdue - "&amp;AA37&amp;" days, call them",IF(AND(AA37&lt;&gt;"",AA37&gt;0),"Overdue - send a reminder",IF(W37&gt;0,"Part paid","Due - waiting for payment"))))))))</f>
        <v>0</v>
      </c>
    </row>
    <row r="38" spans="1:31">
      <c r="A38" s="43">
        <f>IF(B38="","",InvoicePrefix&amp;TEXT(ROW()-4,"0000"))</f>
        <v>0</v>
      </c>
      <c r="C38" s="23">
        <f>IF(B38="","",TEXT(B38,"yyyy-mm"))</f>
        <v>0</v>
      </c>
      <c r="E38" s="23">
        <f>IF(D38="","",IFERROR(INDEX(Clients!$B$5:$B$204,MATCH(D38,Clients!$A$5:$A$204,0)),"Not found"))</f>
        <v>0</v>
      </c>
      <c r="F38" s="23">
        <f>IF(D38="","",IFERROR(INDEX(Clients!$G$5:$G$204,MATCH(D38,Clients!$A$5:$A$204,0)),""))</f>
        <v>0</v>
      </c>
      <c r="Q38" s="31">
        <f>IF(A38="","",COUNTIFS('Invoice Lines'!$B$5:$B$804,A38))</f>
        <v>0</v>
      </c>
      <c r="R38" s="21">
        <f>IF(A38="","",SUMIFS('Invoice Lines'!$N$5:$N$804,'Invoice Lines'!$B$5:$B$804,A38))</f>
        <v>0</v>
      </c>
      <c r="S38" s="21">
        <f>IF(A38="","",ROUND(R38*IF(K38="",0,K38),2))</f>
        <v>0</v>
      </c>
      <c r="T38" s="21">
        <f>IF(A38="","",R38-S38)</f>
        <v>0</v>
      </c>
      <c r="U38" s="21">
        <f>IF(A38="","",ROUND(T38*TaxRate,2))</f>
        <v>0</v>
      </c>
      <c r="V38" s="21">
        <f>IF(A38="","",T38+U38)</f>
        <v>0</v>
      </c>
      <c r="W38" s="21">
        <f>IF(A38="","",SUMIFS(Payments!$G$5:$G$404,Payments!$D$5:$D$404,A38))</f>
        <v>0</v>
      </c>
      <c r="X38" s="21">
        <f>IF(A38="","",ROUND(V38-W38,2))</f>
        <v>0</v>
      </c>
      <c r="Y38" s="31">
        <f>IF(B38="","",IF(J38&lt;&gt;"",J38,IF(IFERROR(INDEX(Clients!$P$5:$P$204,MATCH(D38,Clients!$A$5:$A$204,0)),"")&lt;&gt;"",INDEX(Clients!$P$5:$P$204,MATCH(D38,Clients!$A$5:$A$204,0)),PaymentTerms)))</f>
        <v>0</v>
      </c>
      <c r="Z38" s="18">
        <f>IF(OR(A38="",B38=""),"",B38+Y38)</f>
        <v>0</v>
      </c>
      <c r="AA38" s="31">
        <f>IF(OR(A38="",Z38=""),"",IF(X38&lt;=0.004,"",MAX(0,TodayDate-Z38-OverdueGrace)))</f>
        <v>0</v>
      </c>
      <c r="AB38" s="39">
        <f>IF(B38="","",IF(X38&lt;=0.004,"Paid",IF(AA38="","Not due yet",IF(AA38=0,"Due now",IF(AA38&lt;=30,"1-30 days",IF(AA38&lt;=60,"31-60 days",IF(AA38&lt;=90,"61-90 days","90+ days")))))))</f>
        <v>0</v>
      </c>
      <c r="AC38" s="21">
        <f>IF(OR(A38="",AA38=""),"",IF(AA38&lt;=0,0,ROUND(X38*LateFeePercent,2)))</f>
        <v>0</v>
      </c>
      <c r="AD38" s="50">
        <f>IF(B38="","",IF(X38&lt;=0.004,"Yes","No"))</f>
        <v>0</v>
      </c>
      <c r="AE38" s="39">
        <f>IF(B38="","",IF(Q38=0,"Add - no lines on this invoice yet",IF(H38="Written off","Written off",IF(AD38="Yes","OK - paid",IF(H38="Draft","Draft - not sent yet",IF(AND(AA38&lt;&gt;"",AA38&gt;30),"Overdue - "&amp;AA38&amp;" days, call them",IF(AND(AA38&lt;&gt;"",AA38&gt;0),"Overdue - send a reminder",IF(W38&gt;0,"Part paid","Due - waiting for payment"))))))))</f>
        <v>0</v>
      </c>
    </row>
    <row r="39" spans="1:31">
      <c r="A39" s="43">
        <f>IF(B39="","",InvoicePrefix&amp;TEXT(ROW()-4,"0000"))</f>
        <v>0</v>
      </c>
      <c r="C39" s="23">
        <f>IF(B39="","",TEXT(B39,"yyyy-mm"))</f>
        <v>0</v>
      </c>
      <c r="E39" s="23">
        <f>IF(D39="","",IFERROR(INDEX(Clients!$B$5:$B$204,MATCH(D39,Clients!$A$5:$A$204,0)),"Not found"))</f>
        <v>0</v>
      </c>
      <c r="F39" s="23">
        <f>IF(D39="","",IFERROR(INDEX(Clients!$G$5:$G$204,MATCH(D39,Clients!$A$5:$A$204,0)),""))</f>
        <v>0</v>
      </c>
      <c r="Q39" s="31">
        <f>IF(A39="","",COUNTIFS('Invoice Lines'!$B$5:$B$804,A39))</f>
        <v>0</v>
      </c>
      <c r="R39" s="21">
        <f>IF(A39="","",SUMIFS('Invoice Lines'!$N$5:$N$804,'Invoice Lines'!$B$5:$B$804,A39))</f>
        <v>0</v>
      </c>
      <c r="S39" s="21">
        <f>IF(A39="","",ROUND(R39*IF(K39="",0,K39),2))</f>
        <v>0</v>
      </c>
      <c r="T39" s="21">
        <f>IF(A39="","",R39-S39)</f>
        <v>0</v>
      </c>
      <c r="U39" s="21">
        <f>IF(A39="","",ROUND(T39*TaxRate,2))</f>
        <v>0</v>
      </c>
      <c r="V39" s="21">
        <f>IF(A39="","",T39+U39)</f>
        <v>0</v>
      </c>
      <c r="W39" s="21">
        <f>IF(A39="","",SUMIFS(Payments!$G$5:$G$404,Payments!$D$5:$D$404,A39))</f>
        <v>0</v>
      </c>
      <c r="X39" s="21">
        <f>IF(A39="","",ROUND(V39-W39,2))</f>
        <v>0</v>
      </c>
      <c r="Y39" s="31">
        <f>IF(B39="","",IF(J39&lt;&gt;"",J39,IF(IFERROR(INDEX(Clients!$P$5:$P$204,MATCH(D39,Clients!$A$5:$A$204,0)),"")&lt;&gt;"",INDEX(Clients!$P$5:$P$204,MATCH(D39,Clients!$A$5:$A$204,0)),PaymentTerms)))</f>
        <v>0</v>
      </c>
      <c r="Z39" s="18">
        <f>IF(OR(A39="",B39=""),"",B39+Y39)</f>
        <v>0</v>
      </c>
      <c r="AA39" s="31">
        <f>IF(OR(A39="",Z39=""),"",IF(X39&lt;=0.004,"",MAX(0,TodayDate-Z39-OverdueGrace)))</f>
        <v>0</v>
      </c>
      <c r="AB39" s="39">
        <f>IF(B39="","",IF(X39&lt;=0.004,"Paid",IF(AA39="","Not due yet",IF(AA39=0,"Due now",IF(AA39&lt;=30,"1-30 days",IF(AA39&lt;=60,"31-60 days",IF(AA39&lt;=90,"61-90 days","90+ days")))))))</f>
        <v>0</v>
      </c>
      <c r="AC39" s="21">
        <f>IF(OR(A39="",AA39=""),"",IF(AA39&lt;=0,0,ROUND(X39*LateFeePercent,2)))</f>
        <v>0</v>
      </c>
      <c r="AD39" s="50">
        <f>IF(B39="","",IF(X39&lt;=0.004,"Yes","No"))</f>
        <v>0</v>
      </c>
      <c r="AE39" s="39">
        <f>IF(B39="","",IF(Q39=0,"Add - no lines on this invoice yet",IF(H39="Written off","Written off",IF(AD39="Yes","OK - paid",IF(H39="Draft","Draft - not sent yet",IF(AND(AA39&lt;&gt;"",AA39&gt;30),"Overdue - "&amp;AA39&amp;" days, call them",IF(AND(AA39&lt;&gt;"",AA39&gt;0),"Overdue - send a reminder",IF(W39&gt;0,"Part paid","Due - waiting for payment"))))))))</f>
        <v>0</v>
      </c>
    </row>
    <row r="40" spans="1:31">
      <c r="A40" s="43">
        <f>IF(B40="","",InvoicePrefix&amp;TEXT(ROW()-4,"0000"))</f>
        <v>0</v>
      </c>
      <c r="C40" s="23">
        <f>IF(B40="","",TEXT(B40,"yyyy-mm"))</f>
        <v>0</v>
      </c>
      <c r="E40" s="23">
        <f>IF(D40="","",IFERROR(INDEX(Clients!$B$5:$B$204,MATCH(D40,Clients!$A$5:$A$204,0)),"Not found"))</f>
        <v>0</v>
      </c>
      <c r="F40" s="23">
        <f>IF(D40="","",IFERROR(INDEX(Clients!$G$5:$G$204,MATCH(D40,Clients!$A$5:$A$204,0)),""))</f>
        <v>0</v>
      </c>
      <c r="Q40" s="31">
        <f>IF(A40="","",COUNTIFS('Invoice Lines'!$B$5:$B$804,A40))</f>
        <v>0</v>
      </c>
      <c r="R40" s="21">
        <f>IF(A40="","",SUMIFS('Invoice Lines'!$N$5:$N$804,'Invoice Lines'!$B$5:$B$804,A40))</f>
        <v>0</v>
      </c>
      <c r="S40" s="21">
        <f>IF(A40="","",ROUND(R40*IF(K40="",0,K40),2))</f>
        <v>0</v>
      </c>
      <c r="T40" s="21">
        <f>IF(A40="","",R40-S40)</f>
        <v>0</v>
      </c>
      <c r="U40" s="21">
        <f>IF(A40="","",ROUND(T40*TaxRate,2))</f>
        <v>0</v>
      </c>
      <c r="V40" s="21">
        <f>IF(A40="","",T40+U40)</f>
        <v>0</v>
      </c>
      <c r="W40" s="21">
        <f>IF(A40="","",SUMIFS(Payments!$G$5:$G$404,Payments!$D$5:$D$404,A40))</f>
        <v>0</v>
      </c>
      <c r="X40" s="21">
        <f>IF(A40="","",ROUND(V40-W40,2))</f>
        <v>0</v>
      </c>
      <c r="Y40" s="31">
        <f>IF(B40="","",IF(J40&lt;&gt;"",J40,IF(IFERROR(INDEX(Clients!$P$5:$P$204,MATCH(D40,Clients!$A$5:$A$204,0)),"")&lt;&gt;"",INDEX(Clients!$P$5:$P$204,MATCH(D40,Clients!$A$5:$A$204,0)),PaymentTerms)))</f>
        <v>0</v>
      </c>
      <c r="Z40" s="18">
        <f>IF(OR(A40="",B40=""),"",B40+Y40)</f>
        <v>0</v>
      </c>
      <c r="AA40" s="31">
        <f>IF(OR(A40="",Z40=""),"",IF(X40&lt;=0.004,"",MAX(0,TodayDate-Z40-OverdueGrace)))</f>
        <v>0</v>
      </c>
      <c r="AB40" s="39">
        <f>IF(B40="","",IF(X40&lt;=0.004,"Paid",IF(AA40="","Not due yet",IF(AA40=0,"Due now",IF(AA40&lt;=30,"1-30 days",IF(AA40&lt;=60,"31-60 days",IF(AA40&lt;=90,"61-90 days","90+ days")))))))</f>
        <v>0</v>
      </c>
      <c r="AC40" s="21">
        <f>IF(OR(A40="",AA40=""),"",IF(AA40&lt;=0,0,ROUND(X40*LateFeePercent,2)))</f>
        <v>0</v>
      </c>
      <c r="AD40" s="50">
        <f>IF(B40="","",IF(X40&lt;=0.004,"Yes","No"))</f>
        <v>0</v>
      </c>
      <c r="AE40" s="39">
        <f>IF(B40="","",IF(Q40=0,"Add - no lines on this invoice yet",IF(H40="Written off","Written off",IF(AD40="Yes","OK - paid",IF(H40="Draft","Draft - not sent yet",IF(AND(AA40&lt;&gt;"",AA40&gt;30),"Overdue - "&amp;AA40&amp;" days, call them",IF(AND(AA40&lt;&gt;"",AA40&gt;0),"Overdue - send a reminder",IF(W40&gt;0,"Part paid","Due - waiting for payment"))))))))</f>
        <v>0</v>
      </c>
    </row>
    <row r="41" spans="1:31">
      <c r="A41" s="43">
        <f>IF(B41="","",InvoicePrefix&amp;TEXT(ROW()-4,"0000"))</f>
        <v>0</v>
      </c>
      <c r="C41" s="23">
        <f>IF(B41="","",TEXT(B41,"yyyy-mm"))</f>
        <v>0</v>
      </c>
      <c r="E41" s="23">
        <f>IF(D41="","",IFERROR(INDEX(Clients!$B$5:$B$204,MATCH(D41,Clients!$A$5:$A$204,0)),"Not found"))</f>
        <v>0</v>
      </c>
      <c r="F41" s="23">
        <f>IF(D41="","",IFERROR(INDEX(Clients!$G$5:$G$204,MATCH(D41,Clients!$A$5:$A$204,0)),""))</f>
        <v>0</v>
      </c>
      <c r="Q41" s="31">
        <f>IF(A41="","",COUNTIFS('Invoice Lines'!$B$5:$B$804,A41))</f>
        <v>0</v>
      </c>
      <c r="R41" s="21">
        <f>IF(A41="","",SUMIFS('Invoice Lines'!$N$5:$N$804,'Invoice Lines'!$B$5:$B$804,A41))</f>
        <v>0</v>
      </c>
      <c r="S41" s="21">
        <f>IF(A41="","",ROUND(R41*IF(K41="",0,K41),2))</f>
        <v>0</v>
      </c>
      <c r="T41" s="21">
        <f>IF(A41="","",R41-S41)</f>
        <v>0</v>
      </c>
      <c r="U41" s="21">
        <f>IF(A41="","",ROUND(T41*TaxRate,2))</f>
        <v>0</v>
      </c>
      <c r="V41" s="21">
        <f>IF(A41="","",T41+U41)</f>
        <v>0</v>
      </c>
      <c r="W41" s="21">
        <f>IF(A41="","",SUMIFS(Payments!$G$5:$G$404,Payments!$D$5:$D$404,A41))</f>
        <v>0</v>
      </c>
      <c r="X41" s="21">
        <f>IF(A41="","",ROUND(V41-W41,2))</f>
        <v>0</v>
      </c>
      <c r="Y41" s="31">
        <f>IF(B41="","",IF(J41&lt;&gt;"",J41,IF(IFERROR(INDEX(Clients!$P$5:$P$204,MATCH(D41,Clients!$A$5:$A$204,0)),"")&lt;&gt;"",INDEX(Clients!$P$5:$P$204,MATCH(D41,Clients!$A$5:$A$204,0)),PaymentTerms)))</f>
        <v>0</v>
      </c>
      <c r="Z41" s="18">
        <f>IF(OR(A41="",B41=""),"",B41+Y41)</f>
        <v>0</v>
      </c>
      <c r="AA41" s="31">
        <f>IF(OR(A41="",Z41=""),"",IF(X41&lt;=0.004,"",MAX(0,TodayDate-Z41-OverdueGrace)))</f>
        <v>0</v>
      </c>
      <c r="AB41" s="39">
        <f>IF(B41="","",IF(X41&lt;=0.004,"Paid",IF(AA41="","Not due yet",IF(AA41=0,"Due now",IF(AA41&lt;=30,"1-30 days",IF(AA41&lt;=60,"31-60 days",IF(AA41&lt;=90,"61-90 days","90+ days")))))))</f>
        <v>0</v>
      </c>
      <c r="AC41" s="21">
        <f>IF(OR(A41="",AA41=""),"",IF(AA41&lt;=0,0,ROUND(X41*LateFeePercent,2)))</f>
        <v>0</v>
      </c>
      <c r="AD41" s="50">
        <f>IF(B41="","",IF(X41&lt;=0.004,"Yes","No"))</f>
        <v>0</v>
      </c>
      <c r="AE41" s="39">
        <f>IF(B41="","",IF(Q41=0,"Add - no lines on this invoice yet",IF(H41="Written off","Written off",IF(AD41="Yes","OK - paid",IF(H41="Draft","Draft - not sent yet",IF(AND(AA41&lt;&gt;"",AA41&gt;30),"Overdue - "&amp;AA41&amp;" days, call them",IF(AND(AA41&lt;&gt;"",AA41&gt;0),"Overdue - send a reminder",IF(W41&gt;0,"Part paid","Due - waiting for payment"))))))))</f>
        <v>0</v>
      </c>
    </row>
    <row r="42" spans="1:31">
      <c r="A42" s="43">
        <f>IF(B42="","",InvoicePrefix&amp;TEXT(ROW()-4,"0000"))</f>
        <v>0</v>
      </c>
      <c r="C42" s="23">
        <f>IF(B42="","",TEXT(B42,"yyyy-mm"))</f>
        <v>0</v>
      </c>
      <c r="E42" s="23">
        <f>IF(D42="","",IFERROR(INDEX(Clients!$B$5:$B$204,MATCH(D42,Clients!$A$5:$A$204,0)),"Not found"))</f>
        <v>0</v>
      </c>
      <c r="F42" s="23">
        <f>IF(D42="","",IFERROR(INDEX(Clients!$G$5:$G$204,MATCH(D42,Clients!$A$5:$A$204,0)),""))</f>
        <v>0</v>
      </c>
      <c r="Q42" s="31">
        <f>IF(A42="","",COUNTIFS('Invoice Lines'!$B$5:$B$804,A42))</f>
        <v>0</v>
      </c>
      <c r="R42" s="21">
        <f>IF(A42="","",SUMIFS('Invoice Lines'!$N$5:$N$804,'Invoice Lines'!$B$5:$B$804,A42))</f>
        <v>0</v>
      </c>
      <c r="S42" s="21">
        <f>IF(A42="","",ROUND(R42*IF(K42="",0,K42),2))</f>
        <v>0</v>
      </c>
      <c r="T42" s="21">
        <f>IF(A42="","",R42-S42)</f>
        <v>0</v>
      </c>
      <c r="U42" s="21">
        <f>IF(A42="","",ROUND(T42*TaxRate,2))</f>
        <v>0</v>
      </c>
      <c r="V42" s="21">
        <f>IF(A42="","",T42+U42)</f>
        <v>0</v>
      </c>
      <c r="W42" s="21">
        <f>IF(A42="","",SUMIFS(Payments!$G$5:$G$404,Payments!$D$5:$D$404,A42))</f>
        <v>0</v>
      </c>
      <c r="X42" s="21">
        <f>IF(A42="","",ROUND(V42-W42,2))</f>
        <v>0</v>
      </c>
      <c r="Y42" s="31">
        <f>IF(B42="","",IF(J42&lt;&gt;"",J42,IF(IFERROR(INDEX(Clients!$P$5:$P$204,MATCH(D42,Clients!$A$5:$A$204,0)),"")&lt;&gt;"",INDEX(Clients!$P$5:$P$204,MATCH(D42,Clients!$A$5:$A$204,0)),PaymentTerms)))</f>
        <v>0</v>
      </c>
      <c r="Z42" s="18">
        <f>IF(OR(A42="",B42=""),"",B42+Y42)</f>
        <v>0</v>
      </c>
      <c r="AA42" s="31">
        <f>IF(OR(A42="",Z42=""),"",IF(X42&lt;=0.004,"",MAX(0,TodayDate-Z42-OverdueGrace)))</f>
        <v>0</v>
      </c>
      <c r="AB42" s="39">
        <f>IF(B42="","",IF(X42&lt;=0.004,"Paid",IF(AA42="","Not due yet",IF(AA42=0,"Due now",IF(AA42&lt;=30,"1-30 days",IF(AA42&lt;=60,"31-60 days",IF(AA42&lt;=90,"61-90 days","90+ days")))))))</f>
        <v>0</v>
      </c>
      <c r="AC42" s="21">
        <f>IF(OR(A42="",AA42=""),"",IF(AA42&lt;=0,0,ROUND(X42*LateFeePercent,2)))</f>
        <v>0</v>
      </c>
      <c r="AD42" s="50">
        <f>IF(B42="","",IF(X42&lt;=0.004,"Yes","No"))</f>
        <v>0</v>
      </c>
      <c r="AE42" s="39">
        <f>IF(B42="","",IF(Q42=0,"Add - no lines on this invoice yet",IF(H42="Written off","Written off",IF(AD42="Yes","OK - paid",IF(H42="Draft","Draft - not sent yet",IF(AND(AA42&lt;&gt;"",AA42&gt;30),"Overdue - "&amp;AA42&amp;" days, call them",IF(AND(AA42&lt;&gt;"",AA42&gt;0),"Overdue - send a reminder",IF(W42&gt;0,"Part paid","Due - waiting for payment"))))))))</f>
        <v>0</v>
      </c>
    </row>
    <row r="43" spans="1:31">
      <c r="A43" s="43">
        <f>IF(B43="","",InvoicePrefix&amp;TEXT(ROW()-4,"0000"))</f>
        <v>0</v>
      </c>
      <c r="C43" s="23">
        <f>IF(B43="","",TEXT(B43,"yyyy-mm"))</f>
        <v>0</v>
      </c>
      <c r="E43" s="23">
        <f>IF(D43="","",IFERROR(INDEX(Clients!$B$5:$B$204,MATCH(D43,Clients!$A$5:$A$204,0)),"Not found"))</f>
        <v>0</v>
      </c>
      <c r="F43" s="23">
        <f>IF(D43="","",IFERROR(INDEX(Clients!$G$5:$G$204,MATCH(D43,Clients!$A$5:$A$204,0)),""))</f>
        <v>0</v>
      </c>
      <c r="Q43" s="31">
        <f>IF(A43="","",COUNTIFS('Invoice Lines'!$B$5:$B$804,A43))</f>
        <v>0</v>
      </c>
      <c r="R43" s="21">
        <f>IF(A43="","",SUMIFS('Invoice Lines'!$N$5:$N$804,'Invoice Lines'!$B$5:$B$804,A43))</f>
        <v>0</v>
      </c>
      <c r="S43" s="21">
        <f>IF(A43="","",ROUND(R43*IF(K43="",0,K43),2))</f>
        <v>0</v>
      </c>
      <c r="T43" s="21">
        <f>IF(A43="","",R43-S43)</f>
        <v>0</v>
      </c>
      <c r="U43" s="21">
        <f>IF(A43="","",ROUND(T43*TaxRate,2))</f>
        <v>0</v>
      </c>
      <c r="V43" s="21">
        <f>IF(A43="","",T43+U43)</f>
        <v>0</v>
      </c>
      <c r="W43" s="21">
        <f>IF(A43="","",SUMIFS(Payments!$G$5:$G$404,Payments!$D$5:$D$404,A43))</f>
        <v>0</v>
      </c>
      <c r="X43" s="21">
        <f>IF(A43="","",ROUND(V43-W43,2))</f>
        <v>0</v>
      </c>
      <c r="Y43" s="31">
        <f>IF(B43="","",IF(J43&lt;&gt;"",J43,IF(IFERROR(INDEX(Clients!$P$5:$P$204,MATCH(D43,Clients!$A$5:$A$204,0)),"")&lt;&gt;"",INDEX(Clients!$P$5:$P$204,MATCH(D43,Clients!$A$5:$A$204,0)),PaymentTerms)))</f>
        <v>0</v>
      </c>
      <c r="Z43" s="18">
        <f>IF(OR(A43="",B43=""),"",B43+Y43)</f>
        <v>0</v>
      </c>
      <c r="AA43" s="31">
        <f>IF(OR(A43="",Z43=""),"",IF(X43&lt;=0.004,"",MAX(0,TodayDate-Z43-OverdueGrace)))</f>
        <v>0</v>
      </c>
      <c r="AB43" s="39">
        <f>IF(B43="","",IF(X43&lt;=0.004,"Paid",IF(AA43="","Not due yet",IF(AA43=0,"Due now",IF(AA43&lt;=30,"1-30 days",IF(AA43&lt;=60,"31-60 days",IF(AA43&lt;=90,"61-90 days","90+ days")))))))</f>
        <v>0</v>
      </c>
      <c r="AC43" s="21">
        <f>IF(OR(A43="",AA43=""),"",IF(AA43&lt;=0,0,ROUND(X43*LateFeePercent,2)))</f>
        <v>0</v>
      </c>
      <c r="AD43" s="50">
        <f>IF(B43="","",IF(X43&lt;=0.004,"Yes","No"))</f>
        <v>0</v>
      </c>
      <c r="AE43" s="39">
        <f>IF(B43="","",IF(Q43=0,"Add - no lines on this invoice yet",IF(H43="Written off","Written off",IF(AD43="Yes","OK - paid",IF(H43="Draft","Draft - not sent yet",IF(AND(AA43&lt;&gt;"",AA43&gt;30),"Overdue - "&amp;AA43&amp;" days, call them",IF(AND(AA43&lt;&gt;"",AA43&gt;0),"Overdue - send a reminder",IF(W43&gt;0,"Part paid","Due - waiting for payment"))))))))</f>
        <v>0</v>
      </c>
    </row>
    <row r="44" spans="1:31">
      <c r="A44" s="43">
        <f>IF(B44="","",InvoicePrefix&amp;TEXT(ROW()-4,"0000"))</f>
        <v>0</v>
      </c>
      <c r="C44" s="23">
        <f>IF(B44="","",TEXT(B44,"yyyy-mm"))</f>
        <v>0</v>
      </c>
      <c r="E44" s="23">
        <f>IF(D44="","",IFERROR(INDEX(Clients!$B$5:$B$204,MATCH(D44,Clients!$A$5:$A$204,0)),"Not found"))</f>
        <v>0</v>
      </c>
      <c r="F44" s="23">
        <f>IF(D44="","",IFERROR(INDEX(Clients!$G$5:$G$204,MATCH(D44,Clients!$A$5:$A$204,0)),""))</f>
        <v>0</v>
      </c>
      <c r="Q44" s="31">
        <f>IF(A44="","",COUNTIFS('Invoice Lines'!$B$5:$B$804,A44))</f>
        <v>0</v>
      </c>
      <c r="R44" s="21">
        <f>IF(A44="","",SUMIFS('Invoice Lines'!$N$5:$N$804,'Invoice Lines'!$B$5:$B$804,A44))</f>
        <v>0</v>
      </c>
      <c r="S44" s="21">
        <f>IF(A44="","",ROUND(R44*IF(K44="",0,K44),2))</f>
        <v>0</v>
      </c>
      <c r="T44" s="21">
        <f>IF(A44="","",R44-S44)</f>
        <v>0</v>
      </c>
      <c r="U44" s="21">
        <f>IF(A44="","",ROUND(T44*TaxRate,2))</f>
        <v>0</v>
      </c>
      <c r="V44" s="21">
        <f>IF(A44="","",T44+U44)</f>
        <v>0</v>
      </c>
      <c r="W44" s="21">
        <f>IF(A44="","",SUMIFS(Payments!$G$5:$G$404,Payments!$D$5:$D$404,A44))</f>
        <v>0</v>
      </c>
      <c r="X44" s="21">
        <f>IF(A44="","",ROUND(V44-W44,2))</f>
        <v>0</v>
      </c>
      <c r="Y44" s="31">
        <f>IF(B44="","",IF(J44&lt;&gt;"",J44,IF(IFERROR(INDEX(Clients!$P$5:$P$204,MATCH(D44,Clients!$A$5:$A$204,0)),"")&lt;&gt;"",INDEX(Clients!$P$5:$P$204,MATCH(D44,Clients!$A$5:$A$204,0)),PaymentTerms)))</f>
        <v>0</v>
      </c>
      <c r="Z44" s="18">
        <f>IF(OR(A44="",B44=""),"",B44+Y44)</f>
        <v>0</v>
      </c>
      <c r="AA44" s="31">
        <f>IF(OR(A44="",Z44=""),"",IF(X44&lt;=0.004,"",MAX(0,TodayDate-Z44-OverdueGrace)))</f>
        <v>0</v>
      </c>
      <c r="AB44" s="39">
        <f>IF(B44="","",IF(X44&lt;=0.004,"Paid",IF(AA44="","Not due yet",IF(AA44=0,"Due now",IF(AA44&lt;=30,"1-30 days",IF(AA44&lt;=60,"31-60 days",IF(AA44&lt;=90,"61-90 days","90+ days")))))))</f>
        <v>0</v>
      </c>
      <c r="AC44" s="21">
        <f>IF(OR(A44="",AA44=""),"",IF(AA44&lt;=0,0,ROUND(X44*LateFeePercent,2)))</f>
        <v>0</v>
      </c>
      <c r="AD44" s="50">
        <f>IF(B44="","",IF(X44&lt;=0.004,"Yes","No"))</f>
        <v>0</v>
      </c>
      <c r="AE44" s="39">
        <f>IF(B44="","",IF(Q44=0,"Add - no lines on this invoice yet",IF(H44="Written off","Written off",IF(AD44="Yes","OK - paid",IF(H44="Draft","Draft - not sent yet",IF(AND(AA44&lt;&gt;"",AA44&gt;30),"Overdue - "&amp;AA44&amp;" days, call them",IF(AND(AA44&lt;&gt;"",AA44&gt;0),"Overdue - send a reminder",IF(W44&gt;0,"Part paid","Due - waiting for payment"))))))))</f>
        <v>0</v>
      </c>
    </row>
    <row r="45" spans="1:31">
      <c r="A45" s="43">
        <f>IF(B45="","",InvoicePrefix&amp;TEXT(ROW()-4,"0000"))</f>
        <v>0</v>
      </c>
      <c r="C45" s="23">
        <f>IF(B45="","",TEXT(B45,"yyyy-mm"))</f>
        <v>0</v>
      </c>
      <c r="E45" s="23">
        <f>IF(D45="","",IFERROR(INDEX(Clients!$B$5:$B$204,MATCH(D45,Clients!$A$5:$A$204,0)),"Not found"))</f>
        <v>0</v>
      </c>
      <c r="F45" s="23">
        <f>IF(D45="","",IFERROR(INDEX(Clients!$G$5:$G$204,MATCH(D45,Clients!$A$5:$A$204,0)),""))</f>
        <v>0</v>
      </c>
      <c r="Q45" s="31">
        <f>IF(A45="","",COUNTIFS('Invoice Lines'!$B$5:$B$804,A45))</f>
        <v>0</v>
      </c>
      <c r="R45" s="21">
        <f>IF(A45="","",SUMIFS('Invoice Lines'!$N$5:$N$804,'Invoice Lines'!$B$5:$B$804,A45))</f>
        <v>0</v>
      </c>
      <c r="S45" s="21">
        <f>IF(A45="","",ROUND(R45*IF(K45="",0,K45),2))</f>
        <v>0</v>
      </c>
      <c r="T45" s="21">
        <f>IF(A45="","",R45-S45)</f>
        <v>0</v>
      </c>
      <c r="U45" s="21">
        <f>IF(A45="","",ROUND(T45*TaxRate,2))</f>
        <v>0</v>
      </c>
      <c r="V45" s="21">
        <f>IF(A45="","",T45+U45)</f>
        <v>0</v>
      </c>
      <c r="W45" s="21">
        <f>IF(A45="","",SUMIFS(Payments!$G$5:$G$404,Payments!$D$5:$D$404,A45))</f>
        <v>0</v>
      </c>
      <c r="X45" s="21">
        <f>IF(A45="","",ROUND(V45-W45,2))</f>
        <v>0</v>
      </c>
      <c r="Y45" s="31">
        <f>IF(B45="","",IF(J45&lt;&gt;"",J45,IF(IFERROR(INDEX(Clients!$P$5:$P$204,MATCH(D45,Clients!$A$5:$A$204,0)),"")&lt;&gt;"",INDEX(Clients!$P$5:$P$204,MATCH(D45,Clients!$A$5:$A$204,0)),PaymentTerms)))</f>
        <v>0</v>
      </c>
      <c r="Z45" s="18">
        <f>IF(OR(A45="",B45=""),"",B45+Y45)</f>
        <v>0</v>
      </c>
      <c r="AA45" s="31">
        <f>IF(OR(A45="",Z45=""),"",IF(X45&lt;=0.004,"",MAX(0,TodayDate-Z45-OverdueGrace)))</f>
        <v>0</v>
      </c>
      <c r="AB45" s="39">
        <f>IF(B45="","",IF(X45&lt;=0.004,"Paid",IF(AA45="","Not due yet",IF(AA45=0,"Due now",IF(AA45&lt;=30,"1-30 days",IF(AA45&lt;=60,"31-60 days",IF(AA45&lt;=90,"61-90 days","90+ days")))))))</f>
        <v>0</v>
      </c>
      <c r="AC45" s="21">
        <f>IF(OR(A45="",AA45=""),"",IF(AA45&lt;=0,0,ROUND(X45*LateFeePercent,2)))</f>
        <v>0</v>
      </c>
      <c r="AD45" s="50">
        <f>IF(B45="","",IF(X45&lt;=0.004,"Yes","No"))</f>
        <v>0</v>
      </c>
      <c r="AE45" s="39">
        <f>IF(B45="","",IF(Q45=0,"Add - no lines on this invoice yet",IF(H45="Written off","Written off",IF(AD45="Yes","OK - paid",IF(H45="Draft","Draft - not sent yet",IF(AND(AA45&lt;&gt;"",AA45&gt;30),"Overdue - "&amp;AA45&amp;" days, call them",IF(AND(AA45&lt;&gt;"",AA45&gt;0),"Overdue - send a reminder",IF(W45&gt;0,"Part paid","Due - waiting for payment"))))))))</f>
        <v>0</v>
      </c>
    </row>
    <row r="46" spans="1:31">
      <c r="A46" s="43">
        <f>IF(B46="","",InvoicePrefix&amp;TEXT(ROW()-4,"0000"))</f>
        <v>0</v>
      </c>
      <c r="C46" s="23">
        <f>IF(B46="","",TEXT(B46,"yyyy-mm"))</f>
        <v>0</v>
      </c>
      <c r="E46" s="23">
        <f>IF(D46="","",IFERROR(INDEX(Clients!$B$5:$B$204,MATCH(D46,Clients!$A$5:$A$204,0)),"Not found"))</f>
        <v>0</v>
      </c>
      <c r="F46" s="23">
        <f>IF(D46="","",IFERROR(INDEX(Clients!$G$5:$G$204,MATCH(D46,Clients!$A$5:$A$204,0)),""))</f>
        <v>0</v>
      </c>
      <c r="Q46" s="31">
        <f>IF(A46="","",COUNTIFS('Invoice Lines'!$B$5:$B$804,A46))</f>
        <v>0</v>
      </c>
      <c r="R46" s="21">
        <f>IF(A46="","",SUMIFS('Invoice Lines'!$N$5:$N$804,'Invoice Lines'!$B$5:$B$804,A46))</f>
        <v>0</v>
      </c>
      <c r="S46" s="21">
        <f>IF(A46="","",ROUND(R46*IF(K46="",0,K46),2))</f>
        <v>0</v>
      </c>
      <c r="T46" s="21">
        <f>IF(A46="","",R46-S46)</f>
        <v>0</v>
      </c>
      <c r="U46" s="21">
        <f>IF(A46="","",ROUND(T46*TaxRate,2))</f>
        <v>0</v>
      </c>
      <c r="V46" s="21">
        <f>IF(A46="","",T46+U46)</f>
        <v>0</v>
      </c>
      <c r="W46" s="21">
        <f>IF(A46="","",SUMIFS(Payments!$G$5:$G$404,Payments!$D$5:$D$404,A46))</f>
        <v>0</v>
      </c>
      <c r="X46" s="21">
        <f>IF(A46="","",ROUND(V46-W46,2))</f>
        <v>0</v>
      </c>
      <c r="Y46" s="31">
        <f>IF(B46="","",IF(J46&lt;&gt;"",J46,IF(IFERROR(INDEX(Clients!$P$5:$P$204,MATCH(D46,Clients!$A$5:$A$204,0)),"")&lt;&gt;"",INDEX(Clients!$P$5:$P$204,MATCH(D46,Clients!$A$5:$A$204,0)),PaymentTerms)))</f>
        <v>0</v>
      </c>
      <c r="Z46" s="18">
        <f>IF(OR(A46="",B46=""),"",B46+Y46)</f>
        <v>0</v>
      </c>
      <c r="AA46" s="31">
        <f>IF(OR(A46="",Z46=""),"",IF(X46&lt;=0.004,"",MAX(0,TodayDate-Z46-OverdueGrace)))</f>
        <v>0</v>
      </c>
      <c r="AB46" s="39">
        <f>IF(B46="","",IF(X46&lt;=0.004,"Paid",IF(AA46="","Not due yet",IF(AA46=0,"Due now",IF(AA46&lt;=30,"1-30 days",IF(AA46&lt;=60,"31-60 days",IF(AA46&lt;=90,"61-90 days","90+ days")))))))</f>
        <v>0</v>
      </c>
      <c r="AC46" s="21">
        <f>IF(OR(A46="",AA46=""),"",IF(AA46&lt;=0,0,ROUND(X46*LateFeePercent,2)))</f>
        <v>0</v>
      </c>
      <c r="AD46" s="50">
        <f>IF(B46="","",IF(X46&lt;=0.004,"Yes","No"))</f>
        <v>0</v>
      </c>
      <c r="AE46" s="39">
        <f>IF(B46="","",IF(Q46=0,"Add - no lines on this invoice yet",IF(H46="Written off","Written off",IF(AD46="Yes","OK - paid",IF(H46="Draft","Draft - not sent yet",IF(AND(AA46&lt;&gt;"",AA46&gt;30),"Overdue - "&amp;AA46&amp;" days, call them",IF(AND(AA46&lt;&gt;"",AA46&gt;0),"Overdue - send a reminder",IF(W46&gt;0,"Part paid","Due - waiting for payment"))))))))</f>
        <v>0</v>
      </c>
    </row>
    <row r="47" spans="1:31">
      <c r="A47" s="43">
        <f>IF(B47="","",InvoicePrefix&amp;TEXT(ROW()-4,"0000"))</f>
        <v>0</v>
      </c>
      <c r="C47" s="23">
        <f>IF(B47="","",TEXT(B47,"yyyy-mm"))</f>
        <v>0</v>
      </c>
      <c r="E47" s="23">
        <f>IF(D47="","",IFERROR(INDEX(Clients!$B$5:$B$204,MATCH(D47,Clients!$A$5:$A$204,0)),"Not found"))</f>
        <v>0</v>
      </c>
      <c r="F47" s="23">
        <f>IF(D47="","",IFERROR(INDEX(Clients!$G$5:$G$204,MATCH(D47,Clients!$A$5:$A$204,0)),""))</f>
        <v>0</v>
      </c>
      <c r="Q47" s="31">
        <f>IF(A47="","",COUNTIFS('Invoice Lines'!$B$5:$B$804,A47))</f>
        <v>0</v>
      </c>
      <c r="R47" s="21">
        <f>IF(A47="","",SUMIFS('Invoice Lines'!$N$5:$N$804,'Invoice Lines'!$B$5:$B$804,A47))</f>
        <v>0</v>
      </c>
      <c r="S47" s="21">
        <f>IF(A47="","",ROUND(R47*IF(K47="",0,K47),2))</f>
        <v>0</v>
      </c>
      <c r="T47" s="21">
        <f>IF(A47="","",R47-S47)</f>
        <v>0</v>
      </c>
      <c r="U47" s="21">
        <f>IF(A47="","",ROUND(T47*TaxRate,2))</f>
        <v>0</v>
      </c>
      <c r="V47" s="21">
        <f>IF(A47="","",T47+U47)</f>
        <v>0</v>
      </c>
      <c r="W47" s="21">
        <f>IF(A47="","",SUMIFS(Payments!$G$5:$G$404,Payments!$D$5:$D$404,A47))</f>
        <v>0</v>
      </c>
      <c r="X47" s="21">
        <f>IF(A47="","",ROUND(V47-W47,2))</f>
        <v>0</v>
      </c>
      <c r="Y47" s="31">
        <f>IF(B47="","",IF(J47&lt;&gt;"",J47,IF(IFERROR(INDEX(Clients!$P$5:$P$204,MATCH(D47,Clients!$A$5:$A$204,0)),"")&lt;&gt;"",INDEX(Clients!$P$5:$P$204,MATCH(D47,Clients!$A$5:$A$204,0)),PaymentTerms)))</f>
        <v>0</v>
      </c>
      <c r="Z47" s="18">
        <f>IF(OR(A47="",B47=""),"",B47+Y47)</f>
        <v>0</v>
      </c>
      <c r="AA47" s="31">
        <f>IF(OR(A47="",Z47=""),"",IF(X47&lt;=0.004,"",MAX(0,TodayDate-Z47-OverdueGrace)))</f>
        <v>0</v>
      </c>
      <c r="AB47" s="39">
        <f>IF(B47="","",IF(X47&lt;=0.004,"Paid",IF(AA47="","Not due yet",IF(AA47=0,"Due now",IF(AA47&lt;=30,"1-30 days",IF(AA47&lt;=60,"31-60 days",IF(AA47&lt;=90,"61-90 days","90+ days")))))))</f>
        <v>0</v>
      </c>
      <c r="AC47" s="21">
        <f>IF(OR(A47="",AA47=""),"",IF(AA47&lt;=0,0,ROUND(X47*LateFeePercent,2)))</f>
        <v>0</v>
      </c>
      <c r="AD47" s="50">
        <f>IF(B47="","",IF(X47&lt;=0.004,"Yes","No"))</f>
        <v>0</v>
      </c>
      <c r="AE47" s="39">
        <f>IF(B47="","",IF(Q47=0,"Add - no lines on this invoice yet",IF(H47="Written off","Written off",IF(AD47="Yes","OK - paid",IF(H47="Draft","Draft - not sent yet",IF(AND(AA47&lt;&gt;"",AA47&gt;30),"Overdue - "&amp;AA47&amp;" days, call them",IF(AND(AA47&lt;&gt;"",AA47&gt;0),"Overdue - send a reminder",IF(W47&gt;0,"Part paid","Due - waiting for payment"))))))))</f>
        <v>0</v>
      </c>
    </row>
    <row r="48" spans="1:31">
      <c r="A48" s="43">
        <f>IF(B48="","",InvoicePrefix&amp;TEXT(ROW()-4,"0000"))</f>
        <v>0</v>
      </c>
      <c r="C48" s="23">
        <f>IF(B48="","",TEXT(B48,"yyyy-mm"))</f>
        <v>0</v>
      </c>
      <c r="E48" s="23">
        <f>IF(D48="","",IFERROR(INDEX(Clients!$B$5:$B$204,MATCH(D48,Clients!$A$5:$A$204,0)),"Not found"))</f>
        <v>0</v>
      </c>
      <c r="F48" s="23">
        <f>IF(D48="","",IFERROR(INDEX(Clients!$G$5:$G$204,MATCH(D48,Clients!$A$5:$A$204,0)),""))</f>
        <v>0</v>
      </c>
      <c r="Q48" s="31">
        <f>IF(A48="","",COUNTIFS('Invoice Lines'!$B$5:$B$804,A48))</f>
        <v>0</v>
      </c>
      <c r="R48" s="21">
        <f>IF(A48="","",SUMIFS('Invoice Lines'!$N$5:$N$804,'Invoice Lines'!$B$5:$B$804,A48))</f>
        <v>0</v>
      </c>
      <c r="S48" s="21">
        <f>IF(A48="","",ROUND(R48*IF(K48="",0,K48),2))</f>
        <v>0</v>
      </c>
      <c r="T48" s="21">
        <f>IF(A48="","",R48-S48)</f>
        <v>0</v>
      </c>
      <c r="U48" s="21">
        <f>IF(A48="","",ROUND(T48*TaxRate,2))</f>
        <v>0</v>
      </c>
      <c r="V48" s="21">
        <f>IF(A48="","",T48+U48)</f>
        <v>0</v>
      </c>
      <c r="W48" s="21">
        <f>IF(A48="","",SUMIFS(Payments!$G$5:$G$404,Payments!$D$5:$D$404,A48))</f>
        <v>0</v>
      </c>
      <c r="X48" s="21">
        <f>IF(A48="","",ROUND(V48-W48,2))</f>
        <v>0</v>
      </c>
      <c r="Y48" s="31">
        <f>IF(B48="","",IF(J48&lt;&gt;"",J48,IF(IFERROR(INDEX(Clients!$P$5:$P$204,MATCH(D48,Clients!$A$5:$A$204,0)),"")&lt;&gt;"",INDEX(Clients!$P$5:$P$204,MATCH(D48,Clients!$A$5:$A$204,0)),PaymentTerms)))</f>
        <v>0</v>
      </c>
      <c r="Z48" s="18">
        <f>IF(OR(A48="",B48=""),"",B48+Y48)</f>
        <v>0</v>
      </c>
      <c r="AA48" s="31">
        <f>IF(OR(A48="",Z48=""),"",IF(X48&lt;=0.004,"",MAX(0,TodayDate-Z48-OverdueGrace)))</f>
        <v>0</v>
      </c>
      <c r="AB48" s="39">
        <f>IF(B48="","",IF(X48&lt;=0.004,"Paid",IF(AA48="","Not due yet",IF(AA48=0,"Due now",IF(AA48&lt;=30,"1-30 days",IF(AA48&lt;=60,"31-60 days",IF(AA48&lt;=90,"61-90 days","90+ days")))))))</f>
        <v>0</v>
      </c>
      <c r="AC48" s="21">
        <f>IF(OR(A48="",AA48=""),"",IF(AA48&lt;=0,0,ROUND(X48*LateFeePercent,2)))</f>
        <v>0</v>
      </c>
      <c r="AD48" s="50">
        <f>IF(B48="","",IF(X48&lt;=0.004,"Yes","No"))</f>
        <v>0</v>
      </c>
      <c r="AE48" s="39">
        <f>IF(B48="","",IF(Q48=0,"Add - no lines on this invoice yet",IF(H48="Written off","Written off",IF(AD48="Yes","OK - paid",IF(H48="Draft","Draft - not sent yet",IF(AND(AA48&lt;&gt;"",AA48&gt;30),"Overdue - "&amp;AA48&amp;" days, call them",IF(AND(AA48&lt;&gt;"",AA48&gt;0),"Overdue - send a reminder",IF(W48&gt;0,"Part paid","Due - waiting for payment"))))))))</f>
        <v>0</v>
      </c>
    </row>
    <row r="49" spans="1:31">
      <c r="A49" s="43">
        <f>IF(B49="","",InvoicePrefix&amp;TEXT(ROW()-4,"0000"))</f>
        <v>0</v>
      </c>
      <c r="C49" s="23">
        <f>IF(B49="","",TEXT(B49,"yyyy-mm"))</f>
        <v>0</v>
      </c>
      <c r="E49" s="23">
        <f>IF(D49="","",IFERROR(INDEX(Clients!$B$5:$B$204,MATCH(D49,Clients!$A$5:$A$204,0)),"Not found"))</f>
        <v>0</v>
      </c>
      <c r="F49" s="23">
        <f>IF(D49="","",IFERROR(INDEX(Clients!$G$5:$G$204,MATCH(D49,Clients!$A$5:$A$204,0)),""))</f>
        <v>0</v>
      </c>
      <c r="Q49" s="31">
        <f>IF(A49="","",COUNTIFS('Invoice Lines'!$B$5:$B$804,A49))</f>
        <v>0</v>
      </c>
      <c r="R49" s="21">
        <f>IF(A49="","",SUMIFS('Invoice Lines'!$N$5:$N$804,'Invoice Lines'!$B$5:$B$804,A49))</f>
        <v>0</v>
      </c>
      <c r="S49" s="21">
        <f>IF(A49="","",ROUND(R49*IF(K49="",0,K49),2))</f>
        <v>0</v>
      </c>
      <c r="T49" s="21">
        <f>IF(A49="","",R49-S49)</f>
        <v>0</v>
      </c>
      <c r="U49" s="21">
        <f>IF(A49="","",ROUND(T49*TaxRate,2))</f>
        <v>0</v>
      </c>
      <c r="V49" s="21">
        <f>IF(A49="","",T49+U49)</f>
        <v>0</v>
      </c>
      <c r="W49" s="21">
        <f>IF(A49="","",SUMIFS(Payments!$G$5:$G$404,Payments!$D$5:$D$404,A49))</f>
        <v>0</v>
      </c>
      <c r="X49" s="21">
        <f>IF(A49="","",ROUND(V49-W49,2))</f>
        <v>0</v>
      </c>
      <c r="Y49" s="31">
        <f>IF(B49="","",IF(J49&lt;&gt;"",J49,IF(IFERROR(INDEX(Clients!$P$5:$P$204,MATCH(D49,Clients!$A$5:$A$204,0)),"")&lt;&gt;"",INDEX(Clients!$P$5:$P$204,MATCH(D49,Clients!$A$5:$A$204,0)),PaymentTerms)))</f>
        <v>0</v>
      </c>
      <c r="Z49" s="18">
        <f>IF(OR(A49="",B49=""),"",B49+Y49)</f>
        <v>0</v>
      </c>
      <c r="AA49" s="31">
        <f>IF(OR(A49="",Z49=""),"",IF(X49&lt;=0.004,"",MAX(0,TodayDate-Z49-OverdueGrace)))</f>
        <v>0</v>
      </c>
      <c r="AB49" s="39">
        <f>IF(B49="","",IF(X49&lt;=0.004,"Paid",IF(AA49="","Not due yet",IF(AA49=0,"Due now",IF(AA49&lt;=30,"1-30 days",IF(AA49&lt;=60,"31-60 days",IF(AA49&lt;=90,"61-90 days","90+ days")))))))</f>
        <v>0</v>
      </c>
      <c r="AC49" s="21">
        <f>IF(OR(A49="",AA49=""),"",IF(AA49&lt;=0,0,ROUND(X49*LateFeePercent,2)))</f>
        <v>0</v>
      </c>
      <c r="AD49" s="50">
        <f>IF(B49="","",IF(X49&lt;=0.004,"Yes","No"))</f>
        <v>0</v>
      </c>
      <c r="AE49" s="39">
        <f>IF(B49="","",IF(Q49=0,"Add - no lines on this invoice yet",IF(H49="Written off","Written off",IF(AD49="Yes","OK - paid",IF(H49="Draft","Draft - not sent yet",IF(AND(AA49&lt;&gt;"",AA49&gt;30),"Overdue - "&amp;AA49&amp;" days, call them",IF(AND(AA49&lt;&gt;"",AA49&gt;0),"Overdue - send a reminder",IF(W49&gt;0,"Part paid","Due - waiting for payment"))))))))</f>
        <v>0</v>
      </c>
    </row>
    <row r="50" spans="1:31">
      <c r="A50" s="43">
        <f>IF(B50="","",InvoicePrefix&amp;TEXT(ROW()-4,"0000"))</f>
        <v>0</v>
      </c>
      <c r="C50" s="23">
        <f>IF(B50="","",TEXT(B50,"yyyy-mm"))</f>
        <v>0</v>
      </c>
      <c r="E50" s="23">
        <f>IF(D50="","",IFERROR(INDEX(Clients!$B$5:$B$204,MATCH(D50,Clients!$A$5:$A$204,0)),"Not found"))</f>
        <v>0</v>
      </c>
      <c r="F50" s="23">
        <f>IF(D50="","",IFERROR(INDEX(Clients!$G$5:$G$204,MATCH(D50,Clients!$A$5:$A$204,0)),""))</f>
        <v>0</v>
      </c>
      <c r="Q50" s="31">
        <f>IF(A50="","",COUNTIFS('Invoice Lines'!$B$5:$B$804,A50))</f>
        <v>0</v>
      </c>
      <c r="R50" s="21">
        <f>IF(A50="","",SUMIFS('Invoice Lines'!$N$5:$N$804,'Invoice Lines'!$B$5:$B$804,A50))</f>
        <v>0</v>
      </c>
      <c r="S50" s="21">
        <f>IF(A50="","",ROUND(R50*IF(K50="",0,K50),2))</f>
        <v>0</v>
      </c>
      <c r="T50" s="21">
        <f>IF(A50="","",R50-S50)</f>
        <v>0</v>
      </c>
      <c r="U50" s="21">
        <f>IF(A50="","",ROUND(T50*TaxRate,2))</f>
        <v>0</v>
      </c>
      <c r="V50" s="21">
        <f>IF(A50="","",T50+U50)</f>
        <v>0</v>
      </c>
      <c r="W50" s="21">
        <f>IF(A50="","",SUMIFS(Payments!$G$5:$G$404,Payments!$D$5:$D$404,A50))</f>
        <v>0</v>
      </c>
      <c r="X50" s="21">
        <f>IF(A50="","",ROUND(V50-W50,2))</f>
        <v>0</v>
      </c>
      <c r="Y50" s="31">
        <f>IF(B50="","",IF(J50&lt;&gt;"",J50,IF(IFERROR(INDEX(Clients!$P$5:$P$204,MATCH(D50,Clients!$A$5:$A$204,0)),"")&lt;&gt;"",INDEX(Clients!$P$5:$P$204,MATCH(D50,Clients!$A$5:$A$204,0)),PaymentTerms)))</f>
        <v>0</v>
      </c>
      <c r="Z50" s="18">
        <f>IF(OR(A50="",B50=""),"",B50+Y50)</f>
        <v>0</v>
      </c>
      <c r="AA50" s="31">
        <f>IF(OR(A50="",Z50=""),"",IF(X50&lt;=0.004,"",MAX(0,TodayDate-Z50-OverdueGrace)))</f>
        <v>0</v>
      </c>
      <c r="AB50" s="39">
        <f>IF(B50="","",IF(X50&lt;=0.004,"Paid",IF(AA50="","Not due yet",IF(AA50=0,"Due now",IF(AA50&lt;=30,"1-30 days",IF(AA50&lt;=60,"31-60 days",IF(AA50&lt;=90,"61-90 days","90+ days")))))))</f>
        <v>0</v>
      </c>
      <c r="AC50" s="21">
        <f>IF(OR(A50="",AA50=""),"",IF(AA50&lt;=0,0,ROUND(X50*LateFeePercent,2)))</f>
        <v>0</v>
      </c>
      <c r="AD50" s="50">
        <f>IF(B50="","",IF(X50&lt;=0.004,"Yes","No"))</f>
        <v>0</v>
      </c>
      <c r="AE50" s="39">
        <f>IF(B50="","",IF(Q50=0,"Add - no lines on this invoice yet",IF(H50="Written off","Written off",IF(AD50="Yes","OK - paid",IF(H50="Draft","Draft - not sent yet",IF(AND(AA50&lt;&gt;"",AA50&gt;30),"Overdue - "&amp;AA50&amp;" days, call them",IF(AND(AA50&lt;&gt;"",AA50&gt;0),"Overdue - send a reminder",IF(W50&gt;0,"Part paid","Due - waiting for payment"))))))))</f>
        <v>0</v>
      </c>
    </row>
    <row r="51" spans="1:31">
      <c r="A51" s="43">
        <f>IF(B51="","",InvoicePrefix&amp;TEXT(ROW()-4,"0000"))</f>
        <v>0</v>
      </c>
      <c r="C51" s="23">
        <f>IF(B51="","",TEXT(B51,"yyyy-mm"))</f>
        <v>0</v>
      </c>
      <c r="E51" s="23">
        <f>IF(D51="","",IFERROR(INDEX(Clients!$B$5:$B$204,MATCH(D51,Clients!$A$5:$A$204,0)),"Not found"))</f>
        <v>0</v>
      </c>
      <c r="F51" s="23">
        <f>IF(D51="","",IFERROR(INDEX(Clients!$G$5:$G$204,MATCH(D51,Clients!$A$5:$A$204,0)),""))</f>
        <v>0</v>
      </c>
      <c r="Q51" s="31">
        <f>IF(A51="","",COUNTIFS('Invoice Lines'!$B$5:$B$804,A51))</f>
        <v>0</v>
      </c>
      <c r="R51" s="21">
        <f>IF(A51="","",SUMIFS('Invoice Lines'!$N$5:$N$804,'Invoice Lines'!$B$5:$B$804,A51))</f>
        <v>0</v>
      </c>
      <c r="S51" s="21">
        <f>IF(A51="","",ROUND(R51*IF(K51="",0,K51),2))</f>
        <v>0</v>
      </c>
      <c r="T51" s="21">
        <f>IF(A51="","",R51-S51)</f>
        <v>0</v>
      </c>
      <c r="U51" s="21">
        <f>IF(A51="","",ROUND(T51*TaxRate,2))</f>
        <v>0</v>
      </c>
      <c r="V51" s="21">
        <f>IF(A51="","",T51+U51)</f>
        <v>0</v>
      </c>
      <c r="W51" s="21">
        <f>IF(A51="","",SUMIFS(Payments!$G$5:$G$404,Payments!$D$5:$D$404,A51))</f>
        <v>0</v>
      </c>
      <c r="X51" s="21">
        <f>IF(A51="","",ROUND(V51-W51,2))</f>
        <v>0</v>
      </c>
      <c r="Y51" s="31">
        <f>IF(B51="","",IF(J51&lt;&gt;"",J51,IF(IFERROR(INDEX(Clients!$P$5:$P$204,MATCH(D51,Clients!$A$5:$A$204,0)),"")&lt;&gt;"",INDEX(Clients!$P$5:$P$204,MATCH(D51,Clients!$A$5:$A$204,0)),PaymentTerms)))</f>
        <v>0</v>
      </c>
      <c r="Z51" s="18">
        <f>IF(OR(A51="",B51=""),"",B51+Y51)</f>
        <v>0</v>
      </c>
      <c r="AA51" s="31">
        <f>IF(OR(A51="",Z51=""),"",IF(X51&lt;=0.004,"",MAX(0,TodayDate-Z51-OverdueGrace)))</f>
        <v>0</v>
      </c>
      <c r="AB51" s="39">
        <f>IF(B51="","",IF(X51&lt;=0.004,"Paid",IF(AA51="","Not due yet",IF(AA51=0,"Due now",IF(AA51&lt;=30,"1-30 days",IF(AA51&lt;=60,"31-60 days",IF(AA51&lt;=90,"61-90 days","90+ days")))))))</f>
        <v>0</v>
      </c>
      <c r="AC51" s="21">
        <f>IF(OR(A51="",AA51=""),"",IF(AA51&lt;=0,0,ROUND(X51*LateFeePercent,2)))</f>
        <v>0</v>
      </c>
      <c r="AD51" s="50">
        <f>IF(B51="","",IF(X51&lt;=0.004,"Yes","No"))</f>
        <v>0</v>
      </c>
      <c r="AE51" s="39">
        <f>IF(B51="","",IF(Q51=0,"Add - no lines on this invoice yet",IF(H51="Written off","Written off",IF(AD51="Yes","OK - paid",IF(H51="Draft","Draft - not sent yet",IF(AND(AA51&lt;&gt;"",AA51&gt;30),"Overdue - "&amp;AA51&amp;" days, call them",IF(AND(AA51&lt;&gt;"",AA51&gt;0),"Overdue - send a reminder",IF(W51&gt;0,"Part paid","Due - waiting for payment"))))))))</f>
        <v>0</v>
      </c>
    </row>
    <row r="52" spans="1:31">
      <c r="A52" s="43">
        <f>IF(B52="","",InvoicePrefix&amp;TEXT(ROW()-4,"0000"))</f>
        <v>0</v>
      </c>
      <c r="C52" s="23">
        <f>IF(B52="","",TEXT(B52,"yyyy-mm"))</f>
        <v>0</v>
      </c>
      <c r="E52" s="23">
        <f>IF(D52="","",IFERROR(INDEX(Clients!$B$5:$B$204,MATCH(D52,Clients!$A$5:$A$204,0)),"Not found"))</f>
        <v>0</v>
      </c>
      <c r="F52" s="23">
        <f>IF(D52="","",IFERROR(INDEX(Clients!$G$5:$G$204,MATCH(D52,Clients!$A$5:$A$204,0)),""))</f>
        <v>0</v>
      </c>
      <c r="Q52" s="31">
        <f>IF(A52="","",COUNTIFS('Invoice Lines'!$B$5:$B$804,A52))</f>
        <v>0</v>
      </c>
      <c r="R52" s="21">
        <f>IF(A52="","",SUMIFS('Invoice Lines'!$N$5:$N$804,'Invoice Lines'!$B$5:$B$804,A52))</f>
        <v>0</v>
      </c>
      <c r="S52" s="21">
        <f>IF(A52="","",ROUND(R52*IF(K52="",0,K52),2))</f>
        <v>0</v>
      </c>
      <c r="T52" s="21">
        <f>IF(A52="","",R52-S52)</f>
        <v>0</v>
      </c>
      <c r="U52" s="21">
        <f>IF(A52="","",ROUND(T52*TaxRate,2))</f>
        <v>0</v>
      </c>
      <c r="V52" s="21">
        <f>IF(A52="","",T52+U52)</f>
        <v>0</v>
      </c>
      <c r="W52" s="21">
        <f>IF(A52="","",SUMIFS(Payments!$G$5:$G$404,Payments!$D$5:$D$404,A52))</f>
        <v>0</v>
      </c>
      <c r="X52" s="21">
        <f>IF(A52="","",ROUND(V52-W52,2))</f>
        <v>0</v>
      </c>
      <c r="Y52" s="31">
        <f>IF(B52="","",IF(J52&lt;&gt;"",J52,IF(IFERROR(INDEX(Clients!$P$5:$P$204,MATCH(D52,Clients!$A$5:$A$204,0)),"")&lt;&gt;"",INDEX(Clients!$P$5:$P$204,MATCH(D52,Clients!$A$5:$A$204,0)),PaymentTerms)))</f>
        <v>0</v>
      </c>
      <c r="Z52" s="18">
        <f>IF(OR(A52="",B52=""),"",B52+Y52)</f>
        <v>0</v>
      </c>
      <c r="AA52" s="31">
        <f>IF(OR(A52="",Z52=""),"",IF(X52&lt;=0.004,"",MAX(0,TodayDate-Z52-OverdueGrace)))</f>
        <v>0</v>
      </c>
      <c r="AB52" s="39">
        <f>IF(B52="","",IF(X52&lt;=0.004,"Paid",IF(AA52="","Not due yet",IF(AA52=0,"Due now",IF(AA52&lt;=30,"1-30 days",IF(AA52&lt;=60,"31-60 days",IF(AA52&lt;=90,"61-90 days","90+ days")))))))</f>
        <v>0</v>
      </c>
      <c r="AC52" s="21">
        <f>IF(OR(A52="",AA52=""),"",IF(AA52&lt;=0,0,ROUND(X52*LateFeePercent,2)))</f>
        <v>0</v>
      </c>
      <c r="AD52" s="50">
        <f>IF(B52="","",IF(X52&lt;=0.004,"Yes","No"))</f>
        <v>0</v>
      </c>
      <c r="AE52" s="39">
        <f>IF(B52="","",IF(Q52=0,"Add - no lines on this invoice yet",IF(H52="Written off","Written off",IF(AD52="Yes","OK - paid",IF(H52="Draft","Draft - not sent yet",IF(AND(AA52&lt;&gt;"",AA52&gt;30),"Overdue - "&amp;AA52&amp;" days, call them",IF(AND(AA52&lt;&gt;"",AA52&gt;0),"Overdue - send a reminder",IF(W52&gt;0,"Part paid","Due - waiting for payment"))))))))</f>
        <v>0</v>
      </c>
    </row>
    <row r="53" spans="1:31">
      <c r="A53" s="43">
        <f>IF(B53="","",InvoicePrefix&amp;TEXT(ROW()-4,"0000"))</f>
        <v>0</v>
      </c>
      <c r="C53" s="23">
        <f>IF(B53="","",TEXT(B53,"yyyy-mm"))</f>
        <v>0</v>
      </c>
      <c r="E53" s="23">
        <f>IF(D53="","",IFERROR(INDEX(Clients!$B$5:$B$204,MATCH(D53,Clients!$A$5:$A$204,0)),"Not found"))</f>
        <v>0</v>
      </c>
      <c r="F53" s="23">
        <f>IF(D53="","",IFERROR(INDEX(Clients!$G$5:$G$204,MATCH(D53,Clients!$A$5:$A$204,0)),""))</f>
        <v>0</v>
      </c>
      <c r="Q53" s="31">
        <f>IF(A53="","",COUNTIFS('Invoice Lines'!$B$5:$B$804,A53))</f>
        <v>0</v>
      </c>
      <c r="R53" s="21">
        <f>IF(A53="","",SUMIFS('Invoice Lines'!$N$5:$N$804,'Invoice Lines'!$B$5:$B$804,A53))</f>
        <v>0</v>
      </c>
      <c r="S53" s="21">
        <f>IF(A53="","",ROUND(R53*IF(K53="",0,K53),2))</f>
        <v>0</v>
      </c>
      <c r="T53" s="21">
        <f>IF(A53="","",R53-S53)</f>
        <v>0</v>
      </c>
      <c r="U53" s="21">
        <f>IF(A53="","",ROUND(T53*TaxRate,2))</f>
        <v>0</v>
      </c>
      <c r="V53" s="21">
        <f>IF(A53="","",T53+U53)</f>
        <v>0</v>
      </c>
      <c r="W53" s="21">
        <f>IF(A53="","",SUMIFS(Payments!$G$5:$G$404,Payments!$D$5:$D$404,A53))</f>
        <v>0</v>
      </c>
      <c r="X53" s="21">
        <f>IF(A53="","",ROUND(V53-W53,2))</f>
        <v>0</v>
      </c>
      <c r="Y53" s="31">
        <f>IF(B53="","",IF(J53&lt;&gt;"",J53,IF(IFERROR(INDEX(Clients!$P$5:$P$204,MATCH(D53,Clients!$A$5:$A$204,0)),"")&lt;&gt;"",INDEX(Clients!$P$5:$P$204,MATCH(D53,Clients!$A$5:$A$204,0)),PaymentTerms)))</f>
        <v>0</v>
      </c>
      <c r="Z53" s="18">
        <f>IF(OR(A53="",B53=""),"",B53+Y53)</f>
        <v>0</v>
      </c>
      <c r="AA53" s="31">
        <f>IF(OR(A53="",Z53=""),"",IF(X53&lt;=0.004,"",MAX(0,TodayDate-Z53-OverdueGrace)))</f>
        <v>0</v>
      </c>
      <c r="AB53" s="39">
        <f>IF(B53="","",IF(X53&lt;=0.004,"Paid",IF(AA53="","Not due yet",IF(AA53=0,"Due now",IF(AA53&lt;=30,"1-30 days",IF(AA53&lt;=60,"31-60 days",IF(AA53&lt;=90,"61-90 days","90+ days")))))))</f>
        <v>0</v>
      </c>
      <c r="AC53" s="21">
        <f>IF(OR(A53="",AA53=""),"",IF(AA53&lt;=0,0,ROUND(X53*LateFeePercent,2)))</f>
        <v>0</v>
      </c>
      <c r="AD53" s="50">
        <f>IF(B53="","",IF(X53&lt;=0.004,"Yes","No"))</f>
        <v>0</v>
      </c>
      <c r="AE53" s="39">
        <f>IF(B53="","",IF(Q53=0,"Add - no lines on this invoice yet",IF(H53="Written off","Written off",IF(AD53="Yes","OK - paid",IF(H53="Draft","Draft - not sent yet",IF(AND(AA53&lt;&gt;"",AA53&gt;30),"Overdue - "&amp;AA53&amp;" days, call them",IF(AND(AA53&lt;&gt;"",AA53&gt;0),"Overdue - send a reminder",IF(W53&gt;0,"Part paid","Due - waiting for payment"))))))))</f>
        <v>0</v>
      </c>
    </row>
    <row r="54" spans="1:31">
      <c r="A54" s="43">
        <f>IF(B54="","",InvoicePrefix&amp;TEXT(ROW()-4,"0000"))</f>
        <v>0</v>
      </c>
      <c r="C54" s="23">
        <f>IF(B54="","",TEXT(B54,"yyyy-mm"))</f>
        <v>0</v>
      </c>
      <c r="E54" s="23">
        <f>IF(D54="","",IFERROR(INDEX(Clients!$B$5:$B$204,MATCH(D54,Clients!$A$5:$A$204,0)),"Not found"))</f>
        <v>0</v>
      </c>
      <c r="F54" s="23">
        <f>IF(D54="","",IFERROR(INDEX(Clients!$G$5:$G$204,MATCH(D54,Clients!$A$5:$A$204,0)),""))</f>
        <v>0</v>
      </c>
      <c r="Q54" s="31">
        <f>IF(A54="","",COUNTIFS('Invoice Lines'!$B$5:$B$804,A54))</f>
        <v>0</v>
      </c>
      <c r="R54" s="21">
        <f>IF(A54="","",SUMIFS('Invoice Lines'!$N$5:$N$804,'Invoice Lines'!$B$5:$B$804,A54))</f>
        <v>0</v>
      </c>
      <c r="S54" s="21">
        <f>IF(A54="","",ROUND(R54*IF(K54="",0,K54),2))</f>
        <v>0</v>
      </c>
      <c r="T54" s="21">
        <f>IF(A54="","",R54-S54)</f>
        <v>0</v>
      </c>
      <c r="U54" s="21">
        <f>IF(A54="","",ROUND(T54*TaxRate,2))</f>
        <v>0</v>
      </c>
      <c r="V54" s="21">
        <f>IF(A54="","",T54+U54)</f>
        <v>0</v>
      </c>
      <c r="W54" s="21">
        <f>IF(A54="","",SUMIFS(Payments!$G$5:$G$404,Payments!$D$5:$D$404,A54))</f>
        <v>0</v>
      </c>
      <c r="X54" s="21">
        <f>IF(A54="","",ROUND(V54-W54,2))</f>
        <v>0</v>
      </c>
      <c r="Y54" s="31">
        <f>IF(B54="","",IF(J54&lt;&gt;"",J54,IF(IFERROR(INDEX(Clients!$P$5:$P$204,MATCH(D54,Clients!$A$5:$A$204,0)),"")&lt;&gt;"",INDEX(Clients!$P$5:$P$204,MATCH(D54,Clients!$A$5:$A$204,0)),PaymentTerms)))</f>
        <v>0</v>
      </c>
      <c r="Z54" s="18">
        <f>IF(OR(A54="",B54=""),"",B54+Y54)</f>
        <v>0</v>
      </c>
      <c r="AA54" s="31">
        <f>IF(OR(A54="",Z54=""),"",IF(X54&lt;=0.004,"",MAX(0,TodayDate-Z54-OverdueGrace)))</f>
        <v>0</v>
      </c>
      <c r="AB54" s="39">
        <f>IF(B54="","",IF(X54&lt;=0.004,"Paid",IF(AA54="","Not due yet",IF(AA54=0,"Due now",IF(AA54&lt;=30,"1-30 days",IF(AA54&lt;=60,"31-60 days",IF(AA54&lt;=90,"61-90 days","90+ days")))))))</f>
        <v>0</v>
      </c>
      <c r="AC54" s="21">
        <f>IF(OR(A54="",AA54=""),"",IF(AA54&lt;=0,0,ROUND(X54*LateFeePercent,2)))</f>
        <v>0</v>
      </c>
      <c r="AD54" s="50">
        <f>IF(B54="","",IF(X54&lt;=0.004,"Yes","No"))</f>
        <v>0</v>
      </c>
      <c r="AE54" s="39">
        <f>IF(B54="","",IF(Q54=0,"Add - no lines on this invoice yet",IF(H54="Written off","Written off",IF(AD54="Yes","OK - paid",IF(H54="Draft","Draft - not sent yet",IF(AND(AA54&lt;&gt;"",AA54&gt;30),"Overdue - "&amp;AA54&amp;" days, call them",IF(AND(AA54&lt;&gt;"",AA54&gt;0),"Overdue - send a reminder",IF(W54&gt;0,"Part paid","Due - waiting for payment"))))))))</f>
        <v>0</v>
      </c>
    </row>
    <row r="55" spans="1:31">
      <c r="A55" s="43">
        <f>IF(B55="","",InvoicePrefix&amp;TEXT(ROW()-4,"0000"))</f>
        <v>0</v>
      </c>
      <c r="C55" s="23">
        <f>IF(B55="","",TEXT(B55,"yyyy-mm"))</f>
        <v>0</v>
      </c>
      <c r="E55" s="23">
        <f>IF(D55="","",IFERROR(INDEX(Clients!$B$5:$B$204,MATCH(D55,Clients!$A$5:$A$204,0)),"Not found"))</f>
        <v>0</v>
      </c>
      <c r="F55" s="23">
        <f>IF(D55="","",IFERROR(INDEX(Clients!$G$5:$G$204,MATCH(D55,Clients!$A$5:$A$204,0)),""))</f>
        <v>0</v>
      </c>
      <c r="Q55" s="31">
        <f>IF(A55="","",COUNTIFS('Invoice Lines'!$B$5:$B$804,A55))</f>
        <v>0</v>
      </c>
      <c r="R55" s="21">
        <f>IF(A55="","",SUMIFS('Invoice Lines'!$N$5:$N$804,'Invoice Lines'!$B$5:$B$804,A55))</f>
        <v>0</v>
      </c>
      <c r="S55" s="21">
        <f>IF(A55="","",ROUND(R55*IF(K55="",0,K55),2))</f>
        <v>0</v>
      </c>
      <c r="T55" s="21">
        <f>IF(A55="","",R55-S55)</f>
        <v>0</v>
      </c>
      <c r="U55" s="21">
        <f>IF(A55="","",ROUND(T55*TaxRate,2))</f>
        <v>0</v>
      </c>
      <c r="V55" s="21">
        <f>IF(A55="","",T55+U55)</f>
        <v>0</v>
      </c>
      <c r="W55" s="21">
        <f>IF(A55="","",SUMIFS(Payments!$G$5:$G$404,Payments!$D$5:$D$404,A55))</f>
        <v>0</v>
      </c>
      <c r="X55" s="21">
        <f>IF(A55="","",ROUND(V55-W55,2))</f>
        <v>0</v>
      </c>
      <c r="Y55" s="31">
        <f>IF(B55="","",IF(J55&lt;&gt;"",J55,IF(IFERROR(INDEX(Clients!$P$5:$P$204,MATCH(D55,Clients!$A$5:$A$204,0)),"")&lt;&gt;"",INDEX(Clients!$P$5:$P$204,MATCH(D55,Clients!$A$5:$A$204,0)),PaymentTerms)))</f>
        <v>0</v>
      </c>
      <c r="Z55" s="18">
        <f>IF(OR(A55="",B55=""),"",B55+Y55)</f>
        <v>0</v>
      </c>
      <c r="AA55" s="31">
        <f>IF(OR(A55="",Z55=""),"",IF(X55&lt;=0.004,"",MAX(0,TodayDate-Z55-OverdueGrace)))</f>
        <v>0</v>
      </c>
      <c r="AB55" s="39">
        <f>IF(B55="","",IF(X55&lt;=0.004,"Paid",IF(AA55="","Not due yet",IF(AA55=0,"Due now",IF(AA55&lt;=30,"1-30 days",IF(AA55&lt;=60,"31-60 days",IF(AA55&lt;=90,"61-90 days","90+ days")))))))</f>
        <v>0</v>
      </c>
      <c r="AC55" s="21">
        <f>IF(OR(A55="",AA55=""),"",IF(AA55&lt;=0,0,ROUND(X55*LateFeePercent,2)))</f>
        <v>0</v>
      </c>
      <c r="AD55" s="50">
        <f>IF(B55="","",IF(X55&lt;=0.004,"Yes","No"))</f>
        <v>0</v>
      </c>
      <c r="AE55" s="39">
        <f>IF(B55="","",IF(Q55=0,"Add - no lines on this invoice yet",IF(H55="Written off","Written off",IF(AD55="Yes","OK - paid",IF(H55="Draft","Draft - not sent yet",IF(AND(AA55&lt;&gt;"",AA55&gt;30),"Overdue - "&amp;AA55&amp;" days, call them",IF(AND(AA55&lt;&gt;"",AA55&gt;0),"Overdue - send a reminder",IF(W55&gt;0,"Part paid","Due - waiting for payment"))))))))</f>
        <v>0</v>
      </c>
    </row>
    <row r="56" spans="1:31">
      <c r="A56" s="43">
        <f>IF(B56="","",InvoicePrefix&amp;TEXT(ROW()-4,"0000"))</f>
        <v>0</v>
      </c>
      <c r="C56" s="23">
        <f>IF(B56="","",TEXT(B56,"yyyy-mm"))</f>
        <v>0</v>
      </c>
      <c r="E56" s="23">
        <f>IF(D56="","",IFERROR(INDEX(Clients!$B$5:$B$204,MATCH(D56,Clients!$A$5:$A$204,0)),"Not found"))</f>
        <v>0</v>
      </c>
      <c r="F56" s="23">
        <f>IF(D56="","",IFERROR(INDEX(Clients!$G$5:$G$204,MATCH(D56,Clients!$A$5:$A$204,0)),""))</f>
        <v>0</v>
      </c>
      <c r="Q56" s="31">
        <f>IF(A56="","",COUNTIFS('Invoice Lines'!$B$5:$B$804,A56))</f>
        <v>0</v>
      </c>
      <c r="R56" s="21">
        <f>IF(A56="","",SUMIFS('Invoice Lines'!$N$5:$N$804,'Invoice Lines'!$B$5:$B$804,A56))</f>
        <v>0</v>
      </c>
      <c r="S56" s="21">
        <f>IF(A56="","",ROUND(R56*IF(K56="",0,K56),2))</f>
        <v>0</v>
      </c>
      <c r="T56" s="21">
        <f>IF(A56="","",R56-S56)</f>
        <v>0</v>
      </c>
      <c r="U56" s="21">
        <f>IF(A56="","",ROUND(T56*TaxRate,2))</f>
        <v>0</v>
      </c>
      <c r="V56" s="21">
        <f>IF(A56="","",T56+U56)</f>
        <v>0</v>
      </c>
      <c r="W56" s="21">
        <f>IF(A56="","",SUMIFS(Payments!$G$5:$G$404,Payments!$D$5:$D$404,A56))</f>
        <v>0</v>
      </c>
      <c r="X56" s="21">
        <f>IF(A56="","",ROUND(V56-W56,2))</f>
        <v>0</v>
      </c>
      <c r="Y56" s="31">
        <f>IF(B56="","",IF(J56&lt;&gt;"",J56,IF(IFERROR(INDEX(Clients!$P$5:$P$204,MATCH(D56,Clients!$A$5:$A$204,0)),"")&lt;&gt;"",INDEX(Clients!$P$5:$P$204,MATCH(D56,Clients!$A$5:$A$204,0)),PaymentTerms)))</f>
        <v>0</v>
      </c>
      <c r="Z56" s="18">
        <f>IF(OR(A56="",B56=""),"",B56+Y56)</f>
        <v>0</v>
      </c>
      <c r="AA56" s="31">
        <f>IF(OR(A56="",Z56=""),"",IF(X56&lt;=0.004,"",MAX(0,TodayDate-Z56-OverdueGrace)))</f>
        <v>0</v>
      </c>
      <c r="AB56" s="39">
        <f>IF(B56="","",IF(X56&lt;=0.004,"Paid",IF(AA56="","Not due yet",IF(AA56=0,"Due now",IF(AA56&lt;=30,"1-30 days",IF(AA56&lt;=60,"31-60 days",IF(AA56&lt;=90,"61-90 days","90+ days")))))))</f>
        <v>0</v>
      </c>
      <c r="AC56" s="21">
        <f>IF(OR(A56="",AA56=""),"",IF(AA56&lt;=0,0,ROUND(X56*LateFeePercent,2)))</f>
        <v>0</v>
      </c>
      <c r="AD56" s="50">
        <f>IF(B56="","",IF(X56&lt;=0.004,"Yes","No"))</f>
        <v>0</v>
      </c>
      <c r="AE56" s="39">
        <f>IF(B56="","",IF(Q56=0,"Add - no lines on this invoice yet",IF(H56="Written off","Written off",IF(AD56="Yes","OK - paid",IF(H56="Draft","Draft - not sent yet",IF(AND(AA56&lt;&gt;"",AA56&gt;30),"Overdue - "&amp;AA56&amp;" days, call them",IF(AND(AA56&lt;&gt;"",AA56&gt;0),"Overdue - send a reminder",IF(W56&gt;0,"Part paid","Due - waiting for payment"))))))))</f>
        <v>0</v>
      </c>
    </row>
    <row r="57" spans="1:31">
      <c r="A57" s="43">
        <f>IF(B57="","",InvoicePrefix&amp;TEXT(ROW()-4,"0000"))</f>
        <v>0</v>
      </c>
      <c r="C57" s="23">
        <f>IF(B57="","",TEXT(B57,"yyyy-mm"))</f>
        <v>0</v>
      </c>
      <c r="E57" s="23">
        <f>IF(D57="","",IFERROR(INDEX(Clients!$B$5:$B$204,MATCH(D57,Clients!$A$5:$A$204,0)),"Not found"))</f>
        <v>0</v>
      </c>
      <c r="F57" s="23">
        <f>IF(D57="","",IFERROR(INDEX(Clients!$G$5:$G$204,MATCH(D57,Clients!$A$5:$A$204,0)),""))</f>
        <v>0</v>
      </c>
      <c r="Q57" s="31">
        <f>IF(A57="","",COUNTIFS('Invoice Lines'!$B$5:$B$804,A57))</f>
        <v>0</v>
      </c>
      <c r="R57" s="21">
        <f>IF(A57="","",SUMIFS('Invoice Lines'!$N$5:$N$804,'Invoice Lines'!$B$5:$B$804,A57))</f>
        <v>0</v>
      </c>
      <c r="S57" s="21">
        <f>IF(A57="","",ROUND(R57*IF(K57="",0,K57),2))</f>
        <v>0</v>
      </c>
      <c r="T57" s="21">
        <f>IF(A57="","",R57-S57)</f>
        <v>0</v>
      </c>
      <c r="U57" s="21">
        <f>IF(A57="","",ROUND(T57*TaxRate,2))</f>
        <v>0</v>
      </c>
      <c r="V57" s="21">
        <f>IF(A57="","",T57+U57)</f>
        <v>0</v>
      </c>
      <c r="W57" s="21">
        <f>IF(A57="","",SUMIFS(Payments!$G$5:$G$404,Payments!$D$5:$D$404,A57))</f>
        <v>0</v>
      </c>
      <c r="X57" s="21">
        <f>IF(A57="","",ROUND(V57-W57,2))</f>
        <v>0</v>
      </c>
      <c r="Y57" s="31">
        <f>IF(B57="","",IF(J57&lt;&gt;"",J57,IF(IFERROR(INDEX(Clients!$P$5:$P$204,MATCH(D57,Clients!$A$5:$A$204,0)),"")&lt;&gt;"",INDEX(Clients!$P$5:$P$204,MATCH(D57,Clients!$A$5:$A$204,0)),PaymentTerms)))</f>
        <v>0</v>
      </c>
      <c r="Z57" s="18">
        <f>IF(OR(A57="",B57=""),"",B57+Y57)</f>
        <v>0</v>
      </c>
      <c r="AA57" s="31">
        <f>IF(OR(A57="",Z57=""),"",IF(X57&lt;=0.004,"",MAX(0,TodayDate-Z57-OverdueGrace)))</f>
        <v>0</v>
      </c>
      <c r="AB57" s="39">
        <f>IF(B57="","",IF(X57&lt;=0.004,"Paid",IF(AA57="","Not due yet",IF(AA57=0,"Due now",IF(AA57&lt;=30,"1-30 days",IF(AA57&lt;=60,"31-60 days",IF(AA57&lt;=90,"61-90 days","90+ days")))))))</f>
        <v>0</v>
      </c>
      <c r="AC57" s="21">
        <f>IF(OR(A57="",AA57=""),"",IF(AA57&lt;=0,0,ROUND(X57*LateFeePercent,2)))</f>
        <v>0</v>
      </c>
      <c r="AD57" s="50">
        <f>IF(B57="","",IF(X57&lt;=0.004,"Yes","No"))</f>
        <v>0</v>
      </c>
      <c r="AE57" s="39">
        <f>IF(B57="","",IF(Q57=0,"Add - no lines on this invoice yet",IF(H57="Written off","Written off",IF(AD57="Yes","OK - paid",IF(H57="Draft","Draft - not sent yet",IF(AND(AA57&lt;&gt;"",AA57&gt;30),"Overdue - "&amp;AA57&amp;" days, call them",IF(AND(AA57&lt;&gt;"",AA57&gt;0),"Overdue - send a reminder",IF(W57&gt;0,"Part paid","Due - waiting for payment"))))))))</f>
        <v>0</v>
      </c>
    </row>
    <row r="58" spans="1:31">
      <c r="A58" s="43">
        <f>IF(B58="","",InvoicePrefix&amp;TEXT(ROW()-4,"0000"))</f>
        <v>0</v>
      </c>
      <c r="C58" s="23">
        <f>IF(B58="","",TEXT(B58,"yyyy-mm"))</f>
        <v>0</v>
      </c>
      <c r="E58" s="23">
        <f>IF(D58="","",IFERROR(INDEX(Clients!$B$5:$B$204,MATCH(D58,Clients!$A$5:$A$204,0)),"Not found"))</f>
        <v>0</v>
      </c>
      <c r="F58" s="23">
        <f>IF(D58="","",IFERROR(INDEX(Clients!$G$5:$G$204,MATCH(D58,Clients!$A$5:$A$204,0)),""))</f>
        <v>0</v>
      </c>
      <c r="Q58" s="31">
        <f>IF(A58="","",COUNTIFS('Invoice Lines'!$B$5:$B$804,A58))</f>
        <v>0</v>
      </c>
      <c r="R58" s="21">
        <f>IF(A58="","",SUMIFS('Invoice Lines'!$N$5:$N$804,'Invoice Lines'!$B$5:$B$804,A58))</f>
        <v>0</v>
      </c>
      <c r="S58" s="21">
        <f>IF(A58="","",ROUND(R58*IF(K58="",0,K58),2))</f>
        <v>0</v>
      </c>
      <c r="T58" s="21">
        <f>IF(A58="","",R58-S58)</f>
        <v>0</v>
      </c>
      <c r="U58" s="21">
        <f>IF(A58="","",ROUND(T58*TaxRate,2))</f>
        <v>0</v>
      </c>
      <c r="V58" s="21">
        <f>IF(A58="","",T58+U58)</f>
        <v>0</v>
      </c>
      <c r="W58" s="21">
        <f>IF(A58="","",SUMIFS(Payments!$G$5:$G$404,Payments!$D$5:$D$404,A58))</f>
        <v>0</v>
      </c>
      <c r="X58" s="21">
        <f>IF(A58="","",ROUND(V58-W58,2))</f>
        <v>0</v>
      </c>
      <c r="Y58" s="31">
        <f>IF(B58="","",IF(J58&lt;&gt;"",J58,IF(IFERROR(INDEX(Clients!$P$5:$P$204,MATCH(D58,Clients!$A$5:$A$204,0)),"")&lt;&gt;"",INDEX(Clients!$P$5:$P$204,MATCH(D58,Clients!$A$5:$A$204,0)),PaymentTerms)))</f>
        <v>0</v>
      </c>
      <c r="Z58" s="18">
        <f>IF(OR(A58="",B58=""),"",B58+Y58)</f>
        <v>0</v>
      </c>
      <c r="AA58" s="31">
        <f>IF(OR(A58="",Z58=""),"",IF(X58&lt;=0.004,"",MAX(0,TodayDate-Z58-OverdueGrace)))</f>
        <v>0</v>
      </c>
      <c r="AB58" s="39">
        <f>IF(B58="","",IF(X58&lt;=0.004,"Paid",IF(AA58="","Not due yet",IF(AA58=0,"Due now",IF(AA58&lt;=30,"1-30 days",IF(AA58&lt;=60,"31-60 days",IF(AA58&lt;=90,"61-90 days","90+ days")))))))</f>
        <v>0</v>
      </c>
      <c r="AC58" s="21">
        <f>IF(OR(A58="",AA58=""),"",IF(AA58&lt;=0,0,ROUND(X58*LateFeePercent,2)))</f>
        <v>0</v>
      </c>
      <c r="AD58" s="50">
        <f>IF(B58="","",IF(X58&lt;=0.004,"Yes","No"))</f>
        <v>0</v>
      </c>
      <c r="AE58" s="39">
        <f>IF(B58="","",IF(Q58=0,"Add - no lines on this invoice yet",IF(H58="Written off","Written off",IF(AD58="Yes","OK - paid",IF(H58="Draft","Draft - not sent yet",IF(AND(AA58&lt;&gt;"",AA58&gt;30),"Overdue - "&amp;AA58&amp;" days, call them",IF(AND(AA58&lt;&gt;"",AA58&gt;0),"Overdue - send a reminder",IF(W58&gt;0,"Part paid","Due - waiting for payment"))))))))</f>
        <v>0</v>
      </c>
    </row>
    <row r="59" spans="1:31">
      <c r="A59" s="43">
        <f>IF(B59="","",InvoicePrefix&amp;TEXT(ROW()-4,"0000"))</f>
        <v>0</v>
      </c>
      <c r="C59" s="23">
        <f>IF(B59="","",TEXT(B59,"yyyy-mm"))</f>
        <v>0</v>
      </c>
      <c r="E59" s="23">
        <f>IF(D59="","",IFERROR(INDEX(Clients!$B$5:$B$204,MATCH(D59,Clients!$A$5:$A$204,0)),"Not found"))</f>
        <v>0</v>
      </c>
      <c r="F59" s="23">
        <f>IF(D59="","",IFERROR(INDEX(Clients!$G$5:$G$204,MATCH(D59,Clients!$A$5:$A$204,0)),""))</f>
        <v>0</v>
      </c>
      <c r="Q59" s="31">
        <f>IF(A59="","",COUNTIFS('Invoice Lines'!$B$5:$B$804,A59))</f>
        <v>0</v>
      </c>
      <c r="R59" s="21">
        <f>IF(A59="","",SUMIFS('Invoice Lines'!$N$5:$N$804,'Invoice Lines'!$B$5:$B$804,A59))</f>
        <v>0</v>
      </c>
      <c r="S59" s="21">
        <f>IF(A59="","",ROUND(R59*IF(K59="",0,K59),2))</f>
        <v>0</v>
      </c>
      <c r="T59" s="21">
        <f>IF(A59="","",R59-S59)</f>
        <v>0</v>
      </c>
      <c r="U59" s="21">
        <f>IF(A59="","",ROUND(T59*TaxRate,2))</f>
        <v>0</v>
      </c>
      <c r="V59" s="21">
        <f>IF(A59="","",T59+U59)</f>
        <v>0</v>
      </c>
      <c r="W59" s="21">
        <f>IF(A59="","",SUMIFS(Payments!$G$5:$G$404,Payments!$D$5:$D$404,A59))</f>
        <v>0</v>
      </c>
      <c r="X59" s="21">
        <f>IF(A59="","",ROUND(V59-W59,2))</f>
        <v>0</v>
      </c>
      <c r="Y59" s="31">
        <f>IF(B59="","",IF(J59&lt;&gt;"",J59,IF(IFERROR(INDEX(Clients!$P$5:$P$204,MATCH(D59,Clients!$A$5:$A$204,0)),"")&lt;&gt;"",INDEX(Clients!$P$5:$P$204,MATCH(D59,Clients!$A$5:$A$204,0)),PaymentTerms)))</f>
        <v>0</v>
      </c>
      <c r="Z59" s="18">
        <f>IF(OR(A59="",B59=""),"",B59+Y59)</f>
        <v>0</v>
      </c>
      <c r="AA59" s="31">
        <f>IF(OR(A59="",Z59=""),"",IF(X59&lt;=0.004,"",MAX(0,TodayDate-Z59-OverdueGrace)))</f>
        <v>0</v>
      </c>
      <c r="AB59" s="39">
        <f>IF(B59="","",IF(X59&lt;=0.004,"Paid",IF(AA59="","Not due yet",IF(AA59=0,"Due now",IF(AA59&lt;=30,"1-30 days",IF(AA59&lt;=60,"31-60 days",IF(AA59&lt;=90,"61-90 days","90+ days")))))))</f>
        <v>0</v>
      </c>
      <c r="AC59" s="21">
        <f>IF(OR(A59="",AA59=""),"",IF(AA59&lt;=0,0,ROUND(X59*LateFeePercent,2)))</f>
        <v>0</v>
      </c>
      <c r="AD59" s="50">
        <f>IF(B59="","",IF(X59&lt;=0.004,"Yes","No"))</f>
        <v>0</v>
      </c>
      <c r="AE59" s="39">
        <f>IF(B59="","",IF(Q59=0,"Add - no lines on this invoice yet",IF(H59="Written off","Written off",IF(AD59="Yes","OK - paid",IF(H59="Draft","Draft - not sent yet",IF(AND(AA59&lt;&gt;"",AA59&gt;30),"Overdue - "&amp;AA59&amp;" days, call them",IF(AND(AA59&lt;&gt;"",AA59&gt;0),"Overdue - send a reminder",IF(W59&gt;0,"Part paid","Due - waiting for payment"))))))))</f>
        <v>0</v>
      </c>
    </row>
    <row r="60" spans="1:31">
      <c r="A60" s="43">
        <f>IF(B60="","",InvoicePrefix&amp;TEXT(ROW()-4,"0000"))</f>
        <v>0</v>
      </c>
      <c r="C60" s="23">
        <f>IF(B60="","",TEXT(B60,"yyyy-mm"))</f>
        <v>0</v>
      </c>
      <c r="E60" s="23">
        <f>IF(D60="","",IFERROR(INDEX(Clients!$B$5:$B$204,MATCH(D60,Clients!$A$5:$A$204,0)),"Not found"))</f>
        <v>0</v>
      </c>
      <c r="F60" s="23">
        <f>IF(D60="","",IFERROR(INDEX(Clients!$G$5:$G$204,MATCH(D60,Clients!$A$5:$A$204,0)),""))</f>
        <v>0</v>
      </c>
      <c r="Q60" s="31">
        <f>IF(A60="","",COUNTIFS('Invoice Lines'!$B$5:$B$804,A60))</f>
        <v>0</v>
      </c>
      <c r="R60" s="21">
        <f>IF(A60="","",SUMIFS('Invoice Lines'!$N$5:$N$804,'Invoice Lines'!$B$5:$B$804,A60))</f>
        <v>0</v>
      </c>
      <c r="S60" s="21">
        <f>IF(A60="","",ROUND(R60*IF(K60="",0,K60),2))</f>
        <v>0</v>
      </c>
      <c r="T60" s="21">
        <f>IF(A60="","",R60-S60)</f>
        <v>0</v>
      </c>
      <c r="U60" s="21">
        <f>IF(A60="","",ROUND(T60*TaxRate,2))</f>
        <v>0</v>
      </c>
      <c r="V60" s="21">
        <f>IF(A60="","",T60+U60)</f>
        <v>0</v>
      </c>
      <c r="W60" s="21">
        <f>IF(A60="","",SUMIFS(Payments!$G$5:$G$404,Payments!$D$5:$D$404,A60))</f>
        <v>0</v>
      </c>
      <c r="X60" s="21">
        <f>IF(A60="","",ROUND(V60-W60,2))</f>
        <v>0</v>
      </c>
      <c r="Y60" s="31">
        <f>IF(B60="","",IF(J60&lt;&gt;"",J60,IF(IFERROR(INDEX(Clients!$P$5:$P$204,MATCH(D60,Clients!$A$5:$A$204,0)),"")&lt;&gt;"",INDEX(Clients!$P$5:$P$204,MATCH(D60,Clients!$A$5:$A$204,0)),PaymentTerms)))</f>
        <v>0</v>
      </c>
      <c r="Z60" s="18">
        <f>IF(OR(A60="",B60=""),"",B60+Y60)</f>
        <v>0</v>
      </c>
      <c r="AA60" s="31">
        <f>IF(OR(A60="",Z60=""),"",IF(X60&lt;=0.004,"",MAX(0,TodayDate-Z60-OverdueGrace)))</f>
        <v>0</v>
      </c>
      <c r="AB60" s="39">
        <f>IF(B60="","",IF(X60&lt;=0.004,"Paid",IF(AA60="","Not due yet",IF(AA60=0,"Due now",IF(AA60&lt;=30,"1-30 days",IF(AA60&lt;=60,"31-60 days",IF(AA60&lt;=90,"61-90 days","90+ days")))))))</f>
        <v>0</v>
      </c>
      <c r="AC60" s="21">
        <f>IF(OR(A60="",AA60=""),"",IF(AA60&lt;=0,0,ROUND(X60*LateFeePercent,2)))</f>
        <v>0</v>
      </c>
      <c r="AD60" s="50">
        <f>IF(B60="","",IF(X60&lt;=0.004,"Yes","No"))</f>
        <v>0</v>
      </c>
      <c r="AE60" s="39">
        <f>IF(B60="","",IF(Q60=0,"Add - no lines on this invoice yet",IF(H60="Written off","Written off",IF(AD60="Yes","OK - paid",IF(H60="Draft","Draft - not sent yet",IF(AND(AA60&lt;&gt;"",AA60&gt;30),"Overdue - "&amp;AA60&amp;" days, call them",IF(AND(AA60&lt;&gt;"",AA60&gt;0),"Overdue - send a reminder",IF(W60&gt;0,"Part paid","Due - waiting for payment"))))))))</f>
        <v>0</v>
      </c>
    </row>
    <row r="61" spans="1:31">
      <c r="A61" s="43">
        <f>IF(B61="","",InvoicePrefix&amp;TEXT(ROW()-4,"0000"))</f>
        <v>0</v>
      </c>
      <c r="C61" s="23">
        <f>IF(B61="","",TEXT(B61,"yyyy-mm"))</f>
        <v>0</v>
      </c>
      <c r="E61" s="23">
        <f>IF(D61="","",IFERROR(INDEX(Clients!$B$5:$B$204,MATCH(D61,Clients!$A$5:$A$204,0)),"Not found"))</f>
        <v>0</v>
      </c>
      <c r="F61" s="23">
        <f>IF(D61="","",IFERROR(INDEX(Clients!$G$5:$G$204,MATCH(D61,Clients!$A$5:$A$204,0)),""))</f>
        <v>0</v>
      </c>
      <c r="Q61" s="31">
        <f>IF(A61="","",COUNTIFS('Invoice Lines'!$B$5:$B$804,A61))</f>
        <v>0</v>
      </c>
      <c r="R61" s="21">
        <f>IF(A61="","",SUMIFS('Invoice Lines'!$N$5:$N$804,'Invoice Lines'!$B$5:$B$804,A61))</f>
        <v>0</v>
      </c>
      <c r="S61" s="21">
        <f>IF(A61="","",ROUND(R61*IF(K61="",0,K61),2))</f>
        <v>0</v>
      </c>
      <c r="T61" s="21">
        <f>IF(A61="","",R61-S61)</f>
        <v>0</v>
      </c>
      <c r="U61" s="21">
        <f>IF(A61="","",ROUND(T61*TaxRate,2))</f>
        <v>0</v>
      </c>
      <c r="V61" s="21">
        <f>IF(A61="","",T61+U61)</f>
        <v>0</v>
      </c>
      <c r="W61" s="21">
        <f>IF(A61="","",SUMIFS(Payments!$G$5:$G$404,Payments!$D$5:$D$404,A61))</f>
        <v>0</v>
      </c>
      <c r="X61" s="21">
        <f>IF(A61="","",ROUND(V61-W61,2))</f>
        <v>0</v>
      </c>
      <c r="Y61" s="31">
        <f>IF(B61="","",IF(J61&lt;&gt;"",J61,IF(IFERROR(INDEX(Clients!$P$5:$P$204,MATCH(D61,Clients!$A$5:$A$204,0)),"")&lt;&gt;"",INDEX(Clients!$P$5:$P$204,MATCH(D61,Clients!$A$5:$A$204,0)),PaymentTerms)))</f>
        <v>0</v>
      </c>
      <c r="Z61" s="18">
        <f>IF(OR(A61="",B61=""),"",B61+Y61)</f>
        <v>0</v>
      </c>
      <c r="AA61" s="31">
        <f>IF(OR(A61="",Z61=""),"",IF(X61&lt;=0.004,"",MAX(0,TodayDate-Z61-OverdueGrace)))</f>
        <v>0</v>
      </c>
      <c r="AB61" s="39">
        <f>IF(B61="","",IF(X61&lt;=0.004,"Paid",IF(AA61="","Not due yet",IF(AA61=0,"Due now",IF(AA61&lt;=30,"1-30 days",IF(AA61&lt;=60,"31-60 days",IF(AA61&lt;=90,"61-90 days","90+ days")))))))</f>
        <v>0</v>
      </c>
      <c r="AC61" s="21">
        <f>IF(OR(A61="",AA61=""),"",IF(AA61&lt;=0,0,ROUND(X61*LateFeePercent,2)))</f>
        <v>0</v>
      </c>
      <c r="AD61" s="50">
        <f>IF(B61="","",IF(X61&lt;=0.004,"Yes","No"))</f>
        <v>0</v>
      </c>
      <c r="AE61" s="39">
        <f>IF(B61="","",IF(Q61=0,"Add - no lines on this invoice yet",IF(H61="Written off","Written off",IF(AD61="Yes","OK - paid",IF(H61="Draft","Draft - not sent yet",IF(AND(AA61&lt;&gt;"",AA61&gt;30),"Overdue - "&amp;AA61&amp;" days, call them",IF(AND(AA61&lt;&gt;"",AA61&gt;0),"Overdue - send a reminder",IF(W61&gt;0,"Part paid","Due - waiting for payment"))))))))</f>
        <v>0</v>
      </c>
    </row>
    <row r="62" spans="1:31">
      <c r="A62" s="43">
        <f>IF(B62="","",InvoicePrefix&amp;TEXT(ROW()-4,"0000"))</f>
        <v>0</v>
      </c>
      <c r="C62" s="23">
        <f>IF(B62="","",TEXT(B62,"yyyy-mm"))</f>
        <v>0</v>
      </c>
      <c r="E62" s="23">
        <f>IF(D62="","",IFERROR(INDEX(Clients!$B$5:$B$204,MATCH(D62,Clients!$A$5:$A$204,0)),"Not found"))</f>
        <v>0</v>
      </c>
      <c r="F62" s="23">
        <f>IF(D62="","",IFERROR(INDEX(Clients!$G$5:$G$204,MATCH(D62,Clients!$A$5:$A$204,0)),""))</f>
        <v>0</v>
      </c>
      <c r="Q62" s="31">
        <f>IF(A62="","",COUNTIFS('Invoice Lines'!$B$5:$B$804,A62))</f>
        <v>0</v>
      </c>
      <c r="R62" s="21">
        <f>IF(A62="","",SUMIFS('Invoice Lines'!$N$5:$N$804,'Invoice Lines'!$B$5:$B$804,A62))</f>
        <v>0</v>
      </c>
      <c r="S62" s="21">
        <f>IF(A62="","",ROUND(R62*IF(K62="",0,K62),2))</f>
        <v>0</v>
      </c>
      <c r="T62" s="21">
        <f>IF(A62="","",R62-S62)</f>
        <v>0</v>
      </c>
      <c r="U62" s="21">
        <f>IF(A62="","",ROUND(T62*TaxRate,2))</f>
        <v>0</v>
      </c>
      <c r="V62" s="21">
        <f>IF(A62="","",T62+U62)</f>
        <v>0</v>
      </c>
      <c r="W62" s="21">
        <f>IF(A62="","",SUMIFS(Payments!$G$5:$G$404,Payments!$D$5:$D$404,A62))</f>
        <v>0</v>
      </c>
      <c r="X62" s="21">
        <f>IF(A62="","",ROUND(V62-W62,2))</f>
        <v>0</v>
      </c>
      <c r="Y62" s="31">
        <f>IF(B62="","",IF(J62&lt;&gt;"",J62,IF(IFERROR(INDEX(Clients!$P$5:$P$204,MATCH(D62,Clients!$A$5:$A$204,0)),"")&lt;&gt;"",INDEX(Clients!$P$5:$P$204,MATCH(D62,Clients!$A$5:$A$204,0)),PaymentTerms)))</f>
        <v>0</v>
      </c>
      <c r="Z62" s="18">
        <f>IF(OR(A62="",B62=""),"",B62+Y62)</f>
        <v>0</v>
      </c>
      <c r="AA62" s="31">
        <f>IF(OR(A62="",Z62=""),"",IF(X62&lt;=0.004,"",MAX(0,TodayDate-Z62-OverdueGrace)))</f>
        <v>0</v>
      </c>
      <c r="AB62" s="39">
        <f>IF(B62="","",IF(X62&lt;=0.004,"Paid",IF(AA62="","Not due yet",IF(AA62=0,"Due now",IF(AA62&lt;=30,"1-30 days",IF(AA62&lt;=60,"31-60 days",IF(AA62&lt;=90,"61-90 days","90+ days")))))))</f>
        <v>0</v>
      </c>
      <c r="AC62" s="21">
        <f>IF(OR(A62="",AA62=""),"",IF(AA62&lt;=0,0,ROUND(X62*LateFeePercent,2)))</f>
        <v>0</v>
      </c>
      <c r="AD62" s="50">
        <f>IF(B62="","",IF(X62&lt;=0.004,"Yes","No"))</f>
        <v>0</v>
      </c>
      <c r="AE62" s="39">
        <f>IF(B62="","",IF(Q62=0,"Add - no lines on this invoice yet",IF(H62="Written off","Written off",IF(AD62="Yes","OK - paid",IF(H62="Draft","Draft - not sent yet",IF(AND(AA62&lt;&gt;"",AA62&gt;30),"Overdue - "&amp;AA62&amp;" days, call them",IF(AND(AA62&lt;&gt;"",AA62&gt;0),"Overdue - send a reminder",IF(W62&gt;0,"Part paid","Due - waiting for payment"))))))))</f>
        <v>0</v>
      </c>
    </row>
    <row r="63" spans="1:31">
      <c r="A63" s="43">
        <f>IF(B63="","",InvoicePrefix&amp;TEXT(ROW()-4,"0000"))</f>
        <v>0</v>
      </c>
      <c r="C63" s="23">
        <f>IF(B63="","",TEXT(B63,"yyyy-mm"))</f>
        <v>0</v>
      </c>
      <c r="E63" s="23">
        <f>IF(D63="","",IFERROR(INDEX(Clients!$B$5:$B$204,MATCH(D63,Clients!$A$5:$A$204,0)),"Not found"))</f>
        <v>0</v>
      </c>
      <c r="F63" s="23">
        <f>IF(D63="","",IFERROR(INDEX(Clients!$G$5:$G$204,MATCH(D63,Clients!$A$5:$A$204,0)),""))</f>
        <v>0</v>
      </c>
      <c r="Q63" s="31">
        <f>IF(A63="","",COUNTIFS('Invoice Lines'!$B$5:$B$804,A63))</f>
        <v>0</v>
      </c>
      <c r="R63" s="21">
        <f>IF(A63="","",SUMIFS('Invoice Lines'!$N$5:$N$804,'Invoice Lines'!$B$5:$B$804,A63))</f>
        <v>0</v>
      </c>
      <c r="S63" s="21">
        <f>IF(A63="","",ROUND(R63*IF(K63="",0,K63),2))</f>
        <v>0</v>
      </c>
      <c r="T63" s="21">
        <f>IF(A63="","",R63-S63)</f>
        <v>0</v>
      </c>
      <c r="U63" s="21">
        <f>IF(A63="","",ROUND(T63*TaxRate,2))</f>
        <v>0</v>
      </c>
      <c r="V63" s="21">
        <f>IF(A63="","",T63+U63)</f>
        <v>0</v>
      </c>
      <c r="W63" s="21">
        <f>IF(A63="","",SUMIFS(Payments!$G$5:$G$404,Payments!$D$5:$D$404,A63))</f>
        <v>0</v>
      </c>
      <c r="X63" s="21">
        <f>IF(A63="","",ROUND(V63-W63,2))</f>
        <v>0</v>
      </c>
      <c r="Y63" s="31">
        <f>IF(B63="","",IF(J63&lt;&gt;"",J63,IF(IFERROR(INDEX(Clients!$P$5:$P$204,MATCH(D63,Clients!$A$5:$A$204,0)),"")&lt;&gt;"",INDEX(Clients!$P$5:$P$204,MATCH(D63,Clients!$A$5:$A$204,0)),PaymentTerms)))</f>
        <v>0</v>
      </c>
      <c r="Z63" s="18">
        <f>IF(OR(A63="",B63=""),"",B63+Y63)</f>
        <v>0</v>
      </c>
      <c r="AA63" s="31">
        <f>IF(OR(A63="",Z63=""),"",IF(X63&lt;=0.004,"",MAX(0,TodayDate-Z63-OverdueGrace)))</f>
        <v>0</v>
      </c>
      <c r="AB63" s="39">
        <f>IF(B63="","",IF(X63&lt;=0.004,"Paid",IF(AA63="","Not due yet",IF(AA63=0,"Due now",IF(AA63&lt;=30,"1-30 days",IF(AA63&lt;=60,"31-60 days",IF(AA63&lt;=90,"61-90 days","90+ days")))))))</f>
        <v>0</v>
      </c>
      <c r="AC63" s="21">
        <f>IF(OR(A63="",AA63=""),"",IF(AA63&lt;=0,0,ROUND(X63*LateFeePercent,2)))</f>
        <v>0</v>
      </c>
      <c r="AD63" s="50">
        <f>IF(B63="","",IF(X63&lt;=0.004,"Yes","No"))</f>
        <v>0</v>
      </c>
      <c r="AE63" s="39">
        <f>IF(B63="","",IF(Q63=0,"Add - no lines on this invoice yet",IF(H63="Written off","Written off",IF(AD63="Yes","OK - paid",IF(H63="Draft","Draft - not sent yet",IF(AND(AA63&lt;&gt;"",AA63&gt;30),"Overdue - "&amp;AA63&amp;" days, call them",IF(AND(AA63&lt;&gt;"",AA63&gt;0),"Overdue - send a reminder",IF(W63&gt;0,"Part paid","Due - waiting for payment"))))))))</f>
        <v>0</v>
      </c>
    </row>
    <row r="64" spans="1:31">
      <c r="A64" s="43">
        <f>IF(B64="","",InvoicePrefix&amp;TEXT(ROW()-4,"0000"))</f>
        <v>0</v>
      </c>
      <c r="C64" s="23">
        <f>IF(B64="","",TEXT(B64,"yyyy-mm"))</f>
        <v>0</v>
      </c>
      <c r="E64" s="23">
        <f>IF(D64="","",IFERROR(INDEX(Clients!$B$5:$B$204,MATCH(D64,Clients!$A$5:$A$204,0)),"Not found"))</f>
        <v>0</v>
      </c>
      <c r="F64" s="23">
        <f>IF(D64="","",IFERROR(INDEX(Clients!$G$5:$G$204,MATCH(D64,Clients!$A$5:$A$204,0)),""))</f>
        <v>0</v>
      </c>
      <c r="Q64" s="31">
        <f>IF(A64="","",COUNTIFS('Invoice Lines'!$B$5:$B$804,A64))</f>
        <v>0</v>
      </c>
      <c r="R64" s="21">
        <f>IF(A64="","",SUMIFS('Invoice Lines'!$N$5:$N$804,'Invoice Lines'!$B$5:$B$804,A64))</f>
        <v>0</v>
      </c>
      <c r="S64" s="21">
        <f>IF(A64="","",ROUND(R64*IF(K64="",0,K64),2))</f>
        <v>0</v>
      </c>
      <c r="T64" s="21">
        <f>IF(A64="","",R64-S64)</f>
        <v>0</v>
      </c>
      <c r="U64" s="21">
        <f>IF(A64="","",ROUND(T64*TaxRate,2))</f>
        <v>0</v>
      </c>
      <c r="V64" s="21">
        <f>IF(A64="","",T64+U64)</f>
        <v>0</v>
      </c>
      <c r="W64" s="21">
        <f>IF(A64="","",SUMIFS(Payments!$G$5:$G$404,Payments!$D$5:$D$404,A64))</f>
        <v>0</v>
      </c>
      <c r="X64" s="21">
        <f>IF(A64="","",ROUND(V64-W64,2))</f>
        <v>0</v>
      </c>
      <c r="Y64" s="31">
        <f>IF(B64="","",IF(J64&lt;&gt;"",J64,IF(IFERROR(INDEX(Clients!$P$5:$P$204,MATCH(D64,Clients!$A$5:$A$204,0)),"")&lt;&gt;"",INDEX(Clients!$P$5:$P$204,MATCH(D64,Clients!$A$5:$A$204,0)),PaymentTerms)))</f>
        <v>0</v>
      </c>
      <c r="Z64" s="18">
        <f>IF(OR(A64="",B64=""),"",B64+Y64)</f>
        <v>0</v>
      </c>
      <c r="AA64" s="31">
        <f>IF(OR(A64="",Z64=""),"",IF(X64&lt;=0.004,"",MAX(0,TodayDate-Z64-OverdueGrace)))</f>
        <v>0</v>
      </c>
      <c r="AB64" s="39">
        <f>IF(B64="","",IF(X64&lt;=0.004,"Paid",IF(AA64="","Not due yet",IF(AA64=0,"Due now",IF(AA64&lt;=30,"1-30 days",IF(AA64&lt;=60,"31-60 days",IF(AA64&lt;=90,"61-90 days","90+ days")))))))</f>
        <v>0</v>
      </c>
      <c r="AC64" s="21">
        <f>IF(OR(A64="",AA64=""),"",IF(AA64&lt;=0,0,ROUND(X64*LateFeePercent,2)))</f>
        <v>0</v>
      </c>
      <c r="AD64" s="50">
        <f>IF(B64="","",IF(X64&lt;=0.004,"Yes","No"))</f>
        <v>0</v>
      </c>
      <c r="AE64" s="39">
        <f>IF(B64="","",IF(Q64=0,"Add - no lines on this invoice yet",IF(H64="Written off","Written off",IF(AD64="Yes","OK - paid",IF(H64="Draft","Draft - not sent yet",IF(AND(AA64&lt;&gt;"",AA64&gt;30),"Overdue - "&amp;AA64&amp;" days, call them",IF(AND(AA64&lt;&gt;"",AA64&gt;0),"Overdue - send a reminder",IF(W64&gt;0,"Part paid","Due - waiting for payment"))))))))</f>
        <v>0</v>
      </c>
    </row>
    <row r="65" spans="1:31">
      <c r="A65" s="43">
        <f>IF(B65="","",InvoicePrefix&amp;TEXT(ROW()-4,"0000"))</f>
        <v>0</v>
      </c>
      <c r="C65" s="23">
        <f>IF(B65="","",TEXT(B65,"yyyy-mm"))</f>
        <v>0</v>
      </c>
      <c r="E65" s="23">
        <f>IF(D65="","",IFERROR(INDEX(Clients!$B$5:$B$204,MATCH(D65,Clients!$A$5:$A$204,0)),"Not found"))</f>
        <v>0</v>
      </c>
      <c r="F65" s="23">
        <f>IF(D65="","",IFERROR(INDEX(Clients!$G$5:$G$204,MATCH(D65,Clients!$A$5:$A$204,0)),""))</f>
        <v>0</v>
      </c>
      <c r="Q65" s="31">
        <f>IF(A65="","",COUNTIFS('Invoice Lines'!$B$5:$B$804,A65))</f>
        <v>0</v>
      </c>
      <c r="R65" s="21">
        <f>IF(A65="","",SUMIFS('Invoice Lines'!$N$5:$N$804,'Invoice Lines'!$B$5:$B$804,A65))</f>
        <v>0</v>
      </c>
      <c r="S65" s="21">
        <f>IF(A65="","",ROUND(R65*IF(K65="",0,K65),2))</f>
        <v>0</v>
      </c>
      <c r="T65" s="21">
        <f>IF(A65="","",R65-S65)</f>
        <v>0</v>
      </c>
      <c r="U65" s="21">
        <f>IF(A65="","",ROUND(T65*TaxRate,2))</f>
        <v>0</v>
      </c>
      <c r="V65" s="21">
        <f>IF(A65="","",T65+U65)</f>
        <v>0</v>
      </c>
      <c r="W65" s="21">
        <f>IF(A65="","",SUMIFS(Payments!$G$5:$G$404,Payments!$D$5:$D$404,A65))</f>
        <v>0</v>
      </c>
      <c r="X65" s="21">
        <f>IF(A65="","",ROUND(V65-W65,2))</f>
        <v>0</v>
      </c>
      <c r="Y65" s="31">
        <f>IF(B65="","",IF(J65&lt;&gt;"",J65,IF(IFERROR(INDEX(Clients!$P$5:$P$204,MATCH(D65,Clients!$A$5:$A$204,0)),"")&lt;&gt;"",INDEX(Clients!$P$5:$P$204,MATCH(D65,Clients!$A$5:$A$204,0)),PaymentTerms)))</f>
        <v>0</v>
      </c>
      <c r="Z65" s="18">
        <f>IF(OR(A65="",B65=""),"",B65+Y65)</f>
        <v>0</v>
      </c>
      <c r="AA65" s="31">
        <f>IF(OR(A65="",Z65=""),"",IF(X65&lt;=0.004,"",MAX(0,TodayDate-Z65-OverdueGrace)))</f>
        <v>0</v>
      </c>
      <c r="AB65" s="39">
        <f>IF(B65="","",IF(X65&lt;=0.004,"Paid",IF(AA65="","Not due yet",IF(AA65=0,"Due now",IF(AA65&lt;=30,"1-30 days",IF(AA65&lt;=60,"31-60 days",IF(AA65&lt;=90,"61-90 days","90+ days")))))))</f>
        <v>0</v>
      </c>
      <c r="AC65" s="21">
        <f>IF(OR(A65="",AA65=""),"",IF(AA65&lt;=0,0,ROUND(X65*LateFeePercent,2)))</f>
        <v>0</v>
      </c>
      <c r="AD65" s="50">
        <f>IF(B65="","",IF(X65&lt;=0.004,"Yes","No"))</f>
        <v>0</v>
      </c>
      <c r="AE65" s="39">
        <f>IF(B65="","",IF(Q65=0,"Add - no lines on this invoice yet",IF(H65="Written off","Written off",IF(AD65="Yes","OK - paid",IF(H65="Draft","Draft - not sent yet",IF(AND(AA65&lt;&gt;"",AA65&gt;30),"Overdue - "&amp;AA65&amp;" days, call them",IF(AND(AA65&lt;&gt;"",AA65&gt;0),"Overdue - send a reminder",IF(W65&gt;0,"Part paid","Due - waiting for payment"))))))))</f>
        <v>0</v>
      </c>
    </row>
    <row r="66" spans="1:31">
      <c r="A66" s="43">
        <f>IF(B66="","",InvoicePrefix&amp;TEXT(ROW()-4,"0000"))</f>
        <v>0</v>
      </c>
      <c r="C66" s="23">
        <f>IF(B66="","",TEXT(B66,"yyyy-mm"))</f>
        <v>0</v>
      </c>
      <c r="E66" s="23">
        <f>IF(D66="","",IFERROR(INDEX(Clients!$B$5:$B$204,MATCH(D66,Clients!$A$5:$A$204,0)),"Not found"))</f>
        <v>0</v>
      </c>
      <c r="F66" s="23">
        <f>IF(D66="","",IFERROR(INDEX(Clients!$G$5:$G$204,MATCH(D66,Clients!$A$5:$A$204,0)),""))</f>
        <v>0</v>
      </c>
      <c r="Q66" s="31">
        <f>IF(A66="","",COUNTIFS('Invoice Lines'!$B$5:$B$804,A66))</f>
        <v>0</v>
      </c>
      <c r="R66" s="21">
        <f>IF(A66="","",SUMIFS('Invoice Lines'!$N$5:$N$804,'Invoice Lines'!$B$5:$B$804,A66))</f>
        <v>0</v>
      </c>
      <c r="S66" s="21">
        <f>IF(A66="","",ROUND(R66*IF(K66="",0,K66),2))</f>
        <v>0</v>
      </c>
      <c r="T66" s="21">
        <f>IF(A66="","",R66-S66)</f>
        <v>0</v>
      </c>
      <c r="U66" s="21">
        <f>IF(A66="","",ROUND(T66*TaxRate,2))</f>
        <v>0</v>
      </c>
      <c r="V66" s="21">
        <f>IF(A66="","",T66+U66)</f>
        <v>0</v>
      </c>
      <c r="W66" s="21">
        <f>IF(A66="","",SUMIFS(Payments!$G$5:$G$404,Payments!$D$5:$D$404,A66))</f>
        <v>0</v>
      </c>
      <c r="X66" s="21">
        <f>IF(A66="","",ROUND(V66-W66,2))</f>
        <v>0</v>
      </c>
      <c r="Y66" s="31">
        <f>IF(B66="","",IF(J66&lt;&gt;"",J66,IF(IFERROR(INDEX(Clients!$P$5:$P$204,MATCH(D66,Clients!$A$5:$A$204,0)),"")&lt;&gt;"",INDEX(Clients!$P$5:$P$204,MATCH(D66,Clients!$A$5:$A$204,0)),PaymentTerms)))</f>
        <v>0</v>
      </c>
      <c r="Z66" s="18">
        <f>IF(OR(A66="",B66=""),"",B66+Y66)</f>
        <v>0</v>
      </c>
      <c r="AA66" s="31">
        <f>IF(OR(A66="",Z66=""),"",IF(X66&lt;=0.004,"",MAX(0,TodayDate-Z66-OverdueGrace)))</f>
        <v>0</v>
      </c>
      <c r="AB66" s="39">
        <f>IF(B66="","",IF(X66&lt;=0.004,"Paid",IF(AA66="","Not due yet",IF(AA66=0,"Due now",IF(AA66&lt;=30,"1-30 days",IF(AA66&lt;=60,"31-60 days",IF(AA66&lt;=90,"61-90 days","90+ days")))))))</f>
        <v>0</v>
      </c>
      <c r="AC66" s="21">
        <f>IF(OR(A66="",AA66=""),"",IF(AA66&lt;=0,0,ROUND(X66*LateFeePercent,2)))</f>
        <v>0</v>
      </c>
      <c r="AD66" s="50">
        <f>IF(B66="","",IF(X66&lt;=0.004,"Yes","No"))</f>
        <v>0</v>
      </c>
      <c r="AE66" s="39">
        <f>IF(B66="","",IF(Q66=0,"Add - no lines on this invoice yet",IF(H66="Written off","Written off",IF(AD66="Yes","OK - paid",IF(H66="Draft","Draft - not sent yet",IF(AND(AA66&lt;&gt;"",AA66&gt;30),"Overdue - "&amp;AA66&amp;" days, call them",IF(AND(AA66&lt;&gt;"",AA66&gt;0),"Overdue - send a reminder",IF(W66&gt;0,"Part paid","Due - waiting for payment"))))))))</f>
        <v>0</v>
      </c>
    </row>
    <row r="67" spans="1:31">
      <c r="A67" s="43">
        <f>IF(B67="","",InvoicePrefix&amp;TEXT(ROW()-4,"0000"))</f>
        <v>0</v>
      </c>
      <c r="C67" s="23">
        <f>IF(B67="","",TEXT(B67,"yyyy-mm"))</f>
        <v>0</v>
      </c>
      <c r="E67" s="23">
        <f>IF(D67="","",IFERROR(INDEX(Clients!$B$5:$B$204,MATCH(D67,Clients!$A$5:$A$204,0)),"Not found"))</f>
        <v>0</v>
      </c>
      <c r="F67" s="23">
        <f>IF(D67="","",IFERROR(INDEX(Clients!$G$5:$G$204,MATCH(D67,Clients!$A$5:$A$204,0)),""))</f>
        <v>0</v>
      </c>
      <c r="Q67" s="31">
        <f>IF(A67="","",COUNTIFS('Invoice Lines'!$B$5:$B$804,A67))</f>
        <v>0</v>
      </c>
      <c r="R67" s="21">
        <f>IF(A67="","",SUMIFS('Invoice Lines'!$N$5:$N$804,'Invoice Lines'!$B$5:$B$804,A67))</f>
        <v>0</v>
      </c>
      <c r="S67" s="21">
        <f>IF(A67="","",ROUND(R67*IF(K67="",0,K67),2))</f>
        <v>0</v>
      </c>
      <c r="T67" s="21">
        <f>IF(A67="","",R67-S67)</f>
        <v>0</v>
      </c>
      <c r="U67" s="21">
        <f>IF(A67="","",ROUND(T67*TaxRate,2))</f>
        <v>0</v>
      </c>
      <c r="V67" s="21">
        <f>IF(A67="","",T67+U67)</f>
        <v>0</v>
      </c>
      <c r="W67" s="21">
        <f>IF(A67="","",SUMIFS(Payments!$G$5:$G$404,Payments!$D$5:$D$404,A67))</f>
        <v>0</v>
      </c>
      <c r="X67" s="21">
        <f>IF(A67="","",ROUND(V67-W67,2))</f>
        <v>0</v>
      </c>
      <c r="Y67" s="31">
        <f>IF(B67="","",IF(J67&lt;&gt;"",J67,IF(IFERROR(INDEX(Clients!$P$5:$P$204,MATCH(D67,Clients!$A$5:$A$204,0)),"")&lt;&gt;"",INDEX(Clients!$P$5:$P$204,MATCH(D67,Clients!$A$5:$A$204,0)),PaymentTerms)))</f>
        <v>0</v>
      </c>
      <c r="Z67" s="18">
        <f>IF(OR(A67="",B67=""),"",B67+Y67)</f>
        <v>0</v>
      </c>
      <c r="AA67" s="31">
        <f>IF(OR(A67="",Z67=""),"",IF(X67&lt;=0.004,"",MAX(0,TodayDate-Z67-OverdueGrace)))</f>
        <v>0</v>
      </c>
      <c r="AB67" s="39">
        <f>IF(B67="","",IF(X67&lt;=0.004,"Paid",IF(AA67="","Not due yet",IF(AA67=0,"Due now",IF(AA67&lt;=30,"1-30 days",IF(AA67&lt;=60,"31-60 days",IF(AA67&lt;=90,"61-90 days","90+ days")))))))</f>
        <v>0</v>
      </c>
      <c r="AC67" s="21">
        <f>IF(OR(A67="",AA67=""),"",IF(AA67&lt;=0,0,ROUND(X67*LateFeePercent,2)))</f>
        <v>0</v>
      </c>
      <c r="AD67" s="50">
        <f>IF(B67="","",IF(X67&lt;=0.004,"Yes","No"))</f>
        <v>0</v>
      </c>
      <c r="AE67" s="39">
        <f>IF(B67="","",IF(Q67=0,"Add - no lines on this invoice yet",IF(H67="Written off","Written off",IF(AD67="Yes","OK - paid",IF(H67="Draft","Draft - not sent yet",IF(AND(AA67&lt;&gt;"",AA67&gt;30),"Overdue - "&amp;AA67&amp;" days, call them",IF(AND(AA67&lt;&gt;"",AA67&gt;0),"Overdue - send a reminder",IF(W67&gt;0,"Part paid","Due - waiting for payment"))))))))</f>
        <v>0</v>
      </c>
    </row>
    <row r="68" spans="1:31">
      <c r="A68" s="43">
        <f>IF(B68="","",InvoicePrefix&amp;TEXT(ROW()-4,"0000"))</f>
        <v>0</v>
      </c>
      <c r="C68" s="23">
        <f>IF(B68="","",TEXT(B68,"yyyy-mm"))</f>
        <v>0</v>
      </c>
      <c r="E68" s="23">
        <f>IF(D68="","",IFERROR(INDEX(Clients!$B$5:$B$204,MATCH(D68,Clients!$A$5:$A$204,0)),"Not found"))</f>
        <v>0</v>
      </c>
      <c r="F68" s="23">
        <f>IF(D68="","",IFERROR(INDEX(Clients!$G$5:$G$204,MATCH(D68,Clients!$A$5:$A$204,0)),""))</f>
        <v>0</v>
      </c>
      <c r="Q68" s="31">
        <f>IF(A68="","",COUNTIFS('Invoice Lines'!$B$5:$B$804,A68))</f>
        <v>0</v>
      </c>
      <c r="R68" s="21">
        <f>IF(A68="","",SUMIFS('Invoice Lines'!$N$5:$N$804,'Invoice Lines'!$B$5:$B$804,A68))</f>
        <v>0</v>
      </c>
      <c r="S68" s="21">
        <f>IF(A68="","",ROUND(R68*IF(K68="",0,K68),2))</f>
        <v>0</v>
      </c>
      <c r="T68" s="21">
        <f>IF(A68="","",R68-S68)</f>
        <v>0</v>
      </c>
      <c r="U68" s="21">
        <f>IF(A68="","",ROUND(T68*TaxRate,2))</f>
        <v>0</v>
      </c>
      <c r="V68" s="21">
        <f>IF(A68="","",T68+U68)</f>
        <v>0</v>
      </c>
      <c r="W68" s="21">
        <f>IF(A68="","",SUMIFS(Payments!$G$5:$G$404,Payments!$D$5:$D$404,A68))</f>
        <v>0</v>
      </c>
      <c r="X68" s="21">
        <f>IF(A68="","",ROUND(V68-W68,2))</f>
        <v>0</v>
      </c>
      <c r="Y68" s="31">
        <f>IF(B68="","",IF(J68&lt;&gt;"",J68,IF(IFERROR(INDEX(Clients!$P$5:$P$204,MATCH(D68,Clients!$A$5:$A$204,0)),"")&lt;&gt;"",INDEX(Clients!$P$5:$P$204,MATCH(D68,Clients!$A$5:$A$204,0)),PaymentTerms)))</f>
        <v>0</v>
      </c>
      <c r="Z68" s="18">
        <f>IF(OR(A68="",B68=""),"",B68+Y68)</f>
        <v>0</v>
      </c>
      <c r="AA68" s="31">
        <f>IF(OR(A68="",Z68=""),"",IF(X68&lt;=0.004,"",MAX(0,TodayDate-Z68-OverdueGrace)))</f>
        <v>0</v>
      </c>
      <c r="AB68" s="39">
        <f>IF(B68="","",IF(X68&lt;=0.004,"Paid",IF(AA68="","Not due yet",IF(AA68=0,"Due now",IF(AA68&lt;=30,"1-30 days",IF(AA68&lt;=60,"31-60 days",IF(AA68&lt;=90,"61-90 days","90+ days")))))))</f>
        <v>0</v>
      </c>
      <c r="AC68" s="21">
        <f>IF(OR(A68="",AA68=""),"",IF(AA68&lt;=0,0,ROUND(X68*LateFeePercent,2)))</f>
        <v>0</v>
      </c>
      <c r="AD68" s="50">
        <f>IF(B68="","",IF(X68&lt;=0.004,"Yes","No"))</f>
        <v>0</v>
      </c>
      <c r="AE68" s="39">
        <f>IF(B68="","",IF(Q68=0,"Add - no lines on this invoice yet",IF(H68="Written off","Written off",IF(AD68="Yes","OK - paid",IF(H68="Draft","Draft - not sent yet",IF(AND(AA68&lt;&gt;"",AA68&gt;30),"Overdue - "&amp;AA68&amp;" days, call them",IF(AND(AA68&lt;&gt;"",AA68&gt;0),"Overdue - send a reminder",IF(W68&gt;0,"Part paid","Due - waiting for payment"))))))))</f>
        <v>0</v>
      </c>
    </row>
    <row r="69" spans="1:31">
      <c r="A69" s="43">
        <f>IF(B69="","",InvoicePrefix&amp;TEXT(ROW()-4,"0000"))</f>
        <v>0</v>
      </c>
      <c r="C69" s="23">
        <f>IF(B69="","",TEXT(B69,"yyyy-mm"))</f>
        <v>0</v>
      </c>
      <c r="E69" s="23">
        <f>IF(D69="","",IFERROR(INDEX(Clients!$B$5:$B$204,MATCH(D69,Clients!$A$5:$A$204,0)),"Not found"))</f>
        <v>0</v>
      </c>
      <c r="F69" s="23">
        <f>IF(D69="","",IFERROR(INDEX(Clients!$G$5:$G$204,MATCH(D69,Clients!$A$5:$A$204,0)),""))</f>
        <v>0</v>
      </c>
      <c r="Q69" s="31">
        <f>IF(A69="","",COUNTIFS('Invoice Lines'!$B$5:$B$804,A69))</f>
        <v>0</v>
      </c>
      <c r="R69" s="21">
        <f>IF(A69="","",SUMIFS('Invoice Lines'!$N$5:$N$804,'Invoice Lines'!$B$5:$B$804,A69))</f>
        <v>0</v>
      </c>
      <c r="S69" s="21">
        <f>IF(A69="","",ROUND(R69*IF(K69="",0,K69),2))</f>
        <v>0</v>
      </c>
      <c r="T69" s="21">
        <f>IF(A69="","",R69-S69)</f>
        <v>0</v>
      </c>
      <c r="U69" s="21">
        <f>IF(A69="","",ROUND(T69*TaxRate,2))</f>
        <v>0</v>
      </c>
      <c r="V69" s="21">
        <f>IF(A69="","",T69+U69)</f>
        <v>0</v>
      </c>
      <c r="W69" s="21">
        <f>IF(A69="","",SUMIFS(Payments!$G$5:$G$404,Payments!$D$5:$D$404,A69))</f>
        <v>0</v>
      </c>
      <c r="X69" s="21">
        <f>IF(A69="","",ROUND(V69-W69,2))</f>
        <v>0</v>
      </c>
      <c r="Y69" s="31">
        <f>IF(B69="","",IF(J69&lt;&gt;"",J69,IF(IFERROR(INDEX(Clients!$P$5:$P$204,MATCH(D69,Clients!$A$5:$A$204,0)),"")&lt;&gt;"",INDEX(Clients!$P$5:$P$204,MATCH(D69,Clients!$A$5:$A$204,0)),PaymentTerms)))</f>
        <v>0</v>
      </c>
      <c r="Z69" s="18">
        <f>IF(OR(A69="",B69=""),"",B69+Y69)</f>
        <v>0</v>
      </c>
      <c r="AA69" s="31">
        <f>IF(OR(A69="",Z69=""),"",IF(X69&lt;=0.004,"",MAX(0,TodayDate-Z69-OverdueGrace)))</f>
        <v>0</v>
      </c>
      <c r="AB69" s="39">
        <f>IF(B69="","",IF(X69&lt;=0.004,"Paid",IF(AA69="","Not due yet",IF(AA69=0,"Due now",IF(AA69&lt;=30,"1-30 days",IF(AA69&lt;=60,"31-60 days",IF(AA69&lt;=90,"61-90 days","90+ days")))))))</f>
        <v>0</v>
      </c>
      <c r="AC69" s="21">
        <f>IF(OR(A69="",AA69=""),"",IF(AA69&lt;=0,0,ROUND(X69*LateFeePercent,2)))</f>
        <v>0</v>
      </c>
      <c r="AD69" s="50">
        <f>IF(B69="","",IF(X69&lt;=0.004,"Yes","No"))</f>
        <v>0</v>
      </c>
      <c r="AE69" s="39">
        <f>IF(B69="","",IF(Q69=0,"Add - no lines on this invoice yet",IF(H69="Written off","Written off",IF(AD69="Yes","OK - paid",IF(H69="Draft","Draft - not sent yet",IF(AND(AA69&lt;&gt;"",AA69&gt;30),"Overdue - "&amp;AA69&amp;" days, call them",IF(AND(AA69&lt;&gt;"",AA69&gt;0),"Overdue - send a reminder",IF(W69&gt;0,"Part paid","Due - waiting for payment"))))))))</f>
        <v>0</v>
      </c>
    </row>
    <row r="70" spans="1:31">
      <c r="A70" s="43">
        <f>IF(B70="","",InvoicePrefix&amp;TEXT(ROW()-4,"0000"))</f>
        <v>0</v>
      </c>
      <c r="C70" s="23">
        <f>IF(B70="","",TEXT(B70,"yyyy-mm"))</f>
        <v>0</v>
      </c>
      <c r="E70" s="23">
        <f>IF(D70="","",IFERROR(INDEX(Clients!$B$5:$B$204,MATCH(D70,Clients!$A$5:$A$204,0)),"Not found"))</f>
        <v>0</v>
      </c>
      <c r="F70" s="23">
        <f>IF(D70="","",IFERROR(INDEX(Clients!$G$5:$G$204,MATCH(D70,Clients!$A$5:$A$204,0)),""))</f>
        <v>0</v>
      </c>
      <c r="Q70" s="31">
        <f>IF(A70="","",COUNTIFS('Invoice Lines'!$B$5:$B$804,A70))</f>
        <v>0</v>
      </c>
      <c r="R70" s="21">
        <f>IF(A70="","",SUMIFS('Invoice Lines'!$N$5:$N$804,'Invoice Lines'!$B$5:$B$804,A70))</f>
        <v>0</v>
      </c>
      <c r="S70" s="21">
        <f>IF(A70="","",ROUND(R70*IF(K70="",0,K70),2))</f>
        <v>0</v>
      </c>
      <c r="T70" s="21">
        <f>IF(A70="","",R70-S70)</f>
        <v>0</v>
      </c>
      <c r="U70" s="21">
        <f>IF(A70="","",ROUND(T70*TaxRate,2))</f>
        <v>0</v>
      </c>
      <c r="V70" s="21">
        <f>IF(A70="","",T70+U70)</f>
        <v>0</v>
      </c>
      <c r="W70" s="21">
        <f>IF(A70="","",SUMIFS(Payments!$G$5:$G$404,Payments!$D$5:$D$404,A70))</f>
        <v>0</v>
      </c>
      <c r="X70" s="21">
        <f>IF(A70="","",ROUND(V70-W70,2))</f>
        <v>0</v>
      </c>
      <c r="Y70" s="31">
        <f>IF(B70="","",IF(J70&lt;&gt;"",J70,IF(IFERROR(INDEX(Clients!$P$5:$P$204,MATCH(D70,Clients!$A$5:$A$204,0)),"")&lt;&gt;"",INDEX(Clients!$P$5:$P$204,MATCH(D70,Clients!$A$5:$A$204,0)),PaymentTerms)))</f>
        <v>0</v>
      </c>
      <c r="Z70" s="18">
        <f>IF(OR(A70="",B70=""),"",B70+Y70)</f>
        <v>0</v>
      </c>
      <c r="AA70" s="31">
        <f>IF(OR(A70="",Z70=""),"",IF(X70&lt;=0.004,"",MAX(0,TodayDate-Z70-OverdueGrace)))</f>
        <v>0</v>
      </c>
      <c r="AB70" s="39">
        <f>IF(B70="","",IF(X70&lt;=0.004,"Paid",IF(AA70="","Not due yet",IF(AA70=0,"Due now",IF(AA70&lt;=30,"1-30 days",IF(AA70&lt;=60,"31-60 days",IF(AA70&lt;=90,"61-90 days","90+ days")))))))</f>
        <v>0</v>
      </c>
      <c r="AC70" s="21">
        <f>IF(OR(A70="",AA70=""),"",IF(AA70&lt;=0,0,ROUND(X70*LateFeePercent,2)))</f>
        <v>0</v>
      </c>
      <c r="AD70" s="50">
        <f>IF(B70="","",IF(X70&lt;=0.004,"Yes","No"))</f>
        <v>0</v>
      </c>
      <c r="AE70" s="39">
        <f>IF(B70="","",IF(Q70=0,"Add - no lines on this invoice yet",IF(H70="Written off","Written off",IF(AD70="Yes","OK - paid",IF(H70="Draft","Draft - not sent yet",IF(AND(AA70&lt;&gt;"",AA70&gt;30),"Overdue - "&amp;AA70&amp;" days, call them",IF(AND(AA70&lt;&gt;"",AA70&gt;0),"Overdue - send a reminder",IF(W70&gt;0,"Part paid","Due - waiting for payment"))))))))</f>
        <v>0</v>
      </c>
    </row>
    <row r="71" spans="1:31">
      <c r="A71" s="43">
        <f>IF(B71="","",InvoicePrefix&amp;TEXT(ROW()-4,"0000"))</f>
        <v>0</v>
      </c>
      <c r="C71" s="23">
        <f>IF(B71="","",TEXT(B71,"yyyy-mm"))</f>
        <v>0</v>
      </c>
      <c r="E71" s="23">
        <f>IF(D71="","",IFERROR(INDEX(Clients!$B$5:$B$204,MATCH(D71,Clients!$A$5:$A$204,0)),"Not found"))</f>
        <v>0</v>
      </c>
      <c r="F71" s="23">
        <f>IF(D71="","",IFERROR(INDEX(Clients!$G$5:$G$204,MATCH(D71,Clients!$A$5:$A$204,0)),""))</f>
        <v>0</v>
      </c>
      <c r="Q71" s="31">
        <f>IF(A71="","",COUNTIFS('Invoice Lines'!$B$5:$B$804,A71))</f>
        <v>0</v>
      </c>
      <c r="R71" s="21">
        <f>IF(A71="","",SUMIFS('Invoice Lines'!$N$5:$N$804,'Invoice Lines'!$B$5:$B$804,A71))</f>
        <v>0</v>
      </c>
      <c r="S71" s="21">
        <f>IF(A71="","",ROUND(R71*IF(K71="",0,K71),2))</f>
        <v>0</v>
      </c>
      <c r="T71" s="21">
        <f>IF(A71="","",R71-S71)</f>
        <v>0</v>
      </c>
      <c r="U71" s="21">
        <f>IF(A71="","",ROUND(T71*TaxRate,2))</f>
        <v>0</v>
      </c>
      <c r="V71" s="21">
        <f>IF(A71="","",T71+U71)</f>
        <v>0</v>
      </c>
      <c r="W71" s="21">
        <f>IF(A71="","",SUMIFS(Payments!$G$5:$G$404,Payments!$D$5:$D$404,A71))</f>
        <v>0</v>
      </c>
      <c r="X71" s="21">
        <f>IF(A71="","",ROUND(V71-W71,2))</f>
        <v>0</v>
      </c>
      <c r="Y71" s="31">
        <f>IF(B71="","",IF(J71&lt;&gt;"",J71,IF(IFERROR(INDEX(Clients!$P$5:$P$204,MATCH(D71,Clients!$A$5:$A$204,0)),"")&lt;&gt;"",INDEX(Clients!$P$5:$P$204,MATCH(D71,Clients!$A$5:$A$204,0)),PaymentTerms)))</f>
        <v>0</v>
      </c>
      <c r="Z71" s="18">
        <f>IF(OR(A71="",B71=""),"",B71+Y71)</f>
        <v>0</v>
      </c>
      <c r="AA71" s="31">
        <f>IF(OR(A71="",Z71=""),"",IF(X71&lt;=0.004,"",MAX(0,TodayDate-Z71-OverdueGrace)))</f>
        <v>0</v>
      </c>
      <c r="AB71" s="39">
        <f>IF(B71="","",IF(X71&lt;=0.004,"Paid",IF(AA71="","Not due yet",IF(AA71=0,"Due now",IF(AA71&lt;=30,"1-30 days",IF(AA71&lt;=60,"31-60 days",IF(AA71&lt;=90,"61-90 days","90+ days")))))))</f>
        <v>0</v>
      </c>
      <c r="AC71" s="21">
        <f>IF(OR(A71="",AA71=""),"",IF(AA71&lt;=0,0,ROUND(X71*LateFeePercent,2)))</f>
        <v>0</v>
      </c>
      <c r="AD71" s="50">
        <f>IF(B71="","",IF(X71&lt;=0.004,"Yes","No"))</f>
        <v>0</v>
      </c>
      <c r="AE71" s="39">
        <f>IF(B71="","",IF(Q71=0,"Add - no lines on this invoice yet",IF(H71="Written off","Written off",IF(AD71="Yes","OK - paid",IF(H71="Draft","Draft - not sent yet",IF(AND(AA71&lt;&gt;"",AA71&gt;30),"Overdue - "&amp;AA71&amp;" days, call them",IF(AND(AA71&lt;&gt;"",AA71&gt;0),"Overdue - send a reminder",IF(W71&gt;0,"Part paid","Due - waiting for payment"))))))))</f>
        <v>0</v>
      </c>
    </row>
    <row r="72" spans="1:31">
      <c r="A72" s="43">
        <f>IF(B72="","",InvoicePrefix&amp;TEXT(ROW()-4,"0000"))</f>
        <v>0</v>
      </c>
      <c r="C72" s="23">
        <f>IF(B72="","",TEXT(B72,"yyyy-mm"))</f>
        <v>0</v>
      </c>
      <c r="E72" s="23">
        <f>IF(D72="","",IFERROR(INDEX(Clients!$B$5:$B$204,MATCH(D72,Clients!$A$5:$A$204,0)),"Not found"))</f>
        <v>0</v>
      </c>
      <c r="F72" s="23">
        <f>IF(D72="","",IFERROR(INDEX(Clients!$G$5:$G$204,MATCH(D72,Clients!$A$5:$A$204,0)),""))</f>
        <v>0</v>
      </c>
      <c r="Q72" s="31">
        <f>IF(A72="","",COUNTIFS('Invoice Lines'!$B$5:$B$804,A72))</f>
        <v>0</v>
      </c>
      <c r="R72" s="21">
        <f>IF(A72="","",SUMIFS('Invoice Lines'!$N$5:$N$804,'Invoice Lines'!$B$5:$B$804,A72))</f>
        <v>0</v>
      </c>
      <c r="S72" s="21">
        <f>IF(A72="","",ROUND(R72*IF(K72="",0,K72),2))</f>
        <v>0</v>
      </c>
      <c r="T72" s="21">
        <f>IF(A72="","",R72-S72)</f>
        <v>0</v>
      </c>
      <c r="U72" s="21">
        <f>IF(A72="","",ROUND(T72*TaxRate,2))</f>
        <v>0</v>
      </c>
      <c r="V72" s="21">
        <f>IF(A72="","",T72+U72)</f>
        <v>0</v>
      </c>
      <c r="W72" s="21">
        <f>IF(A72="","",SUMIFS(Payments!$G$5:$G$404,Payments!$D$5:$D$404,A72))</f>
        <v>0</v>
      </c>
      <c r="X72" s="21">
        <f>IF(A72="","",ROUND(V72-W72,2))</f>
        <v>0</v>
      </c>
      <c r="Y72" s="31">
        <f>IF(B72="","",IF(J72&lt;&gt;"",J72,IF(IFERROR(INDEX(Clients!$P$5:$P$204,MATCH(D72,Clients!$A$5:$A$204,0)),"")&lt;&gt;"",INDEX(Clients!$P$5:$P$204,MATCH(D72,Clients!$A$5:$A$204,0)),PaymentTerms)))</f>
        <v>0</v>
      </c>
      <c r="Z72" s="18">
        <f>IF(OR(A72="",B72=""),"",B72+Y72)</f>
        <v>0</v>
      </c>
      <c r="AA72" s="31">
        <f>IF(OR(A72="",Z72=""),"",IF(X72&lt;=0.004,"",MAX(0,TodayDate-Z72-OverdueGrace)))</f>
        <v>0</v>
      </c>
      <c r="AB72" s="39">
        <f>IF(B72="","",IF(X72&lt;=0.004,"Paid",IF(AA72="","Not due yet",IF(AA72=0,"Due now",IF(AA72&lt;=30,"1-30 days",IF(AA72&lt;=60,"31-60 days",IF(AA72&lt;=90,"61-90 days","90+ days")))))))</f>
        <v>0</v>
      </c>
      <c r="AC72" s="21">
        <f>IF(OR(A72="",AA72=""),"",IF(AA72&lt;=0,0,ROUND(X72*LateFeePercent,2)))</f>
        <v>0</v>
      </c>
      <c r="AD72" s="50">
        <f>IF(B72="","",IF(X72&lt;=0.004,"Yes","No"))</f>
        <v>0</v>
      </c>
      <c r="AE72" s="39">
        <f>IF(B72="","",IF(Q72=0,"Add - no lines on this invoice yet",IF(H72="Written off","Written off",IF(AD72="Yes","OK - paid",IF(H72="Draft","Draft - not sent yet",IF(AND(AA72&lt;&gt;"",AA72&gt;30),"Overdue - "&amp;AA72&amp;" days, call them",IF(AND(AA72&lt;&gt;"",AA72&gt;0),"Overdue - send a reminder",IF(W72&gt;0,"Part paid","Due - waiting for payment"))))))))</f>
        <v>0</v>
      </c>
    </row>
    <row r="73" spans="1:31">
      <c r="A73" s="43">
        <f>IF(B73="","",InvoicePrefix&amp;TEXT(ROW()-4,"0000"))</f>
        <v>0</v>
      </c>
      <c r="C73" s="23">
        <f>IF(B73="","",TEXT(B73,"yyyy-mm"))</f>
        <v>0</v>
      </c>
      <c r="E73" s="23">
        <f>IF(D73="","",IFERROR(INDEX(Clients!$B$5:$B$204,MATCH(D73,Clients!$A$5:$A$204,0)),"Not found"))</f>
        <v>0</v>
      </c>
      <c r="F73" s="23">
        <f>IF(D73="","",IFERROR(INDEX(Clients!$G$5:$G$204,MATCH(D73,Clients!$A$5:$A$204,0)),""))</f>
        <v>0</v>
      </c>
      <c r="Q73" s="31">
        <f>IF(A73="","",COUNTIFS('Invoice Lines'!$B$5:$B$804,A73))</f>
        <v>0</v>
      </c>
      <c r="R73" s="21">
        <f>IF(A73="","",SUMIFS('Invoice Lines'!$N$5:$N$804,'Invoice Lines'!$B$5:$B$804,A73))</f>
        <v>0</v>
      </c>
      <c r="S73" s="21">
        <f>IF(A73="","",ROUND(R73*IF(K73="",0,K73),2))</f>
        <v>0</v>
      </c>
      <c r="T73" s="21">
        <f>IF(A73="","",R73-S73)</f>
        <v>0</v>
      </c>
      <c r="U73" s="21">
        <f>IF(A73="","",ROUND(T73*TaxRate,2))</f>
        <v>0</v>
      </c>
      <c r="V73" s="21">
        <f>IF(A73="","",T73+U73)</f>
        <v>0</v>
      </c>
      <c r="W73" s="21">
        <f>IF(A73="","",SUMIFS(Payments!$G$5:$G$404,Payments!$D$5:$D$404,A73))</f>
        <v>0</v>
      </c>
      <c r="X73" s="21">
        <f>IF(A73="","",ROUND(V73-W73,2))</f>
        <v>0</v>
      </c>
      <c r="Y73" s="31">
        <f>IF(B73="","",IF(J73&lt;&gt;"",J73,IF(IFERROR(INDEX(Clients!$P$5:$P$204,MATCH(D73,Clients!$A$5:$A$204,0)),"")&lt;&gt;"",INDEX(Clients!$P$5:$P$204,MATCH(D73,Clients!$A$5:$A$204,0)),PaymentTerms)))</f>
        <v>0</v>
      </c>
      <c r="Z73" s="18">
        <f>IF(OR(A73="",B73=""),"",B73+Y73)</f>
        <v>0</v>
      </c>
      <c r="AA73" s="31">
        <f>IF(OR(A73="",Z73=""),"",IF(X73&lt;=0.004,"",MAX(0,TodayDate-Z73-OverdueGrace)))</f>
        <v>0</v>
      </c>
      <c r="AB73" s="39">
        <f>IF(B73="","",IF(X73&lt;=0.004,"Paid",IF(AA73="","Not due yet",IF(AA73=0,"Due now",IF(AA73&lt;=30,"1-30 days",IF(AA73&lt;=60,"31-60 days",IF(AA73&lt;=90,"61-90 days","90+ days")))))))</f>
        <v>0</v>
      </c>
      <c r="AC73" s="21">
        <f>IF(OR(A73="",AA73=""),"",IF(AA73&lt;=0,0,ROUND(X73*LateFeePercent,2)))</f>
        <v>0</v>
      </c>
      <c r="AD73" s="50">
        <f>IF(B73="","",IF(X73&lt;=0.004,"Yes","No"))</f>
        <v>0</v>
      </c>
      <c r="AE73" s="39">
        <f>IF(B73="","",IF(Q73=0,"Add - no lines on this invoice yet",IF(H73="Written off","Written off",IF(AD73="Yes","OK - paid",IF(H73="Draft","Draft - not sent yet",IF(AND(AA73&lt;&gt;"",AA73&gt;30),"Overdue - "&amp;AA73&amp;" days, call them",IF(AND(AA73&lt;&gt;"",AA73&gt;0),"Overdue - send a reminder",IF(W73&gt;0,"Part paid","Due - waiting for payment"))))))))</f>
        <v>0</v>
      </c>
    </row>
    <row r="74" spans="1:31">
      <c r="A74" s="43">
        <f>IF(B74="","",InvoicePrefix&amp;TEXT(ROW()-4,"0000"))</f>
        <v>0</v>
      </c>
      <c r="C74" s="23">
        <f>IF(B74="","",TEXT(B74,"yyyy-mm"))</f>
        <v>0</v>
      </c>
      <c r="E74" s="23">
        <f>IF(D74="","",IFERROR(INDEX(Clients!$B$5:$B$204,MATCH(D74,Clients!$A$5:$A$204,0)),"Not found"))</f>
        <v>0</v>
      </c>
      <c r="F74" s="23">
        <f>IF(D74="","",IFERROR(INDEX(Clients!$G$5:$G$204,MATCH(D74,Clients!$A$5:$A$204,0)),""))</f>
        <v>0</v>
      </c>
      <c r="Q74" s="31">
        <f>IF(A74="","",COUNTIFS('Invoice Lines'!$B$5:$B$804,A74))</f>
        <v>0</v>
      </c>
      <c r="R74" s="21">
        <f>IF(A74="","",SUMIFS('Invoice Lines'!$N$5:$N$804,'Invoice Lines'!$B$5:$B$804,A74))</f>
        <v>0</v>
      </c>
      <c r="S74" s="21">
        <f>IF(A74="","",ROUND(R74*IF(K74="",0,K74),2))</f>
        <v>0</v>
      </c>
      <c r="T74" s="21">
        <f>IF(A74="","",R74-S74)</f>
        <v>0</v>
      </c>
      <c r="U74" s="21">
        <f>IF(A74="","",ROUND(T74*TaxRate,2))</f>
        <v>0</v>
      </c>
      <c r="V74" s="21">
        <f>IF(A74="","",T74+U74)</f>
        <v>0</v>
      </c>
      <c r="W74" s="21">
        <f>IF(A74="","",SUMIFS(Payments!$G$5:$G$404,Payments!$D$5:$D$404,A74))</f>
        <v>0</v>
      </c>
      <c r="X74" s="21">
        <f>IF(A74="","",ROUND(V74-W74,2))</f>
        <v>0</v>
      </c>
      <c r="Y74" s="31">
        <f>IF(B74="","",IF(J74&lt;&gt;"",J74,IF(IFERROR(INDEX(Clients!$P$5:$P$204,MATCH(D74,Clients!$A$5:$A$204,0)),"")&lt;&gt;"",INDEX(Clients!$P$5:$P$204,MATCH(D74,Clients!$A$5:$A$204,0)),PaymentTerms)))</f>
        <v>0</v>
      </c>
      <c r="Z74" s="18">
        <f>IF(OR(A74="",B74=""),"",B74+Y74)</f>
        <v>0</v>
      </c>
      <c r="AA74" s="31">
        <f>IF(OR(A74="",Z74=""),"",IF(X74&lt;=0.004,"",MAX(0,TodayDate-Z74-OverdueGrace)))</f>
        <v>0</v>
      </c>
      <c r="AB74" s="39">
        <f>IF(B74="","",IF(X74&lt;=0.004,"Paid",IF(AA74="","Not due yet",IF(AA74=0,"Due now",IF(AA74&lt;=30,"1-30 days",IF(AA74&lt;=60,"31-60 days",IF(AA74&lt;=90,"61-90 days","90+ days")))))))</f>
        <v>0</v>
      </c>
      <c r="AC74" s="21">
        <f>IF(OR(A74="",AA74=""),"",IF(AA74&lt;=0,0,ROUND(X74*LateFeePercent,2)))</f>
        <v>0</v>
      </c>
      <c r="AD74" s="50">
        <f>IF(B74="","",IF(X74&lt;=0.004,"Yes","No"))</f>
        <v>0</v>
      </c>
      <c r="AE74" s="39">
        <f>IF(B74="","",IF(Q74=0,"Add - no lines on this invoice yet",IF(H74="Written off","Written off",IF(AD74="Yes","OK - paid",IF(H74="Draft","Draft - not sent yet",IF(AND(AA74&lt;&gt;"",AA74&gt;30),"Overdue - "&amp;AA74&amp;" days, call them",IF(AND(AA74&lt;&gt;"",AA74&gt;0),"Overdue - send a reminder",IF(W74&gt;0,"Part paid","Due - waiting for payment"))))))))</f>
        <v>0</v>
      </c>
    </row>
    <row r="75" spans="1:31">
      <c r="A75" s="43">
        <f>IF(B75="","",InvoicePrefix&amp;TEXT(ROW()-4,"0000"))</f>
        <v>0</v>
      </c>
      <c r="C75" s="23">
        <f>IF(B75="","",TEXT(B75,"yyyy-mm"))</f>
        <v>0</v>
      </c>
      <c r="E75" s="23">
        <f>IF(D75="","",IFERROR(INDEX(Clients!$B$5:$B$204,MATCH(D75,Clients!$A$5:$A$204,0)),"Not found"))</f>
        <v>0</v>
      </c>
      <c r="F75" s="23">
        <f>IF(D75="","",IFERROR(INDEX(Clients!$G$5:$G$204,MATCH(D75,Clients!$A$5:$A$204,0)),""))</f>
        <v>0</v>
      </c>
      <c r="Q75" s="31">
        <f>IF(A75="","",COUNTIFS('Invoice Lines'!$B$5:$B$804,A75))</f>
        <v>0</v>
      </c>
      <c r="R75" s="21">
        <f>IF(A75="","",SUMIFS('Invoice Lines'!$N$5:$N$804,'Invoice Lines'!$B$5:$B$804,A75))</f>
        <v>0</v>
      </c>
      <c r="S75" s="21">
        <f>IF(A75="","",ROUND(R75*IF(K75="",0,K75),2))</f>
        <v>0</v>
      </c>
      <c r="T75" s="21">
        <f>IF(A75="","",R75-S75)</f>
        <v>0</v>
      </c>
      <c r="U75" s="21">
        <f>IF(A75="","",ROUND(T75*TaxRate,2))</f>
        <v>0</v>
      </c>
      <c r="V75" s="21">
        <f>IF(A75="","",T75+U75)</f>
        <v>0</v>
      </c>
      <c r="W75" s="21">
        <f>IF(A75="","",SUMIFS(Payments!$G$5:$G$404,Payments!$D$5:$D$404,A75))</f>
        <v>0</v>
      </c>
      <c r="X75" s="21">
        <f>IF(A75="","",ROUND(V75-W75,2))</f>
        <v>0</v>
      </c>
      <c r="Y75" s="31">
        <f>IF(B75="","",IF(J75&lt;&gt;"",J75,IF(IFERROR(INDEX(Clients!$P$5:$P$204,MATCH(D75,Clients!$A$5:$A$204,0)),"")&lt;&gt;"",INDEX(Clients!$P$5:$P$204,MATCH(D75,Clients!$A$5:$A$204,0)),PaymentTerms)))</f>
        <v>0</v>
      </c>
      <c r="Z75" s="18">
        <f>IF(OR(A75="",B75=""),"",B75+Y75)</f>
        <v>0</v>
      </c>
      <c r="AA75" s="31">
        <f>IF(OR(A75="",Z75=""),"",IF(X75&lt;=0.004,"",MAX(0,TodayDate-Z75-OverdueGrace)))</f>
        <v>0</v>
      </c>
      <c r="AB75" s="39">
        <f>IF(B75="","",IF(X75&lt;=0.004,"Paid",IF(AA75="","Not due yet",IF(AA75=0,"Due now",IF(AA75&lt;=30,"1-30 days",IF(AA75&lt;=60,"31-60 days",IF(AA75&lt;=90,"61-90 days","90+ days")))))))</f>
        <v>0</v>
      </c>
      <c r="AC75" s="21">
        <f>IF(OR(A75="",AA75=""),"",IF(AA75&lt;=0,0,ROUND(X75*LateFeePercent,2)))</f>
        <v>0</v>
      </c>
      <c r="AD75" s="50">
        <f>IF(B75="","",IF(X75&lt;=0.004,"Yes","No"))</f>
        <v>0</v>
      </c>
      <c r="AE75" s="39">
        <f>IF(B75="","",IF(Q75=0,"Add - no lines on this invoice yet",IF(H75="Written off","Written off",IF(AD75="Yes","OK - paid",IF(H75="Draft","Draft - not sent yet",IF(AND(AA75&lt;&gt;"",AA75&gt;30),"Overdue - "&amp;AA75&amp;" days, call them",IF(AND(AA75&lt;&gt;"",AA75&gt;0),"Overdue - send a reminder",IF(W75&gt;0,"Part paid","Due - waiting for payment"))))))))</f>
        <v>0</v>
      </c>
    </row>
    <row r="76" spans="1:31">
      <c r="A76" s="43">
        <f>IF(B76="","",InvoicePrefix&amp;TEXT(ROW()-4,"0000"))</f>
        <v>0</v>
      </c>
      <c r="C76" s="23">
        <f>IF(B76="","",TEXT(B76,"yyyy-mm"))</f>
        <v>0</v>
      </c>
      <c r="E76" s="23">
        <f>IF(D76="","",IFERROR(INDEX(Clients!$B$5:$B$204,MATCH(D76,Clients!$A$5:$A$204,0)),"Not found"))</f>
        <v>0</v>
      </c>
      <c r="F76" s="23">
        <f>IF(D76="","",IFERROR(INDEX(Clients!$G$5:$G$204,MATCH(D76,Clients!$A$5:$A$204,0)),""))</f>
        <v>0</v>
      </c>
      <c r="Q76" s="31">
        <f>IF(A76="","",COUNTIFS('Invoice Lines'!$B$5:$B$804,A76))</f>
        <v>0</v>
      </c>
      <c r="R76" s="21">
        <f>IF(A76="","",SUMIFS('Invoice Lines'!$N$5:$N$804,'Invoice Lines'!$B$5:$B$804,A76))</f>
        <v>0</v>
      </c>
      <c r="S76" s="21">
        <f>IF(A76="","",ROUND(R76*IF(K76="",0,K76),2))</f>
        <v>0</v>
      </c>
      <c r="T76" s="21">
        <f>IF(A76="","",R76-S76)</f>
        <v>0</v>
      </c>
      <c r="U76" s="21">
        <f>IF(A76="","",ROUND(T76*TaxRate,2))</f>
        <v>0</v>
      </c>
      <c r="V76" s="21">
        <f>IF(A76="","",T76+U76)</f>
        <v>0</v>
      </c>
      <c r="W76" s="21">
        <f>IF(A76="","",SUMIFS(Payments!$G$5:$G$404,Payments!$D$5:$D$404,A76))</f>
        <v>0</v>
      </c>
      <c r="X76" s="21">
        <f>IF(A76="","",ROUND(V76-W76,2))</f>
        <v>0</v>
      </c>
      <c r="Y76" s="31">
        <f>IF(B76="","",IF(J76&lt;&gt;"",J76,IF(IFERROR(INDEX(Clients!$P$5:$P$204,MATCH(D76,Clients!$A$5:$A$204,0)),"")&lt;&gt;"",INDEX(Clients!$P$5:$P$204,MATCH(D76,Clients!$A$5:$A$204,0)),PaymentTerms)))</f>
        <v>0</v>
      </c>
      <c r="Z76" s="18">
        <f>IF(OR(A76="",B76=""),"",B76+Y76)</f>
        <v>0</v>
      </c>
      <c r="AA76" s="31">
        <f>IF(OR(A76="",Z76=""),"",IF(X76&lt;=0.004,"",MAX(0,TodayDate-Z76-OverdueGrace)))</f>
        <v>0</v>
      </c>
      <c r="AB76" s="39">
        <f>IF(B76="","",IF(X76&lt;=0.004,"Paid",IF(AA76="","Not due yet",IF(AA76=0,"Due now",IF(AA76&lt;=30,"1-30 days",IF(AA76&lt;=60,"31-60 days",IF(AA76&lt;=90,"61-90 days","90+ days")))))))</f>
        <v>0</v>
      </c>
      <c r="AC76" s="21">
        <f>IF(OR(A76="",AA76=""),"",IF(AA76&lt;=0,0,ROUND(X76*LateFeePercent,2)))</f>
        <v>0</v>
      </c>
      <c r="AD76" s="50">
        <f>IF(B76="","",IF(X76&lt;=0.004,"Yes","No"))</f>
        <v>0</v>
      </c>
      <c r="AE76" s="39">
        <f>IF(B76="","",IF(Q76=0,"Add - no lines on this invoice yet",IF(H76="Written off","Written off",IF(AD76="Yes","OK - paid",IF(H76="Draft","Draft - not sent yet",IF(AND(AA76&lt;&gt;"",AA76&gt;30),"Overdue - "&amp;AA76&amp;" days, call them",IF(AND(AA76&lt;&gt;"",AA76&gt;0),"Overdue - send a reminder",IF(W76&gt;0,"Part paid","Due - waiting for payment"))))))))</f>
        <v>0</v>
      </c>
    </row>
    <row r="77" spans="1:31">
      <c r="A77" s="43">
        <f>IF(B77="","",InvoicePrefix&amp;TEXT(ROW()-4,"0000"))</f>
        <v>0</v>
      </c>
      <c r="C77" s="23">
        <f>IF(B77="","",TEXT(B77,"yyyy-mm"))</f>
        <v>0</v>
      </c>
      <c r="E77" s="23">
        <f>IF(D77="","",IFERROR(INDEX(Clients!$B$5:$B$204,MATCH(D77,Clients!$A$5:$A$204,0)),"Not found"))</f>
        <v>0</v>
      </c>
      <c r="F77" s="23">
        <f>IF(D77="","",IFERROR(INDEX(Clients!$G$5:$G$204,MATCH(D77,Clients!$A$5:$A$204,0)),""))</f>
        <v>0</v>
      </c>
      <c r="Q77" s="31">
        <f>IF(A77="","",COUNTIFS('Invoice Lines'!$B$5:$B$804,A77))</f>
        <v>0</v>
      </c>
      <c r="R77" s="21">
        <f>IF(A77="","",SUMIFS('Invoice Lines'!$N$5:$N$804,'Invoice Lines'!$B$5:$B$804,A77))</f>
        <v>0</v>
      </c>
      <c r="S77" s="21">
        <f>IF(A77="","",ROUND(R77*IF(K77="",0,K77),2))</f>
        <v>0</v>
      </c>
      <c r="T77" s="21">
        <f>IF(A77="","",R77-S77)</f>
        <v>0</v>
      </c>
      <c r="U77" s="21">
        <f>IF(A77="","",ROUND(T77*TaxRate,2))</f>
        <v>0</v>
      </c>
      <c r="V77" s="21">
        <f>IF(A77="","",T77+U77)</f>
        <v>0</v>
      </c>
      <c r="W77" s="21">
        <f>IF(A77="","",SUMIFS(Payments!$G$5:$G$404,Payments!$D$5:$D$404,A77))</f>
        <v>0</v>
      </c>
      <c r="X77" s="21">
        <f>IF(A77="","",ROUND(V77-W77,2))</f>
        <v>0</v>
      </c>
      <c r="Y77" s="31">
        <f>IF(B77="","",IF(J77&lt;&gt;"",J77,IF(IFERROR(INDEX(Clients!$P$5:$P$204,MATCH(D77,Clients!$A$5:$A$204,0)),"")&lt;&gt;"",INDEX(Clients!$P$5:$P$204,MATCH(D77,Clients!$A$5:$A$204,0)),PaymentTerms)))</f>
        <v>0</v>
      </c>
      <c r="Z77" s="18">
        <f>IF(OR(A77="",B77=""),"",B77+Y77)</f>
        <v>0</v>
      </c>
      <c r="AA77" s="31">
        <f>IF(OR(A77="",Z77=""),"",IF(X77&lt;=0.004,"",MAX(0,TodayDate-Z77-OverdueGrace)))</f>
        <v>0</v>
      </c>
      <c r="AB77" s="39">
        <f>IF(B77="","",IF(X77&lt;=0.004,"Paid",IF(AA77="","Not due yet",IF(AA77=0,"Due now",IF(AA77&lt;=30,"1-30 days",IF(AA77&lt;=60,"31-60 days",IF(AA77&lt;=90,"61-90 days","90+ days")))))))</f>
        <v>0</v>
      </c>
      <c r="AC77" s="21">
        <f>IF(OR(A77="",AA77=""),"",IF(AA77&lt;=0,0,ROUND(X77*LateFeePercent,2)))</f>
        <v>0</v>
      </c>
      <c r="AD77" s="50">
        <f>IF(B77="","",IF(X77&lt;=0.004,"Yes","No"))</f>
        <v>0</v>
      </c>
      <c r="AE77" s="39">
        <f>IF(B77="","",IF(Q77=0,"Add - no lines on this invoice yet",IF(H77="Written off","Written off",IF(AD77="Yes","OK - paid",IF(H77="Draft","Draft - not sent yet",IF(AND(AA77&lt;&gt;"",AA77&gt;30),"Overdue - "&amp;AA77&amp;" days, call them",IF(AND(AA77&lt;&gt;"",AA77&gt;0),"Overdue - send a reminder",IF(W77&gt;0,"Part paid","Due - waiting for payment"))))))))</f>
        <v>0</v>
      </c>
    </row>
    <row r="78" spans="1:31">
      <c r="A78" s="43">
        <f>IF(B78="","",InvoicePrefix&amp;TEXT(ROW()-4,"0000"))</f>
        <v>0</v>
      </c>
      <c r="C78" s="23">
        <f>IF(B78="","",TEXT(B78,"yyyy-mm"))</f>
        <v>0</v>
      </c>
      <c r="E78" s="23">
        <f>IF(D78="","",IFERROR(INDEX(Clients!$B$5:$B$204,MATCH(D78,Clients!$A$5:$A$204,0)),"Not found"))</f>
        <v>0</v>
      </c>
      <c r="F78" s="23">
        <f>IF(D78="","",IFERROR(INDEX(Clients!$G$5:$G$204,MATCH(D78,Clients!$A$5:$A$204,0)),""))</f>
        <v>0</v>
      </c>
      <c r="Q78" s="31">
        <f>IF(A78="","",COUNTIFS('Invoice Lines'!$B$5:$B$804,A78))</f>
        <v>0</v>
      </c>
      <c r="R78" s="21">
        <f>IF(A78="","",SUMIFS('Invoice Lines'!$N$5:$N$804,'Invoice Lines'!$B$5:$B$804,A78))</f>
        <v>0</v>
      </c>
      <c r="S78" s="21">
        <f>IF(A78="","",ROUND(R78*IF(K78="",0,K78),2))</f>
        <v>0</v>
      </c>
      <c r="T78" s="21">
        <f>IF(A78="","",R78-S78)</f>
        <v>0</v>
      </c>
      <c r="U78" s="21">
        <f>IF(A78="","",ROUND(T78*TaxRate,2))</f>
        <v>0</v>
      </c>
      <c r="V78" s="21">
        <f>IF(A78="","",T78+U78)</f>
        <v>0</v>
      </c>
      <c r="W78" s="21">
        <f>IF(A78="","",SUMIFS(Payments!$G$5:$G$404,Payments!$D$5:$D$404,A78))</f>
        <v>0</v>
      </c>
      <c r="X78" s="21">
        <f>IF(A78="","",ROUND(V78-W78,2))</f>
        <v>0</v>
      </c>
      <c r="Y78" s="31">
        <f>IF(B78="","",IF(J78&lt;&gt;"",J78,IF(IFERROR(INDEX(Clients!$P$5:$P$204,MATCH(D78,Clients!$A$5:$A$204,0)),"")&lt;&gt;"",INDEX(Clients!$P$5:$P$204,MATCH(D78,Clients!$A$5:$A$204,0)),PaymentTerms)))</f>
        <v>0</v>
      </c>
      <c r="Z78" s="18">
        <f>IF(OR(A78="",B78=""),"",B78+Y78)</f>
        <v>0</v>
      </c>
      <c r="AA78" s="31">
        <f>IF(OR(A78="",Z78=""),"",IF(X78&lt;=0.004,"",MAX(0,TodayDate-Z78-OverdueGrace)))</f>
        <v>0</v>
      </c>
      <c r="AB78" s="39">
        <f>IF(B78="","",IF(X78&lt;=0.004,"Paid",IF(AA78="","Not due yet",IF(AA78=0,"Due now",IF(AA78&lt;=30,"1-30 days",IF(AA78&lt;=60,"31-60 days",IF(AA78&lt;=90,"61-90 days","90+ days")))))))</f>
        <v>0</v>
      </c>
      <c r="AC78" s="21">
        <f>IF(OR(A78="",AA78=""),"",IF(AA78&lt;=0,0,ROUND(X78*LateFeePercent,2)))</f>
        <v>0</v>
      </c>
      <c r="AD78" s="50">
        <f>IF(B78="","",IF(X78&lt;=0.004,"Yes","No"))</f>
        <v>0</v>
      </c>
      <c r="AE78" s="39">
        <f>IF(B78="","",IF(Q78=0,"Add - no lines on this invoice yet",IF(H78="Written off","Written off",IF(AD78="Yes","OK - paid",IF(H78="Draft","Draft - not sent yet",IF(AND(AA78&lt;&gt;"",AA78&gt;30),"Overdue - "&amp;AA78&amp;" days, call them",IF(AND(AA78&lt;&gt;"",AA78&gt;0),"Overdue - send a reminder",IF(W78&gt;0,"Part paid","Due - waiting for payment"))))))))</f>
        <v>0</v>
      </c>
    </row>
    <row r="79" spans="1:31">
      <c r="A79" s="43">
        <f>IF(B79="","",InvoicePrefix&amp;TEXT(ROW()-4,"0000"))</f>
        <v>0</v>
      </c>
      <c r="C79" s="23">
        <f>IF(B79="","",TEXT(B79,"yyyy-mm"))</f>
        <v>0</v>
      </c>
      <c r="E79" s="23">
        <f>IF(D79="","",IFERROR(INDEX(Clients!$B$5:$B$204,MATCH(D79,Clients!$A$5:$A$204,0)),"Not found"))</f>
        <v>0</v>
      </c>
      <c r="F79" s="23">
        <f>IF(D79="","",IFERROR(INDEX(Clients!$G$5:$G$204,MATCH(D79,Clients!$A$5:$A$204,0)),""))</f>
        <v>0</v>
      </c>
      <c r="Q79" s="31">
        <f>IF(A79="","",COUNTIFS('Invoice Lines'!$B$5:$B$804,A79))</f>
        <v>0</v>
      </c>
      <c r="R79" s="21">
        <f>IF(A79="","",SUMIFS('Invoice Lines'!$N$5:$N$804,'Invoice Lines'!$B$5:$B$804,A79))</f>
        <v>0</v>
      </c>
      <c r="S79" s="21">
        <f>IF(A79="","",ROUND(R79*IF(K79="",0,K79),2))</f>
        <v>0</v>
      </c>
      <c r="T79" s="21">
        <f>IF(A79="","",R79-S79)</f>
        <v>0</v>
      </c>
      <c r="U79" s="21">
        <f>IF(A79="","",ROUND(T79*TaxRate,2))</f>
        <v>0</v>
      </c>
      <c r="V79" s="21">
        <f>IF(A79="","",T79+U79)</f>
        <v>0</v>
      </c>
      <c r="W79" s="21">
        <f>IF(A79="","",SUMIFS(Payments!$G$5:$G$404,Payments!$D$5:$D$404,A79))</f>
        <v>0</v>
      </c>
      <c r="X79" s="21">
        <f>IF(A79="","",ROUND(V79-W79,2))</f>
        <v>0</v>
      </c>
      <c r="Y79" s="31">
        <f>IF(B79="","",IF(J79&lt;&gt;"",J79,IF(IFERROR(INDEX(Clients!$P$5:$P$204,MATCH(D79,Clients!$A$5:$A$204,0)),"")&lt;&gt;"",INDEX(Clients!$P$5:$P$204,MATCH(D79,Clients!$A$5:$A$204,0)),PaymentTerms)))</f>
        <v>0</v>
      </c>
      <c r="Z79" s="18">
        <f>IF(OR(A79="",B79=""),"",B79+Y79)</f>
        <v>0</v>
      </c>
      <c r="AA79" s="31">
        <f>IF(OR(A79="",Z79=""),"",IF(X79&lt;=0.004,"",MAX(0,TodayDate-Z79-OverdueGrace)))</f>
        <v>0</v>
      </c>
      <c r="AB79" s="39">
        <f>IF(B79="","",IF(X79&lt;=0.004,"Paid",IF(AA79="","Not due yet",IF(AA79=0,"Due now",IF(AA79&lt;=30,"1-30 days",IF(AA79&lt;=60,"31-60 days",IF(AA79&lt;=90,"61-90 days","90+ days")))))))</f>
        <v>0</v>
      </c>
      <c r="AC79" s="21">
        <f>IF(OR(A79="",AA79=""),"",IF(AA79&lt;=0,0,ROUND(X79*LateFeePercent,2)))</f>
        <v>0</v>
      </c>
      <c r="AD79" s="50">
        <f>IF(B79="","",IF(X79&lt;=0.004,"Yes","No"))</f>
        <v>0</v>
      </c>
      <c r="AE79" s="39">
        <f>IF(B79="","",IF(Q79=0,"Add - no lines on this invoice yet",IF(H79="Written off","Written off",IF(AD79="Yes","OK - paid",IF(H79="Draft","Draft - not sent yet",IF(AND(AA79&lt;&gt;"",AA79&gt;30),"Overdue - "&amp;AA79&amp;" days, call them",IF(AND(AA79&lt;&gt;"",AA79&gt;0),"Overdue - send a reminder",IF(W79&gt;0,"Part paid","Due - waiting for payment"))))))))</f>
        <v>0</v>
      </c>
    </row>
    <row r="80" spans="1:31">
      <c r="A80" s="43">
        <f>IF(B80="","",InvoicePrefix&amp;TEXT(ROW()-4,"0000"))</f>
        <v>0</v>
      </c>
      <c r="C80" s="23">
        <f>IF(B80="","",TEXT(B80,"yyyy-mm"))</f>
        <v>0</v>
      </c>
      <c r="E80" s="23">
        <f>IF(D80="","",IFERROR(INDEX(Clients!$B$5:$B$204,MATCH(D80,Clients!$A$5:$A$204,0)),"Not found"))</f>
        <v>0</v>
      </c>
      <c r="F80" s="23">
        <f>IF(D80="","",IFERROR(INDEX(Clients!$G$5:$G$204,MATCH(D80,Clients!$A$5:$A$204,0)),""))</f>
        <v>0</v>
      </c>
      <c r="Q80" s="31">
        <f>IF(A80="","",COUNTIFS('Invoice Lines'!$B$5:$B$804,A80))</f>
        <v>0</v>
      </c>
      <c r="R80" s="21">
        <f>IF(A80="","",SUMIFS('Invoice Lines'!$N$5:$N$804,'Invoice Lines'!$B$5:$B$804,A80))</f>
        <v>0</v>
      </c>
      <c r="S80" s="21">
        <f>IF(A80="","",ROUND(R80*IF(K80="",0,K80),2))</f>
        <v>0</v>
      </c>
      <c r="T80" s="21">
        <f>IF(A80="","",R80-S80)</f>
        <v>0</v>
      </c>
      <c r="U80" s="21">
        <f>IF(A80="","",ROUND(T80*TaxRate,2))</f>
        <v>0</v>
      </c>
      <c r="V80" s="21">
        <f>IF(A80="","",T80+U80)</f>
        <v>0</v>
      </c>
      <c r="W80" s="21">
        <f>IF(A80="","",SUMIFS(Payments!$G$5:$G$404,Payments!$D$5:$D$404,A80))</f>
        <v>0</v>
      </c>
      <c r="X80" s="21">
        <f>IF(A80="","",ROUND(V80-W80,2))</f>
        <v>0</v>
      </c>
      <c r="Y80" s="31">
        <f>IF(B80="","",IF(J80&lt;&gt;"",J80,IF(IFERROR(INDEX(Clients!$P$5:$P$204,MATCH(D80,Clients!$A$5:$A$204,0)),"")&lt;&gt;"",INDEX(Clients!$P$5:$P$204,MATCH(D80,Clients!$A$5:$A$204,0)),PaymentTerms)))</f>
        <v>0</v>
      </c>
      <c r="Z80" s="18">
        <f>IF(OR(A80="",B80=""),"",B80+Y80)</f>
        <v>0</v>
      </c>
      <c r="AA80" s="31">
        <f>IF(OR(A80="",Z80=""),"",IF(X80&lt;=0.004,"",MAX(0,TodayDate-Z80-OverdueGrace)))</f>
        <v>0</v>
      </c>
      <c r="AB80" s="39">
        <f>IF(B80="","",IF(X80&lt;=0.004,"Paid",IF(AA80="","Not due yet",IF(AA80=0,"Due now",IF(AA80&lt;=30,"1-30 days",IF(AA80&lt;=60,"31-60 days",IF(AA80&lt;=90,"61-90 days","90+ days")))))))</f>
        <v>0</v>
      </c>
      <c r="AC80" s="21">
        <f>IF(OR(A80="",AA80=""),"",IF(AA80&lt;=0,0,ROUND(X80*LateFeePercent,2)))</f>
        <v>0</v>
      </c>
      <c r="AD80" s="50">
        <f>IF(B80="","",IF(X80&lt;=0.004,"Yes","No"))</f>
        <v>0</v>
      </c>
      <c r="AE80" s="39">
        <f>IF(B80="","",IF(Q80=0,"Add - no lines on this invoice yet",IF(H80="Written off","Written off",IF(AD80="Yes","OK - paid",IF(H80="Draft","Draft - not sent yet",IF(AND(AA80&lt;&gt;"",AA80&gt;30),"Overdue - "&amp;AA80&amp;" days, call them",IF(AND(AA80&lt;&gt;"",AA80&gt;0),"Overdue - send a reminder",IF(W80&gt;0,"Part paid","Due - waiting for payment"))))))))</f>
        <v>0</v>
      </c>
    </row>
    <row r="81" spans="1:31">
      <c r="A81" s="43">
        <f>IF(B81="","",InvoicePrefix&amp;TEXT(ROW()-4,"0000"))</f>
        <v>0</v>
      </c>
      <c r="C81" s="23">
        <f>IF(B81="","",TEXT(B81,"yyyy-mm"))</f>
        <v>0</v>
      </c>
      <c r="E81" s="23">
        <f>IF(D81="","",IFERROR(INDEX(Clients!$B$5:$B$204,MATCH(D81,Clients!$A$5:$A$204,0)),"Not found"))</f>
        <v>0</v>
      </c>
      <c r="F81" s="23">
        <f>IF(D81="","",IFERROR(INDEX(Clients!$G$5:$G$204,MATCH(D81,Clients!$A$5:$A$204,0)),""))</f>
        <v>0</v>
      </c>
      <c r="Q81" s="31">
        <f>IF(A81="","",COUNTIFS('Invoice Lines'!$B$5:$B$804,A81))</f>
        <v>0</v>
      </c>
      <c r="R81" s="21">
        <f>IF(A81="","",SUMIFS('Invoice Lines'!$N$5:$N$804,'Invoice Lines'!$B$5:$B$804,A81))</f>
        <v>0</v>
      </c>
      <c r="S81" s="21">
        <f>IF(A81="","",ROUND(R81*IF(K81="",0,K81),2))</f>
        <v>0</v>
      </c>
      <c r="T81" s="21">
        <f>IF(A81="","",R81-S81)</f>
        <v>0</v>
      </c>
      <c r="U81" s="21">
        <f>IF(A81="","",ROUND(T81*TaxRate,2))</f>
        <v>0</v>
      </c>
      <c r="V81" s="21">
        <f>IF(A81="","",T81+U81)</f>
        <v>0</v>
      </c>
      <c r="W81" s="21">
        <f>IF(A81="","",SUMIFS(Payments!$G$5:$G$404,Payments!$D$5:$D$404,A81))</f>
        <v>0</v>
      </c>
      <c r="X81" s="21">
        <f>IF(A81="","",ROUND(V81-W81,2))</f>
        <v>0</v>
      </c>
      <c r="Y81" s="31">
        <f>IF(B81="","",IF(J81&lt;&gt;"",J81,IF(IFERROR(INDEX(Clients!$P$5:$P$204,MATCH(D81,Clients!$A$5:$A$204,0)),"")&lt;&gt;"",INDEX(Clients!$P$5:$P$204,MATCH(D81,Clients!$A$5:$A$204,0)),PaymentTerms)))</f>
        <v>0</v>
      </c>
      <c r="Z81" s="18">
        <f>IF(OR(A81="",B81=""),"",B81+Y81)</f>
        <v>0</v>
      </c>
      <c r="AA81" s="31">
        <f>IF(OR(A81="",Z81=""),"",IF(X81&lt;=0.004,"",MAX(0,TodayDate-Z81-OverdueGrace)))</f>
        <v>0</v>
      </c>
      <c r="AB81" s="39">
        <f>IF(B81="","",IF(X81&lt;=0.004,"Paid",IF(AA81="","Not due yet",IF(AA81=0,"Due now",IF(AA81&lt;=30,"1-30 days",IF(AA81&lt;=60,"31-60 days",IF(AA81&lt;=90,"61-90 days","90+ days")))))))</f>
        <v>0</v>
      </c>
      <c r="AC81" s="21">
        <f>IF(OR(A81="",AA81=""),"",IF(AA81&lt;=0,0,ROUND(X81*LateFeePercent,2)))</f>
        <v>0</v>
      </c>
      <c r="AD81" s="50">
        <f>IF(B81="","",IF(X81&lt;=0.004,"Yes","No"))</f>
        <v>0</v>
      </c>
      <c r="AE81" s="39">
        <f>IF(B81="","",IF(Q81=0,"Add - no lines on this invoice yet",IF(H81="Written off","Written off",IF(AD81="Yes","OK - paid",IF(H81="Draft","Draft - not sent yet",IF(AND(AA81&lt;&gt;"",AA81&gt;30),"Overdue - "&amp;AA81&amp;" days, call them",IF(AND(AA81&lt;&gt;"",AA81&gt;0),"Overdue - send a reminder",IF(W81&gt;0,"Part paid","Due - waiting for payment"))))))))</f>
        <v>0</v>
      </c>
    </row>
    <row r="82" spans="1:31">
      <c r="A82" s="43">
        <f>IF(B82="","",InvoicePrefix&amp;TEXT(ROW()-4,"0000"))</f>
        <v>0</v>
      </c>
      <c r="C82" s="23">
        <f>IF(B82="","",TEXT(B82,"yyyy-mm"))</f>
        <v>0</v>
      </c>
      <c r="E82" s="23">
        <f>IF(D82="","",IFERROR(INDEX(Clients!$B$5:$B$204,MATCH(D82,Clients!$A$5:$A$204,0)),"Not found"))</f>
        <v>0</v>
      </c>
      <c r="F82" s="23">
        <f>IF(D82="","",IFERROR(INDEX(Clients!$G$5:$G$204,MATCH(D82,Clients!$A$5:$A$204,0)),""))</f>
        <v>0</v>
      </c>
      <c r="Q82" s="31">
        <f>IF(A82="","",COUNTIFS('Invoice Lines'!$B$5:$B$804,A82))</f>
        <v>0</v>
      </c>
      <c r="R82" s="21">
        <f>IF(A82="","",SUMIFS('Invoice Lines'!$N$5:$N$804,'Invoice Lines'!$B$5:$B$804,A82))</f>
        <v>0</v>
      </c>
      <c r="S82" s="21">
        <f>IF(A82="","",ROUND(R82*IF(K82="",0,K82),2))</f>
        <v>0</v>
      </c>
      <c r="T82" s="21">
        <f>IF(A82="","",R82-S82)</f>
        <v>0</v>
      </c>
      <c r="U82" s="21">
        <f>IF(A82="","",ROUND(T82*TaxRate,2))</f>
        <v>0</v>
      </c>
      <c r="V82" s="21">
        <f>IF(A82="","",T82+U82)</f>
        <v>0</v>
      </c>
      <c r="W82" s="21">
        <f>IF(A82="","",SUMIFS(Payments!$G$5:$G$404,Payments!$D$5:$D$404,A82))</f>
        <v>0</v>
      </c>
      <c r="X82" s="21">
        <f>IF(A82="","",ROUND(V82-W82,2))</f>
        <v>0</v>
      </c>
      <c r="Y82" s="31">
        <f>IF(B82="","",IF(J82&lt;&gt;"",J82,IF(IFERROR(INDEX(Clients!$P$5:$P$204,MATCH(D82,Clients!$A$5:$A$204,0)),"")&lt;&gt;"",INDEX(Clients!$P$5:$P$204,MATCH(D82,Clients!$A$5:$A$204,0)),PaymentTerms)))</f>
        <v>0</v>
      </c>
      <c r="Z82" s="18">
        <f>IF(OR(A82="",B82=""),"",B82+Y82)</f>
        <v>0</v>
      </c>
      <c r="AA82" s="31">
        <f>IF(OR(A82="",Z82=""),"",IF(X82&lt;=0.004,"",MAX(0,TodayDate-Z82-OverdueGrace)))</f>
        <v>0</v>
      </c>
      <c r="AB82" s="39">
        <f>IF(B82="","",IF(X82&lt;=0.004,"Paid",IF(AA82="","Not due yet",IF(AA82=0,"Due now",IF(AA82&lt;=30,"1-30 days",IF(AA82&lt;=60,"31-60 days",IF(AA82&lt;=90,"61-90 days","90+ days")))))))</f>
        <v>0</v>
      </c>
      <c r="AC82" s="21">
        <f>IF(OR(A82="",AA82=""),"",IF(AA82&lt;=0,0,ROUND(X82*LateFeePercent,2)))</f>
        <v>0</v>
      </c>
      <c r="AD82" s="50">
        <f>IF(B82="","",IF(X82&lt;=0.004,"Yes","No"))</f>
        <v>0</v>
      </c>
      <c r="AE82" s="39">
        <f>IF(B82="","",IF(Q82=0,"Add - no lines on this invoice yet",IF(H82="Written off","Written off",IF(AD82="Yes","OK - paid",IF(H82="Draft","Draft - not sent yet",IF(AND(AA82&lt;&gt;"",AA82&gt;30),"Overdue - "&amp;AA82&amp;" days, call them",IF(AND(AA82&lt;&gt;"",AA82&gt;0),"Overdue - send a reminder",IF(W82&gt;0,"Part paid","Due - waiting for payment"))))))))</f>
        <v>0</v>
      </c>
    </row>
    <row r="83" spans="1:31">
      <c r="A83" s="43">
        <f>IF(B83="","",InvoicePrefix&amp;TEXT(ROW()-4,"0000"))</f>
        <v>0</v>
      </c>
      <c r="C83" s="23">
        <f>IF(B83="","",TEXT(B83,"yyyy-mm"))</f>
        <v>0</v>
      </c>
      <c r="E83" s="23">
        <f>IF(D83="","",IFERROR(INDEX(Clients!$B$5:$B$204,MATCH(D83,Clients!$A$5:$A$204,0)),"Not found"))</f>
        <v>0</v>
      </c>
      <c r="F83" s="23">
        <f>IF(D83="","",IFERROR(INDEX(Clients!$G$5:$G$204,MATCH(D83,Clients!$A$5:$A$204,0)),""))</f>
        <v>0</v>
      </c>
      <c r="Q83" s="31">
        <f>IF(A83="","",COUNTIFS('Invoice Lines'!$B$5:$B$804,A83))</f>
        <v>0</v>
      </c>
      <c r="R83" s="21">
        <f>IF(A83="","",SUMIFS('Invoice Lines'!$N$5:$N$804,'Invoice Lines'!$B$5:$B$804,A83))</f>
        <v>0</v>
      </c>
      <c r="S83" s="21">
        <f>IF(A83="","",ROUND(R83*IF(K83="",0,K83),2))</f>
        <v>0</v>
      </c>
      <c r="T83" s="21">
        <f>IF(A83="","",R83-S83)</f>
        <v>0</v>
      </c>
      <c r="U83" s="21">
        <f>IF(A83="","",ROUND(T83*TaxRate,2))</f>
        <v>0</v>
      </c>
      <c r="V83" s="21">
        <f>IF(A83="","",T83+U83)</f>
        <v>0</v>
      </c>
      <c r="W83" s="21">
        <f>IF(A83="","",SUMIFS(Payments!$G$5:$G$404,Payments!$D$5:$D$404,A83))</f>
        <v>0</v>
      </c>
      <c r="X83" s="21">
        <f>IF(A83="","",ROUND(V83-W83,2))</f>
        <v>0</v>
      </c>
      <c r="Y83" s="31">
        <f>IF(B83="","",IF(J83&lt;&gt;"",J83,IF(IFERROR(INDEX(Clients!$P$5:$P$204,MATCH(D83,Clients!$A$5:$A$204,0)),"")&lt;&gt;"",INDEX(Clients!$P$5:$P$204,MATCH(D83,Clients!$A$5:$A$204,0)),PaymentTerms)))</f>
        <v>0</v>
      </c>
      <c r="Z83" s="18">
        <f>IF(OR(A83="",B83=""),"",B83+Y83)</f>
        <v>0</v>
      </c>
      <c r="AA83" s="31">
        <f>IF(OR(A83="",Z83=""),"",IF(X83&lt;=0.004,"",MAX(0,TodayDate-Z83-OverdueGrace)))</f>
        <v>0</v>
      </c>
      <c r="AB83" s="39">
        <f>IF(B83="","",IF(X83&lt;=0.004,"Paid",IF(AA83="","Not due yet",IF(AA83=0,"Due now",IF(AA83&lt;=30,"1-30 days",IF(AA83&lt;=60,"31-60 days",IF(AA83&lt;=90,"61-90 days","90+ days")))))))</f>
        <v>0</v>
      </c>
      <c r="AC83" s="21">
        <f>IF(OR(A83="",AA83=""),"",IF(AA83&lt;=0,0,ROUND(X83*LateFeePercent,2)))</f>
        <v>0</v>
      </c>
      <c r="AD83" s="50">
        <f>IF(B83="","",IF(X83&lt;=0.004,"Yes","No"))</f>
        <v>0</v>
      </c>
      <c r="AE83" s="39">
        <f>IF(B83="","",IF(Q83=0,"Add - no lines on this invoice yet",IF(H83="Written off","Written off",IF(AD83="Yes","OK - paid",IF(H83="Draft","Draft - not sent yet",IF(AND(AA83&lt;&gt;"",AA83&gt;30),"Overdue - "&amp;AA83&amp;" days, call them",IF(AND(AA83&lt;&gt;"",AA83&gt;0),"Overdue - send a reminder",IF(W83&gt;0,"Part paid","Due - waiting for payment"))))))))</f>
        <v>0</v>
      </c>
    </row>
    <row r="84" spans="1:31">
      <c r="A84" s="43">
        <f>IF(B84="","",InvoicePrefix&amp;TEXT(ROW()-4,"0000"))</f>
        <v>0</v>
      </c>
      <c r="C84" s="23">
        <f>IF(B84="","",TEXT(B84,"yyyy-mm"))</f>
        <v>0</v>
      </c>
      <c r="E84" s="23">
        <f>IF(D84="","",IFERROR(INDEX(Clients!$B$5:$B$204,MATCH(D84,Clients!$A$5:$A$204,0)),"Not found"))</f>
        <v>0</v>
      </c>
      <c r="F84" s="23">
        <f>IF(D84="","",IFERROR(INDEX(Clients!$G$5:$G$204,MATCH(D84,Clients!$A$5:$A$204,0)),""))</f>
        <v>0</v>
      </c>
      <c r="Q84" s="31">
        <f>IF(A84="","",COUNTIFS('Invoice Lines'!$B$5:$B$804,A84))</f>
        <v>0</v>
      </c>
      <c r="R84" s="21">
        <f>IF(A84="","",SUMIFS('Invoice Lines'!$N$5:$N$804,'Invoice Lines'!$B$5:$B$804,A84))</f>
        <v>0</v>
      </c>
      <c r="S84" s="21">
        <f>IF(A84="","",ROUND(R84*IF(K84="",0,K84),2))</f>
        <v>0</v>
      </c>
      <c r="T84" s="21">
        <f>IF(A84="","",R84-S84)</f>
        <v>0</v>
      </c>
      <c r="U84" s="21">
        <f>IF(A84="","",ROUND(T84*TaxRate,2))</f>
        <v>0</v>
      </c>
      <c r="V84" s="21">
        <f>IF(A84="","",T84+U84)</f>
        <v>0</v>
      </c>
      <c r="W84" s="21">
        <f>IF(A84="","",SUMIFS(Payments!$G$5:$G$404,Payments!$D$5:$D$404,A84))</f>
        <v>0</v>
      </c>
      <c r="X84" s="21">
        <f>IF(A84="","",ROUND(V84-W84,2))</f>
        <v>0</v>
      </c>
      <c r="Y84" s="31">
        <f>IF(B84="","",IF(J84&lt;&gt;"",J84,IF(IFERROR(INDEX(Clients!$P$5:$P$204,MATCH(D84,Clients!$A$5:$A$204,0)),"")&lt;&gt;"",INDEX(Clients!$P$5:$P$204,MATCH(D84,Clients!$A$5:$A$204,0)),PaymentTerms)))</f>
        <v>0</v>
      </c>
      <c r="Z84" s="18">
        <f>IF(OR(A84="",B84=""),"",B84+Y84)</f>
        <v>0</v>
      </c>
      <c r="AA84" s="31">
        <f>IF(OR(A84="",Z84=""),"",IF(X84&lt;=0.004,"",MAX(0,TodayDate-Z84-OverdueGrace)))</f>
        <v>0</v>
      </c>
      <c r="AB84" s="39">
        <f>IF(B84="","",IF(X84&lt;=0.004,"Paid",IF(AA84="","Not due yet",IF(AA84=0,"Due now",IF(AA84&lt;=30,"1-30 days",IF(AA84&lt;=60,"31-60 days",IF(AA84&lt;=90,"61-90 days","90+ days")))))))</f>
        <v>0</v>
      </c>
      <c r="AC84" s="21">
        <f>IF(OR(A84="",AA84=""),"",IF(AA84&lt;=0,0,ROUND(X84*LateFeePercent,2)))</f>
        <v>0</v>
      </c>
      <c r="AD84" s="50">
        <f>IF(B84="","",IF(X84&lt;=0.004,"Yes","No"))</f>
        <v>0</v>
      </c>
      <c r="AE84" s="39">
        <f>IF(B84="","",IF(Q84=0,"Add - no lines on this invoice yet",IF(H84="Written off","Written off",IF(AD84="Yes","OK - paid",IF(H84="Draft","Draft - not sent yet",IF(AND(AA84&lt;&gt;"",AA84&gt;30),"Overdue - "&amp;AA84&amp;" days, call them",IF(AND(AA84&lt;&gt;"",AA84&gt;0),"Overdue - send a reminder",IF(W84&gt;0,"Part paid","Due - waiting for payment"))))))))</f>
        <v>0</v>
      </c>
    </row>
    <row r="85" spans="1:31">
      <c r="A85" s="43">
        <f>IF(B85="","",InvoicePrefix&amp;TEXT(ROW()-4,"0000"))</f>
        <v>0</v>
      </c>
      <c r="C85" s="23">
        <f>IF(B85="","",TEXT(B85,"yyyy-mm"))</f>
        <v>0</v>
      </c>
      <c r="E85" s="23">
        <f>IF(D85="","",IFERROR(INDEX(Clients!$B$5:$B$204,MATCH(D85,Clients!$A$5:$A$204,0)),"Not found"))</f>
        <v>0</v>
      </c>
      <c r="F85" s="23">
        <f>IF(D85="","",IFERROR(INDEX(Clients!$G$5:$G$204,MATCH(D85,Clients!$A$5:$A$204,0)),""))</f>
        <v>0</v>
      </c>
      <c r="Q85" s="31">
        <f>IF(A85="","",COUNTIFS('Invoice Lines'!$B$5:$B$804,A85))</f>
        <v>0</v>
      </c>
      <c r="R85" s="21">
        <f>IF(A85="","",SUMIFS('Invoice Lines'!$N$5:$N$804,'Invoice Lines'!$B$5:$B$804,A85))</f>
        <v>0</v>
      </c>
      <c r="S85" s="21">
        <f>IF(A85="","",ROUND(R85*IF(K85="",0,K85),2))</f>
        <v>0</v>
      </c>
      <c r="T85" s="21">
        <f>IF(A85="","",R85-S85)</f>
        <v>0</v>
      </c>
      <c r="U85" s="21">
        <f>IF(A85="","",ROUND(T85*TaxRate,2))</f>
        <v>0</v>
      </c>
      <c r="V85" s="21">
        <f>IF(A85="","",T85+U85)</f>
        <v>0</v>
      </c>
      <c r="W85" s="21">
        <f>IF(A85="","",SUMIFS(Payments!$G$5:$G$404,Payments!$D$5:$D$404,A85))</f>
        <v>0</v>
      </c>
      <c r="X85" s="21">
        <f>IF(A85="","",ROUND(V85-W85,2))</f>
        <v>0</v>
      </c>
      <c r="Y85" s="31">
        <f>IF(B85="","",IF(J85&lt;&gt;"",J85,IF(IFERROR(INDEX(Clients!$P$5:$P$204,MATCH(D85,Clients!$A$5:$A$204,0)),"")&lt;&gt;"",INDEX(Clients!$P$5:$P$204,MATCH(D85,Clients!$A$5:$A$204,0)),PaymentTerms)))</f>
        <v>0</v>
      </c>
      <c r="Z85" s="18">
        <f>IF(OR(A85="",B85=""),"",B85+Y85)</f>
        <v>0</v>
      </c>
      <c r="AA85" s="31">
        <f>IF(OR(A85="",Z85=""),"",IF(X85&lt;=0.004,"",MAX(0,TodayDate-Z85-OverdueGrace)))</f>
        <v>0</v>
      </c>
      <c r="AB85" s="39">
        <f>IF(B85="","",IF(X85&lt;=0.004,"Paid",IF(AA85="","Not due yet",IF(AA85=0,"Due now",IF(AA85&lt;=30,"1-30 days",IF(AA85&lt;=60,"31-60 days",IF(AA85&lt;=90,"61-90 days","90+ days")))))))</f>
        <v>0</v>
      </c>
      <c r="AC85" s="21">
        <f>IF(OR(A85="",AA85=""),"",IF(AA85&lt;=0,0,ROUND(X85*LateFeePercent,2)))</f>
        <v>0</v>
      </c>
      <c r="AD85" s="50">
        <f>IF(B85="","",IF(X85&lt;=0.004,"Yes","No"))</f>
        <v>0</v>
      </c>
      <c r="AE85" s="39">
        <f>IF(B85="","",IF(Q85=0,"Add - no lines on this invoice yet",IF(H85="Written off","Written off",IF(AD85="Yes","OK - paid",IF(H85="Draft","Draft - not sent yet",IF(AND(AA85&lt;&gt;"",AA85&gt;30),"Overdue - "&amp;AA85&amp;" days, call them",IF(AND(AA85&lt;&gt;"",AA85&gt;0),"Overdue - send a reminder",IF(W85&gt;0,"Part paid","Due - waiting for payment"))))))))</f>
        <v>0</v>
      </c>
    </row>
    <row r="86" spans="1:31">
      <c r="A86" s="43">
        <f>IF(B86="","",InvoicePrefix&amp;TEXT(ROW()-4,"0000"))</f>
        <v>0</v>
      </c>
      <c r="C86" s="23">
        <f>IF(B86="","",TEXT(B86,"yyyy-mm"))</f>
        <v>0</v>
      </c>
      <c r="E86" s="23">
        <f>IF(D86="","",IFERROR(INDEX(Clients!$B$5:$B$204,MATCH(D86,Clients!$A$5:$A$204,0)),"Not found"))</f>
        <v>0</v>
      </c>
      <c r="F86" s="23">
        <f>IF(D86="","",IFERROR(INDEX(Clients!$G$5:$G$204,MATCH(D86,Clients!$A$5:$A$204,0)),""))</f>
        <v>0</v>
      </c>
      <c r="Q86" s="31">
        <f>IF(A86="","",COUNTIFS('Invoice Lines'!$B$5:$B$804,A86))</f>
        <v>0</v>
      </c>
      <c r="R86" s="21">
        <f>IF(A86="","",SUMIFS('Invoice Lines'!$N$5:$N$804,'Invoice Lines'!$B$5:$B$804,A86))</f>
        <v>0</v>
      </c>
      <c r="S86" s="21">
        <f>IF(A86="","",ROUND(R86*IF(K86="",0,K86),2))</f>
        <v>0</v>
      </c>
      <c r="T86" s="21">
        <f>IF(A86="","",R86-S86)</f>
        <v>0</v>
      </c>
      <c r="U86" s="21">
        <f>IF(A86="","",ROUND(T86*TaxRate,2))</f>
        <v>0</v>
      </c>
      <c r="V86" s="21">
        <f>IF(A86="","",T86+U86)</f>
        <v>0</v>
      </c>
      <c r="W86" s="21">
        <f>IF(A86="","",SUMIFS(Payments!$G$5:$G$404,Payments!$D$5:$D$404,A86))</f>
        <v>0</v>
      </c>
      <c r="X86" s="21">
        <f>IF(A86="","",ROUND(V86-W86,2))</f>
        <v>0</v>
      </c>
      <c r="Y86" s="31">
        <f>IF(B86="","",IF(J86&lt;&gt;"",J86,IF(IFERROR(INDEX(Clients!$P$5:$P$204,MATCH(D86,Clients!$A$5:$A$204,0)),"")&lt;&gt;"",INDEX(Clients!$P$5:$P$204,MATCH(D86,Clients!$A$5:$A$204,0)),PaymentTerms)))</f>
        <v>0</v>
      </c>
      <c r="Z86" s="18">
        <f>IF(OR(A86="",B86=""),"",B86+Y86)</f>
        <v>0</v>
      </c>
      <c r="AA86" s="31">
        <f>IF(OR(A86="",Z86=""),"",IF(X86&lt;=0.004,"",MAX(0,TodayDate-Z86-OverdueGrace)))</f>
        <v>0</v>
      </c>
      <c r="AB86" s="39">
        <f>IF(B86="","",IF(X86&lt;=0.004,"Paid",IF(AA86="","Not due yet",IF(AA86=0,"Due now",IF(AA86&lt;=30,"1-30 days",IF(AA86&lt;=60,"31-60 days",IF(AA86&lt;=90,"61-90 days","90+ days")))))))</f>
        <v>0</v>
      </c>
      <c r="AC86" s="21">
        <f>IF(OR(A86="",AA86=""),"",IF(AA86&lt;=0,0,ROUND(X86*LateFeePercent,2)))</f>
        <v>0</v>
      </c>
      <c r="AD86" s="50">
        <f>IF(B86="","",IF(X86&lt;=0.004,"Yes","No"))</f>
        <v>0</v>
      </c>
      <c r="AE86" s="39">
        <f>IF(B86="","",IF(Q86=0,"Add - no lines on this invoice yet",IF(H86="Written off","Written off",IF(AD86="Yes","OK - paid",IF(H86="Draft","Draft - not sent yet",IF(AND(AA86&lt;&gt;"",AA86&gt;30),"Overdue - "&amp;AA86&amp;" days, call them",IF(AND(AA86&lt;&gt;"",AA86&gt;0),"Overdue - send a reminder",IF(W86&gt;0,"Part paid","Due - waiting for payment"))))))))</f>
        <v>0</v>
      </c>
    </row>
    <row r="87" spans="1:31">
      <c r="A87" s="43">
        <f>IF(B87="","",InvoicePrefix&amp;TEXT(ROW()-4,"0000"))</f>
        <v>0</v>
      </c>
      <c r="C87" s="23">
        <f>IF(B87="","",TEXT(B87,"yyyy-mm"))</f>
        <v>0</v>
      </c>
      <c r="E87" s="23">
        <f>IF(D87="","",IFERROR(INDEX(Clients!$B$5:$B$204,MATCH(D87,Clients!$A$5:$A$204,0)),"Not found"))</f>
        <v>0</v>
      </c>
      <c r="F87" s="23">
        <f>IF(D87="","",IFERROR(INDEX(Clients!$G$5:$G$204,MATCH(D87,Clients!$A$5:$A$204,0)),""))</f>
        <v>0</v>
      </c>
      <c r="Q87" s="31">
        <f>IF(A87="","",COUNTIFS('Invoice Lines'!$B$5:$B$804,A87))</f>
        <v>0</v>
      </c>
      <c r="R87" s="21">
        <f>IF(A87="","",SUMIFS('Invoice Lines'!$N$5:$N$804,'Invoice Lines'!$B$5:$B$804,A87))</f>
        <v>0</v>
      </c>
      <c r="S87" s="21">
        <f>IF(A87="","",ROUND(R87*IF(K87="",0,K87),2))</f>
        <v>0</v>
      </c>
      <c r="T87" s="21">
        <f>IF(A87="","",R87-S87)</f>
        <v>0</v>
      </c>
      <c r="U87" s="21">
        <f>IF(A87="","",ROUND(T87*TaxRate,2))</f>
        <v>0</v>
      </c>
      <c r="V87" s="21">
        <f>IF(A87="","",T87+U87)</f>
        <v>0</v>
      </c>
      <c r="W87" s="21">
        <f>IF(A87="","",SUMIFS(Payments!$G$5:$G$404,Payments!$D$5:$D$404,A87))</f>
        <v>0</v>
      </c>
      <c r="X87" s="21">
        <f>IF(A87="","",ROUND(V87-W87,2))</f>
        <v>0</v>
      </c>
      <c r="Y87" s="31">
        <f>IF(B87="","",IF(J87&lt;&gt;"",J87,IF(IFERROR(INDEX(Clients!$P$5:$P$204,MATCH(D87,Clients!$A$5:$A$204,0)),"")&lt;&gt;"",INDEX(Clients!$P$5:$P$204,MATCH(D87,Clients!$A$5:$A$204,0)),PaymentTerms)))</f>
        <v>0</v>
      </c>
      <c r="Z87" s="18">
        <f>IF(OR(A87="",B87=""),"",B87+Y87)</f>
        <v>0</v>
      </c>
      <c r="AA87" s="31">
        <f>IF(OR(A87="",Z87=""),"",IF(X87&lt;=0.004,"",MAX(0,TodayDate-Z87-OverdueGrace)))</f>
        <v>0</v>
      </c>
      <c r="AB87" s="39">
        <f>IF(B87="","",IF(X87&lt;=0.004,"Paid",IF(AA87="","Not due yet",IF(AA87=0,"Due now",IF(AA87&lt;=30,"1-30 days",IF(AA87&lt;=60,"31-60 days",IF(AA87&lt;=90,"61-90 days","90+ days")))))))</f>
        <v>0</v>
      </c>
      <c r="AC87" s="21">
        <f>IF(OR(A87="",AA87=""),"",IF(AA87&lt;=0,0,ROUND(X87*LateFeePercent,2)))</f>
        <v>0</v>
      </c>
      <c r="AD87" s="50">
        <f>IF(B87="","",IF(X87&lt;=0.004,"Yes","No"))</f>
        <v>0</v>
      </c>
      <c r="AE87" s="39">
        <f>IF(B87="","",IF(Q87=0,"Add - no lines on this invoice yet",IF(H87="Written off","Written off",IF(AD87="Yes","OK - paid",IF(H87="Draft","Draft - not sent yet",IF(AND(AA87&lt;&gt;"",AA87&gt;30),"Overdue - "&amp;AA87&amp;" days, call them",IF(AND(AA87&lt;&gt;"",AA87&gt;0),"Overdue - send a reminder",IF(W87&gt;0,"Part paid","Due - waiting for payment"))))))))</f>
        <v>0</v>
      </c>
    </row>
    <row r="88" spans="1:31">
      <c r="A88" s="43">
        <f>IF(B88="","",InvoicePrefix&amp;TEXT(ROW()-4,"0000"))</f>
        <v>0</v>
      </c>
      <c r="C88" s="23">
        <f>IF(B88="","",TEXT(B88,"yyyy-mm"))</f>
        <v>0</v>
      </c>
      <c r="E88" s="23">
        <f>IF(D88="","",IFERROR(INDEX(Clients!$B$5:$B$204,MATCH(D88,Clients!$A$5:$A$204,0)),"Not found"))</f>
        <v>0</v>
      </c>
      <c r="F88" s="23">
        <f>IF(D88="","",IFERROR(INDEX(Clients!$G$5:$G$204,MATCH(D88,Clients!$A$5:$A$204,0)),""))</f>
        <v>0</v>
      </c>
      <c r="Q88" s="31">
        <f>IF(A88="","",COUNTIFS('Invoice Lines'!$B$5:$B$804,A88))</f>
        <v>0</v>
      </c>
      <c r="R88" s="21">
        <f>IF(A88="","",SUMIFS('Invoice Lines'!$N$5:$N$804,'Invoice Lines'!$B$5:$B$804,A88))</f>
        <v>0</v>
      </c>
      <c r="S88" s="21">
        <f>IF(A88="","",ROUND(R88*IF(K88="",0,K88),2))</f>
        <v>0</v>
      </c>
      <c r="T88" s="21">
        <f>IF(A88="","",R88-S88)</f>
        <v>0</v>
      </c>
      <c r="U88" s="21">
        <f>IF(A88="","",ROUND(T88*TaxRate,2))</f>
        <v>0</v>
      </c>
      <c r="V88" s="21">
        <f>IF(A88="","",T88+U88)</f>
        <v>0</v>
      </c>
      <c r="W88" s="21">
        <f>IF(A88="","",SUMIFS(Payments!$G$5:$G$404,Payments!$D$5:$D$404,A88))</f>
        <v>0</v>
      </c>
      <c r="X88" s="21">
        <f>IF(A88="","",ROUND(V88-W88,2))</f>
        <v>0</v>
      </c>
      <c r="Y88" s="31">
        <f>IF(B88="","",IF(J88&lt;&gt;"",J88,IF(IFERROR(INDEX(Clients!$P$5:$P$204,MATCH(D88,Clients!$A$5:$A$204,0)),"")&lt;&gt;"",INDEX(Clients!$P$5:$P$204,MATCH(D88,Clients!$A$5:$A$204,0)),PaymentTerms)))</f>
        <v>0</v>
      </c>
      <c r="Z88" s="18">
        <f>IF(OR(A88="",B88=""),"",B88+Y88)</f>
        <v>0</v>
      </c>
      <c r="AA88" s="31">
        <f>IF(OR(A88="",Z88=""),"",IF(X88&lt;=0.004,"",MAX(0,TodayDate-Z88-OverdueGrace)))</f>
        <v>0</v>
      </c>
      <c r="AB88" s="39">
        <f>IF(B88="","",IF(X88&lt;=0.004,"Paid",IF(AA88="","Not due yet",IF(AA88=0,"Due now",IF(AA88&lt;=30,"1-30 days",IF(AA88&lt;=60,"31-60 days",IF(AA88&lt;=90,"61-90 days","90+ days")))))))</f>
        <v>0</v>
      </c>
      <c r="AC88" s="21">
        <f>IF(OR(A88="",AA88=""),"",IF(AA88&lt;=0,0,ROUND(X88*LateFeePercent,2)))</f>
        <v>0</v>
      </c>
      <c r="AD88" s="50">
        <f>IF(B88="","",IF(X88&lt;=0.004,"Yes","No"))</f>
        <v>0</v>
      </c>
      <c r="AE88" s="39">
        <f>IF(B88="","",IF(Q88=0,"Add - no lines on this invoice yet",IF(H88="Written off","Written off",IF(AD88="Yes","OK - paid",IF(H88="Draft","Draft - not sent yet",IF(AND(AA88&lt;&gt;"",AA88&gt;30),"Overdue - "&amp;AA88&amp;" days, call them",IF(AND(AA88&lt;&gt;"",AA88&gt;0),"Overdue - send a reminder",IF(W88&gt;0,"Part paid","Due - waiting for payment"))))))))</f>
        <v>0</v>
      </c>
    </row>
    <row r="89" spans="1:31">
      <c r="A89" s="43">
        <f>IF(B89="","",InvoicePrefix&amp;TEXT(ROW()-4,"0000"))</f>
        <v>0</v>
      </c>
      <c r="C89" s="23">
        <f>IF(B89="","",TEXT(B89,"yyyy-mm"))</f>
        <v>0</v>
      </c>
      <c r="E89" s="23">
        <f>IF(D89="","",IFERROR(INDEX(Clients!$B$5:$B$204,MATCH(D89,Clients!$A$5:$A$204,0)),"Not found"))</f>
        <v>0</v>
      </c>
      <c r="F89" s="23">
        <f>IF(D89="","",IFERROR(INDEX(Clients!$G$5:$G$204,MATCH(D89,Clients!$A$5:$A$204,0)),""))</f>
        <v>0</v>
      </c>
      <c r="Q89" s="31">
        <f>IF(A89="","",COUNTIFS('Invoice Lines'!$B$5:$B$804,A89))</f>
        <v>0</v>
      </c>
      <c r="R89" s="21">
        <f>IF(A89="","",SUMIFS('Invoice Lines'!$N$5:$N$804,'Invoice Lines'!$B$5:$B$804,A89))</f>
        <v>0</v>
      </c>
      <c r="S89" s="21">
        <f>IF(A89="","",ROUND(R89*IF(K89="",0,K89),2))</f>
        <v>0</v>
      </c>
      <c r="T89" s="21">
        <f>IF(A89="","",R89-S89)</f>
        <v>0</v>
      </c>
      <c r="U89" s="21">
        <f>IF(A89="","",ROUND(T89*TaxRate,2))</f>
        <v>0</v>
      </c>
      <c r="V89" s="21">
        <f>IF(A89="","",T89+U89)</f>
        <v>0</v>
      </c>
      <c r="W89" s="21">
        <f>IF(A89="","",SUMIFS(Payments!$G$5:$G$404,Payments!$D$5:$D$404,A89))</f>
        <v>0</v>
      </c>
      <c r="X89" s="21">
        <f>IF(A89="","",ROUND(V89-W89,2))</f>
        <v>0</v>
      </c>
      <c r="Y89" s="31">
        <f>IF(B89="","",IF(J89&lt;&gt;"",J89,IF(IFERROR(INDEX(Clients!$P$5:$P$204,MATCH(D89,Clients!$A$5:$A$204,0)),"")&lt;&gt;"",INDEX(Clients!$P$5:$P$204,MATCH(D89,Clients!$A$5:$A$204,0)),PaymentTerms)))</f>
        <v>0</v>
      </c>
      <c r="Z89" s="18">
        <f>IF(OR(A89="",B89=""),"",B89+Y89)</f>
        <v>0</v>
      </c>
      <c r="AA89" s="31">
        <f>IF(OR(A89="",Z89=""),"",IF(X89&lt;=0.004,"",MAX(0,TodayDate-Z89-OverdueGrace)))</f>
        <v>0</v>
      </c>
      <c r="AB89" s="39">
        <f>IF(B89="","",IF(X89&lt;=0.004,"Paid",IF(AA89="","Not due yet",IF(AA89=0,"Due now",IF(AA89&lt;=30,"1-30 days",IF(AA89&lt;=60,"31-60 days",IF(AA89&lt;=90,"61-90 days","90+ days")))))))</f>
        <v>0</v>
      </c>
      <c r="AC89" s="21">
        <f>IF(OR(A89="",AA89=""),"",IF(AA89&lt;=0,0,ROUND(X89*LateFeePercent,2)))</f>
        <v>0</v>
      </c>
      <c r="AD89" s="50">
        <f>IF(B89="","",IF(X89&lt;=0.004,"Yes","No"))</f>
        <v>0</v>
      </c>
      <c r="AE89" s="39">
        <f>IF(B89="","",IF(Q89=0,"Add - no lines on this invoice yet",IF(H89="Written off","Written off",IF(AD89="Yes","OK - paid",IF(H89="Draft","Draft - not sent yet",IF(AND(AA89&lt;&gt;"",AA89&gt;30),"Overdue - "&amp;AA89&amp;" days, call them",IF(AND(AA89&lt;&gt;"",AA89&gt;0),"Overdue - send a reminder",IF(W89&gt;0,"Part paid","Due - waiting for payment"))))))))</f>
        <v>0</v>
      </c>
    </row>
    <row r="90" spans="1:31">
      <c r="A90" s="43">
        <f>IF(B90="","",InvoicePrefix&amp;TEXT(ROW()-4,"0000"))</f>
        <v>0</v>
      </c>
      <c r="C90" s="23">
        <f>IF(B90="","",TEXT(B90,"yyyy-mm"))</f>
        <v>0</v>
      </c>
      <c r="E90" s="23">
        <f>IF(D90="","",IFERROR(INDEX(Clients!$B$5:$B$204,MATCH(D90,Clients!$A$5:$A$204,0)),"Not found"))</f>
        <v>0</v>
      </c>
      <c r="F90" s="23">
        <f>IF(D90="","",IFERROR(INDEX(Clients!$G$5:$G$204,MATCH(D90,Clients!$A$5:$A$204,0)),""))</f>
        <v>0</v>
      </c>
      <c r="Q90" s="31">
        <f>IF(A90="","",COUNTIFS('Invoice Lines'!$B$5:$B$804,A90))</f>
        <v>0</v>
      </c>
      <c r="R90" s="21">
        <f>IF(A90="","",SUMIFS('Invoice Lines'!$N$5:$N$804,'Invoice Lines'!$B$5:$B$804,A90))</f>
        <v>0</v>
      </c>
      <c r="S90" s="21">
        <f>IF(A90="","",ROUND(R90*IF(K90="",0,K90),2))</f>
        <v>0</v>
      </c>
      <c r="T90" s="21">
        <f>IF(A90="","",R90-S90)</f>
        <v>0</v>
      </c>
      <c r="U90" s="21">
        <f>IF(A90="","",ROUND(T90*TaxRate,2))</f>
        <v>0</v>
      </c>
      <c r="V90" s="21">
        <f>IF(A90="","",T90+U90)</f>
        <v>0</v>
      </c>
      <c r="W90" s="21">
        <f>IF(A90="","",SUMIFS(Payments!$G$5:$G$404,Payments!$D$5:$D$404,A90))</f>
        <v>0</v>
      </c>
      <c r="X90" s="21">
        <f>IF(A90="","",ROUND(V90-W90,2))</f>
        <v>0</v>
      </c>
      <c r="Y90" s="31">
        <f>IF(B90="","",IF(J90&lt;&gt;"",J90,IF(IFERROR(INDEX(Clients!$P$5:$P$204,MATCH(D90,Clients!$A$5:$A$204,0)),"")&lt;&gt;"",INDEX(Clients!$P$5:$P$204,MATCH(D90,Clients!$A$5:$A$204,0)),PaymentTerms)))</f>
        <v>0</v>
      </c>
      <c r="Z90" s="18">
        <f>IF(OR(A90="",B90=""),"",B90+Y90)</f>
        <v>0</v>
      </c>
      <c r="AA90" s="31">
        <f>IF(OR(A90="",Z90=""),"",IF(X90&lt;=0.004,"",MAX(0,TodayDate-Z90-OverdueGrace)))</f>
        <v>0</v>
      </c>
      <c r="AB90" s="39">
        <f>IF(B90="","",IF(X90&lt;=0.004,"Paid",IF(AA90="","Not due yet",IF(AA90=0,"Due now",IF(AA90&lt;=30,"1-30 days",IF(AA90&lt;=60,"31-60 days",IF(AA90&lt;=90,"61-90 days","90+ days")))))))</f>
        <v>0</v>
      </c>
      <c r="AC90" s="21">
        <f>IF(OR(A90="",AA90=""),"",IF(AA90&lt;=0,0,ROUND(X90*LateFeePercent,2)))</f>
        <v>0</v>
      </c>
      <c r="AD90" s="50">
        <f>IF(B90="","",IF(X90&lt;=0.004,"Yes","No"))</f>
        <v>0</v>
      </c>
      <c r="AE90" s="39">
        <f>IF(B90="","",IF(Q90=0,"Add - no lines on this invoice yet",IF(H90="Written off","Written off",IF(AD90="Yes","OK - paid",IF(H90="Draft","Draft - not sent yet",IF(AND(AA90&lt;&gt;"",AA90&gt;30),"Overdue - "&amp;AA90&amp;" days, call them",IF(AND(AA90&lt;&gt;"",AA90&gt;0),"Overdue - send a reminder",IF(W90&gt;0,"Part paid","Due - waiting for payment"))))))))</f>
        <v>0</v>
      </c>
    </row>
    <row r="91" spans="1:31">
      <c r="A91" s="43">
        <f>IF(B91="","",InvoicePrefix&amp;TEXT(ROW()-4,"0000"))</f>
        <v>0</v>
      </c>
      <c r="C91" s="23">
        <f>IF(B91="","",TEXT(B91,"yyyy-mm"))</f>
        <v>0</v>
      </c>
      <c r="E91" s="23">
        <f>IF(D91="","",IFERROR(INDEX(Clients!$B$5:$B$204,MATCH(D91,Clients!$A$5:$A$204,0)),"Not found"))</f>
        <v>0</v>
      </c>
      <c r="F91" s="23">
        <f>IF(D91="","",IFERROR(INDEX(Clients!$G$5:$G$204,MATCH(D91,Clients!$A$5:$A$204,0)),""))</f>
        <v>0</v>
      </c>
      <c r="Q91" s="31">
        <f>IF(A91="","",COUNTIFS('Invoice Lines'!$B$5:$B$804,A91))</f>
        <v>0</v>
      </c>
      <c r="R91" s="21">
        <f>IF(A91="","",SUMIFS('Invoice Lines'!$N$5:$N$804,'Invoice Lines'!$B$5:$B$804,A91))</f>
        <v>0</v>
      </c>
      <c r="S91" s="21">
        <f>IF(A91="","",ROUND(R91*IF(K91="",0,K91),2))</f>
        <v>0</v>
      </c>
      <c r="T91" s="21">
        <f>IF(A91="","",R91-S91)</f>
        <v>0</v>
      </c>
      <c r="U91" s="21">
        <f>IF(A91="","",ROUND(T91*TaxRate,2))</f>
        <v>0</v>
      </c>
      <c r="V91" s="21">
        <f>IF(A91="","",T91+U91)</f>
        <v>0</v>
      </c>
      <c r="W91" s="21">
        <f>IF(A91="","",SUMIFS(Payments!$G$5:$G$404,Payments!$D$5:$D$404,A91))</f>
        <v>0</v>
      </c>
      <c r="X91" s="21">
        <f>IF(A91="","",ROUND(V91-W91,2))</f>
        <v>0</v>
      </c>
      <c r="Y91" s="31">
        <f>IF(B91="","",IF(J91&lt;&gt;"",J91,IF(IFERROR(INDEX(Clients!$P$5:$P$204,MATCH(D91,Clients!$A$5:$A$204,0)),"")&lt;&gt;"",INDEX(Clients!$P$5:$P$204,MATCH(D91,Clients!$A$5:$A$204,0)),PaymentTerms)))</f>
        <v>0</v>
      </c>
      <c r="Z91" s="18">
        <f>IF(OR(A91="",B91=""),"",B91+Y91)</f>
        <v>0</v>
      </c>
      <c r="AA91" s="31">
        <f>IF(OR(A91="",Z91=""),"",IF(X91&lt;=0.004,"",MAX(0,TodayDate-Z91-OverdueGrace)))</f>
        <v>0</v>
      </c>
      <c r="AB91" s="39">
        <f>IF(B91="","",IF(X91&lt;=0.004,"Paid",IF(AA91="","Not due yet",IF(AA91=0,"Due now",IF(AA91&lt;=30,"1-30 days",IF(AA91&lt;=60,"31-60 days",IF(AA91&lt;=90,"61-90 days","90+ days")))))))</f>
        <v>0</v>
      </c>
      <c r="AC91" s="21">
        <f>IF(OR(A91="",AA91=""),"",IF(AA91&lt;=0,0,ROUND(X91*LateFeePercent,2)))</f>
        <v>0</v>
      </c>
      <c r="AD91" s="50">
        <f>IF(B91="","",IF(X91&lt;=0.004,"Yes","No"))</f>
        <v>0</v>
      </c>
      <c r="AE91" s="39">
        <f>IF(B91="","",IF(Q91=0,"Add - no lines on this invoice yet",IF(H91="Written off","Written off",IF(AD91="Yes","OK - paid",IF(H91="Draft","Draft - not sent yet",IF(AND(AA91&lt;&gt;"",AA91&gt;30),"Overdue - "&amp;AA91&amp;" days, call them",IF(AND(AA91&lt;&gt;"",AA91&gt;0),"Overdue - send a reminder",IF(W91&gt;0,"Part paid","Due - waiting for payment"))))))))</f>
        <v>0</v>
      </c>
    </row>
    <row r="92" spans="1:31">
      <c r="A92" s="43">
        <f>IF(B92="","",InvoicePrefix&amp;TEXT(ROW()-4,"0000"))</f>
        <v>0</v>
      </c>
      <c r="C92" s="23">
        <f>IF(B92="","",TEXT(B92,"yyyy-mm"))</f>
        <v>0</v>
      </c>
      <c r="E92" s="23">
        <f>IF(D92="","",IFERROR(INDEX(Clients!$B$5:$B$204,MATCH(D92,Clients!$A$5:$A$204,0)),"Not found"))</f>
        <v>0</v>
      </c>
      <c r="F92" s="23">
        <f>IF(D92="","",IFERROR(INDEX(Clients!$G$5:$G$204,MATCH(D92,Clients!$A$5:$A$204,0)),""))</f>
        <v>0</v>
      </c>
      <c r="Q92" s="31">
        <f>IF(A92="","",COUNTIFS('Invoice Lines'!$B$5:$B$804,A92))</f>
        <v>0</v>
      </c>
      <c r="R92" s="21">
        <f>IF(A92="","",SUMIFS('Invoice Lines'!$N$5:$N$804,'Invoice Lines'!$B$5:$B$804,A92))</f>
        <v>0</v>
      </c>
      <c r="S92" s="21">
        <f>IF(A92="","",ROUND(R92*IF(K92="",0,K92),2))</f>
        <v>0</v>
      </c>
      <c r="T92" s="21">
        <f>IF(A92="","",R92-S92)</f>
        <v>0</v>
      </c>
      <c r="U92" s="21">
        <f>IF(A92="","",ROUND(T92*TaxRate,2))</f>
        <v>0</v>
      </c>
      <c r="V92" s="21">
        <f>IF(A92="","",T92+U92)</f>
        <v>0</v>
      </c>
      <c r="W92" s="21">
        <f>IF(A92="","",SUMIFS(Payments!$G$5:$G$404,Payments!$D$5:$D$404,A92))</f>
        <v>0</v>
      </c>
      <c r="X92" s="21">
        <f>IF(A92="","",ROUND(V92-W92,2))</f>
        <v>0</v>
      </c>
      <c r="Y92" s="31">
        <f>IF(B92="","",IF(J92&lt;&gt;"",J92,IF(IFERROR(INDEX(Clients!$P$5:$P$204,MATCH(D92,Clients!$A$5:$A$204,0)),"")&lt;&gt;"",INDEX(Clients!$P$5:$P$204,MATCH(D92,Clients!$A$5:$A$204,0)),PaymentTerms)))</f>
        <v>0</v>
      </c>
      <c r="Z92" s="18">
        <f>IF(OR(A92="",B92=""),"",B92+Y92)</f>
        <v>0</v>
      </c>
      <c r="AA92" s="31">
        <f>IF(OR(A92="",Z92=""),"",IF(X92&lt;=0.004,"",MAX(0,TodayDate-Z92-OverdueGrace)))</f>
        <v>0</v>
      </c>
      <c r="AB92" s="39">
        <f>IF(B92="","",IF(X92&lt;=0.004,"Paid",IF(AA92="","Not due yet",IF(AA92=0,"Due now",IF(AA92&lt;=30,"1-30 days",IF(AA92&lt;=60,"31-60 days",IF(AA92&lt;=90,"61-90 days","90+ days")))))))</f>
        <v>0</v>
      </c>
      <c r="AC92" s="21">
        <f>IF(OR(A92="",AA92=""),"",IF(AA92&lt;=0,0,ROUND(X92*LateFeePercent,2)))</f>
        <v>0</v>
      </c>
      <c r="AD92" s="50">
        <f>IF(B92="","",IF(X92&lt;=0.004,"Yes","No"))</f>
        <v>0</v>
      </c>
      <c r="AE92" s="39">
        <f>IF(B92="","",IF(Q92=0,"Add - no lines on this invoice yet",IF(H92="Written off","Written off",IF(AD92="Yes","OK - paid",IF(H92="Draft","Draft - not sent yet",IF(AND(AA92&lt;&gt;"",AA92&gt;30),"Overdue - "&amp;AA92&amp;" days, call them",IF(AND(AA92&lt;&gt;"",AA92&gt;0),"Overdue - send a reminder",IF(W92&gt;0,"Part paid","Due - waiting for payment"))))))))</f>
        <v>0</v>
      </c>
    </row>
    <row r="93" spans="1:31">
      <c r="A93" s="43">
        <f>IF(B93="","",InvoicePrefix&amp;TEXT(ROW()-4,"0000"))</f>
        <v>0</v>
      </c>
      <c r="C93" s="23">
        <f>IF(B93="","",TEXT(B93,"yyyy-mm"))</f>
        <v>0</v>
      </c>
      <c r="E93" s="23">
        <f>IF(D93="","",IFERROR(INDEX(Clients!$B$5:$B$204,MATCH(D93,Clients!$A$5:$A$204,0)),"Not found"))</f>
        <v>0</v>
      </c>
      <c r="F93" s="23">
        <f>IF(D93="","",IFERROR(INDEX(Clients!$G$5:$G$204,MATCH(D93,Clients!$A$5:$A$204,0)),""))</f>
        <v>0</v>
      </c>
      <c r="Q93" s="31">
        <f>IF(A93="","",COUNTIFS('Invoice Lines'!$B$5:$B$804,A93))</f>
        <v>0</v>
      </c>
      <c r="R93" s="21">
        <f>IF(A93="","",SUMIFS('Invoice Lines'!$N$5:$N$804,'Invoice Lines'!$B$5:$B$804,A93))</f>
        <v>0</v>
      </c>
      <c r="S93" s="21">
        <f>IF(A93="","",ROUND(R93*IF(K93="",0,K93),2))</f>
        <v>0</v>
      </c>
      <c r="T93" s="21">
        <f>IF(A93="","",R93-S93)</f>
        <v>0</v>
      </c>
      <c r="U93" s="21">
        <f>IF(A93="","",ROUND(T93*TaxRate,2))</f>
        <v>0</v>
      </c>
      <c r="V93" s="21">
        <f>IF(A93="","",T93+U93)</f>
        <v>0</v>
      </c>
      <c r="W93" s="21">
        <f>IF(A93="","",SUMIFS(Payments!$G$5:$G$404,Payments!$D$5:$D$404,A93))</f>
        <v>0</v>
      </c>
      <c r="X93" s="21">
        <f>IF(A93="","",ROUND(V93-W93,2))</f>
        <v>0</v>
      </c>
      <c r="Y93" s="31">
        <f>IF(B93="","",IF(J93&lt;&gt;"",J93,IF(IFERROR(INDEX(Clients!$P$5:$P$204,MATCH(D93,Clients!$A$5:$A$204,0)),"")&lt;&gt;"",INDEX(Clients!$P$5:$P$204,MATCH(D93,Clients!$A$5:$A$204,0)),PaymentTerms)))</f>
        <v>0</v>
      </c>
      <c r="Z93" s="18">
        <f>IF(OR(A93="",B93=""),"",B93+Y93)</f>
        <v>0</v>
      </c>
      <c r="AA93" s="31">
        <f>IF(OR(A93="",Z93=""),"",IF(X93&lt;=0.004,"",MAX(0,TodayDate-Z93-OverdueGrace)))</f>
        <v>0</v>
      </c>
      <c r="AB93" s="39">
        <f>IF(B93="","",IF(X93&lt;=0.004,"Paid",IF(AA93="","Not due yet",IF(AA93=0,"Due now",IF(AA93&lt;=30,"1-30 days",IF(AA93&lt;=60,"31-60 days",IF(AA93&lt;=90,"61-90 days","90+ days")))))))</f>
        <v>0</v>
      </c>
      <c r="AC93" s="21">
        <f>IF(OR(A93="",AA93=""),"",IF(AA93&lt;=0,0,ROUND(X93*LateFeePercent,2)))</f>
        <v>0</v>
      </c>
      <c r="AD93" s="50">
        <f>IF(B93="","",IF(X93&lt;=0.004,"Yes","No"))</f>
        <v>0</v>
      </c>
      <c r="AE93" s="39">
        <f>IF(B93="","",IF(Q93=0,"Add - no lines on this invoice yet",IF(H93="Written off","Written off",IF(AD93="Yes","OK - paid",IF(H93="Draft","Draft - not sent yet",IF(AND(AA93&lt;&gt;"",AA93&gt;30),"Overdue - "&amp;AA93&amp;" days, call them",IF(AND(AA93&lt;&gt;"",AA93&gt;0),"Overdue - send a reminder",IF(W93&gt;0,"Part paid","Due - waiting for payment"))))))))</f>
        <v>0</v>
      </c>
    </row>
    <row r="94" spans="1:31">
      <c r="A94" s="43">
        <f>IF(B94="","",InvoicePrefix&amp;TEXT(ROW()-4,"0000"))</f>
        <v>0</v>
      </c>
      <c r="C94" s="23">
        <f>IF(B94="","",TEXT(B94,"yyyy-mm"))</f>
        <v>0</v>
      </c>
      <c r="E94" s="23">
        <f>IF(D94="","",IFERROR(INDEX(Clients!$B$5:$B$204,MATCH(D94,Clients!$A$5:$A$204,0)),"Not found"))</f>
        <v>0</v>
      </c>
      <c r="F94" s="23">
        <f>IF(D94="","",IFERROR(INDEX(Clients!$G$5:$G$204,MATCH(D94,Clients!$A$5:$A$204,0)),""))</f>
        <v>0</v>
      </c>
      <c r="Q94" s="31">
        <f>IF(A94="","",COUNTIFS('Invoice Lines'!$B$5:$B$804,A94))</f>
        <v>0</v>
      </c>
      <c r="R94" s="21">
        <f>IF(A94="","",SUMIFS('Invoice Lines'!$N$5:$N$804,'Invoice Lines'!$B$5:$B$804,A94))</f>
        <v>0</v>
      </c>
      <c r="S94" s="21">
        <f>IF(A94="","",ROUND(R94*IF(K94="",0,K94),2))</f>
        <v>0</v>
      </c>
      <c r="T94" s="21">
        <f>IF(A94="","",R94-S94)</f>
        <v>0</v>
      </c>
      <c r="U94" s="21">
        <f>IF(A94="","",ROUND(T94*TaxRate,2))</f>
        <v>0</v>
      </c>
      <c r="V94" s="21">
        <f>IF(A94="","",T94+U94)</f>
        <v>0</v>
      </c>
      <c r="W94" s="21">
        <f>IF(A94="","",SUMIFS(Payments!$G$5:$G$404,Payments!$D$5:$D$404,A94))</f>
        <v>0</v>
      </c>
      <c r="X94" s="21">
        <f>IF(A94="","",ROUND(V94-W94,2))</f>
        <v>0</v>
      </c>
      <c r="Y94" s="31">
        <f>IF(B94="","",IF(J94&lt;&gt;"",J94,IF(IFERROR(INDEX(Clients!$P$5:$P$204,MATCH(D94,Clients!$A$5:$A$204,0)),"")&lt;&gt;"",INDEX(Clients!$P$5:$P$204,MATCH(D94,Clients!$A$5:$A$204,0)),PaymentTerms)))</f>
        <v>0</v>
      </c>
      <c r="Z94" s="18">
        <f>IF(OR(A94="",B94=""),"",B94+Y94)</f>
        <v>0</v>
      </c>
      <c r="AA94" s="31">
        <f>IF(OR(A94="",Z94=""),"",IF(X94&lt;=0.004,"",MAX(0,TodayDate-Z94-OverdueGrace)))</f>
        <v>0</v>
      </c>
      <c r="AB94" s="39">
        <f>IF(B94="","",IF(X94&lt;=0.004,"Paid",IF(AA94="","Not due yet",IF(AA94=0,"Due now",IF(AA94&lt;=30,"1-30 days",IF(AA94&lt;=60,"31-60 days",IF(AA94&lt;=90,"61-90 days","90+ days")))))))</f>
        <v>0</v>
      </c>
      <c r="AC94" s="21">
        <f>IF(OR(A94="",AA94=""),"",IF(AA94&lt;=0,0,ROUND(X94*LateFeePercent,2)))</f>
        <v>0</v>
      </c>
      <c r="AD94" s="50">
        <f>IF(B94="","",IF(X94&lt;=0.004,"Yes","No"))</f>
        <v>0</v>
      </c>
      <c r="AE94" s="39">
        <f>IF(B94="","",IF(Q94=0,"Add - no lines on this invoice yet",IF(H94="Written off","Written off",IF(AD94="Yes","OK - paid",IF(H94="Draft","Draft - not sent yet",IF(AND(AA94&lt;&gt;"",AA94&gt;30),"Overdue - "&amp;AA94&amp;" days, call them",IF(AND(AA94&lt;&gt;"",AA94&gt;0),"Overdue - send a reminder",IF(W94&gt;0,"Part paid","Due - waiting for payment"))))))))</f>
        <v>0</v>
      </c>
    </row>
    <row r="95" spans="1:31">
      <c r="A95" s="43">
        <f>IF(B95="","",InvoicePrefix&amp;TEXT(ROW()-4,"0000"))</f>
        <v>0</v>
      </c>
      <c r="C95" s="23">
        <f>IF(B95="","",TEXT(B95,"yyyy-mm"))</f>
        <v>0</v>
      </c>
      <c r="E95" s="23">
        <f>IF(D95="","",IFERROR(INDEX(Clients!$B$5:$B$204,MATCH(D95,Clients!$A$5:$A$204,0)),"Not found"))</f>
        <v>0</v>
      </c>
      <c r="F95" s="23">
        <f>IF(D95="","",IFERROR(INDEX(Clients!$G$5:$G$204,MATCH(D95,Clients!$A$5:$A$204,0)),""))</f>
        <v>0</v>
      </c>
      <c r="Q95" s="31">
        <f>IF(A95="","",COUNTIFS('Invoice Lines'!$B$5:$B$804,A95))</f>
        <v>0</v>
      </c>
      <c r="R95" s="21">
        <f>IF(A95="","",SUMIFS('Invoice Lines'!$N$5:$N$804,'Invoice Lines'!$B$5:$B$804,A95))</f>
        <v>0</v>
      </c>
      <c r="S95" s="21">
        <f>IF(A95="","",ROUND(R95*IF(K95="",0,K95),2))</f>
        <v>0</v>
      </c>
      <c r="T95" s="21">
        <f>IF(A95="","",R95-S95)</f>
        <v>0</v>
      </c>
      <c r="U95" s="21">
        <f>IF(A95="","",ROUND(T95*TaxRate,2))</f>
        <v>0</v>
      </c>
      <c r="V95" s="21">
        <f>IF(A95="","",T95+U95)</f>
        <v>0</v>
      </c>
      <c r="W95" s="21">
        <f>IF(A95="","",SUMIFS(Payments!$G$5:$G$404,Payments!$D$5:$D$404,A95))</f>
        <v>0</v>
      </c>
      <c r="X95" s="21">
        <f>IF(A95="","",ROUND(V95-W95,2))</f>
        <v>0</v>
      </c>
      <c r="Y95" s="31">
        <f>IF(B95="","",IF(J95&lt;&gt;"",J95,IF(IFERROR(INDEX(Clients!$P$5:$P$204,MATCH(D95,Clients!$A$5:$A$204,0)),"")&lt;&gt;"",INDEX(Clients!$P$5:$P$204,MATCH(D95,Clients!$A$5:$A$204,0)),PaymentTerms)))</f>
        <v>0</v>
      </c>
      <c r="Z95" s="18">
        <f>IF(OR(A95="",B95=""),"",B95+Y95)</f>
        <v>0</v>
      </c>
      <c r="AA95" s="31">
        <f>IF(OR(A95="",Z95=""),"",IF(X95&lt;=0.004,"",MAX(0,TodayDate-Z95-OverdueGrace)))</f>
        <v>0</v>
      </c>
      <c r="AB95" s="39">
        <f>IF(B95="","",IF(X95&lt;=0.004,"Paid",IF(AA95="","Not due yet",IF(AA95=0,"Due now",IF(AA95&lt;=30,"1-30 days",IF(AA95&lt;=60,"31-60 days",IF(AA95&lt;=90,"61-90 days","90+ days")))))))</f>
        <v>0</v>
      </c>
      <c r="AC95" s="21">
        <f>IF(OR(A95="",AA95=""),"",IF(AA95&lt;=0,0,ROUND(X95*LateFeePercent,2)))</f>
        <v>0</v>
      </c>
      <c r="AD95" s="50">
        <f>IF(B95="","",IF(X95&lt;=0.004,"Yes","No"))</f>
        <v>0</v>
      </c>
      <c r="AE95" s="39">
        <f>IF(B95="","",IF(Q95=0,"Add - no lines on this invoice yet",IF(H95="Written off","Written off",IF(AD95="Yes","OK - paid",IF(H95="Draft","Draft - not sent yet",IF(AND(AA95&lt;&gt;"",AA95&gt;30),"Overdue - "&amp;AA95&amp;" days, call them",IF(AND(AA95&lt;&gt;"",AA95&gt;0),"Overdue - send a reminder",IF(W95&gt;0,"Part paid","Due - waiting for payment"))))))))</f>
        <v>0</v>
      </c>
    </row>
    <row r="96" spans="1:31">
      <c r="A96" s="43">
        <f>IF(B96="","",InvoicePrefix&amp;TEXT(ROW()-4,"0000"))</f>
        <v>0</v>
      </c>
      <c r="C96" s="23">
        <f>IF(B96="","",TEXT(B96,"yyyy-mm"))</f>
        <v>0</v>
      </c>
      <c r="E96" s="23">
        <f>IF(D96="","",IFERROR(INDEX(Clients!$B$5:$B$204,MATCH(D96,Clients!$A$5:$A$204,0)),"Not found"))</f>
        <v>0</v>
      </c>
      <c r="F96" s="23">
        <f>IF(D96="","",IFERROR(INDEX(Clients!$G$5:$G$204,MATCH(D96,Clients!$A$5:$A$204,0)),""))</f>
        <v>0</v>
      </c>
      <c r="Q96" s="31">
        <f>IF(A96="","",COUNTIFS('Invoice Lines'!$B$5:$B$804,A96))</f>
        <v>0</v>
      </c>
      <c r="R96" s="21">
        <f>IF(A96="","",SUMIFS('Invoice Lines'!$N$5:$N$804,'Invoice Lines'!$B$5:$B$804,A96))</f>
        <v>0</v>
      </c>
      <c r="S96" s="21">
        <f>IF(A96="","",ROUND(R96*IF(K96="",0,K96),2))</f>
        <v>0</v>
      </c>
      <c r="T96" s="21">
        <f>IF(A96="","",R96-S96)</f>
        <v>0</v>
      </c>
      <c r="U96" s="21">
        <f>IF(A96="","",ROUND(T96*TaxRate,2))</f>
        <v>0</v>
      </c>
      <c r="V96" s="21">
        <f>IF(A96="","",T96+U96)</f>
        <v>0</v>
      </c>
      <c r="W96" s="21">
        <f>IF(A96="","",SUMIFS(Payments!$G$5:$G$404,Payments!$D$5:$D$404,A96))</f>
        <v>0</v>
      </c>
      <c r="X96" s="21">
        <f>IF(A96="","",ROUND(V96-W96,2))</f>
        <v>0</v>
      </c>
      <c r="Y96" s="31">
        <f>IF(B96="","",IF(J96&lt;&gt;"",J96,IF(IFERROR(INDEX(Clients!$P$5:$P$204,MATCH(D96,Clients!$A$5:$A$204,0)),"")&lt;&gt;"",INDEX(Clients!$P$5:$P$204,MATCH(D96,Clients!$A$5:$A$204,0)),PaymentTerms)))</f>
        <v>0</v>
      </c>
      <c r="Z96" s="18">
        <f>IF(OR(A96="",B96=""),"",B96+Y96)</f>
        <v>0</v>
      </c>
      <c r="AA96" s="31">
        <f>IF(OR(A96="",Z96=""),"",IF(X96&lt;=0.004,"",MAX(0,TodayDate-Z96-OverdueGrace)))</f>
        <v>0</v>
      </c>
      <c r="AB96" s="39">
        <f>IF(B96="","",IF(X96&lt;=0.004,"Paid",IF(AA96="","Not due yet",IF(AA96=0,"Due now",IF(AA96&lt;=30,"1-30 days",IF(AA96&lt;=60,"31-60 days",IF(AA96&lt;=90,"61-90 days","90+ days")))))))</f>
        <v>0</v>
      </c>
      <c r="AC96" s="21">
        <f>IF(OR(A96="",AA96=""),"",IF(AA96&lt;=0,0,ROUND(X96*LateFeePercent,2)))</f>
        <v>0</v>
      </c>
      <c r="AD96" s="50">
        <f>IF(B96="","",IF(X96&lt;=0.004,"Yes","No"))</f>
        <v>0</v>
      </c>
      <c r="AE96" s="39">
        <f>IF(B96="","",IF(Q96=0,"Add - no lines on this invoice yet",IF(H96="Written off","Written off",IF(AD96="Yes","OK - paid",IF(H96="Draft","Draft - not sent yet",IF(AND(AA96&lt;&gt;"",AA96&gt;30),"Overdue - "&amp;AA96&amp;" days, call them",IF(AND(AA96&lt;&gt;"",AA96&gt;0),"Overdue - send a reminder",IF(W96&gt;0,"Part paid","Due - waiting for payment"))))))))</f>
        <v>0</v>
      </c>
    </row>
    <row r="97" spans="1:31">
      <c r="A97" s="43">
        <f>IF(B97="","",InvoicePrefix&amp;TEXT(ROW()-4,"0000"))</f>
        <v>0</v>
      </c>
      <c r="C97" s="23">
        <f>IF(B97="","",TEXT(B97,"yyyy-mm"))</f>
        <v>0</v>
      </c>
      <c r="E97" s="23">
        <f>IF(D97="","",IFERROR(INDEX(Clients!$B$5:$B$204,MATCH(D97,Clients!$A$5:$A$204,0)),"Not found"))</f>
        <v>0</v>
      </c>
      <c r="F97" s="23">
        <f>IF(D97="","",IFERROR(INDEX(Clients!$G$5:$G$204,MATCH(D97,Clients!$A$5:$A$204,0)),""))</f>
        <v>0</v>
      </c>
      <c r="Q97" s="31">
        <f>IF(A97="","",COUNTIFS('Invoice Lines'!$B$5:$B$804,A97))</f>
        <v>0</v>
      </c>
      <c r="R97" s="21">
        <f>IF(A97="","",SUMIFS('Invoice Lines'!$N$5:$N$804,'Invoice Lines'!$B$5:$B$804,A97))</f>
        <v>0</v>
      </c>
      <c r="S97" s="21">
        <f>IF(A97="","",ROUND(R97*IF(K97="",0,K97),2))</f>
        <v>0</v>
      </c>
      <c r="T97" s="21">
        <f>IF(A97="","",R97-S97)</f>
        <v>0</v>
      </c>
      <c r="U97" s="21">
        <f>IF(A97="","",ROUND(T97*TaxRate,2))</f>
        <v>0</v>
      </c>
      <c r="V97" s="21">
        <f>IF(A97="","",T97+U97)</f>
        <v>0</v>
      </c>
      <c r="W97" s="21">
        <f>IF(A97="","",SUMIFS(Payments!$G$5:$G$404,Payments!$D$5:$D$404,A97))</f>
        <v>0</v>
      </c>
      <c r="X97" s="21">
        <f>IF(A97="","",ROUND(V97-W97,2))</f>
        <v>0</v>
      </c>
      <c r="Y97" s="31">
        <f>IF(B97="","",IF(J97&lt;&gt;"",J97,IF(IFERROR(INDEX(Clients!$P$5:$P$204,MATCH(D97,Clients!$A$5:$A$204,0)),"")&lt;&gt;"",INDEX(Clients!$P$5:$P$204,MATCH(D97,Clients!$A$5:$A$204,0)),PaymentTerms)))</f>
        <v>0</v>
      </c>
      <c r="Z97" s="18">
        <f>IF(OR(A97="",B97=""),"",B97+Y97)</f>
        <v>0</v>
      </c>
      <c r="AA97" s="31">
        <f>IF(OR(A97="",Z97=""),"",IF(X97&lt;=0.004,"",MAX(0,TodayDate-Z97-OverdueGrace)))</f>
        <v>0</v>
      </c>
      <c r="AB97" s="39">
        <f>IF(B97="","",IF(X97&lt;=0.004,"Paid",IF(AA97="","Not due yet",IF(AA97=0,"Due now",IF(AA97&lt;=30,"1-30 days",IF(AA97&lt;=60,"31-60 days",IF(AA97&lt;=90,"61-90 days","90+ days")))))))</f>
        <v>0</v>
      </c>
      <c r="AC97" s="21">
        <f>IF(OR(A97="",AA97=""),"",IF(AA97&lt;=0,0,ROUND(X97*LateFeePercent,2)))</f>
        <v>0</v>
      </c>
      <c r="AD97" s="50">
        <f>IF(B97="","",IF(X97&lt;=0.004,"Yes","No"))</f>
        <v>0</v>
      </c>
      <c r="AE97" s="39">
        <f>IF(B97="","",IF(Q97=0,"Add - no lines on this invoice yet",IF(H97="Written off","Written off",IF(AD97="Yes","OK - paid",IF(H97="Draft","Draft - not sent yet",IF(AND(AA97&lt;&gt;"",AA97&gt;30),"Overdue - "&amp;AA97&amp;" days, call them",IF(AND(AA97&lt;&gt;"",AA97&gt;0),"Overdue - send a reminder",IF(W97&gt;0,"Part paid","Due - waiting for payment"))))))))</f>
        <v>0</v>
      </c>
    </row>
    <row r="98" spans="1:31">
      <c r="A98" s="43">
        <f>IF(B98="","",InvoicePrefix&amp;TEXT(ROW()-4,"0000"))</f>
        <v>0</v>
      </c>
      <c r="C98" s="23">
        <f>IF(B98="","",TEXT(B98,"yyyy-mm"))</f>
        <v>0</v>
      </c>
      <c r="E98" s="23">
        <f>IF(D98="","",IFERROR(INDEX(Clients!$B$5:$B$204,MATCH(D98,Clients!$A$5:$A$204,0)),"Not found"))</f>
        <v>0</v>
      </c>
      <c r="F98" s="23">
        <f>IF(D98="","",IFERROR(INDEX(Clients!$G$5:$G$204,MATCH(D98,Clients!$A$5:$A$204,0)),""))</f>
        <v>0</v>
      </c>
      <c r="Q98" s="31">
        <f>IF(A98="","",COUNTIFS('Invoice Lines'!$B$5:$B$804,A98))</f>
        <v>0</v>
      </c>
      <c r="R98" s="21">
        <f>IF(A98="","",SUMIFS('Invoice Lines'!$N$5:$N$804,'Invoice Lines'!$B$5:$B$804,A98))</f>
        <v>0</v>
      </c>
      <c r="S98" s="21">
        <f>IF(A98="","",ROUND(R98*IF(K98="",0,K98),2))</f>
        <v>0</v>
      </c>
      <c r="T98" s="21">
        <f>IF(A98="","",R98-S98)</f>
        <v>0</v>
      </c>
      <c r="U98" s="21">
        <f>IF(A98="","",ROUND(T98*TaxRate,2))</f>
        <v>0</v>
      </c>
      <c r="V98" s="21">
        <f>IF(A98="","",T98+U98)</f>
        <v>0</v>
      </c>
      <c r="W98" s="21">
        <f>IF(A98="","",SUMIFS(Payments!$G$5:$G$404,Payments!$D$5:$D$404,A98))</f>
        <v>0</v>
      </c>
      <c r="X98" s="21">
        <f>IF(A98="","",ROUND(V98-W98,2))</f>
        <v>0</v>
      </c>
      <c r="Y98" s="31">
        <f>IF(B98="","",IF(J98&lt;&gt;"",J98,IF(IFERROR(INDEX(Clients!$P$5:$P$204,MATCH(D98,Clients!$A$5:$A$204,0)),"")&lt;&gt;"",INDEX(Clients!$P$5:$P$204,MATCH(D98,Clients!$A$5:$A$204,0)),PaymentTerms)))</f>
        <v>0</v>
      </c>
      <c r="Z98" s="18">
        <f>IF(OR(A98="",B98=""),"",B98+Y98)</f>
        <v>0</v>
      </c>
      <c r="AA98" s="31">
        <f>IF(OR(A98="",Z98=""),"",IF(X98&lt;=0.004,"",MAX(0,TodayDate-Z98-OverdueGrace)))</f>
        <v>0</v>
      </c>
      <c r="AB98" s="39">
        <f>IF(B98="","",IF(X98&lt;=0.004,"Paid",IF(AA98="","Not due yet",IF(AA98=0,"Due now",IF(AA98&lt;=30,"1-30 days",IF(AA98&lt;=60,"31-60 days",IF(AA98&lt;=90,"61-90 days","90+ days")))))))</f>
        <v>0</v>
      </c>
      <c r="AC98" s="21">
        <f>IF(OR(A98="",AA98=""),"",IF(AA98&lt;=0,0,ROUND(X98*LateFeePercent,2)))</f>
        <v>0</v>
      </c>
      <c r="AD98" s="50">
        <f>IF(B98="","",IF(X98&lt;=0.004,"Yes","No"))</f>
        <v>0</v>
      </c>
      <c r="AE98" s="39">
        <f>IF(B98="","",IF(Q98=0,"Add - no lines on this invoice yet",IF(H98="Written off","Written off",IF(AD98="Yes","OK - paid",IF(H98="Draft","Draft - not sent yet",IF(AND(AA98&lt;&gt;"",AA98&gt;30),"Overdue - "&amp;AA98&amp;" days, call them",IF(AND(AA98&lt;&gt;"",AA98&gt;0),"Overdue - send a reminder",IF(W98&gt;0,"Part paid","Due - waiting for payment"))))))))</f>
        <v>0</v>
      </c>
    </row>
    <row r="99" spans="1:31">
      <c r="A99" s="43">
        <f>IF(B99="","",InvoicePrefix&amp;TEXT(ROW()-4,"0000"))</f>
        <v>0</v>
      </c>
      <c r="C99" s="23">
        <f>IF(B99="","",TEXT(B99,"yyyy-mm"))</f>
        <v>0</v>
      </c>
      <c r="E99" s="23">
        <f>IF(D99="","",IFERROR(INDEX(Clients!$B$5:$B$204,MATCH(D99,Clients!$A$5:$A$204,0)),"Not found"))</f>
        <v>0</v>
      </c>
      <c r="F99" s="23">
        <f>IF(D99="","",IFERROR(INDEX(Clients!$G$5:$G$204,MATCH(D99,Clients!$A$5:$A$204,0)),""))</f>
        <v>0</v>
      </c>
      <c r="Q99" s="31">
        <f>IF(A99="","",COUNTIFS('Invoice Lines'!$B$5:$B$804,A99))</f>
        <v>0</v>
      </c>
      <c r="R99" s="21">
        <f>IF(A99="","",SUMIFS('Invoice Lines'!$N$5:$N$804,'Invoice Lines'!$B$5:$B$804,A99))</f>
        <v>0</v>
      </c>
      <c r="S99" s="21">
        <f>IF(A99="","",ROUND(R99*IF(K99="",0,K99),2))</f>
        <v>0</v>
      </c>
      <c r="T99" s="21">
        <f>IF(A99="","",R99-S99)</f>
        <v>0</v>
      </c>
      <c r="U99" s="21">
        <f>IF(A99="","",ROUND(T99*TaxRate,2))</f>
        <v>0</v>
      </c>
      <c r="V99" s="21">
        <f>IF(A99="","",T99+U99)</f>
        <v>0</v>
      </c>
      <c r="W99" s="21">
        <f>IF(A99="","",SUMIFS(Payments!$G$5:$G$404,Payments!$D$5:$D$404,A99))</f>
        <v>0</v>
      </c>
      <c r="X99" s="21">
        <f>IF(A99="","",ROUND(V99-W99,2))</f>
        <v>0</v>
      </c>
      <c r="Y99" s="31">
        <f>IF(B99="","",IF(J99&lt;&gt;"",J99,IF(IFERROR(INDEX(Clients!$P$5:$P$204,MATCH(D99,Clients!$A$5:$A$204,0)),"")&lt;&gt;"",INDEX(Clients!$P$5:$P$204,MATCH(D99,Clients!$A$5:$A$204,0)),PaymentTerms)))</f>
        <v>0</v>
      </c>
      <c r="Z99" s="18">
        <f>IF(OR(A99="",B99=""),"",B99+Y99)</f>
        <v>0</v>
      </c>
      <c r="AA99" s="31">
        <f>IF(OR(A99="",Z99=""),"",IF(X99&lt;=0.004,"",MAX(0,TodayDate-Z99-OverdueGrace)))</f>
        <v>0</v>
      </c>
      <c r="AB99" s="39">
        <f>IF(B99="","",IF(X99&lt;=0.004,"Paid",IF(AA99="","Not due yet",IF(AA99=0,"Due now",IF(AA99&lt;=30,"1-30 days",IF(AA99&lt;=60,"31-60 days",IF(AA99&lt;=90,"61-90 days","90+ days")))))))</f>
        <v>0</v>
      </c>
      <c r="AC99" s="21">
        <f>IF(OR(A99="",AA99=""),"",IF(AA99&lt;=0,0,ROUND(X99*LateFeePercent,2)))</f>
        <v>0</v>
      </c>
      <c r="AD99" s="50">
        <f>IF(B99="","",IF(X99&lt;=0.004,"Yes","No"))</f>
        <v>0</v>
      </c>
      <c r="AE99" s="39">
        <f>IF(B99="","",IF(Q99=0,"Add - no lines on this invoice yet",IF(H99="Written off","Written off",IF(AD99="Yes","OK - paid",IF(H99="Draft","Draft - not sent yet",IF(AND(AA99&lt;&gt;"",AA99&gt;30),"Overdue - "&amp;AA99&amp;" days, call them",IF(AND(AA99&lt;&gt;"",AA99&gt;0),"Overdue - send a reminder",IF(W99&gt;0,"Part paid","Due - waiting for payment"))))))))</f>
        <v>0</v>
      </c>
    </row>
    <row r="100" spans="1:31">
      <c r="A100" s="43">
        <f>IF(B100="","",InvoicePrefix&amp;TEXT(ROW()-4,"0000"))</f>
        <v>0</v>
      </c>
      <c r="C100" s="23">
        <f>IF(B100="","",TEXT(B100,"yyyy-mm"))</f>
        <v>0</v>
      </c>
      <c r="E100" s="23">
        <f>IF(D100="","",IFERROR(INDEX(Clients!$B$5:$B$204,MATCH(D100,Clients!$A$5:$A$204,0)),"Not found"))</f>
        <v>0</v>
      </c>
      <c r="F100" s="23">
        <f>IF(D100="","",IFERROR(INDEX(Clients!$G$5:$G$204,MATCH(D100,Clients!$A$5:$A$204,0)),""))</f>
        <v>0</v>
      </c>
      <c r="Q100" s="31">
        <f>IF(A100="","",COUNTIFS('Invoice Lines'!$B$5:$B$804,A100))</f>
        <v>0</v>
      </c>
      <c r="R100" s="21">
        <f>IF(A100="","",SUMIFS('Invoice Lines'!$N$5:$N$804,'Invoice Lines'!$B$5:$B$804,A100))</f>
        <v>0</v>
      </c>
      <c r="S100" s="21">
        <f>IF(A100="","",ROUND(R100*IF(K100="",0,K100),2))</f>
        <v>0</v>
      </c>
      <c r="T100" s="21">
        <f>IF(A100="","",R100-S100)</f>
        <v>0</v>
      </c>
      <c r="U100" s="21">
        <f>IF(A100="","",ROUND(T100*TaxRate,2))</f>
        <v>0</v>
      </c>
      <c r="V100" s="21">
        <f>IF(A100="","",T100+U100)</f>
        <v>0</v>
      </c>
      <c r="W100" s="21">
        <f>IF(A100="","",SUMIFS(Payments!$G$5:$G$404,Payments!$D$5:$D$404,A100))</f>
        <v>0</v>
      </c>
      <c r="X100" s="21">
        <f>IF(A100="","",ROUND(V100-W100,2))</f>
        <v>0</v>
      </c>
      <c r="Y100" s="31">
        <f>IF(B100="","",IF(J100&lt;&gt;"",J100,IF(IFERROR(INDEX(Clients!$P$5:$P$204,MATCH(D100,Clients!$A$5:$A$204,0)),"")&lt;&gt;"",INDEX(Clients!$P$5:$P$204,MATCH(D100,Clients!$A$5:$A$204,0)),PaymentTerms)))</f>
        <v>0</v>
      </c>
      <c r="Z100" s="18">
        <f>IF(OR(A100="",B100=""),"",B100+Y100)</f>
        <v>0</v>
      </c>
      <c r="AA100" s="31">
        <f>IF(OR(A100="",Z100=""),"",IF(X100&lt;=0.004,"",MAX(0,TodayDate-Z100-OverdueGrace)))</f>
        <v>0</v>
      </c>
      <c r="AB100" s="39">
        <f>IF(B100="","",IF(X100&lt;=0.004,"Paid",IF(AA100="","Not due yet",IF(AA100=0,"Due now",IF(AA100&lt;=30,"1-30 days",IF(AA100&lt;=60,"31-60 days",IF(AA100&lt;=90,"61-90 days","90+ days")))))))</f>
        <v>0</v>
      </c>
      <c r="AC100" s="21">
        <f>IF(OR(A100="",AA100=""),"",IF(AA100&lt;=0,0,ROUND(X100*LateFeePercent,2)))</f>
        <v>0</v>
      </c>
      <c r="AD100" s="50">
        <f>IF(B100="","",IF(X100&lt;=0.004,"Yes","No"))</f>
        <v>0</v>
      </c>
      <c r="AE100" s="39">
        <f>IF(B100="","",IF(Q100=0,"Add - no lines on this invoice yet",IF(H100="Written off","Written off",IF(AD100="Yes","OK - paid",IF(H100="Draft","Draft - not sent yet",IF(AND(AA100&lt;&gt;"",AA100&gt;30),"Overdue - "&amp;AA100&amp;" days, call them",IF(AND(AA100&lt;&gt;"",AA100&gt;0),"Overdue - send a reminder",IF(W100&gt;0,"Part paid","Due - waiting for payment"))))))))</f>
        <v>0</v>
      </c>
    </row>
    <row r="101" spans="1:31">
      <c r="A101" s="43">
        <f>IF(B101="","",InvoicePrefix&amp;TEXT(ROW()-4,"0000"))</f>
        <v>0</v>
      </c>
      <c r="C101" s="23">
        <f>IF(B101="","",TEXT(B101,"yyyy-mm"))</f>
        <v>0</v>
      </c>
      <c r="E101" s="23">
        <f>IF(D101="","",IFERROR(INDEX(Clients!$B$5:$B$204,MATCH(D101,Clients!$A$5:$A$204,0)),"Not found"))</f>
        <v>0</v>
      </c>
      <c r="F101" s="23">
        <f>IF(D101="","",IFERROR(INDEX(Clients!$G$5:$G$204,MATCH(D101,Clients!$A$5:$A$204,0)),""))</f>
        <v>0</v>
      </c>
      <c r="Q101" s="31">
        <f>IF(A101="","",COUNTIFS('Invoice Lines'!$B$5:$B$804,A101))</f>
        <v>0</v>
      </c>
      <c r="R101" s="21">
        <f>IF(A101="","",SUMIFS('Invoice Lines'!$N$5:$N$804,'Invoice Lines'!$B$5:$B$804,A101))</f>
        <v>0</v>
      </c>
      <c r="S101" s="21">
        <f>IF(A101="","",ROUND(R101*IF(K101="",0,K101),2))</f>
        <v>0</v>
      </c>
      <c r="T101" s="21">
        <f>IF(A101="","",R101-S101)</f>
        <v>0</v>
      </c>
      <c r="U101" s="21">
        <f>IF(A101="","",ROUND(T101*TaxRate,2))</f>
        <v>0</v>
      </c>
      <c r="V101" s="21">
        <f>IF(A101="","",T101+U101)</f>
        <v>0</v>
      </c>
      <c r="W101" s="21">
        <f>IF(A101="","",SUMIFS(Payments!$G$5:$G$404,Payments!$D$5:$D$404,A101))</f>
        <v>0</v>
      </c>
      <c r="X101" s="21">
        <f>IF(A101="","",ROUND(V101-W101,2))</f>
        <v>0</v>
      </c>
      <c r="Y101" s="31">
        <f>IF(B101="","",IF(J101&lt;&gt;"",J101,IF(IFERROR(INDEX(Clients!$P$5:$P$204,MATCH(D101,Clients!$A$5:$A$204,0)),"")&lt;&gt;"",INDEX(Clients!$P$5:$P$204,MATCH(D101,Clients!$A$5:$A$204,0)),PaymentTerms)))</f>
        <v>0</v>
      </c>
      <c r="Z101" s="18">
        <f>IF(OR(A101="",B101=""),"",B101+Y101)</f>
        <v>0</v>
      </c>
      <c r="AA101" s="31">
        <f>IF(OR(A101="",Z101=""),"",IF(X101&lt;=0.004,"",MAX(0,TodayDate-Z101-OverdueGrace)))</f>
        <v>0</v>
      </c>
      <c r="AB101" s="39">
        <f>IF(B101="","",IF(X101&lt;=0.004,"Paid",IF(AA101="","Not due yet",IF(AA101=0,"Due now",IF(AA101&lt;=30,"1-30 days",IF(AA101&lt;=60,"31-60 days",IF(AA101&lt;=90,"61-90 days","90+ days")))))))</f>
        <v>0</v>
      </c>
      <c r="AC101" s="21">
        <f>IF(OR(A101="",AA101=""),"",IF(AA101&lt;=0,0,ROUND(X101*LateFeePercent,2)))</f>
        <v>0</v>
      </c>
      <c r="AD101" s="50">
        <f>IF(B101="","",IF(X101&lt;=0.004,"Yes","No"))</f>
        <v>0</v>
      </c>
      <c r="AE101" s="39">
        <f>IF(B101="","",IF(Q101=0,"Add - no lines on this invoice yet",IF(H101="Written off","Written off",IF(AD101="Yes","OK - paid",IF(H101="Draft","Draft - not sent yet",IF(AND(AA101&lt;&gt;"",AA101&gt;30),"Overdue - "&amp;AA101&amp;" days, call them",IF(AND(AA101&lt;&gt;"",AA101&gt;0),"Overdue - send a reminder",IF(W101&gt;0,"Part paid","Due - waiting for payment"))))))))</f>
        <v>0</v>
      </c>
    </row>
    <row r="102" spans="1:31">
      <c r="A102" s="43">
        <f>IF(B102="","",InvoicePrefix&amp;TEXT(ROW()-4,"0000"))</f>
        <v>0</v>
      </c>
      <c r="C102" s="23">
        <f>IF(B102="","",TEXT(B102,"yyyy-mm"))</f>
        <v>0</v>
      </c>
      <c r="E102" s="23">
        <f>IF(D102="","",IFERROR(INDEX(Clients!$B$5:$B$204,MATCH(D102,Clients!$A$5:$A$204,0)),"Not found"))</f>
        <v>0</v>
      </c>
      <c r="F102" s="23">
        <f>IF(D102="","",IFERROR(INDEX(Clients!$G$5:$G$204,MATCH(D102,Clients!$A$5:$A$204,0)),""))</f>
        <v>0</v>
      </c>
      <c r="Q102" s="31">
        <f>IF(A102="","",COUNTIFS('Invoice Lines'!$B$5:$B$804,A102))</f>
        <v>0</v>
      </c>
      <c r="R102" s="21">
        <f>IF(A102="","",SUMIFS('Invoice Lines'!$N$5:$N$804,'Invoice Lines'!$B$5:$B$804,A102))</f>
        <v>0</v>
      </c>
      <c r="S102" s="21">
        <f>IF(A102="","",ROUND(R102*IF(K102="",0,K102),2))</f>
        <v>0</v>
      </c>
      <c r="T102" s="21">
        <f>IF(A102="","",R102-S102)</f>
        <v>0</v>
      </c>
      <c r="U102" s="21">
        <f>IF(A102="","",ROUND(T102*TaxRate,2))</f>
        <v>0</v>
      </c>
      <c r="V102" s="21">
        <f>IF(A102="","",T102+U102)</f>
        <v>0</v>
      </c>
      <c r="W102" s="21">
        <f>IF(A102="","",SUMIFS(Payments!$G$5:$G$404,Payments!$D$5:$D$404,A102))</f>
        <v>0</v>
      </c>
      <c r="X102" s="21">
        <f>IF(A102="","",ROUND(V102-W102,2))</f>
        <v>0</v>
      </c>
      <c r="Y102" s="31">
        <f>IF(B102="","",IF(J102&lt;&gt;"",J102,IF(IFERROR(INDEX(Clients!$P$5:$P$204,MATCH(D102,Clients!$A$5:$A$204,0)),"")&lt;&gt;"",INDEX(Clients!$P$5:$P$204,MATCH(D102,Clients!$A$5:$A$204,0)),PaymentTerms)))</f>
        <v>0</v>
      </c>
      <c r="Z102" s="18">
        <f>IF(OR(A102="",B102=""),"",B102+Y102)</f>
        <v>0</v>
      </c>
      <c r="AA102" s="31">
        <f>IF(OR(A102="",Z102=""),"",IF(X102&lt;=0.004,"",MAX(0,TodayDate-Z102-OverdueGrace)))</f>
        <v>0</v>
      </c>
      <c r="AB102" s="39">
        <f>IF(B102="","",IF(X102&lt;=0.004,"Paid",IF(AA102="","Not due yet",IF(AA102=0,"Due now",IF(AA102&lt;=30,"1-30 days",IF(AA102&lt;=60,"31-60 days",IF(AA102&lt;=90,"61-90 days","90+ days")))))))</f>
        <v>0</v>
      </c>
      <c r="AC102" s="21">
        <f>IF(OR(A102="",AA102=""),"",IF(AA102&lt;=0,0,ROUND(X102*LateFeePercent,2)))</f>
        <v>0</v>
      </c>
      <c r="AD102" s="50">
        <f>IF(B102="","",IF(X102&lt;=0.004,"Yes","No"))</f>
        <v>0</v>
      </c>
      <c r="AE102" s="39">
        <f>IF(B102="","",IF(Q102=0,"Add - no lines on this invoice yet",IF(H102="Written off","Written off",IF(AD102="Yes","OK - paid",IF(H102="Draft","Draft - not sent yet",IF(AND(AA102&lt;&gt;"",AA102&gt;30),"Overdue - "&amp;AA102&amp;" days, call them",IF(AND(AA102&lt;&gt;"",AA102&gt;0),"Overdue - send a reminder",IF(W102&gt;0,"Part paid","Due - waiting for payment"))))))))</f>
        <v>0</v>
      </c>
    </row>
    <row r="103" spans="1:31">
      <c r="A103" s="43">
        <f>IF(B103="","",InvoicePrefix&amp;TEXT(ROW()-4,"0000"))</f>
        <v>0</v>
      </c>
      <c r="C103" s="23">
        <f>IF(B103="","",TEXT(B103,"yyyy-mm"))</f>
        <v>0</v>
      </c>
      <c r="E103" s="23">
        <f>IF(D103="","",IFERROR(INDEX(Clients!$B$5:$B$204,MATCH(D103,Clients!$A$5:$A$204,0)),"Not found"))</f>
        <v>0</v>
      </c>
      <c r="F103" s="23">
        <f>IF(D103="","",IFERROR(INDEX(Clients!$G$5:$G$204,MATCH(D103,Clients!$A$5:$A$204,0)),""))</f>
        <v>0</v>
      </c>
      <c r="Q103" s="31">
        <f>IF(A103="","",COUNTIFS('Invoice Lines'!$B$5:$B$804,A103))</f>
        <v>0</v>
      </c>
      <c r="R103" s="21">
        <f>IF(A103="","",SUMIFS('Invoice Lines'!$N$5:$N$804,'Invoice Lines'!$B$5:$B$804,A103))</f>
        <v>0</v>
      </c>
      <c r="S103" s="21">
        <f>IF(A103="","",ROUND(R103*IF(K103="",0,K103),2))</f>
        <v>0</v>
      </c>
      <c r="T103" s="21">
        <f>IF(A103="","",R103-S103)</f>
        <v>0</v>
      </c>
      <c r="U103" s="21">
        <f>IF(A103="","",ROUND(T103*TaxRate,2))</f>
        <v>0</v>
      </c>
      <c r="V103" s="21">
        <f>IF(A103="","",T103+U103)</f>
        <v>0</v>
      </c>
      <c r="W103" s="21">
        <f>IF(A103="","",SUMIFS(Payments!$G$5:$G$404,Payments!$D$5:$D$404,A103))</f>
        <v>0</v>
      </c>
      <c r="X103" s="21">
        <f>IF(A103="","",ROUND(V103-W103,2))</f>
        <v>0</v>
      </c>
      <c r="Y103" s="31">
        <f>IF(B103="","",IF(J103&lt;&gt;"",J103,IF(IFERROR(INDEX(Clients!$P$5:$P$204,MATCH(D103,Clients!$A$5:$A$204,0)),"")&lt;&gt;"",INDEX(Clients!$P$5:$P$204,MATCH(D103,Clients!$A$5:$A$204,0)),PaymentTerms)))</f>
        <v>0</v>
      </c>
      <c r="Z103" s="18">
        <f>IF(OR(A103="",B103=""),"",B103+Y103)</f>
        <v>0</v>
      </c>
      <c r="AA103" s="31">
        <f>IF(OR(A103="",Z103=""),"",IF(X103&lt;=0.004,"",MAX(0,TodayDate-Z103-OverdueGrace)))</f>
        <v>0</v>
      </c>
      <c r="AB103" s="39">
        <f>IF(B103="","",IF(X103&lt;=0.004,"Paid",IF(AA103="","Not due yet",IF(AA103=0,"Due now",IF(AA103&lt;=30,"1-30 days",IF(AA103&lt;=60,"31-60 days",IF(AA103&lt;=90,"61-90 days","90+ days")))))))</f>
        <v>0</v>
      </c>
      <c r="AC103" s="21">
        <f>IF(OR(A103="",AA103=""),"",IF(AA103&lt;=0,0,ROUND(X103*LateFeePercent,2)))</f>
        <v>0</v>
      </c>
      <c r="AD103" s="50">
        <f>IF(B103="","",IF(X103&lt;=0.004,"Yes","No"))</f>
        <v>0</v>
      </c>
      <c r="AE103" s="39">
        <f>IF(B103="","",IF(Q103=0,"Add - no lines on this invoice yet",IF(H103="Written off","Written off",IF(AD103="Yes","OK - paid",IF(H103="Draft","Draft - not sent yet",IF(AND(AA103&lt;&gt;"",AA103&gt;30),"Overdue - "&amp;AA103&amp;" days, call them",IF(AND(AA103&lt;&gt;"",AA103&gt;0),"Overdue - send a reminder",IF(W103&gt;0,"Part paid","Due - waiting for payment"))))))))</f>
        <v>0</v>
      </c>
    </row>
    <row r="104" spans="1:31">
      <c r="A104" s="43">
        <f>IF(B104="","",InvoicePrefix&amp;TEXT(ROW()-4,"0000"))</f>
        <v>0</v>
      </c>
      <c r="C104" s="23">
        <f>IF(B104="","",TEXT(B104,"yyyy-mm"))</f>
        <v>0</v>
      </c>
      <c r="E104" s="23">
        <f>IF(D104="","",IFERROR(INDEX(Clients!$B$5:$B$204,MATCH(D104,Clients!$A$5:$A$204,0)),"Not found"))</f>
        <v>0</v>
      </c>
      <c r="F104" s="23">
        <f>IF(D104="","",IFERROR(INDEX(Clients!$G$5:$G$204,MATCH(D104,Clients!$A$5:$A$204,0)),""))</f>
        <v>0</v>
      </c>
      <c r="Q104" s="31">
        <f>IF(A104="","",COUNTIFS('Invoice Lines'!$B$5:$B$804,A104))</f>
        <v>0</v>
      </c>
      <c r="R104" s="21">
        <f>IF(A104="","",SUMIFS('Invoice Lines'!$N$5:$N$804,'Invoice Lines'!$B$5:$B$804,A104))</f>
        <v>0</v>
      </c>
      <c r="S104" s="21">
        <f>IF(A104="","",ROUND(R104*IF(K104="",0,K104),2))</f>
        <v>0</v>
      </c>
      <c r="T104" s="21">
        <f>IF(A104="","",R104-S104)</f>
        <v>0</v>
      </c>
      <c r="U104" s="21">
        <f>IF(A104="","",ROUND(T104*TaxRate,2))</f>
        <v>0</v>
      </c>
      <c r="V104" s="21">
        <f>IF(A104="","",T104+U104)</f>
        <v>0</v>
      </c>
      <c r="W104" s="21">
        <f>IF(A104="","",SUMIFS(Payments!$G$5:$G$404,Payments!$D$5:$D$404,A104))</f>
        <v>0</v>
      </c>
      <c r="X104" s="21">
        <f>IF(A104="","",ROUND(V104-W104,2))</f>
        <v>0</v>
      </c>
      <c r="Y104" s="31">
        <f>IF(B104="","",IF(J104&lt;&gt;"",J104,IF(IFERROR(INDEX(Clients!$P$5:$P$204,MATCH(D104,Clients!$A$5:$A$204,0)),"")&lt;&gt;"",INDEX(Clients!$P$5:$P$204,MATCH(D104,Clients!$A$5:$A$204,0)),PaymentTerms)))</f>
        <v>0</v>
      </c>
      <c r="Z104" s="18">
        <f>IF(OR(A104="",B104=""),"",B104+Y104)</f>
        <v>0</v>
      </c>
      <c r="AA104" s="31">
        <f>IF(OR(A104="",Z104=""),"",IF(X104&lt;=0.004,"",MAX(0,TodayDate-Z104-OverdueGrace)))</f>
        <v>0</v>
      </c>
      <c r="AB104" s="39">
        <f>IF(B104="","",IF(X104&lt;=0.004,"Paid",IF(AA104="","Not due yet",IF(AA104=0,"Due now",IF(AA104&lt;=30,"1-30 days",IF(AA104&lt;=60,"31-60 days",IF(AA104&lt;=90,"61-90 days","90+ days")))))))</f>
        <v>0</v>
      </c>
      <c r="AC104" s="21">
        <f>IF(OR(A104="",AA104=""),"",IF(AA104&lt;=0,0,ROUND(X104*LateFeePercent,2)))</f>
        <v>0</v>
      </c>
      <c r="AD104" s="50">
        <f>IF(B104="","",IF(X104&lt;=0.004,"Yes","No"))</f>
        <v>0</v>
      </c>
      <c r="AE104" s="39">
        <f>IF(B104="","",IF(Q104=0,"Add - no lines on this invoice yet",IF(H104="Written off","Written off",IF(AD104="Yes","OK - paid",IF(H104="Draft","Draft - not sent yet",IF(AND(AA104&lt;&gt;"",AA104&gt;30),"Overdue - "&amp;AA104&amp;" days, call them",IF(AND(AA104&lt;&gt;"",AA104&gt;0),"Overdue - send a reminder",IF(W104&gt;0,"Part paid","Due - waiting for payment"))))))))</f>
        <v>0</v>
      </c>
    </row>
    <row r="105" spans="1:31">
      <c r="A105" s="43">
        <f>IF(B105="","",InvoicePrefix&amp;TEXT(ROW()-4,"0000"))</f>
        <v>0</v>
      </c>
      <c r="C105" s="23">
        <f>IF(B105="","",TEXT(B105,"yyyy-mm"))</f>
        <v>0</v>
      </c>
      <c r="E105" s="23">
        <f>IF(D105="","",IFERROR(INDEX(Clients!$B$5:$B$204,MATCH(D105,Clients!$A$5:$A$204,0)),"Not found"))</f>
        <v>0</v>
      </c>
      <c r="F105" s="23">
        <f>IF(D105="","",IFERROR(INDEX(Clients!$G$5:$G$204,MATCH(D105,Clients!$A$5:$A$204,0)),""))</f>
        <v>0</v>
      </c>
      <c r="Q105" s="31">
        <f>IF(A105="","",COUNTIFS('Invoice Lines'!$B$5:$B$804,A105))</f>
        <v>0</v>
      </c>
      <c r="R105" s="21">
        <f>IF(A105="","",SUMIFS('Invoice Lines'!$N$5:$N$804,'Invoice Lines'!$B$5:$B$804,A105))</f>
        <v>0</v>
      </c>
      <c r="S105" s="21">
        <f>IF(A105="","",ROUND(R105*IF(K105="",0,K105),2))</f>
        <v>0</v>
      </c>
      <c r="T105" s="21">
        <f>IF(A105="","",R105-S105)</f>
        <v>0</v>
      </c>
      <c r="U105" s="21">
        <f>IF(A105="","",ROUND(T105*TaxRate,2))</f>
        <v>0</v>
      </c>
      <c r="V105" s="21">
        <f>IF(A105="","",T105+U105)</f>
        <v>0</v>
      </c>
      <c r="W105" s="21">
        <f>IF(A105="","",SUMIFS(Payments!$G$5:$G$404,Payments!$D$5:$D$404,A105))</f>
        <v>0</v>
      </c>
      <c r="X105" s="21">
        <f>IF(A105="","",ROUND(V105-W105,2))</f>
        <v>0</v>
      </c>
      <c r="Y105" s="31">
        <f>IF(B105="","",IF(J105&lt;&gt;"",J105,IF(IFERROR(INDEX(Clients!$P$5:$P$204,MATCH(D105,Clients!$A$5:$A$204,0)),"")&lt;&gt;"",INDEX(Clients!$P$5:$P$204,MATCH(D105,Clients!$A$5:$A$204,0)),PaymentTerms)))</f>
        <v>0</v>
      </c>
      <c r="Z105" s="18">
        <f>IF(OR(A105="",B105=""),"",B105+Y105)</f>
        <v>0</v>
      </c>
      <c r="AA105" s="31">
        <f>IF(OR(A105="",Z105=""),"",IF(X105&lt;=0.004,"",MAX(0,TodayDate-Z105-OverdueGrace)))</f>
        <v>0</v>
      </c>
      <c r="AB105" s="39">
        <f>IF(B105="","",IF(X105&lt;=0.004,"Paid",IF(AA105="","Not due yet",IF(AA105=0,"Due now",IF(AA105&lt;=30,"1-30 days",IF(AA105&lt;=60,"31-60 days",IF(AA105&lt;=90,"61-90 days","90+ days")))))))</f>
        <v>0</v>
      </c>
      <c r="AC105" s="21">
        <f>IF(OR(A105="",AA105=""),"",IF(AA105&lt;=0,0,ROUND(X105*LateFeePercent,2)))</f>
        <v>0</v>
      </c>
      <c r="AD105" s="50">
        <f>IF(B105="","",IF(X105&lt;=0.004,"Yes","No"))</f>
        <v>0</v>
      </c>
      <c r="AE105" s="39">
        <f>IF(B105="","",IF(Q105=0,"Add - no lines on this invoice yet",IF(H105="Written off","Written off",IF(AD105="Yes","OK - paid",IF(H105="Draft","Draft - not sent yet",IF(AND(AA105&lt;&gt;"",AA105&gt;30),"Overdue - "&amp;AA105&amp;" days, call them",IF(AND(AA105&lt;&gt;"",AA105&gt;0),"Overdue - send a reminder",IF(W105&gt;0,"Part paid","Due - waiting for payment"))))))))</f>
        <v>0</v>
      </c>
    </row>
    <row r="106" spans="1:31">
      <c r="A106" s="43">
        <f>IF(B106="","",InvoicePrefix&amp;TEXT(ROW()-4,"0000"))</f>
        <v>0</v>
      </c>
      <c r="C106" s="23">
        <f>IF(B106="","",TEXT(B106,"yyyy-mm"))</f>
        <v>0</v>
      </c>
      <c r="E106" s="23">
        <f>IF(D106="","",IFERROR(INDEX(Clients!$B$5:$B$204,MATCH(D106,Clients!$A$5:$A$204,0)),"Not found"))</f>
        <v>0</v>
      </c>
      <c r="F106" s="23">
        <f>IF(D106="","",IFERROR(INDEX(Clients!$G$5:$G$204,MATCH(D106,Clients!$A$5:$A$204,0)),""))</f>
        <v>0</v>
      </c>
      <c r="Q106" s="31">
        <f>IF(A106="","",COUNTIFS('Invoice Lines'!$B$5:$B$804,A106))</f>
        <v>0</v>
      </c>
      <c r="R106" s="21">
        <f>IF(A106="","",SUMIFS('Invoice Lines'!$N$5:$N$804,'Invoice Lines'!$B$5:$B$804,A106))</f>
        <v>0</v>
      </c>
      <c r="S106" s="21">
        <f>IF(A106="","",ROUND(R106*IF(K106="",0,K106),2))</f>
        <v>0</v>
      </c>
      <c r="T106" s="21">
        <f>IF(A106="","",R106-S106)</f>
        <v>0</v>
      </c>
      <c r="U106" s="21">
        <f>IF(A106="","",ROUND(T106*TaxRate,2))</f>
        <v>0</v>
      </c>
      <c r="V106" s="21">
        <f>IF(A106="","",T106+U106)</f>
        <v>0</v>
      </c>
      <c r="W106" s="21">
        <f>IF(A106="","",SUMIFS(Payments!$G$5:$G$404,Payments!$D$5:$D$404,A106))</f>
        <v>0</v>
      </c>
      <c r="X106" s="21">
        <f>IF(A106="","",ROUND(V106-W106,2))</f>
        <v>0</v>
      </c>
      <c r="Y106" s="31">
        <f>IF(B106="","",IF(J106&lt;&gt;"",J106,IF(IFERROR(INDEX(Clients!$P$5:$P$204,MATCH(D106,Clients!$A$5:$A$204,0)),"")&lt;&gt;"",INDEX(Clients!$P$5:$P$204,MATCH(D106,Clients!$A$5:$A$204,0)),PaymentTerms)))</f>
        <v>0</v>
      </c>
      <c r="Z106" s="18">
        <f>IF(OR(A106="",B106=""),"",B106+Y106)</f>
        <v>0</v>
      </c>
      <c r="AA106" s="31">
        <f>IF(OR(A106="",Z106=""),"",IF(X106&lt;=0.004,"",MAX(0,TodayDate-Z106-OverdueGrace)))</f>
        <v>0</v>
      </c>
      <c r="AB106" s="39">
        <f>IF(B106="","",IF(X106&lt;=0.004,"Paid",IF(AA106="","Not due yet",IF(AA106=0,"Due now",IF(AA106&lt;=30,"1-30 days",IF(AA106&lt;=60,"31-60 days",IF(AA106&lt;=90,"61-90 days","90+ days")))))))</f>
        <v>0</v>
      </c>
      <c r="AC106" s="21">
        <f>IF(OR(A106="",AA106=""),"",IF(AA106&lt;=0,0,ROUND(X106*LateFeePercent,2)))</f>
        <v>0</v>
      </c>
      <c r="AD106" s="50">
        <f>IF(B106="","",IF(X106&lt;=0.004,"Yes","No"))</f>
        <v>0</v>
      </c>
      <c r="AE106" s="39">
        <f>IF(B106="","",IF(Q106=0,"Add - no lines on this invoice yet",IF(H106="Written off","Written off",IF(AD106="Yes","OK - paid",IF(H106="Draft","Draft - not sent yet",IF(AND(AA106&lt;&gt;"",AA106&gt;30),"Overdue - "&amp;AA106&amp;" days, call them",IF(AND(AA106&lt;&gt;"",AA106&gt;0),"Overdue - send a reminder",IF(W106&gt;0,"Part paid","Due - waiting for payment"))))))))</f>
        <v>0</v>
      </c>
    </row>
    <row r="107" spans="1:31">
      <c r="A107" s="43">
        <f>IF(B107="","",InvoicePrefix&amp;TEXT(ROW()-4,"0000"))</f>
        <v>0</v>
      </c>
      <c r="C107" s="23">
        <f>IF(B107="","",TEXT(B107,"yyyy-mm"))</f>
        <v>0</v>
      </c>
      <c r="E107" s="23">
        <f>IF(D107="","",IFERROR(INDEX(Clients!$B$5:$B$204,MATCH(D107,Clients!$A$5:$A$204,0)),"Not found"))</f>
        <v>0</v>
      </c>
      <c r="F107" s="23">
        <f>IF(D107="","",IFERROR(INDEX(Clients!$G$5:$G$204,MATCH(D107,Clients!$A$5:$A$204,0)),""))</f>
        <v>0</v>
      </c>
      <c r="Q107" s="31">
        <f>IF(A107="","",COUNTIFS('Invoice Lines'!$B$5:$B$804,A107))</f>
        <v>0</v>
      </c>
      <c r="R107" s="21">
        <f>IF(A107="","",SUMIFS('Invoice Lines'!$N$5:$N$804,'Invoice Lines'!$B$5:$B$804,A107))</f>
        <v>0</v>
      </c>
      <c r="S107" s="21">
        <f>IF(A107="","",ROUND(R107*IF(K107="",0,K107),2))</f>
        <v>0</v>
      </c>
      <c r="T107" s="21">
        <f>IF(A107="","",R107-S107)</f>
        <v>0</v>
      </c>
      <c r="U107" s="21">
        <f>IF(A107="","",ROUND(T107*TaxRate,2))</f>
        <v>0</v>
      </c>
      <c r="V107" s="21">
        <f>IF(A107="","",T107+U107)</f>
        <v>0</v>
      </c>
      <c r="W107" s="21">
        <f>IF(A107="","",SUMIFS(Payments!$G$5:$G$404,Payments!$D$5:$D$404,A107))</f>
        <v>0</v>
      </c>
      <c r="X107" s="21">
        <f>IF(A107="","",ROUND(V107-W107,2))</f>
        <v>0</v>
      </c>
      <c r="Y107" s="31">
        <f>IF(B107="","",IF(J107&lt;&gt;"",J107,IF(IFERROR(INDEX(Clients!$P$5:$P$204,MATCH(D107,Clients!$A$5:$A$204,0)),"")&lt;&gt;"",INDEX(Clients!$P$5:$P$204,MATCH(D107,Clients!$A$5:$A$204,0)),PaymentTerms)))</f>
        <v>0</v>
      </c>
      <c r="Z107" s="18">
        <f>IF(OR(A107="",B107=""),"",B107+Y107)</f>
        <v>0</v>
      </c>
      <c r="AA107" s="31">
        <f>IF(OR(A107="",Z107=""),"",IF(X107&lt;=0.004,"",MAX(0,TodayDate-Z107-OverdueGrace)))</f>
        <v>0</v>
      </c>
      <c r="AB107" s="39">
        <f>IF(B107="","",IF(X107&lt;=0.004,"Paid",IF(AA107="","Not due yet",IF(AA107=0,"Due now",IF(AA107&lt;=30,"1-30 days",IF(AA107&lt;=60,"31-60 days",IF(AA107&lt;=90,"61-90 days","90+ days")))))))</f>
        <v>0</v>
      </c>
      <c r="AC107" s="21">
        <f>IF(OR(A107="",AA107=""),"",IF(AA107&lt;=0,0,ROUND(X107*LateFeePercent,2)))</f>
        <v>0</v>
      </c>
      <c r="AD107" s="50">
        <f>IF(B107="","",IF(X107&lt;=0.004,"Yes","No"))</f>
        <v>0</v>
      </c>
      <c r="AE107" s="39">
        <f>IF(B107="","",IF(Q107=0,"Add - no lines on this invoice yet",IF(H107="Written off","Written off",IF(AD107="Yes","OK - paid",IF(H107="Draft","Draft - not sent yet",IF(AND(AA107&lt;&gt;"",AA107&gt;30),"Overdue - "&amp;AA107&amp;" days, call them",IF(AND(AA107&lt;&gt;"",AA107&gt;0),"Overdue - send a reminder",IF(W107&gt;0,"Part paid","Due - waiting for payment"))))))))</f>
        <v>0</v>
      </c>
    </row>
    <row r="108" spans="1:31">
      <c r="A108" s="43">
        <f>IF(B108="","",InvoicePrefix&amp;TEXT(ROW()-4,"0000"))</f>
        <v>0</v>
      </c>
      <c r="C108" s="23">
        <f>IF(B108="","",TEXT(B108,"yyyy-mm"))</f>
        <v>0</v>
      </c>
      <c r="E108" s="23">
        <f>IF(D108="","",IFERROR(INDEX(Clients!$B$5:$B$204,MATCH(D108,Clients!$A$5:$A$204,0)),"Not found"))</f>
        <v>0</v>
      </c>
      <c r="F108" s="23">
        <f>IF(D108="","",IFERROR(INDEX(Clients!$G$5:$G$204,MATCH(D108,Clients!$A$5:$A$204,0)),""))</f>
        <v>0</v>
      </c>
      <c r="Q108" s="31">
        <f>IF(A108="","",COUNTIFS('Invoice Lines'!$B$5:$B$804,A108))</f>
        <v>0</v>
      </c>
      <c r="R108" s="21">
        <f>IF(A108="","",SUMIFS('Invoice Lines'!$N$5:$N$804,'Invoice Lines'!$B$5:$B$804,A108))</f>
        <v>0</v>
      </c>
      <c r="S108" s="21">
        <f>IF(A108="","",ROUND(R108*IF(K108="",0,K108),2))</f>
        <v>0</v>
      </c>
      <c r="T108" s="21">
        <f>IF(A108="","",R108-S108)</f>
        <v>0</v>
      </c>
      <c r="U108" s="21">
        <f>IF(A108="","",ROUND(T108*TaxRate,2))</f>
        <v>0</v>
      </c>
      <c r="V108" s="21">
        <f>IF(A108="","",T108+U108)</f>
        <v>0</v>
      </c>
      <c r="W108" s="21">
        <f>IF(A108="","",SUMIFS(Payments!$G$5:$G$404,Payments!$D$5:$D$404,A108))</f>
        <v>0</v>
      </c>
      <c r="X108" s="21">
        <f>IF(A108="","",ROUND(V108-W108,2))</f>
        <v>0</v>
      </c>
      <c r="Y108" s="31">
        <f>IF(B108="","",IF(J108&lt;&gt;"",J108,IF(IFERROR(INDEX(Clients!$P$5:$P$204,MATCH(D108,Clients!$A$5:$A$204,0)),"")&lt;&gt;"",INDEX(Clients!$P$5:$P$204,MATCH(D108,Clients!$A$5:$A$204,0)),PaymentTerms)))</f>
        <v>0</v>
      </c>
      <c r="Z108" s="18">
        <f>IF(OR(A108="",B108=""),"",B108+Y108)</f>
        <v>0</v>
      </c>
      <c r="AA108" s="31">
        <f>IF(OR(A108="",Z108=""),"",IF(X108&lt;=0.004,"",MAX(0,TodayDate-Z108-OverdueGrace)))</f>
        <v>0</v>
      </c>
      <c r="AB108" s="39">
        <f>IF(B108="","",IF(X108&lt;=0.004,"Paid",IF(AA108="","Not due yet",IF(AA108=0,"Due now",IF(AA108&lt;=30,"1-30 days",IF(AA108&lt;=60,"31-60 days",IF(AA108&lt;=90,"61-90 days","90+ days")))))))</f>
        <v>0</v>
      </c>
      <c r="AC108" s="21">
        <f>IF(OR(A108="",AA108=""),"",IF(AA108&lt;=0,0,ROUND(X108*LateFeePercent,2)))</f>
        <v>0</v>
      </c>
      <c r="AD108" s="50">
        <f>IF(B108="","",IF(X108&lt;=0.004,"Yes","No"))</f>
        <v>0</v>
      </c>
      <c r="AE108" s="39">
        <f>IF(B108="","",IF(Q108=0,"Add - no lines on this invoice yet",IF(H108="Written off","Written off",IF(AD108="Yes","OK - paid",IF(H108="Draft","Draft - not sent yet",IF(AND(AA108&lt;&gt;"",AA108&gt;30),"Overdue - "&amp;AA108&amp;" days, call them",IF(AND(AA108&lt;&gt;"",AA108&gt;0),"Overdue - send a reminder",IF(W108&gt;0,"Part paid","Due - waiting for payment"))))))))</f>
        <v>0</v>
      </c>
    </row>
    <row r="109" spans="1:31">
      <c r="A109" s="43">
        <f>IF(B109="","",InvoicePrefix&amp;TEXT(ROW()-4,"0000"))</f>
        <v>0</v>
      </c>
      <c r="C109" s="23">
        <f>IF(B109="","",TEXT(B109,"yyyy-mm"))</f>
        <v>0</v>
      </c>
      <c r="E109" s="23">
        <f>IF(D109="","",IFERROR(INDEX(Clients!$B$5:$B$204,MATCH(D109,Clients!$A$5:$A$204,0)),"Not found"))</f>
        <v>0</v>
      </c>
      <c r="F109" s="23">
        <f>IF(D109="","",IFERROR(INDEX(Clients!$G$5:$G$204,MATCH(D109,Clients!$A$5:$A$204,0)),""))</f>
        <v>0</v>
      </c>
      <c r="Q109" s="31">
        <f>IF(A109="","",COUNTIFS('Invoice Lines'!$B$5:$B$804,A109))</f>
        <v>0</v>
      </c>
      <c r="R109" s="21">
        <f>IF(A109="","",SUMIFS('Invoice Lines'!$N$5:$N$804,'Invoice Lines'!$B$5:$B$804,A109))</f>
        <v>0</v>
      </c>
      <c r="S109" s="21">
        <f>IF(A109="","",ROUND(R109*IF(K109="",0,K109),2))</f>
        <v>0</v>
      </c>
      <c r="T109" s="21">
        <f>IF(A109="","",R109-S109)</f>
        <v>0</v>
      </c>
      <c r="U109" s="21">
        <f>IF(A109="","",ROUND(T109*TaxRate,2))</f>
        <v>0</v>
      </c>
      <c r="V109" s="21">
        <f>IF(A109="","",T109+U109)</f>
        <v>0</v>
      </c>
      <c r="W109" s="21">
        <f>IF(A109="","",SUMIFS(Payments!$G$5:$G$404,Payments!$D$5:$D$404,A109))</f>
        <v>0</v>
      </c>
      <c r="X109" s="21">
        <f>IF(A109="","",ROUND(V109-W109,2))</f>
        <v>0</v>
      </c>
      <c r="Y109" s="31">
        <f>IF(B109="","",IF(J109&lt;&gt;"",J109,IF(IFERROR(INDEX(Clients!$P$5:$P$204,MATCH(D109,Clients!$A$5:$A$204,0)),"")&lt;&gt;"",INDEX(Clients!$P$5:$P$204,MATCH(D109,Clients!$A$5:$A$204,0)),PaymentTerms)))</f>
        <v>0</v>
      </c>
      <c r="Z109" s="18">
        <f>IF(OR(A109="",B109=""),"",B109+Y109)</f>
        <v>0</v>
      </c>
      <c r="AA109" s="31">
        <f>IF(OR(A109="",Z109=""),"",IF(X109&lt;=0.004,"",MAX(0,TodayDate-Z109-OverdueGrace)))</f>
        <v>0</v>
      </c>
      <c r="AB109" s="39">
        <f>IF(B109="","",IF(X109&lt;=0.004,"Paid",IF(AA109="","Not due yet",IF(AA109=0,"Due now",IF(AA109&lt;=30,"1-30 days",IF(AA109&lt;=60,"31-60 days",IF(AA109&lt;=90,"61-90 days","90+ days")))))))</f>
        <v>0</v>
      </c>
      <c r="AC109" s="21">
        <f>IF(OR(A109="",AA109=""),"",IF(AA109&lt;=0,0,ROUND(X109*LateFeePercent,2)))</f>
        <v>0</v>
      </c>
      <c r="AD109" s="50">
        <f>IF(B109="","",IF(X109&lt;=0.004,"Yes","No"))</f>
        <v>0</v>
      </c>
      <c r="AE109" s="39">
        <f>IF(B109="","",IF(Q109=0,"Add - no lines on this invoice yet",IF(H109="Written off","Written off",IF(AD109="Yes","OK - paid",IF(H109="Draft","Draft - not sent yet",IF(AND(AA109&lt;&gt;"",AA109&gt;30),"Overdue - "&amp;AA109&amp;" days, call them",IF(AND(AA109&lt;&gt;"",AA109&gt;0),"Overdue - send a reminder",IF(W109&gt;0,"Part paid","Due - waiting for payment"))))))))</f>
        <v>0</v>
      </c>
    </row>
    <row r="110" spans="1:31">
      <c r="A110" s="43">
        <f>IF(B110="","",InvoicePrefix&amp;TEXT(ROW()-4,"0000"))</f>
        <v>0</v>
      </c>
      <c r="C110" s="23">
        <f>IF(B110="","",TEXT(B110,"yyyy-mm"))</f>
        <v>0</v>
      </c>
      <c r="E110" s="23">
        <f>IF(D110="","",IFERROR(INDEX(Clients!$B$5:$B$204,MATCH(D110,Clients!$A$5:$A$204,0)),"Not found"))</f>
        <v>0</v>
      </c>
      <c r="F110" s="23">
        <f>IF(D110="","",IFERROR(INDEX(Clients!$G$5:$G$204,MATCH(D110,Clients!$A$5:$A$204,0)),""))</f>
        <v>0</v>
      </c>
      <c r="Q110" s="31">
        <f>IF(A110="","",COUNTIFS('Invoice Lines'!$B$5:$B$804,A110))</f>
        <v>0</v>
      </c>
      <c r="R110" s="21">
        <f>IF(A110="","",SUMIFS('Invoice Lines'!$N$5:$N$804,'Invoice Lines'!$B$5:$B$804,A110))</f>
        <v>0</v>
      </c>
      <c r="S110" s="21">
        <f>IF(A110="","",ROUND(R110*IF(K110="",0,K110),2))</f>
        <v>0</v>
      </c>
      <c r="T110" s="21">
        <f>IF(A110="","",R110-S110)</f>
        <v>0</v>
      </c>
      <c r="U110" s="21">
        <f>IF(A110="","",ROUND(T110*TaxRate,2))</f>
        <v>0</v>
      </c>
      <c r="V110" s="21">
        <f>IF(A110="","",T110+U110)</f>
        <v>0</v>
      </c>
      <c r="W110" s="21">
        <f>IF(A110="","",SUMIFS(Payments!$G$5:$G$404,Payments!$D$5:$D$404,A110))</f>
        <v>0</v>
      </c>
      <c r="X110" s="21">
        <f>IF(A110="","",ROUND(V110-W110,2))</f>
        <v>0</v>
      </c>
      <c r="Y110" s="31">
        <f>IF(B110="","",IF(J110&lt;&gt;"",J110,IF(IFERROR(INDEX(Clients!$P$5:$P$204,MATCH(D110,Clients!$A$5:$A$204,0)),"")&lt;&gt;"",INDEX(Clients!$P$5:$P$204,MATCH(D110,Clients!$A$5:$A$204,0)),PaymentTerms)))</f>
        <v>0</v>
      </c>
      <c r="Z110" s="18">
        <f>IF(OR(A110="",B110=""),"",B110+Y110)</f>
        <v>0</v>
      </c>
      <c r="AA110" s="31">
        <f>IF(OR(A110="",Z110=""),"",IF(X110&lt;=0.004,"",MAX(0,TodayDate-Z110-OverdueGrace)))</f>
        <v>0</v>
      </c>
      <c r="AB110" s="39">
        <f>IF(B110="","",IF(X110&lt;=0.004,"Paid",IF(AA110="","Not due yet",IF(AA110=0,"Due now",IF(AA110&lt;=30,"1-30 days",IF(AA110&lt;=60,"31-60 days",IF(AA110&lt;=90,"61-90 days","90+ days")))))))</f>
        <v>0</v>
      </c>
      <c r="AC110" s="21">
        <f>IF(OR(A110="",AA110=""),"",IF(AA110&lt;=0,0,ROUND(X110*LateFeePercent,2)))</f>
        <v>0</v>
      </c>
      <c r="AD110" s="50">
        <f>IF(B110="","",IF(X110&lt;=0.004,"Yes","No"))</f>
        <v>0</v>
      </c>
      <c r="AE110" s="39">
        <f>IF(B110="","",IF(Q110=0,"Add - no lines on this invoice yet",IF(H110="Written off","Written off",IF(AD110="Yes","OK - paid",IF(H110="Draft","Draft - not sent yet",IF(AND(AA110&lt;&gt;"",AA110&gt;30),"Overdue - "&amp;AA110&amp;" days, call them",IF(AND(AA110&lt;&gt;"",AA110&gt;0),"Overdue - send a reminder",IF(W110&gt;0,"Part paid","Due - waiting for payment"))))))))</f>
        <v>0</v>
      </c>
    </row>
    <row r="111" spans="1:31">
      <c r="A111" s="43">
        <f>IF(B111="","",InvoicePrefix&amp;TEXT(ROW()-4,"0000"))</f>
        <v>0</v>
      </c>
      <c r="C111" s="23">
        <f>IF(B111="","",TEXT(B111,"yyyy-mm"))</f>
        <v>0</v>
      </c>
      <c r="E111" s="23">
        <f>IF(D111="","",IFERROR(INDEX(Clients!$B$5:$B$204,MATCH(D111,Clients!$A$5:$A$204,0)),"Not found"))</f>
        <v>0</v>
      </c>
      <c r="F111" s="23">
        <f>IF(D111="","",IFERROR(INDEX(Clients!$G$5:$G$204,MATCH(D111,Clients!$A$5:$A$204,0)),""))</f>
        <v>0</v>
      </c>
      <c r="Q111" s="31">
        <f>IF(A111="","",COUNTIFS('Invoice Lines'!$B$5:$B$804,A111))</f>
        <v>0</v>
      </c>
      <c r="R111" s="21">
        <f>IF(A111="","",SUMIFS('Invoice Lines'!$N$5:$N$804,'Invoice Lines'!$B$5:$B$804,A111))</f>
        <v>0</v>
      </c>
      <c r="S111" s="21">
        <f>IF(A111="","",ROUND(R111*IF(K111="",0,K111),2))</f>
        <v>0</v>
      </c>
      <c r="T111" s="21">
        <f>IF(A111="","",R111-S111)</f>
        <v>0</v>
      </c>
      <c r="U111" s="21">
        <f>IF(A111="","",ROUND(T111*TaxRate,2))</f>
        <v>0</v>
      </c>
      <c r="V111" s="21">
        <f>IF(A111="","",T111+U111)</f>
        <v>0</v>
      </c>
      <c r="W111" s="21">
        <f>IF(A111="","",SUMIFS(Payments!$G$5:$G$404,Payments!$D$5:$D$404,A111))</f>
        <v>0</v>
      </c>
      <c r="X111" s="21">
        <f>IF(A111="","",ROUND(V111-W111,2))</f>
        <v>0</v>
      </c>
      <c r="Y111" s="31">
        <f>IF(B111="","",IF(J111&lt;&gt;"",J111,IF(IFERROR(INDEX(Clients!$P$5:$P$204,MATCH(D111,Clients!$A$5:$A$204,0)),"")&lt;&gt;"",INDEX(Clients!$P$5:$P$204,MATCH(D111,Clients!$A$5:$A$204,0)),PaymentTerms)))</f>
        <v>0</v>
      </c>
      <c r="Z111" s="18">
        <f>IF(OR(A111="",B111=""),"",B111+Y111)</f>
        <v>0</v>
      </c>
      <c r="AA111" s="31">
        <f>IF(OR(A111="",Z111=""),"",IF(X111&lt;=0.004,"",MAX(0,TodayDate-Z111-OverdueGrace)))</f>
        <v>0</v>
      </c>
      <c r="AB111" s="39">
        <f>IF(B111="","",IF(X111&lt;=0.004,"Paid",IF(AA111="","Not due yet",IF(AA111=0,"Due now",IF(AA111&lt;=30,"1-30 days",IF(AA111&lt;=60,"31-60 days",IF(AA111&lt;=90,"61-90 days","90+ days")))))))</f>
        <v>0</v>
      </c>
      <c r="AC111" s="21">
        <f>IF(OR(A111="",AA111=""),"",IF(AA111&lt;=0,0,ROUND(X111*LateFeePercent,2)))</f>
        <v>0</v>
      </c>
      <c r="AD111" s="50">
        <f>IF(B111="","",IF(X111&lt;=0.004,"Yes","No"))</f>
        <v>0</v>
      </c>
      <c r="AE111" s="39">
        <f>IF(B111="","",IF(Q111=0,"Add - no lines on this invoice yet",IF(H111="Written off","Written off",IF(AD111="Yes","OK - paid",IF(H111="Draft","Draft - not sent yet",IF(AND(AA111&lt;&gt;"",AA111&gt;30),"Overdue - "&amp;AA111&amp;" days, call them",IF(AND(AA111&lt;&gt;"",AA111&gt;0),"Overdue - send a reminder",IF(W111&gt;0,"Part paid","Due - waiting for payment"))))))))</f>
        <v>0</v>
      </c>
    </row>
    <row r="112" spans="1:31">
      <c r="A112" s="43">
        <f>IF(B112="","",InvoicePrefix&amp;TEXT(ROW()-4,"0000"))</f>
        <v>0</v>
      </c>
      <c r="C112" s="23">
        <f>IF(B112="","",TEXT(B112,"yyyy-mm"))</f>
        <v>0</v>
      </c>
      <c r="E112" s="23">
        <f>IF(D112="","",IFERROR(INDEX(Clients!$B$5:$B$204,MATCH(D112,Clients!$A$5:$A$204,0)),"Not found"))</f>
        <v>0</v>
      </c>
      <c r="F112" s="23">
        <f>IF(D112="","",IFERROR(INDEX(Clients!$G$5:$G$204,MATCH(D112,Clients!$A$5:$A$204,0)),""))</f>
        <v>0</v>
      </c>
      <c r="Q112" s="31">
        <f>IF(A112="","",COUNTIFS('Invoice Lines'!$B$5:$B$804,A112))</f>
        <v>0</v>
      </c>
      <c r="R112" s="21">
        <f>IF(A112="","",SUMIFS('Invoice Lines'!$N$5:$N$804,'Invoice Lines'!$B$5:$B$804,A112))</f>
        <v>0</v>
      </c>
      <c r="S112" s="21">
        <f>IF(A112="","",ROUND(R112*IF(K112="",0,K112),2))</f>
        <v>0</v>
      </c>
      <c r="T112" s="21">
        <f>IF(A112="","",R112-S112)</f>
        <v>0</v>
      </c>
      <c r="U112" s="21">
        <f>IF(A112="","",ROUND(T112*TaxRate,2))</f>
        <v>0</v>
      </c>
      <c r="V112" s="21">
        <f>IF(A112="","",T112+U112)</f>
        <v>0</v>
      </c>
      <c r="W112" s="21">
        <f>IF(A112="","",SUMIFS(Payments!$G$5:$G$404,Payments!$D$5:$D$404,A112))</f>
        <v>0</v>
      </c>
      <c r="X112" s="21">
        <f>IF(A112="","",ROUND(V112-W112,2))</f>
        <v>0</v>
      </c>
      <c r="Y112" s="31">
        <f>IF(B112="","",IF(J112&lt;&gt;"",J112,IF(IFERROR(INDEX(Clients!$P$5:$P$204,MATCH(D112,Clients!$A$5:$A$204,0)),"")&lt;&gt;"",INDEX(Clients!$P$5:$P$204,MATCH(D112,Clients!$A$5:$A$204,0)),PaymentTerms)))</f>
        <v>0</v>
      </c>
      <c r="Z112" s="18">
        <f>IF(OR(A112="",B112=""),"",B112+Y112)</f>
        <v>0</v>
      </c>
      <c r="AA112" s="31">
        <f>IF(OR(A112="",Z112=""),"",IF(X112&lt;=0.004,"",MAX(0,TodayDate-Z112-OverdueGrace)))</f>
        <v>0</v>
      </c>
      <c r="AB112" s="39">
        <f>IF(B112="","",IF(X112&lt;=0.004,"Paid",IF(AA112="","Not due yet",IF(AA112=0,"Due now",IF(AA112&lt;=30,"1-30 days",IF(AA112&lt;=60,"31-60 days",IF(AA112&lt;=90,"61-90 days","90+ days")))))))</f>
        <v>0</v>
      </c>
      <c r="AC112" s="21">
        <f>IF(OR(A112="",AA112=""),"",IF(AA112&lt;=0,0,ROUND(X112*LateFeePercent,2)))</f>
        <v>0</v>
      </c>
      <c r="AD112" s="50">
        <f>IF(B112="","",IF(X112&lt;=0.004,"Yes","No"))</f>
        <v>0</v>
      </c>
      <c r="AE112" s="39">
        <f>IF(B112="","",IF(Q112=0,"Add - no lines on this invoice yet",IF(H112="Written off","Written off",IF(AD112="Yes","OK - paid",IF(H112="Draft","Draft - not sent yet",IF(AND(AA112&lt;&gt;"",AA112&gt;30),"Overdue - "&amp;AA112&amp;" days, call them",IF(AND(AA112&lt;&gt;"",AA112&gt;0),"Overdue - send a reminder",IF(W112&gt;0,"Part paid","Due - waiting for payment"))))))))</f>
        <v>0</v>
      </c>
    </row>
    <row r="113" spans="1:31">
      <c r="A113" s="43">
        <f>IF(B113="","",InvoicePrefix&amp;TEXT(ROW()-4,"0000"))</f>
        <v>0</v>
      </c>
      <c r="C113" s="23">
        <f>IF(B113="","",TEXT(B113,"yyyy-mm"))</f>
        <v>0</v>
      </c>
      <c r="E113" s="23">
        <f>IF(D113="","",IFERROR(INDEX(Clients!$B$5:$B$204,MATCH(D113,Clients!$A$5:$A$204,0)),"Not found"))</f>
        <v>0</v>
      </c>
      <c r="F113" s="23">
        <f>IF(D113="","",IFERROR(INDEX(Clients!$G$5:$G$204,MATCH(D113,Clients!$A$5:$A$204,0)),""))</f>
        <v>0</v>
      </c>
      <c r="Q113" s="31">
        <f>IF(A113="","",COUNTIFS('Invoice Lines'!$B$5:$B$804,A113))</f>
        <v>0</v>
      </c>
      <c r="R113" s="21">
        <f>IF(A113="","",SUMIFS('Invoice Lines'!$N$5:$N$804,'Invoice Lines'!$B$5:$B$804,A113))</f>
        <v>0</v>
      </c>
      <c r="S113" s="21">
        <f>IF(A113="","",ROUND(R113*IF(K113="",0,K113),2))</f>
        <v>0</v>
      </c>
      <c r="T113" s="21">
        <f>IF(A113="","",R113-S113)</f>
        <v>0</v>
      </c>
      <c r="U113" s="21">
        <f>IF(A113="","",ROUND(T113*TaxRate,2))</f>
        <v>0</v>
      </c>
      <c r="V113" s="21">
        <f>IF(A113="","",T113+U113)</f>
        <v>0</v>
      </c>
      <c r="W113" s="21">
        <f>IF(A113="","",SUMIFS(Payments!$G$5:$G$404,Payments!$D$5:$D$404,A113))</f>
        <v>0</v>
      </c>
      <c r="X113" s="21">
        <f>IF(A113="","",ROUND(V113-W113,2))</f>
        <v>0</v>
      </c>
      <c r="Y113" s="31">
        <f>IF(B113="","",IF(J113&lt;&gt;"",J113,IF(IFERROR(INDEX(Clients!$P$5:$P$204,MATCH(D113,Clients!$A$5:$A$204,0)),"")&lt;&gt;"",INDEX(Clients!$P$5:$P$204,MATCH(D113,Clients!$A$5:$A$204,0)),PaymentTerms)))</f>
        <v>0</v>
      </c>
      <c r="Z113" s="18">
        <f>IF(OR(A113="",B113=""),"",B113+Y113)</f>
        <v>0</v>
      </c>
      <c r="AA113" s="31">
        <f>IF(OR(A113="",Z113=""),"",IF(X113&lt;=0.004,"",MAX(0,TodayDate-Z113-OverdueGrace)))</f>
        <v>0</v>
      </c>
      <c r="AB113" s="39">
        <f>IF(B113="","",IF(X113&lt;=0.004,"Paid",IF(AA113="","Not due yet",IF(AA113=0,"Due now",IF(AA113&lt;=30,"1-30 days",IF(AA113&lt;=60,"31-60 days",IF(AA113&lt;=90,"61-90 days","90+ days")))))))</f>
        <v>0</v>
      </c>
      <c r="AC113" s="21">
        <f>IF(OR(A113="",AA113=""),"",IF(AA113&lt;=0,0,ROUND(X113*LateFeePercent,2)))</f>
        <v>0</v>
      </c>
      <c r="AD113" s="50">
        <f>IF(B113="","",IF(X113&lt;=0.004,"Yes","No"))</f>
        <v>0</v>
      </c>
      <c r="AE113" s="39">
        <f>IF(B113="","",IF(Q113=0,"Add - no lines on this invoice yet",IF(H113="Written off","Written off",IF(AD113="Yes","OK - paid",IF(H113="Draft","Draft - not sent yet",IF(AND(AA113&lt;&gt;"",AA113&gt;30),"Overdue - "&amp;AA113&amp;" days, call them",IF(AND(AA113&lt;&gt;"",AA113&gt;0),"Overdue - send a reminder",IF(W113&gt;0,"Part paid","Due - waiting for payment"))))))))</f>
        <v>0</v>
      </c>
    </row>
    <row r="114" spans="1:31">
      <c r="A114" s="43">
        <f>IF(B114="","",InvoicePrefix&amp;TEXT(ROW()-4,"0000"))</f>
        <v>0</v>
      </c>
      <c r="C114" s="23">
        <f>IF(B114="","",TEXT(B114,"yyyy-mm"))</f>
        <v>0</v>
      </c>
      <c r="E114" s="23">
        <f>IF(D114="","",IFERROR(INDEX(Clients!$B$5:$B$204,MATCH(D114,Clients!$A$5:$A$204,0)),"Not found"))</f>
        <v>0</v>
      </c>
      <c r="F114" s="23">
        <f>IF(D114="","",IFERROR(INDEX(Clients!$G$5:$G$204,MATCH(D114,Clients!$A$5:$A$204,0)),""))</f>
        <v>0</v>
      </c>
      <c r="Q114" s="31">
        <f>IF(A114="","",COUNTIFS('Invoice Lines'!$B$5:$B$804,A114))</f>
        <v>0</v>
      </c>
      <c r="R114" s="21">
        <f>IF(A114="","",SUMIFS('Invoice Lines'!$N$5:$N$804,'Invoice Lines'!$B$5:$B$804,A114))</f>
        <v>0</v>
      </c>
      <c r="S114" s="21">
        <f>IF(A114="","",ROUND(R114*IF(K114="",0,K114),2))</f>
        <v>0</v>
      </c>
      <c r="T114" s="21">
        <f>IF(A114="","",R114-S114)</f>
        <v>0</v>
      </c>
      <c r="U114" s="21">
        <f>IF(A114="","",ROUND(T114*TaxRate,2))</f>
        <v>0</v>
      </c>
      <c r="V114" s="21">
        <f>IF(A114="","",T114+U114)</f>
        <v>0</v>
      </c>
      <c r="W114" s="21">
        <f>IF(A114="","",SUMIFS(Payments!$G$5:$G$404,Payments!$D$5:$D$404,A114))</f>
        <v>0</v>
      </c>
      <c r="X114" s="21">
        <f>IF(A114="","",ROUND(V114-W114,2))</f>
        <v>0</v>
      </c>
      <c r="Y114" s="31">
        <f>IF(B114="","",IF(J114&lt;&gt;"",J114,IF(IFERROR(INDEX(Clients!$P$5:$P$204,MATCH(D114,Clients!$A$5:$A$204,0)),"")&lt;&gt;"",INDEX(Clients!$P$5:$P$204,MATCH(D114,Clients!$A$5:$A$204,0)),PaymentTerms)))</f>
        <v>0</v>
      </c>
      <c r="Z114" s="18">
        <f>IF(OR(A114="",B114=""),"",B114+Y114)</f>
        <v>0</v>
      </c>
      <c r="AA114" s="31">
        <f>IF(OR(A114="",Z114=""),"",IF(X114&lt;=0.004,"",MAX(0,TodayDate-Z114-OverdueGrace)))</f>
        <v>0</v>
      </c>
      <c r="AB114" s="39">
        <f>IF(B114="","",IF(X114&lt;=0.004,"Paid",IF(AA114="","Not due yet",IF(AA114=0,"Due now",IF(AA114&lt;=30,"1-30 days",IF(AA114&lt;=60,"31-60 days",IF(AA114&lt;=90,"61-90 days","90+ days")))))))</f>
        <v>0</v>
      </c>
      <c r="AC114" s="21">
        <f>IF(OR(A114="",AA114=""),"",IF(AA114&lt;=0,0,ROUND(X114*LateFeePercent,2)))</f>
        <v>0</v>
      </c>
      <c r="AD114" s="50">
        <f>IF(B114="","",IF(X114&lt;=0.004,"Yes","No"))</f>
        <v>0</v>
      </c>
      <c r="AE114" s="39">
        <f>IF(B114="","",IF(Q114=0,"Add - no lines on this invoice yet",IF(H114="Written off","Written off",IF(AD114="Yes","OK - paid",IF(H114="Draft","Draft - not sent yet",IF(AND(AA114&lt;&gt;"",AA114&gt;30),"Overdue - "&amp;AA114&amp;" days, call them",IF(AND(AA114&lt;&gt;"",AA114&gt;0),"Overdue - send a reminder",IF(W114&gt;0,"Part paid","Due - waiting for payment"))))))))</f>
        <v>0</v>
      </c>
    </row>
    <row r="115" spans="1:31">
      <c r="A115" s="43">
        <f>IF(B115="","",InvoicePrefix&amp;TEXT(ROW()-4,"0000"))</f>
        <v>0</v>
      </c>
      <c r="C115" s="23">
        <f>IF(B115="","",TEXT(B115,"yyyy-mm"))</f>
        <v>0</v>
      </c>
      <c r="E115" s="23">
        <f>IF(D115="","",IFERROR(INDEX(Clients!$B$5:$B$204,MATCH(D115,Clients!$A$5:$A$204,0)),"Not found"))</f>
        <v>0</v>
      </c>
      <c r="F115" s="23">
        <f>IF(D115="","",IFERROR(INDEX(Clients!$G$5:$G$204,MATCH(D115,Clients!$A$5:$A$204,0)),""))</f>
        <v>0</v>
      </c>
      <c r="Q115" s="31">
        <f>IF(A115="","",COUNTIFS('Invoice Lines'!$B$5:$B$804,A115))</f>
        <v>0</v>
      </c>
      <c r="R115" s="21">
        <f>IF(A115="","",SUMIFS('Invoice Lines'!$N$5:$N$804,'Invoice Lines'!$B$5:$B$804,A115))</f>
        <v>0</v>
      </c>
      <c r="S115" s="21">
        <f>IF(A115="","",ROUND(R115*IF(K115="",0,K115),2))</f>
        <v>0</v>
      </c>
      <c r="T115" s="21">
        <f>IF(A115="","",R115-S115)</f>
        <v>0</v>
      </c>
      <c r="U115" s="21">
        <f>IF(A115="","",ROUND(T115*TaxRate,2))</f>
        <v>0</v>
      </c>
      <c r="V115" s="21">
        <f>IF(A115="","",T115+U115)</f>
        <v>0</v>
      </c>
      <c r="W115" s="21">
        <f>IF(A115="","",SUMIFS(Payments!$G$5:$G$404,Payments!$D$5:$D$404,A115))</f>
        <v>0</v>
      </c>
      <c r="X115" s="21">
        <f>IF(A115="","",ROUND(V115-W115,2))</f>
        <v>0</v>
      </c>
      <c r="Y115" s="31">
        <f>IF(B115="","",IF(J115&lt;&gt;"",J115,IF(IFERROR(INDEX(Clients!$P$5:$P$204,MATCH(D115,Clients!$A$5:$A$204,0)),"")&lt;&gt;"",INDEX(Clients!$P$5:$P$204,MATCH(D115,Clients!$A$5:$A$204,0)),PaymentTerms)))</f>
        <v>0</v>
      </c>
      <c r="Z115" s="18">
        <f>IF(OR(A115="",B115=""),"",B115+Y115)</f>
        <v>0</v>
      </c>
      <c r="AA115" s="31">
        <f>IF(OR(A115="",Z115=""),"",IF(X115&lt;=0.004,"",MAX(0,TodayDate-Z115-OverdueGrace)))</f>
        <v>0</v>
      </c>
      <c r="AB115" s="39">
        <f>IF(B115="","",IF(X115&lt;=0.004,"Paid",IF(AA115="","Not due yet",IF(AA115=0,"Due now",IF(AA115&lt;=30,"1-30 days",IF(AA115&lt;=60,"31-60 days",IF(AA115&lt;=90,"61-90 days","90+ days")))))))</f>
        <v>0</v>
      </c>
      <c r="AC115" s="21">
        <f>IF(OR(A115="",AA115=""),"",IF(AA115&lt;=0,0,ROUND(X115*LateFeePercent,2)))</f>
        <v>0</v>
      </c>
      <c r="AD115" s="50">
        <f>IF(B115="","",IF(X115&lt;=0.004,"Yes","No"))</f>
        <v>0</v>
      </c>
      <c r="AE115" s="39">
        <f>IF(B115="","",IF(Q115=0,"Add - no lines on this invoice yet",IF(H115="Written off","Written off",IF(AD115="Yes","OK - paid",IF(H115="Draft","Draft - not sent yet",IF(AND(AA115&lt;&gt;"",AA115&gt;30),"Overdue - "&amp;AA115&amp;" days, call them",IF(AND(AA115&lt;&gt;"",AA115&gt;0),"Overdue - send a reminder",IF(W115&gt;0,"Part paid","Due - waiting for payment"))))))))</f>
        <v>0</v>
      </c>
    </row>
    <row r="116" spans="1:31">
      <c r="A116" s="43">
        <f>IF(B116="","",InvoicePrefix&amp;TEXT(ROW()-4,"0000"))</f>
        <v>0</v>
      </c>
      <c r="C116" s="23">
        <f>IF(B116="","",TEXT(B116,"yyyy-mm"))</f>
        <v>0</v>
      </c>
      <c r="E116" s="23">
        <f>IF(D116="","",IFERROR(INDEX(Clients!$B$5:$B$204,MATCH(D116,Clients!$A$5:$A$204,0)),"Not found"))</f>
        <v>0</v>
      </c>
      <c r="F116" s="23">
        <f>IF(D116="","",IFERROR(INDEX(Clients!$G$5:$G$204,MATCH(D116,Clients!$A$5:$A$204,0)),""))</f>
        <v>0</v>
      </c>
      <c r="Q116" s="31">
        <f>IF(A116="","",COUNTIFS('Invoice Lines'!$B$5:$B$804,A116))</f>
        <v>0</v>
      </c>
      <c r="R116" s="21">
        <f>IF(A116="","",SUMIFS('Invoice Lines'!$N$5:$N$804,'Invoice Lines'!$B$5:$B$804,A116))</f>
        <v>0</v>
      </c>
      <c r="S116" s="21">
        <f>IF(A116="","",ROUND(R116*IF(K116="",0,K116),2))</f>
        <v>0</v>
      </c>
      <c r="T116" s="21">
        <f>IF(A116="","",R116-S116)</f>
        <v>0</v>
      </c>
      <c r="U116" s="21">
        <f>IF(A116="","",ROUND(T116*TaxRate,2))</f>
        <v>0</v>
      </c>
      <c r="V116" s="21">
        <f>IF(A116="","",T116+U116)</f>
        <v>0</v>
      </c>
      <c r="W116" s="21">
        <f>IF(A116="","",SUMIFS(Payments!$G$5:$G$404,Payments!$D$5:$D$404,A116))</f>
        <v>0</v>
      </c>
      <c r="X116" s="21">
        <f>IF(A116="","",ROUND(V116-W116,2))</f>
        <v>0</v>
      </c>
      <c r="Y116" s="31">
        <f>IF(B116="","",IF(J116&lt;&gt;"",J116,IF(IFERROR(INDEX(Clients!$P$5:$P$204,MATCH(D116,Clients!$A$5:$A$204,0)),"")&lt;&gt;"",INDEX(Clients!$P$5:$P$204,MATCH(D116,Clients!$A$5:$A$204,0)),PaymentTerms)))</f>
        <v>0</v>
      </c>
      <c r="Z116" s="18">
        <f>IF(OR(A116="",B116=""),"",B116+Y116)</f>
        <v>0</v>
      </c>
      <c r="AA116" s="31">
        <f>IF(OR(A116="",Z116=""),"",IF(X116&lt;=0.004,"",MAX(0,TodayDate-Z116-OverdueGrace)))</f>
        <v>0</v>
      </c>
      <c r="AB116" s="39">
        <f>IF(B116="","",IF(X116&lt;=0.004,"Paid",IF(AA116="","Not due yet",IF(AA116=0,"Due now",IF(AA116&lt;=30,"1-30 days",IF(AA116&lt;=60,"31-60 days",IF(AA116&lt;=90,"61-90 days","90+ days")))))))</f>
        <v>0</v>
      </c>
      <c r="AC116" s="21">
        <f>IF(OR(A116="",AA116=""),"",IF(AA116&lt;=0,0,ROUND(X116*LateFeePercent,2)))</f>
        <v>0</v>
      </c>
      <c r="AD116" s="50">
        <f>IF(B116="","",IF(X116&lt;=0.004,"Yes","No"))</f>
        <v>0</v>
      </c>
      <c r="AE116" s="39">
        <f>IF(B116="","",IF(Q116=0,"Add - no lines on this invoice yet",IF(H116="Written off","Written off",IF(AD116="Yes","OK - paid",IF(H116="Draft","Draft - not sent yet",IF(AND(AA116&lt;&gt;"",AA116&gt;30),"Overdue - "&amp;AA116&amp;" days, call them",IF(AND(AA116&lt;&gt;"",AA116&gt;0),"Overdue - send a reminder",IF(W116&gt;0,"Part paid","Due - waiting for payment"))))))))</f>
        <v>0</v>
      </c>
    </row>
    <row r="117" spans="1:31">
      <c r="A117" s="43">
        <f>IF(B117="","",InvoicePrefix&amp;TEXT(ROW()-4,"0000"))</f>
        <v>0</v>
      </c>
      <c r="C117" s="23">
        <f>IF(B117="","",TEXT(B117,"yyyy-mm"))</f>
        <v>0</v>
      </c>
      <c r="E117" s="23">
        <f>IF(D117="","",IFERROR(INDEX(Clients!$B$5:$B$204,MATCH(D117,Clients!$A$5:$A$204,0)),"Not found"))</f>
        <v>0</v>
      </c>
      <c r="F117" s="23">
        <f>IF(D117="","",IFERROR(INDEX(Clients!$G$5:$G$204,MATCH(D117,Clients!$A$5:$A$204,0)),""))</f>
        <v>0</v>
      </c>
      <c r="Q117" s="31">
        <f>IF(A117="","",COUNTIFS('Invoice Lines'!$B$5:$B$804,A117))</f>
        <v>0</v>
      </c>
      <c r="R117" s="21">
        <f>IF(A117="","",SUMIFS('Invoice Lines'!$N$5:$N$804,'Invoice Lines'!$B$5:$B$804,A117))</f>
        <v>0</v>
      </c>
      <c r="S117" s="21">
        <f>IF(A117="","",ROUND(R117*IF(K117="",0,K117),2))</f>
        <v>0</v>
      </c>
      <c r="T117" s="21">
        <f>IF(A117="","",R117-S117)</f>
        <v>0</v>
      </c>
      <c r="U117" s="21">
        <f>IF(A117="","",ROUND(T117*TaxRate,2))</f>
        <v>0</v>
      </c>
      <c r="V117" s="21">
        <f>IF(A117="","",T117+U117)</f>
        <v>0</v>
      </c>
      <c r="W117" s="21">
        <f>IF(A117="","",SUMIFS(Payments!$G$5:$G$404,Payments!$D$5:$D$404,A117))</f>
        <v>0</v>
      </c>
      <c r="X117" s="21">
        <f>IF(A117="","",ROUND(V117-W117,2))</f>
        <v>0</v>
      </c>
      <c r="Y117" s="31">
        <f>IF(B117="","",IF(J117&lt;&gt;"",J117,IF(IFERROR(INDEX(Clients!$P$5:$P$204,MATCH(D117,Clients!$A$5:$A$204,0)),"")&lt;&gt;"",INDEX(Clients!$P$5:$P$204,MATCH(D117,Clients!$A$5:$A$204,0)),PaymentTerms)))</f>
        <v>0</v>
      </c>
      <c r="Z117" s="18">
        <f>IF(OR(A117="",B117=""),"",B117+Y117)</f>
        <v>0</v>
      </c>
      <c r="AA117" s="31">
        <f>IF(OR(A117="",Z117=""),"",IF(X117&lt;=0.004,"",MAX(0,TodayDate-Z117-OverdueGrace)))</f>
        <v>0</v>
      </c>
      <c r="AB117" s="39">
        <f>IF(B117="","",IF(X117&lt;=0.004,"Paid",IF(AA117="","Not due yet",IF(AA117=0,"Due now",IF(AA117&lt;=30,"1-30 days",IF(AA117&lt;=60,"31-60 days",IF(AA117&lt;=90,"61-90 days","90+ days")))))))</f>
        <v>0</v>
      </c>
      <c r="AC117" s="21">
        <f>IF(OR(A117="",AA117=""),"",IF(AA117&lt;=0,0,ROUND(X117*LateFeePercent,2)))</f>
        <v>0</v>
      </c>
      <c r="AD117" s="50">
        <f>IF(B117="","",IF(X117&lt;=0.004,"Yes","No"))</f>
        <v>0</v>
      </c>
      <c r="AE117" s="39">
        <f>IF(B117="","",IF(Q117=0,"Add - no lines on this invoice yet",IF(H117="Written off","Written off",IF(AD117="Yes","OK - paid",IF(H117="Draft","Draft - not sent yet",IF(AND(AA117&lt;&gt;"",AA117&gt;30),"Overdue - "&amp;AA117&amp;" days, call them",IF(AND(AA117&lt;&gt;"",AA117&gt;0),"Overdue - send a reminder",IF(W117&gt;0,"Part paid","Due - waiting for payment"))))))))</f>
        <v>0</v>
      </c>
    </row>
    <row r="118" spans="1:31">
      <c r="A118" s="43">
        <f>IF(B118="","",InvoicePrefix&amp;TEXT(ROW()-4,"0000"))</f>
        <v>0</v>
      </c>
      <c r="C118" s="23">
        <f>IF(B118="","",TEXT(B118,"yyyy-mm"))</f>
        <v>0</v>
      </c>
      <c r="E118" s="23">
        <f>IF(D118="","",IFERROR(INDEX(Clients!$B$5:$B$204,MATCH(D118,Clients!$A$5:$A$204,0)),"Not found"))</f>
        <v>0</v>
      </c>
      <c r="F118" s="23">
        <f>IF(D118="","",IFERROR(INDEX(Clients!$G$5:$G$204,MATCH(D118,Clients!$A$5:$A$204,0)),""))</f>
        <v>0</v>
      </c>
      <c r="Q118" s="31">
        <f>IF(A118="","",COUNTIFS('Invoice Lines'!$B$5:$B$804,A118))</f>
        <v>0</v>
      </c>
      <c r="R118" s="21">
        <f>IF(A118="","",SUMIFS('Invoice Lines'!$N$5:$N$804,'Invoice Lines'!$B$5:$B$804,A118))</f>
        <v>0</v>
      </c>
      <c r="S118" s="21">
        <f>IF(A118="","",ROUND(R118*IF(K118="",0,K118),2))</f>
        <v>0</v>
      </c>
      <c r="T118" s="21">
        <f>IF(A118="","",R118-S118)</f>
        <v>0</v>
      </c>
      <c r="U118" s="21">
        <f>IF(A118="","",ROUND(T118*TaxRate,2))</f>
        <v>0</v>
      </c>
      <c r="V118" s="21">
        <f>IF(A118="","",T118+U118)</f>
        <v>0</v>
      </c>
      <c r="W118" s="21">
        <f>IF(A118="","",SUMIFS(Payments!$G$5:$G$404,Payments!$D$5:$D$404,A118))</f>
        <v>0</v>
      </c>
      <c r="X118" s="21">
        <f>IF(A118="","",ROUND(V118-W118,2))</f>
        <v>0</v>
      </c>
      <c r="Y118" s="31">
        <f>IF(B118="","",IF(J118&lt;&gt;"",J118,IF(IFERROR(INDEX(Clients!$P$5:$P$204,MATCH(D118,Clients!$A$5:$A$204,0)),"")&lt;&gt;"",INDEX(Clients!$P$5:$P$204,MATCH(D118,Clients!$A$5:$A$204,0)),PaymentTerms)))</f>
        <v>0</v>
      </c>
      <c r="Z118" s="18">
        <f>IF(OR(A118="",B118=""),"",B118+Y118)</f>
        <v>0</v>
      </c>
      <c r="AA118" s="31">
        <f>IF(OR(A118="",Z118=""),"",IF(X118&lt;=0.004,"",MAX(0,TodayDate-Z118-OverdueGrace)))</f>
        <v>0</v>
      </c>
      <c r="AB118" s="39">
        <f>IF(B118="","",IF(X118&lt;=0.004,"Paid",IF(AA118="","Not due yet",IF(AA118=0,"Due now",IF(AA118&lt;=30,"1-30 days",IF(AA118&lt;=60,"31-60 days",IF(AA118&lt;=90,"61-90 days","90+ days")))))))</f>
        <v>0</v>
      </c>
      <c r="AC118" s="21">
        <f>IF(OR(A118="",AA118=""),"",IF(AA118&lt;=0,0,ROUND(X118*LateFeePercent,2)))</f>
        <v>0</v>
      </c>
      <c r="AD118" s="50">
        <f>IF(B118="","",IF(X118&lt;=0.004,"Yes","No"))</f>
        <v>0</v>
      </c>
      <c r="AE118" s="39">
        <f>IF(B118="","",IF(Q118=0,"Add - no lines on this invoice yet",IF(H118="Written off","Written off",IF(AD118="Yes","OK - paid",IF(H118="Draft","Draft - not sent yet",IF(AND(AA118&lt;&gt;"",AA118&gt;30),"Overdue - "&amp;AA118&amp;" days, call them",IF(AND(AA118&lt;&gt;"",AA118&gt;0),"Overdue - send a reminder",IF(W118&gt;0,"Part paid","Due - waiting for payment"))))))))</f>
        <v>0</v>
      </c>
    </row>
    <row r="119" spans="1:31">
      <c r="A119" s="43">
        <f>IF(B119="","",InvoicePrefix&amp;TEXT(ROW()-4,"0000"))</f>
        <v>0</v>
      </c>
      <c r="C119" s="23">
        <f>IF(B119="","",TEXT(B119,"yyyy-mm"))</f>
        <v>0</v>
      </c>
      <c r="E119" s="23">
        <f>IF(D119="","",IFERROR(INDEX(Clients!$B$5:$B$204,MATCH(D119,Clients!$A$5:$A$204,0)),"Not found"))</f>
        <v>0</v>
      </c>
      <c r="F119" s="23">
        <f>IF(D119="","",IFERROR(INDEX(Clients!$G$5:$G$204,MATCH(D119,Clients!$A$5:$A$204,0)),""))</f>
        <v>0</v>
      </c>
      <c r="Q119" s="31">
        <f>IF(A119="","",COUNTIFS('Invoice Lines'!$B$5:$B$804,A119))</f>
        <v>0</v>
      </c>
      <c r="R119" s="21">
        <f>IF(A119="","",SUMIFS('Invoice Lines'!$N$5:$N$804,'Invoice Lines'!$B$5:$B$804,A119))</f>
        <v>0</v>
      </c>
      <c r="S119" s="21">
        <f>IF(A119="","",ROUND(R119*IF(K119="",0,K119),2))</f>
        <v>0</v>
      </c>
      <c r="T119" s="21">
        <f>IF(A119="","",R119-S119)</f>
        <v>0</v>
      </c>
      <c r="U119" s="21">
        <f>IF(A119="","",ROUND(T119*TaxRate,2))</f>
        <v>0</v>
      </c>
      <c r="V119" s="21">
        <f>IF(A119="","",T119+U119)</f>
        <v>0</v>
      </c>
      <c r="W119" s="21">
        <f>IF(A119="","",SUMIFS(Payments!$G$5:$G$404,Payments!$D$5:$D$404,A119))</f>
        <v>0</v>
      </c>
      <c r="X119" s="21">
        <f>IF(A119="","",ROUND(V119-W119,2))</f>
        <v>0</v>
      </c>
      <c r="Y119" s="31">
        <f>IF(B119="","",IF(J119&lt;&gt;"",J119,IF(IFERROR(INDEX(Clients!$P$5:$P$204,MATCH(D119,Clients!$A$5:$A$204,0)),"")&lt;&gt;"",INDEX(Clients!$P$5:$P$204,MATCH(D119,Clients!$A$5:$A$204,0)),PaymentTerms)))</f>
        <v>0</v>
      </c>
      <c r="Z119" s="18">
        <f>IF(OR(A119="",B119=""),"",B119+Y119)</f>
        <v>0</v>
      </c>
      <c r="AA119" s="31">
        <f>IF(OR(A119="",Z119=""),"",IF(X119&lt;=0.004,"",MAX(0,TodayDate-Z119-OverdueGrace)))</f>
        <v>0</v>
      </c>
      <c r="AB119" s="39">
        <f>IF(B119="","",IF(X119&lt;=0.004,"Paid",IF(AA119="","Not due yet",IF(AA119=0,"Due now",IF(AA119&lt;=30,"1-30 days",IF(AA119&lt;=60,"31-60 days",IF(AA119&lt;=90,"61-90 days","90+ days")))))))</f>
        <v>0</v>
      </c>
      <c r="AC119" s="21">
        <f>IF(OR(A119="",AA119=""),"",IF(AA119&lt;=0,0,ROUND(X119*LateFeePercent,2)))</f>
        <v>0</v>
      </c>
      <c r="AD119" s="50">
        <f>IF(B119="","",IF(X119&lt;=0.004,"Yes","No"))</f>
        <v>0</v>
      </c>
      <c r="AE119" s="39">
        <f>IF(B119="","",IF(Q119=0,"Add - no lines on this invoice yet",IF(H119="Written off","Written off",IF(AD119="Yes","OK - paid",IF(H119="Draft","Draft - not sent yet",IF(AND(AA119&lt;&gt;"",AA119&gt;30),"Overdue - "&amp;AA119&amp;" days, call them",IF(AND(AA119&lt;&gt;"",AA119&gt;0),"Overdue - send a reminder",IF(W119&gt;0,"Part paid","Due - waiting for payment"))))))))</f>
        <v>0</v>
      </c>
    </row>
    <row r="120" spans="1:31">
      <c r="A120" s="43">
        <f>IF(B120="","",InvoicePrefix&amp;TEXT(ROW()-4,"0000"))</f>
        <v>0</v>
      </c>
      <c r="C120" s="23">
        <f>IF(B120="","",TEXT(B120,"yyyy-mm"))</f>
        <v>0</v>
      </c>
      <c r="E120" s="23">
        <f>IF(D120="","",IFERROR(INDEX(Clients!$B$5:$B$204,MATCH(D120,Clients!$A$5:$A$204,0)),"Not found"))</f>
        <v>0</v>
      </c>
      <c r="F120" s="23">
        <f>IF(D120="","",IFERROR(INDEX(Clients!$G$5:$G$204,MATCH(D120,Clients!$A$5:$A$204,0)),""))</f>
        <v>0</v>
      </c>
      <c r="Q120" s="31">
        <f>IF(A120="","",COUNTIFS('Invoice Lines'!$B$5:$B$804,A120))</f>
        <v>0</v>
      </c>
      <c r="R120" s="21">
        <f>IF(A120="","",SUMIFS('Invoice Lines'!$N$5:$N$804,'Invoice Lines'!$B$5:$B$804,A120))</f>
        <v>0</v>
      </c>
      <c r="S120" s="21">
        <f>IF(A120="","",ROUND(R120*IF(K120="",0,K120),2))</f>
        <v>0</v>
      </c>
      <c r="T120" s="21">
        <f>IF(A120="","",R120-S120)</f>
        <v>0</v>
      </c>
      <c r="U120" s="21">
        <f>IF(A120="","",ROUND(T120*TaxRate,2))</f>
        <v>0</v>
      </c>
      <c r="V120" s="21">
        <f>IF(A120="","",T120+U120)</f>
        <v>0</v>
      </c>
      <c r="W120" s="21">
        <f>IF(A120="","",SUMIFS(Payments!$G$5:$G$404,Payments!$D$5:$D$404,A120))</f>
        <v>0</v>
      </c>
      <c r="X120" s="21">
        <f>IF(A120="","",ROUND(V120-W120,2))</f>
        <v>0</v>
      </c>
      <c r="Y120" s="31">
        <f>IF(B120="","",IF(J120&lt;&gt;"",J120,IF(IFERROR(INDEX(Clients!$P$5:$P$204,MATCH(D120,Clients!$A$5:$A$204,0)),"")&lt;&gt;"",INDEX(Clients!$P$5:$P$204,MATCH(D120,Clients!$A$5:$A$204,0)),PaymentTerms)))</f>
        <v>0</v>
      </c>
      <c r="Z120" s="18">
        <f>IF(OR(A120="",B120=""),"",B120+Y120)</f>
        <v>0</v>
      </c>
      <c r="AA120" s="31">
        <f>IF(OR(A120="",Z120=""),"",IF(X120&lt;=0.004,"",MAX(0,TodayDate-Z120-OverdueGrace)))</f>
        <v>0</v>
      </c>
      <c r="AB120" s="39">
        <f>IF(B120="","",IF(X120&lt;=0.004,"Paid",IF(AA120="","Not due yet",IF(AA120=0,"Due now",IF(AA120&lt;=30,"1-30 days",IF(AA120&lt;=60,"31-60 days",IF(AA120&lt;=90,"61-90 days","90+ days")))))))</f>
        <v>0</v>
      </c>
      <c r="AC120" s="21">
        <f>IF(OR(A120="",AA120=""),"",IF(AA120&lt;=0,0,ROUND(X120*LateFeePercent,2)))</f>
        <v>0</v>
      </c>
      <c r="AD120" s="50">
        <f>IF(B120="","",IF(X120&lt;=0.004,"Yes","No"))</f>
        <v>0</v>
      </c>
      <c r="AE120" s="39">
        <f>IF(B120="","",IF(Q120=0,"Add - no lines on this invoice yet",IF(H120="Written off","Written off",IF(AD120="Yes","OK - paid",IF(H120="Draft","Draft - not sent yet",IF(AND(AA120&lt;&gt;"",AA120&gt;30),"Overdue - "&amp;AA120&amp;" days, call them",IF(AND(AA120&lt;&gt;"",AA120&gt;0),"Overdue - send a reminder",IF(W120&gt;0,"Part paid","Due - waiting for payment"))))))))</f>
        <v>0</v>
      </c>
    </row>
    <row r="121" spans="1:31">
      <c r="A121" s="43">
        <f>IF(B121="","",InvoicePrefix&amp;TEXT(ROW()-4,"0000"))</f>
        <v>0</v>
      </c>
      <c r="C121" s="23">
        <f>IF(B121="","",TEXT(B121,"yyyy-mm"))</f>
        <v>0</v>
      </c>
      <c r="E121" s="23">
        <f>IF(D121="","",IFERROR(INDEX(Clients!$B$5:$B$204,MATCH(D121,Clients!$A$5:$A$204,0)),"Not found"))</f>
        <v>0</v>
      </c>
      <c r="F121" s="23">
        <f>IF(D121="","",IFERROR(INDEX(Clients!$G$5:$G$204,MATCH(D121,Clients!$A$5:$A$204,0)),""))</f>
        <v>0</v>
      </c>
      <c r="Q121" s="31">
        <f>IF(A121="","",COUNTIFS('Invoice Lines'!$B$5:$B$804,A121))</f>
        <v>0</v>
      </c>
      <c r="R121" s="21">
        <f>IF(A121="","",SUMIFS('Invoice Lines'!$N$5:$N$804,'Invoice Lines'!$B$5:$B$804,A121))</f>
        <v>0</v>
      </c>
      <c r="S121" s="21">
        <f>IF(A121="","",ROUND(R121*IF(K121="",0,K121),2))</f>
        <v>0</v>
      </c>
      <c r="T121" s="21">
        <f>IF(A121="","",R121-S121)</f>
        <v>0</v>
      </c>
      <c r="U121" s="21">
        <f>IF(A121="","",ROUND(T121*TaxRate,2))</f>
        <v>0</v>
      </c>
      <c r="V121" s="21">
        <f>IF(A121="","",T121+U121)</f>
        <v>0</v>
      </c>
      <c r="W121" s="21">
        <f>IF(A121="","",SUMIFS(Payments!$G$5:$G$404,Payments!$D$5:$D$404,A121))</f>
        <v>0</v>
      </c>
      <c r="X121" s="21">
        <f>IF(A121="","",ROUND(V121-W121,2))</f>
        <v>0</v>
      </c>
      <c r="Y121" s="31">
        <f>IF(B121="","",IF(J121&lt;&gt;"",J121,IF(IFERROR(INDEX(Clients!$P$5:$P$204,MATCH(D121,Clients!$A$5:$A$204,0)),"")&lt;&gt;"",INDEX(Clients!$P$5:$P$204,MATCH(D121,Clients!$A$5:$A$204,0)),PaymentTerms)))</f>
        <v>0</v>
      </c>
      <c r="Z121" s="18">
        <f>IF(OR(A121="",B121=""),"",B121+Y121)</f>
        <v>0</v>
      </c>
      <c r="AA121" s="31">
        <f>IF(OR(A121="",Z121=""),"",IF(X121&lt;=0.004,"",MAX(0,TodayDate-Z121-OverdueGrace)))</f>
        <v>0</v>
      </c>
      <c r="AB121" s="39">
        <f>IF(B121="","",IF(X121&lt;=0.004,"Paid",IF(AA121="","Not due yet",IF(AA121=0,"Due now",IF(AA121&lt;=30,"1-30 days",IF(AA121&lt;=60,"31-60 days",IF(AA121&lt;=90,"61-90 days","90+ days")))))))</f>
        <v>0</v>
      </c>
      <c r="AC121" s="21">
        <f>IF(OR(A121="",AA121=""),"",IF(AA121&lt;=0,0,ROUND(X121*LateFeePercent,2)))</f>
        <v>0</v>
      </c>
      <c r="AD121" s="50">
        <f>IF(B121="","",IF(X121&lt;=0.004,"Yes","No"))</f>
        <v>0</v>
      </c>
      <c r="AE121" s="39">
        <f>IF(B121="","",IF(Q121=0,"Add - no lines on this invoice yet",IF(H121="Written off","Written off",IF(AD121="Yes","OK - paid",IF(H121="Draft","Draft - not sent yet",IF(AND(AA121&lt;&gt;"",AA121&gt;30),"Overdue - "&amp;AA121&amp;" days, call them",IF(AND(AA121&lt;&gt;"",AA121&gt;0),"Overdue - send a reminder",IF(W121&gt;0,"Part paid","Due - waiting for payment"))))))))</f>
        <v>0</v>
      </c>
    </row>
    <row r="122" spans="1:31">
      <c r="A122" s="43">
        <f>IF(B122="","",InvoicePrefix&amp;TEXT(ROW()-4,"0000"))</f>
        <v>0</v>
      </c>
      <c r="C122" s="23">
        <f>IF(B122="","",TEXT(B122,"yyyy-mm"))</f>
        <v>0</v>
      </c>
      <c r="E122" s="23">
        <f>IF(D122="","",IFERROR(INDEX(Clients!$B$5:$B$204,MATCH(D122,Clients!$A$5:$A$204,0)),"Not found"))</f>
        <v>0</v>
      </c>
      <c r="F122" s="23">
        <f>IF(D122="","",IFERROR(INDEX(Clients!$G$5:$G$204,MATCH(D122,Clients!$A$5:$A$204,0)),""))</f>
        <v>0</v>
      </c>
      <c r="Q122" s="31">
        <f>IF(A122="","",COUNTIFS('Invoice Lines'!$B$5:$B$804,A122))</f>
        <v>0</v>
      </c>
      <c r="R122" s="21">
        <f>IF(A122="","",SUMIFS('Invoice Lines'!$N$5:$N$804,'Invoice Lines'!$B$5:$B$804,A122))</f>
        <v>0</v>
      </c>
      <c r="S122" s="21">
        <f>IF(A122="","",ROUND(R122*IF(K122="",0,K122),2))</f>
        <v>0</v>
      </c>
      <c r="T122" s="21">
        <f>IF(A122="","",R122-S122)</f>
        <v>0</v>
      </c>
      <c r="U122" s="21">
        <f>IF(A122="","",ROUND(T122*TaxRate,2))</f>
        <v>0</v>
      </c>
      <c r="V122" s="21">
        <f>IF(A122="","",T122+U122)</f>
        <v>0</v>
      </c>
      <c r="W122" s="21">
        <f>IF(A122="","",SUMIFS(Payments!$G$5:$G$404,Payments!$D$5:$D$404,A122))</f>
        <v>0</v>
      </c>
      <c r="X122" s="21">
        <f>IF(A122="","",ROUND(V122-W122,2))</f>
        <v>0</v>
      </c>
      <c r="Y122" s="31">
        <f>IF(B122="","",IF(J122&lt;&gt;"",J122,IF(IFERROR(INDEX(Clients!$P$5:$P$204,MATCH(D122,Clients!$A$5:$A$204,0)),"")&lt;&gt;"",INDEX(Clients!$P$5:$P$204,MATCH(D122,Clients!$A$5:$A$204,0)),PaymentTerms)))</f>
        <v>0</v>
      </c>
      <c r="Z122" s="18">
        <f>IF(OR(A122="",B122=""),"",B122+Y122)</f>
        <v>0</v>
      </c>
      <c r="AA122" s="31">
        <f>IF(OR(A122="",Z122=""),"",IF(X122&lt;=0.004,"",MAX(0,TodayDate-Z122-OverdueGrace)))</f>
        <v>0</v>
      </c>
      <c r="AB122" s="39">
        <f>IF(B122="","",IF(X122&lt;=0.004,"Paid",IF(AA122="","Not due yet",IF(AA122=0,"Due now",IF(AA122&lt;=30,"1-30 days",IF(AA122&lt;=60,"31-60 days",IF(AA122&lt;=90,"61-90 days","90+ days")))))))</f>
        <v>0</v>
      </c>
      <c r="AC122" s="21">
        <f>IF(OR(A122="",AA122=""),"",IF(AA122&lt;=0,0,ROUND(X122*LateFeePercent,2)))</f>
        <v>0</v>
      </c>
      <c r="AD122" s="50">
        <f>IF(B122="","",IF(X122&lt;=0.004,"Yes","No"))</f>
        <v>0</v>
      </c>
      <c r="AE122" s="39">
        <f>IF(B122="","",IF(Q122=0,"Add - no lines on this invoice yet",IF(H122="Written off","Written off",IF(AD122="Yes","OK - paid",IF(H122="Draft","Draft - not sent yet",IF(AND(AA122&lt;&gt;"",AA122&gt;30),"Overdue - "&amp;AA122&amp;" days, call them",IF(AND(AA122&lt;&gt;"",AA122&gt;0),"Overdue - send a reminder",IF(W122&gt;0,"Part paid","Due - waiting for payment"))))))))</f>
        <v>0</v>
      </c>
    </row>
    <row r="123" spans="1:31">
      <c r="A123" s="43">
        <f>IF(B123="","",InvoicePrefix&amp;TEXT(ROW()-4,"0000"))</f>
        <v>0</v>
      </c>
      <c r="C123" s="23">
        <f>IF(B123="","",TEXT(B123,"yyyy-mm"))</f>
        <v>0</v>
      </c>
      <c r="E123" s="23">
        <f>IF(D123="","",IFERROR(INDEX(Clients!$B$5:$B$204,MATCH(D123,Clients!$A$5:$A$204,0)),"Not found"))</f>
        <v>0</v>
      </c>
      <c r="F123" s="23">
        <f>IF(D123="","",IFERROR(INDEX(Clients!$G$5:$G$204,MATCH(D123,Clients!$A$5:$A$204,0)),""))</f>
        <v>0</v>
      </c>
      <c r="Q123" s="31">
        <f>IF(A123="","",COUNTIFS('Invoice Lines'!$B$5:$B$804,A123))</f>
        <v>0</v>
      </c>
      <c r="R123" s="21">
        <f>IF(A123="","",SUMIFS('Invoice Lines'!$N$5:$N$804,'Invoice Lines'!$B$5:$B$804,A123))</f>
        <v>0</v>
      </c>
      <c r="S123" s="21">
        <f>IF(A123="","",ROUND(R123*IF(K123="",0,K123),2))</f>
        <v>0</v>
      </c>
      <c r="T123" s="21">
        <f>IF(A123="","",R123-S123)</f>
        <v>0</v>
      </c>
      <c r="U123" s="21">
        <f>IF(A123="","",ROUND(T123*TaxRate,2))</f>
        <v>0</v>
      </c>
      <c r="V123" s="21">
        <f>IF(A123="","",T123+U123)</f>
        <v>0</v>
      </c>
      <c r="W123" s="21">
        <f>IF(A123="","",SUMIFS(Payments!$G$5:$G$404,Payments!$D$5:$D$404,A123))</f>
        <v>0</v>
      </c>
      <c r="X123" s="21">
        <f>IF(A123="","",ROUND(V123-W123,2))</f>
        <v>0</v>
      </c>
      <c r="Y123" s="31">
        <f>IF(B123="","",IF(J123&lt;&gt;"",J123,IF(IFERROR(INDEX(Clients!$P$5:$P$204,MATCH(D123,Clients!$A$5:$A$204,0)),"")&lt;&gt;"",INDEX(Clients!$P$5:$P$204,MATCH(D123,Clients!$A$5:$A$204,0)),PaymentTerms)))</f>
        <v>0</v>
      </c>
      <c r="Z123" s="18">
        <f>IF(OR(A123="",B123=""),"",B123+Y123)</f>
        <v>0</v>
      </c>
      <c r="AA123" s="31">
        <f>IF(OR(A123="",Z123=""),"",IF(X123&lt;=0.004,"",MAX(0,TodayDate-Z123-OverdueGrace)))</f>
        <v>0</v>
      </c>
      <c r="AB123" s="39">
        <f>IF(B123="","",IF(X123&lt;=0.004,"Paid",IF(AA123="","Not due yet",IF(AA123=0,"Due now",IF(AA123&lt;=30,"1-30 days",IF(AA123&lt;=60,"31-60 days",IF(AA123&lt;=90,"61-90 days","90+ days")))))))</f>
        <v>0</v>
      </c>
      <c r="AC123" s="21">
        <f>IF(OR(A123="",AA123=""),"",IF(AA123&lt;=0,0,ROUND(X123*LateFeePercent,2)))</f>
        <v>0</v>
      </c>
      <c r="AD123" s="50">
        <f>IF(B123="","",IF(X123&lt;=0.004,"Yes","No"))</f>
        <v>0</v>
      </c>
      <c r="AE123" s="39">
        <f>IF(B123="","",IF(Q123=0,"Add - no lines on this invoice yet",IF(H123="Written off","Written off",IF(AD123="Yes","OK - paid",IF(H123="Draft","Draft - not sent yet",IF(AND(AA123&lt;&gt;"",AA123&gt;30),"Overdue - "&amp;AA123&amp;" days, call them",IF(AND(AA123&lt;&gt;"",AA123&gt;0),"Overdue - send a reminder",IF(W123&gt;0,"Part paid","Due - waiting for payment"))))))))</f>
        <v>0</v>
      </c>
    </row>
    <row r="124" spans="1:31">
      <c r="A124" s="43">
        <f>IF(B124="","",InvoicePrefix&amp;TEXT(ROW()-4,"0000"))</f>
        <v>0</v>
      </c>
      <c r="C124" s="23">
        <f>IF(B124="","",TEXT(B124,"yyyy-mm"))</f>
        <v>0</v>
      </c>
      <c r="E124" s="23">
        <f>IF(D124="","",IFERROR(INDEX(Clients!$B$5:$B$204,MATCH(D124,Clients!$A$5:$A$204,0)),"Not found"))</f>
        <v>0</v>
      </c>
      <c r="F124" s="23">
        <f>IF(D124="","",IFERROR(INDEX(Clients!$G$5:$G$204,MATCH(D124,Clients!$A$5:$A$204,0)),""))</f>
        <v>0</v>
      </c>
      <c r="Q124" s="31">
        <f>IF(A124="","",COUNTIFS('Invoice Lines'!$B$5:$B$804,A124))</f>
        <v>0</v>
      </c>
      <c r="R124" s="21">
        <f>IF(A124="","",SUMIFS('Invoice Lines'!$N$5:$N$804,'Invoice Lines'!$B$5:$B$804,A124))</f>
        <v>0</v>
      </c>
      <c r="S124" s="21">
        <f>IF(A124="","",ROUND(R124*IF(K124="",0,K124),2))</f>
        <v>0</v>
      </c>
      <c r="T124" s="21">
        <f>IF(A124="","",R124-S124)</f>
        <v>0</v>
      </c>
      <c r="U124" s="21">
        <f>IF(A124="","",ROUND(T124*TaxRate,2))</f>
        <v>0</v>
      </c>
      <c r="V124" s="21">
        <f>IF(A124="","",T124+U124)</f>
        <v>0</v>
      </c>
      <c r="W124" s="21">
        <f>IF(A124="","",SUMIFS(Payments!$G$5:$G$404,Payments!$D$5:$D$404,A124))</f>
        <v>0</v>
      </c>
      <c r="X124" s="21">
        <f>IF(A124="","",ROUND(V124-W124,2))</f>
        <v>0</v>
      </c>
      <c r="Y124" s="31">
        <f>IF(B124="","",IF(J124&lt;&gt;"",J124,IF(IFERROR(INDEX(Clients!$P$5:$P$204,MATCH(D124,Clients!$A$5:$A$204,0)),"")&lt;&gt;"",INDEX(Clients!$P$5:$P$204,MATCH(D124,Clients!$A$5:$A$204,0)),PaymentTerms)))</f>
        <v>0</v>
      </c>
      <c r="Z124" s="18">
        <f>IF(OR(A124="",B124=""),"",B124+Y124)</f>
        <v>0</v>
      </c>
      <c r="AA124" s="31">
        <f>IF(OR(A124="",Z124=""),"",IF(X124&lt;=0.004,"",MAX(0,TodayDate-Z124-OverdueGrace)))</f>
        <v>0</v>
      </c>
      <c r="AB124" s="39">
        <f>IF(B124="","",IF(X124&lt;=0.004,"Paid",IF(AA124="","Not due yet",IF(AA124=0,"Due now",IF(AA124&lt;=30,"1-30 days",IF(AA124&lt;=60,"31-60 days",IF(AA124&lt;=90,"61-90 days","90+ days")))))))</f>
        <v>0</v>
      </c>
      <c r="AC124" s="21">
        <f>IF(OR(A124="",AA124=""),"",IF(AA124&lt;=0,0,ROUND(X124*LateFeePercent,2)))</f>
        <v>0</v>
      </c>
      <c r="AD124" s="50">
        <f>IF(B124="","",IF(X124&lt;=0.004,"Yes","No"))</f>
        <v>0</v>
      </c>
      <c r="AE124" s="39">
        <f>IF(B124="","",IF(Q124=0,"Add - no lines on this invoice yet",IF(H124="Written off","Written off",IF(AD124="Yes","OK - paid",IF(H124="Draft","Draft - not sent yet",IF(AND(AA124&lt;&gt;"",AA124&gt;30),"Overdue - "&amp;AA124&amp;" days, call them",IF(AND(AA124&lt;&gt;"",AA124&gt;0),"Overdue - send a reminder",IF(W124&gt;0,"Part paid","Due - waiting for payment"))))))))</f>
        <v>0</v>
      </c>
    </row>
    <row r="125" spans="1:31">
      <c r="A125" s="43">
        <f>IF(B125="","",InvoicePrefix&amp;TEXT(ROW()-4,"0000"))</f>
        <v>0</v>
      </c>
      <c r="C125" s="23">
        <f>IF(B125="","",TEXT(B125,"yyyy-mm"))</f>
        <v>0</v>
      </c>
      <c r="E125" s="23">
        <f>IF(D125="","",IFERROR(INDEX(Clients!$B$5:$B$204,MATCH(D125,Clients!$A$5:$A$204,0)),"Not found"))</f>
        <v>0</v>
      </c>
      <c r="F125" s="23">
        <f>IF(D125="","",IFERROR(INDEX(Clients!$G$5:$G$204,MATCH(D125,Clients!$A$5:$A$204,0)),""))</f>
        <v>0</v>
      </c>
      <c r="Q125" s="31">
        <f>IF(A125="","",COUNTIFS('Invoice Lines'!$B$5:$B$804,A125))</f>
        <v>0</v>
      </c>
      <c r="R125" s="21">
        <f>IF(A125="","",SUMIFS('Invoice Lines'!$N$5:$N$804,'Invoice Lines'!$B$5:$B$804,A125))</f>
        <v>0</v>
      </c>
      <c r="S125" s="21">
        <f>IF(A125="","",ROUND(R125*IF(K125="",0,K125),2))</f>
        <v>0</v>
      </c>
      <c r="T125" s="21">
        <f>IF(A125="","",R125-S125)</f>
        <v>0</v>
      </c>
      <c r="U125" s="21">
        <f>IF(A125="","",ROUND(T125*TaxRate,2))</f>
        <v>0</v>
      </c>
      <c r="V125" s="21">
        <f>IF(A125="","",T125+U125)</f>
        <v>0</v>
      </c>
      <c r="W125" s="21">
        <f>IF(A125="","",SUMIFS(Payments!$G$5:$G$404,Payments!$D$5:$D$404,A125))</f>
        <v>0</v>
      </c>
      <c r="X125" s="21">
        <f>IF(A125="","",ROUND(V125-W125,2))</f>
        <v>0</v>
      </c>
      <c r="Y125" s="31">
        <f>IF(B125="","",IF(J125&lt;&gt;"",J125,IF(IFERROR(INDEX(Clients!$P$5:$P$204,MATCH(D125,Clients!$A$5:$A$204,0)),"")&lt;&gt;"",INDEX(Clients!$P$5:$P$204,MATCH(D125,Clients!$A$5:$A$204,0)),PaymentTerms)))</f>
        <v>0</v>
      </c>
      <c r="Z125" s="18">
        <f>IF(OR(A125="",B125=""),"",B125+Y125)</f>
        <v>0</v>
      </c>
      <c r="AA125" s="31">
        <f>IF(OR(A125="",Z125=""),"",IF(X125&lt;=0.004,"",MAX(0,TodayDate-Z125-OverdueGrace)))</f>
        <v>0</v>
      </c>
      <c r="AB125" s="39">
        <f>IF(B125="","",IF(X125&lt;=0.004,"Paid",IF(AA125="","Not due yet",IF(AA125=0,"Due now",IF(AA125&lt;=30,"1-30 days",IF(AA125&lt;=60,"31-60 days",IF(AA125&lt;=90,"61-90 days","90+ days")))))))</f>
        <v>0</v>
      </c>
      <c r="AC125" s="21">
        <f>IF(OR(A125="",AA125=""),"",IF(AA125&lt;=0,0,ROUND(X125*LateFeePercent,2)))</f>
        <v>0</v>
      </c>
      <c r="AD125" s="50">
        <f>IF(B125="","",IF(X125&lt;=0.004,"Yes","No"))</f>
        <v>0</v>
      </c>
      <c r="AE125" s="39">
        <f>IF(B125="","",IF(Q125=0,"Add - no lines on this invoice yet",IF(H125="Written off","Written off",IF(AD125="Yes","OK - paid",IF(H125="Draft","Draft - not sent yet",IF(AND(AA125&lt;&gt;"",AA125&gt;30),"Overdue - "&amp;AA125&amp;" days, call them",IF(AND(AA125&lt;&gt;"",AA125&gt;0),"Overdue - send a reminder",IF(W125&gt;0,"Part paid","Due - waiting for payment"))))))))</f>
        <v>0</v>
      </c>
    </row>
    <row r="126" spans="1:31">
      <c r="A126" s="43">
        <f>IF(B126="","",InvoicePrefix&amp;TEXT(ROW()-4,"0000"))</f>
        <v>0</v>
      </c>
      <c r="C126" s="23">
        <f>IF(B126="","",TEXT(B126,"yyyy-mm"))</f>
        <v>0</v>
      </c>
      <c r="E126" s="23">
        <f>IF(D126="","",IFERROR(INDEX(Clients!$B$5:$B$204,MATCH(D126,Clients!$A$5:$A$204,0)),"Not found"))</f>
        <v>0</v>
      </c>
      <c r="F126" s="23">
        <f>IF(D126="","",IFERROR(INDEX(Clients!$G$5:$G$204,MATCH(D126,Clients!$A$5:$A$204,0)),""))</f>
        <v>0</v>
      </c>
      <c r="Q126" s="31">
        <f>IF(A126="","",COUNTIFS('Invoice Lines'!$B$5:$B$804,A126))</f>
        <v>0</v>
      </c>
      <c r="R126" s="21">
        <f>IF(A126="","",SUMIFS('Invoice Lines'!$N$5:$N$804,'Invoice Lines'!$B$5:$B$804,A126))</f>
        <v>0</v>
      </c>
      <c r="S126" s="21">
        <f>IF(A126="","",ROUND(R126*IF(K126="",0,K126),2))</f>
        <v>0</v>
      </c>
      <c r="T126" s="21">
        <f>IF(A126="","",R126-S126)</f>
        <v>0</v>
      </c>
      <c r="U126" s="21">
        <f>IF(A126="","",ROUND(T126*TaxRate,2))</f>
        <v>0</v>
      </c>
      <c r="V126" s="21">
        <f>IF(A126="","",T126+U126)</f>
        <v>0</v>
      </c>
      <c r="W126" s="21">
        <f>IF(A126="","",SUMIFS(Payments!$G$5:$G$404,Payments!$D$5:$D$404,A126))</f>
        <v>0</v>
      </c>
      <c r="X126" s="21">
        <f>IF(A126="","",ROUND(V126-W126,2))</f>
        <v>0</v>
      </c>
      <c r="Y126" s="31">
        <f>IF(B126="","",IF(J126&lt;&gt;"",J126,IF(IFERROR(INDEX(Clients!$P$5:$P$204,MATCH(D126,Clients!$A$5:$A$204,0)),"")&lt;&gt;"",INDEX(Clients!$P$5:$P$204,MATCH(D126,Clients!$A$5:$A$204,0)),PaymentTerms)))</f>
        <v>0</v>
      </c>
      <c r="Z126" s="18">
        <f>IF(OR(A126="",B126=""),"",B126+Y126)</f>
        <v>0</v>
      </c>
      <c r="AA126" s="31">
        <f>IF(OR(A126="",Z126=""),"",IF(X126&lt;=0.004,"",MAX(0,TodayDate-Z126-OverdueGrace)))</f>
        <v>0</v>
      </c>
      <c r="AB126" s="39">
        <f>IF(B126="","",IF(X126&lt;=0.004,"Paid",IF(AA126="","Not due yet",IF(AA126=0,"Due now",IF(AA126&lt;=30,"1-30 days",IF(AA126&lt;=60,"31-60 days",IF(AA126&lt;=90,"61-90 days","90+ days")))))))</f>
        <v>0</v>
      </c>
      <c r="AC126" s="21">
        <f>IF(OR(A126="",AA126=""),"",IF(AA126&lt;=0,0,ROUND(X126*LateFeePercent,2)))</f>
        <v>0</v>
      </c>
      <c r="AD126" s="50">
        <f>IF(B126="","",IF(X126&lt;=0.004,"Yes","No"))</f>
        <v>0</v>
      </c>
      <c r="AE126" s="39">
        <f>IF(B126="","",IF(Q126=0,"Add - no lines on this invoice yet",IF(H126="Written off","Written off",IF(AD126="Yes","OK - paid",IF(H126="Draft","Draft - not sent yet",IF(AND(AA126&lt;&gt;"",AA126&gt;30),"Overdue - "&amp;AA126&amp;" days, call them",IF(AND(AA126&lt;&gt;"",AA126&gt;0),"Overdue - send a reminder",IF(W126&gt;0,"Part paid","Due - waiting for payment"))))))))</f>
        <v>0</v>
      </c>
    </row>
    <row r="127" spans="1:31">
      <c r="A127" s="43">
        <f>IF(B127="","",InvoicePrefix&amp;TEXT(ROW()-4,"0000"))</f>
        <v>0</v>
      </c>
      <c r="C127" s="23">
        <f>IF(B127="","",TEXT(B127,"yyyy-mm"))</f>
        <v>0</v>
      </c>
      <c r="E127" s="23">
        <f>IF(D127="","",IFERROR(INDEX(Clients!$B$5:$B$204,MATCH(D127,Clients!$A$5:$A$204,0)),"Not found"))</f>
        <v>0</v>
      </c>
      <c r="F127" s="23">
        <f>IF(D127="","",IFERROR(INDEX(Clients!$G$5:$G$204,MATCH(D127,Clients!$A$5:$A$204,0)),""))</f>
        <v>0</v>
      </c>
      <c r="Q127" s="31">
        <f>IF(A127="","",COUNTIFS('Invoice Lines'!$B$5:$B$804,A127))</f>
        <v>0</v>
      </c>
      <c r="R127" s="21">
        <f>IF(A127="","",SUMIFS('Invoice Lines'!$N$5:$N$804,'Invoice Lines'!$B$5:$B$804,A127))</f>
        <v>0</v>
      </c>
      <c r="S127" s="21">
        <f>IF(A127="","",ROUND(R127*IF(K127="",0,K127),2))</f>
        <v>0</v>
      </c>
      <c r="T127" s="21">
        <f>IF(A127="","",R127-S127)</f>
        <v>0</v>
      </c>
      <c r="U127" s="21">
        <f>IF(A127="","",ROUND(T127*TaxRate,2))</f>
        <v>0</v>
      </c>
      <c r="V127" s="21">
        <f>IF(A127="","",T127+U127)</f>
        <v>0</v>
      </c>
      <c r="W127" s="21">
        <f>IF(A127="","",SUMIFS(Payments!$G$5:$G$404,Payments!$D$5:$D$404,A127))</f>
        <v>0</v>
      </c>
      <c r="X127" s="21">
        <f>IF(A127="","",ROUND(V127-W127,2))</f>
        <v>0</v>
      </c>
      <c r="Y127" s="31">
        <f>IF(B127="","",IF(J127&lt;&gt;"",J127,IF(IFERROR(INDEX(Clients!$P$5:$P$204,MATCH(D127,Clients!$A$5:$A$204,0)),"")&lt;&gt;"",INDEX(Clients!$P$5:$P$204,MATCH(D127,Clients!$A$5:$A$204,0)),PaymentTerms)))</f>
        <v>0</v>
      </c>
      <c r="Z127" s="18">
        <f>IF(OR(A127="",B127=""),"",B127+Y127)</f>
        <v>0</v>
      </c>
      <c r="AA127" s="31">
        <f>IF(OR(A127="",Z127=""),"",IF(X127&lt;=0.004,"",MAX(0,TodayDate-Z127-OverdueGrace)))</f>
        <v>0</v>
      </c>
      <c r="AB127" s="39">
        <f>IF(B127="","",IF(X127&lt;=0.004,"Paid",IF(AA127="","Not due yet",IF(AA127=0,"Due now",IF(AA127&lt;=30,"1-30 days",IF(AA127&lt;=60,"31-60 days",IF(AA127&lt;=90,"61-90 days","90+ days")))))))</f>
        <v>0</v>
      </c>
      <c r="AC127" s="21">
        <f>IF(OR(A127="",AA127=""),"",IF(AA127&lt;=0,0,ROUND(X127*LateFeePercent,2)))</f>
        <v>0</v>
      </c>
      <c r="AD127" s="50">
        <f>IF(B127="","",IF(X127&lt;=0.004,"Yes","No"))</f>
        <v>0</v>
      </c>
      <c r="AE127" s="39">
        <f>IF(B127="","",IF(Q127=0,"Add - no lines on this invoice yet",IF(H127="Written off","Written off",IF(AD127="Yes","OK - paid",IF(H127="Draft","Draft - not sent yet",IF(AND(AA127&lt;&gt;"",AA127&gt;30),"Overdue - "&amp;AA127&amp;" days, call them",IF(AND(AA127&lt;&gt;"",AA127&gt;0),"Overdue - send a reminder",IF(W127&gt;0,"Part paid","Due - waiting for payment"))))))))</f>
        <v>0</v>
      </c>
    </row>
    <row r="128" spans="1:31">
      <c r="A128" s="43">
        <f>IF(B128="","",InvoicePrefix&amp;TEXT(ROW()-4,"0000"))</f>
        <v>0</v>
      </c>
      <c r="C128" s="23">
        <f>IF(B128="","",TEXT(B128,"yyyy-mm"))</f>
        <v>0</v>
      </c>
      <c r="E128" s="23">
        <f>IF(D128="","",IFERROR(INDEX(Clients!$B$5:$B$204,MATCH(D128,Clients!$A$5:$A$204,0)),"Not found"))</f>
        <v>0</v>
      </c>
      <c r="F128" s="23">
        <f>IF(D128="","",IFERROR(INDEX(Clients!$G$5:$G$204,MATCH(D128,Clients!$A$5:$A$204,0)),""))</f>
        <v>0</v>
      </c>
      <c r="Q128" s="31">
        <f>IF(A128="","",COUNTIFS('Invoice Lines'!$B$5:$B$804,A128))</f>
        <v>0</v>
      </c>
      <c r="R128" s="21">
        <f>IF(A128="","",SUMIFS('Invoice Lines'!$N$5:$N$804,'Invoice Lines'!$B$5:$B$804,A128))</f>
        <v>0</v>
      </c>
      <c r="S128" s="21">
        <f>IF(A128="","",ROUND(R128*IF(K128="",0,K128),2))</f>
        <v>0</v>
      </c>
      <c r="T128" s="21">
        <f>IF(A128="","",R128-S128)</f>
        <v>0</v>
      </c>
      <c r="U128" s="21">
        <f>IF(A128="","",ROUND(T128*TaxRate,2))</f>
        <v>0</v>
      </c>
      <c r="V128" s="21">
        <f>IF(A128="","",T128+U128)</f>
        <v>0</v>
      </c>
      <c r="W128" s="21">
        <f>IF(A128="","",SUMIFS(Payments!$G$5:$G$404,Payments!$D$5:$D$404,A128))</f>
        <v>0</v>
      </c>
      <c r="X128" s="21">
        <f>IF(A128="","",ROUND(V128-W128,2))</f>
        <v>0</v>
      </c>
      <c r="Y128" s="31">
        <f>IF(B128="","",IF(J128&lt;&gt;"",J128,IF(IFERROR(INDEX(Clients!$P$5:$P$204,MATCH(D128,Clients!$A$5:$A$204,0)),"")&lt;&gt;"",INDEX(Clients!$P$5:$P$204,MATCH(D128,Clients!$A$5:$A$204,0)),PaymentTerms)))</f>
        <v>0</v>
      </c>
      <c r="Z128" s="18">
        <f>IF(OR(A128="",B128=""),"",B128+Y128)</f>
        <v>0</v>
      </c>
      <c r="AA128" s="31">
        <f>IF(OR(A128="",Z128=""),"",IF(X128&lt;=0.004,"",MAX(0,TodayDate-Z128-OverdueGrace)))</f>
        <v>0</v>
      </c>
      <c r="AB128" s="39">
        <f>IF(B128="","",IF(X128&lt;=0.004,"Paid",IF(AA128="","Not due yet",IF(AA128=0,"Due now",IF(AA128&lt;=30,"1-30 days",IF(AA128&lt;=60,"31-60 days",IF(AA128&lt;=90,"61-90 days","90+ days")))))))</f>
        <v>0</v>
      </c>
      <c r="AC128" s="21">
        <f>IF(OR(A128="",AA128=""),"",IF(AA128&lt;=0,0,ROUND(X128*LateFeePercent,2)))</f>
        <v>0</v>
      </c>
      <c r="AD128" s="50">
        <f>IF(B128="","",IF(X128&lt;=0.004,"Yes","No"))</f>
        <v>0</v>
      </c>
      <c r="AE128" s="39">
        <f>IF(B128="","",IF(Q128=0,"Add - no lines on this invoice yet",IF(H128="Written off","Written off",IF(AD128="Yes","OK - paid",IF(H128="Draft","Draft - not sent yet",IF(AND(AA128&lt;&gt;"",AA128&gt;30),"Overdue - "&amp;AA128&amp;" days, call them",IF(AND(AA128&lt;&gt;"",AA128&gt;0),"Overdue - send a reminder",IF(W128&gt;0,"Part paid","Due - waiting for payment"))))))))</f>
        <v>0</v>
      </c>
    </row>
    <row r="129" spans="1:31">
      <c r="A129" s="43">
        <f>IF(B129="","",InvoicePrefix&amp;TEXT(ROW()-4,"0000"))</f>
        <v>0</v>
      </c>
      <c r="C129" s="23">
        <f>IF(B129="","",TEXT(B129,"yyyy-mm"))</f>
        <v>0</v>
      </c>
      <c r="E129" s="23">
        <f>IF(D129="","",IFERROR(INDEX(Clients!$B$5:$B$204,MATCH(D129,Clients!$A$5:$A$204,0)),"Not found"))</f>
        <v>0</v>
      </c>
      <c r="F129" s="23">
        <f>IF(D129="","",IFERROR(INDEX(Clients!$G$5:$G$204,MATCH(D129,Clients!$A$5:$A$204,0)),""))</f>
        <v>0</v>
      </c>
      <c r="Q129" s="31">
        <f>IF(A129="","",COUNTIFS('Invoice Lines'!$B$5:$B$804,A129))</f>
        <v>0</v>
      </c>
      <c r="R129" s="21">
        <f>IF(A129="","",SUMIFS('Invoice Lines'!$N$5:$N$804,'Invoice Lines'!$B$5:$B$804,A129))</f>
        <v>0</v>
      </c>
      <c r="S129" s="21">
        <f>IF(A129="","",ROUND(R129*IF(K129="",0,K129),2))</f>
        <v>0</v>
      </c>
      <c r="T129" s="21">
        <f>IF(A129="","",R129-S129)</f>
        <v>0</v>
      </c>
      <c r="U129" s="21">
        <f>IF(A129="","",ROUND(T129*TaxRate,2))</f>
        <v>0</v>
      </c>
      <c r="V129" s="21">
        <f>IF(A129="","",T129+U129)</f>
        <v>0</v>
      </c>
      <c r="W129" s="21">
        <f>IF(A129="","",SUMIFS(Payments!$G$5:$G$404,Payments!$D$5:$D$404,A129))</f>
        <v>0</v>
      </c>
      <c r="X129" s="21">
        <f>IF(A129="","",ROUND(V129-W129,2))</f>
        <v>0</v>
      </c>
      <c r="Y129" s="31">
        <f>IF(B129="","",IF(J129&lt;&gt;"",J129,IF(IFERROR(INDEX(Clients!$P$5:$P$204,MATCH(D129,Clients!$A$5:$A$204,0)),"")&lt;&gt;"",INDEX(Clients!$P$5:$P$204,MATCH(D129,Clients!$A$5:$A$204,0)),PaymentTerms)))</f>
        <v>0</v>
      </c>
      <c r="Z129" s="18">
        <f>IF(OR(A129="",B129=""),"",B129+Y129)</f>
        <v>0</v>
      </c>
      <c r="AA129" s="31">
        <f>IF(OR(A129="",Z129=""),"",IF(X129&lt;=0.004,"",MAX(0,TodayDate-Z129-OverdueGrace)))</f>
        <v>0</v>
      </c>
      <c r="AB129" s="39">
        <f>IF(B129="","",IF(X129&lt;=0.004,"Paid",IF(AA129="","Not due yet",IF(AA129=0,"Due now",IF(AA129&lt;=30,"1-30 days",IF(AA129&lt;=60,"31-60 days",IF(AA129&lt;=90,"61-90 days","90+ days")))))))</f>
        <v>0</v>
      </c>
      <c r="AC129" s="21">
        <f>IF(OR(A129="",AA129=""),"",IF(AA129&lt;=0,0,ROUND(X129*LateFeePercent,2)))</f>
        <v>0</v>
      </c>
      <c r="AD129" s="50">
        <f>IF(B129="","",IF(X129&lt;=0.004,"Yes","No"))</f>
        <v>0</v>
      </c>
      <c r="AE129" s="39">
        <f>IF(B129="","",IF(Q129=0,"Add - no lines on this invoice yet",IF(H129="Written off","Written off",IF(AD129="Yes","OK - paid",IF(H129="Draft","Draft - not sent yet",IF(AND(AA129&lt;&gt;"",AA129&gt;30),"Overdue - "&amp;AA129&amp;" days, call them",IF(AND(AA129&lt;&gt;"",AA129&gt;0),"Overdue - send a reminder",IF(W129&gt;0,"Part paid","Due - waiting for payment"))))))))</f>
        <v>0</v>
      </c>
    </row>
    <row r="130" spans="1:31">
      <c r="A130" s="43">
        <f>IF(B130="","",InvoicePrefix&amp;TEXT(ROW()-4,"0000"))</f>
        <v>0</v>
      </c>
      <c r="C130" s="23">
        <f>IF(B130="","",TEXT(B130,"yyyy-mm"))</f>
        <v>0</v>
      </c>
      <c r="E130" s="23">
        <f>IF(D130="","",IFERROR(INDEX(Clients!$B$5:$B$204,MATCH(D130,Clients!$A$5:$A$204,0)),"Not found"))</f>
        <v>0</v>
      </c>
      <c r="F130" s="23">
        <f>IF(D130="","",IFERROR(INDEX(Clients!$G$5:$G$204,MATCH(D130,Clients!$A$5:$A$204,0)),""))</f>
        <v>0</v>
      </c>
      <c r="Q130" s="31">
        <f>IF(A130="","",COUNTIFS('Invoice Lines'!$B$5:$B$804,A130))</f>
        <v>0</v>
      </c>
      <c r="R130" s="21">
        <f>IF(A130="","",SUMIFS('Invoice Lines'!$N$5:$N$804,'Invoice Lines'!$B$5:$B$804,A130))</f>
        <v>0</v>
      </c>
      <c r="S130" s="21">
        <f>IF(A130="","",ROUND(R130*IF(K130="",0,K130),2))</f>
        <v>0</v>
      </c>
      <c r="T130" s="21">
        <f>IF(A130="","",R130-S130)</f>
        <v>0</v>
      </c>
      <c r="U130" s="21">
        <f>IF(A130="","",ROUND(T130*TaxRate,2))</f>
        <v>0</v>
      </c>
      <c r="V130" s="21">
        <f>IF(A130="","",T130+U130)</f>
        <v>0</v>
      </c>
      <c r="W130" s="21">
        <f>IF(A130="","",SUMIFS(Payments!$G$5:$G$404,Payments!$D$5:$D$404,A130))</f>
        <v>0</v>
      </c>
      <c r="X130" s="21">
        <f>IF(A130="","",ROUND(V130-W130,2))</f>
        <v>0</v>
      </c>
      <c r="Y130" s="31">
        <f>IF(B130="","",IF(J130&lt;&gt;"",J130,IF(IFERROR(INDEX(Clients!$P$5:$P$204,MATCH(D130,Clients!$A$5:$A$204,0)),"")&lt;&gt;"",INDEX(Clients!$P$5:$P$204,MATCH(D130,Clients!$A$5:$A$204,0)),PaymentTerms)))</f>
        <v>0</v>
      </c>
      <c r="Z130" s="18">
        <f>IF(OR(A130="",B130=""),"",B130+Y130)</f>
        <v>0</v>
      </c>
      <c r="AA130" s="31">
        <f>IF(OR(A130="",Z130=""),"",IF(X130&lt;=0.004,"",MAX(0,TodayDate-Z130-OverdueGrace)))</f>
        <v>0</v>
      </c>
      <c r="AB130" s="39">
        <f>IF(B130="","",IF(X130&lt;=0.004,"Paid",IF(AA130="","Not due yet",IF(AA130=0,"Due now",IF(AA130&lt;=30,"1-30 days",IF(AA130&lt;=60,"31-60 days",IF(AA130&lt;=90,"61-90 days","90+ days")))))))</f>
        <v>0</v>
      </c>
      <c r="AC130" s="21">
        <f>IF(OR(A130="",AA130=""),"",IF(AA130&lt;=0,0,ROUND(X130*LateFeePercent,2)))</f>
        <v>0</v>
      </c>
      <c r="AD130" s="50">
        <f>IF(B130="","",IF(X130&lt;=0.004,"Yes","No"))</f>
        <v>0</v>
      </c>
      <c r="AE130" s="39">
        <f>IF(B130="","",IF(Q130=0,"Add - no lines on this invoice yet",IF(H130="Written off","Written off",IF(AD130="Yes","OK - paid",IF(H130="Draft","Draft - not sent yet",IF(AND(AA130&lt;&gt;"",AA130&gt;30),"Overdue - "&amp;AA130&amp;" days, call them",IF(AND(AA130&lt;&gt;"",AA130&gt;0),"Overdue - send a reminder",IF(W130&gt;0,"Part paid","Due - waiting for payment"))))))))</f>
        <v>0</v>
      </c>
    </row>
    <row r="131" spans="1:31">
      <c r="A131" s="43">
        <f>IF(B131="","",InvoicePrefix&amp;TEXT(ROW()-4,"0000"))</f>
        <v>0</v>
      </c>
      <c r="C131" s="23">
        <f>IF(B131="","",TEXT(B131,"yyyy-mm"))</f>
        <v>0</v>
      </c>
      <c r="E131" s="23">
        <f>IF(D131="","",IFERROR(INDEX(Clients!$B$5:$B$204,MATCH(D131,Clients!$A$5:$A$204,0)),"Not found"))</f>
        <v>0</v>
      </c>
      <c r="F131" s="23">
        <f>IF(D131="","",IFERROR(INDEX(Clients!$G$5:$G$204,MATCH(D131,Clients!$A$5:$A$204,0)),""))</f>
        <v>0</v>
      </c>
      <c r="Q131" s="31">
        <f>IF(A131="","",COUNTIFS('Invoice Lines'!$B$5:$B$804,A131))</f>
        <v>0</v>
      </c>
      <c r="R131" s="21">
        <f>IF(A131="","",SUMIFS('Invoice Lines'!$N$5:$N$804,'Invoice Lines'!$B$5:$B$804,A131))</f>
        <v>0</v>
      </c>
      <c r="S131" s="21">
        <f>IF(A131="","",ROUND(R131*IF(K131="",0,K131),2))</f>
        <v>0</v>
      </c>
      <c r="T131" s="21">
        <f>IF(A131="","",R131-S131)</f>
        <v>0</v>
      </c>
      <c r="U131" s="21">
        <f>IF(A131="","",ROUND(T131*TaxRate,2))</f>
        <v>0</v>
      </c>
      <c r="V131" s="21">
        <f>IF(A131="","",T131+U131)</f>
        <v>0</v>
      </c>
      <c r="W131" s="21">
        <f>IF(A131="","",SUMIFS(Payments!$G$5:$G$404,Payments!$D$5:$D$404,A131))</f>
        <v>0</v>
      </c>
      <c r="X131" s="21">
        <f>IF(A131="","",ROUND(V131-W131,2))</f>
        <v>0</v>
      </c>
      <c r="Y131" s="31">
        <f>IF(B131="","",IF(J131&lt;&gt;"",J131,IF(IFERROR(INDEX(Clients!$P$5:$P$204,MATCH(D131,Clients!$A$5:$A$204,0)),"")&lt;&gt;"",INDEX(Clients!$P$5:$P$204,MATCH(D131,Clients!$A$5:$A$204,0)),PaymentTerms)))</f>
        <v>0</v>
      </c>
      <c r="Z131" s="18">
        <f>IF(OR(A131="",B131=""),"",B131+Y131)</f>
        <v>0</v>
      </c>
      <c r="AA131" s="31">
        <f>IF(OR(A131="",Z131=""),"",IF(X131&lt;=0.004,"",MAX(0,TodayDate-Z131-OverdueGrace)))</f>
        <v>0</v>
      </c>
      <c r="AB131" s="39">
        <f>IF(B131="","",IF(X131&lt;=0.004,"Paid",IF(AA131="","Not due yet",IF(AA131=0,"Due now",IF(AA131&lt;=30,"1-30 days",IF(AA131&lt;=60,"31-60 days",IF(AA131&lt;=90,"61-90 days","90+ days")))))))</f>
        <v>0</v>
      </c>
      <c r="AC131" s="21">
        <f>IF(OR(A131="",AA131=""),"",IF(AA131&lt;=0,0,ROUND(X131*LateFeePercent,2)))</f>
        <v>0</v>
      </c>
      <c r="AD131" s="50">
        <f>IF(B131="","",IF(X131&lt;=0.004,"Yes","No"))</f>
        <v>0</v>
      </c>
      <c r="AE131" s="39">
        <f>IF(B131="","",IF(Q131=0,"Add - no lines on this invoice yet",IF(H131="Written off","Written off",IF(AD131="Yes","OK - paid",IF(H131="Draft","Draft - not sent yet",IF(AND(AA131&lt;&gt;"",AA131&gt;30),"Overdue - "&amp;AA131&amp;" days, call them",IF(AND(AA131&lt;&gt;"",AA131&gt;0),"Overdue - send a reminder",IF(W131&gt;0,"Part paid","Due - waiting for payment"))))))))</f>
        <v>0</v>
      </c>
    </row>
    <row r="132" spans="1:31">
      <c r="A132" s="43">
        <f>IF(B132="","",InvoicePrefix&amp;TEXT(ROW()-4,"0000"))</f>
        <v>0</v>
      </c>
      <c r="C132" s="23">
        <f>IF(B132="","",TEXT(B132,"yyyy-mm"))</f>
        <v>0</v>
      </c>
      <c r="E132" s="23">
        <f>IF(D132="","",IFERROR(INDEX(Clients!$B$5:$B$204,MATCH(D132,Clients!$A$5:$A$204,0)),"Not found"))</f>
        <v>0</v>
      </c>
      <c r="F132" s="23">
        <f>IF(D132="","",IFERROR(INDEX(Clients!$G$5:$G$204,MATCH(D132,Clients!$A$5:$A$204,0)),""))</f>
        <v>0</v>
      </c>
      <c r="Q132" s="31">
        <f>IF(A132="","",COUNTIFS('Invoice Lines'!$B$5:$B$804,A132))</f>
        <v>0</v>
      </c>
      <c r="R132" s="21">
        <f>IF(A132="","",SUMIFS('Invoice Lines'!$N$5:$N$804,'Invoice Lines'!$B$5:$B$804,A132))</f>
        <v>0</v>
      </c>
      <c r="S132" s="21">
        <f>IF(A132="","",ROUND(R132*IF(K132="",0,K132),2))</f>
        <v>0</v>
      </c>
      <c r="T132" s="21">
        <f>IF(A132="","",R132-S132)</f>
        <v>0</v>
      </c>
      <c r="U132" s="21">
        <f>IF(A132="","",ROUND(T132*TaxRate,2))</f>
        <v>0</v>
      </c>
      <c r="V132" s="21">
        <f>IF(A132="","",T132+U132)</f>
        <v>0</v>
      </c>
      <c r="W132" s="21">
        <f>IF(A132="","",SUMIFS(Payments!$G$5:$G$404,Payments!$D$5:$D$404,A132))</f>
        <v>0</v>
      </c>
      <c r="X132" s="21">
        <f>IF(A132="","",ROUND(V132-W132,2))</f>
        <v>0</v>
      </c>
      <c r="Y132" s="31">
        <f>IF(B132="","",IF(J132&lt;&gt;"",J132,IF(IFERROR(INDEX(Clients!$P$5:$P$204,MATCH(D132,Clients!$A$5:$A$204,0)),"")&lt;&gt;"",INDEX(Clients!$P$5:$P$204,MATCH(D132,Clients!$A$5:$A$204,0)),PaymentTerms)))</f>
        <v>0</v>
      </c>
      <c r="Z132" s="18">
        <f>IF(OR(A132="",B132=""),"",B132+Y132)</f>
        <v>0</v>
      </c>
      <c r="AA132" s="31">
        <f>IF(OR(A132="",Z132=""),"",IF(X132&lt;=0.004,"",MAX(0,TodayDate-Z132-OverdueGrace)))</f>
        <v>0</v>
      </c>
      <c r="AB132" s="39">
        <f>IF(B132="","",IF(X132&lt;=0.004,"Paid",IF(AA132="","Not due yet",IF(AA132=0,"Due now",IF(AA132&lt;=30,"1-30 days",IF(AA132&lt;=60,"31-60 days",IF(AA132&lt;=90,"61-90 days","90+ days")))))))</f>
        <v>0</v>
      </c>
      <c r="AC132" s="21">
        <f>IF(OR(A132="",AA132=""),"",IF(AA132&lt;=0,0,ROUND(X132*LateFeePercent,2)))</f>
        <v>0</v>
      </c>
      <c r="AD132" s="50">
        <f>IF(B132="","",IF(X132&lt;=0.004,"Yes","No"))</f>
        <v>0</v>
      </c>
      <c r="AE132" s="39">
        <f>IF(B132="","",IF(Q132=0,"Add - no lines on this invoice yet",IF(H132="Written off","Written off",IF(AD132="Yes","OK - paid",IF(H132="Draft","Draft - not sent yet",IF(AND(AA132&lt;&gt;"",AA132&gt;30),"Overdue - "&amp;AA132&amp;" days, call them",IF(AND(AA132&lt;&gt;"",AA132&gt;0),"Overdue - send a reminder",IF(W132&gt;0,"Part paid","Due - waiting for payment"))))))))</f>
        <v>0</v>
      </c>
    </row>
    <row r="133" spans="1:31">
      <c r="A133" s="43">
        <f>IF(B133="","",InvoicePrefix&amp;TEXT(ROW()-4,"0000"))</f>
        <v>0</v>
      </c>
      <c r="C133" s="23">
        <f>IF(B133="","",TEXT(B133,"yyyy-mm"))</f>
        <v>0</v>
      </c>
      <c r="E133" s="23">
        <f>IF(D133="","",IFERROR(INDEX(Clients!$B$5:$B$204,MATCH(D133,Clients!$A$5:$A$204,0)),"Not found"))</f>
        <v>0</v>
      </c>
      <c r="F133" s="23">
        <f>IF(D133="","",IFERROR(INDEX(Clients!$G$5:$G$204,MATCH(D133,Clients!$A$5:$A$204,0)),""))</f>
        <v>0</v>
      </c>
      <c r="Q133" s="31">
        <f>IF(A133="","",COUNTIFS('Invoice Lines'!$B$5:$B$804,A133))</f>
        <v>0</v>
      </c>
      <c r="R133" s="21">
        <f>IF(A133="","",SUMIFS('Invoice Lines'!$N$5:$N$804,'Invoice Lines'!$B$5:$B$804,A133))</f>
        <v>0</v>
      </c>
      <c r="S133" s="21">
        <f>IF(A133="","",ROUND(R133*IF(K133="",0,K133),2))</f>
        <v>0</v>
      </c>
      <c r="T133" s="21">
        <f>IF(A133="","",R133-S133)</f>
        <v>0</v>
      </c>
      <c r="U133" s="21">
        <f>IF(A133="","",ROUND(T133*TaxRate,2))</f>
        <v>0</v>
      </c>
      <c r="V133" s="21">
        <f>IF(A133="","",T133+U133)</f>
        <v>0</v>
      </c>
      <c r="W133" s="21">
        <f>IF(A133="","",SUMIFS(Payments!$G$5:$G$404,Payments!$D$5:$D$404,A133))</f>
        <v>0</v>
      </c>
      <c r="X133" s="21">
        <f>IF(A133="","",ROUND(V133-W133,2))</f>
        <v>0</v>
      </c>
      <c r="Y133" s="31">
        <f>IF(B133="","",IF(J133&lt;&gt;"",J133,IF(IFERROR(INDEX(Clients!$P$5:$P$204,MATCH(D133,Clients!$A$5:$A$204,0)),"")&lt;&gt;"",INDEX(Clients!$P$5:$P$204,MATCH(D133,Clients!$A$5:$A$204,0)),PaymentTerms)))</f>
        <v>0</v>
      </c>
      <c r="Z133" s="18">
        <f>IF(OR(A133="",B133=""),"",B133+Y133)</f>
        <v>0</v>
      </c>
      <c r="AA133" s="31">
        <f>IF(OR(A133="",Z133=""),"",IF(X133&lt;=0.004,"",MAX(0,TodayDate-Z133-OverdueGrace)))</f>
        <v>0</v>
      </c>
      <c r="AB133" s="39">
        <f>IF(B133="","",IF(X133&lt;=0.004,"Paid",IF(AA133="","Not due yet",IF(AA133=0,"Due now",IF(AA133&lt;=30,"1-30 days",IF(AA133&lt;=60,"31-60 days",IF(AA133&lt;=90,"61-90 days","90+ days")))))))</f>
        <v>0</v>
      </c>
      <c r="AC133" s="21">
        <f>IF(OR(A133="",AA133=""),"",IF(AA133&lt;=0,0,ROUND(X133*LateFeePercent,2)))</f>
        <v>0</v>
      </c>
      <c r="AD133" s="50">
        <f>IF(B133="","",IF(X133&lt;=0.004,"Yes","No"))</f>
        <v>0</v>
      </c>
      <c r="AE133" s="39">
        <f>IF(B133="","",IF(Q133=0,"Add - no lines on this invoice yet",IF(H133="Written off","Written off",IF(AD133="Yes","OK - paid",IF(H133="Draft","Draft - not sent yet",IF(AND(AA133&lt;&gt;"",AA133&gt;30),"Overdue - "&amp;AA133&amp;" days, call them",IF(AND(AA133&lt;&gt;"",AA133&gt;0),"Overdue - send a reminder",IF(W133&gt;0,"Part paid","Due - waiting for payment"))))))))</f>
        <v>0</v>
      </c>
    </row>
    <row r="134" spans="1:31">
      <c r="A134" s="43">
        <f>IF(B134="","",InvoicePrefix&amp;TEXT(ROW()-4,"0000"))</f>
        <v>0</v>
      </c>
      <c r="C134" s="23">
        <f>IF(B134="","",TEXT(B134,"yyyy-mm"))</f>
        <v>0</v>
      </c>
      <c r="E134" s="23">
        <f>IF(D134="","",IFERROR(INDEX(Clients!$B$5:$B$204,MATCH(D134,Clients!$A$5:$A$204,0)),"Not found"))</f>
        <v>0</v>
      </c>
      <c r="F134" s="23">
        <f>IF(D134="","",IFERROR(INDEX(Clients!$G$5:$G$204,MATCH(D134,Clients!$A$5:$A$204,0)),""))</f>
        <v>0</v>
      </c>
      <c r="Q134" s="31">
        <f>IF(A134="","",COUNTIFS('Invoice Lines'!$B$5:$B$804,A134))</f>
        <v>0</v>
      </c>
      <c r="R134" s="21">
        <f>IF(A134="","",SUMIFS('Invoice Lines'!$N$5:$N$804,'Invoice Lines'!$B$5:$B$804,A134))</f>
        <v>0</v>
      </c>
      <c r="S134" s="21">
        <f>IF(A134="","",ROUND(R134*IF(K134="",0,K134),2))</f>
        <v>0</v>
      </c>
      <c r="T134" s="21">
        <f>IF(A134="","",R134-S134)</f>
        <v>0</v>
      </c>
      <c r="U134" s="21">
        <f>IF(A134="","",ROUND(T134*TaxRate,2))</f>
        <v>0</v>
      </c>
      <c r="V134" s="21">
        <f>IF(A134="","",T134+U134)</f>
        <v>0</v>
      </c>
      <c r="W134" s="21">
        <f>IF(A134="","",SUMIFS(Payments!$G$5:$G$404,Payments!$D$5:$D$404,A134))</f>
        <v>0</v>
      </c>
      <c r="X134" s="21">
        <f>IF(A134="","",ROUND(V134-W134,2))</f>
        <v>0</v>
      </c>
      <c r="Y134" s="31">
        <f>IF(B134="","",IF(J134&lt;&gt;"",J134,IF(IFERROR(INDEX(Clients!$P$5:$P$204,MATCH(D134,Clients!$A$5:$A$204,0)),"")&lt;&gt;"",INDEX(Clients!$P$5:$P$204,MATCH(D134,Clients!$A$5:$A$204,0)),PaymentTerms)))</f>
        <v>0</v>
      </c>
      <c r="Z134" s="18">
        <f>IF(OR(A134="",B134=""),"",B134+Y134)</f>
        <v>0</v>
      </c>
      <c r="AA134" s="31">
        <f>IF(OR(A134="",Z134=""),"",IF(X134&lt;=0.004,"",MAX(0,TodayDate-Z134-OverdueGrace)))</f>
        <v>0</v>
      </c>
      <c r="AB134" s="39">
        <f>IF(B134="","",IF(X134&lt;=0.004,"Paid",IF(AA134="","Not due yet",IF(AA134=0,"Due now",IF(AA134&lt;=30,"1-30 days",IF(AA134&lt;=60,"31-60 days",IF(AA134&lt;=90,"61-90 days","90+ days")))))))</f>
        <v>0</v>
      </c>
      <c r="AC134" s="21">
        <f>IF(OR(A134="",AA134=""),"",IF(AA134&lt;=0,0,ROUND(X134*LateFeePercent,2)))</f>
        <v>0</v>
      </c>
      <c r="AD134" s="50">
        <f>IF(B134="","",IF(X134&lt;=0.004,"Yes","No"))</f>
        <v>0</v>
      </c>
      <c r="AE134" s="39">
        <f>IF(B134="","",IF(Q134=0,"Add - no lines on this invoice yet",IF(H134="Written off","Written off",IF(AD134="Yes","OK - paid",IF(H134="Draft","Draft - not sent yet",IF(AND(AA134&lt;&gt;"",AA134&gt;30),"Overdue - "&amp;AA134&amp;" days, call them",IF(AND(AA134&lt;&gt;"",AA134&gt;0),"Overdue - send a reminder",IF(W134&gt;0,"Part paid","Due - waiting for payment"))))))))</f>
        <v>0</v>
      </c>
    </row>
    <row r="135" spans="1:31">
      <c r="A135" s="43">
        <f>IF(B135="","",InvoicePrefix&amp;TEXT(ROW()-4,"0000"))</f>
        <v>0</v>
      </c>
      <c r="C135" s="23">
        <f>IF(B135="","",TEXT(B135,"yyyy-mm"))</f>
        <v>0</v>
      </c>
      <c r="E135" s="23">
        <f>IF(D135="","",IFERROR(INDEX(Clients!$B$5:$B$204,MATCH(D135,Clients!$A$5:$A$204,0)),"Not found"))</f>
        <v>0</v>
      </c>
      <c r="F135" s="23">
        <f>IF(D135="","",IFERROR(INDEX(Clients!$G$5:$G$204,MATCH(D135,Clients!$A$5:$A$204,0)),""))</f>
        <v>0</v>
      </c>
      <c r="Q135" s="31">
        <f>IF(A135="","",COUNTIFS('Invoice Lines'!$B$5:$B$804,A135))</f>
        <v>0</v>
      </c>
      <c r="R135" s="21">
        <f>IF(A135="","",SUMIFS('Invoice Lines'!$N$5:$N$804,'Invoice Lines'!$B$5:$B$804,A135))</f>
        <v>0</v>
      </c>
      <c r="S135" s="21">
        <f>IF(A135="","",ROUND(R135*IF(K135="",0,K135),2))</f>
        <v>0</v>
      </c>
      <c r="T135" s="21">
        <f>IF(A135="","",R135-S135)</f>
        <v>0</v>
      </c>
      <c r="U135" s="21">
        <f>IF(A135="","",ROUND(T135*TaxRate,2))</f>
        <v>0</v>
      </c>
      <c r="V135" s="21">
        <f>IF(A135="","",T135+U135)</f>
        <v>0</v>
      </c>
      <c r="W135" s="21">
        <f>IF(A135="","",SUMIFS(Payments!$G$5:$G$404,Payments!$D$5:$D$404,A135))</f>
        <v>0</v>
      </c>
      <c r="X135" s="21">
        <f>IF(A135="","",ROUND(V135-W135,2))</f>
        <v>0</v>
      </c>
      <c r="Y135" s="31">
        <f>IF(B135="","",IF(J135&lt;&gt;"",J135,IF(IFERROR(INDEX(Clients!$P$5:$P$204,MATCH(D135,Clients!$A$5:$A$204,0)),"")&lt;&gt;"",INDEX(Clients!$P$5:$P$204,MATCH(D135,Clients!$A$5:$A$204,0)),PaymentTerms)))</f>
        <v>0</v>
      </c>
      <c r="Z135" s="18">
        <f>IF(OR(A135="",B135=""),"",B135+Y135)</f>
        <v>0</v>
      </c>
      <c r="AA135" s="31">
        <f>IF(OR(A135="",Z135=""),"",IF(X135&lt;=0.004,"",MAX(0,TodayDate-Z135-OverdueGrace)))</f>
        <v>0</v>
      </c>
      <c r="AB135" s="39">
        <f>IF(B135="","",IF(X135&lt;=0.004,"Paid",IF(AA135="","Not due yet",IF(AA135=0,"Due now",IF(AA135&lt;=30,"1-30 days",IF(AA135&lt;=60,"31-60 days",IF(AA135&lt;=90,"61-90 days","90+ days")))))))</f>
        <v>0</v>
      </c>
      <c r="AC135" s="21">
        <f>IF(OR(A135="",AA135=""),"",IF(AA135&lt;=0,0,ROUND(X135*LateFeePercent,2)))</f>
        <v>0</v>
      </c>
      <c r="AD135" s="50">
        <f>IF(B135="","",IF(X135&lt;=0.004,"Yes","No"))</f>
        <v>0</v>
      </c>
      <c r="AE135" s="39">
        <f>IF(B135="","",IF(Q135=0,"Add - no lines on this invoice yet",IF(H135="Written off","Written off",IF(AD135="Yes","OK - paid",IF(H135="Draft","Draft - not sent yet",IF(AND(AA135&lt;&gt;"",AA135&gt;30),"Overdue - "&amp;AA135&amp;" days, call them",IF(AND(AA135&lt;&gt;"",AA135&gt;0),"Overdue - send a reminder",IF(W135&gt;0,"Part paid","Due - waiting for payment"))))))))</f>
        <v>0</v>
      </c>
    </row>
    <row r="136" spans="1:31">
      <c r="A136" s="43">
        <f>IF(B136="","",InvoicePrefix&amp;TEXT(ROW()-4,"0000"))</f>
        <v>0</v>
      </c>
      <c r="C136" s="23">
        <f>IF(B136="","",TEXT(B136,"yyyy-mm"))</f>
        <v>0</v>
      </c>
      <c r="E136" s="23">
        <f>IF(D136="","",IFERROR(INDEX(Clients!$B$5:$B$204,MATCH(D136,Clients!$A$5:$A$204,0)),"Not found"))</f>
        <v>0</v>
      </c>
      <c r="F136" s="23">
        <f>IF(D136="","",IFERROR(INDEX(Clients!$G$5:$G$204,MATCH(D136,Clients!$A$5:$A$204,0)),""))</f>
        <v>0</v>
      </c>
      <c r="Q136" s="31">
        <f>IF(A136="","",COUNTIFS('Invoice Lines'!$B$5:$B$804,A136))</f>
        <v>0</v>
      </c>
      <c r="R136" s="21">
        <f>IF(A136="","",SUMIFS('Invoice Lines'!$N$5:$N$804,'Invoice Lines'!$B$5:$B$804,A136))</f>
        <v>0</v>
      </c>
      <c r="S136" s="21">
        <f>IF(A136="","",ROUND(R136*IF(K136="",0,K136),2))</f>
        <v>0</v>
      </c>
      <c r="T136" s="21">
        <f>IF(A136="","",R136-S136)</f>
        <v>0</v>
      </c>
      <c r="U136" s="21">
        <f>IF(A136="","",ROUND(T136*TaxRate,2))</f>
        <v>0</v>
      </c>
      <c r="V136" s="21">
        <f>IF(A136="","",T136+U136)</f>
        <v>0</v>
      </c>
      <c r="W136" s="21">
        <f>IF(A136="","",SUMIFS(Payments!$G$5:$G$404,Payments!$D$5:$D$404,A136))</f>
        <v>0</v>
      </c>
      <c r="X136" s="21">
        <f>IF(A136="","",ROUND(V136-W136,2))</f>
        <v>0</v>
      </c>
      <c r="Y136" s="31">
        <f>IF(B136="","",IF(J136&lt;&gt;"",J136,IF(IFERROR(INDEX(Clients!$P$5:$P$204,MATCH(D136,Clients!$A$5:$A$204,0)),"")&lt;&gt;"",INDEX(Clients!$P$5:$P$204,MATCH(D136,Clients!$A$5:$A$204,0)),PaymentTerms)))</f>
        <v>0</v>
      </c>
      <c r="Z136" s="18">
        <f>IF(OR(A136="",B136=""),"",B136+Y136)</f>
        <v>0</v>
      </c>
      <c r="AA136" s="31">
        <f>IF(OR(A136="",Z136=""),"",IF(X136&lt;=0.004,"",MAX(0,TodayDate-Z136-OverdueGrace)))</f>
        <v>0</v>
      </c>
      <c r="AB136" s="39">
        <f>IF(B136="","",IF(X136&lt;=0.004,"Paid",IF(AA136="","Not due yet",IF(AA136=0,"Due now",IF(AA136&lt;=30,"1-30 days",IF(AA136&lt;=60,"31-60 days",IF(AA136&lt;=90,"61-90 days","90+ days")))))))</f>
        <v>0</v>
      </c>
      <c r="AC136" s="21">
        <f>IF(OR(A136="",AA136=""),"",IF(AA136&lt;=0,0,ROUND(X136*LateFeePercent,2)))</f>
        <v>0</v>
      </c>
      <c r="AD136" s="50">
        <f>IF(B136="","",IF(X136&lt;=0.004,"Yes","No"))</f>
        <v>0</v>
      </c>
      <c r="AE136" s="39">
        <f>IF(B136="","",IF(Q136=0,"Add - no lines on this invoice yet",IF(H136="Written off","Written off",IF(AD136="Yes","OK - paid",IF(H136="Draft","Draft - not sent yet",IF(AND(AA136&lt;&gt;"",AA136&gt;30),"Overdue - "&amp;AA136&amp;" days, call them",IF(AND(AA136&lt;&gt;"",AA136&gt;0),"Overdue - send a reminder",IF(W136&gt;0,"Part paid","Due - waiting for payment"))))))))</f>
        <v>0</v>
      </c>
    </row>
    <row r="137" spans="1:31">
      <c r="A137" s="43">
        <f>IF(B137="","",InvoicePrefix&amp;TEXT(ROW()-4,"0000"))</f>
        <v>0</v>
      </c>
      <c r="C137" s="23">
        <f>IF(B137="","",TEXT(B137,"yyyy-mm"))</f>
        <v>0</v>
      </c>
      <c r="E137" s="23">
        <f>IF(D137="","",IFERROR(INDEX(Clients!$B$5:$B$204,MATCH(D137,Clients!$A$5:$A$204,0)),"Not found"))</f>
        <v>0</v>
      </c>
      <c r="F137" s="23">
        <f>IF(D137="","",IFERROR(INDEX(Clients!$G$5:$G$204,MATCH(D137,Clients!$A$5:$A$204,0)),""))</f>
        <v>0</v>
      </c>
      <c r="Q137" s="31">
        <f>IF(A137="","",COUNTIFS('Invoice Lines'!$B$5:$B$804,A137))</f>
        <v>0</v>
      </c>
      <c r="R137" s="21">
        <f>IF(A137="","",SUMIFS('Invoice Lines'!$N$5:$N$804,'Invoice Lines'!$B$5:$B$804,A137))</f>
        <v>0</v>
      </c>
      <c r="S137" s="21">
        <f>IF(A137="","",ROUND(R137*IF(K137="",0,K137),2))</f>
        <v>0</v>
      </c>
      <c r="T137" s="21">
        <f>IF(A137="","",R137-S137)</f>
        <v>0</v>
      </c>
      <c r="U137" s="21">
        <f>IF(A137="","",ROUND(T137*TaxRate,2))</f>
        <v>0</v>
      </c>
      <c r="V137" s="21">
        <f>IF(A137="","",T137+U137)</f>
        <v>0</v>
      </c>
      <c r="W137" s="21">
        <f>IF(A137="","",SUMIFS(Payments!$G$5:$G$404,Payments!$D$5:$D$404,A137))</f>
        <v>0</v>
      </c>
      <c r="X137" s="21">
        <f>IF(A137="","",ROUND(V137-W137,2))</f>
        <v>0</v>
      </c>
      <c r="Y137" s="31">
        <f>IF(B137="","",IF(J137&lt;&gt;"",J137,IF(IFERROR(INDEX(Clients!$P$5:$P$204,MATCH(D137,Clients!$A$5:$A$204,0)),"")&lt;&gt;"",INDEX(Clients!$P$5:$P$204,MATCH(D137,Clients!$A$5:$A$204,0)),PaymentTerms)))</f>
        <v>0</v>
      </c>
      <c r="Z137" s="18">
        <f>IF(OR(A137="",B137=""),"",B137+Y137)</f>
        <v>0</v>
      </c>
      <c r="AA137" s="31">
        <f>IF(OR(A137="",Z137=""),"",IF(X137&lt;=0.004,"",MAX(0,TodayDate-Z137-OverdueGrace)))</f>
        <v>0</v>
      </c>
      <c r="AB137" s="39">
        <f>IF(B137="","",IF(X137&lt;=0.004,"Paid",IF(AA137="","Not due yet",IF(AA137=0,"Due now",IF(AA137&lt;=30,"1-30 days",IF(AA137&lt;=60,"31-60 days",IF(AA137&lt;=90,"61-90 days","90+ days")))))))</f>
        <v>0</v>
      </c>
      <c r="AC137" s="21">
        <f>IF(OR(A137="",AA137=""),"",IF(AA137&lt;=0,0,ROUND(X137*LateFeePercent,2)))</f>
        <v>0</v>
      </c>
      <c r="AD137" s="50">
        <f>IF(B137="","",IF(X137&lt;=0.004,"Yes","No"))</f>
        <v>0</v>
      </c>
      <c r="AE137" s="39">
        <f>IF(B137="","",IF(Q137=0,"Add - no lines on this invoice yet",IF(H137="Written off","Written off",IF(AD137="Yes","OK - paid",IF(H137="Draft","Draft - not sent yet",IF(AND(AA137&lt;&gt;"",AA137&gt;30),"Overdue - "&amp;AA137&amp;" days, call them",IF(AND(AA137&lt;&gt;"",AA137&gt;0),"Overdue - send a reminder",IF(W137&gt;0,"Part paid","Due - waiting for payment"))))))))</f>
        <v>0</v>
      </c>
    </row>
    <row r="138" spans="1:31">
      <c r="A138" s="43">
        <f>IF(B138="","",InvoicePrefix&amp;TEXT(ROW()-4,"0000"))</f>
        <v>0</v>
      </c>
      <c r="C138" s="23">
        <f>IF(B138="","",TEXT(B138,"yyyy-mm"))</f>
        <v>0</v>
      </c>
      <c r="E138" s="23">
        <f>IF(D138="","",IFERROR(INDEX(Clients!$B$5:$B$204,MATCH(D138,Clients!$A$5:$A$204,0)),"Not found"))</f>
        <v>0</v>
      </c>
      <c r="F138" s="23">
        <f>IF(D138="","",IFERROR(INDEX(Clients!$G$5:$G$204,MATCH(D138,Clients!$A$5:$A$204,0)),""))</f>
        <v>0</v>
      </c>
      <c r="Q138" s="31">
        <f>IF(A138="","",COUNTIFS('Invoice Lines'!$B$5:$B$804,A138))</f>
        <v>0</v>
      </c>
      <c r="R138" s="21">
        <f>IF(A138="","",SUMIFS('Invoice Lines'!$N$5:$N$804,'Invoice Lines'!$B$5:$B$804,A138))</f>
        <v>0</v>
      </c>
      <c r="S138" s="21">
        <f>IF(A138="","",ROUND(R138*IF(K138="",0,K138),2))</f>
        <v>0</v>
      </c>
      <c r="T138" s="21">
        <f>IF(A138="","",R138-S138)</f>
        <v>0</v>
      </c>
      <c r="U138" s="21">
        <f>IF(A138="","",ROUND(T138*TaxRate,2))</f>
        <v>0</v>
      </c>
      <c r="V138" s="21">
        <f>IF(A138="","",T138+U138)</f>
        <v>0</v>
      </c>
      <c r="W138" s="21">
        <f>IF(A138="","",SUMIFS(Payments!$G$5:$G$404,Payments!$D$5:$D$404,A138))</f>
        <v>0</v>
      </c>
      <c r="X138" s="21">
        <f>IF(A138="","",ROUND(V138-W138,2))</f>
        <v>0</v>
      </c>
      <c r="Y138" s="31">
        <f>IF(B138="","",IF(J138&lt;&gt;"",J138,IF(IFERROR(INDEX(Clients!$P$5:$P$204,MATCH(D138,Clients!$A$5:$A$204,0)),"")&lt;&gt;"",INDEX(Clients!$P$5:$P$204,MATCH(D138,Clients!$A$5:$A$204,0)),PaymentTerms)))</f>
        <v>0</v>
      </c>
      <c r="Z138" s="18">
        <f>IF(OR(A138="",B138=""),"",B138+Y138)</f>
        <v>0</v>
      </c>
      <c r="AA138" s="31">
        <f>IF(OR(A138="",Z138=""),"",IF(X138&lt;=0.004,"",MAX(0,TodayDate-Z138-OverdueGrace)))</f>
        <v>0</v>
      </c>
      <c r="AB138" s="39">
        <f>IF(B138="","",IF(X138&lt;=0.004,"Paid",IF(AA138="","Not due yet",IF(AA138=0,"Due now",IF(AA138&lt;=30,"1-30 days",IF(AA138&lt;=60,"31-60 days",IF(AA138&lt;=90,"61-90 days","90+ days")))))))</f>
        <v>0</v>
      </c>
      <c r="AC138" s="21">
        <f>IF(OR(A138="",AA138=""),"",IF(AA138&lt;=0,0,ROUND(X138*LateFeePercent,2)))</f>
        <v>0</v>
      </c>
      <c r="AD138" s="50">
        <f>IF(B138="","",IF(X138&lt;=0.004,"Yes","No"))</f>
        <v>0</v>
      </c>
      <c r="AE138" s="39">
        <f>IF(B138="","",IF(Q138=0,"Add - no lines on this invoice yet",IF(H138="Written off","Written off",IF(AD138="Yes","OK - paid",IF(H138="Draft","Draft - not sent yet",IF(AND(AA138&lt;&gt;"",AA138&gt;30),"Overdue - "&amp;AA138&amp;" days, call them",IF(AND(AA138&lt;&gt;"",AA138&gt;0),"Overdue - send a reminder",IF(W138&gt;0,"Part paid","Due - waiting for payment"))))))))</f>
        <v>0</v>
      </c>
    </row>
    <row r="139" spans="1:31">
      <c r="A139" s="43">
        <f>IF(B139="","",InvoicePrefix&amp;TEXT(ROW()-4,"0000"))</f>
        <v>0</v>
      </c>
      <c r="C139" s="23">
        <f>IF(B139="","",TEXT(B139,"yyyy-mm"))</f>
        <v>0</v>
      </c>
      <c r="E139" s="23">
        <f>IF(D139="","",IFERROR(INDEX(Clients!$B$5:$B$204,MATCH(D139,Clients!$A$5:$A$204,0)),"Not found"))</f>
        <v>0</v>
      </c>
      <c r="F139" s="23">
        <f>IF(D139="","",IFERROR(INDEX(Clients!$G$5:$G$204,MATCH(D139,Clients!$A$5:$A$204,0)),""))</f>
        <v>0</v>
      </c>
      <c r="Q139" s="31">
        <f>IF(A139="","",COUNTIFS('Invoice Lines'!$B$5:$B$804,A139))</f>
        <v>0</v>
      </c>
      <c r="R139" s="21">
        <f>IF(A139="","",SUMIFS('Invoice Lines'!$N$5:$N$804,'Invoice Lines'!$B$5:$B$804,A139))</f>
        <v>0</v>
      </c>
      <c r="S139" s="21">
        <f>IF(A139="","",ROUND(R139*IF(K139="",0,K139),2))</f>
        <v>0</v>
      </c>
      <c r="T139" s="21">
        <f>IF(A139="","",R139-S139)</f>
        <v>0</v>
      </c>
      <c r="U139" s="21">
        <f>IF(A139="","",ROUND(T139*TaxRate,2))</f>
        <v>0</v>
      </c>
      <c r="V139" s="21">
        <f>IF(A139="","",T139+U139)</f>
        <v>0</v>
      </c>
      <c r="W139" s="21">
        <f>IF(A139="","",SUMIFS(Payments!$G$5:$G$404,Payments!$D$5:$D$404,A139))</f>
        <v>0</v>
      </c>
      <c r="X139" s="21">
        <f>IF(A139="","",ROUND(V139-W139,2))</f>
        <v>0</v>
      </c>
      <c r="Y139" s="31">
        <f>IF(B139="","",IF(J139&lt;&gt;"",J139,IF(IFERROR(INDEX(Clients!$P$5:$P$204,MATCH(D139,Clients!$A$5:$A$204,0)),"")&lt;&gt;"",INDEX(Clients!$P$5:$P$204,MATCH(D139,Clients!$A$5:$A$204,0)),PaymentTerms)))</f>
        <v>0</v>
      </c>
      <c r="Z139" s="18">
        <f>IF(OR(A139="",B139=""),"",B139+Y139)</f>
        <v>0</v>
      </c>
      <c r="AA139" s="31">
        <f>IF(OR(A139="",Z139=""),"",IF(X139&lt;=0.004,"",MAX(0,TodayDate-Z139-OverdueGrace)))</f>
        <v>0</v>
      </c>
      <c r="AB139" s="39">
        <f>IF(B139="","",IF(X139&lt;=0.004,"Paid",IF(AA139="","Not due yet",IF(AA139=0,"Due now",IF(AA139&lt;=30,"1-30 days",IF(AA139&lt;=60,"31-60 days",IF(AA139&lt;=90,"61-90 days","90+ days")))))))</f>
        <v>0</v>
      </c>
      <c r="AC139" s="21">
        <f>IF(OR(A139="",AA139=""),"",IF(AA139&lt;=0,0,ROUND(X139*LateFeePercent,2)))</f>
        <v>0</v>
      </c>
      <c r="AD139" s="50">
        <f>IF(B139="","",IF(X139&lt;=0.004,"Yes","No"))</f>
        <v>0</v>
      </c>
      <c r="AE139" s="39">
        <f>IF(B139="","",IF(Q139=0,"Add - no lines on this invoice yet",IF(H139="Written off","Written off",IF(AD139="Yes","OK - paid",IF(H139="Draft","Draft - not sent yet",IF(AND(AA139&lt;&gt;"",AA139&gt;30),"Overdue - "&amp;AA139&amp;" days, call them",IF(AND(AA139&lt;&gt;"",AA139&gt;0),"Overdue - send a reminder",IF(W139&gt;0,"Part paid","Due - waiting for payment"))))))))</f>
        <v>0</v>
      </c>
    </row>
    <row r="140" spans="1:31">
      <c r="A140" s="43">
        <f>IF(B140="","",InvoicePrefix&amp;TEXT(ROW()-4,"0000"))</f>
        <v>0</v>
      </c>
      <c r="C140" s="23">
        <f>IF(B140="","",TEXT(B140,"yyyy-mm"))</f>
        <v>0</v>
      </c>
      <c r="E140" s="23">
        <f>IF(D140="","",IFERROR(INDEX(Clients!$B$5:$B$204,MATCH(D140,Clients!$A$5:$A$204,0)),"Not found"))</f>
        <v>0</v>
      </c>
      <c r="F140" s="23">
        <f>IF(D140="","",IFERROR(INDEX(Clients!$G$5:$G$204,MATCH(D140,Clients!$A$5:$A$204,0)),""))</f>
        <v>0</v>
      </c>
      <c r="Q140" s="31">
        <f>IF(A140="","",COUNTIFS('Invoice Lines'!$B$5:$B$804,A140))</f>
        <v>0</v>
      </c>
      <c r="R140" s="21">
        <f>IF(A140="","",SUMIFS('Invoice Lines'!$N$5:$N$804,'Invoice Lines'!$B$5:$B$804,A140))</f>
        <v>0</v>
      </c>
      <c r="S140" s="21">
        <f>IF(A140="","",ROUND(R140*IF(K140="",0,K140),2))</f>
        <v>0</v>
      </c>
      <c r="T140" s="21">
        <f>IF(A140="","",R140-S140)</f>
        <v>0</v>
      </c>
      <c r="U140" s="21">
        <f>IF(A140="","",ROUND(T140*TaxRate,2))</f>
        <v>0</v>
      </c>
      <c r="V140" s="21">
        <f>IF(A140="","",T140+U140)</f>
        <v>0</v>
      </c>
      <c r="W140" s="21">
        <f>IF(A140="","",SUMIFS(Payments!$G$5:$G$404,Payments!$D$5:$D$404,A140))</f>
        <v>0</v>
      </c>
      <c r="X140" s="21">
        <f>IF(A140="","",ROUND(V140-W140,2))</f>
        <v>0</v>
      </c>
      <c r="Y140" s="31">
        <f>IF(B140="","",IF(J140&lt;&gt;"",J140,IF(IFERROR(INDEX(Clients!$P$5:$P$204,MATCH(D140,Clients!$A$5:$A$204,0)),"")&lt;&gt;"",INDEX(Clients!$P$5:$P$204,MATCH(D140,Clients!$A$5:$A$204,0)),PaymentTerms)))</f>
        <v>0</v>
      </c>
      <c r="Z140" s="18">
        <f>IF(OR(A140="",B140=""),"",B140+Y140)</f>
        <v>0</v>
      </c>
      <c r="AA140" s="31">
        <f>IF(OR(A140="",Z140=""),"",IF(X140&lt;=0.004,"",MAX(0,TodayDate-Z140-OverdueGrace)))</f>
        <v>0</v>
      </c>
      <c r="AB140" s="39">
        <f>IF(B140="","",IF(X140&lt;=0.004,"Paid",IF(AA140="","Not due yet",IF(AA140=0,"Due now",IF(AA140&lt;=30,"1-30 days",IF(AA140&lt;=60,"31-60 days",IF(AA140&lt;=90,"61-90 days","90+ days")))))))</f>
        <v>0</v>
      </c>
      <c r="AC140" s="21">
        <f>IF(OR(A140="",AA140=""),"",IF(AA140&lt;=0,0,ROUND(X140*LateFeePercent,2)))</f>
        <v>0</v>
      </c>
      <c r="AD140" s="50">
        <f>IF(B140="","",IF(X140&lt;=0.004,"Yes","No"))</f>
        <v>0</v>
      </c>
      <c r="AE140" s="39">
        <f>IF(B140="","",IF(Q140=0,"Add - no lines on this invoice yet",IF(H140="Written off","Written off",IF(AD140="Yes","OK - paid",IF(H140="Draft","Draft - not sent yet",IF(AND(AA140&lt;&gt;"",AA140&gt;30),"Overdue - "&amp;AA140&amp;" days, call them",IF(AND(AA140&lt;&gt;"",AA140&gt;0),"Overdue - send a reminder",IF(W140&gt;0,"Part paid","Due - waiting for payment"))))))))</f>
        <v>0</v>
      </c>
    </row>
    <row r="141" spans="1:31">
      <c r="A141" s="43">
        <f>IF(B141="","",InvoicePrefix&amp;TEXT(ROW()-4,"0000"))</f>
        <v>0</v>
      </c>
      <c r="C141" s="23">
        <f>IF(B141="","",TEXT(B141,"yyyy-mm"))</f>
        <v>0</v>
      </c>
      <c r="E141" s="23">
        <f>IF(D141="","",IFERROR(INDEX(Clients!$B$5:$B$204,MATCH(D141,Clients!$A$5:$A$204,0)),"Not found"))</f>
        <v>0</v>
      </c>
      <c r="F141" s="23">
        <f>IF(D141="","",IFERROR(INDEX(Clients!$G$5:$G$204,MATCH(D141,Clients!$A$5:$A$204,0)),""))</f>
        <v>0</v>
      </c>
      <c r="Q141" s="31">
        <f>IF(A141="","",COUNTIFS('Invoice Lines'!$B$5:$B$804,A141))</f>
        <v>0</v>
      </c>
      <c r="R141" s="21">
        <f>IF(A141="","",SUMIFS('Invoice Lines'!$N$5:$N$804,'Invoice Lines'!$B$5:$B$804,A141))</f>
        <v>0</v>
      </c>
      <c r="S141" s="21">
        <f>IF(A141="","",ROUND(R141*IF(K141="",0,K141),2))</f>
        <v>0</v>
      </c>
      <c r="T141" s="21">
        <f>IF(A141="","",R141-S141)</f>
        <v>0</v>
      </c>
      <c r="U141" s="21">
        <f>IF(A141="","",ROUND(T141*TaxRate,2))</f>
        <v>0</v>
      </c>
      <c r="V141" s="21">
        <f>IF(A141="","",T141+U141)</f>
        <v>0</v>
      </c>
      <c r="W141" s="21">
        <f>IF(A141="","",SUMIFS(Payments!$G$5:$G$404,Payments!$D$5:$D$404,A141))</f>
        <v>0</v>
      </c>
      <c r="X141" s="21">
        <f>IF(A141="","",ROUND(V141-W141,2))</f>
        <v>0</v>
      </c>
      <c r="Y141" s="31">
        <f>IF(B141="","",IF(J141&lt;&gt;"",J141,IF(IFERROR(INDEX(Clients!$P$5:$P$204,MATCH(D141,Clients!$A$5:$A$204,0)),"")&lt;&gt;"",INDEX(Clients!$P$5:$P$204,MATCH(D141,Clients!$A$5:$A$204,0)),PaymentTerms)))</f>
        <v>0</v>
      </c>
      <c r="Z141" s="18">
        <f>IF(OR(A141="",B141=""),"",B141+Y141)</f>
        <v>0</v>
      </c>
      <c r="AA141" s="31">
        <f>IF(OR(A141="",Z141=""),"",IF(X141&lt;=0.004,"",MAX(0,TodayDate-Z141-OverdueGrace)))</f>
        <v>0</v>
      </c>
      <c r="AB141" s="39">
        <f>IF(B141="","",IF(X141&lt;=0.004,"Paid",IF(AA141="","Not due yet",IF(AA141=0,"Due now",IF(AA141&lt;=30,"1-30 days",IF(AA141&lt;=60,"31-60 days",IF(AA141&lt;=90,"61-90 days","90+ days")))))))</f>
        <v>0</v>
      </c>
      <c r="AC141" s="21">
        <f>IF(OR(A141="",AA141=""),"",IF(AA141&lt;=0,0,ROUND(X141*LateFeePercent,2)))</f>
        <v>0</v>
      </c>
      <c r="AD141" s="50">
        <f>IF(B141="","",IF(X141&lt;=0.004,"Yes","No"))</f>
        <v>0</v>
      </c>
      <c r="AE141" s="39">
        <f>IF(B141="","",IF(Q141=0,"Add - no lines on this invoice yet",IF(H141="Written off","Written off",IF(AD141="Yes","OK - paid",IF(H141="Draft","Draft - not sent yet",IF(AND(AA141&lt;&gt;"",AA141&gt;30),"Overdue - "&amp;AA141&amp;" days, call them",IF(AND(AA141&lt;&gt;"",AA141&gt;0),"Overdue - send a reminder",IF(W141&gt;0,"Part paid","Due - waiting for payment"))))))))</f>
        <v>0</v>
      </c>
    </row>
    <row r="142" spans="1:31">
      <c r="A142" s="43">
        <f>IF(B142="","",InvoicePrefix&amp;TEXT(ROW()-4,"0000"))</f>
        <v>0</v>
      </c>
      <c r="C142" s="23">
        <f>IF(B142="","",TEXT(B142,"yyyy-mm"))</f>
        <v>0</v>
      </c>
      <c r="E142" s="23">
        <f>IF(D142="","",IFERROR(INDEX(Clients!$B$5:$B$204,MATCH(D142,Clients!$A$5:$A$204,0)),"Not found"))</f>
        <v>0</v>
      </c>
      <c r="F142" s="23">
        <f>IF(D142="","",IFERROR(INDEX(Clients!$G$5:$G$204,MATCH(D142,Clients!$A$5:$A$204,0)),""))</f>
        <v>0</v>
      </c>
      <c r="Q142" s="31">
        <f>IF(A142="","",COUNTIFS('Invoice Lines'!$B$5:$B$804,A142))</f>
        <v>0</v>
      </c>
      <c r="R142" s="21">
        <f>IF(A142="","",SUMIFS('Invoice Lines'!$N$5:$N$804,'Invoice Lines'!$B$5:$B$804,A142))</f>
        <v>0</v>
      </c>
      <c r="S142" s="21">
        <f>IF(A142="","",ROUND(R142*IF(K142="",0,K142),2))</f>
        <v>0</v>
      </c>
      <c r="T142" s="21">
        <f>IF(A142="","",R142-S142)</f>
        <v>0</v>
      </c>
      <c r="U142" s="21">
        <f>IF(A142="","",ROUND(T142*TaxRate,2))</f>
        <v>0</v>
      </c>
      <c r="V142" s="21">
        <f>IF(A142="","",T142+U142)</f>
        <v>0</v>
      </c>
      <c r="W142" s="21">
        <f>IF(A142="","",SUMIFS(Payments!$G$5:$G$404,Payments!$D$5:$D$404,A142))</f>
        <v>0</v>
      </c>
      <c r="X142" s="21">
        <f>IF(A142="","",ROUND(V142-W142,2))</f>
        <v>0</v>
      </c>
      <c r="Y142" s="31">
        <f>IF(B142="","",IF(J142&lt;&gt;"",J142,IF(IFERROR(INDEX(Clients!$P$5:$P$204,MATCH(D142,Clients!$A$5:$A$204,0)),"")&lt;&gt;"",INDEX(Clients!$P$5:$P$204,MATCH(D142,Clients!$A$5:$A$204,0)),PaymentTerms)))</f>
        <v>0</v>
      </c>
      <c r="Z142" s="18">
        <f>IF(OR(A142="",B142=""),"",B142+Y142)</f>
        <v>0</v>
      </c>
      <c r="AA142" s="31">
        <f>IF(OR(A142="",Z142=""),"",IF(X142&lt;=0.004,"",MAX(0,TodayDate-Z142-OverdueGrace)))</f>
        <v>0</v>
      </c>
      <c r="AB142" s="39">
        <f>IF(B142="","",IF(X142&lt;=0.004,"Paid",IF(AA142="","Not due yet",IF(AA142=0,"Due now",IF(AA142&lt;=30,"1-30 days",IF(AA142&lt;=60,"31-60 days",IF(AA142&lt;=90,"61-90 days","90+ days")))))))</f>
        <v>0</v>
      </c>
      <c r="AC142" s="21">
        <f>IF(OR(A142="",AA142=""),"",IF(AA142&lt;=0,0,ROUND(X142*LateFeePercent,2)))</f>
        <v>0</v>
      </c>
      <c r="AD142" s="50">
        <f>IF(B142="","",IF(X142&lt;=0.004,"Yes","No"))</f>
        <v>0</v>
      </c>
      <c r="AE142" s="39">
        <f>IF(B142="","",IF(Q142=0,"Add - no lines on this invoice yet",IF(H142="Written off","Written off",IF(AD142="Yes","OK - paid",IF(H142="Draft","Draft - not sent yet",IF(AND(AA142&lt;&gt;"",AA142&gt;30),"Overdue - "&amp;AA142&amp;" days, call them",IF(AND(AA142&lt;&gt;"",AA142&gt;0),"Overdue - send a reminder",IF(W142&gt;0,"Part paid","Due - waiting for payment"))))))))</f>
        <v>0</v>
      </c>
    </row>
    <row r="143" spans="1:31">
      <c r="A143" s="43">
        <f>IF(B143="","",InvoicePrefix&amp;TEXT(ROW()-4,"0000"))</f>
        <v>0</v>
      </c>
      <c r="C143" s="23">
        <f>IF(B143="","",TEXT(B143,"yyyy-mm"))</f>
        <v>0</v>
      </c>
      <c r="E143" s="23">
        <f>IF(D143="","",IFERROR(INDEX(Clients!$B$5:$B$204,MATCH(D143,Clients!$A$5:$A$204,0)),"Not found"))</f>
        <v>0</v>
      </c>
      <c r="F143" s="23">
        <f>IF(D143="","",IFERROR(INDEX(Clients!$G$5:$G$204,MATCH(D143,Clients!$A$5:$A$204,0)),""))</f>
        <v>0</v>
      </c>
      <c r="Q143" s="31">
        <f>IF(A143="","",COUNTIFS('Invoice Lines'!$B$5:$B$804,A143))</f>
        <v>0</v>
      </c>
      <c r="R143" s="21">
        <f>IF(A143="","",SUMIFS('Invoice Lines'!$N$5:$N$804,'Invoice Lines'!$B$5:$B$804,A143))</f>
        <v>0</v>
      </c>
      <c r="S143" s="21">
        <f>IF(A143="","",ROUND(R143*IF(K143="",0,K143),2))</f>
        <v>0</v>
      </c>
      <c r="T143" s="21">
        <f>IF(A143="","",R143-S143)</f>
        <v>0</v>
      </c>
      <c r="U143" s="21">
        <f>IF(A143="","",ROUND(T143*TaxRate,2))</f>
        <v>0</v>
      </c>
      <c r="V143" s="21">
        <f>IF(A143="","",T143+U143)</f>
        <v>0</v>
      </c>
      <c r="W143" s="21">
        <f>IF(A143="","",SUMIFS(Payments!$G$5:$G$404,Payments!$D$5:$D$404,A143))</f>
        <v>0</v>
      </c>
      <c r="X143" s="21">
        <f>IF(A143="","",ROUND(V143-W143,2))</f>
        <v>0</v>
      </c>
      <c r="Y143" s="31">
        <f>IF(B143="","",IF(J143&lt;&gt;"",J143,IF(IFERROR(INDEX(Clients!$P$5:$P$204,MATCH(D143,Clients!$A$5:$A$204,0)),"")&lt;&gt;"",INDEX(Clients!$P$5:$P$204,MATCH(D143,Clients!$A$5:$A$204,0)),PaymentTerms)))</f>
        <v>0</v>
      </c>
      <c r="Z143" s="18">
        <f>IF(OR(A143="",B143=""),"",B143+Y143)</f>
        <v>0</v>
      </c>
      <c r="AA143" s="31">
        <f>IF(OR(A143="",Z143=""),"",IF(X143&lt;=0.004,"",MAX(0,TodayDate-Z143-OverdueGrace)))</f>
        <v>0</v>
      </c>
      <c r="AB143" s="39">
        <f>IF(B143="","",IF(X143&lt;=0.004,"Paid",IF(AA143="","Not due yet",IF(AA143=0,"Due now",IF(AA143&lt;=30,"1-30 days",IF(AA143&lt;=60,"31-60 days",IF(AA143&lt;=90,"61-90 days","90+ days")))))))</f>
        <v>0</v>
      </c>
      <c r="AC143" s="21">
        <f>IF(OR(A143="",AA143=""),"",IF(AA143&lt;=0,0,ROUND(X143*LateFeePercent,2)))</f>
        <v>0</v>
      </c>
      <c r="AD143" s="50">
        <f>IF(B143="","",IF(X143&lt;=0.004,"Yes","No"))</f>
        <v>0</v>
      </c>
      <c r="AE143" s="39">
        <f>IF(B143="","",IF(Q143=0,"Add - no lines on this invoice yet",IF(H143="Written off","Written off",IF(AD143="Yes","OK - paid",IF(H143="Draft","Draft - not sent yet",IF(AND(AA143&lt;&gt;"",AA143&gt;30),"Overdue - "&amp;AA143&amp;" days, call them",IF(AND(AA143&lt;&gt;"",AA143&gt;0),"Overdue - send a reminder",IF(W143&gt;0,"Part paid","Due - waiting for payment"))))))))</f>
        <v>0</v>
      </c>
    </row>
    <row r="144" spans="1:31">
      <c r="A144" s="43">
        <f>IF(B144="","",InvoicePrefix&amp;TEXT(ROW()-4,"0000"))</f>
        <v>0</v>
      </c>
      <c r="C144" s="23">
        <f>IF(B144="","",TEXT(B144,"yyyy-mm"))</f>
        <v>0</v>
      </c>
      <c r="E144" s="23">
        <f>IF(D144="","",IFERROR(INDEX(Clients!$B$5:$B$204,MATCH(D144,Clients!$A$5:$A$204,0)),"Not found"))</f>
        <v>0</v>
      </c>
      <c r="F144" s="23">
        <f>IF(D144="","",IFERROR(INDEX(Clients!$G$5:$G$204,MATCH(D144,Clients!$A$5:$A$204,0)),""))</f>
        <v>0</v>
      </c>
      <c r="Q144" s="31">
        <f>IF(A144="","",COUNTIFS('Invoice Lines'!$B$5:$B$804,A144))</f>
        <v>0</v>
      </c>
      <c r="R144" s="21">
        <f>IF(A144="","",SUMIFS('Invoice Lines'!$N$5:$N$804,'Invoice Lines'!$B$5:$B$804,A144))</f>
        <v>0</v>
      </c>
      <c r="S144" s="21">
        <f>IF(A144="","",ROUND(R144*IF(K144="",0,K144),2))</f>
        <v>0</v>
      </c>
      <c r="T144" s="21">
        <f>IF(A144="","",R144-S144)</f>
        <v>0</v>
      </c>
      <c r="U144" s="21">
        <f>IF(A144="","",ROUND(T144*TaxRate,2))</f>
        <v>0</v>
      </c>
      <c r="V144" s="21">
        <f>IF(A144="","",T144+U144)</f>
        <v>0</v>
      </c>
      <c r="W144" s="21">
        <f>IF(A144="","",SUMIFS(Payments!$G$5:$G$404,Payments!$D$5:$D$404,A144))</f>
        <v>0</v>
      </c>
      <c r="X144" s="21">
        <f>IF(A144="","",ROUND(V144-W144,2))</f>
        <v>0</v>
      </c>
      <c r="Y144" s="31">
        <f>IF(B144="","",IF(J144&lt;&gt;"",J144,IF(IFERROR(INDEX(Clients!$P$5:$P$204,MATCH(D144,Clients!$A$5:$A$204,0)),"")&lt;&gt;"",INDEX(Clients!$P$5:$P$204,MATCH(D144,Clients!$A$5:$A$204,0)),PaymentTerms)))</f>
        <v>0</v>
      </c>
      <c r="Z144" s="18">
        <f>IF(OR(A144="",B144=""),"",B144+Y144)</f>
        <v>0</v>
      </c>
      <c r="AA144" s="31">
        <f>IF(OR(A144="",Z144=""),"",IF(X144&lt;=0.004,"",MAX(0,TodayDate-Z144-OverdueGrace)))</f>
        <v>0</v>
      </c>
      <c r="AB144" s="39">
        <f>IF(B144="","",IF(X144&lt;=0.004,"Paid",IF(AA144="","Not due yet",IF(AA144=0,"Due now",IF(AA144&lt;=30,"1-30 days",IF(AA144&lt;=60,"31-60 days",IF(AA144&lt;=90,"61-90 days","90+ days")))))))</f>
        <v>0</v>
      </c>
      <c r="AC144" s="21">
        <f>IF(OR(A144="",AA144=""),"",IF(AA144&lt;=0,0,ROUND(X144*LateFeePercent,2)))</f>
        <v>0</v>
      </c>
      <c r="AD144" s="50">
        <f>IF(B144="","",IF(X144&lt;=0.004,"Yes","No"))</f>
        <v>0</v>
      </c>
      <c r="AE144" s="39">
        <f>IF(B144="","",IF(Q144=0,"Add - no lines on this invoice yet",IF(H144="Written off","Written off",IF(AD144="Yes","OK - paid",IF(H144="Draft","Draft - not sent yet",IF(AND(AA144&lt;&gt;"",AA144&gt;30),"Overdue - "&amp;AA144&amp;" days, call them",IF(AND(AA144&lt;&gt;"",AA144&gt;0),"Overdue - send a reminder",IF(W144&gt;0,"Part paid","Due - waiting for payment"))))))))</f>
        <v>0</v>
      </c>
    </row>
    <row r="145" spans="1:31">
      <c r="A145" s="43">
        <f>IF(B145="","",InvoicePrefix&amp;TEXT(ROW()-4,"0000"))</f>
        <v>0</v>
      </c>
      <c r="C145" s="23">
        <f>IF(B145="","",TEXT(B145,"yyyy-mm"))</f>
        <v>0</v>
      </c>
      <c r="E145" s="23">
        <f>IF(D145="","",IFERROR(INDEX(Clients!$B$5:$B$204,MATCH(D145,Clients!$A$5:$A$204,0)),"Not found"))</f>
        <v>0</v>
      </c>
      <c r="F145" s="23">
        <f>IF(D145="","",IFERROR(INDEX(Clients!$G$5:$G$204,MATCH(D145,Clients!$A$5:$A$204,0)),""))</f>
        <v>0</v>
      </c>
      <c r="Q145" s="31">
        <f>IF(A145="","",COUNTIFS('Invoice Lines'!$B$5:$B$804,A145))</f>
        <v>0</v>
      </c>
      <c r="R145" s="21">
        <f>IF(A145="","",SUMIFS('Invoice Lines'!$N$5:$N$804,'Invoice Lines'!$B$5:$B$804,A145))</f>
        <v>0</v>
      </c>
      <c r="S145" s="21">
        <f>IF(A145="","",ROUND(R145*IF(K145="",0,K145),2))</f>
        <v>0</v>
      </c>
      <c r="T145" s="21">
        <f>IF(A145="","",R145-S145)</f>
        <v>0</v>
      </c>
      <c r="U145" s="21">
        <f>IF(A145="","",ROUND(T145*TaxRate,2))</f>
        <v>0</v>
      </c>
      <c r="V145" s="21">
        <f>IF(A145="","",T145+U145)</f>
        <v>0</v>
      </c>
      <c r="W145" s="21">
        <f>IF(A145="","",SUMIFS(Payments!$G$5:$G$404,Payments!$D$5:$D$404,A145))</f>
        <v>0</v>
      </c>
      <c r="X145" s="21">
        <f>IF(A145="","",ROUND(V145-W145,2))</f>
        <v>0</v>
      </c>
      <c r="Y145" s="31">
        <f>IF(B145="","",IF(J145&lt;&gt;"",J145,IF(IFERROR(INDEX(Clients!$P$5:$P$204,MATCH(D145,Clients!$A$5:$A$204,0)),"")&lt;&gt;"",INDEX(Clients!$P$5:$P$204,MATCH(D145,Clients!$A$5:$A$204,0)),PaymentTerms)))</f>
        <v>0</v>
      </c>
      <c r="Z145" s="18">
        <f>IF(OR(A145="",B145=""),"",B145+Y145)</f>
        <v>0</v>
      </c>
      <c r="AA145" s="31">
        <f>IF(OR(A145="",Z145=""),"",IF(X145&lt;=0.004,"",MAX(0,TodayDate-Z145-OverdueGrace)))</f>
        <v>0</v>
      </c>
      <c r="AB145" s="39">
        <f>IF(B145="","",IF(X145&lt;=0.004,"Paid",IF(AA145="","Not due yet",IF(AA145=0,"Due now",IF(AA145&lt;=30,"1-30 days",IF(AA145&lt;=60,"31-60 days",IF(AA145&lt;=90,"61-90 days","90+ days")))))))</f>
        <v>0</v>
      </c>
      <c r="AC145" s="21">
        <f>IF(OR(A145="",AA145=""),"",IF(AA145&lt;=0,0,ROUND(X145*LateFeePercent,2)))</f>
        <v>0</v>
      </c>
      <c r="AD145" s="50">
        <f>IF(B145="","",IF(X145&lt;=0.004,"Yes","No"))</f>
        <v>0</v>
      </c>
      <c r="AE145" s="39">
        <f>IF(B145="","",IF(Q145=0,"Add - no lines on this invoice yet",IF(H145="Written off","Written off",IF(AD145="Yes","OK - paid",IF(H145="Draft","Draft - not sent yet",IF(AND(AA145&lt;&gt;"",AA145&gt;30),"Overdue - "&amp;AA145&amp;" days, call them",IF(AND(AA145&lt;&gt;"",AA145&gt;0),"Overdue - send a reminder",IF(W145&gt;0,"Part paid","Due - waiting for payment"))))))))</f>
        <v>0</v>
      </c>
    </row>
    <row r="146" spans="1:31">
      <c r="A146" s="43">
        <f>IF(B146="","",InvoicePrefix&amp;TEXT(ROW()-4,"0000"))</f>
        <v>0</v>
      </c>
      <c r="C146" s="23">
        <f>IF(B146="","",TEXT(B146,"yyyy-mm"))</f>
        <v>0</v>
      </c>
      <c r="E146" s="23">
        <f>IF(D146="","",IFERROR(INDEX(Clients!$B$5:$B$204,MATCH(D146,Clients!$A$5:$A$204,0)),"Not found"))</f>
        <v>0</v>
      </c>
      <c r="F146" s="23">
        <f>IF(D146="","",IFERROR(INDEX(Clients!$G$5:$G$204,MATCH(D146,Clients!$A$5:$A$204,0)),""))</f>
        <v>0</v>
      </c>
      <c r="Q146" s="31">
        <f>IF(A146="","",COUNTIFS('Invoice Lines'!$B$5:$B$804,A146))</f>
        <v>0</v>
      </c>
      <c r="R146" s="21">
        <f>IF(A146="","",SUMIFS('Invoice Lines'!$N$5:$N$804,'Invoice Lines'!$B$5:$B$804,A146))</f>
        <v>0</v>
      </c>
      <c r="S146" s="21">
        <f>IF(A146="","",ROUND(R146*IF(K146="",0,K146),2))</f>
        <v>0</v>
      </c>
      <c r="T146" s="21">
        <f>IF(A146="","",R146-S146)</f>
        <v>0</v>
      </c>
      <c r="U146" s="21">
        <f>IF(A146="","",ROUND(T146*TaxRate,2))</f>
        <v>0</v>
      </c>
      <c r="V146" s="21">
        <f>IF(A146="","",T146+U146)</f>
        <v>0</v>
      </c>
      <c r="W146" s="21">
        <f>IF(A146="","",SUMIFS(Payments!$G$5:$G$404,Payments!$D$5:$D$404,A146))</f>
        <v>0</v>
      </c>
      <c r="X146" s="21">
        <f>IF(A146="","",ROUND(V146-W146,2))</f>
        <v>0</v>
      </c>
      <c r="Y146" s="31">
        <f>IF(B146="","",IF(J146&lt;&gt;"",J146,IF(IFERROR(INDEX(Clients!$P$5:$P$204,MATCH(D146,Clients!$A$5:$A$204,0)),"")&lt;&gt;"",INDEX(Clients!$P$5:$P$204,MATCH(D146,Clients!$A$5:$A$204,0)),PaymentTerms)))</f>
        <v>0</v>
      </c>
      <c r="Z146" s="18">
        <f>IF(OR(A146="",B146=""),"",B146+Y146)</f>
        <v>0</v>
      </c>
      <c r="AA146" s="31">
        <f>IF(OR(A146="",Z146=""),"",IF(X146&lt;=0.004,"",MAX(0,TodayDate-Z146-OverdueGrace)))</f>
        <v>0</v>
      </c>
      <c r="AB146" s="39">
        <f>IF(B146="","",IF(X146&lt;=0.004,"Paid",IF(AA146="","Not due yet",IF(AA146=0,"Due now",IF(AA146&lt;=30,"1-30 days",IF(AA146&lt;=60,"31-60 days",IF(AA146&lt;=90,"61-90 days","90+ days")))))))</f>
        <v>0</v>
      </c>
      <c r="AC146" s="21">
        <f>IF(OR(A146="",AA146=""),"",IF(AA146&lt;=0,0,ROUND(X146*LateFeePercent,2)))</f>
        <v>0</v>
      </c>
      <c r="AD146" s="50">
        <f>IF(B146="","",IF(X146&lt;=0.004,"Yes","No"))</f>
        <v>0</v>
      </c>
      <c r="AE146" s="39">
        <f>IF(B146="","",IF(Q146=0,"Add - no lines on this invoice yet",IF(H146="Written off","Written off",IF(AD146="Yes","OK - paid",IF(H146="Draft","Draft - not sent yet",IF(AND(AA146&lt;&gt;"",AA146&gt;30),"Overdue - "&amp;AA146&amp;" days, call them",IF(AND(AA146&lt;&gt;"",AA146&gt;0),"Overdue - send a reminder",IF(W146&gt;0,"Part paid","Due - waiting for payment"))))))))</f>
        <v>0</v>
      </c>
    </row>
    <row r="147" spans="1:31">
      <c r="A147" s="43">
        <f>IF(B147="","",InvoicePrefix&amp;TEXT(ROW()-4,"0000"))</f>
        <v>0</v>
      </c>
      <c r="C147" s="23">
        <f>IF(B147="","",TEXT(B147,"yyyy-mm"))</f>
        <v>0</v>
      </c>
      <c r="E147" s="23">
        <f>IF(D147="","",IFERROR(INDEX(Clients!$B$5:$B$204,MATCH(D147,Clients!$A$5:$A$204,0)),"Not found"))</f>
        <v>0</v>
      </c>
      <c r="F147" s="23">
        <f>IF(D147="","",IFERROR(INDEX(Clients!$G$5:$G$204,MATCH(D147,Clients!$A$5:$A$204,0)),""))</f>
        <v>0</v>
      </c>
      <c r="Q147" s="31">
        <f>IF(A147="","",COUNTIFS('Invoice Lines'!$B$5:$B$804,A147))</f>
        <v>0</v>
      </c>
      <c r="R147" s="21">
        <f>IF(A147="","",SUMIFS('Invoice Lines'!$N$5:$N$804,'Invoice Lines'!$B$5:$B$804,A147))</f>
        <v>0</v>
      </c>
      <c r="S147" s="21">
        <f>IF(A147="","",ROUND(R147*IF(K147="",0,K147),2))</f>
        <v>0</v>
      </c>
      <c r="T147" s="21">
        <f>IF(A147="","",R147-S147)</f>
        <v>0</v>
      </c>
      <c r="U147" s="21">
        <f>IF(A147="","",ROUND(T147*TaxRate,2))</f>
        <v>0</v>
      </c>
      <c r="V147" s="21">
        <f>IF(A147="","",T147+U147)</f>
        <v>0</v>
      </c>
      <c r="W147" s="21">
        <f>IF(A147="","",SUMIFS(Payments!$G$5:$G$404,Payments!$D$5:$D$404,A147))</f>
        <v>0</v>
      </c>
      <c r="X147" s="21">
        <f>IF(A147="","",ROUND(V147-W147,2))</f>
        <v>0</v>
      </c>
      <c r="Y147" s="31">
        <f>IF(B147="","",IF(J147&lt;&gt;"",J147,IF(IFERROR(INDEX(Clients!$P$5:$P$204,MATCH(D147,Clients!$A$5:$A$204,0)),"")&lt;&gt;"",INDEX(Clients!$P$5:$P$204,MATCH(D147,Clients!$A$5:$A$204,0)),PaymentTerms)))</f>
        <v>0</v>
      </c>
      <c r="Z147" s="18">
        <f>IF(OR(A147="",B147=""),"",B147+Y147)</f>
        <v>0</v>
      </c>
      <c r="AA147" s="31">
        <f>IF(OR(A147="",Z147=""),"",IF(X147&lt;=0.004,"",MAX(0,TodayDate-Z147-OverdueGrace)))</f>
        <v>0</v>
      </c>
      <c r="AB147" s="39">
        <f>IF(B147="","",IF(X147&lt;=0.004,"Paid",IF(AA147="","Not due yet",IF(AA147=0,"Due now",IF(AA147&lt;=30,"1-30 days",IF(AA147&lt;=60,"31-60 days",IF(AA147&lt;=90,"61-90 days","90+ days")))))))</f>
        <v>0</v>
      </c>
      <c r="AC147" s="21">
        <f>IF(OR(A147="",AA147=""),"",IF(AA147&lt;=0,0,ROUND(X147*LateFeePercent,2)))</f>
        <v>0</v>
      </c>
      <c r="AD147" s="50">
        <f>IF(B147="","",IF(X147&lt;=0.004,"Yes","No"))</f>
        <v>0</v>
      </c>
      <c r="AE147" s="39">
        <f>IF(B147="","",IF(Q147=0,"Add - no lines on this invoice yet",IF(H147="Written off","Written off",IF(AD147="Yes","OK - paid",IF(H147="Draft","Draft - not sent yet",IF(AND(AA147&lt;&gt;"",AA147&gt;30),"Overdue - "&amp;AA147&amp;" days, call them",IF(AND(AA147&lt;&gt;"",AA147&gt;0),"Overdue - send a reminder",IF(W147&gt;0,"Part paid","Due - waiting for payment"))))))))</f>
        <v>0</v>
      </c>
    </row>
    <row r="148" spans="1:31">
      <c r="A148" s="43">
        <f>IF(B148="","",InvoicePrefix&amp;TEXT(ROW()-4,"0000"))</f>
        <v>0</v>
      </c>
      <c r="C148" s="23">
        <f>IF(B148="","",TEXT(B148,"yyyy-mm"))</f>
        <v>0</v>
      </c>
      <c r="E148" s="23">
        <f>IF(D148="","",IFERROR(INDEX(Clients!$B$5:$B$204,MATCH(D148,Clients!$A$5:$A$204,0)),"Not found"))</f>
        <v>0</v>
      </c>
      <c r="F148" s="23">
        <f>IF(D148="","",IFERROR(INDEX(Clients!$G$5:$G$204,MATCH(D148,Clients!$A$5:$A$204,0)),""))</f>
        <v>0</v>
      </c>
      <c r="Q148" s="31">
        <f>IF(A148="","",COUNTIFS('Invoice Lines'!$B$5:$B$804,A148))</f>
        <v>0</v>
      </c>
      <c r="R148" s="21">
        <f>IF(A148="","",SUMIFS('Invoice Lines'!$N$5:$N$804,'Invoice Lines'!$B$5:$B$804,A148))</f>
        <v>0</v>
      </c>
      <c r="S148" s="21">
        <f>IF(A148="","",ROUND(R148*IF(K148="",0,K148),2))</f>
        <v>0</v>
      </c>
      <c r="T148" s="21">
        <f>IF(A148="","",R148-S148)</f>
        <v>0</v>
      </c>
      <c r="U148" s="21">
        <f>IF(A148="","",ROUND(T148*TaxRate,2))</f>
        <v>0</v>
      </c>
      <c r="V148" s="21">
        <f>IF(A148="","",T148+U148)</f>
        <v>0</v>
      </c>
      <c r="W148" s="21">
        <f>IF(A148="","",SUMIFS(Payments!$G$5:$G$404,Payments!$D$5:$D$404,A148))</f>
        <v>0</v>
      </c>
      <c r="X148" s="21">
        <f>IF(A148="","",ROUND(V148-W148,2))</f>
        <v>0</v>
      </c>
      <c r="Y148" s="31">
        <f>IF(B148="","",IF(J148&lt;&gt;"",J148,IF(IFERROR(INDEX(Clients!$P$5:$P$204,MATCH(D148,Clients!$A$5:$A$204,0)),"")&lt;&gt;"",INDEX(Clients!$P$5:$P$204,MATCH(D148,Clients!$A$5:$A$204,0)),PaymentTerms)))</f>
        <v>0</v>
      </c>
      <c r="Z148" s="18">
        <f>IF(OR(A148="",B148=""),"",B148+Y148)</f>
        <v>0</v>
      </c>
      <c r="AA148" s="31">
        <f>IF(OR(A148="",Z148=""),"",IF(X148&lt;=0.004,"",MAX(0,TodayDate-Z148-OverdueGrace)))</f>
        <v>0</v>
      </c>
      <c r="AB148" s="39">
        <f>IF(B148="","",IF(X148&lt;=0.004,"Paid",IF(AA148="","Not due yet",IF(AA148=0,"Due now",IF(AA148&lt;=30,"1-30 days",IF(AA148&lt;=60,"31-60 days",IF(AA148&lt;=90,"61-90 days","90+ days")))))))</f>
        <v>0</v>
      </c>
      <c r="AC148" s="21">
        <f>IF(OR(A148="",AA148=""),"",IF(AA148&lt;=0,0,ROUND(X148*LateFeePercent,2)))</f>
        <v>0</v>
      </c>
      <c r="AD148" s="50">
        <f>IF(B148="","",IF(X148&lt;=0.004,"Yes","No"))</f>
        <v>0</v>
      </c>
      <c r="AE148" s="39">
        <f>IF(B148="","",IF(Q148=0,"Add - no lines on this invoice yet",IF(H148="Written off","Written off",IF(AD148="Yes","OK - paid",IF(H148="Draft","Draft - not sent yet",IF(AND(AA148&lt;&gt;"",AA148&gt;30),"Overdue - "&amp;AA148&amp;" days, call them",IF(AND(AA148&lt;&gt;"",AA148&gt;0),"Overdue - send a reminder",IF(W148&gt;0,"Part paid","Due - waiting for payment"))))))))</f>
        <v>0</v>
      </c>
    </row>
    <row r="149" spans="1:31">
      <c r="A149" s="43">
        <f>IF(B149="","",InvoicePrefix&amp;TEXT(ROW()-4,"0000"))</f>
        <v>0</v>
      </c>
      <c r="C149" s="23">
        <f>IF(B149="","",TEXT(B149,"yyyy-mm"))</f>
        <v>0</v>
      </c>
      <c r="E149" s="23">
        <f>IF(D149="","",IFERROR(INDEX(Clients!$B$5:$B$204,MATCH(D149,Clients!$A$5:$A$204,0)),"Not found"))</f>
        <v>0</v>
      </c>
      <c r="F149" s="23">
        <f>IF(D149="","",IFERROR(INDEX(Clients!$G$5:$G$204,MATCH(D149,Clients!$A$5:$A$204,0)),""))</f>
        <v>0</v>
      </c>
      <c r="Q149" s="31">
        <f>IF(A149="","",COUNTIFS('Invoice Lines'!$B$5:$B$804,A149))</f>
        <v>0</v>
      </c>
      <c r="R149" s="21">
        <f>IF(A149="","",SUMIFS('Invoice Lines'!$N$5:$N$804,'Invoice Lines'!$B$5:$B$804,A149))</f>
        <v>0</v>
      </c>
      <c r="S149" s="21">
        <f>IF(A149="","",ROUND(R149*IF(K149="",0,K149),2))</f>
        <v>0</v>
      </c>
      <c r="T149" s="21">
        <f>IF(A149="","",R149-S149)</f>
        <v>0</v>
      </c>
      <c r="U149" s="21">
        <f>IF(A149="","",ROUND(T149*TaxRate,2))</f>
        <v>0</v>
      </c>
      <c r="V149" s="21">
        <f>IF(A149="","",T149+U149)</f>
        <v>0</v>
      </c>
      <c r="W149" s="21">
        <f>IF(A149="","",SUMIFS(Payments!$G$5:$G$404,Payments!$D$5:$D$404,A149))</f>
        <v>0</v>
      </c>
      <c r="X149" s="21">
        <f>IF(A149="","",ROUND(V149-W149,2))</f>
        <v>0</v>
      </c>
      <c r="Y149" s="31">
        <f>IF(B149="","",IF(J149&lt;&gt;"",J149,IF(IFERROR(INDEX(Clients!$P$5:$P$204,MATCH(D149,Clients!$A$5:$A$204,0)),"")&lt;&gt;"",INDEX(Clients!$P$5:$P$204,MATCH(D149,Clients!$A$5:$A$204,0)),PaymentTerms)))</f>
        <v>0</v>
      </c>
      <c r="Z149" s="18">
        <f>IF(OR(A149="",B149=""),"",B149+Y149)</f>
        <v>0</v>
      </c>
      <c r="AA149" s="31">
        <f>IF(OR(A149="",Z149=""),"",IF(X149&lt;=0.004,"",MAX(0,TodayDate-Z149-OverdueGrace)))</f>
        <v>0</v>
      </c>
      <c r="AB149" s="39">
        <f>IF(B149="","",IF(X149&lt;=0.004,"Paid",IF(AA149="","Not due yet",IF(AA149=0,"Due now",IF(AA149&lt;=30,"1-30 days",IF(AA149&lt;=60,"31-60 days",IF(AA149&lt;=90,"61-90 days","90+ days")))))))</f>
        <v>0</v>
      </c>
      <c r="AC149" s="21">
        <f>IF(OR(A149="",AA149=""),"",IF(AA149&lt;=0,0,ROUND(X149*LateFeePercent,2)))</f>
        <v>0</v>
      </c>
      <c r="AD149" s="50">
        <f>IF(B149="","",IF(X149&lt;=0.004,"Yes","No"))</f>
        <v>0</v>
      </c>
      <c r="AE149" s="39">
        <f>IF(B149="","",IF(Q149=0,"Add - no lines on this invoice yet",IF(H149="Written off","Written off",IF(AD149="Yes","OK - paid",IF(H149="Draft","Draft - not sent yet",IF(AND(AA149&lt;&gt;"",AA149&gt;30),"Overdue - "&amp;AA149&amp;" days, call them",IF(AND(AA149&lt;&gt;"",AA149&gt;0),"Overdue - send a reminder",IF(W149&gt;0,"Part paid","Due - waiting for payment"))))))))</f>
        <v>0</v>
      </c>
    </row>
    <row r="150" spans="1:31">
      <c r="A150" s="43">
        <f>IF(B150="","",InvoicePrefix&amp;TEXT(ROW()-4,"0000"))</f>
        <v>0</v>
      </c>
      <c r="C150" s="23">
        <f>IF(B150="","",TEXT(B150,"yyyy-mm"))</f>
        <v>0</v>
      </c>
      <c r="E150" s="23">
        <f>IF(D150="","",IFERROR(INDEX(Clients!$B$5:$B$204,MATCH(D150,Clients!$A$5:$A$204,0)),"Not found"))</f>
        <v>0</v>
      </c>
      <c r="F150" s="23">
        <f>IF(D150="","",IFERROR(INDEX(Clients!$G$5:$G$204,MATCH(D150,Clients!$A$5:$A$204,0)),""))</f>
        <v>0</v>
      </c>
      <c r="Q150" s="31">
        <f>IF(A150="","",COUNTIFS('Invoice Lines'!$B$5:$B$804,A150))</f>
        <v>0</v>
      </c>
      <c r="R150" s="21">
        <f>IF(A150="","",SUMIFS('Invoice Lines'!$N$5:$N$804,'Invoice Lines'!$B$5:$B$804,A150))</f>
        <v>0</v>
      </c>
      <c r="S150" s="21">
        <f>IF(A150="","",ROUND(R150*IF(K150="",0,K150),2))</f>
        <v>0</v>
      </c>
      <c r="T150" s="21">
        <f>IF(A150="","",R150-S150)</f>
        <v>0</v>
      </c>
      <c r="U150" s="21">
        <f>IF(A150="","",ROUND(T150*TaxRate,2))</f>
        <v>0</v>
      </c>
      <c r="V150" s="21">
        <f>IF(A150="","",T150+U150)</f>
        <v>0</v>
      </c>
      <c r="W150" s="21">
        <f>IF(A150="","",SUMIFS(Payments!$G$5:$G$404,Payments!$D$5:$D$404,A150))</f>
        <v>0</v>
      </c>
      <c r="X150" s="21">
        <f>IF(A150="","",ROUND(V150-W150,2))</f>
        <v>0</v>
      </c>
      <c r="Y150" s="31">
        <f>IF(B150="","",IF(J150&lt;&gt;"",J150,IF(IFERROR(INDEX(Clients!$P$5:$P$204,MATCH(D150,Clients!$A$5:$A$204,0)),"")&lt;&gt;"",INDEX(Clients!$P$5:$P$204,MATCH(D150,Clients!$A$5:$A$204,0)),PaymentTerms)))</f>
        <v>0</v>
      </c>
      <c r="Z150" s="18">
        <f>IF(OR(A150="",B150=""),"",B150+Y150)</f>
        <v>0</v>
      </c>
      <c r="AA150" s="31">
        <f>IF(OR(A150="",Z150=""),"",IF(X150&lt;=0.004,"",MAX(0,TodayDate-Z150-OverdueGrace)))</f>
        <v>0</v>
      </c>
      <c r="AB150" s="39">
        <f>IF(B150="","",IF(X150&lt;=0.004,"Paid",IF(AA150="","Not due yet",IF(AA150=0,"Due now",IF(AA150&lt;=30,"1-30 days",IF(AA150&lt;=60,"31-60 days",IF(AA150&lt;=90,"61-90 days","90+ days")))))))</f>
        <v>0</v>
      </c>
      <c r="AC150" s="21">
        <f>IF(OR(A150="",AA150=""),"",IF(AA150&lt;=0,0,ROUND(X150*LateFeePercent,2)))</f>
        <v>0</v>
      </c>
      <c r="AD150" s="50">
        <f>IF(B150="","",IF(X150&lt;=0.004,"Yes","No"))</f>
        <v>0</v>
      </c>
      <c r="AE150" s="39">
        <f>IF(B150="","",IF(Q150=0,"Add - no lines on this invoice yet",IF(H150="Written off","Written off",IF(AD150="Yes","OK - paid",IF(H150="Draft","Draft - not sent yet",IF(AND(AA150&lt;&gt;"",AA150&gt;30),"Overdue - "&amp;AA150&amp;" days, call them",IF(AND(AA150&lt;&gt;"",AA150&gt;0),"Overdue - send a reminder",IF(W150&gt;0,"Part paid","Due - waiting for payment"))))))))</f>
        <v>0</v>
      </c>
    </row>
    <row r="151" spans="1:31">
      <c r="A151" s="43">
        <f>IF(B151="","",InvoicePrefix&amp;TEXT(ROW()-4,"0000"))</f>
        <v>0</v>
      </c>
      <c r="C151" s="23">
        <f>IF(B151="","",TEXT(B151,"yyyy-mm"))</f>
        <v>0</v>
      </c>
      <c r="E151" s="23">
        <f>IF(D151="","",IFERROR(INDEX(Clients!$B$5:$B$204,MATCH(D151,Clients!$A$5:$A$204,0)),"Not found"))</f>
        <v>0</v>
      </c>
      <c r="F151" s="23">
        <f>IF(D151="","",IFERROR(INDEX(Clients!$G$5:$G$204,MATCH(D151,Clients!$A$5:$A$204,0)),""))</f>
        <v>0</v>
      </c>
      <c r="Q151" s="31">
        <f>IF(A151="","",COUNTIFS('Invoice Lines'!$B$5:$B$804,A151))</f>
        <v>0</v>
      </c>
      <c r="R151" s="21">
        <f>IF(A151="","",SUMIFS('Invoice Lines'!$N$5:$N$804,'Invoice Lines'!$B$5:$B$804,A151))</f>
        <v>0</v>
      </c>
      <c r="S151" s="21">
        <f>IF(A151="","",ROUND(R151*IF(K151="",0,K151),2))</f>
        <v>0</v>
      </c>
      <c r="T151" s="21">
        <f>IF(A151="","",R151-S151)</f>
        <v>0</v>
      </c>
      <c r="U151" s="21">
        <f>IF(A151="","",ROUND(T151*TaxRate,2))</f>
        <v>0</v>
      </c>
      <c r="V151" s="21">
        <f>IF(A151="","",T151+U151)</f>
        <v>0</v>
      </c>
      <c r="W151" s="21">
        <f>IF(A151="","",SUMIFS(Payments!$G$5:$G$404,Payments!$D$5:$D$404,A151))</f>
        <v>0</v>
      </c>
      <c r="X151" s="21">
        <f>IF(A151="","",ROUND(V151-W151,2))</f>
        <v>0</v>
      </c>
      <c r="Y151" s="31">
        <f>IF(B151="","",IF(J151&lt;&gt;"",J151,IF(IFERROR(INDEX(Clients!$P$5:$P$204,MATCH(D151,Clients!$A$5:$A$204,0)),"")&lt;&gt;"",INDEX(Clients!$P$5:$P$204,MATCH(D151,Clients!$A$5:$A$204,0)),PaymentTerms)))</f>
        <v>0</v>
      </c>
      <c r="Z151" s="18">
        <f>IF(OR(A151="",B151=""),"",B151+Y151)</f>
        <v>0</v>
      </c>
      <c r="AA151" s="31">
        <f>IF(OR(A151="",Z151=""),"",IF(X151&lt;=0.004,"",MAX(0,TodayDate-Z151-OverdueGrace)))</f>
        <v>0</v>
      </c>
      <c r="AB151" s="39">
        <f>IF(B151="","",IF(X151&lt;=0.004,"Paid",IF(AA151="","Not due yet",IF(AA151=0,"Due now",IF(AA151&lt;=30,"1-30 days",IF(AA151&lt;=60,"31-60 days",IF(AA151&lt;=90,"61-90 days","90+ days")))))))</f>
        <v>0</v>
      </c>
      <c r="AC151" s="21">
        <f>IF(OR(A151="",AA151=""),"",IF(AA151&lt;=0,0,ROUND(X151*LateFeePercent,2)))</f>
        <v>0</v>
      </c>
      <c r="AD151" s="50">
        <f>IF(B151="","",IF(X151&lt;=0.004,"Yes","No"))</f>
        <v>0</v>
      </c>
      <c r="AE151" s="39">
        <f>IF(B151="","",IF(Q151=0,"Add - no lines on this invoice yet",IF(H151="Written off","Written off",IF(AD151="Yes","OK - paid",IF(H151="Draft","Draft - not sent yet",IF(AND(AA151&lt;&gt;"",AA151&gt;30),"Overdue - "&amp;AA151&amp;" days, call them",IF(AND(AA151&lt;&gt;"",AA151&gt;0),"Overdue - send a reminder",IF(W151&gt;0,"Part paid","Due - waiting for payment"))))))))</f>
        <v>0</v>
      </c>
    </row>
    <row r="152" spans="1:31">
      <c r="A152" s="43">
        <f>IF(B152="","",InvoicePrefix&amp;TEXT(ROW()-4,"0000"))</f>
        <v>0</v>
      </c>
      <c r="C152" s="23">
        <f>IF(B152="","",TEXT(B152,"yyyy-mm"))</f>
        <v>0</v>
      </c>
      <c r="E152" s="23">
        <f>IF(D152="","",IFERROR(INDEX(Clients!$B$5:$B$204,MATCH(D152,Clients!$A$5:$A$204,0)),"Not found"))</f>
        <v>0</v>
      </c>
      <c r="F152" s="23">
        <f>IF(D152="","",IFERROR(INDEX(Clients!$G$5:$G$204,MATCH(D152,Clients!$A$5:$A$204,0)),""))</f>
        <v>0</v>
      </c>
      <c r="Q152" s="31">
        <f>IF(A152="","",COUNTIFS('Invoice Lines'!$B$5:$B$804,A152))</f>
        <v>0</v>
      </c>
      <c r="R152" s="21">
        <f>IF(A152="","",SUMIFS('Invoice Lines'!$N$5:$N$804,'Invoice Lines'!$B$5:$B$804,A152))</f>
        <v>0</v>
      </c>
      <c r="S152" s="21">
        <f>IF(A152="","",ROUND(R152*IF(K152="",0,K152),2))</f>
        <v>0</v>
      </c>
      <c r="T152" s="21">
        <f>IF(A152="","",R152-S152)</f>
        <v>0</v>
      </c>
      <c r="U152" s="21">
        <f>IF(A152="","",ROUND(T152*TaxRate,2))</f>
        <v>0</v>
      </c>
      <c r="V152" s="21">
        <f>IF(A152="","",T152+U152)</f>
        <v>0</v>
      </c>
      <c r="W152" s="21">
        <f>IF(A152="","",SUMIFS(Payments!$G$5:$G$404,Payments!$D$5:$D$404,A152))</f>
        <v>0</v>
      </c>
      <c r="X152" s="21">
        <f>IF(A152="","",ROUND(V152-W152,2))</f>
        <v>0</v>
      </c>
      <c r="Y152" s="31">
        <f>IF(B152="","",IF(J152&lt;&gt;"",J152,IF(IFERROR(INDEX(Clients!$P$5:$P$204,MATCH(D152,Clients!$A$5:$A$204,0)),"")&lt;&gt;"",INDEX(Clients!$P$5:$P$204,MATCH(D152,Clients!$A$5:$A$204,0)),PaymentTerms)))</f>
        <v>0</v>
      </c>
      <c r="Z152" s="18">
        <f>IF(OR(A152="",B152=""),"",B152+Y152)</f>
        <v>0</v>
      </c>
      <c r="AA152" s="31">
        <f>IF(OR(A152="",Z152=""),"",IF(X152&lt;=0.004,"",MAX(0,TodayDate-Z152-OverdueGrace)))</f>
        <v>0</v>
      </c>
      <c r="AB152" s="39">
        <f>IF(B152="","",IF(X152&lt;=0.004,"Paid",IF(AA152="","Not due yet",IF(AA152=0,"Due now",IF(AA152&lt;=30,"1-30 days",IF(AA152&lt;=60,"31-60 days",IF(AA152&lt;=90,"61-90 days","90+ days")))))))</f>
        <v>0</v>
      </c>
      <c r="AC152" s="21">
        <f>IF(OR(A152="",AA152=""),"",IF(AA152&lt;=0,0,ROUND(X152*LateFeePercent,2)))</f>
        <v>0</v>
      </c>
      <c r="AD152" s="50">
        <f>IF(B152="","",IF(X152&lt;=0.004,"Yes","No"))</f>
        <v>0</v>
      </c>
      <c r="AE152" s="39">
        <f>IF(B152="","",IF(Q152=0,"Add - no lines on this invoice yet",IF(H152="Written off","Written off",IF(AD152="Yes","OK - paid",IF(H152="Draft","Draft - not sent yet",IF(AND(AA152&lt;&gt;"",AA152&gt;30),"Overdue - "&amp;AA152&amp;" days, call them",IF(AND(AA152&lt;&gt;"",AA152&gt;0),"Overdue - send a reminder",IF(W152&gt;0,"Part paid","Due - waiting for payment"))))))))</f>
        <v>0</v>
      </c>
    </row>
    <row r="153" spans="1:31">
      <c r="A153" s="43">
        <f>IF(B153="","",InvoicePrefix&amp;TEXT(ROW()-4,"0000"))</f>
        <v>0</v>
      </c>
      <c r="C153" s="23">
        <f>IF(B153="","",TEXT(B153,"yyyy-mm"))</f>
        <v>0</v>
      </c>
      <c r="E153" s="23">
        <f>IF(D153="","",IFERROR(INDEX(Clients!$B$5:$B$204,MATCH(D153,Clients!$A$5:$A$204,0)),"Not found"))</f>
        <v>0</v>
      </c>
      <c r="F153" s="23">
        <f>IF(D153="","",IFERROR(INDEX(Clients!$G$5:$G$204,MATCH(D153,Clients!$A$5:$A$204,0)),""))</f>
        <v>0</v>
      </c>
      <c r="Q153" s="31">
        <f>IF(A153="","",COUNTIFS('Invoice Lines'!$B$5:$B$804,A153))</f>
        <v>0</v>
      </c>
      <c r="R153" s="21">
        <f>IF(A153="","",SUMIFS('Invoice Lines'!$N$5:$N$804,'Invoice Lines'!$B$5:$B$804,A153))</f>
        <v>0</v>
      </c>
      <c r="S153" s="21">
        <f>IF(A153="","",ROUND(R153*IF(K153="",0,K153),2))</f>
        <v>0</v>
      </c>
      <c r="T153" s="21">
        <f>IF(A153="","",R153-S153)</f>
        <v>0</v>
      </c>
      <c r="U153" s="21">
        <f>IF(A153="","",ROUND(T153*TaxRate,2))</f>
        <v>0</v>
      </c>
      <c r="V153" s="21">
        <f>IF(A153="","",T153+U153)</f>
        <v>0</v>
      </c>
      <c r="W153" s="21">
        <f>IF(A153="","",SUMIFS(Payments!$G$5:$G$404,Payments!$D$5:$D$404,A153))</f>
        <v>0</v>
      </c>
      <c r="X153" s="21">
        <f>IF(A153="","",ROUND(V153-W153,2))</f>
        <v>0</v>
      </c>
      <c r="Y153" s="31">
        <f>IF(B153="","",IF(J153&lt;&gt;"",J153,IF(IFERROR(INDEX(Clients!$P$5:$P$204,MATCH(D153,Clients!$A$5:$A$204,0)),"")&lt;&gt;"",INDEX(Clients!$P$5:$P$204,MATCH(D153,Clients!$A$5:$A$204,0)),PaymentTerms)))</f>
        <v>0</v>
      </c>
      <c r="Z153" s="18">
        <f>IF(OR(A153="",B153=""),"",B153+Y153)</f>
        <v>0</v>
      </c>
      <c r="AA153" s="31">
        <f>IF(OR(A153="",Z153=""),"",IF(X153&lt;=0.004,"",MAX(0,TodayDate-Z153-OverdueGrace)))</f>
        <v>0</v>
      </c>
      <c r="AB153" s="39">
        <f>IF(B153="","",IF(X153&lt;=0.004,"Paid",IF(AA153="","Not due yet",IF(AA153=0,"Due now",IF(AA153&lt;=30,"1-30 days",IF(AA153&lt;=60,"31-60 days",IF(AA153&lt;=90,"61-90 days","90+ days")))))))</f>
        <v>0</v>
      </c>
      <c r="AC153" s="21">
        <f>IF(OR(A153="",AA153=""),"",IF(AA153&lt;=0,0,ROUND(X153*LateFeePercent,2)))</f>
        <v>0</v>
      </c>
      <c r="AD153" s="50">
        <f>IF(B153="","",IF(X153&lt;=0.004,"Yes","No"))</f>
        <v>0</v>
      </c>
      <c r="AE153" s="39">
        <f>IF(B153="","",IF(Q153=0,"Add - no lines on this invoice yet",IF(H153="Written off","Written off",IF(AD153="Yes","OK - paid",IF(H153="Draft","Draft - not sent yet",IF(AND(AA153&lt;&gt;"",AA153&gt;30),"Overdue - "&amp;AA153&amp;" days, call them",IF(AND(AA153&lt;&gt;"",AA153&gt;0),"Overdue - send a reminder",IF(W153&gt;0,"Part paid","Due - waiting for payment"))))))))</f>
        <v>0</v>
      </c>
    </row>
    <row r="154" spans="1:31">
      <c r="A154" s="43">
        <f>IF(B154="","",InvoicePrefix&amp;TEXT(ROW()-4,"0000"))</f>
        <v>0</v>
      </c>
      <c r="C154" s="23">
        <f>IF(B154="","",TEXT(B154,"yyyy-mm"))</f>
        <v>0</v>
      </c>
      <c r="E154" s="23">
        <f>IF(D154="","",IFERROR(INDEX(Clients!$B$5:$B$204,MATCH(D154,Clients!$A$5:$A$204,0)),"Not found"))</f>
        <v>0</v>
      </c>
      <c r="F154" s="23">
        <f>IF(D154="","",IFERROR(INDEX(Clients!$G$5:$G$204,MATCH(D154,Clients!$A$5:$A$204,0)),""))</f>
        <v>0</v>
      </c>
      <c r="Q154" s="31">
        <f>IF(A154="","",COUNTIFS('Invoice Lines'!$B$5:$B$804,A154))</f>
        <v>0</v>
      </c>
      <c r="R154" s="21">
        <f>IF(A154="","",SUMIFS('Invoice Lines'!$N$5:$N$804,'Invoice Lines'!$B$5:$B$804,A154))</f>
        <v>0</v>
      </c>
      <c r="S154" s="21">
        <f>IF(A154="","",ROUND(R154*IF(K154="",0,K154),2))</f>
        <v>0</v>
      </c>
      <c r="T154" s="21">
        <f>IF(A154="","",R154-S154)</f>
        <v>0</v>
      </c>
      <c r="U154" s="21">
        <f>IF(A154="","",ROUND(T154*TaxRate,2))</f>
        <v>0</v>
      </c>
      <c r="V154" s="21">
        <f>IF(A154="","",T154+U154)</f>
        <v>0</v>
      </c>
      <c r="W154" s="21">
        <f>IF(A154="","",SUMIFS(Payments!$G$5:$G$404,Payments!$D$5:$D$404,A154))</f>
        <v>0</v>
      </c>
      <c r="X154" s="21">
        <f>IF(A154="","",ROUND(V154-W154,2))</f>
        <v>0</v>
      </c>
      <c r="Y154" s="31">
        <f>IF(B154="","",IF(J154&lt;&gt;"",J154,IF(IFERROR(INDEX(Clients!$P$5:$P$204,MATCH(D154,Clients!$A$5:$A$204,0)),"")&lt;&gt;"",INDEX(Clients!$P$5:$P$204,MATCH(D154,Clients!$A$5:$A$204,0)),PaymentTerms)))</f>
        <v>0</v>
      </c>
      <c r="Z154" s="18">
        <f>IF(OR(A154="",B154=""),"",B154+Y154)</f>
        <v>0</v>
      </c>
      <c r="AA154" s="31">
        <f>IF(OR(A154="",Z154=""),"",IF(X154&lt;=0.004,"",MAX(0,TodayDate-Z154-OverdueGrace)))</f>
        <v>0</v>
      </c>
      <c r="AB154" s="39">
        <f>IF(B154="","",IF(X154&lt;=0.004,"Paid",IF(AA154="","Not due yet",IF(AA154=0,"Due now",IF(AA154&lt;=30,"1-30 days",IF(AA154&lt;=60,"31-60 days",IF(AA154&lt;=90,"61-90 days","90+ days")))))))</f>
        <v>0</v>
      </c>
      <c r="AC154" s="21">
        <f>IF(OR(A154="",AA154=""),"",IF(AA154&lt;=0,0,ROUND(X154*LateFeePercent,2)))</f>
        <v>0</v>
      </c>
      <c r="AD154" s="50">
        <f>IF(B154="","",IF(X154&lt;=0.004,"Yes","No"))</f>
        <v>0</v>
      </c>
      <c r="AE154" s="39">
        <f>IF(B154="","",IF(Q154=0,"Add - no lines on this invoice yet",IF(H154="Written off","Written off",IF(AD154="Yes","OK - paid",IF(H154="Draft","Draft - not sent yet",IF(AND(AA154&lt;&gt;"",AA154&gt;30),"Overdue - "&amp;AA154&amp;" days, call them",IF(AND(AA154&lt;&gt;"",AA154&gt;0),"Overdue - send a reminder",IF(W154&gt;0,"Part paid","Due - waiting for payment"))))))))</f>
        <v>0</v>
      </c>
    </row>
    <row r="155" spans="1:31">
      <c r="A155" s="43">
        <f>IF(B155="","",InvoicePrefix&amp;TEXT(ROW()-4,"0000"))</f>
        <v>0</v>
      </c>
      <c r="C155" s="23">
        <f>IF(B155="","",TEXT(B155,"yyyy-mm"))</f>
        <v>0</v>
      </c>
      <c r="E155" s="23">
        <f>IF(D155="","",IFERROR(INDEX(Clients!$B$5:$B$204,MATCH(D155,Clients!$A$5:$A$204,0)),"Not found"))</f>
        <v>0</v>
      </c>
      <c r="F155" s="23">
        <f>IF(D155="","",IFERROR(INDEX(Clients!$G$5:$G$204,MATCH(D155,Clients!$A$5:$A$204,0)),""))</f>
        <v>0</v>
      </c>
      <c r="Q155" s="31">
        <f>IF(A155="","",COUNTIFS('Invoice Lines'!$B$5:$B$804,A155))</f>
        <v>0</v>
      </c>
      <c r="R155" s="21">
        <f>IF(A155="","",SUMIFS('Invoice Lines'!$N$5:$N$804,'Invoice Lines'!$B$5:$B$804,A155))</f>
        <v>0</v>
      </c>
      <c r="S155" s="21">
        <f>IF(A155="","",ROUND(R155*IF(K155="",0,K155),2))</f>
        <v>0</v>
      </c>
      <c r="T155" s="21">
        <f>IF(A155="","",R155-S155)</f>
        <v>0</v>
      </c>
      <c r="U155" s="21">
        <f>IF(A155="","",ROUND(T155*TaxRate,2))</f>
        <v>0</v>
      </c>
      <c r="V155" s="21">
        <f>IF(A155="","",T155+U155)</f>
        <v>0</v>
      </c>
      <c r="W155" s="21">
        <f>IF(A155="","",SUMIFS(Payments!$G$5:$G$404,Payments!$D$5:$D$404,A155))</f>
        <v>0</v>
      </c>
      <c r="X155" s="21">
        <f>IF(A155="","",ROUND(V155-W155,2))</f>
        <v>0</v>
      </c>
      <c r="Y155" s="31">
        <f>IF(B155="","",IF(J155&lt;&gt;"",J155,IF(IFERROR(INDEX(Clients!$P$5:$P$204,MATCH(D155,Clients!$A$5:$A$204,0)),"")&lt;&gt;"",INDEX(Clients!$P$5:$P$204,MATCH(D155,Clients!$A$5:$A$204,0)),PaymentTerms)))</f>
        <v>0</v>
      </c>
      <c r="Z155" s="18">
        <f>IF(OR(A155="",B155=""),"",B155+Y155)</f>
        <v>0</v>
      </c>
      <c r="AA155" s="31">
        <f>IF(OR(A155="",Z155=""),"",IF(X155&lt;=0.004,"",MAX(0,TodayDate-Z155-OverdueGrace)))</f>
        <v>0</v>
      </c>
      <c r="AB155" s="39">
        <f>IF(B155="","",IF(X155&lt;=0.004,"Paid",IF(AA155="","Not due yet",IF(AA155=0,"Due now",IF(AA155&lt;=30,"1-30 days",IF(AA155&lt;=60,"31-60 days",IF(AA155&lt;=90,"61-90 days","90+ days")))))))</f>
        <v>0</v>
      </c>
      <c r="AC155" s="21">
        <f>IF(OR(A155="",AA155=""),"",IF(AA155&lt;=0,0,ROUND(X155*LateFeePercent,2)))</f>
        <v>0</v>
      </c>
      <c r="AD155" s="50">
        <f>IF(B155="","",IF(X155&lt;=0.004,"Yes","No"))</f>
        <v>0</v>
      </c>
      <c r="AE155" s="39">
        <f>IF(B155="","",IF(Q155=0,"Add - no lines on this invoice yet",IF(H155="Written off","Written off",IF(AD155="Yes","OK - paid",IF(H155="Draft","Draft - not sent yet",IF(AND(AA155&lt;&gt;"",AA155&gt;30),"Overdue - "&amp;AA155&amp;" days, call them",IF(AND(AA155&lt;&gt;"",AA155&gt;0),"Overdue - send a reminder",IF(W155&gt;0,"Part paid","Due - waiting for payment"))))))))</f>
        <v>0</v>
      </c>
    </row>
    <row r="156" spans="1:31">
      <c r="A156" s="43">
        <f>IF(B156="","",InvoicePrefix&amp;TEXT(ROW()-4,"0000"))</f>
        <v>0</v>
      </c>
      <c r="C156" s="23">
        <f>IF(B156="","",TEXT(B156,"yyyy-mm"))</f>
        <v>0</v>
      </c>
      <c r="E156" s="23">
        <f>IF(D156="","",IFERROR(INDEX(Clients!$B$5:$B$204,MATCH(D156,Clients!$A$5:$A$204,0)),"Not found"))</f>
        <v>0</v>
      </c>
      <c r="F156" s="23">
        <f>IF(D156="","",IFERROR(INDEX(Clients!$G$5:$G$204,MATCH(D156,Clients!$A$5:$A$204,0)),""))</f>
        <v>0</v>
      </c>
      <c r="Q156" s="31">
        <f>IF(A156="","",COUNTIFS('Invoice Lines'!$B$5:$B$804,A156))</f>
        <v>0</v>
      </c>
      <c r="R156" s="21">
        <f>IF(A156="","",SUMIFS('Invoice Lines'!$N$5:$N$804,'Invoice Lines'!$B$5:$B$804,A156))</f>
        <v>0</v>
      </c>
      <c r="S156" s="21">
        <f>IF(A156="","",ROUND(R156*IF(K156="",0,K156),2))</f>
        <v>0</v>
      </c>
      <c r="T156" s="21">
        <f>IF(A156="","",R156-S156)</f>
        <v>0</v>
      </c>
      <c r="U156" s="21">
        <f>IF(A156="","",ROUND(T156*TaxRate,2))</f>
        <v>0</v>
      </c>
      <c r="V156" s="21">
        <f>IF(A156="","",T156+U156)</f>
        <v>0</v>
      </c>
      <c r="W156" s="21">
        <f>IF(A156="","",SUMIFS(Payments!$G$5:$G$404,Payments!$D$5:$D$404,A156))</f>
        <v>0</v>
      </c>
      <c r="X156" s="21">
        <f>IF(A156="","",ROUND(V156-W156,2))</f>
        <v>0</v>
      </c>
      <c r="Y156" s="31">
        <f>IF(B156="","",IF(J156&lt;&gt;"",J156,IF(IFERROR(INDEX(Clients!$P$5:$P$204,MATCH(D156,Clients!$A$5:$A$204,0)),"")&lt;&gt;"",INDEX(Clients!$P$5:$P$204,MATCH(D156,Clients!$A$5:$A$204,0)),PaymentTerms)))</f>
        <v>0</v>
      </c>
      <c r="Z156" s="18">
        <f>IF(OR(A156="",B156=""),"",B156+Y156)</f>
        <v>0</v>
      </c>
      <c r="AA156" s="31">
        <f>IF(OR(A156="",Z156=""),"",IF(X156&lt;=0.004,"",MAX(0,TodayDate-Z156-OverdueGrace)))</f>
        <v>0</v>
      </c>
      <c r="AB156" s="39">
        <f>IF(B156="","",IF(X156&lt;=0.004,"Paid",IF(AA156="","Not due yet",IF(AA156=0,"Due now",IF(AA156&lt;=30,"1-30 days",IF(AA156&lt;=60,"31-60 days",IF(AA156&lt;=90,"61-90 days","90+ days")))))))</f>
        <v>0</v>
      </c>
      <c r="AC156" s="21">
        <f>IF(OR(A156="",AA156=""),"",IF(AA156&lt;=0,0,ROUND(X156*LateFeePercent,2)))</f>
        <v>0</v>
      </c>
      <c r="AD156" s="50">
        <f>IF(B156="","",IF(X156&lt;=0.004,"Yes","No"))</f>
        <v>0</v>
      </c>
      <c r="AE156" s="39">
        <f>IF(B156="","",IF(Q156=0,"Add - no lines on this invoice yet",IF(H156="Written off","Written off",IF(AD156="Yes","OK - paid",IF(H156="Draft","Draft - not sent yet",IF(AND(AA156&lt;&gt;"",AA156&gt;30),"Overdue - "&amp;AA156&amp;" days, call them",IF(AND(AA156&lt;&gt;"",AA156&gt;0),"Overdue - send a reminder",IF(W156&gt;0,"Part paid","Due - waiting for payment"))))))))</f>
        <v>0</v>
      </c>
    </row>
    <row r="157" spans="1:31">
      <c r="A157" s="43">
        <f>IF(B157="","",InvoicePrefix&amp;TEXT(ROW()-4,"0000"))</f>
        <v>0</v>
      </c>
      <c r="C157" s="23">
        <f>IF(B157="","",TEXT(B157,"yyyy-mm"))</f>
        <v>0</v>
      </c>
      <c r="E157" s="23">
        <f>IF(D157="","",IFERROR(INDEX(Clients!$B$5:$B$204,MATCH(D157,Clients!$A$5:$A$204,0)),"Not found"))</f>
        <v>0</v>
      </c>
      <c r="F157" s="23">
        <f>IF(D157="","",IFERROR(INDEX(Clients!$G$5:$G$204,MATCH(D157,Clients!$A$5:$A$204,0)),""))</f>
        <v>0</v>
      </c>
      <c r="Q157" s="31">
        <f>IF(A157="","",COUNTIFS('Invoice Lines'!$B$5:$B$804,A157))</f>
        <v>0</v>
      </c>
      <c r="R157" s="21">
        <f>IF(A157="","",SUMIFS('Invoice Lines'!$N$5:$N$804,'Invoice Lines'!$B$5:$B$804,A157))</f>
        <v>0</v>
      </c>
      <c r="S157" s="21">
        <f>IF(A157="","",ROUND(R157*IF(K157="",0,K157),2))</f>
        <v>0</v>
      </c>
      <c r="T157" s="21">
        <f>IF(A157="","",R157-S157)</f>
        <v>0</v>
      </c>
      <c r="U157" s="21">
        <f>IF(A157="","",ROUND(T157*TaxRate,2))</f>
        <v>0</v>
      </c>
      <c r="V157" s="21">
        <f>IF(A157="","",T157+U157)</f>
        <v>0</v>
      </c>
      <c r="W157" s="21">
        <f>IF(A157="","",SUMIFS(Payments!$G$5:$G$404,Payments!$D$5:$D$404,A157))</f>
        <v>0</v>
      </c>
      <c r="X157" s="21">
        <f>IF(A157="","",ROUND(V157-W157,2))</f>
        <v>0</v>
      </c>
      <c r="Y157" s="31">
        <f>IF(B157="","",IF(J157&lt;&gt;"",J157,IF(IFERROR(INDEX(Clients!$P$5:$P$204,MATCH(D157,Clients!$A$5:$A$204,0)),"")&lt;&gt;"",INDEX(Clients!$P$5:$P$204,MATCH(D157,Clients!$A$5:$A$204,0)),PaymentTerms)))</f>
        <v>0</v>
      </c>
      <c r="Z157" s="18">
        <f>IF(OR(A157="",B157=""),"",B157+Y157)</f>
        <v>0</v>
      </c>
      <c r="AA157" s="31">
        <f>IF(OR(A157="",Z157=""),"",IF(X157&lt;=0.004,"",MAX(0,TodayDate-Z157-OverdueGrace)))</f>
        <v>0</v>
      </c>
      <c r="AB157" s="39">
        <f>IF(B157="","",IF(X157&lt;=0.004,"Paid",IF(AA157="","Not due yet",IF(AA157=0,"Due now",IF(AA157&lt;=30,"1-30 days",IF(AA157&lt;=60,"31-60 days",IF(AA157&lt;=90,"61-90 days","90+ days")))))))</f>
        <v>0</v>
      </c>
      <c r="AC157" s="21">
        <f>IF(OR(A157="",AA157=""),"",IF(AA157&lt;=0,0,ROUND(X157*LateFeePercent,2)))</f>
        <v>0</v>
      </c>
      <c r="AD157" s="50">
        <f>IF(B157="","",IF(X157&lt;=0.004,"Yes","No"))</f>
        <v>0</v>
      </c>
      <c r="AE157" s="39">
        <f>IF(B157="","",IF(Q157=0,"Add - no lines on this invoice yet",IF(H157="Written off","Written off",IF(AD157="Yes","OK - paid",IF(H157="Draft","Draft - not sent yet",IF(AND(AA157&lt;&gt;"",AA157&gt;30),"Overdue - "&amp;AA157&amp;" days, call them",IF(AND(AA157&lt;&gt;"",AA157&gt;0),"Overdue - send a reminder",IF(W157&gt;0,"Part paid","Due - waiting for payment"))))))))</f>
        <v>0</v>
      </c>
    </row>
    <row r="158" spans="1:31">
      <c r="A158" s="43">
        <f>IF(B158="","",InvoicePrefix&amp;TEXT(ROW()-4,"0000"))</f>
        <v>0</v>
      </c>
      <c r="C158" s="23">
        <f>IF(B158="","",TEXT(B158,"yyyy-mm"))</f>
        <v>0</v>
      </c>
      <c r="E158" s="23">
        <f>IF(D158="","",IFERROR(INDEX(Clients!$B$5:$B$204,MATCH(D158,Clients!$A$5:$A$204,0)),"Not found"))</f>
        <v>0</v>
      </c>
      <c r="F158" s="23">
        <f>IF(D158="","",IFERROR(INDEX(Clients!$G$5:$G$204,MATCH(D158,Clients!$A$5:$A$204,0)),""))</f>
        <v>0</v>
      </c>
      <c r="Q158" s="31">
        <f>IF(A158="","",COUNTIFS('Invoice Lines'!$B$5:$B$804,A158))</f>
        <v>0</v>
      </c>
      <c r="R158" s="21">
        <f>IF(A158="","",SUMIFS('Invoice Lines'!$N$5:$N$804,'Invoice Lines'!$B$5:$B$804,A158))</f>
        <v>0</v>
      </c>
      <c r="S158" s="21">
        <f>IF(A158="","",ROUND(R158*IF(K158="",0,K158),2))</f>
        <v>0</v>
      </c>
      <c r="T158" s="21">
        <f>IF(A158="","",R158-S158)</f>
        <v>0</v>
      </c>
      <c r="U158" s="21">
        <f>IF(A158="","",ROUND(T158*TaxRate,2))</f>
        <v>0</v>
      </c>
      <c r="V158" s="21">
        <f>IF(A158="","",T158+U158)</f>
        <v>0</v>
      </c>
      <c r="W158" s="21">
        <f>IF(A158="","",SUMIFS(Payments!$G$5:$G$404,Payments!$D$5:$D$404,A158))</f>
        <v>0</v>
      </c>
      <c r="X158" s="21">
        <f>IF(A158="","",ROUND(V158-W158,2))</f>
        <v>0</v>
      </c>
      <c r="Y158" s="31">
        <f>IF(B158="","",IF(J158&lt;&gt;"",J158,IF(IFERROR(INDEX(Clients!$P$5:$P$204,MATCH(D158,Clients!$A$5:$A$204,0)),"")&lt;&gt;"",INDEX(Clients!$P$5:$P$204,MATCH(D158,Clients!$A$5:$A$204,0)),PaymentTerms)))</f>
        <v>0</v>
      </c>
      <c r="Z158" s="18">
        <f>IF(OR(A158="",B158=""),"",B158+Y158)</f>
        <v>0</v>
      </c>
      <c r="AA158" s="31">
        <f>IF(OR(A158="",Z158=""),"",IF(X158&lt;=0.004,"",MAX(0,TodayDate-Z158-OverdueGrace)))</f>
        <v>0</v>
      </c>
      <c r="AB158" s="39">
        <f>IF(B158="","",IF(X158&lt;=0.004,"Paid",IF(AA158="","Not due yet",IF(AA158=0,"Due now",IF(AA158&lt;=30,"1-30 days",IF(AA158&lt;=60,"31-60 days",IF(AA158&lt;=90,"61-90 days","90+ days")))))))</f>
        <v>0</v>
      </c>
      <c r="AC158" s="21">
        <f>IF(OR(A158="",AA158=""),"",IF(AA158&lt;=0,0,ROUND(X158*LateFeePercent,2)))</f>
        <v>0</v>
      </c>
      <c r="AD158" s="50">
        <f>IF(B158="","",IF(X158&lt;=0.004,"Yes","No"))</f>
        <v>0</v>
      </c>
      <c r="AE158" s="39">
        <f>IF(B158="","",IF(Q158=0,"Add - no lines on this invoice yet",IF(H158="Written off","Written off",IF(AD158="Yes","OK - paid",IF(H158="Draft","Draft - not sent yet",IF(AND(AA158&lt;&gt;"",AA158&gt;30),"Overdue - "&amp;AA158&amp;" days, call them",IF(AND(AA158&lt;&gt;"",AA158&gt;0),"Overdue - send a reminder",IF(W158&gt;0,"Part paid","Due - waiting for payment"))))))))</f>
        <v>0</v>
      </c>
    </row>
    <row r="159" spans="1:31">
      <c r="A159" s="43">
        <f>IF(B159="","",InvoicePrefix&amp;TEXT(ROW()-4,"0000"))</f>
        <v>0</v>
      </c>
      <c r="C159" s="23">
        <f>IF(B159="","",TEXT(B159,"yyyy-mm"))</f>
        <v>0</v>
      </c>
      <c r="E159" s="23">
        <f>IF(D159="","",IFERROR(INDEX(Clients!$B$5:$B$204,MATCH(D159,Clients!$A$5:$A$204,0)),"Not found"))</f>
        <v>0</v>
      </c>
      <c r="F159" s="23">
        <f>IF(D159="","",IFERROR(INDEX(Clients!$G$5:$G$204,MATCH(D159,Clients!$A$5:$A$204,0)),""))</f>
        <v>0</v>
      </c>
      <c r="Q159" s="31">
        <f>IF(A159="","",COUNTIFS('Invoice Lines'!$B$5:$B$804,A159))</f>
        <v>0</v>
      </c>
      <c r="R159" s="21">
        <f>IF(A159="","",SUMIFS('Invoice Lines'!$N$5:$N$804,'Invoice Lines'!$B$5:$B$804,A159))</f>
        <v>0</v>
      </c>
      <c r="S159" s="21">
        <f>IF(A159="","",ROUND(R159*IF(K159="",0,K159),2))</f>
        <v>0</v>
      </c>
      <c r="T159" s="21">
        <f>IF(A159="","",R159-S159)</f>
        <v>0</v>
      </c>
      <c r="U159" s="21">
        <f>IF(A159="","",ROUND(T159*TaxRate,2))</f>
        <v>0</v>
      </c>
      <c r="V159" s="21">
        <f>IF(A159="","",T159+U159)</f>
        <v>0</v>
      </c>
      <c r="W159" s="21">
        <f>IF(A159="","",SUMIFS(Payments!$G$5:$G$404,Payments!$D$5:$D$404,A159))</f>
        <v>0</v>
      </c>
      <c r="X159" s="21">
        <f>IF(A159="","",ROUND(V159-W159,2))</f>
        <v>0</v>
      </c>
      <c r="Y159" s="31">
        <f>IF(B159="","",IF(J159&lt;&gt;"",J159,IF(IFERROR(INDEX(Clients!$P$5:$P$204,MATCH(D159,Clients!$A$5:$A$204,0)),"")&lt;&gt;"",INDEX(Clients!$P$5:$P$204,MATCH(D159,Clients!$A$5:$A$204,0)),PaymentTerms)))</f>
        <v>0</v>
      </c>
      <c r="Z159" s="18">
        <f>IF(OR(A159="",B159=""),"",B159+Y159)</f>
        <v>0</v>
      </c>
      <c r="AA159" s="31">
        <f>IF(OR(A159="",Z159=""),"",IF(X159&lt;=0.004,"",MAX(0,TodayDate-Z159-OverdueGrace)))</f>
        <v>0</v>
      </c>
      <c r="AB159" s="39">
        <f>IF(B159="","",IF(X159&lt;=0.004,"Paid",IF(AA159="","Not due yet",IF(AA159=0,"Due now",IF(AA159&lt;=30,"1-30 days",IF(AA159&lt;=60,"31-60 days",IF(AA159&lt;=90,"61-90 days","90+ days")))))))</f>
        <v>0</v>
      </c>
      <c r="AC159" s="21">
        <f>IF(OR(A159="",AA159=""),"",IF(AA159&lt;=0,0,ROUND(X159*LateFeePercent,2)))</f>
        <v>0</v>
      </c>
      <c r="AD159" s="50">
        <f>IF(B159="","",IF(X159&lt;=0.004,"Yes","No"))</f>
        <v>0</v>
      </c>
      <c r="AE159" s="39">
        <f>IF(B159="","",IF(Q159=0,"Add - no lines on this invoice yet",IF(H159="Written off","Written off",IF(AD159="Yes","OK - paid",IF(H159="Draft","Draft - not sent yet",IF(AND(AA159&lt;&gt;"",AA159&gt;30),"Overdue - "&amp;AA159&amp;" days, call them",IF(AND(AA159&lt;&gt;"",AA159&gt;0),"Overdue - send a reminder",IF(W159&gt;0,"Part paid","Due - waiting for payment"))))))))</f>
        <v>0</v>
      </c>
    </row>
    <row r="160" spans="1:31">
      <c r="A160" s="43">
        <f>IF(B160="","",InvoicePrefix&amp;TEXT(ROW()-4,"0000"))</f>
        <v>0</v>
      </c>
      <c r="C160" s="23">
        <f>IF(B160="","",TEXT(B160,"yyyy-mm"))</f>
        <v>0</v>
      </c>
      <c r="E160" s="23">
        <f>IF(D160="","",IFERROR(INDEX(Clients!$B$5:$B$204,MATCH(D160,Clients!$A$5:$A$204,0)),"Not found"))</f>
        <v>0</v>
      </c>
      <c r="F160" s="23">
        <f>IF(D160="","",IFERROR(INDEX(Clients!$G$5:$G$204,MATCH(D160,Clients!$A$5:$A$204,0)),""))</f>
        <v>0</v>
      </c>
      <c r="Q160" s="31">
        <f>IF(A160="","",COUNTIFS('Invoice Lines'!$B$5:$B$804,A160))</f>
        <v>0</v>
      </c>
      <c r="R160" s="21">
        <f>IF(A160="","",SUMIFS('Invoice Lines'!$N$5:$N$804,'Invoice Lines'!$B$5:$B$804,A160))</f>
        <v>0</v>
      </c>
      <c r="S160" s="21">
        <f>IF(A160="","",ROUND(R160*IF(K160="",0,K160),2))</f>
        <v>0</v>
      </c>
      <c r="T160" s="21">
        <f>IF(A160="","",R160-S160)</f>
        <v>0</v>
      </c>
      <c r="U160" s="21">
        <f>IF(A160="","",ROUND(T160*TaxRate,2))</f>
        <v>0</v>
      </c>
      <c r="V160" s="21">
        <f>IF(A160="","",T160+U160)</f>
        <v>0</v>
      </c>
      <c r="W160" s="21">
        <f>IF(A160="","",SUMIFS(Payments!$G$5:$G$404,Payments!$D$5:$D$404,A160))</f>
        <v>0</v>
      </c>
      <c r="X160" s="21">
        <f>IF(A160="","",ROUND(V160-W160,2))</f>
        <v>0</v>
      </c>
      <c r="Y160" s="31">
        <f>IF(B160="","",IF(J160&lt;&gt;"",J160,IF(IFERROR(INDEX(Clients!$P$5:$P$204,MATCH(D160,Clients!$A$5:$A$204,0)),"")&lt;&gt;"",INDEX(Clients!$P$5:$P$204,MATCH(D160,Clients!$A$5:$A$204,0)),PaymentTerms)))</f>
        <v>0</v>
      </c>
      <c r="Z160" s="18">
        <f>IF(OR(A160="",B160=""),"",B160+Y160)</f>
        <v>0</v>
      </c>
      <c r="AA160" s="31">
        <f>IF(OR(A160="",Z160=""),"",IF(X160&lt;=0.004,"",MAX(0,TodayDate-Z160-OverdueGrace)))</f>
        <v>0</v>
      </c>
      <c r="AB160" s="39">
        <f>IF(B160="","",IF(X160&lt;=0.004,"Paid",IF(AA160="","Not due yet",IF(AA160=0,"Due now",IF(AA160&lt;=30,"1-30 days",IF(AA160&lt;=60,"31-60 days",IF(AA160&lt;=90,"61-90 days","90+ days")))))))</f>
        <v>0</v>
      </c>
      <c r="AC160" s="21">
        <f>IF(OR(A160="",AA160=""),"",IF(AA160&lt;=0,0,ROUND(X160*LateFeePercent,2)))</f>
        <v>0</v>
      </c>
      <c r="AD160" s="50">
        <f>IF(B160="","",IF(X160&lt;=0.004,"Yes","No"))</f>
        <v>0</v>
      </c>
      <c r="AE160" s="39">
        <f>IF(B160="","",IF(Q160=0,"Add - no lines on this invoice yet",IF(H160="Written off","Written off",IF(AD160="Yes","OK - paid",IF(H160="Draft","Draft - not sent yet",IF(AND(AA160&lt;&gt;"",AA160&gt;30),"Overdue - "&amp;AA160&amp;" days, call them",IF(AND(AA160&lt;&gt;"",AA160&gt;0),"Overdue - send a reminder",IF(W160&gt;0,"Part paid","Due - waiting for payment"))))))))</f>
        <v>0</v>
      </c>
    </row>
    <row r="161" spans="1:31">
      <c r="A161" s="43">
        <f>IF(B161="","",InvoicePrefix&amp;TEXT(ROW()-4,"0000"))</f>
        <v>0</v>
      </c>
      <c r="C161" s="23">
        <f>IF(B161="","",TEXT(B161,"yyyy-mm"))</f>
        <v>0</v>
      </c>
      <c r="E161" s="23">
        <f>IF(D161="","",IFERROR(INDEX(Clients!$B$5:$B$204,MATCH(D161,Clients!$A$5:$A$204,0)),"Not found"))</f>
        <v>0</v>
      </c>
      <c r="F161" s="23">
        <f>IF(D161="","",IFERROR(INDEX(Clients!$G$5:$G$204,MATCH(D161,Clients!$A$5:$A$204,0)),""))</f>
        <v>0</v>
      </c>
      <c r="Q161" s="31">
        <f>IF(A161="","",COUNTIFS('Invoice Lines'!$B$5:$B$804,A161))</f>
        <v>0</v>
      </c>
      <c r="R161" s="21">
        <f>IF(A161="","",SUMIFS('Invoice Lines'!$N$5:$N$804,'Invoice Lines'!$B$5:$B$804,A161))</f>
        <v>0</v>
      </c>
      <c r="S161" s="21">
        <f>IF(A161="","",ROUND(R161*IF(K161="",0,K161),2))</f>
        <v>0</v>
      </c>
      <c r="T161" s="21">
        <f>IF(A161="","",R161-S161)</f>
        <v>0</v>
      </c>
      <c r="U161" s="21">
        <f>IF(A161="","",ROUND(T161*TaxRate,2))</f>
        <v>0</v>
      </c>
      <c r="V161" s="21">
        <f>IF(A161="","",T161+U161)</f>
        <v>0</v>
      </c>
      <c r="W161" s="21">
        <f>IF(A161="","",SUMIFS(Payments!$G$5:$G$404,Payments!$D$5:$D$404,A161))</f>
        <v>0</v>
      </c>
      <c r="X161" s="21">
        <f>IF(A161="","",ROUND(V161-W161,2))</f>
        <v>0</v>
      </c>
      <c r="Y161" s="31">
        <f>IF(B161="","",IF(J161&lt;&gt;"",J161,IF(IFERROR(INDEX(Clients!$P$5:$P$204,MATCH(D161,Clients!$A$5:$A$204,0)),"")&lt;&gt;"",INDEX(Clients!$P$5:$P$204,MATCH(D161,Clients!$A$5:$A$204,0)),PaymentTerms)))</f>
        <v>0</v>
      </c>
      <c r="Z161" s="18">
        <f>IF(OR(A161="",B161=""),"",B161+Y161)</f>
        <v>0</v>
      </c>
      <c r="AA161" s="31">
        <f>IF(OR(A161="",Z161=""),"",IF(X161&lt;=0.004,"",MAX(0,TodayDate-Z161-OverdueGrace)))</f>
        <v>0</v>
      </c>
      <c r="AB161" s="39">
        <f>IF(B161="","",IF(X161&lt;=0.004,"Paid",IF(AA161="","Not due yet",IF(AA161=0,"Due now",IF(AA161&lt;=30,"1-30 days",IF(AA161&lt;=60,"31-60 days",IF(AA161&lt;=90,"61-90 days","90+ days")))))))</f>
        <v>0</v>
      </c>
      <c r="AC161" s="21">
        <f>IF(OR(A161="",AA161=""),"",IF(AA161&lt;=0,0,ROUND(X161*LateFeePercent,2)))</f>
        <v>0</v>
      </c>
      <c r="AD161" s="50">
        <f>IF(B161="","",IF(X161&lt;=0.004,"Yes","No"))</f>
        <v>0</v>
      </c>
      <c r="AE161" s="39">
        <f>IF(B161="","",IF(Q161=0,"Add - no lines on this invoice yet",IF(H161="Written off","Written off",IF(AD161="Yes","OK - paid",IF(H161="Draft","Draft - not sent yet",IF(AND(AA161&lt;&gt;"",AA161&gt;30),"Overdue - "&amp;AA161&amp;" days, call them",IF(AND(AA161&lt;&gt;"",AA161&gt;0),"Overdue - send a reminder",IF(W161&gt;0,"Part paid","Due - waiting for payment"))))))))</f>
        <v>0</v>
      </c>
    </row>
    <row r="162" spans="1:31">
      <c r="A162" s="43">
        <f>IF(B162="","",InvoicePrefix&amp;TEXT(ROW()-4,"0000"))</f>
        <v>0</v>
      </c>
      <c r="C162" s="23">
        <f>IF(B162="","",TEXT(B162,"yyyy-mm"))</f>
        <v>0</v>
      </c>
      <c r="E162" s="23">
        <f>IF(D162="","",IFERROR(INDEX(Clients!$B$5:$B$204,MATCH(D162,Clients!$A$5:$A$204,0)),"Not found"))</f>
        <v>0</v>
      </c>
      <c r="F162" s="23">
        <f>IF(D162="","",IFERROR(INDEX(Clients!$G$5:$G$204,MATCH(D162,Clients!$A$5:$A$204,0)),""))</f>
        <v>0</v>
      </c>
      <c r="Q162" s="31">
        <f>IF(A162="","",COUNTIFS('Invoice Lines'!$B$5:$B$804,A162))</f>
        <v>0</v>
      </c>
      <c r="R162" s="21">
        <f>IF(A162="","",SUMIFS('Invoice Lines'!$N$5:$N$804,'Invoice Lines'!$B$5:$B$804,A162))</f>
        <v>0</v>
      </c>
      <c r="S162" s="21">
        <f>IF(A162="","",ROUND(R162*IF(K162="",0,K162),2))</f>
        <v>0</v>
      </c>
      <c r="T162" s="21">
        <f>IF(A162="","",R162-S162)</f>
        <v>0</v>
      </c>
      <c r="U162" s="21">
        <f>IF(A162="","",ROUND(T162*TaxRate,2))</f>
        <v>0</v>
      </c>
      <c r="V162" s="21">
        <f>IF(A162="","",T162+U162)</f>
        <v>0</v>
      </c>
      <c r="W162" s="21">
        <f>IF(A162="","",SUMIFS(Payments!$G$5:$G$404,Payments!$D$5:$D$404,A162))</f>
        <v>0</v>
      </c>
      <c r="X162" s="21">
        <f>IF(A162="","",ROUND(V162-W162,2))</f>
        <v>0</v>
      </c>
      <c r="Y162" s="31">
        <f>IF(B162="","",IF(J162&lt;&gt;"",J162,IF(IFERROR(INDEX(Clients!$P$5:$P$204,MATCH(D162,Clients!$A$5:$A$204,0)),"")&lt;&gt;"",INDEX(Clients!$P$5:$P$204,MATCH(D162,Clients!$A$5:$A$204,0)),PaymentTerms)))</f>
        <v>0</v>
      </c>
      <c r="Z162" s="18">
        <f>IF(OR(A162="",B162=""),"",B162+Y162)</f>
        <v>0</v>
      </c>
      <c r="AA162" s="31">
        <f>IF(OR(A162="",Z162=""),"",IF(X162&lt;=0.004,"",MAX(0,TodayDate-Z162-OverdueGrace)))</f>
        <v>0</v>
      </c>
      <c r="AB162" s="39">
        <f>IF(B162="","",IF(X162&lt;=0.004,"Paid",IF(AA162="","Not due yet",IF(AA162=0,"Due now",IF(AA162&lt;=30,"1-30 days",IF(AA162&lt;=60,"31-60 days",IF(AA162&lt;=90,"61-90 days","90+ days")))))))</f>
        <v>0</v>
      </c>
      <c r="AC162" s="21">
        <f>IF(OR(A162="",AA162=""),"",IF(AA162&lt;=0,0,ROUND(X162*LateFeePercent,2)))</f>
        <v>0</v>
      </c>
      <c r="AD162" s="50">
        <f>IF(B162="","",IF(X162&lt;=0.004,"Yes","No"))</f>
        <v>0</v>
      </c>
      <c r="AE162" s="39">
        <f>IF(B162="","",IF(Q162=0,"Add - no lines on this invoice yet",IF(H162="Written off","Written off",IF(AD162="Yes","OK - paid",IF(H162="Draft","Draft - not sent yet",IF(AND(AA162&lt;&gt;"",AA162&gt;30),"Overdue - "&amp;AA162&amp;" days, call them",IF(AND(AA162&lt;&gt;"",AA162&gt;0),"Overdue - send a reminder",IF(W162&gt;0,"Part paid","Due - waiting for payment"))))))))</f>
        <v>0</v>
      </c>
    </row>
    <row r="163" spans="1:31">
      <c r="A163" s="43">
        <f>IF(B163="","",InvoicePrefix&amp;TEXT(ROW()-4,"0000"))</f>
        <v>0</v>
      </c>
      <c r="C163" s="23">
        <f>IF(B163="","",TEXT(B163,"yyyy-mm"))</f>
        <v>0</v>
      </c>
      <c r="E163" s="23">
        <f>IF(D163="","",IFERROR(INDEX(Clients!$B$5:$B$204,MATCH(D163,Clients!$A$5:$A$204,0)),"Not found"))</f>
        <v>0</v>
      </c>
      <c r="F163" s="23">
        <f>IF(D163="","",IFERROR(INDEX(Clients!$G$5:$G$204,MATCH(D163,Clients!$A$5:$A$204,0)),""))</f>
        <v>0</v>
      </c>
      <c r="Q163" s="31">
        <f>IF(A163="","",COUNTIFS('Invoice Lines'!$B$5:$B$804,A163))</f>
        <v>0</v>
      </c>
      <c r="R163" s="21">
        <f>IF(A163="","",SUMIFS('Invoice Lines'!$N$5:$N$804,'Invoice Lines'!$B$5:$B$804,A163))</f>
        <v>0</v>
      </c>
      <c r="S163" s="21">
        <f>IF(A163="","",ROUND(R163*IF(K163="",0,K163),2))</f>
        <v>0</v>
      </c>
      <c r="T163" s="21">
        <f>IF(A163="","",R163-S163)</f>
        <v>0</v>
      </c>
      <c r="U163" s="21">
        <f>IF(A163="","",ROUND(T163*TaxRate,2))</f>
        <v>0</v>
      </c>
      <c r="V163" s="21">
        <f>IF(A163="","",T163+U163)</f>
        <v>0</v>
      </c>
      <c r="W163" s="21">
        <f>IF(A163="","",SUMIFS(Payments!$G$5:$G$404,Payments!$D$5:$D$404,A163))</f>
        <v>0</v>
      </c>
      <c r="X163" s="21">
        <f>IF(A163="","",ROUND(V163-W163,2))</f>
        <v>0</v>
      </c>
      <c r="Y163" s="31">
        <f>IF(B163="","",IF(J163&lt;&gt;"",J163,IF(IFERROR(INDEX(Clients!$P$5:$P$204,MATCH(D163,Clients!$A$5:$A$204,0)),"")&lt;&gt;"",INDEX(Clients!$P$5:$P$204,MATCH(D163,Clients!$A$5:$A$204,0)),PaymentTerms)))</f>
        <v>0</v>
      </c>
      <c r="Z163" s="18">
        <f>IF(OR(A163="",B163=""),"",B163+Y163)</f>
        <v>0</v>
      </c>
      <c r="AA163" s="31">
        <f>IF(OR(A163="",Z163=""),"",IF(X163&lt;=0.004,"",MAX(0,TodayDate-Z163-OverdueGrace)))</f>
        <v>0</v>
      </c>
      <c r="AB163" s="39">
        <f>IF(B163="","",IF(X163&lt;=0.004,"Paid",IF(AA163="","Not due yet",IF(AA163=0,"Due now",IF(AA163&lt;=30,"1-30 days",IF(AA163&lt;=60,"31-60 days",IF(AA163&lt;=90,"61-90 days","90+ days")))))))</f>
        <v>0</v>
      </c>
      <c r="AC163" s="21">
        <f>IF(OR(A163="",AA163=""),"",IF(AA163&lt;=0,0,ROUND(X163*LateFeePercent,2)))</f>
        <v>0</v>
      </c>
      <c r="AD163" s="50">
        <f>IF(B163="","",IF(X163&lt;=0.004,"Yes","No"))</f>
        <v>0</v>
      </c>
      <c r="AE163" s="39">
        <f>IF(B163="","",IF(Q163=0,"Add - no lines on this invoice yet",IF(H163="Written off","Written off",IF(AD163="Yes","OK - paid",IF(H163="Draft","Draft - not sent yet",IF(AND(AA163&lt;&gt;"",AA163&gt;30),"Overdue - "&amp;AA163&amp;" days, call them",IF(AND(AA163&lt;&gt;"",AA163&gt;0),"Overdue - send a reminder",IF(W163&gt;0,"Part paid","Due - waiting for payment"))))))))</f>
        <v>0</v>
      </c>
    </row>
    <row r="164" spans="1:31">
      <c r="A164" s="43">
        <f>IF(B164="","",InvoicePrefix&amp;TEXT(ROW()-4,"0000"))</f>
        <v>0</v>
      </c>
      <c r="C164" s="23">
        <f>IF(B164="","",TEXT(B164,"yyyy-mm"))</f>
        <v>0</v>
      </c>
      <c r="E164" s="23">
        <f>IF(D164="","",IFERROR(INDEX(Clients!$B$5:$B$204,MATCH(D164,Clients!$A$5:$A$204,0)),"Not found"))</f>
        <v>0</v>
      </c>
      <c r="F164" s="23">
        <f>IF(D164="","",IFERROR(INDEX(Clients!$G$5:$G$204,MATCH(D164,Clients!$A$5:$A$204,0)),""))</f>
        <v>0</v>
      </c>
      <c r="Q164" s="31">
        <f>IF(A164="","",COUNTIFS('Invoice Lines'!$B$5:$B$804,A164))</f>
        <v>0</v>
      </c>
      <c r="R164" s="21">
        <f>IF(A164="","",SUMIFS('Invoice Lines'!$N$5:$N$804,'Invoice Lines'!$B$5:$B$804,A164))</f>
        <v>0</v>
      </c>
      <c r="S164" s="21">
        <f>IF(A164="","",ROUND(R164*IF(K164="",0,K164),2))</f>
        <v>0</v>
      </c>
      <c r="T164" s="21">
        <f>IF(A164="","",R164-S164)</f>
        <v>0</v>
      </c>
      <c r="U164" s="21">
        <f>IF(A164="","",ROUND(T164*TaxRate,2))</f>
        <v>0</v>
      </c>
      <c r="V164" s="21">
        <f>IF(A164="","",T164+U164)</f>
        <v>0</v>
      </c>
      <c r="W164" s="21">
        <f>IF(A164="","",SUMIFS(Payments!$G$5:$G$404,Payments!$D$5:$D$404,A164))</f>
        <v>0</v>
      </c>
      <c r="X164" s="21">
        <f>IF(A164="","",ROUND(V164-W164,2))</f>
        <v>0</v>
      </c>
      <c r="Y164" s="31">
        <f>IF(B164="","",IF(J164&lt;&gt;"",J164,IF(IFERROR(INDEX(Clients!$P$5:$P$204,MATCH(D164,Clients!$A$5:$A$204,0)),"")&lt;&gt;"",INDEX(Clients!$P$5:$P$204,MATCH(D164,Clients!$A$5:$A$204,0)),PaymentTerms)))</f>
        <v>0</v>
      </c>
      <c r="Z164" s="18">
        <f>IF(OR(A164="",B164=""),"",B164+Y164)</f>
        <v>0</v>
      </c>
      <c r="AA164" s="31">
        <f>IF(OR(A164="",Z164=""),"",IF(X164&lt;=0.004,"",MAX(0,TodayDate-Z164-OverdueGrace)))</f>
        <v>0</v>
      </c>
      <c r="AB164" s="39">
        <f>IF(B164="","",IF(X164&lt;=0.004,"Paid",IF(AA164="","Not due yet",IF(AA164=0,"Due now",IF(AA164&lt;=30,"1-30 days",IF(AA164&lt;=60,"31-60 days",IF(AA164&lt;=90,"61-90 days","90+ days")))))))</f>
        <v>0</v>
      </c>
      <c r="AC164" s="21">
        <f>IF(OR(A164="",AA164=""),"",IF(AA164&lt;=0,0,ROUND(X164*LateFeePercent,2)))</f>
        <v>0</v>
      </c>
      <c r="AD164" s="50">
        <f>IF(B164="","",IF(X164&lt;=0.004,"Yes","No"))</f>
        <v>0</v>
      </c>
      <c r="AE164" s="39">
        <f>IF(B164="","",IF(Q164=0,"Add - no lines on this invoice yet",IF(H164="Written off","Written off",IF(AD164="Yes","OK - paid",IF(H164="Draft","Draft - not sent yet",IF(AND(AA164&lt;&gt;"",AA164&gt;30),"Overdue - "&amp;AA164&amp;" days, call them",IF(AND(AA164&lt;&gt;"",AA164&gt;0),"Overdue - send a reminder",IF(W164&gt;0,"Part paid","Due - waiting for payment"))))))))</f>
        <v>0</v>
      </c>
    </row>
    <row r="165" spans="1:31">
      <c r="A165" s="43">
        <f>IF(B165="","",InvoicePrefix&amp;TEXT(ROW()-4,"0000"))</f>
        <v>0</v>
      </c>
      <c r="C165" s="23">
        <f>IF(B165="","",TEXT(B165,"yyyy-mm"))</f>
        <v>0</v>
      </c>
      <c r="E165" s="23">
        <f>IF(D165="","",IFERROR(INDEX(Clients!$B$5:$B$204,MATCH(D165,Clients!$A$5:$A$204,0)),"Not found"))</f>
        <v>0</v>
      </c>
      <c r="F165" s="23">
        <f>IF(D165="","",IFERROR(INDEX(Clients!$G$5:$G$204,MATCH(D165,Clients!$A$5:$A$204,0)),""))</f>
        <v>0</v>
      </c>
      <c r="Q165" s="31">
        <f>IF(A165="","",COUNTIFS('Invoice Lines'!$B$5:$B$804,A165))</f>
        <v>0</v>
      </c>
      <c r="R165" s="21">
        <f>IF(A165="","",SUMIFS('Invoice Lines'!$N$5:$N$804,'Invoice Lines'!$B$5:$B$804,A165))</f>
        <v>0</v>
      </c>
      <c r="S165" s="21">
        <f>IF(A165="","",ROUND(R165*IF(K165="",0,K165),2))</f>
        <v>0</v>
      </c>
      <c r="T165" s="21">
        <f>IF(A165="","",R165-S165)</f>
        <v>0</v>
      </c>
      <c r="U165" s="21">
        <f>IF(A165="","",ROUND(T165*TaxRate,2))</f>
        <v>0</v>
      </c>
      <c r="V165" s="21">
        <f>IF(A165="","",T165+U165)</f>
        <v>0</v>
      </c>
      <c r="W165" s="21">
        <f>IF(A165="","",SUMIFS(Payments!$G$5:$G$404,Payments!$D$5:$D$404,A165))</f>
        <v>0</v>
      </c>
      <c r="X165" s="21">
        <f>IF(A165="","",ROUND(V165-W165,2))</f>
        <v>0</v>
      </c>
      <c r="Y165" s="31">
        <f>IF(B165="","",IF(J165&lt;&gt;"",J165,IF(IFERROR(INDEX(Clients!$P$5:$P$204,MATCH(D165,Clients!$A$5:$A$204,0)),"")&lt;&gt;"",INDEX(Clients!$P$5:$P$204,MATCH(D165,Clients!$A$5:$A$204,0)),PaymentTerms)))</f>
        <v>0</v>
      </c>
      <c r="Z165" s="18">
        <f>IF(OR(A165="",B165=""),"",B165+Y165)</f>
        <v>0</v>
      </c>
      <c r="AA165" s="31">
        <f>IF(OR(A165="",Z165=""),"",IF(X165&lt;=0.004,"",MAX(0,TodayDate-Z165-OverdueGrace)))</f>
        <v>0</v>
      </c>
      <c r="AB165" s="39">
        <f>IF(B165="","",IF(X165&lt;=0.004,"Paid",IF(AA165="","Not due yet",IF(AA165=0,"Due now",IF(AA165&lt;=30,"1-30 days",IF(AA165&lt;=60,"31-60 days",IF(AA165&lt;=90,"61-90 days","90+ days")))))))</f>
        <v>0</v>
      </c>
      <c r="AC165" s="21">
        <f>IF(OR(A165="",AA165=""),"",IF(AA165&lt;=0,0,ROUND(X165*LateFeePercent,2)))</f>
        <v>0</v>
      </c>
      <c r="AD165" s="50">
        <f>IF(B165="","",IF(X165&lt;=0.004,"Yes","No"))</f>
        <v>0</v>
      </c>
      <c r="AE165" s="39">
        <f>IF(B165="","",IF(Q165=0,"Add - no lines on this invoice yet",IF(H165="Written off","Written off",IF(AD165="Yes","OK - paid",IF(H165="Draft","Draft - not sent yet",IF(AND(AA165&lt;&gt;"",AA165&gt;30),"Overdue - "&amp;AA165&amp;" days, call them",IF(AND(AA165&lt;&gt;"",AA165&gt;0),"Overdue - send a reminder",IF(W165&gt;0,"Part paid","Due - waiting for payment"))))))))</f>
        <v>0</v>
      </c>
    </row>
    <row r="166" spans="1:31">
      <c r="A166" s="43">
        <f>IF(B166="","",InvoicePrefix&amp;TEXT(ROW()-4,"0000"))</f>
        <v>0</v>
      </c>
      <c r="C166" s="23">
        <f>IF(B166="","",TEXT(B166,"yyyy-mm"))</f>
        <v>0</v>
      </c>
      <c r="E166" s="23">
        <f>IF(D166="","",IFERROR(INDEX(Clients!$B$5:$B$204,MATCH(D166,Clients!$A$5:$A$204,0)),"Not found"))</f>
        <v>0</v>
      </c>
      <c r="F166" s="23">
        <f>IF(D166="","",IFERROR(INDEX(Clients!$G$5:$G$204,MATCH(D166,Clients!$A$5:$A$204,0)),""))</f>
        <v>0</v>
      </c>
      <c r="Q166" s="31">
        <f>IF(A166="","",COUNTIFS('Invoice Lines'!$B$5:$B$804,A166))</f>
        <v>0</v>
      </c>
      <c r="R166" s="21">
        <f>IF(A166="","",SUMIFS('Invoice Lines'!$N$5:$N$804,'Invoice Lines'!$B$5:$B$804,A166))</f>
        <v>0</v>
      </c>
      <c r="S166" s="21">
        <f>IF(A166="","",ROUND(R166*IF(K166="",0,K166),2))</f>
        <v>0</v>
      </c>
      <c r="T166" s="21">
        <f>IF(A166="","",R166-S166)</f>
        <v>0</v>
      </c>
      <c r="U166" s="21">
        <f>IF(A166="","",ROUND(T166*TaxRate,2))</f>
        <v>0</v>
      </c>
      <c r="V166" s="21">
        <f>IF(A166="","",T166+U166)</f>
        <v>0</v>
      </c>
      <c r="W166" s="21">
        <f>IF(A166="","",SUMIFS(Payments!$G$5:$G$404,Payments!$D$5:$D$404,A166))</f>
        <v>0</v>
      </c>
      <c r="X166" s="21">
        <f>IF(A166="","",ROUND(V166-W166,2))</f>
        <v>0</v>
      </c>
      <c r="Y166" s="31">
        <f>IF(B166="","",IF(J166&lt;&gt;"",J166,IF(IFERROR(INDEX(Clients!$P$5:$P$204,MATCH(D166,Clients!$A$5:$A$204,0)),"")&lt;&gt;"",INDEX(Clients!$P$5:$P$204,MATCH(D166,Clients!$A$5:$A$204,0)),PaymentTerms)))</f>
        <v>0</v>
      </c>
      <c r="Z166" s="18">
        <f>IF(OR(A166="",B166=""),"",B166+Y166)</f>
        <v>0</v>
      </c>
      <c r="AA166" s="31">
        <f>IF(OR(A166="",Z166=""),"",IF(X166&lt;=0.004,"",MAX(0,TodayDate-Z166-OverdueGrace)))</f>
        <v>0</v>
      </c>
      <c r="AB166" s="39">
        <f>IF(B166="","",IF(X166&lt;=0.004,"Paid",IF(AA166="","Not due yet",IF(AA166=0,"Due now",IF(AA166&lt;=30,"1-30 days",IF(AA166&lt;=60,"31-60 days",IF(AA166&lt;=90,"61-90 days","90+ days")))))))</f>
        <v>0</v>
      </c>
      <c r="AC166" s="21">
        <f>IF(OR(A166="",AA166=""),"",IF(AA166&lt;=0,0,ROUND(X166*LateFeePercent,2)))</f>
        <v>0</v>
      </c>
      <c r="AD166" s="50">
        <f>IF(B166="","",IF(X166&lt;=0.004,"Yes","No"))</f>
        <v>0</v>
      </c>
      <c r="AE166" s="39">
        <f>IF(B166="","",IF(Q166=0,"Add - no lines on this invoice yet",IF(H166="Written off","Written off",IF(AD166="Yes","OK - paid",IF(H166="Draft","Draft - not sent yet",IF(AND(AA166&lt;&gt;"",AA166&gt;30),"Overdue - "&amp;AA166&amp;" days, call them",IF(AND(AA166&lt;&gt;"",AA166&gt;0),"Overdue - send a reminder",IF(W166&gt;0,"Part paid","Due - waiting for payment"))))))))</f>
        <v>0</v>
      </c>
    </row>
    <row r="167" spans="1:31">
      <c r="A167" s="43">
        <f>IF(B167="","",InvoicePrefix&amp;TEXT(ROW()-4,"0000"))</f>
        <v>0</v>
      </c>
      <c r="C167" s="23">
        <f>IF(B167="","",TEXT(B167,"yyyy-mm"))</f>
        <v>0</v>
      </c>
      <c r="E167" s="23">
        <f>IF(D167="","",IFERROR(INDEX(Clients!$B$5:$B$204,MATCH(D167,Clients!$A$5:$A$204,0)),"Not found"))</f>
        <v>0</v>
      </c>
      <c r="F167" s="23">
        <f>IF(D167="","",IFERROR(INDEX(Clients!$G$5:$G$204,MATCH(D167,Clients!$A$5:$A$204,0)),""))</f>
        <v>0</v>
      </c>
      <c r="Q167" s="31">
        <f>IF(A167="","",COUNTIFS('Invoice Lines'!$B$5:$B$804,A167))</f>
        <v>0</v>
      </c>
      <c r="R167" s="21">
        <f>IF(A167="","",SUMIFS('Invoice Lines'!$N$5:$N$804,'Invoice Lines'!$B$5:$B$804,A167))</f>
        <v>0</v>
      </c>
      <c r="S167" s="21">
        <f>IF(A167="","",ROUND(R167*IF(K167="",0,K167),2))</f>
        <v>0</v>
      </c>
      <c r="T167" s="21">
        <f>IF(A167="","",R167-S167)</f>
        <v>0</v>
      </c>
      <c r="U167" s="21">
        <f>IF(A167="","",ROUND(T167*TaxRate,2))</f>
        <v>0</v>
      </c>
      <c r="V167" s="21">
        <f>IF(A167="","",T167+U167)</f>
        <v>0</v>
      </c>
      <c r="W167" s="21">
        <f>IF(A167="","",SUMIFS(Payments!$G$5:$G$404,Payments!$D$5:$D$404,A167))</f>
        <v>0</v>
      </c>
      <c r="X167" s="21">
        <f>IF(A167="","",ROUND(V167-W167,2))</f>
        <v>0</v>
      </c>
      <c r="Y167" s="31">
        <f>IF(B167="","",IF(J167&lt;&gt;"",J167,IF(IFERROR(INDEX(Clients!$P$5:$P$204,MATCH(D167,Clients!$A$5:$A$204,0)),"")&lt;&gt;"",INDEX(Clients!$P$5:$P$204,MATCH(D167,Clients!$A$5:$A$204,0)),PaymentTerms)))</f>
        <v>0</v>
      </c>
      <c r="Z167" s="18">
        <f>IF(OR(A167="",B167=""),"",B167+Y167)</f>
        <v>0</v>
      </c>
      <c r="AA167" s="31">
        <f>IF(OR(A167="",Z167=""),"",IF(X167&lt;=0.004,"",MAX(0,TodayDate-Z167-OverdueGrace)))</f>
        <v>0</v>
      </c>
      <c r="AB167" s="39">
        <f>IF(B167="","",IF(X167&lt;=0.004,"Paid",IF(AA167="","Not due yet",IF(AA167=0,"Due now",IF(AA167&lt;=30,"1-30 days",IF(AA167&lt;=60,"31-60 days",IF(AA167&lt;=90,"61-90 days","90+ days")))))))</f>
        <v>0</v>
      </c>
      <c r="AC167" s="21">
        <f>IF(OR(A167="",AA167=""),"",IF(AA167&lt;=0,0,ROUND(X167*LateFeePercent,2)))</f>
        <v>0</v>
      </c>
      <c r="AD167" s="50">
        <f>IF(B167="","",IF(X167&lt;=0.004,"Yes","No"))</f>
        <v>0</v>
      </c>
      <c r="AE167" s="39">
        <f>IF(B167="","",IF(Q167=0,"Add - no lines on this invoice yet",IF(H167="Written off","Written off",IF(AD167="Yes","OK - paid",IF(H167="Draft","Draft - not sent yet",IF(AND(AA167&lt;&gt;"",AA167&gt;30),"Overdue - "&amp;AA167&amp;" days, call them",IF(AND(AA167&lt;&gt;"",AA167&gt;0),"Overdue - send a reminder",IF(W167&gt;0,"Part paid","Due - waiting for payment"))))))))</f>
        <v>0</v>
      </c>
    </row>
    <row r="168" spans="1:31">
      <c r="A168" s="43">
        <f>IF(B168="","",InvoicePrefix&amp;TEXT(ROW()-4,"0000"))</f>
        <v>0</v>
      </c>
      <c r="C168" s="23">
        <f>IF(B168="","",TEXT(B168,"yyyy-mm"))</f>
        <v>0</v>
      </c>
      <c r="E168" s="23">
        <f>IF(D168="","",IFERROR(INDEX(Clients!$B$5:$B$204,MATCH(D168,Clients!$A$5:$A$204,0)),"Not found"))</f>
        <v>0</v>
      </c>
      <c r="F168" s="23">
        <f>IF(D168="","",IFERROR(INDEX(Clients!$G$5:$G$204,MATCH(D168,Clients!$A$5:$A$204,0)),""))</f>
        <v>0</v>
      </c>
      <c r="Q168" s="31">
        <f>IF(A168="","",COUNTIFS('Invoice Lines'!$B$5:$B$804,A168))</f>
        <v>0</v>
      </c>
      <c r="R168" s="21">
        <f>IF(A168="","",SUMIFS('Invoice Lines'!$N$5:$N$804,'Invoice Lines'!$B$5:$B$804,A168))</f>
        <v>0</v>
      </c>
      <c r="S168" s="21">
        <f>IF(A168="","",ROUND(R168*IF(K168="",0,K168),2))</f>
        <v>0</v>
      </c>
      <c r="T168" s="21">
        <f>IF(A168="","",R168-S168)</f>
        <v>0</v>
      </c>
      <c r="U168" s="21">
        <f>IF(A168="","",ROUND(T168*TaxRate,2))</f>
        <v>0</v>
      </c>
      <c r="V168" s="21">
        <f>IF(A168="","",T168+U168)</f>
        <v>0</v>
      </c>
      <c r="W168" s="21">
        <f>IF(A168="","",SUMIFS(Payments!$G$5:$G$404,Payments!$D$5:$D$404,A168))</f>
        <v>0</v>
      </c>
      <c r="X168" s="21">
        <f>IF(A168="","",ROUND(V168-W168,2))</f>
        <v>0</v>
      </c>
      <c r="Y168" s="31">
        <f>IF(B168="","",IF(J168&lt;&gt;"",J168,IF(IFERROR(INDEX(Clients!$P$5:$P$204,MATCH(D168,Clients!$A$5:$A$204,0)),"")&lt;&gt;"",INDEX(Clients!$P$5:$P$204,MATCH(D168,Clients!$A$5:$A$204,0)),PaymentTerms)))</f>
        <v>0</v>
      </c>
      <c r="Z168" s="18">
        <f>IF(OR(A168="",B168=""),"",B168+Y168)</f>
        <v>0</v>
      </c>
      <c r="AA168" s="31">
        <f>IF(OR(A168="",Z168=""),"",IF(X168&lt;=0.004,"",MAX(0,TodayDate-Z168-OverdueGrace)))</f>
        <v>0</v>
      </c>
      <c r="AB168" s="39">
        <f>IF(B168="","",IF(X168&lt;=0.004,"Paid",IF(AA168="","Not due yet",IF(AA168=0,"Due now",IF(AA168&lt;=30,"1-30 days",IF(AA168&lt;=60,"31-60 days",IF(AA168&lt;=90,"61-90 days","90+ days")))))))</f>
        <v>0</v>
      </c>
      <c r="AC168" s="21">
        <f>IF(OR(A168="",AA168=""),"",IF(AA168&lt;=0,0,ROUND(X168*LateFeePercent,2)))</f>
        <v>0</v>
      </c>
      <c r="AD168" s="50">
        <f>IF(B168="","",IF(X168&lt;=0.004,"Yes","No"))</f>
        <v>0</v>
      </c>
      <c r="AE168" s="39">
        <f>IF(B168="","",IF(Q168=0,"Add - no lines on this invoice yet",IF(H168="Written off","Written off",IF(AD168="Yes","OK - paid",IF(H168="Draft","Draft - not sent yet",IF(AND(AA168&lt;&gt;"",AA168&gt;30),"Overdue - "&amp;AA168&amp;" days, call them",IF(AND(AA168&lt;&gt;"",AA168&gt;0),"Overdue - send a reminder",IF(W168&gt;0,"Part paid","Due - waiting for payment"))))))))</f>
        <v>0</v>
      </c>
    </row>
    <row r="169" spans="1:31">
      <c r="A169" s="43">
        <f>IF(B169="","",InvoicePrefix&amp;TEXT(ROW()-4,"0000"))</f>
        <v>0</v>
      </c>
      <c r="C169" s="23">
        <f>IF(B169="","",TEXT(B169,"yyyy-mm"))</f>
        <v>0</v>
      </c>
      <c r="E169" s="23">
        <f>IF(D169="","",IFERROR(INDEX(Clients!$B$5:$B$204,MATCH(D169,Clients!$A$5:$A$204,0)),"Not found"))</f>
        <v>0</v>
      </c>
      <c r="F169" s="23">
        <f>IF(D169="","",IFERROR(INDEX(Clients!$G$5:$G$204,MATCH(D169,Clients!$A$5:$A$204,0)),""))</f>
        <v>0</v>
      </c>
      <c r="Q169" s="31">
        <f>IF(A169="","",COUNTIFS('Invoice Lines'!$B$5:$B$804,A169))</f>
        <v>0</v>
      </c>
      <c r="R169" s="21">
        <f>IF(A169="","",SUMIFS('Invoice Lines'!$N$5:$N$804,'Invoice Lines'!$B$5:$B$804,A169))</f>
        <v>0</v>
      </c>
      <c r="S169" s="21">
        <f>IF(A169="","",ROUND(R169*IF(K169="",0,K169),2))</f>
        <v>0</v>
      </c>
      <c r="T169" s="21">
        <f>IF(A169="","",R169-S169)</f>
        <v>0</v>
      </c>
      <c r="U169" s="21">
        <f>IF(A169="","",ROUND(T169*TaxRate,2))</f>
        <v>0</v>
      </c>
      <c r="V169" s="21">
        <f>IF(A169="","",T169+U169)</f>
        <v>0</v>
      </c>
      <c r="W169" s="21">
        <f>IF(A169="","",SUMIFS(Payments!$G$5:$G$404,Payments!$D$5:$D$404,A169))</f>
        <v>0</v>
      </c>
      <c r="X169" s="21">
        <f>IF(A169="","",ROUND(V169-W169,2))</f>
        <v>0</v>
      </c>
      <c r="Y169" s="31">
        <f>IF(B169="","",IF(J169&lt;&gt;"",J169,IF(IFERROR(INDEX(Clients!$P$5:$P$204,MATCH(D169,Clients!$A$5:$A$204,0)),"")&lt;&gt;"",INDEX(Clients!$P$5:$P$204,MATCH(D169,Clients!$A$5:$A$204,0)),PaymentTerms)))</f>
        <v>0</v>
      </c>
      <c r="Z169" s="18">
        <f>IF(OR(A169="",B169=""),"",B169+Y169)</f>
        <v>0</v>
      </c>
      <c r="AA169" s="31">
        <f>IF(OR(A169="",Z169=""),"",IF(X169&lt;=0.004,"",MAX(0,TodayDate-Z169-OverdueGrace)))</f>
        <v>0</v>
      </c>
      <c r="AB169" s="39">
        <f>IF(B169="","",IF(X169&lt;=0.004,"Paid",IF(AA169="","Not due yet",IF(AA169=0,"Due now",IF(AA169&lt;=30,"1-30 days",IF(AA169&lt;=60,"31-60 days",IF(AA169&lt;=90,"61-90 days","90+ days")))))))</f>
        <v>0</v>
      </c>
      <c r="AC169" s="21">
        <f>IF(OR(A169="",AA169=""),"",IF(AA169&lt;=0,0,ROUND(X169*LateFeePercent,2)))</f>
        <v>0</v>
      </c>
      <c r="AD169" s="50">
        <f>IF(B169="","",IF(X169&lt;=0.004,"Yes","No"))</f>
        <v>0</v>
      </c>
      <c r="AE169" s="39">
        <f>IF(B169="","",IF(Q169=0,"Add - no lines on this invoice yet",IF(H169="Written off","Written off",IF(AD169="Yes","OK - paid",IF(H169="Draft","Draft - not sent yet",IF(AND(AA169&lt;&gt;"",AA169&gt;30),"Overdue - "&amp;AA169&amp;" days, call them",IF(AND(AA169&lt;&gt;"",AA169&gt;0),"Overdue - send a reminder",IF(W169&gt;0,"Part paid","Due - waiting for payment"))))))))</f>
        <v>0</v>
      </c>
    </row>
    <row r="170" spans="1:31">
      <c r="A170" s="43">
        <f>IF(B170="","",InvoicePrefix&amp;TEXT(ROW()-4,"0000"))</f>
        <v>0</v>
      </c>
      <c r="C170" s="23">
        <f>IF(B170="","",TEXT(B170,"yyyy-mm"))</f>
        <v>0</v>
      </c>
      <c r="E170" s="23">
        <f>IF(D170="","",IFERROR(INDEX(Clients!$B$5:$B$204,MATCH(D170,Clients!$A$5:$A$204,0)),"Not found"))</f>
        <v>0</v>
      </c>
      <c r="F170" s="23">
        <f>IF(D170="","",IFERROR(INDEX(Clients!$G$5:$G$204,MATCH(D170,Clients!$A$5:$A$204,0)),""))</f>
        <v>0</v>
      </c>
      <c r="Q170" s="31">
        <f>IF(A170="","",COUNTIFS('Invoice Lines'!$B$5:$B$804,A170))</f>
        <v>0</v>
      </c>
      <c r="R170" s="21">
        <f>IF(A170="","",SUMIFS('Invoice Lines'!$N$5:$N$804,'Invoice Lines'!$B$5:$B$804,A170))</f>
        <v>0</v>
      </c>
      <c r="S170" s="21">
        <f>IF(A170="","",ROUND(R170*IF(K170="",0,K170),2))</f>
        <v>0</v>
      </c>
      <c r="T170" s="21">
        <f>IF(A170="","",R170-S170)</f>
        <v>0</v>
      </c>
      <c r="U170" s="21">
        <f>IF(A170="","",ROUND(T170*TaxRate,2))</f>
        <v>0</v>
      </c>
      <c r="V170" s="21">
        <f>IF(A170="","",T170+U170)</f>
        <v>0</v>
      </c>
      <c r="W170" s="21">
        <f>IF(A170="","",SUMIFS(Payments!$G$5:$G$404,Payments!$D$5:$D$404,A170))</f>
        <v>0</v>
      </c>
      <c r="X170" s="21">
        <f>IF(A170="","",ROUND(V170-W170,2))</f>
        <v>0</v>
      </c>
      <c r="Y170" s="31">
        <f>IF(B170="","",IF(J170&lt;&gt;"",J170,IF(IFERROR(INDEX(Clients!$P$5:$P$204,MATCH(D170,Clients!$A$5:$A$204,0)),"")&lt;&gt;"",INDEX(Clients!$P$5:$P$204,MATCH(D170,Clients!$A$5:$A$204,0)),PaymentTerms)))</f>
        <v>0</v>
      </c>
      <c r="Z170" s="18">
        <f>IF(OR(A170="",B170=""),"",B170+Y170)</f>
        <v>0</v>
      </c>
      <c r="AA170" s="31">
        <f>IF(OR(A170="",Z170=""),"",IF(X170&lt;=0.004,"",MAX(0,TodayDate-Z170-OverdueGrace)))</f>
        <v>0</v>
      </c>
      <c r="AB170" s="39">
        <f>IF(B170="","",IF(X170&lt;=0.004,"Paid",IF(AA170="","Not due yet",IF(AA170=0,"Due now",IF(AA170&lt;=30,"1-30 days",IF(AA170&lt;=60,"31-60 days",IF(AA170&lt;=90,"61-90 days","90+ days")))))))</f>
        <v>0</v>
      </c>
      <c r="AC170" s="21">
        <f>IF(OR(A170="",AA170=""),"",IF(AA170&lt;=0,0,ROUND(X170*LateFeePercent,2)))</f>
        <v>0</v>
      </c>
      <c r="AD170" s="50">
        <f>IF(B170="","",IF(X170&lt;=0.004,"Yes","No"))</f>
        <v>0</v>
      </c>
      <c r="AE170" s="39">
        <f>IF(B170="","",IF(Q170=0,"Add - no lines on this invoice yet",IF(H170="Written off","Written off",IF(AD170="Yes","OK - paid",IF(H170="Draft","Draft - not sent yet",IF(AND(AA170&lt;&gt;"",AA170&gt;30),"Overdue - "&amp;AA170&amp;" days, call them",IF(AND(AA170&lt;&gt;"",AA170&gt;0),"Overdue - send a reminder",IF(W170&gt;0,"Part paid","Due - waiting for payment"))))))))</f>
        <v>0</v>
      </c>
    </row>
    <row r="171" spans="1:31">
      <c r="A171" s="43">
        <f>IF(B171="","",InvoicePrefix&amp;TEXT(ROW()-4,"0000"))</f>
        <v>0</v>
      </c>
      <c r="C171" s="23">
        <f>IF(B171="","",TEXT(B171,"yyyy-mm"))</f>
        <v>0</v>
      </c>
      <c r="E171" s="23">
        <f>IF(D171="","",IFERROR(INDEX(Clients!$B$5:$B$204,MATCH(D171,Clients!$A$5:$A$204,0)),"Not found"))</f>
        <v>0</v>
      </c>
      <c r="F171" s="23">
        <f>IF(D171="","",IFERROR(INDEX(Clients!$G$5:$G$204,MATCH(D171,Clients!$A$5:$A$204,0)),""))</f>
        <v>0</v>
      </c>
      <c r="Q171" s="31">
        <f>IF(A171="","",COUNTIFS('Invoice Lines'!$B$5:$B$804,A171))</f>
        <v>0</v>
      </c>
      <c r="R171" s="21">
        <f>IF(A171="","",SUMIFS('Invoice Lines'!$N$5:$N$804,'Invoice Lines'!$B$5:$B$804,A171))</f>
        <v>0</v>
      </c>
      <c r="S171" s="21">
        <f>IF(A171="","",ROUND(R171*IF(K171="",0,K171),2))</f>
        <v>0</v>
      </c>
      <c r="T171" s="21">
        <f>IF(A171="","",R171-S171)</f>
        <v>0</v>
      </c>
      <c r="U171" s="21">
        <f>IF(A171="","",ROUND(T171*TaxRate,2))</f>
        <v>0</v>
      </c>
      <c r="V171" s="21">
        <f>IF(A171="","",T171+U171)</f>
        <v>0</v>
      </c>
      <c r="W171" s="21">
        <f>IF(A171="","",SUMIFS(Payments!$G$5:$G$404,Payments!$D$5:$D$404,A171))</f>
        <v>0</v>
      </c>
      <c r="X171" s="21">
        <f>IF(A171="","",ROUND(V171-W171,2))</f>
        <v>0</v>
      </c>
      <c r="Y171" s="31">
        <f>IF(B171="","",IF(J171&lt;&gt;"",J171,IF(IFERROR(INDEX(Clients!$P$5:$P$204,MATCH(D171,Clients!$A$5:$A$204,0)),"")&lt;&gt;"",INDEX(Clients!$P$5:$P$204,MATCH(D171,Clients!$A$5:$A$204,0)),PaymentTerms)))</f>
        <v>0</v>
      </c>
      <c r="Z171" s="18">
        <f>IF(OR(A171="",B171=""),"",B171+Y171)</f>
        <v>0</v>
      </c>
      <c r="AA171" s="31">
        <f>IF(OR(A171="",Z171=""),"",IF(X171&lt;=0.004,"",MAX(0,TodayDate-Z171-OverdueGrace)))</f>
        <v>0</v>
      </c>
      <c r="AB171" s="39">
        <f>IF(B171="","",IF(X171&lt;=0.004,"Paid",IF(AA171="","Not due yet",IF(AA171=0,"Due now",IF(AA171&lt;=30,"1-30 days",IF(AA171&lt;=60,"31-60 days",IF(AA171&lt;=90,"61-90 days","90+ days")))))))</f>
        <v>0</v>
      </c>
      <c r="AC171" s="21">
        <f>IF(OR(A171="",AA171=""),"",IF(AA171&lt;=0,0,ROUND(X171*LateFeePercent,2)))</f>
        <v>0</v>
      </c>
      <c r="AD171" s="50">
        <f>IF(B171="","",IF(X171&lt;=0.004,"Yes","No"))</f>
        <v>0</v>
      </c>
      <c r="AE171" s="39">
        <f>IF(B171="","",IF(Q171=0,"Add - no lines on this invoice yet",IF(H171="Written off","Written off",IF(AD171="Yes","OK - paid",IF(H171="Draft","Draft - not sent yet",IF(AND(AA171&lt;&gt;"",AA171&gt;30),"Overdue - "&amp;AA171&amp;" days, call them",IF(AND(AA171&lt;&gt;"",AA171&gt;0),"Overdue - send a reminder",IF(W171&gt;0,"Part paid","Due - waiting for payment"))))))))</f>
        <v>0</v>
      </c>
    </row>
    <row r="172" spans="1:31">
      <c r="A172" s="43">
        <f>IF(B172="","",InvoicePrefix&amp;TEXT(ROW()-4,"0000"))</f>
        <v>0</v>
      </c>
      <c r="C172" s="23">
        <f>IF(B172="","",TEXT(B172,"yyyy-mm"))</f>
        <v>0</v>
      </c>
      <c r="E172" s="23">
        <f>IF(D172="","",IFERROR(INDEX(Clients!$B$5:$B$204,MATCH(D172,Clients!$A$5:$A$204,0)),"Not found"))</f>
        <v>0</v>
      </c>
      <c r="F172" s="23">
        <f>IF(D172="","",IFERROR(INDEX(Clients!$G$5:$G$204,MATCH(D172,Clients!$A$5:$A$204,0)),""))</f>
        <v>0</v>
      </c>
      <c r="Q172" s="31">
        <f>IF(A172="","",COUNTIFS('Invoice Lines'!$B$5:$B$804,A172))</f>
        <v>0</v>
      </c>
      <c r="R172" s="21">
        <f>IF(A172="","",SUMIFS('Invoice Lines'!$N$5:$N$804,'Invoice Lines'!$B$5:$B$804,A172))</f>
        <v>0</v>
      </c>
      <c r="S172" s="21">
        <f>IF(A172="","",ROUND(R172*IF(K172="",0,K172),2))</f>
        <v>0</v>
      </c>
      <c r="T172" s="21">
        <f>IF(A172="","",R172-S172)</f>
        <v>0</v>
      </c>
      <c r="U172" s="21">
        <f>IF(A172="","",ROUND(T172*TaxRate,2))</f>
        <v>0</v>
      </c>
      <c r="V172" s="21">
        <f>IF(A172="","",T172+U172)</f>
        <v>0</v>
      </c>
      <c r="W172" s="21">
        <f>IF(A172="","",SUMIFS(Payments!$G$5:$G$404,Payments!$D$5:$D$404,A172))</f>
        <v>0</v>
      </c>
      <c r="X172" s="21">
        <f>IF(A172="","",ROUND(V172-W172,2))</f>
        <v>0</v>
      </c>
      <c r="Y172" s="31">
        <f>IF(B172="","",IF(J172&lt;&gt;"",J172,IF(IFERROR(INDEX(Clients!$P$5:$P$204,MATCH(D172,Clients!$A$5:$A$204,0)),"")&lt;&gt;"",INDEX(Clients!$P$5:$P$204,MATCH(D172,Clients!$A$5:$A$204,0)),PaymentTerms)))</f>
        <v>0</v>
      </c>
      <c r="Z172" s="18">
        <f>IF(OR(A172="",B172=""),"",B172+Y172)</f>
        <v>0</v>
      </c>
      <c r="AA172" s="31">
        <f>IF(OR(A172="",Z172=""),"",IF(X172&lt;=0.004,"",MAX(0,TodayDate-Z172-OverdueGrace)))</f>
        <v>0</v>
      </c>
      <c r="AB172" s="39">
        <f>IF(B172="","",IF(X172&lt;=0.004,"Paid",IF(AA172="","Not due yet",IF(AA172=0,"Due now",IF(AA172&lt;=30,"1-30 days",IF(AA172&lt;=60,"31-60 days",IF(AA172&lt;=90,"61-90 days","90+ days")))))))</f>
        <v>0</v>
      </c>
      <c r="AC172" s="21">
        <f>IF(OR(A172="",AA172=""),"",IF(AA172&lt;=0,0,ROUND(X172*LateFeePercent,2)))</f>
        <v>0</v>
      </c>
      <c r="AD172" s="50">
        <f>IF(B172="","",IF(X172&lt;=0.004,"Yes","No"))</f>
        <v>0</v>
      </c>
      <c r="AE172" s="39">
        <f>IF(B172="","",IF(Q172=0,"Add - no lines on this invoice yet",IF(H172="Written off","Written off",IF(AD172="Yes","OK - paid",IF(H172="Draft","Draft - not sent yet",IF(AND(AA172&lt;&gt;"",AA172&gt;30),"Overdue - "&amp;AA172&amp;" days, call them",IF(AND(AA172&lt;&gt;"",AA172&gt;0),"Overdue - send a reminder",IF(W172&gt;0,"Part paid","Due - waiting for payment"))))))))</f>
        <v>0</v>
      </c>
    </row>
    <row r="173" spans="1:31">
      <c r="A173" s="43">
        <f>IF(B173="","",InvoicePrefix&amp;TEXT(ROW()-4,"0000"))</f>
        <v>0</v>
      </c>
      <c r="C173" s="23">
        <f>IF(B173="","",TEXT(B173,"yyyy-mm"))</f>
        <v>0</v>
      </c>
      <c r="E173" s="23">
        <f>IF(D173="","",IFERROR(INDEX(Clients!$B$5:$B$204,MATCH(D173,Clients!$A$5:$A$204,0)),"Not found"))</f>
        <v>0</v>
      </c>
      <c r="F173" s="23">
        <f>IF(D173="","",IFERROR(INDEX(Clients!$G$5:$G$204,MATCH(D173,Clients!$A$5:$A$204,0)),""))</f>
        <v>0</v>
      </c>
      <c r="Q173" s="31">
        <f>IF(A173="","",COUNTIFS('Invoice Lines'!$B$5:$B$804,A173))</f>
        <v>0</v>
      </c>
      <c r="R173" s="21">
        <f>IF(A173="","",SUMIFS('Invoice Lines'!$N$5:$N$804,'Invoice Lines'!$B$5:$B$804,A173))</f>
        <v>0</v>
      </c>
      <c r="S173" s="21">
        <f>IF(A173="","",ROUND(R173*IF(K173="",0,K173),2))</f>
        <v>0</v>
      </c>
      <c r="T173" s="21">
        <f>IF(A173="","",R173-S173)</f>
        <v>0</v>
      </c>
      <c r="U173" s="21">
        <f>IF(A173="","",ROUND(T173*TaxRate,2))</f>
        <v>0</v>
      </c>
      <c r="V173" s="21">
        <f>IF(A173="","",T173+U173)</f>
        <v>0</v>
      </c>
      <c r="W173" s="21">
        <f>IF(A173="","",SUMIFS(Payments!$G$5:$G$404,Payments!$D$5:$D$404,A173))</f>
        <v>0</v>
      </c>
      <c r="X173" s="21">
        <f>IF(A173="","",ROUND(V173-W173,2))</f>
        <v>0</v>
      </c>
      <c r="Y173" s="31">
        <f>IF(B173="","",IF(J173&lt;&gt;"",J173,IF(IFERROR(INDEX(Clients!$P$5:$P$204,MATCH(D173,Clients!$A$5:$A$204,0)),"")&lt;&gt;"",INDEX(Clients!$P$5:$P$204,MATCH(D173,Clients!$A$5:$A$204,0)),PaymentTerms)))</f>
        <v>0</v>
      </c>
      <c r="Z173" s="18">
        <f>IF(OR(A173="",B173=""),"",B173+Y173)</f>
        <v>0</v>
      </c>
      <c r="AA173" s="31">
        <f>IF(OR(A173="",Z173=""),"",IF(X173&lt;=0.004,"",MAX(0,TodayDate-Z173-OverdueGrace)))</f>
        <v>0</v>
      </c>
      <c r="AB173" s="39">
        <f>IF(B173="","",IF(X173&lt;=0.004,"Paid",IF(AA173="","Not due yet",IF(AA173=0,"Due now",IF(AA173&lt;=30,"1-30 days",IF(AA173&lt;=60,"31-60 days",IF(AA173&lt;=90,"61-90 days","90+ days")))))))</f>
        <v>0</v>
      </c>
      <c r="AC173" s="21">
        <f>IF(OR(A173="",AA173=""),"",IF(AA173&lt;=0,0,ROUND(X173*LateFeePercent,2)))</f>
        <v>0</v>
      </c>
      <c r="AD173" s="50">
        <f>IF(B173="","",IF(X173&lt;=0.004,"Yes","No"))</f>
        <v>0</v>
      </c>
      <c r="AE173" s="39">
        <f>IF(B173="","",IF(Q173=0,"Add - no lines on this invoice yet",IF(H173="Written off","Written off",IF(AD173="Yes","OK - paid",IF(H173="Draft","Draft - not sent yet",IF(AND(AA173&lt;&gt;"",AA173&gt;30),"Overdue - "&amp;AA173&amp;" days, call them",IF(AND(AA173&lt;&gt;"",AA173&gt;0),"Overdue - send a reminder",IF(W173&gt;0,"Part paid","Due - waiting for payment"))))))))</f>
        <v>0</v>
      </c>
    </row>
    <row r="174" spans="1:31">
      <c r="A174" s="43">
        <f>IF(B174="","",InvoicePrefix&amp;TEXT(ROW()-4,"0000"))</f>
        <v>0</v>
      </c>
      <c r="C174" s="23">
        <f>IF(B174="","",TEXT(B174,"yyyy-mm"))</f>
        <v>0</v>
      </c>
      <c r="E174" s="23">
        <f>IF(D174="","",IFERROR(INDEX(Clients!$B$5:$B$204,MATCH(D174,Clients!$A$5:$A$204,0)),"Not found"))</f>
        <v>0</v>
      </c>
      <c r="F174" s="23">
        <f>IF(D174="","",IFERROR(INDEX(Clients!$G$5:$G$204,MATCH(D174,Clients!$A$5:$A$204,0)),""))</f>
        <v>0</v>
      </c>
      <c r="Q174" s="31">
        <f>IF(A174="","",COUNTIFS('Invoice Lines'!$B$5:$B$804,A174))</f>
        <v>0</v>
      </c>
      <c r="R174" s="21">
        <f>IF(A174="","",SUMIFS('Invoice Lines'!$N$5:$N$804,'Invoice Lines'!$B$5:$B$804,A174))</f>
        <v>0</v>
      </c>
      <c r="S174" s="21">
        <f>IF(A174="","",ROUND(R174*IF(K174="",0,K174),2))</f>
        <v>0</v>
      </c>
      <c r="T174" s="21">
        <f>IF(A174="","",R174-S174)</f>
        <v>0</v>
      </c>
      <c r="U174" s="21">
        <f>IF(A174="","",ROUND(T174*TaxRate,2))</f>
        <v>0</v>
      </c>
      <c r="V174" s="21">
        <f>IF(A174="","",T174+U174)</f>
        <v>0</v>
      </c>
      <c r="W174" s="21">
        <f>IF(A174="","",SUMIFS(Payments!$G$5:$G$404,Payments!$D$5:$D$404,A174))</f>
        <v>0</v>
      </c>
      <c r="X174" s="21">
        <f>IF(A174="","",ROUND(V174-W174,2))</f>
        <v>0</v>
      </c>
      <c r="Y174" s="31">
        <f>IF(B174="","",IF(J174&lt;&gt;"",J174,IF(IFERROR(INDEX(Clients!$P$5:$P$204,MATCH(D174,Clients!$A$5:$A$204,0)),"")&lt;&gt;"",INDEX(Clients!$P$5:$P$204,MATCH(D174,Clients!$A$5:$A$204,0)),PaymentTerms)))</f>
        <v>0</v>
      </c>
      <c r="Z174" s="18">
        <f>IF(OR(A174="",B174=""),"",B174+Y174)</f>
        <v>0</v>
      </c>
      <c r="AA174" s="31">
        <f>IF(OR(A174="",Z174=""),"",IF(X174&lt;=0.004,"",MAX(0,TodayDate-Z174-OverdueGrace)))</f>
        <v>0</v>
      </c>
      <c r="AB174" s="39">
        <f>IF(B174="","",IF(X174&lt;=0.004,"Paid",IF(AA174="","Not due yet",IF(AA174=0,"Due now",IF(AA174&lt;=30,"1-30 days",IF(AA174&lt;=60,"31-60 days",IF(AA174&lt;=90,"61-90 days","90+ days")))))))</f>
        <v>0</v>
      </c>
      <c r="AC174" s="21">
        <f>IF(OR(A174="",AA174=""),"",IF(AA174&lt;=0,0,ROUND(X174*LateFeePercent,2)))</f>
        <v>0</v>
      </c>
      <c r="AD174" s="50">
        <f>IF(B174="","",IF(X174&lt;=0.004,"Yes","No"))</f>
        <v>0</v>
      </c>
      <c r="AE174" s="39">
        <f>IF(B174="","",IF(Q174=0,"Add - no lines on this invoice yet",IF(H174="Written off","Written off",IF(AD174="Yes","OK - paid",IF(H174="Draft","Draft - not sent yet",IF(AND(AA174&lt;&gt;"",AA174&gt;30),"Overdue - "&amp;AA174&amp;" days, call them",IF(AND(AA174&lt;&gt;"",AA174&gt;0),"Overdue - send a reminder",IF(W174&gt;0,"Part paid","Due - waiting for payment"))))))))</f>
        <v>0</v>
      </c>
    </row>
    <row r="175" spans="1:31">
      <c r="A175" s="43">
        <f>IF(B175="","",InvoicePrefix&amp;TEXT(ROW()-4,"0000"))</f>
        <v>0</v>
      </c>
      <c r="C175" s="23">
        <f>IF(B175="","",TEXT(B175,"yyyy-mm"))</f>
        <v>0</v>
      </c>
      <c r="E175" s="23">
        <f>IF(D175="","",IFERROR(INDEX(Clients!$B$5:$B$204,MATCH(D175,Clients!$A$5:$A$204,0)),"Not found"))</f>
        <v>0</v>
      </c>
      <c r="F175" s="23">
        <f>IF(D175="","",IFERROR(INDEX(Clients!$G$5:$G$204,MATCH(D175,Clients!$A$5:$A$204,0)),""))</f>
        <v>0</v>
      </c>
      <c r="Q175" s="31">
        <f>IF(A175="","",COUNTIFS('Invoice Lines'!$B$5:$B$804,A175))</f>
        <v>0</v>
      </c>
      <c r="R175" s="21">
        <f>IF(A175="","",SUMIFS('Invoice Lines'!$N$5:$N$804,'Invoice Lines'!$B$5:$B$804,A175))</f>
        <v>0</v>
      </c>
      <c r="S175" s="21">
        <f>IF(A175="","",ROUND(R175*IF(K175="",0,K175),2))</f>
        <v>0</v>
      </c>
      <c r="T175" s="21">
        <f>IF(A175="","",R175-S175)</f>
        <v>0</v>
      </c>
      <c r="U175" s="21">
        <f>IF(A175="","",ROUND(T175*TaxRate,2))</f>
        <v>0</v>
      </c>
      <c r="V175" s="21">
        <f>IF(A175="","",T175+U175)</f>
        <v>0</v>
      </c>
      <c r="W175" s="21">
        <f>IF(A175="","",SUMIFS(Payments!$G$5:$G$404,Payments!$D$5:$D$404,A175))</f>
        <v>0</v>
      </c>
      <c r="X175" s="21">
        <f>IF(A175="","",ROUND(V175-W175,2))</f>
        <v>0</v>
      </c>
      <c r="Y175" s="31">
        <f>IF(B175="","",IF(J175&lt;&gt;"",J175,IF(IFERROR(INDEX(Clients!$P$5:$P$204,MATCH(D175,Clients!$A$5:$A$204,0)),"")&lt;&gt;"",INDEX(Clients!$P$5:$P$204,MATCH(D175,Clients!$A$5:$A$204,0)),PaymentTerms)))</f>
        <v>0</v>
      </c>
      <c r="Z175" s="18">
        <f>IF(OR(A175="",B175=""),"",B175+Y175)</f>
        <v>0</v>
      </c>
      <c r="AA175" s="31">
        <f>IF(OR(A175="",Z175=""),"",IF(X175&lt;=0.004,"",MAX(0,TodayDate-Z175-OverdueGrace)))</f>
        <v>0</v>
      </c>
      <c r="AB175" s="39">
        <f>IF(B175="","",IF(X175&lt;=0.004,"Paid",IF(AA175="","Not due yet",IF(AA175=0,"Due now",IF(AA175&lt;=30,"1-30 days",IF(AA175&lt;=60,"31-60 days",IF(AA175&lt;=90,"61-90 days","90+ days")))))))</f>
        <v>0</v>
      </c>
      <c r="AC175" s="21">
        <f>IF(OR(A175="",AA175=""),"",IF(AA175&lt;=0,0,ROUND(X175*LateFeePercent,2)))</f>
        <v>0</v>
      </c>
      <c r="AD175" s="50">
        <f>IF(B175="","",IF(X175&lt;=0.004,"Yes","No"))</f>
        <v>0</v>
      </c>
      <c r="AE175" s="39">
        <f>IF(B175="","",IF(Q175=0,"Add - no lines on this invoice yet",IF(H175="Written off","Written off",IF(AD175="Yes","OK - paid",IF(H175="Draft","Draft - not sent yet",IF(AND(AA175&lt;&gt;"",AA175&gt;30),"Overdue - "&amp;AA175&amp;" days, call them",IF(AND(AA175&lt;&gt;"",AA175&gt;0),"Overdue - send a reminder",IF(W175&gt;0,"Part paid","Due - waiting for payment"))))))))</f>
        <v>0</v>
      </c>
    </row>
    <row r="176" spans="1:31">
      <c r="A176" s="43">
        <f>IF(B176="","",InvoicePrefix&amp;TEXT(ROW()-4,"0000"))</f>
        <v>0</v>
      </c>
      <c r="C176" s="23">
        <f>IF(B176="","",TEXT(B176,"yyyy-mm"))</f>
        <v>0</v>
      </c>
      <c r="E176" s="23">
        <f>IF(D176="","",IFERROR(INDEX(Clients!$B$5:$B$204,MATCH(D176,Clients!$A$5:$A$204,0)),"Not found"))</f>
        <v>0</v>
      </c>
      <c r="F176" s="23">
        <f>IF(D176="","",IFERROR(INDEX(Clients!$G$5:$G$204,MATCH(D176,Clients!$A$5:$A$204,0)),""))</f>
        <v>0</v>
      </c>
      <c r="Q176" s="31">
        <f>IF(A176="","",COUNTIFS('Invoice Lines'!$B$5:$B$804,A176))</f>
        <v>0</v>
      </c>
      <c r="R176" s="21">
        <f>IF(A176="","",SUMIFS('Invoice Lines'!$N$5:$N$804,'Invoice Lines'!$B$5:$B$804,A176))</f>
        <v>0</v>
      </c>
      <c r="S176" s="21">
        <f>IF(A176="","",ROUND(R176*IF(K176="",0,K176),2))</f>
        <v>0</v>
      </c>
      <c r="T176" s="21">
        <f>IF(A176="","",R176-S176)</f>
        <v>0</v>
      </c>
      <c r="U176" s="21">
        <f>IF(A176="","",ROUND(T176*TaxRate,2))</f>
        <v>0</v>
      </c>
      <c r="V176" s="21">
        <f>IF(A176="","",T176+U176)</f>
        <v>0</v>
      </c>
      <c r="W176" s="21">
        <f>IF(A176="","",SUMIFS(Payments!$G$5:$G$404,Payments!$D$5:$D$404,A176))</f>
        <v>0</v>
      </c>
      <c r="X176" s="21">
        <f>IF(A176="","",ROUND(V176-W176,2))</f>
        <v>0</v>
      </c>
      <c r="Y176" s="31">
        <f>IF(B176="","",IF(J176&lt;&gt;"",J176,IF(IFERROR(INDEX(Clients!$P$5:$P$204,MATCH(D176,Clients!$A$5:$A$204,0)),"")&lt;&gt;"",INDEX(Clients!$P$5:$P$204,MATCH(D176,Clients!$A$5:$A$204,0)),PaymentTerms)))</f>
        <v>0</v>
      </c>
      <c r="Z176" s="18">
        <f>IF(OR(A176="",B176=""),"",B176+Y176)</f>
        <v>0</v>
      </c>
      <c r="AA176" s="31">
        <f>IF(OR(A176="",Z176=""),"",IF(X176&lt;=0.004,"",MAX(0,TodayDate-Z176-OverdueGrace)))</f>
        <v>0</v>
      </c>
      <c r="AB176" s="39">
        <f>IF(B176="","",IF(X176&lt;=0.004,"Paid",IF(AA176="","Not due yet",IF(AA176=0,"Due now",IF(AA176&lt;=30,"1-30 days",IF(AA176&lt;=60,"31-60 days",IF(AA176&lt;=90,"61-90 days","90+ days")))))))</f>
        <v>0</v>
      </c>
      <c r="AC176" s="21">
        <f>IF(OR(A176="",AA176=""),"",IF(AA176&lt;=0,0,ROUND(X176*LateFeePercent,2)))</f>
        <v>0</v>
      </c>
      <c r="AD176" s="50">
        <f>IF(B176="","",IF(X176&lt;=0.004,"Yes","No"))</f>
        <v>0</v>
      </c>
      <c r="AE176" s="39">
        <f>IF(B176="","",IF(Q176=0,"Add - no lines on this invoice yet",IF(H176="Written off","Written off",IF(AD176="Yes","OK - paid",IF(H176="Draft","Draft - not sent yet",IF(AND(AA176&lt;&gt;"",AA176&gt;30),"Overdue - "&amp;AA176&amp;" days, call them",IF(AND(AA176&lt;&gt;"",AA176&gt;0),"Overdue - send a reminder",IF(W176&gt;0,"Part paid","Due - waiting for payment"))))))))</f>
        <v>0</v>
      </c>
    </row>
    <row r="177" spans="1:31">
      <c r="A177" s="43">
        <f>IF(B177="","",InvoicePrefix&amp;TEXT(ROW()-4,"0000"))</f>
        <v>0</v>
      </c>
      <c r="C177" s="23">
        <f>IF(B177="","",TEXT(B177,"yyyy-mm"))</f>
        <v>0</v>
      </c>
      <c r="E177" s="23">
        <f>IF(D177="","",IFERROR(INDEX(Clients!$B$5:$B$204,MATCH(D177,Clients!$A$5:$A$204,0)),"Not found"))</f>
        <v>0</v>
      </c>
      <c r="F177" s="23">
        <f>IF(D177="","",IFERROR(INDEX(Clients!$G$5:$G$204,MATCH(D177,Clients!$A$5:$A$204,0)),""))</f>
        <v>0</v>
      </c>
      <c r="Q177" s="31">
        <f>IF(A177="","",COUNTIFS('Invoice Lines'!$B$5:$B$804,A177))</f>
        <v>0</v>
      </c>
      <c r="R177" s="21">
        <f>IF(A177="","",SUMIFS('Invoice Lines'!$N$5:$N$804,'Invoice Lines'!$B$5:$B$804,A177))</f>
        <v>0</v>
      </c>
      <c r="S177" s="21">
        <f>IF(A177="","",ROUND(R177*IF(K177="",0,K177),2))</f>
        <v>0</v>
      </c>
      <c r="T177" s="21">
        <f>IF(A177="","",R177-S177)</f>
        <v>0</v>
      </c>
      <c r="U177" s="21">
        <f>IF(A177="","",ROUND(T177*TaxRate,2))</f>
        <v>0</v>
      </c>
      <c r="V177" s="21">
        <f>IF(A177="","",T177+U177)</f>
        <v>0</v>
      </c>
      <c r="W177" s="21">
        <f>IF(A177="","",SUMIFS(Payments!$G$5:$G$404,Payments!$D$5:$D$404,A177))</f>
        <v>0</v>
      </c>
      <c r="X177" s="21">
        <f>IF(A177="","",ROUND(V177-W177,2))</f>
        <v>0</v>
      </c>
      <c r="Y177" s="31">
        <f>IF(B177="","",IF(J177&lt;&gt;"",J177,IF(IFERROR(INDEX(Clients!$P$5:$P$204,MATCH(D177,Clients!$A$5:$A$204,0)),"")&lt;&gt;"",INDEX(Clients!$P$5:$P$204,MATCH(D177,Clients!$A$5:$A$204,0)),PaymentTerms)))</f>
        <v>0</v>
      </c>
      <c r="Z177" s="18">
        <f>IF(OR(A177="",B177=""),"",B177+Y177)</f>
        <v>0</v>
      </c>
      <c r="AA177" s="31">
        <f>IF(OR(A177="",Z177=""),"",IF(X177&lt;=0.004,"",MAX(0,TodayDate-Z177-OverdueGrace)))</f>
        <v>0</v>
      </c>
      <c r="AB177" s="39">
        <f>IF(B177="","",IF(X177&lt;=0.004,"Paid",IF(AA177="","Not due yet",IF(AA177=0,"Due now",IF(AA177&lt;=30,"1-30 days",IF(AA177&lt;=60,"31-60 days",IF(AA177&lt;=90,"61-90 days","90+ days")))))))</f>
        <v>0</v>
      </c>
      <c r="AC177" s="21">
        <f>IF(OR(A177="",AA177=""),"",IF(AA177&lt;=0,0,ROUND(X177*LateFeePercent,2)))</f>
        <v>0</v>
      </c>
      <c r="AD177" s="50">
        <f>IF(B177="","",IF(X177&lt;=0.004,"Yes","No"))</f>
        <v>0</v>
      </c>
      <c r="AE177" s="39">
        <f>IF(B177="","",IF(Q177=0,"Add - no lines on this invoice yet",IF(H177="Written off","Written off",IF(AD177="Yes","OK - paid",IF(H177="Draft","Draft - not sent yet",IF(AND(AA177&lt;&gt;"",AA177&gt;30),"Overdue - "&amp;AA177&amp;" days, call them",IF(AND(AA177&lt;&gt;"",AA177&gt;0),"Overdue - send a reminder",IF(W177&gt;0,"Part paid","Due - waiting for payment"))))))))</f>
        <v>0</v>
      </c>
    </row>
    <row r="178" spans="1:31">
      <c r="A178" s="43">
        <f>IF(B178="","",InvoicePrefix&amp;TEXT(ROW()-4,"0000"))</f>
        <v>0</v>
      </c>
      <c r="C178" s="23">
        <f>IF(B178="","",TEXT(B178,"yyyy-mm"))</f>
        <v>0</v>
      </c>
      <c r="E178" s="23">
        <f>IF(D178="","",IFERROR(INDEX(Clients!$B$5:$B$204,MATCH(D178,Clients!$A$5:$A$204,0)),"Not found"))</f>
        <v>0</v>
      </c>
      <c r="F178" s="23">
        <f>IF(D178="","",IFERROR(INDEX(Clients!$G$5:$G$204,MATCH(D178,Clients!$A$5:$A$204,0)),""))</f>
        <v>0</v>
      </c>
      <c r="Q178" s="31">
        <f>IF(A178="","",COUNTIFS('Invoice Lines'!$B$5:$B$804,A178))</f>
        <v>0</v>
      </c>
      <c r="R178" s="21">
        <f>IF(A178="","",SUMIFS('Invoice Lines'!$N$5:$N$804,'Invoice Lines'!$B$5:$B$804,A178))</f>
        <v>0</v>
      </c>
      <c r="S178" s="21">
        <f>IF(A178="","",ROUND(R178*IF(K178="",0,K178),2))</f>
        <v>0</v>
      </c>
      <c r="T178" s="21">
        <f>IF(A178="","",R178-S178)</f>
        <v>0</v>
      </c>
      <c r="U178" s="21">
        <f>IF(A178="","",ROUND(T178*TaxRate,2))</f>
        <v>0</v>
      </c>
      <c r="V178" s="21">
        <f>IF(A178="","",T178+U178)</f>
        <v>0</v>
      </c>
      <c r="W178" s="21">
        <f>IF(A178="","",SUMIFS(Payments!$G$5:$G$404,Payments!$D$5:$D$404,A178))</f>
        <v>0</v>
      </c>
      <c r="X178" s="21">
        <f>IF(A178="","",ROUND(V178-W178,2))</f>
        <v>0</v>
      </c>
      <c r="Y178" s="31">
        <f>IF(B178="","",IF(J178&lt;&gt;"",J178,IF(IFERROR(INDEX(Clients!$P$5:$P$204,MATCH(D178,Clients!$A$5:$A$204,0)),"")&lt;&gt;"",INDEX(Clients!$P$5:$P$204,MATCH(D178,Clients!$A$5:$A$204,0)),PaymentTerms)))</f>
        <v>0</v>
      </c>
      <c r="Z178" s="18">
        <f>IF(OR(A178="",B178=""),"",B178+Y178)</f>
        <v>0</v>
      </c>
      <c r="AA178" s="31">
        <f>IF(OR(A178="",Z178=""),"",IF(X178&lt;=0.004,"",MAX(0,TodayDate-Z178-OverdueGrace)))</f>
        <v>0</v>
      </c>
      <c r="AB178" s="39">
        <f>IF(B178="","",IF(X178&lt;=0.004,"Paid",IF(AA178="","Not due yet",IF(AA178=0,"Due now",IF(AA178&lt;=30,"1-30 days",IF(AA178&lt;=60,"31-60 days",IF(AA178&lt;=90,"61-90 days","90+ days")))))))</f>
        <v>0</v>
      </c>
      <c r="AC178" s="21">
        <f>IF(OR(A178="",AA178=""),"",IF(AA178&lt;=0,0,ROUND(X178*LateFeePercent,2)))</f>
        <v>0</v>
      </c>
      <c r="AD178" s="50">
        <f>IF(B178="","",IF(X178&lt;=0.004,"Yes","No"))</f>
        <v>0</v>
      </c>
      <c r="AE178" s="39">
        <f>IF(B178="","",IF(Q178=0,"Add - no lines on this invoice yet",IF(H178="Written off","Written off",IF(AD178="Yes","OK - paid",IF(H178="Draft","Draft - not sent yet",IF(AND(AA178&lt;&gt;"",AA178&gt;30),"Overdue - "&amp;AA178&amp;" days, call them",IF(AND(AA178&lt;&gt;"",AA178&gt;0),"Overdue - send a reminder",IF(W178&gt;0,"Part paid","Due - waiting for payment"))))))))</f>
        <v>0</v>
      </c>
    </row>
    <row r="179" spans="1:31">
      <c r="A179" s="43">
        <f>IF(B179="","",InvoicePrefix&amp;TEXT(ROW()-4,"0000"))</f>
        <v>0</v>
      </c>
      <c r="C179" s="23">
        <f>IF(B179="","",TEXT(B179,"yyyy-mm"))</f>
        <v>0</v>
      </c>
      <c r="E179" s="23">
        <f>IF(D179="","",IFERROR(INDEX(Clients!$B$5:$B$204,MATCH(D179,Clients!$A$5:$A$204,0)),"Not found"))</f>
        <v>0</v>
      </c>
      <c r="F179" s="23">
        <f>IF(D179="","",IFERROR(INDEX(Clients!$G$5:$G$204,MATCH(D179,Clients!$A$5:$A$204,0)),""))</f>
        <v>0</v>
      </c>
      <c r="Q179" s="31">
        <f>IF(A179="","",COUNTIFS('Invoice Lines'!$B$5:$B$804,A179))</f>
        <v>0</v>
      </c>
      <c r="R179" s="21">
        <f>IF(A179="","",SUMIFS('Invoice Lines'!$N$5:$N$804,'Invoice Lines'!$B$5:$B$804,A179))</f>
        <v>0</v>
      </c>
      <c r="S179" s="21">
        <f>IF(A179="","",ROUND(R179*IF(K179="",0,K179),2))</f>
        <v>0</v>
      </c>
      <c r="T179" s="21">
        <f>IF(A179="","",R179-S179)</f>
        <v>0</v>
      </c>
      <c r="U179" s="21">
        <f>IF(A179="","",ROUND(T179*TaxRate,2))</f>
        <v>0</v>
      </c>
      <c r="V179" s="21">
        <f>IF(A179="","",T179+U179)</f>
        <v>0</v>
      </c>
      <c r="W179" s="21">
        <f>IF(A179="","",SUMIFS(Payments!$G$5:$G$404,Payments!$D$5:$D$404,A179))</f>
        <v>0</v>
      </c>
      <c r="X179" s="21">
        <f>IF(A179="","",ROUND(V179-W179,2))</f>
        <v>0</v>
      </c>
      <c r="Y179" s="31">
        <f>IF(B179="","",IF(J179&lt;&gt;"",J179,IF(IFERROR(INDEX(Clients!$P$5:$P$204,MATCH(D179,Clients!$A$5:$A$204,0)),"")&lt;&gt;"",INDEX(Clients!$P$5:$P$204,MATCH(D179,Clients!$A$5:$A$204,0)),PaymentTerms)))</f>
        <v>0</v>
      </c>
      <c r="Z179" s="18">
        <f>IF(OR(A179="",B179=""),"",B179+Y179)</f>
        <v>0</v>
      </c>
      <c r="AA179" s="31">
        <f>IF(OR(A179="",Z179=""),"",IF(X179&lt;=0.004,"",MAX(0,TodayDate-Z179-OverdueGrace)))</f>
        <v>0</v>
      </c>
      <c r="AB179" s="39">
        <f>IF(B179="","",IF(X179&lt;=0.004,"Paid",IF(AA179="","Not due yet",IF(AA179=0,"Due now",IF(AA179&lt;=30,"1-30 days",IF(AA179&lt;=60,"31-60 days",IF(AA179&lt;=90,"61-90 days","90+ days")))))))</f>
        <v>0</v>
      </c>
      <c r="AC179" s="21">
        <f>IF(OR(A179="",AA179=""),"",IF(AA179&lt;=0,0,ROUND(X179*LateFeePercent,2)))</f>
        <v>0</v>
      </c>
      <c r="AD179" s="50">
        <f>IF(B179="","",IF(X179&lt;=0.004,"Yes","No"))</f>
        <v>0</v>
      </c>
      <c r="AE179" s="39">
        <f>IF(B179="","",IF(Q179=0,"Add - no lines on this invoice yet",IF(H179="Written off","Written off",IF(AD179="Yes","OK - paid",IF(H179="Draft","Draft - not sent yet",IF(AND(AA179&lt;&gt;"",AA179&gt;30),"Overdue - "&amp;AA179&amp;" days, call them",IF(AND(AA179&lt;&gt;"",AA179&gt;0),"Overdue - send a reminder",IF(W179&gt;0,"Part paid","Due - waiting for payment"))))))))</f>
        <v>0</v>
      </c>
    </row>
    <row r="180" spans="1:31">
      <c r="A180" s="43">
        <f>IF(B180="","",InvoicePrefix&amp;TEXT(ROW()-4,"0000"))</f>
        <v>0</v>
      </c>
      <c r="C180" s="23">
        <f>IF(B180="","",TEXT(B180,"yyyy-mm"))</f>
        <v>0</v>
      </c>
      <c r="E180" s="23">
        <f>IF(D180="","",IFERROR(INDEX(Clients!$B$5:$B$204,MATCH(D180,Clients!$A$5:$A$204,0)),"Not found"))</f>
        <v>0</v>
      </c>
      <c r="F180" s="23">
        <f>IF(D180="","",IFERROR(INDEX(Clients!$G$5:$G$204,MATCH(D180,Clients!$A$5:$A$204,0)),""))</f>
        <v>0</v>
      </c>
      <c r="Q180" s="31">
        <f>IF(A180="","",COUNTIFS('Invoice Lines'!$B$5:$B$804,A180))</f>
        <v>0</v>
      </c>
      <c r="R180" s="21">
        <f>IF(A180="","",SUMIFS('Invoice Lines'!$N$5:$N$804,'Invoice Lines'!$B$5:$B$804,A180))</f>
        <v>0</v>
      </c>
      <c r="S180" s="21">
        <f>IF(A180="","",ROUND(R180*IF(K180="",0,K180),2))</f>
        <v>0</v>
      </c>
      <c r="T180" s="21">
        <f>IF(A180="","",R180-S180)</f>
        <v>0</v>
      </c>
      <c r="U180" s="21">
        <f>IF(A180="","",ROUND(T180*TaxRate,2))</f>
        <v>0</v>
      </c>
      <c r="V180" s="21">
        <f>IF(A180="","",T180+U180)</f>
        <v>0</v>
      </c>
      <c r="W180" s="21">
        <f>IF(A180="","",SUMIFS(Payments!$G$5:$G$404,Payments!$D$5:$D$404,A180))</f>
        <v>0</v>
      </c>
      <c r="X180" s="21">
        <f>IF(A180="","",ROUND(V180-W180,2))</f>
        <v>0</v>
      </c>
      <c r="Y180" s="31">
        <f>IF(B180="","",IF(J180&lt;&gt;"",J180,IF(IFERROR(INDEX(Clients!$P$5:$P$204,MATCH(D180,Clients!$A$5:$A$204,0)),"")&lt;&gt;"",INDEX(Clients!$P$5:$P$204,MATCH(D180,Clients!$A$5:$A$204,0)),PaymentTerms)))</f>
        <v>0</v>
      </c>
      <c r="Z180" s="18">
        <f>IF(OR(A180="",B180=""),"",B180+Y180)</f>
        <v>0</v>
      </c>
      <c r="AA180" s="31">
        <f>IF(OR(A180="",Z180=""),"",IF(X180&lt;=0.004,"",MAX(0,TodayDate-Z180-OverdueGrace)))</f>
        <v>0</v>
      </c>
      <c r="AB180" s="39">
        <f>IF(B180="","",IF(X180&lt;=0.004,"Paid",IF(AA180="","Not due yet",IF(AA180=0,"Due now",IF(AA180&lt;=30,"1-30 days",IF(AA180&lt;=60,"31-60 days",IF(AA180&lt;=90,"61-90 days","90+ days")))))))</f>
        <v>0</v>
      </c>
      <c r="AC180" s="21">
        <f>IF(OR(A180="",AA180=""),"",IF(AA180&lt;=0,0,ROUND(X180*LateFeePercent,2)))</f>
        <v>0</v>
      </c>
      <c r="AD180" s="50">
        <f>IF(B180="","",IF(X180&lt;=0.004,"Yes","No"))</f>
        <v>0</v>
      </c>
      <c r="AE180" s="39">
        <f>IF(B180="","",IF(Q180=0,"Add - no lines on this invoice yet",IF(H180="Written off","Written off",IF(AD180="Yes","OK - paid",IF(H180="Draft","Draft - not sent yet",IF(AND(AA180&lt;&gt;"",AA180&gt;30),"Overdue - "&amp;AA180&amp;" days, call them",IF(AND(AA180&lt;&gt;"",AA180&gt;0),"Overdue - send a reminder",IF(W180&gt;0,"Part paid","Due - waiting for payment"))))))))</f>
        <v>0</v>
      </c>
    </row>
    <row r="181" spans="1:31">
      <c r="A181" s="43">
        <f>IF(B181="","",InvoicePrefix&amp;TEXT(ROW()-4,"0000"))</f>
        <v>0</v>
      </c>
      <c r="C181" s="23">
        <f>IF(B181="","",TEXT(B181,"yyyy-mm"))</f>
        <v>0</v>
      </c>
      <c r="E181" s="23">
        <f>IF(D181="","",IFERROR(INDEX(Clients!$B$5:$B$204,MATCH(D181,Clients!$A$5:$A$204,0)),"Not found"))</f>
        <v>0</v>
      </c>
      <c r="F181" s="23">
        <f>IF(D181="","",IFERROR(INDEX(Clients!$G$5:$G$204,MATCH(D181,Clients!$A$5:$A$204,0)),""))</f>
        <v>0</v>
      </c>
      <c r="Q181" s="31">
        <f>IF(A181="","",COUNTIFS('Invoice Lines'!$B$5:$B$804,A181))</f>
        <v>0</v>
      </c>
      <c r="R181" s="21">
        <f>IF(A181="","",SUMIFS('Invoice Lines'!$N$5:$N$804,'Invoice Lines'!$B$5:$B$804,A181))</f>
        <v>0</v>
      </c>
      <c r="S181" s="21">
        <f>IF(A181="","",ROUND(R181*IF(K181="",0,K181),2))</f>
        <v>0</v>
      </c>
      <c r="T181" s="21">
        <f>IF(A181="","",R181-S181)</f>
        <v>0</v>
      </c>
      <c r="U181" s="21">
        <f>IF(A181="","",ROUND(T181*TaxRate,2))</f>
        <v>0</v>
      </c>
      <c r="V181" s="21">
        <f>IF(A181="","",T181+U181)</f>
        <v>0</v>
      </c>
      <c r="W181" s="21">
        <f>IF(A181="","",SUMIFS(Payments!$G$5:$G$404,Payments!$D$5:$D$404,A181))</f>
        <v>0</v>
      </c>
      <c r="X181" s="21">
        <f>IF(A181="","",ROUND(V181-W181,2))</f>
        <v>0</v>
      </c>
      <c r="Y181" s="31">
        <f>IF(B181="","",IF(J181&lt;&gt;"",J181,IF(IFERROR(INDEX(Clients!$P$5:$P$204,MATCH(D181,Clients!$A$5:$A$204,0)),"")&lt;&gt;"",INDEX(Clients!$P$5:$P$204,MATCH(D181,Clients!$A$5:$A$204,0)),PaymentTerms)))</f>
        <v>0</v>
      </c>
      <c r="Z181" s="18">
        <f>IF(OR(A181="",B181=""),"",B181+Y181)</f>
        <v>0</v>
      </c>
      <c r="AA181" s="31">
        <f>IF(OR(A181="",Z181=""),"",IF(X181&lt;=0.004,"",MAX(0,TodayDate-Z181-OverdueGrace)))</f>
        <v>0</v>
      </c>
      <c r="AB181" s="39">
        <f>IF(B181="","",IF(X181&lt;=0.004,"Paid",IF(AA181="","Not due yet",IF(AA181=0,"Due now",IF(AA181&lt;=30,"1-30 days",IF(AA181&lt;=60,"31-60 days",IF(AA181&lt;=90,"61-90 days","90+ days")))))))</f>
        <v>0</v>
      </c>
      <c r="AC181" s="21">
        <f>IF(OR(A181="",AA181=""),"",IF(AA181&lt;=0,0,ROUND(X181*LateFeePercent,2)))</f>
        <v>0</v>
      </c>
      <c r="AD181" s="50">
        <f>IF(B181="","",IF(X181&lt;=0.004,"Yes","No"))</f>
        <v>0</v>
      </c>
      <c r="AE181" s="39">
        <f>IF(B181="","",IF(Q181=0,"Add - no lines on this invoice yet",IF(H181="Written off","Written off",IF(AD181="Yes","OK - paid",IF(H181="Draft","Draft - not sent yet",IF(AND(AA181&lt;&gt;"",AA181&gt;30),"Overdue - "&amp;AA181&amp;" days, call them",IF(AND(AA181&lt;&gt;"",AA181&gt;0),"Overdue - send a reminder",IF(W181&gt;0,"Part paid","Due - waiting for payment"))))))))</f>
        <v>0</v>
      </c>
    </row>
    <row r="182" spans="1:31">
      <c r="A182" s="43">
        <f>IF(B182="","",InvoicePrefix&amp;TEXT(ROW()-4,"0000"))</f>
        <v>0</v>
      </c>
      <c r="C182" s="23">
        <f>IF(B182="","",TEXT(B182,"yyyy-mm"))</f>
        <v>0</v>
      </c>
      <c r="E182" s="23">
        <f>IF(D182="","",IFERROR(INDEX(Clients!$B$5:$B$204,MATCH(D182,Clients!$A$5:$A$204,0)),"Not found"))</f>
        <v>0</v>
      </c>
      <c r="F182" s="23">
        <f>IF(D182="","",IFERROR(INDEX(Clients!$G$5:$G$204,MATCH(D182,Clients!$A$5:$A$204,0)),""))</f>
        <v>0</v>
      </c>
      <c r="Q182" s="31">
        <f>IF(A182="","",COUNTIFS('Invoice Lines'!$B$5:$B$804,A182))</f>
        <v>0</v>
      </c>
      <c r="R182" s="21">
        <f>IF(A182="","",SUMIFS('Invoice Lines'!$N$5:$N$804,'Invoice Lines'!$B$5:$B$804,A182))</f>
        <v>0</v>
      </c>
      <c r="S182" s="21">
        <f>IF(A182="","",ROUND(R182*IF(K182="",0,K182),2))</f>
        <v>0</v>
      </c>
      <c r="T182" s="21">
        <f>IF(A182="","",R182-S182)</f>
        <v>0</v>
      </c>
      <c r="U182" s="21">
        <f>IF(A182="","",ROUND(T182*TaxRate,2))</f>
        <v>0</v>
      </c>
      <c r="V182" s="21">
        <f>IF(A182="","",T182+U182)</f>
        <v>0</v>
      </c>
      <c r="W182" s="21">
        <f>IF(A182="","",SUMIFS(Payments!$G$5:$G$404,Payments!$D$5:$D$404,A182))</f>
        <v>0</v>
      </c>
      <c r="X182" s="21">
        <f>IF(A182="","",ROUND(V182-W182,2))</f>
        <v>0</v>
      </c>
      <c r="Y182" s="31">
        <f>IF(B182="","",IF(J182&lt;&gt;"",J182,IF(IFERROR(INDEX(Clients!$P$5:$P$204,MATCH(D182,Clients!$A$5:$A$204,0)),"")&lt;&gt;"",INDEX(Clients!$P$5:$P$204,MATCH(D182,Clients!$A$5:$A$204,0)),PaymentTerms)))</f>
        <v>0</v>
      </c>
      <c r="Z182" s="18">
        <f>IF(OR(A182="",B182=""),"",B182+Y182)</f>
        <v>0</v>
      </c>
      <c r="AA182" s="31">
        <f>IF(OR(A182="",Z182=""),"",IF(X182&lt;=0.004,"",MAX(0,TodayDate-Z182-OverdueGrace)))</f>
        <v>0</v>
      </c>
      <c r="AB182" s="39">
        <f>IF(B182="","",IF(X182&lt;=0.004,"Paid",IF(AA182="","Not due yet",IF(AA182=0,"Due now",IF(AA182&lt;=30,"1-30 days",IF(AA182&lt;=60,"31-60 days",IF(AA182&lt;=90,"61-90 days","90+ days")))))))</f>
        <v>0</v>
      </c>
      <c r="AC182" s="21">
        <f>IF(OR(A182="",AA182=""),"",IF(AA182&lt;=0,0,ROUND(X182*LateFeePercent,2)))</f>
        <v>0</v>
      </c>
      <c r="AD182" s="50">
        <f>IF(B182="","",IF(X182&lt;=0.004,"Yes","No"))</f>
        <v>0</v>
      </c>
      <c r="AE182" s="39">
        <f>IF(B182="","",IF(Q182=0,"Add - no lines on this invoice yet",IF(H182="Written off","Written off",IF(AD182="Yes","OK - paid",IF(H182="Draft","Draft - not sent yet",IF(AND(AA182&lt;&gt;"",AA182&gt;30),"Overdue - "&amp;AA182&amp;" days, call them",IF(AND(AA182&lt;&gt;"",AA182&gt;0),"Overdue - send a reminder",IF(W182&gt;0,"Part paid","Due - waiting for payment"))))))))</f>
        <v>0</v>
      </c>
    </row>
    <row r="183" spans="1:31">
      <c r="A183" s="43">
        <f>IF(B183="","",InvoicePrefix&amp;TEXT(ROW()-4,"0000"))</f>
        <v>0</v>
      </c>
      <c r="C183" s="23">
        <f>IF(B183="","",TEXT(B183,"yyyy-mm"))</f>
        <v>0</v>
      </c>
      <c r="E183" s="23">
        <f>IF(D183="","",IFERROR(INDEX(Clients!$B$5:$B$204,MATCH(D183,Clients!$A$5:$A$204,0)),"Not found"))</f>
        <v>0</v>
      </c>
      <c r="F183" s="23">
        <f>IF(D183="","",IFERROR(INDEX(Clients!$G$5:$G$204,MATCH(D183,Clients!$A$5:$A$204,0)),""))</f>
        <v>0</v>
      </c>
      <c r="Q183" s="31">
        <f>IF(A183="","",COUNTIFS('Invoice Lines'!$B$5:$B$804,A183))</f>
        <v>0</v>
      </c>
      <c r="R183" s="21">
        <f>IF(A183="","",SUMIFS('Invoice Lines'!$N$5:$N$804,'Invoice Lines'!$B$5:$B$804,A183))</f>
        <v>0</v>
      </c>
      <c r="S183" s="21">
        <f>IF(A183="","",ROUND(R183*IF(K183="",0,K183),2))</f>
        <v>0</v>
      </c>
      <c r="T183" s="21">
        <f>IF(A183="","",R183-S183)</f>
        <v>0</v>
      </c>
      <c r="U183" s="21">
        <f>IF(A183="","",ROUND(T183*TaxRate,2))</f>
        <v>0</v>
      </c>
      <c r="V183" s="21">
        <f>IF(A183="","",T183+U183)</f>
        <v>0</v>
      </c>
      <c r="W183" s="21">
        <f>IF(A183="","",SUMIFS(Payments!$G$5:$G$404,Payments!$D$5:$D$404,A183))</f>
        <v>0</v>
      </c>
      <c r="X183" s="21">
        <f>IF(A183="","",ROUND(V183-W183,2))</f>
        <v>0</v>
      </c>
      <c r="Y183" s="31">
        <f>IF(B183="","",IF(J183&lt;&gt;"",J183,IF(IFERROR(INDEX(Clients!$P$5:$P$204,MATCH(D183,Clients!$A$5:$A$204,0)),"")&lt;&gt;"",INDEX(Clients!$P$5:$P$204,MATCH(D183,Clients!$A$5:$A$204,0)),PaymentTerms)))</f>
        <v>0</v>
      </c>
      <c r="Z183" s="18">
        <f>IF(OR(A183="",B183=""),"",B183+Y183)</f>
        <v>0</v>
      </c>
      <c r="AA183" s="31">
        <f>IF(OR(A183="",Z183=""),"",IF(X183&lt;=0.004,"",MAX(0,TodayDate-Z183-OverdueGrace)))</f>
        <v>0</v>
      </c>
      <c r="AB183" s="39">
        <f>IF(B183="","",IF(X183&lt;=0.004,"Paid",IF(AA183="","Not due yet",IF(AA183=0,"Due now",IF(AA183&lt;=30,"1-30 days",IF(AA183&lt;=60,"31-60 days",IF(AA183&lt;=90,"61-90 days","90+ days")))))))</f>
        <v>0</v>
      </c>
      <c r="AC183" s="21">
        <f>IF(OR(A183="",AA183=""),"",IF(AA183&lt;=0,0,ROUND(X183*LateFeePercent,2)))</f>
        <v>0</v>
      </c>
      <c r="AD183" s="50">
        <f>IF(B183="","",IF(X183&lt;=0.004,"Yes","No"))</f>
        <v>0</v>
      </c>
      <c r="AE183" s="39">
        <f>IF(B183="","",IF(Q183=0,"Add - no lines on this invoice yet",IF(H183="Written off","Written off",IF(AD183="Yes","OK - paid",IF(H183="Draft","Draft - not sent yet",IF(AND(AA183&lt;&gt;"",AA183&gt;30),"Overdue - "&amp;AA183&amp;" days, call them",IF(AND(AA183&lt;&gt;"",AA183&gt;0),"Overdue - send a reminder",IF(W183&gt;0,"Part paid","Due - waiting for payment"))))))))</f>
        <v>0</v>
      </c>
    </row>
    <row r="184" spans="1:31">
      <c r="A184" s="43">
        <f>IF(B184="","",InvoicePrefix&amp;TEXT(ROW()-4,"0000"))</f>
        <v>0</v>
      </c>
      <c r="C184" s="23">
        <f>IF(B184="","",TEXT(B184,"yyyy-mm"))</f>
        <v>0</v>
      </c>
      <c r="E184" s="23">
        <f>IF(D184="","",IFERROR(INDEX(Clients!$B$5:$B$204,MATCH(D184,Clients!$A$5:$A$204,0)),"Not found"))</f>
        <v>0</v>
      </c>
      <c r="F184" s="23">
        <f>IF(D184="","",IFERROR(INDEX(Clients!$G$5:$G$204,MATCH(D184,Clients!$A$5:$A$204,0)),""))</f>
        <v>0</v>
      </c>
      <c r="Q184" s="31">
        <f>IF(A184="","",COUNTIFS('Invoice Lines'!$B$5:$B$804,A184))</f>
        <v>0</v>
      </c>
      <c r="R184" s="21">
        <f>IF(A184="","",SUMIFS('Invoice Lines'!$N$5:$N$804,'Invoice Lines'!$B$5:$B$804,A184))</f>
        <v>0</v>
      </c>
      <c r="S184" s="21">
        <f>IF(A184="","",ROUND(R184*IF(K184="",0,K184),2))</f>
        <v>0</v>
      </c>
      <c r="T184" s="21">
        <f>IF(A184="","",R184-S184)</f>
        <v>0</v>
      </c>
      <c r="U184" s="21">
        <f>IF(A184="","",ROUND(T184*TaxRate,2))</f>
        <v>0</v>
      </c>
      <c r="V184" s="21">
        <f>IF(A184="","",T184+U184)</f>
        <v>0</v>
      </c>
      <c r="W184" s="21">
        <f>IF(A184="","",SUMIFS(Payments!$G$5:$G$404,Payments!$D$5:$D$404,A184))</f>
        <v>0</v>
      </c>
      <c r="X184" s="21">
        <f>IF(A184="","",ROUND(V184-W184,2))</f>
        <v>0</v>
      </c>
      <c r="Y184" s="31">
        <f>IF(B184="","",IF(J184&lt;&gt;"",J184,IF(IFERROR(INDEX(Clients!$P$5:$P$204,MATCH(D184,Clients!$A$5:$A$204,0)),"")&lt;&gt;"",INDEX(Clients!$P$5:$P$204,MATCH(D184,Clients!$A$5:$A$204,0)),PaymentTerms)))</f>
        <v>0</v>
      </c>
      <c r="Z184" s="18">
        <f>IF(OR(A184="",B184=""),"",B184+Y184)</f>
        <v>0</v>
      </c>
      <c r="AA184" s="31">
        <f>IF(OR(A184="",Z184=""),"",IF(X184&lt;=0.004,"",MAX(0,TodayDate-Z184-OverdueGrace)))</f>
        <v>0</v>
      </c>
      <c r="AB184" s="39">
        <f>IF(B184="","",IF(X184&lt;=0.004,"Paid",IF(AA184="","Not due yet",IF(AA184=0,"Due now",IF(AA184&lt;=30,"1-30 days",IF(AA184&lt;=60,"31-60 days",IF(AA184&lt;=90,"61-90 days","90+ days")))))))</f>
        <v>0</v>
      </c>
      <c r="AC184" s="21">
        <f>IF(OR(A184="",AA184=""),"",IF(AA184&lt;=0,0,ROUND(X184*LateFeePercent,2)))</f>
        <v>0</v>
      </c>
      <c r="AD184" s="50">
        <f>IF(B184="","",IF(X184&lt;=0.004,"Yes","No"))</f>
        <v>0</v>
      </c>
      <c r="AE184" s="39">
        <f>IF(B184="","",IF(Q184=0,"Add - no lines on this invoice yet",IF(H184="Written off","Written off",IF(AD184="Yes","OK - paid",IF(H184="Draft","Draft - not sent yet",IF(AND(AA184&lt;&gt;"",AA184&gt;30),"Overdue - "&amp;AA184&amp;" days, call them",IF(AND(AA184&lt;&gt;"",AA184&gt;0),"Overdue - send a reminder",IF(W184&gt;0,"Part paid","Due - waiting for payment"))))))))</f>
        <v>0</v>
      </c>
    </row>
    <row r="185" spans="1:31">
      <c r="A185" s="43">
        <f>IF(B185="","",InvoicePrefix&amp;TEXT(ROW()-4,"0000"))</f>
        <v>0</v>
      </c>
      <c r="C185" s="23">
        <f>IF(B185="","",TEXT(B185,"yyyy-mm"))</f>
        <v>0</v>
      </c>
      <c r="E185" s="23">
        <f>IF(D185="","",IFERROR(INDEX(Clients!$B$5:$B$204,MATCH(D185,Clients!$A$5:$A$204,0)),"Not found"))</f>
        <v>0</v>
      </c>
      <c r="F185" s="23">
        <f>IF(D185="","",IFERROR(INDEX(Clients!$G$5:$G$204,MATCH(D185,Clients!$A$5:$A$204,0)),""))</f>
        <v>0</v>
      </c>
      <c r="Q185" s="31">
        <f>IF(A185="","",COUNTIFS('Invoice Lines'!$B$5:$B$804,A185))</f>
        <v>0</v>
      </c>
      <c r="R185" s="21">
        <f>IF(A185="","",SUMIFS('Invoice Lines'!$N$5:$N$804,'Invoice Lines'!$B$5:$B$804,A185))</f>
        <v>0</v>
      </c>
      <c r="S185" s="21">
        <f>IF(A185="","",ROUND(R185*IF(K185="",0,K185),2))</f>
        <v>0</v>
      </c>
      <c r="T185" s="21">
        <f>IF(A185="","",R185-S185)</f>
        <v>0</v>
      </c>
      <c r="U185" s="21">
        <f>IF(A185="","",ROUND(T185*TaxRate,2))</f>
        <v>0</v>
      </c>
      <c r="V185" s="21">
        <f>IF(A185="","",T185+U185)</f>
        <v>0</v>
      </c>
      <c r="W185" s="21">
        <f>IF(A185="","",SUMIFS(Payments!$G$5:$G$404,Payments!$D$5:$D$404,A185))</f>
        <v>0</v>
      </c>
      <c r="X185" s="21">
        <f>IF(A185="","",ROUND(V185-W185,2))</f>
        <v>0</v>
      </c>
      <c r="Y185" s="31">
        <f>IF(B185="","",IF(J185&lt;&gt;"",J185,IF(IFERROR(INDEX(Clients!$P$5:$P$204,MATCH(D185,Clients!$A$5:$A$204,0)),"")&lt;&gt;"",INDEX(Clients!$P$5:$P$204,MATCH(D185,Clients!$A$5:$A$204,0)),PaymentTerms)))</f>
        <v>0</v>
      </c>
      <c r="Z185" s="18">
        <f>IF(OR(A185="",B185=""),"",B185+Y185)</f>
        <v>0</v>
      </c>
      <c r="AA185" s="31">
        <f>IF(OR(A185="",Z185=""),"",IF(X185&lt;=0.004,"",MAX(0,TodayDate-Z185-OverdueGrace)))</f>
        <v>0</v>
      </c>
      <c r="AB185" s="39">
        <f>IF(B185="","",IF(X185&lt;=0.004,"Paid",IF(AA185="","Not due yet",IF(AA185=0,"Due now",IF(AA185&lt;=30,"1-30 days",IF(AA185&lt;=60,"31-60 days",IF(AA185&lt;=90,"61-90 days","90+ days")))))))</f>
        <v>0</v>
      </c>
      <c r="AC185" s="21">
        <f>IF(OR(A185="",AA185=""),"",IF(AA185&lt;=0,0,ROUND(X185*LateFeePercent,2)))</f>
        <v>0</v>
      </c>
      <c r="AD185" s="50">
        <f>IF(B185="","",IF(X185&lt;=0.004,"Yes","No"))</f>
        <v>0</v>
      </c>
      <c r="AE185" s="39">
        <f>IF(B185="","",IF(Q185=0,"Add - no lines on this invoice yet",IF(H185="Written off","Written off",IF(AD185="Yes","OK - paid",IF(H185="Draft","Draft - not sent yet",IF(AND(AA185&lt;&gt;"",AA185&gt;30),"Overdue - "&amp;AA185&amp;" days, call them",IF(AND(AA185&lt;&gt;"",AA185&gt;0),"Overdue - send a reminder",IF(W185&gt;0,"Part paid","Due - waiting for payment"))))))))</f>
        <v>0</v>
      </c>
    </row>
    <row r="186" spans="1:31">
      <c r="A186" s="43">
        <f>IF(B186="","",InvoicePrefix&amp;TEXT(ROW()-4,"0000"))</f>
        <v>0</v>
      </c>
      <c r="C186" s="23">
        <f>IF(B186="","",TEXT(B186,"yyyy-mm"))</f>
        <v>0</v>
      </c>
      <c r="E186" s="23">
        <f>IF(D186="","",IFERROR(INDEX(Clients!$B$5:$B$204,MATCH(D186,Clients!$A$5:$A$204,0)),"Not found"))</f>
        <v>0</v>
      </c>
      <c r="F186" s="23">
        <f>IF(D186="","",IFERROR(INDEX(Clients!$G$5:$G$204,MATCH(D186,Clients!$A$5:$A$204,0)),""))</f>
        <v>0</v>
      </c>
      <c r="Q186" s="31">
        <f>IF(A186="","",COUNTIFS('Invoice Lines'!$B$5:$B$804,A186))</f>
        <v>0</v>
      </c>
      <c r="R186" s="21">
        <f>IF(A186="","",SUMIFS('Invoice Lines'!$N$5:$N$804,'Invoice Lines'!$B$5:$B$804,A186))</f>
        <v>0</v>
      </c>
      <c r="S186" s="21">
        <f>IF(A186="","",ROUND(R186*IF(K186="",0,K186),2))</f>
        <v>0</v>
      </c>
      <c r="T186" s="21">
        <f>IF(A186="","",R186-S186)</f>
        <v>0</v>
      </c>
      <c r="U186" s="21">
        <f>IF(A186="","",ROUND(T186*TaxRate,2))</f>
        <v>0</v>
      </c>
      <c r="V186" s="21">
        <f>IF(A186="","",T186+U186)</f>
        <v>0</v>
      </c>
      <c r="W186" s="21">
        <f>IF(A186="","",SUMIFS(Payments!$G$5:$G$404,Payments!$D$5:$D$404,A186))</f>
        <v>0</v>
      </c>
      <c r="X186" s="21">
        <f>IF(A186="","",ROUND(V186-W186,2))</f>
        <v>0</v>
      </c>
      <c r="Y186" s="31">
        <f>IF(B186="","",IF(J186&lt;&gt;"",J186,IF(IFERROR(INDEX(Clients!$P$5:$P$204,MATCH(D186,Clients!$A$5:$A$204,0)),"")&lt;&gt;"",INDEX(Clients!$P$5:$P$204,MATCH(D186,Clients!$A$5:$A$204,0)),PaymentTerms)))</f>
        <v>0</v>
      </c>
      <c r="Z186" s="18">
        <f>IF(OR(A186="",B186=""),"",B186+Y186)</f>
        <v>0</v>
      </c>
      <c r="AA186" s="31">
        <f>IF(OR(A186="",Z186=""),"",IF(X186&lt;=0.004,"",MAX(0,TodayDate-Z186-OverdueGrace)))</f>
        <v>0</v>
      </c>
      <c r="AB186" s="39">
        <f>IF(B186="","",IF(X186&lt;=0.004,"Paid",IF(AA186="","Not due yet",IF(AA186=0,"Due now",IF(AA186&lt;=30,"1-30 days",IF(AA186&lt;=60,"31-60 days",IF(AA186&lt;=90,"61-90 days","90+ days")))))))</f>
        <v>0</v>
      </c>
      <c r="AC186" s="21">
        <f>IF(OR(A186="",AA186=""),"",IF(AA186&lt;=0,0,ROUND(X186*LateFeePercent,2)))</f>
        <v>0</v>
      </c>
      <c r="AD186" s="50">
        <f>IF(B186="","",IF(X186&lt;=0.004,"Yes","No"))</f>
        <v>0</v>
      </c>
      <c r="AE186" s="39">
        <f>IF(B186="","",IF(Q186=0,"Add - no lines on this invoice yet",IF(H186="Written off","Written off",IF(AD186="Yes","OK - paid",IF(H186="Draft","Draft - not sent yet",IF(AND(AA186&lt;&gt;"",AA186&gt;30),"Overdue - "&amp;AA186&amp;" days, call them",IF(AND(AA186&lt;&gt;"",AA186&gt;0),"Overdue - send a reminder",IF(W186&gt;0,"Part paid","Due - waiting for payment"))))))))</f>
        <v>0</v>
      </c>
    </row>
    <row r="187" spans="1:31">
      <c r="A187" s="43">
        <f>IF(B187="","",InvoicePrefix&amp;TEXT(ROW()-4,"0000"))</f>
        <v>0</v>
      </c>
      <c r="C187" s="23">
        <f>IF(B187="","",TEXT(B187,"yyyy-mm"))</f>
        <v>0</v>
      </c>
      <c r="E187" s="23">
        <f>IF(D187="","",IFERROR(INDEX(Clients!$B$5:$B$204,MATCH(D187,Clients!$A$5:$A$204,0)),"Not found"))</f>
        <v>0</v>
      </c>
      <c r="F187" s="23">
        <f>IF(D187="","",IFERROR(INDEX(Clients!$G$5:$G$204,MATCH(D187,Clients!$A$5:$A$204,0)),""))</f>
        <v>0</v>
      </c>
      <c r="Q187" s="31">
        <f>IF(A187="","",COUNTIFS('Invoice Lines'!$B$5:$B$804,A187))</f>
        <v>0</v>
      </c>
      <c r="R187" s="21">
        <f>IF(A187="","",SUMIFS('Invoice Lines'!$N$5:$N$804,'Invoice Lines'!$B$5:$B$804,A187))</f>
        <v>0</v>
      </c>
      <c r="S187" s="21">
        <f>IF(A187="","",ROUND(R187*IF(K187="",0,K187),2))</f>
        <v>0</v>
      </c>
      <c r="T187" s="21">
        <f>IF(A187="","",R187-S187)</f>
        <v>0</v>
      </c>
      <c r="U187" s="21">
        <f>IF(A187="","",ROUND(T187*TaxRate,2))</f>
        <v>0</v>
      </c>
      <c r="V187" s="21">
        <f>IF(A187="","",T187+U187)</f>
        <v>0</v>
      </c>
      <c r="W187" s="21">
        <f>IF(A187="","",SUMIFS(Payments!$G$5:$G$404,Payments!$D$5:$D$404,A187))</f>
        <v>0</v>
      </c>
      <c r="X187" s="21">
        <f>IF(A187="","",ROUND(V187-W187,2))</f>
        <v>0</v>
      </c>
      <c r="Y187" s="31">
        <f>IF(B187="","",IF(J187&lt;&gt;"",J187,IF(IFERROR(INDEX(Clients!$P$5:$P$204,MATCH(D187,Clients!$A$5:$A$204,0)),"")&lt;&gt;"",INDEX(Clients!$P$5:$P$204,MATCH(D187,Clients!$A$5:$A$204,0)),PaymentTerms)))</f>
        <v>0</v>
      </c>
      <c r="Z187" s="18">
        <f>IF(OR(A187="",B187=""),"",B187+Y187)</f>
        <v>0</v>
      </c>
      <c r="AA187" s="31">
        <f>IF(OR(A187="",Z187=""),"",IF(X187&lt;=0.004,"",MAX(0,TodayDate-Z187-OverdueGrace)))</f>
        <v>0</v>
      </c>
      <c r="AB187" s="39">
        <f>IF(B187="","",IF(X187&lt;=0.004,"Paid",IF(AA187="","Not due yet",IF(AA187=0,"Due now",IF(AA187&lt;=30,"1-30 days",IF(AA187&lt;=60,"31-60 days",IF(AA187&lt;=90,"61-90 days","90+ days")))))))</f>
        <v>0</v>
      </c>
      <c r="AC187" s="21">
        <f>IF(OR(A187="",AA187=""),"",IF(AA187&lt;=0,0,ROUND(X187*LateFeePercent,2)))</f>
        <v>0</v>
      </c>
      <c r="AD187" s="50">
        <f>IF(B187="","",IF(X187&lt;=0.004,"Yes","No"))</f>
        <v>0</v>
      </c>
      <c r="AE187" s="39">
        <f>IF(B187="","",IF(Q187=0,"Add - no lines on this invoice yet",IF(H187="Written off","Written off",IF(AD187="Yes","OK - paid",IF(H187="Draft","Draft - not sent yet",IF(AND(AA187&lt;&gt;"",AA187&gt;30),"Overdue - "&amp;AA187&amp;" days, call them",IF(AND(AA187&lt;&gt;"",AA187&gt;0),"Overdue - send a reminder",IF(W187&gt;0,"Part paid","Due - waiting for payment"))))))))</f>
        <v>0</v>
      </c>
    </row>
    <row r="188" spans="1:31">
      <c r="A188" s="43">
        <f>IF(B188="","",InvoicePrefix&amp;TEXT(ROW()-4,"0000"))</f>
        <v>0</v>
      </c>
      <c r="C188" s="23">
        <f>IF(B188="","",TEXT(B188,"yyyy-mm"))</f>
        <v>0</v>
      </c>
      <c r="E188" s="23">
        <f>IF(D188="","",IFERROR(INDEX(Clients!$B$5:$B$204,MATCH(D188,Clients!$A$5:$A$204,0)),"Not found"))</f>
        <v>0</v>
      </c>
      <c r="F188" s="23">
        <f>IF(D188="","",IFERROR(INDEX(Clients!$G$5:$G$204,MATCH(D188,Clients!$A$5:$A$204,0)),""))</f>
        <v>0</v>
      </c>
      <c r="Q188" s="31">
        <f>IF(A188="","",COUNTIFS('Invoice Lines'!$B$5:$B$804,A188))</f>
        <v>0</v>
      </c>
      <c r="R188" s="21">
        <f>IF(A188="","",SUMIFS('Invoice Lines'!$N$5:$N$804,'Invoice Lines'!$B$5:$B$804,A188))</f>
        <v>0</v>
      </c>
      <c r="S188" s="21">
        <f>IF(A188="","",ROUND(R188*IF(K188="",0,K188),2))</f>
        <v>0</v>
      </c>
      <c r="T188" s="21">
        <f>IF(A188="","",R188-S188)</f>
        <v>0</v>
      </c>
      <c r="U188" s="21">
        <f>IF(A188="","",ROUND(T188*TaxRate,2))</f>
        <v>0</v>
      </c>
      <c r="V188" s="21">
        <f>IF(A188="","",T188+U188)</f>
        <v>0</v>
      </c>
      <c r="W188" s="21">
        <f>IF(A188="","",SUMIFS(Payments!$G$5:$G$404,Payments!$D$5:$D$404,A188))</f>
        <v>0</v>
      </c>
      <c r="X188" s="21">
        <f>IF(A188="","",ROUND(V188-W188,2))</f>
        <v>0</v>
      </c>
      <c r="Y188" s="31">
        <f>IF(B188="","",IF(J188&lt;&gt;"",J188,IF(IFERROR(INDEX(Clients!$P$5:$P$204,MATCH(D188,Clients!$A$5:$A$204,0)),"")&lt;&gt;"",INDEX(Clients!$P$5:$P$204,MATCH(D188,Clients!$A$5:$A$204,0)),PaymentTerms)))</f>
        <v>0</v>
      </c>
      <c r="Z188" s="18">
        <f>IF(OR(A188="",B188=""),"",B188+Y188)</f>
        <v>0</v>
      </c>
      <c r="AA188" s="31">
        <f>IF(OR(A188="",Z188=""),"",IF(X188&lt;=0.004,"",MAX(0,TodayDate-Z188-OverdueGrace)))</f>
        <v>0</v>
      </c>
      <c r="AB188" s="39">
        <f>IF(B188="","",IF(X188&lt;=0.004,"Paid",IF(AA188="","Not due yet",IF(AA188=0,"Due now",IF(AA188&lt;=30,"1-30 days",IF(AA188&lt;=60,"31-60 days",IF(AA188&lt;=90,"61-90 days","90+ days")))))))</f>
        <v>0</v>
      </c>
      <c r="AC188" s="21">
        <f>IF(OR(A188="",AA188=""),"",IF(AA188&lt;=0,0,ROUND(X188*LateFeePercent,2)))</f>
        <v>0</v>
      </c>
      <c r="AD188" s="50">
        <f>IF(B188="","",IF(X188&lt;=0.004,"Yes","No"))</f>
        <v>0</v>
      </c>
      <c r="AE188" s="39">
        <f>IF(B188="","",IF(Q188=0,"Add - no lines on this invoice yet",IF(H188="Written off","Written off",IF(AD188="Yes","OK - paid",IF(H188="Draft","Draft - not sent yet",IF(AND(AA188&lt;&gt;"",AA188&gt;30),"Overdue - "&amp;AA188&amp;" days, call them",IF(AND(AA188&lt;&gt;"",AA188&gt;0),"Overdue - send a reminder",IF(W188&gt;0,"Part paid","Due - waiting for payment"))))))))</f>
        <v>0</v>
      </c>
    </row>
    <row r="189" spans="1:31">
      <c r="A189" s="43">
        <f>IF(B189="","",InvoicePrefix&amp;TEXT(ROW()-4,"0000"))</f>
        <v>0</v>
      </c>
      <c r="C189" s="23">
        <f>IF(B189="","",TEXT(B189,"yyyy-mm"))</f>
        <v>0</v>
      </c>
      <c r="E189" s="23">
        <f>IF(D189="","",IFERROR(INDEX(Clients!$B$5:$B$204,MATCH(D189,Clients!$A$5:$A$204,0)),"Not found"))</f>
        <v>0</v>
      </c>
      <c r="F189" s="23">
        <f>IF(D189="","",IFERROR(INDEX(Clients!$G$5:$G$204,MATCH(D189,Clients!$A$5:$A$204,0)),""))</f>
        <v>0</v>
      </c>
      <c r="Q189" s="31">
        <f>IF(A189="","",COUNTIFS('Invoice Lines'!$B$5:$B$804,A189))</f>
        <v>0</v>
      </c>
      <c r="R189" s="21">
        <f>IF(A189="","",SUMIFS('Invoice Lines'!$N$5:$N$804,'Invoice Lines'!$B$5:$B$804,A189))</f>
        <v>0</v>
      </c>
      <c r="S189" s="21">
        <f>IF(A189="","",ROUND(R189*IF(K189="",0,K189),2))</f>
        <v>0</v>
      </c>
      <c r="T189" s="21">
        <f>IF(A189="","",R189-S189)</f>
        <v>0</v>
      </c>
      <c r="U189" s="21">
        <f>IF(A189="","",ROUND(T189*TaxRate,2))</f>
        <v>0</v>
      </c>
      <c r="V189" s="21">
        <f>IF(A189="","",T189+U189)</f>
        <v>0</v>
      </c>
      <c r="W189" s="21">
        <f>IF(A189="","",SUMIFS(Payments!$G$5:$G$404,Payments!$D$5:$D$404,A189))</f>
        <v>0</v>
      </c>
      <c r="X189" s="21">
        <f>IF(A189="","",ROUND(V189-W189,2))</f>
        <v>0</v>
      </c>
      <c r="Y189" s="31">
        <f>IF(B189="","",IF(J189&lt;&gt;"",J189,IF(IFERROR(INDEX(Clients!$P$5:$P$204,MATCH(D189,Clients!$A$5:$A$204,0)),"")&lt;&gt;"",INDEX(Clients!$P$5:$P$204,MATCH(D189,Clients!$A$5:$A$204,0)),PaymentTerms)))</f>
        <v>0</v>
      </c>
      <c r="Z189" s="18">
        <f>IF(OR(A189="",B189=""),"",B189+Y189)</f>
        <v>0</v>
      </c>
      <c r="AA189" s="31">
        <f>IF(OR(A189="",Z189=""),"",IF(X189&lt;=0.004,"",MAX(0,TodayDate-Z189-OverdueGrace)))</f>
        <v>0</v>
      </c>
      <c r="AB189" s="39">
        <f>IF(B189="","",IF(X189&lt;=0.004,"Paid",IF(AA189="","Not due yet",IF(AA189=0,"Due now",IF(AA189&lt;=30,"1-30 days",IF(AA189&lt;=60,"31-60 days",IF(AA189&lt;=90,"61-90 days","90+ days")))))))</f>
        <v>0</v>
      </c>
      <c r="AC189" s="21">
        <f>IF(OR(A189="",AA189=""),"",IF(AA189&lt;=0,0,ROUND(X189*LateFeePercent,2)))</f>
        <v>0</v>
      </c>
      <c r="AD189" s="50">
        <f>IF(B189="","",IF(X189&lt;=0.004,"Yes","No"))</f>
        <v>0</v>
      </c>
      <c r="AE189" s="39">
        <f>IF(B189="","",IF(Q189=0,"Add - no lines on this invoice yet",IF(H189="Written off","Written off",IF(AD189="Yes","OK - paid",IF(H189="Draft","Draft - not sent yet",IF(AND(AA189&lt;&gt;"",AA189&gt;30),"Overdue - "&amp;AA189&amp;" days, call them",IF(AND(AA189&lt;&gt;"",AA189&gt;0),"Overdue - send a reminder",IF(W189&gt;0,"Part paid","Due - waiting for payment"))))))))</f>
        <v>0</v>
      </c>
    </row>
    <row r="190" spans="1:31">
      <c r="A190" s="43">
        <f>IF(B190="","",InvoicePrefix&amp;TEXT(ROW()-4,"0000"))</f>
        <v>0</v>
      </c>
      <c r="C190" s="23">
        <f>IF(B190="","",TEXT(B190,"yyyy-mm"))</f>
        <v>0</v>
      </c>
      <c r="E190" s="23">
        <f>IF(D190="","",IFERROR(INDEX(Clients!$B$5:$B$204,MATCH(D190,Clients!$A$5:$A$204,0)),"Not found"))</f>
        <v>0</v>
      </c>
      <c r="F190" s="23">
        <f>IF(D190="","",IFERROR(INDEX(Clients!$G$5:$G$204,MATCH(D190,Clients!$A$5:$A$204,0)),""))</f>
        <v>0</v>
      </c>
      <c r="Q190" s="31">
        <f>IF(A190="","",COUNTIFS('Invoice Lines'!$B$5:$B$804,A190))</f>
        <v>0</v>
      </c>
      <c r="R190" s="21">
        <f>IF(A190="","",SUMIFS('Invoice Lines'!$N$5:$N$804,'Invoice Lines'!$B$5:$B$804,A190))</f>
        <v>0</v>
      </c>
      <c r="S190" s="21">
        <f>IF(A190="","",ROUND(R190*IF(K190="",0,K190),2))</f>
        <v>0</v>
      </c>
      <c r="T190" s="21">
        <f>IF(A190="","",R190-S190)</f>
        <v>0</v>
      </c>
      <c r="U190" s="21">
        <f>IF(A190="","",ROUND(T190*TaxRate,2))</f>
        <v>0</v>
      </c>
      <c r="V190" s="21">
        <f>IF(A190="","",T190+U190)</f>
        <v>0</v>
      </c>
      <c r="W190" s="21">
        <f>IF(A190="","",SUMIFS(Payments!$G$5:$G$404,Payments!$D$5:$D$404,A190))</f>
        <v>0</v>
      </c>
      <c r="X190" s="21">
        <f>IF(A190="","",ROUND(V190-W190,2))</f>
        <v>0</v>
      </c>
      <c r="Y190" s="31">
        <f>IF(B190="","",IF(J190&lt;&gt;"",J190,IF(IFERROR(INDEX(Clients!$P$5:$P$204,MATCH(D190,Clients!$A$5:$A$204,0)),"")&lt;&gt;"",INDEX(Clients!$P$5:$P$204,MATCH(D190,Clients!$A$5:$A$204,0)),PaymentTerms)))</f>
        <v>0</v>
      </c>
      <c r="Z190" s="18">
        <f>IF(OR(A190="",B190=""),"",B190+Y190)</f>
        <v>0</v>
      </c>
      <c r="AA190" s="31">
        <f>IF(OR(A190="",Z190=""),"",IF(X190&lt;=0.004,"",MAX(0,TodayDate-Z190-OverdueGrace)))</f>
        <v>0</v>
      </c>
      <c r="AB190" s="39">
        <f>IF(B190="","",IF(X190&lt;=0.004,"Paid",IF(AA190="","Not due yet",IF(AA190=0,"Due now",IF(AA190&lt;=30,"1-30 days",IF(AA190&lt;=60,"31-60 days",IF(AA190&lt;=90,"61-90 days","90+ days")))))))</f>
        <v>0</v>
      </c>
      <c r="AC190" s="21">
        <f>IF(OR(A190="",AA190=""),"",IF(AA190&lt;=0,0,ROUND(X190*LateFeePercent,2)))</f>
        <v>0</v>
      </c>
      <c r="AD190" s="50">
        <f>IF(B190="","",IF(X190&lt;=0.004,"Yes","No"))</f>
        <v>0</v>
      </c>
      <c r="AE190" s="39">
        <f>IF(B190="","",IF(Q190=0,"Add - no lines on this invoice yet",IF(H190="Written off","Written off",IF(AD190="Yes","OK - paid",IF(H190="Draft","Draft - not sent yet",IF(AND(AA190&lt;&gt;"",AA190&gt;30),"Overdue - "&amp;AA190&amp;" days, call them",IF(AND(AA190&lt;&gt;"",AA190&gt;0),"Overdue - send a reminder",IF(W190&gt;0,"Part paid","Due - waiting for payment"))))))))</f>
        <v>0</v>
      </c>
    </row>
    <row r="191" spans="1:31">
      <c r="A191" s="43">
        <f>IF(B191="","",InvoicePrefix&amp;TEXT(ROW()-4,"0000"))</f>
        <v>0</v>
      </c>
      <c r="C191" s="23">
        <f>IF(B191="","",TEXT(B191,"yyyy-mm"))</f>
        <v>0</v>
      </c>
      <c r="E191" s="23">
        <f>IF(D191="","",IFERROR(INDEX(Clients!$B$5:$B$204,MATCH(D191,Clients!$A$5:$A$204,0)),"Not found"))</f>
        <v>0</v>
      </c>
      <c r="F191" s="23">
        <f>IF(D191="","",IFERROR(INDEX(Clients!$G$5:$G$204,MATCH(D191,Clients!$A$5:$A$204,0)),""))</f>
        <v>0</v>
      </c>
      <c r="Q191" s="31">
        <f>IF(A191="","",COUNTIFS('Invoice Lines'!$B$5:$B$804,A191))</f>
        <v>0</v>
      </c>
      <c r="R191" s="21">
        <f>IF(A191="","",SUMIFS('Invoice Lines'!$N$5:$N$804,'Invoice Lines'!$B$5:$B$804,A191))</f>
        <v>0</v>
      </c>
      <c r="S191" s="21">
        <f>IF(A191="","",ROUND(R191*IF(K191="",0,K191),2))</f>
        <v>0</v>
      </c>
      <c r="T191" s="21">
        <f>IF(A191="","",R191-S191)</f>
        <v>0</v>
      </c>
      <c r="U191" s="21">
        <f>IF(A191="","",ROUND(T191*TaxRate,2))</f>
        <v>0</v>
      </c>
      <c r="V191" s="21">
        <f>IF(A191="","",T191+U191)</f>
        <v>0</v>
      </c>
      <c r="W191" s="21">
        <f>IF(A191="","",SUMIFS(Payments!$G$5:$G$404,Payments!$D$5:$D$404,A191))</f>
        <v>0</v>
      </c>
      <c r="X191" s="21">
        <f>IF(A191="","",ROUND(V191-W191,2))</f>
        <v>0</v>
      </c>
      <c r="Y191" s="31">
        <f>IF(B191="","",IF(J191&lt;&gt;"",J191,IF(IFERROR(INDEX(Clients!$P$5:$P$204,MATCH(D191,Clients!$A$5:$A$204,0)),"")&lt;&gt;"",INDEX(Clients!$P$5:$P$204,MATCH(D191,Clients!$A$5:$A$204,0)),PaymentTerms)))</f>
        <v>0</v>
      </c>
      <c r="Z191" s="18">
        <f>IF(OR(A191="",B191=""),"",B191+Y191)</f>
        <v>0</v>
      </c>
      <c r="AA191" s="31">
        <f>IF(OR(A191="",Z191=""),"",IF(X191&lt;=0.004,"",MAX(0,TodayDate-Z191-OverdueGrace)))</f>
        <v>0</v>
      </c>
      <c r="AB191" s="39">
        <f>IF(B191="","",IF(X191&lt;=0.004,"Paid",IF(AA191="","Not due yet",IF(AA191=0,"Due now",IF(AA191&lt;=30,"1-30 days",IF(AA191&lt;=60,"31-60 days",IF(AA191&lt;=90,"61-90 days","90+ days")))))))</f>
        <v>0</v>
      </c>
      <c r="AC191" s="21">
        <f>IF(OR(A191="",AA191=""),"",IF(AA191&lt;=0,0,ROUND(X191*LateFeePercent,2)))</f>
        <v>0</v>
      </c>
      <c r="AD191" s="50">
        <f>IF(B191="","",IF(X191&lt;=0.004,"Yes","No"))</f>
        <v>0</v>
      </c>
      <c r="AE191" s="39">
        <f>IF(B191="","",IF(Q191=0,"Add - no lines on this invoice yet",IF(H191="Written off","Written off",IF(AD191="Yes","OK - paid",IF(H191="Draft","Draft - not sent yet",IF(AND(AA191&lt;&gt;"",AA191&gt;30),"Overdue - "&amp;AA191&amp;" days, call them",IF(AND(AA191&lt;&gt;"",AA191&gt;0),"Overdue - send a reminder",IF(W191&gt;0,"Part paid","Due - waiting for payment"))))))))</f>
        <v>0</v>
      </c>
    </row>
    <row r="192" spans="1:31">
      <c r="A192" s="43">
        <f>IF(B192="","",InvoicePrefix&amp;TEXT(ROW()-4,"0000"))</f>
        <v>0</v>
      </c>
      <c r="C192" s="23">
        <f>IF(B192="","",TEXT(B192,"yyyy-mm"))</f>
        <v>0</v>
      </c>
      <c r="E192" s="23">
        <f>IF(D192="","",IFERROR(INDEX(Clients!$B$5:$B$204,MATCH(D192,Clients!$A$5:$A$204,0)),"Not found"))</f>
        <v>0</v>
      </c>
      <c r="F192" s="23">
        <f>IF(D192="","",IFERROR(INDEX(Clients!$G$5:$G$204,MATCH(D192,Clients!$A$5:$A$204,0)),""))</f>
        <v>0</v>
      </c>
      <c r="Q192" s="31">
        <f>IF(A192="","",COUNTIFS('Invoice Lines'!$B$5:$B$804,A192))</f>
        <v>0</v>
      </c>
      <c r="R192" s="21">
        <f>IF(A192="","",SUMIFS('Invoice Lines'!$N$5:$N$804,'Invoice Lines'!$B$5:$B$804,A192))</f>
        <v>0</v>
      </c>
      <c r="S192" s="21">
        <f>IF(A192="","",ROUND(R192*IF(K192="",0,K192),2))</f>
        <v>0</v>
      </c>
      <c r="T192" s="21">
        <f>IF(A192="","",R192-S192)</f>
        <v>0</v>
      </c>
      <c r="U192" s="21">
        <f>IF(A192="","",ROUND(T192*TaxRate,2))</f>
        <v>0</v>
      </c>
      <c r="V192" s="21">
        <f>IF(A192="","",T192+U192)</f>
        <v>0</v>
      </c>
      <c r="W192" s="21">
        <f>IF(A192="","",SUMIFS(Payments!$G$5:$G$404,Payments!$D$5:$D$404,A192))</f>
        <v>0</v>
      </c>
      <c r="X192" s="21">
        <f>IF(A192="","",ROUND(V192-W192,2))</f>
        <v>0</v>
      </c>
      <c r="Y192" s="31">
        <f>IF(B192="","",IF(J192&lt;&gt;"",J192,IF(IFERROR(INDEX(Clients!$P$5:$P$204,MATCH(D192,Clients!$A$5:$A$204,0)),"")&lt;&gt;"",INDEX(Clients!$P$5:$P$204,MATCH(D192,Clients!$A$5:$A$204,0)),PaymentTerms)))</f>
        <v>0</v>
      </c>
      <c r="Z192" s="18">
        <f>IF(OR(A192="",B192=""),"",B192+Y192)</f>
        <v>0</v>
      </c>
      <c r="AA192" s="31">
        <f>IF(OR(A192="",Z192=""),"",IF(X192&lt;=0.004,"",MAX(0,TodayDate-Z192-OverdueGrace)))</f>
        <v>0</v>
      </c>
      <c r="AB192" s="39">
        <f>IF(B192="","",IF(X192&lt;=0.004,"Paid",IF(AA192="","Not due yet",IF(AA192=0,"Due now",IF(AA192&lt;=30,"1-30 days",IF(AA192&lt;=60,"31-60 days",IF(AA192&lt;=90,"61-90 days","90+ days")))))))</f>
        <v>0</v>
      </c>
      <c r="AC192" s="21">
        <f>IF(OR(A192="",AA192=""),"",IF(AA192&lt;=0,0,ROUND(X192*LateFeePercent,2)))</f>
        <v>0</v>
      </c>
      <c r="AD192" s="50">
        <f>IF(B192="","",IF(X192&lt;=0.004,"Yes","No"))</f>
        <v>0</v>
      </c>
      <c r="AE192" s="39">
        <f>IF(B192="","",IF(Q192=0,"Add - no lines on this invoice yet",IF(H192="Written off","Written off",IF(AD192="Yes","OK - paid",IF(H192="Draft","Draft - not sent yet",IF(AND(AA192&lt;&gt;"",AA192&gt;30),"Overdue - "&amp;AA192&amp;" days, call them",IF(AND(AA192&lt;&gt;"",AA192&gt;0),"Overdue - send a reminder",IF(W192&gt;0,"Part paid","Due - waiting for payment"))))))))</f>
        <v>0</v>
      </c>
    </row>
    <row r="193" spans="1:31">
      <c r="A193" s="43">
        <f>IF(B193="","",InvoicePrefix&amp;TEXT(ROW()-4,"0000"))</f>
        <v>0</v>
      </c>
      <c r="C193" s="23">
        <f>IF(B193="","",TEXT(B193,"yyyy-mm"))</f>
        <v>0</v>
      </c>
      <c r="E193" s="23">
        <f>IF(D193="","",IFERROR(INDEX(Clients!$B$5:$B$204,MATCH(D193,Clients!$A$5:$A$204,0)),"Not found"))</f>
        <v>0</v>
      </c>
      <c r="F193" s="23">
        <f>IF(D193="","",IFERROR(INDEX(Clients!$G$5:$G$204,MATCH(D193,Clients!$A$5:$A$204,0)),""))</f>
        <v>0</v>
      </c>
      <c r="Q193" s="31">
        <f>IF(A193="","",COUNTIFS('Invoice Lines'!$B$5:$B$804,A193))</f>
        <v>0</v>
      </c>
      <c r="R193" s="21">
        <f>IF(A193="","",SUMIFS('Invoice Lines'!$N$5:$N$804,'Invoice Lines'!$B$5:$B$804,A193))</f>
        <v>0</v>
      </c>
      <c r="S193" s="21">
        <f>IF(A193="","",ROUND(R193*IF(K193="",0,K193),2))</f>
        <v>0</v>
      </c>
      <c r="T193" s="21">
        <f>IF(A193="","",R193-S193)</f>
        <v>0</v>
      </c>
      <c r="U193" s="21">
        <f>IF(A193="","",ROUND(T193*TaxRate,2))</f>
        <v>0</v>
      </c>
      <c r="V193" s="21">
        <f>IF(A193="","",T193+U193)</f>
        <v>0</v>
      </c>
      <c r="W193" s="21">
        <f>IF(A193="","",SUMIFS(Payments!$G$5:$G$404,Payments!$D$5:$D$404,A193))</f>
        <v>0</v>
      </c>
      <c r="X193" s="21">
        <f>IF(A193="","",ROUND(V193-W193,2))</f>
        <v>0</v>
      </c>
      <c r="Y193" s="31">
        <f>IF(B193="","",IF(J193&lt;&gt;"",J193,IF(IFERROR(INDEX(Clients!$P$5:$P$204,MATCH(D193,Clients!$A$5:$A$204,0)),"")&lt;&gt;"",INDEX(Clients!$P$5:$P$204,MATCH(D193,Clients!$A$5:$A$204,0)),PaymentTerms)))</f>
        <v>0</v>
      </c>
      <c r="Z193" s="18">
        <f>IF(OR(A193="",B193=""),"",B193+Y193)</f>
        <v>0</v>
      </c>
      <c r="AA193" s="31">
        <f>IF(OR(A193="",Z193=""),"",IF(X193&lt;=0.004,"",MAX(0,TodayDate-Z193-OverdueGrace)))</f>
        <v>0</v>
      </c>
      <c r="AB193" s="39">
        <f>IF(B193="","",IF(X193&lt;=0.004,"Paid",IF(AA193="","Not due yet",IF(AA193=0,"Due now",IF(AA193&lt;=30,"1-30 days",IF(AA193&lt;=60,"31-60 days",IF(AA193&lt;=90,"61-90 days","90+ days")))))))</f>
        <v>0</v>
      </c>
      <c r="AC193" s="21">
        <f>IF(OR(A193="",AA193=""),"",IF(AA193&lt;=0,0,ROUND(X193*LateFeePercent,2)))</f>
        <v>0</v>
      </c>
      <c r="AD193" s="50">
        <f>IF(B193="","",IF(X193&lt;=0.004,"Yes","No"))</f>
        <v>0</v>
      </c>
      <c r="AE193" s="39">
        <f>IF(B193="","",IF(Q193=0,"Add - no lines on this invoice yet",IF(H193="Written off","Written off",IF(AD193="Yes","OK - paid",IF(H193="Draft","Draft - not sent yet",IF(AND(AA193&lt;&gt;"",AA193&gt;30),"Overdue - "&amp;AA193&amp;" days, call them",IF(AND(AA193&lt;&gt;"",AA193&gt;0),"Overdue - send a reminder",IF(W193&gt;0,"Part paid","Due - waiting for payment"))))))))</f>
        <v>0</v>
      </c>
    </row>
    <row r="194" spans="1:31">
      <c r="A194" s="43">
        <f>IF(B194="","",InvoicePrefix&amp;TEXT(ROW()-4,"0000"))</f>
        <v>0</v>
      </c>
      <c r="C194" s="23">
        <f>IF(B194="","",TEXT(B194,"yyyy-mm"))</f>
        <v>0</v>
      </c>
      <c r="E194" s="23">
        <f>IF(D194="","",IFERROR(INDEX(Clients!$B$5:$B$204,MATCH(D194,Clients!$A$5:$A$204,0)),"Not found"))</f>
        <v>0</v>
      </c>
      <c r="F194" s="23">
        <f>IF(D194="","",IFERROR(INDEX(Clients!$G$5:$G$204,MATCH(D194,Clients!$A$5:$A$204,0)),""))</f>
        <v>0</v>
      </c>
      <c r="Q194" s="31">
        <f>IF(A194="","",COUNTIFS('Invoice Lines'!$B$5:$B$804,A194))</f>
        <v>0</v>
      </c>
      <c r="R194" s="21">
        <f>IF(A194="","",SUMIFS('Invoice Lines'!$N$5:$N$804,'Invoice Lines'!$B$5:$B$804,A194))</f>
        <v>0</v>
      </c>
      <c r="S194" s="21">
        <f>IF(A194="","",ROUND(R194*IF(K194="",0,K194),2))</f>
        <v>0</v>
      </c>
      <c r="T194" s="21">
        <f>IF(A194="","",R194-S194)</f>
        <v>0</v>
      </c>
      <c r="U194" s="21">
        <f>IF(A194="","",ROUND(T194*TaxRate,2))</f>
        <v>0</v>
      </c>
      <c r="V194" s="21">
        <f>IF(A194="","",T194+U194)</f>
        <v>0</v>
      </c>
      <c r="W194" s="21">
        <f>IF(A194="","",SUMIFS(Payments!$G$5:$G$404,Payments!$D$5:$D$404,A194))</f>
        <v>0</v>
      </c>
      <c r="X194" s="21">
        <f>IF(A194="","",ROUND(V194-W194,2))</f>
        <v>0</v>
      </c>
      <c r="Y194" s="31">
        <f>IF(B194="","",IF(J194&lt;&gt;"",J194,IF(IFERROR(INDEX(Clients!$P$5:$P$204,MATCH(D194,Clients!$A$5:$A$204,0)),"")&lt;&gt;"",INDEX(Clients!$P$5:$P$204,MATCH(D194,Clients!$A$5:$A$204,0)),PaymentTerms)))</f>
        <v>0</v>
      </c>
      <c r="Z194" s="18">
        <f>IF(OR(A194="",B194=""),"",B194+Y194)</f>
        <v>0</v>
      </c>
      <c r="AA194" s="31">
        <f>IF(OR(A194="",Z194=""),"",IF(X194&lt;=0.004,"",MAX(0,TodayDate-Z194-OverdueGrace)))</f>
        <v>0</v>
      </c>
      <c r="AB194" s="39">
        <f>IF(B194="","",IF(X194&lt;=0.004,"Paid",IF(AA194="","Not due yet",IF(AA194=0,"Due now",IF(AA194&lt;=30,"1-30 days",IF(AA194&lt;=60,"31-60 days",IF(AA194&lt;=90,"61-90 days","90+ days")))))))</f>
        <v>0</v>
      </c>
      <c r="AC194" s="21">
        <f>IF(OR(A194="",AA194=""),"",IF(AA194&lt;=0,0,ROUND(X194*LateFeePercent,2)))</f>
        <v>0</v>
      </c>
      <c r="AD194" s="50">
        <f>IF(B194="","",IF(X194&lt;=0.004,"Yes","No"))</f>
        <v>0</v>
      </c>
      <c r="AE194" s="39">
        <f>IF(B194="","",IF(Q194=0,"Add - no lines on this invoice yet",IF(H194="Written off","Written off",IF(AD194="Yes","OK - paid",IF(H194="Draft","Draft - not sent yet",IF(AND(AA194&lt;&gt;"",AA194&gt;30),"Overdue - "&amp;AA194&amp;" days, call them",IF(AND(AA194&lt;&gt;"",AA194&gt;0),"Overdue - send a reminder",IF(W194&gt;0,"Part paid","Due - waiting for payment"))))))))</f>
        <v>0</v>
      </c>
    </row>
    <row r="195" spans="1:31">
      <c r="A195" s="43">
        <f>IF(B195="","",InvoicePrefix&amp;TEXT(ROW()-4,"0000"))</f>
        <v>0</v>
      </c>
      <c r="C195" s="23">
        <f>IF(B195="","",TEXT(B195,"yyyy-mm"))</f>
        <v>0</v>
      </c>
      <c r="E195" s="23">
        <f>IF(D195="","",IFERROR(INDEX(Clients!$B$5:$B$204,MATCH(D195,Clients!$A$5:$A$204,0)),"Not found"))</f>
        <v>0</v>
      </c>
      <c r="F195" s="23">
        <f>IF(D195="","",IFERROR(INDEX(Clients!$G$5:$G$204,MATCH(D195,Clients!$A$5:$A$204,0)),""))</f>
        <v>0</v>
      </c>
      <c r="Q195" s="31">
        <f>IF(A195="","",COUNTIFS('Invoice Lines'!$B$5:$B$804,A195))</f>
        <v>0</v>
      </c>
      <c r="R195" s="21">
        <f>IF(A195="","",SUMIFS('Invoice Lines'!$N$5:$N$804,'Invoice Lines'!$B$5:$B$804,A195))</f>
        <v>0</v>
      </c>
      <c r="S195" s="21">
        <f>IF(A195="","",ROUND(R195*IF(K195="",0,K195),2))</f>
        <v>0</v>
      </c>
      <c r="T195" s="21">
        <f>IF(A195="","",R195-S195)</f>
        <v>0</v>
      </c>
      <c r="U195" s="21">
        <f>IF(A195="","",ROUND(T195*TaxRate,2))</f>
        <v>0</v>
      </c>
      <c r="V195" s="21">
        <f>IF(A195="","",T195+U195)</f>
        <v>0</v>
      </c>
      <c r="W195" s="21">
        <f>IF(A195="","",SUMIFS(Payments!$G$5:$G$404,Payments!$D$5:$D$404,A195))</f>
        <v>0</v>
      </c>
      <c r="X195" s="21">
        <f>IF(A195="","",ROUND(V195-W195,2))</f>
        <v>0</v>
      </c>
      <c r="Y195" s="31">
        <f>IF(B195="","",IF(J195&lt;&gt;"",J195,IF(IFERROR(INDEX(Clients!$P$5:$P$204,MATCH(D195,Clients!$A$5:$A$204,0)),"")&lt;&gt;"",INDEX(Clients!$P$5:$P$204,MATCH(D195,Clients!$A$5:$A$204,0)),PaymentTerms)))</f>
        <v>0</v>
      </c>
      <c r="Z195" s="18">
        <f>IF(OR(A195="",B195=""),"",B195+Y195)</f>
        <v>0</v>
      </c>
      <c r="AA195" s="31">
        <f>IF(OR(A195="",Z195=""),"",IF(X195&lt;=0.004,"",MAX(0,TodayDate-Z195-OverdueGrace)))</f>
        <v>0</v>
      </c>
      <c r="AB195" s="39">
        <f>IF(B195="","",IF(X195&lt;=0.004,"Paid",IF(AA195="","Not due yet",IF(AA195=0,"Due now",IF(AA195&lt;=30,"1-30 days",IF(AA195&lt;=60,"31-60 days",IF(AA195&lt;=90,"61-90 days","90+ days")))))))</f>
        <v>0</v>
      </c>
      <c r="AC195" s="21">
        <f>IF(OR(A195="",AA195=""),"",IF(AA195&lt;=0,0,ROUND(X195*LateFeePercent,2)))</f>
        <v>0</v>
      </c>
      <c r="AD195" s="50">
        <f>IF(B195="","",IF(X195&lt;=0.004,"Yes","No"))</f>
        <v>0</v>
      </c>
      <c r="AE195" s="39">
        <f>IF(B195="","",IF(Q195=0,"Add - no lines on this invoice yet",IF(H195="Written off","Written off",IF(AD195="Yes","OK - paid",IF(H195="Draft","Draft - not sent yet",IF(AND(AA195&lt;&gt;"",AA195&gt;30),"Overdue - "&amp;AA195&amp;" days, call them",IF(AND(AA195&lt;&gt;"",AA195&gt;0),"Overdue - send a reminder",IF(W195&gt;0,"Part paid","Due - waiting for payment"))))))))</f>
        <v>0</v>
      </c>
    </row>
    <row r="196" spans="1:31">
      <c r="A196" s="43">
        <f>IF(B196="","",InvoicePrefix&amp;TEXT(ROW()-4,"0000"))</f>
        <v>0</v>
      </c>
      <c r="C196" s="23">
        <f>IF(B196="","",TEXT(B196,"yyyy-mm"))</f>
        <v>0</v>
      </c>
      <c r="E196" s="23">
        <f>IF(D196="","",IFERROR(INDEX(Clients!$B$5:$B$204,MATCH(D196,Clients!$A$5:$A$204,0)),"Not found"))</f>
        <v>0</v>
      </c>
      <c r="F196" s="23">
        <f>IF(D196="","",IFERROR(INDEX(Clients!$G$5:$G$204,MATCH(D196,Clients!$A$5:$A$204,0)),""))</f>
        <v>0</v>
      </c>
      <c r="Q196" s="31">
        <f>IF(A196="","",COUNTIFS('Invoice Lines'!$B$5:$B$804,A196))</f>
        <v>0</v>
      </c>
      <c r="R196" s="21">
        <f>IF(A196="","",SUMIFS('Invoice Lines'!$N$5:$N$804,'Invoice Lines'!$B$5:$B$804,A196))</f>
        <v>0</v>
      </c>
      <c r="S196" s="21">
        <f>IF(A196="","",ROUND(R196*IF(K196="",0,K196),2))</f>
        <v>0</v>
      </c>
      <c r="T196" s="21">
        <f>IF(A196="","",R196-S196)</f>
        <v>0</v>
      </c>
      <c r="U196" s="21">
        <f>IF(A196="","",ROUND(T196*TaxRate,2))</f>
        <v>0</v>
      </c>
      <c r="V196" s="21">
        <f>IF(A196="","",T196+U196)</f>
        <v>0</v>
      </c>
      <c r="W196" s="21">
        <f>IF(A196="","",SUMIFS(Payments!$G$5:$G$404,Payments!$D$5:$D$404,A196))</f>
        <v>0</v>
      </c>
      <c r="X196" s="21">
        <f>IF(A196="","",ROUND(V196-W196,2))</f>
        <v>0</v>
      </c>
      <c r="Y196" s="31">
        <f>IF(B196="","",IF(J196&lt;&gt;"",J196,IF(IFERROR(INDEX(Clients!$P$5:$P$204,MATCH(D196,Clients!$A$5:$A$204,0)),"")&lt;&gt;"",INDEX(Clients!$P$5:$P$204,MATCH(D196,Clients!$A$5:$A$204,0)),PaymentTerms)))</f>
        <v>0</v>
      </c>
      <c r="Z196" s="18">
        <f>IF(OR(A196="",B196=""),"",B196+Y196)</f>
        <v>0</v>
      </c>
      <c r="AA196" s="31">
        <f>IF(OR(A196="",Z196=""),"",IF(X196&lt;=0.004,"",MAX(0,TodayDate-Z196-OverdueGrace)))</f>
        <v>0</v>
      </c>
      <c r="AB196" s="39">
        <f>IF(B196="","",IF(X196&lt;=0.004,"Paid",IF(AA196="","Not due yet",IF(AA196=0,"Due now",IF(AA196&lt;=30,"1-30 days",IF(AA196&lt;=60,"31-60 days",IF(AA196&lt;=90,"61-90 days","90+ days")))))))</f>
        <v>0</v>
      </c>
      <c r="AC196" s="21">
        <f>IF(OR(A196="",AA196=""),"",IF(AA196&lt;=0,0,ROUND(X196*LateFeePercent,2)))</f>
        <v>0</v>
      </c>
      <c r="AD196" s="50">
        <f>IF(B196="","",IF(X196&lt;=0.004,"Yes","No"))</f>
        <v>0</v>
      </c>
      <c r="AE196" s="39">
        <f>IF(B196="","",IF(Q196=0,"Add - no lines on this invoice yet",IF(H196="Written off","Written off",IF(AD196="Yes","OK - paid",IF(H196="Draft","Draft - not sent yet",IF(AND(AA196&lt;&gt;"",AA196&gt;30),"Overdue - "&amp;AA196&amp;" days, call them",IF(AND(AA196&lt;&gt;"",AA196&gt;0),"Overdue - send a reminder",IF(W196&gt;0,"Part paid","Due - waiting for payment"))))))))</f>
        <v>0</v>
      </c>
    </row>
    <row r="197" spans="1:31">
      <c r="A197" s="43">
        <f>IF(B197="","",InvoicePrefix&amp;TEXT(ROW()-4,"0000"))</f>
        <v>0</v>
      </c>
      <c r="C197" s="23">
        <f>IF(B197="","",TEXT(B197,"yyyy-mm"))</f>
        <v>0</v>
      </c>
      <c r="E197" s="23">
        <f>IF(D197="","",IFERROR(INDEX(Clients!$B$5:$B$204,MATCH(D197,Clients!$A$5:$A$204,0)),"Not found"))</f>
        <v>0</v>
      </c>
      <c r="F197" s="23">
        <f>IF(D197="","",IFERROR(INDEX(Clients!$G$5:$G$204,MATCH(D197,Clients!$A$5:$A$204,0)),""))</f>
        <v>0</v>
      </c>
      <c r="Q197" s="31">
        <f>IF(A197="","",COUNTIFS('Invoice Lines'!$B$5:$B$804,A197))</f>
        <v>0</v>
      </c>
      <c r="R197" s="21">
        <f>IF(A197="","",SUMIFS('Invoice Lines'!$N$5:$N$804,'Invoice Lines'!$B$5:$B$804,A197))</f>
        <v>0</v>
      </c>
      <c r="S197" s="21">
        <f>IF(A197="","",ROUND(R197*IF(K197="",0,K197),2))</f>
        <v>0</v>
      </c>
      <c r="T197" s="21">
        <f>IF(A197="","",R197-S197)</f>
        <v>0</v>
      </c>
      <c r="U197" s="21">
        <f>IF(A197="","",ROUND(T197*TaxRate,2))</f>
        <v>0</v>
      </c>
      <c r="V197" s="21">
        <f>IF(A197="","",T197+U197)</f>
        <v>0</v>
      </c>
      <c r="W197" s="21">
        <f>IF(A197="","",SUMIFS(Payments!$G$5:$G$404,Payments!$D$5:$D$404,A197))</f>
        <v>0</v>
      </c>
      <c r="X197" s="21">
        <f>IF(A197="","",ROUND(V197-W197,2))</f>
        <v>0</v>
      </c>
      <c r="Y197" s="31">
        <f>IF(B197="","",IF(J197&lt;&gt;"",J197,IF(IFERROR(INDEX(Clients!$P$5:$P$204,MATCH(D197,Clients!$A$5:$A$204,0)),"")&lt;&gt;"",INDEX(Clients!$P$5:$P$204,MATCH(D197,Clients!$A$5:$A$204,0)),PaymentTerms)))</f>
        <v>0</v>
      </c>
      <c r="Z197" s="18">
        <f>IF(OR(A197="",B197=""),"",B197+Y197)</f>
        <v>0</v>
      </c>
      <c r="AA197" s="31">
        <f>IF(OR(A197="",Z197=""),"",IF(X197&lt;=0.004,"",MAX(0,TodayDate-Z197-OverdueGrace)))</f>
        <v>0</v>
      </c>
      <c r="AB197" s="39">
        <f>IF(B197="","",IF(X197&lt;=0.004,"Paid",IF(AA197="","Not due yet",IF(AA197=0,"Due now",IF(AA197&lt;=30,"1-30 days",IF(AA197&lt;=60,"31-60 days",IF(AA197&lt;=90,"61-90 days","90+ days")))))))</f>
        <v>0</v>
      </c>
      <c r="AC197" s="21">
        <f>IF(OR(A197="",AA197=""),"",IF(AA197&lt;=0,0,ROUND(X197*LateFeePercent,2)))</f>
        <v>0</v>
      </c>
      <c r="AD197" s="50">
        <f>IF(B197="","",IF(X197&lt;=0.004,"Yes","No"))</f>
        <v>0</v>
      </c>
      <c r="AE197" s="39">
        <f>IF(B197="","",IF(Q197=0,"Add - no lines on this invoice yet",IF(H197="Written off","Written off",IF(AD197="Yes","OK - paid",IF(H197="Draft","Draft - not sent yet",IF(AND(AA197&lt;&gt;"",AA197&gt;30),"Overdue - "&amp;AA197&amp;" days, call them",IF(AND(AA197&lt;&gt;"",AA197&gt;0),"Overdue - send a reminder",IF(W197&gt;0,"Part paid","Due - waiting for payment"))))))))</f>
        <v>0</v>
      </c>
    </row>
    <row r="198" spans="1:31">
      <c r="A198" s="43">
        <f>IF(B198="","",InvoicePrefix&amp;TEXT(ROW()-4,"0000"))</f>
        <v>0</v>
      </c>
      <c r="C198" s="23">
        <f>IF(B198="","",TEXT(B198,"yyyy-mm"))</f>
        <v>0</v>
      </c>
      <c r="E198" s="23">
        <f>IF(D198="","",IFERROR(INDEX(Clients!$B$5:$B$204,MATCH(D198,Clients!$A$5:$A$204,0)),"Not found"))</f>
        <v>0</v>
      </c>
      <c r="F198" s="23">
        <f>IF(D198="","",IFERROR(INDEX(Clients!$G$5:$G$204,MATCH(D198,Clients!$A$5:$A$204,0)),""))</f>
        <v>0</v>
      </c>
      <c r="Q198" s="31">
        <f>IF(A198="","",COUNTIFS('Invoice Lines'!$B$5:$B$804,A198))</f>
        <v>0</v>
      </c>
      <c r="R198" s="21">
        <f>IF(A198="","",SUMIFS('Invoice Lines'!$N$5:$N$804,'Invoice Lines'!$B$5:$B$804,A198))</f>
        <v>0</v>
      </c>
      <c r="S198" s="21">
        <f>IF(A198="","",ROUND(R198*IF(K198="",0,K198),2))</f>
        <v>0</v>
      </c>
      <c r="T198" s="21">
        <f>IF(A198="","",R198-S198)</f>
        <v>0</v>
      </c>
      <c r="U198" s="21">
        <f>IF(A198="","",ROUND(T198*TaxRate,2))</f>
        <v>0</v>
      </c>
      <c r="V198" s="21">
        <f>IF(A198="","",T198+U198)</f>
        <v>0</v>
      </c>
      <c r="W198" s="21">
        <f>IF(A198="","",SUMIFS(Payments!$G$5:$G$404,Payments!$D$5:$D$404,A198))</f>
        <v>0</v>
      </c>
      <c r="X198" s="21">
        <f>IF(A198="","",ROUND(V198-W198,2))</f>
        <v>0</v>
      </c>
      <c r="Y198" s="31">
        <f>IF(B198="","",IF(J198&lt;&gt;"",J198,IF(IFERROR(INDEX(Clients!$P$5:$P$204,MATCH(D198,Clients!$A$5:$A$204,0)),"")&lt;&gt;"",INDEX(Clients!$P$5:$P$204,MATCH(D198,Clients!$A$5:$A$204,0)),PaymentTerms)))</f>
        <v>0</v>
      </c>
      <c r="Z198" s="18">
        <f>IF(OR(A198="",B198=""),"",B198+Y198)</f>
        <v>0</v>
      </c>
      <c r="AA198" s="31">
        <f>IF(OR(A198="",Z198=""),"",IF(X198&lt;=0.004,"",MAX(0,TodayDate-Z198-OverdueGrace)))</f>
        <v>0</v>
      </c>
      <c r="AB198" s="39">
        <f>IF(B198="","",IF(X198&lt;=0.004,"Paid",IF(AA198="","Not due yet",IF(AA198=0,"Due now",IF(AA198&lt;=30,"1-30 days",IF(AA198&lt;=60,"31-60 days",IF(AA198&lt;=90,"61-90 days","90+ days")))))))</f>
        <v>0</v>
      </c>
      <c r="AC198" s="21">
        <f>IF(OR(A198="",AA198=""),"",IF(AA198&lt;=0,0,ROUND(X198*LateFeePercent,2)))</f>
        <v>0</v>
      </c>
      <c r="AD198" s="50">
        <f>IF(B198="","",IF(X198&lt;=0.004,"Yes","No"))</f>
        <v>0</v>
      </c>
      <c r="AE198" s="39">
        <f>IF(B198="","",IF(Q198=0,"Add - no lines on this invoice yet",IF(H198="Written off","Written off",IF(AD198="Yes","OK - paid",IF(H198="Draft","Draft - not sent yet",IF(AND(AA198&lt;&gt;"",AA198&gt;30),"Overdue - "&amp;AA198&amp;" days, call them",IF(AND(AA198&lt;&gt;"",AA198&gt;0),"Overdue - send a reminder",IF(W198&gt;0,"Part paid","Due - waiting for payment"))))))))</f>
        <v>0</v>
      </c>
    </row>
    <row r="199" spans="1:31">
      <c r="A199" s="43">
        <f>IF(B199="","",InvoicePrefix&amp;TEXT(ROW()-4,"0000"))</f>
        <v>0</v>
      </c>
      <c r="C199" s="23">
        <f>IF(B199="","",TEXT(B199,"yyyy-mm"))</f>
        <v>0</v>
      </c>
      <c r="E199" s="23">
        <f>IF(D199="","",IFERROR(INDEX(Clients!$B$5:$B$204,MATCH(D199,Clients!$A$5:$A$204,0)),"Not found"))</f>
        <v>0</v>
      </c>
      <c r="F199" s="23">
        <f>IF(D199="","",IFERROR(INDEX(Clients!$G$5:$G$204,MATCH(D199,Clients!$A$5:$A$204,0)),""))</f>
        <v>0</v>
      </c>
      <c r="Q199" s="31">
        <f>IF(A199="","",COUNTIFS('Invoice Lines'!$B$5:$B$804,A199))</f>
        <v>0</v>
      </c>
      <c r="R199" s="21">
        <f>IF(A199="","",SUMIFS('Invoice Lines'!$N$5:$N$804,'Invoice Lines'!$B$5:$B$804,A199))</f>
        <v>0</v>
      </c>
      <c r="S199" s="21">
        <f>IF(A199="","",ROUND(R199*IF(K199="",0,K199),2))</f>
        <v>0</v>
      </c>
      <c r="T199" s="21">
        <f>IF(A199="","",R199-S199)</f>
        <v>0</v>
      </c>
      <c r="U199" s="21">
        <f>IF(A199="","",ROUND(T199*TaxRate,2))</f>
        <v>0</v>
      </c>
      <c r="V199" s="21">
        <f>IF(A199="","",T199+U199)</f>
        <v>0</v>
      </c>
      <c r="W199" s="21">
        <f>IF(A199="","",SUMIFS(Payments!$G$5:$G$404,Payments!$D$5:$D$404,A199))</f>
        <v>0</v>
      </c>
      <c r="X199" s="21">
        <f>IF(A199="","",ROUND(V199-W199,2))</f>
        <v>0</v>
      </c>
      <c r="Y199" s="31">
        <f>IF(B199="","",IF(J199&lt;&gt;"",J199,IF(IFERROR(INDEX(Clients!$P$5:$P$204,MATCH(D199,Clients!$A$5:$A$204,0)),"")&lt;&gt;"",INDEX(Clients!$P$5:$P$204,MATCH(D199,Clients!$A$5:$A$204,0)),PaymentTerms)))</f>
        <v>0</v>
      </c>
      <c r="Z199" s="18">
        <f>IF(OR(A199="",B199=""),"",B199+Y199)</f>
        <v>0</v>
      </c>
      <c r="AA199" s="31">
        <f>IF(OR(A199="",Z199=""),"",IF(X199&lt;=0.004,"",MAX(0,TodayDate-Z199-OverdueGrace)))</f>
        <v>0</v>
      </c>
      <c r="AB199" s="39">
        <f>IF(B199="","",IF(X199&lt;=0.004,"Paid",IF(AA199="","Not due yet",IF(AA199=0,"Due now",IF(AA199&lt;=30,"1-30 days",IF(AA199&lt;=60,"31-60 days",IF(AA199&lt;=90,"61-90 days","90+ days")))))))</f>
        <v>0</v>
      </c>
      <c r="AC199" s="21">
        <f>IF(OR(A199="",AA199=""),"",IF(AA199&lt;=0,0,ROUND(X199*LateFeePercent,2)))</f>
        <v>0</v>
      </c>
      <c r="AD199" s="50">
        <f>IF(B199="","",IF(X199&lt;=0.004,"Yes","No"))</f>
        <v>0</v>
      </c>
      <c r="AE199" s="39">
        <f>IF(B199="","",IF(Q199=0,"Add - no lines on this invoice yet",IF(H199="Written off","Written off",IF(AD199="Yes","OK - paid",IF(H199="Draft","Draft - not sent yet",IF(AND(AA199&lt;&gt;"",AA199&gt;30),"Overdue - "&amp;AA199&amp;" days, call them",IF(AND(AA199&lt;&gt;"",AA199&gt;0),"Overdue - send a reminder",IF(W199&gt;0,"Part paid","Due - waiting for payment"))))))))</f>
        <v>0</v>
      </c>
    </row>
    <row r="200" spans="1:31">
      <c r="A200" s="43">
        <f>IF(B200="","",InvoicePrefix&amp;TEXT(ROW()-4,"0000"))</f>
        <v>0</v>
      </c>
      <c r="C200" s="23">
        <f>IF(B200="","",TEXT(B200,"yyyy-mm"))</f>
        <v>0</v>
      </c>
      <c r="E200" s="23">
        <f>IF(D200="","",IFERROR(INDEX(Clients!$B$5:$B$204,MATCH(D200,Clients!$A$5:$A$204,0)),"Not found"))</f>
        <v>0</v>
      </c>
      <c r="F200" s="23">
        <f>IF(D200="","",IFERROR(INDEX(Clients!$G$5:$G$204,MATCH(D200,Clients!$A$5:$A$204,0)),""))</f>
        <v>0</v>
      </c>
      <c r="Q200" s="31">
        <f>IF(A200="","",COUNTIFS('Invoice Lines'!$B$5:$B$804,A200))</f>
        <v>0</v>
      </c>
      <c r="R200" s="21">
        <f>IF(A200="","",SUMIFS('Invoice Lines'!$N$5:$N$804,'Invoice Lines'!$B$5:$B$804,A200))</f>
        <v>0</v>
      </c>
      <c r="S200" s="21">
        <f>IF(A200="","",ROUND(R200*IF(K200="",0,K200),2))</f>
        <v>0</v>
      </c>
      <c r="T200" s="21">
        <f>IF(A200="","",R200-S200)</f>
        <v>0</v>
      </c>
      <c r="U200" s="21">
        <f>IF(A200="","",ROUND(T200*TaxRate,2))</f>
        <v>0</v>
      </c>
      <c r="V200" s="21">
        <f>IF(A200="","",T200+U200)</f>
        <v>0</v>
      </c>
      <c r="W200" s="21">
        <f>IF(A200="","",SUMIFS(Payments!$G$5:$G$404,Payments!$D$5:$D$404,A200))</f>
        <v>0</v>
      </c>
      <c r="X200" s="21">
        <f>IF(A200="","",ROUND(V200-W200,2))</f>
        <v>0</v>
      </c>
      <c r="Y200" s="31">
        <f>IF(B200="","",IF(J200&lt;&gt;"",J200,IF(IFERROR(INDEX(Clients!$P$5:$P$204,MATCH(D200,Clients!$A$5:$A$204,0)),"")&lt;&gt;"",INDEX(Clients!$P$5:$P$204,MATCH(D200,Clients!$A$5:$A$204,0)),PaymentTerms)))</f>
        <v>0</v>
      </c>
      <c r="Z200" s="18">
        <f>IF(OR(A200="",B200=""),"",B200+Y200)</f>
        <v>0</v>
      </c>
      <c r="AA200" s="31">
        <f>IF(OR(A200="",Z200=""),"",IF(X200&lt;=0.004,"",MAX(0,TodayDate-Z200-OverdueGrace)))</f>
        <v>0</v>
      </c>
      <c r="AB200" s="39">
        <f>IF(B200="","",IF(X200&lt;=0.004,"Paid",IF(AA200="","Not due yet",IF(AA200=0,"Due now",IF(AA200&lt;=30,"1-30 days",IF(AA200&lt;=60,"31-60 days",IF(AA200&lt;=90,"61-90 days","90+ days")))))))</f>
        <v>0</v>
      </c>
      <c r="AC200" s="21">
        <f>IF(OR(A200="",AA200=""),"",IF(AA200&lt;=0,0,ROUND(X200*LateFeePercent,2)))</f>
        <v>0</v>
      </c>
      <c r="AD200" s="50">
        <f>IF(B200="","",IF(X200&lt;=0.004,"Yes","No"))</f>
        <v>0</v>
      </c>
      <c r="AE200" s="39">
        <f>IF(B200="","",IF(Q200=0,"Add - no lines on this invoice yet",IF(H200="Written off","Written off",IF(AD200="Yes","OK - paid",IF(H200="Draft","Draft - not sent yet",IF(AND(AA200&lt;&gt;"",AA200&gt;30),"Overdue - "&amp;AA200&amp;" days, call them",IF(AND(AA200&lt;&gt;"",AA200&gt;0),"Overdue - send a reminder",IF(W200&gt;0,"Part paid","Due - waiting for payment"))))))))</f>
        <v>0</v>
      </c>
    </row>
    <row r="201" spans="1:31">
      <c r="A201" s="43">
        <f>IF(B201="","",InvoicePrefix&amp;TEXT(ROW()-4,"0000"))</f>
        <v>0</v>
      </c>
      <c r="C201" s="23">
        <f>IF(B201="","",TEXT(B201,"yyyy-mm"))</f>
        <v>0</v>
      </c>
      <c r="E201" s="23">
        <f>IF(D201="","",IFERROR(INDEX(Clients!$B$5:$B$204,MATCH(D201,Clients!$A$5:$A$204,0)),"Not found"))</f>
        <v>0</v>
      </c>
      <c r="F201" s="23">
        <f>IF(D201="","",IFERROR(INDEX(Clients!$G$5:$G$204,MATCH(D201,Clients!$A$5:$A$204,0)),""))</f>
        <v>0</v>
      </c>
      <c r="Q201" s="31">
        <f>IF(A201="","",COUNTIFS('Invoice Lines'!$B$5:$B$804,A201))</f>
        <v>0</v>
      </c>
      <c r="R201" s="21">
        <f>IF(A201="","",SUMIFS('Invoice Lines'!$N$5:$N$804,'Invoice Lines'!$B$5:$B$804,A201))</f>
        <v>0</v>
      </c>
      <c r="S201" s="21">
        <f>IF(A201="","",ROUND(R201*IF(K201="",0,K201),2))</f>
        <v>0</v>
      </c>
      <c r="T201" s="21">
        <f>IF(A201="","",R201-S201)</f>
        <v>0</v>
      </c>
      <c r="U201" s="21">
        <f>IF(A201="","",ROUND(T201*TaxRate,2))</f>
        <v>0</v>
      </c>
      <c r="V201" s="21">
        <f>IF(A201="","",T201+U201)</f>
        <v>0</v>
      </c>
      <c r="W201" s="21">
        <f>IF(A201="","",SUMIFS(Payments!$G$5:$G$404,Payments!$D$5:$D$404,A201))</f>
        <v>0</v>
      </c>
      <c r="X201" s="21">
        <f>IF(A201="","",ROUND(V201-W201,2))</f>
        <v>0</v>
      </c>
      <c r="Y201" s="31">
        <f>IF(B201="","",IF(J201&lt;&gt;"",J201,IF(IFERROR(INDEX(Clients!$P$5:$P$204,MATCH(D201,Clients!$A$5:$A$204,0)),"")&lt;&gt;"",INDEX(Clients!$P$5:$P$204,MATCH(D201,Clients!$A$5:$A$204,0)),PaymentTerms)))</f>
        <v>0</v>
      </c>
      <c r="Z201" s="18">
        <f>IF(OR(A201="",B201=""),"",B201+Y201)</f>
        <v>0</v>
      </c>
      <c r="AA201" s="31">
        <f>IF(OR(A201="",Z201=""),"",IF(X201&lt;=0.004,"",MAX(0,TodayDate-Z201-OverdueGrace)))</f>
        <v>0</v>
      </c>
      <c r="AB201" s="39">
        <f>IF(B201="","",IF(X201&lt;=0.004,"Paid",IF(AA201="","Not due yet",IF(AA201=0,"Due now",IF(AA201&lt;=30,"1-30 days",IF(AA201&lt;=60,"31-60 days",IF(AA201&lt;=90,"61-90 days","90+ days")))))))</f>
        <v>0</v>
      </c>
      <c r="AC201" s="21">
        <f>IF(OR(A201="",AA201=""),"",IF(AA201&lt;=0,0,ROUND(X201*LateFeePercent,2)))</f>
        <v>0</v>
      </c>
      <c r="AD201" s="50">
        <f>IF(B201="","",IF(X201&lt;=0.004,"Yes","No"))</f>
        <v>0</v>
      </c>
      <c r="AE201" s="39">
        <f>IF(B201="","",IF(Q201=0,"Add - no lines on this invoice yet",IF(H201="Written off","Written off",IF(AD201="Yes","OK - paid",IF(H201="Draft","Draft - not sent yet",IF(AND(AA201&lt;&gt;"",AA201&gt;30),"Overdue - "&amp;AA201&amp;" days, call them",IF(AND(AA201&lt;&gt;"",AA201&gt;0),"Overdue - send a reminder",IF(W201&gt;0,"Part paid","Due - waiting for payment"))))))))</f>
        <v>0</v>
      </c>
    </row>
    <row r="202" spans="1:31">
      <c r="A202" s="43">
        <f>IF(B202="","",InvoicePrefix&amp;TEXT(ROW()-4,"0000"))</f>
        <v>0</v>
      </c>
      <c r="C202" s="23">
        <f>IF(B202="","",TEXT(B202,"yyyy-mm"))</f>
        <v>0</v>
      </c>
      <c r="E202" s="23">
        <f>IF(D202="","",IFERROR(INDEX(Clients!$B$5:$B$204,MATCH(D202,Clients!$A$5:$A$204,0)),"Not found"))</f>
        <v>0</v>
      </c>
      <c r="F202" s="23">
        <f>IF(D202="","",IFERROR(INDEX(Clients!$G$5:$G$204,MATCH(D202,Clients!$A$5:$A$204,0)),""))</f>
        <v>0</v>
      </c>
      <c r="Q202" s="31">
        <f>IF(A202="","",COUNTIFS('Invoice Lines'!$B$5:$B$804,A202))</f>
        <v>0</v>
      </c>
      <c r="R202" s="21">
        <f>IF(A202="","",SUMIFS('Invoice Lines'!$N$5:$N$804,'Invoice Lines'!$B$5:$B$804,A202))</f>
        <v>0</v>
      </c>
      <c r="S202" s="21">
        <f>IF(A202="","",ROUND(R202*IF(K202="",0,K202),2))</f>
        <v>0</v>
      </c>
      <c r="T202" s="21">
        <f>IF(A202="","",R202-S202)</f>
        <v>0</v>
      </c>
      <c r="U202" s="21">
        <f>IF(A202="","",ROUND(T202*TaxRate,2))</f>
        <v>0</v>
      </c>
      <c r="V202" s="21">
        <f>IF(A202="","",T202+U202)</f>
        <v>0</v>
      </c>
      <c r="W202" s="21">
        <f>IF(A202="","",SUMIFS(Payments!$G$5:$G$404,Payments!$D$5:$D$404,A202))</f>
        <v>0</v>
      </c>
      <c r="X202" s="21">
        <f>IF(A202="","",ROUND(V202-W202,2))</f>
        <v>0</v>
      </c>
      <c r="Y202" s="31">
        <f>IF(B202="","",IF(J202&lt;&gt;"",J202,IF(IFERROR(INDEX(Clients!$P$5:$P$204,MATCH(D202,Clients!$A$5:$A$204,0)),"")&lt;&gt;"",INDEX(Clients!$P$5:$P$204,MATCH(D202,Clients!$A$5:$A$204,0)),PaymentTerms)))</f>
        <v>0</v>
      </c>
      <c r="Z202" s="18">
        <f>IF(OR(A202="",B202=""),"",B202+Y202)</f>
        <v>0</v>
      </c>
      <c r="AA202" s="31">
        <f>IF(OR(A202="",Z202=""),"",IF(X202&lt;=0.004,"",MAX(0,TodayDate-Z202-OverdueGrace)))</f>
        <v>0</v>
      </c>
      <c r="AB202" s="39">
        <f>IF(B202="","",IF(X202&lt;=0.004,"Paid",IF(AA202="","Not due yet",IF(AA202=0,"Due now",IF(AA202&lt;=30,"1-30 days",IF(AA202&lt;=60,"31-60 days",IF(AA202&lt;=90,"61-90 days","90+ days")))))))</f>
        <v>0</v>
      </c>
      <c r="AC202" s="21">
        <f>IF(OR(A202="",AA202=""),"",IF(AA202&lt;=0,0,ROUND(X202*LateFeePercent,2)))</f>
        <v>0</v>
      </c>
      <c r="AD202" s="50">
        <f>IF(B202="","",IF(X202&lt;=0.004,"Yes","No"))</f>
        <v>0</v>
      </c>
      <c r="AE202" s="39">
        <f>IF(B202="","",IF(Q202=0,"Add - no lines on this invoice yet",IF(H202="Written off","Written off",IF(AD202="Yes","OK - paid",IF(H202="Draft","Draft - not sent yet",IF(AND(AA202&lt;&gt;"",AA202&gt;30),"Overdue - "&amp;AA202&amp;" days, call them",IF(AND(AA202&lt;&gt;"",AA202&gt;0),"Overdue - send a reminder",IF(W202&gt;0,"Part paid","Due - waiting for payment"))))))))</f>
        <v>0</v>
      </c>
    </row>
    <row r="203" spans="1:31">
      <c r="A203" s="43">
        <f>IF(B203="","",InvoicePrefix&amp;TEXT(ROW()-4,"0000"))</f>
        <v>0</v>
      </c>
      <c r="C203" s="23">
        <f>IF(B203="","",TEXT(B203,"yyyy-mm"))</f>
        <v>0</v>
      </c>
      <c r="E203" s="23">
        <f>IF(D203="","",IFERROR(INDEX(Clients!$B$5:$B$204,MATCH(D203,Clients!$A$5:$A$204,0)),"Not found"))</f>
        <v>0</v>
      </c>
      <c r="F203" s="23">
        <f>IF(D203="","",IFERROR(INDEX(Clients!$G$5:$G$204,MATCH(D203,Clients!$A$5:$A$204,0)),""))</f>
        <v>0</v>
      </c>
      <c r="Q203" s="31">
        <f>IF(A203="","",COUNTIFS('Invoice Lines'!$B$5:$B$804,A203))</f>
        <v>0</v>
      </c>
      <c r="R203" s="21">
        <f>IF(A203="","",SUMIFS('Invoice Lines'!$N$5:$N$804,'Invoice Lines'!$B$5:$B$804,A203))</f>
        <v>0</v>
      </c>
      <c r="S203" s="21">
        <f>IF(A203="","",ROUND(R203*IF(K203="",0,K203),2))</f>
        <v>0</v>
      </c>
      <c r="T203" s="21">
        <f>IF(A203="","",R203-S203)</f>
        <v>0</v>
      </c>
      <c r="U203" s="21">
        <f>IF(A203="","",ROUND(T203*TaxRate,2))</f>
        <v>0</v>
      </c>
      <c r="V203" s="21">
        <f>IF(A203="","",T203+U203)</f>
        <v>0</v>
      </c>
      <c r="W203" s="21">
        <f>IF(A203="","",SUMIFS(Payments!$G$5:$G$404,Payments!$D$5:$D$404,A203))</f>
        <v>0</v>
      </c>
      <c r="X203" s="21">
        <f>IF(A203="","",ROUND(V203-W203,2))</f>
        <v>0</v>
      </c>
      <c r="Y203" s="31">
        <f>IF(B203="","",IF(J203&lt;&gt;"",J203,IF(IFERROR(INDEX(Clients!$P$5:$P$204,MATCH(D203,Clients!$A$5:$A$204,0)),"")&lt;&gt;"",INDEX(Clients!$P$5:$P$204,MATCH(D203,Clients!$A$5:$A$204,0)),PaymentTerms)))</f>
        <v>0</v>
      </c>
      <c r="Z203" s="18">
        <f>IF(OR(A203="",B203=""),"",B203+Y203)</f>
        <v>0</v>
      </c>
      <c r="AA203" s="31">
        <f>IF(OR(A203="",Z203=""),"",IF(X203&lt;=0.004,"",MAX(0,TodayDate-Z203-OverdueGrace)))</f>
        <v>0</v>
      </c>
      <c r="AB203" s="39">
        <f>IF(B203="","",IF(X203&lt;=0.004,"Paid",IF(AA203="","Not due yet",IF(AA203=0,"Due now",IF(AA203&lt;=30,"1-30 days",IF(AA203&lt;=60,"31-60 days",IF(AA203&lt;=90,"61-90 days","90+ days")))))))</f>
        <v>0</v>
      </c>
      <c r="AC203" s="21">
        <f>IF(OR(A203="",AA203=""),"",IF(AA203&lt;=0,0,ROUND(X203*LateFeePercent,2)))</f>
        <v>0</v>
      </c>
      <c r="AD203" s="50">
        <f>IF(B203="","",IF(X203&lt;=0.004,"Yes","No"))</f>
        <v>0</v>
      </c>
      <c r="AE203" s="39">
        <f>IF(B203="","",IF(Q203=0,"Add - no lines on this invoice yet",IF(H203="Written off","Written off",IF(AD203="Yes","OK - paid",IF(H203="Draft","Draft - not sent yet",IF(AND(AA203&lt;&gt;"",AA203&gt;30),"Overdue - "&amp;AA203&amp;" days, call them",IF(AND(AA203&lt;&gt;"",AA203&gt;0),"Overdue - send a reminder",IF(W203&gt;0,"Part paid","Due - waiting for payment"))))))))</f>
        <v>0</v>
      </c>
    </row>
    <row r="204" spans="1:31">
      <c r="A204" s="43">
        <f>IF(B204="","",InvoicePrefix&amp;TEXT(ROW()-4,"0000"))</f>
        <v>0</v>
      </c>
      <c r="C204" s="23">
        <f>IF(B204="","",TEXT(B204,"yyyy-mm"))</f>
        <v>0</v>
      </c>
      <c r="E204" s="23">
        <f>IF(D204="","",IFERROR(INDEX(Clients!$B$5:$B$204,MATCH(D204,Clients!$A$5:$A$204,0)),"Not found"))</f>
        <v>0</v>
      </c>
      <c r="F204" s="23">
        <f>IF(D204="","",IFERROR(INDEX(Clients!$G$5:$G$204,MATCH(D204,Clients!$A$5:$A$204,0)),""))</f>
        <v>0</v>
      </c>
      <c r="Q204" s="31">
        <f>IF(A204="","",COUNTIFS('Invoice Lines'!$B$5:$B$804,A204))</f>
        <v>0</v>
      </c>
      <c r="R204" s="21">
        <f>IF(A204="","",SUMIFS('Invoice Lines'!$N$5:$N$804,'Invoice Lines'!$B$5:$B$804,A204))</f>
        <v>0</v>
      </c>
      <c r="S204" s="21">
        <f>IF(A204="","",ROUND(R204*IF(K204="",0,K204),2))</f>
        <v>0</v>
      </c>
      <c r="T204" s="21">
        <f>IF(A204="","",R204-S204)</f>
        <v>0</v>
      </c>
      <c r="U204" s="21">
        <f>IF(A204="","",ROUND(T204*TaxRate,2))</f>
        <v>0</v>
      </c>
      <c r="V204" s="21">
        <f>IF(A204="","",T204+U204)</f>
        <v>0</v>
      </c>
      <c r="W204" s="21">
        <f>IF(A204="","",SUMIFS(Payments!$G$5:$G$404,Payments!$D$5:$D$404,A204))</f>
        <v>0</v>
      </c>
      <c r="X204" s="21">
        <f>IF(A204="","",ROUND(V204-W204,2))</f>
        <v>0</v>
      </c>
      <c r="Y204" s="31">
        <f>IF(B204="","",IF(J204&lt;&gt;"",J204,IF(IFERROR(INDEX(Clients!$P$5:$P$204,MATCH(D204,Clients!$A$5:$A$204,0)),"")&lt;&gt;"",INDEX(Clients!$P$5:$P$204,MATCH(D204,Clients!$A$5:$A$204,0)),PaymentTerms)))</f>
        <v>0</v>
      </c>
      <c r="Z204" s="18">
        <f>IF(OR(A204="",B204=""),"",B204+Y204)</f>
        <v>0</v>
      </c>
      <c r="AA204" s="31">
        <f>IF(OR(A204="",Z204=""),"",IF(X204&lt;=0.004,"",MAX(0,TodayDate-Z204-OverdueGrace)))</f>
        <v>0</v>
      </c>
      <c r="AB204" s="39">
        <f>IF(B204="","",IF(X204&lt;=0.004,"Paid",IF(AA204="","Not due yet",IF(AA204=0,"Due now",IF(AA204&lt;=30,"1-30 days",IF(AA204&lt;=60,"31-60 days",IF(AA204&lt;=90,"61-90 days","90+ days")))))))</f>
        <v>0</v>
      </c>
      <c r="AC204" s="21">
        <f>IF(OR(A204="",AA204=""),"",IF(AA204&lt;=0,0,ROUND(X204*LateFeePercent,2)))</f>
        <v>0</v>
      </c>
      <c r="AD204" s="50">
        <f>IF(B204="","",IF(X204&lt;=0.004,"Yes","No"))</f>
        <v>0</v>
      </c>
      <c r="AE204" s="39">
        <f>IF(B204="","",IF(Q204=0,"Add - no lines on this invoice yet",IF(H204="Written off","Written off",IF(AD204="Yes","OK - paid",IF(H204="Draft","Draft - not sent yet",IF(AND(AA204&lt;&gt;"",AA204&gt;30),"Overdue - "&amp;AA204&amp;" days, call them",IF(AND(AA204&lt;&gt;"",AA204&gt;0),"Overdue - send a reminder",IF(W204&gt;0,"Part paid","Due - waiting for payment"))))))))</f>
        <v>0</v>
      </c>
    </row>
    <row r="205" spans="1:31">
      <c r="A205" s="43">
        <f>IF(B205="","",InvoicePrefix&amp;TEXT(ROW()-4,"0000"))</f>
        <v>0</v>
      </c>
      <c r="C205" s="23">
        <f>IF(B205="","",TEXT(B205,"yyyy-mm"))</f>
        <v>0</v>
      </c>
      <c r="E205" s="23">
        <f>IF(D205="","",IFERROR(INDEX(Clients!$B$5:$B$204,MATCH(D205,Clients!$A$5:$A$204,0)),"Not found"))</f>
        <v>0</v>
      </c>
      <c r="F205" s="23">
        <f>IF(D205="","",IFERROR(INDEX(Clients!$G$5:$G$204,MATCH(D205,Clients!$A$5:$A$204,0)),""))</f>
        <v>0</v>
      </c>
      <c r="Q205" s="31">
        <f>IF(A205="","",COUNTIFS('Invoice Lines'!$B$5:$B$804,A205))</f>
        <v>0</v>
      </c>
      <c r="R205" s="21">
        <f>IF(A205="","",SUMIFS('Invoice Lines'!$N$5:$N$804,'Invoice Lines'!$B$5:$B$804,A205))</f>
        <v>0</v>
      </c>
      <c r="S205" s="21">
        <f>IF(A205="","",ROUND(R205*IF(K205="",0,K205),2))</f>
        <v>0</v>
      </c>
      <c r="T205" s="21">
        <f>IF(A205="","",R205-S205)</f>
        <v>0</v>
      </c>
      <c r="U205" s="21">
        <f>IF(A205="","",ROUND(T205*TaxRate,2))</f>
        <v>0</v>
      </c>
      <c r="V205" s="21">
        <f>IF(A205="","",T205+U205)</f>
        <v>0</v>
      </c>
      <c r="W205" s="21">
        <f>IF(A205="","",SUMIFS(Payments!$G$5:$G$404,Payments!$D$5:$D$404,A205))</f>
        <v>0</v>
      </c>
      <c r="X205" s="21">
        <f>IF(A205="","",ROUND(V205-W205,2))</f>
        <v>0</v>
      </c>
      <c r="Y205" s="31">
        <f>IF(B205="","",IF(J205&lt;&gt;"",J205,IF(IFERROR(INDEX(Clients!$P$5:$P$204,MATCH(D205,Clients!$A$5:$A$204,0)),"")&lt;&gt;"",INDEX(Clients!$P$5:$P$204,MATCH(D205,Clients!$A$5:$A$204,0)),PaymentTerms)))</f>
        <v>0</v>
      </c>
      <c r="Z205" s="18">
        <f>IF(OR(A205="",B205=""),"",B205+Y205)</f>
        <v>0</v>
      </c>
      <c r="AA205" s="31">
        <f>IF(OR(A205="",Z205=""),"",IF(X205&lt;=0.004,"",MAX(0,TodayDate-Z205-OverdueGrace)))</f>
        <v>0</v>
      </c>
      <c r="AB205" s="39">
        <f>IF(B205="","",IF(X205&lt;=0.004,"Paid",IF(AA205="","Not due yet",IF(AA205=0,"Due now",IF(AA205&lt;=30,"1-30 days",IF(AA205&lt;=60,"31-60 days",IF(AA205&lt;=90,"61-90 days","90+ days")))))))</f>
        <v>0</v>
      </c>
      <c r="AC205" s="21">
        <f>IF(OR(A205="",AA205=""),"",IF(AA205&lt;=0,0,ROUND(X205*LateFeePercent,2)))</f>
        <v>0</v>
      </c>
      <c r="AD205" s="50">
        <f>IF(B205="","",IF(X205&lt;=0.004,"Yes","No"))</f>
        <v>0</v>
      </c>
      <c r="AE205" s="39">
        <f>IF(B205="","",IF(Q205=0,"Add - no lines on this invoice yet",IF(H205="Written off","Written off",IF(AD205="Yes","OK - paid",IF(H205="Draft","Draft - not sent yet",IF(AND(AA205&lt;&gt;"",AA205&gt;30),"Overdue - "&amp;AA205&amp;" days, call them",IF(AND(AA205&lt;&gt;"",AA205&gt;0),"Overdue - send a reminder",IF(W205&gt;0,"Part paid","Due - waiting for payment"))))))))</f>
        <v>0</v>
      </c>
    </row>
    <row r="206" spans="1:31">
      <c r="A206" s="43">
        <f>IF(B206="","",InvoicePrefix&amp;TEXT(ROW()-4,"0000"))</f>
        <v>0</v>
      </c>
      <c r="C206" s="23">
        <f>IF(B206="","",TEXT(B206,"yyyy-mm"))</f>
        <v>0</v>
      </c>
      <c r="E206" s="23">
        <f>IF(D206="","",IFERROR(INDEX(Clients!$B$5:$B$204,MATCH(D206,Clients!$A$5:$A$204,0)),"Not found"))</f>
        <v>0</v>
      </c>
      <c r="F206" s="23">
        <f>IF(D206="","",IFERROR(INDEX(Clients!$G$5:$G$204,MATCH(D206,Clients!$A$5:$A$204,0)),""))</f>
        <v>0</v>
      </c>
      <c r="Q206" s="31">
        <f>IF(A206="","",COUNTIFS('Invoice Lines'!$B$5:$B$804,A206))</f>
        <v>0</v>
      </c>
      <c r="R206" s="21">
        <f>IF(A206="","",SUMIFS('Invoice Lines'!$N$5:$N$804,'Invoice Lines'!$B$5:$B$804,A206))</f>
        <v>0</v>
      </c>
      <c r="S206" s="21">
        <f>IF(A206="","",ROUND(R206*IF(K206="",0,K206),2))</f>
        <v>0</v>
      </c>
      <c r="T206" s="21">
        <f>IF(A206="","",R206-S206)</f>
        <v>0</v>
      </c>
      <c r="U206" s="21">
        <f>IF(A206="","",ROUND(T206*TaxRate,2))</f>
        <v>0</v>
      </c>
      <c r="V206" s="21">
        <f>IF(A206="","",T206+U206)</f>
        <v>0</v>
      </c>
      <c r="W206" s="21">
        <f>IF(A206="","",SUMIFS(Payments!$G$5:$G$404,Payments!$D$5:$D$404,A206))</f>
        <v>0</v>
      </c>
      <c r="X206" s="21">
        <f>IF(A206="","",ROUND(V206-W206,2))</f>
        <v>0</v>
      </c>
      <c r="Y206" s="31">
        <f>IF(B206="","",IF(J206&lt;&gt;"",J206,IF(IFERROR(INDEX(Clients!$P$5:$P$204,MATCH(D206,Clients!$A$5:$A$204,0)),"")&lt;&gt;"",INDEX(Clients!$P$5:$P$204,MATCH(D206,Clients!$A$5:$A$204,0)),PaymentTerms)))</f>
        <v>0</v>
      </c>
      <c r="Z206" s="18">
        <f>IF(OR(A206="",B206=""),"",B206+Y206)</f>
        <v>0</v>
      </c>
      <c r="AA206" s="31">
        <f>IF(OR(A206="",Z206=""),"",IF(X206&lt;=0.004,"",MAX(0,TodayDate-Z206-OverdueGrace)))</f>
        <v>0</v>
      </c>
      <c r="AB206" s="39">
        <f>IF(B206="","",IF(X206&lt;=0.004,"Paid",IF(AA206="","Not due yet",IF(AA206=0,"Due now",IF(AA206&lt;=30,"1-30 days",IF(AA206&lt;=60,"31-60 days",IF(AA206&lt;=90,"61-90 days","90+ days")))))))</f>
        <v>0</v>
      </c>
      <c r="AC206" s="21">
        <f>IF(OR(A206="",AA206=""),"",IF(AA206&lt;=0,0,ROUND(X206*LateFeePercent,2)))</f>
        <v>0</v>
      </c>
      <c r="AD206" s="50">
        <f>IF(B206="","",IF(X206&lt;=0.004,"Yes","No"))</f>
        <v>0</v>
      </c>
      <c r="AE206" s="39">
        <f>IF(B206="","",IF(Q206=0,"Add - no lines on this invoice yet",IF(H206="Written off","Written off",IF(AD206="Yes","OK - paid",IF(H206="Draft","Draft - not sent yet",IF(AND(AA206&lt;&gt;"",AA206&gt;30),"Overdue - "&amp;AA206&amp;" days, call them",IF(AND(AA206&lt;&gt;"",AA206&gt;0),"Overdue - send a reminder",IF(W206&gt;0,"Part paid","Due - waiting for payment"))))))))</f>
        <v>0</v>
      </c>
    </row>
    <row r="207" spans="1:31">
      <c r="A207" s="43">
        <f>IF(B207="","",InvoicePrefix&amp;TEXT(ROW()-4,"0000"))</f>
        <v>0</v>
      </c>
      <c r="C207" s="23">
        <f>IF(B207="","",TEXT(B207,"yyyy-mm"))</f>
        <v>0</v>
      </c>
      <c r="E207" s="23">
        <f>IF(D207="","",IFERROR(INDEX(Clients!$B$5:$B$204,MATCH(D207,Clients!$A$5:$A$204,0)),"Not found"))</f>
        <v>0</v>
      </c>
      <c r="F207" s="23">
        <f>IF(D207="","",IFERROR(INDEX(Clients!$G$5:$G$204,MATCH(D207,Clients!$A$5:$A$204,0)),""))</f>
        <v>0</v>
      </c>
      <c r="Q207" s="31">
        <f>IF(A207="","",COUNTIFS('Invoice Lines'!$B$5:$B$804,A207))</f>
        <v>0</v>
      </c>
      <c r="R207" s="21">
        <f>IF(A207="","",SUMIFS('Invoice Lines'!$N$5:$N$804,'Invoice Lines'!$B$5:$B$804,A207))</f>
        <v>0</v>
      </c>
      <c r="S207" s="21">
        <f>IF(A207="","",ROUND(R207*IF(K207="",0,K207),2))</f>
        <v>0</v>
      </c>
      <c r="T207" s="21">
        <f>IF(A207="","",R207-S207)</f>
        <v>0</v>
      </c>
      <c r="U207" s="21">
        <f>IF(A207="","",ROUND(T207*TaxRate,2))</f>
        <v>0</v>
      </c>
      <c r="V207" s="21">
        <f>IF(A207="","",T207+U207)</f>
        <v>0</v>
      </c>
      <c r="W207" s="21">
        <f>IF(A207="","",SUMIFS(Payments!$G$5:$G$404,Payments!$D$5:$D$404,A207))</f>
        <v>0</v>
      </c>
      <c r="X207" s="21">
        <f>IF(A207="","",ROUND(V207-W207,2))</f>
        <v>0</v>
      </c>
      <c r="Y207" s="31">
        <f>IF(B207="","",IF(J207&lt;&gt;"",J207,IF(IFERROR(INDEX(Clients!$P$5:$P$204,MATCH(D207,Clients!$A$5:$A$204,0)),"")&lt;&gt;"",INDEX(Clients!$P$5:$P$204,MATCH(D207,Clients!$A$5:$A$204,0)),PaymentTerms)))</f>
        <v>0</v>
      </c>
      <c r="Z207" s="18">
        <f>IF(OR(A207="",B207=""),"",B207+Y207)</f>
        <v>0</v>
      </c>
      <c r="AA207" s="31">
        <f>IF(OR(A207="",Z207=""),"",IF(X207&lt;=0.004,"",MAX(0,TodayDate-Z207-OverdueGrace)))</f>
        <v>0</v>
      </c>
      <c r="AB207" s="39">
        <f>IF(B207="","",IF(X207&lt;=0.004,"Paid",IF(AA207="","Not due yet",IF(AA207=0,"Due now",IF(AA207&lt;=30,"1-30 days",IF(AA207&lt;=60,"31-60 days",IF(AA207&lt;=90,"61-90 days","90+ days")))))))</f>
        <v>0</v>
      </c>
      <c r="AC207" s="21">
        <f>IF(OR(A207="",AA207=""),"",IF(AA207&lt;=0,0,ROUND(X207*LateFeePercent,2)))</f>
        <v>0</v>
      </c>
      <c r="AD207" s="50">
        <f>IF(B207="","",IF(X207&lt;=0.004,"Yes","No"))</f>
        <v>0</v>
      </c>
      <c r="AE207" s="39">
        <f>IF(B207="","",IF(Q207=0,"Add - no lines on this invoice yet",IF(H207="Written off","Written off",IF(AD207="Yes","OK - paid",IF(H207="Draft","Draft - not sent yet",IF(AND(AA207&lt;&gt;"",AA207&gt;30),"Overdue - "&amp;AA207&amp;" days, call them",IF(AND(AA207&lt;&gt;"",AA207&gt;0),"Overdue - send a reminder",IF(W207&gt;0,"Part paid","Due - waiting for payment"))))))))</f>
        <v>0</v>
      </c>
    </row>
    <row r="208" spans="1:31">
      <c r="A208" s="43">
        <f>IF(B208="","",InvoicePrefix&amp;TEXT(ROW()-4,"0000"))</f>
        <v>0</v>
      </c>
      <c r="C208" s="23">
        <f>IF(B208="","",TEXT(B208,"yyyy-mm"))</f>
        <v>0</v>
      </c>
      <c r="E208" s="23">
        <f>IF(D208="","",IFERROR(INDEX(Clients!$B$5:$B$204,MATCH(D208,Clients!$A$5:$A$204,0)),"Not found"))</f>
        <v>0</v>
      </c>
      <c r="F208" s="23">
        <f>IF(D208="","",IFERROR(INDEX(Clients!$G$5:$G$204,MATCH(D208,Clients!$A$5:$A$204,0)),""))</f>
        <v>0</v>
      </c>
      <c r="Q208" s="31">
        <f>IF(A208="","",COUNTIFS('Invoice Lines'!$B$5:$B$804,A208))</f>
        <v>0</v>
      </c>
      <c r="R208" s="21">
        <f>IF(A208="","",SUMIFS('Invoice Lines'!$N$5:$N$804,'Invoice Lines'!$B$5:$B$804,A208))</f>
        <v>0</v>
      </c>
      <c r="S208" s="21">
        <f>IF(A208="","",ROUND(R208*IF(K208="",0,K208),2))</f>
        <v>0</v>
      </c>
      <c r="T208" s="21">
        <f>IF(A208="","",R208-S208)</f>
        <v>0</v>
      </c>
      <c r="U208" s="21">
        <f>IF(A208="","",ROUND(T208*TaxRate,2))</f>
        <v>0</v>
      </c>
      <c r="V208" s="21">
        <f>IF(A208="","",T208+U208)</f>
        <v>0</v>
      </c>
      <c r="W208" s="21">
        <f>IF(A208="","",SUMIFS(Payments!$G$5:$G$404,Payments!$D$5:$D$404,A208))</f>
        <v>0</v>
      </c>
      <c r="X208" s="21">
        <f>IF(A208="","",ROUND(V208-W208,2))</f>
        <v>0</v>
      </c>
      <c r="Y208" s="31">
        <f>IF(B208="","",IF(J208&lt;&gt;"",J208,IF(IFERROR(INDEX(Clients!$P$5:$P$204,MATCH(D208,Clients!$A$5:$A$204,0)),"")&lt;&gt;"",INDEX(Clients!$P$5:$P$204,MATCH(D208,Clients!$A$5:$A$204,0)),PaymentTerms)))</f>
        <v>0</v>
      </c>
      <c r="Z208" s="18">
        <f>IF(OR(A208="",B208=""),"",B208+Y208)</f>
        <v>0</v>
      </c>
      <c r="AA208" s="31">
        <f>IF(OR(A208="",Z208=""),"",IF(X208&lt;=0.004,"",MAX(0,TodayDate-Z208-OverdueGrace)))</f>
        <v>0</v>
      </c>
      <c r="AB208" s="39">
        <f>IF(B208="","",IF(X208&lt;=0.004,"Paid",IF(AA208="","Not due yet",IF(AA208=0,"Due now",IF(AA208&lt;=30,"1-30 days",IF(AA208&lt;=60,"31-60 days",IF(AA208&lt;=90,"61-90 days","90+ days")))))))</f>
        <v>0</v>
      </c>
      <c r="AC208" s="21">
        <f>IF(OR(A208="",AA208=""),"",IF(AA208&lt;=0,0,ROUND(X208*LateFeePercent,2)))</f>
        <v>0</v>
      </c>
      <c r="AD208" s="50">
        <f>IF(B208="","",IF(X208&lt;=0.004,"Yes","No"))</f>
        <v>0</v>
      </c>
      <c r="AE208" s="39">
        <f>IF(B208="","",IF(Q208=0,"Add - no lines on this invoice yet",IF(H208="Written off","Written off",IF(AD208="Yes","OK - paid",IF(H208="Draft","Draft - not sent yet",IF(AND(AA208&lt;&gt;"",AA208&gt;30),"Overdue - "&amp;AA208&amp;" days, call them",IF(AND(AA208&lt;&gt;"",AA208&gt;0),"Overdue - send a reminder",IF(W208&gt;0,"Part paid","Due - waiting for payment"))))))))</f>
        <v>0</v>
      </c>
    </row>
    <row r="209" spans="1:31">
      <c r="A209" s="43">
        <f>IF(B209="","",InvoicePrefix&amp;TEXT(ROW()-4,"0000"))</f>
        <v>0</v>
      </c>
      <c r="C209" s="23">
        <f>IF(B209="","",TEXT(B209,"yyyy-mm"))</f>
        <v>0</v>
      </c>
      <c r="E209" s="23">
        <f>IF(D209="","",IFERROR(INDEX(Clients!$B$5:$B$204,MATCH(D209,Clients!$A$5:$A$204,0)),"Not found"))</f>
        <v>0</v>
      </c>
      <c r="F209" s="23">
        <f>IF(D209="","",IFERROR(INDEX(Clients!$G$5:$G$204,MATCH(D209,Clients!$A$5:$A$204,0)),""))</f>
        <v>0</v>
      </c>
      <c r="Q209" s="31">
        <f>IF(A209="","",COUNTIFS('Invoice Lines'!$B$5:$B$804,A209))</f>
        <v>0</v>
      </c>
      <c r="R209" s="21">
        <f>IF(A209="","",SUMIFS('Invoice Lines'!$N$5:$N$804,'Invoice Lines'!$B$5:$B$804,A209))</f>
        <v>0</v>
      </c>
      <c r="S209" s="21">
        <f>IF(A209="","",ROUND(R209*IF(K209="",0,K209),2))</f>
        <v>0</v>
      </c>
      <c r="T209" s="21">
        <f>IF(A209="","",R209-S209)</f>
        <v>0</v>
      </c>
      <c r="U209" s="21">
        <f>IF(A209="","",ROUND(T209*TaxRate,2))</f>
        <v>0</v>
      </c>
      <c r="V209" s="21">
        <f>IF(A209="","",T209+U209)</f>
        <v>0</v>
      </c>
      <c r="W209" s="21">
        <f>IF(A209="","",SUMIFS(Payments!$G$5:$G$404,Payments!$D$5:$D$404,A209))</f>
        <v>0</v>
      </c>
      <c r="X209" s="21">
        <f>IF(A209="","",ROUND(V209-W209,2))</f>
        <v>0</v>
      </c>
      <c r="Y209" s="31">
        <f>IF(B209="","",IF(J209&lt;&gt;"",J209,IF(IFERROR(INDEX(Clients!$P$5:$P$204,MATCH(D209,Clients!$A$5:$A$204,0)),"")&lt;&gt;"",INDEX(Clients!$P$5:$P$204,MATCH(D209,Clients!$A$5:$A$204,0)),PaymentTerms)))</f>
        <v>0</v>
      </c>
      <c r="Z209" s="18">
        <f>IF(OR(A209="",B209=""),"",B209+Y209)</f>
        <v>0</v>
      </c>
      <c r="AA209" s="31">
        <f>IF(OR(A209="",Z209=""),"",IF(X209&lt;=0.004,"",MAX(0,TodayDate-Z209-OverdueGrace)))</f>
        <v>0</v>
      </c>
      <c r="AB209" s="39">
        <f>IF(B209="","",IF(X209&lt;=0.004,"Paid",IF(AA209="","Not due yet",IF(AA209=0,"Due now",IF(AA209&lt;=30,"1-30 days",IF(AA209&lt;=60,"31-60 days",IF(AA209&lt;=90,"61-90 days","90+ days")))))))</f>
        <v>0</v>
      </c>
      <c r="AC209" s="21">
        <f>IF(OR(A209="",AA209=""),"",IF(AA209&lt;=0,0,ROUND(X209*LateFeePercent,2)))</f>
        <v>0</v>
      </c>
      <c r="AD209" s="50">
        <f>IF(B209="","",IF(X209&lt;=0.004,"Yes","No"))</f>
        <v>0</v>
      </c>
      <c r="AE209" s="39">
        <f>IF(B209="","",IF(Q209=0,"Add - no lines on this invoice yet",IF(H209="Written off","Written off",IF(AD209="Yes","OK - paid",IF(H209="Draft","Draft - not sent yet",IF(AND(AA209&lt;&gt;"",AA209&gt;30),"Overdue - "&amp;AA209&amp;" days, call them",IF(AND(AA209&lt;&gt;"",AA209&gt;0),"Overdue - send a reminder",IF(W209&gt;0,"Part paid","Due - waiting for payment"))))))))</f>
        <v>0</v>
      </c>
    </row>
    <row r="210" spans="1:31">
      <c r="A210" s="43">
        <f>IF(B210="","",InvoicePrefix&amp;TEXT(ROW()-4,"0000"))</f>
        <v>0</v>
      </c>
      <c r="C210" s="23">
        <f>IF(B210="","",TEXT(B210,"yyyy-mm"))</f>
        <v>0</v>
      </c>
      <c r="E210" s="23">
        <f>IF(D210="","",IFERROR(INDEX(Clients!$B$5:$B$204,MATCH(D210,Clients!$A$5:$A$204,0)),"Not found"))</f>
        <v>0</v>
      </c>
      <c r="F210" s="23">
        <f>IF(D210="","",IFERROR(INDEX(Clients!$G$5:$G$204,MATCH(D210,Clients!$A$5:$A$204,0)),""))</f>
        <v>0</v>
      </c>
      <c r="Q210" s="31">
        <f>IF(A210="","",COUNTIFS('Invoice Lines'!$B$5:$B$804,A210))</f>
        <v>0</v>
      </c>
      <c r="R210" s="21">
        <f>IF(A210="","",SUMIFS('Invoice Lines'!$N$5:$N$804,'Invoice Lines'!$B$5:$B$804,A210))</f>
        <v>0</v>
      </c>
      <c r="S210" s="21">
        <f>IF(A210="","",ROUND(R210*IF(K210="",0,K210),2))</f>
        <v>0</v>
      </c>
      <c r="T210" s="21">
        <f>IF(A210="","",R210-S210)</f>
        <v>0</v>
      </c>
      <c r="U210" s="21">
        <f>IF(A210="","",ROUND(T210*TaxRate,2))</f>
        <v>0</v>
      </c>
      <c r="V210" s="21">
        <f>IF(A210="","",T210+U210)</f>
        <v>0</v>
      </c>
      <c r="W210" s="21">
        <f>IF(A210="","",SUMIFS(Payments!$G$5:$G$404,Payments!$D$5:$D$404,A210))</f>
        <v>0</v>
      </c>
      <c r="X210" s="21">
        <f>IF(A210="","",ROUND(V210-W210,2))</f>
        <v>0</v>
      </c>
      <c r="Y210" s="31">
        <f>IF(B210="","",IF(J210&lt;&gt;"",J210,IF(IFERROR(INDEX(Clients!$P$5:$P$204,MATCH(D210,Clients!$A$5:$A$204,0)),"")&lt;&gt;"",INDEX(Clients!$P$5:$P$204,MATCH(D210,Clients!$A$5:$A$204,0)),PaymentTerms)))</f>
        <v>0</v>
      </c>
      <c r="Z210" s="18">
        <f>IF(OR(A210="",B210=""),"",B210+Y210)</f>
        <v>0</v>
      </c>
      <c r="AA210" s="31">
        <f>IF(OR(A210="",Z210=""),"",IF(X210&lt;=0.004,"",MAX(0,TodayDate-Z210-OverdueGrace)))</f>
        <v>0</v>
      </c>
      <c r="AB210" s="39">
        <f>IF(B210="","",IF(X210&lt;=0.004,"Paid",IF(AA210="","Not due yet",IF(AA210=0,"Due now",IF(AA210&lt;=30,"1-30 days",IF(AA210&lt;=60,"31-60 days",IF(AA210&lt;=90,"61-90 days","90+ days")))))))</f>
        <v>0</v>
      </c>
      <c r="AC210" s="21">
        <f>IF(OR(A210="",AA210=""),"",IF(AA210&lt;=0,0,ROUND(X210*LateFeePercent,2)))</f>
        <v>0</v>
      </c>
      <c r="AD210" s="50">
        <f>IF(B210="","",IF(X210&lt;=0.004,"Yes","No"))</f>
        <v>0</v>
      </c>
      <c r="AE210" s="39">
        <f>IF(B210="","",IF(Q210=0,"Add - no lines on this invoice yet",IF(H210="Written off","Written off",IF(AD210="Yes","OK - paid",IF(H210="Draft","Draft - not sent yet",IF(AND(AA210&lt;&gt;"",AA210&gt;30),"Overdue - "&amp;AA210&amp;" days, call them",IF(AND(AA210&lt;&gt;"",AA210&gt;0),"Overdue - send a reminder",IF(W210&gt;0,"Part paid","Due - waiting for payment"))))))))</f>
        <v>0</v>
      </c>
    </row>
    <row r="211" spans="1:31">
      <c r="A211" s="43">
        <f>IF(B211="","",InvoicePrefix&amp;TEXT(ROW()-4,"0000"))</f>
        <v>0</v>
      </c>
      <c r="C211" s="23">
        <f>IF(B211="","",TEXT(B211,"yyyy-mm"))</f>
        <v>0</v>
      </c>
      <c r="E211" s="23">
        <f>IF(D211="","",IFERROR(INDEX(Clients!$B$5:$B$204,MATCH(D211,Clients!$A$5:$A$204,0)),"Not found"))</f>
        <v>0</v>
      </c>
      <c r="F211" s="23">
        <f>IF(D211="","",IFERROR(INDEX(Clients!$G$5:$G$204,MATCH(D211,Clients!$A$5:$A$204,0)),""))</f>
        <v>0</v>
      </c>
      <c r="Q211" s="31">
        <f>IF(A211="","",COUNTIFS('Invoice Lines'!$B$5:$B$804,A211))</f>
        <v>0</v>
      </c>
      <c r="R211" s="21">
        <f>IF(A211="","",SUMIFS('Invoice Lines'!$N$5:$N$804,'Invoice Lines'!$B$5:$B$804,A211))</f>
        <v>0</v>
      </c>
      <c r="S211" s="21">
        <f>IF(A211="","",ROUND(R211*IF(K211="",0,K211),2))</f>
        <v>0</v>
      </c>
      <c r="T211" s="21">
        <f>IF(A211="","",R211-S211)</f>
        <v>0</v>
      </c>
      <c r="U211" s="21">
        <f>IF(A211="","",ROUND(T211*TaxRate,2))</f>
        <v>0</v>
      </c>
      <c r="V211" s="21">
        <f>IF(A211="","",T211+U211)</f>
        <v>0</v>
      </c>
      <c r="W211" s="21">
        <f>IF(A211="","",SUMIFS(Payments!$G$5:$G$404,Payments!$D$5:$D$404,A211))</f>
        <v>0</v>
      </c>
      <c r="X211" s="21">
        <f>IF(A211="","",ROUND(V211-W211,2))</f>
        <v>0</v>
      </c>
      <c r="Y211" s="31">
        <f>IF(B211="","",IF(J211&lt;&gt;"",J211,IF(IFERROR(INDEX(Clients!$P$5:$P$204,MATCH(D211,Clients!$A$5:$A$204,0)),"")&lt;&gt;"",INDEX(Clients!$P$5:$P$204,MATCH(D211,Clients!$A$5:$A$204,0)),PaymentTerms)))</f>
        <v>0</v>
      </c>
      <c r="Z211" s="18">
        <f>IF(OR(A211="",B211=""),"",B211+Y211)</f>
        <v>0</v>
      </c>
      <c r="AA211" s="31">
        <f>IF(OR(A211="",Z211=""),"",IF(X211&lt;=0.004,"",MAX(0,TodayDate-Z211-OverdueGrace)))</f>
        <v>0</v>
      </c>
      <c r="AB211" s="39">
        <f>IF(B211="","",IF(X211&lt;=0.004,"Paid",IF(AA211="","Not due yet",IF(AA211=0,"Due now",IF(AA211&lt;=30,"1-30 days",IF(AA211&lt;=60,"31-60 days",IF(AA211&lt;=90,"61-90 days","90+ days")))))))</f>
        <v>0</v>
      </c>
      <c r="AC211" s="21">
        <f>IF(OR(A211="",AA211=""),"",IF(AA211&lt;=0,0,ROUND(X211*LateFeePercent,2)))</f>
        <v>0</v>
      </c>
      <c r="AD211" s="50">
        <f>IF(B211="","",IF(X211&lt;=0.004,"Yes","No"))</f>
        <v>0</v>
      </c>
      <c r="AE211" s="39">
        <f>IF(B211="","",IF(Q211=0,"Add - no lines on this invoice yet",IF(H211="Written off","Written off",IF(AD211="Yes","OK - paid",IF(H211="Draft","Draft - not sent yet",IF(AND(AA211&lt;&gt;"",AA211&gt;30),"Overdue - "&amp;AA211&amp;" days, call them",IF(AND(AA211&lt;&gt;"",AA211&gt;0),"Overdue - send a reminder",IF(W211&gt;0,"Part paid","Due - waiting for payment"))))))))</f>
        <v>0</v>
      </c>
    </row>
    <row r="212" spans="1:31">
      <c r="A212" s="43">
        <f>IF(B212="","",InvoicePrefix&amp;TEXT(ROW()-4,"0000"))</f>
        <v>0</v>
      </c>
      <c r="C212" s="23">
        <f>IF(B212="","",TEXT(B212,"yyyy-mm"))</f>
        <v>0</v>
      </c>
      <c r="E212" s="23">
        <f>IF(D212="","",IFERROR(INDEX(Clients!$B$5:$B$204,MATCH(D212,Clients!$A$5:$A$204,0)),"Not found"))</f>
        <v>0</v>
      </c>
      <c r="F212" s="23">
        <f>IF(D212="","",IFERROR(INDEX(Clients!$G$5:$G$204,MATCH(D212,Clients!$A$5:$A$204,0)),""))</f>
        <v>0</v>
      </c>
      <c r="Q212" s="31">
        <f>IF(A212="","",COUNTIFS('Invoice Lines'!$B$5:$B$804,A212))</f>
        <v>0</v>
      </c>
      <c r="R212" s="21">
        <f>IF(A212="","",SUMIFS('Invoice Lines'!$N$5:$N$804,'Invoice Lines'!$B$5:$B$804,A212))</f>
        <v>0</v>
      </c>
      <c r="S212" s="21">
        <f>IF(A212="","",ROUND(R212*IF(K212="",0,K212),2))</f>
        <v>0</v>
      </c>
      <c r="T212" s="21">
        <f>IF(A212="","",R212-S212)</f>
        <v>0</v>
      </c>
      <c r="U212" s="21">
        <f>IF(A212="","",ROUND(T212*TaxRate,2))</f>
        <v>0</v>
      </c>
      <c r="V212" s="21">
        <f>IF(A212="","",T212+U212)</f>
        <v>0</v>
      </c>
      <c r="W212" s="21">
        <f>IF(A212="","",SUMIFS(Payments!$G$5:$G$404,Payments!$D$5:$D$404,A212))</f>
        <v>0</v>
      </c>
      <c r="X212" s="21">
        <f>IF(A212="","",ROUND(V212-W212,2))</f>
        <v>0</v>
      </c>
      <c r="Y212" s="31">
        <f>IF(B212="","",IF(J212&lt;&gt;"",J212,IF(IFERROR(INDEX(Clients!$P$5:$P$204,MATCH(D212,Clients!$A$5:$A$204,0)),"")&lt;&gt;"",INDEX(Clients!$P$5:$P$204,MATCH(D212,Clients!$A$5:$A$204,0)),PaymentTerms)))</f>
        <v>0</v>
      </c>
      <c r="Z212" s="18">
        <f>IF(OR(A212="",B212=""),"",B212+Y212)</f>
        <v>0</v>
      </c>
      <c r="AA212" s="31">
        <f>IF(OR(A212="",Z212=""),"",IF(X212&lt;=0.004,"",MAX(0,TodayDate-Z212-OverdueGrace)))</f>
        <v>0</v>
      </c>
      <c r="AB212" s="39">
        <f>IF(B212="","",IF(X212&lt;=0.004,"Paid",IF(AA212="","Not due yet",IF(AA212=0,"Due now",IF(AA212&lt;=30,"1-30 days",IF(AA212&lt;=60,"31-60 days",IF(AA212&lt;=90,"61-90 days","90+ days")))))))</f>
        <v>0</v>
      </c>
      <c r="AC212" s="21">
        <f>IF(OR(A212="",AA212=""),"",IF(AA212&lt;=0,0,ROUND(X212*LateFeePercent,2)))</f>
        <v>0</v>
      </c>
      <c r="AD212" s="50">
        <f>IF(B212="","",IF(X212&lt;=0.004,"Yes","No"))</f>
        <v>0</v>
      </c>
      <c r="AE212" s="39">
        <f>IF(B212="","",IF(Q212=0,"Add - no lines on this invoice yet",IF(H212="Written off","Written off",IF(AD212="Yes","OK - paid",IF(H212="Draft","Draft - not sent yet",IF(AND(AA212&lt;&gt;"",AA212&gt;30),"Overdue - "&amp;AA212&amp;" days, call them",IF(AND(AA212&lt;&gt;"",AA212&gt;0),"Overdue - send a reminder",IF(W212&gt;0,"Part paid","Due - waiting for payment"))))))))</f>
        <v>0</v>
      </c>
    </row>
    <row r="213" spans="1:31">
      <c r="A213" s="43">
        <f>IF(B213="","",InvoicePrefix&amp;TEXT(ROW()-4,"0000"))</f>
        <v>0</v>
      </c>
      <c r="C213" s="23">
        <f>IF(B213="","",TEXT(B213,"yyyy-mm"))</f>
        <v>0</v>
      </c>
      <c r="E213" s="23">
        <f>IF(D213="","",IFERROR(INDEX(Clients!$B$5:$B$204,MATCH(D213,Clients!$A$5:$A$204,0)),"Not found"))</f>
        <v>0</v>
      </c>
      <c r="F213" s="23">
        <f>IF(D213="","",IFERROR(INDEX(Clients!$G$5:$G$204,MATCH(D213,Clients!$A$5:$A$204,0)),""))</f>
        <v>0</v>
      </c>
      <c r="Q213" s="31">
        <f>IF(A213="","",COUNTIFS('Invoice Lines'!$B$5:$B$804,A213))</f>
        <v>0</v>
      </c>
      <c r="R213" s="21">
        <f>IF(A213="","",SUMIFS('Invoice Lines'!$N$5:$N$804,'Invoice Lines'!$B$5:$B$804,A213))</f>
        <v>0</v>
      </c>
      <c r="S213" s="21">
        <f>IF(A213="","",ROUND(R213*IF(K213="",0,K213),2))</f>
        <v>0</v>
      </c>
      <c r="T213" s="21">
        <f>IF(A213="","",R213-S213)</f>
        <v>0</v>
      </c>
      <c r="U213" s="21">
        <f>IF(A213="","",ROUND(T213*TaxRate,2))</f>
        <v>0</v>
      </c>
      <c r="V213" s="21">
        <f>IF(A213="","",T213+U213)</f>
        <v>0</v>
      </c>
      <c r="W213" s="21">
        <f>IF(A213="","",SUMIFS(Payments!$G$5:$G$404,Payments!$D$5:$D$404,A213))</f>
        <v>0</v>
      </c>
      <c r="X213" s="21">
        <f>IF(A213="","",ROUND(V213-W213,2))</f>
        <v>0</v>
      </c>
      <c r="Y213" s="31">
        <f>IF(B213="","",IF(J213&lt;&gt;"",J213,IF(IFERROR(INDEX(Clients!$P$5:$P$204,MATCH(D213,Clients!$A$5:$A$204,0)),"")&lt;&gt;"",INDEX(Clients!$P$5:$P$204,MATCH(D213,Clients!$A$5:$A$204,0)),PaymentTerms)))</f>
        <v>0</v>
      </c>
      <c r="Z213" s="18">
        <f>IF(OR(A213="",B213=""),"",B213+Y213)</f>
        <v>0</v>
      </c>
      <c r="AA213" s="31">
        <f>IF(OR(A213="",Z213=""),"",IF(X213&lt;=0.004,"",MAX(0,TodayDate-Z213-OverdueGrace)))</f>
        <v>0</v>
      </c>
      <c r="AB213" s="39">
        <f>IF(B213="","",IF(X213&lt;=0.004,"Paid",IF(AA213="","Not due yet",IF(AA213=0,"Due now",IF(AA213&lt;=30,"1-30 days",IF(AA213&lt;=60,"31-60 days",IF(AA213&lt;=90,"61-90 days","90+ days")))))))</f>
        <v>0</v>
      </c>
      <c r="AC213" s="21">
        <f>IF(OR(A213="",AA213=""),"",IF(AA213&lt;=0,0,ROUND(X213*LateFeePercent,2)))</f>
        <v>0</v>
      </c>
      <c r="AD213" s="50">
        <f>IF(B213="","",IF(X213&lt;=0.004,"Yes","No"))</f>
        <v>0</v>
      </c>
      <c r="AE213" s="39">
        <f>IF(B213="","",IF(Q213=0,"Add - no lines on this invoice yet",IF(H213="Written off","Written off",IF(AD213="Yes","OK - paid",IF(H213="Draft","Draft - not sent yet",IF(AND(AA213&lt;&gt;"",AA213&gt;30),"Overdue - "&amp;AA213&amp;" days, call them",IF(AND(AA213&lt;&gt;"",AA213&gt;0),"Overdue - send a reminder",IF(W213&gt;0,"Part paid","Due - waiting for payment"))))))))</f>
        <v>0</v>
      </c>
    </row>
    <row r="214" spans="1:31">
      <c r="A214" s="43">
        <f>IF(B214="","",InvoicePrefix&amp;TEXT(ROW()-4,"0000"))</f>
        <v>0</v>
      </c>
      <c r="C214" s="23">
        <f>IF(B214="","",TEXT(B214,"yyyy-mm"))</f>
        <v>0</v>
      </c>
      <c r="E214" s="23">
        <f>IF(D214="","",IFERROR(INDEX(Clients!$B$5:$B$204,MATCH(D214,Clients!$A$5:$A$204,0)),"Not found"))</f>
        <v>0</v>
      </c>
      <c r="F214" s="23">
        <f>IF(D214="","",IFERROR(INDEX(Clients!$G$5:$G$204,MATCH(D214,Clients!$A$5:$A$204,0)),""))</f>
        <v>0</v>
      </c>
      <c r="Q214" s="31">
        <f>IF(A214="","",COUNTIFS('Invoice Lines'!$B$5:$B$804,A214))</f>
        <v>0</v>
      </c>
      <c r="R214" s="21">
        <f>IF(A214="","",SUMIFS('Invoice Lines'!$N$5:$N$804,'Invoice Lines'!$B$5:$B$804,A214))</f>
        <v>0</v>
      </c>
      <c r="S214" s="21">
        <f>IF(A214="","",ROUND(R214*IF(K214="",0,K214),2))</f>
        <v>0</v>
      </c>
      <c r="T214" s="21">
        <f>IF(A214="","",R214-S214)</f>
        <v>0</v>
      </c>
      <c r="U214" s="21">
        <f>IF(A214="","",ROUND(T214*TaxRate,2))</f>
        <v>0</v>
      </c>
      <c r="V214" s="21">
        <f>IF(A214="","",T214+U214)</f>
        <v>0</v>
      </c>
      <c r="W214" s="21">
        <f>IF(A214="","",SUMIFS(Payments!$G$5:$G$404,Payments!$D$5:$D$404,A214))</f>
        <v>0</v>
      </c>
      <c r="X214" s="21">
        <f>IF(A214="","",ROUND(V214-W214,2))</f>
        <v>0</v>
      </c>
      <c r="Y214" s="31">
        <f>IF(B214="","",IF(J214&lt;&gt;"",J214,IF(IFERROR(INDEX(Clients!$P$5:$P$204,MATCH(D214,Clients!$A$5:$A$204,0)),"")&lt;&gt;"",INDEX(Clients!$P$5:$P$204,MATCH(D214,Clients!$A$5:$A$204,0)),PaymentTerms)))</f>
        <v>0</v>
      </c>
      <c r="Z214" s="18">
        <f>IF(OR(A214="",B214=""),"",B214+Y214)</f>
        <v>0</v>
      </c>
      <c r="AA214" s="31">
        <f>IF(OR(A214="",Z214=""),"",IF(X214&lt;=0.004,"",MAX(0,TodayDate-Z214-OverdueGrace)))</f>
        <v>0</v>
      </c>
      <c r="AB214" s="39">
        <f>IF(B214="","",IF(X214&lt;=0.004,"Paid",IF(AA214="","Not due yet",IF(AA214=0,"Due now",IF(AA214&lt;=30,"1-30 days",IF(AA214&lt;=60,"31-60 days",IF(AA214&lt;=90,"61-90 days","90+ days")))))))</f>
        <v>0</v>
      </c>
      <c r="AC214" s="21">
        <f>IF(OR(A214="",AA214=""),"",IF(AA214&lt;=0,0,ROUND(X214*LateFeePercent,2)))</f>
        <v>0</v>
      </c>
      <c r="AD214" s="50">
        <f>IF(B214="","",IF(X214&lt;=0.004,"Yes","No"))</f>
        <v>0</v>
      </c>
      <c r="AE214" s="39">
        <f>IF(B214="","",IF(Q214=0,"Add - no lines on this invoice yet",IF(H214="Written off","Written off",IF(AD214="Yes","OK - paid",IF(H214="Draft","Draft - not sent yet",IF(AND(AA214&lt;&gt;"",AA214&gt;30),"Overdue - "&amp;AA214&amp;" days, call them",IF(AND(AA214&lt;&gt;"",AA214&gt;0),"Overdue - send a reminder",IF(W214&gt;0,"Part paid","Due - waiting for payment"))))))))</f>
        <v>0</v>
      </c>
    </row>
    <row r="215" spans="1:31">
      <c r="A215" s="43">
        <f>IF(B215="","",InvoicePrefix&amp;TEXT(ROW()-4,"0000"))</f>
        <v>0</v>
      </c>
      <c r="C215" s="23">
        <f>IF(B215="","",TEXT(B215,"yyyy-mm"))</f>
        <v>0</v>
      </c>
      <c r="E215" s="23">
        <f>IF(D215="","",IFERROR(INDEX(Clients!$B$5:$B$204,MATCH(D215,Clients!$A$5:$A$204,0)),"Not found"))</f>
        <v>0</v>
      </c>
      <c r="F215" s="23">
        <f>IF(D215="","",IFERROR(INDEX(Clients!$G$5:$G$204,MATCH(D215,Clients!$A$5:$A$204,0)),""))</f>
        <v>0</v>
      </c>
      <c r="Q215" s="31">
        <f>IF(A215="","",COUNTIFS('Invoice Lines'!$B$5:$B$804,A215))</f>
        <v>0</v>
      </c>
      <c r="R215" s="21">
        <f>IF(A215="","",SUMIFS('Invoice Lines'!$N$5:$N$804,'Invoice Lines'!$B$5:$B$804,A215))</f>
        <v>0</v>
      </c>
      <c r="S215" s="21">
        <f>IF(A215="","",ROUND(R215*IF(K215="",0,K215),2))</f>
        <v>0</v>
      </c>
      <c r="T215" s="21">
        <f>IF(A215="","",R215-S215)</f>
        <v>0</v>
      </c>
      <c r="U215" s="21">
        <f>IF(A215="","",ROUND(T215*TaxRate,2))</f>
        <v>0</v>
      </c>
      <c r="V215" s="21">
        <f>IF(A215="","",T215+U215)</f>
        <v>0</v>
      </c>
      <c r="W215" s="21">
        <f>IF(A215="","",SUMIFS(Payments!$G$5:$G$404,Payments!$D$5:$D$404,A215))</f>
        <v>0</v>
      </c>
      <c r="X215" s="21">
        <f>IF(A215="","",ROUND(V215-W215,2))</f>
        <v>0</v>
      </c>
      <c r="Y215" s="31">
        <f>IF(B215="","",IF(J215&lt;&gt;"",J215,IF(IFERROR(INDEX(Clients!$P$5:$P$204,MATCH(D215,Clients!$A$5:$A$204,0)),"")&lt;&gt;"",INDEX(Clients!$P$5:$P$204,MATCH(D215,Clients!$A$5:$A$204,0)),PaymentTerms)))</f>
        <v>0</v>
      </c>
      <c r="Z215" s="18">
        <f>IF(OR(A215="",B215=""),"",B215+Y215)</f>
        <v>0</v>
      </c>
      <c r="AA215" s="31">
        <f>IF(OR(A215="",Z215=""),"",IF(X215&lt;=0.004,"",MAX(0,TodayDate-Z215-OverdueGrace)))</f>
        <v>0</v>
      </c>
      <c r="AB215" s="39">
        <f>IF(B215="","",IF(X215&lt;=0.004,"Paid",IF(AA215="","Not due yet",IF(AA215=0,"Due now",IF(AA215&lt;=30,"1-30 days",IF(AA215&lt;=60,"31-60 days",IF(AA215&lt;=90,"61-90 days","90+ days")))))))</f>
        <v>0</v>
      </c>
      <c r="AC215" s="21">
        <f>IF(OR(A215="",AA215=""),"",IF(AA215&lt;=0,0,ROUND(X215*LateFeePercent,2)))</f>
        <v>0</v>
      </c>
      <c r="AD215" s="50">
        <f>IF(B215="","",IF(X215&lt;=0.004,"Yes","No"))</f>
        <v>0</v>
      </c>
      <c r="AE215" s="39">
        <f>IF(B215="","",IF(Q215=0,"Add - no lines on this invoice yet",IF(H215="Written off","Written off",IF(AD215="Yes","OK - paid",IF(H215="Draft","Draft - not sent yet",IF(AND(AA215&lt;&gt;"",AA215&gt;30),"Overdue - "&amp;AA215&amp;" days, call them",IF(AND(AA215&lt;&gt;"",AA215&gt;0),"Overdue - send a reminder",IF(W215&gt;0,"Part paid","Due - waiting for payment"))))))))</f>
        <v>0</v>
      </c>
    </row>
    <row r="216" spans="1:31">
      <c r="A216" s="43">
        <f>IF(B216="","",InvoicePrefix&amp;TEXT(ROW()-4,"0000"))</f>
        <v>0</v>
      </c>
      <c r="C216" s="23">
        <f>IF(B216="","",TEXT(B216,"yyyy-mm"))</f>
        <v>0</v>
      </c>
      <c r="E216" s="23">
        <f>IF(D216="","",IFERROR(INDEX(Clients!$B$5:$B$204,MATCH(D216,Clients!$A$5:$A$204,0)),"Not found"))</f>
        <v>0</v>
      </c>
      <c r="F216" s="23">
        <f>IF(D216="","",IFERROR(INDEX(Clients!$G$5:$G$204,MATCH(D216,Clients!$A$5:$A$204,0)),""))</f>
        <v>0</v>
      </c>
      <c r="Q216" s="31">
        <f>IF(A216="","",COUNTIFS('Invoice Lines'!$B$5:$B$804,A216))</f>
        <v>0</v>
      </c>
      <c r="R216" s="21">
        <f>IF(A216="","",SUMIFS('Invoice Lines'!$N$5:$N$804,'Invoice Lines'!$B$5:$B$804,A216))</f>
        <v>0</v>
      </c>
      <c r="S216" s="21">
        <f>IF(A216="","",ROUND(R216*IF(K216="",0,K216),2))</f>
        <v>0</v>
      </c>
      <c r="T216" s="21">
        <f>IF(A216="","",R216-S216)</f>
        <v>0</v>
      </c>
      <c r="U216" s="21">
        <f>IF(A216="","",ROUND(T216*TaxRate,2))</f>
        <v>0</v>
      </c>
      <c r="V216" s="21">
        <f>IF(A216="","",T216+U216)</f>
        <v>0</v>
      </c>
      <c r="W216" s="21">
        <f>IF(A216="","",SUMIFS(Payments!$G$5:$G$404,Payments!$D$5:$D$404,A216))</f>
        <v>0</v>
      </c>
      <c r="X216" s="21">
        <f>IF(A216="","",ROUND(V216-W216,2))</f>
        <v>0</v>
      </c>
      <c r="Y216" s="31">
        <f>IF(B216="","",IF(J216&lt;&gt;"",J216,IF(IFERROR(INDEX(Clients!$P$5:$P$204,MATCH(D216,Clients!$A$5:$A$204,0)),"")&lt;&gt;"",INDEX(Clients!$P$5:$P$204,MATCH(D216,Clients!$A$5:$A$204,0)),PaymentTerms)))</f>
        <v>0</v>
      </c>
      <c r="Z216" s="18">
        <f>IF(OR(A216="",B216=""),"",B216+Y216)</f>
        <v>0</v>
      </c>
      <c r="AA216" s="31">
        <f>IF(OR(A216="",Z216=""),"",IF(X216&lt;=0.004,"",MAX(0,TodayDate-Z216-OverdueGrace)))</f>
        <v>0</v>
      </c>
      <c r="AB216" s="39">
        <f>IF(B216="","",IF(X216&lt;=0.004,"Paid",IF(AA216="","Not due yet",IF(AA216=0,"Due now",IF(AA216&lt;=30,"1-30 days",IF(AA216&lt;=60,"31-60 days",IF(AA216&lt;=90,"61-90 days","90+ days")))))))</f>
        <v>0</v>
      </c>
      <c r="AC216" s="21">
        <f>IF(OR(A216="",AA216=""),"",IF(AA216&lt;=0,0,ROUND(X216*LateFeePercent,2)))</f>
        <v>0</v>
      </c>
      <c r="AD216" s="50">
        <f>IF(B216="","",IF(X216&lt;=0.004,"Yes","No"))</f>
        <v>0</v>
      </c>
      <c r="AE216" s="39">
        <f>IF(B216="","",IF(Q216=0,"Add - no lines on this invoice yet",IF(H216="Written off","Written off",IF(AD216="Yes","OK - paid",IF(H216="Draft","Draft - not sent yet",IF(AND(AA216&lt;&gt;"",AA216&gt;30),"Overdue - "&amp;AA216&amp;" days, call them",IF(AND(AA216&lt;&gt;"",AA216&gt;0),"Overdue - send a reminder",IF(W216&gt;0,"Part paid","Due - waiting for payment"))))))))</f>
        <v>0</v>
      </c>
    </row>
    <row r="217" spans="1:31">
      <c r="A217" s="43">
        <f>IF(B217="","",InvoicePrefix&amp;TEXT(ROW()-4,"0000"))</f>
        <v>0</v>
      </c>
      <c r="C217" s="23">
        <f>IF(B217="","",TEXT(B217,"yyyy-mm"))</f>
        <v>0</v>
      </c>
      <c r="E217" s="23">
        <f>IF(D217="","",IFERROR(INDEX(Clients!$B$5:$B$204,MATCH(D217,Clients!$A$5:$A$204,0)),"Not found"))</f>
        <v>0</v>
      </c>
      <c r="F217" s="23">
        <f>IF(D217="","",IFERROR(INDEX(Clients!$G$5:$G$204,MATCH(D217,Clients!$A$5:$A$204,0)),""))</f>
        <v>0</v>
      </c>
      <c r="Q217" s="31">
        <f>IF(A217="","",COUNTIFS('Invoice Lines'!$B$5:$B$804,A217))</f>
        <v>0</v>
      </c>
      <c r="R217" s="21">
        <f>IF(A217="","",SUMIFS('Invoice Lines'!$N$5:$N$804,'Invoice Lines'!$B$5:$B$804,A217))</f>
        <v>0</v>
      </c>
      <c r="S217" s="21">
        <f>IF(A217="","",ROUND(R217*IF(K217="",0,K217),2))</f>
        <v>0</v>
      </c>
      <c r="T217" s="21">
        <f>IF(A217="","",R217-S217)</f>
        <v>0</v>
      </c>
      <c r="U217" s="21">
        <f>IF(A217="","",ROUND(T217*TaxRate,2))</f>
        <v>0</v>
      </c>
      <c r="V217" s="21">
        <f>IF(A217="","",T217+U217)</f>
        <v>0</v>
      </c>
      <c r="W217" s="21">
        <f>IF(A217="","",SUMIFS(Payments!$G$5:$G$404,Payments!$D$5:$D$404,A217))</f>
        <v>0</v>
      </c>
      <c r="X217" s="21">
        <f>IF(A217="","",ROUND(V217-W217,2))</f>
        <v>0</v>
      </c>
      <c r="Y217" s="31">
        <f>IF(B217="","",IF(J217&lt;&gt;"",J217,IF(IFERROR(INDEX(Clients!$P$5:$P$204,MATCH(D217,Clients!$A$5:$A$204,0)),"")&lt;&gt;"",INDEX(Clients!$P$5:$P$204,MATCH(D217,Clients!$A$5:$A$204,0)),PaymentTerms)))</f>
        <v>0</v>
      </c>
      <c r="Z217" s="18">
        <f>IF(OR(A217="",B217=""),"",B217+Y217)</f>
        <v>0</v>
      </c>
      <c r="AA217" s="31">
        <f>IF(OR(A217="",Z217=""),"",IF(X217&lt;=0.004,"",MAX(0,TodayDate-Z217-OverdueGrace)))</f>
        <v>0</v>
      </c>
      <c r="AB217" s="39">
        <f>IF(B217="","",IF(X217&lt;=0.004,"Paid",IF(AA217="","Not due yet",IF(AA217=0,"Due now",IF(AA217&lt;=30,"1-30 days",IF(AA217&lt;=60,"31-60 days",IF(AA217&lt;=90,"61-90 days","90+ days")))))))</f>
        <v>0</v>
      </c>
      <c r="AC217" s="21">
        <f>IF(OR(A217="",AA217=""),"",IF(AA217&lt;=0,0,ROUND(X217*LateFeePercent,2)))</f>
        <v>0</v>
      </c>
      <c r="AD217" s="50">
        <f>IF(B217="","",IF(X217&lt;=0.004,"Yes","No"))</f>
        <v>0</v>
      </c>
      <c r="AE217" s="39">
        <f>IF(B217="","",IF(Q217=0,"Add - no lines on this invoice yet",IF(H217="Written off","Written off",IF(AD217="Yes","OK - paid",IF(H217="Draft","Draft - not sent yet",IF(AND(AA217&lt;&gt;"",AA217&gt;30),"Overdue - "&amp;AA217&amp;" days, call them",IF(AND(AA217&lt;&gt;"",AA217&gt;0),"Overdue - send a reminder",IF(W217&gt;0,"Part paid","Due - waiting for payment"))))))))</f>
        <v>0</v>
      </c>
    </row>
    <row r="218" spans="1:31">
      <c r="A218" s="43">
        <f>IF(B218="","",InvoicePrefix&amp;TEXT(ROW()-4,"0000"))</f>
        <v>0</v>
      </c>
      <c r="C218" s="23">
        <f>IF(B218="","",TEXT(B218,"yyyy-mm"))</f>
        <v>0</v>
      </c>
      <c r="E218" s="23">
        <f>IF(D218="","",IFERROR(INDEX(Clients!$B$5:$B$204,MATCH(D218,Clients!$A$5:$A$204,0)),"Not found"))</f>
        <v>0</v>
      </c>
      <c r="F218" s="23">
        <f>IF(D218="","",IFERROR(INDEX(Clients!$G$5:$G$204,MATCH(D218,Clients!$A$5:$A$204,0)),""))</f>
        <v>0</v>
      </c>
      <c r="Q218" s="31">
        <f>IF(A218="","",COUNTIFS('Invoice Lines'!$B$5:$B$804,A218))</f>
        <v>0</v>
      </c>
      <c r="R218" s="21">
        <f>IF(A218="","",SUMIFS('Invoice Lines'!$N$5:$N$804,'Invoice Lines'!$B$5:$B$804,A218))</f>
        <v>0</v>
      </c>
      <c r="S218" s="21">
        <f>IF(A218="","",ROUND(R218*IF(K218="",0,K218),2))</f>
        <v>0</v>
      </c>
      <c r="T218" s="21">
        <f>IF(A218="","",R218-S218)</f>
        <v>0</v>
      </c>
      <c r="U218" s="21">
        <f>IF(A218="","",ROUND(T218*TaxRate,2))</f>
        <v>0</v>
      </c>
      <c r="V218" s="21">
        <f>IF(A218="","",T218+U218)</f>
        <v>0</v>
      </c>
      <c r="W218" s="21">
        <f>IF(A218="","",SUMIFS(Payments!$G$5:$G$404,Payments!$D$5:$D$404,A218))</f>
        <v>0</v>
      </c>
      <c r="X218" s="21">
        <f>IF(A218="","",ROUND(V218-W218,2))</f>
        <v>0</v>
      </c>
      <c r="Y218" s="31">
        <f>IF(B218="","",IF(J218&lt;&gt;"",J218,IF(IFERROR(INDEX(Clients!$P$5:$P$204,MATCH(D218,Clients!$A$5:$A$204,0)),"")&lt;&gt;"",INDEX(Clients!$P$5:$P$204,MATCH(D218,Clients!$A$5:$A$204,0)),PaymentTerms)))</f>
        <v>0</v>
      </c>
      <c r="Z218" s="18">
        <f>IF(OR(A218="",B218=""),"",B218+Y218)</f>
        <v>0</v>
      </c>
      <c r="AA218" s="31">
        <f>IF(OR(A218="",Z218=""),"",IF(X218&lt;=0.004,"",MAX(0,TodayDate-Z218-OverdueGrace)))</f>
        <v>0</v>
      </c>
      <c r="AB218" s="39">
        <f>IF(B218="","",IF(X218&lt;=0.004,"Paid",IF(AA218="","Not due yet",IF(AA218=0,"Due now",IF(AA218&lt;=30,"1-30 days",IF(AA218&lt;=60,"31-60 days",IF(AA218&lt;=90,"61-90 days","90+ days")))))))</f>
        <v>0</v>
      </c>
      <c r="AC218" s="21">
        <f>IF(OR(A218="",AA218=""),"",IF(AA218&lt;=0,0,ROUND(X218*LateFeePercent,2)))</f>
        <v>0</v>
      </c>
      <c r="AD218" s="50">
        <f>IF(B218="","",IF(X218&lt;=0.004,"Yes","No"))</f>
        <v>0</v>
      </c>
      <c r="AE218" s="39">
        <f>IF(B218="","",IF(Q218=0,"Add - no lines on this invoice yet",IF(H218="Written off","Written off",IF(AD218="Yes","OK - paid",IF(H218="Draft","Draft - not sent yet",IF(AND(AA218&lt;&gt;"",AA218&gt;30),"Overdue - "&amp;AA218&amp;" days, call them",IF(AND(AA218&lt;&gt;"",AA218&gt;0),"Overdue - send a reminder",IF(W218&gt;0,"Part paid","Due - waiting for payment"))))))))</f>
        <v>0</v>
      </c>
    </row>
    <row r="219" spans="1:31">
      <c r="A219" s="43">
        <f>IF(B219="","",InvoicePrefix&amp;TEXT(ROW()-4,"0000"))</f>
        <v>0</v>
      </c>
      <c r="C219" s="23">
        <f>IF(B219="","",TEXT(B219,"yyyy-mm"))</f>
        <v>0</v>
      </c>
      <c r="E219" s="23">
        <f>IF(D219="","",IFERROR(INDEX(Clients!$B$5:$B$204,MATCH(D219,Clients!$A$5:$A$204,0)),"Not found"))</f>
        <v>0</v>
      </c>
      <c r="F219" s="23">
        <f>IF(D219="","",IFERROR(INDEX(Clients!$G$5:$G$204,MATCH(D219,Clients!$A$5:$A$204,0)),""))</f>
        <v>0</v>
      </c>
      <c r="Q219" s="31">
        <f>IF(A219="","",COUNTIFS('Invoice Lines'!$B$5:$B$804,A219))</f>
        <v>0</v>
      </c>
      <c r="R219" s="21">
        <f>IF(A219="","",SUMIFS('Invoice Lines'!$N$5:$N$804,'Invoice Lines'!$B$5:$B$804,A219))</f>
        <v>0</v>
      </c>
      <c r="S219" s="21">
        <f>IF(A219="","",ROUND(R219*IF(K219="",0,K219),2))</f>
        <v>0</v>
      </c>
      <c r="T219" s="21">
        <f>IF(A219="","",R219-S219)</f>
        <v>0</v>
      </c>
      <c r="U219" s="21">
        <f>IF(A219="","",ROUND(T219*TaxRate,2))</f>
        <v>0</v>
      </c>
      <c r="V219" s="21">
        <f>IF(A219="","",T219+U219)</f>
        <v>0</v>
      </c>
      <c r="W219" s="21">
        <f>IF(A219="","",SUMIFS(Payments!$G$5:$G$404,Payments!$D$5:$D$404,A219))</f>
        <v>0</v>
      </c>
      <c r="X219" s="21">
        <f>IF(A219="","",ROUND(V219-W219,2))</f>
        <v>0</v>
      </c>
      <c r="Y219" s="31">
        <f>IF(B219="","",IF(J219&lt;&gt;"",J219,IF(IFERROR(INDEX(Clients!$P$5:$P$204,MATCH(D219,Clients!$A$5:$A$204,0)),"")&lt;&gt;"",INDEX(Clients!$P$5:$P$204,MATCH(D219,Clients!$A$5:$A$204,0)),PaymentTerms)))</f>
        <v>0</v>
      </c>
      <c r="Z219" s="18">
        <f>IF(OR(A219="",B219=""),"",B219+Y219)</f>
        <v>0</v>
      </c>
      <c r="AA219" s="31">
        <f>IF(OR(A219="",Z219=""),"",IF(X219&lt;=0.004,"",MAX(0,TodayDate-Z219-OverdueGrace)))</f>
        <v>0</v>
      </c>
      <c r="AB219" s="39">
        <f>IF(B219="","",IF(X219&lt;=0.004,"Paid",IF(AA219="","Not due yet",IF(AA219=0,"Due now",IF(AA219&lt;=30,"1-30 days",IF(AA219&lt;=60,"31-60 days",IF(AA219&lt;=90,"61-90 days","90+ days")))))))</f>
        <v>0</v>
      </c>
      <c r="AC219" s="21">
        <f>IF(OR(A219="",AA219=""),"",IF(AA219&lt;=0,0,ROUND(X219*LateFeePercent,2)))</f>
        <v>0</v>
      </c>
      <c r="AD219" s="50">
        <f>IF(B219="","",IF(X219&lt;=0.004,"Yes","No"))</f>
        <v>0</v>
      </c>
      <c r="AE219" s="39">
        <f>IF(B219="","",IF(Q219=0,"Add - no lines on this invoice yet",IF(H219="Written off","Written off",IF(AD219="Yes","OK - paid",IF(H219="Draft","Draft - not sent yet",IF(AND(AA219&lt;&gt;"",AA219&gt;30),"Overdue - "&amp;AA219&amp;" days, call them",IF(AND(AA219&lt;&gt;"",AA219&gt;0),"Overdue - send a reminder",IF(W219&gt;0,"Part paid","Due - waiting for payment"))))))))</f>
        <v>0</v>
      </c>
    </row>
    <row r="220" spans="1:31">
      <c r="A220" s="43">
        <f>IF(B220="","",InvoicePrefix&amp;TEXT(ROW()-4,"0000"))</f>
        <v>0</v>
      </c>
      <c r="C220" s="23">
        <f>IF(B220="","",TEXT(B220,"yyyy-mm"))</f>
        <v>0</v>
      </c>
      <c r="E220" s="23">
        <f>IF(D220="","",IFERROR(INDEX(Clients!$B$5:$B$204,MATCH(D220,Clients!$A$5:$A$204,0)),"Not found"))</f>
        <v>0</v>
      </c>
      <c r="F220" s="23">
        <f>IF(D220="","",IFERROR(INDEX(Clients!$G$5:$G$204,MATCH(D220,Clients!$A$5:$A$204,0)),""))</f>
        <v>0</v>
      </c>
      <c r="Q220" s="31">
        <f>IF(A220="","",COUNTIFS('Invoice Lines'!$B$5:$B$804,A220))</f>
        <v>0</v>
      </c>
      <c r="R220" s="21">
        <f>IF(A220="","",SUMIFS('Invoice Lines'!$N$5:$N$804,'Invoice Lines'!$B$5:$B$804,A220))</f>
        <v>0</v>
      </c>
      <c r="S220" s="21">
        <f>IF(A220="","",ROUND(R220*IF(K220="",0,K220),2))</f>
        <v>0</v>
      </c>
      <c r="T220" s="21">
        <f>IF(A220="","",R220-S220)</f>
        <v>0</v>
      </c>
      <c r="U220" s="21">
        <f>IF(A220="","",ROUND(T220*TaxRate,2))</f>
        <v>0</v>
      </c>
      <c r="V220" s="21">
        <f>IF(A220="","",T220+U220)</f>
        <v>0</v>
      </c>
      <c r="W220" s="21">
        <f>IF(A220="","",SUMIFS(Payments!$G$5:$G$404,Payments!$D$5:$D$404,A220))</f>
        <v>0</v>
      </c>
      <c r="X220" s="21">
        <f>IF(A220="","",ROUND(V220-W220,2))</f>
        <v>0</v>
      </c>
      <c r="Y220" s="31">
        <f>IF(B220="","",IF(J220&lt;&gt;"",J220,IF(IFERROR(INDEX(Clients!$P$5:$P$204,MATCH(D220,Clients!$A$5:$A$204,0)),"")&lt;&gt;"",INDEX(Clients!$P$5:$P$204,MATCH(D220,Clients!$A$5:$A$204,0)),PaymentTerms)))</f>
        <v>0</v>
      </c>
      <c r="Z220" s="18">
        <f>IF(OR(A220="",B220=""),"",B220+Y220)</f>
        <v>0</v>
      </c>
      <c r="AA220" s="31">
        <f>IF(OR(A220="",Z220=""),"",IF(X220&lt;=0.004,"",MAX(0,TodayDate-Z220-OverdueGrace)))</f>
        <v>0</v>
      </c>
      <c r="AB220" s="39">
        <f>IF(B220="","",IF(X220&lt;=0.004,"Paid",IF(AA220="","Not due yet",IF(AA220=0,"Due now",IF(AA220&lt;=30,"1-30 days",IF(AA220&lt;=60,"31-60 days",IF(AA220&lt;=90,"61-90 days","90+ days")))))))</f>
        <v>0</v>
      </c>
      <c r="AC220" s="21">
        <f>IF(OR(A220="",AA220=""),"",IF(AA220&lt;=0,0,ROUND(X220*LateFeePercent,2)))</f>
        <v>0</v>
      </c>
      <c r="AD220" s="50">
        <f>IF(B220="","",IF(X220&lt;=0.004,"Yes","No"))</f>
        <v>0</v>
      </c>
      <c r="AE220" s="39">
        <f>IF(B220="","",IF(Q220=0,"Add - no lines on this invoice yet",IF(H220="Written off","Written off",IF(AD220="Yes","OK - paid",IF(H220="Draft","Draft - not sent yet",IF(AND(AA220&lt;&gt;"",AA220&gt;30),"Overdue - "&amp;AA220&amp;" days, call them",IF(AND(AA220&lt;&gt;"",AA220&gt;0),"Overdue - send a reminder",IF(W220&gt;0,"Part paid","Due - waiting for payment"))))))))</f>
        <v>0</v>
      </c>
    </row>
    <row r="221" spans="1:31">
      <c r="A221" s="43">
        <f>IF(B221="","",InvoicePrefix&amp;TEXT(ROW()-4,"0000"))</f>
        <v>0</v>
      </c>
      <c r="C221" s="23">
        <f>IF(B221="","",TEXT(B221,"yyyy-mm"))</f>
        <v>0</v>
      </c>
      <c r="E221" s="23">
        <f>IF(D221="","",IFERROR(INDEX(Clients!$B$5:$B$204,MATCH(D221,Clients!$A$5:$A$204,0)),"Not found"))</f>
        <v>0</v>
      </c>
      <c r="F221" s="23">
        <f>IF(D221="","",IFERROR(INDEX(Clients!$G$5:$G$204,MATCH(D221,Clients!$A$5:$A$204,0)),""))</f>
        <v>0</v>
      </c>
      <c r="Q221" s="31">
        <f>IF(A221="","",COUNTIFS('Invoice Lines'!$B$5:$B$804,A221))</f>
        <v>0</v>
      </c>
      <c r="R221" s="21">
        <f>IF(A221="","",SUMIFS('Invoice Lines'!$N$5:$N$804,'Invoice Lines'!$B$5:$B$804,A221))</f>
        <v>0</v>
      </c>
      <c r="S221" s="21">
        <f>IF(A221="","",ROUND(R221*IF(K221="",0,K221),2))</f>
        <v>0</v>
      </c>
      <c r="T221" s="21">
        <f>IF(A221="","",R221-S221)</f>
        <v>0</v>
      </c>
      <c r="U221" s="21">
        <f>IF(A221="","",ROUND(T221*TaxRate,2))</f>
        <v>0</v>
      </c>
      <c r="V221" s="21">
        <f>IF(A221="","",T221+U221)</f>
        <v>0</v>
      </c>
      <c r="W221" s="21">
        <f>IF(A221="","",SUMIFS(Payments!$G$5:$G$404,Payments!$D$5:$D$404,A221))</f>
        <v>0</v>
      </c>
      <c r="X221" s="21">
        <f>IF(A221="","",ROUND(V221-W221,2))</f>
        <v>0</v>
      </c>
      <c r="Y221" s="31">
        <f>IF(B221="","",IF(J221&lt;&gt;"",J221,IF(IFERROR(INDEX(Clients!$P$5:$P$204,MATCH(D221,Clients!$A$5:$A$204,0)),"")&lt;&gt;"",INDEX(Clients!$P$5:$P$204,MATCH(D221,Clients!$A$5:$A$204,0)),PaymentTerms)))</f>
        <v>0</v>
      </c>
      <c r="Z221" s="18">
        <f>IF(OR(A221="",B221=""),"",B221+Y221)</f>
        <v>0</v>
      </c>
      <c r="AA221" s="31">
        <f>IF(OR(A221="",Z221=""),"",IF(X221&lt;=0.004,"",MAX(0,TodayDate-Z221-OverdueGrace)))</f>
        <v>0</v>
      </c>
      <c r="AB221" s="39">
        <f>IF(B221="","",IF(X221&lt;=0.004,"Paid",IF(AA221="","Not due yet",IF(AA221=0,"Due now",IF(AA221&lt;=30,"1-30 days",IF(AA221&lt;=60,"31-60 days",IF(AA221&lt;=90,"61-90 days","90+ days")))))))</f>
        <v>0</v>
      </c>
      <c r="AC221" s="21">
        <f>IF(OR(A221="",AA221=""),"",IF(AA221&lt;=0,0,ROUND(X221*LateFeePercent,2)))</f>
        <v>0</v>
      </c>
      <c r="AD221" s="50">
        <f>IF(B221="","",IF(X221&lt;=0.004,"Yes","No"))</f>
        <v>0</v>
      </c>
      <c r="AE221" s="39">
        <f>IF(B221="","",IF(Q221=0,"Add - no lines on this invoice yet",IF(H221="Written off","Written off",IF(AD221="Yes","OK - paid",IF(H221="Draft","Draft - not sent yet",IF(AND(AA221&lt;&gt;"",AA221&gt;30),"Overdue - "&amp;AA221&amp;" days, call them",IF(AND(AA221&lt;&gt;"",AA221&gt;0),"Overdue - send a reminder",IF(W221&gt;0,"Part paid","Due - waiting for payment"))))))))</f>
        <v>0</v>
      </c>
    </row>
    <row r="222" spans="1:31">
      <c r="A222" s="43">
        <f>IF(B222="","",InvoicePrefix&amp;TEXT(ROW()-4,"0000"))</f>
        <v>0</v>
      </c>
      <c r="C222" s="23">
        <f>IF(B222="","",TEXT(B222,"yyyy-mm"))</f>
        <v>0</v>
      </c>
      <c r="E222" s="23">
        <f>IF(D222="","",IFERROR(INDEX(Clients!$B$5:$B$204,MATCH(D222,Clients!$A$5:$A$204,0)),"Not found"))</f>
        <v>0</v>
      </c>
      <c r="F222" s="23">
        <f>IF(D222="","",IFERROR(INDEX(Clients!$G$5:$G$204,MATCH(D222,Clients!$A$5:$A$204,0)),""))</f>
        <v>0</v>
      </c>
      <c r="Q222" s="31">
        <f>IF(A222="","",COUNTIFS('Invoice Lines'!$B$5:$B$804,A222))</f>
        <v>0</v>
      </c>
      <c r="R222" s="21">
        <f>IF(A222="","",SUMIFS('Invoice Lines'!$N$5:$N$804,'Invoice Lines'!$B$5:$B$804,A222))</f>
        <v>0</v>
      </c>
      <c r="S222" s="21">
        <f>IF(A222="","",ROUND(R222*IF(K222="",0,K222),2))</f>
        <v>0</v>
      </c>
      <c r="T222" s="21">
        <f>IF(A222="","",R222-S222)</f>
        <v>0</v>
      </c>
      <c r="U222" s="21">
        <f>IF(A222="","",ROUND(T222*TaxRate,2))</f>
        <v>0</v>
      </c>
      <c r="V222" s="21">
        <f>IF(A222="","",T222+U222)</f>
        <v>0</v>
      </c>
      <c r="W222" s="21">
        <f>IF(A222="","",SUMIFS(Payments!$G$5:$G$404,Payments!$D$5:$D$404,A222))</f>
        <v>0</v>
      </c>
      <c r="X222" s="21">
        <f>IF(A222="","",ROUND(V222-W222,2))</f>
        <v>0</v>
      </c>
      <c r="Y222" s="31">
        <f>IF(B222="","",IF(J222&lt;&gt;"",J222,IF(IFERROR(INDEX(Clients!$P$5:$P$204,MATCH(D222,Clients!$A$5:$A$204,0)),"")&lt;&gt;"",INDEX(Clients!$P$5:$P$204,MATCH(D222,Clients!$A$5:$A$204,0)),PaymentTerms)))</f>
        <v>0</v>
      </c>
      <c r="Z222" s="18">
        <f>IF(OR(A222="",B222=""),"",B222+Y222)</f>
        <v>0</v>
      </c>
      <c r="AA222" s="31">
        <f>IF(OR(A222="",Z222=""),"",IF(X222&lt;=0.004,"",MAX(0,TodayDate-Z222-OverdueGrace)))</f>
        <v>0</v>
      </c>
      <c r="AB222" s="39">
        <f>IF(B222="","",IF(X222&lt;=0.004,"Paid",IF(AA222="","Not due yet",IF(AA222=0,"Due now",IF(AA222&lt;=30,"1-30 days",IF(AA222&lt;=60,"31-60 days",IF(AA222&lt;=90,"61-90 days","90+ days")))))))</f>
        <v>0</v>
      </c>
      <c r="AC222" s="21">
        <f>IF(OR(A222="",AA222=""),"",IF(AA222&lt;=0,0,ROUND(X222*LateFeePercent,2)))</f>
        <v>0</v>
      </c>
      <c r="AD222" s="50">
        <f>IF(B222="","",IF(X222&lt;=0.004,"Yes","No"))</f>
        <v>0</v>
      </c>
      <c r="AE222" s="39">
        <f>IF(B222="","",IF(Q222=0,"Add - no lines on this invoice yet",IF(H222="Written off","Written off",IF(AD222="Yes","OK - paid",IF(H222="Draft","Draft - not sent yet",IF(AND(AA222&lt;&gt;"",AA222&gt;30),"Overdue - "&amp;AA222&amp;" days, call them",IF(AND(AA222&lt;&gt;"",AA222&gt;0),"Overdue - send a reminder",IF(W222&gt;0,"Part paid","Due - waiting for payment"))))))))</f>
        <v>0</v>
      </c>
    </row>
    <row r="223" spans="1:31">
      <c r="A223" s="43">
        <f>IF(B223="","",InvoicePrefix&amp;TEXT(ROW()-4,"0000"))</f>
        <v>0</v>
      </c>
      <c r="C223" s="23">
        <f>IF(B223="","",TEXT(B223,"yyyy-mm"))</f>
        <v>0</v>
      </c>
      <c r="E223" s="23">
        <f>IF(D223="","",IFERROR(INDEX(Clients!$B$5:$B$204,MATCH(D223,Clients!$A$5:$A$204,0)),"Not found"))</f>
        <v>0</v>
      </c>
      <c r="F223" s="23">
        <f>IF(D223="","",IFERROR(INDEX(Clients!$G$5:$G$204,MATCH(D223,Clients!$A$5:$A$204,0)),""))</f>
        <v>0</v>
      </c>
      <c r="Q223" s="31">
        <f>IF(A223="","",COUNTIFS('Invoice Lines'!$B$5:$B$804,A223))</f>
        <v>0</v>
      </c>
      <c r="R223" s="21">
        <f>IF(A223="","",SUMIFS('Invoice Lines'!$N$5:$N$804,'Invoice Lines'!$B$5:$B$804,A223))</f>
        <v>0</v>
      </c>
      <c r="S223" s="21">
        <f>IF(A223="","",ROUND(R223*IF(K223="",0,K223),2))</f>
        <v>0</v>
      </c>
      <c r="T223" s="21">
        <f>IF(A223="","",R223-S223)</f>
        <v>0</v>
      </c>
      <c r="U223" s="21">
        <f>IF(A223="","",ROUND(T223*TaxRate,2))</f>
        <v>0</v>
      </c>
      <c r="V223" s="21">
        <f>IF(A223="","",T223+U223)</f>
        <v>0</v>
      </c>
      <c r="W223" s="21">
        <f>IF(A223="","",SUMIFS(Payments!$G$5:$G$404,Payments!$D$5:$D$404,A223))</f>
        <v>0</v>
      </c>
      <c r="X223" s="21">
        <f>IF(A223="","",ROUND(V223-W223,2))</f>
        <v>0</v>
      </c>
      <c r="Y223" s="31">
        <f>IF(B223="","",IF(J223&lt;&gt;"",J223,IF(IFERROR(INDEX(Clients!$P$5:$P$204,MATCH(D223,Clients!$A$5:$A$204,0)),"")&lt;&gt;"",INDEX(Clients!$P$5:$P$204,MATCH(D223,Clients!$A$5:$A$204,0)),PaymentTerms)))</f>
        <v>0</v>
      </c>
      <c r="Z223" s="18">
        <f>IF(OR(A223="",B223=""),"",B223+Y223)</f>
        <v>0</v>
      </c>
      <c r="AA223" s="31">
        <f>IF(OR(A223="",Z223=""),"",IF(X223&lt;=0.004,"",MAX(0,TodayDate-Z223-OverdueGrace)))</f>
        <v>0</v>
      </c>
      <c r="AB223" s="39">
        <f>IF(B223="","",IF(X223&lt;=0.004,"Paid",IF(AA223="","Not due yet",IF(AA223=0,"Due now",IF(AA223&lt;=30,"1-30 days",IF(AA223&lt;=60,"31-60 days",IF(AA223&lt;=90,"61-90 days","90+ days")))))))</f>
        <v>0</v>
      </c>
      <c r="AC223" s="21">
        <f>IF(OR(A223="",AA223=""),"",IF(AA223&lt;=0,0,ROUND(X223*LateFeePercent,2)))</f>
        <v>0</v>
      </c>
      <c r="AD223" s="50">
        <f>IF(B223="","",IF(X223&lt;=0.004,"Yes","No"))</f>
        <v>0</v>
      </c>
      <c r="AE223" s="39">
        <f>IF(B223="","",IF(Q223=0,"Add - no lines on this invoice yet",IF(H223="Written off","Written off",IF(AD223="Yes","OK - paid",IF(H223="Draft","Draft - not sent yet",IF(AND(AA223&lt;&gt;"",AA223&gt;30),"Overdue - "&amp;AA223&amp;" days, call them",IF(AND(AA223&lt;&gt;"",AA223&gt;0),"Overdue - send a reminder",IF(W223&gt;0,"Part paid","Due - waiting for payment"))))))))</f>
        <v>0</v>
      </c>
    </row>
    <row r="224" spans="1:31">
      <c r="A224" s="43">
        <f>IF(B224="","",InvoicePrefix&amp;TEXT(ROW()-4,"0000"))</f>
        <v>0</v>
      </c>
      <c r="C224" s="23">
        <f>IF(B224="","",TEXT(B224,"yyyy-mm"))</f>
        <v>0</v>
      </c>
      <c r="E224" s="23">
        <f>IF(D224="","",IFERROR(INDEX(Clients!$B$5:$B$204,MATCH(D224,Clients!$A$5:$A$204,0)),"Not found"))</f>
        <v>0</v>
      </c>
      <c r="F224" s="23">
        <f>IF(D224="","",IFERROR(INDEX(Clients!$G$5:$G$204,MATCH(D224,Clients!$A$5:$A$204,0)),""))</f>
        <v>0</v>
      </c>
      <c r="Q224" s="31">
        <f>IF(A224="","",COUNTIFS('Invoice Lines'!$B$5:$B$804,A224))</f>
        <v>0</v>
      </c>
      <c r="R224" s="21">
        <f>IF(A224="","",SUMIFS('Invoice Lines'!$N$5:$N$804,'Invoice Lines'!$B$5:$B$804,A224))</f>
        <v>0</v>
      </c>
      <c r="S224" s="21">
        <f>IF(A224="","",ROUND(R224*IF(K224="",0,K224),2))</f>
        <v>0</v>
      </c>
      <c r="T224" s="21">
        <f>IF(A224="","",R224-S224)</f>
        <v>0</v>
      </c>
      <c r="U224" s="21">
        <f>IF(A224="","",ROUND(T224*TaxRate,2))</f>
        <v>0</v>
      </c>
      <c r="V224" s="21">
        <f>IF(A224="","",T224+U224)</f>
        <v>0</v>
      </c>
      <c r="W224" s="21">
        <f>IF(A224="","",SUMIFS(Payments!$G$5:$G$404,Payments!$D$5:$D$404,A224))</f>
        <v>0</v>
      </c>
      <c r="X224" s="21">
        <f>IF(A224="","",ROUND(V224-W224,2))</f>
        <v>0</v>
      </c>
      <c r="Y224" s="31">
        <f>IF(B224="","",IF(J224&lt;&gt;"",J224,IF(IFERROR(INDEX(Clients!$P$5:$P$204,MATCH(D224,Clients!$A$5:$A$204,0)),"")&lt;&gt;"",INDEX(Clients!$P$5:$P$204,MATCH(D224,Clients!$A$5:$A$204,0)),PaymentTerms)))</f>
        <v>0</v>
      </c>
      <c r="Z224" s="18">
        <f>IF(OR(A224="",B224=""),"",B224+Y224)</f>
        <v>0</v>
      </c>
      <c r="AA224" s="31">
        <f>IF(OR(A224="",Z224=""),"",IF(X224&lt;=0.004,"",MAX(0,TodayDate-Z224-OverdueGrace)))</f>
        <v>0</v>
      </c>
      <c r="AB224" s="39">
        <f>IF(B224="","",IF(X224&lt;=0.004,"Paid",IF(AA224="","Not due yet",IF(AA224=0,"Due now",IF(AA224&lt;=30,"1-30 days",IF(AA224&lt;=60,"31-60 days",IF(AA224&lt;=90,"61-90 days","90+ days")))))))</f>
        <v>0</v>
      </c>
      <c r="AC224" s="21">
        <f>IF(OR(A224="",AA224=""),"",IF(AA224&lt;=0,0,ROUND(X224*LateFeePercent,2)))</f>
        <v>0</v>
      </c>
      <c r="AD224" s="50">
        <f>IF(B224="","",IF(X224&lt;=0.004,"Yes","No"))</f>
        <v>0</v>
      </c>
      <c r="AE224" s="39">
        <f>IF(B224="","",IF(Q224=0,"Add - no lines on this invoice yet",IF(H224="Written off","Written off",IF(AD224="Yes","OK - paid",IF(H224="Draft","Draft - not sent yet",IF(AND(AA224&lt;&gt;"",AA224&gt;30),"Overdue - "&amp;AA224&amp;" days, call them",IF(AND(AA224&lt;&gt;"",AA224&gt;0),"Overdue - send a reminder",IF(W224&gt;0,"Part paid","Due - waiting for payment"))))))))</f>
        <v>0</v>
      </c>
    </row>
    <row r="225" spans="1:31">
      <c r="A225" s="43">
        <f>IF(B225="","",InvoicePrefix&amp;TEXT(ROW()-4,"0000"))</f>
        <v>0</v>
      </c>
      <c r="C225" s="23">
        <f>IF(B225="","",TEXT(B225,"yyyy-mm"))</f>
        <v>0</v>
      </c>
      <c r="E225" s="23">
        <f>IF(D225="","",IFERROR(INDEX(Clients!$B$5:$B$204,MATCH(D225,Clients!$A$5:$A$204,0)),"Not found"))</f>
        <v>0</v>
      </c>
      <c r="F225" s="23">
        <f>IF(D225="","",IFERROR(INDEX(Clients!$G$5:$G$204,MATCH(D225,Clients!$A$5:$A$204,0)),""))</f>
        <v>0</v>
      </c>
      <c r="Q225" s="31">
        <f>IF(A225="","",COUNTIFS('Invoice Lines'!$B$5:$B$804,A225))</f>
        <v>0</v>
      </c>
      <c r="R225" s="21">
        <f>IF(A225="","",SUMIFS('Invoice Lines'!$N$5:$N$804,'Invoice Lines'!$B$5:$B$804,A225))</f>
        <v>0</v>
      </c>
      <c r="S225" s="21">
        <f>IF(A225="","",ROUND(R225*IF(K225="",0,K225),2))</f>
        <v>0</v>
      </c>
      <c r="T225" s="21">
        <f>IF(A225="","",R225-S225)</f>
        <v>0</v>
      </c>
      <c r="U225" s="21">
        <f>IF(A225="","",ROUND(T225*TaxRate,2))</f>
        <v>0</v>
      </c>
      <c r="V225" s="21">
        <f>IF(A225="","",T225+U225)</f>
        <v>0</v>
      </c>
      <c r="W225" s="21">
        <f>IF(A225="","",SUMIFS(Payments!$G$5:$G$404,Payments!$D$5:$D$404,A225))</f>
        <v>0</v>
      </c>
      <c r="X225" s="21">
        <f>IF(A225="","",ROUND(V225-W225,2))</f>
        <v>0</v>
      </c>
      <c r="Y225" s="31">
        <f>IF(B225="","",IF(J225&lt;&gt;"",J225,IF(IFERROR(INDEX(Clients!$P$5:$P$204,MATCH(D225,Clients!$A$5:$A$204,0)),"")&lt;&gt;"",INDEX(Clients!$P$5:$P$204,MATCH(D225,Clients!$A$5:$A$204,0)),PaymentTerms)))</f>
        <v>0</v>
      </c>
      <c r="Z225" s="18">
        <f>IF(OR(A225="",B225=""),"",B225+Y225)</f>
        <v>0</v>
      </c>
      <c r="AA225" s="31">
        <f>IF(OR(A225="",Z225=""),"",IF(X225&lt;=0.004,"",MAX(0,TodayDate-Z225-OverdueGrace)))</f>
        <v>0</v>
      </c>
      <c r="AB225" s="39">
        <f>IF(B225="","",IF(X225&lt;=0.004,"Paid",IF(AA225="","Not due yet",IF(AA225=0,"Due now",IF(AA225&lt;=30,"1-30 days",IF(AA225&lt;=60,"31-60 days",IF(AA225&lt;=90,"61-90 days","90+ days")))))))</f>
        <v>0</v>
      </c>
      <c r="AC225" s="21">
        <f>IF(OR(A225="",AA225=""),"",IF(AA225&lt;=0,0,ROUND(X225*LateFeePercent,2)))</f>
        <v>0</v>
      </c>
      <c r="AD225" s="50">
        <f>IF(B225="","",IF(X225&lt;=0.004,"Yes","No"))</f>
        <v>0</v>
      </c>
      <c r="AE225" s="39">
        <f>IF(B225="","",IF(Q225=0,"Add - no lines on this invoice yet",IF(H225="Written off","Written off",IF(AD225="Yes","OK - paid",IF(H225="Draft","Draft - not sent yet",IF(AND(AA225&lt;&gt;"",AA225&gt;30),"Overdue - "&amp;AA225&amp;" days, call them",IF(AND(AA225&lt;&gt;"",AA225&gt;0),"Overdue - send a reminder",IF(W225&gt;0,"Part paid","Due - waiting for payment"))))))))</f>
        <v>0</v>
      </c>
    </row>
    <row r="226" spans="1:31">
      <c r="A226" s="43">
        <f>IF(B226="","",InvoicePrefix&amp;TEXT(ROW()-4,"0000"))</f>
        <v>0</v>
      </c>
      <c r="C226" s="23">
        <f>IF(B226="","",TEXT(B226,"yyyy-mm"))</f>
        <v>0</v>
      </c>
      <c r="E226" s="23">
        <f>IF(D226="","",IFERROR(INDEX(Clients!$B$5:$B$204,MATCH(D226,Clients!$A$5:$A$204,0)),"Not found"))</f>
        <v>0</v>
      </c>
      <c r="F226" s="23">
        <f>IF(D226="","",IFERROR(INDEX(Clients!$G$5:$G$204,MATCH(D226,Clients!$A$5:$A$204,0)),""))</f>
        <v>0</v>
      </c>
      <c r="Q226" s="31">
        <f>IF(A226="","",COUNTIFS('Invoice Lines'!$B$5:$B$804,A226))</f>
        <v>0</v>
      </c>
      <c r="R226" s="21">
        <f>IF(A226="","",SUMIFS('Invoice Lines'!$N$5:$N$804,'Invoice Lines'!$B$5:$B$804,A226))</f>
        <v>0</v>
      </c>
      <c r="S226" s="21">
        <f>IF(A226="","",ROUND(R226*IF(K226="",0,K226),2))</f>
        <v>0</v>
      </c>
      <c r="T226" s="21">
        <f>IF(A226="","",R226-S226)</f>
        <v>0</v>
      </c>
      <c r="U226" s="21">
        <f>IF(A226="","",ROUND(T226*TaxRate,2))</f>
        <v>0</v>
      </c>
      <c r="V226" s="21">
        <f>IF(A226="","",T226+U226)</f>
        <v>0</v>
      </c>
      <c r="W226" s="21">
        <f>IF(A226="","",SUMIFS(Payments!$G$5:$G$404,Payments!$D$5:$D$404,A226))</f>
        <v>0</v>
      </c>
      <c r="X226" s="21">
        <f>IF(A226="","",ROUND(V226-W226,2))</f>
        <v>0</v>
      </c>
      <c r="Y226" s="31">
        <f>IF(B226="","",IF(J226&lt;&gt;"",J226,IF(IFERROR(INDEX(Clients!$P$5:$P$204,MATCH(D226,Clients!$A$5:$A$204,0)),"")&lt;&gt;"",INDEX(Clients!$P$5:$P$204,MATCH(D226,Clients!$A$5:$A$204,0)),PaymentTerms)))</f>
        <v>0</v>
      </c>
      <c r="Z226" s="18">
        <f>IF(OR(A226="",B226=""),"",B226+Y226)</f>
        <v>0</v>
      </c>
      <c r="AA226" s="31">
        <f>IF(OR(A226="",Z226=""),"",IF(X226&lt;=0.004,"",MAX(0,TodayDate-Z226-OverdueGrace)))</f>
        <v>0</v>
      </c>
      <c r="AB226" s="39">
        <f>IF(B226="","",IF(X226&lt;=0.004,"Paid",IF(AA226="","Not due yet",IF(AA226=0,"Due now",IF(AA226&lt;=30,"1-30 days",IF(AA226&lt;=60,"31-60 days",IF(AA226&lt;=90,"61-90 days","90+ days")))))))</f>
        <v>0</v>
      </c>
      <c r="AC226" s="21">
        <f>IF(OR(A226="",AA226=""),"",IF(AA226&lt;=0,0,ROUND(X226*LateFeePercent,2)))</f>
        <v>0</v>
      </c>
      <c r="AD226" s="50">
        <f>IF(B226="","",IF(X226&lt;=0.004,"Yes","No"))</f>
        <v>0</v>
      </c>
      <c r="AE226" s="39">
        <f>IF(B226="","",IF(Q226=0,"Add - no lines on this invoice yet",IF(H226="Written off","Written off",IF(AD226="Yes","OK - paid",IF(H226="Draft","Draft - not sent yet",IF(AND(AA226&lt;&gt;"",AA226&gt;30),"Overdue - "&amp;AA226&amp;" days, call them",IF(AND(AA226&lt;&gt;"",AA226&gt;0),"Overdue - send a reminder",IF(W226&gt;0,"Part paid","Due - waiting for payment"))))))))</f>
        <v>0</v>
      </c>
    </row>
    <row r="227" spans="1:31">
      <c r="A227" s="43">
        <f>IF(B227="","",InvoicePrefix&amp;TEXT(ROW()-4,"0000"))</f>
        <v>0</v>
      </c>
      <c r="C227" s="23">
        <f>IF(B227="","",TEXT(B227,"yyyy-mm"))</f>
        <v>0</v>
      </c>
      <c r="E227" s="23">
        <f>IF(D227="","",IFERROR(INDEX(Clients!$B$5:$B$204,MATCH(D227,Clients!$A$5:$A$204,0)),"Not found"))</f>
        <v>0</v>
      </c>
      <c r="F227" s="23">
        <f>IF(D227="","",IFERROR(INDEX(Clients!$G$5:$G$204,MATCH(D227,Clients!$A$5:$A$204,0)),""))</f>
        <v>0</v>
      </c>
      <c r="Q227" s="31">
        <f>IF(A227="","",COUNTIFS('Invoice Lines'!$B$5:$B$804,A227))</f>
        <v>0</v>
      </c>
      <c r="R227" s="21">
        <f>IF(A227="","",SUMIFS('Invoice Lines'!$N$5:$N$804,'Invoice Lines'!$B$5:$B$804,A227))</f>
        <v>0</v>
      </c>
      <c r="S227" s="21">
        <f>IF(A227="","",ROUND(R227*IF(K227="",0,K227),2))</f>
        <v>0</v>
      </c>
      <c r="T227" s="21">
        <f>IF(A227="","",R227-S227)</f>
        <v>0</v>
      </c>
      <c r="U227" s="21">
        <f>IF(A227="","",ROUND(T227*TaxRate,2))</f>
        <v>0</v>
      </c>
      <c r="V227" s="21">
        <f>IF(A227="","",T227+U227)</f>
        <v>0</v>
      </c>
      <c r="W227" s="21">
        <f>IF(A227="","",SUMIFS(Payments!$G$5:$G$404,Payments!$D$5:$D$404,A227))</f>
        <v>0</v>
      </c>
      <c r="X227" s="21">
        <f>IF(A227="","",ROUND(V227-W227,2))</f>
        <v>0</v>
      </c>
      <c r="Y227" s="31">
        <f>IF(B227="","",IF(J227&lt;&gt;"",J227,IF(IFERROR(INDEX(Clients!$P$5:$P$204,MATCH(D227,Clients!$A$5:$A$204,0)),"")&lt;&gt;"",INDEX(Clients!$P$5:$P$204,MATCH(D227,Clients!$A$5:$A$204,0)),PaymentTerms)))</f>
        <v>0</v>
      </c>
      <c r="Z227" s="18">
        <f>IF(OR(A227="",B227=""),"",B227+Y227)</f>
        <v>0</v>
      </c>
      <c r="AA227" s="31">
        <f>IF(OR(A227="",Z227=""),"",IF(X227&lt;=0.004,"",MAX(0,TodayDate-Z227-OverdueGrace)))</f>
        <v>0</v>
      </c>
      <c r="AB227" s="39">
        <f>IF(B227="","",IF(X227&lt;=0.004,"Paid",IF(AA227="","Not due yet",IF(AA227=0,"Due now",IF(AA227&lt;=30,"1-30 days",IF(AA227&lt;=60,"31-60 days",IF(AA227&lt;=90,"61-90 days","90+ days")))))))</f>
        <v>0</v>
      </c>
      <c r="AC227" s="21">
        <f>IF(OR(A227="",AA227=""),"",IF(AA227&lt;=0,0,ROUND(X227*LateFeePercent,2)))</f>
        <v>0</v>
      </c>
      <c r="AD227" s="50">
        <f>IF(B227="","",IF(X227&lt;=0.004,"Yes","No"))</f>
        <v>0</v>
      </c>
      <c r="AE227" s="39">
        <f>IF(B227="","",IF(Q227=0,"Add - no lines on this invoice yet",IF(H227="Written off","Written off",IF(AD227="Yes","OK - paid",IF(H227="Draft","Draft - not sent yet",IF(AND(AA227&lt;&gt;"",AA227&gt;30),"Overdue - "&amp;AA227&amp;" days, call them",IF(AND(AA227&lt;&gt;"",AA227&gt;0),"Overdue - send a reminder",IF(W227&gt;0,"Part paid","Due - waiting for payment"))))))))</f>
        <v>0</v>
      </c>
    </row>
    <row r="228" spans="1:31">
      <c r="A228" s="43">
        <f>IF(B228="","",InvoicePrefix&amp;TEXT(ROW()-4,"0000"))</f>
        <v>0</v>
      </c>
      <c r="C228" s="23">
        <f>IF(B228="","",TEXT(B228,"yyyy-mm"))</f>
        <v>0</v>
      </c>
      <c r="E228" s="23">
        <f>IF(D228="","",IFERROR(INDEX(Clients!$B$5:$B$204,MATCH(D228,Clients!$A$5:$A$204,0)),"Not found"))</f>
        <v>0</v>
      </c>
      <c r="F228" s="23">
        <f>IF(D228="","",IFERROR(INDEX(Clients!$G$5:$G$204,MATCH(D228,Clients!$A$5:$A$204,0)),""))</f>
        <v>0</v>
      </c>
      <c r="Q228" s="31">
        <f>IF(A228="","",COUNTIFS('Invoice Lines'!$B$5:$B$804,A228))</f>
        <v>0</v>
      </c>
      <c r="R228" s="21">
        <f>IF(A228="","",SUMIFS('Invoice Lines'!$N$5:$N$804,'Invoice Lines'!$B$5:$B$804,A228))</f>
        <v>0</v>
      </c>
      <c r="S228" s="21">
        <f>IF(A228="","",ROUND(R228*IF(K228="",0,K228),2))</f>
        <v>0</v>
      </c>
      <c r="T228" s="21">
        <f>IF(A228="","",R228-S228)</f>
        <v>0</v>
      </c>
      <c r="U228" s="21">
        <f>IF(A228="","",ROUND(T228*TaxRate,2))</f>
        <v>0</v>
      </c>
      <c r="V228" s="21">
        <f>IF(A228="","",T228+U228)</f>
        <v>0</v>
      </c>
      <c r="W228" s="21">
        <f>IF(A228="","",SUMIFS(Payments!$G$5:$G$404,Payments!$D$5:$D$404,A228))</f>
        <v>0</v>
      </c>
      <c r="X228" s="21">
        <f>IF(A228="","",ROUND(V228-W228,2))</f>
        <v>0</v>
      </c>
      <c r="Y228" s="31">
        <f>IF(B228="","",IF(J228&lt;&gt;"",J228,IF(IFERROR(INDEX(Clients!$P$5:$P$204,MATCH(D228,Clients!$A$5:$A$204,0)),"")&lt;&gt;"",INDEX(Clients!$P$5:$P$204,MATCH(D228,Clients!$A$5:$A$204,0)),PaymentTerms)))</f>
        <v>0</v>
      </c>
      <c r="Z228" s="18">
        <f>IF(OR(A228="",B228=""),"",B228+Y228)</f>
        <v>0</v>
      </c>
      <c r="AA228" s="31">
        <f>IF(OR(A228="",Z228=""),"",IF(X228&lt;=0.004,"",MAX(0,TodayDate-Z228-OverdueGrace)))</f>
        <v>0</v>
      </c>
      <c r="AB228" s="39">
        <f>IF(B228="","",IF(X228&lt;=0.004,"Paid",IF(AA228="","Not due yet",IF(AA228=0,"Due now",IF(AA228&lt;=30,"1-30 days",IF(AA228&lt;=60,"31-60 days",IF(AA228&lt;=90,"61-90 days","90+ days")))))))</f>
        <v>0</v>
      </c>
      <c r="AC228" s="21">
        <f>IF(OR(A228="",AA228=""),"",IF(AA228&lt;=0,0,ROUND(X228*LateFeePercent,2)))</f>
        <v>0</v>
      </c>
      <c r="AD228" s="50">
        <f>IF(B228="","",IF(X228&lt;=0.004,"Yes","No"))</f>
        <v>0</v>
      </c>
      <c r="AE228" s="39">
        <f>IF(B228="","",IF(Q228=0,"Add - no lines on this invoice yet",IF(H228="Written off","Written off",IF(AD228="Yes","OK - paid",IF(H228="Draft","Draft - not sent yet",IF(AND(AA228&lt;&gt;"",AA228&gt;30),"Overdue - "&amp;AA228&amp;" days, call them",IF(AND(AA228&lt;&gt;"",AA228&gt;0),"Overdue - send a reminder",IF(W228&gt;0,"Part paid","Due - waiting for payment"))))))))</f>
        <v>0</v>
      </c>
    </row>
    <row r="229" spans="1:31">
      <c r="A229" s="43">
        <f>IF(B229="","",InvoicePrefix&amp;TEXT(ROW()-4,"0000"))</f>
        <v>0</v>
      </c>
      <c r="C229" s="23">
        <f>IF(B229="","",TEXT(B229,"yyyy-mm"))</f>
        <v>0</v>
      </c>
      <c r="E229" s="23">
        <f>IF(D229="","",IFERROR(INDEX(Clients!$B$5:$B$204,MATCH(D229,Clients!$A$5:$A$204,0)),"Not found"))</f>
        <v>0</v>
      </c>
      <c r="F229" s="23">
        <f>IF(D229="","",IFERROR(INDEX(Clients!$G$5:$G$204,MATCH(D229,Clients!$A$5:$A$204,0)),""))</f>
        <v>0</v>
      </c>
      <c r="Q229" s="31">
        <f>IF(A229="","",COUNTIFS('Invoice Lines'!$B$5:$B$804,A229))</f>
        <v>0</v>
      </c>
      <c r="R229" s="21">
        <f>IF(A229="","",SUMIFS('Invoice Lines'!$N$5:$N$804,'Invoice Lines'!$B$5:$B$804,A229))</f>
        <v>0</v>
      </c>
      <c r="S229" s="21">
        <f>IF(A229="","",ROUND(R229*IF(K229="",0,K229),2))</f>
        <v>0</v>
      </c>
      <c r="T229" s="21">
        <f>IF(A229="","",R229-S229)</f>
        <v>0</v>
      </c>
      <c r="U229" s="21">
        <f>IF(A229="","",ROUND(T229*TaxRate,2))</f>
        <v>0</v>
      </c>
      <c r="V229" s="21">
        <f>IF(A229="","",T229+U229)</f>
        <v>0</v>
      </c>
      <c r="W229" s="21">
        <f>IF(A229="","",SUMIFS(Payments!$G$5:$G$404,Payments!$D$5:$D$404,A229))</f>
        <v>0</v>
      </c>
      <c r="X229" s="21">
        <f>IF(A229="","",ROUND(V229-W229,2))</f>
        <v>0</v>
      </c>
      <c r="Y229" s="31">
        <f>IF(B229="","",IF(J229&lt;&gt;"",J229,IF(IFERROR(INDEX(Clients!$P$5:$P$204,MATCH(D229,Clients!$A$5:$A$204,0)),"")&lt;&gt;"",INDEX(Clients!$P$5:$P$204,MATCH(D229,Clients!$A$5:$A$204,0)),PaymentTerms)))</f>
        <v>0</v>
      </c>
      <c r="Z229" s="18">
        <f>IF(OR(A229="",B229=""),"",B229+Y229)</f>
        <v>0</v>
      </c>
      <c r="AA229" s="31">
        <f>IF(OR(A229="",Z229=""),"",IF(X229&lt;=0.004,"",MAX(0,TodayDate-Z229-OverdueGrace)))</f>
        <v>0</v>
      </c>
      <c r="AB229" s="39">
        <f>IF(B229="","",IF(X229&lt;=0.004,"Paid",IF(AA229="","Not due yet",IF(AA229=0,"Due now",IF(AA229&lt;=30,"1-30 days",IF(AA229&lt;=60,"31-60 days",IF(AA229&lt;=90,"61-90 days","90+ days")))))))</f>
        <v>0</v>
      </c>
      <c r="AC229" s="21">
        <f>IF(OR(A229="",AA229=""),"",IF(AA229&lt;=0,0,ROUND(X229*LateFeePercent,2)))</f>
        <v>0</v>
      </c>
      <c r="AD229" s="50">
        <f>IF(B229="","",IF(X229&lt;=0.004,"Yes","No"))</f>
        <v>0</v>
      </c>
      <c r="AE229" s="39">
        <f>IF(B229="","",IF(Q229=0,"Add - no lines on this invoice yet",IF(H229="Written off","Written off",IF(AD229="Yes","OK - paid",IF(H229="Draft","Draft - not sent yet",IF(AND(AA229&lt;&gt;"",AA229&gt;30),"Overdue - "&amp;AA229&amp;" days, call them",IF(AND(AA229&lt;&gt;"",AA229&gt;0),"Overdue - send a reminder",IF(W229&gt;0,"Part paid","Due - waiting for payment"))))))))</f>
        <v>0</v>
      </c>
    </row>
    <row r="230" spans="1:31">
      <c r="A230" s="43">
        <f>IF(B230="","",InvoicePrefix&amp;TEXT(ROW()-4,"0000"))</f>
        <v>0</v>
      </c>
      <c r="C230" s="23">
        <f>IF(B230="","",TEXT(B230,"yyyy-mm"))</f>
        <v>0</v>
      </c>
      <c r="E230" s="23">
        <f>IF(D230="","",IFERROR(INDEX(Clients!$B$5:$B$204,MATCH(D230,Clients!$A$5:$A$204,0)),"Not found"))</f>
        <v>0</v>
      </c>
      <c r="F230" s="23">
        <f>IF(D230="","",IFERROR(INDEX(Clients!$G$5:$G$204,MATCH(D230,Clients!$A$5:$A$204,0)),""))</f>
        <v>0</v>
      </c>
      <c r="Q230" s="31">
        <f>IF(A230="","",COUNTIFS('Invoice Lines'!$B$5:$B$804,A230))</f>
        <v>0</v>
      </c>
      <c r="R230" s="21">
        <f>IF(A230="","",SUMIFS('Invoice Lines'!$N$5:$N$804,'Invoice Lines'!$B$5:$B$804,A230))</f>
        <v>0</v>
      </c>
      <c r="S230" s="21">
        <f>IF(A230="","",ROUND(R230*IF(K230="",0,K230),2))</f>
        <v>0</v>
      </c>
      <c r="T230" s="21">
        <f>IF(A230="","",R230-S230)</f>
        <v>0</v>
      </c>
      <c r="U230" s="21">
        <f>IF(A230="","",ROUND(T230*TaxRate,2))</f>
        <v>0</v>
      </c>
      <c r="V230" s="21">
        <f>IF(A230="","",T230+U230)</f>
        <v>0</v>
      </c>
      <c r="W230" s="21">
        <f>IF(A230="","",SUMIFS(Payments!$G$5:$G$404,Payments!$D$5:$D$404,A230))</f>
        <v>0</v>
      </c>
      <c r="X230" s="21">
        <f>IF(A230="","",ROUND(V230-W230,2))</f>
        <v>0</v>
      </c>
      <c r="Y230" s="31">
        <f>IF(B230="","",IF(J230&lt;&gt;"",J230,IF(IFERROR(INDEX(Clients!$P$5:$P$204,MATCH(D230,Clients!$A$5:$A$204,0)),"")&lt;&gt;"",INDEX(Clients!$P$5:$P$204,MATCH(D230,Clients!$A$5:$A$204,0)),PaymentTerms)))</f>
        <v>0</v>
      </c>
      <c r="Z230" s="18">
        <f>IF(OR(A230="",B230=""),"",B230+Y230)</f>
        <v>0</v>
      </c>
      <c r="AA230" s="31">
        <f>IF(OR(A230="",Z230=""),"",IF(X230&lt;=0.004,"",MAX(0,TodayDate-Z230-OverdueGrace)))</f>
        <v>0</v>
      </c>
      <c r="AB230" s="39">
        <f>IF(B230="","",IF(X230&lt;=0.004,"Paid",IF(AA230="","Not due yet",IF(AA230=0,"Due now",IF(AA230&lt;=30,"1-30 days",IF(AA230&lt;=60,"31-60 days",IF(AA230&lt;=90,"61-90 days","90+ days")))))))</f>
        <v>0</v>
      </c>
      <c r="AC230" s="21">
        <f>IF(OR(A230="",AA230=""),"",IF(AA230&lt;=0,0,ROUND(X230*LateFeePercent,2)))</f>
        <v>0</v>
      </c>
      <c r="AD230" s="50">
        <f>IF(B230="","",IF(X230&lt;=0.004,"Yes","No"))</f>
        <v>0</v>
      </c>
      <c r="AE230" s="39">
        <f>IF(B230="","",IF(Q230=0,"Add - no lines on this invoice yet",IF(H230="Written off","Written off",IF(AD230="Yes","OK - paid",IF(H230="Draft","Draft - not sent yet",IF(AND(AA230&lt;&gt;"",AA230&gt;30),"Overdue - "&amp;AA230&amp;" days, call them",IF(AND(AA230&lt;&gt;"",AA230&gt;0),"Overdue - send a reminder",IF(W230&gt;0,"Part paid","Due - waiting for payment"))))))))</f>
        <v>0</v>
      </c>
    </row>
    <row r="231" spans="1:31">
      <c r="A231" s="43">
        <f>IF(B231="","",InvoicePrefix&amp;TEXT(ROW()-4,"0000"))</f>
        <v>0</v>
      </c>
      <c r="C231" s="23">
        <f>IF(B231="","",TEXT(B231,"yyyy-mm"))</f>
        <v>0</v>
      </c>
      <c r="E231" s="23">
        <f>IF(D231="","",IFERROR(INDEX(Clients!$B$5:$B$204,MATCH(D231,Clients!$A$5:$A$204,0)),"Not found"))</f>
        <v>0</v>
      </c>
      <c r="F231" s="23">
        <f>IF(D231="","",IFERROR(INDEX(Clients!$G$5:$G$204,MATCH(D231,Clients!$A$5:$A$204,0)),""))</f>
        <v>0</v>
      </c>
      <c r="Q231" s="31">
        <f>IF(A231="","",COUNTIFS('Invoice Lines'!$B$5:$B$804,A231))</f>
        <v>0</v>
      </c>
      <c r="R231" s="21">
        <f>IF(A231="","",SUMIFS('Invoice Lines'!$N$5:$N$804,'Invoice Lines'!$B$5:$B$804,A231))</f>
        <v>0</v>
      </c>
      <c r="S231" s="21">
        <f>IF(A231="","",ROUND(R231*IF(K231="",0,K231),2))</f>
        <v>0</v>
      </c>
      <c r="T231" s="21">
        <f>IF(A231="","",R231-S231)</f>
        <v>0</v>
      </c>
      <c r="U231" s="21">
        <f>IF(A231="","",ROUND(T231*TaxRate,2))</f>
        <v>0</v>
      </c>
      <c r="V231" s="21">
        <f>IF(A231="","",T231+U231)</f>
        <v>0</v>
      </c>
      <c r="W231" s="21">
        <f>IF(A231="","",SUMIFS(Payments!$G$5:$G$404,Payments!$D$5:$D$404,A231))</f>
        <v>0</v>
      </c>
      <c r="X231" s="21">
        <f>IF(A231="","",ROUND(V231-W231,2))</f>
        <v>0</v>
      </c>
      <c r="Y231" s="31">
        <f>IF(B231="","",IF(J231&lt;&gt;"",J231,IF(IFERROR(INDEX(Clients!$P$5:$P$204,MATCH(D231,Clients!$A$5:$A$204,0)),"")&lt;&gt;"",INDEX(Clients!$P$5:$P$204,MATCH(D231,Clients!$A$5:$A$204,0)),PaymentTerms)))</f>
        <v>0</v>
      </c>
      <c r="Z231" s="18">
        <f>IF(OR(A231="",B231=""),"",B231+Y231)</f>
        <v>0</v>
      </c>
      <c r="AA231" s="31">
        <f>IF(OR(A231="",Z231=""),"",IF(X231&lt;=0.004,"",MAX(0,TodayDate-Z231-OverdueGrace)))</f>
        <v>0</v>
      </c>
      <c r="AB231" s="39">
        <f>IF(B231="","",IF(X231&lt;=0.004,"Paid",IF(AA231="","Not due yet",IF(AA231=0,"Due now",IF(AA231&lt;=30,"1-30 days",IF(AA231&lt;=60,"31-60 days",IF(AA231&lt;=90,"61-90 days","90+ days")))))))</f>
        <v>0</v>
      </c>
      <c r="AC231" s="21">
        <f>IF(OR(A231="",AA231=""),"",IF(AA231&lt;=0,0,ROUND(X231*LateFeePercent,2)))</f>
        <v>0</v>
      </c>
      <c r="AD231" s="50">
        <f>IF(B231="","",IF(X231&lt;=0.004,"Yes","No"))</f>
        <v>0</v>
      </c>
      <c r="AE231" s="39">
        <f>IF(B231="","",IF(Q231=0,"Add - no lines on this invoice yet",IF(H231="Written off","Written off",IF(AD231="Yes","OK - paid",IF(H231="Draft","Draft - not sent yet",IF(AND(AA231&lt;&gt;"",AA231&gt;30),"Overdue - "&amp;AA231&amp;" days, call them",IF(AND(AA231&lt;&gt;"",AA231&gt;0),"Overdue - send a reminder",IF(W231&gt;0,"Part paid","Due - waiting for payment"))))))))</f>
        <v>0</v>
      </c>
    </row>
    <row r="232" spans="1:31">
      <c r="A232" s="43">
        <f>IF(B232="","",InvoicePrefix&amp;TEXT(ROW()-4,"0000"))</f>
        <v>0</v>
      </c>
      <c r="C232" s="23">
        <f>IF(B232="","",TEXT(B232,"yyyy-mm"))</f>
        <v>0</v>
      </c>
      <c r="E232" s="23">
        <f>IF(D232="","",IFERROR(INDEX(Clients!$B$5:$B$204,MATCH(D232,Clients!$A$5:$A$204,0)),"Not found"))</f>
        <v>0</v>
      </c>
      <c r="F232" s="23">
        <f>IF(D232="","",IFERROR(INDEX(Clients!$G$5:$G$204,MATCH(D232,Clients!$A$5:$A$204,0)),""))</f>
        <v>0</v>
      </c>
      <c r="Q232" s="31">
        <f>IF(A232="","",COUNTIFS('Invoice Lines'!$B$5:$B$804,A232))</f>
        <v>0</v>
      </c>
      <c r="R232" s="21">
        <f>IF(A232="","",SUMIFS('Invoice Lines'!$N$5:$N$804,'Invoice Lines'!$B$5:$B$804,A232))</f>
        <v>0</v>
      </c>
      <c r="S232" s="21">
        <f>IF(A232="","",ROUND(R232*IF(K232="",0,K232),2))</f>
        <v>0</v>
      </c>
      <c r="T232" s="21">
        <f>IF(A232="","",R232-S232)</f>
        <v>0</v>
      </c>
      <c r="U232" s="21">
        <f>IF(A232="","",ROUND(T232*TaxRate,2))</f>
        <v>0</v>
      </c>
      <c r="V232" s="21">
        <f>IF(A232="","",T232+U232)</f>
        <v>0</v>
      </c>
      <c r="W232" s="21">
        <f>IF(A232="","",SUMIFS(Payments!$G$5:$G$404,Payments!$D$5:$D$404,A232))</f>
        <v>0</v>
      </c>
      <c r="X232" s="21">
        <f>IF(A232="","",ROUND(V232-W232,2))</f>
        <v>0</v>
      </c>
      <c r="Y232" s="31">
        <f>IF(B232="","",IF(J232&lt;&gt;"",J232,IF(IFERROR(INDEX(Clients!$P$5:$P$204,MATCH(D232,Clients!$A$5:$A$204,0)),"")&lt;&gt;"",INDEX(Clients!$P$5:$P$204,MATCH(D232,Clients!$A$5:$A$204,0)),PaymentTerms)))</f>
        <v>0</v>
      </c>
      <c r="Z232" s="18">
        <f>IF(OR(A232="",B232=""),"",B232+Y232)</f>
        <v>0</v>
      </c>
      <c r="AA232" s="31">
        <f>IF(OR(A232="",Z232=""),"",IF(X232&lt;=0.004,"",MAX(0,TodayDate-Z232-OverdueGrace)))</f>
        <v>0</v>
      </c>
      <c r="AB232" s="39">
        <f>IF(B232="","",IF(X232&lt;=0.004,"Paid",IF(AA232="","Not due yet",IF(AA232=0,"Due now",IF(AA232&lt;=30,"1-30 days",IF(AA232&lt;=60,"31-60 days",IF(AA232&lt;=90,"61-90 days","90+ days")))))))</f>
        <v>0</v>
      </c>
      <c r="AC232" s="21">
        <f>IF(OR(A232="",AA232=""),"",IF(AA232&lt;=0,0,ROUND(X232*LateFeePercent,2)))</f>
        <v>0</v>
      </c>
      <c r="AD232" s="50">
        <f>IF(B232="","",IF(X232&lt;=0.004,"Yes","No"))</f>
        <v>0</v>
      </c>
      <c r="AE232" s="39">
        <f>IF(B232="","",IF(Q232=0,"Add - no lines on this invoice yet",IF(H232="Written off","Written off",IF(AD232="Yes","OK - paid",IF(H232="Draft","Draft - not sent yet",IF(AND(AA232&lt;&gt;"",AA232&gt;30),"Overdue - "&amp;AA232&amp;" days, call them",IF(AND(AA232&lt;&gt;"",AA232&gt;0),"Overdue - send a reminder",IF(W232&gt;0,"Part paid","Due - waiting for payment"))))))))</f>
        <v>0</v>
      </c>
    </row>
    <row r="233" spans="1:31">
      <c r="A233" s="43">
        <f>IF(B233="","",InvoicePrefix&amp;TEXT(ROW()-4,"0000"))</f>
        <v>0</v>
      </c>
      <c r="C233" s="23">
        <f>IF(B233="","",TEXT(B233,"yyyy-mm"))</f>
        <v>0</v>
      </c>
      <c r="E233" s="23">
        <f>IF(D233="","",IFERROR(INDEX(Clients!$B$5:$B$204,MATCH(D233,Clients!$A$5:$A$204,0)),"Not found"))</f>
        <v>0</v>
      </c>
      <c r="F233" s="23">
        <f>IF(D233="","",IFERROR(INDEX(Clients!$G$5:$G$204,MATCH(D233,Clients!$A$5:$A$204,0)),""))</f>
        <v>0</v>
      </c>
      <c r="Q233" s="31">
        <f>IF(A233="","",COUNTIFS('Invoice Lines'!$B$5:$B$804,A233))</f>
        <v>0</v>
      </c>
      <c r="R233" s="21">
        <f>IF(A233="","",SUMIFS('Invoice Lines'!$N$5:$N$804,'Invoice Lines'!$B$5:$B$804,A233))</f>
        <v>0</v>
      </c>
      <c r="S233" s="21">
        <f>IF(A233="","",ROUND(R233*IF(K233="",0,K233),2))</f>
        <v>0</v>
      </c>
      <c r="T233" s="21">
        <f>IF(A233="","",R233-S233)</f>
        <v>0</v>
      </c>
      <c r="U233" s="21">
        <f>IF(A233="","",ROUND(T233*TaxRate,2))</f>
        <v>0</v>
      </c>
      <c r="V233" s="21">
        <f>IF(A233="","",T233+U233)</f>
        <v>0</v>
      </c>
      <c r="W233" s="21">
        <f>IF(A233="","",SUMIFS(Payments!$G$5:$G$404,Payments!$D$5:$D$404,A233))</f>
        <v>0</v>
      </c>
      <c r="X233" s="21">
        <f>IF(A233="","",ROUND(V233-W233,2))</f>
        <v>0</v>
      </c>
      <c r="Y233" s="31">
        <f>IF(B233="","",IF(J233&lt;&gt;"",J233,IF(IFERROR(INDEX(Clients!$P$5:$P$204,MATCH(D233,Clients!$A$5:$A$204,0)),"")&lt;&gt;"",INDEX(Clients!$P$5:$P$204,MATCH(D233,Clients!$A$5:$A$204,0)),PaymentTerms)))</f>
        <v>0</v>
      </c>
      <c r="Z233" s="18">
        <f>IF(OR(A233="",B233=""),"",B233+Y233)</f>
        <v>0</v>
      </c>
      <c r="AA233" s="31">
        <f>IF(OR(A233="",Z233=""),"",IF(X233&lt;=0.004,"",MAX(0,TodayDate-Z233-OverdueGrace)))</f>
        <v>0</v>
      </c>
      <c r="AB233" s="39">
        <f>IF(B233="","",IF(X233&lt;=0.004,"Paid",IF(AA233="","Not due yet",IF(AA233=0,"Due now",IF(AA233&lt;=30,"1-30 days",IF(AA233&lt;=60,"31-60 days",IF(AA233&lt;=90,"61-90 days","90+ days")))))))</f>
        <v>0</v>
      </c>
      <c r="AC233" s="21">
        <f>IF(OR(A233="",AA233=""),"",IF(AA233&lt;=0,0,ROUND(X233*LateFeePercent,2)))</f>
        <v>0</v>
      </c>
      <c r="AD233" s="50">
        <f>IF(B233="","",IF(X233&lt;=0.004,"Yes","No"))</f>
        <v>0</v>
      </c>
      <c r="AE233" s="39">
        <f>IF(B233="","",IF(Q233=0,"Add - no lines on this invoice yet",IF(H233="Written off","Written off",IF(AD233="Yes","OK - paid",IF(H233="Draft","Draft - not sent yet",IF(AND(AA233&lt;&gt;"",AA233&gt;30),"Overdue - "&amp;AA233&amp;" days, call them",IF(AND(AA233&lt;&gt;"",AA233&gt;0),"Overdue - send a reminder",IF(W233&gt;0,"Part paid","Due - waiting for payment"))))))))</f>
        <v>0</v>
      </c>
    </row>
    <row r="234" spans="1:31">
      <c r="A234" s="43">
        <f>IF(B234="","",InvoicePrefix&amp;TEXT(ROW()-4,"0000"))</f>
        <v>0</v>
      </c>
      <c r="C234" s="23">
        <f>IF(B234="","",TEXT(B234,"yyyy-mm"))</f>
        <v>0</v>
      </c>
      <c r="E234" s="23">
        <f>IF(D234="","",IFERROR(INDEX(Clients!$B$5:$B$204,MATCH(D234,Clients!$A$5:$A$204,0)),"Not found"))</f>
        <v>0</v>
      </c>
      <c r="F234" s="23">
        <f>IF(D234="","",IFERROR(INDEX(Clients!$G$5:$G$204,MATCH(D234,Clients!$A$5:$A$204,0)),""))</f>
        <v>0</v>
      </c>
      <c r="Q234" s="31">
        <f>IF(A234="","",COUNTIFS('Invoice Lines'!$B$5:$B$804,A234))</f>
        <v>0</v>
      </c>
      <c r="R234" s="21">
        <f>IF(A234="","",SUMIFS('Invoice Lines'!$N$5:$N$804,'Invoice Lines'!$B$5:$B$804,A234))</f>
        <v>0</v>
      </c>
      <c r="S234" s="21">
        <f>IF(A234="","",ROUND(R234*IF(K234="",0,K234),2))</f>
        <v>0</v>
      </c>
      <c r="T234" s="21">
        <f>IF(A234="","",R234-S234)</f>
        <v>0</v>
      </c>
      <c r="U234" s="21">
        <f>IF(A234="","",ROUND(T234*TaxRate,2))</f>
        <v>0</v>
      </c>
      <c r="V234" s="21">
        <f>IF(A234="","",T234+U234)</f>
        <v>0</v>
      </c>
      <c r="W234" s="21">
        <f>IF(A234="","",SUMIFS(Payments!$G$5:$G$404,Payments!$D$5:$D$404,A234))</f>
        <v>0</v>
      </c>
      <c r="X234" s="21">
        <f>IF(A234="","",ROUND(V234-W234,2))</f>
        <v>0</v>
      </c>
      <c r="Y234" s="31">
        <f>IF(B234="","",IF(J234&lt;&gt;"",J234,IF(IFERROR(INDEX(Clients!$P$5:$P$204,MATCH(D234,Clients!$A$5:$A$204,0)),"")&lt;&gt;"",INDEX(Clients!$P$5:$P$204,MATCH(D234,Clients!$A$5:$A$204,0)),PaymentTerms)))</f>
        <v>0</v>
      </c>
      <c r="Z234" s="18">
        <f>IF(OR(A234="",B234=""),"",B234+Y234)</f>
        <v>0</v>
      </c>
      <c r="AA234" s="31">
        <f>IF(OR(A234="",Z234=""),"",IF(X234&lt;=0.004,"",MAX(0,TodayDate-Z234-OverdueGrace)))</f>
        <v>0</v>
      </c>
      <c r="AB234" s="39">
        <f>IF(B234="","",IF(X234&lt;=0.004,"Paid",IF(AA234="","Not due yet",IF(AA234=0,"Due now",IF(AA234&lt;=30,"1-30 days",IF(AA234&lt;=60,"31-60 days",IF(AA234&lt;=90,"61-90 days","90+ days")))))))</f>
        <v>0</v>
      </c>
      <c r="AC234" s="21">
        <f>IF(OR(A234="",AA234=""),"",IF(AA234&lt;=0,0,ROUND(X234*LateFeePercent,2)))</f>
        <v>0</v>
      </c>
      <c r="AD234" s="50">
        <f>IF(B234="","",IF(X234&lt;=0.004,"Yes","No"))</f>
        <v>0</v>
      </c>
      <c r="AE234" s="39">
        <f>IF(B234="","",IF(Q234=0,"Add - no lines on this invoice yet",IF(H234="Written off","Written off",IF(AD234="Yes","OK - paid",IF(H234="Draft","Draft - not sent yet",IF(AND(AA234&lt;&gt;"",AA234&gt;30),"Overdue - "&amp;AA234&amp;" days, call them",IF(AND(AA234&lt;&gt;"",AA234&gt;0),"Overdue - send a reminder",IF(W234&gt;0,"Part paid","Due - waiting for payment"))))))))</f>
        <v>0</v>
      </c>
    </row>
    <row r="235" spans="1:31">
      <c r="A235" s="43">
        <f>IF(B235="","",InvoicePrefix&amp;TEXT(ROW()-4,"0000"))</f>
        <v>0</v>
      </c>
      <c r="C235" s="23">
        <f>IF(B235="","",TEXT(B235,"yyyy-mm"))</f>
        <v>0</v>
      </c>
      <c r="E235" s="23">
        <f>IF(D235="","",IFERROR(INDEX(Clients!$B$5:$B$204,MATCH(D235,Clients!$A$5:$A$204,0)),"Not found"))</f>
        <v>0</v>
      </c>
      <c r="F235" s="23">
        <f>IF(D235="","",IFERROR(INDEX(Clients!$G$5:$G$204,MATCH(D235,Clients!$A$5:$A$204,0)),""))</f>
        <v>0</v>
      </c>
      <c r="Q235" s="31">
        <f>IF(A235="","",COUNTIFS('Invoice Lines'!$B$5:$B$804,A235))</f>
        <v>0</v>
      </c>
      <c r="R235" s="21">
        <f>IF(A235="","",SUMIFS('Invoice Lines'!$N$5:$N$804,'Invoice Lines'!$B$5:$B$804,A235))</f>
        <v>0</v>
      </c>
      <c r="S235" s="21">
        <f>IF(A235="","",ROUND(R235*IF(K235="",0,K235),2))</f>
        <v>0</v>
      </c>
      <c r="T235" s="21">
        <f>IF(A235="","",R235-S235)</f>
        <v>0</v>
      </c>
      <c r="U235" s="21">
        <f>IF(A235="","",ROUND(T235*TaxRate,2))</f>
        <v>0</v>
      </c>
      <c r="V235" s="21">
        <f>IF(A235="","",T235+U235)</f>
        <v>0</v>
      </c>
      <c r="W235" s="21">
        <f>IF(A235="","",SUMIFS(Payments!$G$5:$G$404,Payments!$D$5:$D$404,A235))</f>
        <v>0</v>
      </c>
      <c r="X235" s="21">
        <f>IF(A235="","",ROUND(V235-W235,2))</f>
        <v>0</v>
      </c>
      <c r="Y235" s="31">
        <f>IF(B235="","",IF(J235&lt;&gt;"",J235,IF(IFERROR(INDEX(Clients!$P$5:$P$204,MATCH(D235,Clients!$A$5:$A$204,0)),"")&lt;&gt;"",INDEX(Clients!$P$5:$P$204,MATCH(D235,Clients!$A$5:$A$204,0)),PaymentTerms)))</f>
        <v>0</v>
      </c>
      <c r="Z235" s="18">
        <f>IF(OR(A235="",B235=""),"",B235+Y235)</f>
        <v>0</v>
      </c>
      <c r="AA235" s="31">
        <f>IF(OR(A235="",Z235=""),"",IF(X235&lt;=0.004,"",MAX(0,TodayDate-Z235-OverdueGrace)))</f>
        <v>0</v>
      </c>
      <c r="AB235" s="39">
        <f>IF(B235="","",IF(X235&lt;=0.004,"Paid",IF(AA235="","Not due yet",IF(AA235=0,"Due now",IF(AA235&lt;=30,"1-30 days",IF(AA235&lt;=60,"31-60 days",IF(AA235&lt;=90,"61-90 days","90+ days")))))))</f>
        <v>0</v>
      </c>
      <c r="AC235" s="21">
        <f>IF(OR(A235="",AA235=""),"",IF(AA235&lt;=0,0,ROUND(X235*LateFeePercent,2)))</f>
        <v>0</v>
      </c>
      <c r="AD235" s="50">
        <f>IF(B235="","",IF(X235&lt;=0.004,"Yes","No"))</f>
        <v>0</v>
      </c>
      <c r="AE235" s="39">
        <f>IF(B235="","",IF(Q235=0,"Add - no lines on this invoice yet",IF(H235="Written off","Written off",IF(AD235="Yes","OK - paid",IF(H235="Draft","Draft - not sent yet",IF(AND(AA235&lt;&gt;"",AA235&gt;30),"Overdue - "&amp;AA235&amp;" days, call them",IF(AND(AA235&lt;&gt;"",AA235&gt;0),"Overdue - send a reminder",IF(W235&gt;0,"Part paid","Due - waiting for payment"))))))))</f>
        <v>0</v>
      </c>
    </row>
    <row r="236" spans="1:31">
      <c r="A236" s="43">
        <f>IF(B236="","",InvoicePrefix&amp;TEXT(ROW()-4,"0000"))</f>
        <v>0</v>
      </c>
      <c r="C236" s="23">
        <f>IF(B236="","",TEXT(B236,"yyyy-mm"))</f>
        <v>0</v>
      </c>
      <c r="E236" s="23">
        <f>IF(D236="","",IFERROR(INDEX(Clients!$B$5:$B$204,MATCH(D236,Clients!$A$5:$A$204,0)),"Not found"))</f>
        <v>0</v>
      </c>
      <c r="F236" s="23">
        <f>IF(D236="","",IFERROR(INDEX(Clients!$G$5:$G$204,MATCH(D236,Clients!$A$5:$A$204,0)),""))</f>
        <v>0</v>
      </c>
      <c r="Q236" s="31">
        <f>IF(A236="","",COUNTIFS('Invoice Lines'!$B$5:$B$804,A236))</f>
        <v>0</v>
      </c>
      <c r="R236" s="21">
        <f>IF(A236="","",SUMIFS('Invoice Lines'!$N$5:$N$804,'Invoice Lines'!$B$5:$B$804,A236))</f>
        <v>0</v>
      </c>
      <c r="S236" s="21">
        <f>IF(A236="","",ROUND(R236*IF(K236="",0,K236),2))</f>
        <v>0</v>
      </c>
      <c r="T236" s="21">
        <f>IF(A236="","",R236-S236)</f>
        <v>0</v>
      </c>
      <c r="U236" s="21">
        <f>IF(A236="","",ROUND(T236*TaxRate,2))</f>
        <v>0</v>
      </c>
      <c r="V236" s="21">
        <f>IF(A236="","",T236+U236)</f>
        <v>0</v>
      </c>
      <c r="W236" s="21">
        <f>IF(A236="","",SUMIFS(Payments!$G$5:$G$404,Payments!$D$5:$D$404,A236))</f>
        <v>0</v>
      </c>
      <c r="X236" s="21">
        <f>IF(A236="","",ROUND(V236-W236,2))</f>
        <v>0</v>
      </c>
      <c r="Y236" s="31">
        <f>IF(B236="","",IF(J236&lt;&gt;"",J236,IF(IFERROR(INDEX(Clients!$P$5:$P$204,MATCH(D236,Clients!$A$5:$A$204,0)),"")&lt;&gt;"",INDEX(Clients!$P$5:$P$204,MATCH(D236,Clients!$A$5:$A$204,0)),PaymentTerms)))</f>
        <v>0</v>
      </c>
      <c r="Z236" s="18">
        <f>IF(OR(A236="",B236=""),"",B236+Y236)</f>
        <v>0</v>
      </c>
      <c r="AA236" s="31">
        <f>IF(OR(A236="",Z236=""),"",IF(X236&lt;=0.004,"",MAX(0,TodayDate-Z236-OverdueGrace)))</f>
        <v>0</v>
      </c>
      <c r="AB236" s="39">
        <f>IF(B236="","",IF(X236&lt;=0.004,"Paid",IF(AA236="","Not due yet",IF(AA236=0,"Due now",IF(AA236&lt;=30,"1-30 days",IF(AA236&lt;=60,"31-60 days",IF(AA236&lt;=90,"61-90 days","90+ days")))))))</f>
        <v>0</v>
      </c>
      <c r="AC236" s="21">
        <f>IF(OR(A236="",AA236=""),"",IF(AA236&lt;=0,0,ROUND(X236*LateFeePercent,2)))</f>
        <v>0</v>
      </c>
      <c r="AD236" s="50">
        <f>IF(B236="","",IF(X236&lt;=0.004,"Yes","No"))</f>
        <v>0</v>
      </c>
      <c r="AE236" s="39">
        <f>IF(B236="","",IF(Q236=0,"Add - no lines on this invoice yet",IF(H236="Written off","Written off",IF(AD236="Yes","OK - paid",IF(H236="Draft","Draft - not sent yet",IF(AND(AA236&lt;&gt;"",AA236&gt;30),"Overdue - "&amp;AA236&amp;" days, call them",IF(AND(AA236&lt;&gt;"",AA236&gt;0),"Overdue - send a reminder",IF(W236&gt;0,"Part paid","Due - waiting for payment"))))))))</f>
        <v>0</v>
      </c>
    </row>
    <row r="237" spans="1:31">
      <c r="A237" s="43">
        <f>IF(B237="","",InvoicePrefix&amp;TEXT(ROW()-4,"0000"))</f>
        <v>0</v>
      </c>
      <c r="C237" s="23">
        <f>IF(B237="","",TEXT(B237,"yyyy-mm"))</f>
        <v>0</v>
      </c>
      <c r="E237" s="23">
        <f>IF(D237="","",IFERROR(INDEX(Clients!$B$5:$B$204,MATCH(D237,Clients!$A$5:$A$204,0)),"Not found"))</f>
        <v>0</v>
      </c>
      <c r="F237" s="23">
        <f>IF(D237="","",IFERROR(INDEX(Clients!$G$5:$G$204,MATCH(D237,Clients!$A$5:$A$204,0)),""))</f>
        <v>0</v>
      </c>
      <c r="Q237" s="31">
        <f>IF(A237="","",COUNTIFS('Invoice Lines'!$B$5:$B$804,A237))</f>
        <v>0</v>
      </c>
      <c r="R237" s="21">
        <f>IF(A237="","",SUMIFS('Invoice Lines'!$N$5:$N$804,'Invoice Lines'!$B$5:$B$804,A237))</f>
        <v>0</v>
      </c>
      <c r="S237" s="21">
        <f>IF(A237="","",ROUND(R237*IF(K237="",0,K237),2))</f>
        <v>0</v>
      </c>
      <c r="T237" s="21">
        <f>IF(A237="","",R237-S237)</f>
        <v>0</v>
      </c>
      <c r="U237" s="21">
        <f>IF(A237="","",ROUND(T237*TaxRate,2))</f>
        <v>0</v>
      </c>
      <c r="V237" s="21">
        <f>IF(A237="","",T237+U237)</f>
        <v>0</v>
      </c>
      <c r="W237" s="21">
        <f>IF(A237="","",SUMIFS(Payments!$G$5:$G$404,Payments!$D$5:$D$404,A237))</f>
        <v>0</v>
      </c>
      <c r="X237" s="21">
        <f>IF(A237="","",ROUND(V237-W237,2))</f>
        <v>0</v>
      </c>
      <c r="Y237" s="31">
        <f>IF(B237="","",IF(J237&lt;&gt;"",J237,IF(IFERROR(INDEX(Clients!$P$5:$P$204,MATCH(D237,Clients!$A$5:$A$204,0)),"")&lt;&gt;"",INDEX(Clients!$P$5:$P$204,MATCH(D237,Clients!$A$5:$A$204,0)),PaymentTerms)))</f>
        <v>0</v>
      </c>
      <c r="Z237" s="18">
        <f>IF(OR(A237="",B237=""),"",B237+Y237)</f>
        <v>0</v>
      </c>
      <c r="AA237" s="31">
        <f>IF(OR(A237="",Z237=""),"",IF(X237&lt;=0.004,"",MAX(0,TodayDate-Z237-OverdueGrace)))</f>
        <v>0</v>
      </c>
      <c r="AB237" s="39">
        <f>IF(B237="","",IF(X237&lt;=0.004,"Paid",IF(AA237="","Not due yet",IF(AA237=0,"Due now",IF(AA237&lt;=30,"1-30 days",IF(AA237&lt;=60,"31-60 days",IF(AA237&lt;=90,"61-90 days","90+ days")))))))</f>
        <v>0</v>
      </c>
      <c r="AC237" s="21">
        <f>IF(OR(A237="",AA237=""),"",IF(AA237&lt;=0,0,ROUND(X237*LateFeePercent,2)))</f>
        <v>0</v>
      </c>
      <c r="AD237" s="50">
        <f>IF(B237="","",IF(X237&lt;=0.004,"Yes","No"))</f>
        <v>0</v>
      </c>
      <c r="AE237" s="39">
        <f>IF(B237="","",IF(Q237=0,"Add - no lines on this invoice yet",IF(H237="Written off","Written off",IF(AD237="Yes","OK - paid",IF(H237="Draft","Draft - not sent yet",IF(AND(AA237&lt;&gt;"",AA237&gt;30),"Overdue - "&amp;AA237&amp;" days, call them",IF(AND(AA237&lt;&gt;"",AA237&gt;0),"Overdue - send a reminder",IF(W237&gt;0,"Part paid","Due - waiting for payment"))))))))</f>
        <v>0</v>
      </c>
    </row>
    <row r="238" spans="1:31">
      <c r="A238" s="43">
        <f>IF(B238="","",InvoicePrefix&amp;TEXT(ROW()-4,"0000"))</f>
        <v>0</v>
      </c>
      <c r="C238" s="23">
        <f>IF(B238="","",TEXT(B238,"yyyy-mm"))</f>
        <v>0</v>
      </c>
      <c r="E238" s="23">
        <f>IF(D238="","",IFERROR(INDEX(Clients!$B$5:$B$204,MATCH(D238,Clients!$A$5:$A$204,0)),"Not found"))</f>
        <v>0</v>
      </c>
      <c r="F238" s="23">
        <f>IF(D238="","",IFERROR(INDEX(Clients!$G$5:$G$204,MATCH(D238,Clients!$A$5:$A$204,0)),""))</f>
        <v>0</v>
      </c>
      <c r="Q238" s="31">
        <f>IF(A238="","",COUNTIFS('Invoice Lines'!$B$5:$B$804,A238))</f>
        <v>0</v>
      </c>
      <c r="R238" s="21">
        <f>IF(A238="","",SUMIFS('Invoice Lines'!$N$5:$N$804,'Invoice Lines'!$B$5:$B$804,A238))</f>
        <v>0</v>
      </c>
      <c r="S238" s="21">
        <f>IF(A238="","",ROUND(R238*IF(K238="",0,K238),2))</f>
        <v>0</v>
      </c>
      <c r="T238" s="21">
        <f>IF(A238="","",R238-S238)</f>
        <v>0</v>
      </c>
      <c r="U238" s="21">
        <f>IF(A238="","",ROUND(T238*TaxRate,2))</f>
        <v>0</v>
      </c>
      <c r="V238" s="21">
        <f>IF(A238="","",T238+U238)</f>
        <v>0</v>
      </c>
      <c r="W238" s="21">
        <f>IF(A238="","",SUMIFS(Payments!$G$5:$G$404,Payments!$D$5:$D$404,A238))</f>
        <v>0</v>
      </c>
      <c r="X238" s="21">
        <f>IF(A238="","",ROUND(V238-W238,2))</f>
        <v>0</v>
      </c>
      <c r="Y238" s="31">
        <f>IF(B238="","",IF(J238&lt;&gt;"",J238,IF(IFERROR(INDEX(Clients!$P$5:$P$204,MATCH(D238,Clients!$A$5:$A$204,0)),"")&lt;&gt;"",INDEX(Clients!$P$5:$P$204,MATCH(D238,Clients!$A$5:$A$204,0)),PaymentTerms)))</f>
        <v>0</v>
      </c>
      <c r="Z238" s="18">
        <f>IF(OR(A238="",B238=""),"",B238+Y238)</f>
        <v>0</v>
      </c>
      <c r="AA238" s="31">
        <f>IF(OR(A238="",Z238=""),"",IF(X238&lt;=0.004,"",MAX(0,TodayDate-Z238-OverdueGrace)))</f>
        <v>0</v>
      </c>
      <c r="AB238" s="39">
        <f>IF(B238="","",IF(X238&lt;=0.004,"Paid",IF(AA238="","Not due yet",IF(AA238=0,"Due now",IF(AA238&lt;=30,"1-30 days",IF(AA238&lt;=60,"31-60 days",IF(AA238&lt;=90,"61-90 days","90+ days")))))))</f>
        <v>0</v>
      </c>
      <c r="AC238" s="21">
        <f>IF(OR(A238="",AA238=""),"",IF(AA238&lt;=0,0,ROUND(X238*LateFeePercent,2)))</f>
        <v>0</v>
      </c>
      <c r="AD238" s="50">
        <f>IF(B238="","",IF(X238&lt;=0.004,"Yes","No"))</f>
        <v>0</v>
      </c>
      <c r="AE238" s="39">
        <f>IF(B238="","",IF(Q238=0,"Add - no lines on this invoice yet",IF(H238="Written off","Written off",IF(AD238="Yes","OK - paid",IF(H238="Draft","Draft - not sent yet",IF(AND(AA238&lt;&gt;"",AA238&gt;30),"Overdue - "&amp;AA238&amp;" days, call them",IF(AND(AA238&lt;&gt;"",AA238&gt;0),"Overdue - send a reminder",IF(W238&gt;0,"Part paid","Due - waiting for payment"))))))))</f>
        <v>0</v>
      </c>
    </row>
    <row r="239" spans="1:31">
      <c r="A239" s="43">
        <f>IF(B239="","",InvoicePrefix&amp;TEXT(ROW()-4,"0000"))</f>
        <v>0</v>
      </c>
      <c r="C239" s="23">
        <f>IF(B239="","",TEXT(B239,"yyyy-mm"))</f>
        <v>0</v>
      </c>
      <c r="E239" s="23">
        <f>IF(D239="","",IFERROR(INDEX(Clients!$B$5:$B$204,MATCH(D239,Clients!$A$5:$A$204,0)),"Not found"))</f>
        <v>0</v>
      </c>
      <c r="F239" s="23">
        <f>IF(D239="","",IFERROR(INDEX(Clients!$G$5:$G$204,MATCH(D239,Clients!$A$5:$A$204,0)),""))</f>
        <v>0</v>
      </c>
      <c r="Q239" s="31">
        <f>IF(A239="","",COUNTIFS('Invoice Lines'!$B$5:$B$804,A239))</f>
        <v>0</v>
      </c>
      <c r="R239" s="21">
        <f>IF(A239="","",SUMIFS('Invoice Lines'!$N$5:$N$804,'Invoice Lines'!$B$5:$B$804,A239))</f>
        <v>0</v>
      </c>
      <c r="S239" s="21">
        <f>IF(A239="","",ROUND(R239*IF(K239="",0,K239),2))</f>
        <v>0</v>
      </c>
      <c r="T239" s="21">
        <f>IF(A239="","",R239-S239)</f>
        <v>0</v>
      </c>
      <c r="U239" s="21">
        <f>IF(A239="","",ROUND(T239*TaxRate,2))</f>
        <v>0</v>
      </c>
      <c r="V239" s="21">
        <f>IF(A239="","",T239+U239)</f>
        <v>0</v>
      </c>
      <c r="W239" s="21">
        <f>IF(A239="","",SUMIFS(Payments!$G$5:$G$404,Payments!$D$5:$D$404,A239))</f>
        <v>0</v>
      </c>
      <c r="X239" s="21">
        <f>IF(A239="","",ROUND(V239-W239,2))</f>
        <v>0</v>
      </c>
      <c r="Y239" s="31">
        <f>IF(B239="","",IF(J239&lt;&gt;"",J239,IF(IFERROR(INDEX(Clients!$P$5:$P$204,MATCH(D239,Clients!$A$5:$A$204,0)),"")&lt;&gt;"",INDEX(Clients!$P$5:$P$204,MATCH(D239,Clients!$A$5:$A$204,0)),PaymentTerms)))</f>
        <v>0</v>
      </c>
      <c r="Z239" s="18">
        <f>IF(OR(A239="",B239=""),"",B239+Y239)</f>
        <v>0</v>
      </c>
      <c r="AA239" s="31">
        <f>IF(OR(A239="",Z239=""),"",IF(X239&lt;=0.004,"",MAX(0,TodayDate-Z239-OverdueGrace)))</f>
        <v>0</v>
      </c>
      <c r="AB239" s="39">
        <f>IF(B239="","",IF(X239&lt;=0.004,"Paid",IF(AA239="","Not due yet",IF(AA239=0,"Due now",IF(AA239&lt;=30,"1-30 days",IF(AA239&lt;=60,"31-60 days",IF(AA239&lt;=90,"61-90 days","90+ days")))))))</f>
        <v>0</v>
      </c>
      <c r="AC239" s="21">
        <f>IF(OR(A239="",AA239=""),"",IF(AA239&lt;=0,0,ROUND(X239*LateFeePercent,2)))</f>
        <v>0</v>
      </c>
      <c r="AD239" s="50">
        <f>IF(B239="","",IF(X239&lt;=0.004,"Yes","No"))</f>
        <v>0</v>
      </c>
      <c r="AE239" s="39">
        <f>IF(B239="","",IF(Q239=0,"Add - no lines on this invoice yet",IF(H239="Written off","Written off",IF(AD239="Yes","OK - paid",IF(H239="Draft","Draft - not sent yet",IF(AND(AA239&lt;&gt;"",AA239&gt;30),"Overdue - "&amp;AA239&amp;" days, call them",IF(AND(AA239&lt;&gt;"",AA239&gt;0),"Overdue - send a reminder",IF(W239&gt;0,"Part paid","Due - waiting for payment"))))))))</f>
        <v>0</v>
      </c>
    </row>
    <row r="240" spans="1:31">
      <c r="A240" s="43">
        <f>IF(B240="","",InvoicePrefix&amp;TEXT(ROW()-4,"0000"))</f>
        <v>0</v>
      </c>
      <c r="C240" s="23">
        <f>IF(B240="","",TEXT(B240,"yyyy-mm"))</f>
        <v>0</v>
      </c>
      <c r="E240" s="23">
        <f>IF(D240="","",IFERROR(INDEX(Clients!$B$5:$B$204,MATCH(D240,Clients!$A$5:$A$204,0)),"Not found"))</f>
        <v>0</v>
      </c>
      <c r="F240" s="23">
        <f>IF(D240="","",IFERROR(INDEX(Clients!$G$5:$G$204,MATCH(D240,Clients!$A$5:$A$204,0)),""))</f>
        <v>0</v>
      </c>
      <c r="Q240" s="31">
        <f>IF(A240="","",COUNTIFS('Invoice Lines'!$B$5:$B$804,A240))</f>
        <v>0</v>
      </c>
      <c r="R240" s="21">
        <f>IF(A240="","",SUMIFS('Invoice Lines'!$N$5:$N$804,'Invoice Lines'!$B$5:$B$804,A240))</f>
        <v>0</v>
      </c>
      <c r="S240" s="21">
        <f>IF(A240="","",ROUND(R240*IF(K240="",0,K240),2))</f>
        <v>0</v>
      </c>
      <c r="T240" s="21">
        <f>IF(A240="","",R240-S240)</f>
        <v>0</v>
      </c>
      <c r="U240" s="21">
        <f>IF(A240="","",ROUND(T240*TaxRate,2))</f>
        <v>0</v>
      </c>
      <c r="V240" s="21">
        <f>IF(A240="","",T240+U240)</f>
        <v>0</v>
      </c>
      <c r="W240" s="21">
        <f>IF(A240="","",SUMIFS(Payments!$G$5:$G$404,Payments!$D$5:$D$404,A240))</f>
        <v>0</v>
      </c>
      <c r="X240" s="21">
        <f>IF(A240="","",ROUND(V240-W240,2))</f>
        <v>0</v>
      </c>
      <c r="Y240" s="31">
        <f>IF(B240="","",IF(J240&lt;&gt;"",J240,IF(IFERROR(INDEX(Clients!$P$5:$P$204,MATCH(D240,Clients!$A$5:$A$204,0)),"")&lt;&gt;"",INDEX(Clients!$P$5:$P$204,MATCH(D240,Clients!$A$5:$A$204,0)),PaymentTerms)))</f>
        <v>0</v>
      </c>
      <c r="Z240" s="18">
        <f>IF(OR(A240="",B240=""),"",B240+Y240)</f>
        <v>0</v>
      </c>
      <c r="AA240" s="31">
        <f>IF(OR(A240="",Z240=""),"",IF(X240&lt;=0.004,"",MAX(0,TodayDate-Z240-OverdueGrace)))</f>
        <v>0</v>
      </c>
      <c r="AB240" s="39">
        <f>IF(B240="","",IF(X240&lt;=0.004,"Paid",IF(AA240="","Not due yet",IF(AA240=0,"Due now",IF(AA240&lt;=30,"1-30 days",IF(AA240&lt;=60,"31-60 days",IF(AA240&lt;=90,"61-90 days","90+ days")))))))</f>
        <v>0</v>
      </c>
      <c r="AC240" s="21">
        <f>IF(OR(A240="",AA240=""),"",IF(AA240&lt;=0,0,ROUND(X240*LateFeePercent,2)))</f>
        <v>0</v>
      </c>
      <c r="AD240" s="50">
        <f>IF(B240="","",IF(X240&lt;=0.004,"Yes","No"))</f>
        <v>0</v>
      </c>
      <c r="AE240" s="39">
        <f>IF(B240="","",IF(Q240=0,"Add - no lines on this invoice yet",IF(H240="Written off","Written off",IF(AD240="Yes","OK - paid",IF(H240="Draft","Draft - not sent yet",IF(AND(AA240&lt;&gt;"",AA240&gt;30),"Overdue - "&amp;AA240&amp;" days, call them",IF(AND(AA240&lt;&gt;"",AA240&gt;0),"Overdue - send a reminder",IF(W240&gt;0,"Part paid","Due - waiting for payment"))))))))</f>
        <v>0</v>
      </c>
    </row>
    <row r="241" spans="1:31">
      <c r="A241" s="43">
        <f>IF(B241="","",InvoicePrefix&amp;TEXT(ROW()-4,"0000"))</f>
        <v>0</v>
      </c>
      <c r="C241" s="23">
        <f>IF(B241="","",TEXT(B241,"yyyy-mm"))</f>
        <v>0</v>
      </c>
      <c r="E241" s="23">
        <f>IF(D241="","",IFERROR(INDEX(Clients!$B$5:$B$204,MATCH(D241,Clients!$A$5:$A$204,0)),"Not found"))</f>
        <v>0</v>
      </c>
      <c r="F241" s="23">
        <f>IF(D241="","",IFERROR(INDEX(Clients!$G$5:$G$204,MATCH(D241,Clients!$A$5:$A$204,0)),""))</f>
        <v>0</v>
      </c>
      <c r="Q241" s="31">
        <f>IF(A241="","",COUNTIFS('Invoice Lines'!$B$5:$B$804,A241))</f>
        <v>0</v>
      </c>
      <c r="R241" s="21">
        <f>IF(A241="","",SUMIFS('Invoice Lines'!$N$5:$N$804,'Invoice Lines'!$B$5:$B$804,A241))</f>
        <v>0</v>
      </c>
      <c r="S241" s="21">
        <f>IF(A241="","",ROUND(R241*IF(K241="",0,K241),2))</f>
        <v>0</v>
      </c>
      <c r="T241" s="21">
        <f>IF(A241="","",R241-S241)</f>
        <v>0</v>
      </c>
      <c r="U241" s="21">
        <f>IF(A241="","",ROUND(T241*TaxRate,2))</f>
        <v>0</v>
      </c>
      <c r="V241" s="21">
        <f>IF(A241="","",T241+U241)</f>
        <v>0</v>
      </c>
      <c r="W241" s="21">
        <f>IF(A241="","",SUMIFS(Payments!$G$5:$G$404,Payments!$D$5:$D$404,A241))</f>
        <v>0</v>
      </c>
      <c r="X241" s="21">
        <f>IF(A241="","",ROUND(V241-W241,2))</f>
        <v>0</v>
      </c>
      <c r="Y241" s="31">
        <f>IF(B241="","",IF(J241&lt;&gt;"",J241,IF(IFERROR(INDEX(Clients!$P$5:$P$204,MATCH(D241,Clients!$A$5:$A$204,0)),"")&lt;&gt;"",INDEX(Clients!$P$5:$P$204,MATCH(D241,Clients!$A$5:$A$204,0)),PaymentTerms)))</f>
        <v>0</v>
      </c>
      <c r="Z241" s="18">
        <f>IF(OR(A241="",B241=""),"",B241+Y241)</f>
        <v>0</v>
      </c>
      <c r="AA241" s="31">
        <f>IF(OR(A241="",Z241=""),"",IF(X241&lt;=0.004,"",MAX(0,TodayDate-Z241-OverdueGrace)))</f>
        <v>0</v>
      </c>
      <c r="AB241" s="39">
        <f>IF(B241="","",IF(X241&lt;=0.004,"Paid",IF(AA241="","Not due yet",IF(AA241=0,"Due now",IF(AA241&lt;=30,"1-30 days",IF(AA241&lt;=60,"31-60 days",IF(AA241&lt;=90,"61-90 days","90+ days")))))))</f>
        <v>0</v>
      </c>
      <c r="AC241" s="21">
        <f>IF(OR(A241="",AA241=""),"",IF(AA241&lt;=0,0,ROUND(X241*LateFeePercent,2)))</f>
        <v>0</v>
      </c>
      <c r="AD241" s="50">
        <f>IF(B241="","",IF(X241&lt;=0.004,"Yes","No"))</f>
        <v>0</v>
      </c>
      <c r="AE241" s="39">
        <f>IF(B241="","",IF(Q241=0,"Add - no lines on this invoice yet",IF(H241="Written off","Written off",IF(AD241="Yes","OK - paid",IF(H241="Draft","Draft - not sent yet",IF(AND(AA241&lt;&gt;"",AA241&gt;30),"Overdue - "&amp;AA241&amp;" days, call them",IF(AND(AA241&lt;&gt;"",AA241&gt;0),"Overdue - send a reminder",IF(W241&gt;0,"Part paid","Due - waiting for payment"))))))))</f>
        <v>0</v>
      </c>
    </row>
    <row r="242" spans="1:31">
      <c r="A242" s="43">
        <f>IF(B242="","",InvoicePrefix&amp;TEXT(ROW()-4,"0000"))</f>
        <v>0</v>
      </c>
      <c r="C242" s="23">
        <f>IF(B242="","",TEXT(B242,"yyyy-mm"))</f>
        <v>0</v>
      </c>
      <c r="E242" s="23">
        <f>IF(D242="","",IFERROR(INDEX(Clients!$B$5:$B$204,MATCH(D242,Clients!$A$5:$A$204,0)),"Not found"))</f>
        <v>0</v>
      </c>
      <c r="F242" s="23">
        <f>IF(D242="","",IFERROR(INDEX(Clients!$G$5:$G$204,MATCH(D242,Clients!$A$5:$A$204,0)),""))</f>
        <v>0</v>
      </c>
      <c r="Q242" s="31">
        <f>IF(A242="","",COUNTIFS('Invoice Lines'!$B$5:$B$804,A242))</f>
        <v>0</v>
      </c>
      <c r="R242" s="21">
        <f>IF(A242="","",SUMIFS('Invoice Lines'!$N$5:$N$804,'Invoice Lines'!$B$5:$B$804,A242))</f>
        <v>0</v>
      </c>
      <c r="S242" s="21">
        <f>IF(A242="","",ROUND(R242*IF(K242="",0,K242),2))</f>
        <v>0</v>
      </c>
      <c r="T242" s="21">
        <f>IF(A242="","",R242-S242)</f>
        <v>0</v>
      </c>
      <c r="U242" s="21">
        <f>IF(A242="","",ROUND(T242*TaxRate,2))</f>
        <v>0</v>
      </c>
      <c r="V242" s="21">
        <f>IF(A242="","",T242+U242)</f>
        <v>0</v>
      </c>
      <c r="W242" s="21">
        <f>IF(A242="","",SUMIFS(Payments!$G$5:$G$404,Payments!$D$5:$D$404,A242))</f>
        <v>0</v>
      </c>
      <c r="X242" s="21">
        <f>IF(A242="","",ROUND(V242-W242,2))</f>
        <v>0</v>
      </c>
      <c r="Y242" s="31">
        <f>IF(B242="","",IF(J242&lt;&gt;"",J242,IF(IFERROR(INDEX(Clients!$P$5:$P$204,MATCH(D242,Clients!$A$5:$A$204,0)),"")&lt;&gt;"",INDEX(Clients!$P$5:$P$204,MATCH(D242,Clients!$A$5:$A$204,0)),PaymentTerms)))</f>
        <v>0</v>
      </c>
      <c r="Z242" s="18">
        <f>IF(OR(A242="",B242=""),"",B242+Y242)</f>
        <v>0</v>
      </c>
      <c r="AA242" s="31">
        <f>IF(OR(A242="",Z242=""),"",IF(X242&lt;=0.004,"",MAX(0,TodayDate-Z242-OverdueGrace)))</f>
        <v>0</v>
      </c>
      <c r="AB242" s="39">
        <f>IF(B242="","",IF(X242&lt;=0.004,"Paid",IF(AA242="","Not due yet",IF(AA242=0,"Due now",IF(AA242&lt;=30,"1-30 days",IF(AA242&lt;=60,"31-60 days",IF(AA242&lt;=90,"61-90 days","90+ days")))))))</f>
        <v>0</v>
      </c>
      <c r="AC242" s="21">
        <f>IF(OR(A242="",AA242=""),"",IF(AA242&lt;=0,0,ROUND(X242*LateFeePercent,2)))</f>
        <v>0</v>
      </c>
      <c r="AD242" s="50">
        <f>IF(B242="","",IF(X242&lt;=0.004,"Yes","No"))</f>
        <v>0</v>
      </c>
      <c r="AE242" s="39">
        <f>IF(B242="","",IF(Q242=0,"Add - no lines on this invoice yet",IF(H242="Written off","Written off",IF(AD242="Yes","OK - paid",IF(H242="Draft","Draft - not sent yet",IF(AND(AA242&lt;&gt;"",AA242&gt;30),"Overdue - "&amp;AA242&amp;" days, call them",IF(AND(AA242&lt;&gt;"",AA242&gt;0),"Overdue - send a reminder",IF(W242&gt;0,"Part paid","Due - waiting for payment"))))))))</f>
        <v>0</v>
      </c>
    </row>
    <row r="243" spans="1:31">
      <c r="A243" s="43">
        <f>IF(B243="","",InvoicePrefix&amp;TEXT(ROW()-4,"0000"))</f>
        <v>0</v>
      </c>
      <c r="C243" s="23">
        <f>IF(B243="","",TEXT(B243,"yyyy-mm"))</f>
        <v>0</v>
      </c>
      <c r="E243" s="23">
        <f>IF(D243="","",IFERROR(INDEX(Clients!$B$5:$B$204,MATCH(D243,Clients!$A$5:$A$204,0)),"Not found"))</f>
        <v>0</v>
      </c>
      <c r="F243" s="23">
        <f>IF(D243="","",IFERROR(INDEX(Clients!$G$5:$G$204,MATCH(D243,Clients!$A$5:$A$204,0)),""))</f>
        <v>0</v>
      </c>
      <c r="Q243" s="31">
        <f>IF(A243="","",COUNTIFS('Invoice Lines'!$B$5:$B$804,A243))</f>
        <v>0</v>
      </c>
      <c r="R243" s="21">
        <f>IF(A243="","",SUMIFS('Invoice Lines'!$N$5:$N$804,'Invoice Lines'!$B$5:$B$804,A243))</f>
        <v>0</v>
      </c>
      <c r="S243" s="21">
        <f>IF(A243="","",ROUND(R243*IF(K243="",0,K243),2))</f>
        <v>0</v>
      </c>
      <c r="T243" s="21">
        <f>IF(A243="","",R243-S243)</f>
        <v>0</v>
      </c>
      <c r="U243" s="21">
        <f>IF(A243="","",ROUND(T243*TaxRate,2))</f>
        <v>0</v>
      </c>
      <c r="V243" s="21">
        <f>IF(A243="","",T243+U243)</f>
        <v>0</v>
      </c>
      <c r="W243" s="21">
        <f>IF(A243="","",SUMIFS(Payments!$G$5:$G$404,Payments!$D$5:$D$404,A243))</f>
        <v>0</v>
      </c>
      <c r="X243" s="21">
        <f>IF(A243="","",ROUND(V243-W243,2))</f>
        <v>0</v>
      </c>
      <c r="Y243" s="31">
        <f>IF(B243="","",IF(J243&lt;&gt;"",J243,IF(IFERROR(INDEX(Clients!$P$5:$P$204,MATCH(D243,Clients!$A$5:$A$204,0)),"")&lt;&gt;"",INDEX(Clients!$P$5:$P$204,MATCH(D243,Clients!$A$5:$A$204,0)),PaymentTerms)))</f>
        <v>0</v>
      </c>
      <c r="Z243" s="18">
        <f>IF(OR(A243="",B243=""),"",B243+Y243)</f>
        <v>0</v>
      </c>
      <c r="AA243" s="31">
        <f>IF(OR(A243="",Z243=""),"",IF(X243&lt;=0.004,"",MAX(0,TodayDate-Z243-OverdueGrace)))</f>
        <v>0</v>
      </c>
      <c r="AB243" s="39">
        <f>IF(B243="","",IF(X243&lt;=0.004,"Paid",IF(AA243="","Not due yet",IF(AA243=0,"Due now",IF(AA243&lt;=30,"1-30 days",IF(AA243&lt;=60,"31-60 days",IF(AA243&lt;=90,"61-90 days","90+ days")))))))</f>
        <v>0</v>
      </c>
      <c r="AC243" s="21">
        <f>IF(OR(A243="",AA243=""),"",IF(AA243&lt;=0,0,ROUND(X243*LateFeePercent,2)))</f>
        <v>0</v>
      </c>
      <c r="AD243" s="50">
        <f>IF(B243="","",IF(X243&lt;=0.004,"Yes","No"))</f>
        <v>0</v>
      </c>
      <c r="AE243" s="39">
        <f>IF(B243="","",IF(Q243=0,"Add - no lines on this invoice yet",IF(H243="Written off","Written off",IF(AD243="Yes","OK - paid",IF(H243="Draft","Draft - not sent yet",IF(AND(AA243&lt;&gt;"",AA243&gt;30),"Overdue - "&amp;AA243&amp;" days, call them",IF(AND(AA243&lt;&gt;"",AA243&gt;0),"Overdue - send a reminder",IF(W243&gt;0,"Part paid","Due - waiting for payment"))))))))</f>
        <v>0</v>
      </c>
    </row>
    <row r="244" spans="1:31">
      <c r="A244" s="43">
        <f>IF(B244="","",InvoicePrefix&amp;TEXT(ROW()-4,"0000"))</f>
        <v>0</v>
      </c>
      <c r="C244" s="23">
        <f>IF(B244="","",TEXT(B244,"yyyy-mm"))</f>
        <v>0</v>
      </c>
      <c r="E244" s="23">
        <f>IF(D244="","",IFERROR(INDEX(Clients!$B$5:$B$204,MATCH(D244,Clients!$A$5:$A$204,0)),"Not found"))</f>
        <v>0</v>
      </c>
      <c r="F244" s="23">
        <f>IF(D244="","",IFERROR(INDEX(Clients!$G$5:$G$204,MATCH(D244,Clients!$A$5:$A$204,0)),""))</f>
        <v>0</v>
      </c>
      <c r="Q244" s="31">
        <f>IF(A244="","",COUNTIFS('Invoice Lines'!$B$5:$B$804,A244))</f>
        <v>0</v>
      </c>
      <c r="R244" s="21">
        <f>IF(A244="","",SUMIFS('Invoice Lines'!$N$5:$N$804,'Invoice Lines'!$B$5:$B$804,A244))</f>
        <v>0</v>
      </c>
      <c r="S244" s="21">
        <f>IF(A244="","",ROUND(R244*IF(K244="",0,K244),2))</f>
        <v>0</v>
      </c>
      <c r="T244" s="21">
        <f>IF(A244="","",R244-S244)</f>
        <v>0</v>
      </c>
      <c r="U244" s="21">
        <f>IF(A244="","",ROUND(T244*TaxRate,2))</f>
        <v>0</v>
      </c>
      <c r="V244" s="21">
        <f>IF(A244="","",T244+U244)</f>
        <v>0</v>
      </c>
      <c r="W244" s="21">
        <f>IF(A244="","",SUMIFS(Payments!$G$5:$G$404,Payments!$D$5:$D$404,A244))</f>
        <v>0</v>
      </c>
      <c r="X244" s="21">
        <f>IF(A244="","",ROUND(V244-W244,2))</f>
        <v>0</v>
      </c>
      <c r="Y244" s="31">
        <f>IF(B244="","",IF(J244&lt;&gt;"",J244,IF(IFERROR(INDEX(Clients!$P$5:$P$204,MATCH(D244,Clients!$A$5:$A$204,0)),"")&lt;&gt;"",INDEX(Clients!$P$5:$P$204,MATCH(D244,Clients!$A$5:$A$204,0)),PaymentTerms)))</f>
        <v>0</v>
      </c>
      <c r="Z244" s="18">
        <f>IF(OR(A244="",B244=""),"",B244+Y244)</f>
        <v>0</v>
      </c>
      <c r="AA244" s="31">
        <f>IF(OR(A244="",Z244=""),"",IF(X244&lt;=0.004,"",MAX(0,TodayDate-Z244-OverdueGrace)))</f>
        <v>0</v>
      </c>
      <c r="AB244" s="39">
        <f>IF(B244="","",IF(X244&lt;=0.004,"Paid",IF(AA244="","Not due yet",IF(AA244=0,"Due now",IF(AA244&lt;=30,"1-30 days",IF(AA244&lt;=60,"31-60 days",IF(AA244&lt;=90,"61-90 days","90+ days")))))))</f>
        <v>0</v>
      </c>
      <c r="AC244" s="21">
        <f>IF(OR(A244="",AA244=""),"",IF(AA244&lt;=0,0,ROUND(X244*LateFeePercent,2)))</f>
        <v>0</v>
      </c>
      <c r="AD244" s="50">
        <f>IF(B244="","",IF(X244&lt;=0.004,"Yes","No"))</f>
        <v>0</v>
      </c>
      <c r="AE244" s="39">
        <f>IF(B244="","",IF(Q244=0,"Add - no lines on this invoice yet",IF(H244="Written off","Written off",IF(AD244="Yes","OK - paid",IF(H244="Draft","Draft - not sent yet",IF(AND(AA244&lt;&gt;"",AA244&gt;30),"Overdue - "&amp;AA244&amp;" days, call them",IF(AND(AA244&lt;&gt;"",AA244&gt;0),"Overdue - send a reminder",IF(W244&gt;0,"Part paid","Due - waiting for payment"))))))))</f>
        <v>0</v>
      </c>
    </row>
    <row r="245" spans="1:31">
      <c r="A245" s="43">
        <f>IF(B245="","",InvoicePrefix&amp;TEXT(ROW()-4,"0000"))</f>
        <v>0</v>
      </c>
      <c r="C245" s="23">
        <f>IF(B245="","",TEXT(B245,"yyyy-mm"))</f>
        <v>0</v>
      </c>
      <c r="E245" s="23">
        <f>IF(D245="","",IFERROR(INDEX(Clients!$B$5:$B$204,MATCH(D245,Clients!$A$5:$A$204,0)),"Not found"))</f>
        <v>0</v>
      </c>
      <c r="F245" s="23">
        <f>IF(D245="","",IFERROR(INDEX(Clients!$G$5:$G$204,MATCH(D245,Clients!$A$5:$A$204,0)),""))</f>
        <v>0</v>
      </c>
      <c r="Q245" s="31">
        <f>IF(A245="","",COUNTIFS('Invoice Lines'!$B$5:$B$804,A245))</f>
        <v>0</v>
      </c>
      <c r="R245" s="21">
        <f>IF(A245="","",SUMIFS('Invoice Lines'!$N$5:$N$804,'Invoice Lines'!$B$5:$B$804,A245))</f>
        <v>0</v>
      </c>
      <c r="S245" s="21">
        <f>IF(A245="","",ROUND(R245*IF(K245="",0,K245),2))</f>
        <v>0</v>
      </c>
      <c r="T245" s="21">
        <f>IF(A245="","",R245-S245)</f>
        <v>0</v>
      </c>
      <c r="U245" s="21">
        <f>IF(A245="","",ROUND(T245*TaxRate,2))</f>
        <v>0</v>
      </c>
      <c r="V245" s="21">
        <f>IF(A245="","",T245+U245)</f>
        <v>0</v>
      </c>
      <c r="W245" s="21">
        <f>IF(A245="","",SUMIFS(Payments!$G$5:$G$404,Payments!$D$5:$D$404,A245))</f>
        <v>0</v>
      </c>
      <c r="X245" s="21">
        <f>IF(A245="","",ROUND(V245-W245,2))</f>
        <v>0</v>
      </c>
      <c r="Y245" s="31">
        <f>IF(B245="","",IF(J245&lt;&gt;"",J245,IF(IFERROR(INDEX(Clients!$P$5:$P$204,MATCH(D245,Clients!$A$5:$A$204,0)),"")&lt;&gt;"",INDEX(Clients!$P$5:$P$204,MATCH(D245,Clients!$A$5:$A$204,0)),PaymentTerms)))</f>
        <v>0</v>
      </c>
      <c r="Z245" s="18">
        <f>IF(OR(A245="",B245=""),"",B245+Y245)</f>
        <v>0</v>
      </c>
      <c r="AA245" s="31">
        <f>IF(OR(A245="",Z245=""),"",IF(X245&lt;=0.004,"",MAX(0,TodayDate-Z245-OverdueGrace)))</f>
        <v>0</v>
      </c>
      <c r="AB245" s="39">
        <f>IF(B245="","",IF(X245&lt;=0.004,"Paid",IF(AA245="","Not due yet",IF(AA245=0,"Due now",IF(AA245&lt;=30,"1-30 days",IF(AA245&lt;=60,"31-60 days",IF(AA245&lt;=90,"61-90 days","90+ days")))))))</f>
        <v>0</v>
      </c>
      <c r="AC245" s="21">
        <f>IF(OR(A245="",AA245=""),"",IF(AA245&lt;=0,0,ROUND(X245*LateFeePercent,2)))</f>
        <v>0</v>
      </c>
      <c r="AD245" s="50">
        <f>IF(B245="","",IF(X245&lt;=0.004,"Yes","No"))</f>
        <v>0</v>
      </c>
      <c r="AE245" s="39">
        <f>IF(B245="","",IF(Q245=0,"Add - no lines on this invoice yet",IF(H245="Written off","Written off",IF(AD245="Yes","OK - paid",IF(H245="Draft","Draft - not sent yet",IF(AND(AA245&lt;&gt;"",AA245&gt;30),"Overdue - "&amp;AA245&amp;" days, call them",IF(AND(AA245&lt;&gt;"",AA245&gt;0),"Overdue - send a reminder",IF(W245&gt;0,"Part paid","Due - waiting for payment"))))))))</f>
        <v>0</v>
      </c>
    </row>
    <row r="246" spans="1:31">
      <c r="A246" s="43">
        <f>IF(B246="","",InvoicePrefix&amp;TEXT(ROW()-4,"0000"))</f>
        <v>0</v>
      </c>
      <c r="C246" s="23">
        <f>IF(B246="","",TEXT(B246,"yyyy-mm"))</f>
        <v>0</v>
      </c>
      <c r="E246" s="23">
        <f>IF(D246="","",IFERROR(INDEX(Clients!$B$5:$B$204,MATCH(D246,Clients!$A$5:$A$204,0)),"Not found"))</f>
        <v>0</v>
      </c>
      <c r="F246" s="23">
        <f>IF(D246="","",IFERROR(INDEX(Clients!$G$5:$G$204,MATCH(D246,Clients!$A$5:$A$204,0)),""))</f>
        <v>0</v>
      </c>
      <c r="Q246" s="31">
        <f>IF(A246="","",COUNTIFS('Invoice Lines'!$B$5:$B$804,A246))</f>
        <v>0</v>
      </c>
      <c r="R246" s="21">
        <f>IF(A246="","",SUMIFS('Invoice Lines'!$N$5:$N$804,'Invoice Lines'!$B$5:$B$804,A246))</f>
        <v>0</v>
      </c>
      <c r="S246" s="21">
        <f>IF(A246="","",ROUND(R246*IF(K246="",0,K246),2))</f>
        <v>0</v>
      </c>
      <c r="T246" s="21">
        <f>IF(A246="","",R246-S246)</f>
        <v>0</v>
      </c>
      <c r="U246" s="21">
        <f>IF(A246="","",ROUND(T246*TaxRate,2))</f>
        <v>0</v>
      </c>
      <c r="V246" s="21">
        <f>IF(A246="","",T246+U246)</f>
        <v>0</v>
      </c>
      <c r="W246" s="21">
        <f>IF(A246="","",SUMIFS(Payments!$G$5:$G$404,Payments!$D$5:$D$404,A246))</f>
        <v>0</v>
      </c>
      <c r="X246" s="21">
        <f>IF(A246="","",ROUND(V246-W246,2))</f>
        <v>0</v>
      </c>
      <c r="Y246" s="31">
        <f>IF(B246="","",IF(J246&lt;&gt;"",J246,IF(IFERROR(INDEX(Clients!$P$5:$P$204,MATCH(D246,Clients!$A$5:$A$204,0)),"")&lt;&gt;"",INDEX(Clients!$P$5:$P$204,MATCH(D246,Clients!$A$5:$A$204,0)),PaymentTerms)))</f>
        <v>0</v>
      </c>
      <c r="Z246" s="18">
        <f>IF(OR(A246="",B246=""),"",B246+Y246)</f>
        <v>0</v>
      </c>
      <c r="AA246" s="31">
        <f>IF(OR(A246="",Z246=""),"",IF(X246&lt;=0.004,"",MAX(0,TodayDate-Z246-OverdueGrace)))</f>
        <v>0</v>
      </c>
      <c r="AB246" s="39">
        <f>IF(B246="","",IF(X246&lt;=0.004,"Paid",IF(AA246="","Not due yet",IF(AA246=0,"Due now",IF(AA246&lt;=30,"1-30 days",IF(AA246&lt;=60,"31-60 days",IF(AA246&lt;=90,"61-90 days","90+ days")))))))</f>
        <v>0</v>
      </c>
      <c r="AC246" s="21">
        <f>IF(OR(A246="",AA246=""),"",IF(AA246&lt;=0,0,ROUND(X246*LateFeePercent,2)))</f>
        <v>0</v>
      </c>
      <c r="AD246" s="50">
        <f>IF(B246="","",IF(X246&lt;=0.004,"Yes","No"))</f>
        <v>0</v>
      </c>
      <c r="AE246" s="39">
        <f>IF(B246="","",IF(Q246=0,"Add - no lines on this invoice yet",IF(H246="Written off","Written off",IF(AD246="Yes","OK - paid",IF(H246="Draft","Draft - not sent yet",IF(AND(AA246&lt;&gt;"",AA246&gt;30),"Overdue - "&amp;AA246&amp;" days, call them",IF(AND(AA246&lt;&gt;"",AA246&gt;0),"Overdue - send a reminder",IF(W246&gt;0,"Part paid","Due - waiting for payment"))))))))</f>
        <v>0</v>
      </c>
    </row>
    <row r="247" spans="1:31">
      <c r="A247" s="43">
        <f>IF(B247="","",InvoicePrefix&amp;TEXT(ROW()-4,"0000"))</f>
        <v>0</v>
      </c>
      <c r="C247" s="23">
        <f>IF(B247="","",TEXT(B247,"yyyy-mm"))</f>
        <v>0</v>
      </c>
      <c r="E247" s="23">
        <f>IF(D247="","",IFERROR(INDEX(Clients!$B$5:$B$204,MATCH(D247,Clients!$A$5:$A$204,0)),"Not found"))</f>
        <v>0</v>
      </c>
      <c r="F247" s="23">
        <f>IF(D247="","",IFERROR(INDEX(Clients!$G$5:$G$204,MATCH(D247,Clients!$A$5:$A$204,0)),""))</f>
        <v>0</v>
      </c>
      <c r="Q247" s="31">
        <f>IF(A247="","",COUNTIFS('Invoice Lines'!$B$5:$B$804,A247))</f>
        <v>0</v>
      </c>
      <c r="R247" s="21">
        <f>IF(A247="","",SUMIFS('Invoice Lines'!$N$5:$N$804,'Invoice Lines'!$B$5:$B$804,A247))</f>
        <v>0</v>
      </c>
      <c r="S247" s="21">
        <f>IF(A247="","",ROUND(R247*IF(K247="",0,K247),2))</f>
        <v>0</v>
      </c>
      <c r="T247" s="21">
        <f>IF(A247="","",R247-S247)</f>
        <v>0</v>
      </c>
      <c r="U247" s="21">
        <f>IF(A247="","",ROUND(T247*TaxRate,2))</f>
        <v>0</v>
      </c>
      <c r="V247" s="21">
        <f>IF(A247="","",T247+U247)</f>
        <v>0</v>
      </c>
      <c r="W247" s="21">
        <f>IF(A247="","",SUMIFS(Payments!$G$5:$G$404,Payments!$D$5:$D$404,A247))</f>
        <v>0</v>
      </c>
      <c r="X247" s="21">
        <f>IF(A247="","",ROUND(V247-W247,2))</f>
        <v>0</v>
      </c>
      <c r="Y247" s="31">
        <f>IF(B247="","",IF(J247&lt;&gt;"",J247,IF(IFERROR(INDEX(Clients!$P$5:$P$204,MATCH(D247,Clients!$A$5:$A$204,0)),"")&lt;&gt;"",INDEX(Clients!$P$5:$P$204,MATCH(D247,Clients!$A$5:$A$204,0)),PaymentTerms)))</f>
        <v>0</v>
      </c>
      <c r="Z247" s="18">
        <f>IF(OR(A247="",B247=""),"",B247+Y247)</f>
        <v>0</v>
      </c>
      <c r="AA247" s="31">
        <f>IF(OR(A247="",Z247=""),"",IF(X247&lt;=0.004,"",MAX(0,TodayDate-Z247-OverdueGrace)))</f>
        <v>0</v>
      </c>
      <c r="AB247" s="39">
        <f>IF(B247="","",IF(X247&lt;=0.004,"Paid",IF(AA247="","Not due yet",IF(AA247=0,"Due now",IF(AA247&lt;=30,"1-30 days",IF(AA247&lt;=60,"31-60 days",IF(AA247&lt;=90,"61-90 days","90+ days")))))))</f>
        <v>0</v>
      </c>
      <c r="AC247" s="21">
        <f>IF(OR(A247="",AA247=""),"",IF(AA247&lt;=0,0,ROUND(X247*LateFeePercent,2)))</f>
        <v>0</v>
      </c>
      <c r="AD247" s="50">
        <f>IF(B247="","",IF(X247&lt;=0.004,"Yes","No"))</f>
        <v>0</v>
      </c>
      <c r="AE247" s="39">
        <f>IF(B247="","",IF(Q247=0,"Add - no lines on this invoice yet",IF(H247="Written off","Written off",IF(AD247="Yes","OK - paid",IF(H247="Draft","Draft - not sent yet",IF(AND(AA247&lt;&gt;"",AA247&gt;30),"Overdue - "&amp;AA247&amp;" days, call them",IF(AND(AA247&lt;&gt;"",AA247&gt;0),"Overdue - send a reminder",IF(W247&gt;0,"Part paid","Due - waiting for payment"))))))))</f>
        <v>0</v>
      </c>
    </row>
    <row r="248" spans="1:31">
      <c r="A248" s="43">
        <f>IF(B248="","",InvoicePrefix&amp;TEXT(ROW()-4,"0000"))</f>
        <v>0</v>
      </c>
      <c r="C248" s="23">
        <f>IF(B248="","",TEXT(B248,"yyyy-mm"))</f>
        <v>0</v>
      </c>
      <c r="E248" s="23">
        <f>IF(D248="","",IFERROR(INDEX(Clients!$B$5:$B$204,MATCH(D248,Clients!$A$5:$A$204,0)),"Not found"))</f>
        <v>0</v>
      </c>
      <c r="F248" s="23">
        <f>IF(D248="","",IFERROR(INDEX(Clients!$G$5:$G$204,MATCH(D248,Clients!$A$5:$A$204,0)),""))</f>
        <v>0</v>
      </c>
      <c r="Q248" s="31">
        <f>IF(A248="","",COUNTIFS('Invoice Lines'!$B$5:$B$804,A248))</f>
        <v>0</v>
      </c>
      <c r="R248" s="21">
        <f>IF(A248="","",SUMIFS('Invoice Lines'!$N$5:$N$804,'Invoice Lines'!$B$5:$B$804,A248))</f>
        <v>0</v>
      </c>
      <c r="S248" s="21">
        <f>IF(A248="","",ROUND(R248*IF(K248="",0,K248),2))</f>
        <v>0</v>
      </c>
      <c r="T248" s="21">
        <f>IF(A248="","",R248-S248)</f>
        <v>0</v>
      </c>
      <c r="U248" s="21">
        <f>IF(A248="","",ROUND(T248*TaxRate,2))</f>
        <v>0</v>
      </c>
      <c r="V248" s="21">
        <f>IF(A248="","",T248+U248)</f>
        <v>0</v>
      </c>
      <c r="W248" s="21">
        <f>IF(A248="","",SUMIFS(Payments!$G$5:$G$404,Payments!$D$5:$D$404,A248))</f>
        <v>0</v>
      </c>
      <c r="X248" s="21">
        <f>IF(A248="","",ROUND(V248-W248,2))</f>
        <v>0</v>
      </c>
      <c r="Y248" s="31">
        <f>IF(B248="","",IF(J248&lt;&gt;"",J248,IF(IFERROR(INDEX(Clients!$P$5:$P$204,MATCH(D248,Clients!$A$5:$A$204,0)),"")&lt;&gt;"",INDEX(Clients!$P$5:$P$204,MATCH(D248,Clients!$A$5:$A$204,0)),PaymentTerms)))</f>
        <v>0</v>
      </c>
      <c r="Z248" s="18">
        <f>IF(OR(A248="",B248=""),"",B248+Y248)</f>
        <v>0</v>
      </c>
      <c r="AA248" s="31">
        <f>IF(OR(A248="",Z248=""),"",IF(X248&lt;=0.004,"",MAX(0,TodayDate-Z248-OverdueGrace)))</f>
        <v>0</v>
      </c>
      <c r="AB248" s="39">
        <f>IF(B248="","",IF(X248&lt;=0.004,"Paid",IF(AA248="","Not due yet",IF(AA248=0,"Due now",IF(AA248&lt;=30,"1-30 days",IF(AA248&lt;=60,"31-60 days",IF(AA248&lt;=90,"61-90 days","90+ days")))))))</f>
        <v>0</v>
      </c>
      <c r="AC248" s="21">
        <f>IF(OR(A248="",AA248=""),"",IF(AA248&lt;=0,0,ROUND(X248*LateFeePercent,2)))</f>
        <v>0</v>
      </c>
      <c r="AD248" s="50">
        <f>IF(B248="","",IF(X248&lt;=0.004,"Yes","No"))</f>
        <v>0</v>
      </c>
      <c r="AE248" s="39">
        <f>IF(B248="","",IF(Q248=0,"Add - no lines on this invoice yet",IF(H248="Written off","Written off",IF(AD248="Yes","OK - paid",IF(H248="Draft","Draft - not sent yet",IF(AND(AA248&lt;&gt;"",AA248&gt;30),"Overdue - "&amp;AA248&amp;" days, call them",IF(AND(AA248&lt;&gt;"",AA248&gt;0),"Overdue - send a reminder",IF(W248&gt;0,"Part paid","Due - waiting for payment"))))))))</f>
        <v>0</v>
      </c>
    </row>
    <row r="249" spans="1:31">
      <c r="A249" s="43">
        <f>IF(B249="","",InvoicePrefix&amp;TEXT(ROW()-4,"0000"))</f>
        <v>0</v>
      </c>
      <c r="C249" s="23">
        <f>IF(B249="","",TEXT(B249,"yyyy-mm"))</f>
        <v>0</v>
      </c>
      <c r="E249" s="23">
        <f>IF(D249="","",IFERROR(INDEX(Clients!$B$5:$B$204,MATCH(D249,Clients!$A$5:$A$204,0)),"Not found"))</f>
        <v>0</v>
      </c>
      <c r="F249" s="23">
        <f>IF(D249="","",IFERROR(INDEX(Clients!$G$5:$G$204,MATCH(D249,Clients!$A$5:$A$204,0)),""))</f>
        <v>0</v>
      </c>
      <c r="Q249" s="31">
        <f>IF(A249="","",COUNTIFS('Invoice Lines'!$B$5:$B$804,A249))</f>
        <v>0</v>
      </c>
      <c r="R249" s="21">
        <f>IF(A249="","",SUMIFS('Invoice Lines'!$N$5:$N$804,'Invoice Lines'!$B$5:$B$804,A249))</f>
        <v>0</v>
      </c>
      <c r="S249" s="21">
        <f>IF(A249="","",ROUND(R249*IF(K249="",0,K249),2))</f>
        <v>0</v>
      </c>
      <c r="T249" s="21">
        <f>IF(A249="","",R249-S249)</f>
        <v>0</v>
      </c>
      <c r="U249" s="21">
        <f>IF(A249="","",ROUND(T249*TaxRate,2))</f>
        <v>0</v>
      </c>
      <c r="V249" s="21">
        <f>IF(A249="","",T249+U249)</f>
        <v>0</v>
      </c>
      <c r="W249" s="21">
        <f>IF(A249="","",SUMIFS(Payments!$G$5:$G$404,Payments!$D$5:$D$404,A249))</f>
        <v>0</v>
      </c>
      <c r="X249" s="21">
        <f>IF(A249="","",ROUND(V249-W249,2))</f>
        <v>0</v>
      </c>
      <c r="Y249" s="31">
        <f>IF(B249="","",IF(J249&lt;&gt;"",J249,IF(IFERROR(INDEX(Clients!$P$5:$P$204,MATCH(D249,Clients!$A$5:$A$204,0)),"")&lt;&gt;"",INDEX(Clients!$P$5:$P$204,MATCH(D249,Clients!$A$5:$A$204,0)),PaymentTerms)))</f>
        <v>0</v>
      </c>
      <c r="Z249" s="18">
        <f>IF(OR(A249="",B249=""),"",B249+Y249)</f>
        <v>0</v>
      </c>
      <c r="AA249" s="31">
        <f>IF(OR(A249="",Z249=""),"",IF(X249&lt;=0.004,"",MAX(0,TodayDate-Z249-OverdueGrace)))</f>
        <v>0</v>
      </c>
      <c r="AB249" s="39">
        <f>IF(B249="","",IF(X249&lt;=0.004,"Paid",IF(AA249="","Not due yet",IF(AA249=0,"Due now",IF(AA249&lt;=30,"1-30 days",IF(AA249&lt;=60,"31-60 days",IF(AA249&lt;=90,"61-90 days","90+ days")))))))</f>
        <v>0</v>
      </c>
      <c r="AC249" s="21">
        <f>IF(OR(A249="",AA249=""),"",IF(AA249&lt;=0,0,ROUND(X249*LateFeePercent,2)))</f>
        <v>0</v>
      </c>
      <c r="AD249" s="50">
        <f>IF(B249="","",IF(X249&lt;=0.004,"Yes","No"))</f>
        <v>0</v>
      </c>
      <c r="AE249" s="39">
        <f>IF(B249="","",IF(Q249=0,"Add - no lines on this invoice yet",IF(H249="Written off","Written off",IF(AD249="Yes","OK - paid",IF(H249="Draft","Draft - not sent yet",IF(AND(AA249&lt;&gt;"",AA249&gt;30),"Overdue - "&amp;AA249&amp;" days, call them",IF(AND(AA249&lt;&gt;"",AA249&gt;0),"Overdue - send a reminder",IF(W249&gt;0,"Part paid","Due - waiting for payment"))))))))</f>
        <v>0</v>
      </c>
    </row>
    <row r="250" spans="1:31">
      <c r="A250" s="43">
        <f>IF(B250="","",InvoicePrefix&amp;TEXT(ROW()-4,"0000"))</f>
        <v>0</v>
      </c>
      <c r="C250" s="23">
        <f>IF(B250="","",TEXT(B250,"yyyy-mm"))</f>
        <v>0</v>
      </c>
      <c r="E250" s="23">
        <f>IF(D250="","",IFERROR(INDEX(Clients!$B$5:$B$204,MATCH(D250,Clients!$A$5:$A$204,0)),"Not found"))</f>
        <v>0</v>
      </c>
      <c r="F250" s="23">
        <f>IF(D250="","",IFERROR(INDEX(Clients!$G$5:$G$204,MATCH(D250,Clients!$A$5:$A$204,0)),""))</f>
        <v>0</v>
      </c>
      <c r="Q250" s="31">
        <f>IF(A250="","",COUNTIFS('Invoice Lines'!$B$5:$B$804,A250))</f>
        <v>0</v>
      </c>
      <c r="R250" s="21">
        <f>IF(A250="","",SUMIFS('Invoice Lines'!$N$5:$N$804,'Invoice Lines'!$B$5:$B$804,A250))</f>
        <v>0</v>
      </c>
      <c r="S250" s="21">
        <f>IF(A250="","",ROUND(R250*IF(K250="",0,K250),2))</f>
        <v>0</v>
      </c>
      <c r="T250" s="21">
        <f>IF(A250="","",R250-S250)</f>
        <v>0</v>
      </c>
      <c r="U250" s="21">
        <f>IF(A250="","",ROUND(T250*TaxRate,2))</f>
        <v>0</v>
      </c>
      <c r="V250" s="21">
        <f>IF(A250="","",T250+U250)</f>
        <v>0</v>
      </c>
      <c r="W250" s="21">
        <f>IF(A250="","",SUMIFS(Payments!$G$5:$G$404,Payments!$D$5:$D$404,A250))</f>
        <v>0</v>
      </c>
      <c r="X250" s="21">
        <f>IF(A250="","",ROUND(V250-W250,2))</f>
        <v>0</v>
      </c>
      <c r="Y250" s="31">
        <f>IF(B250="","",IF(J250&lt;&gt;"",J250,IF(IFERROR(INDEX(Clients!$P$5:$P$204,MATCH(D250,Clients!$A$5:$A$204,0)),"")&lt;&gt;"",INDEX(Clients!$P$5:$P$204,MATCH(D250,Clients!$A$5:$A$204,0)),PaymentTerms)))</f>
        <v>0</v>
      </c>
      <c r="Z250" s="18">
        <f>IF(OR(A250="",B250=""),"",B250+Y250)</f>
        <v>0</v>
      </c>
      <c r="AA250" s="31">
        <f>IF(OR(A250="",Z250=""),"",IF(X250&lt;=0.004,"",MAX(0,TodayDate-Z250-OverdueGrace)))</f>
        <v>0</v>
      </c>
      <c r="AB250" s="39">
        <f>IF(B250="","",IF(X250&lt;=0.004,"Paid",IF(AA250="","Not due yet",IF(AA250=0,"Due now",IF(AA250&lt;=30,"1-30 days",IF(AA250&lt;=60,"31-60 days",IF(AA250&lt;=90,"61-90 days","90+ days")))))))</f>
        <v>0</v>
      </c>
      <c r="AC250" s="21">
        <f>IF(OR(A250="",AA250=""),"",IF(AA250&lt;=0,0,ROUND(X250*LateFeePercent,2)))</f>
        <v>0</v>
      </c>
      <c r="AD250" s="50">
        <f>IF(B250="","",IF(X250&lt;=0.004,"Yes","No"))</f>
        <v>0</v>
      </c>
      <c r="AE250" s="39">
        <f>IF(B250="","",IF(Q250=0,"Add - no lines on this invoice yet",IF(H250="Written off","Written off",IF(AD250="Yes","OK - paid",IF(H250="Draft","Draft - not sent yet",IF(AND(AA250&lt;&gt;"",AA250&gt;30),"Overdue - "&amp;AA250&amp;" days, call them",IF(AND(AA250&lt;&gt;"",AA250&gt;0),"Overdue - send a reminder",IF(W250&gt;0,"Part paid","Due - waiting for payment"))))))))</f>
        <v>0</v>
      </c>
    </row>
    <row r="251" spans="1:31">
      <c r="A251" s="43">
        <f>IF(B251="","",InvoicePrefix&amp;TEXT(ROW()-4,"0000"))</f>
        <v>0</v>
      </c>
      <c r="C251" s="23">
        <f>IF(B251="","",TEXT(B251,"yyyy-mm"))</f>
        <v>0</v>
      </c>
      <c r="E251" s="23">
        <f>IF(D251="","",IFERROR(INDEX(Clients!$B$5:$B$204,MATCH(D251,Clients!$A$5:$A$204,0)),"Not found"))</f>
        <v>0</v>
      </c>
      <c r="F251" s="23">
        <f>IF(D251="","",IFERROR(INDEX(Clients!$G$5:$G$204,MATCH(D251,Clients!$A$5:$A$204,0)),""))</f>
        <v>0</v>
      </c>
      <c r="Q251" s="31">
        <f>IF(A251="","",COUNTIFS('Invoice Lines'!$B$5:$B$804,A251))</f>
        <v>0</v>
      </c>
      <c r="R251" s="21">
        <f>IF(A251="","",SUMIFS('Invoice Lines'!$N$5:$N$804,'Invoice Lines'!$B$5:$B$804,A251))</f>
        <v>0</v>
      </c>
      <c r="S251" s="21">
        <f>IF(A251="","",ROUND(R251*IF(K251="",0,K251),2))</f>
        <v>0</v>
      </c>
      <c r="T251" s="21">
        <f>IF(A251="","",R251-S251)</f>
        <v>0</v>
      </c>
      <c r="U251" s="21">
        <f>IF(A251="","",ROUND(T251*TaxRate,2))</f>
        <v>0</v>
      </c>
      <c r="V251" s="21">
        <f>IF(A251="","",T251+U251)</f>
        <v>0</v>
      </c>
      <c r="W251" s="21">
        <f>IF(A251="","",SUMIFS(Payments!$G$5:$G$404,Payments!$D$5:$D$404,A251))</f>
        <v>0</v>
      </c>
      <c r="X251" s="21">
        <f>IF(A251="","",ROUND(V251-W251,2))</f>
        <v>0</v>
      </c>
      <c r="Y251" s="31">
        <f>IF(B251="","",IF(J251&lt;&gt;"",J251,IF(IFERROR(INDEX(Clients!$P$5:$P$204,MATCH(D251,Clients!$A$5:$A$204,0)),"")&lt;&gt;"",INDEX(Clients!$P$5:$P$204,MATCH(D251,Clients!$A$5:$A$204,0)),PaymentTerms)))</f>
        <v>0</v>
      </c>
      <c r="Z251" s="18">
        <f>IF(OR(A251="",B251=""),"",B251+Y251)</f>
        <v>0</v>
      </c>
      <c r="AA251" s="31">
        <f>IF(OR(A251="",Z251=""),"",IF(X251&lt;=0.004,"",MAX(0,TodayDate-Z251-OverdueGrace)))</f>
        <v>0</v>
      </c>
      <c r="AB251" s="39">
        <f>IF(B251="","",IF(X251&lt;=0.004,"Paid",IF(AA251="","Not due yet",IF(AA251=0,"Due now",IF(AA251&lt;=30,"1-30 days",IF(AA251&lt;=60,"31-60 days",IF(AA251&lt;=90,"61-90 days","90+ days")))))))</f>
        <v>0</v>
      </c>
      <c r="AC251" s="21">
        <f>IF(OR(A251="",AA251=""),"",IF(AA251&lt;=0,0,ROUND(X251*LateFeePercent,2)))</f>
        <v>0</v>
      </c>
      <c r="AD251" s="50">
        <f>IF(B251="","",IF(X251&lt;=0.004,"Yes","No"))</f>
        <v>0</v>
      </c>
      <c r="AE251" s="39">
        <f>IF(B251="","",IF(Q251=0,"Add - no lines on this invoice yet",IF(H251="Written off","Written off",IF(AD251="Yes","OK - paid",IF(H251="Draft","Draft - not sent yet",IF(AND(AA251&lt;&gt;"",AA251&gt;30),"Overdue - "&amp;AA251&amp;" days, call them",IF(AND(AA251&lt;&gt;"",AA251&gt;0),"Overdue - send a reminder",IF(W251&gt;0,"Part paid","Due - waiting for payment"))))))))</f>
        <v>0</v>
      </c>
    </row>
    <row r="252" spans="1:31">
      <c r="A252" s="43">
        <f>IF(B252="","",InvoicePrefix&amp;TEXT(ROW()-4,"0000"))</f>
        <v>0</v>
      </c>
      <c r="C252" s="23">
        <f>IF(B252="","",TEXT(B252,"yyyy-mm"))</f>
        <v>0</v>
      </c>
      <c r="E252" s="23">
        <f>IF(D252="","",IFERROR(INDEX(Clients!$B$5:$B$204,MATCH(D252,Clients!$A$5:$A$204,0)),"Not found"))</f>
        <v>0</v>
      </c>
      <c r="F252" s="23">
        <f>IF(D252="","",IFERROR(INDEX(Clients!$G$5:$G$204,MATCH(D252,Clients!$A$5:$A$204,0)),""))</f>
        <v>0</v>
      </c>
      <c r="Q252" s="31">
        <f>IF(A252="","",COUNTIFS('Invoice Lines'!$B$5:$B$804,A252))</f>
        <v>0</v>
      </c>
      <c r="R252" s="21">
        <f>IF(A252="","",SUMIFS('Invoice Lines'!$N$5:$N$804,'Invoice Lines'!$B$5:$B$804,A252))</f>
        <v>0</v>
      </c>
      <c r="S252" s="21">
        <f>IF(A252="","",ROUND(R252*IF(K252="",0,K252),2))</f>
        <v>0</v>
      </c>
      <c r="T252" s="21">
        <f>IF(A252="","",R252-S252)</f>
        <v>0</v>
      </c>
      <c r="U252" s="21">
        <f>IF(A252="","",ROUND(T252*TaxRate,2))</f>
        <v>0</v>
      </c>
      <c r="V252" s="21">
        <f>IF(A252="","",T252+U252)</f>
        <v>0</v>
      </c>
      <c r="W252" s="21">
        <f>IF(A252="","",SUMIFS(Payments!$G$5:$G$404,Payments!$D$5:$D$404,A252))</f>
        <v>0</v>
      </c>
      <c r="X252" s="21">
        <f>IF(A252="","",ROUND(V252-W252,2))</f>
        <v>0</v>
      </c>
      <c r="Y252" s="31">
        <f>IF(B252="","",IF(J252&lt;&gt;"",J252,IF(IFERROR(INDEX(Clients!$P$5:$P$204,MATCH(D252,Clients!$A$5:$A$204,0)),"")&lt;&gt;"",INDEX(Clients!$P$5:$P$204,MATCH(D252,Clients!$A$5:$A$204,0)),PaymentTerms)))</f>
        <v>0</v>
      </c>
      <c r="Z252" s="18">
        <f>IF(OR(A252="",B252=""),"",B252+Y252)</f>
        <v>0</v>
      </c>
      <c r="AA252" s="31">
        <f>IF(OR(A252="",Z252=""),"",IF(X252&lt;=0.004,"",MAX(0,TodayDate-Z252-OverdueGrace)))</f>
        <v>0</v>
      </c>
      <c r="AB252" s="39">
        <f>IF(B252="","",IF(X252&lt;=0.004,"Paid",IF(AA252="","Not due yet",IF(AA252=0,"Due now",IF(AA252&lt;=30,"1-30 days",IF(AA252&lt;=60,"31-60 days",IF(AA252&lt;=90,"61-90 days","90+ days")))))))</f>
        <v>0</v>
      </c>
      <c r="AC252" s="21">
        <f>IF(OR(A252="",AA252=""),"",IF(AA252&lt;=0,0,ROUND(X252*LateFeePercent,2)))</f>
        <v>0</v>
      </c>
      <c r="AD252" s="50">
        <f>IF(B252="","",IF(X252&lt;=0.004,"Yes","No"))</f>
        <v>0</v>
      </c>
      <c r="AE252" s="39">
        <f>IF(B252="","",IF(Q252=0,"Add - no lines on this invoice yet",IF(H252="Written off","Written off",IF(AD252="Yes","OK - paid",IF(H252="Draft","Draft - not sent yet",IF(AND(AA252&lt;&gt;"",AA252&gt;30),"Overdue - "&amp;AA252&amp;" days, call them",IF(AND(AA252&lt;&gt;"",AA252&gt;0),"Overdue - send a reminder",IF(W252&gt;0,"Part paid","Due - waiting for payment"))))))))</f>
        <v>0</v>
      </c>
    </row>
    <row r="253" spans="1:31">
      <c r="A253" s="43">
        <f>IF(B253="","",InvoicePrefix&amp;TEXT(ROW()-4,"0000"))</f>
        <v>0</v>
      </c>
      <c r="C253" s="23">
        <f>IF(B253="","",TEXT(B253,"yyyy-mm"))</f>
        <v>0</v>
      </c>
      <c r="E253" s="23">
        <f>IF(D253="","",IFERROR(INDEX(Clients!$B$5:$B$204,MATCH(D253,Clients!$A$5:$A$204,0)),"Not found"))</f>
        <v>0</v>
      </c>
      <c r="F253" s="23">
        <f>IF(D253="","",IFERROR(INDEX(Clients!$G$5:$G$204,MATCH(D253,Clients!$A$5:$A$204,0)),""))</f>
        <v>0</v>
      </c>
      <c r="Q253" s="31">
        <f>IF(A253="","",COUNTIFS('Invoice Lines'!$B$5:$B$804,A253))</f>
        <v>0</v>
      </c>
      <c r="R253" s="21">
        <f>IF(A253="","",SUMIFS('Invoice Lines'!$N$5:$N$804,'Invoice Lines'!$B$5:$B$804,A253))</f>
        <v>0</v>
      </c>
      <c r="S253" s="21">
        <f>IF(A253="","",ROUND(R253*IF(K253="",0,K253),2))</f>
        <v>0</v>
      </c>
      <c r="T253" s="21">
        <f>IF(A253="","",R253-S253)</f>
        <v>0</v>
      </c>
      <c r="U253" s="21">
        <f>IF(A253="","",ROUND(T253*TaxRate,2))</f>
        <v>0</v>
      </c>
      <c r="V253" s="21">
        <f>IF(A253="","",T253+U253)</f>
        <v>0</v>
      </c>
      <c r="W253" s="21">
        <f>IF(A253="","",SUMIFS(Payments!$G$5:$G$404,Payments!$D$5:$D$404,A253))</f>
        <v>0</v>
      </c>
      <c r="X253" s="21">
        <f>IF(A253="","",ROUND(V253-W253,2))</f>
        <v>0</v>
      </c>
      <c r="Y253" s="31">
        <f>IF(B253="","",IF(J253&lt;&gt;"",J253,IF(IFERROR(INDEX(Clients!$P$5:$P$204,MATCH(D253,Clients!$A$5:$A$204,0)),"")&lt;&gt;"",INDEX(Clients!$P$5:$P$204,MATCH(D253,Clients!$A$5:$A$204,0)),PaymentTerms)))</f>
        <v>0</v>
      </c>
      <c r="Z253" s="18">
        <f>IF(OR(A253="",B253=""),"",B253+Y253)</f>
        <v>0</v>
      </c>
      <c r="AA253" s="31">
        <f>IF(OR(A253="",Z253=""),"",IF(X253&lt;=0.004,"",MAX(0,TodayDate-Z253-OverdueGrace)))</f>
        <v>0</v>
      </c>
      <c r="AB253" s="39">
        <f>IF(B253="","",IF(X253&lt;=0.004,"Paid",IF(AA253="","Not due yet",IF(AA253=0,"Due now",IF(AA253&lt;=30,"1-30 days",IF(AA253&lt;=60,"31-60 days",IF(AA253&lt;=90,"61-90 days","90+ days")))))))</f>
        <v>0</v>
      </c>
      <c r="AC253" s="21">
        <f>IF(OR(A253="",AA253=""),"",IF(AA253&lt;=0,0,ROUND(X253*LateFeePercent,2)))</f>
        <v>0</v>
      </c>
      <c r="AD253" s="50">
        <f>IF(B253="","",IF(X253&lt;=0.004,"Yes","No"))</f>
        <v>0</v>
      </c>
      <c r="AE253" s="39">
        <f>IF(B253="","",IF(Q253=0,"Add - no lines on this invoice yet",IF(H253="Written off","Written off",IF(AD253="Yes","OK - paid",IF(H253="Draft","Draft - not sent yet",IF(AND(AA253&lt;&gt;"",AA253&gt;30),"Overdue - "&amp;AA253&amp;" days, call them",IF(AND(AA253&lt;&gt;"",AA253&gt;0),"Overdue - send a reminder",IF(W253&gt;0,"Part paid","Due - waiting for payment"))))))))</f>
        <v>0</v>
      </c>
    </row>
    <row r="254" spans="1:31">
      <c r="A254" s="43">
        <f>IF(B254="","",InvoicePrefix&amp;TEXT(ROW()-4,"0000"))</f>
        <v>0</v>
      </c>
      <c r="C254" s="23">
        <f>IF(B254="","",TEXT(B254,"yyyy-mm"))</f>
        <v>0</v>
      </c>
      <c r="E254" s="23">
        <f>IF(D254="","",IFERROR(INDEX(Clients!$B$5:$B$204,MATCH(D254,Clients!$A$5:$A$204,0)),"Not found"))</f>
        <v>0</v>
      </c>
      <c r="F254" s="23">
        <f>IF(D254="","",IFERROR(INDEX(Clients!$G$5:$G$204,MATCH(D254,Clients!$A$5:$A$204,0)),""))</f>
        <v>0</v>
      </c>
      <c r="Q254" s="31">
        <f>IF(A254="","",COUNTIFS('Invoice Lines'!$B$5:$B$804,A254))</f>
        <v>0</v>
      </c>
      <c r="R254" s="21">
        <f>IF(A254="","",SUMIFS('Invoice Lines'!$N$5:$N$804,'Invoice Lines'!$B$5:$B$804,A254))</f>
        <v>0</v>
      </c>
      <c r="S254" s="21">
        <f>IF(A254="","",ROUND(R254*IF(K254="",0,K254),2))</f>
        <v>0</v>
      </c>
      <c r="T254" s="21">
        <f>IF(A254="","",R254-S254)</f>
        <v>0</v>
      </c>
      <c r="U254" s="21">
        <f>IF(A254="","",ROUND(T254*TaxRate,2))</f>
        <v>0</v>
      </c>
      <c r="V254" s="21">
        <f>IF(A254="","",T254+U254)</f>
        <v>0</v>
      </c>
      <c r="W254" s="21">
        <f>IF(A254="","",SUMIFS(Payments!$G$5:$G$404,Payments!$D$5:$D$404,A254))</f>
        <v>0</v>
      </c>
      <c r="X254" s="21">
        <f>IF(A254="","",ROUND(V254-W254,2))</f>
        <v>0</v>
      </c>
      <c r="Y254" s="31">
        <f>IF(B254="","",IF(J254&lt;&gt;"",J254,IF(IFERROR(INDEX(Clients!$P$5:$P$204,MATCH(D254,Clients!$A$5:$A$204,0)),"")&lt;&gt;"",INDEX(Clients!$P$5:$P$204,MATCH(D254,Clients!$A$5:$A$204,0)),PaymentTerms)))</f>
        <v>0</v>
      </c>
      <c r="Z254" s="18">
        <f>IF(OR(A254="",B254=""),"",B254+Y254)</f>
        <v>0</v>
      </c>
      <c r="AA254" s="31">
        <f>IF(OR(A254="",Z254=""),"",IF(X254&lt;=0.004,"",MAX(0,TodayDate-Z254-OverdueGrace)))</f>
        <v>0</v>
      </c>
      <c r="AB254" s="39">
        <f>IF(B254="","",IF(X254&lt;=0.004,"Paid",IF(AA254="","Not due yet",IF(AA254=0,"Due now",IF(AA254&lt;=30,"1-30 days",IF(AA254&lt;=60,"31-60 days",IF(AA254&lt;=90,"61-90 days","90+ days")))))))</f>
        <v>0</v>
      </c>
      <c r="AC254" s="21">
        <f>IF(OR(A254="",AA254=""),"",IF(AA254&lt;=0,0,ROUND(X254*LateFeePercent,2)))</f>
        <v>0</v>
      </c>
      <c r="AD254" s="50">
        <f>IF(B254="","",IF(X254&lt;=0.004,"Yes","No"))</f>
        <v>0</v>
      </c>
      <c r="AE254" s="39">
        <f>IF(B254="","",IF(Q254=0,"Add - no lines on this invoice yet",IF(H254="Written off","Written off",IF(AD254="Yes","OK - paid",IF(H254="Draft","Draft - not sent yet",IF(AND(AA254&lt;&gt;"",AA254&gt;30),"Overdue - "&amp;AA254&amp;" days, call them",IF(AND(AA254&lt;&gt;"",AA254&gt;0),"Overdue - send a reminder",IF(W254&gt;0,"Part paid","Due - waiting for payment"))))))))</f>
        <v>0</v>
      </c>
    </row>
    <row r="255" spans="1:31">
      <c r="A255" s="43">
        <f>IF(B255="","",InvoicePrefix&amp;TEXT(ROW()-4,"0000"))</f>
        <v>0</v>
      </c>
      <c r="C255" s="23">
        <f>IF(B255="","",TEXT(B255,"yyyy-mm"))</f>
        <v>0</v>
      </c>
      <c r="E255" s="23">
        <f>IF(D255="","",IFERROR(INDEX(Clients!$B$5:$B$204,MATCH(D255,Clients!$A$5:$A$204,0)),"Not found"))</f>
        <v>0</v>
      </c>
      <c r="F255" s="23">
        <f>IF(D255="","",IFERROR(INDEX(Clients!$G$5:$G$204,MATCH(D255,Clients!$A$5:$A$204,0)),""))</f>
        <v>0</v>
      </c>
      <c r="Q255" s="31">
        <f>IF(A255="","",COUNTIFS('Invoice Lines'!$B$5:$B$804,A255))</f>
        <v>0</v>
      </c>
      <c r="R255" s="21">
        <f>IF(A255="","",SUMIFS('Invoice Lines'!$N$5:$N$804,'Invoice Lines'!$B$5:$B$804,A255))</f>
        <v>0</v>
      </c>
      <c r="S255" s="21">
        <f>IF(A255="","",ROUND(R255*IF(K255="",0,K255),2))</f>
        <v>0</v>
      </c>
      <c r="T255" s="21">
        <f>IF(A255="","",R255-S255)</f>
        <v>0</v>
      </c>
      <c r="U255" s="21">
        <f>IF(A255="","",ROUND(T255*TaxRate,2))</f>
        <v>0</v>
      </c>
      <c r="V255" s="21">
        <f>IF(A255="","",T255+U255)</f>
        <v>0</v>
      </c>
      <c r="W255" s="21">
        <f>IF(A255="","",SUMIFS(Payments!$G$5:$G$404,Payments!$D$5:$D$404,A255))</f>
        <v>0</v>
      </c>
      <c r="X255" s="21">
        <f>IF(A255="","",ROUND(V255-W255,2))</f>
        <v>0</v>
      </c>
      <c r="Y255" s="31">
        <f>IF(B255="","",IF(J255&lt;&gt;"",J255,IF(IFERROR(INDEX(Clients!$P$5:$P$204,MATCH(D255,Clients!$A$5:$A$204,0)),"")&lt;&gt;"",INDEX(Clients!$P$5:$P$204,MATCH(D255,Clients!$A$5:$A$204,0)),PaymentTerms)))</f>
        <v>0</v>
      </c>
      <c r="Z255" s="18">
        <f>IF(OR(A255="",B255=""),"",B255+Y255)</f>
        <v>0</v>
      </c>
      <c r="AA255" s="31">
        <f>IF(OR(A255="",Z255=""),"",IF(X255&lt;=0.004,"",MAX(0,TodayDate-Z255-OverdueGrace)))</f>
        <v>0</v>
      </c>
      <c r="AB255" s="39">
        <f>IF(B255="","",IF(X255&lt;=0.004,"Paid",IF(AA255="","Not due yet",IF(AA255=0,"Due now",IF(AA255&lt;=30,"1-30 days",IF(AA255&lt;=60,"31-60 days",IF(AA255&lt;=90,"61-90 days","90+ days")))))))</f>
        <v>0</v>
      </c>
      <c r="AC255" s="21">
        <f>IF(OR(A255="",AA255=""),"",IF(AA255&lt;=0,0,ROUND(X255*LateFeePercent,2)))</f>
        <v>0</v>
      </c>
      <c r="AD255" s="50">
        <f>IF(B255="","",IF(X255&lt;=0.004,"Yes","No"))</f>
        <v>0</v>
      </c>
      <c r="AE255" s="39">
        <f>IF(B255="","",IF(Q255=0,"Add - no lines on this invoice yet",IF(H255="Written off","Written off",IF(AD255="Yes","OK - paid",IF(H255="Draft","Draft - not sent yet",IF(AND(AA255&lt;&gt;"",AA255&gt;30),"Overdue - "&amp;AA255&amp;" days, call them",IF(AND(AA255&lt;&gt;"",AA255&gt;0),"Overdue - send a reminder",IF(W255&gt;0,"Part paid","Due - waiting for payment"))))))))</f>
        <v>0</v>
      </c>
    </row>
    <row r="256" spans="1:31">
      <c r="A256" s="43">
        <f>IF(B256="","",InvoicePrefix&amp;TEXT(ROW()-4,"0000"))</f>
        <v>0</v>
      </c>
      <c r="C256" s="23">
        <f>IF(B256="","",TEXT(B256,"yyyy-mm"))</f>
        <v>0</v>
      </c>
      <c r="E256" s="23">
        <f>IF(D256="","",IFERROR(INDEX(Clients!$B$5:$B$204,MATCH(D256,Clients!$A$5:$A$204,0)),"Not found"))</f>
        <v>0</v>
      </c>
      <c r="F256" s="23">
        <f>IF(D256="","",IFERROR(INDEX(Clients!$G$5:$G$204,MATCH(D256,Clients!$A$5:$A$204,0)),""))</f>
        <v>0</v>
      </c>
      <c r="Q256" s="31">
        <f>IF(A256="","",COUNTIFS('Invoice Lines'!$B$5:$B$804,A256))</f>
        <v>0</v>
      </c>
      <c r="R256" s="21">
        <f>IF(A256="","",SUMIFS('Invoice Lines'!$N$5:$N$804,'Invoice Lines'!$B$5:$B$804,A256))</f>
        <v>0</v>
      </c>
      <c r="S256" s="21">
        <f>IF(A256="","",ROUND(R256*IF(K256="",0,K256),2))</f>
        <v>0</v>
      </c>
      <c r="T256" s="21">
        <f>IF(A256="","",R256-S256)</f>
        <v>0</v>
      </c>
      <c r="U256" s="21">
        <f>IF(A256="","",ROUND(T256*TaxRate,2))</f>
        <v>0</v>
      </c>
      <c r="V256" s="21">
        <f>IF(A256="","",T256+U256)</f>
        <v>0</v>
      </c>
      <c r="W256" s="21">
        <f>IF(A256="","",SUMIFS(Payments!$G$5:$G$404,Payments!$D$5:$D$404,A256))</f>
        <v>0</v>
      </c>
      <c r="X256" s="21">
        <f>IF(A256="","",ROUND(V256-W256,2))</f>
        <v>0</v>
      </c>
      <c r="Y256" s="31">
        <f>IF(B256="","",IF(J256&lt;&gt;"",J256,IF(IFERROR(INDEX(Clients!$P$5:$P$204,MATCH(D256,Clients!$A$5:$A$204,0)),"")&lt;&gt;"",INDEX(Clients!$P$5:$P$204,MATCH(D256,Clients!$A$5:$A$204,0)),PaymentTerms)))</f>
        <v>0</v>
      </c>
      <c r="Z256" s="18">
        <f>IF(OR(A256="",B256=""),"",B256+Y256)</f>
        <v>0</v>
      </c>
      <c r="AA256" s="31">
        <f>IF(OR(A256="",Z256=""),"",IF(X256&lt;=0.004,"",MAX(0,TodayDate-Z256-OverdueGrace)))</f>
        <v>0</v>
      </c>
      <c r="AB256" s="39">
        <f>IF(B256="","",IF(X256&lt;=0.004,"Paid",IF(AA256="","Not due yet",IF(AA256=0,"Due now",IF(AA256&lt;=30,"1-30 days",IF(AA256&lt;=60,"31-60 days",IF(AA256&lt;=90,"61-90 days","90+ days")))))))</f>
        <v>0</v>
      </c>
      <c r="AC256" s="21">
        <f>IF(OR(A256="",AA256=""),"",IF(AA256&lt;=0,0,ROUND(X256*LateFeePercent,2)))</f>
        <v>0</v>
      </c>
      <c r="AD256" s="50">
        <f>IF(B256="","",IF(X256&lt;=0.004,"Yes","No"))</f>
        <v>0</v>
      </c>
      <c r="AE256" s="39">
        <f>IF(B256="","",IF(Q256=0,"Add - no lines on this invoice yet",IF(H256="Written off","Written off",IF(AD256="Yes","OK - paid",IF(H256="Draft","Draft - not sent yet",IF(AND(AA256&lt;&gt;"",AA256&gt;30),"Overdue - "&amp;AA256&amp;" days, call them",IF(AND(AA256&lt;&gt;"",AA256&gt;0),"Overdue - send a reminder",IF(W256&gt;0,"Part paid","Due - waiting for payment"))))))))</f>
        <v>0</v>
      </c>
    </row>
    <row r="257" spans="1:31">
      <c r="A257" s="43">
        <f>IF(B257="","",InvoicePrefix&amp;TEXT(ROW()-4,"0000"))</f>
        <v>0</v>
      </c>
      <c r="C257" s="23">
        <f>IF(B257="","",TEXT(B257,"yyyy-mm"))</f>
        <v>0</v>
      </c>
      <c r="E257" s="23">
        <f>IF(D257="","",IFERROR(INDEX(Clients!$B$5:$B$204,MATCH(D257,Clients!$A$5:$A$204,0)),"Not found"))</f>
        <v>0</v>
      </c>
      <c r="F257" s="23">
        <f>IF(D257="","",IFERROR(INDEX(Clients!$G$5:$G$204,MATCH(D257,Clients!$A$5:$A$204,0)),""))</f>
        <v>0</v>
      </c>
      <c r="Q257" s="31">
        <f>IF(A257="","",COUNTIFS('Invoice Lines'!$B$5:$B$804,A257))</f>
        <v>0</v>
      </c>
      <c r="R257" s="21">
        <f>IF(A257="","",SUMIFS('Invoice Lines'!$N$5:$N$804,'Invoice Lines'!$B$5:$B$804,A257))</f>
        <v>0</v>
      </c>
      <c r="S257" s="21">
        <f>IF(A257="","",ROUND(R257*IF(K257="",0,K257),2))</f>
        <v>0</v>
      </c>
      <c r="T257" s="21">
        <f>IF(A257="","",R257-S257)</f>
        <v>0</v>
      </c>
      <c r="U257" s="21">
        <f>IF(A257="","",ROUND(T257*TaxRate,2))</f>
        <v>0</v>
      </c>
      <c r="V257" s="21">
        <f>IF(A257="","",T257+U257)</f>
        <v>0</v>
      </c>
      <c r="W257" s="21">
        <f>IF(A257="","",SUMIFS(Payments!$G$5:$G$404,Payments!$D$5:$D$404,A257))</f>
        <v>0</v>
      </c>
      <c r="X257" s="21">
        <f>IF(A257="","",ROUND(V257-W257,2))</f>
        <v>0</v>
      </c>
      <c r="Y257" s="31">
        <f>IF(B257="","",IF(J257&lt;&gt;"",J257,IF(IFERROR(INDEX(Clients!$P$5:$P$204,MATCH(D257,Clients!$A$5:$A$204,0)),"")&lt;&gt;"",INDEX(Clients!$P$5:$P$204,MATCH(D257,Clients!$A$5:$A$204,0)),PaymentTerms)))</f>
        <v>0</v>
      </c>
      <c r="Z257" s="18">
        <f>IF(OR(A257="",B257=""),"",B257+Y257)</f>
        <v>0</v>
      </c>
      <c r="AA257" s="31">
        <f>IF(OR(A257="",Z257=""),"",IF(X257&lt;=0.004,"",MAX(0,TodayDate-Z257-OverdueGrace)))</f>
        <v>0</v>
      </c>
      <c r="AB257" s="39">
        <f>IF(B257="","",IF(X257&lt;=0.004,"Paid",IF(AA257="","Not due yet",IF(AA257=0,"Due now",IF(AA257&lt;=30,"1-30 days",IF(AA257&lt;=60,"31-60 days",IF(AA257&lt;=90,"61-90 days","90+ days")))))))</f>
        <v>0</v>
      </c>
      <c r="AC257" s="21">
        <f>IF(OR(A257="",AA257=""),"",IF(AA257&lt;=0,0,ROUND(X257*LateFeePercent,2)))</f>
        <v>0</v>
      </c>
      <c r="AD257" s="50">
        <f>IF(B257="","",IF(X257&lt;=0.004,"Yes","No"))</f>
        <v>0</v>
      </c>
      <c r="AE257" s="39">
        <f>IF(B257="","",IF(Q257=0,"Add - no lines on this invoice yet",IF(H257="Written off","Written off",IF(AD257="Yes","OK - paid",IF(H257="Draft","Draft - not sent yet",IF(AND(AA257&lt;&gt;"",AA257&gt;30),"Overdue - "&amp;AA257&amp;" days, call them",IF(AND(AA257&lt;&gt;"",AA257&gt;0),"Overdue - send a reminder",IF(W257&gt;0,"Part paid","Due - waiting for payment"))))))))</f>
        <v>0</v>
      </c>
    </row>
    <row r="258" spans="1:31">
      <c r="A258" s="43">
        <f>IF(B258="","",InvoicePrefix&amp;TEXT(ROW()-4,"0000"))</f>
        <v>0</v>
      </c>
      <c r="C258" s="23">
        <f>IF(B258="","",TEXT(B258,"yyyy-mm"))</f>
        <v>0</v>
      </c>
      <c r="E258" s="23">
        <f>IF(D258="","",IFERROR(INDEX(Clients!$B$5:$B$204,MATCH(D258,Clients!$A$5:$A$204,0)),"Not found"))</f>
        <v>0</v>
      </c>
      <c r="F258" s="23">
        <f>IF(D258="","",IFERROR(INDEX(Clients!$G$5:$G$204,MATCH(D258,Clients!$A$5:$A$204,0)),""))</f>
        <v>0</v>
      </c>
      <c r="Q258" s="31">
        <f>IF(A258="","",COUNTIFS('Invoice Lines'!$B$5:$B$804,A258))</f>
        <v>0</v>
      </c>
      <c r="R258" s="21">
        <f>IF(A258="","",SUMIFS('Invoice Lines'!$N$5:$N$804,'Invoice Lines'!$B$5:$B$804,A258))</f>
        <v>0</v>
      </c>
      <c r="S258" s="21">
        <f>IF(A258="","",ROUND(R258*IF(K258="",0,K258),2))</f>
        <v>0</v>
      </c>
      <c r="T258" s="21">
        <f>IF(A258="","",R258-S258)</f>
        <v>0</v>
      </c>
      <c r="U258" s="21">
        <f>IF(A258="","",ROUND(T258*TaxRate,2))</f>
        <v>0</v>
      </c>
      <c r="V258" s="21">
        <f>IF(A258="","",T258+U258)</f>
        <v>0</v>
      </c>
      <c r="W258" s="21">
        <f>IF(A258="","",SUMIFS(Payments!$G$5:$G$404,Payments!$D$5:$D$404,A258))</f>
        <v>0</v>
      </c>
      <c r="X258" s="21">
        <f>IF(A258="","",ROUND(V258-W258,2))</f>
        <v>0</v>
      </c>
      <c r="Y258" s="31">
        <f>IF(B258="","",IF(J258&lt;&gt;"",J258,IF(IFERROR(INDEX(Clients!$P$5:$P$204,MATCH(D258,Clients!$A$5:$A$204,0)),"")&lt;&gt;"",INDEX(Clients!$P$5:$P$204,MATCH(D258,Clients!$A$5:$A$204,0)),PaymentTerms)))</f>
        <v>0</v>
      </c>
      <c r="Z258" s="18">
        <f>IF(OR(A258="",B258=""),"",B258+Y258)</f>
        <v>0</v>
      </c>
      <c r="AA258" s="31">
        <f>IF(OR(A258="",Z258=""),"",IF(X258&lt;=0.004,"",MAX(0,TodayDate-Z258-OverdueGrace)))</f>
        <v>0</v>
      </c>
      <c r="AB258" s="39">
        <f>IF(B258="","",IF(X258&lt;=0.004,"Paid",IF(AA258="","Not due yet",IF(AA258=0,"Due now",IF(AA258&lt;=30,"1-30 days",IF(AA258&lt;=60,"31-60 days",IF(AA258&lt;=90,"61-90 days","90+ days")))))))</f>
        <v>0</v>
      </c>
      <c r="AC258" s="21">
        <f>IF(OR(A258="",AA258=""),"",IF(AA258&lt;=0,0,ROUND(X258*LateFeePercent,2)))</f>
        <v>0</v>
      </c>
      <c r="AD258" s="50">
        <f>IF(B258="","",IF(X258&lt;=0.004,"Yes","No"))</f>
        <v>0</v>
      </c>
      <c r="AE258" s="39">
        <f>IF(B258="","",IF(Q258=0,"Add - no lines on this invoice yet",IF(H258="Written off","Written off",IF(AD258="Yes","OK - paid",IF(H258="Draft","Draft - not sent yet",IF(AND(AA258&lt;&gt;"",AA258&gt;30),"Overdue - "&amp;AA258&amp;" days, call them",IF(AND(AA258&lt;&gt;"",AA258&gt;0),"Overdue - send a reminder",IF(W258&gt;0,"Part paid","Due - waiting for payment"))))))))</f>
        <v>0</v>
      </c>
    </row>
    <row r="259" spans="1:31">
      <c r="A259" s="43">
        <f>IF(B259="","",InvoicePrefix&amp;TEXT(ROW()-4,"0000"))</f>
        <v>0</v>
      </c>
      <c r="C259" s="23">
        <f>IF(B259="","",TEXT(B259,"yyyy-mm"))</f>
        <v>0</v>
      </c>
      <c r="E259" s="23">
        <f>IF(D259="","",IFERROR(INDEX(Clients!$B$5:$B$204,MATCH(D259,Clients!$A$5:$A$204,0)),"Not found"))</f>
        <v>0</v>
      </c>
      <c r="F259" s="23">
        <f>IF(D259="","",IFERROR(INDEX(Clients!$G$5:$G$204,MATCH(D259,Clients!$A$5:$A$204,0)),""))</f>
        <v>0</v>
      </c>
      <c r="Q259" s="31">
        <f>IF(A259="","",COUNTIFS('Invoice Lines'!$B$5:$B$804,A259))</f>
        <v>0</v>
      </c>
      <c r="R259" s="21">
        <f>IF(A259="","",SUMIFS('Invoice Lines'!$N$5:$N$804,'Invoice Lines'!$B$5:$B$804,A259))</f>
        <v>0</v>
      </c>
      <c r="S259" s="21">
        <f>IF(A259="","",ROUND(R259*IF(K259="",0,K259),2))</f>
        <v>0</v>
      </c>
      <c r="T259" s="21">
        <f>IF(A259="","",R259-S259)</f>
        <v>0</v>
      </c>
      <c r="U259" s="21">
        <f>IF(A259="","",ROUND(T259*TaxRate,2))</f>
        <v>0</v>
      </c>
      <c r="V259" s="21">
        <f>IF(A259="","",T259+U259)</f>
        <v>0</v>
      </c>
      <c r="W259" s="21">
        <f>IF(A259="","",SUMIFS(Payments!$G$5:$G$404,Payments!$D$5:$D$404,A259))</f>
        <v>0</v>
      </c>
      <c r="X259" s="21">
        <f>IF(A259="","",ROUND(V259-W259,2))</f>
        <v>0</v>
      </c>
      <c r="Y259" s="31">
        <f>IF(B259="","",IF(J259&lt;&gt;"",J259,IF(IFERROR(INDEX(Clients!$P$5:$P$204,MATCH(D259,Clients!$A$5:$A$204,0)),"")&lt;&gt;"",INDEX(Clients!$P$5:$P$204,MATCH(D259,Clients!$A$5:$A$204,0)),PaymentTerms)))</f>
        <v>0</v>
      </c>
      <c r="Z259" s="18">
        <f>IF(OR(A259="",B259=""),"",B259+Y259)</f>
        <v>0</v>
      </c>
      <c r="AA259" s="31">
        <f>IF(OR(A259="",Z259=""),"",IF(X259&lt;=0.004,"",MAX(0,TodayDate-Z259-OverdueGrace)))</f>
        <v>0</v>
      </c>
      <c r="AB259" s="39">
        <f>IF(B259="","",IF(X259&lt;=0.004,"Paid",IF(AA259="","Not due yet",IF(AA259=0,"Due now",IF(AA259&lt;=30,"1-30 days",IF(AA259&lt;=60,"31-60 days",IF(AA259&lt;=90,"61-90 days","90+ days")))))))</f>
        <v>0</v>
      </c>
      <c r="AC259" s="21">
        <f>IF(OR(A259="",AA259=""),"",IF(AA259&lt;=0,0,ROUND(X259*LateFeePercent,2)))</f>
        <v>0</v>
      </c>
      <c r="AD259" s="50">
        <f>IF(B259="","",IF(X259&lt;=0.004,"Yes","No"))</f>
        <v>0</v>
      </c>
      <c r="AE259" s="39">
        <f>IF(B259="","",IF(Q259=0,"Add - no lines on this invoice yet",IF(H259="Written off","Written off",IF(AD259="Yes","OK - paid",IF(H259="Draft","Draft - not sent yet",IF(AND(AA259&lt;&gt;"",AA259&gt;30),"Overdue - "&amp;AA259&amp;" days, call them",IF(AND(AA259&lt;&gt;"",AA259&gt;0),"Overdue - send a reminder",IF(W259&gt;0,"Part paid","Due - waiting for payment"))))))))</f>
        <v>0</v>
      </c>
    </row>
    <row r="260" spans="1:31">
      <c r="A260" s="43">
        <f>IF(B260="","",InvoicePrefix&amp;TEXT(ROW()-4,"0000"))</f>
        <v>0</v>
      </c>
      <c r="C260" s="23">
        <f>IF(B260="","",TEXT(B260,"yyyy-mm"))</f>
        <v>0</v>
      </c>
      <c r="E260" s="23">
        <f>IF(D260="","",IFERROR(INDEX(Clients!$B$5:$B$204,MATCH(D260,Clients!$A$5:$A$204,0)),"Not found"))</f>
        <v>0</v>
      </c>
      <c r="F260" s="23">
        <f>IF(D260="","",IFERROR(INDEX(Clients!$G$5:$G$204,MATCH(D260,Clients!$A$5:$A$204,0)),""))</f>
        <v>0</v>
      </c>
      <c r="Q260" s="31">
        <f>IF(A260="","",COUNTIFS('Invoice Lines'!$B$5:$B$804,A260))</f>
        <v>0</v>
      </c>
      <c r="R260" s="21">
        <f>IF(A260="","",SUMIFS('Invoice Lines'!$N$5:$N$804,'Invoice Lines'!$B$5:$B$804,A260))</f>
        <v>0</v>
      </c>
      <c r="S260" s="21">
        <f>IF(A260="","",ROUND(R260*IF(K260="",0,K260),2))</f>
        <v>0</v>
      </c>
      <c r="T260" s="21">
        <f>IF(A260="","",R260-S260)</f>
        <v>0</v>
      </c>
      <c r="U260" s="21">
        <f>IF(A260="","",ROUND(T260*TaxRate,2))</f>
        <v>0</v>
      </c>
      <c r="V260" s="21">
        <f>IF(A260="","",T260+U260)</f>
        <v>0</v>
      </c>
      <c r="W260" s="21">
        <f>IF(A260="","",SUMIFS(Payments!$G$5:$G$404,Payments!$D$5:$D$404,A260))</f>
        <v>0</v>
      </c>
      <c r="X260" s="21">
        <f>IF(A260="","",ROUND(V260-W260,2))</f>
        <v>0</v>
      </c>
      <c r="Y260" s="31">
        <f>IF(B260="","",IF(J260&lt;&gt;"",J260,IF(IFERROR(INDEX(Clients!$P$5:$P$204,MATCH(D260,Clients!$A$5:$A$204,0)),"")&lt;&gt;"",INDEX(Clients!$P$5:$P$204,MATCH(D260,Clients!$A$5:$A$204,0)),PaymentTerms)))</f>
        <v>0</v>
      </c>
      <c r="Z260" s="18">
        <f>IF(OR(A260="",B260=""),"",B260+Y260)</f>
        <v>0</v>
      </c>
      <c r="AA260" s="31">
        <f>IF(OR(A260="",Z260=""),"",IF(X260&lt;=0.004,"",MAX(0,TodayDate-Z260-OverdueGrace)))</f>
        <v>0</v>
      </c>
      <c r="AB260" s="39">
        <f>IF(B260="","",IF(X260&lt;=0.004,"Paid",IF(AA260="","Not due yet",IF(AA260=0,"Due now",IF(AA260&lt;=30,"1-30 days",IF(AA260&lt;=60,"31-60 days",IF(AA260&lt;=90,"61-90 days","90+ days")))))))</f>
        <v>0</v>
      </c>
      <c r="AC260" s="21">
        <f>IF(OR(A260="",AA260=""),"",IF(AA260&lt;=0,0,ROUND(X260*LateFeePercent,2)))</f>
        <v>0</v>
      </c>
      <c r="AD260" s="50">
        <f>IF(B260="","",IF(X260&lt;=0.004,"Yes","No"))</f>
        <v>0</v>
      </c>
      <c r="AE260" s="39">
        <f>IF(B260="","",IF(Q260=0,"Add - no lines on this invoice yet",IF(H260="Written off","Written off",IF(AD260="Yes","OK - paid",IF(H260="Draft","Draft - not sent yet",IF(AND(AA260&lt;&gt;"",AA260&gt;30),"Overdue - "&amp;AA260&amp;" days, call them",IF(AND(AA260&lt;&gt;"",AA260&gt;0),"Overdue - send a reminder",IF(W260&gt;0,"Part paid","Due - waiting for payment"))))))))</f>
        <v>0</v>
      </c>
    </row>
    <row r="261" spans="1:31">
      <c r="A261" s="43">
        <f>IF(B261="","",InvoicePrefix&amp;TEXT(ROW()-4,"0000"))</f>
        <v>0</v>
      </c>
      <c r="C261" s="23">
        <f>IF(B261="","",TEXT(B261,"yyyy-mm"))</f>
        <v>0</v>
      </c>
      <c r="E261" s="23">
        <f>IF(D261="","",IFERROR(INDEX(Clients!$B$5:$B$204,MATCH(D261,Clients!$A$5:$A$204,0)),"Not found"))</f>
        <v>0</v>
      </c>
      <c r="F261" s="23">
        <f>IF(D261="","",IFERROR(INDEX(Clients!$G$5:$G$204,MATCH(D261,Clients!$A$5:$A$204,0)),""))</f>
        <v>0</v>
      </c>
      <c r="Q261" s="31">
        <f>IF(A261="","",COUNTIFS('Invoice Lines'!$B$5:$B$804,A261))</f>
        <v>0</v>
      </c>
      <c r="R261" s="21">
        <f>IF(A261="","",SUMIFS('Invoice Lines'!$N$5:$N$804,'Invoice Lines'!$B$5:$B$804,A261))</f>
        <v>0</v>
      </c>
      <c r="S261" s="21">
        <f>IF(A261="","",ROUND(R261*IF(K261="",0,K261),2))</f>
        <v>0</v>
      </c>
      <c r="T261" s="21">
        <f>IF(A261="","",R261-S261)</f>
        <v>0</v>
      </c>
      <c r="U261" s="21">
        <f>IF(A261="","",ROUND(T261*TaxRate,2))</f>
        <v>0</v>
      </c>
      <c r="V261" s="21">
        <f>IF(A261="","",T261+U261)</f>
        <v>0</v>
      </c>
      <c r="W261" s="21">
        <f>IF(A261="","",SUMIFS(Payments!$G$5:$G$404,Payments!$D$5:$D$404,A261))</f>
        <v>0</v>
      </c>
      <c r="X261" s="21">
        <f>IF(A261="","",ROUND(V261-W261,2))</f>
        <v>0</v>
      </c>
      <c r="Y261" s="31">
        <f>IF(B261="","",IF(J261&lt;&gt;"",J261,IF(IFERROR(INDEX(Clients!$P$5:$P$204,MATCH(D261,Clients!$A$5:$A$204,0)),"")&lt;&gt;"",INDEX(Clients!$P$5:$P$204,MATCH(D261,Clients!$A$5:$A$204,0)),PaymentTerms)))</f>
        <v>0</v>
      </c>
      <c r="Z261" s="18">
        <f>IF(OR(A261="",B261=""),"",B261+Y261)</f>
        <v>0</v>
      </c>
      <c r="AA261" s="31">
        <f>IF(OR(A261="",Z261=""),"",IF(X261&lt;=0.004,"",MAX(0,TodayDate-Z261-OverdueGrace)))</f>
        <v>0</v>
      </c>
      <c r="AB261" s="39">
        <f>IF(B261="","",IF(X261&lt;=0.004,"Paid",IF(AA261="","Not due yet",IF(AA261=0,"Due now",IF(AA261&lt;=30,"1-30 days",IF(AA261&lt;=60,"31-60 days",IF(AA261&lt;=90,"61-90 days","90+ days")))))))</f>
        <v>0</v>
      </c>
      <c r="AC261" s="21">
        <f>IF(OR(A261="",AA261=""),"",IF(AA261&lt;=0,0,ROUND(X261*LateFeePercent,2)))</f>
        <v>0</v>
      </c>
      <c r="AD261" s="50">
        <f>IF(B261="","",IF(X261&lt;=0.004,"Yes","No"))</f>
        <v>0</v>
      </c>
      <c r="AE261" s="39">
        <f>IF(B261="","",IF(Q261=0,"Add - no lines on this invoice yet",IF(H261="Written off","Written off",IF(AD261="Yes","OK - paid",IF(H261="Draft","Draft - not sent yet",IF(AND(AA261&lt;&gt;"",AA261&gt;30),"Overdue - "&amp;AA261&amp;" days, call them",IF(AND(AA261&lt;&gt;"",AA261&gt;0),"Overdue - send a reminder",IF(W261&gt;0,"Part paid","Due - waiting for payment"))))))))</f>
        <v>0</v>
      </c>
    </row>
    <row r="262" spans="1:31">
      <c r="A262" s="43">
        <f>IF(B262="","",InvoicePrefix&amp;TEXT(ROW()-4,"0000"))</f>
        <v>0</v>
      </c>
      <c r="C262" s="23">
        <f>IF(B262="","",TEXT(B262,"yyyy-mm"))</f>
        <v>0</v>
      </c>
      <c r="E262" s="23">
        <f>IF(D262="","",IFERROR(INDEX(Clients!$B$5:$B$204,MATCH(D262,Clients!$A$5:$A$204,0)),"Not found"))</f>
        <v>0</v>
      </c>
      <c r="F262" s="23">
        <f>IF(D262="","",IFERROR(INDEX(Clients!$G$5:$G$204,MATCH(D262,Clients!$A$5:$A$204,0)),""))</f>
        <v>0</v>
      </c>
      <c r="Q262" s="31">
        <f>IF(A262="","",COUNTIFS('Invoice Lines'!$B$5:$B$804,A262))</f>
        <v>0</v>
      </c>
      <c r="R262" s="21">
        <f>IF(A262="","",SUMIFS('Invoice Lines'!$N$5:$N$804,'Invoice Lines'!$B$5:$B$804,A262))</f>
        <v>0</v>
      </c>
      <c r="S262" s="21">
        <f>IF(A262="","",ROUND(R262*IF(K262="",0,K262),2))</f>
        <v>0</v>
      </c>
      <c r="T262" s="21">
        <f>IF(A262="","",R262-S262)</f>
        <v>0</v>
      </c>
      <c r="U262" s="21">
        <f>IF(A262="","",ROUND(T262*TaxRate,2))</f>
        <v>0</v>
      </c>
      <c r="V262" s="21">
        <f>IF(A262="","",T262+U262)</f>
        <v>0</v>
      </c>
      <c r="W262" s="21">
        <f>IF(A262="","",SUMIFS(Payments!$G$5:$G$404,Payments!$D$5:$D$404,A262))</f>
        <v>0</v>
      </c>
      <c r="X262" s="21">
        <f>IF(A262="","",ROUND(V262-W262,2))</f>
        <v>0</v>
      </c>
      <c r="Y262" s="31">
        <f>IF(B262="","",IF(J262&lt;&gt;"",J262,IF(IFERROR(INDEX(Clients!$P$5:$P$204,MATCH(D262,Clients!$A$5:$A$204,0)),"")&lt;&gt;"",INDEX(Clients!$P$5:$P$204,MATCH(D262,Clients!$A$5:$A$204,0)),PaymentTerms)))</f>
        <v>0</v>
      </c>
      <c r="Z262" s="18">
        <f>IF(OR(A262="",B262=""),"",B262+Y262)</f>
        <v>0</v>
      </c>
      <c r="AA262" s="31">
        <f>IF(OR(A262="",Z262=""),"",IF(X262&lt;=0.004,"",MAX(0,TodayDate-Z262-OverdueGrace)))</f>
        <v>0</v>
      </c>
      <c r="AB262" s="39">
        <f>IF(B262="","",IF(X262&lt;=0.004,"Paid",IF(AA262="","Not due yet",IF(AA262=0,"Due now",IF(AA262&lt;=30,"1-30 days",IF(AA262&lt;=60,"31-60 days",IF(AA262&lt;=90,"61-90 days","90+ days")))))))</f>
        <v>0</v>
      </c>
      <c r="AC262" s="21">
        <f>IF(OR(A262="",AA262=""),"",IF(AA262&lt;=0,0,ROUND(X262*LateFeePercent,2)))</f>
        <v>0</v>
      </c>
      <c r="AD262" s="50">
        <f>IF(B262="","",IF(X262&lt;=0.004,"Yes","No"))</f>
        <v>0</v>
      </c>
      <c r="AE262" s="39">
        <f>IF(B262="","",IF(Q262=0,"Add - no lines on this invoice yet",IF(H262="Written off","Written off",IF(AD262="Yes","OK - paid",IF(H262="Draft","Draft - not sent yet",IF(AND(AA262&lt;&gt;"",AA262&gt;30),"Overdue - "&amp;AA262&amp;" days, call them",IF(AND(AA262&lt;&gt;"",AA262&gt;0),"Overdue - send a reminder",IF(W262&gt;0,"Part paid","Due - waiting for payment"))))))))</f>
        <v>0</v>
      </c>
    </row>
    <row r="263" spans="1:31">
      <c r="A263" s="43">
        <f>IF(B263="","",InvoicePrefix&amp;TEXT(ROW()-4,"0000"))</f>
        <v>0</v>
      </c>
      <c r="C263" s="23">
        <f>IF(B263="","",TEXT(B263,"yyyy-mm"))</f>
        <v>0</v>
      </c>
      <c r="E263" s="23">
        <f>IF(D263="","",IFERROR(INDEX(Clients!$B$5:$B$204,MATCH(D263,Clients!$A$5:$A$204,0)),"Not found"))</f>
        <v>0</v>
      </c>
      <c r="F263" s="23">
        <f>IF(D263="","",IFERROR(INDEX(Clients!$G$5:$G$204,MATCH(D263,Clients!$A$5:$A$204,0)),""))</f>
        <v>0</v>
      </c>
      <c r="Q263" s="31">
        <f>IF(A263="","",COUNTIFS('Invoice Lines'!$B$5:$B$804,A263))</f>
        <v>0</v>
      </c>
      <c r="R263" s="21">
        <f>IF(A263="","",SUMIFS('Invoice Lines'!$N$5:$N$804,'Invoice Lines'!$B$5:$B$804,A263))</f>
        <v>0</v>
      </c>
      <c r="S263" s="21">
        <f>IF(A263="","",ROUND(R263*IF(K263="",0,K263),2))</f>
        <v>0</v>
      </c>
      <c r="T263" s="21">
        <f>IF(A263="","",R263-S263)</f>
        <v>0</v>
      </c>
      <c r="U263" s="21">
        <f>IF(A263="","",ROUND(T263*TaxRate,2))</f>
        <v>0</v>
      </c>
      <c r="V263" s="21">
        <f>IF(A263="","",T263+U263)</f>
        <v>0</v>
      </c>
      <c r="W263" s="21">
        <f>IF(A263="","",SUMIFS(Payments!$G$5:$G$404,Payments!$D$5:$D$404,A263))</f>
        <v>0</v>
      </c>
      <c r="X263" s="21">
        <f>IF(A263="","",ROUND(V263-W263,2))</f>
        <v>0</v>
      </c>
      <c r="Y263" s="31">
        <f>IF(B263="","",IF(J263&lt;&gt;"",J263,IF(IFERROR(INDEX(Clients!$P$5:$P$204,MATCH(D263,Clients!$A$5:$A$204,0)),"")&lt;&gt;"",INDEX(Clients!$P$5:$P$204,MATCH(D263,Clients!$A$5:$A$204,0)),PaymentTerms)))</f>
        <v>0</v>
      </c>
      <c r="Z263" s="18">
        <f>IF(OR(A263="",B263=""),"",B263+Y263)</f>
        <v>0</v>
      </c>
      <c r="AA263" s="31">
        <f>IF(OR(A263="",Z263=""),"",IF(X263&lt;=0.004,"",MAX(0,TodayDate-Z263-OverdueGrace)))</f>
        <v>0</v>
      </c>
      <c r="AB263" s="39">
        <f>IF(B263="","",IF(X263&lt;=0.004,"Paid",IF(AA263="","Not due yet",IF(AA263=0,"Due now",IF(AA263&lt;=30,"1-30 days",IF(AA263&lt;=60,"31-60 days",IF(AA263&lt;=90,"61-90 days","90+ days")))))))</f>
        <v>0</v>
      </c>
      <c r="AC263" s="21">
        <f>IF(OR(A263="",AA263=""),"",IF(AA263&lt;=0,0,ROUND(X263*LateFeePercent,2)))</f>
        <v>0</v>
      </c>
      <c r="AD263" s="50">
        <f>IF(B263="","",IF(X263&lt;=0.004,"Yes","No"))</f>
        <v>0</v>
      </c>
      <c r="AE263" s="39">
        <f>IF(B263="","",IF(Q263=0,"Add - no lines on this invoice yet",IF(H263="Written off","Written off",IF(AD263="Yes","OK - paid",IF(H263="Draft","Draft - not sent yet",IF(AND(AA263&lt;&gt;"",AA263&gt;30),"Overdue - "&amp;AA263&amp;" days, call them",IF(AND(AA263&lt;&gt;"",AA263&gt;0),"Overdue - send a reminder",IF(W263&gt;0,"Part paid","Due - waiting for payment"))))))))</f>
        <v>0</v>
      </c>
    </row>
    <row r="264" spans="1:31">
      <c r="A264" s="43">
        <f>IF(B264="","",InvoicePrefix&amp;TEXT(ROW()-4,"0000"))</f>
        <v>0</v>
      </c>
      <c r="C264" s="23">
        <f>IF(B264="","",TEXT(B264,"yyyy-mm"))</f>
        <v>0</v>
      </c>
      <c r="E264" s="23">
        <f>IF(D264="","",IFERROR(INDEX(Clients!$B$5:$B$204,MATCH(D264,Clients!$A$5:$A$204,0)),"Not found"))</f>
        <v>0</v>
      </c>
      <c r="F264" s="23">
        <f>IF(D264="","",IFERROR(INDEX(Clients!$G$5:$G$204,MATCH(D264,Clients!$A$5:$A$204,0)),""))</f>
        <v>0</v>
      </c>
      <c r="Q264" s="31">
        <f>IF(A264="","",COUNTIFS('Invoice Lines'!$B$5:$B$804,A264))</f>
        <v>0</v>
      </c>
      <c r="R264" s="21">
        <f>IF(A264="","",SUMIFS('Invoice Lines'!$N$5:$N$804,'Invoice Lines'!$B$5:$B$804,A264))</f>
        <v>0</v>
      </c>
      <c r="S264" s="21">
        <f>IF(A264="","",ROUND(R264*IF(K264="",0,K264),2))</f>
        <v>0</v>
      </c>
      <c r="T264" s="21">
        <f>IF(A264="","",R264-S264)</f>
        <v>0</v>
      </c>
      <c r="U264" s="21">
        <f>IF(A264="","",ROUND(T264*TaxRate,2))</f>
        <v>0</v>
      </c>
      <c r="V264" s="21">
        <f>IF(A264="","",T264+U264)</f>
        <v>0</v>
      </c>
      <c r="W264" s="21">
        <f>IF(A264="","",SUMIFS(Payments!$G$5:$G$404,Payments!$D$5:$D$404,A264))</f>
        <v>0</v>
      </c>
      <c r="X264" s="21">
        <f>IF(A264="","",ROUND(V264-W264,2))</f>
        <v>0</v>
      </c>
      <c r="Y264" s="31">
        <f>IF(B264="","",IF(J264&lt;&gt;"",J264,IF(IFERROR(INDEX(Clients!$P$5:$P$204,MATCH(D264,Clients!$A$5:$A$204,0)),"")&lt;&gt;"",INDEX(Clients!$P$5:$P$204,MATCH(D264,Clients!$A$5:$A$204,0)),PaymentTerms)))</f>
        <v>0</v>
      </c>
      <c r="Z264" s="18">
        <f>IF(OR(A264="",B264=""),"",B264+Y264)</f>
        <v>0</v>
      </c>
      <c r="AA264" s="31">
        <f>IF(OR(A264="",Z264=""),"",IF(X264&lt;=0.004,"",MAX(0,TodayDate-Z264-OverdueGrace)))</f>
        <v>0</v>
      </c>
      <c r="AB264" s="39">
        <f>IF(B264="","",IF(X264&lt;=0.004,"Paid",IF(AA264="","Not due yet",IF(AA264=0,"Due now",IF(AA264&lt;=30,"1-30 days",IF(AA264&lt;=60,"31-60 days",IF(AA264&lt;=90,"61-90 days","90+ days")))))))</f>
        <v>0</v>
      </c>
      <c r="AC264" s="21">
        <f>IF(OR(A264="",AA264=""),"",IF(AA264&lt;=0,0,ROUND(X264*LateFeePercent,2)))</f>
        <v>0</v>
      </c>
      <c r="AD264" s="50">
        <f>IF(B264="","",IF(X264&lt;=0.004,"Yes","No"))</f>
        <v>0</v>
      </c>
      <c r="AE264" s="39">
        <f>IF(B264="","",IF(Q264=0,"Add - no lines on this invoice yet",IF(H264="Written off","Written off",IF(AD264="Yes","OK - paid",IF(H264="Draft","Draft - not sent yet",IF(AND(AA264&lt;&gt;"",AA264&gt;30),"Overdue - "&amp;AA264&amp;" days, call them",IF(AND(AA264&lt;&gt;"",AA264&gt;0),"Overdue - send a reminder",IF(W264&gt;0,"Part paid","Due - waiting for payment"))))))))</f>
        <v>0</v>
      </c>
    </row>
    <row r="265" spans="1:31">
      <c r="A265" s="43">
        <f>IF(B265="","",InvoicePrefix&amp;TEXT(ROW()-4,"0000"))</f>
        <v>0</v>
      </c>
      <c r="C265" s="23">
        <f>IF(B265="","",TEXT(B265,"yyyy-mm"))</f>
        <v>0</v>
      </c>
      <c r="E265" s="23">
        <f>IF(D265="","",IFERROR(INDEX(Clients!$B$5:$B$204,MATCH(D265,Clients!$A$5:$A$204,0)),"Not found"))</f>
        <v>0</v>
      </c>
      <c r="F265" s="23">
        <f>IF(D265="","",IFERROR(INDEX(Clients!$G$5:$G$204,MATCH(D265,Clients!$A$5:$A$204,0)),""))</f>
        <v>0</v>
      </c>
      <c r="Q265" s="31">
        <f>IF(A265="","",COUNTIFS('Invoice Lines'!$B$5:$B$804,A265))</f>
        <v>0</v>
      </c>
      <c r="R265" s="21">
        <f>IF(A265="","",SUMIFS('Invoice Lines'!$N$5:$N$804,'Invoice Lines'!$B$5:$B$804,A265))</f>
        <v>0</v>
      </c>
      <c r="S265" s="21">
        <f>IF(A265="","",ROUND(R265*IF(K265="",0,K265),2))</f>
        <v>0</v>
      </c>
      <c r="T265" s="21">
        <f>IF(A265="","",R265-S265)</f>
        <v>0</v>
      </c>
      <c r="U265" s="21">
        <f>IF(A265="","",ROUND(T265*TaxRate,2))</f>
        <v>0</v>
      </c>
      <c r="V265" s="21">
        <f>IF(A265="","",T265+U265)</f>
        <v>0</v>
      </c>
      <c r="W265" s="21">
        <f>IF(A265="","",SUMIFS(Payments!$G$5:$G$404,Payments!$D$5:$D$404,A265))</f>
        <v>0</v>
      </c>
      <c r="X265" s="21">
        <f>IF(A265="","",ROUND(V265-W265,2))</f>
        <v>0</v>
      </c>
      <c r="Y265" s="31">
        <f>IF(B265="","",IF(J265&lt;&gt;"",J265,IF(IFERROR(INDEX(Clients!$P$5:$P$204,MATCH(D265,Clients!$A$5:$A$204,0)),"")&lt;&gt;"",INDEX(Clients!$P$5:$P$204,MATCH(D265,Clients!$A$5:$A$204,0)),PaymentTerms)))</f>
        <v>0</v>
      </c>
      <c r="Z265" s="18">
        <f>IF(OR(A265="",B265=""),"",B265+Y265)</f>
        <v>0</v>
      </c>
      <c r="AA265" s="31">
        <f>IF(OR(A265="",Z265=""),"",IF(X265&lt;=0.004,"",MAX(0,TodayDate-Z265-OverdueGrace)))</f>
        <v>0</v>
      </c>
      <c r="AB265" s="39">
        <f>IF(B265="","",IF(X265&lt;=0.004,"Paid",IF(AA265="","Not due yet",IF(AA265=0,"Due now",IF(AA265&lt;=30,"1-30 days",IF(AA265&lt;=60,"31-60 days",IF(AA265&lt;=90,"61-90 days","90+ days")))))))</f>
        <v>0</v>
      </c>
      <c r="AC265" s="21">
        <f>IF(OR(A265="",AA265=""),"",IF(AA265&lt;=0,0,ROUND(X265*LateFeePercent,2)))</f>
        <v>0</v>
      </c>
      <c r="AD265" s="50">
        <f>IF(B265="","",IF(X265&lt;=0.004,"Yes","No"))</f>
        <v>0</v>
      </c>
      <c r="AE265" s="39">
        <f>IF(B265="","",IF(Q265=0,"Add - no lines on this invoice yet",IF(H265="Written off","Written off",IF(AD265="Yes","OK - paid",IF(H265="Draft","Draft - not sent yet",IF(AND(AA265&lt;&gt;"",AA265&gt;30),"Overdue - "&amp;AA265&amp;" days, call them",IF(AND(AA265&lt;&gt;"",AA265&gt;0),"Overdue - send a reminder",IF(W265&gt;0,"Part paid","Due - waiting for payment"))))))))</f>
        <v>0</v>
      </c>
    </row>
    <row r="266" spans="1:31">
      <c r="A266" s="43">
        <f>IF(B266="","",InvoicePrefix&amp;TEXT(ROW()-4,"0000"))</f>
        <v>0</v>
      </c>
      <c r="C266" s="23">
        <f>IF(B266="","",TEXT(B266,"yyyy-mm"))</f>
        <v>0</v>
      </c>
      <c r="E266" s="23">
        <f>IF(D266="","",IFERROR(INDEX(Clients!$B$5:$B$204,MATCH(D266,Clients!$A$5:$A$204,0)),"Not found"))</f>
        <v>0</v>
      </c>
      <c r="F266" s="23">
        <f>IF(D266="","",IFERROR(INDEX(Clients!$G$5:$G$204,MATCH(D266,Clients!$A$5:$A$204,0)),""))</f>
        <v>0</v>
      </c>
      <c r="Q266" s="31">
        <f>IF(A266="","",COUNTIFS('Invoice Lines'!$B$5:$B$804,A266))</f>
        <v>0</v>
      </c>
      <c r="R266" s="21">
        <f>IF(A266="","",SUMIFS('Invoice Lines'!$N$5:$N$804,'Invoice Lines'!$B$5:$B$804,A266))</f>
        <v>0</v>
      </c>
      <c r="S266" s="21">
        <f>IF(A266="","",ROUND(R266*IF(K266="",0,K266),2))</f>
        <v>0</v>
      </c>
      <c r="T266" s="21">
        <f>IF(A266="","",R266-S266)</f>
        <v>0</v>
      </c>
      <c r="U266" s="21">
        <f>IF(A266="","",ROUND(T266*TaxRate,2))</f>
        <v>0</v>
      </c>
      <c r="V266" s="21">
        <f>IF(A266="","",T266+U266)</f>
        <v>0</v>
      </c>
      <c r="W266" s="21">
        <f>IF(A266="","",SUMIFS(Payments!$G$5:$G$404,Payments!$D$5:$D$404,A266))</f>
        <v>0</v>
      </c>
      <c r="X266" s="21">
        <f>IF(A266="","",ROUND(V266-W266,2))</f>
        <v>0</v>
      </c>
      <c r="Y266" s="31">
        <f>IF(B266="","",IF(J266&lt;&gt;"",J266,IF(IFERROR(INDEX(Clients!$P$5:$P$204,MATCH(D266,Clients!$A$5:$A$204,0)),"")&lt;&gt;"",INDEX(Clients!$P$5:$P$204,MATCH(D266,Clients!$A$5:$A$204,0)),PaymentTerms)))</f>
        <v>0</v>
      </c>
      <c r="Z266" s="18">
        <f>IF(OR(A266="",B266=""),"",B266+Y266)</f>
        <v>0</v>
      </c>
      <c r="AA266" s="31">
        <f>IF(OR(A266="",Z266=""),"",IF(X266&lt;=0.004,"",MAX(0,TodayDate-Z266-OverdueGrace)))</f>
        <v>0</v>
      </c>
      <c r="AB266" s="39">
        <f>IF(B266="","",IF(X266&lt;=0.004,"Paid",IF(AA266="","Not due yet",IF(AA266=0,"Due now",IF(AA266&lt;=30,"1-30 days",IF(AA266&lt;=60,"31-60 days",IF(AA266&lt;=90,"61-90 days","90+ days")))))))</f>
        <v>0</v>
      </c>
      <c r="AC266" s="21">
        <f>IF(OR(A266="",AA266=""),"",IF(AA266&lt;=0,0,ROUND(X266*LateFeePercent,2)))</f>
        <v>0</v>
      </c>
      <c r="AD266" s="50">
        <f>IF(B266="","",IF(X266&lt;=0.004,"Yes","No"))</f>
        <v>0</v>
      </c>
      <c r="AE266" s="39">
        <f>IF(B266="","",IF(Q266=0,"Add - no lines on this invoice yet",IF(H266="Written off","Written off",IF(AD266="Yes","OK - paid",IF(H266="Draft","Draft - not sent yet",IF(AND(AA266&lt;&gt;"",AA266&gt;30),"Overdue - "&amp;AA266&amp;" days, call them",IF(AND(AA266&lt;&gt;"",AA266&gt;0),"Overdue - send a reminder",IF(W266&gt;0,"Part paid","Due - waiting for payment"))))))))</f>
        <v>0</v>
      </c>
    </row>
    <row r="267" spans="1:31">
      <c r="A267" s="43">
        <f>IF(B267="","",InvoicePrefix&amp;TEXT(ROW()-4,"0000"))</f>
        <v>0</v>
      </c>
      <c r="C267" s="23">
        <f>IF(B267="","",TEXT(B267,"yyyy-mm"))</f>
        <v>0</v>
      </c>
      <c r="E267" s="23">
        <f>IF(D267="","",IFERROR(INDEX(Clients!$B$5:$B$204,MATCH(D267,Clients!$A$5:$A$204,0)),"Not found"))</f>
        <v>0</v>
      </c>
      <c r="F267" s="23">
        <f>IF(D267="","",IFERROR(INDEX(Clients!$G$5:$G$204,MATCH(D267,Clients!$A$5:$A$204,0)),""))</f>
        <v>0</v>
      </c>
      <c r="Q267" s="31">
        <f>IF(A267="","",COUNTIFS('Invoice Lines'!$B$5:$B$804,A267))</f>
        <v>0</v>
      </c>
      <c r="R267" s="21">
        <f>IF(A267="","",SUMIFS('Invoice Lines'!$N$5:$N$804,'Invoice Lines'!$B$5:$B$804,A267))</f>
        <v>0</v>
      </c>
      <c r="S267" s="21">
        <f>IF(A267="","",ROUND(R267*IF(K267="",0,K267),2))</f>
        <v>0</v>
      </c>
      <c r="T267" s="21">
        <f>IF(A267="","",R267-S267)</f>
        <v>0</v>
      </c>
      <c r="U267" s="21">
        <f>IF(A267="","",ROUND(T267*TaxRate,2))</f>
        <v>0</v>
      </c>
      <c r="V267" s="21">
        <f>IF(A267="","",T267+U267)</f>
        <v>0</v>
      </c>
      <c r="W267" s="21">
        <f>IF(A267="","",SUMIFS(Payments!$G$5:$G$404,Payments!$D$5:$D$404,A267))</f>
        <v>0</v>
      </c>
      <c r="X267" s="21">
        <f>IF(A267="","",ROUND(V267-W267,2))</f>
        <v>0</v>
      </c>
      <c r="Y267" s="31">
        <f>IF(B267="","",IF(J267&lt;&gt;"",J267,IF(IFERROR(INDEX(Clients!$P$5:$P$204,MATCH(D267,Clients!$A$5:$A$204,0)),"")&lt;&gt;"",INDEX(Clients!$P$5:$P$204,MATCH(D267,Clients!$A$5:$A$204,0)),PaymentTerms)))</f>
        <v>0</v>
      </c>
      <c r="Z267" s="18">
        <f>IF(OR(A267="",B267=""),"",B267+Y267)</f>
        <v>0</v>
      </c>
      <c r="AA267" s="31">
        <f>IF(OR(A267="",Z267=""),"",IF(X267&lt;=0.004,"",MAX(0,TodayDate-Z267-OverdueGrace)))</f>
        <v>0</v>
      </c>
      <c r="AB267" s="39">
        <f>IF(B267="","",IF(X267&lt;=0.004,"Paid",IF(AA267="","Not due yet",IF(AA267=0,"Due now",IF(AA267&lt;=30,"1-30 days",IF(AA267&lt;=60,"31-60 days",IF(AA267&lt;=90,"61-90 days","90+ days")))))))</f>
        <v>0</v>
      </c>
      <c r="AC267" s="21">
        <f>IF(OR(A267="",AA267=""),"",IF(AA267&lt;=0,0,ROUND(X267*LateFeePercent,2)))</f>
        <v>0</v>
      </c>
      <c r="AD267" s="50">
        <f>IF(B267="","",IF(X267&lt;=0.004,"Yes","No"))</f>
        <v>0</v>
      </c>
      <c r="AE267" s="39">
        <f>IF(B267="","",IF(Q267=0,"Add - no lines on this invoice yet",IF(H267="Written off","Written off",IF(AD267="Yes","OK - paid",IF(H267="Draft","Draft - not sent yet",IF(AND(AA267&lt;&gt;"",AA267&gt;30),"Overdue - "&amp;AA267&amp;" days, call them",IF(AND(AA267&lt;&gt;"",AA267&gt;0),"Overdue - send a reminder",IF(W267&gt;0,"Part paid","Due - waiting for payment"))))))))</f>
        <v>0</v>
      </c>
    </row>
    <row r="268" spans="1:31">
      <c r="A268" s="43">
        <f>IF(B268="","",InvoicePrefix&amp;TEXT(ROW()-4,"0000"))</f>
        <v>0</v>
      </c>
      <c r="C268" s="23">
        <f>IF(B268="","",TEXT(B268,"yyyy-mm"))</f>
        <v>0</v>
      </c>
      <c r="E268" s="23">
        <f>IF(D268="","",IFERROR(INDEX(Clients!$B$5:$B$204,MATCH(D268,Clients!$A$5:$A$204,0)),"Not found"))</f>
        <v>0</v>
      </c>
      <c r="F268" s="23">
        <f>IF(D268="","",IFERROR(INDEX(Clients!$G$5:$G$204,MATCH(D268,Clients!$A$5:$A$204,0)),""))</f>
        <v>0</v>
      </c>
      <c r="Q268" s="31">
        <f>IF(A268="","",COUNTIFS('Invoice Lines'!$B$5:$B$804,A268))</f>
        <v>0</v>
      </c>
      <c r="R268" s="21">
        <f>IF(A268="","",SUMIFS('Invoice Lines'!$N$5:$N$804,'Invoice Lines'!$B$5:$B$804,A268))</f>
        <v>0</v>
      </c>
      <c r="S268" s="21">
        <f>IF(A268="","",ROUND(R268*IF(K268="",0,K268),2))</f>
        <v>0</v>
      </c>
      <c r="T268" s="21">
        <f>IF(A268="","",R268-S268)</f>
        <v>0</v>
      </c>
      <c r="U268" s="21">
        <f>IF(A268="","",ROUND(T268*TaxRate,2))</f>
        <v>0</v>
      </c>
      <c r="V268" s="21">
        <f>IF(A268="","",T268+U268)</f>
        <v>0</v>
      </c>
      <c r="W268" s="21">
        <f>IF(A268="","",SUMIFS(Payments!$G$5:$G$404,Payments!$D$5:$D$404,A268))</f>
        <v>0</v>
      </c>
      <c r="X268" s="21">
        <f>IF(A268="","",ROUND(V268-W268,2))</f>
        <v>0</v>
      </c>
      <c r="Y268" s="31">
        <f>IF(B268="","",IF(J268&lt;&gt;"",J268,IF(IFERROR(INDEX(Clients!$P$5:$P$204,MATCH(D268,Clients!$A$5:$A$204,0)),"")&lt;&gt;"",INDEX(Clients!$P$5:$P$204,MATCH(D268,Clients!$A$5:$A$204,0)),PaymentTerms)))</f>
        <v>0</v>
      </c>
      <c r="Z268" s="18">
        <f>IF(OR(A268="",B268=""),"",B268+Y268)</f>
        <v>0</v>
      </c>
      <c r="AA268" s="31">
        <f>IF(OR(A268="",Z268=""),"",IF(X268&lt;=0.004,"",MAX(0,TodayDate-Z268-OverdueGrace)))</f>
        <v>0</v>
      </c>
      <c r="AB268" s="39">
        <f>IF(B268="","",IF(X268&lt;=0.004,"Paid",IF(AA268="","Not due yet",IF(AA268=0,"Due now",IF(AA268&lt;=30,"1-30 days",IF(AA268&lt;=60,"31-60 days",IF(AA268&lt;=90,"61-90 days","90+ days")))))))</f>
        <v>0</v>
      </c>
      <c r="AC268" s="21">
        <f>IF(OR(A268="",AA268=""),"",IF(AA268&lt;=0,0,ROUND(X268*LateFeePercent,2)))</f>
        <v>0</v>
      </c>
      <c r="AD268" s="50">
        <f>IF(B268="","",IF(X268&lt;=0.004,"Yes","No"))</f>
        <v>0</v>
      </c>
      <c r="AE268" s="39">
        <f>IF(B268="","",IF(Q268=0,"Add - no lines on this invoice yet",IF(H268="Written off","Written off",IF(AD268="Yes","OK - paid",IF(H268="Draft","Draft - not sent yet",IF(AND(AA268&lt;&gt;"",AA268&gt;30),"Overdue - "&amp;AA268&amp;" days, call them",IF(AND(AA268&lt;&gt;"",AA268&gt;0),"Overdue - send a reminder",IF(W268&gt;0,"Part paid","Due - waiting for payment"))))))))</f>
        <v>0</v>
      </c>
    </row>
    <row r="269" spans="1:31">
      <c r="A269" s="43">
        <f>IF(B269="","",InvoicePrefix&amp;TEXT(ROW()-4,"0000"))</f>
        <v>0</v>
      </c>
      <c r="C269" s="23">
        <f>IF(B269="","",TEXT(B269,"yyyy-mm"))</f>
        <v>0</v>
      </c>
      <c r="E269" s="23">
        <f>IF(D269="","",IFERROR(INDEX(Clients!$B$5:$B$204,MATCH(D269,Clients!$A$5:$A$204,0)),"Not found"))</f>
        <v>0</v>
      </c>
      <c r="F269" s="23">
        <f>IF(D269="","",IFERROR(INDEX(Clients!$G$5:$G$204,MATCH(D269,Clients!$A$5:$A$204,0)),""))</f>
        <v>0</v>
      </c>
      <c r="Q269" s="31">
        <f>IF(A269="","",COUNTIFS('Invoice Lines'!$B$5:$B$804,A269))</f>
        <v>0</v>
      </c>
      <c r="R269" s="21">
        <f>IF(A269="","",SUMIFS('Invoice Lines'!$N$5:$N$804,'Invoice Lines'!$B$5:$B$804,A269))</f>
        <v>0</v>
      </c>
      <c r="S269" s="21">
        <f>IF(A269="","",ROUND(R269*IF(K269="",0,K269),2))</f>
        <v>0</v>
      </c>
      <c r="T269" s="21">
        <f>IF(A269="","",R269-S269)</f>
        <v>0</v>
      </c>
      <c r="U269" s="21">
        <f>IF(A269="","",ROUND(T269*TaxRate,2))</f>
        <v>0</v>
      </c>
      <c r="V269" s="21">
        <f>IF(A269="","",T269+U269)</f>
        <v>0</v>
      </c>
      <c r="W269" s="21">
        <f>IF(A269="","",SUMIFS(Payments!$G$5:$G$404,Payments!$D$5:$D$404,A269))</f>
        <v>0</v>
      </c>
      <c r="X269" s="21">
        <f>IF(A269="","",ROUND(V269-W269,2))</f>
        <v>0</v>
      </c>
      <c r="Y269" s="31">
        <f>IF(B269="","",IF(J269&lt;&gt;"",J269,IF(IFERROR(INDEX(Clients!$P$5:$P$204,MATCH(D269,Clients!$A$5:$A$204,0)),"")&lt;&gt;"",INDEX(Clients!$P$5:$P$204,MATCH(D269,Clients!$A$5:$A$204,0)),PaymentTerms)))</f>
        <v>0</v>
      </c>
      <c r="Z269" s="18">
        <f>IF(OR(A269="",B269=""),"",B269+Y269)</f>
        <v>0</v>
      </c>
      <c r="AA269" s="31">
        <f>IF(OR(A269="",Z269=""),"",IF(X269&lt;=0.004,"",MAX(0,TodayDate-Z269-OverdueGrace)))</f>
        <v>0</v>
      </c>
      <c r="AB269" s="39">
        <f>IF(B269="","",IF(X269&lt;=0.004,"Paid",IF(AA269="","Not due yet",IF(AA269=0,"Due now",IF(AA269&lt;=30,"1-30 days",IF(AA269&lt;=60,"31-60 days",IF(AA269&lt;=90,"61-90 days","90+ days")))))))</f>
        <v>0</v>
      </c>
      <c r="AC269" s="21">
        <f>IF(OR(A269="",AA269=""),"",IF(AA269&lt;=0,0,ROUND(X269*LateFeePercent,2)))</f>
        <v>0</v>
      </c>
      <c r="AD269" s="50">
        <f>IF(B269="","",IF(X269&lt;=0.004,"Yes","No"))</f>
        <v>0</v>
      </c>
      <c r="AE269" s="39">
        <f>IF(B269="","",IF(Q269=0,"Add - no lines on this invoice yet",IF(H269="Written off","Written off",IF(AD269="Yes","OK - paid",IF(H269="Draft","Draft - not sent yet",IF(AND(AA269&lt;&gt;"",AA269&gt;30),"Overdue - "&amp;AA269&amp;" days, call them",IF(AND(AA269&lt;&gt;"",AA269&gt;0),"Overdue - send a reminder",IF(W269&gt;0,"Part paid","Due - waiting for payment"))))))))</f>
        <v>0</v>
      </c>
    </row>
    <row r="270" spans="1:31">
      <c r="A270" s="43">
        <f>IF(B270="","",InvoicePrefix&amp;TEXT(ROW()-4,"0000"))</f>
        <v>0</v>
      </c>
      <c r="C270" s="23">
        <f>IF(B270="","",TEXT(B270,"yyyy-mm"))</f>
        <v>0</v>
      </c>
      <c r="E270" s="23">
        <f>IF(D270="","",IFERROR(INDEX(Clients!$B$5:$B$204,MATCH(D270,Clients!$A$5:$A$204,0)),"Not found"))</f>
        <v>0</v>
      </c>
      <c r="F270" s="23">
        <f>IF(D270="","",IFERROR(INDEX(Clients!$G$5:$G$204,MATCH(D270,Clients!$A$5:$A$204,0)),""))</f>
        <v>0</v>
      </c>
      <c r="Q270" s="31">
        <f>IF(A270="","",COUNTIFS('Invoice Lines'!$B$5:$B$804,A270))</f>
        <v>0</v>
      </c>
      <c r="R270" s="21">
        <f>IF(A270="","",SUMIFS('Invoice Lines'!$N$5:$N$804,'Invoice Lines'!$B$5:$B$804,A270))</f>
        <v>0</v>
      </c>
      <c r="S270" s="21">
        <f>IF(A270="","",ROUND(R270*IF(K270="",0,K270),2))</f>
        <v>0</v>
      </c>
      <c r="T270" s="21">
        <f>IF(A270="","",R270-S270)</f>
        <v>0</v>
      </c>
      <c r="U270" s="21">
        <f>IF(A270="","",ROUND(T270*TaxRate,2))</f>
        <v>0</v>
      </c>
      <c r="V270" s="21">
        <f>IF(A270="","",T270+U270)</f>
        <v>0</v>
      </c>
      <c r="W270" s="21">
        <f>IF(A270="","",SUMIFS(Payments!$G$5:$G$404,Payments!$D$5:$D$404,A270))</f>
        <v>0</v>
      </c>
      <c r="X270" s="21">
        <f>IF(A270="","",ROUND(V270-W270,2))</f>
        <v>0</v>
      </c>
      <c r="Y270" s="31">
        <f>IF(B270="","",IF(J270&lt;&gt;"",J270,IF(IFERROR(INDEX(Clients!$P$5:$P$204,MATCH(D270,Clients!$A$5:$A$204,0)),"")&lt;&gt;"",INDEX(Clients!$P$5:$P$204,MATCH(D270,Clients!$A$5:$A$204,0)),PaymentTerms)))</f>
        <v>0</v>
      </c>
      <c r="Z270" s="18">
        <f>IF(OR(A270="",B270=""),"",B270+Y270)</f>
        <v>0</v>
      </c>
      <c r="AA270" s="31">
        <f>IF(OR(A270="",Z270=""),"",IF(X270&lt;=0.004,"",MAX(0,TodayDate-Z270-OverdueGrace)))</f>
        <v>0</v>
      </c>
      <c r="AB270" s="39">
        <f>IF(B270="","",IF(X270&lt;=0.004,"Paid",IF(AA270="","Not due yet",IF(AA270=0,"Due now",IF(AA270&lt;=30,"1-30 days",IF(AA270&lt;=60,"31-60 days",IF(AA270&lt;=90,"61-90 days","90+ days")))))))</f>
        <v>0</v>
      </c>
      <c r="AC270" s="21">
        <f>IF(OR(A270="",AA270=""),"",IF(AA270&lt;=0,0,ROUND(X270*LateFeePercent,2)))</f>
        <v>0</v>
      </c>
      <c r="AD270" s="50">
        <f>IF(B270="","",IF(X270&lt;=0.004,"Yes","No"))</f>
        <v>0</v>
      </c>
      <c r="AE270" s="39">
        <f>IF(B270="","",IF(Q270=0,"Add - no lines on this invoice yet",IF(H270="Written off","Written off",IF(AD270="Yes","OK - paid",IF(H270="Draft","Draft - not sent yet",IF(AND(AA270&lt;&gt;"",AA270&gt;30),"Overdue - "&amp;AA270&amp;" days, call them",IF(AND(AA270&lt;&gt;"",AA270&gt;0),"Overdue - send a reminder",IF(W270&gt;0,"Part paid","Due - waiting for payment"))))))))</f>
        <v>0</v>
      </c>
    </row>
    <row r="271" spans="1:31">
      <c r="A271" s="43">
        <f>IF(B271="","",InvoicePrefix&amp;TEXT(ROW()-4,"0000"))</f>
        <v>0</v>
      </c>
      <c r="C271" s="23">
        <f>IF(B271="","",TEXT(B271,"yyyy-mm"))</f>
        <v>0</v>
      </c>
      <c r="E271" s="23">
        <f>IF(D271="","",IFERROR(INDEX(Clients!$B$5:$B$204,MATCH(D271,Clients!$A$5:$A$204,0)),"Not found"))</f>
        <v>0</v>
      </c>
      <c r="F271" s="23">
        <f>IF(D271="","",IFERROR(INDEX(Clients!$G$5:$G$204,MATCH(D271,Clients!$A$5:$A$204,0)),""))</f>
        <v>0</v>
      </c>
      <c r="Q271" s="31">
        <f>IF(A271="","",COUNTIFS('Invoice Lines'!$B$5:$B$804,A271))</f>
        <v>0</v>
      </c>
      <c r="R271" s="21">
        <f>IF(A271="","",SUMIFS('Invoice Lines'!$N$5:$N$804,'Invoice Lines'!$B$5:$B$804,A271))</f>
        <v>0</v>
      </c>
      <c r="S271" s="21">
        <f>IF(A271="","",ROUND(R271*IF(K271="",0,K271),2))</f>
        <v>0</v>
      </c>
      <c r="T271" s="21">
        <f>IF(A271="","",R271-S271)</f>
        <v>0</v>
      </c>
      <c r="U271" s="21">
        <f>IF(A271="","",ROUND(T271*TaxRate,2))</f>
        <v>0</v>
      </c>
      <c r="V271" s="21">
        <f>IF(A271="","",T271+U271)</f>
        <v>0</v>
      </c>
      <c r="W271" s="21">
        <f>IF(A271="","",SUMIFS(Payments!$G$5:$G$404,Payments!$D$5:$D$404,A271))</f>
        <v>0</v>
      </c>
      <c r="X271" s="21">
        <f>IF(A271="","",ROUND(V271-W271,2))</f>
        <v>0</v>
      </c>
      <c r="Y271" s="31">
        <f>IF(B271="","",IF(J271&lt;&gt;"",J271,IF(IFERROR(INDEX(Clients!$P$5:$P$204,MATCH(D271,Clients!$A$5:$A$204,0)),"")&lt;&gt;"",INDEX(Clients!$P$5:$P$204,MATCH(D271,Clients!$A$5:$A$204,0)),PaymentTerms)))</f>
        <v>0</v>
      </c>
      <c r="Z271" s="18">
        <f>IF(OR(A271="",B271=""),"",B271+Y271)</f>
        <v>0</v>
      </c>
      <c r="AA271" s="31">
        <f>IF(OR(A271="",Z271=""),"",IF(X271&lt;=0.004,"",MAX(0,TodayDate-Z271-OverdueGrace)))</f>
        <v>0</v>
      </c>
      <c r="AB271" s="39">
        <f>IF(B271="","",IF(X271&lt;=0.004,"Paid",IF(AA271="","Not due yet",IF(AA271=0,"Due now",IF(AA271&lt;=30,"1-30 days",IF(AA271&lt;=60,"31-60 days",IF(AA271&lt;=90,"61-90 days","90+ days")))))))</f>
        <v>0</v>
      </c>
      <c r="AC271" s="21">
        <f>IF(OR(A271="",AA271=""),"",IF(AA271&lt;=0,0,ROUND(X271*LateFeePercent,2)))</f>
        <v>0</v>
      </c>
      <c r="AD271" s="50">
        <f>IF(B271="","",IF(X271&lt;=0.004,"Yes","No"))</f>
        <v>0</v>
      </c>
      <c r="AE271" s="39">
        <f>IF(B271="","",IF(Q271=0,"Add - no lines on this invoice yet",IF(H271="Written off","Written off",IF(AD271="Yes","OK - paid",IF(H271="Draft","Draft - not sent yet",IF(AND(AA271&lt;&gt;"",AA271&gt;30),"Overdue - "&amp;AA271&amp;" days, call them",IF(AND(AA271&lt;&gt;"",AA271&gt;0),"Overdue - send a reminder",IF(W271&gt;0,"Part paid","Due - waiting for payment"))))))))</f>
        <v>0</v>
      </c>
    </row>
    <row r="272" spans="1:31">
      <c r="A272" s="43">
        <f>IF(B272="","",InvoicePrefix&amp;TEXT(ROW()-4,"0000"))</f>
        <v>0</v>
      </c>
      <c r="C272" s="23">
        <f>IF(B272="","",TEXT(B272,"yyyy-mm"))</f>
        <v>0</v>
      </c>
      <c r="E272" s="23">
        <f>IF(D272="","",IFERROR(INDEX(Clients!$B$5:$B$204,MATCH(D272,Clients!$A$5:$A$204,0)),"Not found"))</f>
        <v>0</v>
      </c>
      <c r="F272" s="23">
        <f>IF(D272="","",IFERROR(INDEX(Clients!$G$5:$G$204,MATCH(D272,Clients!$A$5:$A$204,0)),""))</f>
        <v>0</v>
      </c>
      <c r="Q272" s="31">
        <f>IF(A272="","",COUNTIFS('Invoice Lines'!$B$5:$B$804,A272))</f>
        <v>0</v>
      </c>
      <c r="R272" s="21">
        <f>IF(A272="","",SUMIFS('Invoice Lines'!$N$5:$N$804,'Invoice Lines'!$B$5:$B$804,A272))</f>
        <v>0</v>
      </c>
      <c r="S272" s="21">
        <f>IF(A272="","",ROUND(R272*IF(K272="",0,K272),2))</f>
        <v>0</v>
      </c>
      <c r="T272" s="21">
        <f>IF(A272="","",R272-S272)</f>
        <v>0</v>
      </c>
      <c r="U272" s="21">
        <f>IF(A272="","",ROUND(T272*TaxRate,2))</f>
        <v>0</v>
      </c>
      <c r="V272" s="21">
        <f>IF(A272="","",T272+U272)</f>
        <v>0</v>
      </c>
      <c r="W272" s="21">
        <f>IF(A272="","",SUMIFS(Payments!$G$5:$G$404,Payments!$D$5:$D$404,A272))</f>
        <v>0</v>
      </c>
      <c r="X272" s="21">
        <f>IF(A272="","",ROUND(V272-W272,2))</f>
        <v>0</v>
      </c>
      <c r="Y272" s="31">
        <f>IF(B272="","",IF(J272&lt;&gt;"",J272,IF(IFERROR(INDEX(Clients!$P$5:$P$204,MATCH(D272,Clients!$A$5:$A$204,0)),"")&lt;&gt;"",INDEX(Clients!$P$5:$P$204,MATCH(D272,Clients!$A$5:$A$204,0)),PaymentTerms)))</f>
        <v>0</v>
      </c>
      <c r="Z272" s="18">
        <f>IF(OR(A272="",B272=""),"",B272+Y272)</f>
        <v>0</v>
      </c>
      <c r="AA272" s="31">
        <f>IF(OR(A272="",Z272=""),"",IF(X272&lt;=0.004,"",MAX(0,TodayDate-Z272-OverdueGrace)))</f>
        <v>0</v>
      </c>
      <c r="AB272" s="39">
        <f>IF(B272="","",IF(X272&lt;=0.004,"Paid",IF(AA272="","Not due yet",IF(AA272=0,"Due now",IF(AA272&lt;=30,"1-30 days",IF(AA272&lt;=60,"31-60 days",IF(AA272&lt;=90,"61-90 days","90+ days")))))))</f>
        <v>0</v>
      </c>
      <c r="AC272" s="21">
        <f>IF(OR(A272="",AA272=""),"",IF(AA272&lt;=0,0,ROUND(X272*LateFeePercent,2)))</f>
        <v>0</v>
      </c>
      <c r="AD272" s="50">
        <f>IF(B272="","",IF(X272&lt;=0.004,"Yes","No"))</f>
        <v>0</v>
      </c>
      <c r="AE272" s="39">
        <f>IF(B272="","",IF(Q272=0,"Add - no lines on this invoice yet",IF(H272="Written off","Written off",IF(AD272="Yes","OK - paid",IF(H272="Draft","Draft - not sent yet",IF(AND(AA272&lt;&gt;"",AA272&gt;30),"Overdue - "&amp;AA272&amp;" days, call them",IF(AND(AA272&lt;&gt;"",AA272&gt;0),"Overdue - send a reminder",IF(W272&gt;0,"Part paid","Due - waiting for payment"))))))))</f>
        <v>0</v>
      </c>
    </row>
    <row r="273" spans="1:31">
      <c r="A273" s="43">
        <f>IF(B273="","",InvoicePrefix&amp;TEXT(ROW()-4,"0000"))</f>
        <v>0</v>
      </c>
      <c r="C273" s="23">
        <f>IF(B273="","",TEXT(B273,"yyyy-mm"))</f>
        <v>0</v>
      </c>
      <c r="E273" s="23">
        <f>IF(D273="","",IFERROR(INDEX(Clients!$B$5:$B$204,MATCH(D273,Clients!$A$5:$A$204,0)),"Not found"))</f>
        <v>0</v>
      </c>
      <c r="F273" s="23">
        <f>IF(D273="","",IFERROR(INDEX(Clients!$G$5:$G$204,MATCH(D273,Clients!$A$5:$A$204,0)),""))</f>
        <v>0</v>
      </c>
      <c r="Q273" s="31">
        <f>IF(A273="","",COUNTIFS('Invoice Lines'!$B$5:$B$804,A273))</f>
        <v>0</v>
      </c>
      <c r="R273" s="21">
        <f>IF(A273="","",SUMIFS('Invoice Lines'!$N$5:$N$804,'Invoice Lines'!$B$5:$B$804,A273))</f>
        <v>0</v>
      </c>
      <c r="S273" s="21">
        <f>IF(A273="","",ROUND(R273*IF(K273="",0,K273),2))</f>
        <v>0</v>
      </c>
      <c r="T273" s="21">
        <f>IF(A273="","",R273-S273)</f>
        <v>0</v>
      </c>
      <c r="U273" s="21">
        <f>IF(A273="","",ROUND(T273*TaxRate,2))</f>
        <v>0</v>
      </c>
      <c r="V273" s="21">
        <f>IF(A273="","",T273+U273)</f>
        <v>0</v>
      </c>
      <c r="W273" s="21">
        <f>IF(A273="","",SUMIFS(Payments!$G$5:$G$404,Payments!$D$5:$D$404,A273))</f>
        <v>0</v>
      </c>
      <c r="X273" s="21">
        <f>IF(A273="","",ROUND(V273-W273,2))</f>
        <v>0</v>
      </c>
      <c r="Y273" s="31">
        <f>IF(B273="","",IF(J273&lt;&gt;"",J273,IF(IFERROR(INDEX(Clients!$P$5:$P$204,MATCH(D273,Clients!$A$5:$A$204,0)),"")&lt;&gt;"",INDEX(Clients!$P$5:$P$204,MATCH(D273,Clients!$A$5:$A$204,0)),PaymentTerms)))</f>
        <v>0</v>
      </c>
      <c r="Z273" s="18">
        <f>IF(OR(A273="",B273=""),"",B273+Y273)</f>
        <v>0</v>
      </c>
      <c r="AA273" s="31">
        <f>IF(OR(A273="",Z273=""),"",IF(X273&lt;=0.004,"",MAX(0,TodayDate-Z273-OverdueGrace)))</f>
        <v>0</v>
      </c>
      <c r="AB273" s="39">
        <f>IF(B273="","",IF(X273&lt;=0.004,"Paid",IF(AA273="","Not due yet",IF(AA273=0,"Due now",IF(AA273&lt;=30,"1-30 days",IF(AA273&lt;=60,"31-60 days",IF(AA273&lt;=90,"61-90 days","90+ days")))))))</f>
        <v>0</v>
      </c>
      <c r="AC273" s="21">
        <f>IF(OR(A273="",AA273=""),"",IF(AA273&lt;=0,0,ROUND(X273*LateFeePercent,2)))</f>
        <v>0</v>
      </c>
      <c r="AD273" s="50">
        <f>IF(B273="","",IF(X273&lt;=0.004,"Yes","No"))</f>
        <v>0</v>
      </c>
      <c r="AE273" s="39">
        <f>IF(B273="","",IF(Q273=0,"Add - no lines on this invoice yet",IF(H273="Written off","Written off",IF(AD273="Yes","OK - paid",IF(H273="Draft","Draft - not sent yet",IF(AND(AA273&lt;&gt;"",AA273&gt;30),"Overdue - "&amp;AA273&amp;" days, call them",IF(AND(AA273&lt;&gt;"",AA273&gt;0),"Overdue - send a reminder",IF(W273&gt;0,"Part paid","Due - waiting for payment"))))))))</f>
        <v>0</v>
      </c>
    </row>
    <row r="274" spans="1:31">
      <c r="A274" s="43">
        <f>IF(B274="","",InvoicePrefix&amp;TEXT(ROW()-4,"0000"))</f>
        <v>0</v>
      </c>
      <c r="C274" s="23">
        <f>IF(B274="","",TEXT(B274,"yyyy-mm"))</f>
        <v>0</v>
      </c>
      <c r="E274" s="23">
        <f>IF(D274="","",IFERROR(INDEX(Clients!$B$5:$B$204,MATCH(D274,Clients!$A$5:$A$204,0)),"Not found"))</f>
        <v>0</v>
      </c>
      <c r="F274" s="23">
        <f>IF(D274="","",IFERROR(INDEX(Clients!$G$5:$G$204,MATCH(D274,Clients!$A$5:$A$204,0)),""))</f>
        <v>0</v>
      </c>
      <c r="Q274" s="31">
        <f>IF(A274="","",COUNTIFS('Invoice Lines'!$B$5:$B$804,A274))</f>
        <v>0</v>
      </c>
      <c r="R274" s="21">
        <f>IF(A274="","",SUMIFS('Invoice Lines'!$N$5:$N$804,'Invoice Lines'!$B$5:$B$804,A274))</f>
        <v>0</v>
      </c>
      <c r="S274" s="21">
        <f>IF(A274="","",ROUND(R274*IF(K274="",0,K274),2))</f>
        <v>0</v>
      </c>
      <c r="T274" s="21">
        <f>IF(A274="","",R274-S274)</f>
        <v>0</v>
      </c>
      <c r="U274" s="21">
        <f>IF(A274="","",ROUND(T274*TaxRate,2))</f>
        <v>0</v>
      </c>
      <c r="V274" s="21">
        <f>IF(A274="","",T274+U274)</f>
        <v>0</v>
      </c>
      <c r="W274" s="21">
        <f>IF(A274="","",SUMIFS(Payments!$G$5:$G$404,Payments!$D$5:$D$404,A274))</f>
        <v>0</v>
      </c>
      <c r="X274" s="21">
        <f>IF(A274="","",ROUND(V274-W274,2))</f>
        <v>0</v>
      </c>
      <c r="Y274" s="31">
        <f>IF(B274="","",IF(J274&lt;&gt;"",J274,IF(IFERROR(INDEX(Clients!$P$5:$P$204,MATCH(D274,Clients!$A$5:$A$204,0)),"")&lt;&gt;"",INDEX(Clients!$P$5:$P$204,MATCH(D274,Clients!$A$5:$A$204,0)),PaymentTerms)))</f>
        <v>0</v>
      </c>
      <c r="Z274" s="18">
        <f>IF(OR(A274="",B274=""),"",B274+Y274)</f>
        <v>0</v>
      </c>
      <c r="AA274" s="31">
        <f>IF(OR(A274="",Z274=""),"",IF(X274&lt;=0.004,"",MAX(0,TodayDate-Z274-OverdueGrace)))</f>
        <v>0</v>
      </c>
      <c r="AB274" s="39">
        <f>IF(B274="","",IF(X274&lt;=0.004,"Paid",IF(AA274="","Not due yet",IF(AA274=0,"Due now",IF(AA274&lt;=30,"1-30 days",IF(AA274&lt;=60,"31-60 days",IF(AA274&lt;=90,"61-90 days","90+ days")))))))</f>
        <v>0</v>
      </c>
      <c r="AC274" s="21">
        <f>IF(OR(A274="",AA274=""),"",IF(AA274&lt;=0,0,ROUND(X274*LateFeePercent,2)))</f>
        <v>0</v>
      </c>
      <c r="AD274" s="50">
        <f>IF(B274="","",IF(X274&lt;=0.004,"Yes","No"))</f>
        <v>0</v>
      </c>
      <c r="AE274" s="39">
        <f>IF(B274="","",IF(Q274=0,"Add - no lines on this invoice yet",IF(H274="Written off","Written off",IF(AD274="Yes","OK - paid",IF(H274="Draft","Draft - not sent yet",IF(AND(AA274&lt;&gt;"",AA274&gt;30),"Overdue - "&amp;AA274&amp;" days, call them",IF(AND(AA274&lt;&gt;"",AA274&gt;0),"Overdue - send a reminder",IF(W274&gt;0,"Part paid","Due - waiting for payment"))))))))</f>
        <v>0</v>
      </c>
    </row>
    <row r="275" spans="1:31">
      <c r="A275" s="43">
        <f>IF(B275="","",InvoicePrefix&amp;TEXT(ROW()-4,"0000"))</f>
        <v>0</v>
      </c>
      <c r="C275" s="23">
        <f>IF(B275="","",TEXT(B275,"yyyy-mm"))</f>
        <v>0</v>
      </c>
      <c r="E275" s="23">
        <f>IF(D275="","",IFERROR(INDEX(Clients!$B$5:$B$204,MATCH(D275,Clients!$A$5:$A$204,0)),"Not found"))</f>
        <v>0</v>
      </c>
      <c r="F275" s="23">
        <f>IF(D275="","",IFERROR(INDEX(Clients!$G$5:$G$204,MATCH(D275,Clients!$A$5:$A$204,0)),""))</f>
        <v>0</v>
      </c>
      <c r="Q275" s="31">
        <f>IF(A275="","",COUNTIFS('Invoice Lines'!$B$5:$B$804,A275))</f>
        <v>0</v>
      </c>
      <c r="R275" s="21">
        <f>IF(A275="","",SUMIFS('Invoice Lines'!$N$5:$N$804,'Invoice Lines'!$B$5:$B$804,A275))</f>
        <v>0</v>
      </c>
      <c r="S275" s="21">
        <f>IF(A275="","",ROUND(R275*IF(K275="",0,K275),2))</f>
        <v>0</v>
      </c>
      <c r="T275" s="21">
        <f>IF(A275="","",R275-S275)</f>
        <v>0</v>
      </c>
      <c r="U275" s="21">
        <f>IF(A275="","",ROUND(T275*TaxRate,2))</f>
        <v>0</v>
      </c>
      <c r="V275" s="21">
        <f>IF(A275="","",T275+U275)</f>
        <v>0</v>
      </c>
      <c r="W275" s="21">
        <f>IF(A275="","",SUMIFS(Payments!$G$5:$G$404,Payments!$D$5:$D$404,A275))</f>
        <v>0</v>
      </c>
      <c r="X275" s="21">
        <f>IF(A275="","",ROUND(V275-W275,2))</f>
        <v>0</v>
      </c>
      <c r="Y275" s="31">
        <f>IF(B275="","",IF(J275&lt;&gt;"",J275,IF(IFERROR(INDEX(Clients!$P$5:$P$204,MATCH(D275,Clients!$A$5:$A$204,0)),"")&lt;&gt;"",INDEX(Clients!$P$5:$P$204,MATCH(D275,Clients!$A$5:$A$204,0)),PaymentTerms)))</f>
        <v>0</v>
      </c>
      <c r="Z275" s="18">
        <f>IF(OR(A275="",B275=""),"",B275+Y275)</f>
        <v>0</v>
      </c>
      <c r="AA275" s="31">
        <f>IF(OR(A275="",Z275=""),"",IF(X275&lt;=0.004,"",MAX(0,TodayDate-Z275-OverdueGrace)))</f>
        <v>0</v>
      </c>
      <c r="AB275" s="39">
        <f>IF(B275="","",IF(X275&lt;=0.004,"Paid",IF(AA275="","Not due yet",IF(AA275=0,"Due now",IF(AA275&lt;=30,"1-30 days",IF(AA275&lt;=60,"31-60 days",IF(AA275&lt;=90,"61-90 days","90+ days")))))))</f>
        <v>0</v>
      </c>
      <c r="AC275" s="21">
        <f>IF(OR(A275="",AA275=""),"",IF(AA275&lt;=0,0,ROUND(X275*LateFeePercent,2)))</f>
        <v>0</v>
      </c>
      <c r="AD275" s="50">
        <f>IF(B275="","",IF(X275&lt;=0.004,"Yes","No"))</f>
        <v>0</v>
      </c>
      <c r="AE275" s="39">
        <f>IF(B275="","",IF(Q275=0,"Add - no lines on this invoice yet",IF(H275="Written off","Written off",IF(AD275="Yes","OK - paid",IF(H275="Draft","Draft - not sent yet",IF(AND(AA275&lt;&gt;"",AA275&gt;30),"Overdue - "&amp;AA275&amp;" days, call them",IF(AND(AA275&lt;&gt;"",AA275&gt;0),"Overdue - send a reminder",IF(W275&gt;0,"Part paid","Due - waiting for payment"))))))))</f>
        <v>0</v>
      </c>
    </row>
    <row r="276" spans="1:31">
      <c r="A276" s="43">
        <f>IF(B276="","",InvoicePrefix&amp;TEXT(ROW()-4,"0000"))</f>
        <v>0</v>
      </c>
      <c r="C276" s="23">
        <f>IF(B276="","",TEXT(B276,"yyyy-mm"))</f>
        <v>0</v>
      </c>
      <c r="E276" s="23">
        <f>IF(D276="","",IFERROR(INDEX(Clients!$B$5:$B$204,MATCH(D276,Clients!$A$5:$A$204,0)),"Not found"))</f>
        <v>0</v>
      </c>
      <c r="F276" s="23">
        <f>IF(D276="","",IFERROR(INDEX(Clients!$G$5:$G$204,MATCH(D276,Clients!$A$5:$A$204,0)),""))</f>
        <v>0</v>
      </c>
      <c r="Q276" s="31">
        <f>IF(A276="","",COUNTIFS('Invoice Lines'!$B$5:$B$804,A276))</f>
        <v>0</v>
      </c>
      <c r="R276" s="21">
        <f>IF(A276="","",SUMIFS('Invoice Lines'!$N$5:$N$804,'Invoice Lines'!$B$5:$B$804,A276))</f>
        <v>0</v>
      </c>
      <c r="S276" s="21">
        <f>IF(A276="","",ROUND(R276*IF(K276="",0,K276),2))</f>
        <v>0</v>
      </c>
      <c r="T276" s="21">
        <f>IF(A276="","",R276-S276)</f>
        <v>0</v>
      </c>
      <c r="U276" s="21">
        <f>IF(A276="","",ROUND(T276*TaxRate,2))</f>
        <v>0</v>
      </c>
      <c r="V276" s="21">
        <f>IF(A276="","",T276+U276)</f>
        <v>0</v>
      </c>
      <c r="W276" s="21">
        <f>IF(A276="","",SUMIFS(Payments!$G$5:$G$404,Payments!$D$5:$D$404,A276))</f>
        <v>0</v>
      </c>
      <c r="X276" s="21">
        <f>IF(A276="","",ROUND(V276-W276,2))</f>
        <v>0</v>
      </c>
      <c r="Y276" s="31">
        <f>IF(B276="","",IF(J276&lt;&gt;"",J276,IF(IFERROR(INDEX(Clients!$P$5:$P$204,MATCH(D276,Clients!$A$5:$A$204,0)),"")&lt;&gt;"",INDEX(Clients!$P$5:$P$204,MATCH(D276,Clients!$A$5:$A$204,0)),PaymentTerms)))</f>
        <v>0</v>
      </c>
      <c r="Z276" s="18">
        <f>IF(OR(A276="",B276=""),"",B276+Y276)</f>
        <v>0</v>
      </c>
      <c r="AA276" s="31">
        <f>IF(OR(A276="",Z276=""),"",IF(X276&lt;=0.004,"",MAX(0,TodayDate-Z276-OverdueGrace)))</f>
        <v>0</v>
      </c>
      <c r="AB276" s="39">
        <f>IF(B276="","",IF(X276&lt;=0.004,"Paid",IF(AA276="","Not due yet",IF(AA276=0,"Due now",IF(AA276&lt;=30,"1-30 days",IF(AA276&lt;=60,"31-60 days",IF(AA276&lt;=90,"61-90 days","90+ days")))))))</f>
        <v>0</v>
      </c>
      <c r="AC276" s="21">
        <f>IF(OR(A276="",AA276=""),"",IF(AA276&lt;=0,0,ROUND(X276*LateFeePercent,2)))</f>
        <v>0</v>
      </c>
      <c r="AD276" s="50">
        <f>IF(B276="","",IF(X276&lt;=0.004,"Yes","No"))</f>
        <v>0</v>
      </c>
      <c r="AE276" s="39">
        <f>IF(B276="","",IF(Q276=0,"Add - no lines on this invoice yet",IF(H276="Written off","Written off",IF(AD276="Yes","OK - paid",IF(H276="Draft","Draft - not sent yet",IF(AND(AA276&lt;&gt;"",AA276&gt;30),"Overdue - "&amp;AA276&amp;" days, call them",IF(AND(AA276&lt;&gt;"",AA276&gt;0),"Overdue - send a reminder",IF(W276&gt;0,"Part paid","Due - waiting for payment"))))))))</f>
        <v>0</v>
      </c>
    </row>
    <row r="277" spans="1:31">
      <c r="A277" s="43">
        <f>IF(B277="","",InvoicePrefix&amp;TEXT(ROW()-4,"0000"))</f>
        <v>0</v>
      </c>
      <c r="C277" s="23">
        <f>IF(B277="","",TEXT(B277,"yyyy-mm"))</f>
        <v>0</v>
      </c>
      <c r="E277" s="23">
        <f>IF(D277="","",IFERROR(INDEX(Clients!$B$5:$B$204,MATCH(D277,Clients!$A$5:$A$204,0)),"Not found"))</f>
        <v>0</v>
      </c>
      <c r="F277" s="23">
        <f>IF(D277="","",IFERROR(INDEX(Clients!$G$5:$G$204,MATCH(D277,Clients!$A$5:$A$204,0)),""))</f>
        <v>0</v>
      </c>
      <c r="Q277" s="31">
        <f>IF(A277="","",COUNTIFS('Invoice Lines'!$B$5:$B$804,A277))</f>
        <v>0</v>
      </c>
      <c r="R277" s="21">
        <f>IF(A277="","",SUMIFS('Invoice Lines'!$N$5:$N$804,'Invoice Lines'!$B$5:$B$804,A277))</f>
        <v>0</v>
      </c>
      <c r="S277" s="21">
        <f>IF(A277="","",ROUND(R277*IF(K277="",0,K277),2))</f>
        <v>0</v>
      </c>
      <c r="T277" s="21">
        <f>IF(A277="","",R277-S277)</f>
        <v>0</v>
      </c>
      <c r="U277" s="21">
        <f>IF(A277="","",ROUND(T277*TaxRate,2))</f>
        <v>0</v>
      </c>
      <c r="V277" s="21">
        <f>IF(A277="","",T277+U277)</f>
        <v>0</v>
      </c>
      <c r="W277" s="21">
        <f>IF(A277="","",SUMIFS(Payments!$G$5:$G$404,Payments!$D$5:$D$404,A277))</f>
        <v>0</v>
      </c>
      <c r="X277" s="21">
        <f>IF(A277="","",ROUND(V277-W277,2))</f>
        <v>0</v>
      </c>
      <c r="Y277" s="31">
        <f>IF(B277="","",IF(J277&lt;&gt;"",J277,IF(IFERROR(INDEX(Clients!$P$5:$P$204,MATCH(D277,Clients!$A$5:$A$204,0)),"")&lt;&gt;"",INDEX(Clients!$P$5:$P$204,MATCH(D277,Clients!$A$5:$A$204,0)),PaymentTerms)))</f>
        <v>0</v>
      </c>
      <c r="Z277" s="18">
        <f>IF(OR(A277="",B277=""),"",B277+Y277)</f>
        <v>0</v>
      </c>
      <c r="AA277" s="31">
        <f>IF(OR(A277="",Z277=""),"",IF(X277&lt;=0.004,"",MAX(0,TodayDate-Z277-OverdueGrace)))</f>
        <v>0</v>
      </c>
      <c r="AB277" s="39">
        <f>IF(B277="","",IF(X277&lt;=0.004,"Paid",IF(AA277="","Not due yet",IF(AA277=0,"Due now",IF(AA277&lt;=30,"1-30 days",IF(AA277&lt;=60,"31-60 days",IF(AA277&lt;=90,"61-90 days","90+ days")))))))</f>
        <v>0</v>
      </c>
      <c r="AC277" s="21">
        <f>IF(OR(A277="",AA277=""),"",IF(AA277&lt;=0,0,ROUND(X277*LateFeePercent,2)))</f>
        <v>0</v>
      </c>
      <c r="AD277" s="50">
        <f>IF(B277="","",IF(X277&lt;=0.004,"Yes","No"))</f>
        <v>0</v>
      </c>
      <c r="AE277" s="39">
        <f>IF(B277="","",IF(Q277=0,"Add - no lines on this invoice yet",IF(H277="Written off","Written off",IF(AD277="Yes","OK - paid",IF(H277="Draft","Draft - not sent yet",IF(AND(AA277&lt;&gt;"",AA277&gt;30),"Overdue - "&amp;AA277&amp;" days, call them",IF(AND(AA277&lt;&gt;"",AA277&gt;0),"Overdue - send a reminder",IF(W277&gt;0,"Part paid","Due - waiting for payment"))))))))</f>
        <v>0</v>
      </c>
    </row>
    <row r="278" spans="1:31">
      <c r="A278" s="43">
        <f>IF(B278="","",InvoicePrefix&amp;TEXT(ROW()-4,"0000"))</f>
        <v>0</v>
      </c>
      <c r="C278" s="23">
        <f>IF(B278="","",TEXT(B278,"yyyy-mm"))</f>
        <v>0</v>
      </c>
      <c r="E278" s="23">
        <f>IF(D278="","",IFERROR(INDEX(Clients!$B$5:$B$204,MATCH(D278,Clients!$A$5:$A$204,0)),"Not found"))</f>
        <v>0</v>
      </c>
      <c r="F278" s="23">
        <f>IF(D278="","",IFERROR(INDEX(Clients!$G$5:$G$204,MATCH(D278,Clients!$A$5:$A$204,0)),""))</f>
        <v>0</v>
      </c>
      <c r="Q278" s="31">
        <f>IF(A278="","",COUNTIFS('Invoice Lines'!$B$5:$B$804,A278))</f>
        <v>0</v>
      </c>
      <c r="R278" s="21">
        <f>IF(A278="","",SUMIFS('Invoice Lines'!$N$5:$N$804,'Invoice Lines'!$B$5:$B$804,A278))</f>
        <v>0</v>
      </c>
      <c r="S278" s="21">
        <f>IF(A278="","",ROUND(R278*IF(K278="",0,K278),2))</f>
        <v>0</v>
      </c>
      <c r="T278" s="21">
        <f>IF(A278="","",R278-S278)</f>
        <v>0</v>
      </c>
      <c r="U278" s="21">
        <f>IF(A278="","",ROUND(T278*TaxRate,2))</f>
        <v>0</v>
      </c>
      <c r="V278" s="21">
        <f>IF(A278="","",T278+U278)</f>
        <v>0</v>
      </c>
      <c r="W278" s="21">
        <f>IF(A278="","",SUMIFS(Payments!$G$5:$G$404,Payments!$D$5:$D$404,A278))</f>
        <v>0</v>
      </c>
      <c r="X278" s="21">
        <f>IF(A278="","",ROUND(V278-W278,2))</f>
        <v>0</v>
      </c>
      <c r="Y278" s="31">
        <f>IF(B278="","",IF(J278&lt;&gt;"",J278,IF(IFERROR(INDEX(Clients!$P$5:$P$204,MATCH(D278,Clients!$A$5:$A$204,0)),"")&lt;&gt;"",INDEX(Clients!$P$5:$P$204,MATCH(D278,Clients!$A$5:$A$204,0)),PaymentTerms)))</f>
        <v>0</v>
      </c>
      <c r="Z278" s="18">
        <f>IF(OR(A278="",B278=""),"",B278+Y278)</f>
        <v>0</v>
      </c>
      <c r="AA278" s="31">
        <f>IF(OR(A278="",Z278=""),"",IF(X278&lt;=0.004,"",MAX(0,TodayDate-Z278-OverdueGrace)))</f>
        <v>0</v>
      </c>
      <c r="AB278" s="39">
        <f>IF(B278="","",IF(X278&lt;=0.004,"Paid",IF(AA278="","Not due yet",IF(AA278=0,"Due now",IF(AA278&lt;=30,"1-30 days",IF(AA278&lt;=60,"31-60 days",IF(AA278&lt;=90,"61-90 days","90+ days")))))))</f>
        <v>0</v>
      </c>
      <c r="AC278" s="21">
        <f>IF(OR(A278="",AA278=""),"",IF(AA278&lt;=0,0,ROUND(X278*LateFeePercent,2)))</f>
        <v>0</v>
      </c>
      <c r="AD278" s="50">
        <f>IF(B278="","",IF(X278&lt;=0.004,"Yes","No"))</f>
        <v>0</v>
      </c>
      <c r="AE278" s="39">
        <f>IF(B278="","",IF(Q278=0,"Add - no lines on this invoice yet",IF(H278="Written off","Written off",IF(AD278="Yes","OK - paid",IF(H278="Draft","Draft - not sent yet",IF(AND(AA278&lt;&gt;"",AA278&gt;30),"Overdue - "&amp;AA278&amp;" days, call them",IF(AND(AA278&lt;&gt;"",AA278&gt;0),"Overdue - send a reminder",IF(W278&gt;0,"Part paid","Due - waiting for payment"))))))))</f>
        <v>0</v>
      </c>
    </row>
    <row r="279" spans="1:31">
      <c r="A279" s="43">
        <f>IF(B279="","",InvoicePrefix&amp;TEXT(ROW()-4,"0000"))</f>
        <v>0</v>
      </c>
      <c r="C279" s="23">
        <f>IF(B279="","",TEXT(B279,"yyyy-mm"))</f>
        <v>0</v>
      </c>
      <c r="E279" s="23">
        <f>IF(D279="","",IFERROR(INDEX(Clients!$B$5:$B$204,MATCH(D279,Clients!$A$5:$A$204,0)),"Not found"))</f>
        <v>0</v>
      </c>
      <c r="F279" s="23">
        <f>IF(D279="","",IFERROR(INDEX(Clients!$G$5:$G$204,MATCH(D279,Clients!$A$5:$A$204,0)),""))</f>
        <v>0</v>
      </c>
      <c r="Q279" s="31">
        <f>IF(A279="","",COUNTIFS('Invoice Lines'!$B$5:$B$804,A279))</f>
        <v>0</v>
      </c>
      <c r="R279" s="21">
        <f>IF(A279="","",SUMIFS('Invoice Lines'!$N$5:$N$804,'Invoice Lines'!$B$5:$B$804,A279))</f>
        <v>0</v>
      </c>
      <c r="S279" s="21">
        <f>IF(A279="","",ROUND(R279*IF(K279="",0,K279),2))</f>
        <v>0</v>
      </c>
      <c r="T279" s="21">
        <f>IF(A279="","",R279-S279)</f>
        <v>0</v>
      </c>
      <c r="U279" s="21">
        <f>IF(A279="","",ROUND(T279*TaxRate,2))</f>
        <v>0</v>
      </c>
      <c r="V279" s="21">
        <f>IF(A279="","",T279+U279)</f>
        <v>0</v>
      </c>
      <c r="W279" s="21">
        <f>IF(A279="","",SUMIFS(Payments!$G$5:$G$404,Payments!$D$5:$D$404,A279))</f>
        <v>0</v>
      </c>
      <c r="X279" s="21">
        <f>IF(A279="","",ROUND(V279-W279,2))</f>
        <v>0</v>
      </c>
      <c r="Y279" s="31">
        <f>IF(B279="","",IF(J279&lt;&gt;"",J279,IF(IFERROR(INDEX(Clients!$P$5:$P$204,MATCH(D279,Clients!$A$5:$A$204,0)),"")&lt;&gt;"",INDEX(Clients!$P$5:$P$204,MATCH(D279,Clients!$A$5:$A$204,0)),PaymentTerms)))</f>
        <v>0</v>
      </c>
      <c r="Z279" s="18">
        <f>IF(OR(A279="",B279=""),"",B279+Y279)</f>
        <v>0</v>
      </c>
      <c r="AA279" s="31">
        <f>IF(OR(A279="",Z279=""),"",IF(X279&lt;=0.004,"",MAX(0,TodayDate-Z279-OverdueGrace)))</f>
        <v>0</v>
      </c>
      <c r="AB279" s="39">
        <f>IF(B279="","",IF(X279&lt;=0.004,"Paid",IF(AA279="","Not due yet",IF(AA279=0,"Due now",IF(AA279&lt;=30,"1-30 days",IF(AA279&lt;=60,"31-60 days",IF(AA279&lt;=90,"61-90 days","90+ days")))))))</f>
        <v>0</v>
      </c>
      <c r="AC279" s="21">
        <f>IF(OR(A279="",AA279=""),"",IF(AA279&lt;=0,0,ROUND(X279*LateFeePercent,2)))</f>
        <v>0</v>
      </c>
      <c r="AD279" s="50">
        <f>IF(B279="","",IF(X279&lt;=0.004,"Yes","No"))</f>
        <v>0</v>
      </c>
      <c r="AE279" s="39">
        <f>IF(B279="","",IF(Q279=0,"Add - no lines on this invoice yet",IF(H279="Written off","Written off",IF(AD279="Yes","OK - paid",IF(H279="Draft","Draft - not sent yet",IF(AND(AA279&lt;&gt;"",AA279&gt;30),"Overdue - "&amp;AA279&amp;" days, call them",IF(AND(AA279&lt;&gt;"",AA279&gt;0),"Overdue - send a reminder",IF(W279&gt;0,"Part paid","Due - waiting for payment"))))))))</f>
        <v>0</v>
      </c>
    </row>
    <row r="280" spans="1:31">
      <c r="A280" s="43">
        <f>IF(B280="","",InvoicePrefix&amp;TEXT(ROW()-4,"0000"))</f>
        <v>0</v>
      </c>
      <c r="C280" s="23">
        <f>IF(B280="","",TEXT(B280,"yyyy-mm"))</f>
        <v>0</v>
      </c>
      <c r="E280" s="23">
        <f>IF(D280="","",IFERROR(INDEX(Clients!$B$5:$B$204,MATCH(D280,Clients!$A$5:$A$204,0)),"Not found"))</f>
        <v>0</v>
      </c>
      <c r="F280" s="23">
        <f>IF(D280="","",IFERROR(INDEX(Clients!$G$5:$G$204,MATCH(D280,Clients!$A$5:$A$204,0)),""))</f>
        <v>0</v>
      </c>
      <c r="Q280" s="31">
        <f>IF(A280="","",COUNTIFS('Invoice Lines'!$B$5:$B$804,A280))</f>
        <v>0</v>
      </c>
      <c r="R280" s="21">
        <f>IF(A280="","",SUMIFS('Invoice Lines'!$N$5:$N$804,'Invoice Lines'!$B$5:$B$804,A280))</f>
        <v>0</v>
      </c>
      <c r="S280" s="21">
        <f>IF(A280="","",ROUND(R280*IF(K280="",0,K280),2))</f>
        <v>0</v>
      </c>
      <c r="T280" s="21">
        <f>IF(A280="","",R280-S280)</f>
        <v>0</v>
      </c>
      <c r="U280" s="21">
        <f>IF(A280="","",ROUND(T280*TaxRate,2))</f>
        <v>0</v>
      </c>
      <c r="V280" s="21">
        <f>IF(A280="","",T280+U280)</f>
        <v>0</v>
      </c>
      <c r="W280" s="21">
        <f>IF(A280="","",SUMIFS(Payments!$G$5:$G$404,Payments!$D$5:$D$404,A280))</f>
        <v>0</v>
      </c>
      <c r="X280" s="21">
        <f>IF(A280="","",ROUND(V280-W280,2))</f>
        <v>0</v>
      </c>
      <c r="Y280" s="31">
        <f>IF(B280="","",IF(J280&lt;&gt;"",J280,IF(IFERROR(INDEX(Clients!$P$5:$P$204,MATCH(D280,Clients!$A$5:$A$204,0)),"")&lt;&gt;"",INDEX(Clients!$P$5:$P$204,MATCH(D280,Clients!$A$5:$A$204,0)),PaymentTerms)))</f>
        <v>0</v>
      </c>
      <c r="Z280" s="18">
        <f>IF(OR(A280="",B280=""),"",B280+Y280)</f>
        <v>0</v>
      </c>
      <c r="AA280" s="31">
        <f>IF(OR(A280="",Z280=""),"",IF(X280&lt;=0.004,"",MAX(0,TodayDate-Z280-OverdueGrace)))</f>
        <v>0</v>
      </c>
      <c r="AB280" s="39">
        <f>IF(B280="","",IF(X280&lt;=0.004,"Paid",IF(AA280="","Not due yet",IF(AA280=0,"Due now",IF(AA280&lt;=30,"1-30 days",IF(AA280&lt;=60,"31-60 days",IF(AA280&lt;=90,"61-90 days","90+ days")))))))</f>
        <v>0</v>
      </c>
      <c r="AC280" s="21">
        <f>IF(OR(A280="",AA280=""),"",IF(AA280&lt;=0,0,ROUND(X280*LateFeePercent,2)))</f>
        <v>0</v>
      </c>
      <c r="AD280" s="50">
        <f>IF(B280="","",IF(X280&lt;=0.004,"Yes","No"))</f>
        <v>0</v>
      </c>
      <c r="AE280" s="39">
        <f>IF(B280="","",IF(Q280=0,"Add - no lines on this invoice yet",IF(H280="Written off","Written off",IF(AD280="Yes","OK - paid",IF(H280="Draft","Draft - not sent yet",IF(AND(AA280&lt;&gt;"",AA280&gt;30),"Overdue - "&amp;AA280&amp;" days, call them",IF(AND(AA280&lt;&gt;"",AA280&gt;0),"Overdue - send a reminder",IF(W280&gt;0,"Part paid","Due - waiting for payment"))))))))</f>
        <v>0</v>
      </c>
    </row>
    <row r="281" spans="1:31">
      <c r="A281" s="43">
        <f>IF(B281="","",InvoicePrefix&amp;TEXT(ROW()-4,"0000"))</f>
        <v>0</v>
      </c>
      <c r="C281" s="23">
        <f>IF(B281="","",TEXT(B281,"yyyy-mm"))</f>
        <v>0</v>
      </c>
      <c r="E281" s="23">
        <f>IF(D281="","",IFERROR(INDEX(Clients!$B$5:$B$204,MATCH(D281,Clients!$A$5:$A$204,0)),"Not found"))</f>
        <v>0</v>
      </c>
      <c r="F281" s="23">
        <f>IF(D281="","",IFERROR(INDEX(Clients!$G$5:$G$204,MATCH(D281,Clients!$A$5:$A$204,0)),""))</f>
        <v>0</v>
      </c>
      <c r="Q281" s="31">
        <f>IF(A281="","",COUNTIFS('Invoice Lines'!$B$5:$B$804,A281))</f>
        <v>0</v>
      </c>
      <c r="R281" s="21">
        <f>IF(A281="","",SUMIFS('Invoice Lines'!$N$5:$N$804,'Invoice Lines'!$B$5:$B$804,A281))</f>
        <v>0</v>
      </c>
      <c r="S281" s="21">
        <f>IF(A281="","",ROUND(R281*IF(K281="",0,K281),2))</f>
        <v>0</v>
      </c>
      <c r="T281" s="21">
        <f>IF(A281="","",R281-S281)</f>
        <v>0</v>
      </c>
      <c r="U281" s="21">
        <f>IF(A281="","",ROUND(T281*TaxRate,2))</f>
        <v>0</v>
      </c>
      <c r="V281" s="21">
        <f>IF(A281="","",T281+U281)</f>
        <v>0</v>
      </c>
      <c r="W281" s="21">
        <f>IF(A281="","",SUMIFS(Payments!$G$5:$G$404,Payments!$D$5:$D$404,A281))</f>
        <v>0</v>
      </c>
      <c r="X281" s="21">
        <f>IF(A281="","",ROUND(V281-W281,2))</f>
        <v>0</v>
      </c>
      <c r="Y281" s="31">
        <f>IF(B281="","",IF(J281&lt;&gt;"",J281,IF(IFERROR(INDEX(Clients!$P$5:$P$204,MATCH(D281,Clients!$A$5:$A$204,0)),"")&lt;&gt;"",INDEX(Clients!$P$5:$P$204,MATCH(D281,Clients!$A$5:$A$204,0)),PaymentTerms)))</f>
        <v>0</v>
      </c>
      <c r="Z281" s="18">
        <f>IF(OR(A281="",B281=""),"",B281+Y281)</f>
        <v>0</v>
      </c>
      <c r="AA281" s="31">
        <f>IF(OR(A281="",Z281=""),"",IF(X281&lt;=0.004,"",MAX(0,TodayDate-Z281-OverdueGrace)))</f>
        <v>0</v>
      </c>
      <c r="AB281" s="39">
        <f>IF(B281="","",IF(X281&lt;=0.004,"Paid",IF(AA281="","Not due yet",IF(AA281=0,"Due now",IF(AA281&lt;=30,"1-30 days",IF(AA281&lt;=60,"31-60 days",IF(AA281&lt;=90,"61-90 days","90+ days")))))))</f>
        <v>0</v>
      </c>
      <c r="AC281" s="21">
        <f>IF(OR(A281="",AA281=""),"",IF(AA281&lt;=0,0,ROUND(X281*LateFeePercent,2)))</f>
        <v>0</v>
      </c>
      <c r="AD281" s="50">
        <f>IF(B281="","",IF(X281&lt;=0.004,"Yes","No"))</f>
        <v>0</v>
      </c>
      <c r="AE281" s="39">
        <f>IF(B281="","",IF(Q281=0,"Add - no lines on this invoice yet",IF(H281="Written off","Written off",IF(AD281="Yes","OK - paid",IF(H281="Draft","Draft - not sent yet",IF(AND(AA281&lt;&gt;"",AA281&gt;30),"Overdue - "&amp;AA281&amp;" days, call them",IF(AND(AA281&lt;&gt;"",AA281&gt;0),"Overdue - send a reminder",IF(W281&gt;0,"Part paid","Due - waiting for payment"))))))))</f>
        <v>0</v>
      </c>
    </row>
    <row r="282" spans="1:31">
      <c r="A282" s="43">
        <f>IF(B282="","",InvoicePrefix&amp;TEXT(ROW()-4,"0000"))</f>
        <v>0</v>
      </c>
      <c r="C282" s="23">
        <f>IF(B282="","",TEXT(B282,"yyyy-mm"))</f>
        <v>0</v>
      </c>
      <c r="E282" s="23">
        <f>IF(D282="","",IFERROR(INDEX(Clients!$B$5:$B$204,MATCH(D282,Clients!$A$5:$A$204,0)),"Not found"))</f>
        <v>0</v>
      </c>
      <c r="F282" s="23">
        <f>IF(D282="","",IFERROR(INDEX(Clients!$G$5:$G$204,MATCH(D282,Clients!$A$5:$A$204,0)),""))</f>
        <v>0</v>
      </c>
      <c r="Q282" s="31">
        <f>IF(A282="","",COUNTIFS('Invoice Lines'!$B$5:$B$804,A282))</f>
        <v>0</v>
      </c>
      <c r="R282" s="21">
        <f>IF(A282="","",SUMIFS('Invoice Lines'!$N$5:$N$804,'Invoice Lines'!$B$5:$B$804,A282))</f>
        <v>0</v>
      </c>
      <c r="S282" s="21">
        <f>IF(A282="","",ROUND(R282*IF(K282="",0,K282),2))</f>
        <v>0</v>
      </c>
      <c r="T282" s="21">
        <f>IF(A282="","",R282-S282)</f>
        <v>0</v>
      </c>
      <c r="U282" s="21">
        <f>IF(A282="","",ROUND(T282*TaxRate,2))</f>
        <v>0</v>
      </c>
      <c r="V282" s="21">
        <f>IF(A282="","",T282+U282)</f>
        <v>0</v>
      </c>
      <c r="W282" s="21">
        <f>IF(A282="","",SUMIFS(Payments!$G$5:$G$404,Payments!$D$5:$D$404,A282))</f>
        <v>0</v>
      </c>
      <c r="X282" s="21">
        <f>IF(A282="","",ROUND(V282-W282,2))</f>
        <v>0</v>
      </c>
      <c r="Y282" s="31">
        <f>IF(B282="","",IF(J282&lt;&gt;"",J282,IF(IFERROR(INDEX(Clients!$P$5:$P$204,MATCH(D282,Clients!$A$5:$A$204,0)),"")&lt;&gt;"",INDEX(Clients!$P$5:$P$204,MATCH(D282,Clients!$A$5:$A$204,0)),PaymentTerms)))</f>
        <v>0</v>
      </c>
      <c r="Z282" s="18">
        <f>IF(OR(A282="",B282=""),"",B282+Y282)</f>
        <v>0</v>
      </c>
      <c r="AA282" s="31">
        <f>IF(OR(A282="",Z282=""),"",IF(X282&lt;=0.004,"",MAX(0,TodayDate-Z282-OverdueGrace)))</f>
        <v>0</v>
      </c>
      <c r="AB282" s="39">
        <f>IF(B282="","",IF(X282&lt;=0.004,"Paid",IF(AA282="","Not due yet",IF(AA282=0,"Due now",IF(AA282&lt;=30,"1-30 days",IF(AA282&lt;=60,"31-60 days",IF(AA282&lt;=90,"61-90 days","90+ days")))))))</f>
        <v>0</v>
      </c>
      <c r="AC282" s="21">
        <f>IF(OR(A282="",AA282=""),"",IF(AA282&lt;=0,0,ROUND(X282*LateFeePercent,2)))</f>
        <v>0</v>
      </c>
      <c r="AD282" s="50">
        <f>IF(B282="","",IF(X282&lt;=0.004,"Yes","No"))</f>
        <v>0</v>
      </c>
      <c r="AE282" s="39">
        <f>IF(B282="","",IF(Q282=0,"Add - no lines on this invoice yet",IF(H282="Written off","Written off",IF(AD282="Yes","OK - paid",IF(H282="Draft","Draft - not sent yet",IF(AND(AA282&lt;&gt;"",AA282&gt;30),"Overdue - "&amp;AA282&amp;" days, call them",IF(AND(AA282&lt;&gt;"",AA282&gt;0),"Overdue - send a reminder",IF(W282&gt;0,"Part paid","Due - waiting for payment"))))))))</f>
        <v>0</v>
      </c>
    </row>
    <row r="283" spans="1:31">
      <c r="A283" s="43">
        <f>IF(B283="","",InvoicePrefix&amp;TEXT(ROW()-4,"0000"))</f>
        <v>0</v>
      </c>
      <c r="C283" s="23">
        <f>IF(B283="","",TEXT(B283,"yyyy-mm"))</f>
        <v>0</v>
      </c>
      <c r="E283" s="23">
        <f>IF(D283="","",IFERROR(INDEX(Clients!$B$5:$B$204,MATCH(D283,Clients!$A$5:$A$204,0)),"Not found"))</f>
        <v>0</v>
      </c>
      <c r="F283" s="23">
        <f>IF(D283="","",IFERROR(INDEX(Clients!$G$5:$G$204,MATCH(D283,Clients!$A$5:$A$204,0)),""))</f>
        <v>0</v>
      </c>
      <c r="Q283" s="31">
        <f>IF(A283="","",COUNTIFS('Invoice Lines'!$B$5:$B$804,A283))</f>
        <v>0</v>
      </c>
      <c r="R283" s="21">
        <f>IF(A283="","",SUMIFS('Invoice Lines'!$N$5:$N$804,'Invoice Lines'!$B$5:$B$804,A283))</f>
        <v>0</v>
      </c>
      <c r="S283" s="21">
        <f>IF(A283="","",ROUND(R283*IF(K283="",0,K283),2))</f>
        <v>0</v>
      </c>
      <c r="T283" s="21">
        <f>IF(A283="","",R283-S283)</f>
        <v>0</v>
      </c>
      <c r="U283" s="21">
        <f>IF(A283="","",ROUND(T283*TaxRate,2))</f>
        <v>0</v>
      </c>
      <c r="V283" s="21">
        <f>IF(A283="","",T283+U283)</f>
        <v>0</v>
      </c>
      <c r="W283" s="21">
        <f>IF(A283="","",SUMIFS(Payments!$G$5:$G$404,Payments!$D$5:$D$404,A283))</f>
        <v>0</v>
      </c>
      <c r="X283" s="21">
        <f>IF(A283="","",ROUND(V283-W283,2))</f>
        <v>0</v>
      </c>
      <c r="Y283" s="31">
        <f>IF(B283="","",IF(J283&lt;&gt;"",J283,IF(IFERROR(INDEX(Clients!$P$5:$P$204,MATCH(D283,Clients!$A$5:$A$204,0)),"")&lt;&gt;"",INDEX(Clients!$P$5:$P$204,MATCH(D283,Clients!$A$5:$A$204,0)),PaymentTerms)))</f>
        <v>0</v>
      </c>
      <c r="Z283" s="18">
        <f>IF(OR(A283="",B283=""),"",B283+Y283)</f>
        <v>0</v>
      </c>
      <c r="AA283" s="31">
        <f>IF(OR(A283="",Z283=""),"",IF(X283&lt;=0.004,"",MAX(0,TodayDate-Z283-OverdueGrace)))</f>
        <v>0</v>
      </c>
      <c r="AB283" s="39">
        <f>IF(B283="","",IF(X283&lt;=0.004,"Paid",IF(AA283="","Not due yet",IF(AA283=0,"Due now",IF(AA283&lt;=30,"1-30 days",IF(AA283&lt;=60,"31-60 days",IF(AA283&lt;=90,"61-90 days","90+ days")))))))</f>
        <v>0</v>
      </c>
      <c r="AC283" s="21">
        <f>IF(OR(A283="",AA283=""),"",IF(AA283&lt;=0,0,ROUND(X283*LateFeePercent,2)))</f>
        <v>0</v>
      </c>
      <c r="AD283" s="50">
        <f>IF(B283="","",IF(X283&lt;=0.004,"Yes","No"))</f>
        <v>0</v>
      </c>
      <c r="AE283" s="39">
        <f>IF(B283="","",IF(Q283=0,"Add - no lines on this invoice yet",IF(H283="Written off","Written off",IF(AD283="Yes","OK - paid",IF(H283="Draft","Draft - not sent yet",IF(AND(AA283&lt;&gt;"",AA283&gt;30),"Overdue - "&amp;AA283&amp;" days, call them",IF(AND(AA283&lt;&gt;"",AA283&gt;0),"Overdue - send a reminder",IF(W283&gt;0,"Part paid","Due - waiting for payment"))))))))</f>
        <v>0</v>
      </c>
    </row>
    <row r="284" spans="1:31">
      <c r="A284" s="43">
        <f>IF(B284="","",InvoicePrefix&amp;TEXT(ROW()-4,"0000"))</f>
        <v>0</v>
      </c>
      <c r="C284" s="23">
        <f>IF(B284="","",TEXT(B284,"yyyy-mm"))</f>
        <v>0</v>
      </c>
      <c r="E284" s="23">
        <f>IF(D284="","",IFERROR(INDEX(Clients!$B$5:$B$204,MATCH(D284,Clients!$A$5:$A$204,0)),"Not found"))</f>
        <v>0</v>
      </c>
      <c r="F284" s="23">
        <f>IF(D284="","",IFERROR(INDEX(Clients!$G$5:$G$204,MATCH(D284,Clients!$A$5:$A$204,0)),""))</f>
        <v>0</v>
      </c>
      <c r="Q284" s="31">
        <f>IF(A284="","",COUNTIFS('Invoice Lines'!$B$5:$B$804,A284))</f>
        <v>0</v>
      </c>
      <c r="R284" s="21">
        <f>IF(A284="","",SUMIFS('Invoice Lines'!$N$5:$N$804,'Invoice Lines'!$B$5:$B$804,A284))</f>
        <v>0</v>
      </c>
      <c r="S284" s="21">
        <f>IF(A284="","",ROUND(R284*IF(K284="",0,K284),2))</f>
        <v>0</v>
      </c>
      <c r="T284" s="21">
        <f>IF(A284="","",R284-S284)</f>
        <v>0</v>
      </c>
      <c r="U284" s="21">
        <f>IF(A284="","",ROUND(T284*TaxRate,2))</f>
        <v>0</v>
      </c>
      <c r="V284" s="21">
        <f>IF(A284="","",T284+U284)</f>
        <v>0</v>
      </c>
      <c r="W284" s="21">
        <f>IF(A284="","",SUMIFS(Payments!$G$5:$G$404,Payments!$D$5:$D$404,A284))</f>
        <v>0</v>
      </c>
      <c r="X284" s="21">
        <f>IF(A284="","",ROUND(V284-W284,2))</f>
        <v>0</v>
      </c>
      <c r="Y284" s="31">
        <f>IF(B284="","",IF(J284&lt;&gt;"",J284,IF(IFERROR(INDEX(Clients!$P$5:$P$204,MATCH(D284,Clients!$A$5:$A$204,0)),"")&lt;&gt;"",INDEX(Clients!$P$5:$P$204,MATCH(D284,Clients!$A$5:$A$204,0)),PaymentTerms)))</f>
        <v>0</v>
      </c>
      <c r="Z284" s="18">
        <f>IF(OR(A284="",B284=""),"",B284+Y284)</f>
        <v>0</v>
      </c>
      <c r="AA284" s="31">
        <f>IF(OR(A284="",Z284=""),"",IF(X284&lt;=0.004,"",MAX(0,TodayDate-Z284-OverdueGrace)))</f>
        <v>0</v>
      </c>
      <c r="AB284" s="39">
        <f>IF(B284="","",IF(X284&lt;=0.004,"Paid",IF(AA284="","Not due yet",IF(AA284=0,"Due now",IF(AA284&lt;=30,"1-30 days",IF(AA284&lt;=60,"31-60 days",IF(AA284&lt;=90,"61-90 days","90+ days")))))))</f>
        <v>0</v>
      </c>
      <c r="AC284" s="21">
        <f>IF(OR(A284="",AA284=""),"",IF(AA284&lt;=0,0,ROUND(X284*LateFeePercent,2)))</f>
        <v>0</v>
      </c>
      <c r="AD284" s="50">
        <f>IF(B284="","",IF(X284&lt;=0.004,"Yes","No"))</f>
        <v>0</v>
      </c>
      <c r="AE284" s="39">
        <f>IF(B284="","",IF(Q284=0,"Add - no lines on this invoice yet",IF(H284="Written off","Written off",IF(AD284="Yes","OK - paid",IF(H284="Draft","Draft - not sent yet",IF(AND(AA284&lt;&gt;"",AA284&gt;30),"Overdue - "&amp;AA284&amp;" days, call them",IF(AND(AA284&lt;&gt;"",AA284&gt;0),"Overdue - send a reminder",IF(W284&gt;0,"Part paid","Due - waiting for payment"))))))))</f>
        <v>0</v>
      </c>
    </row>
    <row r="285" spans="1:31">
      <c r="A285" s="43">
        <f>IF(B285="","",InvoicePrefix&amp;TEXT(ROW()-4,"0000"))</f>
        <v>0</v>
      </c>
      <c r="C285" s="23">
        <f>IF(B285="","",TEXT(B285,"yyyy-mm"))</f>
        <v>0</v>
      </c>
      <c r="E285" s="23">
        <f>IF(D285="","",IFERROR(INDEX(Clients!$B$5:$B$204,MATCH(D285,Clients!$A$5:$A$204,0)),"Not found"))</f>
        <v>0</v>
      </c>
      <c r="F285" s="23">
        <f>IF(D285="","",IFERROR(INDEX(Clients!$G$5:$G$204,MATCH(D285,Clients!$A$5:$A$204,0)),""))</f>
        <v>0</v>
      </c>
      <c r="Q285" s="31">
        <f>IF(A285="","",COUNTIFS('Invoice Lines'!$B$5:$B$804,A285))</f>
        <v>0</v>
      </c>
      <c r="R285" s="21">
        <f>IF(A285="","",SUMIFS('Invoice Lines'!$N$5:$N$804,'Invoice Lines'!$B$5:$B$804,A285))</f>
        <v>0</v>
      </c>
      <c r="S285" s="21">
        <f>IF(A285="","",ROUND(R285*IF(K285="",0,K285),2))</f>
        <v>0</v>
      </c>
      <c r="T285" s="21">
        <f>IF(A285="","",R285-S285)</f>
        <v>0</v>
      </c>
      <c r="U285" s="21">
        <f>IF(A285="","",ROUND(T285*TaxRate,2))</f>
        <v>0</v>
      </c>
      <c r="V285" s="21">
        <f>IF(A285="","",T285+U285)</f>
        <v>0</v>
      </c>
      <c r="W285" s="21">
        <f>IF(A285="","",SUMIFS(Payments!$G$5:$G$404,Payments!$D$5:$D$404,A285))</f>
        <v>0</v>
      </c>
      <c r="X285" s="21">
        <f>IF(A285="","",ROUND(V285-W285,2))</f>
        <v>0</v>
      </c>
      <c r="Y285" s="31">
        <f>IF(B285="","",IF(J285&lt;&gt;"",J285,IF(IFERROR(INDEX(Clients!$P$5:$P$204,MATCH(D285,Clients!$A$5:$A$204,0)),"")&lt;&gt;"",INDEX(Clients!$P$5:$P$204,MATCH(D285,Clients!$A$5:$A$204,0)),PaymentTerms)))</f>
        <v>0</v>
      </c>
      <c r="Z285" s="18">
        <f>IF(OR(A285="",B285=""),"",B285+Y285)</f>
        <v>0</v>
      </c>
      <c r="AA285" s="31">
        <f>IF(OR(A285="",Z285=""),"",IF(X285&lt;=0.004,"",MAX(0,TodayDate-Z285-OverdueGrace)))</f>
        <v>0</v>
      </c>
      <c r="AB285" s="39">
        <f>IF(B285="","",IF(X285&lt;=0.004,"Paid",IF(AA285="","Not due yet",IF(AA285=0,"Due now",IF(AA285&lt;=30,"1-30 days",IF(AA285&lt;=60,"31-60 days",IF(AA285&lt;=90,"61-90 days","90+ days")))))))</f>
        <v>0</v>
      </c>
      <c r="AC285" s="21">
        <f>IF(OR(A285="",AA285=""),"",IF(AA285&lt;=0,0,ROUND(X285*LateFeePercent,2)))</f>
        <v>0</v>
      </c>
      <c r="AD285" s="50">
        <f>IF(B285="","",IF(X285&lt;=0.004,"Yes","No"))</f>
        <v>0</v>
      </c>
      <c r="AE285" s="39">
        <f>IF(B285="","",IF(Q285=0,"Add - no lines on this invoice yet",IF(H285="Written off","Written off",IF(AD285="Yes","OK - paid",IF(H285="Draft","Draft - not sent yet",IF(AND(AA285&lt;&gt;"",AA285&gt;30),"Overdue - "&amp;AA285&amp;" days, call them",IF(AND(AA285&lt;&gt;"",AA285&gt;0),"Overdue - send a reminder",IF(W285&gt;0,"Part paid","Due - waiting for payment"))))))))</f>
        <v>0</v>
      </c>
    </row>
    <row r="286" spans="1:31">
      <c r="A286" s="43">
        <f>IF(B286="","",InvoicePrefix&amp;TEXT(ROW()-4,"0000"))</f>
        <v>0</v>
      </c>
      <c r="C286" s="23">
        <f>IF(B286="","",TEXT(B286,"yyyy-mm"))</f>
        <v>0</v>
      </c>
      <c r="E286" s="23">
        <f>IF(D286="","",IFERROR(INDEX(Clients!$B$5:$B$204,MATCH(D286,Clients!$A$5:$A$204,0)),"Not found"))</f>
        <v>0</v>
      </c>
      <c r="F286" s="23">
        <f>IF(D286="","",IFERROR(INDEX(Clients!$G$5:$G$204,MATCH(D286,Clients!$A$5:$A$204,0)),""))</f>
        <v>0</v>
      </c>
      <c r="Q286" s="31">
        <f>IF(A286="","",COUNTIFS('Invoice Lines'!$B$5:$B$804,A286))</f>
        <v>0</v>
      </c>
      <c r="R286" s="21">
        <f>IF(A286="","",SUMIFS('Invoice Lines'!$N$5:$N$804,'Invoice Lines'!$B$5:$B$804,A286))</f>
        <v>0</v>
      </c>
      <c r="S286" s="21">
        <f>IF(A286="","",ROUND(R286*IF(K286="",0,K286),2))</f>
        <v>0</v>
      </c>
      <c r="T286" s="21">
        <f>IF(A286="","",R286-S286)</f>
        <v>0</v>
      </c>
      <c r="U286" s="21">
        <f>IF(A286="","",ROUND(T286*TaxRate,2))</f>
        <v>0</v>
      </c>
      <c r="V286" s="21">
        <f>IF(A286="","",T286+U286)</f>
        <v>0</v>
      </c>
      <c r="W286" s="21">
        <f>IF(A286="","",SUMIFS(Payments!$G$5:$G$404,Payments!$D$5:$D$404,A286))</f>
        <v>0</v>
      </c>
      <c r="X286" s="21">
        <f>IF(A286="","",ROUND(V286-W286,2))</f>
        <v>0</v>
      </c>
      <c r="Y286" s="31">
        <f>IF(B286="","",IF(J286&lt;&gt;"",J286,IF(IFERROR(INDEX(Clients!$P$5:$P$204,MATCH(D286,Clients!$A$5:$A$204,0)),"")&lt;&gt;"",INDEX(Clients!$P$5:$P$204,MATCH(D286,Clients!$A$5:$A$204,0)),PaymentTerms)))</f>
        <v>0</v>
      </c>
      <c r="Z286" s="18">
        <f>IF(OR(A286="",B286=""),"",B286+Y286)</f>
        <v>0</v>
      </c>
      <c r="AA286" s="31">
        <f>IF(OR(A286="",Z286=""),"",IF(X286&lt;=0.004,"",MAX(0,TodayDate-Z286-OverdueGrace)))</f>
        <v>0</v>
      </c>
      <c r="AB286" s="39">
        <f>IF(B286="","",IF(X286&lt;=0.004,"Paid",IF(AA286="","Not due yet",IF(AA286=0,"Due now",IF(AA286&lt;=30,"1-30 days",IF(AA286&lt;=60,"31-60 days",IF(AA286&lt;=90,"61-90 days","90+ days")))))))</f>
        <v>0</v>
      </c>
      <c r="AC286" s="21">
        <f>IF(OR(A286="",AA286=""),"",IF(AA286&lt;=0,0,ROUND(X286*LateFeePercent,2)))</f>
        <v>0</v>
      </c>
      <c r="AD286" s="50">
        <f>IF(B286="","",IF(X286&lt;=0.004,"Yes","No"))</f>
        <v>0</v>
      </c>
      <c r="AE286" s="39">
        <f>IF(B286="","",IF(Q286=0,"Add - no lines on this invoice yet",IF(H286="Written off","Written off",IF(AD286="Yes","OK - paid",IF(H286="Draft","Draft - not sent yet",IF(AND(AA286&lt;&gt;"",AA286&gt;30),"Overdue - "&amp;AA286&amp;" days, call them",IF(AND(AA286&lt;&gt;"",AA286&gt;0),"Overdue - send a reminder",IF(W286&gt;0,"Part paid","Due - waiting for payment"))))))))</f>
        <v>0</v>
      </c>
    </row>
    <row r="287" spans="1:31">
      <c r="A287" s="43">
        <f>IF(B287="","",InvoicePrefix&amp;TEXT(ROW()-4,"0000"))</f>
        <v>0</v>
      </c>
      <c r="C287" s="23">
        <f>IF(B287="","",TEXT(B287,"yyyy-mm"))</f>
        <v>0</v>
      </c>
      <c r="E287" s="23">
        <f>IF(D287="","",IFERROR(INDEX(Clients!$B$5:$B$204,MATCH(D287,Clients!$A$5:$A$204,0)),"Not found"))</f>
        <v>0</v>
      </c>
      <c r="F287" s="23">
        <f>IF(D287="","",IFERROR(INDEX(Clients!$G$5:$G$204,MATCH(D287,Clients!$A$5:$A$204,0)),""))</f>
        <v>0</v>
      </c>
      <c r="Q287" s="31">
        <f>IF(A287="","",COUNTIFS('Invoice Lines'!$B$5:$B$804,A287))</f>
        <v>0</v>
      </c>
      <c r="R287" s="21">
        <f>IF(A287="","",SUMIFS('Invoice Lines'!$N$5:$N$804,'Invoice Lines'!$B$5:$B$804,A287))</f>
        <v>0</v>
      </c>
      <c r="S287" s="21">
        <f>IF(A287="","",ROUND(R287*IF(K287="",0,K287),2))</f>
        <v>0</v>
      </c>
      <c r="T287" s="21">
        <f>IF(A287="","",R287-S287)</f>
        <v>0</v>
      </c>
      <c r="U287" s="21">
        <f>IF(A287="","",ROUND(T287*TaxRate,2))</f>
        <v>0</v>
      </c>
      <c r="V287" s="21">
        <f>IF(A287="","",T287+U287)</f>
        <v>0</v>
      </c>
      <c r="W287" s="21">
        <f>IF(A287="","",SUMIFS(Payments!$G$5:$G$404,Payments!$D$5:$D$404,A287))</f>
        <v>0</v>
      </c>
      <c r="X287" s="21">
        <f>IF(A287="","",ROUND(V287-W287,2))</f>
        <v>0</v>
      </c>
      <c r="Y287" s="31">
        <f>IF(B287="","",IF(J287&lt;&gt;"",J287,IF(IFERROR(INDEX(Clients!$P$5:$P$204,MATCH(D287,Clients!$A$5:$A$204,0)),"")&lt;&gt;"",INDEX(Clients!$P$5:$P$204,MATCH(D287,Clients!$A$5:$A$204,0)),PaymentTerms)))</f>
        <v>0</v>
      </c>
      <c r="Z287" s="18">
        <f>IF(OR(A287="",B287=""),"",B287+Y287)</f>
        <v>0</v>
      </c>
      <c r="AA287" s="31">
        <f>IF(OR(A287="",Z287=""),"",IF(X287&lt;=0.004,"",MAX(0,TodayDate-Z287-OverdueGrace)))</f>
        <v>0</v>
      </c>
      <c r="AB287" s="39">
        <f>IF(B287="","",IF(X287&lt;=0.004,"Paid",IF(AA287="","Not due yet",IF(AA287=0,"Due now",IF(AA287&lt;=30,"1-30 days",IF(AA287&lt;=60,"31-60 days",IF(AA287&lt;=90,"61-90 days","90+ days")))))))</f>
        <v>0</v>
      </c>
      <c r="AC287" s="21">
        <f>IF(OR(A287="",AA287=""),"",IF(AA287&lt;=0,0,ROUND(X287*LateFeePercent,2)))</f>
        <v>0</v>
      </c>
      <c r="AD287" s="50">
        <f>IF(B287="","",IF(X287&lt;=0.004,"Yes","No"))</f>
        <v>0</v>
      </c>
      <c r="AE287" s="39">
        <f>IF(B287="","",IF(Q287=0,"Add - no lines on this invoice yet",IF(H287="Written off","Written off",IF(AD287="Yes","OK - paid",IF(H287="Draft","Draft - not sent yet",IF(AND(AA287&lt;&gt;"",AA287&gt;30),"Overdue - "&amp;AA287&amp;" days, call them",IF(AND(AA287&lt;&gt;"",AA287&gt;0),"Overdue - send a reminder",IF(W287&gt;0,"Part paid","Due - waiting for payment"))))))))</f>
        <v>0</v>
      </c>
    </row>
    <row r="288" spans="1:31">
      <c r="A288" s="43">
        <f>IF(B288="","",InvoicePrefix&amp;TEXT(ROW()-4,"0000"))</f>
        <v>0</v>
      </c>
      <c r="C288" s="23">
        <f>IF(B288="","",TEXT(B288,"yyyy-mm"))</f>
        <v>0</v>
      </c>
      <c r="E288" s="23">
        <f>IF(D288="","",IFERROR(INDEX(Clients!$B$5:$B$204,MATCH(D288,Clients!$A$5:$A$204,0)),"Not found"))</f>
        <v>0</v>
      </c>
      <c r="F288" s="23">
        <f>IF(D288="","",IFERROR(INDEX(Clients!$G$5:$G$204,MATCH(D288,Clients!$A$5:$A$204,0)),""))</f>
        <v>0</v>
      </c>
      <c r="Q288" s="31">
        <f>IF(A288="","",COUNTIFS('Invoice Lines'!$B$5:$B$804,A288))</f>
        <v>0</v>
      </c>
      <c r="R288" s="21">
        <f>IF(A288="","",SUMIFS('Invoice Lines'!$N$5:$N$804,'Invoice Lines'!$B$5:$B$804,A288))</f>
        <v>0</v>
      </c>
      <c r="S288" s="21">
        <f>IF(A288="","",ROUND(R288*IF(K288="",0,K288),2))</f>
        <v>0</v>
      </c>
      <c r="T288" s="21">
        <f>IF(A288="","",R288-S288)</f>
        <v>0</v>
      </c>
      <c r="U288" s="21">
        <f>IF(A288="","",ROUND(T288*TaxRate,2))</f>
        <v>0</v>
      </c>
      <c r="V288" s="21">
        <f>IF(A288="","",T288+U288)</f>
        <v>0</v>
      </c>
      <c r="W288" s="21">
        <f>IF(A288="","",SUMIFS(Payments!$G$5:$G$404,Payments!$D$5:$D$404,A288))</f>
        <v>0</v>
      </c>
      <c r="X288" s="21">
        <f>IF(A288="","",ROUND(V288-W288,2))</f>
        <v>0</v>
      </c>
      <c r="Y288" s="31">
        <f>IF(B288="","",IF(J288&lt;&gt;"",J288,IF(IFERROR(INDEX(Clients!$P$5:$P$204,MATCH(D288,Clients!$A$5:$A$204,0)),"")&lt;&gt;"",INDEX(Clients!$P$5:$P$204,MATCH(D288,Clients!$A$5:$A$204,0)),PaymentTerms)))</f>
        <v>0</v>
      </c>
      <c r="Z288" s="18">
        <f>IF(OR(A288="",B288=""),"",B288+Y288)</f>
        <v>0</v>
      </c>
      <c r="AA288" s="31">
        <f>IF(OR(A288="",Z288=""),"",IF(X288&lt;=0.004,"",MAX(0,TodayDate-Z288-OverdueGrace)))</f>
        <v>0</v>
      </c>
      <c r="AB288" s="39">
        <f>IF(B288="","",IF(X288&lt;=0.004,"Paid",IF(AA288="","Not due yet",IF(AA288=0,"Due now",IF(AA288&lt;=30,"1-30 days",IF(AA288&lt;=60,"31-60 days",IF(AA288&lt;=90,"61-90 days","90+ days")))))))</f>
        <v>0</v>
      </c>
      <c r="AC288" s="21">
        <f>IF(OR(A288="",AA288=""),"",IF(AA288&lt;=0,0,ROUND(X288*LateFeePercent,2)))</f>
        <v>0</v>
      </c>
      <c r="AD288" s="50">
        <f>IF(B288="","",IF(X288&lt;=0.004,"Yes","No"))</f>
        <v>0</v>
      </c>
      <c r="AE288" s="39">
        <f>IF(B288="","",IF(Q288=0,"Add - no lines on this invoice yet",IF(H288="Written off","Written off",IF(AD288="Yes","OK - paid",IF(H288="Draft","Draft - not sent yet",IF(AND(AA288&lt;&gt;"",AA288&gt;30),"Overdue - "&amp;AA288&amp;" days, call them",IF(AND(AA288&lt;&gt;"",AA288&gt;0),"Overdue - send a reminder",IF(W288&gt;0,"Part paid","Due - waiting for payment"))))))))</f>
        <v>0</v>
      </c>
    </row>
    <row r="289" spans="1:31">
      <c r="A289" s="43">
        <f>IF(B289="","",InvoicePrefix&amp;TEXT(ROW()-4,"0000"))</f>
        <v>0</v>
      </c>
      <c r="C289" s="23">
        <f>IF(B289="","",TEXT(B289,"yyyy-mm"))</f>
        <v>0</v>
      </c>
      <c r="E289" s="23">
        <f>IF(D289="","",IFERROR(INDEX(Clients!$B$5:$B$204,MATCH(D289,Clients!$A$5:$A$204,0)),"Not found"))</f>
        <v>0</v>
      </c>
      <c r="F289" s="23">
        <f>IF(D289="","",IFERROR(INDEX(Clients!$G$5:$G$204,MATCH(D289,Clients!$A$5:$A$204,0)),""))</f>
        <v>0</v>
      </c>
      <c r="Q289" s="31">
        <f>IF(A289="","",COUNTIFS('Invoice Lines'!$B$5:$B$804,A289))</f>
        <v>0</v>
      </c>
      <c r="R289" s="21">
        <f>IF(A289="","",SUMIFS('Invoice Lines'!$N$5:$N$804,'Invoice Lines'!$B$5:$B$804,A289))</f>
        <v>0</v>
      </c>
      <c r="S289" s="21">
        <f>IF(A289="","",ROUND(R289*IF(K289="",0,K289),2))</f>
        <v>0</v>
      </c>
      <c r="T289" s="21">
        <f>IF(A289="","",R289-S289)</f>
        <v>0</v>
      </c>
      <c r="U289" s="21">
        <f>IF(A289="","",ROUND(T289*TaxRate,2))</f>
        <v>0</v>
      </c>
      <c r="V289" s="21">
        <f>IF(A289="","",T289+U289)</f>
        <v>0</v>
      </c>
      <c r="W289" s="21">
        <f>IF(A289="","",SUMIFS(Payments!$G$5:$G$404,Payments!$D$5:$D$404,A289))</f>
        <v>0</v>
      </c>
      <c r="X289" s="21">
        <f>IF(A289="","",ROUND(V289-W289,2))</f>
        <v>0</v>
      </c>
      <c r="Y289" s="31">
        <f>IF(B289="","",IF(J289&lt;&gt;"",J289,IF(IFERROR(INDEX(Clients!$P$5:$P$204,MATCH(D289,Clients!$A$5:$A$204,0)),"")&lt;&gt;"",INDEX(Clients!$P$5:$P$204,MATCH(D289,Clients!$A$5:$A$204,0)),PaymentTerms)))</f>
        <v>0</v>
      </c>
      <c r="Z289" s="18">
        <f>IF(OR(A289="",B289=""),"",B289+Y289)</f>
        <v>0</v>
      </c>
      <c r="AA289" s="31">
        <f>IF(OR(A289="",Z289=""),"",IF(X289&lt;=0.004,"",MAX(0,TodayDate-Z289-OverdueGrace)))</f>
        <v>0</v>
      </c>
      <c r="AB289" s="39">
        <f>IF(B289="","",IF(X289&lt;=0.004,"Paid",IF(AA289="","Not due yet",IF(AA289=0,"Due now",IF(AA289&lt;=30,"1-30 days",IF(AA289&lt;=60,"31-60 days",IF(AA289&lt;=90,"61-90 days","90+ days")))))))</f>
        <v>0</v>
      </c>
      <c r="AC289" s="21">
        <f>IF(OR(A289="",AA289=""),"",IF(AA289&lt;=0,0,ROUND(X289*LateFeePercent,2)))</f>
        <v>0</v>
      </c>
      <c r="AD289" s="50">
        <f>IF(B289="","",IF(X289&lt;=0.004,"Yes","No"))</f>
        <v>0</v>
      </c>
      <c r="AE289" s="39">
        <f>IF(B289="","",IF(Q289=0,"Add - no lines on this invoice yet",IF(H289="Written off","Written off",IF(AD289="Yes","OK - paid",IF(H289="Draft","Draft - not sent yet",IF(AND(AA289&lt;&gt;"",AA289&gt;30),"Overdue - "&amp;AA289&amp;" days, call them",IF(AND(AA289&lt;&gt;"",AA289&gt;0),"Overdue - send a reminder",IF(W289&gt;0,"Part paid","Due - waiting for payment"))))))))</f>
        <v>0</v>
      </c>
    </row>
    <row r="290" spans="1:31">
      <c r="A290" s="43">
        <f>IF(B290="","",InvoicePrefix&amp;TEXT(ROW()-4,"0000"))</f>
        <v>0</v>
      </c>
      <c r="C290" s="23">
        <f>IF(B290="","",TEXT(B290,"yyyy-mm"))</f>
        <v>0</v>
      </c>
      <c r="E290" s="23">
        <f>IF(D290="","",IFERROR(INDEX(Clients!$B$5:$B$204,MATCH(D290,Clients!$A$5:$A$204,0)),"Not found"))</f>
        <v>0</v>
      </c>
      <c r="F290" s="23">
        <f>IF(D290="","",IFERROR(INDEX(Clients!$G$5:$G$204,MATCH(D290,Clients!$A$5:$A$204,0)),""))</f>
        <v>0</v>
      </c>
      <c r="Q290" s="31">
        <f>IF(A290="","",COUNTIFS('Invoice Lines'!$B$5:$B$804,A290))</f>
        <v>0</v>
      </c>
      <c r="R290" s="21">
        <f>IF(A290="","",SUMIFS('Invoice Lines'!$N$5:$N$804,'Invoice Lines'!$B$5:$B$804,A290))</f>
        <v>0</v>
      </c>
      <c r="S290" s="21">
        <f>IF(A290="","",ROUND(R290*IF(K290="",0,K290),2))</f>
        <v>0</v>
      </c>
      <c r="T290" s="21">
        <f>IF(A290="","",R290-S290)</f>
        <v>0</v>
      </c>
      <c r="U290" s="21">
        <f>IF(A290="","",ROUND(T290*TaxRate,2))</f>
        <v>0</v>
      </c>
      <c r="V290" s="21">
        <f>IF(A290="","",T290+U290)</f>
        <v>0</v>
      </c>
      <c r="W290" s="21">
        <f>IF(A290="","",SUMIFS(Payments!$G$5:$G$404,Payments!$D$5:$D$404,A290))</f>
        <v>0</v>
      </c>
      <c r="X290" s="21">
        <f>IF(A290="","",ROUND(V290-W290,2))</f>
        <v>0</v>
      </c>
      <c r="Y290" s="31">
        <f>IF(B290="","",IF(J290&lt;&gt;"",J290,IF(IFERROR(INDEX(Clients!$P$5:$P$204,MATCH(D290,Clients!$A$5:$A$204,0)),"")&lt;&gt;"",INDEX(Clients!$P$5:$P$204,MATCH(D290,Clients!$A$5:$A$204,0)),PaymentTerms)))</f>
        <v>0</v>
      </c>
      <c r="Z290" s="18">
        <f>IF(OR(A290="",B290=""),"",B290+Y290)</f>
        <v>0</v>
      </c>
      <c r="AA290" s="31">
        <f>IF(OR(A290="",Z290=""),"",IF(X290&lt;=0.004,"",MAX(0,TodayDate-Z290-OverdueGrace)))</f>
        <v>0</v>
      </c>
      <c r="AB290" s="39">
        <f>IF(B290="","",IF(X290&lt;=0.004,"Paid",IF(AA290="","Not due yet",IF(AA290=0,"Due now",IF(AA290&lt;=30,"1-30 days",IF(AA290&lt;=60,"31-60 days",IF(AA290&lt;=90,"61-90 days","90+ days")))))))</f>
        <v>0</v>
      </c>
      <c r="AC290" s="21">
        <f>IF(OR(A290="",AA290=""),"",IF(AA290&lt;=0,0,ROUND(X290*LateFeePercent,2)))</f>
        <v>0</v>
      </c>
      <c r="AD290" s="50">
        <f>IF(B290="","",IF(X290&lt;=0.004,"Yes","No"))</f>
        <v>0</v>
      </c>
      <c r="AE290" s="39">
        <f>IF(B290="","",IF(Q290=0,"Add - no lines on this invoice yet",IF(H290="Written off","Written off",IF(AD290="Yes","OK - paid",IF(H290="Draft","Draft - not sent yet",IF(AND(AA290&lt;&gt;"",AA290&gt;30),"Overdue - "&amp;AA290&amp;" days, call them",IF(AND(AA290&lt;&gt;"",AA290&gt;0),"Overdue - send a reminder",IF(W290&gt;0,"Part paid","Due - waiting for payment"))))))))</f>
        <v>0</v>
      </c>
    </row>
    <row r="291" spans="1:31">
      <c r="A291" s="43">
        <f>IF(B291="","",InvoicePrefix&amp;TEXT(ROW()-4,"0000"))</f>
        <v>0</v>
      </c>
      <c r="C291" s="23">
        <f>IF(B291="","",TEXT(B291,"yyyy-mm"))</f>
        <v>0</v>
      </c>
      <c r="E291" s="23">
        <f>IF(D291="","",IFERROR(INDEX(Clients!$B$5:$B$204,MATCH(D291,Clients!$A$5:$A$204,0)),"Not found"))</f>
        <v>0</v>
      </c>
      <c r="F291" s="23">
        <f>IF(D291="","",IFERROR(INDEX(Clients!$G$5:$G$204,MATCH(D291,Clients!$A$5:$A$204,0)),""))</f>
        <v>0</v>
      </c>
      <c r="Q291" s="31">
        <f>IF(A291="","",COUNTIFS('Invoice Lines'!$B$5:$B$804,A291))</f>
        <v>0</v>
      </c>
      <c r="R291" s="21">
        <f>IF(A291="","",SUMIFS('Invoice Lines'!$N$5:$N$804,'Invoice Lines'!$B$5:$B$804,A291))</f>
        <v>0</v>
      </c>
      <c r="S291" s="21">
        <f>IF(A291="","",ROUND(R291*IF(K291="",0,K291),2))</f>
        <v>0</v>
      </c>
      <c r="T291" s="21">
        <f>IF(A291="","",R291-S291)</f>
        <v>0</v>
      </c>
      <c r="U291" s="21">
        <f>IF(A291="","",ROUND(T291*TaxRate,2))</f>
        <v>0</v>
      </c>
      <c r="V291" s="21">
        <f>IF(A291="","",T291+U291)</f>
        <v>0</v>
      </c>
      <c r="W291" s="21">
        <f>IF(A291="","",SUMIFS(Payments!$G$5:$G$404,Payments!$D$5:$D$404,A291))</f>
        <v>0</v>
      </c>
      <c r="X291" s="21">
        <f>IF(A291="","",ROUND(V291-W291,2))</f>
        <v>0</v>
      </c>
      <c r="Y291" s="31">
        <f>IF(B291="","",IF(J291&lt;&gt;"",J291,IF(IFERROR(INDEX(Clients!$P$5:$P$204,MATCH(D291,Clients!$A$5:$A$204,0)),"")&lt;&gt;"",INDEX(Clients!$P$5:$P$204,MATCH(D291,Clients!$A$5:$A$204,0)),PaymentTerms)))</f>
        <v>0</v>
      </c>
      <c r="Z291" s="18">
        <f>IF(OR(A291="",B291=""),"",B291+Y291)</f>
        <v>0</v>
      </c>
      <c r="AA291" s="31">
        <f>IF(OR(A291="",Z291=""),"",IF(X291&lt;=0.004,"",MAX(0,TodayDate-Z291-OverdueGrace)))</f>
        <v>0</v>
      </c>
      <c r="AB291" s="39">
        <f>IF(B291="","",IF(X291&lt;=0.004,"Paid",IF(AA291="","Not due yet",IF(AA291=0,"Due now",IF(AA291&lt;=30,"1-30 days",IF(AA291&lt;=60,"31-60 days",IF(AA291&lt;=90,"61-90 days","90+ days")))))))</f>
        <v>0</v>
      </c>
      <c r="AC291" s="21">
        <f>IF(OR(A291="",AA291=""),"",IF(AA291&lt;=0,0,ROUND(X291*LateFeePercent,2)))</f>
        <v>0</v>
      </c>
      <c r="AD291" s="50">
        <f>IF(B291="","",IF(X291&lt;=0.004,"Yes","No"))</f>
        <v>0</v>
      </c>
      <c r="AE291" s="39">
        <f>IF(B291="","",IF(Q291=0,"Add - no lines on this invoice yet",IF(H291="Written off","Written off",IF(AD291="Yes","OK - paid",IF(H291="Draft","Draft - not sent yet",IF(AND(AA291&lt;&gt;"",AA291&gt;30),"Overdue - "&amp;AA291&amp;" days, call them",IF(AND(AA291&lt;&gt;"",AA291&gt;0),"Overdue - send a reminder",IF(W291&gt;0,"Part paid","Due - waiting for payment"))))))))</f>
        <v>0</v>
      </c>
    </row>
    <row r="292" spans="1:31">
      <c r="A292" s="43">
        <f>IF(B292="","",InvoicePrefix&amp;TEXT(ROW()-4,"0000"))</f>
        <v>0</v>
      </c>
      <c r="C292" s="23">
        <f>IF(B292="","",TEXT(B292,"yyyy-mm"))</f>
        <v>0</v>
      </c>
      <c r="E292" s="23">
        <f>IF(D292="","",IFERROR(INDEX(Clients!$B$5:$B$204,MATCH(D292,Clients!$A$5:$A$204,0)),"Not found"))</f>
        <v>0</v>
      </c>
      <c r="F292" s="23">
        <f>IF(D292="","",IFERROR(INDEX(Clients!$G$5:$G$204,MATCH(D292,Clients!$A$5:$A$204,0)),""))</f>
        <v>0</v>
      </c>
      <c r="Q292" s="31">
        <f>IF(A292="","",COUNTIFS('Invoice Lines'!$B$5:$B$804,A292))</f>
        <v>0</v>
      </c>
      <c r="R292" s="21">
        <f>IF(A292="","",SUMIFS('Invoice Lines'!$N$5:$N$804,'Invoice Lines'!$B$5:$B$804,A292))</f>
        <v>0</v>
      </c>
      <c r="S292" s="21">
        <f>IF(A292="","",ROUND(R292*IF(K292="",0,K292),2))</f>
        <v>0</v>
      </c>
      <c r="T292" s="21">
        <f>IF(A292="","",R292-S292)</f>
        <v>0</v>
      </c>
      <c r="U292" s="21">
        <f>IF(A292="","",ROUND(T292*TaxRate,2))</f>
        <v>0</v>
      </c>
      <c r="V292" s="21">
        <f>IF(A292="","",T292+U292)</f>
        <v>0</v>
      </c>
      <c r="W292" s="21">
        <f>IF(A292="","",SUMIFS(Payments!$G$5:$G$404,Payments!$D$5:$D$404,A292))</f>
        <v>0</v>
      </c>
      <c r="X292" s="21">
        <f>IF(A292="","",ROUND(V292-W292,2))</f>
        <v>0</v>
      </c>
      <c r="Y292" s="31">
        <f>IF(B292="","",IF(J292&lt;&gt;"",J292,IF(IFERROR(INDEX(Clients!$P$5:$P$204,MATCH(D292,Clients!$A$5:$A$204,0)),"")&lt;&gt;"",INDEX(Clients!$P$5:$P$204,MATCH(D292,Clients!$A$5:$A$204,0)),PaymentTerms)))</f>
        <v>0</v>
      </c>
      <c r="Z292" s="18">
        <f>IF(OR(A292="",B292=""),"",B292+Y292)</f>
        <v>0</v>
      </c>
      <c r="AA292" s="31">
        <f>IF(OR(A292="",Z292=""),"",IF(X292&lt;=0.004,"",MAX(0,TodayDate-Z292-OverdueGrace)))</f>
        <v>0</v>
      </c>
      <c r="AB292" s="39">
        <f>IF(B292="","",IF(X292&lt;=0.004,"Paid",IF(AA292="","Not due yet",IF(AA292=0,"Due now",IF(AA292&lt;=30,"1-30 days",IF(AA292&lt;=60,"31-60 days",IF(AA292&lt;=90,"61-90 days","90+ days")))))))</f>
        <v>0</v>
      </c>
      <c r="AC292" s="21">
        <f>IF(OR(A292="",AA292=""),"",IF(AA292&lt;=0,0,ROUND(X292*LateFeePercent,2)))</f>
        <v>0</v>
      </c>
      <c r="AD292" s="50">
        <f>IF(B292="","",IF(X292&lt;=0.004,"Yes","No"))</f>
        <v>0</v>
      </c>
      <c r="AE292" s="39">
        <f>IF(B292="","",IF(Q292=0,"Add - no lines on this invoice yet",IF(H292="Written off","Written off",IF(AD292="Yes","OK - paid",IF(H292="Draft","Draft - not sent yet",IF(AND(AA292&lt;&gt;"",AA292&gt;30),"Overdue - "&amp;AA292&amp;" days, call them",IF(AND(AA292&lt;&gt;"",AA292&gt;0),"Overdue - send a reminder",IF(W292&gt;0,"Part paid","Due - waiting for payment"))))))))</f>
        <v>0</v>
      </c>
    </row>
    <row r="293" spans="1:31">
      <c r="A293" s="43">
        <f>IF(B293="","",InvoicePrefix&amp;TEXT(ROW()-4,"0000"))</f>
        <v>0</v>
      </c>
      <c r="C293" s="23">
        <f>IF(B293="","",TEXT(B293,"yyyy-mm"))</f>
        <v>0</v>
      </c>
      <c r="E293" s="23">
        <f>IF(D293="","",IFERROR(INDEX(Clients!$B$5:$B$204,MATCH(D293,Clients!$A$5:$A$204,0)),"Not found"))</f>
        <v>0</v>
      </c>
      <c r="F293" s="23">
        <f>IF(D293="","",IFERROR(INDEX(Clients!$G$5:$G$204,MATCH(D293,Clients!$A$5:$A$204,0)),""))</f>
        <v>0</v>
      </c>
      <c r="Q293" s="31">
        <f>IF(A293="","",COUNTIFS('Invoice Lines'!$B$5:$B$804,A293))</f>
        <v>0</v>
      </c>
      <c r="R293" s="21">
        <f>IF(A293="","",SUMIFS('Invoice Lines'!$N$5:$N$804,'Invoice Lines'!$B$5:$B$804,A293))</f>
        <v>0</v>
      </c>
      <c r="S293" s="21">
        <f>IF(A293="","",ROUND(R293*IF(K293="",0,K293),2))</f>
        <v>0</v>
      </c>
      <c r="T293" s="21">
        <f>IF(A293="","",R293-S293)</f>
        <v>0</v>
      </c>
      <c r="U293" s="21">
        <f>IF(A293="","",ROUND(T293*TaxRate,2))</f>
        <v>0</v>
      </c>
      <c r="V293" s="21">
        <f>IF(A293="","",T293+U293)</f>
        <v>0</v>
      </c>
      <c r="W293" s="21">
        <f>IF(A293="","",SUMIFS(Payments!$G$5:$G$404,Payments!$D$5:$D$404,A293))</f>
        <v>0</v>
      </c>
      <c r="X293" s="21">
        <f>IF(A293="","",ROUND(V293-W293,2))</f>
        <v>0</v>
      </c>
      <c r="Y293" s="31">
        <f>IF(B293="","",IF(J293&lt;&gt;"",J293,IF(IFERROR(INDEX(Clients!$P$5:$P$204,MATCH(D293,Clients!$A$5:$A$204,0)),"")&lt;&gt;"",INDEX(Clients!$P$5:$P$204,MATCH(D293,Clients!$A$5:$A$204,0)),PaymentTerms)))</f>
        <v>0</v>
      </c>
      <c r="Z293" s="18">
        <f>IF(OR(A293="",B293=""),"",B293+Y293)</f>
        <v>0</v>
      </c>
      <c r="AA293" s="31">
        <f>IF(OR(A293="",Z293=""),"",IF(X293&lt;=0.004,"",MAX(0,TodayDate-Z293-OverdueGrace)))</f>
        <v>0</v>
      </c>
      <c r="AB293" s="39">
        <f>IF(B293="","",IF(X293&lt;=0.004,"Paid",IF(AA293="","Not due yet",IF(AA293=0,"Due now",IF(AA293&lt;=30,"1-30 days",IF(AA293&lt;=60,"31-60 days",IF(AA293&lt;=90,"61-90 days","90+ days")))))))</f>
        <v>0</v>
      </c>
      <c r="AC293" s="21">
        <f>IF(OR(A293="",AA293=""),"",IF(AA293&lt;=0,0,ROUND(X293*LateFeePercent,2)))</f>
        <v>0</v>
      </c>
      <c r="AD293" s="50">
        <f>IF(B293="","",IF(X293&lt;=0.004,"Yes","No"))</f>
        <v>0</v>
      </c>
      <c r="AE293" s="39">
        <f>IF(B293="","",IF(Q293=0,"Add - no lines on this invoice yet",IF(H293="Written off","Written off",IF(AD293="Yes","OK - paid",IF(H293="Draft","Draft - not sent yet",IF(AND(AA293&lt;&gt;"",AA293&gt;30),"Overdue - "&amp;AA293&amp;" days, call them",IF(AND(AA293&lt;&gt;"",AA293&gt;0),"Overdue - send a reminder",IF(W293&gt;0,"Part paid","Due - waiting for payment"))))))))</f>
        <v>0</v>
      </c>
    </row>
    <row r="294" spans="1:31">
      <c r="A294" s="43">
        <f>IF(B294="","",InvoicePrefix&amp;TEXT(ROW()-4,"0000"))</f>
        <v>0</v>
      </c>
      <c r="C294" s="23">
        <f>IF(B294="","",TEXT(B294,"yyyy-mm"))</f>
        <v>0</v>
      </c>
      <c r="E294" s="23">
        <f>IF(D294="","",IFERROR(INDEX(Clients!$B$5:$B$204,MATCH(D294,Clients!$A$5:$A$204,0)),"Not found"))</f>
        <v>0</v>
      </c>
      <c r="F294" s="23">
        <f>IF(D294="","",IFERROR(INDEX(Clients!$G$5:$G$204,MATCH(D294,Clients!$A$5:$A$204,0)),""))</f>
        <v>0</v>
      </c>
      <c r="Q294" s="31">
        <f>IF(A294="","",COUNTIFS('Invoice Lines'!$B$5:$B$804,A294))</f>
        <v>0</v>
      </c>
      <c r="R294" s="21">
        <f>IF(A294="","",SUMIFS('Invoice Lines'!$N$5:$N$804,'Invoice Lines'!$B$5:$B$804,A294))</f>
        <v>0</v>
      </c>
      <c r="S294" s="21">
        <f>IF(A294="","",ROUND(R294*IF(K294="",0,K294),2))</f>
        <v>0</v>
      </c>
      <c r="T294" s="21">
        <f>IF(A294="","",R294-S294)</f>
        <v>0</v>
      </c>
      <c r="U294" s="21">
        <f>IF(A294="","",ROUND(T294*TaxRate,2))</f>
        <v>0</v>
      </c>
      <c r="V294" s="21">
        <f>IF(A294="","",T294+U294)</f>
        <v>0</v>
      </c>
      <c r="W294" s="21">
        <f>IF(A294="","",SUMIFS(Payments!$G$5:$G$404,Payments!$D$5:$D$404,A294))</f>
        <v>0</v>
      </c>
      <c r="X294" s="21">
        <f>IF(A294="","",ROUND(V294-W294,2))</f>
        <v>0</v>
      </c>
      <c r="Y294" s="31">
        <f>IF(B294="","",IF(J294&lt;&gt;"",J294,IF(IFERROR(INDEX(Clients!$P$5:$P$204,MATCH(D294,Clients!$A$5:$A$204,0)),"")&lt;&gt;"",INDEX(Clients!$P$5:$P$204,MATCH(D294,Clients!$A$5:$A$204,0)),PaymentTerms)))</f>
        <v>0</v>
      </c>
      <c r="Z294" s="18">
        <f>IF(OR(A294="",B294=""),"",B294+Y294)</f>
        <v>0</v>
      </c>
      <c r="AA294" s="31">
        <f>IF(OR(A294="",Z294=""),"",IF(X294&lt;=0.004,"",MAX(0,TodayDate-Z294-OverdueGrace)))</f>
        <v>0</v>
      </c>
      <c r="AB294" s="39">
        <f>IF(B294="","",IF(X294&lt;=0.004,"Paid",IF(AA294="","Not due yet",IF(AA294=0,"Due now",IF(AA294&lt;=30,"1-30 days",IF(AA294&lt;=60,"31-60 days",IF(AA294&lt;=90,"61-90 days","90+ days")))))))</f>
        <v>0</v>
      </c>
      <c r="AC294" s="21">
        <f>IF(OR(A294="",AA294=""),"",IF(AA294&lt;=0,0,ROUND(X294*LateFeePercent,2)))</f>
        <v>0</v>
      </c>
      <c r="AD294" s="50">
        <f>IF(B294="","",IF(X294&lt;=0.004,"Yes","No"))</f>
        <v>0</v>
      </c>
      <c r="AE294" s="39">
        <f>IF(B294="","",IF(Q294=0,"Add - no lines on this invoice yet",IF(H294="Written off","Written off",IF(AD294="Yes","OK - paid",IF(H294="Draft","Draft - not sent yet",IF(AND(AA294&lt;&gt;"",AA294&gt;30),"Overdue - "&amp;AA294&amp;" days, call them",IF(AND(AA294&lt;&gt;"",AA294&gt;0),"Overdue - send a reminder",IF(W294&gt;0,"Part paid","Due - waiting for payment"))))))))</f>
        <v>0</v>
      </c>
    </row>
    <row r="295" spans="1:31">
      <c r="A295" s="43">
        <f>IF(B295="","",InvoicePrefix&amp;TEXT(ROW()-4,"0000"))</f>
        <v>0</v>
      </c>
      <c r="C295" s="23">
        <f>IF(B295="","",TEXT(B295,"yyyy-mm"))</f>
        <v>0</v>
      </c>
      <c r="E295" s="23">
        <f>IF(D295="","",IFERROR(INDEX(Clients!$B$5:$B$204,MATCH(D295,Clients!$A$5:$A$204,0)),"Not found"))</f>
        <v>0</v>
      </c>
      <c r="F295" s="23">
        <f>IF(D295="","",IFERROR(INDEX(Clients!$G$5:$G$204,MATCH(D295,Clients!$A$5:$A$204,0)),""))</f>
        <v>0</v>
      </c>
      <c r="Q295" s="31">
        <f>IF(A295="","",COUNTIFS('Invoice Lines'!$B$5:$B$804,A295))</f>
        <v>0</v>
      </c>
      <c r="R295" s="21">
        <f>IF(A295="","",SUMIFS('Invoice Lines'!$N$5:$N$804,'Invoice Lines'!$B$5:$B$804,A295))</f>
        <v>0</v>
      </c>
      <c r="S295" s="21">
        <f>IF(A295="","",ROUND(R295*IF(K295="",0,K295),2))</f>
        <v>0</v>
      </c>
      <c r="T295" s="21">
        <f>IF(A295="","",R295-S295)</f>
        <v>0</v>
      </c>
      <c r="U295" s="21">
        <f>IF(A295="","",ROUND(T295*TaxRate,2))</f>
        <v>0</v>
      </c>
      <c r="V295" s="21">
        <f>IF(A295="","",T295+U295)</f>
        <v>0</v>
      </c>
      <c r="W295" s="21">
        <f>IF(A295="","",SUMIFS(Payments!$G$5:$G$404,Payments!$D$5:$D$404,A295))</f>
        <v>0</v>
      </c>
      <c r="X295" s="21">
        <f>IF(A295="","",ROUND(V295-W295,2))</f>
        <v>0</v>
      </c>
      <c r="Y295" s="31">
        <f>IF(B295="","",IF(J295&lt;&gt;"",J295,IF(IFERROR(INDEX(Clients!$P$5:$P$204,MATCH(D295,Clients!$A$5:$A$204,0)),"")&lt;&gt;"",INDEX(Clients!$P$5:$P$204,MATCH(D295,Clients!$A$5:$A$204,0)),PaymentTerms)))</f>
        <v>0</v>
      </c>
      <c r="Z295" s="18">
        <f>IF(OR(A295="",B295=""),"",B295+Y295)</f>
        <v>0</v>
      </c>
      <c r="AA295" s="31">
        <f>IF(OR(A295="",Z295=""),"",IF(X295&lt;=0.004,"",MAX(0,TodayDate-Z295-OverdueGrace)))</f>
        <v>0</v>
      </c>
      <c r="AB295" s="39">
        <f>IF(B295="","",IF(X295&lt;=0.004,"Paid",IF(AA295="","Not due yet",IF(AA295=0,"Due now",IF(AA295&lt;=30,"1-30 days",IF(AA295&lt;=60,"31-60 days",IF(AA295&lt;=90,"61-90 days","90+ days")))))))</f>
        <v>0</v>
      </c>
      <c r="AC295" s="21">
        <f>IF(OR(A295="",AA295=""),"",IF(AA295&lt;=0,0,ROUND(X295*LateFeePercent,2)))</f>
        <v>0</v>
      </c>
      <c r="AD295" s="50">
        <f>IF(B295="","",IF(X295&lt;=0.004,"Yes","No"))</f>
        <v>0</v>
      </c>
      <c r="AE295" s="39">
        <f>IF(B295="","",IF(Q295=0,"Add - no lines on this invoice yet",IF(H295="Written off","Written off",IF(AD295="Yes","OK - paid",IF(H295="Draft","Draft - not sent yet",IF(AND(AA295&lt;&gt;"",AA295&gt;30),"Overdue - "&amp;AA295&amp;" days, call them",IF(AND(AA295&lt;&gt;"",AA295&gt;0),"Overdue - send a reminder",IF(W295&gt;0,"Part paid","Due - waiting for payment"))))))))</f>
        <v>0</v>
      </c>
    </row>
    <row r="296" spans="1:31">
      <c r="A296" s="43">
        <f>IF(B296="","",InvoicePrefix&amp;TEXT(ROW()-4,"0000"))</f>
        <v>0</v>
      </c>
      <c r="C296" s="23">
        <f>IF(B296="","",TEXT(B296,"yyyy-mm"))</f>
        <v>0</v>
      </c>
      <c r="E296" s="23">
        <f>IF(D296="","",IFERROR(INDEX(Clients!$B$5:$B$204,MATCH(D296,Clients!$A$5:$A$204,0)),"Not found"))</f>
        <v>0</v>
      </c>
      <c r="F296" s="23">
        <f>IF(D296="","",IFERROR(INDEX(Clients!$G$5:$G$204,MATCH(D296,Clients!$A$5:$A$204,0)),""))</f>
        <v>0</v>
      </c>
      <c r="Q296" s="31">
        <f>IF(A296="","",COUNTIFS('Invoice Lines'!$B$5:$B$804,A296))</f>
        <v>0</v>
      </c>
      <c r="R296" s="21">
        <f>IF(A296="","",SUMIFS('Invoice Lines'!$N$5:$N$804,'Invoice Lines'!$B$5:$B$804,A296))</f>
        <v>0</v>
      </c>
      <c r="S296" s="21">
        <f>IF(A296="","",ROUND(R296*IF(K296="",0,K296),2))</f>
        <v>0</v>
      </c>
      <c r="T296" s="21">
        <f>IF(A296="","",R296-S296)</f>
        <v>0</v>
      </c>
      <c r="U296" s="21">
        <f>IF(A296="","",ROUND(T296*TaxRate,2))</f>
        <v>0</v>
      </c>
      <c r="V296" s="21">
        <f>IF(A296="","",T296+U296)</f>
        <v>0</v>
      </c>
      <c r="W296" s="21">
        <f>IF(A296="","",SUMIFS(Payments!$G$5:$G$404,Payments!$D$5:$D$404,A296))</f>
        <v>0</v>
      </c>
      <c r="X296" s="21">
        <f>IF(A296="","",ROUND(V296-W296,2))</f>
        <v>0</v>
      </c>
      <c r="Y296" s="31">
        <f>IF(B296="","",IF(J296&lt;&gt;"",J296,IF(IFERROR(INDEX(Clients!$P$5:$P$204,MATCH(D296,Clients!$A$5:$A$204,0)),"")&lt;&gt;"",INDEX(Clients!$P$5:$P$204,MATCH(D296,Clients!$A$5:$A$204,0)),PaymentTerms)))</f>
        <v>0</v>
      </c>
      <c r="Z296" s="18">
        <f>IF(OR(A296="",B296=""),"",B296+Y296)</f>
        <v>0</v>
      </c>
      <c r="AA296" s="31">
        <f>IF(OR(A296="",Z296=""),"",IF(X296&lt;=0.004,"",MAX(0,TodayDate-Z296-OverdueGrace)))</f>
        <v>0</v>
      </c>
      <c r="AB296" s="39">
        <f>IF(B296="","",IF(X296&lt;=0.004,"Paid",IF(AA296="","Not due yet",IF(AA296=0,"Due now",IF(AA296&lt;=30,"1-30 days",IF(AA296&lt;=60,"31-60 days",IF(AA296&lt;=90,"61-90 days","90+ days")))))))</f>
        <v>0</v>
      </c>
      <c r="AC296" s="21">
        <f>IF(OR(A296="",AA296=""),"",IF(AA296&lt;=0,0,ROUND(X296*LateFeePercent,2)))</f>
        <v>0</v>
      </c>
      <c r="AD296" s="50">
        <f>IF(B296="","",IF(X296&lt;=0.004,"Yes","No"))</f>
        <v>0</v>
      </c>
      <c r="AE296" s="39">
        <f>IF(B296="","",IF(Q296=0,"Add - no lines on this invoice yet",IF(H296="Written off","Written off",IF(AD296="Yes","OK - paid",IF(H296="Draft","Draft - not sent yet",IF(AND(AA296&lt;&gt;"",AA296&gt;30),"Overdue - "&amp;AA296&amp;" days, call them",IF(AND(AA296&lt;&gt;"",AA296&gt;0),"Overdue - send a reminder",IF(W296&gt;0,"Part paid","Due - waiting for payment"))))))))</f>
        <v>0</v>
      </c>
    </row>
    <row r="297" spans="1:31">
      <c r="A297" s="43">
        <f>IF(B297="","",InvoicePrefix&amp;TEXT(ROW()-4,"0000"))</f>
        <v>0</v>
      </c>
      <c r="C297" s="23">
        <f>IF(B297="","",TEXT(B297,"yyyy-mm"))</f>
        <v>0</v>
      </c>
      <c r="E297" s="23">
        <f>IF(D297="","",IFERROR(INDEX(Clients!$B$5:$B$204,MATCH(D297,Clients!$A$5:$A$204,0)),"Not found"))</f>
        <v>0</v>
      </c>
      <c r="F297" s="23">
        <f>IF(D297="","",IFERROR(INDEX(Clients!$G$5:$G$204,MATCH(D297,Clients!$A$5:$A$204,0)),""))</f>
        <v>0</v>
      </c>
      <c r="Q297" s="31">
        <f>IF(A297="","",COUNTIFS('Invoice Lines'!$B$5:$B$804,A297))</f>
        <v>0</v>
      </c>
      <c r="R297" s="21">
        <f>IF(A297="","",SUMIFS('Invoice Lines'!$N$5:$N$804,'Invoice Lines'!$B$5:$B$804,A297))</f>
        <v>0</v>
      </c>
      <c r="S297" s="21">
        <f>IF(A297="","",ROUND(R297*IF(K297="",0,K297),2))</f>
        <v>0</v>
      </c>
      <c r="T297" s="21">
        <f>IF(A297="","",R297-S297)</f>
        <v>0</v>
      </c>
      <c r="U297" s="21">
        <f>IF(A297="","",ROUND(T297*TaxRate,2))</f>
        <v>0</v>
      </c>
      <c r="V297" s="21">
        <f>IF(A297="","",T297+U297)</f>
        <v>0</v>
      </c>
      <c r="W297" s="21">
        <f>IF(A297="","",SUMIFS(Payments!$G$5:$G$404,Payments!$D$5:$D$404,A297))</f>
        <v>0</v>
      </c>
      <c r="X297" s="21">
        <f>IF(A297="","",ROUND(V297-W297,2))</f>
        <v>0</v>
      </c>
      <c r="Y297" s="31">
        <f>IF(B297="","",IF(J297&lt;&gt;"",J297,IF(IFERROR(INDEX(Clients!$P$5:$P$204,MATCH(D297,Clients!$A$5:$A$204,0)),"")&lt;&gt;"",INDEX(Clients!$P$5:$P$204,MATCH(D297,Clients!$A$5:$A$204,0)),PaymentTerms)))</f>
        <v>0</v>
      </c>
      <c r="Z297" s="18">
        <f>IF(OR(A297="",B297=""),"",B297+Y297)</f>
        <v>0</v>
      </c>
      <c r="AA297" s="31">
        <f>IF(OR(A297="",Z297=""),"",IF(X297&lt;=0.004,"",MAX(0,TodayDate-Z297-OverdueGrace)))</f>
        <v>0</v>
      </c>
      <c r="AB297" s="39">
        <f>IF(B297="","",IF(X297&lt;=0.004,"Paid",IF(AA297="","Not due yet",IF(AA297=0,"Due now",IF(AA297&lt;=30,"1-30 days",IF(AA297&lt;=60,"31-60 days",IF(AA297&lt;=90,"61-90 days","90+ days")))))))</f>
        <v>0</v>
      </c>
      <c r="AC297" s="21">
        <f>IF(OR(A297="",AA297=""),"",IF(AA297&lt;=0,0,ROUND(X297*LateFeePercent,2)))</f>
        <v>0</v>
      </c>
      <c r="AD297" s="50">
        <f>IF(B297="","",IF(X297&lt;=0.004,"Yes","No"))</f>
        <v>0</v>
      </c>
      <c r="AE297" s="39">
        <f>IF(B297="","",IF(Q297=0,"Add - no lines on this invoice yet",IF(H297="Written off","Written off",IF(AD297="Yes","OK - paid",IF(H297="Draft","Draft - not sent yet",IF(AND(AA297&lt;&gt;"",AA297&gt;30),"Overdue - "&amp;AA297&amp;" days, call them",IF(AND(AA297&lt;&gt;"",AA297&gt;0),"Overdue - send a reminder",IF(W297&gt;0,"Part paid","Due - waiting for payment"))))))))</f>
        <v>0</v>
      </c>
    </row>
    <row r="298" spans="1:31">
      <c r="A298" s="43">
        <f>IF(B298="","",InvoicePrefix&amp;TEXT(ROW()-4,"0000"))</f>
        <v>0</v>
      </c>
      <c r="C298" s="23">
        <f>IF(B298="","",TEXT(B298,"yyyy-mm"))</f>
        <v>0</v>
      </c>
      <c r="E298" s="23">
        <f>IF(D298="","",IFERROR(INDEX(Clients!$B$5:$B$204,MATCH(D298,Clients!$A$5:$A$204,0)),"Not found"))</f>
        <v>0</v>
      </c>
      <c r="F298" s="23">
        <f>IF(D298="","",IFERROR(INDEX(Clients!$G$5:$G$204,MATCH(D298,Clients!$A$5:$A$204,0)),""))</f>
        <v>0</v>
      </c>
      <c r="Q298" s="31">
        <f>IF(A298="","",COUNTIFS('Invoice Lines'!$B$5:$B$804,A298))</f>
        <v>0</v>
      </c>
      <c r="R298" s="21">
        <f>IF(A298="","",SUMIFS('Invoice Lines'!$N$5:$N$804,'Invoice Lines'!$B$5:$B$804,A298))</f>
        <v>0</v>
      </c>
      <c r="S298" s="21">
        <f>IF(A298="","",ROUND(R298*IF(K298="",0,K298),2))</f>
        <v>0</v>
      </c>
      <c r="T298" s="21">
        <f>IF(A298="","",R298-S298)</f>
        <v>0</v>
      </c>
      <c r="U298" s="21">
        <f>IF(A298="","",ROUND(T298*TaxRate,2))</f>
        <v>0</v>
      </c>
      <c r="V298" s="21">
        <f>IF(A298="","",T298+U298)</f>
        <v>0</v>
      </c>
      <c r="W298" s="21">
        <f>IF(A298="","",SUMIFS(Payments!$G$5:$G$404,Payments!$D$5:$D$404,A298))</f>
        <v>0</v>
      </c>
      <c r="X298" s="21">
        <f>IF(A298="","",ROUND(V298-W298,2))</f>
        <v>0</v>
      </c>
      <c r="Y298" s="31">
        <f>IF(B298="","",IF(J298&lt;&gt;"",J298,IF(IFERROR(INDEX(Clients!$P$5:$P$204,MATCH(D298,Clients!$A$5:$A$204,0)),"")&lt;&gt;"",INDEX(Clients!$P$5:$P$204,MATCH(D298,Clients!$A$5:$A$204,0)),PaymentTerms)))</f>
        <v>0</v>
      </c>
      <c r="Z298" s="18">
        <f>IF(OR(A298="",B298=""),"",B298+Y298)</f>
        <v>0</v>
      </c>
      <c r="AA298" s="31">
        <f>IF(OR(A298="",Z298=""),"",IF(X298&lt;=0.004,"",MAX(0,TodayDate-Z298-OverdueGrace)))</f>
        <v>0</v>
      </c>
      <c r="AB298" s="39">
        <f>IF(B298="","",IF(X298&lt;=0.004,"Paid",IF(AA298="","Not due yet",IF(AA298=0,"Due now",IF(AA298&lt;=30,"1-30 days",IF(AA298&lt;=60,"31-60 days",IF(AA298&lt;=90,"61-90 days","90+ days")))))))</f>
        <v>0</v>
      </c>
      <c r="AC298" s="21">
        <f>IF(OR(A298="",AA298=""),"",IF(AA298&lt;=0,0,ROUND(X298*LateFeePercent,2)))</f>
        <v>0</v>
      </c>
      <c r="AD298" s="50">
        <f>IF(B298="","",IF(X298&lt;=0.004,"Yes","No"))</f>
        <v>0</v>
      </c>
      <c r="AE298" s="39">
        <f>IF(B298="","",IF(Q298=0,"Add - no lines on this invoice yet",IF(H298="Written off","Written off",IF(AD298="Yes","OK - paid",IF(H298="Draft","Draft - not sent yet",IF(AND(AA298&lt;&gt;"",AA298&gt;30),"Overdue - "&amp;AA298&amp;" days, call them",IF(AND(AA298&lt;&gt;"",AA298&gt;0),"Overdue - send a reminder",IF(W298&gt;0,"Part paid","Due - waiting for payment"))))))))</f>
        <v>0</v>
      </c>
    </row>
    <row r="299" spans="1:31">
      <c r="A299" s="43">
        <f>IF(B299="","",InvoicePrefix&amp;TEXT(ROW()-4,"0000"))</f>
        <v>0</v>
      </c>
      <c r="C299" s="23">
        <f>IF(B299="","",TEXT(B299,"yyyy-mm"))</f>
        <v>0</v>
      </c>
      <c r="E299" s="23">
        <f>IF(D299="","",IFERROR(INDEX(Clients!$B$5:$B$204,MATCH(D299,Clients!$A$5:$A$204,0)),"Not found"))</f>
        <v>0</v>
      </c>
      <c r="F299" s="23">
        <f>IF(D299="","",IFERROR(INDEX(Clients!$G$5:$G$204,MATCH(D299,Clients!$A$5:$A$204,0)),""))</f>
        <v>0</v>
      </c>
      <c r="Q299" s="31">
        <f>IF(A299="","",COUNTIFS('Invoice Lines'!$B$5:$B$804,A299))</f>
        <v>0</v>
      </c>
      <c r="R299" s="21">
        <f>IF(A299="","",SUMIFS('Invoice Lines'!$N$5:$N$804,'Invoice Lines'!$B$5:$B$804,A299))</f>
        <v>0</v>
      </c>
      <c r="S299" s="21">
        <f>IF(A299="","",ROUND(R299*IF(K299="",0,K299),2))</f>
        <v>0</v>
      </c>
      <c r="T299" s="21">
        <f>IF(A299="","",R299-S299)</f>
        <v>0</v>
      </c>
      <c r="U299" s="21">
        <f>IF(A299="","",ROUND(T299*TaxRate,2))</f>
        <v>0</v>
      </c>
      <c r="V299" s="21">
        <f>IF(A299="","",T299+U299)</f>
        <v>0</v>
      </c>
      <c r="W299" s="21">
        <f>IF(A299="","",SUMIFS(Payments!$G$5:$G$404,Payments!$D$5:$D$404,A299))</f>
        <v>0</v>
      </c>
      <c r="X299" s="21">
        <f>IF(A299="","",ROUND(V299-W299,2))</f>
        <v>0</v>
      </c>
      <c r="Y299" s="31">
        <f>IF(B299="","",IF(J299&lt;&gt;"",J299,IF(IFERROR(INDEX(Clients!$P$5:$P$204,MATCH(D299,Clients!$A$5:$A$204,0)),"")&lt;&gt;"",INDEX(Clients!$P$5:$P$204,MATCH(D299,Clients!$A$5:$A$204,0)),PaymentTerms)))</f>
        <v>0</v>
      </c>
      <c r="Z299" s="18">
        <f>IF(OR(A299="",B299=""),"",B299+Y299)</f>
        <v>0</v>
      </c>
      <c r="AA299" s="31">
        <f>IF(OR(A299="",Z299=""),"",IF(X299&lt;=0.004,"",MAX(0,TodayDate-Z299-OverdueGrace)))</f>
        <v>0</v>
      </c>
      <c r="AB299" s="39">
        <f>IF(B299="","",IF(X299&lt;=0.004,"Paid",IF(AA299="","Not due yet",IF(AA299=0,"Due now",IF(AA299&lt;=30,"1-30 days",IF(AA299&lt;=60,"31-60 days",IF(AA299&lt;=90,"61-90 days","90+ days")))))))</f>
        <v>0</v>
      </c>
      <c r="AC299" s="21">
        <f>IF(OR(A299="",AA299=""),"",IF(AA299&lt;=0,0,ROUND(X299*LateFeePercent,2)))</f>
        <v>0</v>
      </c>
      <c r="AD299" s="50">
        <f>IF(B299="","",IF(X299&lt;=0.004,"Yes","No"))</f>
        <v>0</v>
      </c>
      <c r="AE299" s="39">
        <f>IF(B299="","",IF(Q299=0,"Add - no lines on this invoice yet",IF(H299="Written off","Written off",IF(AD299="Yes","OK - paid",IF(H299="Draft","Draft - not sent yet",IF(AND(AA299&lt;&gt;"",AA299&gt;30),"Overdue - "&amp;AA299&amp;" days, call them",IF(AND(AA299&lt;&gt;"",AA299&gt;0),"Overdue - send a reminder",IF(W299&gt;0,"Part paid","Due - waiting for payment"))))))))</f>
        <v>0</v>
      </c>
    </row>
    <row r="300" spans="1:31">
      <c r="A300" s="43">
        <f>IF(B300="","",InvoicePrefix&amp;TEXT(ROW()-4,"0000"))</f>
        <v>0</v>
      </c>
      <c r="C300" s="23">
        <f>IF(B300="","",TEXT(B300,"yyyy-mm"))</f>
        <v>0</v>
      </c>
      <c r="E300" s="23">
        <f>IF(D300="","",IFERROR(INDEX(Clients!$B$5:$B$204,MATCH(D300,Clients!$A$5:$A$204,0)),"Not found"))</f>
        <v>0</v>
      </c>
      <c r="F300" s="23">
        <f>IF(D300="","",IFERROR(INDEX(Clients!$G$5:$G$204,MATCH(D300,Clients!$A$5:$A$204,0)),""))</f>
        <v>0</v>
      </c>
      <c r="Q300" s="31">
        <f>IF(A300="","",COUNTIFS('Invoice Lines'!$B$5:$B$804,A300))</f>
        <v>0</v>
      </c>
      <c r="R300" s="21">
        <f>IF(A300="","",SUMIFS('Invoice Lines'!$N$5:$N$804,'Invoice Lines'!$B$5:$B$804,A300))</f>
        <v>0</v>
      </c>
      <c r="S300" s="21">
        <f>IF(A300="","",ROUND(R300*IF(K300="",0,K300),2))</f>
        <v>0</v>
      </c>
      <c r="T300" s="21">
        <f>IF(A300="","",R300-S300)</f>
        <v>0</v>
      </c>
      <c r="U300" s="21">
        <f>IF(A300="","",ROUND(T300*TaxRate,2))</f>
        <v>0</v>
      </c>
      <c r="V300" s="21">
        <f>IF(A300="","",T300+U300)</f>
        <v>0</v>
      </c>
      <c r="W300" s="21">
        <f>IF(A300="","",SUMIFS(Payments!$G$5:$G$404,Payments!$D$5:$D$404,A300))</f>
        <v>0</v>
      </c>
      <c r="X300" s="21">
        <f>IF(A300="","",ROUND(V300-W300,2))</f>
        <v>0</v>
      </c>
      <c r="Y300" s="31">
        <f>IF(B300="","",IF(J300&lt;&gt;"",J300,IF(IFERROR(INDEX(Clients!$P$5:$P$204,MATCH(D300,Clients!$A$5:$A$204,0)),"")&lt;&gt;"",INDEX(Clients!$P$5:$P$204,MATCH(D300,Clients!$A$5:$A$204,0)),PaymentTerms)))</f>
        <v>0</v>
      </c>
      <c r="Z300" s="18">
        <f>IF(OR(A300="",B300=""),"",B300+Y300)</f>
        <v>0</v>
      </c>
      <c r="AA300" s="31">
        <f>IF(OR(A300="",Z300=""),"",IF(X300&lt;=0.004,"",MAX(0,TodayDate-Z300-OverdueGrace)))</f>
        <v>0</v>
      </c>
      <c r="AB300" s="39">
        <f>IF(B300="","",IF(X300&lt;=0.004,"Paid",IF(AA300="","Not due yet",IF(AA300=0,"Due now",IF(AA300&lt;=30,"1-30 days",IF(AA300&lt;=60,"31-60 days",IF(AA300&lt;=90,"61-90 days","90+ days")))))))</f>
        <v>0</v>
      </c>
      <c r="AC300" s="21">
        <f>IF(OR(A300="",AA300=""),"",IF(AA300&lt;=0,0,ROUND(X300*LateFeePercent,2)))</f>
        <v>0</v>
      </c>
      <c r="AD300" s="50">
        <f>IF(B300="","",IF(X300&lt;=0.004,"Yes","No"))</f>
        <v>0</v>
      </c>
      <c r="AE300" s="39">
        <f>IF(B300="","",IF(Q300=0,"Add - no lines on this invoice yet",IF(H300="Written off","Written off",IF(AD300="Yes","OK - paid",IF(H300="Draft","Draft - not sent yet",IF(AND(AA300&lt;&gt;"",AA300&gt;30),"Overdue - "&amp;AA300&amp;" days, call them",IF(AND(AA300&lt;&gt;"",AA300&gt;0),"Overdue - send a reminder",IF(W300&gt;0,"Part paid","Due - waiting for payment"))))))))</f>
        <v>0</v>
      </c>
    </row>
    <row r="301" spans="1:31">
      <c r="A301" s="43">
        <f>IF(B301="","",InvoicePrefix&amp;TEXT(ROW()-4,"0000"))</f>
        <v>0</v>
      </c>
      <c r="C301" s="23">
        <f>IF(B301="","",TEXT(B301,"yyyy-mm"))</f>
        <v>0</v>
      </c>
      <c r="E301" s="23">
        <f>IF(D301="","",IFERROR(INDEX(Clients!$B$5:$B$204,MATCH(D301,Clients!$A$5:$A$204,0)),"Not found"))</f>
        <v>0</v>
      </c>
      <c r="F301" s="23">
        <f>IF(D301="","",IFERROR(INDEX(Clients!$G$5:$G$204,MATCH(D301,Clients!$A$5:$A$204,0)),""))</f>
        <v>0</v>
      </c>
      <c r="Q301" s="31">
        <f>IF(A301="","",COUNTIFS('Invoice Lines'!$B$5:$B$804,A301))</f>
        <v>0</v>
      </c>
      <c r="R301" s="21">
        <f>IF(A301="","",SUMIFS('Invoice Lines'!$N$5:$N$804,'Invoice Lines'!$B$5:$B$804,A301))</f>
        <v>0</v>
      </c>
      <c r="S301" s="21">
        <f>IF(A301="","",ROUND(R301*IF(K301="",0,K301),2))</f>
        <v>0</v>
      </c>
      <c r="T301" s="21">
        <f>IF(A301="","",R301-S301)</f>
        <v>0</v>
      </c>
      <c r="U301" s="21">
        <f>IF(A301="","",ROUND(T301*TaxRate,2))</f>
        <v>0</v>
      </c>
      <c r="V301" s="21">
        <f>IF(A301="","",T301+U301)</f>
        <v>0</v>
      </c>
      <c r="W301" s="21">
        <f>IF(A301="","",SUMIFS(Payments!$G$5:$G$404,Payments!$D$5:$D$404,A301))</f>
        <v>0</v>
      </c>
      <c r="X301" s="21">
        <f>IF(A301="","",ROUND(V301-W301,2))</f>
        <v>0</v>
      </c>
      <c r="Y301" s="31">
        <f>IF(B301="","",IF(J301&lt;&gt;"",J301,IF(IFERROR(INDEX(Clients!$P$5:$P$204,MATCH(D301,Clients!$A$5:$A$204,0)),"")&lt;&gt;"",INDEX(Clients!$P$5:$P$204,MATCH(D301,Clients!$A$5:$A$204,0)),PaymentTerms)))</f>
        <v>0</v>
      </c>
      <c r="Z301" s="18">
        <f>IF(OR(A301="",B301=""),"",B301+Y301)</f>
        <v>0</v>
      </c>
      <c r="AA301" s="31">
        <f>IF(OR(A301="",Z301=""),"",IF(X301&lt;=0.004,"",MAX(0,TodayDate-Z301-OverdueGrace)))</f>
        <v>0</v>
      </c>
      <c r="AB301" s="39">
        <f>IF(B301="","",IF(X301&lt;=0.004,"Paid",IF(AA301="","Not due yet",IF(AA301=0,"Due now",IF(AA301&lt;=30,"1-30 days",IF(AA301&lt;=60,"31-60 days",IF(AA301&lt;=90,"61-90 days","90+ days")))))))</f>
        <v>0</v>
      </c>
      <c r="AC301" s="21">
        <f>IF(OR(A301="",AA301=""),"",IF(AA301&lt;=0,0,ROUND(X301*LateFeePercent,2)))</f>
        <v>0</v>
      </c>
      <c r="AD301" s="50">
        <f>IF(B301="","",IF(X301&lt;=0.004,"Yes","No"))</f>
        <v>0</v>
      </c>
      <c r="AE301" s="39">
        <f>IF(B301="","",IF(Q301=0,"Add - no lines on this invoice yet",IF(H301="Written off","Written off",IF(AD301="Yes","OK - paid",IF(H301="Draft","Draft - not sent yet",IF(AND(AA301&lt;&gt;"",AA301&gt;30),"Overdue - "&amp;AA301&amp;" days, call them",IF(AND(AA301&lt;&gt;"",AA301&gt;0),"Overdue - send a reminder",IF(W301&gt;0,"Part paid","Due - waiting for payment"))))))))</f>
        <v>0</v>
      </c>
    </row>
    <row r="302" spans="1:31">
      <c r="A302" s="43">
        <f>IF(B302="","",InvoicePrefix&amp;TEXT(ROW()-4,"0000"))</f>
        <v>0</v>
      </c>
      <c r="C302" s="23">
        <f>IF(B302="","",TEXT(B302,"yyyy-mm"))</f>
        <v>0</v>
      </c>
      <c r="E302" s="23">
        <f>IF(D302="","",IFERROR(INDEX(Clients!$B$5:$B$204,MATCH(D302,Clients!$A$5:$A$204,0)),"Not found"))</f>
        <v>0</v>
      </c>
      <c r="F302" s="23">
        <f>IF(D302="","",IFERROR(INDEX(Clients!$G$5:$G$204,MATCH(D302,Clients!$A$5:$A$204,0)),""))</f>
        <v>0</v>
      </c>
      <c r="Q302" s="31">
        <f>IF(A302="","",COUNTIFS('Invoice Lines'!$B$5:$B$804,A302))</f>
        <v>0</v>
      </c>
      <c r="R302" s="21">
        <f>IF(A302="","",SUMIFS('Invoice Lines'!$N$5:$N$804,'Invoice Lines'!$B$5:$B$804,A302))</f>
        <v>0</v>
      </c>
      <c r="S302" s="21">
        <f>IF(A302="","",ROUND(R302*IF(K302="",0,K302),2))</f>
        <v>0</v>
      </c>
      <c r="T302" s="21">
        <f>IF(A302="","",R302-S302)</f>
        <v>0</v>
      </c>
      <c r="U302" s="21">
        <f>IF(A302="","",ROUND(T302*TaxRate,2))</f>
        <v>0</v>
      </c>
      <c r="V302" s="21">
        <f>IF(A302="","",T302+U302)</f>
        <v>0</v>
      </c>
      <c r="W302" s="21">
        <f>IF(A302="","",SUMIFS(Payments!$G$5:$G$404,Payments!$D$5:$D$404,A302))</f>
        <v>0</v>
      </c>
      <c r="X302" s="21">
        <f>IF(A302="","",ROUND(V302-W302,2))</f>
        <v>0</v>
      </c>
      <c r="Y302" s="31">
        <f>IF(B302="","",IF(J302&lt;&gt;"",J302,IF(IFERROR(INDEX(Clients!$P$5:$P$204,MATCH(D302,Clients!$A$5:$A$204,0)),"")&lt;&gt;"",INDEX(Clients!$P$5:$P$204,MATCH(D302,Clients!$A$5:$A$204,0)),PaymentTerms)))</f>
        <v>0</v>
      </c>
      <c r="Z302" s="18">
        <f>IF(OR(A302="",B302=""),"",B302+Y302)</f>
        <v>0</v>
      </c>
      <c r="AA302" s="31">
        <f>IF(OR(A302="",Z302=""),"",IF(X302&lt;=0.004,"",MAX(0,TodayDate-Z302-OverdueGrace)))</f>
        <v>0</v>
      </c>
      <c r="AB302" s="39">
        <f>IF(B302="","",IF(X302&lt;=0.004,"Paid",IF(AA302="","Not due yet",IF(AA302=0,"Due now",IF(AA302&lt;=30,"1-30 days",IF(AA302&lt;=60,"31-60 days",IF(AA302&lt;=90,"61-90 days","90+ days")))))))</f>
        <v>0</v>
      </c>
      <c r="AC302" s="21">
        <f>IF(OR(A302="",AA302=""),"",IF(AA302&lt;=0,0,ROUND(X302*LateFeePercent,2)))</f>
        <v>0</v>
      </c>
      <c r="AD302" s="50">
        <f>IF(B302="","",IF(X302&lt;=0.004,"Yes","No"))</f>
        <v>0</v>
      </c>
      <c r="AE302" s="39">
        <f>IF(B302="","",IF(Q302=0,"Add - no lines on this invoice yet",IF(H302="Written off","Written off",IF(AD302="Yes","OK - paid",IF(H302="Draft","Draft - not sent yet",IF(AND(AA302&lt;&gt;"",AA302&gt;30),"Overdue - "&amp;AA302&amp;" days, call them",IF(AND(AA302&lt;&gt;"",AA302&gt;0),"Overdue - send a reminder",IF(W302&gt;0,"Part paid","Due - waiting for payment"))))))))</f>
        <v>0</v>
      </c>
    </row>
    <row r="303" spans="1:31">
      <c r="A303" s="43">
        <f>IF(B303="","",InvoicePrefix&amp;TEXT(ROW()-4,"0000"))</f>
        <v>0</v>
      </c>
      <c r="C303" s="23">
        <f>IF(B303="","",TEXT(B303,"yyyy-mm"))</f>
        <v>0</v>
      </c>
      <c r="E303" s="23">
        <f>IF(D303="","",IFERROR(INDEX(Clients!$B$5:$B$204,MATCH(D303,Clients!$A$5:$A$204,0)),"Not found"))</f>
        <v>0</v>
      </c>
      <c r="F303" s="23">
        <f>IF(D303="","",IFERROR(INDEX(Clients!$G$5:$G$204,MATCH(D303,Clients!$A$5:$A$204,0)),""))</f>
        <v>0</v>
      </c>
      <c r="Q303" s="31">
        <f>IF(A303="","",COUNTIFS('Invoice Lines'!$B$5:$B$804,A303))</f>
        <v>0</v>
      </c>
      <c r="R303" s="21">
        <f>IF(A303="","",SUMIFS('Invoice Lines'!$N$5:$N$804,'Invoice Lines'!$B$5:$B$804,A303))</f>
        <v>0</v>
      </c>
      <c r="S303" s="21">
        <f>IF(A303="","",ROUND(R303*IF(K303="",0,K303),2))</f>
        <v>0</v>
      </c>
      <c r="T303" s="21">
        <f>IF(A303="","",R303-S303)</f>
        <v>0</v>
      </c>
      <c r="U303" s="21">
        <f>IF(A303="","",ROUND(T303*TaxRate,2))</f>
        <v>0</v>
      </c>
      <c r="V303" s="21">
        <f>IF(A303="","",T303+U303)</f>
        <v>0</v>
      </c>
      <c r="W303" s="21">
        <f>IF(A303="","",SUMIFS(Payments!$G$5:$G$404,Payments!$D$5:$D$404,A303))</f>
        <v>0</v>
      </c>
      <c r="X303" s="21">
        <f>IF(A303="","",ROUND(V303-W303,2))</f>
        <v>0</v>
      </c>
      <c r="Y303" s="31">
        <f>IF(B303="","",IF(J303&lt;&gt;"",J303,IF(IFERROR(INDEX(Clients!$P$5:$P$204,MATCH(D303,Clients!$A$5:$A$204,0)),"")&lt;&gt;"",INDEX(Clients!$P$5:$P$204,MATCH(D303,Clients!$A$5:$A$204,0)),PaymentTerms)))</f>
        <v>0</v>
      </c>
      <c r="Z303" s="18">
        <f>IF(OR(A303="",B303=""),"",B303+Y303)</f>
        <v>0</v>
      </c>
      <c r="AA303" s="31">
        <f>IF(OR(A303="",Z303=""),"",IF(X303&lt;=0.004,"",MAX(0,TodayDate-Z303-OverdueGrace)))</f>
        <v>0</v>
      </c>
      <c r="AB303" s="39">
        <f>IF(B303="","",IF(X303&lt;=0.004,"Paid",IF(AA303="","Not due yet",IF(AA303=0,"Due now",IF(AA303&lt;=30,"1-30 days",IF(AA303&lt;=60,"31-60 days",IF(AA303&lt;=90,"61-90 days","90+ days")))))))</f>
        <v>0</v>
      </c>
      <c r="AC303" s="21">
        <f>IF(OR(A303="",AA303=""),"",IF(AA303&lt;=0,0,ROUND(X303*LateFeePercent,2)))</f>
        <v>0</v>
      </c>
      <c r="AD303" s="50">
        <f>IF(B303="","",IF(X303&lt;=0.004,"Yes","No"))</f>
        <v>0</v>
      </c>
      <c r="AE303" s="39">
        <f>IF(B303="","",IF(Q303=0,"Add - no lines on this invoice yet",IF(H303="Written off","Written off",IF(AD303="Yes","OK - paid",IF(H303="Draft","Draft - not sent yet",IF(AND(AA303&lt;&gt;"",AA303&gt;30),"Overdue - "&amp;AA303&amp;" days, call them",IF(AND(AA303&lt;&gt;"",AA303&gt;0),"Overdue - send a reminder",IF(W303&gt;0,"Part paid","Due - waiting for payment"))))))))</f>
        <v>0</v>
      </c>
    </row>
    <row r="304" spans="1:31">
      <c r="A304" s="43">
        <f>IF(B304="","",InvoicePrefix&amp;TEXT(ROW()-4,"0000"))</f>
        <v>0</v>
      </c>
      <c r="C304" s="23">
        <f>IF(B304="","",TEXT(B304,"yyyy-mm"))</f>
        <v>0</v>
      </c>
      <c r="E304" s="23">
        <f>IF(D304="","",IFERROR(INDEX(Clients!$B$5:$B$204,MATCH(D304,Clients!$A$5:$A$204,0)),"Not found"))</f>
        <v>0</v>
      </c>
      <c r="F304" s="23">
        <f>IF(D304="","",IFERROR(INDEX(Clients!$G$5:$G$204,MATCH(D304,Clients!$A$5:$A$204,0)),""))</f>
        <v>0</v>
      </c>
      <c r="Q304" s="31">
        <f>IF(A304="","",COUNTIFS('Invoice Lines'!$B$5:$B$804,A304))</f>
        <v>0</v>
      </c>
      <c r="R304" s="21">
        <f>IF(A304="","",SUMIFS('Invoice Lines'!$N$5:$N$804,'Invoice Lines'!$B$5:$B$804,A304))</f>
        <v>0</v>
      </c>
      <c r="S304" s="21">
        <f>IF(A304="","",ROUND(R304*IF(K304="",0,K304),2))</f>
        <v>0</v>
      </c>
      <c r="T304" s="21">
        <f>IF(A304="","",R304-S304)</f>
        <v>0</v>
      </c>
      <c r="U304" s="21">
        <f>IF(A304="","",ROUND(T304*TaxRate,2))</f>
        <v>0</v>
      </c>
      <c r="V304" s="21">
        <f>IF(A304="","",T304+U304)</f>
        <v>0</v>
      </c>
      <c r="W304" s="21">
        <f>IF(A304="","",SUMIFS(Payments!$G$5:$G$404,Payments!$D$5:$D$404,A304))</f>
        <v>0</v>
      </c>
      <c r="X304" s="21">
        <f>IF(A304="","",ROUND(V304-W304,2))</f>
        <v>0</v>
      </c>
      <c r="Y304" s="31">
        <f>IF(B304="","",IF(J304&lt;&gt;"",J304,IF(IFERROR(INDEX(Clients!$P$5:$P$204,MATCH(D304,Clients!$A$5:$A$204,0)),"")&lt;&gt;"",INDEX(Clients!$P$5:$P$204,MATCH(D304,Clients!$A$5:$A$204,0)),PaymentTerms)))</f>
        <v>0</v>
      </c>
      <c r="Z304" s="18">
        <f>IF(OR(A304="",B304=""),"",B304+Y304)</f>
        <v>0</v>
      </c>
      <c r="AA304" s="31">
        <f>IF(OR(A304="",Z304=""),"",IF(X304&lt;=0.004,"",MAX(0,TodayDate-Z304-OverdueGrace)))</f>
        <v>0</v>
      </c>
      <c r="AB304" s="39">
        <f>IF(B304="","",IF(X304&lt;=0.004,"Paid",IF(AA304="","Not due yet",IF(AA304=0,"Due now",IF(AA304&lt;=30,"1-30 days",IF(AA304&lt;=60,"31-60 days",IF(AA304&lt;=90,"61-90 days","90+ days")))))))</f>
        <v>0</v>
      </c>
      <c r="AC304" s="21">
        <f>IF(OR(A304="",AA304=""),"",IF(AA304&lt;=0,0,ROUND(X304*LateFeePercent,2)))</f>
        <v>0</v>
      </c>
      <c r="AD304" s="50">
        <f>IF(B304="","",IF(X304&lt;=0.004,"Yes","No"))</f>
        <v>0</v>
      </c>
      <c r="AE304" s="39">
        <f>IF(B304="","",IF(Q304=0,"Add - no lines on this invoice yet",IF(H304="Written off","Written off",IF(AD304="Yes","OK - paid",IF(H304="Draft","Draft - not sent yet",IF(AND(AA304&lt;&gt;"",AA304&gt;30),"Overdue - "&amp;AA304&amp;" days, call them",IF(AND(AA304&lt;&gt;"",AA304&gt;0),"Overdue - send a reminder",IF(W304&gt;0,"Part paid","Due - waiting for payment"))))))))</f>
        <v>0</v>
      </c>
    </row>
    <row r="305" spans="1:31">
      <c r="A305" s="43">
        <f>IF(B305="","",InvoicePrefix&amp;TEXT(ROW()-4,"0000"))</f>
        <v>0</v>
      </c>
      <c r="C305" s="23">
        <f>IF(B305="","",TEXT(B305,"yyyy-mm"))</f>
        <v>0</v>
      </c>
      <c r="E305" s="23">
        <f>IF(D305="","",IFERROR(INDEX(Clients!$B$5:$B$204,MATCH(D305,Clients!$A$5:$A$204,0)),"Not found"))</f>
        <v>0</v>
      </c>
      <c r="F305" s="23">
        <f>IF(D305="","",IFERROR(INDEX(Clients!$G$5:$G$204,MATCH(D305,Clients!$A$5:$A$204,0)),""))</f>
        <v>0</v>
      </c>
      <c r="Q305" s="31">
        <f>IF(A305="","",COUNTIFS('Invoice Lines'!$B$5:$B$804,A305))</f>
        <v>0</v>
      </c>
      <c r="R305" s="21">
        <f>IF(A305="","",SUMIFS('Invoice Lines'!$N$5:$N$804,'Invoice Lines'!$B$5:$B$804,A305))</f>
        <v>0</v>
      </c>
      <c r="S305" s="21">
        <f>IF(A305="","",ROUND(R305*IF(K305="",0,K305),2))</f>
        <v>0</v>
      </c>
      <c r="T305" s="21">
        <f>IF(A305="","",R305-S305)</f>
        <v>0</v>
      </c>
      <c r="U305" s="21">
        <f>IF(A305="","",ROUND(T305*TaxRate,2))</f>
        <v>0</v>
      </c>
      <c r="V305" s="21">
        <f>IF(A305="","",T305+U305)</f>
        <v>0</v>
      </c>
      <c r="W305" s="21">
        <f>IF(A305="","",SUMIFS(Payments!$G$5:$G$404,Payments!$D$5:$D$404,A305))</f>
        <v>0</v>
      </c>
      <c r="X305" s="21">
        <f>IF(A305="","",ROUND(V305-W305,2))</f>
        <v>0</v>
      </c>
      <c r="Y305" s="31">
        <f>IF(B305="","",IF(J305&lt;&gt;"",J305,IF(IFERROR(INDEX(Clients!$P$5:$P$204,MATCH(D305,Clients!$A$5:$A$204,0)),"")&lt;&gt;"",INDEX(Clients!$P$5:$P$204,MATCH(D305,Clients!$A$5:$A$204,0)),PaymentTerms)))</f>
        <v>0</v>
      </c>
      <c r="Z305" s="18">
        <f>IF(OR(A305="",B305=""),"",B305+Y305)</f>
        <v>0</v>
      </c>
      <c r="AA305" s="31">
        <f>IF(OR(A305="",Z305=""),"",IF(X305&lt;=0.004,"",MAX(0,TodayDate-Z305-OverdueGrace)))</f>
        <v>0</v>
      </c>
      <c r="AB305" s="39">
        <f>IF(B305="","",IF(X305&lt;=0.004,"Paid",IF(AA305="","Not due yet",IF(AA305=0,"Due now",IF(AA305&lt;=30,"1-30 days",IF(AA305&lt;=60,"31-60 days",IF(AA305&lt;=90,"61-90 days","90+ days")))))))</f>
        <v>0</v>
      </c>
      <c r="AC305" s="21">
        <f>IF(OR(A305="",AA305=""),"",IF(AA305&lt;=0,0,ROUND(X305*LateFeePercent,2)))</f>
        <v>0</v>
      </c>
      <c r="AD305" s="50">
        <f>IF(B305="","",IF(X305&lt;=0.004,"Yes","No"))</f>
        <v>0</v>
      </c>
      <c r="AE305" s="39">
        <f>IF(B305="","",IF(Q305=0,"Add - no lines on this invoice yet",IF(H305="Written off","Written off",IF(AD305="Yes","OK - paid",IF(H305="Draft","Draft - not sent yet",IF(AND(AA305&lt;&gt;"",AA305&gt;30),"Overdue - "&amp;AA305&amp;" days, call them",IF(AND(AA305&lt;&gt;"",AA305&gt;0),"Overdue - send a reminder",IF(W305&gt;0,"Part paid","Due - waiting for payment"))))))))</f>
        <v>0</v>
      </c>
    </row>
    <row r="306" spans="1:31">
      <c r="A306" s="43">
        <f>IF(B306="","",InvoicePrefix&amp;TEXT(ROW()-4,"0000"))</f>
        <v>0</v>
      </c>
      <c r="C306" s="23">
        <f>IF(B306="","",TEXT(B306,"yyyy-mm"))</f>
        <v>0</v>
      </c>
      <c r="E306" s="23">
        <f>IF(D306="","",IFERROR(INDEX(Clients!$B$5:$B$204,MATCH(D306,Clients!$A$5:$A$204,0)),"Not found"))</f>
        <v>0</v>
      </c>
      <c r="F306" s="23">
        <f>IF(D306="","",IFERROR(INDEX(Clients!$G$5:$G$204,MATCH(D306,Clients!$A$5:$A$204,0)),""))</f>
        <v>0</v>
      </c>
      <c r="Q306" s="31">
        <f>IF(A306="","",COUNTIFS('Invoice Lines'!$B$5:$B$804,A306))</f>
        <v>0</v>
      </c>
      <c r="R306" s="21">
        <f>IF(A306="","",SUMIFS('Invoice Lines'!$N$5:$N$804,'Invoice Lines'!$B$5:$B$804,A306))</f>
        <v>0</v>
      </c>
      <c r="S306" s="21">
        <f>IF(A306="","",ROUND(R306*IF(K306="",0,K306),2))</f>
        <v>0</v>
      </c>
      <c r="T306" s="21">
        <f>IF(A306="","",R306-S306)</f>
        <v>0</v>
      </c>
      <c r="U306" s="21">
        <f>IF(A306="","",ROUND(T306*TaxRate,2))</f>
        <v>0</v>
      </c>
      <c r="V306" s="21">
        <f>IF(A306="","",T306+U306)</f>
        <v>0</v>
      </c>
      <c r="W306" s="21">
        <f>IF(A306="","",SUMIFS(Payments!$G$5:$G$404,Payments!$D$5:$D$404,A306))</f>
        <v>0</v>
      </c>
      <c r="X306" s="21">
        <f>IF(A306="","",ROUND(V306-W306,2))</f>
        <v>0</v>
      </c>
      <c r="Y306" s="31">
        <f>IF(B306="","",IF(J306&lt;&gt;"",J306,IF(IFERROR(INDEX(Clients!$P$5:$P$204,MATCH(D306,Clients!$A$5:$A$204,0)),"")&lt;&gt;"",INDEX(Clients!$P$5:$P$204,MATCH(D306,Clients!$A$5:$A$204,0)),PaymentTerms)))</f>
        <v>0</v>
      </c>
      <c r="Z306" s="18">
        <f>IF(OR(A306="",B306=""),"",B306+Y306)</f>
        <v>0</v>
      </c>
      <c r="AA306" s="31">
        <f>IF(OR(A306="",Z306=""),"",IF(X306&lt;=0.004,"",MAX(0,TodayDate-Z306-OverdueGrace)))</f>
        <v>0</v>
      </c>
      <c r="AB306" s="39">
        <f>IF(B306="","",IF(X306&lt;=0.004,"Paid",IF(AA306="","Not due yet",IF(AA306=0,"Due now",IF(AA306&lt;=30,"1-30 days",IF(AA306&lt;=60,"31-60 days",IF(AA306&lt;=90,"61-90 days","90+ days")))))))</f>
        <v>0</v>
      </c>
      <c r="AC306" s="21">
        <f>IF(OR(A306="",AA306=""),"",IF(AA306&lt;=0,0,ROUND(X306*LateFeePercent,2)))</f>
        <v>0</v>
      </c>
      <c r="AD306" s="50">
        <f>IF(B306="","",IF(X306&lt;=0.004,"Yes","No"))</f>
        <v>0</v>
      </c>
      <c r="AE306" s="39">
        <f>IF(B306="","",IF(Q306=0,"Add - no lines on this invoice yet",IF(H306="Written off","Written off",IF(AD306="Yes","OK - paid",IF(H306="Draft","Draft - not sent yet",IF(AND(AA306&lt;&gt;"",AA306&gt;30),"Overdue - "&amp;AA306&amp;" days, call them",IF(AND(AA306&lt;&gt;"",AA306&gt;0),"Overdue - send a reminder",IF(W306&gt;0,"Part paid","Due - waiting for payment"))))))))</f>
        <v>0</v>
      </c>
    </row>
    <row r="307" spans="1:31">
      <c r="A307" s="43">
        <f>IF(B307="","",InvoicePrefix&amp;TEXT(ROW()-4,"0000"))</f>
        <v>0</v>
      </c>
      <c r="C307" s="23">
        <f>IF(B307="","",TEXT(B307,"yyyy-mm"))</f>
        <v>0</v>
      </c>
      <c r="E307" s="23">
        <f>IF(D307="","",IFERROR(INDEX(Clients!$B$5:$B$204,MATCH(D307,Clients!$A$5:$A$204,0)),"Not found"))</f>
        <v>0</v>
      </c>
      <c r="F307" s="23">
        <f>IF(D307="","",IFERROR(INDEX(Clients!$G$5:$G$204,MATCH(D307,Clients!$A$5:$A$204,0)),""))</f>
        <v>0</v>
      </c>
      <c r="Q307" s="31">
        <f>IF(A307="","",COUNTIFS('Invoice Lines'!$B$5:$B$804,A307))</f>
        <v>0</v>
      </c>
      <c r="R307" s="21">
        <f>IF(A307="","",SUMIFS('Invoice Lines'!$N$5:$N$804,'Invoice Lines'!$B$5:$B$804,A307))</f>
        <v>0</v>
      </c>
      <c r="S307" s="21">
        <f>IF(A307="","",ROUND(R307*IF(K307="",0,K307),2))</f>
        <v>0</v>
      </c>
      <c r="T307" s="21">
        <f>IF(A307="","",R307-S307)</f>
        <v>0</v>
      </c>
      <c r="U307" s="21">
        <f>IF(A307="","",ROUND(T307*TaxRate,2))</f>
        <v>0</v>
      </c>
      <c r="V307" s="21">
        <f>IF(A307="","",T307+U307)</f>
        <v>0</v>
      </c>
      <c r="W307" s="21">
        <f>IF(A307="","",SUMIFS(Payments!$G$5:$G$404,Payments!$D$5:$D$404,A307))</f>
        <v>0</v>
      </c>
      <c r="X307" s="21">
        <f>IF(A307="","",ROUND(V307-W307,2))</f>
        <v>0</v>
      </c>
      <c r="Y307" s="31">
        <f>IF(B307="","",IF(J307&lt;&gt;"",J307,IF(IFERROR(INDEX(Clients!$P$5:$P$204,MATCH(D307,Clients!$A$5:$A$204,0)),"")&lt;&gt;"",INDEX(Clients!$P$5:$P$204,MATCH(D307,Clients!$A$5:$A$204,0)),PaymentTerms)))</f>
        <v>0</v>
      </c>
      <c r="Z307" s="18">
        <f>IF(OR(A307="",B307=""),"",B307+Y307)</f>
        <v>0</v>
      </c>
      <c r="AA307" s="31">
        <f>IF(OR(A307="",Z307=""),"",IF(X307&lt;=0.004,"",MAX(0,TodayDate-Z307-OverdueGrace)))</f>
        <v>0</v>
      </c>
      <c r="AB307" s="39">
        <f>IF(B307="","",IF(X307&lt;=0.004,"Paid",IF(AA307="","Not due yet",IF(AA307=0,"Due now",IF(AA307&lt;=30,"1-30 days",IF(AA307&lt;=60,"31-60 days",IF(AA307&lt;=90,"61-90 days","90+ days")))))))</f>
        <v>0</v>
      </c>
      <c r="AC307" s="21">
        <f>IF(OR(A307="",AA307=""),"",IF(AA307&lt;=0,0,ROUND(X307*LateFeePercent,2)))</f>
        <v>0</v>
      </c>
      <c r="AD307" s="50">
        <f>IF(B307="","",IF(X307&lt;=0.004,"Yes","No"))</f>
        <v>0</v>
      </c>
      <c r="AE307" s="39">
        <f>IF(B307="","",IF(Q307=0,"Add - no lines on this invoice yet",IF(H307="Written off","Written off",IF(AD307="Yes","OK - paid",IF(H307="Draft","Draft - not sent yet",IF(AND(AA307&lt;&gt;"",AA307&gt;30),"Overdue - "&amp;AA307&amp;" days, call them",IF(AND(AA307&lt;&gt;"",AA307&gt;0),"Overdue - send a reminder",IF(W307&gt;0,"Part paid","Due - waiting for payment"))))))))</f>
        <v>0</v>
      </c>
    </row>
    <row r="308" spans="1:31">
      <c r="A308" s="43">
        <f>IF(B308="","",InvoicePrefix&amp;TEXT(ROW()-4,"0000"))</f>
        <v>0</v>
      </c>
      <c r="C308" s="23">
        <f>IF(B308="","",TEXT(B308,"yyyy-mm"))</f>
        <v>0</v>
      </c>
      <c r="E308" s="23">
        <f>IF(D308="","",IFERROR(INDEX(Clients!$B$5:$B$204,MATCH(D308,Clients!$A$5:$A$204,0)),"Not found"))</f>
        <v>0</v>
      </c>
      <c r="F308" s="23">
        <f>IF(D308="","",IFERROR(INDEX(Clients!$G$5:$G$204,MATCH(D308,Clients!$A$5:$A$204,0)),""))</f>
        <v>0</v>
      </c>
      <c r="Q308" s="31">
        <f>IF(A308="","",COUNTIFS('Invoice Lines'!$B$5:$B$804,A308))</f>
        <v>0</v>
      </c>
      <c r="R308" s="21">
        <f>IF(A308="","",SUMIFS('Invoice Lines'!$N$5:$N$804,'Invoice Lines'!$B$5:$B$804,A308))</f>
        <v>0</v>
      </c>
      <c r="S308" s="21">
        <f>IF(A308="","",ROUND(R308*IF(K308="",0,K308),2))</f>
        <v>0</v>
      </c>
      <c r="T308" s="21">
        <f>IF(A308="","",R308-S308)</f>
        <v>0</v>
      </c>
      <c r="U308" s="21">
        <f>IF(A308="","",ROUND(T308*TaxRate,2))</f>
        <v>0</v>
      </c>
      <c r="V308" s="21">
        <f>IF(A308="","",T308+U308)</f>
        <v>0</v>
      </c>
      <c r="W308" s="21">
        <f>IF(A308="","",SUMIFS(Payments!$G$5:$G$404,Payments!$D$5:$D$404,A308))</f>
        <v>0</v>
      </c>
      <c r="X308" s="21">
        <f>IF(A308="","",ROUND(V308-W308,2))</f>
        <v>0</v>
      </c>
      <c r="Y308" s="31">
        <f>IF(B308="","",IF(J308&lt;&gt;"",J308,IF(IFERROR(INDEX(Clients!$P$5:$P$204,MATCH(D308,Clients!$A$5:$A$204,0)),"")&lt;&gt;"",INDEX(Clients!$P$5:$P$204,MATCH(D308,Clients!$A$5:$A$204,0)),PaymentTerms)))</f>
        <v>0</v>
      </c>
      <c r="Z308" s="18">
        <f>IF(OR(A308="",B308=""),"",B308+Y308)</f>
        <v>0</v>
      </c>
      <c r="AA308" s="31">
        <f>IF(OR(A308="",Z308=""),"",IF(X308&lt;=0.004,"",MAX(0,TodayDate-Z308-OverdueGrace)))</f>
        <v>0</v>
      </c>
      <c r="AB308" s="39">
        <f>IF(B308="","",IF(X308&lt;=0.004,"Paid",IF(AA308="","Not due yet",IF(AA308=0,"Due now",IF(AA308&lt;=30,"1-30 days",IF(AA308&lt;=60,"31-60 days",IF(AA308&lt;=90,"61-90 days","90+ days")))))))</f>
        <v>0</v>
      </c>
      <c r="AC308" s="21">
        <f>IF(OR(A308="",AA308=""),"",IF(AA308&lt;=0,0,ROUND(X308*LateFeePercent,2)))</f>
        <v>0</v>
      </c>
      <c r="AD308" s="50">
        <f>IF(B308="","",IF(X308&lt;=0.004,"Yes","No"))</f>
        <v>0</v>
      </c>
      <c r="AE308" s="39">
        <f>IF(B308="","",IF(Q308=0,"Add - no lines on this invoice yet",IF(H308="Written off","Written off",IF(AD308="Yes","OK - paid",IF(H308="Draft","Draft - not sent yet",IF(AND(AA308&lt;&gt;"",AA308&gt;30),"Overdue - "&amp;AA308&amp;" days, call them",IF(AND(AA308&lt;&gt;"",AA308&gt;0),"Overdue - send a reminder",IF(W308&gt;0,"Part paid","Due - waiting for payment"))))))))</f>
        <v>0</v>
      </c>
    </row>
    <row r="309" spans="1:31">
      <c r="A309" s="43">
        <f>IF(B309="","",InvoicePrefix&amp;TEXT(ROW()-4,"0000"))</f>
        <v>0</v>
      </c>
      <c r="C309" s="23">
        <f>IF(B309="","",TEXT(B309,"yyyy-mm"))</f>
        <v>0</v>
      </c>
      <c r="E309" s="23">
        <f>IF(D309="","",IFERROR(INDEX(Clients!$B$5:$B$204,MATCH(D309,Clients!$A$5:$A$204,0)),"Not found"))</f>
        <v>0</v>
      </c>
      <c r="F309" s="23">
        <f>IF(D309="","",IFERROR(INDEX(Clients!$G$5:$G$204,MATCH(D309,Clients!$A$5:$A$204,0)),""))</f>
        <v>0</v>
      </c>
      <c r="Q309" s="31">
        <f>IF(A309="","",COUNTIFS('Invoice Lines'!$B$5:$B$804,A309))</f>
        <v>0</v>
      </c>
      <c r="R309" s="21">
        <f>IF(A309="","",SUMIFS('Invoice Lines'!$N$5:$N$804,'Invoice Lines'!$B$5:$B$804,A309))</f>
        <v>0</v>
      </c>
      <c r="S309" s="21">
        <f>IF(A309="","",ROUND(R309*IF(K309="",0,K309),2))</f>
        <v>0</v>
      </c>
      <c r="T309" s="21">
        <f>IF(A309="","",R309-S309)</f>
        <v>0</v>
      </c>
      <c r="U309" s="21">
        <f>IF(A309="","",ROUND(T309*TaxRate,2))</f>
        <v>0</v>
      </c>
      <c r="V309" s="21">
        <f>IF(A309="","",T309+U309)</f>
        <v>0</v>
      </c>
      <c r="W309" s="21">
        <f>IF(A309="","",SUMIFS(Payments!$G$5:$G$404,Payments!$D$5:$D$404,A309))</f>
        <v>0</v>
      </c>
      <c r="X309" s="21">
        <f>IF(A309="","",ROUND(V309-W309,2))</f>
        <v>0</v>
      </c>
      <c r="Y309" s="31">
        <f>IF(B309="","",IF(J309&lt;&gt;"",J309,IF(IFERROR(INDEX(Clients!$P$5:$P$204,MATCH(D309,Clients!$A$5:$A$204,0)),"")&lt;&gt;"",INDEX(Clients!$P$5:$P$204,MATCH(D309,Clients!$A$5:$A$204,0)),PaymentTerms)))</f>
        <v>0</v>
      </c>
      <c r="Z309" s="18">
        <f>IF(OR(A309="",B309=""),"",B309+Y309)</f>
        <v>0</v>
      </c>
      <c r="AA309" s="31">
        <f>IF(OR(A309="",Z309=""),"",IF(X309&lt;=0.004,"",MAX(0,TodayDate-Z309-OverdueGrace)))</f>
        <v>0</v>
      </c>
      <c r="AB309" s="39">
        <f>IF(B309="","",IF(X309&lt;=0.004,"Paid",IF(AA309="","Not due yet",IF(AA309=0,"Due now",IF(AA309&lt;=30,"1-30 days",IF(AA309&lt;=60,"31-60 days",IF(AA309&lt;=90,"61-90 days","90+ days")))))))</f>
        <v>0</v>
      </c>
      <c r="AC309" s="21">
        <f>IF(OR(A309="",AA309=""),"",IF(AA309&lt;=0,0,ROUND(X309*LateFeePercent,2)))</f>
        <v>0</v>
      </c>
      <c r="AD309" s="50">
        <f>IF(B309="","",IF(X309&lt;=0.004,"Yes","No"))</f>
        <v>0</v>
      </c>
      <c r="AE309" s="39">
        <f>IF(B309="","",IF(Q309=0,"Add - no lines on this invoice yet",IF(H309="Written off","Written off",IF(AD309="Yes","OK - paid",IF(H309="Draft","Draft - not sent yet",IF(AND(AA309&lt;&gt;"",AA309&gt;30),"Overdue - "&amp;AA309&amp;" days, call them",IF(AND(AA309&lt;&gt;"",AA309&gt;0),"Overdue - send a reminder",IF(W309&gt;0,"Part paid","Due - waiting for payment"))))))))</f>
        <v>0</v>
      </c>
    </row>
    <row r="310" spans="1:31">
      <c r="A310" s="43">
        <f>IF(B310="","",InvoicePrefix&amp;TEXT(ROW()-4,"0000"))</f>
        <v>0</v>
      </c>
      <c r="C310" s="23">
        <f>IF(B310="","",TEXT(B310,"yyyy-mm"))</f>
        <v>0</v>
      </c>
      <c r="E310" s="23">
        <f>IF(D310="","",IFERROR(INDEX(Clients!$B$5:$B$204,MATCH(D310,Clients!$A$5:$A$204,0)),"Not found"))</f>
        <v>0</v>
      </c>
      <c r="F310" s="23">
        <f>IF(D310="","",IFERROR(INDEX(Clients!$G$5:$G$204,MATCH(D310,Clients!$A$5:$A$204,0)),""))</f>
        <v>0</v>
      </c>
      <c r="Q310" s="31">
        <f>IF(A310="","",COUNTIFS('Invoice Lines'!$B$5:$B$804,A310))</f>
        <v>0</v>
      </c>
      <c r="R310" s="21">
        <f>IF(A310="","",SUMIFS('Invoice Lines'!$N$5:$N$804,'Invoice Lines'!$B$5:$B$804,A310))</f>
        <v>0</v>
      </c>
      <c r="S310" s="21">
        <f>IF(A310="","",ROUND(R310*IF(K310="",0,K310),2))</f>
        <v>0</v>
      </c>
      <c r="T310" s="21">
        <f>IF(A310="","",R310-S310)</f>
        <v>0</v>
      </c>
      <c r="U310" s="21">
        <f>IF(A310="","",ROUND(T310*TaxRate,2))</f>
        <v>0</v>
      </c>
      <c r="V310" s="21">
        <f>IF(A310="","",T310+U310)</f>
        <v>0</v>
      </c>
      <c r="W310" s="21">
        <f>IF(A310="","",SUMIFS(Payments!$G$5:$G$404,Payments!$D$5:$D$404,A310))</f>
        <v>0</v>
      </c>
      <c r="X310" s="21">
        <f>IF(A310="","",ROUND(V310-W310,2))</f>
        <v>0</v>
      </c>
      <c r="Y310" s="31">
        <f>IF(B310="","",IF(J310&lt;&gt;"",J310,IF(IFERROR(INDEX(Clients!$P$5:$P$204,MATCH(D310,Clients!$A$5:$A$204,0)),"")&lt;&gt;"",INDEX(Clients!$P$5:$P$204,MATCH(D310,Clients!$A$5:$A$204,0)),PaymentTerms)))</f>
        <v>0</v>
      </c>
      <c r="Z310" s="18">
        <f>IF(OR(A310="",B310=""),"",B310+Y310)</f>
        <v>0</v>
      </c>
      <c r="AA310" s="31">
        <f>IF(OR(A310="",Z310=""),"",IF(X310&lt;=0.004,"",MAX(0,TodayDate-Z310-OverdueGrace)))</f>
        <v>0</v>
      </c>
      <c r="AB310" s="39">
        <f>IF(B310="","",IF(X310&lt;=0.004,"Paid",IF(AA310="","Not due yet",IF(AA310=0,"Due now",IF(AA310&lt;=30,"1-30 days",IF(AA310&lt;=60,"31-60 days",IF(AA310&lt;=90,"61-90 days","90+ days")))))))</f>
        <v>0</v>
      </c>
      <c r="AC310" s="21">
        <f>IF(OR(A310="",AA310=""),"",IF(AA310&lt;=0,0,ROUND(X310*LateFeePercent,2)))</f>
        <v>0</v>
      </c>
      <c r="AD310" s="50">
        <f>IF(B310="","",IF(X310&lt;=0.004,"Yes","No"))</f>
        <v>0</v>
      </c>
      <c r="AE310" s="39">
        <f>IF(B310="","",IF(Q310=0,"Add - no lines on this invoice yet",IF(H310="Written off","Written off",IF(AD310="Yes","OK - paid",IF(H310="Draft","Draft - not sent yet",IF(AND(AA310&lt;&gt;"",AA310&gt;30),"Overdue - "&amp;AA310&amp;" days, call them",IF(AND(AA310&lt;&gt;"",AA310&gt;0),"Overdue - send a reminder",IF(W310&gt;0,"Part paid","Due - waiting for payment"))))))))</f>
        <v>0</v>
      </c>
    </row>
    <row r="311" spans="1:31">
      <c r="A311" s="43">
        <f>IF(B311="","",InvoicePrefix&amp;TEXT(ROW()-4,"0000"))</f>
        <v>0</v>
      </c>
      <c r="C311" s="23">
        <f>IF(B311="","",TEXT(B311,"yyyy-mm"))</f>
        <v>0</v>
      </c>
      <c r="E311" s="23">
        <f>IF(D311="","",IFERROR(INDEX(Clients!$B$5:$B$204,MATCH(D311,Clients!$A$5:$A$204,0)),"Not found"))</f>
        <v>0</v>
      </c>
      <c r="F311" s="23">
        <f>IF(D311="","",IFERROR(INDEX(Clients!$G$5:$G$204,MATCH(D311,Clients!$A$5:$A$204,0)),""))</f>
        <v>0</v>
      </c>
      <c r="Q311" s="31">
        <f>IF(A311="","",COUNTIFS('Invoice Lines'!$B$5:$B$804,A311))</f>
        <v>0</v>
      </c>
      <c r="R311" s="21">
        <f>IF(A311="","",SUMIFS('Invoice Lines'!$N$5:$N$804,'Invoice Lines'!$B$5:$B$804,A311))</f>
        <v>0</v>
      </c>
      <c r="S311" s="21">
        <f>IF(A311="","",ROUND(R311*IF(K311="",0,K311),2))</f>
        <v>0</v>
      </c>
      <c r="T311" s="21">
        <f>IF(A311="","",R311-S311)</f>
        <v>0</v>
      </c>
      <c r="U311" s="21">
        <f>IF(A311="","",ROUND(T311*TaxRate,2))</f>
        <v>0</v>
      </c>
      <c r="V311" s="21">
        <f>IF(A311="","",T311+U311)</f>
        <v>0</v>
      </c>
      <c r="W311" s="21">
        <f>IF(A311="","",SUMIFS(Payments!$G$5:$G$404,Payments!$D$5:$D$404,A311))</f>
        <v>0</v>
      </c>
      <c r="X311" s="21">
        <f>IF(A311="","",ROUND(V311-W311,2))</f>
        <v>0</v>
      </c>
      <c r="Y311" s="31">
        <f>IF(B311="","",IF(J311&lt;&gt;"",J311,IF(IFERROR(INDEX(Clients!$P$5:$P$204,MATCH(D311,Clients!$A$5:$A$204,0)),"")&lt;&gt;"",INDEX(Clients!$P$5:$P$204,MATCH(D311,Clients!$A$5:$A$204,0)),PaymentTerms)))</f>
        <v>0</v>
      </c>
      <c r="Z311" s="18">
        <f>IF(OR(A311="",B311=""),"",B311+Y311)</f>
        <v>0</v>
      </c>
      <c r="AA311" s="31">
        <f>IF(OR(A311="",Z311=""),"",IF(X311&lt;=0.004,"",MAX(0,TodayDate-Z311-OverdueGrace)))</f>
        <v>0</v>
      </c>
      <c r="AB311" s="39">
        <f>IF(B311="","",IF(X311&lt;=0.004,"Paid",IF(AA311="","Not due yet",IF(AA311=0,"Due now",IF(AA311&lt;=30,"1-30 days",IF(AA311&lt;=60,"31-60 days",IF(AA311&lt;=90,"61-90 days","90+ days")))))))</f>
        <v>0</v>
      </c>
      <c r="AC311" s="21">
        <f>IF(OR(A311="",AA311=""),"",IF(AA311&lt;=0,0,ROUND(X311*LateFeePercent,2)))</f>
        <v>0</v>
      </c>
      <c r="AD311" s="50">
        <f>IF(B311="","",IF(X311&lt;=0.004,"Yes","No"))</f>
        <v>0</v>
      </c>
      <c r="AE311" s="39">
        <f>IF(B311="","",IF(Q311=0,"Add - no lines on this invoice yet",IF(H311="Written off","Written off",IF(AD311="Yes","OK - paid",IF(H311="Draft","Draft - not sent yet",IF(AND(AA311&lt;&gt;"",AA311&gt;30),"Overdue - "&amp;AA311&amp;" days, call them",IF(AND(AA311&lt;&gt;"",AA311&gt;0),"Overdue - send a reminder",IF(W311&gt;0,"Part paid","Due - waiting for payment"))))))))</f>
        <v>0</v>
      </c>
    </row>
    <row r="312" spans="1:31">
      <c r="A312" s="43">
        <f>IF(B312="","",InvoicePrefix&amp;TEXT(ROW()-4,"0000"))</f>
        <v>0</v>
      </c>
      <c r="C312" s="23">
        <f>IF(B312="","",TEXT(B312,"yyyy-mm"))</f>
        <v>0</v>
      </c>
      <c r="E312" s="23">
        <f>IF(D312="","",IFERROR(INDEX(Clients!$B$5:$B$204,MATCH(D312,Clients!$A$5:$A$204,0)),"Not found"))</f>
        <v>0</v>
      </c>
      <c r="F312" s="23">
        <f>IF(D312="","",IFERROR(INDEX(Clients!$G$5:$G$204,MATCH(D312,Clients!$A$5:$A$204,0)),""))</f>
        <v>0</v>
      </c>
      <c r="Q312" s="31">
        <f>IF(A312="","",COUNTIFS('Invoice Lines'!$B$5:$B$804,A312))</f>
        <v>0</v>
      </c>
      <c r="R312" s="21">
        <f>IF(A312="","",SUMIFS('Invoice Lines'!$N$5:$N$804,'Invoice Lines'!$B$5:$B$804,A312))</f>
        <v>0</v>
      </c>
      <c r="S312" s="21">
        <f>IF(A312="","",ROUND(R312*IF(K312="",0,K312),2))</f>
        <v>0</v>
      </c>
      <c r="T312" s="21">
        <f>IF(A312="","",R312-S312)</f>
        <v>0</v>
      </c>
      <c r="U312" s="21">
        <f>IF(A312="","",ROUND(T312*TaxRate,2))</f>
        <v>0</v>
      </c>
      <c r="V312" s="21">
        <f>IF(A312="","",T312+U312)</f>
        <v>0</v>
      </c>
      <c r="W312" s="21">
        <f>IF(A312="","",SUMIFS(Payments!$G$5:$G$404,Payments!$D$5:$D$404,A312))</f>
        <v>0</v>
      </c>
      <c r="X312" s="21">
        <f>IF(A312="","",ROUND(V312-W312,2))</f>
        <v>0</v>
      </c>
      <c r="Y312" s="31">
        <f>IF(B312="","",IF(J312&lt;&gt;"",J312,IF(IFERROR(INDEX(Clients!$P$5:$P$204,MATCH(D312,Clients!$A$5:$A$204,0)),"")&lt;&gt;"",INDEX(Clients!$P$5:$P$204,MATCH(D312,Clients!$A$5:$A$204,0)),PaymentTerms)))</f>
        <v>0</v>
      </c>
      <c r="Z312" s="18">
        <f>IF(OR(A312="",B312=""),"",B312+Y312)</f>
        <v>0</v>
      </c>
      <c r="AA312" s="31">
        <f>IF(OR(A312="",Z312=""),"",IF(X312&lt;=0.004,"",MAX(0,TodayDate-Z312-OverdueGrace)))</f>
        <v>0</v>
      </c>
      <c r="AB312" s="39">
        <f>IF(B312="","",IF(X312&lt;=0.004,"Paid",IF(AA312="","Not due yet",IF(AA312=0,"Due now",IF(AA312&lt;=30,"1-30 days",IF(AA312&lt;=60,"31-60 days",IF(AA312&lt;=90,"61-90 days","90+ days")))))))</f>
        <v>0</v>
      </c>
      <c r="AC312" s="21">
        <f>IF(OR(A312="",AA312=""),"",IF(AA312&lt;=0,0,ROUND(X312*LateFeePercent,2)))</f>
        <v>0</v>
      </c>
      <c r="AD312" s="50">
        <f>IF(B312="","",IF(X312&lt;=0.004,"Yes","No"))</f>
        <v>0</v>
      </c>
      <c r="AE312" s="39">
        <f>IF(B312="","",IF(Q312=0,"Add - no lines on this invoice yet",IF(H312="Written off","Written off",IF(AD312="Yes","OK - paid",IF(H312="Draft","Draft - not sent yet",IF(AND(AA312&lt;&gt;"",AA312&gt;30),"Overdue - "&amp;AA312&amp;" days, call them",IF(AND(AA312&lt;&gt;"",AA312&gt;0),"Overdue - send a reminder",IF(W312&gt;0,"Part paid","Due - waiting for payment"))))))))</f>
        <v>0</v>
      </c>
    </row>
    <row r="313" spans="1:31">
      <c r="A313" s="43">
        <f>IF(B313="","",InvoicePrefix&amp;TEXT(ROW()-4,"0000"))</f>
        <v>0</v>
      </c>
      <c r="C313" s="23">
        <f>IF(B313="","",TEXT(B313,"yyyy-mm"))</f>
        <v>0</v>
      </c>
      <c r="E313" s="23">
        <f>IF(D313="","",IFERROR(INDEX(Clients!$B$5:$B$204,MATCH(D313,Clients!$A$5:$A$204,0)),"Not found"))</f>
        <v>0</v>
      </c>
      <c r="F313" s="23">
        <f>IF(D313="","",IFERROR(INDEX(Clients!$G$5:$G$204,MATCH(D313,Clients!$A$5:$A$204,0)),""))</f>
        <v>0</v>
      </c>
      <c r="Q313" s="31">
        <f>IF(A313="","",COUNTIFS('Invoice Lines'!$B$5:$B$804,A313))</f>
        <v>0</v>
      </c>
      <c r="R313" s="21">
        <f>IF(A313="","",SUMIFS('Invoice Lines'!$N$5:$N$804,'Invoice Lines'!$B$5:$B$804,A313))</f>
        <v>0</v>
      </c>
      <c r="S313" s="21">
        <f>IF(A313="","",ROUND(R313*IF(K313="",0,K313),2))</f>
        <v>0</v>
      </c>
      <c r="T313" s="21">
        <f>IF(A313="","",R313-S313)</f>
        <v>0</v>
      </c>
      <c r="U313" s="21">
        <f>IF(A313="","",ROUND(T313*TaxRate,2))</f>
        <v>0</v>
      </c>
      <c r="V313" s="21">
        <f>IF(A313="","",T313+U313)</f>
        <v>0</v>
      </c>
      <c r="W313" s="21">
        <f>IF(A313="","",SUMIFS(Payments!$G$5:$G$404,Payments!$D$5:$D$404,A313))</f>
        <v>0</v>
      </c>
      <c r="X313" s="21">
        <f>IF(A313="","",ROUND(V313-W313,2))</f>
        <v>0</v>
      </c>
      <c r="Y313" s="31">
        <f>IF(B313="","",IF(J313&lt;&gt;"",J313,IF(IFERROR(INDEX(Clients!$P$5:$P$204,MATCH(D313,Clients!$A$5:$A$204,0)),"")&lt;&gt;"",INDEX(Clients!$P$5:$P$204,MATCH(D313,Clients!$A$5:$A$204,0)),PaymentTerms)))</f>
        <v>0</v>
      </c>
      <c r="Z313" s="18">
        <f>IF(OR(A313="",B313=""),"",B313+Y313)</f>
        <v>0</v>
      </c>
      <c r="AA313" s="31">
        <f>IF(OR(A313="",Z313=""),"",IF(X313&lt;=0.004,"",MAX(0,TodayDate-Z313-OverdueGrace)))</f>
        <v>0</v>
      </c>
      <c r="AB313" s="39">
        <f>IF(B313="","",IF(X313&lt;=0.004,"Paid",IF(AA313="","Not due yet",IF(AA313=0,"Due now",IF(AA313&lt;=30,"1-30 days",IF(AA313&lt;=60,"31-60 days",IF(AA313&lt;=90,"61-90 days","90+ days")))))))</f>
        <v>0</v>
      </c>
      <c r="AC313" s="21">
        <f>IF(OR(A313="",AA313=""),"",IF(AA313&lt;=0,0,ROUND(X313*LateFeePercent,2)))</f>
        <v>0</v>
      </c>
      <c r="AD313" s="50">
        <f>IF(B313="","",IF(X313&lt;=0.004,"Yes","No"))</f>
        <v>0</v>
      </c>
      <c r="AE313" s="39">
        <f>IF(B313="","",IF(Q313=0,"Add - no lines on this invoice yet",IF(H313="Written off","Written off",IF(AD313="Yes","OK - paid",IF(H313="Draft","Draft - not sent yet",IF(AND(AA313&lt;&gt;"",AA313&gt;30),"Overdue - "&amp;AA313&amp;" days, call them",IF(AND(AA313&lt;&gt;"",AA313&gt;0),"Overdue - send a reminder",IF(W313&gt;0,"Part paid","Due - waiting for payment"))))))))</f>
        <v>0</v>
      </c>
    </row>
    <row r="314" spans="1:31">
      <c r="A314" s="43">
        <f>IF(B314="","",InvoicePrefix&amp;TEXT(ROW()-4,"0000"))</f>
        <v>0</v>
      </c>
      <c r="C314" s="23">
        <f>IF(B314="","",TEXT(B314,"yyyy-mm"))</f>
        <v>0</v>
      </c>
      <c r="E314" s="23">
        <f>IF(D314="","",IFERROR(INDEX(Clients!$B$5:$B$204,MATCH(D314,Clients!$A$5:$A$204,0)),"Not found"))</f>
        <v>0</v>
      </c>
      <c r="F314" s="23">
        <f>IF(D314="","",IFERROR(INDEX(Clients!$G$5:$G$204,MATCH(D314,Clients!$A$5:$A$204,0)),""))</f>
        <v>0</v>
      </c>
      <c r="Q314" s="31">
        <f>IF(A314="","",COUNTIFS('Invoice Lines'!$B$5:$B$804,A314))</f>
        <v>0</v>
      </c>
      <c r="R314" s="21">
        <f>IF(A314="","",SUMIFS('Invoice Lines'!$N$5:$N$804,'Invoice Lines'!$B$5:$B$804,A314))</f>
        <v>0</v>
      </c>
      <c r="S314" s="21">
        <f>IF(A314="","",ROUND(R314*IF(K314="",0,K314),2))</f>
        <v>0</v>
      </c>
      <c r="T314" s="21">
        <f>IF(A314="","",R314-S314)</f>
        <v>0</v>
      </c>
      <c r="U314" s="21">
        <f>IF(A314="","",ROUND(T314*TaxRate,2))</f>
        <v>0</v>
      </c>
      <c r="V314" s="21">
        <f>IF(A314="","",T314+U314)</f>
        <v>0</v>
      </c>
      <c r="W314" s="21">
        <f>IF(A314="","",SUMIFS(Payments!$G$5:$G$404,Payments!$D$5:$D$404,A314))</f>
        <v>0</v>
      </c>
      <c r="X314" s="21">
        <f>IF(A314="","",ROUND(V314-W314,2))</f>
        <v>0</v>
      </c>
      <c r="Y314" s="31">
        <f>IF(B314="","",IF(J314&lt;&gt;"",J314,IF(IFERROR(INDEX(Clients!$P$5:$P$204,MATCH(D314,Clients!$A$5:$A$204,0)),"")&lt;&gt;"",INDEX(Clients!$P$5:$P$204,MATCH(D314,Clients!$A$5:$A$204,0)),PaymentTerms)))</f>
        <v>0</v>
      </c>
      <c r="Z314" s="18">
        <f>IF(OR(A314="",B314=""),"",B314+Y314)</f>
        <v>0</v>
      </c>
      <c r="AA314" s="31">
        <f>IF(OR(A314="",Z314=""),"",IF(X314&lt;=0.004,"",MAX(0,TodayDate-Z314-OverdueGrace)))</f>
        <v>0</v>
      </c>
      <c r="AB314" s="39">
        <f>IF(B314="","",IF(X314&lt;=0.004,"Paid",IF(AA314="","Not due yet",IF(AA314=0,"Due now",IF(AA314&lt;=30,"1-30 days",IF(AA314&lt;=60,"31-60 days",IF(AA314&lt;=90,"61-90 days","90+ days")))))))</f>
        <v>0</v>
      </c>
      <c r="AC314" s="21">
        <f>IF(OR(A314="",AA314=""),"",IF(AA314&lt;=0,0,ROUND(X314*LateFeePercent,2)))</f>
        <v>0</v>
      </c>
      <c r="AD314" s="50">
        <f>IF(B314="","",IF(X314&lt;=0.004,"Yes","No"))</f>
        <v>0</v>
      </c>
      <c r="AE314" s="39">
        <f>IF(B314="","",IF(Q314=0,"Add - no lines on this invoice yet",IF(H314="Written off","Written off",IF(AD314="Yes","OK - paid",IF(H314="Draft","Draft - not sent yet",IF(AND(AA314&lt;&gt;"",AA314&gt;30),"Overdue - "&amp;AA314&amp;" days, call them",IF(AND(AA314&lt;&gt;"",AA314&gt;0),"Overdue - send a reminder",IF(W314&gt;0,"Part paid","Due - waiting for payment"))))))))</f>
        <v>0</v>
      </c>
    </row>
    <row r="315" spans="1:31">
      <c r="A315" s="43">
        <f>IF(B315="","",InvoicePrefix&amp;TEXT(ROW()-4,"0000"))</f>
        <v>0</v>
      </c>
      <c r="C315" s="23">
        <f>IF(B315="","",TEXT(B315,"yyyy-mm"))</f>
        <v>0</v>
      </c>
      <c r="E315" s="23">
        <f>IF(D315="","",IFERROR(INDEX(Clients!$B$5:$B$204,MATCH(D315,Clients!$A$5:$A$204,0)),"Not found"))</f>
        <v>0</v>
      </c>
      <c r="F315" s="23">
        <f>IF(D315="","",IFERROR(INDEX(Clients!$G$5:$G$204,MATCH(D315,Clients!$A$5:$A$204,0)),""))</f>
        <v>0</v>
      </c>
      <c r="Q315" s="31">
        <f>IF(A315="","",COUNTIFS('Invoice Lines'!$B$5:$B$804,A315))</f>
        <v>0</v>
      </c>
      <c r="R315" s="21">
        <f>IF(A315="","",SUMIFS('Invoice Lines'!$N$5:$N$804,'Invoice Lines'!$B$5:$B$804,A315))</f>
        <v>0</v>
      </c>
      <c r="S315" s="21">
        <f>IF(A315="","",ROUND(R315*IF(K315="",0,K315),2))</f>
        <v>0</v>
      </c>
      <c r="T315" s="21">
        <f>IF(A315="","",R315-S315)</f>
        <v>0</v>
      </c>
      <c r="U315" s="21">
        <f>IF(A315="","",ROUND(T315*TaxRate,2))</f>
        <v>0</v>
      </c>
      <c r="V315" s="21">
        <f>IF(A315="","",T315+U315)</f>
        <v>0</v>
      </c>
      <c r="W315" s="21">
        <f>IF(A315="","",SUMIFS(Payments!$G$5:$G$404,Payments!$D$5:$D$404,A315))</f>
        <v>0</v>
      </c>
      <c r="X315" s="21">
        <f>IF(A315="","",ROUND(V315-W315,2))</f>
        <v>0</v>
      </c>
      <c r="Y315" s="31">
        <f>IF(B315="","",IF(J315&lt;&gt;"",J315,IF(IFERROR(INDEX(Clients!$P$5:$P$204,MATCH(D315,Clients!$A$5:$A$204,0)),"")&lt;&gt;"",INDEX(Clients!$P$5:$P$204,MATCH(D315,Clients!$A$5:$A$204,0)),PaymentTerms)))</f>
        <v>0</v>
      </c>
      <c r="Z315" s="18">
        <f>IF(OR(A315="",B315=""),"",B315+Y315)</f>
        <v>0</v>
      </c>
      <c r="AA315" s="31">
        <f>IF(OR(A315="",Z315=""),"",IF(X315&lt;=0.004,"",MAX(0,TodayDate-Z315-OverdueGrace)))</f>
        <v>0</v>
      </c>
      <c r="AB315" s="39">
        <f>IF(B315="","",IF(X315&lt;=0.004,"Paid",IF(AA315="","Not due yet",IF(AA315=0,"Due now",IF(AA315&lt;=30,"1-30 days",IF(AA315&lt;=60,"31-60 days",IF(AA315&lt;=90,"61-90 days","90+ days")))))))</f>
        <v>0</v>
      </c>
      <c r="AC315" s="21">
        <f>IF(OR(A315="",AA315=""),"",IF(AA315&lt;=0,0,ROUND(X315*LateFeePercent,2)))</f>
        <v>0</v>
      </c>
      <c r="AD315" s="50">
        <f>IF(B315="","",IF(X315&lt;=0.004,"Yes","No"))</f>
        <v>0</v>
      </c>
      <c r="AE315" s="39">
        <f>IF(B315="","",IF(Q315=0,"Add - no lines on this invoice yet",IF(H315="Written off","Written off",IF(AD315="Yes","OK - paid",IF(H315="Draft","Draft - not sent yet",IF(AND(AA315&lt;&gt;"",AA315&gt;30),"Overdue - "&amp;AA315&amp;" days, call them",IF(AND(AA315&lt;&gt;"",AA315&gt;0),"Overdue - send a reminder",IF(W315&gt;0,"Part paid","Due - waiting for payment"))))))))</f>
        <v>0</v>
      </c>
    </row>
    <row r="316" spans="1:31">
      <c r="A316" s="43">
        <f>IF(B316="","",InvoicePrefix&amp;TEXT(ROW()-4,"0000"))</f>
        <v>0</v>
      </c>
      <c r="C316" s="23">
        <f>IF(B316="","",TEXT(B316,"yyyy-mm"))</f>
        <v>0</v>
      </c>
      <c r="E316" s="23">
        <f>IF(D316="","",IFERROR(INDEX(Clients!$B$5:$B$204,MATCH(D316,Clients!$A$5:$A$204,0)),"Not found"))</f>
        <v>0</v>
      </c>
      <c r="F316" s="23">
        <f>IF(D316="","",IFERROR(INDEX(Clients!$G$5:$G$204,MATCH(D316,Clients!$A$5:$A$204,0)),""))</f>
        <v>0</v>
      </c>
      <c r="Q316" s="31">
        <f>IF(A316="","",COUNTIFS('Invoice Lines'!$B$5:$B$804,A316))</f>
        <v>0</v>
      </c>
      <c r="R316" s="21">
        <f>IF(A316="","",SUMIFS('Invoice Lines'!$N$5:$N$804,'Invoice Lines'!$B$5:$B$804,A316))</f>
        <v>0</v>
      </c>
      <c r="S316" s="21">
        <f>IF(A316="","",ROUND(R316*IF(K316="",0,K316),2))</f>
        <v>0</v>
      </c>
      <c r="T316" s="21">
        <f>IF(A316="","",R316-S316)</f>
        <v>0</v>
      </c>
      <c r="U316" s="21">
        <f>IF(A316="","",ROUND(T316*TaxRate,2))</f>
        <v>0</v>
      </c>
      <c r="V316" s="21">
        <f>IF(A316="","",T316+U316)</f>
        <v>0</v>
      </c>
      <c r="W316" s="21">
        <f>IF(A316="","",SUMIFS(Payments!$G$5:$G$404,Payments!$D$5:$D$404,A316))</f>
        <v>0</v>
      </c>
      <c r="X316" s="21">
        <f>IF(A316="","",ROUND(V316-W316,2))</f>
        <v>0</v>
      </c>
      <c r="Y316" s="31">
        <f>IF(B316="","",IF(J316&lt;&gt;"",J316,IF(IFERROR(INDEX(Clients!$P$5:$P$204,MATCH(D316,Clients!$A$5:$A$204,0)),"")&lt;&gt;"",INDEX(Clients!$P$5:$P$204,MATCH(D316,Clients!$A$5:$A$204,0)),PaymentTerms)))</f>
        <v>0</v>
      </c>
      <c r="Z316" s="18">
        <f>IF(OR(A316="",B316=""),"",B316+Y316)</f>
        <v>0</v>
      </c>
      <c r="AA316" s="31">
        <f>IF(OR(A316="",Z316=""),"",IF(X316&lt;=0.004,"",MAX(0,TodayDate-Z316-OverdueGrace)))</f>
        <v>0</v>
      </c>
      <c r="AB316" s="39">
        <f>IF(B316="","",IF(X316&lt;=0.004,"Paid",IF(AA316="","Not due yet",IF(AA316=0,"Due now",IF(AA316&lt;=30,"1-30 days",IF(AA316&lt;=60,"31-60 days",IF(AA316&lt;=90,"61-90 days","90+ days")))))))</f>
        <v>0</v>
      </c>
      <c r="AC316" s="21">
        <f>IF(OR(A316="",AA316=""),"",IF(AA316&lt;=0,0,ROUND(X316*LateFeePercent,2)))</f>
        <v>0</v>
      </c>
      <c r="AD316" s="50">
        <f>IF(B316="","",IF(X316&lt;=0.004,"Yes","No"))</f>
        <v>0</v>
      </c>
      <c r="AE316" s="39">
        <f>IF(B316="","",IF(Q316=0,"Add - no lines on this invoice yet",IF(H316="Written off","Written off",IF(AD316="Yes","OK - paid",IF(H316="Draft","Draft - not sent yet",IF(AND(AA316&lt;&gt;"",AA316&gt;30),"Overdue - "&amp;AA316&amp;" days, call them",IF(AND(AA316&lt;&gt;"",AA316&gt;0),"Overdue - send a reminder",IF(W316&gt;0,"Part paid","Due - waiting for payment"))))))))</f>
        <v>0</v>
      </c>
    </row>
    <row r="317" spans="1:31">
      <c r="A317" s="43">
        <f>IF(B317="","",InvoicePrefix&amp;TEXT(ROW()-4,"0000"))</f>
        <v>0</v>
      </c>
      <c r="C317" s="23">
        <f>IF(B317="","",TEXT(B317,"yyyy-mm"))</f>
        <v>0</v>
      </c>
      <c r="E317" s="23">
        <f>IF(D317="","",IFERROR(INDEX(Clients!$B$5:$B$204,MATCH(D317,Clients!$A$5:$A$204,0)),"Not found"))</f>
        <v>0</v>
      </c>
      <c r="F317" s="23">
        <f>IF(D317="","",IFERROR(INDEX(Clients!$G$5:$G$204,MATCH(D317,Clients!$A$5:$A$204,0)),""))</f>
        <v>0</v>
      </c>
      <c r="Q317" s="31">
        <f>IF(A317="","",COUNTIFS('Invoice Lines'!$B$5:$B$804,A317))</f>
        <v>0</v>
      </c>
      <c r="R317" s="21">
        <f>IF(A317="","",SUMIFS('Invoice Lines'!$N$5:$N$804,'Invoice Lines'!$B$5:$B$804,A317))</f>
        <v>0</v>
      </c>
      <c r="S317" s="21">
        <f>IF(A317="","",ROUND(R317*IF(K317="",0,K317),2))</f>
        <v>0</v>
      </c>
      <c r="T317" s="21">
        <f>IF(A317="","",R317-S317)</f>
        <v>0</v>
      </c>
      <c r="U317" s="21">
        <f>IF(A317="","",ROUND(T317*TaxRate,2))</f>
        <v>0</v>
      </c>
      <c r="V317" s="21">
        <f>IF(A317="","",T317+U317)</f>
        <v>0</v>
      </c>
      <c r="W317" s="21">
        <f>IF(A317="","",SUMIFS(Payments!$G$5:$G$404,Payments!$D$5:$D$404,A317))</f>
        <v>0</v>
      </c>
      <c r="X317" s="21">
        <f>IF(A317="","",ROUND(V317-W317,2))</f>
        <v>0</v>
      </c>
      <c r="Y317" s="31">
        <f>IF(B317="","",IF(J317&lt;&gt;"",J317,IF(IFERROR(INDEX(Clients!$P$5:$P$204,MATCH(D317,Clients!$A$5:$A$204,0)),"")&lt;&gt;"",INDEX(Clients!$P$5:$P$204,MATCH(D317,Clients!$A$5:$A$204,0)),PaymentTerms)))</f>
        <v>0</v>
      </c>
      <c r="Z317" s="18">
        <f>IF(OR(A317="",B317=""),"",B317+Y317)</f>
        <v>0</v>
      </c>
      <c r="AA317" s="31">
        <f>IF(OR(A317="",Z317=""),"",IF(X317&lt;=0.004,"",MAX(0,TodayDate-Z317-OverdueGrace)))</f>
        <v>0</v>
      </c>
      <c r="AB317" s="39">
        <f>IF(B317="","",IF(X317&lt;=0.004,"Paid",IF(AA317="","Not due yet",IF(AA317=0,"Due now",IF(AA317&lt;=30,"1-30 days",IF(AA317&lt;=60,"31-60 days",IF(AA317&lt;=90,"61-90 days","90+ days")))))))</f>
        <v>0</v>
      </c>
      <c r="AC317" s="21">
        <f>IF(OR(A317="",AA317=""),"",IF(AA317&lt;=0,0,ROUND(X317*LateFeePercent,2)))</f>
        <v>0</v>
      </c>
      <c r="AD317" s="50">
        <f>IF(B317="","",IF(X317&lt;=0.004,"Yes","No"))</f>
        <v>0</v>
      </c>
      <c r="AE317" s="39">
        <f>IF(B317="","",IF(Q317=0,"Add - no lines on this invoice yet",IF(H317="Written off","Written off",IF(AD317="Yes","OK - paid",IF(H317="Draft","Draft - not sent yet",IF(AND(AA317&lt;&gt;"",AA317&gt;30),"Overdue - "&amp;AA317&amp;" days, call them",IF(AND(AA317&lt;&gt;"",AA317&gt;0),"Overdue - send a reminder",IF(W317&gt;0,"Part paid","Due - waiting for payment"))))))))</f>
        <v>0</v>
      </c>
    </row>
    <row r="318" spans="1:31">
      <c r="A318" s="43">
        <f>IF(B318="","",InvoicePrefix&amp;TEXT(ROW()-4,"0000"))</f>
        <v>0</v>
      </c>
      <c r="C318" s="23">
        <f>IF(B318="","",TEXT(B318,"yyyy-mm"))</f>
        <v>0</v>
      </c>
      <c r="E318" s="23">
        <f>IF(D318="","",IFERROR(INDEX(Clients!$B$5:$B$204,MATCH(D318,Clients!$A$5:$A$204,0)),"Not found"))</f>
        <v>0</v>
      </c>
      <c r="F318" s="23">
        <f>IF(D318="","",IFERROR(INDEX(Clients!$G$5:$G$204,MATCH(D318,Clients!$A$5:$A$204,0)),""))</f>
        <v>0</v>
      </c>
      <c r="Q318" s="31">
        <f>IF(A318="","",COUNTIFS('Invoice Lines'!$B$5:$B$804,A318))</f>
        <v>0</v>
      </c>
      <c r="R318" s="21">
        <f>IF(A318="","",SUMIFS('Invoice Lines'!$N$5:$N$804,'Invoice Lines'!$B$5:$B$804,A318))</f>
        <v>0</v>
      </c>
      <c r="S318" s="21">
        <f>IF(A318="","",ROUND(R318*IF(K318="",0,K318),2))</f>
        <v>0</v>
      </c>
      <c r="T318" s="21">
        <f>IF(A318="","",R318-S318)</f>
        <v>0</v>
      </c>
      <c r="U318" s="21">
        <f>IF(A318="","",ROUND(T318*TaxRate,2))</f>
        <v>0</v>
      </c>
      <c r="V318" s="21">
        <f>IF(A318="","",T318+U318)</f>
        <v>0</v>
      </c>
      <c r="W318" s="21">
        <f>IF(A318="","",SUMIFS(Payments!$G$5:$G$404,Payments!$D$5:$D$404,A318))</f>
        <v>0</v>
      </c>
      <c r="X318" s="21">
        <f>IF(A318="","",ROUND(V318-W318,2))</f>
        <v>0</v>
      </c>
      <c r="Y318" s="31">
        <f>IF(B318="","",IF(J318&lt;&gt;"",J318,IF(IFERROR(INDEX(Clients!$P$5:$P$204,MATCH(D318,Clients!$A$5:$A$204,0)),"")&lt;&gt;"",INDEX(Clients!$P$5:$P$204,MATCH(D318,Clients!$A$5:$A$204,0)),PaymentTerms)))</f>
        <v>0</v>
      </c>
      <c r="Z318" s="18">
        <f>IF(OR(A318="",B318=""),"",B318+Y318)</f>
        <v>0</v>
      </c>
      <c r="AA318" s="31">
        <f>IF(OR(A318="",Z318=""),"",IF(X318&lt;=0.004,"",MAX(0,TodayDate-Z318-OverdueGrace)))</f>
        <v>0</v>
      </c>
      <c r="AB318" s="39">
        <f>IF(B318="","",IF(X318&lt;=0.004,"Paid",IF(AA318="","Not due yet",IF(AA318=0,"Due now",IF(AA318&lt;=30,"1-30 days",IF(AA318&lt;=60,"31-60 days",IF(AA318&lt;=90,"61-90 days","90+ days")))))))</f>
        <v>0</v>
      </c>
      <c r="AC318" s="21">
        <f>IF(OR(A318="",AA318=""),"",IF(AA318&lt;=0,0,ROUND(X318*LateFeePercent,2)))</f>
        <v>0</v>
      </c>
      <c r="AD318" s="50">
        <f>IF(B318="","",IF(X318&lt;=0.004,"Yes","No"))</f>
        <v>0</v>
      </c>
      <c r="AE318" s="39">
        <f>IF(B318="","",IF(Q318=0,"Add - no lines on this invoice yet",IF(H318="Written off","Written off",IF(AD318="Yes","OK - paid",IF(H318="Draft","Draft - not sent yet",IF(AND(AA318&lt;&gt;"",AA318&gt;30),"Overdue - "&amp;AA318&amp;" days, call them",IF(AND(AA318&lt;&gt;"",AA318&gt;0),"Overdue - send a reminder",IF(W318&gt;0,"Part paid","Due - waiting for payment"))))))))</f>
        <v>0</v>
      </c>
    </row>
    <row r="319" spans="1:31">
      <c r="A319" s="43">
        <f>IF(B319="","",InvoicePrefix&amp;TEXT(ROW()-4,"0000"))</f>
        <v>0</v>
      </c>
      <c r="C319" s="23">
        <f>IF(B319="","",TEXT(B319,"yyyy-mm"))</f>
        <v>0</v>
      </c>
      <c r="E319" s="23">
        <f>IF(D319="","",IFERROR(INDEX(Clients!$B$5:$B$204,MATCH(D319,Clients!$A$5:$A$204,0)),"Not found"))</f>
        <v>0</v>
      </c>
      <c r="F319" s="23">
        <f>IF(D319="","",IFERROR(INDEX(Clients!$G$5:$G$204,MATCH(D319,Clients!$A$5:$A$204,0)),""))</f>
        <v>0</v>
      </c>
      <c r="Q319" s="31">
        <f>IF(A319="","",COUNTIFS('Invoice Lines'!$B$5:$B$804,A319))</f>
        <v>0</v>
      </c>
      <c r="R319" s="21">
        <f>IF(A319="","",SUMIFS('Invoice Lines'!$N$5:$N$804,'Invoice Lines'!$B$5:$B$804,A319))</f>
        <v>0</v>
      </c>
      <c r="S319" s="21">
        <f>IF(A319="","",ROUND(R319*IF(K319="",0,K319),2))</f>
        <v>0</v>
      </c>
      <c r="T319" s="21">
        <f>IF(A319="","",R319-S319)</f>
        <v>0</v>
      </c>
      <c r="U319" s="21">
        <f>IF(A319="","",ROUND(T319*TaxRate,2))</f>
        <v>0</v>
      </c>
      <c r="V319" s="21">
        <f>IF(A319="","",T319+U319)</f>
        <v>0</v>
      </c>
      <c r="W319" s="21">
        <f>IF(A319="","",SUMIFS(Payments!$G$5:$G$404,Payments!$D$5:$D$404,A319))</f>
        <v>0</v>
      </c>
      <c r="X319" s="21">
        <f>IF(A319="","",ROUND(V319-W319,2))</f>
        <v>0</v>
      </c>
      <c r="Y319" s="31">
        <f>IF(B319="","",IF(J319&lt;&gt;"",J319,IF(IFERROR(INDEX(Clients!$P$5:$P$204,MATCH(D319,Clients!$A$5:$A$204,0)),"")&lt;&gt;"",INDEX(Clients!$P$5:$P$204,MATCH(D319,Clients!$A$5:$A$204,0)),PaymentTerms)))</f>
        <v>0</v>
      </c>
      <c r="Z319" s="18">
        <f>IF(OR(A319="",B319=""),"",B319+Y319)</f>
        <v>0</v>
      </c>
      <c r="AA319" s="31">
        <f>IF(OR(A319="",Z319=""),"",IF(X319&lt;=0.004,"",MAX(0,TodayDate-Z319-OverdueGrace)))</f>
        <v>0</v>
      </c>
      <c r="AB319" s="39">
        <f>IF(B319="","",IF(X319&lt;=0.004,"Paid",IF(AA319="","Not due yet",IF(AA319=0,"Due now",IF(AA319&lt;=30,"1-30 days",IF(AA319&lt;=60,"31-60 days",IF(AA319&lt;=90,"61-90 days","90+ days")))))))</f>
        <v>0</v>
      </c>
      <c r="AC319" s="21">
        <f>IF(OR(A319="",AA319=""),"",IF(AA319&lt;=0,0,ROUND(X319*LateFeePercent,2)))</f>
        <v>0</v>
      </c>
      <c r="AD319" s="50">
        <f>IF(B319="","",IF(X319&lt;=0.004,"Yes","No"))</f>
        <v>0</v>
      </c>
      <c r="AE319" s="39">
        <f>IF(B319="","",IF(Q319=0,"Add - no lines on this invoice yet",IF(H319="Written off","Written off",IF(AD319="Yes","OK - paid",IF(H319="Draft","Draft - not sent yet",IF(AND(AA319&lt;&gt;"",AA319&gt;30),"Overdue - "&amp;AA319&amp;" days, call them",IF(AND(AA319&lt;&gt;"",AA319&gt;0),"Overdue - send a reminder",IF(W319&gt;0,"Part paid","Due - waiting for payment"))))))))</f>
        <v>0</v>
      </c>
    </row>
    <row r="320" spans="1:31">
      <c r="A320" s="43">
        <f>IF(B320="","",InvoicePrefix&amp;TEXT(ROW()-4,"0000"))</f>
        <v>0</v>
      </c>
      <c r="C320" s="23">
        <f>IF(B320="","",TEXT(B320,"yyyy-mm"))</f>
        <v>0</v>
      </c>
      <c r="E320" s="23">
        <f>IF(D320="","",IFERROR(INDEX(Clients!$B$5:$B$204,MATCH(D320,Clients!$A$5:$A$204,0)),"Not found"))</f>
        <v>0</v>
      </c>
      <c r="F320" s="23">
        <f>IF(D320="","",IFERROR(INDEX(Clients!$G$5:$G$204,MATCH(D320,Clients!$A$5:$A$204,0)),""))</f>
        <v>0</v>
      </c>
      <c r="Q320" s="31">
        <f>IF(A320="","",COUNTIFS('Invoice Lines'!$B$5:$B$804,A320))</f>
        <v>0</v>
      </c>
      <c r="R320" s="21">
        <f>IF(A320="","",SUMIFS('Invoice Lines'!$N$5:$N$804,'Invoice Lines'!$B$5:$B$804,A320))</f>
        <v>0</v>
      </c>
      <c r="S320" s="21">
        <f>IF(A320="","",ROUND(R320*IF(K320="",0,K320),2))</f>
        <v>0</v>
      </c>
      <c r="T320" s="21">
        <f>IF(A320="","",R320-S320)</f>
        <v>0</v>
      </c>
      <c r="U320" s="21">
        <f>IF(A320="","",ROUND(T320*TaxRate,2))</f>
        <v>0</v>
      </c>
      <c r="V320" s="21">
        <f>IF(A320="","",T320+U320)</f>
        <v>0</v>
      </c>
      <c r="W320" s="21">
        <f>IF(A320="","",SUMIFS(Payments!$G$5:$G$404,Payments!$D$5:$D$404,A320))</f>
        <v>0</v>
      </c>
      <c r="X320" s="21">
        <f>IF(A320="","",ROUND(V320-W320,2))</f>
        <v>0</v>
      </c>
      <c r="Y320" s="31">
        <f>IF(B320="","",IF(J320&lt;&gt;"",J320,IF(IFERROR(INDEX(Clients!$P$5:$P$204,MATCH(D320,Clients!$A$5:$A$204,0)),"")&lt;&gt;"",INDEX(Clients!$P$5:$P$204,MATCH(D320,Clients!$A$5:$A$204,0)),PaymentTerms)))</f>
        <v>0</v>
      </c>
      <c r="Z320" s="18">
        <f>IF(OR(A320="",B320=""),"",B320+Y320)</f>
        <v>0</v>
      </c>
      <c r="AA320" s="31">
        <f>IF(OR(A320="",Z320=""),"",IF(X320&lt;=0.004,"",MAX(0,TodayDate-Z320-OverdueGrace)))</f>
        <v>0</v>
      </c>
      <c r="AB320" s="39">
        <f>IF(B320="","",IF(X320&lt;=0.004,"Paid",IF(AA320="","Not due yet",IF(AA320=0,"Due now",IF(AA320&lt;=30,"1-30 days",IF(AA320&lt;=60,"31-60 days",IF(AA320&lt;=90,"61-90 days","90+ days")))))))</f>
        <v>0</v>
      </c>
      <c r="AC320" s="21">
        <f>IF(OR(A320="",AA320=""),"",IF(AA320&lt;=0,0,ROUND(X320*LateFeePercent,2)))</f>
        <v>0</v>
      </c>
      <c r="AD320" s="50">
        <f>IF(B320="","",IF(X320&lt;=0.004,"Yes","No"))</f>
        <v>0</v>
      </c>
      <c r="AE320" s="39">
        <f>IF(B320="","",IF(Q320=0,"Add - no lines on this invoice yet",IF(H320="Written off","Written off",IF(AD320="Yes","OK - paid",IF(H320="Draft","Draft - not sent yet",IF(AND(AA320&lt;&gt;"",AA320&gt;30),"Overdue - "&amp;AA320&amp;" days, call them",IF(AND(AA320&lt;&gt;"",AA320&gt;0),"Overdue - send a reminder",IF(W320&gt;0,"Part paid","Due - waiting for payment"))))))))</f>
        <v>0</v>
      </c>
    </row>
    <row r="321" spans="1:31">
      <c r="A321" s="43">
        <f>IF(B321="","",InvoicePrefix&amp;TEXT(ROW()-4,"0000"))</f>
        <v>0</v>
      </c>
      <c r="C321" s="23">
        <f>IF(B321="","",TEXT(B321,"yyyy-mm"))</f>
        <v>0</v>
      </c>
      <c r="E321" s="23">
        <f>IF(D321="","",IFERROR(INDEX(Clients!$B$5:$B$204,MATCH(D321,Clients!$A$5:$A$204,0)),"Not found"))</f>
        <v>0</v>
      </c>
      <c r="F321" s="23">
        <f>IF(D321="","",IFERROR(INDEX(Clients!$G$5:$G$204,MATCH(D321,Clients!$A$5:$A$204,0)),""))</f>
        <v>0</v>
      </c>
      <c r="Q321" s="31">
        <f>IF(A321="","",COUNTIFS('Invoice Lines'!$B$5:$B$804,A321))</f>
        <v>0</v>
      </c>
      <c r="R321" s="21">
        <f>IF(A321="","",SUMIFS('Invoice Lines'!$N$5:$N$804,'Invoice Lines'!$B$5:$B$804,A321))</f>
        <v>0</v>
      </c>
      <c r="S321" s="21">
        <f>IF(A321="","",ROUND(R321*IF(K321="",0,K321),2))</f>
        <v>0</v>
      </c>
      <c r="T321" s="21">
        <f>IF(A321="","",R321-S321)</f>
        <v>0</v>
      </c>
      <c r="U321" s="21">
        <f>IF(A321="","",ROUND(T321*TaxRate,2))</f>
        <v>0</v>
      </c>
      <c r="V321" s="21">
        <f>IF(A321="","",T321+U321)</f>
        <v>0</v>
      </c>
      <c r="W321" s="21">
        <f>IF(A321="","",SUMIFS(Payments!$G$5:$G$404,Payments!$D$5:$D$404,A321))</f>
        <v>0</v>
      </c>
      <c r="X321" s="21">
        <f>IF(A321="","",ROUND(V321-W321,2))</f>
        <v>0</v>
      </c>
      <c r="Y321" s="31">
        <f>IF(B321="","",IF(J321&lt;&gt;"",J321,IF(IFERROR(INDEX(Clients!$P$5:$P$204,MATCH(D321,Clients!$A$5:$A$204,0)),"")&lt;&gt;"",INDEX(Clients!$P$5:$P$204,MATCH(D321,Clients!$A$5:$A$204,0)),PaymentTerms)))</f>
        <v>0</v>
      </c>
      <c r="Z321" s="18">
        <f>IF(OR(A321="",B321=""),"",B321+Y321)</f>
        <v>0</v>
      </c>
      <c r="AA321" s="31">
        <f>IF(OR(A321="",Z321=""),"",IF(X321&lt;=0.004,"",MAX(0,TodayDate-Z321-OverdueGrace)))</f>
        <v>0</v>
      </c>
      <c r="AB321" s="39">
        <f>IF(B321="","",IF(X321&lt;=0.004,"Paid",IF(AA321="","Not due yet",IF(AA321=0,"Due now",IF(AA321&lt;=30,"1-30 days",IF(AA321&lt;=60,"31-60 days",IF(AA321&lt;=90,"61-90 days","90+ days")))))))</f>
        <v>0</v>
      </c>
      <c r="AC321" s="21">
        <f>IF(OR(A321="",AA321=""),"",IF(AA321&lt;=0,0,ROUND(X321*LateFeePercent,2)))</f>
        <v>0</v>
      </c>
      <c r="AD321" s="50">
        <f>IF(B321="","",IF(X321&lt;=0.004,"Yes","No"))</f>
        <v>0</v>
      </c>
      <c r="AE321" s="39">
        <f>IF(B321="","",IF(Q321=0,"Add - no lines on this invoice yet",IF(H321="Written off","Written off",IF(AD321="Yes","OK - paid",IF(H321="Draft","Draft - not sent yet",IF(AND(AA321&lt;&gt;"",AA321&gt;30),"Overdue - "&amp;AA321&amp;" days, call them",IF(AND(AA321&lt;&gt;"",AA321&gt;0),"Overdue - send a reminder",IF(W321&gt;0,"Part paid","Due - waiting for payment"))))))))</f>
        <v>0</v>
      </c>
    </row>
    <row r="322" spans="1:31">
      <c r="A322" s="43">
        <f>IF(B322="","",InvoicePrefix&amp;TEXT(ROW()-4,"0000"))</f>
        <v>0</v>
      </c>
      <c r="C322" s="23">
        <f>IF(B322="","",TEXT(B322,"yyyy-mm"))</f>
        <v>0</v>
      </c>
      <c r="E322" s="23">
        <f>IF(D322="","",IFERROR(INDEX(Clients!$B$5:$B$204,MATCH(D322,Clients!$A$5:$A$204,0)),"Not found"))</f>
        <v>0</v>
      </c>
      <c r="F322" s="23">
        <f>IF(D322="","",IFERROR(INDEX(Clients!$G$5:$G$204,MATCH(D322,Clients!$A$5:$A$204,0)),""))</f>
        <v>0</v>
      </c>
      <c r="Q322" s="31">
        <f>IF(A322="","",COUNTIFS('Invoice Lines'!$B$5:$B$804,A322))</f>
        <v>0</v>
      </c>
      <c r="R322" s="21">
        <f>IF(A322="","",SUMIFS('Invoice Lines'!$N$5:$N$804,'Invoice Lines'!$B$5:$B$804,A322))</f>
        <v>0</v>
      </c>
      <c r="S322" s="21">
        <f>IF(A322="","",ROUND(R322*IF(K322="",0,K322),2))</f>
        <v>0</v>
      </c>
      <c r="T322" s="21">
        <f>IF(A322="","",R322-S322)</f>
        <v>0</v>
      </c>
      <c r="U322" s="21">
        <f>IF(A322="","",ROUND(T322*TaxRate,2))</f>
        <v>0</v>
      </c>
      <c r="V322" s="21">
        <f>IF(A322="","",T322+U322)</f>
        <v>0</v>
      </c>
      <c r="W322" s="21">
        <f>IF(A322="","",SUMIFS(Payments!$G$5:$G$404,Payments!$D$5:$D$404,A322))</f>
        <v>0</v>
      </c>
      <c r="X322" s="21">
        <f>IF(A322="","",ROUND(V322-W322,2))</f>
        <v>0</v>
      </c>
      <c r="Y322" s="31">
        <f>IF(B322="","",IF(J322&lt;&gt;"",J322,IF(IFERROR(INDEX(Clients!$P$5:$P$204,MATCH(D322,Clients!$A$5:$A$204,0)),"")&lt;&gt;"",INDEX(Clients!$P$5:$P$204,MATCH(D322,Clients!$A$5:$A$204,0)),PaymentTerms)))</f>
        <v>0</v>
      </c>
      <c r="Z322" s="18">
        <f>IF(OR(A322="",B322=""),"",B322+Y322)</f>
        <v>0</v>
      </c>
      <c r="AA322" s="31">
        <f>IF(OR(A322="",Z322=""),"",IF(X322&lt;=0.004,"",MAX(0,TodayDate-Z322-OverdueGrace)))</f>
        <v>0</v>
      </c>
      <c r="AB322" s="39">
        <f>IF(B322="","",IF(X322&lt;=0.004,"Paid",IF(AA322="","Not due yet",IF(AA322=0,"Due now",IF(AA322&lt;=30,"1-30 days",IF(AA322&lt;=60,"31-60 days",IF(AA322&lt;=90,"61-90 days","90+ days")))))))</f>
        <v>0</v>
      </c>
      <c r="AC322" s="21">
        <f>IF(OR(A322="",AA322=""),"",IF(AA322&lt;=0,0,ROUND(X322*LateFeePercent,2)))</f>
        <v>0</v>
      </c>
      <c r="AD322" s="50">
        <f>IF(B322="","",IF(X322&lt;=0.004,"Yes","No"))</f>
        <v>0</v>
      </c>
      <c r="AE322" s="39">
        <f>IF(B322="","",IF(Q322=0,"Add - no lines on this invoice yet",IF(H322="Written off","Written off",IF(AD322="Yes","OK - paid",IF(H322="Draft","Draft - not sent yet",IF(AND(AA322&lt;&gt;"",AA322&gt;30),"Overdue - "&amp;AA322&amp;" days, call them",IF(AND(AA322&lt;&gt;"",AA322&gt;0),"Overdue - send a reminder",IF(W322&gt;0,"Part paid","Due - waiting for payment"))))))))</f>
        <v>0</v>
      </c>
    </row>
    <row r="323" spans="1:31">
      <c r="A323" s="43">
        <f>IF(B323="","",InvoicePrefix&amp;TEXT(ROW()-4,"0000"))</f>
        <v>0</v>
      </c>
      <c r="C323" s="23">
        <f>IF(B323="","",TEXT(B323,"yyyy-mm"))</f>
        <v>0</v>
      </c>
      <c r="E323" s="23">
        <f>IF(D323="","",IFERROR(INDEX(Clients!$B$5:$B$204,MATCH(D323,Clients!$A$5:$A$204,0)),"Not found"))</f>
        <v>0</v>
      </c>
      <c r="F323" s="23">
        <f>IF(D323="","",IFERROR(INDEX(Clients!$G$5:$G$204,MATCH(D323,Clients!$A$5:$A$204,0)),""))</f>
        <v>0</v>
      </c>
      <c r="Q323" s="31">
        <f>IF(A323="","",COUNTIFS('Invoice Lines'!$B$5:$B$804,A323))</f>
        <v>0</v>
      </c>
      <c r="R323" s="21">
        <f>IF(A323="","",SUMIFS('Invoice Lines'!$N$5:$N$804,'Invoice Lines'!$B$5:$B$804,A323))</f>
        <v>0</v>
      </c>
      <c r="S323" s="21">
        <f>IF(A323="","",ROUND(R323*IF(K323="",0,K323),2))</f>
        <v>0</v>
      </c>
      <c r="T323" s="21">
        <f>IF(A323="","",R323-S323)</f>
        <v>0</v>
      </c>
      <c r="U323" s="21">
        <f>IF(A323="","",ROUND(T323*TaxRate,2))</f>
        <v>0</v>
      </c>
      <c r="V323" s="21">
        <f>IF(A323="","",T323+U323)</f>
        <v>0</v>
      </c>
      <c r="W323" s="21">
        <f>IF(A323="","",SUMIFS(Payments!$G$5:$G$404,Payments!$D$5:$D$404,A323))</f>
        <v>0</v>
      </c>
      <c r="X323" s="21">
        <f>IF(A323="","",ROUND(V323-W323,2))</f>
        <v>0</v>
      </c>
      <c r="Y323" s="31">
        <f>IF(B323="","",IF(J323&lt;&gt;"",J323,IF(IFERROR(INDEX(Clients!$P$5:$P$204,MATCH(D323,Clients!$A$5:$A$204,0)),"")&lt;&gt;"",INDEX(Clients!$P$5:$P$204,MATCH(D323,Clients!$A$5:$A$204,0)),PaymentTerms)))</f>
        <v>0</v>
      </c>
      <c r="Z323" s="18">
        <f>IF(OR(A323="",B323=""),"",B323+Y323)</f>
        <v>0</v>
      </c>
      <c r="AA323" s="31">
        <f>IF(OR(A323="",Z323=""),"",IF(X323&lt;=0.004,"",MAX(0,TodayDate-Z323-OverdueGrace)))</f>
        <v>0</v>
      </c>
      <c r="AB323" s="39">
        <f>IF(B323="","",IF(X323&lt;=0.004,"Paid",IF(AA323="","Not due yet",IF(AA323=0,"Due now",IF(AA323&lt;=30,"1-30 days",IF(AA323&lt;=60,"31-60 days",IF(AA323&lt;=90,"61-90 days","90+ days")))))))</f>
        <v>0</v>
      </c>
      <c r="AC323" s="21">
        <f>IF(OR(A323="",AA323=""),"",IF(AA323&lt;=0,0,ROUND(X323*LateFeePercent,2)))</f>
        <v>0</v>
      </c>
      <c r="AD323" s="50">
        <f>IF(B323="","",IF(X323&lt;=0.004,"Yes","No"))</f>
        <v>0</v>
      </c>
      <c r="AE323" s="39">
        <f>IF(B323="","",IF(Q323=0,"Add - no lines on this invoice yet",IF(H323="Written off","Written off",IF(AD323="Yes","OK - paid",IF(H323="Draft","Draft - not sent yet",IF(AND(AA323&lt;&gt;"",AA323&gt;30),"Overdue - "&amp;AA323&amp;" days, call them",IF(AND(AA323&lt;&gt;"",AA323&gt;0),"Overdue - send a reminder",IF(W323&gt;0,"Part paid","Due - waiting for payment"))))))))</f>
        <v>0</v>
      </c>
    </row>
    <row r="324" spans="1:31">
      <c r="A324" s="43">
        <f>IF(B324="","",InvoicePrefix&amp;TEXT(ROW()-4,"0000"))</f>
        <v>0</v>
      </c>
      <c r="C324" s="23">
        <f>IF(B324="","",TEXT(B324,"yyyy-mm"))</f>
        <v>0</v>
      </c>
      <c r="E324" s="23">
        <f>IF(D324="","",IFERROR(INDEX(Clients!$B$5:$B$204,MATCH(D324,Clients!$A$5:$A$204,0)),"Not found"))</f>
        <v>0</v>
      </c>
      <c r="F324" s="23">
        <f>IF(D324="","",IFERROR(INDEX(Clients!$G$5:$G$204,MATCH(D324,Clients!$A$5:$A$204,0)),""))</f>
        <v>0</v>
      </c>
      <c r="Q324" s="31">
        <f>IF(A324="","",COUNTIFS('Invoice Lines'!$B$5:$B$804,A324))</f>
        <v>0</v>
      </c>
      <c r="R324" s="21">
        <f>IF(A324="","",SUMIFS('Invoice Lines'!$N$5:$N$804,'Invoice Lines'!$B$5:$B$804,A324))</f>
        <v>0</v>
      </c>
      <c r="S324" s="21">
        <f>IF(A324="","",ROUND(R324*IF(K324="",0,K324),2))</f>
        <v>0</v>
      </c>
      <c r="T324" s="21">
        <f>IF(A324="","",R324-S324)</f>
        <v>0</v>
      </c>
      <c r="U324" s="21">
        <f>IF(A324="","",ROUND(T324*TaxRate,2))</f>
        <v>0</v>
      </c>
      <c r="V324" s="21">
        <f>IF(A324="","",T324+U324)</f>
        <v>0</v>
      </c>
      <c r="W324" s="21">
        <f>IF(A324="","",SUMIFS(Payments!$G$5:$G$404,Payments!$D$5:$D$404,A324))</f>
        <v>0</v>
      </c>
      <c r="X324" s="21">
        <f>IF(A324="","",ROUND(V324-W324,2))</f>
        <v>0</v>
      </c>
      <c r="Y324" s="31">
        <f>IF(B324="","",IF(J324&lt;&gt;"",J324,IF(IFERROR(INDEX(Clients!$P$5:$P$204,MATCH(D324,Clients!$A$5:$A$204,0)),"")&lt;&gt;"",INDEX(Clients!$P$5:$P$204,MATCH(D324,Clients!$A$5:$A$204,0)),PaymentTerms)))</f>
        <v>0</v>
      </c>
      <c r="Z324" s="18">
        <f>IF(OR(A324="",B324=""),"",B324+Y324)</f>
        <v>0</v>
      </c>
      <c r="AA324" s="31">
        <f>IF(OR(A324="",Z324=""),"",IF(X324&lt;=0.004,"",MAX(0,TodayDate-Z324-OverdueGrace)))</f>
        <v>0</v>
      </c>
      <c r="AB324" s="39">
        <f>IF(B324="","",IF(X324&lt;=0.004,"Paid",IF(AA324="","Not due yet",IF(AA324=0,"Due now",IF(AA324&lt;=30,"1-30 days",IF(AA324&lt;=60,"31-60 days",IF(AA324&lt;=90,"61-90 days","90+ days")))))))</f>
        <v>0</v>
      </c>
      <c r="AC324" s="21">
        <f>IF(OR(A324="",AA324=""),"",IF(AA324&lt;=0,0,ROUND(X324*LateFeePercent,2)))</f>
        <v>0</v>
      </c>
      <c r="AD324" s="50">
        <f>IF(B324="","",IF(X324&lt;=0.004,"Yes","No"))</f>
        <v>0</v>
      </c>
      <c r="AE324" s="39">
        <f>IF(B324="","",IF(Q324=0,"Add - no lines on this invoice yet",IF(H324="Written off","Written off",IF(AD324="Yes","OK - paid",IF(H324="Draft","Draft - not sent yet",IF(AND(AA324&lt;&gt;"",AA324&gt;30),"Overdue - "&amp;AA324&amp;" days, call them",IF(AND(AA324&lt;&gt;"",AA324&gt;0),"Overdue - send a reminder",IF(W324&gt;0,"Part paid","Due - waiting for payment"))))))))</f>
        <v>0</v>
      </c>
    </row>
    <row r="325" spans="1:31">
      <c r="A325" s="43">
        <f>IF(B325="","",InvoicePrefix&amp;TEXT(ROW()-4,"0000"))</f>
        <v>0</v>
      </c>
      <c r="C325" s="23">
        <f>IF(B325="","",TEXT(B325,"yyyy-mm"))</f>
        <v>0</v>
      </c>
      <c r="E325" s="23">
        <f>IF(D325="","",IFERROR(INDEX(Clients!$B$5:$B$204,MATCH(D325,Clients!$A$5:$A$204,0)),"Not found"))</f>
        <v>0</v>
      </c>
      <c r="F325" s="23">
        <f>IF(D325="","",IFERROR(INDEX(Clients!$G$5:$G$204,MATCH(D325,Clients!$A$5:$A$204,0)),""))</f>
        <v>0</v>
      </c>
      <c r="Q325" s="31">
        <f>IF(A325="","",COUNTIFS('Invoice Lines'!$B$5:$B$804,A325))</f>
        <v>0</v>
      </c>
      <c r="R325" s="21">
        <f>IF(A325="","",SUMIFS('Invoice Lines'!$N$5:$N$804,'Invoice Lines'!$B$5:$B$804,A325))</f>
        <v>0</v>
      </c>
      <c r="S325" s="21">
        <f>IF(A325="","",ROUND(R325*IF(K325="",0,K325),2))</f>
        <v>0</v>
      </c>
      <c r="T325" s="21">
        <f>IF(A325="","",R325-S325)</f>
        <v>0</v>
      </c>
      <c r="U325" s="21">
        <f>IF(A325="","",ROUND(T325*TaxRate,2))</f>
        <v>0</v>
      </c>
      <c r="V325" s="21">
        <f>IF(A325="","",T325+U325)</f>
        <v>0</v>
      </c>
      <c r="W325" s="21">
        <f>IF(A325="","",SUMIFS(Payments!$G$5:$G$404,Payments!$D$5:$D$404,A325))</f>
        <v>0</v>
      </c>
      <c r="X325" s="21">
        <f>IF(A325="","",ROUND(V325-W325,2))</f>
        <v>0</v>
      </c>
      <c r="Y325" s="31">
        <f>IF(B325="","",IF(J325&lt;&gt;"",J325,IF(IFERROR(INDEX(Clients!$P$5:$P$204,MATCH(D325,Clients!$A$5:$A$204,0)),"")&lt;&gt;"",INDEX(Clients!$P$5:$P$204,MATCH(D325,Clients!$A$5:$A$204,0)),PaymentTerms)))</f>
        <v>0</v>
      </c>
      <c r="Z325" s="18">
        <f>IF(OR(A325="",B325=""),"",B325+Y325)</f>
        <v>0</v>
      </c>
      <c r="AA325" s="31">
        <f>IF(OR(A325="",Z325=""),"",IF(X325&lt;=0.004,"",MAX(0,TodayDate-Z325-OverdueGrace)))</f>
        <v>0</v>
      </c>
      <c r="AB325" s="39">
        <f>IF(B325="","",IF(X325&lt;=0.004,"Paid",IF(AA325="","Not due yet",IF(AA325=0,"Due now",IF(AA325&lt;=30,"1-30 days",IF(AA325&lt;=60,"31-60 days",IF(AA325&lt;=90,"61-90 days","90+ days")))))))</f>
        <v>0</v>
      </c>
      <c r="AC325" s="21">
        <f>IF(OR(A325="",AA325=""),"",IF(AA325&lt;=0,0,ROUND(X325*LateFeePercent,2)))</f>
        <v>0</v>
      </c>
      <c r="AD325" s="50">
        <f>IF(B325="","",IF(X325&lt;=0.004,"Yes","No"))</f>
        <v>0</v>
      </c>
      <c r="AE325" s="39">
        <f>IF(B325="","",IF(Q325=0,"Add - no lines on this invoice yet",IF(H325="Written off","Written off",IF(AD325="Yes","OK - paid",IF(H325="Draft","Draft - not sent yet",IF(AND(AA325&lt;&gt;"",AA325&gt;30),"Overdue - "&amp;AA325&amp;" days, call them",IF(AND(AA325&lt;&gt;"",AA325&gt;0),"Overdue - send a reminder",IF(W325&gt;0,"Part paid","Due - waiting for payment"))))))))</f>
        <v>0</v>
      </c>
    </row>
    <row r="326" spans="1:31">
      <c r="A326" s="43">
        <f>IF(B326="","",InvoicePrefix&amp;TEXT(ROW()-4,"0000"))</f>
        <v>0</v>
      </c>
      <c r="C326" s="23">
        <f>IF(B326="","",TEXT(B326,"yyyy-mm"))</f>
        <v>0</v>
      </c>
      <c r="E326" s="23">
        <f>IF(D326="","",IFERROR(INDEX(Clients!$B$5:$B$204,MATCH(D326,Clients!$A$5:$A$204,0)),"Not found"))</f>
        <v>0</v>
      </c>
      <c r="F326" s="23">
        <f>IF(D326="","",IFERROR(INDEX(Clients!$G$5:$G$204,MATCH(D326,Clients!$A$5:$A$204,0)),""))</f>
        <v>0</v>
      </c>
      <c r="Q326" s="31">
        <f>IF(A326="","",COUNTIFS('Invoice Lines'!$B$5:$B$804,A326))</f>
        <v>0</v>
      </c>
      <c r="R326" s="21">
        <f>IF(A326="","",SUMIFS('Invoice Lines'!$N$5:$N$804,'Invoice Lines'!$B$5:$B$804,A326))</f>
        <v>0</v>
      </c>
      <c r="S326" s="21">
        <f>IF(A326="","",ROUND(R326*IF(K326="",0,K326),2))</f>
        <v>0</v>
      </c>
      <c r="T326" s="21">
        <f>IF(A326="","",R326-S326)</f>
        <v>0</v>
      </c>
      <c r="U326" s="21">
        <f>IF(A326="","",ROUND(T326*TaxRate,2))</f>
        <v>0</v>
      </c>
      <c r="V326" s="21">
        <f>IF(A326="","",T326+U326)</f>
        <v>0</v>
      </c>
      <c r="W326" s="21">
        <f>IF(A326="","",SUMIFS(Payments!$G$5:$G$404,Payments!$D$5:$D$404,A326))</f>
        <v>0</v>
      </c>
      <c r="X326" s="21">
        <f>IF(A326="","",ROUND(V326-W326,2))</f>
        <v>0</v>
      </c>
      <c r="Y326" s="31">
        <f>IF(B326="","",IF(J326&lt;&gt;"",J326,IF(IFERROR(INDEX(Clients!$P$5:$P$204,MATCH(D326,Clients!$A$5:$A$204,0)),"")&lt;&gt;"",INDEX(Clients!$P$5:$P$204,MATCH(D326,Clients!$A$5:$A$204,0)),PaymentTerms)))</f>
        <v>0</v>
      </c>
      <c r="Z326" s="18">
        <f>IF(OR(A326="",B326=""),"",B326+Y326)</f>
        <v>0</v>
      </c>
      <c r="AA326" s="31">
        <f>IF(OR(A326="",Z326=""),"",IF(X326&lt;=0.004,"",MAX(0,TodayDate-Z326-OverdueGrace)))</f>
        <v>0</v>
      </c>
      <c r="AB326" s="39">
        <f>IF(B326="","",IF(X326&lt;=0.004,"Paid",IF(AA326="","Not due yet",IF(AA326=0,"Due now",IF(AA326&lt;=30,"1-30 days",IF(AA326&lt;=60,"31-60 days",IF(AA326&lt;=90,"61-90 days","90+ days")))))))</f>
        <v>0</v>
      </c>
      <c r="AC326" s="21">
        <f>IF(OR(A326="",AA326=""),"",IF(AA326&lt;=0,0,ROUND(X326*LateFeePercent,2)))</f>
        <v>0</v>
      </c>
      <c r="AD326" s="50">
        <f>IF(B326="","",IF(X326&lt;=0.004,"Yes","No"))</f>
        <v>0</v>
      </c>
      <c r="AE326" s="39">
        <f>IF(B326="","",IF(Q326=0,"Add - no lines on this invoice yet",IF(H326="Written off","Written off",IF(AD326="Yes","OK - paid",IF(H326="Draft","Draft - not sent yet",IF(AND(AA326&lt;&gt;"",AA326&gt;30),"Overdue - "&amp;AA326&amp;" days, call them",IF(AND(AA326&lt;&gt;"",AA326&gt;0),"Overdue - send a reminder",IF(W326&gt;0,"Part paid","Due - waiting for payment"))))))))</f>
        <v>0</v>
      </c>
    </row>
    <row r="327" spans="1:31">
      <c r="A327" s="43">
        <f>IF(B327="","",InvoicePrefix&amp;TEXT(ROW()-4,"0000"))</f>
        <v>0</v>
      </c>
      <c r="C327" s="23">
        <f>IF(B327="","",TEXT(B327,"yyyy-mm"))</f>
        <v>0</v>
      </c>
      <c r="E327" s="23">
        <f>IF(D327="","",IFERROR(INDEX(Clients!$B$5:$B$204,MATCH(D327,Clients!$A$5:$A$204,0)),"Not found"))</f>
        <v>0</v>
      </c>
      <c r="F327" s="23">
        <f>IF(D327="","",IFERROR(INDEX(Clients!$G$5:$G$204,MATCH(D327,Clients!$A$5:$A$204,0)),""))</f>
        <v>0</v>
      </c>
      <c r="Q327" s="31">
        <f>IF(A327="","",COUNTIFS('Invoice Lines'!$B$5:$B$804,A327))</f>
        <v>0</v>
      </c>
      <c r="R327" s="21">
        <f>IF(A327="","",SUMIFS('Invoice Lines'!$N$5:$N$804,'Invoice Lines'!$B$5:$B$804,A327))</f>
        <v>0</v>
      </c>
      <c r="S327" s="21">
        <f>IF(A327="","",ROUND(R327*IF(K327="",0,K327),2))</f>
        <v>0</v>
      </c>
      <c r="T327" s="21">
        <f>IF(A327="","",R327-S327)</f>
        <v>0</v>
      </c>
      <c r="U327" s="21">
        <f>IF(A327="","",ROUND(T327*TaxRate,2))</f>
        <v>0</v>
      </c>
      <c r="V327" s="21">
        <f>IF(A327="","",T327+U327)</f>
        <v>0</v>
      </c>
      <c r="W327" s="21">
        <f>IF(A327="","",SUMIFS(Payments!$G$5:$G$404,Payments!$D$5:$D$404,A327))</f>
        <v>0</v>
      </c>
      <c r="X327" s="21">
        <f>IF(A327="","",ROUND(V327-W327,2))</f>
        <v>0</v>
      </c>
      <c r="Y327" s="31">
        <f>IF(B327="","",IF(J327&lt;&gt;"",J327,IF(IFERROR(INDEX(Clients!$P$5:$P$204,MATCH(D327,Clients!$A$5:$A$204,0)),"")&lt;&gt;"",INDEX(Clients!$P$5:$P$204,MATCH(D327,Clients!$A$5:$A$204,0)),PaymentTerms)))</f>
        <v>0</v>
      </c>
      <c r="Z327" s="18">
        <f>IF(OR(A327="",B327=""),"",B327+Y327)</f>
        <v>0</v>
      </c>
      <c r="AA327" s="31">
        <f>IF(OR(A327="",Z327=""),"",IF(X327&lt;=0.004,"",MAX(0,TodayDate-Z327-OverdueGrace)))</f>
        <v>0</v>
      </c>
      <c r="AB327" s="39">
        <f>IF(B327="","",IF(X327&lt;=0.004,"Paid",IF(AA327="","Not due yet",IF(AA327=0,"Due now",IF(AA327&lt;=30,"1-30 days",IF(AA327&lt;=60,"31-60 days",IF(AA327&lt;=90,"61-90 days","90+ days")))))))</f>
        <v>0</v>
      </c>
      <c r="AC327" s="21">
        <f>IF(OR(A327="",AA327=""),"",IF(AA327&lt;=0,0,ROUND(X327*LateFeePercent,2)))</f>
        <v>0</v>
      </c>
      <c r="AD327" s="50">
        <f>IF(B327="","",IF(X327&lt;=0.004,"Yes","No"))</f>
        <v>0</v>
      </c>
      <c r="AE327" s="39">
        <f>IF(B327="","",IF(Q327=0,"Add - no lines on this invoice yet",IF(H327="Written off","Written off",IF(AD327="Yes","OK - paid",IF(H327="Draft","Draft - not sent yet",IF(AND(AA327&lt;&gt;"",AA327&gt;30),"Overdue - "&amp;AA327&amp;" days, call them",IF(AND(AA327&lt;&gt;"",AA327&gt;0),"Overdue - send a reminder",IF(W327&gt;0,"Part paid","Due - waiting for payment"))))))))</f>
        <v>0</v>
      </c>
    </row>
    <row r="328" spans="1:31">
      <c r="A328" s="43">
        <f>IF(B328="","",InvoicePrefix&amp;TEXT(ROW()-4,"0000"))</f>
        <v>0</v>
      </c>
      <c r="C328" s="23">
        <f>IF(B328="","",TEXT(B328,"yyyy-mm"))</f>
        <v>0</v>
      </c>
      <c r="E328" s="23">
        <f>IF(D328="","",IFERROR(INDEX(Clients!$B$5:$B$204,MATCH(D328,Clients!$A$5:$A$204,0)),"Not found"))</f>
        <v>0</v>
      </c>
      <c r="F328" s="23">
        <f>IF(D328="","",IFERROR(INDEX(Clients!$G$5:$G$204,MATCH(D328,Clients!$A$5:$A$204,0)),""))</f>
        <v>0</v>
      </c>
      <c r="Q328" s="31">
        <f>IF(A328="","",COUNTIFS('Invoice Lines'!$B$5:$B$804,A328))</f>
        <v>0</v>
      </c>
      <c r="R328" s="21">
        <f>IF(A328="","",SUMIFS('Invoice Lines'!$N$5:$N$804,'Invoice Lines'!$B$5:$B$804,A328))</f>
        <v>0</v>
      </c>
      <c r="S328" s="21">
        <f>IF(A328="","",ROUND(R328*IF(K328="",0,K328),2))</f>
        <v>0</v>
      </c>
      <c r="T328" s="21">
        <f>IF(A328="","",R328-S328)</f>
        <v>0</v>
      </c>
      <c r="U328" s="21">
        <f>IF(A328="","",ROUND(T328*TaxRate,2))</f>
        <v>0</v>
      </c>
      <c r="V328" s="21">
        <f>IF(A328="","",T328+U328)</f>
        <v>0</v>
      </c>
      <c r="W328" s="21">
        <f>IF(A328="","",SUMIFS(Payments!$G$5:$G$404,Payments!$D$5:$D$404,A328))</f>
        <v>0</v>
      </c>
      <c r="X328" s="21">
        <f>IF(A328="","",ROUND(V328-W328,2))</f>
        <v>0</v>
      </c>
      <c r="Y328" s="31">
        <f>IF(B328="","",IF(J328&lt;&gt;"",J328,IF(IFERROR(INDEX(Clients!$P$5:$P$204,MATCH(D328,Clients!$A$5:$A$204,0)),"")&lt;&gt;"",INDEX(Clients!$P$5:$P$204,MATCH(D328,Clients!$A$5:$A$204,0)),PaymentTerms)))</f>
        <v>0</v>
      </c>
      <c r="Z328" s="18">
        <f>IF(OR(A328="",B328=""),"",B328+Y328)</f>
        <v>0</v>
      </c>
      <c r="AA328" s="31">
        <f>IF(OR(A328="",Z328=""),"",IF(X328&lt;=0.004,"",MAX(0,TodayDate-Z328-OverdueGrace)))</f>
        <v>0</v>
      </c>
      <c r="AB328" s="39">
        <f>IF(B328="","",IF(X328&lt;=0.004,"Paid",IF(AA328="","Not due yet",IF(AA328=0,"Due now",IF(AA328&lt;=30,"1-30 days",IF(AA328&lt;=60,"31-60 days",IF(AA328&lt;=90,"61-90 days","90+ days")))))))</f>
        <v>0</v>
      </c>
      <c r="AC328" s="21">
        <f>IF(OR(A328="",AA328=""),"",IF(AA328&lt;=0,0,ROUND(X328*LateFeePercent,2)))</f>
        <v>0</v>
      </c>
      <c r="AD328" s="50">
        <f>IF(B328="","",IF(X328&lt;=0.004,"Yes","No"))</f>
        <v>0</v>
      </c>
      <c r="AE328" s="39">
        <f>IF(B328="","",IF(Q328=0,"Add - no lines on this invoice yet",IF(H328="Written off","Written off",IF(AD328="Yes","OK - paid",IF(H328="Draft","Draft - not sent yet",IF(AND(AA328&lt;&gt;"",AA328&gt;30),"Overdue - "&amp;AA328&amp;" days, call them",IF(AND(AA328&lt;&gt;"",AA328&gt;0),"Overdue - send a reminder",IF(W328&gt;0,"Part paid","Due - waiting for payment"))))))))</f>
        <v>0</v>
      </c>
    </row>
    <row r="329" spans="1:31">
      <c r="A329" s="43">
        <f>IF(B329="","",InvoicePrefix&amp;TEXT(ROW()-4,"0000"))</f>
        <v>0</v>
      </c>
      <c r="C329" s="23">
        <f>IF(B329="","",TEXT(B329,"yyyy-mm"))</f>
        <v>0</v>
      </c>
      <c r="E329" s="23">
        <f>IF(D329="","",IFERROR(INDEX(Clients!$B$5:$B$204,MATCH(D329,Clients!$A$5:$A$204,0)),"Not found"))</f>
        <v>0</v>
      </c>
      <c r="F329" s="23">
        <f>IF(D329="","",IFERROR(INDEX(Clients!$G$5:$G$204,MATCH(D329,Clients!$A$5:$A$204,0)),""))</f>
        <v>0</v>
      </c>
      <c r="Q329" s="31">
        <f>IF(A329="","",COUNTIFS('Invoice Lines'!$B$5:$B$804,A329))</f>
        <v>0</v>
      </c>
      <c r="R329" s="21">
        <f>IF(A329="","",SUMIFS('Invoice Lines'!$N$5:$N$804,'Invoice Lines'!$B$5:$B$804,A329))</f>
        <v>0</v>
      </c>
      <c r="S329" s="21">
        <f>IF(A329="","",ROUND(R329*IF(K329="",0,K329),2))</f>
        <v>0</v>
      </c>
      <c r="T329" s="21">
        <f>IF(A329="","",R329-S329)</f>
        <v>0</v>
      </c>
      <c r="U329" s="21">
        <f>IF(A329="","",ROUND(T329*TaxRate,2))</f>
        <v>0</v>
      </c>
      <c r="V329" s="21">
        <f>IF(A329="","",T329+U329)</f>
        <v>0</v>
      </c>
      <c r="W329" s="21">
        <f>IF(A329="","",SUMIFS(Payments!$G$5:$G$404,Payments!$D$5:$D$404,A329))</f>
        <v>0</v>
      </c>
      <c r="X329" s="21">
        <f>IF(A329="","",ROUND(V329-W329,2))</f>
        <v>0</v>
      </c>
      <c r="Y329" s="31">
        <f>IF(B329="","",IF(J329&lt;&gt;"",J329,IF(IFERROR(INDEX(Clients!$P$5:$P$204,MATCH(D329,Clients!$A$5:$A$204,0)),"")&lt;&gt;"",INDEX(Clients!$P$5:$P$204,MATCH(D329,Clients!$A$5:$A$204,0)),PaymentTerms)))</f>
        <v>0</v>
      </c>
      <c r="Z329" s="18">
        <f>IF(OR(A329="",B329=""),"",B329+Y329)</f>
        <v>0</v>
      </c>
      <c r="AA329" s="31">
        <f>IF(OR(A329="",Z329=""),"",IF(X329&lt;=0.004,"",MAX(0,TodayDate-Z329-OverdueGrace)))</f>
        <v>0</v>
      </c>
      <c r="AB329" s="39">
        <f>IF(B329="","",IF(X329&lt;=0.004,"Paid",IF(AA329="","Not due yet",IF(AA329=0,"Due now",IF(AA329&lt;=30,"1-30 days",IF(AA329&lt;=60,"31-60 days",IF(AA329&lt;=90,"61-90 days","90+ days")))))))</f>
        <v>0</v>
      </c>
      <c r="AC329" s="21">
        <f>IF(OR(A329="",AA329=""),"",IF(AA329&lt;=0,0,ROUND(X329*LateFeePercent,2)))</f>
        <v>0</v>
      </c>
      <c r="AD329" s="50">
        <f>IF(B329="","",IF(X329&lt;=0.004,"Yes","No"))</f>
        <v>0</v>
      </c>
      <c r="AE329" s="39">
        <f>IF(B329="","",IF(Q329=0,"Add - no lines on this invoice yet",IF(H329="Written off","Written off",IF(AD329="Yes","OK - paid",IF(H329="Draft","Draft - not sent yet",IF(AND(AA329&lt;&gt;"",AA329&gt;30),"Overdue - "&amp;AA329&amp;" days, call them",IF(AND(AA329&lt;&gt;"",AA329&gt;0),"Overdue - send a reminder",IF(W329&gt;0,"Part paid","Due - waiting for payment"))))))))</f>
        <v>0</v>
      </c>
    </row>
    <row r="330" spans="1:31">
      <c r="A330" s="43">
        <f>IF(B330="","",InvoicePrefix&amp;TEXT(ROW()-4,"0000"))</f>
        <v>0</v>
      </c>
      <c r="C330" s="23">
        <f>IF(B330="","",TEXT(B330,"yyyy-mm"))</f>
        <v>0</v>
      </c>
      <c r="E330" s="23">
        <f>IF(D330="","",IFERROR(INDEX(Clients!$B$5:$B$204,MATCH(D330,Clients!$A$5:$A$204,0)),"Not found"))</f>
        <v>0</v>
      </c>
      <c r="F330" s="23">
        <f>IF(D330="","",IFERROR(INDEX(Clients!$G$5:$G$204,MATCH(D330,Clients!$A$5:$A$204,0)),""))</f>
        <v>0</v>
      </c>
      <c r="Q330" s="31">
        <f>IF(A330="","",COUNTIFS('Invoice Lines'!$B$5:$B$804,A330))</f>
        <v>0</v>
      </c>
      <c r="R330" s="21">
        <f>IF(A330="","",SUMIFS('Invoice Lines'!$N$5:$N$804,'Invoice Lines'!$B$5:$B$804,A330))</f>
        <v>0</v>
      </c>
      <c r="S330" s="21">
        <f>IF(A330="","",ROUND(R330*IF(K330="",0,K330),2))</f>
        <v>0</v>
      </c>
      <c r="T330" s="21">
        <f>IF(A330="","",R330-S330)</f>
        <v>0</v>
      </c>
      <c r="U330" s="21">
        <f>IF(A330="","",ROUND(T330*TaxRate,2))</f>
        <v>0</v>
      </c>
      <c r="V330" s="21">
        <f>IF(A330="","",T330+U330)</f>
        <v>0</v>
      </c>
      <c r="W330" s="21">
        <f>IF(A330="","",SUMIFS(Payments!$G$5:$G$404,Payments!$D$5:$D$404,A330))</f>
        <v>0</v>
      </c>
      <c r="X330" s="21">
        <f>IF(A330="","",ROUND(V330-W330,2))</f>
        <v>0</v>
      </c>
      <c r="Y330" s="31">
        <f>IF(B330="","",IF(J330&lt;&gt;"",J330,IF(IFERROR(INDEX(Clients!$P$5:$P$204,MATCH(D330,Clients!$A$5:$A$204,0)),"")&lt;&gt;"",INDEX(Clients!$P$5:$P$204,MATCH(D330,Clients!$A$5:$A$204,0)),PaymentTerms)))</f>
        <v>0</v>
      </c>
      <c r="Z330" s="18">
        <f>IF(OR(A330="",B330=""),"",B330+Y330)</f>
        <v>0</v>
      </c>
      <c r="AA330" s="31">
        <f>IF(OR(A330="",Z330=""),"",IF(X330&lt;=0.004,"",MAX(0,TodayDate-Z330-OverdueGrace)))</f>
        <v>0</v>
      </c>
      <c r="AB330" s="39">
        <f>IF(B330="","",IF(X330&lt;=0.004,"Paid",IF(AA330="","Not due yet",IF(AA330=0,"Due now",IF(AA330&lt;=30,"1-30 days",IF(AA330&lt;=60,"31-60 days",IF(AA330&lt;=90,"61-90 days","90+ days")))))))</f>
        <v>0</v>
      </c>
      <c r="AC330" s="21">
        <f>IF(OR(A330="",AA330=""),"",IF(AA330&lt;=0,0,ROUND(X330*LateFeePercent,2)))</f>
        <v>0</v>
      </c>
      <c r="AD330" s="50">
        <f>IF(B330="","",IF(X330&lt;=0.004,"Yes","No"))</f>
        <v>0</v>
      </c>
      <c r="AE330" s="39">
        <f>IF(B330="","",IF(Q330=0,"Add - no lines on this invoice yet",IF(H330="Written off","Written off",IF(AD330="Yes","OK - paid",IF(H330="Draft","Draft - not sent yet",IF(AND(AA330&lt;&gt;"",AA330&gt;30),"Overdue - "&amp;AA330&amp;" days, call them",IF(AND(AA330&lt;&gt;"",AA330&gt;0),"Overdue - send a reminder",IF(W330&gt;0,"Part paid","Due - waiting for payment"))))))))</f>
        <v>0</v>
      </c>
    </row>
    <row r="331" spans="1:31">
      <c r="A331" s="43">
        <f>IF(B331="","",InvoicePrefix&amp;TEXT(ROW()-4,"0000"))</f>
        <v>0</v>
      </c>
      <c r="C331" s="23">
        <f>IF(B331="","",TEXT(B331,"yyyy-mm"))</f>
        <v>0</v>
      </c>
      <c r="E331" s="23">
        <f>IF(D331="","",IFERROR(INDEX(Clients!$B$5:$B$204,MATCH(D331,Clients!$A$5:$A$204,0)),"Not found"))</f>
        <v>0</v>
      </c>
      <c r="F331" s="23">
        <f>IF(D331="","",IFERROR(INDEX(Clients!$G$5:$G$204,MATCH(D331,Clients!$A$5:$A$204,0)),""))</f>
        <v>0</v>
      </c>
      <c r="Q331" s="31">
        <f>IF(A331="","",COUNTIFS('Invoice Lines'!$B$5:$B$804,A331))</f>
        <v>0</v>
      </c>
      <c r="R331" s="21">
        <f>IF(A331="","",SUMIFS('Invoice Lines'!$N$5:$N$804,'Invoice Lines'!$B$5:$B$804,A331))</f>
        <v>0</v>
      </c>
      <c r="S331" s="21">
        <f>IF(A331="","",ROUND(R331*IF(K331="",0,K331),2))</f>
        <v>0</v>
      </c>
      <c r="T331" s="21">
        <f>IF(A331="","",R331-S331)</f>
        <v>0</v>
      </c>
      <c r="U331" s="21">
        <f>IF(A331="","",ROUND(T331*TaxRate,2))</f>
        <v>0</v>
      </c>
      <c r="V331" s="21">
        <f>IF(A331="","",T331+U331)</f>
        <v>0</v>
      </c>
      <c r="W331" s="21">
        <f>IF(A331="","",SUMIFS(Payments!$G$5:$G$404,Payments!$D$5:$D$404,A331))</f>
        <v>0</v>
      </c>
      <c r="X331" s="21">
        <f>IF(A331="","",ROUND(V331-W331,2))</f>
        <v>0</v>
      </c>
      <c r="Y331" s="31">
        <f>IF(B331="","",IF(J331&lt;&gt;"",J331,IF(IFERROR(INDEX(Clients!$P$5:$P$204,MATCH(D331,Clients!$A$5:$A$204,0)),"")&lt;&gt;"",INDEX(Clients!$P$5:$P$204,MATCH(D331,Clients!$A$5:$A$204,0)),PaymentTerms)))</f>
        <v>0</v>
      </c>
      <c r="Z331" s="18">
        <f>IF(OR(A331="",B331=""),"",B331+Y331)</f>
        <v>0</v>
      </c>
      <c r="AA331" s="31">
        <f>IF(OR(A331="",Z331=""),"",IF(X331&lt;=0.004,"",MAX(0,TodayDate-Z331-OverdueGrace)))</f>
        <v>0</v>
      </c>
      <c r="AB331" s="39">
        <f>IF(B331="","",IF(X331&lt;=0.004,"Paid",IF(AA331="","Not due yet",IF(AA331=0,"Due now",IF(AA331&lt;=30,"1-30 days",IF(AA331&lt;=60,"31-60 days",IF(AA331&lt;=90,"61-90 days","90+ days")))))))</f>
        <v>0</v>
      </c>
      <c r="AC331" s="21">
        <f>IF(OR(A331="",AA331=""),"",IF(AA331&lt;=0,0,ROUND(X331*LateFeePercent,2)))</f>
        <v>0</v>
      </c>
      <c r="AD331" s="50">
        <f>IF(B331="","",IF(X331&lt;=0.004,"Yes","No"))</f>
        <v>0</v>
      </c>
      <c r="AE331" s="39">
        <f>IF(B331="","",IF(Q331=0,"Add - no lines on this invoice yet",IF(H331="Written off","Written off",IF(AD331="Yes","OK - paid",IF(H331="Draft","Draft - not sent yet",IF(AND(AA331&lt;&gt;"",AA331&gt;30),"Overdue - "&amp;AA331&amp;" days, call them",IF(AND(AA331&lt;&gt;"",AA331&gt;0),"Overdue - send a reminder",IF(W331&gt;0,"Part paid","Due - waiting for payment"))))))))</f>
        <v>0</v>
      </c>
    </row>
    <row r="332" spans="1:31">
      <c r="A332" s="43">
        <f>IF(B332="","",InvoicePrefix&amp;TEXT(ROW()-4,"0000"))</f>
        <v>0</v>
      </c>
      <c r="C332" s="23">
        <f>IF(B332="","",TEXT(B332,"yyyy-mm"))</f>
        <v>0</v>
      </c>
      <c r="E332" s="23">
        <f>IF(D332="","",IFERROR(INDEX(Clients!$B$5:$B$204,MATCH(D332,Clients!$A$5:$A$204,0)),"Not found"))</f>
        <v>0</v>
      </c>
      <c r="F332" s="23">
        <f>IF(D332="","",IFERROR(INDEX(Clients!$G$5:$G$204,MATCH(D332,Clients!$A$5:$A$204,0)),""))</f>
        <v>0</v>
      </c>
      <c r="Q332" s="31">
        <f>IF(A332="","",COUNTIFS('Invoice Lines'!$B$5:$B$804,A332))</f>
        <v>0</v>
      </c>
      <c r="R332" s="21">
        <f>IF(A332="","",SUMIFS('Invoice Lines'!$N$5:$N$804,'Invoice Lines'!$B$5:$B$804,A332))</f>
        <v>0</v>
      </c>
      <c r="S332" s="21">
        <f>IF(A332="","",ROUND(R332*IF(K332="",0,K332),2))</f>
        <v>0</v>
      </c>
      <c r="T332" s="21">
        <f>IF(A332="","",R332-S332)</f>
        <v>0</v>
      </c>
      <c r="U332" s="21">
        <f>IF(A332="","",ROUND(T332*TaxRate,2))</f>
        <v>0</v>
      </c>
      <c r="V332" s="21">
        <f>IF(A332="","",T332+U332)</f>
        <v>0</v>
      </c>
      <c r="W332" s="21">
        <f>IF(A332="","",SUMIFS(Payments!$G$5:$G$404,Payments!$D$5:$D$404,A332))</f>
        <v>0</v>
      </c>
      <c r="X332" s="21">
        <f>IF(A332="","",ROUND(V332-W332,2))</f>
        <v>0</v>
      </c>
      <c r="Y332" s="31">
        <f>IF(B332="","",IF(J332&lt;&gt;"",J332,IF(IFERROR(INDEX(Clients!$P$5:$P$204,MATCH(D332,Clients!$A$5:$A$204,0)),"")&lt;&gt;"",INDEX(Clients!$P$5:$P$204,MATCH(D332,Clients!$A$5:$A$204,0)),PaymentTerms)))</f>
        <v>0</v>
      </c>
      <c r="Z332" s="18">
        <f>IF(OR(A332="",B332=""),"",B332+Y332)</f>
        <v>0</v>
      </c>
      <c r="AA332" s="31">
        <f>IF(OR(A332="",Z332=""),"",IF(X332&lt;=0.004,"",MAX(0,TodayDate-Z332-OverdueGrace)))</f>
        <v>0</v>
      </c>
      <c r="AB332" s="39">
        <f>IF(B332="","",IF(X332&lt;=0.004,"Paid",IF(AA332="","Not due yet",IF(AA332=0,"Due now",IF(AA332&lt;=30,"1-30 days",IF(AA332&lt;=60,"31-60 days",IF(AA332&lt;=90,"61-90 days","90+ days")))))))</f>
        <v>0</v>
      </c>
      <c r="AC332" s="21">
        <f>IF(OR(A332="",AA332=""),"",IF(AA332&lt;=0,0,ROUND(X332*LateFeePercent,2)))</f>
        <v>0</v>
      </c>
      <c r="AD332" s="50">
        <f>IF(B332="","",IF(X332&lt;=0.004,"Yes","No"))</f>
        <v>0</v>
      </c>
      <c r="AE332" s="39">
        <f>IF(B332="","",IF(Q332=0,"Add - no lines on this invoice yet",IF(H332="Written off","Written off",IF(AD332="Yes","OK - paid",IF(H332="Draft","Draft - not sent yet",IF(AND(AA332&lt;&gt;"",AA332&gt;30),"Overdue - "&amp;AA332&amp;" days, call them",IF(AND(AA332&lt;&gt;"",AA332&gt;0),"Overdue - send a reminder",IF(W332&gt;0,"Part paid","Due - waiting for payment"))))))))</f>
        <v>0</v>
      </c>
    </row>
    <row r="333" spans="1:31">
      <c r="A333" s="43">
        <f>IF(B333="","",InvoicePrefix&amp;TEXT(ROW()-4,"0000"))</f>
        <v>0</v>
      </c>
      <c r="C333" s="23">
        <f>IF(B333="","",TEXT(B333,"yyyy-mm"))</f>
        <v>0</v>
      </c>
      <c r="E333" s="23">
        <f>IF(D333="","",IFERROR(INDEX(Clients!$B$5:$B$204,MATCH(D333,Clients!$A$5:$A$204,0)),"Not found"))</f>
        <v>0</v>
      </c>
      <c r="F333" s="23">
        <f>IF(D333="","",IFERROR(INDEX(Clients!$G$5:$G$204,MATCH(D333,Clients!$A$5:$A$204,0)),""))</f>
        <v>0</v>
      </c>
      <c r="Q333" s="31">
        <f>IF(A333="","",COUNTIFS('Invoice Lines'!$B$5:$B$804,A333))</f>
        <v>0</v>
      </c>
      <c r="R333" s="21">
        <f>IF(A333="","",SUMIFS('Invoice Lines'!$N$5:$N$804,'Invoice Lines'!$B$5:$B$804,A333))</f>
        <v>0</v>
      </c>
      <c r="S333" s="21">
        <f>IF(A333="","",ROUND(R333*IF(K333="",0,K333),2))</f>
        <v>0</v>
      </c>
      <c r="T333" s="21">
        <f>IF(A333="","",R333-S333)</f>
        <v>0</v>
      </c>
      <c r="U333" s="21">
        <f>IF(A333="","",ROUND(T333*TaxRate,2))</f>
        <v>0</v>
      </c>
      <c r="V333" s="21">
        <f>IF(A333="","",T333+U333)</f>
        <v>0</v>
      </c>
      <c r="W333" s="21">
        <f>IF(A333="","",SUMIFS(Payments!$G$5:$G$404,Payments!$D$5:$D$404,A333))</f>
        <v>0</v>
      </c>
      <c r="X333" s="21">
        <f>IF(A333="","",ROUND(V333-W333,2))</f>
        <v>0</v>
      </c>
      <c r="Y333" s="31">
        <f>IF(B333="","",IF(J333&lt;&gt;"",J333,IF(IFERROR(INDEX(Clients!$P$5:$P$204,MATCH(D333,Clients!$A$5:$A$204,0)),"")&lt;&gt;"",INDEX(Clients!$P$5:$P$204,MATCH(D333,Clients!$A$5:$A$204,0)),PaymentTerms)))</f>
        <v>0</v>
      </c>
      <c r="Z333" s="18">
        <f>IF(OR(A333="",B333=""),"",B333+Y333)</f>
        <v>0</v>
      </c>
      <c r="AA333" s="31">
        <f>IF(OR(A333="",Z333=""),"",IF(X333&lt;=0.004,"",MAX(0,TodayDate-Z333-OverdueGrace)))</f>
        <v>0</v>
      </c>
      <c r="AB333" s="39">
        <f>IF(B333="","",IF(X333&lt;=0.004,"Paid",IF(AA333="","Not due yet",IF(AA333=0,"Due now",IF(AA333&lt;=30,"1-30 days",IF(AA333&lt;=60,"31-60 days",IF(AA333&lt;=90,"61-90 days","90+ days")))))))</f>
        <v>0</v>
      </c>
      <c r="AC333" s="21">
        <f>IF(OR(A333="",AA333=""),"",IF(AA333&lt;=0,0,ROUND(X333*LateFeePercent,2)))</f>
        <v>0</v>
      </c>
      <c r="AD333" s="50">
        <f>IF(B333="","",IF(X333&lt;=0.004,"Yes","No"))</f>
        <v>0</v>
      </c>
      <c r="AE333" s="39">
        <f>IF(B333="","",IF(Q333=0,"Add - no lines on this invoice yet",IF(H333="Written off","Written off",IF(AD333="Yes","OK - paid",IF(H333="Draft","Draft - not sent yet",IF(AND(AA333&lt;&gt;"",AA333&gt;30),"Overdue - "&amp;AA333&amp;" days, call them",IF(AND(AA333&lt;&gt;"",AA333&gt;0),"Overdue - send a reminder",IF(W333&gt;0,"Part paid","Due - waiting for payment"))))))))</f>
        <v>0</v>
      </c>
    </row>
    <row r="334" spans="1:31">
      <c r="A334" s="43">
        <f>IF(B334="","",InvoicePrefix&amp;TEXT(ROW()-4,"0000"))</f>
        <v>0</v>
      </c>
      <c r="C334" s="23">
        <f>IF(B334="","",TEXT(B334,"yyyy-mm"))</f>
        <v>0</v>
      </c>
      <c r="E334" s="23">
        <f>IF(D334="","",IFERROR(INDEX(Clients!$B$5:$B$204,MATCH(D334,Clients!$A$5:$A$204,0)),"Not found"))</f>
        <v>0</v>
      </c>
      <c r="F334" s="23">
        <f>IF(D334="","",IFERROR(INDEX(Clients!$G$5:$G$204,MATCH(D334,Clients!$A$5:$A$204,0)),""))</f>
        <v>0</v>
      </c>
      <c r="Q334" s="31">
        <f>IF(A334="","",COUNTIFS('Invoice Lines'!$B$5:$B$804,A334))</f>
        <v>0</v>
      </c>
      <c r="R334" s="21">
        <f>IF(A334="","",SUMIFS('Invoice Lines'!$N$5:$N$804,'Invoice Lines'!$B$5:$B$804,A334))</f>
        <v>0</v>
      </c>
      <c r="S334" s="21">
        <f>IF(A334="","",ROUND(R334*IF(K334="",0,K334),2))</f>
        <v>0</v>
      </c>
      <c r="T334" s="21">
        <f>IF(A334="","",R334-S334)</f>
        <v>0</v>
      </c>
      <c r="U334" s="21">
        <f>IF(A334="","",ROUND(T334*TaxRate,2))</f>
        <v>0</v>
      </c>
      <c r="V334" s="21">
        <f>IF(A334="","",T334+U334)</f>
        <v>0</v>
      </c>
      <c r="W334" s="21">
        <f>IF(A334="","",SUMIFS(Payments!$G$5:$G$404,Payments!$D$5:$D$404,A334))</f>
        <v>0</v>
      </c>
      <c r="X334" s="21">
        <f>IF(A334="","",ROUND(V334-W334,2))</f>
        <v>0</v>
      </c>
      <c r="Y334" s="31">
        <f>IF(B334="","",IF(J334&lt;&gt;"",J334,IF(IFERROR(INDEX(Clients!$P$5:$P$204,MATCH(D334,Clients!$A$5:$A$204,0)),"")&lt;&gt;"",INDEX(Clients!$P$5:$P$204,MATCH(D334,Clients!$A$5:$A$204,0)),PaymentTerms)))</f>
        <v>0</v>
      </c>
      <c r="Z334" s="18">
        <f>IF(OR(A334="",B334=""),"",B334+Y334)</f>
        <v>0</v>
      </c>
      <c r="AA334" s="31">
        <f>IF(OR(A334="",Z334=""),"",IF(X334&lt;=0.004,"",MAX(0,TodayDate-Z334-OverdueGrace)))</f>
        <v>0</v>
      </c>
      <c r="AB334" s="39">
        <f>IF(B334="","",IF(X334&lt;=0.004,"Paid",IF(AA334="","Not due yet",IF(AA334=0,"Due now",IF(AA334&lt;=30,"1-30 days",IF(AA334&lt;=60,"31-60 days",IF(AA334&lt;=90,"61-90 days","90+ days")))))))</f>
        <v>0</v>
      </c>
      <c r="AC334" s="21">
        <f>IF(OR(A334="",AA334=""),"",IF(AA334&lt;=0,0,ROUND(X334*LateFeePercent,2)))</f>
        <v>0</v>
      </c>
      <c r="AD334" s="50">
        <f>IF(B334="","",IF(X334&lt;=0.004,"Yes","No"))</f>
        <v>0</v>
      </c>
      <c r="AE334" s="39">
        <f>IF(B334="","",IF(Q334=0,"Add - no lines on this invoice yet",IF(H334="Written off","Written off",IF(AD334="Yes","OK - paid",IF(H334="Draft","Draft - not sent yet",IF(AND(AA334&lt;&gt;"",AA334&gt;30),"Overdue - "&amp;AA334&amp;" days, call them",IF(AND(AA334&lt;&gt;"",AA334&gt;0),"Overdue - send a reminder",IF(W334&gt;0,"Part paid","Due - waiting for payment"))))))))</f>
        <v>0</v>
      </c>
    </row>
    <row r="335" spans="1:31">
      <c r="A335" s="43">
        <f>IF(B335="","",InvoicePrefix&amp;TEXT(ROW()-4,"0000"))</f>
        <v>0</v>
      </c>
      <c r="C335" s="23">
        <f>IF(B335="","",TEXT(B335,"yyyy-mm"))</f>
        <v>0</v>
      </c>
      <c r="E335" s="23">
        <f>IF(D335="","",IFERROR(INDEX(Clients!$B$5:$B$204,MATCH(D335,Clients!$A$5:$A$204,0)),"Not found"))</f>
        <v>0</v>
      </c>
      <c r="F335" s="23">
        <f>IF(D335="","",IFERROR(INDEX(Clients!$G$5:$G$204,MATCH(D335,Clients!$A$5:$A$204,0)),""))</f>
        <v>0</v>
      </c>
      <c r="Q335" s="31">
        <f>IF(A335="","",COUNTIFS('Invoice Lines'!$B$5:$B$804,A335))</f>
        <v>0</v>
      </c>
      <c r="R335" s="21">
        <f>IF(A335="","",SUMIFS('Invoice Lines'!$N$5:$N$804,'Invoice Lines'!$B$5:$B$804,A335))</f>
        <v>0</v>
      </c>
      <c r="S335" s="21">
        <f>IF(A335="","",ROUND(R335*IF(K335="",0,K335),2))</f>
        <v>0</v>
      </c>
      <c r="T335" s="21">
        <f>IF(A335="","",R335-S335)</f>
        <v>0</v>
      </c>
      <c r="U335" s="21">
        <f>IF(A335="","",ROUND(T335*TaxRate,2))</f>
        <v>0</v>
      </c>
      <c r="V335" s="21">
        <f>IF(A335="","",T335+U335)</f>
        <v>0</v>
      </c>
      <c r="W335" s="21">
        <f>IF(A335="","",SUMIFS(Payments!$G$5:$G$404,Payments!$D$5:$D$404,A335))</f>
        <v>0</v>
      </c>
      <c r="X335" s="21">
        <f>IF(A335="","",ROUND(V335-W335,2))</f>
        <v>0</v>
      </c>
      <c r="Y335" s="31">
        <f>IF(B335="","",IF(J335&lt;&gt;"",J335,IF(IFERROR(INDEX(Clients!$P$5:$P$204,MATCH(D335,Clients!$A$5:$A$204,0)),"")&lt;&gt;"",INDEX(Clients!$P$5:$P$204,MATCH(D335,Clients!$A$5:$A$204,0)),PaymentTerms)))</f>
        <v>0</v>
      </c>
      <c r="Z335" s="18">
        <f>IF(OR(A335="",B335=""),"",B335+Y335)</f>
        <v>0</v>
      </c>
      <c r="AA335" s="31">
        <f>IF(OR(A335="",Z335=""),"",IF(X335&lt;=0.004,"",MAX(0,TodayDate-Z335-OverdueGrace)))</f>
        <v>0</v>
      </c>
      <c r="AB335" s="39">
        <f>IF(B335="","",IF(X335&lt;=0.004,"Paid",IF(AA335="","Not due yet",IF(AA335=0,"Due now",IF(AA335&lt;=30,"1-30 days",IF(AA335&lt;=60,"31-60 days",IF(AA335&lt;=90,"61-90 days","90+ days")))))))</f>
        <v>0</v>
      </c>
      <c r="AC335" s="21">
        <f>IF(OR(A335="",AA335=""),"",IF(AA335&lt;=0,0,ROUND(X335*LateFeePercent,2)))</f>
        <v>0</v>
      </c>
      <c r="AD335" s="50">
        <f>IF(B335="","",IF(X335&lt;=0.004,"Yes","No"))</f>
        <v>0</v>
      </c>
      <c r="AE335" s="39">
        <f>IF(B335="","",IF(Q335=0,"Add - no lines on this invoice yet",IF(H335="Written off","Written off",IF(AD335="Yes","OK - paid",IF(H335="Draft","Draft - not sent yet",IF(AND(AA335&lt;&gt;"",AA335&gt;30),"Overdue - "&amp;AA335&amp;" days, call them",IF(AND(AA335&lt;&gt;"",AA335&gt;0),"Overdue - send a reminder",IF(W335&gt;0,"Part paid","Due - waiting for payment"))))))))</f>
        <v>0</v>
      </c>
    </row>
    <row r="336" spans="1:31">
      <c r="A336" s="43">
        <f>IF(B336="","",InvoicePrefix&amp;TEXT(ROW()-4,"0000"))</f>
        <v>0</v>
      </c>
      <c r="C336" s="23">
        <f>IF(B336="","",TEXT(B336,"yyyy-mm"))</f>
        <v>0</v>
      </c>
      <c r="E336" s="23">
        <f>IF(D336="","",IFERROR(INDEX(Clients!$B$5:$B$204,MATCH(D336,Clients!$A$5:$A$204,0)),"Not found"))</f>
        <v>0</v>
      </c>
      <c r="F336" s="23">
        <f>IF(D336="","",IFERROR(INDEX(Clients!$G$5:$G$204,MATCH(D336,Clients!$A$5:$A$204,0)),""))</f>
        <v>0</v>
      </c>
      <c r="Q336" s="31">
        <f>IF(A336="","",COUNTIFS('Invoice Lines'!$B$5:$B$804,A336))</f>
        <v>0</v>
      </c>
      <c r="R336" s="21">
        <f>IF(A336="","",SUMIFS('Invoice Lines'!$N$5:$N$804,'Invoice Lines'!$B$5:$B$804,A336))</f>
        <v>0</v>
      </c>
      <c r="S336" s="21">
        <f>IF(A336="","",ROUND(R336*IF(K336="",0,K336),2))</f>
        <v>0</v>
      </c>
      <c r="T336" s="21">
        <f>IF(A336="","",R336-S336)</f>
        <v>0</v>
      </c>
      <c r="U336" s="21">
        <f>IF(A336="","",ROUND(T336*TaxRate,2))</f>
        <v>0</v>
      </c>
      <c r="V336" s="21">
        <f>IF(A336="","",T336+U336)</f>
        <v>0</v>
      </c>
      <c r="W336" s="21">
        <f>IF(A336="","",SUMIFS(Payments!$G$5:$G$404,Payments!$D$5:$D$404,A336))</f>
        <v>0</v>
      </c>
      <c r="X336" s="21">
        <f>IF(A336="","",ROUND(V336-W336,2))</f>
        <v>0</v>
      </c>
      <c r="Y336" s="31">
        <f>IF(B336="","",IF(J336&lt;&gt;"",J336,IF(IFERROR(INDEX(Clients!$P$5:$P$204,MATCH(D336,Clients!$A$5:$A$204,0)),"")&lt;&gt;"",INDEX(Clients!$P$5:$P$204,MATCH(D336,Clients!$A$5:$A$204,0)),PaymentTerms)))</f>
        <v>0</v>
      </c>
      <c r="Z336" s="18">
        <f>IF(OR(A336="",B336=""),"",B336+Y336)</f>
        <v>0</v>
      </c>
      <c r="AA336" s="31">
        <f>IF(OR(A336="",Z336=""),"",IF(X336&lt;=0.004,"",MAX(0,TodayDate-Z336-OverdueGrace)))</f>
        <v>0</v>
      </c>
      <c r="AB336" s="39">
        <f>IF(B336="","",IF(X336&lt;=0.004,"Paid",IF(AA336="","Not due yet",IF(AA336=0,"Due now",IF(AA336&lt;=30,"1-30 days",IF(AA336&lt;=60,"31-60 days",IF(AA336&lt;=90,"61-90 days","90+ days")))))))</f>
        <v>0</v>
      </c>
      <c r="AC336" s="21">
        <f>IF(OR(A336="",AA336=""),"",IF(AA336&lt;=0,0,ROUND(X336*LateFeePercent,2)))</f>
        <v>0</v>
      </c>
      <c r="AD336" s="50">
        <f>IF(B336="","",IF(X336&lt;=0.004,"Yes","No"))</f>
        <v>0</v>
      </c>
      <c r="AE336" s="39">
        <f>IF(B336="","",IF(Q336=0,"Add - no lines on this invoice yet",IF(H336="Written off","Written off",IF(AD336="Yes","OK - paid",IF(H336="Draft","Draft - not sent yet",IF(AND(AA336&lt;&gt;"",AA336&gt;30),"Overdue - "&amp;AA336&amp;" days, call them",IF(AND(AA336&lt;&gt;"",AA336&gt;0),"Overdue - send a reminder",IF(W336&gt;0,"Part paid","Due - waiting for payment"))))))))</f>
        <v>0</v>
      </c>
    </row>
    <row r="337" spans="1:31">
      <c r="A337" s="43">
        <f>IF(B337="","",InvoicePrefix&amp;TEXT(ROW()-4,"0000"))</f>
        <v>0</v>
      </c>
      <c r="C337" s="23">
        <f>IF(B337="","",TEXT(B337,"yyyy-mm"))</f>
        <v>0</v>
      </c>
      <c r="E337" s="23">
        <f>IF(D337="","",IFERROR(INDEX(Clients!$B$5:$B$204,MATCH(D337,Clients!$A$5:$A$204,0)),"Not found"))</f>
        <v>0</v>
      </c>
      <c r="F337" s="23">
        <f>IF(D337="","",IFERROR(INDEX(Clients!$G$5:$G$204,MATCH(D337,Clients!$A$5:$A$204,0)),""))</f>
        <v>0</v>
      </c>
      <c r="Q337" s="31">
        <f>IF(A337="","",COUNTIFS('Invoice Lines'!$B$5:$B$804,A337))</f>
        <v>0</v>
      </c>
      <c r="R337" s="21">
        <f>IF(A337="","",SUMIFS('Invoice Lines'!$N$5:$N$804,'Invoice Lines'!$B$5:$B$804,A337))</f>
        <v>0</v>
      </c>
      <c r="S337" s="21">
        <f>IF(A337="","",ROUND(R337*IF(K337="",0,K337),2))</f>
        <v>0</v>
      </c>
      <c r="T337" s="21">
        <f>IF(A337="","",R337-S337)</f>
        <v>0</v>
      </c>
      <c r="U337" s="21">
        <f>IF(A337="","",ROUND(T337*TaxRate,2))</f>
        <v>0</v>
      </c>
      <c r="V337" s="21">
        <f>IF(A337="","",T337+U337)</f>
        <v>0</v>
      </c>
      <c r="W337" s="21">
        <f>IF(A337="","",SUMIFS(Payments!$G$5:$G$404,Payments!$D$5:$D$404,A337))</f>
        <v>0</v>
      </c>
      <c r="X337" s="21">
        <f>IF(A337="","",ROUND(V337-W337,2))</f>
        <v>0</v>
      </c>
      <c r="Y337" s="31">
        <f>IF(B337="","",IF(J337&lt;&gt;"",J337,IF(IFERROR(INDEX(Clients!$P$5:$P$204,MATCH(D337,Clients!$A$5:$A$204,0)),"")&lt;&gt;"",INDEX(Clients!$P$5:$P$204,MATCH(D337,Clients!$A$5:$A$204,0)),PaymentTerms)))</f>
        <v>0</v>
      </c>
      <c r="Z337" s="18">
        <f>IF(OR(A337="",B337=""),"",B337+Y337)</f>
        <v>0</v>
      </c>
      <c r="AA337" s="31">
        <f>IF(OR(A337="",Z337=""),"",IF(X337&lt;=0.004,"",MAX(0,TodayDate-Z337-OverdueGrace)))</f>
        <v>0</v>
      </c>
      <c r="AB337" s="39">
        <f>IF(B337="","",IF(X337&lt;=0.004,"Paid",IF(AA337="","Not due yet",IF(AA337=0,"Due now",IF(AA337&lt;=30,"1-30 days",IF(AA337&lt;=60,"31-60 days",IF(AA337&lt;=90,"61-90 days","90+ days")))))))</f>
        <v>0</v>
      </c>
      <c r="AC337" s="21">
        <f>IF(OR(A337="",AA337=""),"",IF(AA337&lt;=0,0,ROUND(X337*LateFeePercent,2)))</f>
        <v>0</v>
      </c>
      <c r="AD337" s="50">
        <f>IF(B337="","",IF(X337&lt;=0.004,"Yes","No"))</f>
        <v>0</v>
      </c>
      <c r="AE337" s="39">
        <f>IF(B337="","",IF(Q337=0,"Add - no lines on this invoice yet",IF(H337="Written off","Written off",IF(AD337="Yes","OK - paid",IF(H337="Draft","Draft - not sent yet",IF(AND(AA337&lt;&gt;"",AA337&gt;30),"Overdue - "&amp;AA337&amp;" days, call them",IF(AND(AA337&lt;&gt;"",AA337&gt;0),"Overdue - send a reminder",IF(W337&gt;0,"Part paid","Due - waiting for payment"))))))))</f>
        <v>0</v>
      </c>
    </row>
    <row r="338" spans="1:31">
      <c r="A338" s="43">
        <f>IF(B338="","",InvoicePrefix&amp;TEXT(ROW()-4,"0000"))</f>
        <v>0</v>
      </c>
      <c r="C338" s="23">
        <f>IF(B338="","",TEXT(B338,"yyyy-mm"))</f>
        <v>0</v>
      </c>
      <c r="E338" s="23">
        <f>IF(D338="","",IFERROR(INDEX(Clients!$B$5:$B$204,MATCH(D338,Clients!$A$5:$A$204,0)),"Not found"))</f>
        <v>0</v>
      </c>
      <c r="F338" s="23">
        <f>IF(D338="","",IFERROR(INDEX(Clients!$G$5:$G$204,MATCH(D338,Clients!$A$5:$A$204,0)),""))</f>
        <v>0</v>
      </c>
      <c r="Q338" s="31">
        <f>IF(A338="","",COUNTIFS('Invoice Lines'!$B$5:$B$804,A338))</f>
        <v>0</v>
      </c>
      <c r="R338" s="21">
        <f>IF(A338="","",SUMIFS('Invoice Lines'!$N$5:$N$804,'Invoice Lines'!$B$5:$B$804,A338))</f>
        <v>0</v>
      </c>
      <c r="S338" s="21">
        <f>IF(A338="","",ROUND(R338*IF(K338="",0,K338),2))</f>
        <v>0</v>
      </c>
      <c r="T338" s="21">
        <f>IF(A338="","",R338-S338)</f>
        <v>0</v>
      </c>
      <c r="U338" s="21">
        <f>IF(A338="","",ROUND(T338*TaxRate,2))</f>
        <v>0</v>
      </c>
      <c r="V338" s="21">
        <f>IF(A338="","",T338+U338)</f>
        <v>0</v>
      </c>
      <c r="W338" s="21">
        <f>IF(A338="","",SUMIFS(Payments!$G$5:$G$404,Payments!$D$5:$D$404,A338))</f>
        <v>0</v>
      </c>
      <c r="X338" s="21">
        <f>IF(A338="","",ROUND(V338-W338,2))</f>
        <v>0</v>
      </c>
      <c r="Y338" s="31">
        <f>IF(B338="","",IF(J338&lt;&gt;"",J338,IF(IFERROR(INDEX(Clients!$P$5:$P$204,MATCH(D338,Clients!$A$5:$A$204,0)),"")&lt;&gt;"",INDEX(Clients!$P$5:$P$204,MATCH(D338,Clients!$A$5:$A$204,0)),PaymentTerms)))</f>
        <v>0</v>
      </c>
      <c r="Z338" s="18">
        <f>IF(OR(A338="",B338=""),"",B338+Y338)</f>
        <v>0</v>
      </c>
      <c r="AA338" s="31">
        <f>IF(OR(A338="",Z338=""),"",IF(X338&lt;=0.004,"",MAX(0,TodayDate-Z338-OverdueGrace)))</f>
        <v>0</v>
      </c>
      <c r="AB338" s="39">
        <f>IF(B338="","",IF(X338&lt;=0.004,"Paid",IF(AA338="","Not due yet",IF(AA338=0,"Due now",IF(AA338&lt;=30,"1-30 days",IF(AA338&lt;=60,"31-60 days",IF(AA338&lt;=90,"61-90 days","90+ days")))))))</f>
        <v>0</v>
      </c>
      <c r="AC338" s="21">
        <f>IF(OR(A338="",AA338=""),"",IF(AA338&lt;=0,0,ROUND(X338*LateFeePercent,2)))</f>
        <v>0</v>
      </c>
      <c r="AD338" s="50">
        <f>IF(B338="","",IF(X338&lt;=0.004,"Yes","No"))</f>
        <v>0</v>
      </c>
      <c r="AE338" s="39">
        <f>IF(B338="","",IF(Q338=0,"Add - no lines on this invoice yet",IF(H338="Written off","Written off",IF(AD338="Yes","OK - paid",IF(H338="Draft","Draft - not sent yet",IF(AND(AA338&lt;&gt;"",AA338&gt;30),"Overdue - "&amp;AA338&amp;" days, call them",IF(AND(AA338&lt;&gt;"",AA338&gt;0),"Overdue - send a reminder",IF(W338&gt;0,"Part paid","Due - waiting for payment"))))))))</f>
        <v>0</v>
      </c>
    </row>
    <row r="339" spans="1:31">
      <c r="A339" s="43">
        <f>IF(B339="","",InvoicePrefix&amp;TEXT(ROW()-4,"0000"))</f>
        <v>0</v>
      </c>
      <c r="C339" s="23">
        <f>IF(B339="","",TEXT(B339,"yyyy-mm"))</f>
        <v>0</v>
      </c>
      <c r="E339" s="23">
        <f>IF(D339="","",IFERROR(INDEX(Clients!$B$5:$B$204,MATCH(D339,Clients!$A$5:$A$204,0)),"Not found"))</f>
        <v>0</v>
      </c>
      <c r="F339" s="23">
        <f>IF(D339="","",IFERROR(INDEX(Clients!$G$5:$G$204,MATCH(D339,Clients!$A$5:$A$204,0)),""))</f>
        <v>0</v>
      </c>
      <c r="Q339" s="31">
        <f>IF(A339="","",COUNTIFS('Invoice Lines'!$B$5:$B$804,A339))</f>
        <v>0</v>
      </c>
      <c r="R339" s="21">
        <f>IF(A339="","",SUMIFS('Invoice Lines'!$N$5:$N$804,'Invoice Lines'!$B$5:$B$804,A339))</f>
        <v>0</v>
      </c>
      <c r="S339" s="21">
        <f>IF(A339="","",ROUND(R339*IF(K339="",0,K339),2))</f>
        <v>0</v>
      </c>
      <c r="T339" s="21">
        <f>IF(A339="","",R339-S339)</f>
        <v>0</v>
      </c>
      <c r="U339" s="21">
        <f>IF(A339="","",ROUND(T339*TaxRate,2))</f>
        <v>0</v>
      </c>
      <c r="V339" s="21">
        <f>IF(A339="","",T339+U339)</f>
        <v>0</v>
      </c>
      <c r="W339" s="21">
        <f>IF(A339="","",SUMIFS(Payments!$G$5:$G$404,Payments!$D$5:$D$404,A339))</f>
        <v>0</v>
      </c>
      <c r="X339" s="21">
        <f>IF(A339="","",ROUND(V339-W339,2))</f>
        <v>0</v>
      </c>
      <c r="Y339" s="31">
        <f>IF(B339="","",IF(J339&lt;&gt;"",J339,IF(IFERROR(INDEX(Clients!$P$5:$P$204,MATCH(D339,Clients!$A$5:$A$204,0)),"")&lt;&gt;"",INDEX(Clients!$P$5:$P$204,MATCH(D339,Clients!$A$5:$A$204,0)),PaymentTerms)))</f>
        <v>0</v>
      </c>
      <c r="Z339" s="18">
        <f>IF(OR(A339="",B339=""),"",B339+Y339)</f>
        <v>0</v>
      </c>
      <c r="AA339" s="31">
        <f>IF(OR(A339="",Z339=""),"",IF(X339&lt;=0.004,"",MAX(0,TodayDate-Z339-OverdueGrace)))</f>
        <v>0</v>
      </c>
      <c r="AB339" s="39">
        <f>IF(B339="","",IF(X339&lt;=0.004,"Paid",IF(AA339="","Not due yet",IF(AA339=0,"Due now",IF(AA339&lt;=30,"1-30 days",IF(AA339&lt;=60,"31-60 days",IF(AA339&lt;=90,"61-90 days","90+ days")))))))</f>
        <v>0</v>
      </c>
      <c r="AC339" s="21">
        <f>IF(OR(A339="",AA339=""),"",IF(AA339&lt;=0,0,ROUND(X339*LateFeePercent,2)))</f>
        <v>0</v>
      </c>
      <c r="AD339" s="50">
        <f>IF(B339="","",IF(X339&lt;=0.004,"Yes","No"))</f>
        <v>0</v>
      </c>
      <c r="AE339" s="39">
        <f>IF(B339="","",IF(Q339=0,"Add - no lines on this invoice yet",IF(H339="Written off","Written off",IF(AD339="Yes","OK - paid",IF(H339="Draft","Draft - not sent yet",IF(AND(AA339&lt;&gt;"",AA339&gt;30),"Overdue - "&amp;AA339&amp;" days, call them",IF(AND(AA339&lt;&gt;"",AA339&gt;0),"Overdue - send a reminder",IF(W339&gt;0,"Part paid","Due - waiting for payment"))))))))</f>
        <v>0</v>
      </c>
    </row>
    <row r="340" spans="1:31">
      <c r="A340" s="43">
        <f>IF(B340="","",InvoicePrefix&amp;TEXT(ROW()-4,"0000"))</f>
        <v>0</v>
      </c>
      <c r="C340" s="23">
        <f>IF(B340="","",TEXT(B340,"yyyy-mm"))</f>
        <v>0</v>
      </c>
      <c r="E340" s="23">
        <f>IF(D340="","",IFERROR(INDEX(Clients!$B$5:$B$204,MATCH(D340,Clients!$A$5:$A$204,0)),"Not found"))</f>
        <v>0</v>
      </c>
      <c r="F340" s="23">
        <f>IF(D340="","",IFERROR(INDEX(Clients!$G$5:$G$204,MATCH(D340,Clients!$A$5:$A$204,0)),""))</f>
        <v>0</v>
      </c>
      <c r="Q340" s="31">
        <f>IF(A340="","",COUNTIFS('Invoice Lines'!$B$5:$B$804,A340))</f>
        <v>0</v>
      </c>
      <c r="R340" s="21">
        <f>IF(A340="","",SUMIFS('Invoice Lines'!$N$5:$N$804,'Invoice Lines'!$B$5:$B$804,A340))</f>
        <v>0</v>
      </c>
      <c r="S340" s="21">
        <f>IF(A340="","",ROUND(R340*IF(K340="",0,K340),2))</f>
        <v>0</v>
      </c>
      <c r="T340" s="21">
        <f>IF(A340="","",R340-S340)</f>
        <v>0</v>
      </c>
      <c r="U340" s="21">
        <f>IF(A340="","",ROUND(T340*TaxRate,2))</f>
        <v>0</v>
      </c>
      <c r="V340" s="21">
        <f>IF(A340="","",T340+U340)</f>
        <v>0</v>
      </c>
      <c r="W340" s="21">
        <f>IF(A340="","",SUMIFS(Payments!$G$5:$G$404,Payments!$D$5:$D$404,A340))</f>
        <v>0</v>
      </c>
      <c r="X340" s="21">
        <f>IF(A340="","",ROUND(V340-W340,2))</f>
        <v>0</v>
      </c>
      <c r="Y340" s="31">
        <f>IF(B340="","",IF(J340&lt;&gt;"",J340,IF(IFERROR(INDEX(Clients!$P$5:$P$204,MATCH(D340,Clients!$A$5:$A$204,0)),"")&lt;&gt;"",INDEX(Clients!$P$5:$P$204,MATCH(D340,Clients!$A$5:$A$204,0)),PaymentTerms)))</f>
        <v>0</v>
      </c>
      <c r="Z340" s="18">
        <f>IF(OR(A340="",B340=""),"",B340+Y340)</f>
        <v>0</v>
      </c>
      <c r="AA340" s="31">
        <f>IF(OR(A340="",Z340=""),"",IF(X340&lt;=0.004,"",MAX(0,TodayDate-Z340-OverdueGrace)))</f>
        <v>0</v>
      </c>
      <c r="AB340" s="39">
        <f>IF(B340="","",IF(X340&lt;=0.004,"Paid",IF(AA340="","Not due yet",IF(AA340=0,"Due now",IF(AA340&lt;=30,"1-30 days",IF(AA340&lt;=60,"31-60 days",IF(AA340&lt;=90,"61-90 days","90+ days")))))))</f>
        <v>0</v>
      </c>
      <c r="AC340" s="21">
        <f>IF(OR(A340="",AA340=""),"",IF(AA340&lt;=0,0,ROUND(X340*LateFeePercent,2)))</f>
        <v>0</v>
      </c>
      <c r="AD340" s="50">
        <f>IF(B340="","",IF(X340&lt;=0.004,"Yes","No"))</f>
        <v>0</v>
      </c>
      <c r="AE340" s="39">
        <f>IF(B340="","",IF(Q340=0,"Add - no lines on this invoice yet",IF(H340="Written off","Written off",IF(AD340="Yes","OK - paid",IF(H340="Draft","Draft - not sent yet",IF(AND(AA340&lt;&gt;"",AA340&gt;30),"Overdue - "&amp;AA340&amp;" days, call them",IF(AND(AA340&lt;&gt;"",AA340&gt;0),"Overdue - send a reminder",IF(W340&gt;0,"Part paid","Due - waiting for payment"))))))))</f>
        <v>0</v>
      </c>
    </row>
    <row r="341" spans="1:31">
      <c r="A341" s="43">
        <f>IF(B341="","",InvoicePrefix&amp;TEXT(ROW()-4,"0000"))</f>
        <v>0</v>
      </c>
      <c r="C341" s="23">
        <f>IF(B341="","",TEXT(B341,"yyyy-mm"))</f>
        <v>0</v>
      </c>
      <c r="E341" s="23">
        <f>IF(D341="","",IFERROR(INDEX(Clients!$B$5:$B$204,MATCH(D341,Clients!$A$5:$A$204,0)),"Not found"))</f>
        <v>0</v>
      </c>
      <c r="F341" s="23">
        <f>IF(D341="","",IFERROR(INDEX(Clients!$G$5:$G$204,MATCH(D341,Clients!$A$5:$A$204,0)),""))</f>
        <v>0</v>
      </c>
      <c r="Q341" s="31">
        <f>IF(A341="","",COUNTIFS('Invoice Lines'!$B$5:$B$804,A341))</f>
        <v>0</v>
      </c>
      <c r="R341" s="21">
        <f>IF(A341="","",SUMIFS('Invoice Lines'!$N$5:$N$804,'Invoice Lines'!$B$5:$B$804,A341))</f>
        <v>0</v>
      </c>
      <c r="S341" s="21">
        <f>IF(A341="","",ROUND(R341*IF(K341="",0,K341),2))</f>
        <v>0</v>
      </c>
      <c r="T341" s="21">
        <f>IF(A341="","",R341-S341)</f>
        <v>0</v>
      </c>
      <c r="U341" s="21">
        <f>IF(A341="","",ROUND(T341*TaxRate,2))</f>
        <v>0</v>
      </c>
      <c r="V341" s="21">
        <f>IF(A341="","",T341+U341)</f>
        <v>0</v>
      </c>
      <c r="W341" s="21">
        <f>IF(A341="","",SUMIFS(Payments!$G$5:$G$404,Payments!$D$5:$D$404,A341))</f>
        <v>0</v>
      </c>
      <c r="X341" s="21">
        <f>IF(A341="","",ROUND(V341-W341,2))</f>
        <v>0</v>
      </c>
      <c r="Y341" s="31">
        <f>IF(B341="","",IF(J341&lt;&gt;"",J341,IF(IFERROR(INDEX(Clients!$P$5:$P$204,MATCH(D341,Clients!$A$5:$A$204,0)),"")&lt;&gt;"",INDEX(Clients!$P$5:$P$204,MATCH(D341,Clients!$A$5:$A$204,0)),PaymentTerms)))</f>
        <v>0</v>
      </c>
      <c r="Z341" s="18">
        <f>IF(OR(A341="",B341=""),"",B341+Y341)</f>
        <v>0</v>
      </c>
      <c r="AA341" s="31">
        <f>IF(OR(A341="",Z341=""),"",IF(X341&lt;=0.004,"",MAX(0,TodayDate-Z341-OverdueGrace)))</f>
        <v>0</v>
      </c>
      <c r="AB341" s="39">
        <f>IF(B341="","",IF(X341&lt;=0.004,"Paid",IF(AA341="","Not due yet",IF(AA341=0,"Due now",IF(AA341&lt;=30,"1-30 days",IF(AA341&lt;=60,"31-60 days",IF(AA341&lt;=90,"61-90 days","90+ days")))))))</f>
        <v>0</v>
      </c>
      <c r="AC341" s="21">
        <f>IF(OR(A341="",AA341=""),"",IF(AA341&lt;=0,0,ROUND(X341*LateFeePercent,2)))</f>
        <v>0</v>
      </c>
      <c r="AD341" s="50">
        <f>IF(B341="","",IF(X341&lt;=0.004,"Yes","No"))</f>
        <v>0</v>
      </c>
      <c r="AE341" s="39">
        <f>IF(B341="","",IF(Q341=0,"Add - no lines on this invoice yet",IF(H341="Written off","Written off",IF(AD341="Yes","OK - paid",IF(H341="Draft","Draft - not sent yet",IF(AND(AA341&lt;&gt;"",AA341&gt;30),"Overdue - "&amp;AA341&amp;" days, call them",IF(AND(AA341&lt;&gt;"",AA341&gt;0),"Overdue - send a reminder",IF(W341&gt;0,"Part paid","Due - waiting for payment"))))))))</f>
        <v>0</v>
      </c>
    </row>
    <row r="342" spans="1:31">
      <c r="A342" s="43">
        <f>IF(B342="","",InvoicePrefix&amp;TEXT(ROW()-4,"0000"))</f>
        <v>0</v>
      </c>
      <c r="C342" s="23">
        <f>IF(B342="","",TEXT(B342,"yyyy-mm"))</f>
        <v>0</v>
      </c>
      <c r="E342" s="23">
        <f>IF(D342="","",IFERROR(INDEX(Clients!$B$5:$B$204,MATCH(D342,Clients!$A$5:$A$204,0)),"Not found"))</f>
        <v>0</v>
      </c>
      <c r="F342" s="23">
        <f>IF(D342="","",IFERROR(INDEX(Clients!$G$5:$G$204,MATCH(D342,Clients!$A$5:$A$204,0)),""))</f>
        <v>0</v>
      </c>
      <c r="Q342" s="31">
        <f>IF(A342="","",COUNTIFS('Invoice Lines'!$B$5:$B$804,A342))</f>
        <v>0</v>
      </c>
      <c r="R342" s="21">
        <f>IF(A342="","",SUMIFS('Invoice Lines'!$N$5:$N$804,'Invoice Lines'!$B$5:$B$804,A342))</f>
        <v>0</v>
      </c>
      <c r="S342" s="21">
        <f>IF(A342="","",ROUND(R342*IF(K342="",0,K342),2))</f>
        <v>0</v>
      </c>
      <c r="T342" s="21">
        <f>IF(A342="","",R342-S342)</f>
        <v>0</v>
      </c>
      <c r="U342" s="21">
        <f>IF(A342="","",ROUND(T342*TaxRate,2))</f>
        <v>0</v>
      </c>
      <c r="V342" s="21">
        <f>IF(A342="","",T342+U342)</f>
        <v>0</v>
      </c>
      <c r="W342" s="21">
        <f>IF(A342="","",SUMIFS(Payments!$G$5:$G$404,Payments!$D$5:$D$404,A342))</f>
        <v>0</v>
      </c>
      <c r="X342" s="21">
        <f>IF(A342="","",ROUND(V342-W342,2))</f>
        <v>0</v>
      </c>
      <c r="Y342" s="31">
        <f>IF(B342="","",IF(J342&lt;&gt;"",J342,IF(IFERROR(INDEX(Clients!$P$5:$P$204,MATCH(D342,Clients!$A$5:$A$204,0)),"")&lt;&gt;"",INDEX(Clients!$P$5:$P$204,MATCH(D342,Clients!$A$5:$A$204,0)),PaymentTerms)))</f>
        <v>0</v>
      </c>
      <c r="Z342" s="18">
        <f>IF(OR(A342="",B342=""),"",B342+Y342)</f>
        <v>0</v>
      </c>
      <c r="AA342" s="31">
        <f>IF(OR(A342="",Z342=""),"",IF(X342&lt;=0.004,"",MAX(0,TodayDate-Z342-OverdueGrace)))</f>
        <v>0</v>
      </c>
      <c r="AB342" s="39">
        <f>IF(B342="","",IF(X342&lt;=0.004,"Paid",IF(AA342="","Not due yet",IF(AA342=0,"Due now",IF(AA342&lt;=30,"1-30 days",IF(AA342&lt;=60,"31-60 days",IF(AA342&lt;=90,"61-90 days","90+ days")))))))</f>
        <v>0</v>
      </c>
      <c r="AC342" s="21">
        <f>IF(OR(A342="",AA342=""),"",IF(AA342&lt;=0,0,ROUND(X342*LateFeePercent,2)))</f>
        <v>0</v>
      </c>
      <c r="AD342" s="50">
        <f>IF(B342="","",IF(X342&lt;=0.004,"Yes","No"))</f>
        <v>0</v>
      </c>
      <c r="AE342" s="39">
        <f>IF(B342="","",IF(Q342=0,"Add - no lines on this invoice yet",IF(H342="Written off","Written off",IF(AD342="Yes","OK - paid",IF(H342="Draft","Draft - not sent yet",IF(AND(AA342&lt;&gt;"",AA342&gt;30),"Overdue - "&amp;AA342&amp;" days, call them",IF(AND(AA342&lt;&gt;"",AA342&gt;0),"Overdue - send a reminder",IF(W342&gt;0,"Part paid","Due - waiting for payment"))))))))</f>
        <v>0</v>
      </c>
    </row>
    <row r="343" spans="1:31">
      <c r="A343" s="43">
        <f>IF(B343="","",InvoicePrefix&amp;TEXT(ROW()-4,"0000"))</f>
        <v>0</v>
      </c>
      <c r="C343" s="23">
        <f>IF(B343="","",TEXT(B343,"yyyy-mm"))</f>
        <v>0</v>
      </c>
      <c r="E343" s="23">
        <f>IF(D343="","",IFERROR(INDEX(Clients!$B$5:$B$204,MATCH(D343,Clients!$A$5:$A$204,0)),"Not found"))</f>
        <v>0</v>
      </c>
      <c r="F343" s="23">
        <f>IF(D343="","",IFERROR(INDEX(Clients!$G$5:$G$204,MATCH(D343,Clients!$A$5:$A$204,0)),""))</f>
        <v>0</v>
      </c>
      <c r="Q343" s="31">
        <f>IF(A343="","",COUNTIFS('Invoice Lines'!$B$5:$B$804,A343))</f>
        <v>0</v>
      </c>
      <c r="R343" s="21">
        <f>IF(A343="","",SUMIFS('Invoice Lines'!$N$5:$N$804,'Invoice Lines'!$B$5:$B$804,A343))</f>
        <v>0</v>
      </c>
      <c r="S343" s="21">
        <f>IF(A343="","",ROUND(R343*IF(K343="",0,K343),2))</f>
        <v>0</v>
      </c>
      <c r="T343" s="21">
        <f>IF(A343="","",R343-S343)</f>
        <v>0</v>
      </c>
      <c r="U343" s="21">
        <f>IF(A343="","",ROUND(T343*TaxRate,2))</f>
        <v>0</v>
      </c>
      <c r="V343" s="21">
        <f>IF(A343="","",T343+U343)</f>
        <v>0</v>
      </c>
      <c r="W343" s="21">
        <f>IF(A343="","",SUMIFS(Payments!$G$5:$G$404,Payments!$D$5:$D$404,A343))</f>
        <v>0</v>
      </c>
      <c r="X343" s="21">
        <f>IF(A343="","",ROUND(V343-W343,2))</f>
        <v>0</v>
      </c>
      <c r="Y343" s="31">
        <f>IF(B343="","",IF(J343&lt;&gt;"",J343,IF(IFERROR(INDEX(Clients!$P$5:$P$204,MATCH(D343,Clients!$A$5:$A$204,0)),"")&lt;&gt;"",INDEX(Clients!$P$5:$P$204,MATCH(D343,Clients!$A$5:$A$204,0)),PaymentTerms)))</f>
        <v>0</v>
      </c>
      <c r="Z343" s="18">
        <f>IF(OR(A343="",B343=""),"",B343+Y343)</f>
        <v>0</v>
      </c>
      <c r="AA343" s="31">
        <f>IF(OR(A343="",Z343=""),"",IF(X343&lt;=0.004,"",MAX(0,TodayDate-Z343-OverdueGrace)))</f>
        <v>0</v>
      </c>
      <c r="AB343" s="39">
        <f>IF(B343="","",IF(X343&lt;=0.004,"Paid",IF(AA343="","Not due yet",IF(AA343=0,"Due now",IF(AA343&lt;=30,"1-30 days",IF(AA343&lt;=60,"31-60 days",IF(AA343&lt;=90,"61-90 days","90+ days")))))))</f>
        <v>0</v>
      </c>
      <c r="AC343" s="21">
        <f>IF(OR(A343="",AA343=""),"",IF(AA343&lt;=0,0,ROUND(X343*LateFeePercent,2)))</f>
        <v>0</v>
      </c>
      <c r="AD343" s="50">
        <f>IF(B343="","",IF(X343&lt;=0.004,"Yes","No"))</f>
        <v>0</v>
      </c>
      <c r="AE343" s="39">
        <f>IF(B343="","",IF(Q343=0,"Add - no lines on this invoice yet",IF(H343="Written off","Written off",IF(AD343="Yes","OK - paid",IF(H343="Draft","Draft - not sent yet",IF(AND(AA343&lt;&gt;"",AA343&gt;30),"Overdue - "&amp;AA343&amp;" days, call them",IF(AND(AA343&lt;&gt;"",AA343&gt;0),"Overdue - send a reminder",IF(W343&gt;0,"Part paid","Due - waiting for payment"))))))))</f>
        <v>0</v>
      </c>
    </row>
    <row r="344" spans="1:31">
      <c r="A344" s="43">
        <f>IF(B344="","",InvoicePrefix&amp;TEXT(ROW()-4,"0000"))</f>
        <v>0</v>
      </c>
      <c r="C344" s="23">
        <f>IF(B344="","",TEXT(B344,"yyyy-mm"))</f>
        <v>0</v>
      </c>
      <c r="E344" s="23">
        <f>IF(D344="","",IFERROR(INDEX(Clients!$B$5:$B$204,MATCH(D344,Clients!$A$5:$A$204,0)),"Not found"))</f>
        <v>0</v>
      </c>
      <c r="F344" s="23">
        <f>IF(D344="","",IFERROR(INDEX(Clients!$G$5:$G$204,MATCH(D344,Clients!$A$5:$A$204,0)),""))</f>
        <v>0</v>
      </c>
      <c r="Q344" s="31">
        <f>IF(A344="","",COUNTIFS('Invoice Lines'!$B$5:$B$804,A344))</f>
        <v>0</v>
      </c>
      <c r="R344" s="21">
        <f>IF(A344="","",SUMIFS('Invoice Lines'!$N$5:$N$804,'Invoice Lines'!$B$5:$B$804,A344))</f>
        <v>0</v>
      </c>
      <c r="S344" s="21">
        <f>IF(A344="","",ROUND(R344*IF(K344="",0,K344),2))</f>
        <v>0</v>
      </c>
      <c r="T344" s="21">
        <f>IF(A344="","",R344-S344)</f>
        <v>0</v>
      </c>
      <c r="U344" s="21">
        <f>IF(A344="","",ROUND(T344*TaxRate,2))</f>
        <v>0</v>
      </c>
      <c r="V344" s="21">
        <f>IF(A344="","",T344+U344)</f>
        <v>0</v>
      </c>
      <c r="W344" s="21">
        <f>IF(A344="","",SUMIFS(Payments!$G$5:$G$404,Payments!$D$5:$D$404,A344))</f>
        <v>0</v>
      </c>
      <c r="X344" s="21">
        <f>IF(A344="","",ROUND(V344-W344,2))</f>
        <v>0</v>
      </c>
      <c r="Y344" s="31">
        <f>IF(B344="","",IF(J344&lt;&gt;"",J344,IF(IFERROR(INDEX(Clients!$P$5:$P$204,MATCH(D344,Clients!$A$5:$A$204,0)),"")&lt;&gt;"",INDEX(Clients!$P$5:$P$204,MATCH(D344,Clients!$A$5:$A$204,0)),PaymentTerms)))</f>
        <v>0</v>
      </c>
      <c r="Z344" s="18">
        <f>IF(OR(A344="",B344=""),"",B344+Y344)</f>
        <v>0</v>
      </c>
      <c r="AA344" s="31">
        <f>IF(OR(A344="",Z344=""),"",IF(X344&lt;=0.004,"",MAX(0,TodayDate-Z344-OverdueGrace)))</f>
        <v>0</v>
      </c>
      <c r="AB344" s="39">
        <f>IF(B344="","",IF(X344&lt;=0.004,"Paid",IF(AA344="","Not due yet",IF(AA344=0,"Due now",IF(AA344&lt;=30,"1-30 days",IF(AA344&lt;=60,"31-60 days",IF(AA344&lt;=90,"61-90 days","90+ days")))))))</f>
        <v>0</v>
      </c>
      <c r="AC344" s="21">
        <f>IF(OR(A344="",AA344=""),"",IF(AA344&lt;=0,0,ROUND(X344*LateFeePercent,2)))</f>
        <v>0</v>
      </c>
      <c r="AD344" s="50">
        <f>IF(B344="","",IF(X344&lt;=0.004,"Yes","No"))</f>
        <v>0</v>
      </c>
      <c r="AE344" s="39">
        <f>IF(B344="","",IF(Q344=0,"Add - no lines on this invoice yet",IF(H344="Written off","Written off",IF(AD344="Yes","OK - paid",IF(H344="Draft","Draft - not sent yet",IF(AND(AA344&lt;&gt;"",AA344&gt;30),"Overdue - "&amp;AA344&amp;" days, call them",IF(AND(AA344&lt;&gt;"",AA344&gt;0),"Overdue - send a reminder",IF(W344&gt;0,"Part paid","Due - waiting for payment"))))))))</f>
        <v>0</v>
      </c>
    </row>
    <row r="345" spans="1:31">
      <c r="A345" s="43">
        <f>IF(B345="","",InvoicePrefix&amp;TEXT(ROW()-4,"0000"))</f>
        <v>0</v>
      </c>
      <c r="C345" s="23">
        <f>IF(B345="","",TEXT(B345,"yyyy-mm"))</f>
        <v>0</v>
      </c>
      <c r="E345" s="23">
        <f>IF(D345="","",IFERROR(INDEX(Clients!$B$5:$B$204,MATCH(D345,Clients!$A$5:$A$204,0)),"Not found"))</f>
        <v>0</v>
      </c>
      <c r="F345" s="23">
        <f>IF(D345="","",IFERROR(INDEX(Clients!$G$5:$G$204,MATCH(D345,Clients!$A$5:$A$204,0)),""))</f>
        <v>0</v>
      </c>
      <c r="Q345" s="31">
        <f>IF(A345="","",COUNTIFS('Invoice Lines'!$B$5:$B$804,A345))</f>
        <v>0</v>
      </c>
      <c r="R345" s="21">
        <f>IF(A345="","",SUMIFS('Invoice Lines'!$N$5:$N$804,'Invoice Lines'!$B$5:$B$804,A345))</f>
        <v>0</v>
      </c>
      <c r="S345" s="21">
        <f>IF(A345="","",ROUND(R345*IF(K345="",0,K345),2))</f>
        <v>0</v>
      </c>
      <c r="T345" s="21">
        <f>IF(A345="","",R345-S345)</f>
        <v>0</v>
      </c>
      <c r="U345" s="21">
        <f>IF(A345="","",ROUND(T345*TaxRate,2))</f>
        <v>0</v>
      </c>
      <c r="V345" s="21">
        <f>IF(A345="","",T345+U345)</f>
        <v>0</v>
      </c>
      <c r="W345" s="21">
        <f>IF(A345="","",SUMIFS(Payments!$G$5:$G$404,Payments!$D$5:$D$404,A345))</f>
        <v>0</v>
      </c>
      <c r="X345" s="21">
        <f>IF(A345="","",ROUND(V345-W345,2))</f>
        <v>0</v>
      </c>
      <c r="Y345" s="31">
        <f>IF(B345="","",IF(J345&lt;&gt;"",J345,IF(IFERROR(INDEX(Clients!$P$5:$P$204,MATCH(D345,Clients!$A$5:$A$204,0)),"")&lt;&gt;"",INDEX(Clients!$P$5:$P$204,MATCH(D345,Clients!$A$5:$A$204,0)),PaymentTerms)))</f>
        <v>0</v>
      </c>
      <c r="Z345" s="18">
        <f>IF(OR(A345="",B345=""),"",B345+Y345)</f>
        <v>0</v>
      </c>
      <c r="AA345" s="31">
        <f>IF(OR(A345="",Z345=""),"",IF(X345&lt;=0.004,"",MAX(0,TodayDate-Z345-OverdueGrace)))</f>
        <v>0</v>
      </c>
      <c r="AB345" s="39">
        <f>IF(B345="","",IF(X345&lt;=0.004,"Paid",IF(AA345="","Not due yet",IF(AA345=0,"Due now",IF(AA345&lt;=30,"1-30 days",IF(AA345&lt;=60,"31-60 days",IF(AA345&lt;=90,"61-90 days","90+ days")))))))</f>
        <v>0</v>
      </c>
      <c r="AC345" s="21">
        <f>IF(OR(A345="",AA345=""),"",IF(AA345&lt;=0,0,ROUND(X345*LateFeePercent,2)))</f>
        <v>0</v>
      </c>
      <c r="AD345" s="50">
        <f>IF(B345="","",IF(X345&lt;=0.004,"Yes","No"))</f>
        <v>0</v>
      </c>
      <c r="AE345" s="39">
        <f>IF(B345="","",IF(Q345=0,"Add - no lines on this invoice yet",IF(H345="Written off","Written off",IF(AD345="Yes","OK - paid",IF(H345="Draft","Draft - not sent yet",IF(AND(AA345&lt;&gt;"",AA345&gt;30),"Overdue - "&amp;AA345&amp;" days, call them",IF(AND(AA345&lt;&gt;"",AA345&gt;0),"Overdue - send a reminder",IF(W345&gt;0,"Part paid","Due - waiting for payment"))))))))</f>
        <v>0</v>
      </c>
    </row>
    <row r="346" spans="1:31">
      <c r="A346" s="43">
        <f>IF(B346="","",InvoicePrefix&amp;TEXT(ROW()-4,"0000"))</f>
        <v>0</v>
      </c>
      <c r="C346" s="23">
        <f>IF(B346="","",TEXT(B346,"yyyy-mm"))</f>
        <v>0</v>
      </c>
      <c r="E346" s="23">
        <f>IF(D346="","",IFERROR(INDEX(Clients!$B$5:$B$204,MATCH(D346,Clients!$A$5:$A$204,0)),"Not found"))</f>
        <v>0</v>
      </c>
      <c r="F346" s="23">
        <f>IF(D346="","",IFERROR(INDEX(Clients!$G$5:$G$204,MATCH(D346,Clients!$A$5:$A$204,0)),""))</f>
        <v>0</v>
      </c>
      <c r="Q346" s="31">
        <f>IF(A346="","",COUNTIFS('Invoice Lines'!$B$5:$B$804,A346))</f>
        <v>0</v>
      </c>
      <c r="R346" s="21">
        <f>IF(A346="","",SUMIFS('Invoice Lines'!$N$5:$N$804,'Invoice Lines'!$B$5:$B$804,A346))</f>
        <v>0</v>
      </c>
      <c r="S346" s="21">
        <f>IF(A346="","",ROUND(R346*IF(K346="",0,K346),2))</f>
        <v>0</v>
      </c>
      <c r="T346" s="21">
        <f>IF(A346="","",R346-S346)</f>
        <v>0</v>
      </c>
      <c r="U346" s="21">
        <f>IF(A346="","",ROUND(T346*TaxRate,2))</f>
        <v>0</v>
      </c>
      <c r="V346" s="21">
        <f>IF(A346="","",T346+U346)</f>
        <v>0</v>
      </c>
      <c r="W346" s="21">
        <f>IF(A346="","",SUMIFS(Payments!$G$5:$G$404,Payments!$D$5:$D$404,A346))</f>
        <v>0</v>
      </c>
      <c r="X346" s="21">
        <f>IF(A346="","",ROUND(V346-W346,2))</f>
        <v>0</v>
      </c>
      <c r="Y346" s="31">
        <f>IF(B346="","",IF(J346&lt;&gt;"",J346,IF(IFERROR(INDEX(Clients!$P$5:$P$204,MATCH(D346,Clients!$A$5:$A$204,0)),"")&lt;&gt;"",INDEX(Clients!$P$5:$P$204,MATCH(D346,Clients!$A$5:$A$204,0)),PaymentTerms)))</f>
        <v>0</v>
      </c>
      <c r="Z346" s="18">
        <f>IF(OR(A346="",B346=""),"",B346+Y346)</f>
        <v>0</v>
      </c>
      <c r="AA346" s="31">
        <f>IF(OR(A346="",Z346=""),"",IF(X346&lt;=0.004,"",MAX(0,TodayDate-Z346-OverdueGrace)))</f>
        <v>0</v>
      </c>
      <c r="AB346" s="39">
        <f>IF(B346="","",IF(X346&lt;=0.004,"Paid",IF(AA346="","Not due yet",IF(AA346=0,"Due now",IF(AA346&lt;=30,"1-30 days",IF(AA346&lt;=60,"31-60 days",IF(AA346&lt;=90,"61-90 days","90+ days")))))))</f>
        <v>0</v>
      </c>
      <c r="AC346" s="21">
        <f>IF(OR(A346="",AA346=""),"",IF(AA346&lt;=0,0,ROUND(X346*LateFeePercent,2)))</f>
        <v>0</v>
      </c>
      <c r="AD346" s="50">
        <f>IF(B346="","",IF(X346&lt;=0.004,"Yes","No"))</f>
        <v>0</v>
      </c>
      <c r="AE346" s="39">
        <f>IF(B346="","",IF(Q346=0,"Add - no lines on this invoice yet",IF(H346="Written off","Written off",IF(AD346="Yes","OK - paid",IF(H346="Draft","Draft - not sent yet",IF(AND(AA346&lt;&gt;"",AA346&gt;30),"Overdue - "&amp;AA346&amp;" days, call them",IF(AND(AA346&lt;&gt;"",AA346&gt;0),"Overdue - send a reminder",IF(W346&gt;0,"Part paid","Due - waiting for payment"))))))))</f>
        <v>0</v>
      </c>
    </row>
    <row r="347" spans="1:31">
      <c r="A347" s="43">
        <f>IF(B347="","",InvoicePrefix&amp;TEXT(ROW()-4,"0000"))</f>
        <v>0</v>
      </c>
      <c r="C347" s="23">
        <f>IF(B347="","",TEXT(B347,"yyyy-mm"))</f>
        <v>0</v>
      </c>
      <c r="E347" s="23">
        <f>IF(D347="","",IFERROR(INDEX(Clients!$B$5:$B$204,MATCH(D347,Clients!$A$5:$A$204,0)),"Not found"))</f>
        <v>0</v>
      </c>
      <c r="F347" s="23">
        <f>IF(D347="","",IFERROR(INDEX(Clients!$G$5:$G$204,MATCH(D347,Clients!$A$5:$A$204,0)),""))</f>
        <v>0</v>
      </c>
      <c r="Q347" s="31">
        <f>IF(A347="","",COUNTIFS('Invoice Lines'!$B$5:$B$804,A347))</f>
        <v>0</v>
      </c>
      <c r="R347" s="21">
        <f>IF(A347="","",SUMIFS('Invoice Lines'!$N$5:$N$804,'Invoice Lines'!$B$5:$B$804,A347))</f>
        <v>0</v>
      </c>
      <c r="S347" s="21">
        <f>IF(A347="","",ROUND(R347*IF(K347="",0,K347),2))</f>
        <v>0</v>
      </c>
      <c r="T347" s="21">
        <f>IF(A347="","",R347-S347)</f>
        <v>0</v>
      </c>
      <c r="U347" s="21">
        <f>IF(A347="","",ROUND(T347*TaxRate,2))</f>
        <v>0</v>
      </c>
      <c r="V347" s="21">
        <f>IF(A347="","",T347+U347)</f>
        <v>0</v>
      </c>
      <c r="W347" s="21">
        <f>IF(A347="","",SUMIFS(Payments!$G$5:$G$404,Payments!$D$5:$D$404,A347))</f>
        <v>0</v>
      </c>
      <c r="X347" s="21">
        <f>IF(A347="","",ROUND(V347-W347,2))</f>
        <v>0</v>
      </c>
      <c r="Y347" s="31">
        <f>IF(B347="","",IF(J347&lt;&gt;"",J347,IF(IFERROR(INDEX(Clients!$P$5:$P$204,MATCH(D347,Clients!$A$5:$A$204,0)),"")&lt;&gt;"",INDEX(Clients!$P$5:$P$204,MATCH(D347,Clients!$A$5:$A$204,0)),PaymentTerms)))</f>
        <v>0</v>
      </c>
      <c r="Z347" s="18">
        <f>IF(OR(A347="",B347=""),"",B347+Y347)</f>
        <v>0</v>
      </c>
      <c r="AA347" s="31">
        <f>IF(OR(A347="",Z347=""),"",IF(X347&lt;=0.004,"",MAX(0,TodayDate-Z347-OverdueGrace)))</f>
        <v>0</v>
      </c>
      <c r="AB347" s="39">
        <f>IF(B347="","",IF(X347&lt;=0.004,"Paid",IF(AA347="","Not due yet",IF(AA347=0,"Due now",IF(AA347&lt;=30,"1-30 days",IF(AA347&lt;=60,"31-60 days",IF(AA347&lt;=90,"61-90 days","90+ days")))))))</f>
        <v>0</v>
      </c>
      <c r="AC347" s="21">
        <f>IF(OR(A347="",AA347=""),"",IF(AA347&lt;=0,0,ROUND(X347*LateFeePercent,2)))</f>
        <v>0</v>
      </c>
      <c r="AD347" s="50">
        <f>IF(B347="","",IF(X347&lt;=0.004,"Yes","No"))</f>
        <v>0</v>
      </c>
      <c r="AE347" s="39">
        <f>IF(B347="","",IF(Q347=0,"Add - no lines on this invoice yet",IF(H347="Written off","Written off",IF(AD347="Yes","OK - paid",IF(H347="Draft","Draft - not sent yet",IF(AND(AA347&lt;&gt;"",AA347&gt;30),"Overdue - "&amp;AA347&amp;" days, call them",IF(AND(AA347&lt;&gt;"",AA347&gt;0),"Overdue - send a reminder",IF(W347&gt;0,"Part paid","Due - waiting for payment"))))))))</f>
        <v>0</v>
      </c>
    </row>
    <row r="348" spans="1:31">
      <c r="A348" s="43">
        <f>IF(B348="","",InvoicePrefix&amp;TEXT(ROW()-4,"0000"))</f>
        <v>0</v>
      </c>
      <c r="C348" s="23">
        <f>IF(B348="","",TEXT(B348,"yyyy-mm"))</f>
        <v>0</v>
      </c>
      <c r="E348" s="23">
        <f>IF(D348="","",IFERROR(INDEX(Clients!$B$5:$B$204,MATCH(D348,Clients!$A$5:$A$204,0)),"Not found"))</f>
        <v>0</v>
      </c>
      <c r="F348" s="23">
        <f>IF(D348="","",IFERROR(INDEX(Clients!$G$5:$G$204,MATCH(D348,Clients!$A$5:$A$204,0)),""))</f>
        <v>0</v>
      </c>
      <c r="Q348" s="31">
        <f>IF(A348="","",COUNTIFS('Invoice Lines'!$B$5:$B$804,A348))</f>
        <v>0</v>
      </c>
      <c r="R348" s="21">
        <f>IF(A348="","",SUMIFS('Invoice Lines'!$N$5:$N$804,'Invoice Lines'!$B$5:$B$804,A348))</f>
        <v>0</v>
      </c>
      <c r="S348" s="21">
        <f>IF(A348="","",ROUND(R348*IF(K348="",0,K348),2))</f>
        <v>0</v>
      </c>
      <c r="T348" s="21">
        <f>IF(A348="","",R348-S348)</f>
        <v>0</v>
      </c>
      <c r="U348" s="21">
        <f>IF(A348="","",ROUND(T348*TaxRate,2))</f>
        <v>0</v>
      </c>
      <c r="V348" s="21">
        <f>IF(A348="","",T348+U348)</f>
        <v>0</v>
      </c>
      <c r="W348" s="21">
        <f>IF(A348="","",SUMIFS(Payments!$G$5:$G$404,Payments!$D$5:$D$404,A348))</f>
        <v>0</v>
      </c>
      <c r="X348" s="21">
        <f>IF(A348="","",ROUND(V348-W348,2))</f>
        <v>0</v>
      </c>
      <c r="Y348" s="31">
        <f>IF(B348="","",IF(J348&lt;&gt;"",J348,IF(IFERROR(INDEX(Clients!$P$5:$P$204,MATCH(D348,Clients!$A$5:$A$204,0)),"")&lt;&gt;"",INDEX(Clients!$P$5:$P$204,MATCH(D348,Clients!$A$5:$A$204,0)),PaymentTerms)))</f>
        <v>0</v>
      </c>
      <c r="Z348" s="18">
        <f>IF(OR(A348="",B348=""),"",B348+Y348)</f>
        <v>0</v>
      </c>
      <c r="AA348" s="31">
        <f>IF(OR(A348="",Z348=""),"",IF(X348&lt;=0.004,"",MAX(0,TodayDate-Z348-OverdueGrace)))</f>
        <v>0</v>
      </c>
      <c r="AB348" s="39">
        <f>IF(B348="","",IF(X348&lt;=0.004,"Paid",IF(AA348="","Not due yet",IF(AA348=0,"Due now",IF(AA348&lt;=30,"1-30 days",IF(AA348&lt;=60,"31-60 days",IF(AA348&lt;=90,"61-90 days","90+ days")))))))</f>
        <v>0</v>
      </c>
      <c r="AC348" s="21">
        <f>IF(OR(A348="",AA348=""),"",IF(AA348&lt;=0,0,ROUND(X348*LateFeePercent,2)))</f>
        <v>0</v>
      </c>
      <c r="AD348" s="50">
        <f>IF(B348="","",IF(X348&lt;=0.004,"Yes","No"))</f>
        <v>0</v>
      </c>
      <c r="AE348" s="39">
        <f>IF(B348="","",IF(Q348=0,"Add - no lines on this invoice yet",IF(H348="Written off","Written off",IF(AD348="Yes","OK - paid",IF(H348="Draft","Draft - not sent yet",IF(AND(AA348&lt;&gt;"",AA348&gt;30),"Overdue - "&amp;AA348&amp;" days, call them",IF(AND(AA348&lt;&gt;"",AA348&gt;0),"Overdue - send a reminder",IF(W348&gt;0,"Part paid","Due - waiting for payment"))))))))</f>
        <v>0</v>
      </c>
    </row>
    <row r="349" spans="1:31">
      <c r="A349" s="43">
        <f>IF(B349="","",InvoicePrefix&amp;TEXT(ROW()-4,"0000"))</f>
        <v>0</v>
      </c>
      <c r="C349" s="23">
        <f>IF(B349="","",TEXT(B349,"yyyy-mm"))</f>
        <v>0</v>
      </c>
      <c r="E349" s="23">
        <f>IF(D349="","",IFERROR(INDEX(Clients!$B$5:$B$204,MATCH(D349,Clients!$A$5:$A$204,0)),"Not found"))</f>
        <v>0</v>
      </c>
      <c r="F349" s="23">
        <f>IF(D349="","",IFERROR(INDEX(Clients!$G$5:$G$204,MATCH(D349,Clients!$A$5:$A$204,0)),""))</f>
        <v>0</v>
      </c>
      <c r="Q349" s="31">
        <f>IF(A349="","",COUNTIFS('Invoice Lines'!$B$5:$B$804,A349))</f>
        <v>0</v>
      </c>
      <c r="R349" s="21">
        <f>IF(A349="","",SUMIFS('Invoice Lines'!$N$5:$N$804,'Invoice Lines'!$B$5:$B$804,A349))</f>
        <v>0</v>
      </c>
      <c r="S349" s="21">
        <f>IF(A349="","",ROUND(R349*IF(K349="",0,K349),2))</f>
        <v>0</v>
      </c>
      <c r="T349" s="21">
        <f>IF(A349="","",R349-S349)</f>
        <v>0</v>
      </c>
      <c r="U349" s="21">
        <f>IF(A349="","",ROUND(T349*TaxRate,2))</f>
        <v>0</v>
      </c>
      <c r="V349" s="21">
        <f>IF(A349="","",T349+U349)</f>
        <v>0</v>
      </c>
      <c r="W349" s="21">
        <f>IF(A349="","",SUMIFS(Payments!$G$5:$G$404,Payments!$D$5:$D$404,A349))</f>
        <v>0</v>
      </c>
      <c r="X349" s="21">
        <f>IF(A349="","",ROUND(V349-W349,2))</f>
        <v>0</v>
      </c>
      <c r="Y349" s="31">
        <f>IF(B349="","",IF(J349&lt;&gt;"",J349,IF(IFERROR(INDEX(Clients!$P$5:$P$204,MATCH(D349,Clients!$A$5:$A$204,0)),"")&lt;&gt;"",INDEX(Clients!$P$5:$P$204,MATCH(D349,Clients!$A$5:$A$204,0)),PaymentTerms)))</f>
        <v>0</v>
      </c>
      <c r="Z349" s="18">
        <f>IF(OR(A349="",B349=""),"",B349+Y349)</f>
        <v>0</v>
      </c>
      <c r="AA349" s="31">
        <f>IF(OR(A349="",Z349=""),"",IF(X349&lt;=0.004,"",MAX(0,TodayDate-Z349-OverdueGrace)))</f>
        <v>0</v>
      </c>
      <c r="AB349" s="39">
        <f>IF(B349="","",IF(X349&lt;=0.004,"Paid",IF(AA349="","Not due yet",IF(AA349=0,"Due now",IF(AA349&lt;=30,"1-30 days",IF(AA349&lt;=60,"31-60 days",IF(AA349&lt;=90,"61-90 days","90+ days")))))))</f>
        <v>0</v>
      </c>
      <c r="AC349" s="21">
        <f>IF(OR(A349="",AA349=""),"",IF(AA349&lt;=0,0,ROUND(X349*LateFeePercent,2)))</f>
        <v>0</v>
      </c>
      <c r="AD349" s="50">
        <f>IF(B349="","",IF(X349&lt;=0.004,"Yes","No"))</f>
        <v>0</v>
      </c>
      <c r="AE349" s="39">
        <f>IF(B349="","",IF(Q349=0,"Add - no lines on this invoice yet",IF(H349="Written off","Written off",IF(AD349="Yes","OK - paid",IF(H349="Draft","Draft - not sent yet",IF(AND(AA349&lt;&gt;"",AA349&gt;30),"Overdue - "&amp;AA349&amp;" days, call them",IF(AND(AA349&lt;&gt;"",AA349&gt;0),"Overdue - send a reminder",IF(W349&gt;0,"Part paid","Due - waiting for payment"))))))))</f>
        <v>0</v>
      </c>
    </row>
    <row r="350" spans="1:31">
      <c r="A350" s="43">
        <f>IF(B350="","",InvoicePrefix&amp;TEXT(ROW()-4,"0000"))</f>
        <v>0</v>
      </c>
      <c r="C350" s="23">
        <f>IF(B350="","",TEXT(B350,"yyyy-mm"))</f>
        <v>0</v>
      </c>
      <c r="E350" s="23">
        <f>IF(D350="","",IFERROR(INDEX(Clients!$B$5:$B$204,MATCH(D350,Clients!$A$5:$A$204,0)),"Not found"))</f>
        <v>0</v>
      </c>
      <c r="F350" s="23">
        <f>IF(D350="","",IFERROR(INDEX(Clients!$G$5:$G$204,MATCH(D350,Clients!$A$5:$A$204,0)),""))</f>
        <v>0</v>
      </c>
      <c r="Q350" s="31">
        <f>IF(A350="","",COUNTIFS('Invoice Lines'!$B$5:$B$804,A350))</f>
        <v>0</v>
      </c>
      <c r="R350" s="21">
        <f>IF(A350="","",SUMIFS('Invoice Lines'!$N$5:$N$804,'Invoice Lines'!$B$5:$B$804,A350))</f>
        <v>0</v>
      </c>
      <c r="S350" s="21">
        <f>IF(A350="","",ROUND(R350*IF(K350="",0,K350),2))</f>
        <v>0</v>
      </c>
      <c r="T350" s="21">
        <f>IF(A350="","",R350-S350)</f>
        <v>0</v>
      </c>
      <c r="U350" s="21">
        <f>IF(A350="","",ROUND(T350*TaxRate,2))</f>
        <v>0</v>
      </c>
      <c r="V350" s="21">
        <f>IF(A350="","",T350+U350)</f>
        <v>0</v>
      </c>
      <c r="W350" s="21">
        <f>IF(A350="","",SUMIFS(Payments!$G$5:$G$404,Payments!$D$5:$D$404,A350))</f>
        <v>0</v>
      </c>
      <c r="X350" s="21">
        <f>IF(A350="","",ROUND(V350-W350,2))</f>
        <v>0</v>
      </c>
      <c r="Y350" s="31">
        <f>IF(B350="","",IF(J350&lt;&gt;"",J350,IF(IFERROR(INDEX(Clients!$P$5:$P$204,MATCH(D350,Clients!$A$5:$A$204,0)),"")&lt;&gt;"",INDEX(Clients!$P$5:$P$204,MATCH(D350,Clients!$A$5:$A$204,0)),PaymentTerms)))</f>
        <v>0</v>
      </c>
      <c r="Z350" s="18">
        <f>IF(OR(A350="",B350=""),"",B350+Y350)</f>
        <v>0</v>
      </c>
      <c r="AA350" s="31">
        <f>IF(OR(A350="",Z350=""),"",IF(X350&lt;=0.004,"",MAX(0,TodayDate-Z350-OverdueGrace)))</f>
        <v>0</v>
      </c>
      <c r="AB350" s="39">
        <f>IF(B350="","",IF(X350&lt;=0.004,"Paid",IF(AA350="","Not due yet",IF(AA350=0,"Due now",IF(AA350&lt;=30,"1-30 days",IF(AA350&lt;=60,"31-60 days",IF(AA350&lt;=90,"61-90 days","90+ days")))))))</f>
        <v>0</v>
      </c>
      <c r="AC350" s="21">
        <f>IF(OR(A350="",AA350=""),"",IF(AA350&lt;=0,0,ROUND(X350*LateFeePercent,2)))</f>
        <v>0</v>
      </c>
      <c r="AD350" s="50">
        <f>IF(B350="","",IF(X350&lt;=0.004,"Yes","No"))</f>
        <v>0</v>
      </c>
      <c r="AE350" s="39">
        <f>IF(B350="","",IF(Q350=0,"Add - no lines on this invoice yet",IF(H350="Written off","Written off",IF(AD350="Yes","OK - paid",IF(H350="Draft","Draft - not sent yet",IF(AND(AA350&lt;&gt;"",AA350&gt;30),"Overdue - "&amp;AA350&amp;" days, call them",IF(AND(AA350&lt;&gt;"",AA350&gt;0),"Overdue - send a reminder",IF(W350&gt;0,"Part paid","Due - waiting for payment"))))))))</f>
        <v>0</v>
      </c>
    </row>
    <row r="351" spans="1:31">
      <c r="A351" s="43">
        <f>IF(B351="","",InvoicePrefix&amp;TEXT(ROW()-4,"0000"))</f>
        <v>0</v>
      </c>
      <c r="C351" s="23">
        <f>IF(B351="","",TEXT(B351,"yyyy-mm"))</f>
        <v>0</v>
      </c>
      <c r="E351" s="23">
        <f>IF(D351="","",IFERROR(INDEX(Clients!$B$5:$B$204,MATCH(D351,Clients!$A$5:$A$204,0)),"Not found"))</f>
        <v>0</v>
      </c>
      <c r="F351" s="23">
        <f>IF(D351="","",IFERROR(INDEX(Clients!$G$5:$G$204,MATCH(D351,Clients!$A$5:$A$204,0)),""))</f>
        <v>0</v>
      </c>
      <c r="Q351" s="31">
        <f>IF(A351="","",COUNTIFS('Invoice Lines'!$B$5:$B$804,A351))</f>
        <v>0</v>
      </c>
      <c r="R351" s="21">
        <f>IF(A351="","",SUMIFS('Invoice Lines'!$N$5:$N$804,'Invoice Lines'!$B$5:$B$804,A351))</f>
        <v>0</v>
      </c>
      <c r="S351" s="21">
        <f>IF(A351="","",ROUND(R351*IF(K351="",0,K351),2))</f>
        <v>0</v>
      </c>
      <c r="T351" s="21">
        <f>IF(A351="","",R351-S351)</f>
        <v>0</v>
      </c>
      <c r="U351" s="21">
        <f>IF(A351="","",ROUND(T351*TaxRate,2))</f>
        <v>0</v>
      </c>
      <c r="V351" s="21">
        <f>IF(A351="","",T351+U351)</f>
        <v>0</v>
      </c>
      <c r="W351" s="21">
        <f>IF(A351="","",SUMIFS(Payments!$G$5:$G$404,Payments!$D$5:$D$404,A351))</f>
        <v>0</v>
      </c>
      <c r="X351" s="21">
        <f>IF(A351="","",ROUND(V351-W351,2))</f>
        <v>0</v>
      </c>
      <c r="Y351" s="31">
        <f>IF(B351="","",IF(J351&lt;&gt;"",J351,IF(IFERROR(INDEX(Clients!$P$5:$P$204,MATCH(D351,Clients!$A$5:$A$204,0)),"")&lt;&gt;"",INDEX(Clients!$P$5:$P$204,MATCH(D351,Clients!$A$5:$A$204,0)),PaymentTerms)))</f>
        <v>0</v>
      </c>
      <c r="Z351" s="18">
        <f>IF(OR(A351="",B351=""),"",B351+Y351)</f>
        <v>0</v>
      </c>
      <c r="AA351" s="31">
        <f>IF(OR(A351="",Z351=""),"",IF(X351&lt;=0.004,"",MAX(0,TodayDate-Z351-OverdueGrace)))</f>
        <v>0</v>
      </c>
      <c r="AB351" s="39">
        <f>IF(B351="","",IF(X351&lt;=0.004,"Paid",IF(AA351="","Not due yet",IF(AA351=0,"Due now",IF(AA351&lt;=30,"1-30 days",IF(AA351&lt;=60,"31-60 days",IF(AA351&lt;=90,"61-90 days","90+ days")))))))</f>
        <v>0</v>
      </c>
      <c r="AC351" s="21">
        <f>IF(OR(A351="",AA351=""),"",IF(AA351&lt;=0,0,ROUND(X351*LateFeePercent,2)))</f>
        <v>0</v>
      </c>
      <c r="AD351" s="50">
        <f>IF(B351="","",IF(X351&lt;=0.004,"Yes","No"))</f>
        <v>0</v>
      </c>
      <c r="AE351" s="39">
        <f>IF(B351="","",IF(Q351=0,"Add - no lines on this invoice yet",IF(H351="Written off","Written off",IF(AD351="Yes","OK - paid",IF(H351="Draft","Draft - not sent yet",IF(AND(AA351&lt;&gt;"",AA351&gt;30),"Overdue - "&amp;AA351&amp;" days, call them",IF(AND(AA351&lt;&gt;"",AA351&gt;0),"Overdue - send a reminder",IF(W351&gt;0,"Part paid","Due - waiting for payment"))))))))</f>
        <v>0</v>
      </c>
    </row>
    <row r="352" spans="1:31">
      <c r="A352" s="43">
        <f>IF(B352="","",InvoicePrefix&amp;TEXT(ROW()-4,"0000"))</f>
        <v>0</v>
      </c>
      <c r="C352" s="23">
        <f>IF(B352="","",TEXT(B352,"yyyy-mm"))</f>
        <v>0</v>
      </c>
      <c r="E352" s="23">
        <f>IF(D352="","",IFERROR(INDEX(Clients!$B$5:$B$204,MATCH(D352,Clients!$A$5:$A$204,0)),"Not found"))</f>
        <v>0</v>
      </c>
      <c r="F352" s="23">
        <f>IF(D352="","",IFERROR(INDEX(Clients!$G$5:$G$204,MATCH(D352,Clients!$A$5:$A$204,0)),""))</f>
        <v>0</v>
      </c>
      <c r="Q352" s="31">
        <f>IF(A352="","",COUNTIFS('Invoice Lines'!$B$5:$B$804,A352))</f>
        <v>0</v>
      </c>
      <c r="R352" s="21">
        <f>IF(A352="","",SUMIFS('Invoice Lines'!$N$5:$N$804,'Invoice Lines'!$B$5:$B$804,A352))</f>
        <v>0</v>
      </c>
      <c r="S352" s="21">
        <f>IF(A352="","",ROUND(R352*IF(K352="",0,K352),2))</f>
        <v>0</v>
      </c>
      <c r="T352" s="21">
        <f>IF(A352="","",R352-S352)</f>
        <v>0</v>
      </c>
      <c r="U352" s="21">
        <f>IF(A352="","",ROUND(T352*TaxRate,2))</f>
        <v>0</v>
      </c>
      <c r="V352" s="21">
        <f>IF(A352="","",T352+U352)</f>
        <v>0</v>
      </c>
      <c r="W352" s="21">
        <f>IF(A352="","",SUMIFS(Payments!$G$5:$G$404,Payments!$D$5:$D$404,A352))</f>
        <v>0</v>
      </c>
      <c r="X352" s="21">
        <f>IF(A352="","",ROUND(V352-W352,2))</f>
        <v>0</v>
      </c>
      <c r="Y352" s="31">
        <f>IF(B352="","",IF(J352&lt;&gt;"",J352,IF(IFERROR(INDEX(Clients!$P$5:$P$204,MATCH(D352,Clients!$A$5:$A$204,0)),"")&lt;&gt;"",INDEX(Clients!$P$5:$P$204,MATCH(D352,Clients!$A$5:$A$204,0)),PaymentTerms)))</f>
        <v>0</v>
      </c>
      <c r="Z352" s="18">
        <f>IF(OR(A352="",B352=""),"",B352+Y352)</f>
        <v>0</v>
      </c>
      <c r="AA352" s="31">
        <f>IF(OR(A352="",Z352=""),"",IF(X352&lt;=0.004,"",MAX(0,TodayDate-Z352-OverdueGrace)))</f>
        <v>0</v>
      </c>
      <c r="AB352" s="39">
        <f>IF(B352="","",IF(X352&lt;=0.004,"Paid",IF(AA352="","Not due yet",IF(AA352=0,"Due now",IF(AA352&lt;=30,"1-30 days",IF(AA352&lt;=60,"31-60 days",IF(AA352&lt;=90,"61-90 days","90+ days")))))))</f>
        <v>0</v>
      </c>
      <c r="AC352" s="21">
        <f>IF(OR(A352="",AA352=""),"",IF(AA352&lt;=0,0,ROUND(X352*LateFeePercent,2)))</f>
        <v>0</v>
      </c>
      <c r="AD352" s="50">
        <f>IF(B352="","",IF(X352&lt;=0.004,"Yes","No"))</f>
        <v>0</v>
      </c>
      <c r="AE352" s="39">
        <f>IF(B352="","",IF(Q352=0,"Add - no lines on this invoice yet",IF(H352="Written off","Written off",IF(AD352="Yes","OK - paid",IF(H352="Draft","Draft - not sent yet",IF(AND(AA352&lt;&gt;"",AA352&gt;30),"Overdue - "&amp;AA352&amp;" days, call them",IF(AND(AA352&lt;&gt;"",AA352&gt;0),"Overdue - send a reminder",IF(W352&gt;0,"Part paid","Due - waiting for payment"))))))))</f>
        <v>0</v>
      </c>
    </row>
    <row r="353" spans="1:31">
      <c r="A353" s="43">
        <f>IF(B353="","",InvoicePrefix&amp;TEXT(ROW()-4,"0000"))</f>
        <v>0</v>
      </c>
      <c r="C353" s="23">
        <f>IF(B353="","",TEXT(B353,"yyyy-mm"))</f>
        <v>0</v>
      </c>
      <c r="E353" s="23">
        <f>IF(D353="","",IFERROR(INDEX(Clients!$B$5:$B$204,MATCH(D353,Clients!$A$5:$A$204,0)),"Not found"))</f>
        <v>0</v>
      </c>
      <c r="F353" s="23">
        <f>IF(D353="","",IFERROR(INDEX(Clients!$G$5:$G$204,MATCH(D353,Clients!$A$5:$A$204,0)),""))</f>
        <v>0</v>
      </c>
      <c r="Q353" s="31">
        <f>IF(A353="","",COUNTIFS('Invoice Lines'!$B$5:$B$804,A353))</f>
        <v>0</v>
      </c>
      <c r="R353" s="21">
        <f>IF(A353="","",SUMIFS('Invoice Lines'!$N$5:$N$804,'Invoice Lines'!$B$5:$B$804,A353))</f>
        <v>0</v>
      </c>
      <c r="S353" s="21">
        <f>IF(A353="","",ROUND(R353*IF(K353="",0,K353),2))</f>
        <v>0</v>
      </c>
      <c r="T353" s="21">
        <f>IF(A353="","",R353-S353)</f>
        <v>0</v>
      </c>
      <c r="U353" s="21">
        <f>IF(A353="","",ROUND(T353*TaxRate,2))</f>
        <v>0</v>
      </c>
      <c r="V353" s="21">
        <f>IF(A353="","",T353+U353)</f>
        <v>0</v>
      </c>
      <c r="W353" s="21">
        <f>IF(A353="","",SUMIFS(Payments!$G$5:$G$404,Payments!$D$5:$D$404,A353))</f>
        <v>0</v>
      </c>
      <c r="X353" s="21">
        <f>IF(A353="","",ROUND(V353-W353,2))</f>
        <v>0</v>
      </c>
      <c r="Y353" s="31">
        <f>IF(B353="","",IF(J353&lt;&gt;"",J353,IF(IFERROR(INDEX(Clients!$P$5:$P$204,MATCH(D353,Clients!$A$5:$A$204,0)),"")&lt;&gt;"",INDEX(Clients!$P$5:$P$204,MATCH(D353,Clients!$A$5:$A$204,0)),PaymentTerms)))</f>
        <v>0</v>
      </c>
      <c r="Z353" s="18">
        <f>IF(OR(A353="",B353=""),"",B353+Y353)</f>
        <v>0</v>
      </c>
      <c r="AA353" s="31">
        <f>IF(OR(A353="",Z353=""),"",IF(X353&lt;=0.004,"",MAX(0,TodayDate-Z353-OverdueGrace)))</f>
        <v>0</v>
      </c>
      <c r="AB353" s="39">
        <f>IF(B353="","",IF(X353&lt;=0.004,"Paid",IF(AA353="","Not due yet",IF(AA353=0,"Due now",IF(AA353&lt;=30,"1-30 days",IF(AA353&lt;=60,"31-60 days",IF(AA353&lt;=90,"61-90 days","90+ days")))))))</f>
        <v>0</v>
      </c>
      <c r="AC353" s="21">
        <f>IF(OR(A353="",AA353=""),"",IF(AA353&lt;=0,0,ROUND(X353*LateFeePercent,2)))</f>
        <v>0</v>
      </c>
      <c r="AD353" s="50">
        <f>IF(B353="","",IF(X353&lt;=0.004,"Yes","No"))</f>
        <v>0</v>
      </c>
      <c r="AE353" s="39">
        <f>IF(B353="","",IF(Q353=0,"Add - no lines on this invoice yet",IF(H353="Written off","Written off",IF(AD353="Yes","OK - paid",IF(H353="Draft","Draft - not sent yet",IF(AND(AA353&lt;&gt;"",AA353&gt;30),"Overdue - "&amp;AA353&amp;" days, call them",IF(AND(AA353&lt;&gt;"",AA353&gt;0),"Overdue - send a reminder",IF(W353&gt;0,"Part paid","Due - waiting for payment"))))))))</f>
        <v>0</v>
      </c>
    </row>
    <row r="354" spans="1:31">
      <c r="A354" s="43">
        <f>IF(B354="","",InvoicePrefix&amp;TEXT(ROW()-4,"0000"))</f>
        <v>0</v>
      </c>
      <c r="C354" s="23">
        <f>IF(B354="","",TEXT(B354,"yyyy-mm"))</f>
        <v>0</v>
      </c>
      <c r="E354" s="23">
        <f>IF(D354="","",IFERROR(INDEX(Clients!$B$5:$B$204,MATCH(D354,Clients!$A$5:$A$204,0)),"Not found"))</f>
        <v>0</v>
      </c>
      <c r="F354" s="23">
        <f>IF(D354="","",IFERROR(INDEX(Clients!$G$5:$G$204,MATCH(D354,Clients!$A$5:$A$204,0)),""))</f>
        <v>0</v>
      </c>
      <c r="Q354" s="31">
        <f>IF(A354="","",COUNTIFS('Invoice Lines'!$B$5:$B$804,A354))</f>
        <v>0</v>
      </c>
      <c r="R354" s="21">
        <f>IF(A354="","",SUMIFS('Invoice Lines'!$N$5:$N$804,'Invoice Lines'!$B$5:$B$804,A354))</f>
        <v>0</v>
      </c>
      <c r="S354" s="21">
        <f>IF(A354="","",ROUND(R354*IF(K354="",0,K354),2))</f>
        <v>0</v>
      </c>
      <c r="T354" s="21">
        <f>IF(A354="","",R354-S354)</f>
        <v>0</v>
      </c>
      <c r="U354" s="21">
        <f>IF(A354="","",ROUND(T354*TaxRate,2))</f>
        <v>0</v>
      </c>
      <c r="V354" s="21">
        <f>IF(A354="","",T354+U354)</f>
        <v>0</v>
      </c>
      <c r="W354" s="21">
        <f>IF(A354="","",SUMIFS(Payments!$G$5:$G$404,Payments!$D$5:$D$404,A354))</f>
        <v>0</v>
      </c>
      <c r="X354" s="21">
        <f>IF(A354="","",ROUND(V354-W354,2))</f>
        <v>0</v>
      </c>
      <c r="Y354" s="31">
        <f>IF(B354="","",IF(J354&lt;&gt;"",J354,IF(IFERROR(INDEX(Clients!$P$5:$P$204,MATCH(D354,Clients!$A$5:$A$204,0)),"")&lt;&gt;"",INDEX(Clients!$P$5:$P$204,MATCH(D354,Clients!$A$5:$A$204,0)),PaymentTerms)))</f>
        <v>0</v>
      </c>
      <c r="Z354" s="18">
        <f>IF(OR(A354="",B354=""),"",B354+Y354)</f>
        <v>0</v>
      </c>
      <c r="AA354" s="31">
        <f>IF(OR(A354="",Z354=""),"",IF(X354&lt;=0.004,"",MAX(0,TodayDate-Z354-OverdueGrace)))</f>
        <v>0</v>
      </c>
      <c r="AB354" s="39">
        <f>IF(B354="","",IF(X354&lt;=0.004,"Paid",IF(AA354="","Not due yet",IF(AA354=0,"Due now",IF(AA354&lt;=30,"1-30 days",IF(AA354&lt;=60,"31-60 days",IF(AA354&lt;=90,"61-90 days","90+ days")))))))</f>
        <v>0</v>
      </c>
      <c r="AC354" s="21">
        <f>IF(OR(A354="",AA354=""),"",IF(AA354&lt;=0,0,ROUND(X354*LateFeePercent,2)))</f>
        <v>0</v>
      </c>
      <c r="AD354" s="50">
        <f>IF(B354="","",IF(X354&lt;=0.004,"Yes","No"))</f>
        <v>0</v>
      </c>
      <c r="AE354" s="39">
        <f>IF(B354="","",IF(Q354=0,"Add - no lines on this invoice yet",IF(H354="Written off","Written off",IF(AD354="Yes","OK - paid",IF(H354="Draft","Draft - not sent yet",IF(AND(AA354&lt;&gt;"",AA354&gt;30),"Overdue - "&amp;AA354&amp;" days, call them",IF(AND(AA354&lt;&gt;"",AA354&gt;0),"Overdue - send a reminder",IF(W354&gt;0,"Part paid","Due - waiting for payment"))))))))</f>
        <v>0</v>
      </c>
    </row>
    <row r="355" spans="1:31">
      <c r="A355" s="43">
        <f>IF(B355="","",InvoicePrefix&amp;TEXT(ROW()-4,"0000"))</f>
        <v>0</v>
      </c>
      <c r="C355" s="23">
        <f>IF(B355="","",TEXT(B355,"yyyy-mm"))</f>
        <v>0</v>
      </c>
      <c r="E355" s="23">
        <f>IF(D355="","",IFERROR(INDEX(Clients!$B$5:$B$204,MATCH(D355,Clients!$A$5:$A$204,0)),"Not found"))</f>
        <v>0</v>
      </c>
      <c r="F355" s="23">
        <f>IF(D355="","",IFERROR(INDEX(Clients!$G$5:$G$204,MATCH(D355,Clients!$A$5:$A$204,0)),""))</f>
        <v>0</v>
      </c>
      <c r="Q355" s="31">
        <f>IF(A355="","",COUNTIFS('Invoice Lines'!$B$5:$B$804,A355))</f>
        <v>0</v>
      </c>
      <c r="R355" s="21">
        <f>IF(A355="","",SUMIFS('Invoice Lines'!$N$5:$N$804,'Invoice Lines'!$B$5:$B$804,A355))</f>
        <v>0</v>
      </c>
      <c r="S355" s="21">
        <f>IF(A355="","",ROUND(R355*IF(K355="",0,K355),2))</f>
        <v>0</v>
      </c>
      <c r="T355" s="21">
        <f>IF(A355="","",R355-S355)</f>
        <v>0</v>
      </c>
      <c r="U355" s="21">
        <f>IF(A355="","",ROUND(T355*TaxRate,2))</f>
        <v>0</v>
      </c>
      <c r="V355" s="21">
        <f>IF(A355="","",T355+U355)</f>
        <v>0</v>
      </c>
      <c r="W355" s="21">
        <f>IF(A355="","",SUMIFS(Payments!$G$5:$G$404,Payments!$D$5:$D$404,A355))</f>
        <v>0</v>
      </c>
      <c r="X355" s="21">
        <f>IF(A355="","",ROUND(V355-W355,2))</f>
        <v>0</v>
      </c>
      <c r="Y355" s="31">
        <f>IF(B355="","",IF(J355&lt;&gt;"",J355,IF(IFERROR(INDEX(Clients!$P$5:$P$204,MATCH(D355,Clients!$A$5:$A$204,0)),"")&lt;&gt;"",INDEX(Clients!$P$5:$P$204,MATCH(D355,Clients!$A$5:$A$204,0)),PaymentTerms)))</f>
        <v>0</v>
      </c>
      <c r="Z355" s="18">
        <f>IF(OR(A355="",B355=""),"",B355+Y355)</f>
        <v>0</v>
      </c>
      <c r="AA355" s="31">
        <f>IF(OR(A355="",Z355=""),"",IF(X355&lt;=0.004,"",MAX(0,TodayDate-Z355-OverdueGrace)))</f>
        <v>0</v>
      </c>
      <c r="AB355" s="39">
        <f>IF(B355="","",IF(X355&lt;=0.004,"Paid",IF(AA355="","Not due yet",IF(AA355=0,"Due now",IF(AA355&lt;=30,"1-30 days",IF(AA355&lt;=60,"31-60 days",IF(AA355&lt;=90,"61-90 days","90+ days")))))))</f>
        <v>0</v>
      </c>
      <c r="AC355" s="21">
        <f>IF(OR(A355="",AA355=""),"",IF(AA355&lt;=0,0,ROUND(X355*LateFeePercent,2)))</f>
        <v>0</v>
      </c>
      <c r="AD355" s="50">
        <f>IF(B355="","",IF(X355&lt;=0.004,"Yes","No"))</f>
        <v>0</v>
      </c>
      <c r="AE355" s="39">
        <f>IF(B355="","",IF(Q355=0,"Add - no lines on this invoice yet",IF(H355="Written off","Written off",IF(AD355="Yes","OK - paid",IF(H355="Draft","Draft - not sent yet",IF(AND(AA355&lt;&gt;"",AA355&gt;30),"Overdue - "&amp;AA355&amp;" days, call them",IF(AND(AA355&lt;&gt;"",AA355&gt;0),"Overdue - send a reminder",IF(W355&gt;0,"Part paid","Due - waiting for payment"))))))))</f>
        <v>0</v>
      </c>
    </row>
    <row r="356" spans="1:31">
      <c r="A356" s="43">
        <f>IF(B356="","",InvoicePrefix&amp;TEXT(ROW()-4,"0000"))</f>
        <v>0</v>
      </c>
      <c r="C356" s="23">
        <f>IF(B356="","",TEXT(B356,"yyyy-mm"))</f>
        <v>0</v>
      </c>
      <c r="E356" s="23">
        <f>IF(D356="","",IFERROR(INDEX(Clients!$B$5:$B$204,MATCH(D356,Clients!$A$5:$A$204,0)),"Not found"))</f>
        <v>0</v>
      </c>
      <c r="F356" s="23">
        <f>IF(D356="","",IFERROR(INDEX(Clients!$G$5:$G$204,MATCH(D356,Clients!$A$5:$A$204,0)),""))</f>
        <v>0</v>
      </c>
      <c r="Q356" s="31">
        <f>IF(A356="","",COUNTIFS('Invoice Lines'!$B$5:$B$804,A356))</f>
        <v>0</v>
      </c>
      <c r="R356" s="21">
        <f>IF(A356="","",SUMIFS('Invoice Lines'!$N$5:$N$804,'Invoice Lines'!$B$5:$B$804,A356))</f>
        <v>0</v>
      </c>
      <c r="S356" s="21">
        <f>IF(A356="","",ROUND(R356*IF(K356="",0,K356),2))</f>
        <v>0</v>
      </c>
      <c r="T356" s="21">
        <f>IF(A356="","",R356-S356)</f>
        <v>0</v>
      </c>
      <c r="U356" s="21">
        <f>IF(A356="","",ROUND(T356*TaxRate,2))</f>
        <v>0</v>
      </c>
      <c r="V356" s="21">
        <f>IF(A356="","",T356+U356)</f>
        <v>0</v>
      </c>
      <c r="W356" s="21">
        <f>IF(A356="","",SUMIFS(Payments!$G$5:$G$404,Payments!$D$5:$D$404,A356))</f>
        <v>0</v>
      </c>
      <c r="X356" s="21">
        <f>IF(A356="","",ROUND(V356-W356,2))</f>
        <v>0</v>
      </c>
      <c r="Y356" s="31">
        <f>IF(B356="","",IF(J356&lt;&gt;"",J356,IF(IFERROR(INDEX(Clients!$P$5:$P$204,MATCH(D356,Clients!$A$5:$A$204,0)),"")&lt;&gt;"",INDEX(Clients!$P$5:$P$204,MATCH(D356,Clients!$A$5:$A$204,0)),PaymentTerms)))</f>
        <v>0</v>
      </c>
      <c r="Z356" s="18">
        <f>IF(OR(A356="",B356=""),"",B356+Y356)</f>
        <v>0</v>
      </c>
      <c r="AA356" s="31">
        <f>IF(OR(A356="",Z356=""),"",IF(X356&lt;=0.004,"",MAX(0,TodayDate-Z356-OverdueGrace)))</f>
        <v>0</v>
      </c>
      <c r="AB356" s="39">
        <f>IF(B356="","",IF(X356&lt;=0.004,"Paid",IF(AA356="","Not due yet",IF(AA356=0,"Due now",IF(AA356&lt;=30,"1-30 days",IF(AA356&lt;=60,"31-60 days",IF(AA356&lt;=90,"61-90 days","90+ days")))))))</f>
        <v>0</v>
      </c>
      <c r="AC356" s="21">
        <f>IF(OR(A356="",AA356=""),"",IF(AA356&lt;=0,0,ROUND(X356*LateFeePercent,2)))</f>
        <v>0</v>
      </c>
      <c r="AD356" s="50">
        <f>IF(B356="","",IF(X356&lt;=0.004,"Yes","No"))</f>
        <v>0</v>
      </c>
      <c r="AE356" s="39">
        <f>IF(B356="","",IF(Q356=0,"Add - no lines on this invoice yet",IF(H356="Written off","Written off",IF(AD356="Yes","OK - paid",IF(H356="Draft","Draft - not sent yet",IF(AND(AA356&lt;&gt;"",AA356&gt;30),"Overdue - "&amp;AA356&amp;" days, call them",IF(AND(AA356&lt;&gt;"",AA356&gt;0),"Overdue - send a reminder",IF(W356&gt;0,"Part paid","Due - waiting for payment"))))))))</f>
        <v>0</v>
      </c>
    </row>
    <row r="357" spans="1:31">
      <c r="A357" s="43">
        <f>IF(B357="","",InvoicePrefix&amp;TEXT(ROW()-4,"0000"))</f>
        <v>0</v>
      </c>
      <c r="C357" s="23">
        <f>IF(B357="","",TEXT(B357,"yyyy-mm"))</f>
        <v>0</v>
      </c>
      <c r="E357" s="23">
        <f>IF(D357="","",IFERROR(INDEX(Clients!$B$5:$B$204,MATCH(D357,Clients!$A$5:$A$204,0)),"Not found"))</f>
        <v>0</v>
      </c>
      <c r="F357" s="23">
        <f>IF(D357="","",IFERROR(INDEX(Clients!$G$5:$G$204,MATCH(D357,Clients!$A$5:$A$204,0)),""))</f>
        <v>0</v>
      </c>
      <c r="Q357" s="31">
        <f>IF(A357="","",COUNTIFS('Invoice Lines'!$B$5:$B$804,A357))</f>
        <v>0</v>
      </c>
      <c r="R357" s="21">
        <f>IF(A357="","",SUMIFS('Invoice Lines'!$N$5:$N$804,'Invoice Lines'!$B$5:$B$804,A357))</f>
        <v>0</v>
      </c>
      <c r="S357" s="21">
        <f>IF(A357="","",ROUND(R357*IF(K357="",0,K357),2))</f>
        <v>0</v>
      </c>
      <c r="T357" s="21">
        <f>IF(A357="","",R357-S357)</f>
        <v>0</v>
      </c>
      <c r="U357" s="21">
        <f>IF(A357="","",ROUND(T357*TaxRate,2))</f>
        <v>0</v>
      </c>
      <c r="V357" s="21">
        <f>IF(A357="","",T357+U357)</f>
        <v>0</v>
      </c>
      <c r="W357" s="21">
        <f>IF(A357="","",SUMIFS(Payments!$G$5:$G$404,Payments!$D$5:$D$404,A357))</f>
        <v>0</v>
      </c>
      <c r="X357" s="21">
        <f>IF(A357="","",ROUND(V357-W357,2))</f>
        <v>0</v>
      </c>
      <c r="Y357" s="31">
        <f>IF(B357="","",IF(J357&lt;&gt;"",J357,IF(IFERROR(INDEX(Clients!$P$5:$P$204,MATCH(D357,Clients!$A$5:$A$204,0)),"")&lt;&gt;"",INDEX(Clients!$P$5:$P$204,MATCH(D357,Clients!$A$5:$A$204,0)),PaymentTerms)))</f>
        <v>0</v>
      </c>
      <c r="Z357" s="18">
        <f>IF(OR(A357="",B357=""),"",B357+Y357)</f>
        <v>0</v>
      </c>
      <c r="AA357" s="31">
        <f>IF(OR(A357="",Z357=""),"",IF(X357&lt;=0.004,"",MAX(0,TodayDate-Z357-OverdueGrace)))</f>
        <v>0</v>
      </c>
      <c r="AB357" s="39">
        <f>IF(B357="","",IF(X357&lt;=0.004,"Paid",IF(AA357="","Not due yet",IF(AA357=0,"Due now",IF(AA357&lt;=30,"1-30 days",IF(AA357&lt;=60,"31-60 days",IF(AA357&lt;=90,"61-90 days","90+ days")))))))</f>
        <v>0</v>
      </c>
      <c r="AC357" s="21">
        <f>IF(OR(A357="",AA357=""),"",IF(AA357&lt;=0,0,ROUND(X357*LateFeePercent,2)))</f>
        <v>0</v>
      </c>
      <c r="AD357" s="50">
        <f>IF(B357="","",IF(X357&lt;=0.004,"Yes","No"))</f>
        <v>0</v>
      </c>
      <c r="AE357" s="39">
        <f>IF(B357="","",IF(Q357=0,"Add - no lines on this invoice yet",IF(H357="Written off","Written off",IF(AD357="Yes","OK - paid",IF(H357="Draft","Draft - not sent yet",IF(AND(AA357&lt;&gt;"",AA357&gt;30),"Overdue - "&amp;AA357&amp;" days, call them",IF(AND(AA357&lt;&gt;"",AA357&gt;0),"Overdue - send a reminder",IF(W357&gt;0,"Part paid","Due - waiting for payment"))))))))</f>
        <v>0</v>
      </c>
    </row>
    <row r="358" spans="1:31">
      <c r="A358" s="43">
        <f>IF(B358="","",InvoicePrefix&amp;TEXT(ROW()-4,"0000"))</f>
        <v>0</v>
      </c>
      <c r="C358" s="23">
        <f>IF(B358="","",TEXT(B358,"yyyy-mm"))</f>
        <v>0</v>
      </c>
      <c r="E358" s="23">
        <f>IF(D358="","",IFERROR(INDEX(Clients!$B$5:$B$204,MATCH(D358,Clients!$A$5:$A$204,0)),"Not found"))</f>
        <v>0</v>
      </c>
      <c r="F358" s="23">
        <f>IF(D358="","",IFERROR(INDEX(Clients!$G$5:$G$204,MATCH(D358,Clients!$A$5:$A$204,0)),""))</f>
        <v>0</v>
      </c>
      <c r="Q358" s="31">
        <f>IF(A358="","",COUNTIFS('Invoice Lines'!$B$5:$B$804,A358))</f>
        <v>0</v>
      </c>
      <c r="R358" s="21">
        <f>IF(A358="","",SUMIFS('Invoice Lines'!$N$5:$N$804,'Invoice Lines'!$B$5:$B$804,A358))</f>
        <v>0</v>
      </c>
      <c r="S358" s="21">
        <f>IF(A358="","",ROUND(R358*IF(K358="",0,K358),2))</f>
        <v>0</v>
      </c>
      <c r="T358" s="21">
        <f>IF(A358="","",R358-S358)</f>
        <v>0</v>
      </c>
      <c r="U358" s="21">
        <f>IF(A358="","",ROUND(T358*TaxRate,2))</f>
        <v>0</v>
      </c>
      <c r="V358" s="21">
        <f>IF(A358="","",T358+U358)</f>
        <v>0</v>
      </c>
      <c r="W358" s="21">
        <f>IF(A358="","",SUMIFS(Payments!$G$5:$G$404,Payments!$D$5:$D$404,A358))</f>
        <v>0</v>
      </c>
      <c r="X358" s="21">
        <f>IF(A358="","",ROUND(V358-W358,2))</f>
        <v>0</v>
      </c>
      <c r="Y358" s="31">
        <f>IF(B358="","",IF(J358&lt;&gt;"",J358,IF(IFERROR(INDEX(Clients!$P$5:$P$204,MATCH(D358,Clients!$A$5:$A$204,0)),"")&lt;&gt;"",INDEX(Clients!$P$5:$P$204,MATCH(D358,Clients!$A$5:$A$204,0)),PaymentTerms)))</f>
        <v>0</v>
      </c>
      <c r="Z358" s="18">
        <f>IF(OR(A358="",B358=""),"",B358+Y358)</f>
        <v>0</v>
      </c>
      <c r="AA358" s="31">
        <f>IF(OR(A358="",Z358=""),"",IF(X358&lt;=0.004,"",MAX(0,TodayDate-Z358-OverdueGrace)))</f>
        <v>0</v>
      </c>
      <c r="AB358" s="39">
        <f>IF(B358="","",IF(X358&lt;=0.004,"Paid",IF(AA358="","Not due yet",IF(AA358=0,"Due now",IF(AA358&lt;=30,"1-30 days",IF(AA358&lt;=60,"31-60 days",IF(AA358&lt;=90,"61-90 days","90+ days")))))))</f>
        <v>0</v>
      </c>
      <c r="AC358" s="21">
        <f>IF(OR(A358="",AA358=""),"",IF(AA358&lt;=0,0,ROUND(X358*LateFeePercent,2)))</f>
        <v>0</v>
      </c>
      <c r="AD358" s="50">
        <f>IF(B358="","",IF(X358&lt;=0.004,"Yes","No"))</f>
        <v>0</v>
      </c>
      <c r="AE358" s="39">
        <f>IF(B358="","",IF(Q358=0,"Add - no lines on this invoice yet",IF(H358="Written off","Written off",IF(AD358="Yes","OK - paid",IF(H358="Draft","Draft - not sent yet",IF(AND(AA358&lt;&gt;"",AA358&gt;30),"Overdue - "&amp;AA358&amp;" days, call them",IF(AND(AA358&lt;&gt;"",AA358&gt;0),"Overdue - send a reminder",IF(W358&gt;0,"Part paid","Due - waiting for payment"))))))))</f>
        <v>0</v>
      </c>
    </row>
    <row r="359" spans="1:31">
      <c r="A359" s="43">
        <f>IF(B359="","",InvoicePrefix&amp;TEXT(ROW()-4,"0000"))</f>
        <v>0</v>
      </c>
      <c r="C359" s="23">
        <f>IF(B359="","",TEXT(B359,"yyyy-mm"))</f>
        <v>0</v>
      </c>
      <c r="E359" s="23">
        <f>IF(D359="","",IFERROR(INDEX(Clients!$B$5:$B$204,MATCH(D359,Clients!$A$5:$A$204,0)),"Not found"))</f>
        <v>0</v>
      </c>
      <c r="F359" s="23">
        <f>IF(D359="","",IFERROR(INDEX(Clients!$G$5:$G$204,MATCH(D359,Clients!$A$5:$A$204,0)),""))</f>
        <v>0</v>
      </c>
      <c r="Q359" s="31">
        <f>IF(A359="","",COUNTIFS('Invoice Lines'!$B$5:$B$804,A359))</f>
        <v>0</v>
      </c>
      <c r="R359" s="21">
        <f>IF(A359="","",SUMIFS('Invoice Lines'!$N$5:$N$804,'Invoice Lines'!$B$5:$B$804,A359))</f>
        <v>0</v>
      </c>
      <c r="S359" s="21">
        <f>IF(A359="","",ROUND(R359*IF(K359="",0,K359),2))</f>
        <v>0</v>
      </c>
      <c r="T359" s="21">
        <f>IF(A359="","",R359-S359)</f>
        <v>0</v>
      </c>
      <c r="U359" s="21">
        <f>IF(A359="","",ROUND(T359*TaxRate,2))</f>
        <v>0</v>
      </c>
      <c r="V359" s="21">
        <f>IF(A359="","",T359+U359)</f>
        <v>0</v>
      </c>
      <c r="W359" s="21">
        <f>IF(A359="","",SUMIFS(Payments!$G$5:$G$404,Payments!$D$5:$D$404,A359))</f>
        <v>0</v>
      </c>
      <c r="X359" s="21">
        <f>IF(A359="","",ROUND(V359-W359,2))</f>
        <v>0</v>
      </c>
      <c r="Y359" s="31">
        <f>IF(B359="","",IF(J359&lt;&gt;"",J359,IF(IFERROR(INDEX(Clients!$P$5:$P$204,MATCH(D359,Clients!$A$5:$A$204,0)),"")&lt;&gt;"",INDEX(Clients!$P$5:$P$204,MATCH(D359,Clients!$A$5:$A$204,0)),PaymentTerms)))</f>
        <v>0</v>
      </c>
      <c r="Z359" s="18">
        <f>IF(OR(A359="",B359=""),"",B359+Y359)</f>
        <v>0</v>
      </c>
      <c r="AA359" s="31">
        <f>IF(OR(A359="",Z359=""),"",IF(X359&lt;=0.004,"",MAX(0,TodayDate-Z359-OverdueGrace)))</f>
        <v>0</v>
      </c>
      <c r="AB359" s="39">
        <f>IF(B359="","",IF(X359&lt;=0.004,"Paid",IF(AA359="","Not due yet",IF(AA359=0,"Due now",IF(AA359&lt;=30,"1-30 days",IF(AA359&lt;=60,"31-60 days",IF(AA359&lt;=90,"61-90 days","90+ days")))))))</f>
        <v>0</v>
      </c>
      <c r="AC359" s="21">
        <f>IF(OR(A359="",AA359=""),"",IF(AA359&lt;=0,0,ROUND(X359*LateFeePercent,2)))</f>
        <v>0</v>
      </c>
      <c r="AD359" s="50">
        <f>IF(B359="","",IF(X359&lt;=0.004,"Yes","No"))</f>
        <v>0</v>
      </c>
      <c r="AE359" s="39">
        <f>IF(B359="","",IF(Q359=0,"Add - no lines on this invoice yet",IF(H359="Written off","Written off",IF(AD359="Yes","OK - paid",IF(H359="Draft","Draft - not sent yet",IF(AND(AA359&lt;&gt;"",AA359&gt;30),"Overdue - "&amp;AA359&amp;" days, call them",IF(AND(AA359&lt;&gt;"",AA359&gt;0),"Overdue - send a reminder",IF(W359&gt;0,"Part paid","Due - waiting for payment"))))))))</f>
        <v>0</v>
      </c>
    </row>
    <row r="360" spans="1:31">
      <c r="A360" s="43">
        <f>IF(B360="","",InvoicePrefix&amp;TEXT(ROW()-4,"0000"))</f>
        <v>0</v>
      </c>
      <c r="C360" s="23">
        <f>IF(B360="","",TEXT(B360,"yyyy-mm"))</f>
        <v>0</v>
      </c>
      <c r="E360" s="23">
        <f>IF(D360="","",IFERROR(INDEX(Clients!$B$5:$B$204,MATCH(D360,Clients!$A$5:$A$204,0)),"Not found"))</f>
        <v>0</v>
      </c>
      <c r="F360" s="23">
        <f>IF(D360="","",IFERROR(INDEX(Clients!$G$5:$G$204,MATCH(D360,Clients!$A$5:$A$204,0)),""))</f>
        <v>0</v>
      </c>
      <c r="Q360" s="31">
        <f>IF(A360="","",COUNTIFS('Invoice Lines'!$B$5:$B$804,A360))</f>
        <v>0</v>
      </c>
      <c r="R360" s="21">
        <f>IF(A360="","",SUMIFS('Invoice Lines'!$N$5:$N$804,'Invoice Lines'!$B$5:$B$804,A360))</f>
        <v>0</v>
      </c>
      <c r="S360" s="21">
        <f>IF(A360="","",ROUND(R360*IF(K360="",0,K360),2))</f>
        <v>0</v>
      </c>
      <c r="T360" s="21">
        <f>IF(A360="","",R360-S360)</f>
        <v>0</v>
      </c>
      <c r="U360" s="21">
        <f>IF(A360="","",ROUND(T360*TaxRate,2))</f>
        <v>0</v>
      </c>
      <c r="V360" s="21">
        <f>IF(A360="","",T360+U360)</f>
        <v>0</v>
      </c>
      <c r="W360" s="21">
        <f>IF(A360="","",SUMIFS(Payments!$G$5:$G$404,Payments!$D$5:$D$404,A360))</f>
        <v>0</v>
      </c>
      <c r="X360" s="21">
        <f>IF(A360="","",ROUND(V360-W360,2))</f>
        <v>0</v>
      </c>
      <c r="Y360" s="31">
        <f>IF(B360="","",IF(J360&lt;&gt;"",J360,IF(IFERROR(INDEX(Clients!$P$5:$P$204,MATCH(D360,Clients!$A$5:$A$204,0)),"")&lt;&gt;"",INDEX(Clients!$P$5:$P$204,MATCH(D360,Clients!$A$5:$A$204,0)),PaymentTerms)))</f>
        <v>0</v>
      </c>
      <c r="Z360" s="18">
        <f>IF(OR(A360="",B360=""),"",B360+Y360)</f>
        <v>0</v>
      </c>
      <c r="AA360" s="31">
        <f>IF(OR(A360="",Z360=""),"",IF(X360&lt;=0.004,"",MAX(0,TodayDate-Z360-OverdueGrace)))</f>
        <v>0</v>
      </c>
      <c r="AB360" s="39">
        <f>IF(B360="","",IF(X360&lt;=0.004,"Paid",IF(AA360="","Not due yet",IF(AA360=0,"Due now",IF(AA360&lt;=30,"1-30 days",IF(AA360&lt;=60,"31-60 days",IF(AA360&lt;=90,"61-90 days","90+ days")))))))</f>
        <v>0</v>
      </c>
      <c r="AC360" s="21">
        <f>IF(OR(A360="",AA360=""),"",IF(AA360&lt;=0,0,ROUND(X360*LateFeePercent,2)))</f>
        <v>0</v>
      </c>
      <c r="AD360" s="50">
        <f>IF(B360="","",IF(X360&lt;=0.004,"Yes","No"))</f>
        <v>0</v>
      </c>
      <c r="AE360" s="39">
        <f>IF(B360="","",IF(Q360=0,"Add - no lines on this invoice yet",IF(H360="Written off","Written off",IF(AD360="Yes","OK - paid",IF(H360="Draft","Draft - not sent yet",IF(AND(AA360&lt;&gt;"",AA360&gt;30),"Overdue - "&amp;AA360&amp;" days, call them",IF(AND(AA360&lt;&gt;"",AA360&gt;0),"Overdue - send a reminder",IF(W360&gt;0,"Part paid","Due - waiting for payment"))))))))</f>
        <v>0</v>
      </c>
    </row>
    <row r="361" spans="1:31">
      <c r="A361" s="43">
        <f>IF(B361="","",InvoicePrefix&amp;TEXT(ROW()-4,"0000"))</f>
        <v>0</v>
      </c>
      <c r="C361" s="23">
        <f>IF(B361="","",TEXT(B361,"yyyy-mm"))</f>
        <v>0</v>
      </c>
      <c r="E361" s="23">
        <f>IF(D361="","",IFERROR(INDEX(Clients!$B$5:$B$204,MATCH(D361,Clients!$A$5:$A$204,0)),"Not found"))</f>
        <v>0</v>
      </c>
      <c r="F361" s="23">
        <f>IF(D361="","",IFERROR(INDEX(Clients!$G$5:$G$204,MATCH(D361,Clients!$A$5:$A$204,0)),""))</f>
        <v>0</v>
      </c>
      <c r="Q361" s="31">
        <f>IF(A361="","",COUNTIFS('Invoice Lines'!$B$5:$B$804,A361))</f>
        <v>0</v>
      </c>
      <c r="R361" s="21">
        <f>IF(A361="","",SUMIFS('Invoice Lines'!$N$5:$N$804,'Invoice Lines'!$B$5:$B$804,A361))</f>
        <v>0</v>
      </c>
      <c r="S361" s="21">
        <f>IF(A361="","",ROUND(R361*IF(K361="",0,K361),2))</f>
        <v>0</v>
      </c>
      <c r="T361" s="21">
        <f>IF(A361="","",R361-S361)</f>
        <v>0</v>
      </c>
      <c r="U361" s="21">
        <f>IF(A361="","",ROUND(T361*TaxRate,2))</f>
        <v>0</v>
      </c>
      <c r="V361" s="21">
        <f>IF(A361="","",T361+U361)</f>
        <v>0</v>
      </c>
      <c r="W361" s="21">
        <f>IF(A361="","",SUMIFS(Payments!$G$5:$G$404,Payments!$D$5:$D$404,A361))</f>
        <v>0</v>
      </c>
      <c r="X361" s="21">
        <f>IF(A361="","",ROUND(V361-W361,2))</f>
        <v>0</v>
      </c>
      <c r="Y361" s="31">
        <f>IF(B361="","",IF(J361&lt;&gt;"",J361,IF(IFERROR(INDEX(Clients!$P$5:$P$204,MATCH(D361,Clients!$A$5:$A$204,0)),"")&lt;&gt;"",INDEX(Clients!$P$5:$P$204,MATCH(D361,Clients!$A$5:$A$204,0)),PaymentTerms)))</f>
        <v>0</v>
      </c>
      <c r="Z361" s="18">
        <f>IF(OR(A361="",B361=""),"",B361+Y361)</f>
        <v>0</v>
      </c>
      <c r="AA361" s="31">
        <f>IF(OR(A361="",Z361=""),"",IF(X361&lt;=0.004,"",MAX(0,TodayDate-Z361-OverdueGrace)))</f>
        <v>0</v>
      </c>
      <c r="AB361" s="39">
        <f>IF(B361="","",IF(X361&lt;=0.004,"Paid",IF(AA361="","Not due yet",IF(AA361=0,"Due now",IF(AA361&lt;=30,"1-30 days",IF(AA361&lt;=60,"31-60 days",IF(AA361&lt;=90,"61-90 days","90+ days")))))))</f>
        <v>0</v>
      </c>
      <c r="AC361" s="21">
        <f>IF(OR(A361="",AA361=""),"",IF(AA361&lt;=0,0,ROUND(X361*LateFeePercent,2)))</f>
        <v>0</v>
      </c>
      <c r="AD361" s="50">
        <f>IF(B361="","",IF(X361&lt;=0.004,"Yes","No"))</f>
        <v>0</v>
      </c>
      <c r="AE361" s="39">
        <f>IF(B361="","",IF(Q361=0,"Add - no lines on this invoice yet",IF(H361="Written off","Written off",IF(AD361="Yes","OK - paid",IF(H361="Draft","Draft - not sent yet",IF(AND(AA361&lt;&gt;"",AA361&gt;30),"Overdue - "&amp;AA361&amp;" days, call them",IF(AND(AA361&lt;&gt;"",AA361&gt;0),"Overdue - send a reminder",IF(W361&gt;0,"Part paid","Due - waiting for payment"))))))))</f>
        <v>0</v>
      </c>
    </row>
    <row r="362" spans="1:31">
      <c r="A362" s="43">
        <f>IF(B362="","",InvoicePrefix&amp;TEXT(ROW()-4,"0000"))</f>
        <v>0</v>
      </c>
      <c r="C362" s="23">
        <f>IF(B362="","",TEXT(B362,"yyyy-mm"))</f>
        <v>0</v>
      </c>
      <c r="E362" s="23">
        <f>IF(D362="","",IFERROR(INDEX(Clients!$B$5:$B$204,MATCH(D362,Clients!$A$5:$A$204,0)),"Not found"))</f>
        <v>0</v>
      </c>
      <c r="F362" s="23">
        <f>IF(D362="","",IFERROR(INDEX(Clients!$G$5:$G$204,MATCH(D362,Clients!$A$5:$A$204,0)),""))</f>
        <v>0</v>
      </c>
      <c r="Q362" s="31">
        <f>IF(A362="","",COUNTIFS('Invoice Lines'!$B$5:$B$804,A362))</f>
        <v>0</v>
      </c>
      <c r="R362" s="21">
        <f>IF(A362="","",SUMIFS('Invoice Lines'!$N$5:$N$804,'Invoice Lines'!$B$5:$B$804,A362))</f>
        <v>0</v>
      </c>
      <c r="S362" s="21">
        <f>IF(A362="","",ROUND(R362*IF(K362="",0,K362),2))</f>
        <v>0</v>
      </c>
      <c r="T362" s="21">
        <f>IF(A362="","",R362-S362)</f>
        <v>0</v>
      </c>
      <c r="U362" s="21">
        <f>IF(A362="","",ROUND(T362*TaxRate,2))</f>
        <v>0</v>
      </c>
      <c r="V362" s="21">
        <f>IF(A362="","",T362+U362)</f>
        <v>0</v>
      </c>
      <c r="W362" s="21">
        <f>IF(A362="","",SUMIFS(Payments!$G$5:$G$404,Payments!$D$5:$D$404,A362))</f>
        <v>0</v>
      </c>
      <c r="X362" s="21">
        <f>IF(A362="","",ROUND(V362-W362,2))</f>
        <v>0</v>
      </c>
      <c r="Y362" s="31">
        <f>IF(B362="","",IF(J362&lt;&gt;"",J362,IF(IFERROR(INDEX(Clients!$P$5:$P$204,MATCH(D362,Clients!$A$5:$A$204,0)),"")&lt;&gt;"",INDEX(Clients!$P$5:$P$204,MATCH(D362,Clients!$A$5:$A$204,0)),PaymentTerms)))</f>
        <v>0</v>
      </c>
      <c r="Z362" s="18">
        <f>IF(OR(A362="",B362=""),"",B362+Y362)</f>
        <v>0</v>
      </c>
      <c r="AA362" s="31">
        <f>IF(OR(A362="",Z362=""),"",IF(X362&lt;=0.004,"",MAX(0,TodayDate-Z362-OverdueGrace)))</f>
        <v>0</v>
      </c>
      <c r="AB362" s="39">
        <f>IF(B362="","",IF(X362&lt;=0.004,"Paid",IF(AA362="","Not due yet",IF(AA362=0,"Due now",IF(AA362&lt;=30,"1-30 days",IF(AA362&lt;=60,"31-60 days",IF(AA362&lt;=90,"61-90 days","90+ days")))))))</f>
        <v>0</v>
      </c>
      <c r="AC362" s="21">
        <f>IF(OR(A362="",AA362=""),"",IF(AA362&lt;=0,0,ROUND(X362*LateFeePercent,2)))</f>
        <v>0</v>
      </c>
      <c r="AD362" s="50">
        <f>IF(B362="","",IF(X362&lt;=0.004,"Yes","No"))</f>
        <v>0</v>
      </c>
      <c r="AE362" s="39">
        <f>IF(B362="","",IF(Q362=0,"Add - no lines on this invoice yet",IF(H362="Written off","Written off",IF(AD362="Yes","OK - paid",IF(H362="Draft","Draft - not sent yet",IF(AND(AA362&lt;&gt;"",AA362&gt;30),"Overdue - "&amp;AA362&amp;" days, call them",IF(AND(AA362&lt;&gt;"",AA362&gt;0),"Overdue - send a reminder",IF(W362&gt;0,"Part paid","Due - waiting for payment"))))))))</f>
        <v>0</v>
      </c>
    </row>
    <row r="363" spans="1:31">
      <c r="A363" s="43">
        <f>IF(B363="","",InvoicePrefix&amp;TEXT(ROW()-4,"0000"))</f>
        <v>0</v>
      </c>
      <c r="C363" s="23">
        <f>IF(B363="","",TEXT(B363,"yyyy-mm"))</f>
        <v>0</v>
      </c>
      <c r="E363" s="23">
        <f>IF(D363="","",IFERROR(INDEX(Clients!$B$5:$B$204,MATCH(D363,Clients!$A$5:$A$204,0)),"Not found"))</f>
        <v>0</v>
      </c>
      <c r="F363" s="23">
        <f>IF(D363="","",IFERROR(INDEX(Clients!$G$5:$G$204,MATCH(D363,Clients!$A$5:$A$204,0)),""))</f>
        <v>0</v>
      </c>
      <c r="Q363" s="31">
        <f>IF(A363="","",COUNTIFS('Invoice Lines'!$B$5:$B$804,A363))</f>
        <v>0</v>
      </c>
      <c r="R363" s="21">
        <f>IF(A363="","",SUMIFS('Invoice Lines'!$N$5:$N$804,'Invoice Lines'!$B$5:$B$804,A363))</f>
        <v>0</v>
      </c>
      <c r="S363" s="21">
        <f>IF(A363="","",ROUND(R363*IF(K363="",0,K363),2))</f>
        <v>0</v>
      </c>
      <c r="T363" s="21">
        <f>IF(A363="","",R363-S363)</f>
        <v>0</v>
      </c>
      <c r="U363" s="21">
        <f>IF(A363="","",ROUND(T363*TaxRate,2))</f>
        <v>0</v>
      </c>
      <c r="V363" s="21">
        <f>IF(A363="","",T363+U363)</f>
        <v>0</v>
      </c>
      <c r="W363" s="21">
        <f>IF(A363="","",SUMIFS(Payments!$G$5:$G$404,Payments!$D$5:$D$404,A363))</f>
        <v>0</v>
      </c>
      <c r="X363" s="21">
        <f>IF(A363="","",ROUND(V363-W363,2))</f>
        <v>0</v>
      </c>
      <c r="Y363" s="31">
        <f>IF(B363="","",IF(J363&lt;&gt;"",J363,IF(IFERROR(INDEX(Clients!$P$5:$P$204,MATCH(D363,Clients!$A$5:$A$204,0)),"")&lt;&gt;"",INDEX(Clients!$P$5:$P$204,MATCH(D363,Clients!$A$5:$A$204,0)),PaymentTerms)))</f>
        <v>0</v>
      </c>
      <c r="Z363" s="18">
        <f>IF(OR(A363="",B363=""),"",B363+Y363)</f>
        <v>0</v>
      </c>
      <c r="AA363" s="31">
        <f>IF(OR(A363="",Z363=""),"",IF(X363&lt;=0.004,"",MAX(0,TodayDate-Z363-OverdueGrace)))</f>
        <v>0</v>
      </c>
      <c r="AB363" s="39">
        <f>IF(B363="","",IF(X363&lt;=0.004,"Paid",IF(AA363="","Not due yet",IF(AA363=0,"Due now",IF(AA363&lt;=30,"1-30 days",IF(AA363&lt;=60,"31-60 days",IF(AA363&lt;=90,"61-90 days","90+ days")))))))</f>
        <v>0</v>
      </c>
      <c r="AC363" s="21">
        <f>IF(OR(A363="",AA363=""),"",IF(AA363&lt;=0,0,ROUND(X363*LateFeePercent,2)))</f>
        <v>0</v>
      </c>
      <c r="AD363" s="50">
        <f>IF(B363="","",IF(X363&lt;=0.004,"Yes","No"))</f>
        <v>0</v>
      </c>
      <c r="AE363" s="39">
        <f>IF(B363="","",IF(Q363=0,"Add - no lines on this invoice yet",IF(H363="Written off","Written off",IF(AD363="Yes","OK - paid",IF(H363="Draft","Draft - not sent yet",IF(AND(AA363&lt;&gt;"",AA363&gt;30),"Overdue - "&amp;AA363&amp;" days, call them",IF(AND(AA363&lt;&gt;"",AA363&gt;0),"Overdue - send a reminder",IF(W363&gt;0,"Part paid","Due - waiting for payment"))))))))</f>
        <v>0</v>
      </c>
    </row>
    <row r="364" spans="1:31">
      <c r="A364" s="43">
        <f>IF(B364="","",InvoicePrefix&amp;TEXT(ROW()-4,"0000"))</f>
        <v>0</v>
      </c>
      <c r="C364" s="23">
        <f>IF(B364="","",TEXT(B364,"yyyy-mm"))</f>
        <v>0</v>
      </c>
      <c r="E364" s="23">
        <f>IF(D364="","",IFERROR(INDEX(Clients!$B$5:$B$204,MATCH(D364,Clients!$A$5:$A$204,0)),"Not found"))</f>
        <v>0</v>
      </c>
      <c r="F364" s="23">
        <f>IF(D364="","",IFERROR(INDEX(Clients!$G$5:$G$204,MATCH(D364,Clients!$A$5:$A$204,0)),""))</f>
        <v>0</v>
      </c>
      <c r="Q364" s="31">
        <f>IF(A364="","",COUNTIFS('Invoice Lines'!$B$5:$B$804,A364))</f>
        <v>0</v>
      </c>
      <c r="R364" s="21">
        <f>IF(A364="","",SUMIFS('Invoice Lines'!$N$5:$N$804,'Invoice Lines'!$B$5:$B$804,A364))</f>
        <v>0</v>
      </c>
      <c r="S364" s="21">
        <f>IF(A364="","",ROUND(R364*IF(K364="",0,K364),2))</f>
        <v>0</v>
      </c>
      <c r="T364" s="21">
        <f>IF(A364="","",R364-S364)</f>
        <v>0</v>
      </c>
      <c r="U364" s="21">
        <f>IF(A364="","",ROUND(T364*TaxRate,2))</f>
        <v>0</v>
      </c>
      <c r="V364" s="21">
        <f>IF(A364="","",T364+U364)</f>
        <v>0</v>
      </c>
      <c r="W364" s="21">
        <f>IF(A364="","",SUMIFS(Payments!$G$5:$G$404,Payments!$D$5:$D$404,A364))</f>
        <v>0</v>
      </c>
      <c r="X364" s="21">
        <f>IF(A364="","",ROUND(V364-W364,2))</f>
        <v>0</v>
      </c>
      <c r="Y364" s="31">
        <f>IF(B364="","",IF(J364&lt;&gt;"",J364,IF(IFERROR(INDEX(Clients!$P$5:$P$204,MATCH(D364,Clients!$A$5:$A$204,0)),"")&lt;&gt;"",INDEX(Clients!$P$5:$P$204,MATCH(D364,Clients!$A$5:$A$204,0)),PaymentTerms)))</f>
        <v>0</v>
      </c>
      <c r="Z364" s="18">
        <f>IF(OR(A364="",B364=""),"",B364+Y364)</f>
        <v>0</v>
      </c>
      <c r="AA364" s="31">
        <f>IF(OR(A364="",Z364=""),"",IF(X364&lt;=0.004,"",MAX(0,TodayDate-Z364-OverdueGrace)))</f>
        <v>0</v>
      </c>
      <c r="AB364" s="39">
        <f>IF(B364="","",IF(X364&lt;=0.004,"Paid",IF(AA364="","Not due yet",IF(AA364=0,"Due now",IF(AA364&lt;=30,"1-30 days",IF(AA364&lt;=60,"31-60 days",IF(AA364&lt;=90,"61-90 days","90+ days")))))))</f>
        <v>0</v>
      </c>
      <c r="AC364" s="21">
        <f>IF(OR(A364="",AA364=""),"",IF(AA364&lt;=0,0,ROUND(X364*LateFeePercent,2)))</f>
        <v>0</v>
      </c>
      <c r="AD364" s="50">
        <f>IF(B364="","",IF(X364&lt;=0.004,"Yes","No"))</f>
        <v>0</v>
      </c>
      <c r="AE364" s="39">
        <f>IF(B364="","",IF(Q364=0,"Add - no lines on this invoice yet",IF(H364="Written off","Written off",IF(AD364="Yes","OK - paid",IF(H364="Draft","Draft - not sent yet",IF(AND(AA364&lt;&gt;"",AA364&gt;30),"Overdue - "&amp;AA364&amp;" days, call them",IF(AND(AA364&lt;&gt;"",AA364&gt;0),"Overdue - send a reminder",IF(W364&gt;0,"Part paid","Due - waiting for payment"))))))))</f>
        <v>0</v>
      </c>
    </row>
    <row r="365" spans="1:31">
      <c r="A365" s="43">
        <f>IF(B365="","",InvoicePrefix&amp;TEXT(ROW()-4,"0000"))</f>
        <v>0</v>
      </c>
      <c r="C365" s="23">
        <f>IF(B365="","",TEXT(B365,"yyyy-mm"))</f>
        <v>0</v>
      </c>
      <c r="E365" s="23">
        <f>IF(D365="","",IFERROR(INDEX(Clients!$B$5:$B$204,MATCH(D365,Clients!$A$5:$A$204,0)),"Not found"))</f>
        <v>0</v>
      </c>
      <c r="F365" s="23">
        <f>IF(D365="","",IFERROR(INDEX(Clients!$G$5:$G$204,MATCH(D365,Clients!$A$5:$A$204,0)),""))</f>
        <v>0</v>
      </c>
      <c r="Q365" s="31">
        <f>IF(A365="","",COUNTIFS('Invoice Lines'!$B$5:$B$804,A365))</f>
        <v>0</v>
      </c>
      <c r="R365" s="21">
        <f>IF(A365="","",SUMIFS('Invoice Lines'!$N$5:$N$804,'Invoice Lines'!$B$5:$B$804,A365))</f>
        <v>0</v>
      </c>
      <c r="S365" s="21">
        <f>IF(A365="","",ROUND(R365*IF(K365="",0,K365),2))</f>
        <v>0</v>
      </c>
      <c r="T365" s="21">
        <f>IF(A365="","",R365-S365)</f>
        <v>0</v>
      </c>
      <c r="U365" s="21">
        <f>IF(A365="","",ROUND(T365*TaxRate,2))</f>
        <v>0</v>
      </c>
      <c r="V365" s="21">
        <f>IF(A365="","",T365+U365)</f>
        <v>0</v>
      </c>
      <c r="W365" s="21">
        <f>IF(A365="","",SUMIFS(Payments!$G$5:$G$404,Payments!$D$5:$D$404,A365))</f>
        <v>0</v>
      </c>
      <c r="X365" s="21">
        <f>IF(A365="","",ROUND(V365-W365,2))</f>
        <v>0</v>
      </c>
      <c r="Y365" s="31">
        <f>IF(B365="","",IF(J365&lt;&gt;"",J365,IF(IFERROR(INDEX(Clients!$P$5:$P$204,MATCH(D365,Clients!$A$5:$A$204,0)),"")&lt;&gt;"",INDEX(Clients!$P$5:$P$204,MATCH(D365,Clients!$A$5:$A$204,0)),PaymentTerms)))</f>
        <v>0</v>
      </c>
      <c r="Z365" s="18">
        <f>IF(OR(A365="",B365=""),"",B365+Y365)</f>
        <v>0</v>
      </c>
      <c r="AA365" s="31">
        <f>IF(OR(A365="",Z365=""),"",IF(X365&lt;=0.004,"",MAX(0,TodayDate-Z365-OverdueGrace)))</f>
        <v>0</v>
      </c>
      <c r="AB365" s="39">
        <f>IF(B365="","",IF(X365&lt;=0.004,"Paid",IF(AA365="","Not due yet",IF(AA365=0,"Due now",IF(AA365&lt;=30,"1-30 days",IF(AA365&lt;=60,"31-60 days",IF(AA365&lt;=90,"61-90 days","90+ days")))))))</f>
        <v>0</v>
      </c>
      <c r="AC365" s="21">
        <f>IF(OR(A365="",AA365=""),"",IF(AA365&lt;=0,0,ROUND(X365*LateFeePercent,2)))</f>
        <v>0</v>
      </c>
      <c r="AD365" s="50">
        <f>IF(B365="","",IF(X365&lt;=0.004,"Yes","No"))</f>
        <v>0</v>
      </c>
      <c r="AE365" s="39">
        <f>IF(B365="","",IF(Q365=0,"Add - no lines on this invoice yet",IF(H365="Written off","Written off",IF(AD365="Yes","OK - paid",IF(H365="Draft","Draft - not sent yet",IF(AND(AA365&lt;&gt;"",AA365&gt;30),"Overdue - "&amp;AA365&amp;" days, call them",IF(AND(AA365&lt;&gt;"",AA365&gt;0),"Overdue - send a reminder",IF(W365&gt;0,"Part paid","Due - waiting for payment"))))))))</f>
        <v>0</v>
      </c>
    </row>
    <row r="366" spans="1:31">
      <c r="A366" s="43">
        <f>IF(B366="","",InvoicePrefix&amp;TEXT(ROW()-4,"0000"))</f>
        <v>0</v>
      </c>
      <c r="C366" s="23">
        <f>IF(B366="","",TEXT(B366,"yyyy-mm"))</f>
        <v>0</v>
      </c>
      <c r="E366" s="23">
        <f>IF(D366="","",IFERROR(INDEX(Clients!$B$5:$B$204,MATCH(D366,Clients!$A$5:$A$204,0)),"Not found"))</f>
        <v>0</v>
      </c>
      <c r="F366" s="23">
        <f>IF(D366="","",IFERROR(INDEX(Clients!$G$5:$G$204,MATCH(D366,Clients!$A$5:$A$204,0)),""))</f>
        <v>0</v>
      </c>
      <c r="Q366" s="31">
        <f>IF(A366="","",COUNTIFS('Invoice Lines'!$B$5:$B$804,A366))</f>
        <v>0</v>
      </c>
      <c r="R366" s="21">
        <f>IF(A366="","",SUMIFS('Invoice Lines'!$N$5:$N$804,'Invoice Lines'!$B$5:$B$804,A366))</f>
        <v>0</v>
      </c>
      <c r="S366" s="21">
        <f>IF(A366="","",ROUND(R366*IF(K366="",0,K366),2))</f>
        <v>0</v>
      </c>
      <c r="T366" s="21">
        <f>IF(A366="","",R366-S366)</f>
        <v>0</v>
      </c>
      <c r="U366" s="21">
        <f>IF(A366="","",ROUND(T366*TaxRate,2))</f>
        <v>0</v>
      </c>
      <c r="V366" s="21">
        <f>IF(A366="","",T366+U366)</f>
        <v>0</v>
      </c>
      <c r="W366" s="21">
        <f>IF(A366="","",SUMIFS(Payments!$G$5:$G$404,Payments!$D$5:$D$404,A366))</f>
        <v>0</v>
      </c>
      <c r="X366" s="21">
        <f>IF(A366="","",ROUND(V366-W366,2))</f>
        <v>0</v>
      </c>
      <c r="Y366" s="31">
        <f>IF(B366="","",IF(J366&lt;&gt;"",J366,IF(IFERROR(INDEX(Clients!$P$5:$P$204,MATCH(D366,Clients!$A$5:$A$204,0)),"")&lt;&gt;"",INDEX(Clients!$P$5:$P$204,MATCH(D366,Clients!$A$5:$A$204,0)),PaymentTerms)))</f>
        <v>0</v>
      </c>
      <c r="Z366" s="18">
        <f>IF(OR(A366="",B366=""),"",B366+Y366)</f>
        <v>0</v>
      </c>
      <c r="AA366" s="31">
        <f>IF(OR(A366="",Z366=""),"",IF(X366&lt;=0.004,"",MAX(0,TodayDate-Z366-OverdueGrace)))</f>
        <v>0</v>
      </c>
      <c r="AB366" s="39">
        <f>IF(B366="","",IF(X366&lt;=0.004,"Paid",IF(AA366="","Not due yet",IF(AA366=0,"Due now",IF(AA366&lt;=30,"1-30 days",IF(AA366&lt;=60,"31-60 days",IF(AA366&lt;=90,"61-90 days","90+ days")))))))</f>
        <v>0</v>
      </c>
      <c r="AC366" s="21">
        <f>IF(OR(A366="",AA366=""),"",IF(AA366&lt;=0,0,ROUND(X366*LateFeePercent,2)))</f>
        <v>0</v>
      </c>
      <c r="AD366" s="50">
        <f>IF(B366="","",IF(X366&lt;=0.004,"Yes","No"))</f>
        <v>0</v>
      </c>
      <c r="AE366" s="39">
        <f>IF(B366="","",IF(Q366=0,"Add - no lines on this invoice yet",IF(H366="Written off","Written off",IF(AD366="Yes","OK - paid",IF(H366="Draft","Draft - not sent yet",IF(AND(AA366&lt;&gt;"",AA366&gt;30),"Overdue - "&amp;AA366&amp;" days, call them",IF(AND(AA366&lt;&gt;"",AA366&gt;0),"Overdue - send a reminder",IF(W366&gt;0,"Part paid","Due - waiting for payment"))))))))</f>
        <v>0</v>
      </c>
    </row>
    <row r="367" spans="1:31">
      <c r="A367" s="43">
        <f>IF(B367="","",InvoicePrefix&amp;TEXT(ROW()-4,"0000"))</f>
        <v>0</v>
      </c>
      <c r="C367" s="23">
        <f>IF(B367="","",TEXT(B367,"yyyy-mm"))</f>
        <v>0</v>
      </c>
      <c r="E367" s="23">
        <f>IF(D367="","",IFERROR(INDEX(Clients!$B$5:$B$204,MATCH(D367,Clients!$A$5:$A$204,0)),"Not found"))</f>
        <v>0</v>
      </c>
      <c r="F367" s="23">
        <f>IF(D367="","",IFERROR(INDEX(Clients!$G$5:$G$204,MATCH(D367,Clients!$A$5:$A$204,0)),""))</f>
        <v>0</v>
      </c>
      <c r="Q367" s="31">
        <f>IF(A367="","",COUNTIFS('Invoice Lines'!$B$5:$B$804,A367))</f>
        <v>0</v>
      </c>
      <c r="R367" s="21">
        <f>IF(A367="","",SUMIFS('Invoice Lines'!$N$5:$N$804,'Invoice Lines'!$B$5:$B$804,A367))</f>
        <v>0</v>
      </c>
      <c r="S367" s="21">
        <f>IF(A367="","",ROUND(R367*IF(K367="",0,K367),2))</f>
        <v>0</v>
      </c>
      <c r="T367" s="21">
        <f>IF(A367="","",R367-S367)</f>
        <v>0</v>
      </c>
      <c r="U367" s="21">
        <f>IF(A367="","",ROUND(T367*TaxRate,2))</f>
        <v>0</v>
      </c>
      <c r="V367" s="21">
        <f>IF(A367="","",T367+U367)</f>
        <v>0</v>
      </c>
      <c r="W367" s="21">
        <f>IF(A367="","",SUMIFS(Payments!$G$5:$G$404,Payments!$D$5:$D$404,A367))</f>
        <v>0</v>
      </c>
      <c r="X367" s="21">
        <f>IF(A367="","",ROUND(V367-W367,2))</f>
        <v>0</v>
      </c>
      <c r="Y367" s="31">
        <f>IF(B367="","",IF(J367&lt;&gt;"",J367,IF(IFERROR(INDEX(Clients!$P$5:$P$204,MATCH(D367,Clients!$A$5:$A$204,0)),"")&lt;&gt;"",INDEX(Clients!$P$5:$P$204,MATCH(D367,Clients!$A$5:$A$204,0)),PaymentTerms)))</f>
        <v>0</v>
      </c>
      <c r="Z367" s="18">
        <f>IF(OR(A367="",B367=""),"",B367+Y367)</f>
        <v>0</v>
      </c>
      <c r="AA367" s="31">
        <f>IF(OR(A367="",Z367=""),"",IF(X367&lt;=0.004,"",MAX(0,TodayDate-Z367-OverdueGrace)))</f>
        <v>0</v>
      </c>
      <c r="AB367" s="39">
        <f>IF(B367="","",IF(X367&lt;=0.004,"Paid",IF(AA367="","Not due yet",IF(AA367=0,"Due now",IF(AA367&lt;=30,"1-30 days",IF(AA367&lt;=60,"31-60 days",IF(AA367&lt;=90,"61-90 days","90+ days")))))))</f>
        <v>0</v>
      </c>
      <c r="AC367" s="21">
        <f>IF(OR(A367="",AA367=""),"",IF(AA367&lt;=0,0,ROUND(X367*LateFeePercent,2)))</f>
        <v>0</v>
      </c>
      <c r="AD367" s="50">
        <f>IF(B367="","",IF(X367&lt;=0.004,"Yes","No"))</f>
        <v>0</v>
      </c>
      <c r="AE367" s="39">
        <f>IF(B367="","",IF(Q367=0,"Add - no lines on this invoice yet",IF(H367="Written off","Written off",IF(AD367="Yes","OK - paid",IF(H367="Draft","Draft - not sent yet",IF(AND(AA367&lt;&gt;"",AA367&gt;30),"Overdue - "&amp;AA367&amp;" days, call them",IF(AND(AA367&lt;&gt;"",AA367&gt;0),"Overdue - send a reminder",IF(W367&gt;0,"Part paid","Due - waiting for payment"))))))))</f>
        <v>0</v>
      </c>
    </row>
    <row r="368" spans="1:31">
      <c r="A368" s="43">
        <f>IF(B368="","",InvoicePrefix&amp;TEXT(ROW()-4,"0000"))</f>
        <v>0</v>
      </c>
      <c r="C368" s="23">
        <f>IF(B368="","",TEXT(B368,"yyyy-mm"))</f>
        <v>0</v>
      </c>
      <c r="E368" s="23">
        <f>IF(D368="","",IFERROR(INDEX(Clients!$B$5:$B$204,MATCH(D368,Clients!$A$5:$A$204,0)),"Not found"))</f>
        <v>0</v>
      </c>
      <c r="F368" s="23">
        <f>IF(D368="","",IFERROR(INDEX(Clients!$G$5:$G$204,MATCH(D368,Clients!$A$5:$A$204,0)),""))</f>
        <v>0</v>
      </c>
      <c r="Q368" s="31">
        <f>IF(A368="","",COUNTIFS('Invoice Lines'!$B$5:$B$804,A368))</f>
        <v>0</v>
      </c>
      <c r="R368" s="21">
        <f>IF(A368="","",SUMIFS('Invoice Lines'!$N$5:$N$804,'Invoice Lines'!$B$5:$B$804,A368))</f>
        <v>0</v>
      </c>
      <c r="S368" s="21">
        <f>IF(A368="","",ROUND(R368*IF(K368="",0,K368),2))</f>
        <v>0</v>
      </c>
      <c r="T368" s="21">
        <f>IF(A368="","",R368-S368)</f>
        <v>0</v>
      </c>
      <c r="U368" s="21">
        <f>IF(A368="","",ROUND(T368*TaxRate,2))</f>
        <v>0</v>
      </c>
      <c r="V368" s="21">
        <f>IF(A368="","",T368+U368)</f>
        <v>0</v>
      </c>
      <c r="W368" s="21">
        <f>IF(A368="","",SUMIFS(Payments!$G$5:$G$404,Payments!$D$5:$D$404,A368))</f>
        <v>0</v>
      </c>
      <c r="X368" s="21">
        <f>IF(A368="","",ROUND(V368-W368,2))</f>
        <v>0</v>
      </c>
      <c r="Y368" s="31">
        <f>IF(B368="","",IF(J368&lt;&gt;"",J368,IF(IFERROR(INDEX(Clients!$P$5:$P$204,MATCH(D368,Clients!$A$5:$A$204,0)),"")&lt;&gt;"",INDEX(Clients!$P$5:$P$204,MATCH(D368,Clients!$A$5:$A$204,0)),PaymentTerms)))</f>
        <v>0</v>
      </c>
      <c r="Z368" s="18">
        <f>IF(OR(A368="",B368=""),"",B368+Y368)</f>
        <v>0</v>
      </c>
      <c r="AA368" s="31">
        <f>IF(OR(A368="",Z368=""),"",IF(X368&lt;=0.004,"",MAX(0,TodayDate-Z368-OverdueGrace)))</f>
        <v>0</v>
      </c>
      <c r="AB368" s="39">
        <f>IF(B368="","",IF(X368&lt;=0.004,"Paid",IF(AA368="","Not due yet",IF(AA368=0,"Due now",IF(AA368&lt;=30,"1-30 days",IF(AA368&lt;=60,"31-60 days",IF(AA368&lt;=90,"61-90 days","90+ days")))))))</f>
        <v>0</v>
      </c>
      <c r="AC368" s="21">
        <f>IF(OR(A368="",AA368=""),"",IF(AA368&lt;=0,0,ROUND(X368*LateFeePercent,2)))</f>
        <v>0</v>
      </c>
      <c r="AD368" s="50">
        <f>IF(B368="","",IF(X368&lt;=0.004,"Yes","No"))</f>
        <v>0</v>
      </c>
      <c r="AE368" s="39">
        <f>IF(B368="","",IF(Q368=0,"Add - no lines on this invoice yet",IF(H368="Written off","Written off",IF(AD368="Yes","OK - paid",IF(H368="Draft","Draft - not sent yet",IF(AND(AA368&lt;&gt;"",AA368&gt;30),"Overdue - "&amp;AA368&amp;" days, call them",IF(AND(AA368&lt;&gt;"",AA368&gt;0),"Overdue - send a reminder",IF(W368&gt;0,"Part paid","Due - waiting for payment"))))))))</f>
        <v>0</v>
      </c>
    </row>
    <row r="369" spans="1:31">
      <c r="A369" s="43">
        <f>IF(B369="","",InvoicePrefix&amp;TEXT(ROW()-4,"0000"))</f>
        <v>0</v>
      </c>
      <c r="C369" s="23">
        <f>IF(B369="","",TEXT(B369,"yyyy-mm"))</f>
        <v>0</v>
      </c>
      <c r="E369" s="23">
        <f>IF(D369="","",IFERROR(INDEX(Clients!$B$5:$B$204,MATCH(D369,Clients!$A$5:$A$204,0)),"Not found"))</f>
        <v>0</v>
      </c>
      <c r="F369" s="23">
        <f>IF(D369="","",IFERROR(INDEX(Clients!$G$5:$G$204,MATCH(D369,Clients!$A$5:$A$204,0)),""))</f>
        <v>0</v>
      </c>
      <c r="Q369" s="31">
        <f>IF(A369="","",COUNTIFS('Invoice Lines'!$B$5:$B$804,A369))</f>
        <v>0</v>
      </c>
      <c r="R369" s="21">
        <f>IF(A369="","",SUMIFS('Invoice Lines'!$N$5:$N$804,'Invoice Lines'!$B$5:$B$804,A369))</f>
        <v>0</v>
      </c>
      <c r="S369" s="21">
        <f>IF(A369="","",ROUND(R369*IF(K369="",0,K369),2))</f>
        <v>0</v>
      </c>
      <c r="T369" s="21">
        <f>IF(A369="","",R369-S369)</f>
        <v>0</v>
      </c>
      <c r="U369" s="21">
        <f>IF(A369="","",ROUND(T369*TaxRate,2))</f>
        <v>0</v>
      </c>
      <c r="V369" s="21">
        <f>IF(A369="","",T369+U369)</f>
        <v>0</v>
      </c>
      <c r="W369" s="21">
        <f>IF(A369="","",SUMIFS(Payments!$G$5:$G$404,Payments!$D$5:$D$404,A369))</f>
        <v>0</v>
      </c>
      <c r="X369" s="21">
        <f>IF(A369="","",ROUND(V369-W369,2))</f>
        <v>0</v>
      </c>
      <c r="Y369" s="31">
        <f>IF(B369="","",IF(J369&lt;&gt;"",J369,IF(IFERROR(INDEX(Clients!$P$5:$P$204,MATCH(D369,Clients!$A$5:$A$204,0)),"")&lt;&gt;"",INDEX(Clients!$P$5:$P$204,MATCH(D369,Clients!$A$5:$A$204,0)),PaymentTerms)))</f>
        <v>0</v>
      </c>
      <c r="Z369" s="18">
        <f>IF(OR(A369="",B369=""),"",B369+Y369)</f>
        <v>0</v>
      </c>
      <c r="AA369" s="31">
        <f>IF(OR(A369="",Z369=""),"",IF(X369&lt;=0.004,"",MAX(0,TodayDate-Z369-OverdueGrace)))</f>
        <v>0</v>
      </c>
      <c r="AB369" s="39">
        <f>IF(B369="","",IF(X369&lt;=0.004,"Paid",IF(AA369="","Not due yet",IF(AA369=0,"Due now",IF(AA369&lt;=30,"1-30 days",IF(AA369&lt;=60,"31-60 days",IF(AA369&lt;=90,"61-90 days","90+ days")))))))</f>
        <v>0</v>
      </c>
      <c r="AC369" s="21">
        <f>IF(OR(A369="",AA369=""),"",IF(AA369&lt;=0,0,ROUND(X369*LateFeePercent,2)))</f>
        <v>0</v>
      </c>
      <c r="AD369" s="50">
        <f>IF(B369="","",IF(X369&lt;=0.004,"Yes","No"))</f>
        <v>0</v>
      </c>
      <c r="AE369" s="39">
        <f>IF(B369="","",IF(Q369=0,"Add - no lines on this invoice yet",IF(H369="Written off","Written off",IF(AD369="Yes","OK - paid",IF(H369="Draft","Draft - not sent yet",IF(AND(AA369&lt;&gt;"",AA369&gt;30),"Overdue - "&amp;AA369&amp;" days, call them",IF(AND(AA369&lt;&gt;"",AA369&gt;0),"Overdue - send a reminder",IF(W369&gt;0,"Part paid","Due - waiting for payment"))))))))</f>
        <v>0</v>
      </c>
    </row>
    <row r="370" spans="1:31">
      <c r="A370" s="43">
        <f>IF(B370="","",InvoicePrefix&amp;TEXT(ROW()-4,"0000"))</f>
        <v>0</v>
      </c>
      <c r="C370" s="23">
        <f>IF(B370="","",TEXT(B370,"yyyy-mm"))</f>
        <v>0</v>
      </c>
      <c r="E370" s="23">
        <f>IF(D370="","",IFERROR(INDEX(Clients!$B$5:$B$204,MATCH(D370,Clients!$A$5:$A$204,0)),"Not found"))</f>
        <v>0</v>
      </c>
      <c r="F370" s="23">
        <f>IF(D370="","",IFERROR(INDEX(Clients!$G$5:$G$204,MATCH(D370,Clients!$A$5:$A$204,0)),""))</f>
        <v>0</v>
      </c>
      <c r="Q370" s="31">
        <f>IF(A370="","",COUNTIFS('Invoice Lines'!$B$5:$B$804,A370))</f>
        <v>0</v>
      </c>
      <c r="R370" s="21">
        <f>IF(A370="","",SUMIFS('Invoice Lines'!$N$5:$N$804,'Invoice Lines'!$B$5:$B$804,A370))</f>
        <v>0</v>
      </c>
      <c r="S370" s="21">
        <f>IF(A370="","",ROUND(R370*IF(K370="",0,K370),2))</f>
        <v>0</v>
      </c>
      <c r="T370" s="21">
        <f>IF(A370="","",R370-S370)</f>
        <v>0</v>
      </c>
      <c r="U370" s="21">
        <f>IF(A370="","",ROUND(T370*TaxRate,2))</f>
        <v>0</v>
      </c>
      <c r="V370" s="21">
        <f>IF(A370="","",T370+U370)</f>
        <v>0</v>
      </c>
      <c r="W370" s="21">
        <f>IF(A370="","",SUMIFS(Payments!$G$5:$G$404,Payments!$D$5:$D$404,A370))</f>
        <v>0</v>
      </c>
      <c r="X370" s="21">
        <f>IF(A370="","",ROUND(V370-W370,2))</f>
        <v>0</v>
      </c>
      <c r="Y370" s="31">
        <f>IF(B370="","",IF(J370&lt;&gt;"",J370,IF(IFERROR(INDEX(Clients!$P$5:$P$204,MATCH(D370,Clients!$A$5:$A$204,0)),"")&lt;&gt;"",INDEX(Clients!$P$5:$P$204,MATCH(D370,Clients!$A$5:$A$204,0)),PaymentTerms)))</f>
        <v>0</v>
      </c>
      <c r="Z370" s="18">
        <f>IF(OR(A370="",B370=""),"",B370+Y370)</f>
        <v>0</v>
      </c>
      <c r="AA370" s="31">
        <f>IF(OR(A370="",Z370=""),"",IF(X370&lt;=0.004,"",MAX(0,TodayDate-Z370-OverdueGrace)))</f>
        <v>0</v>
      </c>
      <c r="AB370" s="39">
        <f>IF(B370="","",IF(X370&lt;=0.004,"Paid",IF(AA370="","Not due yet",IF(AA370=0,"Due now",IF(AA370&lt;=30,"1-30 days",IF(AA370&lt;=60,"31-60 days",IF(AA370&lt;=90,"61-90 days","90+ days")))))))</f>
        <v>0</v>
      </c>
      <c r="AC370" s="21">
        <f>IF(OR(A370="",AA370=""),"",IF(AA370&lt;=0,0,ROUND(X370*LateFeePercent,2)))</f>
        <v>0</v>
      </c>
      <c r="AD370" s="50">
        <f>IF(B370="","",IF(X370&lt;=0.004,"Yes","No"))</f>
        <v>0</v>
      </c>
      <c r="AE370" s="39">
        <f>IF(B370="","",IF(Q370=0,"Add - no lines on this invoice yet",IF(H370="Written off","Written off",IF(AD370="Yes","OK - paid",IF(H370="Draft","Draft - not sent yet",IF(AND(AA370&lt;&gt;"",AA370&gt;30),"Overdue - "&amp;AA370&amp;" days, call them",IF(AND(AA370&lt;&gt;"",AA370&gt;0),"Overdue - send a reminder",IF(W370&gt;0,"Part paid","Due - waiting for payment"))))))))</f>
        <v>0</v>
      </c>
    </row>
    <row r="371" spans="1:31">
      <c r="A371" s="43">
        <f>IF(B371="","",InvoicePrefix&amp;TEXT(ROW()-4,"0000"))</f>
        <v>0</v>
      </c>
      <c r="C371" s="23">
        <f>IF(B371="","",TEXT(B371,"yyyy-mm"))</f>
        <v>0</v>
      </c>
      <c r="E371" s="23">
        <f>IF(D371="","",IFERROR(INDEX(Clients!$B$5:$B$204,MATCH(D371,Clients!$A$5:$A$204,0)),"Not found"))</f>
        <v>0</v>
      </c>
      <c r="F371" s="23">
        <f>IF(D371="","",IFERROR(INDEX(Clients!$G$5:$G$204,MATCH(D371,Clients!$A$5:$A$204,0)),""))</f>
        <v>0</v>
      </c>
      <c r="Q371" s="31">
        <f>IF(A371="","",COUNTIFS('Invoice Lines'!$B$5:$B$804,A371))</f>
        <v>0</v>
      </c>
      <c r="R371" s="21">
        <f>IF(A371="","",SUMIFS('Invoice Lines'!$N$5:$N$804,'Invoice Lines'!$B$5:$B$804,A371))</f>
        <v>0</v>
      </c>
      <c r="S371" s="21">
        <f>IF(A371="","",ROUND(R371*IF(K371="",0,K371),2))</f>
        <v>0</v>
      </c>
      <c r="T371" s="21">
        <f>IF(A371="","",R371-S371)</f>
        <v>0</v>
      </c>
      <c r="U371" s="21">
        <f>IF(A371="","",ROUND(T371*TaxRate,2))</f>
        <v>0</v>
      </c>
      <c r="V371" s="21">
        <f>IF(A371="","",T371+U371)</f>
        <v>0</v>
      </c>
      <c r="W371" s="21">
        <f>IF(A371="","",SUMIFS(Payments!$G$5:$G$404,Payments!$D$5:$D$404,A371))</f>
        <v>0</v>
      </c>
      <c r="X371" s="21">
        <f>IF(A371="","",ROUND(V371-W371,2))</f>
        <v>0</v>
      </c>
      <c r="Y371" s="31">
        <f>IF(B371="","",IF(J371&lt;&gt;"",J371,IF(IFERROR(INDEX(Clients!$P$5:$P$204,MATCH(D371,Clients!$A$5:$A$204,0)),"")&lt;&gt;"",INDEX(Clients!$P$5:$P$204,MATCH(D371,Clients!$A$5:$A$204,0)),PaymentTerms)))</f>
        <v>0</v>
      </c>
      <c r="Z371" s="18">
        <f>IF(OR(A371="",B371=""),"",B371+Y371)</f>
        <v>0</v>
      </c>
      <c r="AA371" s="31">
        <f>IF(OR(A371="",Z371=""),"",IF(X371&lt;=0.004,"",MAX(0,TodayDate-Z371-OverdueGrace)))</f>
        <v>0</v>
      </c>
      <c r="AB371" s="39">
        <f>IF(B371="","",IF(X371&lt;=0.004,"Paid",IF(AA371="","Not due yet",IF(AA371=0,"Due now",IF(AA371&lt;=30,"1-30 days",IF(AA371&lt;=60,"31-60 days",IF(AA371&lt;=90,"61-90 days","90+ days")))))))</f>
        <v>0</v>
      </c>
      <c r="AC371" s="21">
        <f>IF(OR(A371="",AA371=""),"",IF(AA371&lt;=0,0,ROUND(X371*LateFeePercent,2)))</f>
        <v>0</v>
      </c>
      <c r="AD371" s="50">
        <f>IF(B371="","",IF(X371&lt;=0.004,"Yes","No"))</f>
        <v>0</v>
      </c>
      <c r="AE371" s="39">
        <f>IF(B371="","",IF(Q371=0,"Add - no lines on this invoice yet",IF(H371="Written off","Written off",IF(AD371="Yes","OK - paid",IF(H371="Draft","Draft - not sent yet",IF(AND(AA371&lt;&gt;"",AA371&gt;30),"Overdue - "&amp;AA371&amp;" days, call them",IF(AND(AA371&lt;&gt;"",AA371&gt;0),"Overdue - send a reminder",IF(W371&gt;0,"Part paid","Due - waiting for payment"))))))))</f>
        <v>0</v>
      </c>
    </row>
    <row r="372" spans="1:31">
      <c r="A372" s="43">
        <f>IF(B372="","",InvoicePrefix&amp;TEXT(ROW()-4,"0000"))</f>
        <v>0</v>
      </c>
      <c r="C372" s="23">
        <f>IF(B372="","",TEXT(B372,"yyyy-mm"))</f>
        <v>0</v>
      </c>
      <c r="E372" s="23">
        <f>IF(D372="","",IFERROR(INDEX(Clients!$B$5:$B$204,MATCH(D372,Clients!$A$5:$A$204,0)),"Not found"))</f>
        <v>0</v>
      </c>
      <c r="F372" s="23">
        <f>IF(D372="","",IFERROR(INDEX(Clients!$G$5:$G$204,MATCH(D372,Clients!$A$5:$A$204,0)),""))</f>
        <v>0</v>
      </c>
      <c r="Q372" s="31">
        <f>IF(A372="","",COUNTIFS('Invoice Lines'!$B$5:$B$804,A372))</f>
        <v>0</v>
      </c>
      <c r="R372" s="21">
        <f>IF(A372="","",SUMIFS('Invoice Lines'!$N$5:$N$804,'Invoice Lines'!$B$5:$B$804,A372))</f>
        <v>0</v>
      </c>
      <c r="S372" s="21">
        <f>IF(A372="","",ROUND(R372*IF(K372="",0,K372),2))</f>
        <v>0</v>
      </c>
      <c r="T372" s="21">
        <f>IF(A372="","",R372-S372)</f>
        <v>0</v>
      </c>
      <c r="U372" s="21">
        <f>IF(A372="","",ROUND(T372*TaxRate,2))</f>
        <v>0</v>
      </c>
      <c r="V372" s="21">
        <f>IF(A372="","",T372+U372)</f>
        <v>0</v>
      </c>
      <c r="W372" s="21">
        <f>IF(A372="","",SUMIFS(Payments!$G$5:$G$404,Payments!$D$5:$D$404,A372))</f>
        <v>0</v>
      </c>
      <c r="X372" s="21">
        <f>IF(A372="","",ROUND(V372-W372,2))</f>
        <v>0</v>
      </c>
      <c r="Y372" s="31">
        <f>IF(B372="","",IF(J372&lt;&gt;"",J372,IF(IFERROR(INDEX(Clients!$P$5:$P$204,MATCH(D372,Clients!$A$5:$A$204,0)),"")&lt;&gt;"",INDEX(Clients!$P$5:$P$204,MATCH(D372,Clients!$A$5:$A$204,0)),PaymentTerms)))</f>
        <v>0</v>
      </c>
      <c r="Z372" s="18">
        <f>IF(OR(A372="",B372=""),"",B372+Y372)</f>
        <v>0</v>
      </c>
      <c r="AA372" s="31">
        <f>IF(OR(A372="",Z372=""),"",IF(X372&lt;=0.004,"",MAX(0,TodayDate-Z372-OverdueGrace)))</f>
        <v>0</v>
      </c>
      <c r="AB372" s="39">
        <f>IF(B372="","",IF(X372&lt;=0.004,"Paid",IF(AA372="","Not due yet",IF(AA372=0,"Due now",IF(AA372&lt;=30,"1-30 days",IF(AA372&lt;=60,"31-60 days",IF(AA372&lt;=90,"61-90 days","90+ days")))))))</f>
        <v>0</v>
      </c>
      <c r="AC372" s="21">
        <f>IF(OR(A372="",AA372=""),"",IF(AA372&lt;=0,0,ROUND(X372*LateFeePercent,2)))</f>
        <v>0</v>
      </c>
      <c r="AD372" s="50">
        <f>IF(B372="","",IF(X372&lt;=0.004,"Yes","No"))</f>
        <v>0</v>
      </c>
      <c r="AE372" s="39">
        <f>IF(B372="","",IF(Q372=0,"Add - no lines on this invoice yet",IF(H372="Written off","Written off",IF(AD372="Yes","OK - paid",IF(H372="Draft","Draft - not sent yet",IF(AND(AA372&lt;&gt;"",AA372&gt;30),"Overdue - "&amp;AA372&amp;" days, call them",IF(AND(AA372&lt;&gt;"",AA372&gt;0),"Overdue - send a reminder",IF(W372&gt;0,"Part paid","Due - waiting for payment"))))))))</f>
        <v>0</v>
      </c>
    </row>
    <row r="373" spans="1:31">
      <c r="A373" s="43">
        <f>IF(B373="","",InvoicePrefix&amp;TEXT(ROW()-4,"0000"))</f>
        <v>0</v>
      </c>
      <c r="C373" s="23">
        <f>IF(B373="","",TEXT(B373,"yyyy-mm"))</f>
        <v>0</v>
      </c>
      <c r="E373" s="23">
        <f>IF(D373="","",IFERROR(INDEX(Clients!$B$5:$B$204,MATCH(D373,Clients!$A$5:$A$204,0)),"Not found"))</f>
        <v>0</v>
      </c>
      <c r="F373" s="23">
        <f>IF(D373="","",IFERROR(INDEX(Clients!$G$5:$G$204,MATCH(D373,Clients!$A$5:$A$204,0)),""))</f>
        <v>0</v>
      </c>
      <c r="Q373" s="31">
        <f>IF(A373="","",COUNTIFS('Invoice Lines'!$B$5:$B$804,A373))</f>
        <v>0</v>
      </c>
      <c r="R373" s="21">
        <f>IF(A373="","",SUMIFS('Invoice Lines'!$N$5:$N$804,'Invoice Lines'!$B$5:$B$804,A373))</f>
        <v>0</v>
      </c>
      <c r="S373" s="21">
        <f>IF(A373="","",ROUND(R373*IF(K373="",0,K373),2))</f>
        <v>0</v>
      </c>
      <c r="T373" s="21">
        <f>IF(A373="","",R373-S373)</f>
        <v>0</v>
      </c>
      <c r="U373" s="21">
        <f>IF(A373="","",ROUND(T373*TaxRate,2))</f>
        <v>0</v>
      </c>
      <c r="V373" s="21">
        <f>IF(A373="","",T373+U373)</f>
        <v>0</v>
      </c>
      <c r="W373" s="21">
        <f>IF(A373="","",SUMIFS(Payments!$G$5:$G$404,Payments!$D$5:$D$404,A373))</f>
        <v>0</v>
      </c>
      <c r="X373" s="21">
        <f>IF(A373="","",ROUND(V373-W373,2))</f>
        <v>0</v>
      </c>
      <c r="Y373" s="31">
        <f>IF(B373="","",IF(J373&lt;&gt;"",J373,IF(IFERROR(INDEX(Clients!$P$5:$P$204,MATCH(D373,Clients!$A$5:$A$204,0)),"")&lt;&gt;"",INDEX(Clients!$P$5:$P$204,MATCH(D373,Clients!$A$5:$A$204,0)),PaymentTerms)))</f>
        <v>0</v>
      </c>
      <c r="Z373" s="18">
        <f>IF(OR(A373="",B373=""),"",B373+Y373)</f>
        <v>0</v>
      </c>
      <c r="AA373" s="31">
        <f>IF(OR(A373="",Z373=""),"",IF(X373&lt;=0.004,"",MAX(0,TodayDate-Z373-OverdueGrace)))</f>
        <v>0</v>
      </c>
      <c r="AB373" s="39">
        <f>IF(B373="","",IF(X373&lt;=0.004,"Paid",IF(AA373="","Not due yet",IF(AA373=0,"Due now",IF(AA373&lt;=30,"1-30 days",IF(AA373&lt;=60,"31-60 days",IF(AA373&lt;=90,"61-90 days","90+ days")))))))</f>
        <v>0</v>
      </c>
      <c r="AC373" s="21">
        <f>IF(OR(A373="",AA373=""),"",IF(AA373&lt;=0,0,ROUND(X373*LateFeePercent,2)))</f>
        <v>0</v>
      </c>
      <c r="AD373" s="50">
        <f>IF(B373="","",IF(X373&lt;=0.004,"Yes","No"))</f>
        <v>0</v>
      </c>
      <c r="AE373" s="39">
        <f>IF(B373="","",IF(Q373=0,"Add - no lines on this invoice yet",IF(H373="Written off","Written off",IF(AD373="Yes","OK - paid",IF(H373="Draft","Draft - not sent yet",IF(AND(AA373&lt;&gt;"",AA373&gt;30),"Overdue - "&amp;AA373&amp;" days, call them",IF(AND(AA373&lt;&gt;"",AA373&gt;0),"Overdue - send a reminder",IF(W373&gt;0,"Part paid","Due - waiting for payment"))))))))</f>
        <v>0</v>
      </c>
    </row>
    <row r="374" spans="1:31">
      <c r="A374" s="43">
        <f>IF(B374="","",InvoicePrefix&amp;TEXT(ROW()-4,"0000"))</f>
        <v>0</v>
      </c>
      <c r="C374" s="23">
        <f>IF(B374="","",TEXT(B374,"yyyy-mm"))</f>
        <v>0</v>
      </c>
      <c r="E374" s="23">
        <f>IF(D374="","",IFERROR(INDEX(Clients!$B$5:$B$204,MATCH(D374,Clients!$A$5:$A$204,0)),"Not found"))</f>
        <v>0</v>
      </c>
      <c r="F374" s="23">
        <f>IF(D374="","",IFERROR(INDEX(Clients!$G$5:$G$204,MATCH(D374,Clients!$A$5:$A$204,0)),""))</f>
        <v>0</v>
      </c>
      <c r="Q374" s="31">
        <f>IF(A374="","",COUNTIFS('Invoice Lines'!$B$5:$B$804,A374))</f>
        <v>0</v>
      </c>
      <c r="R374" s="21">
        <f>IF(A374="","",SUMIFS('Invoice Lines'!$N$5:$N$804,'Invoice Lines'!$B$5:$B$804,A374))</f>
        <v>0</v>
      </c>
      <c r="S374" s="21">
        <f>IF(A374="","",ROUND(R374*IF(K374="",0,K374),2))</f>
        <v>0</v>
      </c>
      <c r="T374" s="21">
        <f>IF(A374="","",R374-S374)</f>
        <v>0</v>
      </c>
      <c r="U374" s="21">
        <f>IF(A374="","",ROUND(T374*TaxRate,2))</f>
        <v>0</v>
      </c>
      <c r="V374" s="21">
        <f>IF(A374="","",T374+U374)</f>
        <v>0</v>
      </c>
      <c r="W374" s="21">
        <f>IF(A374="","",SUMIFS(Payments!$G$5:$G$404,Payments!$D$5:$D$404,A374))</f>
        <v>0</v>
      </c>
      <c r="X374" s="21">
        <f>IF(A374="","",ROUND(V374-W374,2))</f>
        <v>0</v>
      </c>
      <c r="Y374" s="31">
        <f>IF(B374="","",IF(J374&lt;&gt;"",J374,IF(IFERROR(INDEX(Clients!$P$5:$P$204,MATCH(D374,Clients!$A$5:$A$204,0)),"")&lt;&gt;"",INDEX(Clients!$P$5:$P$204,MATCH(D374,Clients!$A$5:$A$204,0)),PaymentTerms)))</f>
        <v>0</v>
      </c>
      <c r="Z374" s="18">
        <f>IF(OR(A374="",B374=""),"",B374+Y374)</f>
        <v>0</v>
      </c>
      <c r="AA374" s="31">
        <f>IF(OR(A374="",Z374=""),"",IF(X374&lt;=0.004,"",MAX(0,TodayDate-Z374-OverdueGrace)))</f>
        <v>0</v>
      </c>
      <c r="AB374" s="39">
        <f>IF(B374="","",IF(X374&lt;=0.004,"Paid",IF(AA374="","Not due yet",IF(AA374=0,"Due now",IF(AA374&lt;=30,"1-30 days",IF(AA374&lt;=60,"31-60 days",IF(AA374&lt;=90,"61-90 days","90+ days")))))))</f>
        <v>0</v>
      </c>
      <c r="AC374" s="21">
        <f>IF(OR(A374="",AA374=""),"",IF(AA374&lt;=0,0,ROUND(X374*LateFeePercent,2)))</f>
        <v>0</v>
      </c>
      <c r="AD374" s="50">
        <f>IF(B374="","",IF(X374&lt;=0.004,"Yes","No"))</f>
        <v>0</v>
      </c>
      <c r="AE374" s="39">
        <f>IF(B374="","",IF(Q374=0,"Add - no lines on this invoice yet",IF(H374="Written off","Written off",IF(AD374="Yes","OK - paid",IF(H374="Draft","Draft - not sent yet",IF(AND(AA374&lt;&gt;"",AA374&gt;30),"Overdue - "&amp;AA374&amp;" days, call them",IF(AND(AA374&lt;&gt;"",AA374&gt;0),"Overdue - send a reminder",IF(W374&gt;0,"Part paid","Due - waiting for payment"))))))))</f>
        <v>0</v>
      </c>
    </row>
    <row r="375" spans="1:31">
      <c r="A375" s="43">
        <f>IF(B375="","",InvoicePrefix&amp;TEXT(ROW()-4,"0000"))</f>
        <v>0</v>
      </c>
      <c r="C375" s="23">
        <f>IF(B375="","",TEXT(B375,"yyyy-mm"))</f>
        <v>0</v>
      </c>
      <c r="E375" s="23">
        <f>IF(D375="","",IFERROR(INDEX(Clients!$B$5:$B$204,MATCH(D375,Clients!$A$5:$A$204,0)),"Not found"))</f>
        <v>0</v>
      </c>
      <c r="F375" s="23">
        <f>IF(D375="","",IFERROR(INDEX(Clients!$G$5:$G$204,MATCH(D375,Clients!$A$5:$A$204,0)),""))</f>
        <v>0</v>
      </c>
      <c r="Q375" s="31">
        <f>IF(A375="","",COUNTIFS('Invoice Lines'!$B$5:$B$804,A375))</f>
        <v>0</v>
      </c>
      <c r="R375" s="21">
        <f>IF(A375="","",SUMIFS('Invoice Lines'!$N$5:$N$804,'Invoice Lines'!$B$5:$B$804,A375))</f>
        <v>0</v>
      </c>
      <c r="S375" s="21">
        <f>IF(A375="","",ROUND(R375*IF(K375="",0,K375),2))</f>
        <v>0</v>
      </c>
      <c r="T375" s="21">
        <f>IF(A375="","",R375-S375)</f>
        <v>0</v>
      </c>
      <c r="U375" s="21">
        <f>IF(A375="","",ROUND(T375*TaxRate,2))</f>
        <v>0</v>
      </c>
      <c r="V375" s="21">
        <f>IF(A375="","",T375+U375)</f>
        <v>0</v>
      </c>
      <c r="W375" s="21">
        <f>IF(A375="","",SUMIFS(Payments!$G$5:$G$404,Payments!$D$5:$D$404,A375))</f>
        <v>0</v>
      </c>
      <c r="X375" s="21">
        <f>IF(A375="","",ROUND(V375-W375,2))</f>
        <v>0</v>
      </c>
      <c r="Y375" s="31">
        <f>IF(B375="","",IF(J375&lt;&gt;"",J375,IF(IFERROR(INDEX(Clients!$P$5:$P$204,MATCH(D375,Clients!$A$5:$A$204,0)),"")&lt;&gt;"",INDEX(Clients!$P$5:$P$204,MATCH(D375,Clients!$A$5:$A$204,0)),PaymentTerms)))</f>
        <v>0</v>
      </c>
      <c r="Z375" s="18">
        <f>IF(OR(A375="",B375=""),"",B375+Y375)</f>
        <v>0</v>
      </c>
      <c r="AA375" s="31">
        <f>IF(OR(A375="",Z375=""),"",IF(X375&lt;=0.004,"",MAX(0,TodayDate-Z375-OverdueGrace)))</f>
        <v>0</v>
      </c>
      <c r="AB375" s="39">
        <f>IF(B375="","",IF(X375&lt;=0.004,"Paid",IF(AA375="","Not due yet",IF(AA375=0,"Due now",IF(AA375&lt;=30,"1-30 days",IF(AA375&lt;=60,"31-60 days",IF(AA375&lt;=90,"61-90 days","90+ days")))))))</f>
        <v>0</v>
      </c>
      <c r="AC375" s="21">
        <f>IF(OR(A375="",AA375=""),"",IF(AA375&lt;=0,0,ROUND(X375*LateFeePercent,2)))</f>
        <v>0</v>
      </c>
      <c r="AD375" s="50">
        <f>IF(B375="","",IF(X375&lt;=0.004,"Yes","No"))</f>
        <v>0</v>
      </c>
      <c r="AE375" s="39">
        <f>IF(B375="","",IF(Q375=0,"Add - no lines on this invoice yet",IF(H375="Written off","Written off",IF(AD375="Yes","OK - paid",IF(H375="Draft","Draft - not sent yet",IF(AND(AA375&lt;&gt;"",AA375&gt;30),"Overdue - "&amp;AA375&amp;" days, call them",IF(AND(AA375&lt;&gt;"",AA375&gt;0),"Overdue - send a reminder",IF(W375&gt;0,"Part paid","Due - waiting for payment"))))))))</f>
        <v>0</v>
      </c>
    </row>
    <row r="376" spans="1:31">
      <c r="A376" s="43">
        <f>IF(B376="","",InvoicePrefix&amp;TEXT(ROW()-4,"0000"))</f>
        <v>0</v>
      </c>
      <c r="C376" s="23">
        <f>IF(B376="","",TEXT(B376,"yyyy-mm"))</f>
        <v>0</v>
      </c>
      <c r="E376" s="23">
        <f>IF(D376="","",IFERROR(INDEX(Clients!$B$5:$B$204,MATCH(D376,Clients!$A$5:$A$204,0)),"Not found"))</f>
        <v>0</v>
      </c>
      <c r="F376" s="23">
        <f>IF(D376="","",IFERROR(INDEX(Clients!$G$5:$G$204,MATCH(D376,Clients!$A$5:$A$204,0)),""))</f>
        <v>0</v>
      </c>
      <c r="Q376" s="31">
        <f>IF(A376="","",COUNTIFS('Invoice Lines'!$B$5:$B$804,A376))</f>
        <v>0</v>
      </c>
      <c r="R376" s="21">
        <f>IF(A376="","",SUMIFS('Invoice Lines'!$N$5:$N$804,'Invoice Lines'!$B$5:$B$804,A376))</f>
        <v>0</v>
      </c>
      <c r="S376" s="21">
        <f>IF(A376="","",ROUND(R376*IF(K376="",0,K376),2))</f>
        <v>0</v>
      </c>
      <c r="T376" s="21">
        <f>IF(A376="","",R376-S376)</f>
        <v>0</v>
      </c>
      <c r="U376" s="21">
        <f>IF(A376="","",ROUND(T376*TaxRate,2))</f>
        <v>0</v>
      </c>
      <c r="V376" s="21">
        <f>IF(A376="","",T376+U376)</f>
        <v>0</v>
      </c>
      <c r="W376" s="21">
        <f>IF(A376="","",SUMIFS(Payments!$G$5:$G$404,Payments!$D$5:$D$404,A376))</f>
        <v>0</v>
      </c>
      <c r="X376" s="21">
        <f>IF(A376="","",ROUND(V376-W376,2))</f>
        <v>0</v>
      </c>
      <c r="Y376" s="31">
        <f>IF(B376="","",IF(J376&lt;&gt;"",J376,IF(IFERROR(INDEX(Clients!$P$5:$P$204,MATCH(D376,Clients!$A$5:$A$204,0)),"")&lt;&gt;"",INDEX(Clients!$P$5:$P$204,MATCH(D376,Clients!$A$5:$A$204,0)),PaymentTerms)))</f>
        <v>0</v>
      </c>
      <c r="Z376" s="18">
        <f>IF(OR(A376="",B376=""),"",B376+Y376)</f>
        <v>0</v>
      </c>
      <c r="AA376" s="31">
        <f>IF(OR(A376="",Z376=""),"",IF(X376&lt;=0.004,"",MAX(0,TodayDate-Z376-OverdueGrace)))</f>
        <v>0</v>
      </c>
      <c r="AB376" s="39">
        <f>IF(B376="","",IF(X376&lt;=0.004,"Paid",IF(AA376="","Not due yet",IF(AA376=0,"Due now",IF(AA376&lt;=30,"1-30 days",IF(AA376&lt;=60,"31-60 days",IF(AA376&lt;=90,"61-90 days","90+ days")))))))</f>
        <v>0</v>
      </c>
      <c r="AC376" s="21">
        <f>IF(OR(A376="",AA376=""),"",IF(AA376&lt;=0,0,ROUND(X376*LateFeePercent,2)))</f>
        <v>0</v>
      </c>
      <c r="AD376" s="50">
        <f>IF(B376="","",IF(X376&lt;=0.004,"Yes","No"))</f>
        <v>0</v>
      </c>
      <c r="AE376" s="39">
        <f>IF(B376="","",IF(Q376=0,"Add - no lines on this invoice yet",IF(H376="Written off","Written off",IF(AD376="Yes","OK - paid",IF(H376="Draft","Draft - not sent yet",IF(AND(AA376&lt;&gt;"",AA376&gt;30),"Overdue - "&amp;AA376&amp;" days, call them",IF(AND(AA376&lt;&gt;"",AA376&gt;0),"Overdue - send a reminder",IF(W376&gt;0,"Part paid","Due - waiting for payment"))))))))</f>
        <v>0</v>
      </c>
    </row>
    <row r="377" spans="1:31">
      <c r="A377" s="43">
        <f>IF(B377="","",InvoicePrefix&amp;TEXT(ROW()-4,"0000"))</f>
        <v>0</v>
      </c>
      <c r="C377" s="23">
        <f>IF(B377="","",TEXT(B377,"yyyy-mm"))</f>
        <v>0</v>
      </c>
      <c r="E377" s="23">
        <f>IF(D377="","",IFERROR(INDEX(Clients!$B$5:$B$204,MATCH(D377,Clients!$A$5:$A$204,0)),"Not found"))</f>
        <v>0</v>
      </c>
      <c r="F377" s="23">
        <f>IF(D377="","",IFERROR(INDEX(Clients!$G$5:$G$204,MATCH(D377,Clients!$A$5:$A$204,0)),""))</f>
        <v>0</v>
      </c>
      <c r="Q377" s="31">
        <f>IF(A377="","",COUNTIFS('Invoice Lines'!$B$5:$B$804,A377))</f>
        <v>0</v>
      </c>
      <c r="R377" s="21">
        <f>IF(A377="","",SUMIFS('Invoice Lines'!$N$5:$N$804,'Invoice Lines'!$B$5:$B$804,A377))</f>
        <v>0</v>
      </c>
      <c r="S377" s="21">
        <f>IF(A377="","",ROUND(R377*IF(K377="",0,K377),2))</f>
        <v>0</v>
      </c>
      <c r="T377" s="21">
        <f>IF(A377="","",R377-S377)</f>
        <v>0</v>
      </c>
      <c r="U377" s="21">
        <f>IF(A377="","",ROUND(T377*TaxRate,2))</f>
        <v>0</v>
      </c>
      <c r="V377" s="21">
        <f>IF(A377="","",T377+U377)</f>
        <v>0</v>
      </c>
      <c r="W377" s="21">
        <f>IF(A377="","",SUMIFS(Payments!$G$5:$G$404,Payments!$D$5:$D$404,A377))</f>
        <v>0</v>
      </c>
      <c r="X377" s="21">
        <f>IF(A377="","",ROUND(V377-W377,2))</f>
        <v>0</v>
      </c>
      <c r="Y377" s="31">
        <f>IF(B377="","",IF(J377&lt;&gt;"",J377,IF(IFERROR(INDEX(Clients!$P$5:$P$204,MATCH(D377,Clients!$A$5:$A$204,0)),"")&lt;&gt;"",INDEX(Clients!$P$5:$P$204,MATCH(D377,Clients!$A$5:$A$204,0)),PaymentTerms)))</f>
        <v>0</v>
      </c>
      <c r="Z377" s="18">
        <f>IF(OR(A377="",B377=""),"",B377+Y377)</f>
        <v>0</v>
      </c>
      <c r="AA377" s="31">
        <f>IF(OR(A377="",Z377=""),"",IF(X377&lt;=0.004,"",MAX(0,TodayDate-Z377-OverdueGrace)))</f>
        <v>0</v>
      </c>
      <c r="AB377" s="39">
        <f>IF(B377="","",IF(X377&lt;=0.004,"Paid",IF(AA377="","Not due yet",IF(AA377=0,"Due now",IF(AA377&lt;=30,"1-30 days",IF(AA377&lt;=60,"31-60 days",IF(AA377&lt;=90,"61-90 days","90+ days")))))))</f>
        <v>0</v>
      </c>
      <c r="AC377" s="21">
        <f>IF(OR(A377="",AA377=""),"",IF(AA377&lt;=0,0,ROUND(X377*LateFeePercent,2)))</f>
        <v>0</v>
      </c>
      <c r="AD377" s="50">
        <f>IF(B377="","",IF(X377&lt;=0.004,"Yes","No"))</f>
        <v>0</v>
      </c>
      <c r="AE377" s="39">
        <f>IF(B377="","",IF(Q377=0,"Add - no lines on this invoice yet",IF(H377="Written off","Written off",IF(AD377="Yes","OK - paid",IF(H377="Draft","Draft - not sent yet",IF(AND(AA377&lt;&gt;"",AA377&gt;30),"Overdue - "&amp;AA377&amp;" days, call them",IF(AND(AA377&lt;&gt;"",AA377&gt;0),"Overdue - send a reminder",IF(W377&gt;0,"Part paid","Due - waiting for payment"))))))))</f>
        <v>0</v>
      </c>
    </row>
    <row r="378" spans="1:31">
      <c r="A378" s="43">
        <f>IF(B378="","",InvoicePrefix&amp;TEXT(ROW()-4,"0000"))</f>
        <v>0</v>
      </c>
      <c r="C378" s="23">
        <f>IF(B378="","",TEXT(B378,"yyyy-mm"))</f>
        <v>0</v>
      </c>
      <c r="E378" s="23">
        <f>IF(D378="","",IFERROR(INDEX(Clients!$B$5:$B$204,MATCH(D378,Clients!$A$5:$A$204,0)),"Not found"))</f>
        <v>0</v>
      </c>
      <c r="F378" s="23">
        <f>IF(D378="","",IFERROR(INDEX(Clients!$G$5:$G$204,MATCH(D378,Clients!$A$5:$A$204,0)),""))</f>
        <v>0</v>
      </c>
      <c r="Q378" s="31">
        <f>IF(A378="","",COUNTIFS('Invoice Lines'!$B$5:$B$804,A378))</f>
        <v>0</v>
      </c>
      <c r="R378" s="21">
        <f>IF(A378="","",SUMIFS('Invoice Lines'!$N$5:$N$804,'Invoice Lines'!$B$5:$B$804,A378))</f>
        <v>0</v>
      </c>
      <c r="S378" s="21">
        <f>IF(A378="","",ROUND(R378*IF(K378="",0,K378),2))</f>
        <v>0</v>
      </c>
      <c r="T378" s="21">
        <f>IF(A378="","",R378-S378)</f>
        <v>0</v>
      </c>
      <c r="U378" s="21">
        <f>IF(A378="","",ROUND(T378*TaxRate,2))</f>
        <v>0</v>
      </c>
      <c r="V378" s="21">
        <f>IF(A378="","",T378+U378)</f>
        <v>0</v>
      </c>
      <c r="W378" s="21">
        <f>IF(A378="","",SUMIFS(Payments!$G$5:$G$404,Payments!$D$5:$D$404,A378))</f>
        <v>0</v>
      </c>
      <c r="X378" s="21">
        <f>IF(A378="","",ROUND(V378-W378,2))</f>
        <v>0</v>
      </c>
      <c r="Y378" s="31">
        <f>IF(B378="","",IF(J378&lt;&gt;"",J378,IF(IFERROR(INDEX(Clients!$P$5:$P$204,MATCH(D378,Clients!$A$5:$A$204,0)),"")&lt;&gt;"",INDEX(Clients!$P$5:$P$204,MATCH(D378,Clients!$A$5:$A$204,0)),PaymentTerms)))</f>
        <v>0</v>
      </c>
      <c r="Z378" s="18">
        <f>IF(OR(A378="",B378=""),"",B378+Y378)</f>
        <v>0</v>
      </c>
      <c r="AA378" s="31">
        <f>IF(OR(A378="",Z378=""),"",IF(X378&lt;=0.004,"",MAX(0,TodayDate-Z378-OverdueGrace)))</f>
        <v>0</v>
      </c>
      <c r="AB378" s="39">
        <f>IF(B378="","",IF(X378&lt;=0.004,"Paid",IF(AA378="","Not due yet",IF(AA378=0,"Due now",IF(AA378&lt;=30,"1-30 days",IF(AA378&lt;=60,"31-60 days",IF(AA378&lt;=90,"61-90 days","90+ days")))))))</f>
        <v>0</v>
      </c>
      <c r="AC378" s="21">
        <f>IF(OR(A378="",AA378=""),"",IF(AA378&lt;=0,0,ROUND(X378*LateFeePercent,2)))</f>
        <v>0</v>
      </c>
      <c r="AD378" s="50">
        <f>IF(B378="","",IF(X378&lt;=0.004,"Yes","No"))</f>
        <v>0</v>
      </c>
      <c r="AE378" s="39">
        <f>IF(B378="","",IF(Q378=0,"Add - no lines on this invoice yet",IF(H378="Written off","Written off",IF(AD378="Yes","OK - paid",IF(H378="Draft","Draft - not sent yet",IF(AND(AA378&lt;&gt;"",AA378&gt;30),"Overdue - "&amp;AA378&amp;" days, call them",IF(AND(AA378&lt;&gt;"",AA378&gt;0),"Overdue - send a reminder",IF(W378&gt;0,"Part paid","Due - waiting for payment"))))))))</f>
        <v>0</v>
      </c>
    </row>
    <row r="379" spans="1:31">
      <c r="A379" s="43">
        <f>IF(B379="","",InvoicePrefix&amp;TEXT(ROW()-4,"0000"))</f>
        <v>0</v>
      </c>
      <c r="C379" s="23">
        <f>IF(B379="","",TEXT(B379,"yyyy-mm"))</f>
        <v>0</v>
      </c>
      <c r="E379" s="23">
        <f>IF(D379="","",IFERROR(INDEX(Clients!$B$5:$B$204,MATCH(D379,Clients!$A$5:$A$204,0)),"Not found"))</f>
        <v>0</v>
      </c>
      <c r="F379" s="23">
        <f>IF(D379="","",IFERROR(INDEX(Clients!$G$5:$G$204,MATCH(D379,Clients!$A$5:$A$204,0)),""))</f>
        <v>0</v>
      </c>
      <c r="Q379" s="31">
        <f>IF(A379="","",COUNTIFS('Invoice Lines'!$B$5:$B$804,A379))</f>
        <v>0</v>
      </c>
      <c r="R379" s="21">
        <f>IF(A379="","",SUMIFS('Invoice Lines'!$N$5:$N$804,'Invoice Lines'!$B$5:$B$804,A379))</f>
        <v>0</v>
      </c>
      <c r="S379" s="21">
        <f>IF(A379="","",ROUND(R379*IF(K379="",0,K379),2))</f>
        <v>0</v>
      </c>
      <c r="T379" s="21">
        <f>IF(A379="","",R379-S379)</f>
        <v>0</v>
      </c>
      <c r="U379" s="21">
        <f>IF(A379="","",ROUND(T379*TaxRate,2))</f>
        <v>0</v>
      </c>
      <c r="V379" s="21">
        <f>IF(A379="","",T379+U379)</f>
        <v>0</v>
      </c>
      <c r="W379" s="21">
        <f>IF(A379="","",SUMIFS(Payments!$G$5:$G$404,Payments!$D$5:$D$404,A379))</f>
        <v>0</v>
      </c>
      <c r="X379" s="21">
        <f>IF(A379="","",ROUND(V379-W379,2))</f>
        <v>0</v>
      </c>
      <c r="Y379" s="31">
        <f>IF(B379="","",IF(J379&lt;&gt;"",J379,IF(IFERROR(INDEX(Clients!$P$5:$P$204,MATCH(D379,Clients!$A$5:$A$204,0)),"")&lt;&gt;"",INDEX(Clients!$P$5:$P$204,MATCH(D379,Clients!$A$5:$A$204,0)),PaymentTerms)))</f>
        <v>0</v>
      </c>
      <c r="Z379" s="18">
        <f>IF(OR(A379="",B379=""),"",B379+Y379)</f>
        <v>0</v>
      </c>
      <c r="AA379" s="31">
        <f>IF(OR(A379="",Z379=""),"",IF(X379&lt;=0.004,"",MAX(0,TodayDate-Z379-OverdueGrace)))</f>
        <v>0</v>
      </c>
      <c r="AB379" s="39">
        <f>IF(B379="","",IF(X379&lt;=0.004,"Paid",IF(AA379="","Not due yet",IF(AA379=0,"Due now",IF(AA379&lt;=30,"1-30 days",IF(AA379&lt;=60,"31-60 days",IF(AA379&lt;=90,"61-90 days","90+ days")))))))</f>
        <v>0</v>
      </c>
      <c r="AC379" s="21">
        <f>IF(OR(A379="",AA379=""),"",IF(AA379&lt;=0,0,ROUND(X379*LateFeePercent,2)))</f>
        <v>0</v>
      </c>
      <c r="AD379" s="50">
        <f>IF(B379="","",IF(X379&lt;=0.004,"Yes","No"))</f>
        <v>0</v>
      </c>
      <c r="AE379" s="39">
        <f>IF(B379="","",IF(Q379=0,"Add - no lines on this invoice yet",IF(H379="Written off","Written off",IF(AD379="Yes","OK - paid",IF(H379="Draft","Draft - not sent yet",IF(AND(AA379&lt;&gt;"",AA379&gt;30),"Overdue - "&amp;AA379&amp;" days, call them",IF(AND(AA379&lt;&gt;"",AA379&gt;0),"Overdue - send a reminder",IF(W379&gt;0,"Part paid","Due - waiting for payment"))))))))</f>
        <v>0</v>
      </c>
    </row>
    <row r="380" spans="1:31">
      <c r="A380" s="43">
        <f>IF(B380="","",InvoicePrefix&amp;TEXT(ROW()-4,"0000"))</f>
        <v>0</v>
      </c>
      <c r="C380" s="23">
        <f>IF(B380="","",TEXT(B380,"yyyy-mm"))</f>
        <v>0</v>
      </c>
      <c r="E380" s="23">
        <f>IF(D380="","",IFERROR(INDEX(Clients!$B$5:$B$204,MATCH(D380,Clients!$A$5:$A$204,0)),"Not found"))</f>
        <v>0</v>
      </c>
      <c r="F380" s="23">
        <f>IF(D380="","",IFERROR(INDEX(Clients!$G$5:$G$204,MATCH(D380,Clients!$A$5:$A$204,0)),""))</f>
        <v>0</v>
      </c>
      <c r="Q380" s="31">
        <f>IF(A380="","",COUNTIFS('Invoice Lines'!$B$5:$B$804,A380))</f>
        <v>0</v>
      </c>
      <c r="R380" s="21">
        <f>IF(A380="","",SUMIFS('Invoice Lines'!$N$5:$N$804,'Invoice Lines'!$B$5:$B$804,A380))</f>
        <v>0</v>
      </c>
      <c r="S380" s="21">
        <f>IF(A380="","",ROUND(R380*IF(K380="",0,K380),2))</f>
        <v>0</v>
      </c>
      <c r="T380" s="21">
        <f>IF(A380="","",R380-S380)</f>
        <v>0</v>
      </c>
      <c r="U380" s="21">
        <f>IF(A380="","",ROUND(T380*TaxRate,2))</f>
        <v>0</v>
      </c>
      <c r="V380" s="21">
        <f>IF(A380="","",T380+U380)</f>
        <v>0</v>
      </c>
      <c r="W380" s="21">
        <f>IF(A380="","",SUMIFS(Payments!$G$5:$G$404,Payments!$D$5:$D$404,A380))</f>
        <v>0</v>
      </c>
      <c r="X380" s="21">
        <f>IF(A380="","",ROUND(V380-W380,2))</f>
        <v>0</v>
      </c>
      <c r="Y380" s="31">
        <f>IF(B380="","",IF(J380&lt;&gt;"",J380,IF(IFERROR(INDEX(Clients!$P$5:$P$204,MATCH(D380,Clients!$A$5:$A$204,0)),"")&lt;&gt;"",INDEX(Clients!$P$5:$P$204,MATCH(D380,Clients!$A$5:$A$204,0)),PaymentTerms)))</f>
        <v>0</v>
      </c>
      <c r="Z380" s="18">
        <f>IF(OR(A380="",B380=""),"",B380+Y380)</f>
        <v>0</v>
      </c>
      <c r="AA380" s="31">
        <f>IF(OR(A380="",Z380=""),"",IF(X380&lt;=0.004,"",MAX(0,TodayDate-Z380-OverdueGrace)))</f>
        <v>0</v>
      </c>
      <c r="AB380" s="39">
        <f>IF(B380="","",IF(X380&lt;=0.004,"Paid",IF(AA380="","Not due yet",IF(AA380=0,"Due now",IF(AA380&lt;=30,"1-30 days",IF(AA380&lt;=60,"31-60 days",IF(AA380&lt;=90,"61-90 days","90+ days")))))))</f>
        <v>0</v>
      </c>
      <c r="AC380" s="21">
        <f>IF(OR(A380="",AA380=""),"",IF(AA380&lt;=0,0,ROUND(X380*LateFeePercent,2)))</f>
        <v>0</v>
      </c>
      <c r="AD380" s="50">
        <f>IF(B380="","",IF(X380&lt;=0.004,"Yes","No"))</f>
        <v>0</v>
      </c>
      <c r="AE380" s="39">
        <f>IF(B380="","",IF(Q380=0,"Add - no lines on this invoice yet",IF(H380="Written off","Written off",IF(AD380="Yes","OK - paid",IF(H380="Draft","Draft - not sent yet",IF(AND(AA380&lt;&gt;"",AA380&gt;30),"Overdue - "&amp;AA380&amp;" days, call them",IF(AND(AA380&lt;&gt;"",AA380&gt;0),"Overdue - send a reminder",IF(W380&gt;0,"Part paid","Due - waiting for payment"))))))))</f>
        <v>0</v>
      </c>
    </row>
    <row r="381" spans="1:31">
      <c r="A381" s="43">
        <f>IF(B381="","",InvoicePrefix&amp;TEXT(ROW()-4,"0000"))</f>
        <v>0</v>
      </c>
      <c r="C381" s="23">
        <f>IF(B381="","",TEXT(B381,"yyyy-mm"))</f>
        <v>0</v>
      </c>
      <c r="E381" s="23">
        <f>IF(D381="","",IFERROR(INDEX(Clients!$B$5:$B$204,MATCH(D381,Clients!$A$5:$A$204,0)),"Not found"))</f>
        <v>0</v>
      </c>
      <c r="F381" s="23">
        <f>IF(D381="","",IFERROR(INDEX(Clients!$G$5:$G$204,MATCH(D381,Clients!$A$5:$A$204,0)),""))</f>
        <v>0</v>
      </c>
      <c r="Q381" s="31">
        <f>IF(A381="","",COUNTIFS('Invoice Lines'!$B$5:$B$804,A381))</f>
        <v>0</v>
      </c>
      <c r="R381" s="21">
        <f>IF(A381="","",SUMIFS('Invoice Lines'!$N$5:$N$804,'Invoice Lines'!$B$5:$B$804,A381))</f>
        <v>0</v>
      </c>
      <c r="S381" s="21">
        <f>IF(A381="","",ROUND(R381*IF(K381="",0,K381),2))</f>
        <v>0</v>
      </c>
      <c r="T381" s="21">
        <f>IF(A381="","",R381-S381)</f>
        <v>0</v>
      </c>
      <c r="U381" s="21">
        <f>IF(A381="","",ROUND(T381*TaxRate,2))</f>
        <v>0</v>
      </c>
      <c r="V381" s="21">
        <f>IF(A381="","",T381+U381)</f>
        <v>0</v>
      </c>
      <c r="W381" s="21">
        <f>IF(A381="","",SUMIFS(Payments!$G$5:$G$404,Payments!$D$5:$D$404,A381))</f>
        <v>0</v>
      </c>
      <c r="X381" s="21">
        <f>IF(A381="","",ROUND(V381-W381,2))</f>
        <v>0</v>
      </c>
      <c r="Y381" s="31">
        <f>IF(B381="","",IF(J381&lt;&gt;"",J381,IF(IFERROR(INDEX(Clients!$P$5:$P$204,MATCH(D381,Clients!$A$5:$A$204,0)),"")&lt;&gt;"",INDEX(Clients!$P$5:$P$204,MATCH(D381,Clients!$A$5:$A$204,0)),PaymentTerms)))</f>
        <v>0</v>
      </c>
      <c r="Z381" s="18">
        <f>IF(OR(A381="",B381=""),"",B381+Y381)</f>
        <v>0</v>
      </c>
      <c r="AA381" s="31">
        <f>IF(OR(A381="",Z381=""),"",IF(X381&lt;=0.004,"",MAX(0,TodayDate-Z381-OverdueGrace)))</f>
        <v>0</v>
      </c>
      <c r="AB381" s="39">
        <f>IF(B381="","",IF(X381&lt;=0.004,"Paid",IF(AA381="","Not due yet",IF(AA381=0,"Due now",IF(AA381&lt;=30,"1-30 days",IF(AA381&lt;=60,"31-60 days",IF(AA381&lt;=90,"61-90 days","90+ days")))))))</f>
        <v>0</v>
      </c>
      <c r="AC381" s="21">
        <f>IF(OR(A381="",AA381=""),"",IF(AA381&lt;=0,0,ROUND(X381*LateFeePercent,2)))</f>
        <v>0</v>
      </c>
      <c r="AD381" s="50">
        <f>IF(B381="","",IF(X381&lt;=0.004,"Yes","No"))</f>
        <v>0</v>
      </c>
      <c r="AE381" s="39">
        <f>IF(B381="","",IF(Q381=0,"Add - no lines on this invoice yet",IF(H381="Written off","Written off",IF(AD381="Yes","OK - paid",IF(H381="Draft","Draft - not sent yet",IF(AND(AA381&lt;&gt;"",AA381&gt;30),"Overdue - "&amp;AA381&amp;" days, call them",IF(AND(AA381&lt;&gt;"",AA381&gt;0),"Overdue - send a reminder",IF(W381&gt;0,"Part paid","Due - waiting for payment"))))))))</f>
        <v>0</v>
      </c>
    </row>
    <row r="382" spans="1:31">
      <c r="A382" s="43">
        <f>IF(B382="","",InvoicePrefix&amp;TEXT(ROW()-4,"0000"))</f>
        <v>0</v>
      </c>
      <c r="C382" s="23">
        <f>IF(B382="","",TEXT(B382,"yyyy-mm"))</f>
        <v>0</v>
      </c>
      <c r="E382" s="23">
        <f>IF(D382="","",IFERROR(INDEX(Clients!$B$5:$B$204,MATCH(D382,Clients!$A$5:$A$204,0)),"Not found"))</f>
        <v>0</v>
      </c>
      <c r="F382" s="23">
        <f>IF(D382="","",IFERROR(INDEX(Clients!$G$5:$G$204,MATCH(D382,Clients!$A$5:$A$204,0)),""))</f>
        <v>0</v>
      </c>
      <c r="Q382" s="31">
        <f>IF(A382="","",COUNTIFS('Invoice Lines'!$B$5:$B$804,A382))</f>
        <v>0</v>
      </c>
      <c r="R382" s="21">
        <f>IF(A382="","",SUMIFS('Invoice Lines'!$N$5:$N$804,'Invoice Lines'!$B$5:$B$804,A382))</f>
        <v>0</v>
      </c>
      <c r="S382" s="21">
        <f>IF(A382="","",ROUND(R382*IF(K382="",0,K382),2))</f>
        <v>0</v>
      </c>
      <c r="T382" s="21">
        <f>IF(A382="","",R382-S382)</f>
        <v>0</v>
      </c>
      <c r="U382" s="21">
        <f>IF(A382="","",ROUND(T382*TaxRate,2))</f>
        <v>0</v>
      </c>
      <c r="V382" s="21">
        <f>IF(A382="","",T382+U382)</f>
        <v>0</v>
      </c>
      <c r="W382" s="21">
        <f>IF(A382="","",SUMIFS(Payments!$G$5:$G$404,Payments!$D$5:$D$404,A382))</f>
        <v>0</v>
      </c>
      <c r="X382" s="21">
        <f>IF(A382="","",ROUND(V382-W382,2))</f>
        <v>0</v>
      </c>
      <c r="Y382" s="31">
        <f>IF(B382="","",IF(J382&lt;&gt;"",J382,IF(IFERROR(INDEX(Clients!$P$5:$P$204,MATCH(D382,Clients!$A$5:$A$204,0)),"")&lt;&gt;"",INDEX(Clients!$P$5:$P$204,MATCH(D382,Clients!$A$5:$A$204,0)),PaymentTerms)))</f>
        <v>0</v>
      </c>
      <c r="Z382" s="18">
        <f>IF(OR(A382="",B382=""),"",B382+Y382)</f>
        <v>0</v>
      </c>
      <c r="AA382" s="31">
        <f>IF(OR(A382="",Z382=""),"",IF(X382&lt;=0.004,"",MAX(0,TodayDate-Z382-OverdueGrace)))</f>
        <v>0</v>
      </c>
      <c r="AB382" s="39">
        <f>IF(B382="","",IF(X382&lt;=0.004,"Paid",IF(AA382="","Not due yet",IF(AA382=0,"Due now",IF(AA382&lt;=30,"1-30 days",IF(AA382&lt;=60,"31-60 days",IF(AA382&lt;=90,"61-90 days","90+ days")))))))</f>
        <v>0</v>
      </c>
      <c r="AC382" s="21">
        <f>IF(OR(A382="",AA382=""),"",IF(AA382&lt;=0,0,ROUND(X382*LateFeePercent,2)))</f>
        <v>0</v>
      </c>
      <c r="AD382" s="50">
        <f>IF(B382="","",IF(X382&lt;=0.004,"Yes","No"))</f>
        <v>0</v>
      </c>
      <c r="AE382" s="39">
        <f>IF(B382="","",IF(Q382=0,"Add - no lines on this invoice yet",IF(H382="Written off","Written off",IF(AD382="Yes","OK - paid",IF(H382="Draft","Draft - not sent yet",IF(AND(AA382&lt;&gt;"",AA382&gt;30),"Overdue - "&amp;AA382&amp;" days, call them",IF(AND(AA382&lt;&gt;"",AA382&gt;0),"Overdue - send a reminder",IF(W382&gt;0,"Part paid","Due - waiting for payment"))))))))</f>
        <v>0</v>
      </c>
    </row>
    <row r="383" spans="1:31">
      <c r="A383" s="43">
        <f>IF(B383="","",InvoicePrefix&amp;TEXT(ROW()-4,"0000"))</f>
        <v>0</v>
      </c>
      <c r="C383" s="23">
        <f>IF(B383="","",TEXT(B383,"yyyy-mm"))</f>
        <v>0</v>
      </c>
      <c r="E383" s="23">
        <f>IF(D383="","",IFERROR(INDEX(Clients!$B$5:$B$204,MATCH(D383,Clients!$A$5:$A$204,0)),"Not found"))</f>
        <v>0</v>
      </c>
      <c r="F383" s="23">
        <f>IF(D383="","",IFERROR(INDEX(Clients!$G$5:$G$204,MATCH(D383,Clients!$A$5:$A$204,0)),""))</f>
        <v>0</v>
      </c>
      <c r="Q383" s="31">
        <f>IF(A383="","",COUNTIFS('Invoice Lines'!$B$5:$B$804,A383))</f>
        <v>0</v>
      </c>
      <c r="R383" s="21">
        <f>IF(A383="","",SUMIFS('Invoice Lines'!$N$5:$N$804,'Invoice Lines'!$B$5:$B$804,A383))</f>
        <v>0</v>
      </c>
      <c r="S383" s="21">
        <f>IF(A383="","",ROUND(R383*IF(K383="",0,K383),2))</f>
        <v>0</v>
      </c>
      <c r="T383" s="21">
        <f>IF(A383="","",R383-S383)</f>
        <v>0</v>
      </c>
      <c r="U383" s="21">
        <f>IF(A383="","",ROUND(T383*TaxRate,2))</f>
        <v>0</v>
      </c>
      <c r="V383" s="21">
        <f>IF(A383="","",T383+U383)</f>
        <v>0</v>
      </c>
      <c r="W383" s="21">
        <f>IF(A383="","",SUMIFS(Payments!$G$5:$G$404,Payments!$D$5:$D$404,A383))</f>
        <v>0</v>
      </c>
      <c r="X383" s="21">
        <f>IF(A383="","",ROUND(V383-W383,2))</f>
        <v>0</v>
      </c>
      <c r="Y383" s="31">
        <f>IF(B383="","",IF(J383&lt;&gt;"",J383,IF(IFERROR(INDEX(Clients!$P$5:$P$204,MATCH(D383,Clients!$A$5:$A$204,0)),"")&lt;&gt;"",INDEX(Clients!$P$5:$P$204,MATCH(D383,Clients!$A$5:$A$204,0)),PaymentTerms)))</f>
        <v>0</v>
      </c>
      <c r="Z383" s="18">
        <f>IF(OR(A383="",B383=""),"",B383+Y383)</f>
        <v>0</v>
      </c>
      <c r="AA383" s="31">
        <f>IF(OR(A383="",Z383=""),"",IF(X383&lt;=0.004,"",MAX(0,TodayDate-Z383-OverdueGrace)))</f>
        <v>0</v>
      </c>
      <c r="AB383" s="39">
        <f>IF(B383="","",IF(X383&lt;=0.004,"Paid",IF(AA383="","Not due yet",IF(AA383=0,"Due now",IF(AA383&lt;=30,"1-30 days",IF(AA383&lt;=60,"31-60 days",IF(AA383&lt;=90,"61-90 days","90+ days")))))))</f>
        <v>0</v>
      </c>
      <c r="AC383" s="21">
        <f>IF(OR(A383="",AA383=""),"",IF(AA383&lt;=0,0,ROUND(X383*LateFeePercent,2)))</f>
        <v>0</v>
      </c>
      <c r="AD383" s="50">
        <f>IF(B383="","",IF(X383&lt;=0.004,"Yes","No"))</f>
        <v>0</v>
      </c>
      <c r="AE383" s="39">
        <f>IF(B383="","",IF(Q383=0,"Add - no lines on this invoice yet",IF(H383="Written off","Written off",IF(AD383="Yes","OK - paid",IF(H383="Draft","Draft - not sent yet",IF(AND(AA383&lt;&gt;"",AA383&gt;30),"Overdue - "&amp;AA383&amp;" days, call them",IF(AND(AA383&lt;&gt;"",AA383&gt;0),"Overdue - send a reminder",IF(W383&gt;0,"Part paid","Due - waiting for payment"))))))))</f>
        <v>0</v>
      </c>
    </row>
    <row r="384" spans="1:31">
      <c r="A384" s="43">
        <f>IF(B384="","",InvoicePrefix&amp;TEXT(ROW()-4,"0000"))</f>
        <v>0</v>
      </c>
      <c r="C384" s="23">
        <f>IF(B384="","",TEXT(B384,"yyyy-mm"))</f>
        <v>0</v>
      </c>
      <c r="E384" s="23">
        <f>IF(D384="","",IFERROR(INDEX(Clients!$B$5:$B$204,MATCH(D384,Clients!$A$5:$A$204,0)),"Not found"))</f>
        <v>0</v>
      </c>
      <c r="F384" s="23">
        <f>IF(D384="","",IFERROR(INDEX(Clients!$G$5:$G$204,MATCH(D384,Clients!$A$5:$A$204,0)),""))</f>
        <v>0</v>
      </c>
      <c r="Q384" s="31">
        <f>IF(A384="","",COUNTIFS('Invoice Lines'!$B$5:$B$804,A384))</f>
        <v>0</v>
      </c>
      <c r="R384" s="21">
        <f>IF(A384="","",SUMIFS('Invoice Lines'!$N$5:$N$804,'Invoice Lines'!$B$5:$B$804,A384))</f>
        <v>0</v>
      </c>
      <c r="S384" s="21">
        <f>IF(A384="","",ROUND(R384*IF(K384="",0,K384),2))</f>
        <v>0</v>
      </c>
      <c r="T384" s="21">
        <f>IF(A384="","",R384-S384)</f>
        <v>0</v>
      </c>
      <c r="U384" s="21">
        <f>IF(A384="","",ROUND(T384*TaxRate,2))</f>
        <v>0</v>
      </c>
      <c r="V384" s="21">
        <f>IF(A384="","",T384+U384)</f>
        <v>0</v>
      </c>
      <c r="W384" s="21">
        <f>IF(A384="","",SUMIFS(Payments!$G$5:$G$404,Payments!$D$5:$D$404,A384))</f>
        <v>0</v>
      </c>
      <c r="X384" s="21">
        <f>IF(A384="","",ROUND(V384-W384,2))</f>
        <v>0</v>
      </c>
      <c r="Y384" s="31">
        <f>IF(B384="","",IF(J384&lt;&gt;"",J384,IF(IFERROR(INDEX(Clients!$P$5:$P$204,MATCH(D384,Clients!$A$5:$A$204,0)),"")&lt;&gt;"",INDEX(Clients!$P$5:$P$204,MATCH(D384,Clients!$A$5:$A$204,0)),PaymentTerms)))</f>
        <v>0</v>
      </c>
      <c r="Z384" s="18">
        <f>IF(OR(A384="",B384=""),"",B384+Y384)</f>
        <v>0</v>
      </c>
      <c r="AA384" s="31">
        <f>IF(OR(A384="",Z384=""),"",IF(X384&lt;=0.004,"",MAX(0,TodayDate-Z384-OverdueGrace)))</f>
        <v>0</v>
      </c>
      <c r="AB384" s="39">
        <f>IF(B384="","",IF(X384&lt;=0.004,"Paid",IF(AA384="","Not due yet",IF(AA384=0,"Due now",IF(AA384&lt;=30,"1-30 days",IF(AA384&lt;=60,"31-60 days",IF(AA384&lt;=90,"61-90 days","90+ days")))))))</f>
        <v>0</v>
      </c>
      <c r="AC384" s="21">
        <f>IF(OR(A384="",AA384=""),"",IF(AA384&lt;=0,0,ROUND(X384*LateFeePercent,2)))</f>
        <v>0</v>
      </c>
      <c r="AD384" s="50">
        <f>IF(B384="","",IF(X384&lt;=0.004,"Yes","No"))</f>
        <v>0</v>
      </c>
      <c r="AE384" s="39">
        <f>IF(B384="","",IF(Q384=0,"Add - no lines on this invoice yet",IF(H384="Written off","Written off",IF(AD384="Yes","OK - paid",IF(H384="Draft","Draft - not sent yet",IF(AND(AA384&lt;&gt;"",AA384&gt;30),"Overdue - "&amp;AA384&amp;" days, call them",IF(AND(AA384&lt;&gt;"",AA384&gt;0),"Overdue - send a reminder",IF(W384&gt;0,"Part paid","Due - waiting for payment"))))))))</f>
        <v>0</v>
      </c>
    </row>
    <row r="385" spans="1:31">
      <c r="A385" s="43">
        <f>IF(B385="","",InvoicePrefix&amp;TEXT(ROW()-4,"0000"))</f>
        <v>0</v>
      </c>
      <c r="C385" s="23">
        <f>IF(B385="","",TEXT(B385,"yyyy-mm"))</f>
        <v>0</v>
      </c>
      <c r="E385" s="23">
        <f>IF(D385="","",IFERROR(INDEX(Clients!$B$5:$B$204,MATCH(D385,Clients!$A$5:$A$204,0)),"Not found"))</f>
        <v>0</v>
      </c>
      <c r="F385" s="23">
        <f>IF(D385="","",IFERROR(INDEX(Clients!$G$5:$G$204,MATCH(D385,Clients!$A$5:$A$204,0)),""))</f>
        <v>0</v>
      </c>
      <c r="Q385" s="31">
        <f>IF(A385="","",COUNTIFS('Invoice Lines'!$B$5:$B$804,A385))</f>
        <v>0</v>
      </c>
      <c r="R385" s="21">
        <f>IF(A385="","",SUMIFS('Invoice Lines'!$N$5:$N$804,'Invoice Lines'!$B$5:$B$804,A385))</f>
        <v>0</v>
      </c>
      <c r="S385" s="21">
        <f>IF(A385="","",ROUND(R385*IF(K385="",0,K385),2))</f>
        <v>0</v>
      </c>
      <c r="T385" s="21">
        <f>IF(A385="","",R385-S385)</f>
        <v>0</v>
      </c>
      <c r="U385" s="21">
        <f>IF(A385="","",ROUND(T385*TaxRate,2))</f>
        <v>0</v>
      </c>
      <c r="V385" s="21">
        <f>IF(A385="","",T385+U385)</f>
        <v>0</v>
      </c>
      <c r="W385" s="21">
        <f>IF(A385="","",SUMIFS(Payments!$G$5:$G$404,Payments!$D$5:$D$404,A385))</f>
        <v>0</v>
      </c>
      <c r="X385" s="21">
        <f>IF(A385="","",ROUND(V385-W385,2))</f>
        <v>0</v>
      </c>
      <c r="Y385" s="31">
        <f>IF(B385="","",IF(J385&lt;&gt;"",J385,IF(IFERROR(INDEX(Clients!$P$5:$P$204,MATCH(D385,Clients!$A$5:$A$204,0)),"")&lt;&gt;"",INDEX(Clients!$P$5:$P$204,MATCH(D385,Clients!$A$5:$A$204,0)),PaymentTerms)))</f>
        <v>0</v>
      </c>
      <c r="Z385" s="18">
        <f>IF(OR(A385="",B385=""),"",B385+Y385)</f>
        <v>0</v>
      </c>
      <c r="AA385" s="31">
        <f>IF(OR(A385="",Z385=""),"",IF(X385&lt;=0.004,"",MAX(0,TodayDate-Z385-OverdueGrace)))</f>
        <v>0</v>
      </c>
      <c r="AB385" s="39">
        <f>IF(B385="","",IF(X385&lt;=0.004,"Paid",IF(AA385="","Not due yet",IF(AA385=0,"Due now",IF(AA385&lt;=30,"1-30 days",IF(AA385&lt;=60,"31-60 days",IF(AA385&lt;=90,"61-90 days","90+ days")))))))</f>
        <v>0</v>
      </c>
      <c r="AC385" s="21">
        <f>IF(OR(A385="",AA385=""),"",IF(AA385&lt;=0,0,ROUND(X385*LateFeePercent,2)))</f>
        <v>0</v>
      </c>
      <c r="AD385" s="50">
        <f>IF(B385="","",IF(X385&lt;=0.004,"Yes","No"))</f>
        <v>0</v>
      </c>
      <c r="AE385" s="39">
        <f>IF(B385="","",IF(Q385=0,"Add - no lines on this invoice yet",IF(H385="Written off","Written off",IF(AD385="Yes","OK - paid",IF(H385="Draft","Draft - not sent yet",IF(AND(AA385&lt;&gt;"",AA385&gt;30),"Overdue - "&amp;AA385&amp;" days, call them",IF(AND(AA385&lt;&gt;"",AA385&gt;0),"Overdue - send a reminder",IF(W385&gt;0,"Part paid","Due - waiting for payment"))))))))</f>
        <v>0</v>
      </c>
    </row>
    <row r="386" spans="1:31">
      <c r="A386" s="43">
        <f>IF(B386="","",InvoicePrefix&amp;TEXT(ROW()-4,"0000"))</f>
        <v>0</v>
      </c>
      <c r="C386" s="23">
        <f>IF(B386="","",TEXT(B386,"yyyy-mm"))</f>
        <v>0</v>
      </c>
      <c r="E386" s="23">
        <f>IF(D386="","",IFERROR(INDEX(Clients!$B$5:$B$204,MATCH(D386,Clients!$A$5:$A$204,0)),"Not found"))</f>
        <v>0</v>
      </c>
      <c r="F386" s="23">
        <f>IF(D386="","",IFERROR(INDEX(Clients!$G$5:$G$204,MATCH(D386,Clients!$A$5:$A$204,0)),""))</f>
        <v>0</v>
      </c>
      <c r="Q386" s="31">
        <f>IF(A386="","",COUNTIFS('Invoice Lines'!$B$5:$B$804,A386))</f>
        <v>0</v>
      </c>
      <c r="R386" s="21">
        <f>IF(A386="","",SUMIFS('Invoice Lines'!$N$5:$N$804,'Invoice Lines'!$B$5:$B$804,A386))</f>
        <v>0</v>
      </c>
      <c r="S386" s="21">
        <f>IF(A386="","",ROUND(R386*IF(K386="",0,K386),2))</f>
        <v>0</v>
      </c>
      <c r="T386" s="21">
        <f>IF(A386="","",R386-S386)</f>
        <v>0</v>
      </c>
      <c r="U386" s="21">
        <f>IF(A386="","",ROUND(T386*TaxRate,2))</f>
        <v>0</v>
      </c>
      <c r="V386" s="21">
        <f>IF(A386="","",T386+U386)</f>
        <v>0</v>
      </c>
      <c r="W386" s="21">
        <f>IF(A386="","",SUMIFS(Payments!$G$5:$G$404,Payments!$D$5:$D$404,A386))</f>
        <v>0</v>
      </c>
      <c r="X386" s="21">
        <f>IF(A386="","",ROUND(V386-W386,2))</f>
        <v>0</v>
      </c>
      <c r="Y386" s="31">
        <f>IF(B386="","",IF(J386&lt;&gt;"",J386,IF(IFERROR(INDEX(Clients!$P$5:$P$204,MATCH(D386,Clients!$A$5:$A$204,0)),"")&lt;&gt;"",INDEX(Clients!$P$5:$P$204,MATCH(D386,Clients!$A$5:$A$204,0)),PaymentTerms)))</f>
        <v>0</v>
      </c>
      <c r="Z386" s="18">
        <f>IF(OR(A386="",B386=""),"",B386+Y386)</f>
        <v>0</v>
      </c>
      <c r="AA386" s="31">
        <f>IF(OR(A386="",Z386=""),"",IF(X386&lt;=0.004,"",MAX(0,TodayDate-Z386-OverdueGrace)))</f>
        <v>0</v>
      </c>
      <c r="AB386" s="39">
        <f>IF(B386="","",IF(X386&lt;=0.004,"Paid",IF(AA386="","Not due yet",IF(AA386=0,"Due now",IF(AA386&lt;=30,"1-30 days",IF(AA386&lt;=60,"31-60 days",IF(AA386&lt;=90,"61-90 days","90+ days")))))))</f>
        <v>0</v>
      </c>
      <c r="AC386" s="21">
        <f>IF(OR(A386="",AA386=""),"",IF(AA386&lt;=0,0,ROUND(X386*LateFeePercent,2)))</f>
        <v>0</v>
      </c>
      <c r="AD386" s="50">
        <f>IF(B386="","",IF(X386&lt;=0.004,"Yes","No"))</f>
        <v>0</v>
      </c>
      <c r="AE386" s="39">
        <f>IF(B386="","",IF(Q386=0,"Add - no lines on this invoice yet",IF(H386="Written off","Written off",IF(AD386="Yes","OK - paid",IF(H386="Draft","Draft - not sent yet",IF(AND(AA386&lt;&gt;"",AA386&gt;30),"Overdue - "&amp;AA386&amp;" days, call them",IF(AND(AA386&lt;&gt;"",AA386&gt;0),"Overdue - send a reminder",IF(W386&gt;0,"Part paid","Due - waiting for payment"))))))))</f>
        <v>0</v>
      </c>
    </row>
    <row r="387" spans="1:31">
      <c r="A387" s="43">
        <f>IF(B387="","",InvoicePrefix&amp;TEXT(ROW()-4,"0000"))</f>
        <v>0</v>
      </c>
      <c r="C387" s="23">
        <f>IF(B387="","",TEXT(B387,"yyyy-mm"))</f>
        <v>0</v>
      </c>
      <c r="E387" s="23">
        <f>IF(D387="","",IFERROR(INDEX(Clients!$B$5:$B$204,MATCH(D387,Clients!$A$5:$A$204,0)),"Not found"))</f>
        <v>0</v>
      </c>
      <c r="F387" s="23">
        <f>IF(D387="","",IFERROR(INDEX(Clients!$G$5:$G$204,MATCH(D387,Clients!$A$5:$A$204,0)),""))</f>
        <v>0</v>
      </c>
      <c r="Q387" s="31">
        <f>IF(A387="","",COUNTIFS('Invoice Lines'!$B$5:$B$804,A387))</f>
        <v>0</v>
      </c>
      <c r="R387" s="21">
        <f>IF(A387="","",SUMIFS('Invoice Lines'!$N$5:$N$804,'Invoice Lines'!$B$5:$B$804,A387))</f>
        <v>0</v>
      </c>
      <c r="S387" s="21">
        <f>IF(A387="","",ROUND(R387*IF(K387="",0,K387),2))</f>
        <v>0</v>
      </c>
      <c r="T387" s="21">
        <f>IF(A387="","",R387-S387)</f>
        <v>0</v>
      </c>
      <c r="U387" s="21">
        <f>IF(A387="","",ROUND(T387*TaxRate,2))</f>
        <v>0</v>
      </c>
      <c r="V387" s="21">
        <f>IF(A387="","",T387+U387)</f>
        <v>0</v>
      </c>
      <c r="W387" s="21">
        <f>IF(A387="","",SUMIFS(Payments!$G$5:$G$404,Payments!$D$5:$D$404,A387))</f>
        <v>0</v>
      </c>
      <c r="X387" s="21">
        <f>IF(A387="","",ROUND(V387-W387,2))</f>
        <v>0</v>
      </c>
      <c r="Y387" s="31">
        <f>IF(B387="","",IF(J387&lt;&gt;"",J387,IF(IFERROR(INDEX(Clients!$P$5:$P$204,MATCH(D387,Clients!$A$5:$A$204,0)),"")&lt;&gt;"",INDEX(Clients!$P$5:$P$204,MATCH(D387,Clients!$A$5:$A$204,0)),PaymentTerms)))</f>
        <v>0</v>
      </c>
      <c r="Z387" s="18">
        <f>IF(OR(A387="",B387=""),"",B387+Y387)</f>
        <v>0</v>
      </c>
      <c r="AA387" s="31">
        <f>IF(OR(A387="",Z387=""),"",IF(X387&lt;=0.004,"",MAX(0,TodayDate-Z387-OverdueGrace)))</f>
        <v>0</v>
      </c>
      <c r="AB387" s="39">
        <f>IF(B387="","",IF(X387&lt;=0.004,"Paid",IF(AA387="","Not due yet",IF(AA387=0,"Due now",IF(AA387&lt;=30,"1-30 days",IF(AA387&lt;=60,"31-60 days",IF(AA387&lt;=90,"61-90 days","90+ days")))))))</f>
        <v>0</v>
      </c>
      <c r="AC387" s="21">
        <f>IF(OR(A387="",AA387=""),"",IF(AA387&lt;=0,0,ROUND(X387*LateFeePercent,2)))</f>
        <v>0</v>
      </c>
      <c r="AD387" s="50">
        <f>IF(B387="","",IF(X387&lt;=0.004,"Yes","No"))</f>
        <v>0</v>
      </c>
      <c r="AE387" s="39">
        <f>IF(B387="","",IF(Q387=0,"Add - no lines on this invoice yet",IF(H387="Written off","Written off",IF(AD387="Yes","OK - paid",IF(H387="Draft","Draft - not sent yet",IF(AND(AA387&lt;&gt;"",AA387&gt;30),"Overdue - "&amp;AA387&amp;" days, call them",IF(AND(AA387&lt;&gt;"",AA387&gt;0),"Overdue - send a reminder",IF(W387&gt;0,"Part paid","Due - waiting for payment"))))))))</f>
        <v>0</v>
      </c>
    </row>
    <row r="388" spans="1:31">
      <c r="A388" s="43">
        <f>IF(B388="","",InvoicePrefix&amp;TEXT(ROW()-4,"0000"))</f>
        <v>0</v>
      </c>
      <c r="C388" s="23">
        <f>IF(B388="","",TEXT(B388,"yyyy-mm"))</f>
        <v>0</v>
      </c>
      <c r="E388" s="23">
        <f>IF(D388="","",IFERROR(INDEX(Clients!$B$5:$B$204,MATCH(D388,Clients!$A$5:$A$204,0)),"Not found"))</f>
        <v>0</v>
      </c>
      <c r="F388" s="23">
        <f>IF(D388="","",IFERROR(INDEX(Clients!$G$5:$G$204,MATCH(D388,Clients!$A$5:$A$204,0)),""))</f>
        <v>0</v>
      </c>
      <c r="Q388" s="31">
        <f>IF(A388="","",COUNTIFS('Invoice Lines'!$B$5:$B$804,A388))</f>
        <v>0</v>
      </c>
      <c r="R388" s="21">
        <f>IF(A388="","",SUMIFS('Invoice Lines'!$N$5:$N$804,'Invoice Lines'!$B$5:$B$804,A388))</f>
        <v>0</v>
      </c>
      <c r="S388" s="21">
        <f>IF(A388="","",ROUND(R388*IF(K388="",0,K388),2))</f>
        <v>0</v>
      </c>
      <c r="T388" s="21">
        <f>IF(A388="","",R388-S388)</f>
        <v>0</v>
      </c>
      <c r="U388" s="21">
        <f>IF(A388="","",ROUND(T388*TaxRate,2))</f>
        <v>0</v>
      </c>
      <c r="V388" s="21">
        <f>IF(A388="","",T388+U388)</f>
        <v>0</v>
      </c>
      <c r="W388" s="21">
        <f>IF(A388="","",SUMIFS(Payments!$G$5:$G$404,Payments!$D$5:$D$404,A388))</f>
        <v>0</v>
      </c>
      <c r="X388" s="21">
        <f>IF(A388="","",ROUND(V388-W388,2))</f>
        <v>0</v>
      </c>
      <c r="Y388" s="31">
        <f>IF(B388="","",IF(J388&lt;&gt;"",J388,IF(IFERROR(INDEX(Clients!$P$5:$P$204,MATCH(D388,Clients!$A$5:$A$204,0)),"")&lt;&gt;"",INDEX(Clients!$P$5:$P$204,MATCH(D388,Clients!$A$5:$A$204,0)),PaymentTerms)))</f>
        <v>0</v>
      </c>
      <c r="Z388" s="18">
        <f>IF(OR(A388="",B388=""),"",B388+Y388)</f>
        <v>0</v>
      </c>
      <c r="AA388" s="31">
        <f>IF(OR(A388="",Z388=""),"",IF(X388&lt;=0.004,"",MAX(0,TodayDate-Z388-OverdueGrace)))</f>
        <v>0</v>
      </c>
      <c r="AB388" s="39">
        <f>IF(B388="","",IF(X388&lt;=0.004,"Paid",IF(AA388="","Not due yet",IF(AA388=0,"Due now",IF(AA388&lt;=30,"1-30 days",IF(AA388&lt;=60,"31-60 days",IF(AA388&lt;=90,"61-90 days","90+ days")))))))</f>
        <v>0</v>
      </c>
      <c r="AC388" s="21">
        <f>IF(OR(A388="",AA388=""),"",IF(AA388&lt;=0,0,ROUND(X388*LateFeePercent,2)))</f>
        <v>0</v>
      </c>
      <c r="AD388" s="50">
        <f>IF(B388="","",IF(X388&lt;=0.004,"Yes","No"))</f>
        <v>0</v>
      </c>
      <c r="AE388" s="39">
        <f>IF(B388="","",IF(Q388=0,"Add - no lines on this invoice yet",IF(H388="Written off","Written off",IF(AD388="Yes","OK - paid",IF(H388="Draft","Draft - not sent yet",IF(AND(AA388&lt;&gt;"",AA388&gt;30),"Overdue - "&amp;AA388&amp;" days, call them",IF(AND(AA388&lt;&gt;"",AA388&gt;0),"Overdue - send a reminder",IF(W388&gt;0,"Part paid","Due - waiting for payment"))))))))</f>
        <v>0</v>
      </c>
    </row>
    <row r="389" spans="1:31">
      <c r="A389" s="43">
        <f>IF(B389="","",InvoicePrefix&amp;TEXT(ROW()-4,"0000"))</f>
        <v>0</v>
      </c>
      <c r="C389" s="23">
        <f>IF(B389="","",TEXT(B389,"yyyy-mm"))</f>
        <v>0</v>
      </c>
      <c r="E389" s="23">
        <f>IF(D389="","",IFERROR(INDEX(Clients!$B$5:$B$204,MATCH(D389,Clients!$A$5:$A$204,0)),"Not found"))</f>
        <v>0</v>
      </c>
      <c r="F389" s="23">
        <f>IF(D389="","",IFERROR(INDEX(Clients!$G$5:$G$204,MATCH(D389,Clients!$A$5:$A$204,0)),""))</f>
        <v>0</v>
      </c>
      <c r="Q389" s="31">
        <f>IF(A389="","",COUNTIFS('Invoice Lines'!$B$5:$B$804,A389))</f>
        <v>0</v>
      </c>
      <c r="R389" s="21">
        <f>IF(A389="","",SUMIFS('Invoice Lines'!$N$5:$N$804,'Invoice Lines'!$B$5:$B$804,A389))</f>
        <v>0</v>
      </c>
      <c r="S389" s="21">
        <f>IF(A389="","",ROUND(R389*IF(K389="",0,K389),2))</f>
        <v>0</v>
      </c>
      <c r="T389" s="21">
        <f>IF(A389="","",R389-S389)</f>
        <v>0</v>
      </c>
      <c r="U389" s="21">
        <f>IF(A389="","",ROUND(T389*TaxRate,2))</f>
        <v>0</v>
      </c>
      <c r="V389" s="21">
        <f>IF(A389="","",T389+U389)</f>
        <v>0</v>
      </c>
      <c r="W389" s="21">
        <f>IF(A389="","",SUMIFS(Payments!$G$5:$G$404,Payments!$D$5:$D$404,A389))</f>
        <v>0</v>
      </c>
      <c r="X389" s="21">
        <f>IF(A389="","",ROUND(V389-W389,2))</f>
        <v>0</v>
      </c>
      <c r="Y389" s="31">
        <f>IF(B389="","",IF(J389&lt;&gt;"",J389,IF(IFERROR(INDEX(Clients!$P$5:$P$204,MATCH(D389,Clients!$A$5:$A$204,0)),"")&lt;&gt;"",INDEX(Clients!$P$5:$P$204,MATCH(D389,Clients!$A$5:$A$204,0)),PaymentTerms)))</f>
        <v>0</v>
      </c>
      <c r="Z389" s="18">
        <f>IF(OR(A389="",B389=""),"",B389+Y389)</f>
        <v>0</v>
      </c>
      <c r="AA389" s="31">
        <f>IF(OR(A389="",Z389=""),"",IF(X389&lt;=0.004,"",MAX(0,TodayDate-Z389-OverdueGrace)))</f>
        <v>0</v>
      </c>
      <c r="AB389" s="39">
        <f>IF(B389="","",IF(X389&lt;=0.004,"Paid",IF(AA389="","Not due yet",IF(AA389=0,"Due now",IF(AA389&lt;=30,"1-30 days",IF(AA389&lt;=60,"31-60 days",IF(AA389&lt;=90,"61-90 days","90+ days")))))))</f>
        <v>0</v>
      </c>
      <c r="AC389" s="21">
        <f>IF(OR(A389="",AA389=""),"",IF(AA389&lt;=0,0,ROUND(X389*LateFeePercent,2)))</f>
        <v>0</v>
      </c>
      <c r="AD389" s="50">
        <f>IF(B389="","",IF(X389&lt;=0.004,"Yes","No"))</f>
        <v>0</v>
      </c>
      <c r="AE389" s="39">
        <f>IF(B389="","",IF(Q389=0,"Add - no lines on this invoice yet",IF(H389="Written off","Written off",IF(AD389="Yes","OK - paid",IF(H389="Draft","Draft - not sent yet",IF(AND(AA389&lt;&gt;"",AA389&gt;30),"Overdue - "&amp;AA389&amp;" days, call them",IF(AND(AA389&lt;&gt;"",AA389&gt;0),"Overdue - send a reminder",IF(W389&gt;0,"Part paid","Due - waiting for payment"))))))))</f>
        <v>0</v>
      </c>
    </row>
    <row r="390" spans="1:31">
      <c r="A390" s="43">
        <f>IF(B390="","",InvoicePrefix&amp;TEXT(ROW()-4,"0000"))</f>
        <v>0</v>
      </c>
      <c r="C390" s="23">
        <f>IF(B390="","",TEXT(B390,"yyyy-mm"))</f>
        <v>0</v>
      </c>
      <c r="E390" s="23">
        <f>IF(D390="","",IFERROR(INDEX(Clients!$B$5:$B$204,MATCH(D390,Clients!$A$5:$A$204,0)),"Not found"))</f>
        <v>0</v>
      </c>
      <c r="F390" s="23">
        <f>IF(D390="","",IFERROR(INDEX(Clients!$G$5:$G$204,MATCH(D390,Clients!$A$5:$A$204,0)),""))</f>
        <v>0</v>
      </c>
      <c r="Q390" s="31">
        <f>IF(A390="","",COUNTIFS('Invoice Lines'!$B$5:$B$804,A390))</f>
        <v>0</v>
      </c>
      <c r="R390" s="21">
        <f>IF(A390="","",SUMIFS('Invoice Lines'!$N$5:$N$804,'Invoice Lines'!$B$5:$B$804,A390))</f>
        <v>0</v>
      </c>
      <c r="S390" s="21">
        <f>IF(A390="","",ROUND(R390*IF(K390="",0,K390),2))</f>
        <v>0</v>
      </c>
      <c r="T390" s="21">
        <f>IF(A390="","",R390-S390)</f>
        <v>0</v>
      </c>
      <c r="U390" s="21">
        <f>IF(A390="","",ROUND(T390*TaxRate,2))</f>
        <v>0</v>
      </c>
      <c r="V390" s="21">
        <f>IF(A390="","",T390+U390)</f>
        <v>0</v>
      </c>
      <c r="W390" s="21">
        <f>IF(A390="","",SUMIFS(Payments!$G$5:$G$404,Payments!$D$5:$D$404,A390))</f>
        <v>0</v>
      </c>
      <c r="X390" s="21">
        <f>IF(A390="","",ROUND(V390-W390,2))</f>
        <v>0</v>
      </c>
      <c r="Y390" s="31">
        <f>IF(B390="","",IF(J390&lt;&gt;"",J390,IF(IFERROR(INDEX(Clients!$P$5:$P$204,MATCH(D390,Clients!$A$5:$A$204,0)),"")&lt;&gt;"",INDEX(Clients!$P$5:$P$204,MATCH(D390,Clients!$A$5:$A$204,0)),PaymentTerms)))</f>
        <v>0</v>
      </c>
      <c r="Z390" s="18">
        <f>IF(OR(A390="",B390=""),"",B390+Y390)</f>
        <v>0</v>
      </c>
      <c r="AA390" s="31">
        <f>IF(OR(A390="",Z390=""),"",IF(X390&lt;=0.004,"",MAX(0,TodayDate-Z390-OverdueGrace)))</f>
        <v>0</v>
      </c>
      <c r="AB390" s="39">
        <f>IF(B390="","",IF(X390&lt;=0.004,"Paid",IF(AA390="","Not due yet",IF(AA390=0,"Due now",IF(AA390&lt;=30,"1-30 days",IF(AA390&lt;=60,"31-60 days",IF(AA390&lt;=90,"61-90 days","90+ days")))))))</f>
        <v>0</v>
      </c>
      <c r="AC390" s="21">
        <f>IF(OR(A390="",AA390=""),"",IF(AA390&lt;=0,0,ROUND(X390*LateFeePercent,2)))</f>
        <v>0</v>
      </c>
      <c r="AD390" s="50">
        <f>IF(B390="","",IF(X390&lt;=0.004,"Yes","No"))</f>
        <v>0</v>
      </c>
      <c r="AE390" s="39">
        <f>IF(B390="","",IF(Q390=0,"Add - no lines on this invoice yet",IF(H390="Written off","Written off",IF(AD390="Yes","OK - paid",IF(H390="Draft","Draft - not sent yet",IF(AND(AA390&lt;&gt;"",AA390&gt;30),"Overdue - "&amp;AA390&amp;" days, call them",IF(AND(AA390&lt;&gt;"",AA390&gt;0),"Overdue - send a reminder",IF(W390&gt;0,"Part paid","Due - waiting for payment"))))))))</f>
        <v>0</v>
      </c>
    </row>
    <row r="391" spans="1:31">
      <c r="A391" s="43">
        <f>IF(B391="","",InvoicePrefix&amp;TEXT(ROW()-4,"0000"))</f>
        <v>0</v>
      </c>
      <c r="C391" s="23">
        <f>IF(B391="","",TEXT(B391,"yyyy-mm"))</f>
        <v>0</v>
      </c>
      <c r="E391" s="23">
        <f>IF(D391="","",IFERROR(INDEX(Clients!$B$5:$B$204,MATCH(D391,Clients!$A$5:$A$204,0)),"Not found"))</f>
        <v>0</v>
      </c>
      <c r="F391" s="23">
        <f>IF(D391="","",IFERROR(INDEX(Clients!$G$5:$G$204,MATCH(D391,Clients!$A$5:$A$204,0)),""))</f>
        <v>0</v>
      </c>
      <c r="Q391" s="31">
        <f>IF(A391="","",COUNTIFS('Invoice Lines'!$B$5:$B$804,A391))</f>
        <v>0</v>
      </c>
      <c r="R391" s="21">
        <f>IF(A391="","",SUMIFS('Invoice Lines'!$N$5:$N$804,'Invoice Lines'!$B$5:$B$804,A391))</f>
        <v>0</v>
      </c>
      <c r="S391" s="21">
        <f>IF(A391="","",ROUND(R391*IF(K391="",0,K391),2))</f>
        <v>0</v>
      </c>
      <c r="T391" s="21">
        <f>IF(A391="","",R391-S391)</f>
        <v>0</v>
      </c>
      <c r="U391" s="21">
        <f>IF(A391="","",ROUND(T391*TaxRate,2))</f>
        <v>0</v>
      </c>
      <c r="V391" s="21">
        <f>IF(A391="","",T391+U391)</f>
        <v>0</v>
      </c>
      <c r="W391" s="21">
        <f>IF(A391="","",SUMIFS(Payments!$G$5:$G$404,Payments!$D$5:$D$404,A391))</f>
        <v>0</v>
      </c>
      <c r="X391" s="21">
        <f>IF(A391="","",ROUND(V391-W391,2))</f>
        <v>0</v>
      </c>
      <c r="Y391" s="31">
        <f>IF(B391="","",IF(J391&lt;&gt;"",J391,IF(IFERROR(INDEX(Clients!$P$5:$P$204,MATCH(D391,Clients!$A$5:$A$204,0)),"")&lt;&gt;"",INDEX(Clients!$P$5:$P$204,MATCH(D391,Clients!$A$5:$A$204,0)),PaymentTerms)))</f>
        <v>0</v>
      </c>
      <c r="Z391" s="18">
        <f>IF(OR(A391="",B391=""),"",B391+Y391)</f>
        <v>0</v>
      </c>
      <c r="AA391" s="31">
        <f>IF(OR(A391="",Z391=""),"",IF(X391&lt;=0.004,"",MAX(0,TodayDate-Z391-OverdueGrace)))</f>
        <v>0</v>
      </c>
      <c r="AB391" s="39">
        <f>IF(B391="","",IF(X391&lt;=0.004,"Paid",IF(AA391="","Not due yet",IF(AA391=0,"Due now",IF(AA391&lt;=30,"1-30 days",IF(AA391&lt;=60,"31-60 days",IF(AA391&lt;=90,"61-90 days","90+ days")))))))</f>
        <v>0</v>
      </c>
      <c r="AC391" s="21">
        <f>IF(OR(A391="",AA391=""),"",IF(AA391&lt;=0,0,ROUND(X391*LateFeePercent,2)))</f>
        <v>0</v>
      </c>
      <c r="AD391" s="50">
        <f>IF(B391="","",IF(X391&lt;=0.004,"Yes","No"))</f>
        <v>0</v>
      </c>
      <c r="AE391" s="39">
        <f>IF(B391="","",IF(Q391=0,"Add - no lines on this invoice yet",IF(H391="Written off","Written off",IF(AD391="Yes","OK - paid",IF(H391="Draft","Draft - not sent yet",IF(AND(AA391&lt;&gt;"",AA391&gt;30),"Overdue - "&amp;AA391&amp;" days, call them",IF(AND(AA391&lt;&gt;"",AA391&gt;0),"Overdue - send a reminder",IF(W391&gt;0,"Part paid","Due - waiting for payment"))))))))</f>
        <v>0</v>
      </c>
    </row>
    <row r="392" spans="1:31">
      <c r="A392" s="43">
        <f>IF(B392="","",InvoicePrefix&amp;TEXT(ROW()-4,"0000"))</f>
        <v>0</v>
      </c>
      <c r="C392" s="23">
        <f>IF(B392="","",TEXT(B392,"yyyy-mm"))</f>
        <v>0</v>
      </c>
      <c r="E392" s="23">
        <f>IF(D392="","",IFERROR(INDEX(Clients!$B$5:$B$204,MATCH(D392,Clients!$A$5:$A$204,0)),"Not found"))</f>
        <v>0</v>
      </c>
      <c r="F392" s="23">
        <f>IF(D392="","",IFERROR(INDEX(Clients!$G$5:$G$204,MATCH(D392,Clients!$A$5:$A$204,0)),""))</f>
        <v>0</v>
      </c>
      <c r="Q392" s="31">
        <f>IF(A392="","",COUNTIFS('Invoice Lines'!$B$5:$B$804,A392))</f>
        <v>0</v>
      </c>
      <c r="R392" s="21">
        <f>IF(A392="","",SUMIFS('Invoice Lines'!$N$5:$N$804,'Invoice Lines'!$B$5:$B$804,A392))</f>
        <v>0</v>
      </c>
      <c r="S392" s="21">
        <f>IF(A392="","",ROUND(R392*IF(K392="",0,K392),2))</f>
        <v>0</v>
      </c>
      <c r="T392" s="21">
        <f>IF(A392="","",R392-S392)</f>
        <v>0</v>
      </c>
      <c r="U392" s="21">
        <f>IF(A392="","",ROUND(T392*TaxRate,2))</f>
        <v>0</v>
      </c>
      <c r="V392" s="21">
        <f>IF(A392="","",T392+U392)</f>
        <v>0</v>
      </c>
      <c r="W392" s="21">
        <f>IF(A392="","",SUMIFS(Payments!$G$5:$G$404,Payments!$D$5:$D$404,A392))</f>
        <v>0</v>
      </c>
      <c r="X392" s="21">
        <f>IF(A392="","",ROUND(V392-W392,2))</f>
        <v>0</v>
      </c>
      <c r="Y392" s="31">
        <f>IF(B392="","",IF(J392&lt;&gt;"",J392,IF(IFERROR(INDEX(Clients!$P$5:$P$204,MATCH(D392,Clients!$A$5:$A$204,0)),"")&lt;&gt;"",INDEX(Clients!$P$5:$P$204,MATCH(D392,Clients!$A$5:$A$204,0)),PaymentTerms)))</f>
        <v>0</v>
      </c>
      <c r="Z392" s="18">
        <f>IF(OR(A392="",B392=""),"",B392+Y392)</f>
        <v>0</v>
      </c>
      <c r="AA392" s="31">
        <f>IF(OR(A392="",Z392=""),"",IF(X392&lt;=0.004,"",MAX(0,TodayDate-Z392-OverdueGrace)))</f>
        <v>0</v>
      </c>
      <c r="AB392" s="39">
        <f>IF(B392="","",IF(X392&lt;=0.004,"Paid",IF(AA392="","Not due yet",IF(AA392=0,"Due now",IF(AA392&lt;=30,"1-30 days",IF(AA392&lt;=60,"31-60 days",IF(AA392&lt;=90,"61-90 days","90+ days")))))))</f>
        <v>0</v>
      </c>
      <c r="AC392" s="21">
        <f>IF(OR(A392="",AA392=""),"",IF(AA392&lt;=0,0,ROUND(X392*LateFeePercent,2)))</f>
        <v>0</v>
      </c>
      <c r="AD392" s="50">
        <f>IF(B392="","",IF(X392&lt;=0.004,"Yes","No"))</f>
        <v>0</v>
      </c>
      <c r="AE392" s="39">
        <f>IF(B392="","",IF(Q392=0,"Add - no lines on this invoice yet",IF(H392="Written off","Written off",IF(AD392="Yes","OK - paid",IF(H392="Draft","Draft - not sent yet",IF(AND(AA392&lt;&gt;"",AA392&gt;30),"Overdue - "&amp;AA392&amp;" days, call them",IF(AND(AA392&lt;&gt;"",AA392&gt;0),"Overdue - send a reminder",IF(W392&gt;0,"Part paid","Due - waiting for payment"))))))))</f>
        <v>0</v>
      </c>
    </row>
    <row r="393" spans="1:31">
      <c r="A393" s="43">
        <f>IF(B393="","",InvoicePrefix&amp;TEXT(ROW()-4,"0000"))</f>
        <v>0</v>
      </c>
      <c r="C393" s="23">
        <f>IF(B393="","",TEXT(B393,"yyyy-mm"))</f>
        <v>0</v>
      </c>
      <c r="E393" s="23">
        <f>IF(D393="","",IFERROR(INDEX(Clients!$B$5:$B$204,MATCH(D393,Clients!$A$5:$A$204,0)),"Not found"))</f>
        <v>0</v>
      </c>
      <c r="F393" s="23">
        <f>IF(D393="","",IFERROR(INDEX(Clients!$G$5:$G$204,MATCH(D393,Clients!$A$5:$A$204,0)),""))</f>
        <v>0</v>
      </c>
      <c r="Q393" s="31">
        <f>IF(A393="","",COUNTIFS('Invoice Lines'!$B$5:$B$804,A393))</f>
        <v>0</v>
      </c>
      <c r="R393" s="21">
        <f>IF(A393="","",SUMIFS('Invoice Lines'!$N$5:$N$804,'Invoice Lines'!$B$5:$B$804,A393))</f>
        <v>0</v>
      </c>
      <c r="S393" s="21">
        <f>IF(A393="","",ROUND(R393*IF(K393="",0,K393),2))</f>
        <v>0</v>
      </c>
      <c r="T393" s="21">
        <f>IF(A393="","",R393-S393)</f>
        <v>0</v>
      </c>
      <c r="U393" s="21">
        <f>IF(A393="","",ROUND(T393*TaxRate,2))</f>
        <v>0</v>
      </c>
      <c r="V393" s="21">
        <f>IF(A393="","",T393+U393)</f>
        <v>0</v>
      </c>
      <c r="W393" s="21">
        <f>IF(A393="","",SUMIFS(Payments!$G$5:$G$404,Payments!$D$5:$D$404,A393))</f>
        <v>0</v>
      </c>
      <c r="X393" s="21">
        <f>IF(A393="","",ROUND(V393-W393,2))</f>
        <v>0</v>
      </c>
      <c r="Y393" s="31">
        <f>IF(B393="","",IF(J393&lt;&gt;"",J393,IF(IFERROR(INDEX(Clients!$P$5:$P$204,MATCH(D393,Clients!$A$5:$A$204,0)),"")&lt;&gt;"",INDEX(Clients!$P$5:$P$204,MATCH(D393,Clients!$A$5:$A$204,0)),PaymentTerms)))</f>
        <v>0</v>
      </c>
      <c r="Z393" s="18">
        <f>IF(OR(A393="",B393=""),"",B393+Y393)</f>
        <v>0</v>
      </c>
      <c r="AA393" s="31">
        <f>IF(OR(A393="",Z393=""),"",IF(X393&lt;=0.004,"",MAX(0,TodayDate-Z393-OverdueGrace)))</f>
        <v>0</v>
      </c>
      <c r="AB393" s="39">
        <f>IF(B393="","",IF(X393&lt;=0.004,"Paid",IF(AA393="","Not due yet",IF(AA393=0,"Due now",IF(AA393&lt;=30,"1-30 days",IF(AA393&lt;=60,"31-60 days",IF(AA393&lt;=90,"61-90 days","90+ days")))))))</f>
        <v>0</v>
      </c>
      <c r="AC393" s="21">
        <f>IF(OR(A393="",AA393=""),"",IF(AA393&lt;=0,0,ROUND(X393*LateFeePercent,2)))</f>
        <v>0</v>
      </c>
      <c r="AD393" s="50">
        <f>IF(B393="","",IF(X393&lt;=0.004,"Yes","No"))</f>
        <v>0</v>
      </c>
      <c r="AE393" s="39">
        <f>IF(B393="","",IF(Q393=0,"Add - no lines on this invoice yet",IF(H393="Written off","Written off",IF(AD393="Yes","OK - paid",IF(H393="Draft","Draft - not sent yet",IF(AND(AA393&lt;&gt;"",AA393&gt;30),"Overdue - "&amp;AA393&amp;" days, call them",IF(AND(AA393&lt;&gt;"",AA393&gt;0),"Overdue - send a reminder",IF(W393&gt;0,"Part paid","Due - waiting for payment"))))))))</f>
        <v>0</v>
      </c>
    </row>
    <row r="394" spans="1:31">
      <c r="A394" s="43">
        <f>IF(B394="","",InvoicePrefix&amp;TEXT(ROW()-4,"0000"))</f>
        <v>0</v>
      </c>
      <c r="C394" s="23">
        <f>IF(B394="","",TEXT(B394,"yyyy-mm"))</f>
        <v>0</v>
      </c>
      <c r="E394" s="23">
        <f>IF(D394="","",IFERROR(INDEX(Clients!$B$5:$B$204,MATCH(D394,Clients!$A$5:$A$204,0)),"Not found"))</f>
        <v>0</v>
      </c>
      <c r="F394" s="23">
        <f>IF(D394="","",IFERROR(INDEX(Clients!$G$5:$G$204,MATCH(D394,Clients!$A$5:$A$204,0)),""))</f>
        <v>0</v>
      </c>
      <c r="Q394" s="31">
        <f>IF(A394="","",COUNTIFS('Invoice Lines'!$B$5:$B$804,A394))</f>
        <v>0</v>
      </c>
      <c r="R394" s="21">
        <f>IF(A394="","",SUMIFS('Invoice Lines'!$N$5:$N$804,'Invoice Lines'!$B$5:$B$804,A394))</f>
        <v>0</v>
      </c>
      <c r="S394" s="21">
        <f>IF(A394="","",ROUND(R394*IF(K394="",0,K394),2))</f>
        <v>0</v>
      </c>
      <c r="T394" s="21">
        <f>IF(A394="","",R394-S394)</f>
        <v>0</v>
      </c>
      <c r="U394" s="21">
        <f>IF(A394="","",ROUND(T394*TaxRate,2))</f>
        <v>0</v>
      </c>
      <c r="V394" s="21">
        <f>IF(A394="","",T394+U394)</f>
        <v>0</v>
      </c>
      <c r="W394" s="21">
        <f>IF(A394="","",SUMIFS(Payments!$G$5:$G$404,Payments!$D$5:$D$404,A394))</f>
        <v>0</v>
      </c>
      <c r="X394" s="21">
        <f>IF(A394="","",ROUND(V394-W394,2))</f>
        <v>0</v>
      </c>
      <c r="Y394" s="31">
        <f>IF(B394="","",IF(J394&lt;&gt;"",J394,IF(IFERROR(INDEX(Clients!$P$5:$P$204,MATCH(D394,Clients!$A$5:$A$204,0)),"")&lt;&gt;"",INDEX(Clients!$P$5:$P$204,MATCH(D394,Clients!$A$5:$A$204,0)),PaymentTerms)))</f>
        <v>0</v>
      </c>
      <c r="Z394" s="18">
        <f>IF(OR(A394="",B394=""),"",B394+Y394)</f>
        <v>0</v>
      </c>
      <c r="AA394" s="31">
        <f>IF(OR(A394="",Z394=""),"",IF(X394&lt;=0.004,"",MAX(0,TodayDate-Z394-OverdueGrace)))</f>
        <v>0</v>
      </c>
      <c r="AB394" s="39">
        <f>IF(B394="","",IF(X394&lt;=0.004,"Paid",IF(AA394="","Not due yet",IF(AA394=0,"Due now",IF(AA394&lt;=30,"1-30 days",IF(AA394&lt;=60,"31-60 days",IF(AA394&lt;=90,"61-90 days","90+ days")))))))</f>
        <v>0</v>
      </c>
      <c r="AC394" s="21">
        <f>IF(OR(A394="",AA394=""),"",IF(AA394&lt;=0,0,ROUND(X394*LateFeePercent,2)))</f>
        <v>0</v>
      </c>
      <c r="AD394" s="50">
        <f>IF(B394="","",IF(X394&lt;=0.004,"Yes","No"))</f>
        <v>0</v>
      </c>
      <c r="AE394" s="39">
        <f>IF(B394="","",IF(Q394=0,"Add - no lines on this invoice yet",IF(H394="Written off","Written off",IF(AD394="Yes","OK - paid",IF(H394="Draft","Draft - not sent yet",IF(AND(AA394&lt;&gt;"",AA394&gt;30),"Overdue - "&amp;AA394&amp;" days, call them",IF(AND(AA394&lt;&gt;"",AA394&gt;0),"Overdue - send a reminder",IF(W394&gt;0,"Part paid","Due - waiting for payment"))))))))</f>
        <v>0</v>
      </c>
    </row>
    <row r="395" spans="1:31">
      <c r="A395" s="43">
        <f>IF(B395="","",InvoicePrefix&amp;TEXT(ROW()-4,"0000"))</f>
        <v>0</v>
      </c>
      <c r="C395" s="23">
        <f>IF(B395="","",TEXT(B395,"yyyy-mm"))</f>
        <v>0</v>
      </c>
      <c r="E395" s="23">
        <f>IF(D395="","",IFERROR(INDEX(Clients!$B$5:$B$204,MATCH(D395,Clients!$A$5:$A$204,0)),"Not found"))</f>
        <v>0</v>
      </c>
      <c r="F395" s="23">
        <f>IF(D395="","",IFERROR(INDEX(Clients!$G$5:$G$204,MATCH(D395,Clients!$A$5:$A$204,0)),""))</f>
        <v>0</v>
      </c>
      <c r="Q395" s="31">
        <f>IF(A395="","",COUNTIFS('Invoice Lines'!$B$5:$B$804,A395))</f>
        <v>0</v>
      </c>
      <c r="R395" s="21">
        <f>IF(A395="","",SUMIFS('Invoice Lines'!$N$5:$N$804,'Invoice Lines'!$B$5:$B$804,A395))</f>
        <v>0</v>
      </c>
      <c r="S395" s="21">
        <f>IF(A395="","",ROUND(R395*IF(K395="",0,K395),2))</f>
        <v>0</v>
      </c>
      <c r="T395" s="21">
        <f>IF(A395="","",R395-S395)</f>
        <v>0</v>
      </c>
      <c r="U395" s="21">
        <f>IF(A395="","",ROUND(T395*TaxRate,2))</f>
        <v>0</v>
      </c>
      <c r="V395" s="21">
        <f>IF(A395="","",T395+U395)</f>
        <v>0</v>
      </c>
      <c r="W395" s="21">
        <f>IF(A395="","",SUMIFS(Payments!$G$5:$G$404,Payments!$D$5:$D$404,A395))</f>
        <v>0</v>
      </c>
      <c r="X395" s="21">
        <f>IF(A395="","",ROUND(V395-W395,2))</f>
        <v>0</v>
      </c>
      <c r="Y395" s="31">
        <f>IF(B395="","",IF(J395&lt;&gt;"",J395,IF(IFERROR(INDEX(Clients!$P$5:$P$204,MATCH(D395,Clients!$A$5:$A$204,0)),"")&lt;&gt;"",INDEX(Clients!$P$5:$P$204,MATCH(D395,Clients!$A$5:$A$204,0)),PaymentTerms)))</f>
        <v>0</v>
      </c>
      <c r="Z395" s="18">
        <f>IF(OR(A395="",B395=""),"",B395+Y395)</f>
        <v>0</v>
      </c>
      <c r="AA395" s="31">
        <f>IF(OR(A395="",Z395=""),"",IF(X395&lt;=0.004,"",MAX(0,TodayDate-Z395-OverdueGrace)))</f>
        <v>0</v>
      </c>
      <c r="AB395" s="39">
        <f>IF(B395="","",IF(X395&lt;=0.004,"Paid",IF(AA395="","Not due yet",IF(AA395=0,"Due now",IF(AA395&lt;=30,"1-30 days",IF(AA395&lt;=60,"31-60 days",IF(AA395&lt;=90,"61-90 days","90+ days")))))))</f>
        <v>0</v>
      </c>
      <c r="AC395" s="21">
        <f>IF(OR(A395="",AA395=""),"",IF(AA395&lt;=0,0,ROUND(X395*LateFeePercent,2)))</f>
        <v>0</v>
      </c>
      <c r="AD395" s="50">
        <f>IF(B395="","",IF(X395&lt;=0.004,"Yes","No"))</f>
        <v>0</v>
      </c>
      <c r="AE395" s="39">
        <f>IF(B395="","",IF(Q395=0,"Add - no lines on this invoice yet",IF(H395="Written off","Written off",IF(AD395="Yes","OK - paid",IF(H395="Draft","Draft - not sent yet",IF(AND(AA395&lt;&gt;"",AA395&gt;30),"Overdue - "&amp;AA395&amp;" days, call them",IF(AND(AA395&lt;&gt;"",AA395&gt;0),"Overdue - send a reminder",IF(W395&gt;0,"Part paid","Due - waiting for payment"))))))))</f>
        <v>0</v>
      </c>
    </row>
    <row r="396" spans="1:31">
      <c r="A396" s="43">
        <f>IF(B396="","",InvoicePrefix&amp;TEXT(ROW()-4,"0000"))</f>
        <v>0</v>
      </c>
      <c r="C396" s="23">
        <f>IF(B396="","",TEXT(B396,"yyyy-mm"))</f>
        <v>0</v>
      </c>
      <c r="E396" s="23">
        <f>IF(D396="","",IFERROR(INDEX(Clients!$B$5:$B$204,MATCH(D396,Clients!$A$5:$A$204,0)),"Not found"))</f>
        <v>0</v>
      </c>
      <c r="F396" s="23">
        <f>IF(D396="","",IFERROR(INDEX(Clients!$G$5:$G$204,MATCH(D396,Clients!$A$5:$A$204,0)),""))</f>
        <v>0</v>
      </c>
      <c r="Q396" s="31">
        <f>IF(A396="","",COUNTIFS('Invoice Lines'!$B$5:$B$804,A396))</f>
        <v>0</v>
      </c>
      <c r="R396" s="21">
        <f>IF(A396="","",SUMIFS('Invoice Lines'!$N$5:$N$804,'Invoice Lines'!$B$5:$B$804,A396))</f>
        <v>0</v>
      </c>
      <c r="S396" s="21">
        <f>IF(A396="","",ROUND(R396*IF(K396="",0,K396),2))</f>
        <v>0</v>
      </c>
      <c r="T396" s="21">
        <f>IF(A396="","",R396-S396)</f>
        <v>0</v>
      </c>
      <c r="U396" s="21">
        <f>IF(A396="","",ROUND(T396*TaxRate,2))</f>
        <v>0</v>
      </c>
      <c r="V396" s="21">
        <f>IF(A396="","",T396+U396)</f>
        <v>0</v>
      </c>
      <c r="W396" s="21">
        <f>IF(A396="","",SUMIFS(Payments!$G$5:$G$404,Payments!$D$5:$D$404,A396))</f>
        <v>0</v>
      </c>
      <c r="X396" s="21">
        <f>IF(A396="","",ROUND(V396-W396,2))</f>
        <v>0</v>
      </c>
      <c r="Y396" s="31">
        <f>IF(B396="","",IF(J396&lt;&gt;"",J396,IF(IFERROR(INDEX(Clients!$P$5:$P$204,MATCH(D396,Clients!$A$5:$A$204,0)),"")&lt;&gt;"",INDEX(Clients!$P$5:$P$204,MATCH(D396,Clients!$A$5:$A$204,0)),PaymentTerms)))</f>
        <v>0</v>
      </c>
      <c r="Z396" s="18">
        <f>IF(OR(A396="",B396=""),"",B396+Y396)</f>
        <v>0</v>
      </c>
      <c r="AA396" s="31">
        <f>IF(OR(A396="",Z396=""),"",IF(X396&lt;=0.004,"",MAX(0,TodayDate-Z396-OverdueGrace)))</f>
        <v>0</v>
      </c>
      <c r="AB396" s="39">
        <f>IF(B396="","",IF(X396&lt;=0.004,"Paid",IF(AA396="","Not due yet",IF(AA396=0,"Due now",IF(AA396&lt;=30,"1-30 days",IF(AA396&lt;=60,"31-60 days",IF(AA396&lt;=90,"61-90 days","90+ days")))))))</f>
        <v>0</v>
      </c>
      <c r="AC396" s="21">
        <f>IF(OR(A396="",AA396=""),"",IF(AA396&lt;=0,0,ROUND(X396*LateFeePercent,2)))</f>
        <v>0</v>
      </c>
      <c r="AD396" s="50">
        <f>IF(B396="","",IF(X396&lt;=0.004,"Yes","No"))</f>
        <v>0</v>
      </c>
      <c r="AE396" s="39">
        <f>IF(B396="","",IF(Q396=0,"Add - no lines on this invoice yet",IF(H396="Written off","Written off",IF(AD396="Yes","OK - paid",IF(H396="Draft","Draft - not sent yet",IF(AND(AA396&lt;&gt;"",AA396&gt;30),"Overdue - "&amp;AA396&amp;" days, call them",IF(AND(AA396&lt;&gt;"",AA396&gt;0),"Overdue - send a reminder",IF(W396&gt;0,"Part paid","Due - waiting for payment"))))))))</f>
        <v>0</v>
      </c>
    </row>
    <row r="397" spans="1:31">
      <c r="A397" s="43">
        <f>IF(B397="","",InvoicePrefix&amp;TEXT(ROW()-4,"0000"))</f>
        <v>0</v>
      </c>
      <c r="C397" s="23">
        <f>IF(B397="","",TEXT(B397,"yyyy-mm"))</f>
        <v>0</v>
      </c>
      <c r="E397" s="23">
        <f>IF(D397="","",IFERROR(INDEX(Clients!$B$5:$B$204,MATCH(D397,Clients!$A$5:$A$204,0)),"Not found"))</f>
        <v>0</v>
      </c>
      <c r="F397" s="23">
        <f>IF(D397="","",IFERROR(INDEX(Clients!$G$5:$G$204,MATCH(D397,Clients!$A$5:$A$204,0)),""))</f>
        <v>0</v>
      </c>
      <c r="Q397" s="31">
        <f>IF(A397="","",COUNTIFS('Invoice Lines'!$B$5:$B$804,A397))</f>
        <v>0</v>
      </c>
      <c r="R397" s="21">
        <f>IF(A397="","",SUMIFS('Invoice Lines'!$N$5:$N$804,'Invoice Lines'!$B$5:$B$804,A397))</f>
        <v>0</v>
      </c>
      <c r="S397" s="21">
        <f>IF(A397="","",ROUND(R397*IF(K397="",0,K397),2))</f>
        <v>0</v>
      </c>
      <c r="T397" s="21">
        <f>IF(A397="","",R397-S397)</f>
        <v>0</v>
      </c>
      <c r="U397" s="21">
        <f>IF(A397="","",ROUND(T397*TaxRate,2))</f>
        <v>0</v>
      </c>
      <c r="V397" s="21">
        <f>IF(A397="","",T397+U397)</f>
        <v>0</v>
      </c>
      <c r="W397" s="21">
        <f>IF(A397="","",SUMIFS(Payments!$G$5:$G$404,Payments!$D$5:$D$404,A397))</f>
        <v>0</v>
      </c>
      <c r="X397" s="21">
        <f>IF(A397="","",ROUND(V397-W397,2))</f>
        <v>0</v>
      </c>
      <c r="Y397" s="31">
        <f>IF(B397="","",IF(J397&lt;&gt;"",J397,IF(IFERROR(INDEX(Clients!$P$5:$P$204,MATCH(D397,Clients!$A$5:$A$204,0)),"")&lt;&gt;"",INDEX(Clients!$P$5:$P$204,MATCH(D397,Clients!$A$5:$A$204,0)),PaymentTerms)))</f>
        <v>0</v>
      </c>
      <c r="Z397" s="18">
        <f>IF(OR(A397="",B397=""),"",B397+Y397)</f>
        <v>0</v>
      </c>
      <c r="AA397" s="31">
        <f>IF(OR(A397="",Z397=""),"",IF(X397&lt;=0.004,"",MAX(0,TodayDate-Z397-OverdueGrace)))</f>
        <v>0</v>
      </c>
      <c r="AB397" s="39">
        <f>IF(B397="","",IF(X397&lt;=0.004,"Paid",IF(AA397="","Not due yet",IF(AA397=0,"Due now",IF(AA397&lt;=30,"1-30 days",IF(AA397&lt;=60,"31-60 days",IF(AA397&lt;=90,"61-90 days","90+ days")))))))</f>
        <v>0</v>
      </c>
      <c r="AC397" s="21">
        <f>IF(OR(A397="",AA397=""),"",IF(AA397&lt;=0,0,ROUND(X397*LateFeePercent,2)))</f>
        <v>0</v>
      </c>
      <c r="AD397" s="50">
        <f>IF(B397="","",IF(X397&lt;=0.004,"Yes","No"))</f>
        <v>0</v>
      </c>
      <c r="AE397" s="39">
        <f>IF(B397="","",IF(Q397=0,"Add - no lines on this invoice yet",IF(H397="Written off","Written off",IF(AD397="Yes","OK - paid",IF(H397="Draft","Draft - not sent yet",IF(AND(AA397&lt;&gt;"",AA397&gt;30),"Overdue - "&amp;AA397&amp;" days, call them",IF(AND(AA397&lt;&gt;"",AA397&gt;0),"Overdue - send a reminder",IF(W397&gt;0,"Part paid","Due - waiting for payment"))))))))</f>
        <v>0</v>
      </c>
    </row>
    <row r="398" spans="1:31">
      <c r="A398" s="43">
        <f>IF(B398="","",InvoicePrefix&amp;TEXT(ROW()-4,"0000"))</f>
        <v>0</v>
      </c>
      <c r="C398" s="23">
        <f>IF(B398="","",TEXT(B398,"yyyy-mm"))</f>
        <v>0</v>
      </c>
      <c r="E398" s="23">
        <f>IF(D398="","",IFERROR(INDEX(Clients!$B$5:$B$204,MATCH(D398,Clients!$A$5:$A$204,0)),"Not found"))</f>
        <v>0</v>
      </c>
      <c r="F398" s="23">
        <f>IF(D398="","",IFERROR(INDEX(Clients!$G$5:$G$204,MATCH(D398,Clients!$A$5:$A$204,0)),""))</f>
        <v>0</v>
      </c>
      <c r="Q398" s="31">
        <f>IF(A398="","",COUNTIFS('Invoice Lines'!$B$5:$B$804,A398))</f>
        <v>0</v>
      </c>
      <c r="R398" s="21">
        <f>IF(A398="","",SUMIFS('Invoice Lines'!$N$5:$N$804,'Invoice Lines'!$B$5:$B$804,A398))</f>
        <v>0</v>
      </c>
      <c r="S398" s="21">
        <f>IF(A398="","",ROUND(R398*IF(K398="",0,K398),2))</f>
        <v>0</v>
      </c>
      <c r="T398" s="21">
        <f>IF(A398="","",R398-S398)</f>
        <v>0</v>
      </c>
      <c r="U398" s="21">
        <f>IF(A398="","",ROUND(T398*TaxRate,2))</f>
        <v>0</v>
      </c>
      <c r="V398" s="21">
        <f>IF(A398="","",T398+U398)</f>
        <v>0</v>
      </c>
      <c r="W398" s="21">
        <f>IF(A398="","",SUMIFS(Payments!$G$5:$G$404,Payments!$D$5:$D$404,A398))</f>
        <v>0</v>
      </c>
      <c r="X398" s="21">
        <f>IF(A398="","",ROUND(V398-W398,2))</f>
        <v>0</v>
      </c>
      <c r="Y398" s="31">
        <f>IF(B398="","",IF(J398&lt;&gt;"",J398,IF(IFERROR(INDEX(Clients!$P$5:$P$204,MATCH(D398,Clients!$A$5:$A$204,0)),"")&lt;&gt;"",INDEX(Clients!$P$5:$P$204,MATCH(D398,Clients!$A$5:$A$204,0)),PaymentTerms)))</f>
        <v>0</v>
      </c>
      <c r="Z398" s="18">
        <f>IF(OR(A398="",B398=""),"",B398+Y398)</f>
        <v>0</v>
      </c>
      <c r="AA398" s="31">
        <f>IF(OR(A398="",Z398=""),"",IF(X398&lt;=0.004,"",MAX(0,TodayDate-Z398-OverdueGrace)))</f>
        <v>0</v>
      </c>
      <c r="AB398" s="39">
        <f>IF(B398="","",IF(X398&lt;=0.004,"Paid",IF(AA398="","Not due yet",IF(AA398=0,"Due now",IF(AA398&lt;=30,"1-30 days",IF(AA398&lt;=60,"31-60 days",IF(AA398&lt;=90,"61-90 days","90+ days")))))))</f>
        <v>0</v>
      </c>
      <c r="AC398" s="21">
        <f>IF(OR(A398="",AA398=""),"",IF(AA398&lt;=0,0,ROUND(X398*LateFeePercent,2)))</f>
        <v>0</v>
      </c>
      <c r="AD398" s="50">
        <f>IF(B398="","",IF(X398&lt;=0.004,"Yes","No"))</f>
        <v>0</v>
      </c>
      <c r="AE398" s="39">
        <f>IF(B398="","",IF(Q398=0,"Add - no lines on this invoice yet",IF(H398="Written off","Written off",IF(AD398="Yes","OK - paid",IF(H398="Draft","Draft - not sent yet",IF(AND(AA398&lt;&gt;"",AA398&gt;30),"Overdue - "&amp;AA398&amp;" days, call them",IF(AND(AA398&lt;&gt;"",AA398&gt;0),"Overdue - send a reminder",IF(W398&gt;0,"Part paid","Due - waiting for payment"))))))))</f>
        <v>0</v>
      </c>
    </row>
    <row r="399" spans="1:31">
      <c r="A399" s="43">
        <f>IF(B399="","",InvoicePrefix&amp;TEXT(ROW()-4,"0000"))</f>
        <v>0</v>
      </c>
      <c r="C399" s="23">
        <f>IF(B399="","",TEXT(B399,"yyyy-mm"))</f>
        <v>0</v>
      </c>
      <c r="E399" s="23">
        <f>IF(D399="","",IFERROR(INDEX(Clients!$B$5:$B$204,MATCH(D399,Clients!$A$5:$A$204,0)),"Not found"))</f>
        <v>0</v>
      </c>
      <c r="F399" s="23">
        <f>IF(D399="","",IFERROR(INDEX(Clients!$G$5:$G$204,MATCH(D399,Clients!$A$5:$A$204,0)),""))</f>
        <v>0</v>
      </c>
      <c r="Q399" s="31">
        <f>IF(A399="","",COUNTIFS('Invoice Lines'!$B$5:$B$804,A399))</f>
        <v>0</v>
      </c>
      <c r="R399" s="21">
        <f>IF(A399="","",SUMIFS('Invoice Lines'!$N$5:$N$804,'Invoice Lines'!$B$5:$B$804,A399))</f>
        <v>0</v>
      </c>
      <c r="S399" s="21">
        <f>IF(A399="","",ROUND(R399*IF(K399="",0,K399),2))</f>
        <v>0</v>
      </c>
      <c r="T399" s="21">
        <f>IF(A399="","",R399-S399)</f>
        <v>0</v>
      </c>
      <c r="U399" s="21">
        <f>IF(A399="","",ROUND(T399*TaxRate,2))</f>
        <v>0</v>
      </c>
      <c r="V399" s="21">
        <f>IF(A399="","",T399+U399)</f>
        <v>0</v>
      </c>
      <c r="W399" s="21">
        <f>IF(A399="","",SUMIFS(Payments!$G$5:$G$404,Payments!$D$5:$D$404,A399))</f>
        <v>0</v>
      </c>
      <c r="X399" s="21">
        <f>IF(A399="","",ROUND(V399-W399,2))</f>
        <v>0</v>
      </c>
      <c r="Y399" s="31">
        <f>IF(B399="","",IF(J399&lt;&gt;"",J399,IF(IFERROR(INDEX(Clients!$P$5:$P$204,MATCH(D399,Clients!$A$5:$A$204,0)),"")&lt;&gt;"",INDEX(Clients!$P$5:$P$204,MATCH(D399,Clients!$A$5:$A$204,0)),PaymentTerms)))</f>
        <v>0</v>
      </c>
      <c r="Z399" s="18">
        <f>IF(OR(A399="",B399=""),"",B399+Y399)</f>
        <v>0</v>
      </c>
      <c r="AA399" s="31">
        <f>IF(OR(A399="",Z399=""),"",IF(X399&lt;=0.004,"",MAX(0,TodayDate-Z399-OverdueGrace)))</f>
        <v>0</v>
      </c>
      <c r="AB399" s="39">
        <f>IF(B399="","",IF(X399&lt;=0.004,"Paid",IF(AA399="","Not due yet",IF(AA399=0,"Due now",IF(AA399&lt;=30,"1-30 days",IF(AA399&lt;=60,"31-60 days",IF(AA399&lt;=90,"61-90 days","90+ days")))))))</f>
        <v>0</v>
      </c>
      <c r="AC399" s="21">
        <f>IF(OR(A399="",AA399=""),"",IF(AA399&lt;=0,0,ROUND(X399*LateFeePercent,2)))</f>
        <v>0</v>
      </c>
      <c r="AD399" s="50">
        <f>IF(B399="","",IF(X399&lt;=0.004,"Yes","No"))</f>
        <v>0</v>
      </c>
      <c r="AE399" s="39">
        <f>IF(B399="","",IF(Q399=0,"Add - no lines on this invoice yet",IF(H399="Written off","Written off",IF(AD399="Yes","OK - paid",IF(H399="Draft","Draft - not sent yet",IF(AND(AA399&lt;&gt;"",AA399&gt;30),"Overdue - "&amp;AA399&amp;" days, call them",IF(AND(AA399&lt;&gt;"",AA399&gt;0),"Overdue - send a reminder",IF(W399&gt;0,"Part paid","Due - waiting for payment"))))))))</f>
        <v>0</v>
      </c>
    </row>
    <row r="400" spans="1:31">
      <c r="A400" s="43">
        <f>IF(B400="","",InvoicePrefix&amp;TEXT(ROW()-4,"0000"))</f>
        <v>0</v>
      </c>
      <c r="C400" s="23">
        <f>IF(B400="","",TEXT(B400,"yyyy-mm"))</f>
        <v>0</v>
      </c>
      <c r="E400" s="23">
        <f>IF(D400="","",IFERROR(INDEX(Clients!$B$5:$B$204,MATCH(D400,Clients!$A$5:$A$204,0)),"Not found"))</f>
        <v>0</v>
      </c>
      <c r="F400" s="23">
        <f>IF(D400="","",IFERROR(INDEX(Clients!$G$5:$G$204,MATCH(D400,Clients!$A$5:$A$204,0)),""))</f>
        <v>0</v>
      </c>
      <c r="Q400" s="31">
        <f>IF(A400="","",COUNTIFS('Invoice Lines'!$B$5:$B$804,A400))</f>
        <v>0</v>
      </c>
      <c r="R400" s="21">
        <f>IF(A400="","",SUMIFS('Invoice Lines'!$N$5:$N$804,'Invoice Lines'!$B$5:$B$804,A400))</f>
        <v>0</v>
      </c>
      <c r="S400" s="21">
        <f>IF(A400="","",ROUND(R400*IF(K400="",0,K400),2))</f>
        <v>0</v>
      </c>
      <c r="T400" s="21">
        <f>IF(A400="","",R400-S400)</f>
        <v>0</v>
      </c>
      <c r="U400" s="21">
        <f>IF(A400="","",ROUND(T400*TaxRate,2))</f>
        <v>0</v>
      </c>
      <c r="V400" s="21">
        <f>IF(A400="","",T400+U400)</f>
        <v>0</v>
      </c>
      <c r="W400" s="21">
        <f>IF(A400="","",SUMIFS(Payments!$G$5:$G$404,Payments!$D$5:$D$404,A400))</f>
        <v>0</v>
      </c>
      <c r="X400" s="21">
        <f>IF(A400="","",ROUND(V400-W400,2))</f>
        <v>0</v>
      </c>
      <c r="Y400" s="31">
        <f>IF(B400="","",IF(J400&lt;&gt;"",J400,IF(IFERROR(INDEX(Clients!$P$5:$P$204,MATCH(D400,Clients!$A$5:$A$204,0)),"")&lt;&gt;"",INDEX(Clients!$P$5:$P$204,MATCH(D400,Clients!$A$5:$A$204,0)),PaymentTerms)))</f>
        <v>0</v>
      </c>
      <c r="Z400" s="18">
        <f>IF(OR(A400="",B400=""),"",B400+Y400)</f>
        <v>0</v>
      </c>
      <c r="AA400" s="31">
        <f>IF(OR(A400="",Z400=""),"",IF(X400&lt;=0.004,"",MAX(0,TodayDate-Z400-OverdueGrace)))</f>
        <v>0</v>
      </c>
      <c r="AB400" s="39">
        <f>IF(B400="","",IF(X400&lt;=0.004,"Paid",IF(AA400="","Not due yet",IF(AA400=0,"Due now",IF(AA400&lt;=30,"1-30 days",IF(AA400&lt;=60,"31-60 days",IF(AA400&lt;=90,"61-90 days","90+ days")))))))</f>
        <v>0</v>
      </c>
      <c r="AC400" s="21">
        <f>IF(OR(A400="",AA400=""),"",IF(AA400&lt;=0,0,ROUND(X400*LateFeePercent,2)))</f>
        <v>0</v>
      </c>
      <c r="AD400" s="50">
        <f>IF(B400="","",IF(X400&lt;=0.004,"Yes","No"))</f>
        <v>0</v>
      </c>
      <c r="AE400" s="39">
        <f>IF(B400="","",IF(Q400=0,"Add - no lines on this invoice yet",IF(H400="Written off","Written off",IF(AD400="Yes","OK - paid",IF(H400="Draft","Draft - not sent yet",IF(AND(AA400&lt;&gt;"",AA400&gt;30),"Overdue - "&amp;AA400&amp;" days, call them",IF(AND(AA400&lt;&gt;"",AA400&gt;0),"Overdue - send a reminder",IF(W400&gt;0,"Part paid","Due - waiting for payment"))))))))</f>
        <v>0</v>
      </c>
    </row>
    <row r="401" spans="1:31">
      <c r="A401" s="43">
        <f>IF(B401="","",InvoicePrefix&amp;TEXT(ROW()-4,"0000"))</f>
        <v>0</v>
      </c>
      <c r="C401" s="23">
        <f>IF(B401="","",TEXT(B401,"yyyy-mm"))</f>
        <v>0</v>
      </c>
      <c r="E401" s="23">
        <f>IF(D401="","",IFERROR(INDEX(Clients!$B$5:$B$204,MATCH(D401,Clients!$A$5:$A$204,0)),"Not found"))</f>
        <v>0</v>
      </c>
      <c r="F401" s="23">
        <f>IF(D401="","",IFERROR(INDEX(Clients!$G$5:$G$204,MATCH(D401,Clients!$A$5:$A$204,0)),""))</f>
        <v>0</v>
      </c>
      <c r="Q401" s="31">
        <f>IF(A401="","",COUNTIFS('Invoice Lines'!$B$5:$B$804,A401))</f>
        <v>0</v>
      </c>
      <c r="R401" s="21">
        <f>IF(A401="","",SUMIFS('Invoice Lines'!$N$5:$N$804,'Invoice Lines'!$B$5:$B$804,A401))</f>
        <v>0</v>
      </c>
      <c r="S401" s="21">
        <f>IF(A401="","",ROUND(R401*IF(K401="",0,K401),2))</f>
        <v>0</v>
      </c>
      <c r="T401" s="21">
        <f>IF(A401="","",R401-S401)</f>
        <v>0</v>
      </c>
      <c r="U401" s="21">
        <f>IF(A401="","",ROUND(T401*TaxRate,2))</f>
        <v>0</v>
      </c>
      <c r="V401" s="21">
        <f>IF(A401="","",T401+U401)</f>
        <v>0</v>
      </c>
      <c r="W401" s="21">
        <f>IF(A401="","",SUMIFS(Payments!$G$5:$G$404,Payments!$D$5:$D$404,A401))</f>
        <v>0</v>
      </c>
      <c r="X401" s="21">
        <f>IF(A401="","",ROUND(V401-W401,2))</f>
        <v>0</v>
      </c>
      <c r="Y401" s="31">
        <f>IF(B401="","",IF(J401&lt;&gt;"",J401,IF(IFERROR(INDEX(Clients!$P$5:$P$204,MATCH(D401,Clients!$A$5:$A$204,0)),"")&lt;&gt;"",INDEX(Clients!$P$5:$P$204,MATCH(D401,Clients!$A$5:$A$204,0)),PaymentTerms)))</f>
        <v>0</v>
      </c>
      <c r="Z401" s="18">
        <f>IF(OR(A401="",B401=""),"",B401+Y401)</f>
        <v>0</v>
      </c>
      <c r="AA401" s="31">
        <f>IF(OR(A401="",Z401=""),"",IF(X401&lt;=0.004,"",MAX(0,TodayDate-Z401-OverdueGrace)))</f>
        <v>0</v>
      </c>
      <c r="AB401" s="39">
        <f>IF(B401="","",IF(X401&lt;=0.004,"Paid",IF(AA401="","Not due yet",IF(AA401=0,"Due now",IF(AA401&lt;=30,"1-30 days",IF(AA401&lt;=60,"31-60 days",IF(AA401&lt;=90,"61-90 days","90+ days")))))))</f>
        <v>0</v>
      </c>
      <c r="AC401" s="21">
        <f>IF(OR(A401="",AA401=""),"",IF(AA401&lt;=0,0,ROUND(X401*LateFeePercent,2)))</f>
        <v>0</v>
      </c>
      <c r="AD401" s="50">
        <f>IF(B401="","",IF(X401&lt;=0.004,"Yes","No"))</f>
        <v>0</v>
      </c>
      <c r="AE401" s="39">
        <f>IF(B401="","",IF(Q401=0,"Add - no lines on this invoice yet",IF(H401="Written off","Written off",IF(AD401="Yes","OK - paid",IF(H401="Draft","Draft - not sent yet",IF(AND(AA401&lt;&gt;"",AA401&gt;30),"Overdue - "&amp;AA401&amp;" days, call them",IF(AND(AA401&lt;&gt;"",AA401&gt;0),"Overdue - send a reminder",IF(W401&gt;0,"Part paid","Due - waiting for payment"))))))))</f>
        <v>0</v>
      </c>
    </row>
    <row r="402" spans="1:31">
      <c r="A402" s="43">
        <f>IF(B402="","",InvoicePrefix&amp;TEXT(ROW()-4,"0000"))</f>
        <v>0</v>
      </c>
      <c r="C402" s="23">
        <f>IF(B402="","",TEXT(B402,"yyyy-mm"))</f>
        <v>0</v>
      </c>
      <c r="E402" s="23">
        <f>IF(D402="","",IFERROR(INDEX(Clients!$B$5:$B$204,MATCH(D402,Clients!$A$5:$A$204,0)),"Not found"))</f>
        <v>0</v>
      </c>
      <c r="F402" s="23">
        <f>IF(D402="","",IFERROR(INDEX(Clients!$G$5:$G$204,MATCH(D402,Clients!$A$5:$A$204,0)),""))</f>
        <v>0</v>
      </c>
      <c r="Q402" s="31">
        <f>IF(A402="","",COUNTIFS('Invoice Lines'!$B$5:$B$804,A402))</f>
        <v>0</v>
      </c>
      <c r="R402" s="21">
        <f>IF(A402="","",SUMIFS('Invoice Lines'!$N$5:$N$804,'Invoice Lines'!$B$5:$B$804,A402))</f>
        <v>0</v>
      </c>
      <c r="S402" s="21">
        <f>IF(A402="","",ROUND(R402*IF(K402="",0,K402),2))</f>
        <v>0</v>
      </c>
      <c r="T402" s="21">
        <f>IF(A402="","",R402-S402)</f>
        <v>0</v>
      </c>
      <c r="U402" s="21">
        <f>IF(A402="","",ROUND(T402*TaxRate,2))</f>
        <v>0</v>
      </c>
      <c r="V402" s="21">
        <f>IF(A402="","",T402+U402)</f>
        <v>0</v>
      </c>
      <c r="W402" s="21">
        <f>IF(A402="","",SUMIFS(Payments!$G$5:$G$404,Payments!$D$5:$D$404,A402))</f>
        <v>0</v>
      </c>
      <c r="X402" s="21">
        <f>IF(A402="","",ROUND(V402-W402,2))</f>
        <v>0</v>
      </c>
      <c r="Y402" s="31">
        <f>IF(B402="","",IF(J402&lt;&gt;"",J402,IF(IFERROR(INDEX(Clients!$P$5:$P$204,MATCH(D402,Clients!$A$5:$A$204,0)),"")&lt;&gt;"",INDEX(Clients!$P$5:$P$204,MATCH(D402,Clients!$A$5:$A$204,0)),PaymentTerms)))</f>
        <v>0</v>
      </c>
      <c r="Z402" s="18">
        <f>IF(OR(A402="",B402=""),"",B402+Y402)</f>
        <v>0</v>
      </c>
      <c r="AA402" s="31">
        <f>IF(OR(A402="",Z402=""),"",IF(X402&lt;=0.004,"",MAX(0,TodayDate-Z402-OverdueGrace)))</f>
        <v>0</v>
      </c>
      <c r="AB402" s="39">
        <f>IF(B402="","",IF(X402&lt;=0.004,"Paid",IF(AA402="","Not due yet",IF(AA402=0,"Due now",IF(AA402&lt;=30,"1-30 days",IF(AA402&lt;=60,"31-60 days",IF(AA402&lt;=90,"61-90 days","90+ days")))))))</f>
        <v>0</v>
      </c>
      <c r="AC402" s="21">
        <f>IF(OR(A402="",AA402=""),"",IF(AA402&lt;=0,0,ROUND(X402*LateFeePercent,2)))</f>
        <v>0</v>
      </c>
      <c r="AD402" s="50">
        <f>IF(B402="","",IF(X402&lt;=0.004,"Yes","No"))</f>
        <v>0</v>
      </c>
      <c r="AE402" s="39">
        <f>IF(B402="","",IF(Q402=0,"Add - no lines on this invoice yet",IF(H402="Written off","Written off",IF(AD402="Yes","OK - paid",IF(H402="Draft","Draft - not sent yet",IF(AND(AA402&lt;&gt;"",AA402&gt;30),"Overdue - "&amp;AA402&amp;" days, call them",IF(AND(AA402&lt;&gt;"",AA402&gt;0),"Overdue - send a reminder",IF(W402&gt;0,"Part paid","Due - waiting for payment"))))))))</f>
        <v>0</v>
      </c>
    </row>
    <row r="403" spans="1:31">
      <c r="A403" s="43">
        <f>IF(B403="","",InvoicePrefix&amp;TEXT(ROW()-4,"0000"))</f>
        <v>0</v>
      </c>
      <c r="C403" s="23">
        <f>IF(B403="","",TEXT(B403,"yyyy-mm"))</f>
        <v>0</v>
      </c>
      <c r="E403" s="23">
        <f>IF(D403="","",IFERROR(INDEX(Clients!$B$5:$B$204,MATCH(D403,Clients!$A$5:$A$204,0)),"Not found"))</f>
        <v>0</v>
      </c>
      <c r="F403" s="23">
        <f>IF(D403="","",IFERROR(INDEX(Clients!$G$5:$G$204,MATCH(D403,Clients!$A$5:$A$204,0)),""))</f>
        <v>0</v>
      </c>
      <c r="Q403" s="31">
        <f>IF(A403="","",COUNTIFS('Invoice Lines'!$B$5:$B$804,A403))</f>
        <v>0</v>
      </c>
      <c r="R403" s="21">
        <f>IF(A403="","",SUMIFS('Invoice Lines'!$N$5:$N$804,'Invoice Lines'!$B$5:$B$804,A403))</f>
        <v>0</v>
      </c>
      <c r="S403" s="21">
        <f>IF(A403="","",ROUND(R403*IF(K403="",0,K403),2))</f>
        <v>0</v>
      </c>
      <c r="T403" s="21">
        <f>IF(A403="","",R403-S403)</f>
        <v>0</v>
      </c>
      <c r="U403" s="21">
        <f>IF(A403="","",ROUND(T403*TaxRate,2))</f>
        <v>0</v>
      </c>
      <c r="V403" s="21">
        <f>IF(A403="","",T403+U403)</f>
        <v>0</v>
      </c>
      <c r="W403" s="21">
        <f>IF(A403="","",SUMIFS(Payments!$G$5:$G$404,Payments!$D$5:$D$404,A403))</f>
        <v>0</v>
      </c>
      <c r="X403" s="21">
        <f>IF(A403="","",ROUND(V403-W403,2))</f>
        <v>0</v>
      </c>
      <c r="Y403" s="31">
        <f>IF(B403="","",IF(J403&lt;&gt;"",J403,IF(IFERROR(INDEX(Clients!$P$5:$P$204,MATCH(D403,Clients!$A$5:$A$204,0)),"")&lt;&gt;"",INDEX(Clients!$P$5:$P$204,MATCH(D403,Clients!$A$5:$A$204,0)),PaymentTerms)))</f>
        <v>0</v>
      </c>
      <c r="Z403" s="18">
        <f>IF(OR(A403="",B403=""),"",B403+Y403)</f>
        <v>0</v>
      </c>
      <c r="AA403" s="31">
        <f>IF(OR(A403="",Z403=""),"",IF(X403&lt;=0.004,"",MAX(0,TodayDate-Z403-OverdueGrace)))</f>
        <v>0</v>
      </c>
      <c r="AB403" s="39">
        <f>IF(B403="","",IF(X403&lt;=0.004,"Paid",IF(AA403="","Not due yet",IF(AA403=0,"Due now",IF(AA403&lt;=30,"1-30 days",IF(AA403&lt;=60,"31-60 days",IF(AA403&lt;=90,"61-90 days","90+ days")))))))</f>
        <v>0</v>
      </c>
      <c r="AC403" s="21">
        <f>IF(OR(A403="",AA403=""),"",IF(AA403&lt;=0,0,ROUND(X403*LateFeePercent,2)))</f>
        <v>0</v>
      </c>
      <c r="AD403" s="50">
        <f>IF(B403="","",IF(X403&lt;=0.004,"Yes","No"))</f>
        <v>0</v>
      </c>
      <c r="AE403" s="39">
        <f>IF(B403="","",IF(Q403=0,"Add - no lines on this invoice yet",IF(H403="Written off","Written off",IF(AD403="Yes","OK - paid",IF(H403="Draft","Draft - not sent yet",IF(AND(AA403&lt;&gt;"",AA403&gt;30),"Overdue - "&amp;AA403&amp;" days, call them",IF(AND(AA403&lt;&gt;"",AA403&gt;0),"Overdue - send a reminder",IF(W403&gt;0,"Part paid","Due - waiting for payment"))))))))</f>
        <v>0</v>
      </c>
    </row>
    <row r="404" spans="1:31">
      <c r="A404" s="43">
        <f>IF(B404="","",InvoicePrefix&amp;TEXT(ROW()-4,"0000"))</f>
        <v>0</v>
      </c>
      <c r="C404" s="23">
        <f>IF(B404="","",TEXT(B404,"yyyy-mm"))</f>
        <v>0</v>
      </c>
      <c r="E404" s="23">
        <f>IF(D404="","",IFERROR(INDEX(Clients!$B$5:$B$204,MATCH(D404,Clients!$A$5:$A$204,0)),"Not found"))</f>
        <v>0</v>
      </c>
      <c r="F404" s="23">
        <f>IF(D404="","",IFERROR(INDEX(Clients!$G$5:$G$204,MATCH(D404,Clients!$A$5:$A$204,0)),""))</f>
        <v>0</v>
      </c>
      <c r="Q404" s="31">
        <f>IF(A404="","",COUNTIFS('Invoice Lines'!$B$5:$B$804,A404))</f>
        <v>0</v>
      </c>
      <c r="R404" s="21">
        <f>IF(A404="","",SUMIFS('Invoice Lines'!$N$5:$N$804,'Invoice Lines'!$B$5:$B$804,A404))</f>
        <v>0</v>
      </c>
      <c r="S404" s="21">
        <f>IF(A404="","",ROUND(R404*IF(K404="",0,K404),2))</f>
        <v>0</v>
      </c>
      <c r="T404" s="21">
        <f>IF(A404="","",R404-S404)</f>
        <v>0</v>
      </c>
      <c r="U404" s="21">
        <f>IF(A404="","",ROUND(T404*TaxRate,2))</f>
        <v>0</v>
      </c>
      <c r="V404" s="21">
        <f>IF(A404="","",T404+U404)</f>
        <v>0</v>
      </c>
      <c r="W404" s="21">
        <f>IF(A404="","",SUMIFS(Payments!$G$5:$G$404,Payments!$D$5:$D$404,A404))</f>
        <v>0</v>
      </c>
      <c r="X404" s="21">
        <f>IF(A404="","",ROUND(V404-W404,2))</f>
        <v>0</v>
      </c>
      <c r="Y404" s="31">
        <f>IF(B404="","",IF(J404&lt;&gt;"",J404,IF(IFERROR(INDEX(Clients!$P$5:$P$204,MATCH(D404,Clients!$A$5:$A$204,0)),"")&lt;&gt;"",INDEX(Clients!$P$5:$P$204,MATCH(D404,Clients!$A$5:$A$204,0)),PaymentTerms)))</f>
        <v>0</v>
      </c>
      <c r="Z404" s="18">
        <f>IF(OR(A404="",B404=""),"",B404+Y404)</f>
        <v>0</v>
      </c>
      <c r="AA404" s="31">
        <f>IF(OR(A404="",Z404=""),"",IF(X404&lt;=0.004,"",MAX(0,TodayDate-Z404-OverdueGrace)))</f>
        <v>0</v>
      </c>
      <c r="AB404" s="39">
        <f>IF(B404="","",IF(X404&lt;=0.004,"Paid",IF(AA404="","Not due yet",IF(AA404=0,"Due now",IF(AA404&lt;=30,"1-30 days",IF(AA404&lt;=60,"31-60 days",IF(AA404&lt;=90,"61-90 days","90+ days")))))))</f>
        <v>0</v>
      </c>
      <c r="AC404" s="21">
        <f>IF(OR(A404="",AA404=""),"",IF(AA404&lt;=0,0,ROUND(X404*LateFeePercent,2)))</f>
        <v>0</v>
      </c>
      <c r="AD404" s="50">
        <f>IF(B404="","",IF(X404&lt;=0.004,"Yes","No"))</f>
        <v>0</v>
      </c>
      <c r="AE404" s="39">
        <f>IF(B404="","",IF(Q404=0,"Add - no lines on this invoice yet",IF(H404="Written off","Written off",IF(AD404="Yes","OK - paid",IF(H404="Draft","Draft - not sent yet",IF(AND(AA404&lt;&gt;"",AA404&gt;30),"Overdue - "&amp;AA404&amp;" days, call them",IF(AND(AA404&lt;&gt;"",AA404&gt;0),"Overdue - send a reminder",IF(W404&gt;0,"Part paid","Due - waiting for payment"))))))))</f>
        <v>0</v>
      </c>
    </row>
  </sheetData>
  <sheetProtection password="EC7C" sheet="1" objects="1" scenarios="1" formatCells="0" formatColumns="0" formatRows="0" insertRows="0" insertHyperlinks="0" deleteRows="0" autoFilter="0"/>
  <autoFilter ref="A4:AE404"/>
  <mergeCells count="13">
    <mergeCell ref="A1:AB1"/>
    <mergeCell ref="AC1:AE1"/>
    <mergeCell ref="A2:AE2"/>
    <mergeCell ref="A3:B3"/>
    <mergeCell ref="C3:D3"/>
    <mergeCell ref="E3:F3"/>
    <mergeCell ref="G3:H3"/>
    <mergeCell ref="I3:J3"/>
    <mergeCell ref="K3:L3"/>
    <mergeCell ref="M3:N3"/>
    <mergeCell ref="O3:P3"/>
    <mergeCell ref="Q3:R3"/>
    <mergeCell ref="S3:AE3"/>
  </mergeCells>
  <conditionalFormatting sqref="AA5:AA404">
    <cfRule type="cellIs" dxfId="2" priority="43" operator="greaterThan">
      <formula>30</formula>
    </cfRule>
    <cfRule type="cellIs" dxfId="0" priority="44" operator="greaterThan">
      <formula>0</formula>
    </cfRule>
  </conditionalFormatting>
  <conditionalFormatting sqref="AB5:AB404">
    <cfRule type="containsText" dxfId="1" priority="45" operator="containsText" text="Completed">
      <formula>NOT(ISERROR(SEARCH("Completed",AB5)))</formula>
    </cfRule>
    <cfRule type="containsText" dxfId="1" priority="46" operator="containsText" text="Complete">
      <formula>NOT(ISERROR(SEARCH("Complete",AB5)))</formula>
    </cfRule>
    <cfRule type="containsText" dxfId="1" priority="47" operator="containsText" text="Done">
      <formula>NOT(ISERROR(SEARCH("Done",AB5)))</formula>
    </cfRule>
    <cfRule type="containsText" dxfId="1" priority="48" operator="containsText" text="Paid">
      <formula>NOT(ISERROR(SEARCH("Paid",AB5)))</formula>
    </cfRule>
    <cfRule type="containsText" dxfId="1" priority="49" operator="containsText" text="Accepted">
      <formula>NOT(ISERROR(SEARCH("Accepted",AB5)))</formula>
    </cfRule>
    <cfRule type="containsText" dxfId="1" priority="50" operator="containsText" text="Won">
      <formula>NOT(ISERROR(SEARCH("Won",AB5)))</formula>
    </cfRule>
    <cfRule type="containsText" dxfId="1" priority="51" operator="containsText" text="Active">
      <formula>NOT(ISERROR(SEARCH("Active",AB5)))</formula>
    </cfRule>
    <cfRule type="containsText" dxfId="1" priority="52" operator="containsText" text="In stock">
      <formula>NOT(ISERROR(SEARCH("In stock",AB5)))</formula>
    </cfRule>
    <cfRule type="containsText" dxfId="1" priority="53" operator="containsText" text="Resolved">
      <formula>NOT(ISERROR(SEARCH("Resolved",AB5)))</formula>
    </cfRule>
    <cfRule type="containsText" dxfId="1" priority="54" operator="containsText" text="Signed">
      <formula>NOT(ISERROR(SEARCH("Signed",AB5)))</formula>
    </cfRule>
    <cfRule type="containsText" dxfId="1" priority="55" operator="containsText" text="Yes">
      <formula>NOT(ISERROR(SEARCH("Yes",AB5)))</formula>
    </cfRule>
    <cfRule type="containsText" dxfId="3" priority="56" operator="containsText" text="Booked">
      <formula>NOT(ISERROR(SEARCH("Booked",AB5)))</formula>
    </cfRule>
    <cfRule type="containsText" dxfId="3" priority="57" operator="containsText" text="Confirmed">
      <formula>NOT(ISERROR(SEARCH("Confirmed",AB5)))</formula>
    </cfRule>
    <cfRule type="containsText" dxfId="3" priority="58" operator="containsText" text="Scheduled">
      <formula>NOT(ISERROR(SEARCH("Scheduled",AB5)))</formula>
    </cfRule>
    <cfRule type="containsText" dxfId="3" priority="59" operator="containsText" text="In progress">
      <formula>NOT(ISERROR(SEARCH("In progress",AB5)))</formula>
    </cfRule>
    <cfRule type="containsText" dxfId="3" priority="60" operator="containsText" text="Sent">
      <formula>NOT(ISERROR(SEARCH("Sent",AB5)))</formula>
    </cfRule>
    <cfRule type="containsText" dxfId="3" priority="61" operator="containsText" text="Invoiced">
      <formula>NOT(ISERROR(SEARCH("Invoiced",AB5)))</formula>
    </cfRule>
    <cfRule type="containsText" dxfId="3" priority="62" operator="containsText" text="Quoted">
      <formula>NOT(ISERROR(SEARCH("Quoted",AB5)))</formula>
    </cfRule>
    <cfRule type="containsText" dxfId="3" priority="63" operator="containsText" text="Prospect">
      <formula>NOT(ISERROR(SEARCH("Prospect",AB5)))</formula>
    </cfRule>
    <cfRule type="containsText" dxfId="0" priority="64" operator="containsText" text="Draft">
      <formula>NOT(ISERROR(SEARCH("Draft",AB5)))</formula>
    </cfRule>
    <cfRule type="containsText" dxfId="0" priority="65" operator="containsText" text="Enquiry">
      <formula>NOT(ISERROR(SEARCH("Enquiry",AB5)))</formula>
    </cfRule>
    <cfRule type="containsText" dxfId="0" priority="66" operator="containsText" text="Pending">
      <formula>NOT(ISERROR(SEARCH("Pending",AB5)))</formula>
    </cfRule>
    <cfRule type="containsText" dxfId="0" priority="67" operator="containsText" text="Part paid">
      <formula>NOT(ISERROR(SEARCH("Part paid",AB5)))</formula>
    </cfRule>
    <cfRule type="containsText" dxfId="0" priority="68" operator="containsText" text="Followed up">
      <formula>NOT(ISERROR(SEARCH("Followed up",AB5)))</formula>
    </cfRule>
    <cfRule type="containsText" dxfId="0" priority="69" operator="containsText" text="Low stock">
      <formula>NOT(ISERROR(SEARCH("Low stock",AB5)))</formula>
    </cfRule>
    <cfRule type="containsText" dxfId="0" priority="70" operator="containsText" text="Due soon">
      <formula>NOT(ISERROR(SEARCH("Due soon",AB5)))</formula>
    </cfRule>
    <cfRule type="containsText" dxfId="0" priority="71" operator="containsText" text="On hold">
      <formula>NOT(ISERROR(SEARCH("On hold",AB5)))</formula>
    </cfRule>
    <cfRule type="containsText" dxfId="0" priority="72" operator="containsText" text="Unassigned">
      <formula>NOT(ISERROR(SEARCH("Unassigned",AB5)))</formula>
    </cfRule>
    <cfRule type="containsText" dxfId="2" priority="73" operator="containsText" text="Overdue">
      <formula>NOT(ISERROR(SEARCH("Overdue",AB5)))</formula>
    </cfRule>
    <cfRule type="containsText" dxfId="2" priority="74" operator="containsText" text="Cancelled">
      <formula>NOT(ISERROR(SEARCH("Cancelled",AB5)))</formula>
    </cfRule>
    <cfRule type="containsText" dxfId="2" priority="75" operator="containsText" text="Declined">
      <formula>NOT(ISERROR(SEARCH("Declined",AB5)))</formula>
    </cfRule>
    <cfRule type="containsText" dxfId="2" priority="76" operator="containsText" text="Lost">
      <formula>NOT(ISERROR(SEARCH("Lost",AB5)))</formula>
    </cfRule>
    <cfRule type="containsText" dxfId="2" priority="77" operator="containsText" text="No access">
      <formula>NOT(ISERROR(SEARCH("No access",AB5)))</formula>
    </cfRule>
    <cfRule type="containsText" dxfId="2" priority="78" operator="containsText" text="Out of stock">
      <formula>NOT(ISERROR(SEARCH("Out of stock",AB5)))</formula>
    </cfRule>
    <cfRule type="containsText" dxfId="2" priority="79" operator="containsText" text="Written off">
      <formula>NOT(ISERROR(SEARCH("Written off",AB5)))</formula>
    </cfRule>
    <cfRule type="containsText" dxfId="2" priority="80" operator="containsText" text="Expired">
      <formula>NOT(ISERROR(SEARCH("Expired",AB5)))</formula>
    </cfRule>
    <cfRule type="containsText" dxfId="4" priority="81" operator="containsText" text="Inactive">
      <formula>NOT(ISERROR(SEARCH("Inactive",AB5)))</formula>
    </cfRule>
    <cfRule type="containsText" dxfId="4" priority="82" operator="containsText" text="Archived">
      <formula>NOT(ISERROR(SEARCH("Archived",AB5)))</formula>
    </cfRule>
    <cfRule type="containsText" dxfId="4" priority="83" operator="containsText" text="Not needed">
      <formula>NOT(ISERROR(SEARCH("Not needed",AB5)))</formula>
    </cfRule>
  </conditionalFormatting>
  <conditionalFormatting sqref="AD5:AD404">
    <cfRule type="containsText" dxfId="0" priority="84" operator="containsText" text="No">
      <formula>NOT(ISERROR(SEARCH("No",AD5)))</formula>
    </cfRule>
    <cfRule type="containsText" dxfId="1" priority="85" operator="containsText" text="Yes">
      <formula>NOT(ISERROR(SEARCH("Yes",AD5)))</formula>
    </cfRule>
  </conditionalFormatting>
  <conditionalFormatting sqref="AE5:AE404">
    <cfRule type="beginsWith" dxfId="1" priority="86" operator="beginsWith" text="OK">
      <formula>LEFT(AE5,2)="OK"</formula>
    </cfRule>
    <cfRule type="containsText" dxfId="2" priority="87" operator="containsText" text="Overdue">
      <formula>NOT(ISERROR(SEARCH("Overdue",AE5)))</formula>
    </cfRule>
    <cfRule type="containsText" dxfId="2" priority="88" operator="containsText" text="Late">
      <formula>NOT(ISERROR(SEARCH("Late",AE5)))</formula>
    </cfRule>
    <cfRule type="containsText" dxfId="2" priority="89" operator="containsText" text="Missing">
      <formula>NOT(ISERROR(SEARCH("Missing",AE5)))</formula>
    </cfRule>
    <cfRule type="containsText" dxfId="2" priority="90" operator="containsText" text="Conflict">
      <formula>NOT(ISERROR(SEARCH("Conflict",AE5)))</formula>
    </cfRule>
    <cfRule type="containsText" dxfId="2" priority="91" operator="containsText" text="Clash">
      <formula>NOT(ISERROR(SEARCH("Clash",AE5)))</formula>
    </cfRule>
    <cfRule type="containsText" dxfId="2" priority="92" operator="containsText" text="Expired">
      <formula>NOT(ISERROR(SEARCH("Expired",AE5)))</formula>
    </cfRule>
    <cfRule type="containsText" dxfId="2" priority="93" operator="containsText" text="Duplicate">
      <formula>NOT(ISERROR(SEARCH("Duplicate",AE5)))</formula>
    </cfRule>
    <cfRule type="containsText" dxfId="2" priority="94" operator="containsText" text="Unpaid">
      <formula>NOT(ISERROR(SEARCH("Unpaid",AE5)))</formula>
    </cfRule>
    <cfRule type="containsText" dxfId="2" priority="95" operator="containsText" text="Loss">
      <formula>NOT(ISERROR(SEARCH("Loss",AE5)))</formula>
    </cfRule>
    <cfRule type="containsText" dxfId="2" priority="96" operator="containsText" text="Below">
      <formula>NOT(ISERROR(SEARCH("Below",AE5)))</formula>
    </cfRule>
    <cfRule type="containsText" dxfId="0" priority="97" operator="containsText" text="Action">
      <formula>NOT(ISERROR(SEARCH("Action",AE5)))</formula>
    </cfRule>
    <cfRule type="containsText" dxfId="0" priority="98" operator="containsText" text="Due">
      <formula>NOT(ISERROR(SEARCH("Due",AE5)))</formula>
    </cfRule>
    <cfRule type="containsText" dxfId="0" priority="99" operator="containsText" text="Check">
      <formula>NOT(ISERROR(SEARCH("Check",AE5)))</formula>
    </cfRule>
    <cfRule type="containsText" dxfId="0" priority="100" operator="containsText" text="Chase">
      <formula>NOT(ISERROR(SEARCH("Chase",AE5)))</formula>
    </cfRule>
    <cfRule type="containsText" dxfId="0" priority="101" operator="containsText" text="Assign">
      <formula>NOT(ISERROR(SEARCH("Assign",AE5)))</formula>
    </cfRule>
    <cfRule type="containsText" dxfId="0" priority="102" operator="containsText" text="Confirm">
      <formula>NOT(ISERROR(SEARCH("Confirm",AE5)))</formula>
    </cfRule>
    <cfRule type="containsText" dxfId="0" priority="103" operator="containsText" text="Order">
      <formula>NOT(ISERROR(SEARCH("Order",AE5)))</formula>
    </cfRule>
    <cfRule type="containsText" dxfId="3" priority="104" operator="containsText" text="Today">
      <formula>NOT(ISERROR(SEARCH("Today",AE5)))</formula>
    </cfRule>
    <cfRule type="containsText" dxfId="3" priority="105" operator="containsText" text="Upcoming">
      <formula>NOT(ISERROR(SEARCH("Upcoming",AE5)))</formula>
    </cfRule>
    <cfRule type="containsText" dxfId="3" priority="106" operator="containsText" text="Tomorrow">
      <formula>NOT(ISERROR(SEARCH("Tomorrow",AE5)))</formula>
    </cfRule>
  </conditionalFormatting>
  <conditionalFormatting sqref="H5:H404">
    <cfRule type="containsText" dxfId="1" priority="1" operator="containsText" text="Completed">
      <formula>NOT(ISERROR(SEARCH("Completed",H5)))</formula>
    </cfRule>
    <cfRule type="containsText" dxfId="1" priority="2" operator="containsText" text="Complete">
      <formula>NOT(ISERROR(SEARCH("Complete",H5)))</formula>
    </cfRule>
    <cfRule type="containsText" dxfId="1" priority="3" operator="containsText" text="Done">
      <formula>NOT(ISERROR(SEARCH("Done",H5)))</formula>
    </cfRule>
    <cfRule type="containsText" dxfId="1" priority="4" operator="containsText" text="Paid">
      <formula>NOT(ISERROR(SEARCH("Paid",H5)))</formula>
    </cfRule>
    <cfRule type="containsText" dxfId="1" priority="5" operator="containsText" text="Accepted">
      <formula>NOT(ISERROR(SEARCH("Accepted",H5)))</formula>
    </cfRule>
    <cfRule type="containsText" dxfId="1" priority="6" operator="containsText" text="Won">
      <formula>NOT(ISERROR(SEARCH("Won",H5)))</formula>
    </cfRule>
    <cfRule type="containsText" dxfId="1" priority="7" operator="containsText" text="Active">
      <formula>NOT(ISERROR(SEARCH("Active",H5)))</formula>
    </cfRule>
    <cfRule type="containsText" dxfId="1" priority="8" operator="containsText" text="In stock">
      <formula>NOT(ISERROR(SEARCH("In stock",H5)))</formula>
    </cfRule>
    <cfRule type="containsText" dxfId="1" priority="9" operator="containsText" text="Resolved">
      <formula>NOT(ISERROR(SEARCH("Resolved",H5)))</formula>
    </cfRule>
    <cfRule type="containsText" dxfId="1" priority="10" operator="containsText" text="Signed">
      <formula>NOT(ISERROR(SEARCH("Signed",H5)))</formula>
    </cfRule>
    <cfRule type="containsText" dxfId="1" priority="11" operator="containsText" text="Yes">
      <formula>NOT(ISERROR(SEARCH("Yes",H5)))</formula>
    </cfRule>
    <cfRule type="containsText" dxfId="3" priority="12" operator="containsText" text="Booked">
      <formula>NOT(ISERROR(SEARCH("Booked",H5)))</formula>
    </cfRule>
    <cfRule type="containsText" dxfId="3" priority="13" operator="containsText" text="Confirmed">
      <formula>NOT(ISERROR(SEARCH("Confirmed",H5)))</formula>
    </cfRule>
    <cfRule type="containsText" dxfId="3" priority="14" operator="containsText" text="Scheduled">
      <formula>NOT(ISERROR(SEARCH("Scheduled",H5)))</formula>
    </cfRule>
    <cfRule type="containsText" dxfId="3" priority="15" operator="containsText" text="In progress">
      <formula>NOT(ISERROR(SEARCH("In progress",H5)))</formula>
    </cfRule>
    <cfRule type="containsText" dxfId="3" priority="16" operator="containsText" text="Sent">
      <formula>NOT(ISERROR(SEARCH("Sent",H5)))</formula>
    </cfRule>
    <cfRule type="containsText" dxfId="3" priority="17" operator="containsText" text="Invoiced">
      <formula>NOT(ISERROR(SEARCH("Invoiced",H5)))</formula>
    </cfRule>
    <cfRule type="containsText" dxfId="3" priority="18" operator="containsText" text="Quoted">
      <formula>NOT(ISERROR(SEARCH("Quoted",H5)))</formula>
    </cfRule>
    <cfRule type="containsText" dxfId="3" priority="19" operator="containsText" text="Prospect">
      <formula>NOT(ISERROR(SEARCH("Prospect",H5)))</formula>
    </cfRule>
    <cfRule type="containsText" dxfId="0" priority="20" operator="containsText" text="Draft">
      <formula>NOT(ISERROR(SEARCH("Draft",H5)))</formula>
    </cfRule>
    <cfRule type="containsText" dxfId="0" priority="21" operator="containsText" text="Enquiry">
      <formula>NOT(ISERROR(SEARCH("Enquiry",H5)))</formula>
    </cfRule>
    <cfRule type="containsText" dxfId="0" priority="22" operator="containsText" text="Pending">
      <formula>NOT(ISERROR(SEARCH("Pending",H5)))</formula>
    </cfRule>
    <cfRule type="containsText" dxfId="0" priority="23" operator="containsText" text="Part paid">
      <formula>NOT(ISERROR(SEARCH("Part paid",H5)))</formula>
    </cfRule>
    <cfRule type="containsText" dxfId="0" priority="24" operator="containsText" text="Followed up">
      <formula>NOT(ISERROR(SEARCH("Followed up",H5)))</formula>
    </cfRule>
    <cfRule type="containsText" dxfId="0" priority="25" operator="containsText" text="Low stock">
      <formula>NOT(ISERROR(SEARCH("Low stock",H5)))</formula>
    </cfRule>
    <cfRule type="containsText" dxfId="0" priority="26" operator="containsText" text="Due soon">
      <formula>NOT(ISERROR(SEARCH("Due soon",H5)))</formula>
    </cfRule>
    <cfRule type="containsText" dxfId="0" priority="27" operator="containsText" text="On hold">
      <formula>NOT(ISERROR(SEARCH("On hold",H5)))</formula>
    </cfRule>
    <cfRule type="containsText" dxfId="0" priority="28" operator="containsText" text="Unassigned">
      <formula>NOT(ISERROR(SEARCH("Unassigned",H5)))</formula>
    </cfRule>
    <cfRule type="containsText" dxfId="2" priority="29" operator="containsText" text="Overdue">
      <formula>NOT(ISERROR(SEARCH("Overdue",H5)))</formula>
    </cfRule>
    <cfRule type="containsText" dxfId="2" priority="30" operator="containsText" text="Cancelled">
      <formula>NOT(ISERROR(SEARCH("Cancelled",H5)))</formula>
    </cfRule>
    <cfRule type="containsText" dxfId="2" priority="31" operator="containsText" text="Declined">
      <formula>NOT(ISERROR(SEARCH("Declined",H5)))</formula>
    </cfRule>
    <cfRule type="containsText" dxfId="2" priority="32" operator="containsText" text="Lost">
      <formula>NOT(ISERROR(SEARCH("Lost",H5)))</formula>
    </cfRule>
    <cfRule type="containsText" dxfId="2" priority="33" operator="containsText" text="No access">
      <formula>NOT(ISERROR(SEARCH("No access",H5)))</formula>
    </cfRule>
    <cfRule type="containsText" dxfId="2" priority="34" operator="containsText" text="Out of stock">
      <formula>NOT(ISERROR(SEARCH("Out of stock",H5)))</formula>
    </cfRule>
    <cfRule type="containsText" dxfId="2" priority="35" operator="containsText" text="Written off">
      <formula>NOT(ISERROR(SEARCH("Written off",H5)))</formula>
    </cfRule>
    <cfRule type="containsText" dxfId="2" priority="36" operator="containsText" text="Expired">
      <formula>NOT(ISERROR(SEARCH("Expired",H5)))</formula>
    </cfRule>
    <cfRule type="containsText" dxfId="4" priority="37" operator="containsText" text="Inactive">
      <formula>NOT(ISERROR(SEARCH("Inactive",H5)))</formula>
    </cfRule>
    <cfRule type="containsText" dxfId="4" priority="38" operator="containsText" text="Archived">
      <formula>NOT(ISERROR(SEARCH("Archived",H5)))</formula>
    </cfRule>
    <cfRule type="containsText" dxfId="4" priority="39" operator="containsText" text="Not needed">
      <formula>NOT(ISERROR(SEARCH("Not needed",H5)))</formula>
    </cfRule>
  </conditionalFormatting>
  <conditionalFormatting sqref="V5:V404">
    <cfRule type="dataBar" priority="40">
      <dataBar>
        <cfvo type="min" val="0"/>
        <cfvo type="max" val="0"/>
        <color rgb="FFE8A33D"/>
      </dataBar>
    </cfRule>
  </conditionalFormatting>
  <conditionalFormatting sqref="X5:X404">
    <cfRule type="cellIs" dxfId="0" priority="41" operator="greaterThan">
      <formula>0.004</formula>
    </cfRule>
    <cfRule type="cellIs" dxfId="1" priority="42" operator="lessThanOrEqual">
      <formula>0</formula>
    </cfRule>
  </conditionalFormatting>
  <dataValidations count="9">
    <dataValidation type="date" allowBlank="1" showInputMessage="1" showErrorMessage="1" errorTitle="Check the date" error="Enter a real date between 2000 and 2100." sqref="B5:B404">
      <formula1>36526</formula1>
      <formula2>73415</formula2>
    </dataValidation>
    <dataValidation type="list" allowBlank="1" showInputMessage="1" showErrorMessage="1" promptTitle="Client ID" prompt="Everything else about them - name, address, terms - comes from the Clients tab." sqref="D5:D404">
      <formula1>ClientIDs</formula1>
    </dataValidation>
    <dataValidation type="list" allowBlank="1" showInputMessage="1" showErrorMessage="1" promptTitle="Status" prompt="Draft until you send it. Paid is worked out for you from the payments, but you can override it." sqref="H5:H404">
      <formula1>InvoiceStatusList</formula1>
    </dataValidation>
    <dataValidation type="date" allowBlank="1" showInputMessage="1" showErrorMessage="1" errorTitle="Check the date" error="Enter a real date between 2000 and 2100." promptTitle="Sent on" prompt="The due date counts from the invoice date, but it is worth recording when it really went out." sqref="I5:I404">
      <formula1>36526</formula1>
      <formula2>73415</formula2>
    </dataValidation>
    <dataValidation type="whole" allowBlank="1" showInputMessage="1" showErrorMessage="1" errorTitle="Check the value" error="Enter a number between 0 and 180." promptTitle="Terms (days)" prompt="Blank uses the client's terms, or the business default from Settings." sqref="J5:J404">
      <formula1>0</formula1>
      <formula2>180</formula2>
    </dataValidation>
    <dataValidation type="decimal" allowBlank="1" showInputMessage="1" showErrorMessage="1" errorTitle="Check the value" error="Enter a number between 0 and 1." sqref="K5:K404">
      <formula1>0</formula1>
      <formula2>1</formula2>
    </dataValidation>
    <dataValidation type="list" allowBlank="1" showInputMessage="1" showErrorMessage="1" sqref="L5:L404">
      <formula1>PaymentMethodList</formula1>
    </dataValidation>
    <dataValidation type="whole" allowBlank="1" showInputMessage="1" showErrorMessage="1" errorTitle="Check the value" error="Enter a number between 0 and 50." sqref="N5:N404">
      <formula1>0</formula1>
      <formula2>50</formula2>
    </dataValidation>
    <dataValidation type="date" allowBlank="1" showInputMessage="1" showErrorMessage="1" errorTitle="Check the date" error="Enter a real date between 2000 and 2100." sqref="O5:O404">
      <formula1>36526</formula1>
      <formula2>73415</formula2>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&amp;L&amp;"Calibri,Bold"&amp;12&amp;C&amp;"Calibri,Bold"&amp;11Invoices&amp;R&amp;"Calibri,Italic"&amp;9Cleaning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20.xml><?xml version="1.0" encoding="utf-8"?>
<worksheet xmlns="http://schemas.openxmlformats.org/spreadsheetml/2006/main" xmlns:r="http://schemas.openxmlformats.org/officeDocument/2006/relationships">
  <sheetPr>
    <tabColor rgb="FF14616B"/>
    <pageSetUpPr fitToPage="1"/>
  </sheetPr>
  <dimension ref="A1:R8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11.7109375" style="49" customWidth="1"/>
    <col min="3" max="3" width="11.7109375" style="49" customWidth="1"/>
    <col min="4" max="4" width="11.7109375" style="18" customWidth="1"/>
    <col min="5" max="5" width="40.7109375" style="44" customWidth="1"/>
    <col min="6" max="6" width="9.7109375" style="17" customWidth="1"/>
    <col min="7" max="7" width="12.7109375" style="19" customWidth="1"/>
    <col min="8" max="8" width="9.7109375" style="47" customWidth="1"/>
    <col min="9" max="9" width="24.7109375" style="44" customWidth="1"/>
    <col min="10" max="10" width="11.7109375" style="21" hidden="1" customWidth="1"/>
    <col min="11" max="11" width="20.7109375" style="23" hidden="1" customWidth="1"/>
    <col min="12" max="12" width="40.7109375" style="51" hidden="1" customWidth="1"/>
    <col min="13" max="13" width="11.7109375" style="21" customWidth="1"/>
    <col min="14" max="14" width="12.7109375" style="21" customWidth="1"/>
    <col min="15" max="15" width="11.7109375" style="39" customWidth="1"/>
    <col min="16" max="16" width="9.7109375" style="31" hidden="1" customWidth="1"/>
    <col min="17" max="17" width="12.7109375" style="23" hidden="1" customWidth="1"/>
    <col min="18" max="18" width="24.7109375" style="39" customWidth="1"/>
  </cols>
  <sheetData>
    <row r="1" spans="1:18" ht="34" customHeight="1">
      <c r="A1" s="2" t="s">
        <v>1613</v>
      </c>
      <c r="B1" s="2"/>
      <c r="C1" s="2"/>
      <c r="D1" s="2"/>
      <c r="E1" s="2"/>
      <c r="F1" s="2"/>
      <c r="G1" s="2"/>
      <c r="H1" s="2"/>
      <c r="I1" s="2"/>
      <c r="J1" s="2"/>
      <c r="K1" s="2"/>
      <c r="L1" s="2"/>
      <c r="M1" s="2"/>
      <c r="N1" s="2"/>
      <c r="O1" s="2"/>
      <c r="P1" s="3" t="s">
        <v>1</v>
      </c>
      <c r="Q1" s="3"/>
      <c r="R1" s="3"/>
    </row>
    <row r="2" spans="1:18" ht="18" customHeight="1">
      <c r="A2" s="4" t="s">
        <v>1614</v>
      </c>
      <c r="B2" s="4"/>
      <c r="C2" s="4"/>
      <c r="D2" s="4"/>
      <c r="E2" s="4"/>
      <c r="F2" s="4"/>
      <c r="G2" s="4"/>
      <c r="H2" s="4"/>
      <c r="I2" s="4"/>
      <c r="J2" s="4"/>
      <c r="K2" s="4"/>
      <c r="L2" s="4"/>
      <c r="M2" s="4"/>
      <c r="N2" s="4"/>
      <c r="O2" s="4"/>
      <c r="P2" s="4"/>
      <c r="Q2" s="4"/>
      <c r="R2" s="4"/>
    </row>
    <row r="3" spans="1:18" ht="16" customHeight="1">
      <c r="A3" s="5" t="s">
        <v>3</v>
      </c>
      <c r="B3" s="5"/>
      <c r="C3" s="5" t="s">
        <v>4</v>
      </c>
      <c r="D3" s="5"/>
      <c r="E3" s="5" t="s">
        <v>5</v>
      </c>
      <c r="F3" s="5"/>
      <c r="G3" s="5" t="s">
        <v>6</v>
      </c>
      <c r="H3" s="5"/>
      <c r="I3" s="5" t="s">
        <v>7</v>
      </c>
      <c r="J3" s="5"/>
      <c r="K3" s="5" t="s">
        <v>338</v>
      </c>
      <c r="L3" s="5"/>
      <c r="M3" s="5" t="s">
        <v>541</v>
      </c>
      <c r="N3" s="5"/>
      <c r="O3" s="5" t="s">
        <v>542</v>
      </c>
      <c r="P3" s="5"/>
      <c r="Q3" s="5" t="s">
        <v>543</v>
      </c>
      <c r="R3" s="5"/>
    </row>
    <row r="4" spans="1:18" ht="30" customHeight="1">
      <c r="A4" s="8" t="s">
        <v>545</v>
      </c>
      <c r="B4" s="8" t="s">
        <v>1615</v>
      </c>
      <c r="C4" s="9" t="s">
        <v>1169</v>
      </c>
      <c r="D4" s="9" t="s">
        <v>1616</v>
      </c>
      <c r="E4" s="9" t="s">
        <v>1617</v>
      </c>
      <c r="F4" s="9" t="s">
        <v>1069</v>
      </c>
      <c r="G4" s="9" t="s">
        <v>1070</v>
      </c>
      <c r="H4" s="9" t="s">
        <v>1618</v>
      </c>
      <c r="I4" s="9" t="s">
        <v>421</v>
      </c>
      <c r="J4" s="9" t="s">
        <v>1619</v>
      </c>
      <c r="K4" s="9" t="s">
        <v>436</v>
      </c>
      <c r="L4" s="9" t="s">
        <v>1076</v>
      </c>
      <c r="M4" s="9" t="s">
        <v>1075</v>
      </c>
      <c r="N4" s="9" t="s">
        <v>1079</v>
      </c>
      <c r="O4" s="9" t="s">
        <v>1620</v>
      </c>
      <c r="P4" s="9" t="s">
        <v>1081</v>
      </c>
      <c r="Q4" s="9" t="s">
        <v>1082</v>
      </c>
      <c r="R4" s="9" t="s">
        <v>970</v>
      </c>
    </row>
    <row r="5" spans="1:18">
      <c r="A5" s="43">
        <f>IF(B5="","","IL-"&amp;TEXT(ROW()-4,"0000"))</f>
        <v>0</v>
      </c>
      <c r="B5" s="49" t="s">
        <v>1621</v>
      </c>
      <c r="C5" s="49" t="s">
        <v>1473</v>
      </c>
      <c r="D5" s="18">
        <f>IF(C5="","",IFERROR(INDEX(Jobs!$B$5:$B$604,MATCH(C5,Jobs!$A$5:$A$604,0)),""))</f>
        <v>0</v>
      </c>
      <c r="E5" s="44" t="s">
        <v>172</v>
      </c>
      <c r="F5" s="17">
        <v>1</v>
      </c>
      <c r="H5" s="47" t="s">
        <v>454</v>
      </c>
      <c r="I5" s="44" t="s">
        <v>172</v>
      </c>
      <c r="J5" s="21">
        <f>IF(C5="","",IFERROR(INDEX(Jobs!$AJ$5:$AJ$604,MATCH(C5,Jobs!$A$5:$A$604,0)),"0"))</f>
        <v>0</v>
      </c>
      <c r="K5" s="23">
        <f>IF(C5="","",IFERROR(INDEX(Jobs!$M$5:$M$604,MATCH(C5,Jobs!$A$5:$A$604,0)),""))</f>
        <v>0</v>
      </c>
      <c r="L5" s="51">
        <f>IF(B5="","",IF(E5&lt;&gt;"",E5,IF(C5="","",K5&amp;" - "&amp;TEXT(D5,"d mmm yyyy"))))</f>
        <v>0</v>
      </c>
      <c r="M5" s="21">
        <f>IF(B5="","",IF(G5&lt;&gt;"",G5,IFERROR(J5*1,0)))</f>
        <v>0</v>
      </c>
      <c r="N5" s="21">
        <f>IF(B5="","",ROUND(IF(F5="",1,F5)*M5,2))</f>
        <v>0</v>
      </c>
      <c r="O5" s="39">
        <f>IF(B5="","",IF(C5="","",IF(COUNTIFS($C$5:$C$804,C5)&gt;1,"Duplicate","OK")))</f>
        <v>0</v>
      </c>
      <c r="P5" s="31">
        <f>IF(OR(B5="",E5=""),"",COUNTIFS($B$5:B5,B5))</f>
        <v>0</v>
      </c>
      <c r="Q5" s="23">
        <f>IF(P5="","",B5&amp;"|"&amp;P5)</f>
        <v>0</v>
      </c>
      <c r="R5" s="39">
        <f>IF(B5="","",IF(O5="Duplicate","Duplicate - job billed twice",IF(M5=0,"Add - no price on this line",IF(AND(C5="",E5=""),"Add - what is this line for?","OK"))))</f>
        <v>0</v>
      </c>
    </row>
    <row r="6" spans="1:18">
      <c r="A6" s="43">
        <f>IF(B6="","","IL-"&amp;TEXT(ROW()-4,"0000"))</f>
        <v>0</v>
      </c>
      <c r="B6" s="49" t="s">
        <v>1621</v>
      </c>
      <c r="C6" s="49" t="s">
        <v>1490</v>
      </c>
      <c r="D6" s="18">
        <f>IF(C6="","",IFERROR(INDEX(Jobs!$B$5:$B$604,MATCH(C6,Jobs!$A$5:$A$604,0)),""))</f>
        <v>0</v>
      </c>
      <c r="E6" s="44" t="s">
        <v>172</v>
      </c>
      <c r="F6" s="17">
        <v>1</v>
      </c>
      <c r="H6" s="47" t="s">
        <v>454</v>
      </c>
      <c r="I6" s="44" t="s">
        <v>172</v>
      </c>
      <c r="J6" s="21">
        <f>IF(C6="","",IFERROR(INDEX(Jobs!$AJ$5:$AJ$604,MATCH(C6,Jobs!$A$5:$A$604,0)),"0"))</f>
        <v>0</v>
      </c>
      <c r="K6" s="23">
        <f>IF(C6="","",IFERROR(INDEX(Jobs!$M$5:$M$604,MATCH(C6,Jobs!$A$5:$A$604,0)),""))</f>
        <v>0</v>
      </c>
      <c r="L6" s="51">
        <f>IF(B6="","",IF(E6&lt;&gt;"",E6,IF(C6="","",K6&amp;" - "&amp;TEXT(D6,"d mmm yyyy"))))</f>
        <v>0</v>
      </c>
      <c r="M6" s="21">
        <f>IF(B6="","",IF(G6&lt;&gt;"",G6,IFERROR(J6*1,0)))</f>
        <v>0</v>
      </c>
      <c r="N6" s="21">
        <f>IF(B6="","",ROUND(IF(F6="",1,F6)*M6,2))</f>
        <v>0</v>
      </c>
      <c r="O6" s="39">
        <f>IF(B6="","",IF(C6="","",IF(COUNTIFS($C$5:$C$804,C6)&gt;1,"Duplicate","OK")))</f>
        <v>0</v>
      </c>
      <c r="P6" s="31">
        <f>IF(OR(B6="",E6=""),"",COUNTIFS($B$5:B6,B6))</f>
        <v>0</v>
      </c>
      <c r="Q6" s="23">
        <f>IF(P6="","",B6&amp;"|"&amp;P6)</f>
        <v>0</v>
      </c>
      <c r="R6" s="39">
        <f>IF(B6="","",IF(O6="Duplicate","Duplicate - job billed twice",IF(M6=0,"Add - no price on this line",IF(AND(C6="",E6=""),"Add - what is this line for?","OK"))))</f>
        <v>0</v>
      </c>
    </row>
    <row r="7" spans="1:18">
      <c r="A7" s="43">
        <f>IF(B7="","","IL-"&amp;TEXT(ROW()-4,"0000"))</f>
        <v>0</v>
      </c>
      <c r="B7" s="49" t="s">
        <v>1621</v>
      </c>
      <c r="C7" s="49" t="s">
        <v>1501</v>
      </c>
      <c r="D7" s="18">
        <f>IF(C7="","",IFERROR(INDEX(Jobs!$B$5:$B$604,MATCH(C7,Jobs!$A$5:$A$604,0)),""))</f>
        <v>0</v>
      </c>
      <c r="E7" s="44" t="s">
        <v>172</v>
      </c>
      <c r="F7" s="17">
        <v>1</v>
      </c>
      <c r="H7" s="47" t="s">
        <v>454</v>
      </c>
      <c r="I7" s="44" t="s">
        <v>172</v>
      </c>
      <c r="J7" s="21">
        <f>IF(C7="","",IFERROR(INDEX(Jobs!$AJ$5:$AJ$604,MATCH(C7,Jobs!$A$5:$A$604,0)),"0"))</f>
        <v>0</v>
      </c>
      <c r="K7" s="23">
        <f>IF(C7="","",IFERROR(INDEX(Jobs!$M$5:$M$604,MATCH(C7,Jobs!$A$5:$A$604,0)),""))</f>
        <v>0</v>
      </c>
      <c r="L7" s="51">
        <f>IF(B7="","",IF(E7&lt;&gt;"",E7,IF(C7="","",K7&amp;" - "&amp;TEXT(D7,"d mmm yyyy"))))</f>
        <v>0</v>
      </c>
      <c r="M7" s="21">
        <f>IF(B7="","",IF(G7&lt;&gt;"",G7,IFERROR(J7*1,0)))</f>
        <v>0</v>
      </c>
      <c r="N7" s="21">
        <f>IF(B7="","",ROUND(IF(F7="",1,F7)*M7,2))</f>
        <v>0</v>
      </c>
      <c r="O7" s="39">
        <f>IF(B7="","",IF(C7="","",IF(COUNTIFS($C$5:$C$804,C7)&gt;1,"Duplicate","OK")))</f>
        <v>0</v>
      </c>
      <c r="P7" s="31">
        <f>IF(OR(B7="",E7=""),"",COUNTIFS($B$5:B7,B7))</f>
        <v>0</v>
      </c>
      <c r="Q7" s="23">
        <f>IF(P7="","",B7&amp;"|"&amp;P7)</f>
        <v>0</v>
      </c>
      <c r="R7" s="39">
        <f>IF(B7="","",IF(O7="Duplicate","Duplicate - job billed twice",IF(M7=0,"Add - no price on this line",IF(AND(C7="",E7=""),"Add - what is this line for?","OK"))))</f>
        <v>0</v>
      </c>
    </row>
    <row r="8" spans="1:18">
      <c r="A8" s="43">
        <f>IF(B8="","","IL-"&amp;TEXT(ROW()-4,"0000"))</f>
        <v>0</v>
      </c>
      <c r="B8" s="49" t="s">
        <v>1621</v>
      </c>
      <c r="C8" s="49" t="s">
        <v>1514</v>
      </c>
      <c r="D8" s="18">
        <f>IF(C8="","",IFERROR(INDEX(Jobs!$B$5:$B$604,MATCH(C8,Jobs!$A$5:$A$604,0)),""))</f>
        <v>0</v>
      </c>
      <c r="E8" s="44" t="s">
        <v>172</v>
      </c>
      <c r="F8" s="17">
        <v>1</v>
      </c>
      <c r="H8" s="47" t="s">
        <v>454</v>
      </c>
      <c r="I8" s="44" t="s">
        <v>172</v>
      </c>
      <c r="J8" s="21">
        <f>IF(C8="","",IFERROR(INDEX(Jobs!$AJ$5:$AJ$604,MATCH(C8,Jobs!$A$5:$A$604,0)),"0"))</f>
        <v>0</v>
      </c>
      <c r="K8" s="23">
        <f>IF(C8="","",IFERROR(INDEX(Jobs!$M$5:$M$604,MATCH(C8,Jobs!$A$5:$A$604,0)),""))</f>
        <v>0</v>
      </c>
      <c r="L8" s="51">
        <f>IF(B8="","",IF(E8&lt;&gt;"",E8,IF(C8="","",K8&amp;" - "&amp;TEXT(D8,"d mmm yyyy"))))</f>
        <v>0</v>
      </c>
      <c r="M8" s="21">
        <f>IF(B8="","",IF(G8&lt;&gt;"",G8,IFERROR(J8*1,0)))</f>
        <v>0</v>
      </c>
      <c r="N8" s="21">
        <f>IF(B8="","",ROUND(IF(F8="",1,F8)*M8,2))</f>
        <v>0</v>
      </c>
      <c r="O8" s="39">
        <f>IF(B8="","",IF(C8="","",IF(COUNTIFS($C$5:$C$804,C8)&gt;1,"Duplicate","OK")))</f>
        <v>0</v>
      </c>
      <c r="P8" s="31">
        <f>IF(OR(B8="",E8=""),"",COUNTIFS($B$5:B8,B8))</f>
        <v>0</v>
      </c>
      <c r="Q8" s="23">
        <f>IF(P8="","",B8&amp;"|"&amp;P8)</f>
        <v>0</v>
      </c>
      <c r="R8" s="39">
        <f>IF(B8="","",IF(O8="Duplicate","Duplicate - job billed twice",IF(M8=0,"Add - no price on this line",IF(AND(C8="",E8=""),"Add - what is this line for?","OK"))))</f>
        <v>0</v>
      </c>
    </row>
    <row r="9" spans="1:18">
      <c r="A9" s="43">
        <f>IF(B9="","","IL-"&amp;TEXT(ROW()-4,"0000"))</f>
        <v>0</v>
      </c>
      <c r="B9" s="49" t="s">
        <v>1622</v>
      </c>
      <c r="C9" s="49" t="s">
        <v>1479</v>
      </c>
      <c r="D9" s="18">
        <f>IF(C9="","",IFERROR(INDEX(Jobs!$B$5:$B$604,MATCH(C9,Jobs!$A$5:$A$604,0)),""))</f>
        <v>0</v>
      </c>
      <c r="E9" s="44" t="s">
        <v>172</v>
      </c>
      <c r="F9" s="17">
        <v>1</v>
      </c>
      <c r="H9" s="47" t="s">
        <v>454</v>
      </c>
      <c r="I9" s="44" t="s">
        <v>172</v>
      </c>
      <c r="J9" s="21">
        <f>IF(C9="","",IFERROR(INDEX(Jobs!$AJ$5:$AJ$604,MATCH(C9,Jobs!$A$5:$A$604,0)),"0"))</f>
        <v>0</v>
      </c>
      <c r="K9" s="23">
        <f>IF(C9="","",IFERROR(INDEX(Jobs!$M$5:$M$604,MATCH(C9,Jobs!$A$5:$A$604,0)),""))</f>
        <v>0</v>
      </c>
      <c r="L9" s="51">
        <f>IF(B9="","",IF(E9&lt;&gt;"",E9,IF(C9="","",K9&amp;" - "&amp;TEXT(D9,"d mmm yyyy"))))</f>
        <v>0</v>
      </c>
      <c r="M9" s="21">
        <f>IF(B9="","",IF(G9&lt;&gt;"",G9,IFERROR(J9*1,0)))</f>
        <v>0</v>
      </c>
      <c r="N9" s="21">
        <f>IF(B9="","",ROUND(IF(F9="",1,F9)*M9,2))</f>
        <v>0</v>
      </c>
      <c r="O9" s="39">
        <f>IF(B9="","",IF(C9="","",IF(COUNTIFS($C$5:$C$804,C9)&gt;1,"Duplicate","OK")))</f>
        <v>0</v>
      </c>
      <c r="P9" s="31">
        <f>IF(OR(B9="",E9=""),"",COUNTIFS($B$5:B9,B9))</f>
        <v>0</v>
      </c>
      <c r="Q9" s="23">
        <f>IF(P9="","",B9&amp;"|"&amp;P9)</f>
        <v>0</v>
      </c>
      <c r="R9" s="39">
        <f>IF(B9="","",IF(O9="Duplicate","Duplicate - job billed twice",IF(M9=0,"Add - no price on this line",IF(AND(C9="",E9=""),"Add - what is this line for?","OK"))))</f>
        <v>0</v>
      </c>
    </row>
    <row r="10" spans="1:18">
      <c r="A10" s="43">
        <f>IF(B10="","","IL-"&amp;TEXT(ROW()-4,"0000"))</f>
        <v>0</v>
      </c>
      <c r="B10" s="49" t="s">
        <v>1622</v>
      </c>
      <c r="C10" s="49" t="s">
        <v>1504</v>
      </c>
      <c r="D10" s="18">
        <f>IF(C10="","",IFERROR(INDEX(Jobs!$B$5:$B$604,MATCH(C10,Jobs!$A$5:$A$604,0)),""))</f>
        <v>0</v>
      </c>
      <c r="E10" s="44" t="s">
        <v>172</v>
      </c>
      <c r="F10" s="17">
        <v>1</v>
      </c>
      <c r="H10" s="47" t="s">
        <v>454</v>
      </c>
      <c r="I10" s="44" t="s">
        <v>172</v>
      </c>
      <c r="J10" s="21">
        <f>IF(C10="","",IFERROR(INDEX(Jobs!$AJ$5:$AJ$604,MATCH(C10,Jobs!$A$5:$A$604,0)),"0"))</f>
        <v>0</v>
      </c>
      <c r="K10" s="23">
        <f>IF(C10="","",IFERROR(INDEX(Jobs!$M$5:$M$604,MATCH(C10,Jobs!$A$5:$A$604,0)),""))</f>
        <v>0</v>
      </c>
      <c r="L10" s="51">
        <f>IF(B10="","",IF(E10&lt;&gt;"",E10,IF(C10="","",K10&amp;" - "&amp;TEXT(D10,"d mmm yyyy"))))</f>
        <v>0</v>
      </c>
      <c r="M10" s="21">
        <f>IF(B10="","",IF(G10&lt;&gt;"",G10,IFERROR(J10*1,0)))</f>
        <v>0</v>
      </c>
      <c r="N10" s="21">
        <f>IF(B10="","",ROUND(IF(F10="",1,F10)*M10,2))</f>
        <v>0</v>
      </c>
      <c r="O10" s="39">
        <f>IF(B10="","",IF(C10="","",IF(COUNTIFS($C$5:$C$804,C10)&gt;1,"Duplicate","OK")))</f>
        <v>0</v>
      </c>
      <c r="P10" s="31">
        <f>IF(OR(B10="",E10=""),"",COUNTIFS($B$5:B10,B10))</f>
        <v>0</v>
      </c>
      <c r="Q10" s="23">
        <f>IF(P10="","",B10&amp;"|"&amp;P10)</f>
        <v>0</v>
      </c>
      <c r="R10" s="39">
        <f>IF(B10="","",IF(O10="Duplicate","Duplicate - job billed twice",IF(M10=0,"Add - no price on this line",IF(AND(C10="",E10=""),"Add - what is this line for?","OK"))))</f>
        <v>0</v>
      </c>
    </row>
    <row r="11" spans="1:18">
      <c r="A11" s="43">
        <f>IF(B11="","","IL-"&amp;TEXT(ROW()-4,"0000"))</f>
        <v>0</v>
      </c>
      <c r="B11" s="49" t="s">
        <v>1623</v>
      </c>
      <c r="C11" s="49" t="s">
        <v>1483</v>
      </c>
      <c r="D11" s="18">
        <f>IF(C11="","",IFERROR(INDEX(Jobs!$B$5:$B$604,MATCH(C11,Jobs!$A$5:$A$604,0)),""))</f>
        <v>0</v>
      </c>
      <c r="E11" s="44" t="s">
        <v>172</v>
      </c>
      <c r="F11" s="17">
        <v>1</v>
      </c>
      <c r="H11" s="47" t="s">
        <v>454</v>
      </c>
      <c r="I11" s="44" t="s">
        <v>172</v>
      </c>
      <c r="J11" s="21">
        <f>IF(C11="","",IFERROR(INDEX(Jobs!$AJ$5:$AJ$604,MATCH(C11,Jobs!$A$5:$A$604,0)),"0"))</f>
        <v>0</v>
      </c>
      <c r="K11" s="23">
        <f>IF(C11="","",IFERROR(INDEX(Jobs!$M$5:$M$604,MATCH(C11,Jobs!$A$5:$A$604,0)),""))</f>
        <v>0</v>
      </c>
      <c r="L11" s="51">
        <f>IF(B11="","",IF(E11&lt;&gt;"",E11,IF(C11="","",K11&amp;" - "&amp;TEXT(D11,"d mmm yyyy"))))</f>
        <v>0</v>
      </c>
      <c r="M11" s="21">
        <f>IF(B11="","",IF(G11&lt;&gt;"",G11,IFERROR(J11*1,0)))</f>
        <v>0</v>
      </c>
      <c r="N11" s="21">
        <f>IF(B11="","",ROUND(IF(F11="",1,F11)*M11,2))</f>
        <v>0</v>
      </c>
      <c r="O11" s="39">
        <f>IF(B11="","",IF(C11="","",IF(COUNTIFS($C$5:$C$804,C11)&gt;1,"Duplicate","OK")))</f>
        <v>0</v>
      </c>
      <c r="P11" s="31">
        <f>IF(OR(B11="",E11=""),"",COUNTIFS($B$5:B11,B11))</f>
        <v>0</v>
      </c>
      <c r="Q11" s="23">
        <f>IF(P11="","",B11&amp;"|"&amp;P11)</f>
        <v>0</v>
      </c>
      <c r="R11" s="39">
        <f>IF(B11="","",IF(O11="Duplicate","Duplicate - job billed twice",IF(M11=0,"Add - no price on this line",IF(AND(C11="",E11=""),"Add - what is this line for?","OK"))))</f>
        <v>0</v>
      </c>
    </row>
    <row r="12" spans="1:18">
      <c r="A12" s="43">
        <f>IF(B12="","","IL-"&amp;TEXT(ROW()-4,"0000"))</f>
        <v>0</v>
      </c>
      <c r="B12" s="49" t="s">
        <v>1623</v>
      </c>
      <c r="C12" s="49" t="s">
        <v>1494</v>
      </c>
      <c r="D12" s="18">
        <f>IF(C12="","",IFERROR(INDEX(Jobs!$B$5:$B$604,MATCH(C12,Jobs!$A$5:$A$604,0)),""))</f>
        <v>0</v>
      </c>
      <c r="E12" s="44" t="s">
        <v>172</v>
      </c>
      <c r="F12" s="17">
        <v>1</v>
      </c>
      <c r="H12" s="47" t="s">
        <v>454</v>
      </c>
      <c r="I12" s="44" t="s">
        <v>172</v>
      </c>
      <c r="J12" s="21">
        <f>IF(C12="","",IFERROR(INDEX(Jobs!$AJ$5:$AJ$604,MATCH(C12,Jobs!$A$5:$A$604,0)),"0"))</f>
        <v>0</v>
      </c>
      <c r="K12" s="23">
        <f>IF(C12="","",IFERROR(INDEX(Jobs!$M$5:$M$604,MATCH(C12,Jobs!$A$5:$A$604,0)),""))</f>
        <v>0</v>
      </c>
      <c r="L12" s="51">
        <f>IF(B12="","",IF(E12&lt;&gt;"",E12,IF(C12="","",K12&amp;" - "&amp;TEXT(D12,"d mmm yyyy"))))</f>
        <v>0</v>
      </c>
      <c r="M12" s="21">
        <f>IF(B12="","",IF(G12&lt;&gt;"",G12,IFERROR(J12*1,0)))</f>
        <v>0</v>
      </c>
      <c r="N12" s="21">
        <f>IF(B12="","",ROUND(IF(F12="",1,F12)*M12,2))</f>
        <v>0</v>
      </c>
      <c r="O12" s="39">
        <f>IF(B12="","",IF(C12="","",IF(COUNTIFS($C$5:$C$804,C12)&gt;1,"Duplicate","OK")))</f>
        <v>0</v>
      </c>
      <c r="P12" s="31">
        <f>IF(OR(B12="",E12=""),"",COUNTIFS($B$5:B12,B12))</f>
        <v>0</v>
      </c>
      <c r="Q12" s="23">
        <f>IF(P12="","",B12&amp;"|"&amp;P12)</f>
        <v>0</v>
      </c>
      <c r="R12" s="39">
        <f>IF(B12="","",IF(O12="Duplicate","Duplicate - job billed twice",IF(M12=0,"Add - no price on this line",IF(AND(C12="",E12=""),"Add - what is this line for?","OK"))))</f>
        <v>0</v>
      </c>
    </row>
    <row r="13" spans="1:18">
      <c r="A13" s="43">
        <f>IF(B13="","","IL-"&amp;TEXT(ROW()-4,"0000"))</f>
        <v>0</v>
      </c>
      <c r="B13" s="49" t="s">
        <v>1623</v>
      </c>
      <c r="C13" s="49" t="s">
        <v>1507</v>
      </c>
      <c r="D13" s="18">
        <f>IF(C13="","",IFERROR(INDEX(Jobs!$B$5:$B$604,MATCH(C13,Jobs!$A$5:$A$604,0)),""))</f>
        <v>0</v>
      </c>
      <c r="E13" s="44" t="s">
        <v>172</v>
      </c>
      <c r="F13" s="17">
        <v>1</v>
      </c>
      <c r="H13" s="47" t="s">
        <v>454</v>
      </c>
      <c r="I13" s="44" t="s">
        <v>172</v>
      </c>
      <c r="J13" s="21">
        <f>IF(C13="","",IFERROR(INDEX(Jobs!$AJ$5:$AJ$604,MATCH(C13,Jobs!$A$5:$A$604,0)),"0"))</f>
        <v>0</v>
      </c>
      <c r="K13" s="23">
        <f>IF(C13="","",IFERROR(INDEX(Jobs!$M$5:$M$604,MATCH(C13,Jobs!$A$5:$A$604,0)),""))</f>
        <v>0</v>
      </c>
      <c r="L13" s="51">
        <f>IF(B13="","",IF(E13&lt;&gt;"",E13,IF(C13="","",K13&amp;" - "&amp;TEXT(D13,"d mmm yyyy"))))</f>
        <v>0</v>
      </c>
      <c r="M13" s="21">
        <f>IF(B13="","",IF(G13&lt;&gt;"",G13,IFERROR(J13*1,0)))</f>
        <v>0</v>
      </c>
      <c r="N13" s="21">
        <f>IF(B13="","",ROUND(IF(F13="",1,F13)*M13,2))</f>
        <v>0</v>
      </c>
      <c r="O13" s="39">
        <f>IF(B13="","",IF(C13="","",IF(COUNTIFS($C$5:$C$804,C13)&gt;1,"Duplicate","OK")))</f>
        <v>0</v>
      </c>
      <c r="P13" s="31">
        <f>IF(OR(B13="",E13=""),"",COUNTIFS($B$5:B13,B13))</f>
        <v>0</v>
      </c>
      <c r="Q13" s="23">
        <f>IF(P13="","",B13&amp;"|"&amp;P13)</f>
        <v>0</v>
      </c>
      <c r="R13" s="39">
        <f>IF(B13="","",IF(O13="Duplicate","Duplicate - job billed twice",IF(M13=0,"Add - no price on this line",IF(AND(C13="",E13=""),"Add - what is this line for?","OK"))))</f>
        <v>0</v>
      </c>
    </row>
    <row r="14" spans="1:18">
      <c r="A14" s="43">
        <f>IF(B14="","","IL-"&amp;TEXT(ROW()-4,"0000"))</f>
        <v>0</v>
      </c>
      <c r="B14" s="49" t="s">
        <v>1624</v>
      </c>
      <c r="C14" s="49" t="s">
        <v>1472</v>
      </c>
      <c r="D14" s="18">
        <f>IF(C14="","",IFERROR(INDEX(Jobs!$B$5:$B$604,MATCH(C14,Jobs!$A$5:$A$604,0)),""))</f>
        <v>0</v>
      </c>
      <c r="E14" s="44" t="s">
        <v>172</v>
      </c>
      <c r="F14" s="17">
        <v>1</v>
      </c>
      <c r="H14" s="47" t="s">
        <v>454</v>
      </c>
      <c r="I14" s="44" t="s">
        <v>172</v>
      </c>
      <c r="J14" s="21">
        <f>IF(C14="","",IFERROR(INDEX(Jobs!$AJ$5:$AJ$604,MATCH(C14,Jobs!$A$5:$A$604,0)),"0"))</f>
        <v>0</v>
      </c>
      <c r="K14" s="23">
        <f>IF(C14="","",IFERROR(INDEX(Jobs!$M$5:$M$604,MATCH(C14,Jobs!$A$5:$A$604,0)),""))</f>
        <v>0</v>
      </c>
      <c r="L14" s="51">
        <f>IF(B14="","",IF(E14&lt;&gt;"",E14,IF(C14="","",K14&amp;" - "&amp;TEXT(D14,"d mmm yyyy"))))</f>
        <v>0</v>
      </c>
      <c r="M14" s="21">
        <f>IF(B14="","",IF(G14&lt;&gt;"",G14,IFERROR(J14*1,0)))</f>
        <v>0</v>
      </c>
      <c r="N14" s="21">
        <f>IF(B14="","",ROUND(IF(F14="",1,F14)*M14,2))</f>
        <v>0</v>
      </c>
      <c r="O14" s="39">
        <f>IF(B14="","",IF(C14="","",IF(COUNTIFS($C$5:$C$804,C14)&gt;1,"Duplicate","OK")))</f>
        <v>0</v>
      </c>
      <c r="P14" s="31">
        <f>IF(OR(B14="",E14=""),"",COUNTIFS($B$5:B14,B14))</f>
        <v>0</v>
      </c>
      <c r="Q14" s="23">
        <f>IF(P14="","",B14&amp;"|"&amp;P14)</f>
        <v>0</v>
      </c>
      <c r="R14" s="39">
        <f>IF(B14="","",IF(O14="Duplicate","Duplicate - job billed twice",IF(M14=0,"Add - no price on this line",IF(AND(C14="",E14=""),"Add - what is this line for?","OK"))))</f>
        <v>0</v>
      </c>
    </row>
    <row r="15" spans="1:18">
      <c r="A15" s="43">
        <f>IF(B15="","","IL-"&amp;TEXT(ROW()-4,"0000"))</f>
        <v>0</v>
      </c>
      <c r="B15" s="49" t="s">
        <v>1624</v>
      </c>
      <c r="C15" s="49" t="s">
        <v>1480</v>
      </c>
      <c r="D15" s="18">
        <f>IF(C15="","",IFERROR(INDEX(Jobs!$B$5:$B$604,MATCH(C15,Jobs!$A$5:$A$604,0)),""))</f>
        <v>0</v>
      </c>
      <c r="E15" s="44" t="s">
        <v>172</v>
      </c>
      <c r="F15" s="17">
        <v>1</v>
      </c>
      <c r="H15" s="47" t="s">
        <v>454</v>
      </c>
      <c r="I15" s="44" t="s">
        <v>172</v>
      </c>
      <c r="J15" s="21">
        <f>IF(C15="","",IFERROR(INDEX(Jobs!$AJ$5:$AJ$604,MATCH(C15,Jobs!$A$5:$A$604,0)),"0"))</f>
        <v>0</v>
      </c>
      <c r="K15" s="23">
        <f>IF(C15="","",IFERROR(INDEX(Jobs!$M$5:$M$604,MATCH(C15,Jobs!$A$5:$A$604,0)),""))</f>
        <v>0</v>
      </c>
      <c r="L15" s="51">
        <f>IF(B15="","",IF(E15&lt;&gt;"",E15,IF(C15="","",K15&amp;" - "&amp;TEXT(D15,"d mmm yyyy"))))</f>
        <v>0</v>
      </c>
      <c r="M15" s="21">
        <f>IF(B15="","",IF(G15&lt;&gt;"",G15,IFERROR(J15*1,0)))</f>
        <v>0</v>
      </c>
      <c r="N15" s="21">
        <f>IF(B15="","",ROUND(IF(F15="",1,F15)*M15,2))</f>
        <v>0</v>
      </c>
      <c r="O15" s="39">
        <f>IF(B15="","",IF(C15="","",IF(COUNTIFS($C$5:$C$804,C15)&gt;1,"Duplicate","OK")))</f>
        <v>0</v>
      </c>
      <c r="P15" s="31">
        <f>IF(OR(B15="",E15=""),"",COUNTIFS($B$5:B15,B15))</f>
        <v>0</v>
      </c>
      <c r="Q15" s="23">
        <f>IF(P15="","",B15&amp;"|"&amp;P15)</f>
        <v>0</v>
      </c>
      <c r="R15" s="39">
        <f>IF(B15="","",IF(O15="Duplicate","Duplicate - job billed twice",IF(M15=0,"Add - no price on this line",IF(AND(C15="",E15=""),"Add - what is this line for?","OK"))))</f>
        <v>0</v>
      </c>
    </row>
    <row r="16" spans="1:18">
      <c r="A16" s="43">
        <f>IF(B16="","","IL-"&amp;TEXT(ROW()-4,"0000"))</f>
        <v>0</v>
      </c>
      <c r="B16" s="49" t="s">
        <v>1624</v>
      </c>
      <c r="C16" s="49" t="s">
        <v>1489</v>
      </c>
      <c r="D16" s="18">
        <f>IF(C16="","",IFERROR(INDEX(Jobs!$B$5:$B$604,MATCH(C16,Jobs!$A$5:$A$604,0)),""))</f>
        <v>0</v>
      </c>
      <c r="E16" s="44" t="s">
        <v>172</v>
      </c>
      <c r="F16" s="17">
        <v>1</v>
      </c>
      <c r="H16" s="47" t="s">
        <v>454</v>
      </c>
      <c r="I16" s="44" t="s">
        <v>172</v>
      </c>
      <c r="J16" s="21">
        <f>IF(C16="","",IFERROR(INDEX(Jobs!$AJ$5:$AJ$604,MATCH(C16,Jobs!$A$5:$A$604,0)),"0"))</f>
        <v>0</v>
      </c>
      <c r="K16" s="23">
        <f>IF(C16="","",IFERROR(INDEX(Jobs!$M$5:$M$604,MATCH(C16,Jobs!$A$5:$A$604,0)),""))</f>
        <v>0</v>
      </c>
      <c r="L16" s="51">
        <f>IF(B16="","",IF(E16&lt;&gt;"",E16,IF(C16="","",K16&amp;" - "&amp;TEXT(D16,"d mmm yyyy"))))</f>
        <v>0</v>
      </c>
      <c r="M16" s="21">
        <f>IF(B16="","",IF(G16&lt;&gt;"",G16,IFERROR(J16*1,0)))</f>
        <v>0</v>
      </c>
      <c r="N16" s="21">
        <f>IF(B16="","",ROUND(IF(F16="",1,F16)*M16,2))</f>
        <v>0</v>
      </c>
      <c r="O16" s="39">
        <f>IF(B16="","",IF(C16="","",IF(COUNTIFS($C$5:$C$804,C16)&gt;1,"Duplicate","OK")))</f>
        <v>0</v>
      </c>
      <c r="P16" s="31">
        <f>IF(OR(B16="",E16=""),"",COUNTIFS($B$5:B16,B16))</f>
        <v>0</v>
      </c>
      <c r="Q16" s="23">
        <f>IF(P16="","",B16&amp;"|"&amp;P16)</f>
        <v>0</v>
      </c>
      <c r="R16" s="39">
        <f>IF(B16="","",IF(O16="Duplicate","Duplicate - job billed twice",IF(M16=0,"Add - no price on this line",IF(AND(C16="",E16=""),"Add - what is this line for?","OK"))))</f>
        <v>0</v>
      </c>
    </row>
    <row r="17" spans="1:18">
      <c r="A17" s="43">
        <f>IF(B17="","","IL-"&amp;TEXT(ROW()-4,"0000"))</f>
        <v>0</v>
      </c>
      <c r="B17" s="49" t="s">
        <v>1624</v>
      </c>
      <c r="C17" s="49" t="s">
        <v>1492</v>
      </c>
      <c r="D17" s="18">
        <f>IF(C17="","",IFERROR(INDEX(Jobs!$B$5:$B$604,MATCH(C17,Jobs!$A$5:$A$604,0)),""))</f>
        <v>0</v>
      </c>
      <c r="E17" s="44" t="s">
        <v>172</v>
      </c>
      <c r="F17" s="17">
        <v>1</v>
      </c>
      <c r="H17" s="47" t="s">
        <v>454</v>
      </c>
      <c r="I17" s="44" t="s">
        <v>172</v>
      </c>
      <c r="J17" s="21">
        <f>IF(C17="","",IFERROR(INDEX(Jobs!$AJ$5:$AJ$604,MATCH(C17,Jobs!$A$5:$A$604,0)),"0"))</f>
        <v>0</v>
      </c>
      <c r="K17" s="23">
        <f>IF(C17="","",IFERROR(INDEX(Jobs!$M$5:$M$604,MATCH(C17,Jobs!$A$5:$A$604,0)),""))</f>
        <v>0</v>
      </c>
      <c r="L17" s="51">
        <f>IF(B17="","",IF(E17&lt;&gt;"",E17,IF(C17="","",K17&amp;" - "&amp;TEXT(D17,"d mmm yyyy"))))</f>
        <v>0</v>
      </c>
      <c r="M17" s="21">
        <f>IF(B17="","",IF(G17&lt;&gt;"",G17,IFERROR(J17*1,0)))</f>
        <v>0</v>
      </c>
      <c r="N17" s="21">
        <f>IF(B17="","",ROUND(IF(F17="",1,F17)*M17,2))</f>
        <v>0</v>
      </c>
      <c r="O17" s="39">
        <f>IF(B17="","",IF(C17="","",IF(COUNTIFS($C$5:$C$804,C17)&gt;1,"Duplicate","OK")))</f>
        <v>0</v>
      </c>
      <c r="P17" s="31">
        <f>IF(OR(B17="",E17=""),"",COUNTIFS($B$5:B17,B17))</f>
        <v>0</v>
      </c>
      <c r="Q17" s="23">
        <f>IF(P17="","",B17&amp;"|"&amp;P17)</f>
        <v>0</v>
      </c>
      <c r="R17" s="39">
        <f>IF(B17="","",IF(O17="Duplicate","Duplicate - job billed twice",IF(M17=0,"Add - no price on this line",IF(AND(C17="",E17=""),"Add - what is this line for?","OK"))))</f>
        <v>0</v>
      </c>
    </row>
    <row r="18" spans="1:18">
      <c r="A18" s="43">
        <f>IF(B18="","","IL-"&amp;TEXT(ROW()-4,"0000"))</f>
        <v>0</v>
      </c>
      <c r="B18" s="49" t="s">
        <v>1624</v>
      </c>
      <c r="C18" s="49" t="s">
        <v>1500</v>
      </c>
      <c r="D18" s="18">
        <f>IF(C18="","",IFERROR(INDEX(Jobs!$B$5:$B$604,MATCH(C18,Jobs!$A$5:$A$604,0)),""))</f>
        <v>0</v>
      </c>
      <c r="E18" s="44" t="s">
        <v>172</v>
      </c>
      <c r="F18" s="17">
        <v>1</v>
      </c>
      <c r="H18" s="47" t="s">
        <v>454</v>
      </c>
      <c r="I18" s="44" t="s">
        <v>172</v>
      </c>
      <c r="J18" s="21">
        <f>IF(C18="","",IFERROR(INDEX(Jobs!$AJ$5:$AJ$604,MATCH(C18,Jobs!$A$5:$A$604,0)),"0"))</f>
        <v>0</v>
      </c>
      <c r="K18" s="23">
        <f>IF(C18="","",IFERROR(INDEX(Jobs!$M$5:$M$604,MATCH(C18,Jobs!$A$5:$A$604,0)),""))</f>
        <v>0</v>
      </c>
      <c r="L18" s="51">
        <f>IF(B18="","",IF(E18&lt;&gt;"",E18,IF(C18="","",K18&amp;" - "&amp;TEXT(D18,"d mmm yyyy"))))</f>
        <v>0</v>
      </c>
      <c r="M18" s="21">
        <f>IF(B18="","",IF(G18&lt;&gt;"",G18,IFERROR(J18*1,0)))</f>
        <v>0</v>
      </c>
      <c r="N18" s="21">
        <f>IF(B18="","",ROUND(IF(F18="",1,F18)*M18,2))</f>
        <v>0</v>
      </c>
      <c r="O18" s="39">
        <f>IF(B18="","",IF(C18="","",IF(COUNTIFS($C$5:$C$804,C18)&gt;1,"Duplicate","OK")))</f>
        <v>0</v>
      </c>
      <c r="P18" s="31">
        <f>IF(OR(B18="",E18=""),"",COUNTIFS($B$5:B18,B18))</f>
        <v>0</v>
      </c>
      <c r="Q18" s="23">
        <f>IF(P18="","",B18&amp;"|"&amp;P18)</f>
        <v>0</v>
      </c>
      <c r="R18" s="39">
        <f>IF(B18="","",IF(O18="Duplicate","Duplicate - job billed twice",IF(M18=0,"Add - no price on this line",IF(AND(C18="",E18=""),"Add - what is this line for?","OK"))))</f>
        <v>0</v>
      </c>
    </row>
    <row r="19" spans="1:18">
      <c r="A19" s="43">
        <f>IF(B19="","","IL-"&amp;TEXT(ROW()-4,"0000"))</f>
        <v>0</v>
      </c>
      <c r="B19" s="49" t="s">
        <v>1624</v>
      </c>
      <c r="C19" s="49" t="s">
        <v>1505</v>
      </c>
      <c r="D19" s="18">
        <f>IF(C19="","",IFERROR(INDEX(Jobs!$B$5:$B$604,MATCH(C19,Jobs!$A$5:$A$604,0)),""))</f>
        <v>0</v>
      </c>
      <c r="E19" s="44" t="s">
        <v>172</v>
      </c>
      <c r="F19" s="17">
        <v>1</v>
      </c>
      <c r="H19" s="47" t="s">
        <v>454</v>
      </c>
      <c r="I19" s="44" t="s">
        <v>172</v>
      </c>
      <c r="J19" s="21">
        <f>IF(C19="","",IFERROR(INDEX(Jobs!$AJ$5:$AJ$604,MATCH(C19,Jobs!$A$5:$A$604,0)),"0"))</f>
        <v>0</v>
      </c>
      <c r="K19" s="23">
        <f>IF(C19="","",IFERROR(INDEX(Jobs!$M$5:$M$604,MATCH(C19,Jobs!$A$5:$A$604,0)),""))</f>
        <v>0</v>
      </c>
      <c r="L19" s="51">
        <f>IF(B19="","",IF(E19&lt;&gt;"",E19,IF(C19="","",K19&amp;" - "&amp;TEXT(D19,"d mmm yyyy"))))</f>
        <v>0</v>
      </c>
      <c r="M19" s="21">
        <f>IF(B19="","",IF(G19&lt;&gt;"",G19,IFERROR(J19*1,0)))</f>
        <v>0</v>
      </c>
      <c r="N19" s="21">
        <f>IF(B19="","",ROUND(IF(F19="",1,F19)*M19,2))</f>
        <v>0</v>
      </c>
      <c r="O19" s="39">
        <f>IF(B19="","",IF(C19="","",IF(COUNTIFS($C$5:$C$804,C19)&gt;1,"Duplicate","OK")))</f>
        <v>0</v>
      </c>
      <c r="P19" s="31">
        <f>IF(OR(B19="",E19=""),"",COUNTIFS($B$5:B19,B19))</f>
        <v>0</v>
      </c>
      <c r="Q19" s="23">
        <f>IF(P19="","",B19&amp;"|"&amp;P19)</f>
        <v>0</v>
      </c>
      <c r="R19" s="39">
        <f>IF(B19="","",IF(O19="Duplicate","Duplicate - job billed twice",IF(M19=0,"Add - no price on this line",IF(AND(C19="",E19=""),"Add - what is this line for?","OK"))))</f>
        <v>0</v>
      </c>
    </row>
    <row r="20" spans="1:18">
      <c r="A20" s="43">
        <f>IF(B20="","","IL-"&amp;TEXT(ROW()-4,"0000"))</f>
        <v>0</v>
      </c>
      <c r="B20" s="49" t="s">
        <v>1624</v>
      </c>
      <c r="C20" s="49" t="s">
        <v>1513</v>
      </c>
      <c r="D20" s="18">
        <f>IF(C20="","",IFERROR(INDEX(Jobs!$B$5:$B$604,MATCH(C20,Jobs!$A$5:$A$604,0)),""))</f>
        <v>0</v>
      </c>
      <c r="E20" s="44" t="s">
        <v>172</v>
      </c>
      <c r="F20" s="17">
        <v>1</v>
      </c>
      <c r="H20" s="47" t="s">
        <v>454</v>
      </c>
      <c r="I20" s="44" t="s">
        <v>172</v>
      </c>
      <c r="J20" s="21">
        <f>IF(C20="","",IFERROR(INDEX(Jobs!$AJ$5:$AJ$604,MATCH(C20,Jobs!$A$5:$A$604,0)),"0"))</f>
        <v>0</v>
      </c>
      <c r="K20" s="23">
        <f>IF(C20="","",IFERROR(INDEX(Jobs!$M$5:$M$604,MATCH(C20,Jobs!$A$5:$A$604,0)),""))</f>
        <v>0</v>
      </c>
      <c r="L20" s="51">
        <f>IF(B20="","",IF(E20&lt;&gt;"",E20,IF(C20="","",K20&amp;" - "&amp;TEXT(D20,"d mmm yyyy"))))</f>
        <v>0</v>
      </c>
      <c r="M20" s="21">
        <f>IF(B20="","",IF(G20&lt;&gt;"",G20,IFERROR(J20*1,0)))</f>
        <v>0</v>
      </c>
      <c r="N20" s="21">
        <f>IF(B20="","",ROUND(IF(F20="",1,F20)*M20,2))</f>
        <v>0</v>
      </c>
      <c r="O20" s="39">
        <f>IF(B20="","",IF(C20="","",IF(COUNTIFS($C$5:$C$804,C20)&gt;1,"Duplicate","OK")))</f>
        <v>0</v>
      </c>
      <c r="P20" s="31">
        <f>IF(OR(B20="",E20=""),"",COUNTIFS($B$5:B20,B20))</f>
        <v>0</v>
      </c>
      <c r="Q20" s="23">
        <f>IF(P20="","",B20&amp;"|"&amp;P20)</f>
        <v>0</v>
      </c>
      <c r="R20" s="39">
        <f>IF(B20="","",IF(O20="Duplicate","Duplicate - job billed twice",IF(M20=0,"Add - no price on this line",IF(AND(C20="",E20=""),"Add - what is this line for?","OK"))))</f>
        <v>0</v>
      </c>
    </row>
    <row r="21" spans="1:18">
      <c r="A21" s="43">
        <f>IF(B21="","","IL-"&amp;TEXT(ROW()-4,"0000"))</f>
        <v>0</v>
      </c>
      <c r="B21" s="49" t="s">
        <v>1625</v>
      </c>
      <c r="C21" s="49" t="s">
        <v>1487</v>
      </c>
      <c r="D21" s="18">
        <f>IF(C21="","",IFERROR(INDEX(Jobs!$B$5:$B$604,MATCH(C21,Jobs!$A$5:$A$604,0)),""))</f>
        <v>0</v>
      </c>
      <c r="E21" s="44" t="s">
        <v>172</v>
      </c>
      <c r="F21" s="17">
        <v>1</v>
      </c>
      <c r="H21" s="47" t="s">
        <v>454</v>
      </c>
      <c r="I21" s="44" t="s">
        <v>172</v>
      </c>
      <c r="J21" s="21">
        <f>IF(C21="","",IFERROR(INDEX(Jobs!$AJ$5:$AJ$604,MATCH(C21,Jobs!$A$5:$A$604,0)),"0"))</f>
        <v>0</v>
      </c>
      <c r="K21" s="23">
        <f>IF(C21="","",IFERROR(INDEX(Jobs!$M$5:$M$604,MATCH(C21,Jobs!$A$5:$A$604,0)),""))</f>
        <v>0</v>
      </c>
      <c r="L21" s="51">
        <f>IF(B21="","",IF(E21&lt;&gt;"",E21,IF(C21="","",K21&amp;" - "&amp;TEXT(D21,"d mmm yyyy"))))</f>
        <v>0</v>
      </c>
      <c r="M21" s="21">
        <f>IF(B21="","",IF(G21&lt;&gt;"",G21,IFERROR(J21*1,0)))</f>
        <v>0</v>
      </c>
      <c r="N21" s="21">
        <f>IF(B21="","",ROUND(IF(F21="",1,F21)*M21,2))</f>
        <v>0</v>
      </c>
      <c r="O21" s="39">
        <f>IF(B21="","",IF(C21="","",IF(COUNTIFS($C$5:$C$804,C21)&gt;1,"Duplicate","OK")))</f>
        <v>0</v>
      </c>
      <c r="P21" s="31">
        <f>IF(OR(B21="",E21=""),"",COUNTIFS($B$5:B21,B21))</f>
        <v>0</v>
      </c>
      <c r="Q21" s="23">
        <f>IF(P21="","",B21&amp;"|"&amp;P21)</f>
        <v>0</v>
      </c>
      <c r="R21" s="39">
        <f>IF(B21="","",IF(O21="Duplicate","Duplicate - job billed twice",IF(M21=0,"Add - no price on this line",IF(AND(C21="",E21=""),"Add - what is this line for?","OK"))))</f>
        <v>0</v>
      </c>
    </row>
    <row r="22" spans="1:18">
      <c r="A22" s="43">
        <f>IF(B22="","","IL-"&amp;TEXT(ROW()-4,"0000"))</f>
        <v>0</v>
      </c>
      <c r="B22" s="49" t="s">
        <v>1625</v>
      </c>
      <c r="C22" s="49" t="s">
        <v>1498</v>
      </c>
      <c r="D22" s="18">
        <f>IF(C22="","",IFERROR(INDEX(Jobs!$B$5:$B$604,MATCH(C22,Jobs!$A$5:$A$604,0)),""))</f>
        <v>0</v>
      </c>
      <c r="E22" s="44" t="s">
        <v>172</v>
      </c>
      <c r="F22" s="17">
        <v>1</v>
      </c>
      <c r="H22" s="47" t="s">
        <v>454</v>
      </c>
      <c r="I22" s="44" t="s">
        <v>172</v>
      </c>
      <c r="J22" s="21">
        <f>IF(C22="","",IFERROR(INDEX(Jobs!$AJ$5:$AJ$604,MATCH(C22,Jobs!$A$5:$A$604,0)),"0"))</f>
        <v>0</v>
      </c>
      <c r="K22" s="23">
        <f>IF(C22="","",IFERROR(INDEX(Jobs!$M$5:$M$604,MATCH(C22,Jobs!$A$5:$A$604,0)),""))</f>
        <v>0</v>
      </c>
      <c r="L22" s="51">
        <f>IF(B22="","",IF(E22&lt;&gt;"",E22,IF(C22="","",K22&amp;" - "&amp;TEXT(D22,"d mmm yyyy"))))</f>
        <v>0</v>
      </c>
      <c r="M22" s="21">
        <f>IF(B22="","",IF(G22&lt;&gt;"",G22,IFERROR(J22*1,0)))</f>
        <v>0</v>
      </c>
      <c r="N22" s="21">
        <f>IF(B22="","",ROUND(IF(F22="",1,F22)*M22,2))</f>
        <v>0</v>
      </c>
      <c r="O22" s="39">
        <f>IF(B22="","",IF(C22="","",IF(COUNTIFS($C$5:$C$804,C22)&gt;1,"Duplicate","OK")))</f>
        <v>0</v>
      </c>
      <c r="P22" s="31">
        <f>IF(OR(B22="",E22=""),"",COUNTIFS($B$5:B22,B22))</f>
        <v>0</v>
      </c>
      <c r="Q22" s="23">
        <f>IF(P22="","",B22&amp;"|"&amp;P22)</f>
        <v>0</v>
      </c>
      <c r="R22" s="39">
        <f>IF(B22="","",IF(O22="Duplicate","Duplicate - job billed twice",IF(M22=0,"Add - no price on this line",IF(AND(C22="",E22=""),"Add - what is this line for?","OK"))))</f>
        <v>0</v>
      </c>
    </row>
    <row r="23" spans="1:18">
      <c r="A23" s="43">
        <f>IF(B23="","","IL-"&amp;TEXT(ROW()-4,"0000"))</f>
        <v>0</v>
      </c>
      <c r="B23" s="49" t="s">
        <v>1625</v>
      </c>
      <c r="C23" s="49" t="s">
        <v>1511</v>
      </c>
      <c r="D23" s="18">
        <f>IF(C23="","",IFERROR(INDEX(Jobs!$B$5:$B$604,MATCH(C23,Jobs!$A$5:$A$604,0)),""))</f>
        <v>0</v>
      </c>
      <c r="E23" s="44" t="s">
        <v>172</v>
      </c>
      <c r="F23" s="17">
        <v>1</v>
      </c>
      <c r="H23" s="47" t="s">
        <v>454</v>
      </c>
      <c r="I23" s="44" t="s">
        <v>172</v>
      </c>
      <c r="J23" s="21">
        <f>IF(C23="","",IFERROR(INDEX(Jobs!$AJ$5:$AJ$604,MATCH(C23,Jobs!$A$5:$A$604,0)),"0"))</f>
        <v>0</v>
      </c>
      <c r="K23" s="23">
        <f>IF(C23="","",IFERROR(INDEX(Jobs!$M$5:$M$604,MATCH(C23,Jobs!$A$5:$A$604,0)),""))</f>
        <v>0</v>
      </c>
      <c r="L23" s="51">
        <f>IF(B23="","",IF(E23&lt;&gt;"",E23,IF(C23="","",K23&amp;" - "&amp;TEXT(D23,"d mmm yyyy"))))</f>
        <v>0</v>
      </c>
      <c r="M23" s="21">
        <f>IF(B23="","",IF(G23&lt;&gt;"",G23,IFERROR(J23*1,0)))</f>
        <v>0</v>
      </c>
      <c r="N23" s="21">
        <f>IF(B23="","",ROUND(IF(F23="",1,F23)*M23,2))</f>
        <v>0</v>
      </c>
      <c r="O23" s="39">
        <f>IF(B23="","",IF(C23="","",IF(COUNTIFS($C$5:$C$804,C23)&gt;1,"Duplicate","OK")))</f>
        <v>0</v>
      </c>
      <c r="P23" s="31">
        <f>IF(OR(B23="",E23=""),"",COUNTIFS($B$5:B23,B23))</f>
        <v>0</v>
      </c>
      <c r="Q23" s="23">
        <f>IF(P23="","",B23&amp;"|"&amp;P23)</f>
        <v>0</v>
      </c>
      <c r="R23" s="39">
        <f>IF(B23="","",IF(O23="Duplicate","Duplicate - job billed twice",IF(M23=0,"Add - no price on this line",IF(AND(C23="",E23=""),"Add - what is this line for?","OK"))))</f>
        <v>0</v>
      </c>
    </row>
    <row r="24" spans="1:18">
      <c r="A24" s="43">
        <f>IF(B24="","","IL-"&amp;TEXT(ROW()-4,"0000"))</f>
        <v>0</v>
      </c>
      <c r="B24" s="49" t="s">
        <v>1626</v>
      </c>
      <c r="C24" s="49" t="s">
        <v>1482</v>
      </c>
      <c r="D24" s="18">
        <f>IF(C24="","",IFERROR(INDEX(Jobs!$B$5:$B$604,MATCH(C24,Jobs!$A$5:$A$604,0)),""))</f>
        <v>0</v>
      </c>
      <c r="E24" s="44" t="s">
        <v>172</v>
      </c>
      <c r="F24" s="17">
        <v>1</v>
      </c>
      <c r="H24" s="47" t="s">
        <v>454</v>
      </c>
      <c r="I24" s="44" t="s">
        <v>172</v>
      </c>
      <c r="J24" s="21">
        <f>IF(C24="","",IFERROR(INDEX(Jobs!$AJ$5:$AJ$604,MATCH(C24,Jobs!$A$5:$A$604,0)),"0"))</f>
        <v>0</v>
      </c>
      <c r="K24" s="23">
        <f>IF(C24="","",IFERROR(INDEX(Jobs!$M$5:$M$604,MATCH(C24,Jobs!$A$5:$A$604,0)),""))</f>
        <v>0</v>
      </c>
      <c r="L24" s="51">
        <f>IF(B24="","",IF(E24&lt;&gt;"",E24,IF(C24="","",K24&amp;" - "&amp;TEXT(D24,"d mmm yyyy"))))</f>
        <v>0</v>
      </c>
      <c r="M24" s="21">
        <f>IF(B24="","",IF(G24&lt;&gt;"",G24,IFERROR(J24*1,0)))</f>
        <v>0</v>
      </c>
      <c r="N24" s="21">
        <f>IF(B24="","",ROUND(IF(F24="",1,F24)*M24,2))</f>
        <v>0</v>
      </c>
      <c r="O24" s="39">
        <f>IF(B24="","",IF(C24="","",IF(COUNTIFS($C$5:$C$804,C24)&gt;1,"Duplicate","OK")))</f>
        <v>0</v>
      </c>
      <c r="P24" s="31">
        <f>IF(OR(B24="",E24=""),"",COUNTIFS($B$5:B24,B24))</f>
        <v>0</v>
      </c>
      <c r="Q24" s="23">
        <f>IF(P24="","",B24&amp;"|"&amp;P24)</f>
        <v>0</v>
      </c>
      <c r="R24" s="39">
        <f>IF(B24="","",IF(O24="Duplicate","Duplicate - job billed twice",IF(M24=0,"Add - no price on this line",IF(AND(C24="",E24=""),"Add - what is this line for?","OK"))))</f>
        <v>0</v>
      </c>
    </row>
    <row r="25" spans="1:18">
      <c r="A25" s="43">
        <f>IF(B25="","","IL-"&amp;TEXT(ROW()-4,"0000"))</f>
        <v>0</v>
      </c>
      <c r="B25" s="49" t="s">
        <v>1626</v>
      </c>
      <c r="C25" s="49" t="s">
        <v>1493</v>
      </c>
      <c r="D25" s="18">
        <f>IF(C25="","",IFERROR(INDEX(Jobs!$B$5:$B$604,MATCH(C25,Jobs!$A$5:$A$604,0)),""))</f>
        <v>0</v>
      </c>
      <c r="E25" s="44" t="s">
        <v>172</v>
      </c>
      <c r="F25" s="17">
        <v>1</v>
      </c>
      <c r="H25" s="47" t="s">
        <v>454</v>
      </c>
      <c r="I25" s="44" t="s">
        <v>172</v>
      </c>
      <c r="J25" s="21">
        <f>IF(C25="","",IFERROR(INDEX(Jobs!$AJ$5:$AJ$604,MATCH(C25,Jobs!$A$5:$A$604,0)),"0"))</f>
        <v>0</v>
      </c>
      <c r="K25" s="23">
        <f>IF(C25="","",IFERROR(INDEX(Jobs!$M$5:$M$604,MATCH(C25,Jobs!$A$5:$A$604,0)),""))</f>
        <v>0</v>
      </c>
      <c r="L25" s="51">
        <f>IF(B25="","",IF(E25&lt;&gt;"",E25,IF(C25="","",K25&amp;" - "&amp;TEXT(D25,"d mmm yyyy"))))</f>
        <v>0</v>
      </c>
      <c r="M25" s="21">
        <f>IF(B25="","",IF(G25&lt;&gt;"",G25,IFERROR(J25*1,0)))</f>
        <v>0</v>
      </c>
      <c r="N25" s="21">
        <f>IF(B25="","",ROUND(IF(F25="",1,F25)*M25,2))</f>
        <v>0</v>
      </c>
      <c r="O25" s="39">
        <f>IF(B25="","",IF(C25="","",IF(COUNTIFS($C$5:$C$804,C25)&gt;1,"Duplicate","OK")))</f>
        <v>0</v>
      </c>
      <c r="P25" s="31">
        <f>IF(OR(B25="",E25=""),"",COUNTIFS($B$5:B25,B25))</f>
        <v>0</v>
      </c>
      <c r="Q25" s="23">
        <f>IF(P25="","",B25&amp;"|"&amp;P25)</f>
        <v>0</v>
      </c>
      <c r="R25" s="39">
        <f>IF(B25="","",IF(O25="Duplicate","Duplicate - job billed twice",IF(M25=0,"Add - no price on this line",IF(AND(C25="",E25=""),"Add - what is this line for?","OK"))))</f>
        <v>0</v>
      </c>
    </row>
    <row r="26" spans="1:18">
      <c r="A26" s="43">
        <f>IF(B26="","","IL-"&amp;TEXT(ROW()-4,"0000"))</f>
        <v>0</v>
      </c>
      <c r="B26" s="49" t="s">
        <v>1626</v>
      </c>
      <c r="C26" s="49" t="s">
        <v>1506</v>
      </c>
      <c r="D26" s="18">
        <f>IF(C26="","",IFERROR(INDEX(Jobs!$B$5:$B$604,MATCH(C26,Jobs!$A$5:$A$604,0)),""))</f>
        <v>0</v>
      </c>
      <c r="E26" s="44" t="s">
        <v>172</v>
      </c>
      <c r="F26" s="17">
        <v>1</v>
      </c>
      <c r="H26" s="47" t="s">
        <v>454</v>
      </c>
      <c r="I26" s="44" t="s">
        <v>172</v>
      </c>
      <c r="J26" s="21">
        <f>IF(C26="","",IFERROR(INDEX(Jobs!$AJ$5:$AJ$604,MATCH(C26,Jobs!$A$5:$A$604,0)),"0"))</f>
        <v>0</v>
      </c>
      <c r="K26" s="23">
        <f>IF(C26="","",IFERROR(INDEX(Jobs!$M$5:$M$604,MATCH(C26,Jobs!$A$5:$A$604,0)),""))</f>
        <v>0</v>
      </c>
      <c r="L26" s="51">
        <f>IF(B26="","",IF(E26&lt;&gt;"",E26,IF(C26="","",K26&amp;" - "&amp;TEXT(D26,"d mmm yyyy"))))</f>
        <v>0</v>
      </c>
      <c r="M26" s="21">
        <f>IF(B26="","",IF(G26&lt;&gt;"",G26,IFERROR(J26*1,0)))</f>
        <v>0</v>
      </c>
      <c r="N26" s="21">
        <f>IF(B26="","",ROUND(IF(F26="",1,F26)*M26,2))</f>
        <v>0</v>
      </c>
      <c r="O26" s="39">
        <f>IF(B26="","",IF(C26="","",IF(COUNTIFS($C$5:$C$804,C26)&gt;1,"Duplicate","OK")))</f>
        <v>0</v>
      </c>
      <c r="P26" s="31">
        <f>IF(OR(B26="",E26=""),"",COUNTIFS($B$5:B26,B26))</f>
        <v>0</v>
      </c>
      <c r="Q26" s="23">
        <f>IF(P26="","",B26&amp;"|"&amp;P26)</f>
        <v>0</v>
      </c>
      <c r="R26" s="39">
        <f>IF(B26="","",IF(O26="Duplicate","Duplicate - job billed twice",IF(M26=0,"Add - no price on this line",IF(AND(C26="",E26=""),"Add - what is this line for?","OK"))))</f>
        <v>0</v>
      </c>
    </row>
    <row r="27" spans="1:18">
      <c r="A27" s="43">
        <f>IF(B27="","","IL-"&amp;TEXT(ROW()-4,"0000"))</f>
        <v>0</v>
      </c>
      <c r="B27" s="49" t="s">
        <v>1627</v>
      </c>
      <c r="C27" s="49" t="s">
        <v>1475</v>
      </c>
      <c r="D27" s="18">
        <f>IF(C27="","",IFERROR(INDEX(Jobs!$B$5:$B$604,MATCH(C27,Jobs!$A$5:$A$604,0)),""))</f>
        <v>0</v>
      </c>
      <c r="E27" s="44" t="s">
        <v>172</v>
      </c>
      <c r="F27" s="17">
        <v>1</v>
      </c>
      <c r="H27" s="47" t="s">
        <v>454</v>
      </c>
      <c r="I27" s="44" t="s">
        <v>172</v>
      </c>
      <c r="J27" s="21">
        <f>IF(C27="","",IFERROR(INDEX(Jobs!$AJ$5:$AJ$604,MATCH(C27,Jobs!$A$5:$A$604,0)),"0"))</f>
        <v>0</v>
      </c>
      <c r="K27" s="23">
        <f>IF(C27="","",IFERROR(INDEX(Jobs!$M$5:$M$604,MATCH(C27,Jobs!$A$5:$A$604,0)),""))</f>
        <v>0</v>
      </c>
      <c r="L27" s="51">
        <f>IF(B27="","",IF(E27&lt;&gt;"",E27,IF(C27="","",K27&amp;" - "&amp;TEXT(D27,"d mmm yyyy"))))</f>
        <v>0</v>
      </c>
      <c r="M27" s="21">
        <f>IF(B27="","",IF(G27&lt;&gt;"",G27,IFERROR(J27*1,0)))</f>
        <v>0</v>
      </c>
      <c r="N27" s="21">
        <f>IF(B27="","",ROUND(IF(F27="",1,F27)*M27,2))</f>
        <v>0</v>
      </c>
      <c r="O27" s="39">
        <f>IF(B27="","",IF(C27="","",IF(COUNTIFS($C$5:$C$804,C27)&gt;1,"Duplicate","OK")))</f>
        <v>0</v>
      </c>
      <c r="P27" s="31">
        <f>IF(OR(B27="",E27=""),"",COUNTIFS($B$5:B27,B27))</f>
        <v>0</v>
      </c>
      <c r="Q27" s="23">
        <f>IF(P27="","",B27&amp;"|"&amp;P27)</f>
        <v>0</v>
      </c>
      <c r="R27" s="39">
        <f>IF(B27="","",IF(O27="Duplicate","Duplicate - job billed twice",IF(M27=0,"Add - no price on this line",IF(AND(C27="",E27=""),"Add - what is this line for?","OK"))))</f>
        <v>0</v>
      </c>
    </row>
    <row r="28" spans="1:18">
      <c r="A28" s="43">
        <f>IF(B28="","","IL-"&amp;TEXT(ROW()-4,"0000"))</f>
        <v>0</v>
      </c>
      <c r="B28" s="49" t="s">
        <v>1628</v>
      </c>
      <c r="C28" s="49" t="s">
        <v>1470</v>
      </c>
      <c r="D28" s="18">
        <f>IF(C28="","",IFERROR(INDEX(Jobs!$B$5:$B$604,MATCH(C28,Jobs!$A$5:$A$604,0)),""))</f>
        <v>0</v>
      </c>
      <c r="E28" s="44" t="s">
        <v>172</v>
      </c>
      <c r="F28" s="17">
        <v>1</v>
      </c>
      <c r="H28" s="47" t="s">
        <v>454</v>
      </c>
      <c r="I28" s="44" t="s">
        <v>172</v>
      </c>
      <c r="J28" s="21">
        <f>IF(C28="","",IFERROR(INDEX(Jobs!$AJ$5:$AJ$604,MATCH(C28,Jobs!$A$5:$A$604,0)),"0"))</f>
        <v>0</v>
      </c>
      <c r="K28" s="23">
        <f>IF(C28="","",IFERROR(INDEX(Jobs!$M$5:$M$604,MATCH(C28,Jobs!$A$5:$A$604,0)),""))</f>
        <v>0</v>
      </c>
      <c r="L28" s="51">
        <f>IF(B28="","",IF(E28&lt;&gt;"",E28,IF(C28="","",K28&amp;" - "&amp;TEXT(D28,"d mmm yyyy"))))</f>
        <v>0</v>
      </c>
      <c r="M28" s="21">
        <f>IF(B28="","",IF(G28&lt;&gt;"",G28,IFERROR(J28*1,0)))</f>
        <v>0</v>
      </c>
      <c r="N28" s="21">
        <f>IF(B28="","",ROUND(IF(F28="",1,F28)*M28,2))</f>
        <v>0</v>
      </c>
      <c r="O28" s="39">
        <f>IF(B28="","",IF(C28="","",IF(COUNTIFS($C$5:$C$804,C28)&gt;1,"Duplicate","OK")))</f>
        <v>0</v>
      </c>
      <c r="P28" s="31">
        <f>IF(OR(B28="",E28=""),"",COUNTIFS($B$5:B28,B28))</f>
        <v>0</v>
      </c>
      <c r="Q28" s="23">
        <f>IF(P28="","",B28&amp;"|"&amp;P28)</f>
        <v>0</v>
      </c>
      <c r="R28" s="39">
        <f>IF(B28="","",IF(O28="Duplicate","Duplicate - job billed twice",IF(M28=0,"Add - no price on this line",IF(AND(C28="",E28=""),"Add - what is this line for?","OK"))))</f>
        <v>0</v>
      </c>
    </row>
    <row r="29" spans="1:18">
      <c r="A29" s="43">
        <f>IF(B29="","","IL-"&amp;TEXT(ROW()-4,"0000"))</f>
        <v>0</v>
      </c>
      <c r="B29" s="49" t="s">
        <v>1628</v>
      </c>
      <c r="C29" s="49" t="s">
        <v>1478</v>
      </c>
      <c r="D29" s="18">
        <f>IF(C29="","",IFERROR(INDEX(Jobs!$B$5:$B$604,MATCH(C29,Jobs!$A$5:$A$604,0)),""))</f>
        <v>0</v>
      </c>
      <c r="E29" s="44" t="s">
        <v>172</v>
      </c>
      <c r="F29" s="17">
        <v>1</v>
      </c>
      <c r="H29" s="47" t="s">
        <v>454</v>
      </c>
      <c r="I29" s="44" t="s">
        <v>172</v>
      </c>
      <c r="J29" s="21">
        <f>IF(C29="","",IFERROR(INDEX(Jobs!$AJ$5:$AJ$604,MATCH(C29,Jobs!$A$5:$A$604,0)),"0"))</f>
        <v>0</v>
      </c>
      <c r="K29" s="23">
        <f>IF(C29="","",IFERROR(INDEX(Jobs!$M$5:$M$604,MATCH(C29,Jobs!$A$5:$A$604,0)),""))</f>
        <v>0</v>
      </c>
      <c r="L29" s="51">
        <f>IF(B29="","",IF(E29&lt;&gt;"",E29,IF(C29="","",K29&amp;" - "&amp;TEXT(D29,"d mmm yyyy"))))</f>
        <v>0</v>
      </c>
      <c r="M29" s="21">
        <f>IF(B29="","",IF(G29&lt;&gt;"",G29,IFERROR(J29*1,0)))</f>
        <v>0</v>
      </c>
      <c r="N29" s="21">
        <f>IF(B29="","",ROUND(IF(F29="",1,F29)*M29,2))</f>
        <v>0</v>
      </c>
      <c r="O29" s="39">
        <f>IF(B29="","",IF(C29="","",IF(COUNTIFS($C$5:$C$804,C29)&gt;1,"Duplicate","OK")))</f>
        <v>0</v>
      </c>
      <c r="P29" s="31">
        <f>IF(OR(B29="",E29=""),"",COUNTIFS($B$5:B29,B29))</f>
        <v>0</v>
      </c>
      <c r="Q29" s="23">
        <f>IF(P29="","",B29&amp;"|"&amp;P29)</f>
        <v>0</v>
      </c>
      <c r="R29" s="39">
        <f>IF(B29="","",IF(O29="Duplicate","Duplicate - job billed twice",IF(M29=0,"Add - no price on this line",IF(AND(C29="",E29=""),"Add - what is this line for?","OK"))))</f>
        <v>0</v>
      </c>
    </row>
    <row r="30" spans="1:18">
      <c r="A30" s="43">
        <f>IF(B30="","","IL-"&amp;TEXT(ROW()-4,"0000"))</f>
        <v>0</v>
      </c>
      <c r="B30" s="49" t="s">
        <v>1628</v>
      </c>
      <c r="C30" s="49" t="s">
        <v>1488</v>
      </c>
      <c r="D30" s="18">
        <f>IF(C30="","",IFERROR(INDEX(Jobs!$B$5:$B$604,MATCH(C30,Jobs!$A$5:$A$604,0)),""))</f>
        <v>0</v>
      </c>
      <c r="E30" s="44" t="s">
        <v>172</v>
      </c>
      <c r="F30" s="17">
        <v>1</v>
      </c>
      <c r="H30" s="47" t="s">
        <v>454</v>
      </c>
      <c r="I30" s="44" t="s">
        <v>172</v>
      </c>
      <c r="J30" s="21">
        <f>IF(C30="","",IFERROR(INDEX(Jobs!$AJ$5:$AJ$604,MATCH(C30,Jobs!$A$5:$A$604,0)),"0"))</f>
        <v>0</v>
      </c>
      <c r="K30" s="23">
        <f>IF(C30="","",IFERROR(INDEX(Jobs!$M$5:$M$604,MATCH(C30,Jobs!$A$5:$A$604,0)),""))</f>
        <v>0</v>
      </c>
      <c r="L30" s="51">
        <f>IF(B30="","",IF(E30&lt;&gt;"",E30,IF(C30="","",K30&amp;" - "&amp;TEXT(D30,"d mmm yyyy"))))</f>
        <v>0</v>
      </c>
      <c r="M30" s="21">
        <f>IF(B30="","",IF(G30&lt;&gt;"",G30,IFERROR(J30*1,0)))</f>
        <v>0</v>
      </c>
      <c r="N30" s="21">
        <f>IF(B30="","",ROUND(IF(F30="",1,F30)*M30,2))</f>
        <v>0</v>
      </c>
      <c r="O30" s="39">
        <f>IF(B30="","",IF(C30="","",IF(COUNTIFS($C$5:$C$804,C30)&gt;1,"Duplicate","OK")))</f>
        <v>0</v>
      </c>
      <c r="P30" s="31">
        <f>IF(OR(B30="",E30=""),"",COUNTIFS($B$5:B30,B30))</f>
        <v>0</v>
      </c>
      <c r="Q30" s="23">
        <f>IF(P30="","",B30&amp;"|"&amp;P30)</f>
        <v>0</v>
      </c>
      <c r="R30" s="39">
        <f>IF(B30="","",IF(O30="Duplicate","Duplicate - job billed twice",IF(M30=0,"Add - no price on this line",IF(AND(C30="",E30=""),"Add - what is this line for?","OK"))))</f>
        <v>0</v>
      </c>
    </row>
    <row r="31" spans="1:18">
      <c r="A31" s="43">
        <f>IF(B31="","","IL-"&amp;TEXT(ROW()-4,"0000"))</f>
        <v>0</v>
      </c>
      <c r="B31" s="49" t="s">
        <v>1628</v>
      </c>
      <c r="C31" s="49" t="s">
        <v>1491</v>
      </c>
      <c r="D31" s="18">
        <f>IF(C31="","",IFERROR(INDEX(Jobs!$B$5:$B$604,MATCH(C31,Jobs!$A$5:$A$604,0)),""))</f>
        <v>0</v>
      </c>
      <c r="E31" s="44" t="s">
        <v>172</v>
      </c>
      <c r="F31" s="17">
        <v>1</v>
      </c>
      <c r="H31" s="47" t="s">
        <v>454</v>
      </c>
      <c r="I31" s="44" t="s">
        <v>172</v>
      </c>
      <c r="J31" s="21">
        <f>IF(C31="","",IFERROR(INDEX(Jobs!$AJ$5:$AJ$604,MATCH(C31,Jobs!$A$5:$A$604,0)),"0"))</f>
        <v>0</v>
      </c>
      <c r="K31" s="23">
        <f>IF(C31="","",IFERROR(INDEX(Jobs!$M$5:$M$604,MATCH(C31,Jobs!$A$5:$A$604,0)),""))</f>
        <v>0</v>
      </c>
      <c r="L31" s="51">
        <f>IF(B31="","",IF(E31&lt;&gt;"",E31,IF(C31="","",K31&amp;" - "&amp;TEXT(D31,"d mmm yyyy"))))</f>
        <v>0</v>
      </c>
      <c r="M31" s="21">
        <f>IF(B31="","",IF(G31&lt;&gt;"",G31,IFERROR(J31*1,0)))</f>
        <v>0</v>
      </c>
      <c r="N31" s="21">
        <f>IF(B31="","",ROUND(IF(F31="",1,F31)*M31,2))</f>
        <v>0</v>
      </c>
      <c r="O31" s="39">
        <f>IF(B31="","",IF(C31="","",IF(COUNTIFS($C$5:$C$804,C31)&gt;1,"Duplicate","OK")))</f>
        <v>0</v>
      </c>
      <c r="P31" s="31">
        <f>IF(OR(B31="",E31=""),"",COUNTIFS($B$5:B31,B31))</f>
        <v>0</v>
      </c>
      <c r="Q31" s="23">
        <f>IF(P31="","",B31&amp;"|"&amp;P31)</f>
        <v>0</v>
      </c>
      <c r="R31" s="39">
        <f>IF(B31="","",IF(O31="Duplicate","Duplicate - job billed twice",IF(M31=0,"Add - no price on this line",IF(AND(C31="",E31=""),"Add - what is this line for?","OK"))))</f>
        <v>0</v>
      </c>
    </row>
    <row r="32" spans="1:18">
      <c r="A32" s="43">
        <f>IF(B32="","","IL-"&amp;TEXT(ROW()-4,"0000"))</f>
        <v>0</v>
      </c>
      <c r="B32" s="49" t="s">
        <v>1628</v>
      </c>
      <c r="C32" s="49" t="s">
        <v>1499</v>
      </c>
      <c r="D32" s="18">
        <f>IF(C32="","",IFERROR(INDEX(Jobs!$B$5:$B$604,MATCH(C32,Jobs!$A$5:$A$604,0)),""))</f>
        <v>0</v>
      </c>
      <c r="E32" s="44" t="s">
        <v>172</v>
      </c>
      <c r="F32" s="17">
        <v>1</v>
      </c>
      <c r="H32" s="47" t="s">
        <v>454</v>
      </c>
      <c r="I32" s="44" t="s">
        <v>172</v>
      </c>
      <c r="J32" s="21">
        <f>IF(C32="","",IFERROR(INDEX(Jobs!$AJ$5:$AJ$604,MATCH(C32,Jobs!$A$5:$A$604,0)),"0"))</f>
        <v>0</v>
      </c>
      <c r="K32" s="23">
        <f>IF(C32="","",IFERROR(INDEX(Jobs!$M$5:$M$604,MATCH(C32,Jobs!$A$5:$A$604,0)),""))</f>
        <v>0</v>
      </c>
      <c r="L32" s="51">
        <f>IF(B32="","",IF(E32&lt;&gt;"",E32,IF(C32="","",K32&amp;" - "&amp;TEXT(D32,"d mmm yyyy"))))</f>
        <v>0</v>
      </c>
      <c r="M32" s="21">
        <f>IF(B32="","",IF(G32&lt;&gt;"",G32,IFERROR(J32*1,0)))</f>
        <v>0</v>
      </c>
      <c r="N32" s="21">
        <f>IF(B32="","",ROUND(IF(F32="",1,F32)*M32,2))</f>
        <v>0</v>
      </c>
      <c r="O32" s="39">
        <f>IF(B32="","",IF(C32="","",IF(COUNTIFS($C$5:$C$804,C32)&gt;1,"Duplicate","OK")))</f>
        <v>0</v>
      </c>
      <c r="P32" s="31">
        <f>IF(OR(B32="",E32=""),"",COUNTIFS($B$5:B32,B32))</f>
        <v>0</v>
      </c>
      <c r="Q32" s="23">
        <f>IF(P32="","",B32&amp;"|"&amp;P32)</f>
        <v>0</v>
      </c>
      <c r="R32" s="39">
        <f>IF(B32="","",IF(O32="Duplicate","Duplicate - job billed twice",IF(M32=0,"Add - no price on this line",IF(AND(C32="",E32=""),"Add - what is this line for?","OK"))))</f>
        <v>0</v>
      </c>
    </row>
    <row r="33" spans="1:18">
      <c r="A33" s="43">
        <f>IF(B33="","","IL-"&amp;TEXT(ROW()-4,"0000"))</f>
        <v>0</v>
      </c>
      <c r="B33" s="49" t="s">
        <v>1628</v>
      </c>
      <c r="C33" s="49" t="s">
        <v>1503</v>
      </c>
      <c r="D33" s="18">
        <f>IF(C33="","",IFERROR(INDEX(Jobs!$B$5:$B$604,MATCH(C33,Jobs!$A$5:$A$604,0)),""))</f>
        <v>0</v>
      </c>
      <c r="E33" s="44" t="s">
        <v>172</v>
      </c>
      <c r="F33" s="17">
        <v>1</v>
      </c>
      <c r="H33" s="47" t="s">
        <v>454</v>
      </c>
      <c r="I33" s="44" t="s">
        <v>172</v>
      </c>
      <c r="J33" s="21">
        <f>IF(C33="","",IFERROR(INDEX(Jobs!$AJ$5:$AJ$604,MATCH(C33,Jobs!$A$5:$A$604,0)),"0"))</f>
        <v>0</v>
      </c>
      <c r="K33" s="23">
        <f>IF(C33="","",IFERROR(INDEX(Jobs!$M$5:$M$604,MATCH(C33,Jobs!$A$5:$A$604,0)),""))</f>
        <v>0</v>
      </c>
      <c r="L33" s="51">
        <f>IF(B33="","",IF(E33&lt;&gt;"",E33,IF(C33="","",K33&amp;" - "&amp;TEXT(D33,"d mmm yyyy"))))</f>
        <v>0</v>
      </c>
      <c r="M33" s="21">
        <f>IF(B33="","",IF(G33&lt;&gt;"",G33,IFERROR(J33*1,0)))</f>
        <v>0</v>
      </c>
      <c r="N33" s="21">
        <f>IF(B33="","",ROUND(IF(F33="",1,F33)*M33,2))</f>
        <v>0</v>
      </c>
      <c r="O33" s="39">
        <f>IF(B33="","",IF(C33="","",IF(COUNTIFS($C$5:$C$804,C33)&gt;1,"Duplicate","OK")))</f>
        <v>0</v>
      </c>
      <c r="P33" s="31">
        <f>IF(OR(B33="",E33=""),"",COUNTIFS($B$5:B33,B33))</f>
        <v>0</v>
      </c>
      <c r="Q33" s="23">
        <f>IF(P33="","",B33&amp;"|"&amp;P33)</f>
        <v>0</v>
      </c>
      <c r="R33" s="39">
        <f>IF(B33="","",IF(O33="Duplicate","Duplicate - job billed twice",IF(M33=0,"Add - no price on this line",IF(AND(C33="",E33=""),"Add - what is this line for?","OK"))))</f>
        <v>0</v>
      </c>
    </row>
    <row r="34" spans="1:18">
      <c r="A34" s="43">
        <f>IF(B34="","","IL-"&amp;TEXT(ROW()-4,"0000"))</f>
        <v>0</v>
      </c>
      <c r="B34" s="49" t="s">
        <v>1628</v>
      </c>
      <c r="C34" s="49" t="s">
        <v>1512</v>
      </c>
      <c r="D34" s="18">
        <f>IF(C34="","",IFERROR(INDEX(Jobs!$B$5:$B$604,MATCH(C34,Jobs!$A$5:$A$604,0)),""))</f>
        <v>0</v>
      </c>
      <c r="E34" s="44" t="s">
        <v>172</v>
      </c>
      <c r="F34" s="17">
        <v>1</v>
      </c>
      <c r="H34" s="47" t="s">
        <v>454</v>
      </c>
      <c r="I34" s="44" t="s">
        <v>172</v>
      </c>
      <c r="J34" s="21">
        <f>IF(C34="","",IFERROR(INDEX(Jobs!$AJ$5:$AJ$604,MATCH(C34,Jobs!$A$5:$A$604,0)),"0"))</f>
        <v>0</v>
      </c>
      <c r="K34" s="23">
        <f>IF(C34="","",IFERROR(INDEX(Jobs!$M$5:$M$604,MATCH(C34,Jobs!$A$5:$A$604,0)),""))</f>
        <v>0</v>
      </c>
      <c r="L34" s="51">
        <f>IF(B34="","",IF(E34&lt;&gt;"",E34,IF(C34="","",K34&amp;" - "&amp;TEXT(D34,"d mmm yyyy"))))</f>
        <v>0</v>
      </c>
      <c r="M34" s="21">
        <f>IF(B34="","",IF(G34&lt;&gt;"",G34,IFERROR(J34*1,0)))</f>
        <v>0</v>
      </c>
      <c r="N34" s="21">
        <f>IF(B34="","",ROUND(IF(F34="",1,F34)*M34,2))</f>
        <v>0</v>
      </c>
      <c r="O34" s="39">
        <f>IF(B34="","",IF(C34="","",IF(COUNTIFS($C$5:$C$804,C34)&gt;1,"Duplicate","OK")))</f>
        <v>0</v>
      </c>
      <c r="P34" s="31">
        <f>IF(OR(B34="",E34=""),"",COUNTIFS($B$5:B34,B34))</f>
        <v>0</v>
      </c>
      <c r="Q34" s="23">
        <f>IF(P34="","",B34&amp;"|"&amp;P34)</f>
        <v>0</v>
      </c>
      <c r="R34" s="39">
        <f>IF(B34="","",IF(O34="Duplicate","Duplicate - job billed twice",IF(M34=0,"Add - no price on this line",IF(AND(C34="",E34=""),"Add - what is this line for?","OK"))))</f>
        <v>0</v>
      </c>
    </row>
    <row r="35" spans="1:18">
      <c r="A35" s="43">
        <f>IF(B35="","","IL-"&amp;TEXT(ROW()-4,"0000"))</f>
        <v>0</v>
      </c>
      <c r="B35" s="49" t="s">
        <v>1629</v>
      </c>
      <c r="C35" s="49" t="s">
        <v>1485</v>
      </c>
      <c r="D35" s="18">
        <f>IF(C35="","",IFERROR(INDEX(Jobs!$B$5:$B$604,MATCH(C35,Jobs!$A$5:$A$604,0)),""))</f>
        <v>0</v>
      </c>
      <c r="E35" s="44" t="s">
        <v>172</v>
      </c>
      <c r="F35" s="17">
        <v>1</v>
      </c>
      <c r="H35" s="47" t="s">
        <v>454</v>
      </c>
      <c r="I35" s="44" t="s">
        <v>172</v>
      </c>
      <c r="J35" s="21">
        <f>IF(C35="","",IFERROR(INDEX(Jobs!$AJ$5:$AJ$604,MATCH(C35,Jobs!$A$5:$A$604,0)),"0"))</f>
        <v>0</v>
      </c>
      <c r="K35" s="23">
        <f>IF(C35="","",IFERROR(INDEX(Jobs!$M$5:$M$604,MATCH(C35,Jobs!$A$5:$A$604,0)),""))</f>
        <v>0</v>
      </c>
      <c r="L35" s="51">
        <f>IF(B35="","",IF(E35&lt;&gt;"",E35,IF(C35="","",K35&amp;" - "&amp;TEXT(D35,"d mmm yyyy"))))</f>
        <v>0</v>
      </c>
      <c r="M35" s="21">
        <f>IF(B35="","",IF(G35&lt;&gt;"",G35,IFERROR(J35*1,0)))</f>
        <v>0</v>
      </c>
      <c r="N35" s="21">
        <f>IF(B35="","",ROUND(IF(F35="",1,F35)*M35,2))</f>
        <v>0</v>
      </c>
      <c r="O35" s="39">
        <f>IF(B35="","",IF(C35="","",IF(COUNTIFS($C$5:$C$804,C35)&gt;1,"Duplicate","OK")))</f>
        <v>0</v>
      </c>
      <c r="P35" s="31">
        <f>IF(OR(B35="",E35=""),"",COUNTIFS($B$5:B35,B35))</f>
        <v>0</v>
      </c>
      <c r="Q35" s="23">
        <f>IF(P35="","",B35&amp;"|"&amp;P35)</f>
        <v>0</v>
      </c>
      <c r="R35" s="39">
        <f>IF(B35="","",IF(O35="Duplicate","Duplicate - job billed twice",IF(M35=0,"Add - no price on this line",IF(AND(C35="",E35=""),"Add - what is this line for?","OK"))))</f>
        <v>0</v>
      </c>
    </row>
    <row r="36" spans="1:18">
      <c r="A36" s="43">
        <f>IF(B36="","","IL-"&amp;TEXT(ROW()-4,"0000"))</f>
        <v>0</v>
      </c>
      <c r="B36" s="49" t="s">
        <v>1629</v>
      </c>
      <c r="C36" s="49" t="s">
        <v>1486</v>
      </c>
      <c r="D36" s="18">
        <f>IF(C36="","",IFERROR(INDEX(Jobs!$B$5:$B$604,MATCH(C36,Jobs!$A$5:$A$604,0)),""))</f>
        <v>0</v>
      </c>
      <c r="E36" s="44" t="s">
        <v>172</v>
      </c>
      <c r="F36" s="17">
        <v>1</v>
      </c>
      <c r="H36" s="47" t="s">
        <v>454</v>
      </c>
      <c r="I36" s="44" t="s">
        <v>172</v>
      </c>
      <c r="J36" s="21">
        <f>IF(C36="","",IFERROR(INDEX(Jobs!$AJ$5:$AJ$604,MATCH(C36,Jobs!$A$5:$A$604,0)),"0"))</f>
        <v>0</v>
      </c>
      <c r="K36" s="23">
        <f>IF(C36="","",IFERROR(INDEX(Jobs!$M$5:$M$604,MATCH(C36,Jobs!$A$5:$A$604,0)),""))</f>
        <v>0</v>
      </c>
      <c r="L36" s="51">
        <f>IF(B36="","",IF(E36&lt;&gt;"",E36,IF(C36="","",K36&amp;" - "&amp;TEXT(D36,"d mmm yyyy"))))</f>
        <v>0</v>
      </c>
      <c r="M36" s="21">
        <f>IF(B36="","",IF(G36&lt;&gt;"",G36,IFERROR(J36*1,0)))</f>
        <v>0</v>
      </c>
      <c r="N36" s="21">
        <f>IF(B36="","",ROUND(IF(F36="",1,F36)*M36,2))</f>
        <v>0</v>
      </c>
      <c r="O36" s="39">
        <f>IF(B36="","",IF(C36="","",IF(COUNTIFS($C$5:$C$804,C36)&gt;1,"Duplicate","OK")))</f>
        <v>0</v>
      </c>
      <c r="P36" s="31">
        <f>IF(OR(B36="",E36=""),"",COUNTIFS($B$5:B36,B36))</f>
        <v>0</v>
      </c>
      <c r="Q36" s="23">
        <f>IF(P36="","",B36&amp;"|"&amp;P36)</f>
        <v>0</v>
      </c>
      <c r="R36" s="39">
        <f>IF(B36="","",IF(O36="Duplicate","Duplicate - job billed twice",IF(M36=0,"Add - no price on this line",IF(AND(C36="",E36=""),"Add - what is this line for?","OK"))))</f>
        <v>0</v>
      </c>
    </row>
    <row r="37" spans="1:18">
      <c r="A37" s="43">
        <f>IF(B37="","","IL-"&amp;TEXT(ROW()-4,"0000"))</f>
        <v>0</v>
      </c>
      <c r="B37" s="49" t="s">
        <v>1629</v>
      </c>
      <c r="C37" s="49" t="s">
        <v>1496</v>
      </c>
      <c r="D37" s="18">
        <f>IF(C37="","",IFERROR(INDEX(Jobs!$B$5:$B$604,MATCH(C37,Jobs!$A$5:$A$604,0)),""))</f>
        <v>0</v>
      </c>
      <c r="E37" s="44" t="s">
        <v>172</v>
      </c>
      <c r="F37" s="17">
        <v>1</v>
      </c>
      <c r="H37" s="47" t="s">
        <v>454</v>
      </c>
      <c r="I37" s="44" t="s">
        <v>172</v>
      </c>
      <c r="J37" s="21">
        <f>IF(C37="","",IFERROR(INDEX(Jobs!$AJ$5:$AJ$604,MATCH(C37,Jobs!$A$5:$A$604,0)),"0"))</f>
        <v>0</v>
      </c>
      <c r="K37" s="23">
        <f>IF(C37="","",IFERROR(INDEX(Jobs!$M$5:$M$604,MATCH(C37,Jobs!$A$5:$A$604,0)),""))</f>
        <v>0</v>
      </c>
      <c r="L37" s="51">
        <f>IF(B37="","",IF(E37&lt;&gt;"",E37,IF(C37="","",K37&amp;" - "&amp;TEXT(D37,"d mmm yyyy"))))</f>
        <v>0</v>
      </c>
      <c r="M37" s="21">
        <f>IF(B37="","",IF(G37&lt;&gt;"",G37,IFERROR(J37*1,0)))</f>
        <v>0</v>
      </c>
      <c r="N37" s="21">
        <f>IF(B37="","",ROUND(IF(F37="",1,F37)*M37,2))</f>
        <v>0</v>
      </c>
      <c r="O37" s="39">
        <f>IF(B37="","",IF(C37="","",IF(COUNTIFS($C$5:$C$804,C37)&gt;1,"Duplicate","OK")))</f>
        <v>0</v>
      </c>
      <c r="P37" s="31">
        <f>IF(OR(B37="",E37=""),"",COUNTIFS($B$5:B37,B37))</f>
        <v>0</v>
      </c>
      <c r="Q37" s="23">
        <f>IF(P37="","",B37&amp;"|"&amp;P37)</f>
        <v>0</v>
      </c>
      <c r="R37" s="39">
        <f>IF(B37="","",IF(O37="Duplicate","Duplicate - job billed twice",IF(M37=0,"Add - no price on this line",IF(AND(C37="",E37=""),"Add - what is this line for?","OK"))))</f>
        <v>0</v>
      </c>
    </row>
    <row r="38" spans="1:18">
      <c r="A38" s="43">
        <f>IF(B38="","","IL-"&amp;TEXT(ROW()-4,"0000"))</f>
        <v>0</v>
      </c>
      <c r="B38" s="49" t="s">
        <v>1629</v>
      </c>
      <c r="C38" s="49" t="s">
        <v>1497</v>
      </c>
      <c r="D38" s="18">
        <f>IF(C38="","",IFERROR(INDEX(Jobs!$B$5:$B$604,MATCH(C38,Jobs!$A$5:$A$604,0)),""))</f>
        <v>0</v>
      </c>
      <c r="E38" s="44" t="s">
        <v>172</v>
      </c>
      <c r="F38" s="17">
        <v>1</v>
      </c>
      <c r="H38" s="47" t="s">
        <v>454</v>
      </c>
      <c r="I38" s="44" t="s">
        <v>172</v>
      </c>
      <c r="J38" s="21">
        <f>IF(C38="","",IFERROR(INDEX(Jobs!$AJ$5:$AJ$604,MATCH(C38,Jobs!$A$5:$A$604,0)),"0"))</f>
        <v>0</v>
      </c>
      <c r="K38" s="23">
        <f>IF(C38="","",IFERROR(INDEX(Jobs!$M$5:$M$604,MATCH(C38,Jobs!$A$5:$A$604,0)),""))</f>
        <v>0</v>
      </c>
      <c r="L38" s="51">
        <f>IF(B38="","",IF(E38&lt;&gt;"",E38,IF(C38="","",K38&amp;" - "&amp;TEXT(D38,"d mmm yyyy"))))</f>
        <v>0</v>
      </c>
      <c r="M38" s="21">
        <f>IF(B38="","",IF(G38&lt;&gt;"",G38,IFERROR(J38*1,0)))</f>
        <v>0</v>
      </c>
      <c r="N38" s="21">
        <f>IF(B38="","",ROUND(IF(F38="",1,F38)*M38,2))</f>
        <v>0</v>
      </c>
      <c r="O38" s="39">
        <f>IF(B38="","",IF(C38="","",IF(COUNTIFS($C$5:$C$804,C38)&gt;1,"Duplicate","OK")))</f>
        <v>0</v>
      </c>
      <c r="P38" s="31">
        <f>IF(OR(B38="",E38=""),"",COUNTIFS($B$5:B38,B38))</f>
        <v>0</v>
      </c>
      <c r="Q38" s="23">
        <f>IF(P38="","",B38&amp;"|"&amp;P38)</f>
        <v>0</v>
      </c>
      <c r="R38" s="39">
        <f>IF(B38="","",IF(O38="Duplicate","Duplicate - job billed twice",IF(M38=0,"Add - no price on this line",IF(AND(C38="",E38=""),"Add - what is this line for?","OK"))))</f>
        <v>0</v>
      </c>
    </row>
    <row r="39" spans="1:18">
      <c r="A39" s="43">
        <f>IF(B39="","","IL-"&amp;TEXT(ROW()-4,"0000"))</f>
        <v>0</v>
      </c>
      <c r="B39" s="49" t="s">
        <v>1629</v>
      </c>
      <c r="C39" s="49" t="s">
        <v>1509</v>
      </c>
      <c r="D39" s="18">
        <f>IF(C39="","",IFERROR(INDEX(Jobs!$B$5:$B$604,MATCH(C39,Jobs!$A$5:$A$604,0)),""))</f>
        <v>0</v>
      </c>
      <c r="E39" s="44" t="s">
        <v>172</v>
      </c>
      <c r="F39" s="17">
        <v>1</v>
      </c>
      <c r="H39" s="47" t="s">
        <v>454</v>
      </c>
      <c r="I39" s="44" t="s">
        <v>172</v>
      </c>
      <c r="J39" s="21">
        <f>IF(C39="","",IFERROR(INDEX(Jobs!$AJ$5:$AJ$604,MATCH(C39,Jobs!$A$5:$A$604,0)),"0"))</f>
        <v>0</v>
      </c>
      <c r="K39" s="23">
        <f>IF(C39="","",IFERROR(INDEX(Jobs!$M$5:$M$604,MATCH(C39,Jobs!$A$5:$A$604,0)),""))</f>
        <v>0</v>
      </c>
      <c r="L39" s="51">
        <f>IF(B39="","",IF(E39&lt;&gt;"",E39,IF(C39="","",K39&amp;" - "&amp;TEXT(D39,"d mmm yyyy"))))</f>
        <v>0</v>
      </c>
      <c r="M39" s="21">
        <f>IF(B39="","",IF(G39&lt;&gt;"",G39,IFERROR(J39*1,0)))</f>
        <v>0</v>
      </c>
      <c r="N39" s="21">
        <f>IF(B39="","",ROUND(IF(F39="",1,F39)*M39,2))</f>
        <v>0</v>
      </c>
      <c r="O39" s="39">
        <f>IF(B39="","",IF(C39="","",IF(COUNTIFS($C$5:$C$804,C39)&gt;1,"Duplicate","OK")))</f>
        <v>0</v>
      </c>
      <c r="P39" s="31">
        <f>IF(OR(B39="",E39=""),"",COUNTIFS($B$5:B39,B39))</f>
        <v>0</v>
      </c>
      <c r="Q39" s="23">
        <f>IF(P39="","",B39&amp;"|"&amp;P39)</f>
        <v>0</v>
      </c>
      <c r="R39" s="39">
        <f>IF(B39="","",IF(O39="Duplicate","Duplicate - job billed twice",IF(M39=0,"Add - no price on this line",IF(AND(C39="",E39=""),"Add - what is this line for?","OK"))))</f>
        <v>0</v>
      </c>
    </row>
    <row r="40" spans="1:18">
      <c r="A40" s="43">
        <f>IF(B40="","","IL-"&amp;TEXT(ROW()-4,"0000"))</f>
        <v>0</v>
      </c>
      <c r="B40" s="49" t="s">
        <v>1629</v>
      </c>
      <c r="C40" s="49" t="s">
        <v>1510</v>
      </c>
      <c r="D40" s="18">
        <f>IF(C40="","",IFERROR(INDEX(Jobs!$B$5:$B$604,MATCH(C40,Jobs!$A$5:$A$604,0)),""))</f>
        <v>0</v>
      </c>
      <c r="E40" s="44" t="s">
        <v>172</v>
      </c>
      <c r="F40" s="17">
        <v>1</v>
      </c>
      <c r="H40" s="47" t="s">
        <v>454</v>
      </c>
      <c r="I40" s="44" t="s">
        <v>172</v>
      </c>
      <c r="J40" s="21">
        <f>IF(C40="","",IFERROR(INDEX(Jobs!$AJ$5:$AJ$604,MATCH(C40,Jobs!$A$5:$A$604,0)),"0"))</f>
        <v>0</v>
      </c>
      <c r="K40" s="23">
        <f>IF(C40="","",IFERROR(INDEX(Jobs!$M$5:$M$604,MATCH(C40,Jobs!$A$5:$A$604,0)),""))</f>
        <v>0</v>
      </c>
      <c r="L40" s="51">
        <f>IF(B40="","",IF(E40&lt;&gt;"",E40,IF(C40="","",K40&amp;" - "&amp;TEXT(D40,"d mmm yyyy"))))</f>
        <v>0</v>
      </c>
      <c r="M40" s="21">
        <f>IF(B40="","",IF(G40&lt;&gt;"",G40,IFERROR(J40*1,0)))</f>
        <v>0</v>
      </c>
      <c r="N40" s="21">
        <f>IF(B40="","",ROUND(IF(F40="",1,F40)*M40,2))</f>
        <v>0</v>
      </c>
      <c r="O40" s="39">
        <f>IF(B40="","",IF(C40="","",IF(COUNTIFS($C$5:$C$804,C40)&gt;1,"Duplicate","OK")))</f>
        <v>0</v>
      </c>
      <c r="P40" s="31">
        <f>IF(OR(B40="",E40=""),"",COUNTIFS($B$5:B40,B40))</f>
        <v>0</v>
      </c>
      <c r="Q40" s="23">
        <f>IF(P40="","",B40&amp;"|"&amp;P40)</f>
        <v>0</v>
      </c>
      <c r="R40" s="39">
        <f>IF(B40="","",IF(O40="Duplicate","Duplicate - job billed twice",IF(M40=0,"Add - no price on this line",IF(AND(C40="",E40=""),"Add - what is this line for?","OK"))))</f>
        <v>0</v>
      </c>
    </row>
    <row r="41" spans="1:18">
      <c r="A41" s="43">
        <f>IF(B41="","","IL-"&amp;TEXT(ROW()-4,"0000"))</f>
        <v>0</v>
      </c>
      <c r="B41" s="49" t="s">
        <v>1630</v>
      </c>
      <c r="C41" s="49" t="s">
        <v>1476</v>
      </c>
      <c r="D41" s="18">
        <f>IF(C41="","",IFERROR(INDEX(Jobs!$B$5:$B$604,MATCH(C41,Jobs!$A$5:$A$604,0)),""))</f>
        <v>0</v>
      </c>
      <c r="E41" s="44" t="s">
        <v>172</v>
      </c>
      <c r="F41" s="17">
        <v>1</v>
      </c>
      <c r="H41" s="47" t="s">
        <v>454</v>
      </c>
      <c r="I41" s="44" t="s">
        <v>172</v>
      </c>
      <c r="J41" s="21">
        <f>IF(C41="","",IFERROR(INDEX(Jobs!$AJ$5:$AJ$604,MATCH(C41,Jobs!$A$5:$A$604,0)),"0"))</f>
        <v>0</v>
      </c>
      <c r="K41" s="23">
        <f>IF(C41="","",IFERROR(INDEX(Jobs!$M$5:$M$604,MATCH(C41,Jobs!$A$5:$A$604,0)),""))</f>
        <v>0</v>
      </c>
      <c r="L41" s="51">
        <f>IF(B41="","",IF(E41&lt;&gt;"",E41,IF(C41="","",K41&amp;" - "&amp;TEXT(D41,"d mmm yyyy"))))</f>
        <v>0</v>
      </c>
      <c r="M41" s="21">
        <f>IF(B41="","",IF(G41&lt;&gt;"",G41,IFERROR(J41*1,0)))</f>
        <v>0</v>
      </c>
      <c r="N41" s="21">
        <f>IF(B41="","",ROUND(IF(F41="",1,F41)*M41,2))</f>
        <v>0</v>
      </c>
      <c r="O41" s="39">
        <f>IF(B41="","",IF(C41="","",IF(COUNTIFS($C$5:$C$804,C41)&gt;1,"Duplicate","OK")))</f>
        <v>0</v>
      </c>
      <c r="P41" s="31">
        <f>IF(OR(B41="",E41=""),"",COUNTIFS($B$5:B41,B41))</f>
        <v>0</v>
      </c>
      <c r="Q41" s="23">
        <f>IF(P41="","",B41&amp;"|"&amp;P41)</f>
        <v>0</v>
      </c>
      <c r="R41" s="39">
        <f>IF(B41="","",IF(O41="Duplicate","Duplicate - job billed twice",IF(M41=0,"Add - no price on this line",IF(AND(C41="",E41=""),"Add - what is this line for?","OK"))))</f>
        <v>0</v>
      </c>
    </row>
    <row r="42" spans="1:18">
      <c r="A42" s="43">
        <f>IF(B42="","","IL-"&amp;TEXT(ROW()-4,"0000"))</f>
        <v>0</v>
      </c>
      <c r="B42" s="49" t="s">
        <v>1630</v>
      </c>
      <c r="C42" s="49" t="s">
        <v>1477</v>
      </c>
      <c r="D42" s="18">
        <f>IF(C42="","",IFERROR(INDEX(Jobs!$B$5:$B$604,MATCH(C42,Jobs!$A$5:$A$604,0)),""))</f>
        <v>0</v>
      </c>
      <c r="E42" s="44" t="s">
        <v>172</v>
      </c>
      <c r="F42" s="17">
        <v>1</v>
      </c>
      <c r="H42" s="47" t="s">
        <v>454</v>
      </c>
      <c r="I42" s="44" t="s">
        <v>172</v>
      </c>
      <c r="J42" s="21">
        <f>IF(C42="","",IFERROR(INDEX(Jobs!$AJ$5:$AJ$604,MATCH(C42,Jobs!$A$5:$A$604,0)),"0"))</f>
        <v>0</v>
      </c>
      <c r="K42" s="23">
        <f>IF(C42="","",IFERROR(INDEX(Jobs!$M$5:$M$604,MATCH(C42,Jobs!$A$5:$A$604,0)),""))</f>
        <v>0</v>
      </c>
      <c r="L42" s="51">
        <f>IF(B42="","",IF(E42&lt;&gt;"",E42,IF(C42="","",K42&amp;" - "&amp;TEXT(D42,"d mmm yyyy"))))</f>
        <v>0</v>
      </c>
      <c r="M42" s="21">
        <f>IF(B42="","",IF(G42&lt;&gt;"",G42,IFERROR(J42*1,0)))</f>
        <v>0</v>
      </c>
      <c r="N42" s="21">
        <f>IF(B42="","",ROUND(IF(F42="",1,F42)*M42,2))</f>
        <v>0</v>
      </c>
      <c r="O42" s="39">
        <f>IF(B42="","",IF(C42="","",IF(COUNTIFS($C$5:$C$804,C42)&gt;1,"Duplicate","OK")))</f>
        <v>0</v>
      </c>
      <c r="P42" s="31">
        <f>IF(OR(B42="",E42=""),"",COUNTIFS($B$5:B42,B42))</f>
        <v>0</v>
      </c>
      <c r="Q42" s="23">
        <f>IF(P42="","",B42&amp;"|"&amp;P42)</f>
        <v>0</v>
      </c>
      <c r="R42" s="39">
        <f>IF(B42="","",IF(O42="Duplicate","Duplicate - job billed twice",IF(M42=0,"Add - no price on this line",IF(AND(C42="",E42=""),"Add - what is this line for?","OK"))))</f>
        <v>0</v>
      </c>
    </row>
    <row r="43" spans="1:18">
      <c r="A43" s="43">
        <f>IF(B43="","","IL-"&amp;TEXT(ROW()-4,"0000"))</f>
        <v>0</v>
      </c>
      <c r="B43" s="49" t="s">
        <v>1631</v>
      </c>
      <c r="C43" s="49" t="s">
        <v>1474</v>
      </c>
      <c r="D43" s="18">
        <f>IF(C43="","",IFERROR(INDEX(Jobs!$B$5:$B$604,MATCH(C43,Jobs!$A$5:$A$604,0)),""))</f>
        <v>0</v>
      </c>
      <c r="E43" s="44" t="s">
        <v>172</v>
      </c>
      <c r="F43" s="17">
        <v>1</v>
      </c>
      <c r="H43" s="47" t="s">
        <v>454</v>
      </c>
      <c r="I43" s="44" t="s">
        <v>172</v>
      </c>
      <c r="J43" s="21">
        <f>IF(C43="","",IFERROR(INDEX(Jobs!$AJ$5:$AJ$604,MATCH(C43,Jobs!$A$5:$A$604,0)),"0"))</f>
        <v>0</v>
      </c>
      <c r="K43" s="23">
        <f>IF(C43="","",IFERROR(INDEX(Jobs!$M$5:$M$604,MATCH(C43,Jobs!$A$5:$A$604,0)),""))</f>
        <v>0</v>
      </c>
      <c r="L43" s="51">
        <f>IF(B43="","",IF(E43&lt;&gt;"",E43,IF(C43="","",K43&amp;" - "&amp;TEXT(D43,"d mmm yyyy"))))</f>
        <v>0</v>
      </c>
      <c r="M43" s="21">
        <f>IF(B43="","",IF(G43&lt;&gt;"",G43,IFERROR(J43*1,0)))</f>
        <v>0</v>
      </c>
      <c r="N43" s="21">
        <f>IF(B43="","",ROUND(IF(F43="",1,F43)*M43,2))</f>
        <v>0</v>
      </c>
      <c r="O43" s="39">
        <f>IF(B43="","",IF(C43="","",IF(COUNTIFS($C$5:$C$804,C43)&gt;1,"Duplicate","OK")))</f>
        <v>0</v>
      </c>
      <c r="P43" s="31">
        <f>IF(OR(B43="",E43=""),"",COUNTIFS($B$5:B43,B43))</f>
        <v>0</v>
      </c>
      <c r="Q43" s="23">
        <f>IF(P43="","",B43&amp;"|"&amp;P43)</f>
        <v>0</v>
      </c>
      <c r="R43" s="39">
        <f>IF(B43="","",IF(O43="Duplicate","Duplicate - job billed twice",IF(M43=0,"Add - no price on this line",IF(AND(C43="",E43=""),"Add - what is this line for?","OK"))))</f>
        <v>0</v>
      </c>
    </row>
    <row r="44" spans="1:18">
      <c r="A44" s="43">
        <f>IF(B44="","","IL-"&amp;TEXT(ROW()-4,"0000"))</f>
        <v>0</v>
      </c>
      <c r="B44" s="49" t="s">
        <v>1631</v>
      </c>
      <c r="C44" s="49" t="s">
        <v>1502</v>
      </c>
      <c r="D44" s="18">
        <f>IF(C44="","",IFERROR(INDEX(Jobs!$B$5:$B$604,MATCH(C44,Jobs!$A$5:$A$604,0)),""))</f>
        <v>0</v>
      </c>
      <c r="E44" s="44" t="s">
        <v>172</v>
      </c>
      <c r="F44" s="17">
        <v>1</v>
      </c>
      <c r="H44" s="47" t="s">
        <v>454</v>
      </c>
      <c r="I44" s="44" t="s">
        <v>172</v>
      </c>
      <c r="J44" s="21">
        <f>IF(C44="","",IFERROR(INDEX(Jobs!$AJ$5:$AJ$604,MATCH(C44,Jobs!$A$5:$A$604,0)),"0"))</f>
        <v>0</v>
      </c>
      <c r="K44" s="23">
        <f>IF(C44="","",IFERROR(INDEX(Jobs!$M$5:$M$604,MATCH(C44,Jobs!$A$5:$A$604,0)),""))</f>
        <v>0</v>
      </c>
      <c r="L44" s="51">
        <f>IF(B44="","",IF(E44&lt;&gt;"",E44,IF(C44="","",K44&amp;" - "&amp;TEXT(D44,"d mmm yyyy"))))</f>
        <v>0</v>
      </c>
      <c r="M44" s="21">
        <f>IF(B44="","",IF(G44&lt;&gt;"",G44,IFERROR(J44*1,0)))</f>
        <v>0</v>
      </c>
      <c r="N44" s="21">
        <f>IF(B44="","",ROUND(IF(F44="",1,F44)*M44,2))</f>
        <v>0</v>
      </c>
      <c r="O44" s="39">
        <f>IF(B44="","",IF(C44="","",IF(COUNTIFS($C$5:$C$804,C44)&gt;1,"Duplicate","OK")))</f>
        <v>0</v>
      </c>
      <c r="P44" s="31">
        <f>IF(OR(B44="",E44=""),"",COUNTIFS($B$5:B44,B44))</f>
        <v>0</v>
      </c>
      <c r="Q44" s="23">
        <f>IF(P44="","",B44&amp;"|"&amp;P44)</f>
        <v>0</v>
      </c>
      <c r="R44" s="39">
        <f>IF(B44="","",IF(O44="Duplicate","Duplicate - job billed twice",IF(M44=0,"Add - no price on this line",IF(AND(C44="",E44=""),"Add - what is this line for?","OK"))))</f>
        <v>0</v>
      </c>
    </row>
    <row r="45" spans="1:18">
      <c r="A45" s="43">
        <f>IF(B45="","","IL-"&amp;TEXT(ROW()-4,"0000"))</f>
        <v>0</v>
      </c>
      <c r="B45" s="49" t="s">
        <v>1631</v>
      </c>
      <c r="C45" s="49" t="s">
        <v>1515</v>
      </c>
      <c r="D45" s="18">
        <f>IF(C45="","",IFERROR(INDEX(Jobs!$B$5:$B$604,MATCH(C45,Jobs!$A$5:$A$604,0)),""))</f>
        <v>0</v>
      </c>
      <c r="E45" s="44" t="s">
        <v>172</v>
      </c>
      <c r="F45" s="17">
        <v>1</v>
      </c>
      <c r="H45" s="47" t="s">
        <v>454</v>
      </c>
      <c r="I45" s="44" t="s">
        <v>172</v>
      </c>
      <c r="J45" s="21">
        <f>IF(C45="","",IFERROR(INDEX(Jobs!$AJ$5:$AJ$604,MATCH(C45,Jobs!$A$5:$A$604,0)),"0"))</f>
        <v>0</v>
      </c>
      <c r="K45" s="23">
        <f>IF(C45="","",IFERROR(INDEX(Jobs!$M$5:$M$604,MATCH(C45,Jobs!$A$5:$A$604,0)),""))</f>
        <v>0</v>
      </c>
      <c r="L45" s="51">
        <f>IF(B45="","",IF(E45&lt;&gt;"",E45,IF(C45="","",K45&amp;" - "&amp;TEXT(D45,"d mmm yyyy"))))</f>
        <v>0</v>
      </c>
      <c r="M45" s="21">
        <f>IF(B45="","",IF(G45&lt;&gt;"",G45,IFERROR(J45*1,0)))</f>
        <v>0</v>
      </c>
      <c r="N45" s="21">
        <f>IF(B45="","",ROUND(IF(F45="",1,F45)*M45,2))</f>
        <v>0</v>
      </c>
      <c r="O45" s="39">
        <f>IF(B45="","",IF(C45="","",IF(COUNTIFS($C$5:$C$804,C45)&gt;1,"Duplicate","OK")))</f>
        <v>0</v>
      </c>
      <c r="P45" s="31">
        <f>IF(OR(B45="",E45=""),"",COUNTIFS($B$5:B45,B45))</f>
        <v>0</v>
      </c>
      <c r="Q45" s="23">
        <f>IF(P45="","",B45&amp;"|"&amp;P45)</f>
        <v>0</v>
      </c>
      <c r="R45" s="39">
        <f>IF(B45="","",IF(O45="Duplicate","Duplicate - job billed twice",IF(M45=0,"Add - no price on this line",IF(AND(C45="",E45=""),"Add - what is this line for?","OK"))))</f>
        <v>0</v>
      </c>
    </row>
    <row r="46" spans="1:18">
      <c r="A46" s="43">
        <f>IF(B46="","","IL-"&amp;TEXT(ROW()-4,"0000"))</f>
        <v>0</v>
      </c>
      <c r="B46" s="49" t="s">
        <v>1632</v>
      </c>
      <c r="C46" s="49" t="s">
        <v>1484</v>
      </c>
      <c r="D46" s="18">
        <f>IF(C46="","",IFERROR(INDEX(Jobs!$B$5:$B$604,MATCH(C46,Jobs!$A$5:$A$604,0)),""))</f>
        <v>0</v>
      </c>
      <c r="E46" s="44" t="s">
        <v>172</v>
      </c>
      <c r="F46" s="17">
        <v>1</v>
      </c>
      <c r="H46" s="47" t="s">
        <v>454</v>
      </c>
      <c r="I46" s="44" t="s">
        <v>172</v>
      </c>
      <c r="J46" s="21">
        <f>IF(C46="","",IFERROR(INDEX(Jobs!$AJ$5:$AJ$604,MATCH(C46,Jobs!$A$5:$A$604,0)),"0"))</f>
        <v>0</v>
      </c>
      <c r="K46" s="23">
        <f>IF(C46="","",IFERROR(INDEX(Jobs!$M$5:$M$604,MATCH(C46,Jobs!$A$5:$A$604,0)),""))</f>
        <v>0</v>
      </c>
      <c r="L46" s="51">
        <f>IF(B46="","",IF(E46&lt;&gt;"",E46,IF(C46="","",K46&amp;" - "&amp;TEXT(D46,"d mmm yyyy"))))</f>
        <v>0</v>
      </c>
      <c r="M46" s="21">
        <f>IF(B46="","",IF(G46&lt;&gt;"",G46,IFERROR(J46*1,0)))</f>
        <v>0</v>
      </c>
      <c r="N46" s="21">
        <f>IF(B46="","",ROUND(IF(F46="",1,F46)*M46,2))</f>
        <v>0</v>
      </c>
      <c r="O46" s="39">
        <f>IF(B46="","",IF(C46="","",IF(COUNTIFS($C$5:$C$804,C46)&gt;1,"Duplicate","OK")))</f>
        <v>0</v>
      </c>
      <c r="P46" s="31">
        <f>IF(OR(B46="",E46=""),"",COUNTIFS($B$5:B46,B46))</f>
        <v>0</v>
      </c>
      <c r="Q46" s="23">
        <f>IF(P46="","",B46&amp;"|"&amp;P46)</f>
        <v>0</v>
      </c>
      <c r="R46" s="39">
        <f>IF(B46="","",IF(O46="Duplicate","Duplicate - job billed twice",IF(M46=0,"Add - no price on this line",IF(AND(C46="",E46=""),"Add - what is this line for?","OK"))))</f>
        <v>0</v>
      </c>
    </row>
    <row r="47" spans="1:18">
      <c r="A47" s="43">
        <f>IF(B47="","","IL-"&amp;TEXT(ROW()-4,"0000"))</f>
        <v>0</v>
      </c>
      <c r="B47" s="49" t="s">
        <v>1632</v>
      </c>
      <c r="C47" s="49" t="s">
        <v>1495</v>
      </c>
      <c r="D47" s="18">
        <f>IF(C47="","",IFERROR(INDEX(Jobs!$B$5:$B$604,MATCH(C47,Jobs!$A$5:$A$604,0)),""))</f>
        <v>0</v>
      </c>
      <c r="E47" s="44" t="s">
        <v>172</v>
      </c>
      <c r="F47" s="17">
        <v>1</v>
      </c>
      <c r="H47" s="47" t="s">
        <v>454</v>
      </c>
      <c r="I47" s="44" t="s">
        <v>172</v>
      </c>
      <c r="J47" s="21">
        <f>IF(C47="","",IFERROR(INDEX(Jobs!$AJ$5:$AJ$604,MATCH(C47,Jobs!$A$5:$A$604,0)),"0"))</f>
        <v>0</v>
      </c>
      <c r="K47" s="23">
        <f>IF(C47="","",IFERROR(INDEX(Jobs!$M$5:$M$604,MATCH(C47,Jobs!$A$5:$A$604,0)),""))</f>
        <v>0</v>
      </c>
      <c r="L47" s="51">
        <f>IF(B47="","",IF(E47&lt;&gt;"",E47,IF(C47="","",K47&amp;" - "&amp;TEXT(D47,"d mmm yyyy"))))</f>
        <v>0</v>
      </c>
      <c r="M47" s="21">
        <f>IF(B47="","",IF(G47&lt;&gt;"",G47,IFERROR(J47*1,0)))</f>
        <v>0</v>
      </c>
      <c r="N47" s="21">
        <f>IF(B47="","",ROUND(IF(F47="",1,F47)*M47,2))</f>
        <v>0</v>
      </c>
      <c r="O47" s="39">
        <f>IF(B47="","",IF(C47="","",IF(COUNTIFS($C$5:$C$804,C47)&gt;1,"Duplicate","OK")))</f>
        <v>0</v>
      </c>
      <c r="P47" s="31">
        <f>IF(OR(B47="",E47=""),"",COUNTIFS($B$5:B47,B47))</f>
        <v>0</v>
      </c>
      <c r="Q47" s="23">
        <f>IF(P47="","",B47&amp;"|"&amp;P47)</f>
        <v>0</v>
      </c>
      <c r="R47" s="39">
        <f>IF(B47="","",IF(O47="Duplicate","Duplicate - job billed twice",IF(M47=0,"Add - no price on this line",IF(AND(C47="",E47=""),"Add - what is this line for?","OK"))))</f>
        <v>0</v>
      </c>
    </row>
    <row r="48" spans="1:18">
      <c r="A48" s="43">
        <f>IF(B48="","","IL-"&amp;TEXT(ROW()-4,"0000"))</f>
        <v>0</v>
      </c>
      <c r="B48" s="49" t="s">
        <v>1632</v>
      </c>
      <c r="C48" s="49" t="s">
        <v>1508</v>
      </c>
      <c r="D48" s="18">
        <f>IF(C48="","",IFERROR(INDEX(Jobs!$B$5:$B$604,MATCH(C48,Jobs!$A$5:$A$604,0)),""))</f>
        <v>0</v>
      </c>
      <c r="E48" s="44" t="s">
        <v>172</v>
      </c>
      <c r="F48" s="17">
        <v>1</v>
      </c>
      <c r="H48" s="47" t="s">
        <v>454</v>
      </c>
      <c r="I48" s="44" t="s">
        <v>172</v>
      </c>
      <c r="J48" s="21">
        <f>IF(C48="","",IFERROR(INDEX(Jobs!$AJ$5:$AJ$604,MATCH(C48,Jobs!$A$5:$A$604,0)),"0"))</f>
        <v>0</v>
      </c>
      <c r="K48" s="23">
        <f>IF(C48="","",IFERROR(INDEX(Jobs!$M$5:$M$604,MATCH(C48,Jobs!$A$5:$A$604,0)),""))</f>
        <v>0</v>
      </c>
      <c r="L48" s="51">
        <f>IF(B48="","",IF(E48&lt;&gt;"",E48,IF(C48="","",K48&amp;" - "&amp;TEXT(D48,"d mmm yyyy"))))</f>
        <v>0</v>
      </c>
      <c r="M48" s="21">
        <f>IF(B48="","",IF(G48&lt;&gt;"",G48,IFERROR(J48*1,0)))</f>
        <v>0</v>
      </c>
      <c r="N48" s="21">
        <f>IF(B48="","",ROUND(IF(F48="",1,F48)*M48,2))</f>
        <v>0</v>
      </c>
      <c r="O48" s="39">
        <f>IF(B48="","",IF(C48="","",IF(COUNTIFS($C$5:$C$804,C48)&gt;1,"Duplicate","OK")))</f>
        <v>0</v>
      </c>
      <c r="P48" s="31">
        <f>IF(OR(B48="",E48=""),"",COUNTIFS($B$5:B48,B48))</f>
        <v>0</v>
      </c>
      <c r="Q48" s="23">
        <f>IF(P48="","",B48&amp;"|"&amp;P48)</f>
        <v>0</v>
      </c>
      <c r="R48" s="39">
        <f>IF(B48="","",IF(O48="Duplicate","Duplicate - job billed twice",IF(M48=0,"Add - no price on this line",IF(AND(C48="",E48=""),"Add - what is this line for?","OK"))))</f>
        <v>0</v>
      </c>
    </row>
    <row r="49" spans="1:18">
      <c r="A49" s="43">
        <f>IF(B49="","","IL-"&amp;TEXT(ROW()-4,"0000"))</f>
        <v>0</v>
      </c>
      <c r="B49" s="49" t="s">
        <v>1633</v>
      </c>
      <c r="C49" s="49" t="s">
        <v>1526</v>
      </c>
      <c r="D49" s="18">
        <f>IF(C49="","",IFERROR(INDEX(Jobs!$B$5:$B$604,MATCH(C49,Jobs!$A$5:$A$604,0)),""))</f>
        <v>0</v>
      </c>
      <c r="E49" s="44" t="s">
        <v>172</v>
      </c>
      <c r="F49" s="17">
        <v>1</v>
      </c>
      <c r="H49" s="47" t="s">
        <v>454</v>
      </c>
      <c r="I49" s="44" t="s">
        <v>172</v>
      </c>
      <c r="J49" s="21">
        <f>IF(C49="","",IFERROR(INDEX(Jobs!$AJ$5:$AJ$604,MATCH(C49,Jobs!$A$5:$A$604,0)),"0"))</f>
        <v>0</v>
      </c>
      <c r="K49" s="23">
        <f>IF(C49="","",IFERROR(INDEX(Jobs!$M$5:$M$604,MATCH(C49,Jobs!$A$5:$A$604,0)),""))</f>
        <v>0</v>
      </c>
      <c r="L49" s="51">
        <f>IF(B49="","",IF(E49&lt;&gt;"",E49,IF(C49="","",K49&amp;" - "&amp;TEXT(D49,"d mmm yyyy"))))</f>
        <v>0</v>
      </c>
      <c r="M49" s="21">
        <f>IF(B49="","",IF(G49&lt;&gt;"",G49,IFERROR(J49*1,0)))</f>
        <v>0</v>
      </c>
      <c r="N49" s="21">
        <f>IF(B49="","",ROUND(IF(F49="",1,F49)*M49,2))</f>
        <v>0</v>
      </c>
      <c r="O49" s="39">
        <f>IF(B49="","",IF(C49="","",IF(COUNTIFS($C$5:$C$804,C49)&gt;1,"Duplicate","OK")))</f>
        <v>0</v>
      </c>
      <c r="P49" s="31">
        <f>IF(OR(B49="",E49=""),"",COUNTIFS($B$5:B49,B49))</f>
        <v>0</v>
      </c>
      <c r="Q49" s="23">
        <f>IF(P49="","",B49&amp;"|"&amp;P49)</f>
        <v>0</v>
      </c>
      <c r="R49" s="39">
        <f>IF(B49="","",IF(O49="Duplicate","Duplicate - job billed twice",IF(M49=0,"Add - no price on this line",IF(AND(C49="",E49=""),"Add - what is this line for?","OK"))))</f>
        <v>0</v>
      </c>
    </row>
    <row r="50" spans="1:18">
      <c r="A50" s="43">
        <f>IF(B50="","","IL-"&amp;TEXT(ROW()-4,"0000"))</f>
        <v>0</v>
      </c>
      <c r="B50" s="49" t="s">
        <v>1633</v>
      </c>
      <c r="C50" s="49" t="s">
        <v>1532</v>
      </c>
      <c r="D50" s="18">
        <f>IF(C50="","",IFERROR(INDEX(Jobs!$B$5:$B$604,MATCH(C50,Jobs!$A$5:$A$604,0)),""))</f>
        <v>0</v>
      </c>
      <c r="E50" s="44" t="s">
        <v>172</v>
      </c>
      <c r="F50" s="17">
        <v>1</v>
      </c>
      <c r="H50" s="47" t="s">
        <v>454</v>
      </c>
      <c r="I50" s="44" t="s">
        <v>172</v>
      </c>
      <c r="J50" s="21">
        <f>IF(C50="","",IFERROR(INDEX(Jobs!$AJ$5:$AJ$604,MATCH(C50,Jobs!$A$5:$A$604,0)),"0"))</f>
        <v>0</v>
      </c>
      <c r="K50" s="23">
        <f>IF(C50="","",IFERROR(INDEX(Jobs!$M$5:$M$604,MATCH(C50,Jobs!$A$5:$A$604,0)),""))</f>
        <v>0</v>
      </c>
      <c r="L50" s="51">
        <f>IF(B50="","",IF(E50&lt;&gt;"",E50,IF(C50="","",K50&amp;" - "&amp;TEXT(D50,"d mmm yyyy"))))</f>
        <v>0</v>
      </c>
      <c r="M50" s="21">
        <f>IF(B50="","",IF(G50&lt;&gt;"",G50,IFERROR(J50*1,0)))</f>
        <v>0</v>
      </c>
      <c r="N50" s="21">
        <f>IF(B50="","",ROUND(IF(F50="",1,F50)*M50,2))</f>
        <v>0</v>
      </c>
      <c r="O50" s="39">
        <f>IF(B50="","",IF(C50="","",IF(COUNTIFS($C$5:$C$804,C50)&gt;1,"Duplicate","OK")))</f>
        <v>0</v>
      </c>
      <c r="P50" s="31">
        <f>IF(OR(B50="",E50=""),"",COUNTIFS($B$5:B50,B50))</f>
        <v>0</v>
      </c>
      <c r="Q50" s="23">
        <f>IF(P50="","",B50&amp;"|"&amp;P50)</f>
        <v>0</v>
      </c>
      <c r="R50" s="39">
        <f>IF(B50="","",IF(O50="Duplicate","Duplicate - job billed twice",IF(M50=0,"Add - no price on this line",IF(AND(C50="",E50=""),"Add - what is this line for?","OK"))))</f>
        <v>0</v>
      </c>
    </row>
    <row r="51" spans="1:18">
      <c r="A51" s="43">
        <f>IF(B51="","","IL-"&amp;TEXT(ROW()-4,"0000"))</f>
        <v>0</v>
      </c>
      <c r="B51" s="49" t="s">
        <v>1633</v>
      </c>
      <c r="C51" s="49" t="s">
        <v>1182</v>
      </c>
      <c r="D51" s="18">
        <f>IF(C51="","",IFERROR(INDEX(Jobs!$B$5:$B$604,MATCH(C51,Jobs!$A$5:$A$604,0)),""))</f>
        <v>0</v>
      </c>
      <c r="E51" s="44" t="s">
        <v>172</v>
      </c>
      <c r="F51" s="17">
        <v>1</v>
      </c>
      <c r="H51" s="47" t="s">
        <v>454</v>
      </c>
      <c r="I51" s="44" t="s">
        <v>172</v>
      </c>
      <c r="J51" s="21">
        <f>IF(C51="","",IFERROR(INDEX(Jobs!$AJ$5:$AJ$604,MATCH(C51,Jobs!$A$5:$A$604,0)),"0"))</f>
        <v>0</v>
      </c>
      <c r="K51" s="23">
        <f>IF(C51="","",IFERROR(INDEX(Jobs!$M$5:$M$604,MATCH(C51,Jobs!$A$5:$A$604,0)),""))</f>
        <v>0</v>
      </c>
      <c r="L51" s="51">
        <f>IF(B51="","",IF(E51&lt;&gt;"",E51,IF(C51="","",K51&amp;" - "&amp;TEXT(D51,"d mmm yyyy"))))</f>
        <v>0</v>
      </c>
      <c r="M51" s="21">
        <f>IF(B51="","",IF(G51&lt;&gt;"",G51,IFERROR(J51*1,0)))</f>
        <v>0</v>
      </c>
      <c r="N51" s="21">
        <f>IF(B51="","",ROUND(IF(F51="",1,F51)*M51,2))</f>
        <v>0</v>
      </c>
      <c r="O51" s="39">
        <f>IF(B51="","",IF(C51="","",IF(COUNTIFS($C$5:$C$804,C51)&gt;1,"Duplicate","OK")))</f>
        <v>0</v>
      </c>
      <c r="P51" s="31">
        <f>IF(OR(B51="",E51=""),"",COUNTIFS($B$5:B51,B51))</f>
        <v>0</v>
      </c>
      <c r="Q51" s="23">
        <f>IF(P51="","",B51&amp;"|"&amp;P51)</f>
        <v>0</v>
      </c>
      <c r="R51" s="39">
        <f>IF(B51="","",IF(O51="Duplicate","Duplicate - job billed twice",IF(M51=0,"Add - no price on this line",IF(AND(C51="",E51=""),"Add - what is this line for?","OK"))))</f>
        <v>0</v>
      </c>
    </row>
    <row r="52" spans="1:18">
      <c r="A52" s="43">
        <f>IF(B52="","","IL-"&amp;TEXT(ROW()-4,"0000"))</f>
        <v>0</v>
      </c>
      <c r="B52" s="49" t="s">
        <v>1634</v>
      </c>
      <c r="C52" s="49" t="s">
        <v>1533</v>
      </c>
      <c r="D52" s="18">
        <f>IF(C52="","",IFERROR(INDEX(Jobs!$B$5:$B$604,MATCH(C52,Jobs!$A$5:$A$604,0)),""))</f>
        <v>0</v>
      </c>
      <c r="E52" s="44" t="s">
        <v>172</v>
      </c>
      <c r="F52" s="17">
        <v>1</v>
      </c>
      <c r="H52" s="47" t="s">
        <v>454</v>
      </c>
      <c r="I52" s="44" t="s">
        <v>172</v>
      </c>
      <c r="J52" s="21">
        <f>IF(C52="","",IFERROR(INDEX(Jobs!$AJ$5:$AJ$604,MATCH(C52,Jobs!$A$5:$A$604,0)),"0"))</f>
        <v>0</v>
      </c>
      <c r="K52" s="23">
        <f>IF(C52="","",IFERROR(INDEX(Jobs!$M$5:$M$604,MATCH(C52,Jobs!$A$5:$A$604,0)),""))</f>
        <v>0</v>
      </c>
      <c r="L52" s="51">
        <f>IF(B52="","",IF(E52&lt;&gt;"",E52,IF(C52="","",K52&amp;" - "&amp;TEXT(D52,"d mmm yyyy"))))</f>
        <v>0</v>
      </c>
      <c r="M52" s="21">
        <f>IF(B52="","",IF(G52&lt;&gt;"",G52,IFERROR(J52*1,0)))</f>
        <v>0</v>
      </c>
      <c r="N52" s="21">
        <f>IF(B52="","",ROUND(IF(F52="",1,F52)*M52,2))</f>
        <v>0</v>
      </c>
      <c r="O52" s="39">
        <f>IF(B52="","",IF(C52="","",IF(COUNTIFS($C$5:$C$804,C52)&gt;1,"Duplicate","OK")))</f>
        <v>0</v>
      </c>
      <c r="P52" s="31">
        <f>IF(OR(B52="",E52=""),"",COUNTIFS($B$5:B52,B52))</f>
        <v>0</v>
      </c>
      <c r="Q52" s="23">
        <f>IF(P52="","",B52&amp;"|"&amp;P52)</f>
        <v>0</v>
      </c>
      <c r="R52" s="39">
        <f>IF(B52="","",IF(O52="Duplicate","Duplicate - job billed twice",IF(M52=0,"Add - no price on this line",IF(AND(C52="",E52=""),"Add - what is this line for?","OK"))))</f>
        <v>0</v>
      </c>
    </row>
    <row r="53" spans="1:18">
      <c r="A53" s="43">
        <f>IF(B53="","","IL-"&amp;TEXT(ROW()-4,"0000"))</f>
        <v>0</v>
      </c>
      <c r="B53" s="49" t="s">
        <v>1635</v>
      </c>
      <c r="C53" s="49" t="s">
        <v>1519</v>
      </c>
      <c r="D53" s="18">
        <f>IF(C53="","",IFERROR(INDEX(Jobs!$B$5:$B$604,MATCH(C53,Jobs!$A$5:$A$604,0)),""))</f>
        <v>0</v>
      </c>
      <c r="E53" s="44" t="s">
        <v>172</v>
      </c>
      <c r="F53" s="17">
        <v>1</v>
      </c>
      <c r="H53" s="47" t="s">
        <v>454</v>
      </c>
      <c r="I53" s="44" t="s">
        <v>172</v>
      </c>
      <c r="J53" s="21">
        <f>IF(C53="","",IFERROR(INDEX(Jobs!$AJ$5:$AJ$604,MATCH(C53,Jobs!$A$5:$A$604,0)),"0"))</f>
        <v>0</v>
      </c>
      <c r="K53" s="23">
        <f>IF(C53="","",IFERROR(INDEX(Jobs!$M$5:$M$604,MATCH(C53,Jobs!$A$5:$A$604,0)),""))</f>
        <v>0</v>
      </c>
      <c r="L53" s="51">
        <f>IF(B53="","",IF(E53&lt;&gt;"",E53,IF(C53="","",K53&amp;" - "&amp;TEXT(D53,"d mmm yyyy"))))</f>
        <v>0</v>
      </c>
      <c r="M53" s="21">
        <f>IF(B53="","",IF(G53&lt;&gt;"",G53,IFERROR(J53*1,0)))</f>
        <v>0</v>
      </c>
      <c r="N53" s="21">
        <f>IF(B53="","",ROUND(IF(F53="",1,F53)*M53,2))</f>
        <v>0</v>
      </c>
      <c r="O53" s="39">
        <f>IF(B53="","",IF(C53="","",IF(COUNTIFS($C$5:$C$804,C53)&gt;1,"Duplicate","OK")))</f>
        <v>0</v>
      </c>
      <c r="P53" s="31">
        <f>IF(OR(B53="",E53=""),"",COUNTIFS($B$5:B53,B53))</f>
        <v>0</v>
      </c>
      <c r="Q53" s="23">
        <f>IF(P53="","",B53&amp;"|"&amp;P53)</f>
        <v>0</v>
      </c>
      <c r="R53" s="39">
        <f>IF(B53="","",IF(O53="Duplicate","Duplicate - job billed twice",IF(M53=0,"Add - no price on this line",IF(AND(C53="",E53=""),"Add - what is this line for?","OK"))))</f>
        <v>0</v>
      </c>
    </row>
    <row r="54" spans="1:18">
      <c r="A54" s="43">
        <f>IF(B54="","","IL-"&amp;TEXT(ROW()-4,"0000"))</f>
        <v>0</v>
      </c>
      <c r="B54" s="49" t="s">
        <v>1635</v>
      </c>
      <c r="C54" s="49" t="s">
        <v>1536</v>
      </c>
      <c r="D54" s="18">
        <f>IF(C54="","",IFERROR(INDEX(Jobs!$B$5:$B$604,MATCH(C54,Jobs!$A$5:$A$604,0)),""))</f>
        <v>0</v>
      </c>
      <c r="E54" s="44" t="s">
        <v>172</v>
      </c>
      <c r="F54" s="17">
        <v>1</v>
      </c>
      <c r="H54" s="47" t="s">
        <v>454</v>
      </c>
      <c r="I54" s="44" t="s">
        <v>172</v>
      </c>
      <c r="J54" s="21">
        <f>IF(C54="","",IFERROR(INDEX(Jobs!$AJ$5:$AJ$604,MATCH(C54,Jobs!$A$5:$A$604,0)),"0"))</f>
        <v>0</v>
      </c>
      <c r="K54" s="23">
        <f>IF(C54="","",IFERROR(INDEX(Jobs!$M$5:$M$604,MATCH(C54,Jobs!$A$5:$A$604,0)),""))</f>
        <v>0</v>
      </c>
      <c r="L54" s="51">
        <f>IF(B54="","",IF(E54&lt;&gt;"",E54,IF(C54="","",K54&amp;" - "&amp;TEXT(D54,"d mmm yyyy"))))</f>
        <v>0</v>
      </c>
      <c r="M54" s="21">
        <f>IF(B54="","",IF(G54&lt;&gt;"",G54,IFERROR(J54*1,0)))</f>
        <v>0</v>
      </c>
      <c r="N54" s="21">
        <f>IF(B54="","",ROUND(IF(F54="",1,F54)*M54,2))</f>
        <v>0</v>
      </c>
      <c r="O54" s="39">
        <f>IF(B54="","",IF(C54="","",IF(COUNTIFS($C$5:$C$804,C54)&gt;1,"Duplicate","OK")))</f>
        <v>0</v>
      </c>
      <c r="P54" s="31">
        <f>IF(OR(B54="",E54=""),"",COUNTIFS($B$5:B54,B54))</f>
        <v>0</v>
      </c>
      <c r="Q54" s="23">
        <f>IF(P54="","",B54&amp;"|"&amp;P54)</f>
        <v>0</v>
      </c>
      <c r="R54" s="39">
        <f>IF(B54="","",IF(O54="Duplicate","Duplicate - job billed twice",IF(M54=0,"Add - no price on this line",IF(AND(C54="",E54=""),"Add - what is this line for?","OK"))))</f>
        <v>0</v>
      </c>
    </row>
    <row r="55" spans="1:18">
      <c r="A55" s="43">
        <f>IF(B55="","","IL-"&amp;TEXT(ROW()-4,"0000"))</f>
        <v>0</v>
      </c>
      <c r="B55" s="49" t="s">
        <v>1636</v>
      </c>
      <c r="C55" s="49" t="s">
        <v>1517</v>
      </c>
      <c r="D55" s="18">
        <f>IF(C55="","",IFERROR(INDEX(Jobs!$B$5:$B$604,MATCH(C55,Jobs!$A$5:$A$604,0)),""))</f>
        <v>0</v>
      </c>
      <c r="E55" s="44" t="s">
        <v>172</v>
      </c>
      <c r="F55" s="17">
        <v>1</v>
      </c>
      <c r="H55" s="47" t="s">
        <v>454</v>
      </c>
      <c r="I55" s="44" t="s">
        <v>172</v>
      </c>
      <c r="J55" s="21">
        <f>IF(C55="","",IFERROR(INDEX(Jobs!$AJ$5:$AJ$604,MATCH(C55,Jobs!$A$5:$A$604,0)),"0"))</f>
        <v>0</v>
      </c>
      <c r="K55" s="23">
        <f>IF(C55="","",IFERROR(INDEX(Jobs!$M$5:$M$604,MATCH(C55,Jobs!$A$5:$A$604,0)),""))</f>
        <v>0</v>
      </c>
      <c r="L55" s="51">
        <f>IF(B55="","",IF(E55&lt;&gt;"",E55,IF(C55="","",K55&amp;" - "&amp;TEXT(D55,"d mmm yyyy"))))</f>
        <v>0</v>
      </c>
      <c r="M55" s="21">
        <f>IF(B55="","",IF(G55&lt;&gt;"",G55,IFERROR(J55*1,0)))</f>
        <v>0</v>
      </c>
      <c r="N55" s="21">
        <f>IF(B55="","",ROUND(IF(F55="",1,F55)*M55,2))</f>
        <v>0</v>
      </c>
      <c r="O55" s="39">
        <f>IF(B55="","",IF(C55="","",IF(COUNTIFS($C$5:$C$804,C55)&gt;1,"Duplicate","OK")))</f>
        <v>0</v>
      </c>
      <c r="P55" s="31">
        <f>IF(OR(B55="",E55=""),"",COUNTIFS($B$5:B55,B55))</f>
        <v>0</v>
      </c>
      <c r="Q55" s="23">
        <f>IF(P55="","",B55&amp;"|"&amp;P55)</f>
        <v>0</v>
      </c>
      <c r="R55" s="39">
        <f>IF(B55="","",IF(O55="Duplicate","Duplicate - job billed twice",IF(M55=0,"Add - no price on this line",IF(AND(C55="",E55=""),"Add - what is this line for?","OK"))))</f>
        <v>0</v>
      </c>
    </row>
    <row r="56" spans="1:18">
      <c r="A56" s="43">
        <f>IF(B56="","","IL-"&amp;TEXT(ROW()-4,"0000"))</f>
        <v>0</v>
      </c>
      <c r="B56" s="49" t="s">
        <v>1636</v>
      </c>
      <c r="C56" s="49" t="s">
        <v>1525</v>
      </c>
      <c r="D56" s="18">
        <f>IF(C56="","",IFERROR(INDEX(Jobs!$B$5:$B$604,MATCH(C56,Jobs!$A$5:$A$604,0)),""))</f>
        <v>0</v>
      </c>
      <c r="E56" s="44" t="s">
        <v>172</v>
      </c>
      <c r="F56" s="17">
        <v>1</v>
      </c>
      <c r="H56" s="47" t="s">
        <v>454</v>
      </c>
      <c r="I56" s="44" t="s">
        <v>172</v>
      </c>
      <c r="J56" s="21">
        <f>IF(C56="","",IFERROR(INDEX(Jobs!$AJ$5:$AJ$604,MATCH(C56,Jobs!$A$5:$A$604,0)),"0"))</f>
        <v>0</v>
      </c>
      <c r="K56" s="23">
        <f>IF(C56="","",IFERROR(INDEX(Jobs!$M$5:$M$604,MATCH(C56,Jobs!$A$5:$A$604,0)),""))</f>
        <v>0</v>
      </c>
      <c r="L56" s="51">
        <f>IF(B56="","",IF(E56&lt;&gt;"",E56,IF(C56="","",K56&amp;" - "&amp;TEXT(D56,"d mmm yyyy"))))</f>
        <v>0</v>
      </c>
      <c r="M56" s="21">
        <f>IF(B56="","",IF(G56&lt;&gt;"",G56,IFERROR(J56*1,0)))</f>
        <v>0</v>
      </c>
      <c r="N56" s="21">
        <f>IF(B56="","",ROUND(IF(F56="",1,F56)*M56,2))</f>
        <v>0</v>
      </c>
      <c r="O56" s="39">
        <f>IF(B56="","",IF(C56="","",IF(COUNTIFS($C$5:$C$804,C56)&gt;1,"Duplicate","OK")))</f>
        <v>0</v>
      </c>
      <c r="P56" s="31">
        <f>IF(OR(B56="",E56=""),"",COUNTIFS($B$5:B56,B56))</f>
        <v>0</v>
      </c>
      <c r="Q56" s="23">
        <f>IF(P56="","",B56&amp;"|"&amp;P56)</f>
        <v>0</v>
      </c>
      <c r="R56" s="39">
        <f>IF(B56="","",IF(O56="Duplicate","Duplicate - job billed twice",IF(M56=0,"Add - no price on this line",IF(AND(C56="",E56=""),"Add - what is this line for?","OK"))))</f>
        <v>0</v>
      </c>
    </row>
    <row r="57" spans="1:18">
      <c r="A57" s="43">
        <f>IF(B57="","","IL-"&amp;TEXT(ROW()-4,"0000"))</f>
        <v>0</v>
      </c>
      <c r="B57" s="49" t="s">
        <v>1636</v>
      </c>
      <c r="C57" s="49" t="s">
        <v>1534</v>
      </c>
      <c r="D57" s="18">
        <f>IF(C57="","",IFERROR(INDEX(Jobs!$B$5:$B$604,MATCH(C57,Jobs!$A$5:$A$604,0)),""))</f>
        <v>0</v>
      </c>
      <c r="E57" s="44" t="s">
        <v>172</v>
      </c>
      <c r="F57" s="17">
        <v>1</v>
      </c>
      <c r="H57" s="47" t="s">
        <v>454</v>
      </c>
      <c r="I57" s="44" t="s">
        <v>172</v>
      </c>
      <c r="J57" s="21">
        <f>IF(C57="","",IFERROR(INDEX(Jobs!$AJ$5:$AJ$604,MATCH(C57,Jobs!$A$5:$A$604,0)),"0"))</f>
        <v>0</v>
      </c>
      <c r="K57" s="23">
        <f>IF(C57="","",IFERROR(INDEX(Jobs!$M$5:$M$604,MATCH(C57,Jobs!$A$5:$A$604,0)),""))</f>
        <v>0</v>
      </c>
      <c r="L57" s="51">
        <f>IF(B57="","",IF(E57&lt;&gt;"",E57,IF(C57="","",K57&amp;" - "&amp;TEXT(D57,"d mmm yyyy"))))</f>
        <v>0</v>
      </c>
      <c r="M57" s="21">
        <f>IF(B57="","",IF(G57&lt;&gt;"",G57,IFERROR(J57*1,0)))</f>
        <v>0</v>
      </c>
      <c r="N57" s="21">
        <f>IF(B57="","",ROUND(IF(F57="",1,F57)*M57,2))</f>
        <v>0</v>
      </c>
      <c r="O57" s="39">
        <f>IF(B57="","",IF(C57="","",IF(COUNTIFS($C$5:$C$804,C57)&gt;1,"Duplicate","OK")))</f>
        <v>0</v>
      </c>
      <c r="P57" s="31">
        <f>IF(OR(B57="",E57=""),"",COUNTIFS($B$5:B57,B57))</f>
        <v>0</v>
      </c>
      <c r="Q57" s="23">
        <f>IF(P57="","",B57&amp;"|"&amp;P57)</f>
        <v>0</v>
      </c>
      <c r="R57" s="39">
        <f>IF(B57="","",IF(O57="Duplicate","Duplicate - job billed twice",IF(M57=0,"Add - no price on this line",IF(AND(C57="",E57=""),"Add - what is this line for?","OK"))))</f>
        <v>0</v>
      </c>
    </row>
    <row r="58" spans="1:18">
      <c r="A58" s="43">
        <f>IF(B58="","","IL-"&amp;TEXT(ROW()-4,"0000"))</f>
        <v>0</v>
      </c>
      <c r="B58" s="49" t="s">
        <v>1636</v>
      </c>
      <c r="C58" s="49" t="s">
        <v>1542</v>
      </c>
      <c r="D58" s="18">
        <f>IF(C58="","",IFERROR(INDEX(Jobs!$B$5:$B$604,MATCH(C58,Jobs!$A$5:$A$604,0)),""))</f>
        <v>0</v>
      </c>
      <c r="E58" s="44" t="s">
        <v>172</v>
      </c>
      <c r="F58" s="17">
        <v>1</v>
      </c>
      <c r="H58" s="47" t="s">
        <v>454</v>
      </c>
      <c r="I58" s="44" t="s">
        <v>172</v>
      </c>
      <c r="J58" s="21">
        <f>IF(C58="","",IFERROR(INDEX(Jobs!$AJ$5:$AJ$604,MATCH(C58,Jobs!$A$5:$A$604,0)),"0"))</f>
        <v>0</v>
      </c>
      <c r="K58" s="23">
        <f>IF(C58="","",IFERROR(INDEX(Jobs!$M$5:$M$604,MATCH(C58,Jobs!$A$5:$A$604,0)),""))</f>
        <v>0</v>
      </c>
      <c r="L58" s="51">
        <f>IF(B58="","",IF(E58&lt;&gt;"",E58,IF(C58="","",K58&amp;" - "&amp;TEXT(D58,"d mmm yyyy"))))</f>
        <v>0</v>
      </c>
      <c r="M58" s="21">
        <f>IF(B58="","",IF(G58&lt;&gt;"",G58,IFERROR(J58*1,0)))</f>
        <v>0</v>
      </c>
      <c r="N58" s="21">
        <f>IF(B58="","",ROUND(IF(F58="",1,F58)*M58,2))</f>
        <v>0</v>
      </c>
      <c r="O58" s="39">
        <f>IF(B58="","",IF(C58="","",IF(COUNTIFS($C$5:$C$804,C58)&gt;1,"Duplicate","OK")))</f>
        <v>0</v>
      </c>
      <c r="P58" s="31">
        <f>IF(OR(B58="",E58=""),"",COUNTIFS($B$5:B58,B58))</f>
        <v>0</v>
      </c>
      <c r="Q58" s="23">
        <f>IF(P58="","",B58&amp;"|"&amp;P58)</f>
        <v>0</v>
      </c>
      <c r="R58" s="39">
        <f>IF(B58="","",IF(O58="Duplicate","Duplicate - job billed twice",IF(M58=0,"Add - no price on this line",IF(AND(C58="",E58=""),"Add - what is this line for?","OK"))))</f>
        <v>0</v>
      </c>
    </row>
    <row r="59" spans="1:18">
      <c r="A59" s="43">
        <f>IF(B59="","","IL-"&amp;TEXT(ROW()-4,"0000"))</f>
        <v>0</v>
      </c>
      <c r="B59" s="49" t="s">
        <v>1637</v>
      </c>
      <c r="C59" s="49" t="s">
        <v>1538</v>
      </c>
      <c r="D59" s="18">
        <f>IF(C59="","",IFERROR(INDEX(Jobs!$B$5:$B$604,MATCH(C59,Jobs!$A$5:$A$604,0)),""))</f>
        <v>0</v>
      </c>
      <c r="E59" s="44" t="s">
        <v>172</v>
      </c>
      <c r="F59" s="17">
        <v>1</v>
      </c>
      <c r="H59" s="47" t="s">
        <v>454</v>
      </c>
      <c r="I59" s="44" t="s">
        <v>172</v>
      </c>
      <c r="J59" s="21">
        <f>IF(C59="","",IFERROR(INDEX(Jobs!$AJ$5:$AJ$604,MATCH(C59,Jobs!$A$5:$A$604,0)),"0"))</f>
        <v>0</v>
      </c>
      <c r="K59" s="23">
        <f>IF(C59="","",IFERROR(INDEX(Jobs!$M$5:$M$604,MATCH(C59,Jobs!$A$5:$A$604,0)),""))</f>
        <v>0</v>
      </c>
      <c r="L59" s="51">
        <f>IF(B59="","",IF(E59&lt;&gt;"",E59,IF(C59="","",K59&amp;" - "&amp;TEXT(D59,"d mmm yyyy"))))</f>
        <v>0</v>
      </c>
      <c r="M59" s="21">
        <f>IF(B59="","",IF(G59&lt;&gt;"",G59,IFERROR(J59*1,0)))</f>
        <v>0</v>
      </c>
      <c r="N59" s="21">
        <f>IF(B59="","",ROUND(IF(F59="",1,F59)*M59,2))</f>
        <v>0</v>
      </c>
      <c r="O59" s="39">
        <f>IF(B59="","",IF(C59="","",IF(COUNTIFS($C$5:$C$804,C59)&gt;1,"Duplicate","OK")))</f>
        <v>0</v>
      </c>
      <c r="P59" s="31">
        <f>IF(OR(B59="",E59=""),"",COUNTIFS($B$5:B59,B59))</f>
        <v>0</v>
      </c>
      <c r="Q59" s="23">
        <f>IF(P59="","",B59&amp;"|"&amp;P59)</f>
        <v>0</v>
      </c>
      <c r="R59" s="39">
        <f>IF(B59="","",IF(O59="Duplicate","Duplicate - job billed twice",IF(M59=0,"Add - no price on this line",IF(AND(C59="",E59=""),"Add - what is this line for?","OK"))))</f>
        <v>0</v>
      </c>
    </row>
    <row r="60" spans="1:18">
      <c r="A60" s="43">
        <f>IF(B60="","","IL-"&amp;TEXT(ROW()-4,"0000"))</f>
        <v>0</v>
      </c>
      <c r="B60" s="49" t="s">
        <v>1638</v>
      </c>
      <c r="C60" s="49" t="s">
        <v>1523</v>
      </c>
      <c r="D60" s="18">
        <f>IF(C60="","",IFERROR(INDEX(Jobs!$B$5:$B$604,MATCH(C60,Jobs!$A$5:$A$604,0)),""))</f>
        <v>0</v>
      </c>
      <c r="E60" s="44" t="s">
        <v>172</v>
      </c>
      <c r="F60" s="17">
        <v>1</v>
      </c>
      <c r="H60" s="47" t="s">
        <v>454</v>
      </c>
      <c r="I60" s="44" t="s">
        <v>172</v>
      </c>
      <c r="J60" s="21">
        <f>IF(C60="","",IFERROR(INDEX(Jobs!$AJ$5:$AJ$604,MATCH(C60,Jobs!$A$5:$A$604,0)),"0"))</f>
        <v>0</v>
      </c>
      <c r="K60" s="23">
        <f>IF(C60="","",IFERROR(INDEX(Jobs!$M$5:$M$604,MATCH(C60,Jobs!$A$5:$A$604,0)),""))</f>
        <v>0</v>
      </c>
      <c r="L60" s="51">
        <f>IF(B60="","",IF(E60&lt;&gt;"",E60,IF(C60="","",K60&amp;" - "&amp;TEXT(D60,"d mmm yyyy"))))</f>
        <v>0</v>
      </c>
      <c r="M60" s="21">
        <f>IF(B60="","",IF(G60&lt;&gt;"",G60,IFERROR(J60*1,0)))</f>
        <v>0</v>
      </c>
      <c r="N60" s="21">
        <f>IF(B60="","",ROUND(IF(F60="",1,F60)*M60,2))</f>
        <v>0</v>
      </c>
      <c r="O60" s="39">
        <f>IF(B60="","",IF(C60="","",IF(COUNTIFS($C$5:$C$804,C60)&gt;1,"Duplicate","OK")))</f>
        <v>0</v>
      </c>
      <c r="P60" s="31">
        <f>IF(OR(B60="",E60=""),"",COUNTIFS($B$5:B60,B60))</f>
        <v>0</v>
      </c>
      <c r="Q60" s="23">
        <f>IF(P60="","",B60&amp;"|"&amp;P60)</f>
        <v>0</v>
      </c>
      <c r="R60" s="39">
        <f>IF(B60="","",IF(O60="Duplicate","Duplicate - job billed twice",IF(M60=0,"Add - no price on this line",IF(AND(C60="",E60=""),"Add - what is this line for?","OK"))))</f>
        <v>0</v>
      </c>
    </row>
    <row r="61" spans="1:18">
      <c r="A61" s="43">
        <f>IF(B61="","","IL-"&amp;TEXT(ROW()-4,"0000"))</f>
        <v>0</v>
      </c>
      <c r="B61" s="49" t="s">
        <v>1638</v>
      </c>
      <c r="C61" s="49" t="s">
        <v>1541</v>
      </c>
      <c r="D61" s="18">
        <f>IF(C61="","",IFERROR(INDEX(Jobs!$B$5:$B$604,MATCH(C61,Jobs!$A$5:$A$604,0)),""))</f>
        <v>0</v>
      </c>
      <c r="E61" s="44" t="s">
        <v>172</v>
      </c>
      <c r="F61" s="17">
        <v>1</v>
      </c>
      <c r="H61" s="47" t="s">
        <v>454</v>
      </c>
      <c r="I61" s="44" t="s">
        <v>172</v>
      </c>
      <c r="J61" s="21">
        <f>IF(C61="","",IFERROR(INDEX(Jobs!$AJ$5:$AJ$604,MATCH(C61,Jobs!$A$5:$A$604,0)),"0"))</f>
        <v>0</v>
      </c>
      <c r="K61" s="23">
        <f>IF(C61="","",IFERROR(INDEX(Jobs!$M$5:$M$604,MATCH(C61,Jobs!$A$5:$A$604,0)),""))</f>
        <v>0</v>
      </c>
      <c r="L61" s="51">
        <f>IF(B61="","",IF(E61&lt;&gt;"",E61,IF(C61="","",K61&amp;" - "&amp;TEXT(D61,"d mmm yyyy"))))</f>
        <v>0</v>
      </c>
      <c r="M61" s="21">
        <f>IF(B61="","",IF(G61&lt;&gt;"",G61,IFERROR(J61*1,0)))</f>
        <v>0</v>
      </c>
      <c r="N61" s="21">
        <f>IF(B61="","",ROUND(IF(F61="",1,F61)*M61,2))</f>
        <v>0</v>
      </c>
      <c r="O61" s="39">
        <f>IF(B61="","",IF(C61="","",IF(COUNTIFS($C$5:$C$804,C61)&gt;1,"Duplicate","OK")))</f>
        <v>0</v>
      </c>
      <c r="P61" s="31">
        <f>IF(OR(B61="",E61=""),"",COUNTIFS($B$5:B61,B61))</f>
        <v>0</v>
      </c>
      <c r="Q61" s="23">
        <f>IF(P61="","",B61&amp;"|"&amp;P61)</f>
        <v>0</v>
      </c>
      <c r="R61" s="39">
        <f>IF(B61="","",IF(O61="Duplicate","Duplicate - job billed twice",IF(M61=0,"Add - no price on this line",IF(AND(C61="",E61=""),"Add - what is this line for?","OK"))))</f>
        <v>0</v>
      </c>
    </row>
    <row r="62" spans="1:18">
      <c r="A62" s="43">
        <f>IF(B62="","","IL-"&amp;TEXT(ROW()-4,"0000"))</f>
        <v>0</v>
      </c>
      <c r="B62" s="49" t="s">
        <v>1639</v>
      </c>
      <c r="C62" s="49" t="s">
        <v>1518</v>
      </c>
      <c r="D62" s="18">
        <f>IF(C62="","",IFERROR(INDEX(Jobs!$B$5:$B$604,MATCH(C62,Jobs!$A$5:$A$604,0)),""))</f>
        <v>0</v>
      </c>
      <c r="E62" s="44" t="s">
        <v>172</v>
      </c>
      <c r="F62" s="17">
        <v>1</v>
      </c>
      <c r="H62" s="47" t="s">
        <v>454</v>
      </c>
      <c r="I62" s="44" t="s">
        <v>172</v>
      </c>
      <c r="J62" s="21">
        <f>IF(C62="","",IFERROR(INDEX(Jobs!$AJ$5:$AJ$604,MATCH(C62,Jobs!$A$5:$A$604,0)),"0"))</f>
        <v>0</v>
      </c>
      <c r="K62" s="23">
        <f>IF(C62="","",IFERROR(INDEX(Jobs!$M$5:$M$604,MATCH(C62,Jobs!$A$5:$A$604,0)),""))</f>
        <v>0</v>
      </c>
      <c r="L62" s="51">
        <f>IF(B62="","",IF(E62&lt;&gt;"",E62,IF(C62="","",K62&amp;" - "&amp;TEXT(D62,"d mmm yyyy"))))</f>
        <v>0</v>
      </c>
      <c r="M62" s="21">
        <f>IF(B62="","",IF(G62&lt;&gt;"",G62,IFERROR(J62*1,0)))</f>
        <v>0</v>
      </c>
      <c r="N62" s="21">
        <f>IF(B62="","",ROUND(IF(F62="",1,F62)*M62,2))</f>
        <v>0</v>
      </c>
      <c r="O62" s="39">
        <f>IF(B62="","",IF(C62="","",IF(COUNTIFS($C$5:$C$804,C62)&gt;1,"Duplicate","OK")))</f>
        <v>0</v>
      </c>
      <c r="P62" s="31">
        <f>IF(OR(B62="",E62=""),"",COUNTIFS($B$5:B62,B62))</f>
        <v>0</v>
      </c>
      <c r="Q62" s="23">
        <f>IF(P62="","",B62&amp;"|"&amp;P62)</f>
        <v>0</v>
      </c>
      <c r="R62" s="39">
        <f>IF(B62="","",IF(O62="Duplicate","Duplicate - job billed twice",IF(M62=0,"Add - no price on this line",IF(AND(C62="",E62=""),"Add - what is this line for?","OK"))))</f>
        <v>0</v>
      </c>
    </row>
    <row r="63" spans="1:18">
      <c r="A63" s="43">
        <f>IF(B63="","","IL-"&amp;TEXT(ROW()-4,"0000"))</f>
        <v>0</v>
      </c>
      <c r="B63" s="49" t="s">
        <v>1639</v>
      </c>
      <c r="C63" s="49" t="s">
        <v>1535</v>
      </c>
      <c r="D63" s="18">
        <f>IF(C63="","",IFERROR(INDEX(Jobs!$B$5:$B$604,MATCH(C63,Jobs!$A$5:$A$604,0)),""))</f>
        <v>0</v>
      </c>
      <c r="E63" s="44" t="s">
        <v>172</v>
      </c>
      <c r="F63" s="17">
        <v>1</v>
      </c>
      <c r="H63" s="47" t="s">
        <v>454</v>
      </c>
      <c r="I63" s="44" t="s">
        <v>172</v>
      </c>
      <c r="J63" s="21">
        <f>IF(C63="","",IFERROR(INDEX(Jobs!$AJ$5:$AJ$604,MATCH(C63,Jobs!$A$5:$A$604,0)),"0"))</f>
        <v>0</v>
      </c>
      <c r="K63" s="23">
        <f>IF(C63="","",IFERROR(INDEX(Jobs!$M$5:$M$604,MATCH(C63,Jobs!$A$5:$A$604,0)),""))</f>
        <v>0</v>
      </c>
      <c r="L63" s="51">
        <f>IF(B63="","",IF(E63&lt;&gt;"",E63,IF(C63="","",K63&amp;" - "&amp;TEXT(D63,"d mmm yyyy"))))</f>
        <v>0</v>
      </c>
      <c r="M63" s="21">
        <f>IF(B63="","",IF(G63&lt;&gt;"",G63,IFERROR(J63*1,0)))</f>
        <v>0</v>
      </c>
      <c r="N63" s="21">
        <f>IF(B63="","",ROUND(IF(F63="",1,F63)*M63,2))</f>
        <v>0</v>
      </c>
      <c r="O63" s="39">
        <f>IF(B63="","",IF(C63="","",IF(COUNTIFS($C$5:$C$804,C63)&gt;1,"Duplicate","OK")))</f>
        <v>0</v>
      </c>
      <c r="P63" s="31">
        <f>IF(OR(B63="",E63=""),"",COUNTIFS($B$5:B63,B63))</f>
        <v>0</v>
      </c>
      <c r="Q63" s="23">
        <f>IF(P63="","",B63&amp;"|"&amp;P63)</f>
        <v>0</v>
      </c>
      <c r="R63" s="39">
        <f>IF(B63="","",IF(O63="Duplicate","Duplicate - job billed twice",IF(M63=0,"Add - no price on this line",IF(AND(C63="",E63=""),"Add - what is this line for?","OK"))))</f>
        <v>0</v>
      </c>
    </row>
    <row r="64" spans="1:18">
      <c r="A64" s="43">
        <f>IF(B64="","","IL-"&amp;TEXT(ROW()-4,"0000"))</f>
        <v>0</v>
      </c>
      <c r="B64" s="49" t="s">
        <v>1640</v>
      </c>
      <c r="C64" s="49" t="s">
        <v>1528</v>
      </c>
      <c r="D64" s="18">
        <f>IF(C64="","",IFERROR(INDEX(Jobs!$B$5:$B$604,MATCH(C64,Jobs!$A$5:$A$604,0)),""))</f>
        <v>0</v>
      </c>
      <c r="E64" s="44" t="s">
        <v>172</v>
      </c>
      <c r="F64" s="17">
        <v>1</v>
      </c>
      <c r="H64" s="47" t="s">
        <v>454</v>
      </c>
      <c r="I64" s="44" t="s">
        <v>172</v>
      </c>
      <c r="J64" s="21">
        <f>IF(C64="","",IFERROR(INDEX(Jobs!$AJ$5:$AJ$604,MATCH(C64,Jobs!$A$5:$A$604,0)),"0"))</f>
        <v>0</v>
      </c>
      <c r="K64" s="23">
        <f>IF(C64="","",IFERROR(INDEX(Jobs!$M$5:$M$604,MATCH(C64,Jobs!$A$5:$A$604,0)),""))</f>
        <v>0</v>
      </c>
      <c r="L64" s="51">
        <f>IF(B64="","",IF(E64&lt;&gt;"",E64,IF(C64="","",K64&amp;" - "&amp;TEXT(D64,"d mmm yyyy"))))</f>
        <v>0</v>
      </c>
      <c r="M64" s="21">
        <f>IF(B64="","",IF(G64&lt;&gt;"",G64,IFERROR(J64*1,0)))</f>
        <v>0</v>
      </c>
      <c r="N64" s="21">
        <f>IF(B64="","",ROUND(IF(F64="",1,F64)*M64,2))</f>
        <v>0</v>
      </c>
      <c r="O64" s="39">
        <f>IF(B64="","",IF(C64="","",IF(COUNTIFS($C$5:$C$804,C64)&gt;1,"Duplicate","OK")))</f>
        <v>0</v>
      </c>
      <c r="P64" s="31">
        <f>IF(OR(B64="",E64=""),"",COUNTIFS($B$5:B64,B64))</f>
        <v>0</v>
      </c>
      <c r="Q64" s="23">
        <f>IF(P64="","",B64&amp;"|"&amp;P64)</f>
        <v>0</v>
      </c>
      <c r="R64" s="39">
        <f>IF(B64="","",IF(O64="Duplicate","Duplicate - job billed twice",IF(M64=0,"Add - no price on this line",IF(AND(C64="",E64=""),"Add - what is this line for?","OK"))))</f>
        <v>0</v>
      </c>
    </row>
    <row r="65" spans="1:18">
      <c r="A65" s="43">
        <f>IF(B65="","","IL-"&amp;TEXT(ROW()-4,"0000"))</f>
        <v>0</v>
      </c>
      <c r="B65" s="49" t="s">
        <v>1641</v>
      </c>
      <c r="C65" s="49" t="s">
        <v>1516</v>
      </c>
      <c r="D65" s="18">
        <f>IF(C65="","",IFERROR(INDEX(Jobs!$B$5:$B$604,MATCH(C65,Jobs!$A$5:$A$604,0)),""))</f>
        <v>0</v>
      </c>
      <c r="E65" s="44" t="s">
        <v>172</v>
      </c>
      <c r="F65" s="17">
        <v>1</v>
      </c>
      <c r="H65" s="47" t="s">
        <v>454</v>
      </c>
      <c r="I65" s="44" t="s">
        <v>172</v>
      </c>
      <c r="J65" s="21">
        <f>IF(C65="","",IFERROR(INDEX(Jobs!$AJ$5:$AJ$604,MATCH(C65,Jobs!$A$5:$A$604,0)),"0"))</f>
        <v>0</v>
      </c>
      <c r="K65" s="23">
        <f>IF(C65="","",IFERROR(INDEX(Jobs!$M$5:$M$604,MATCH(C65,Jobs!$A$5:$A$604,0)),""))</f>
        <v>0</v>
      </c>
      <c r="L65" s="51">
        <f>IF(B65="","",IF(E65&lt;&gt;"",E65,IF(C65="","",K65&amp;" - "&amp;TEXT(D65,"d mmm yyyy"))))</f>
        <v>0</v>
      </c>
      <c r="M65" s="21">
        <f>IF(B65="","",IF(G65&lt;&gt;"",G65,IFERROR(J65*1,0)))</f>
        <v>0</v>
      </c>
      <c r="N65" s="21">
        <f>IF(B65="","",ROUND(IF(F65="",1,F65)*M65,2))</f>
        <v>0</v>
      </c>
      <c r="O65" s="39">
        <f>IF(B65="","",IF(C65="","",IF(COUNTIFS($C$5:$C$804,C65)&gt;1,"Duplicate","OK")))</f>
        <v>0</v>
      </c>
      <c r="P65" s="31">
        <f>IF(OR(B65="",E65=""),"",COUNTIFS($B$5:B65,B65))</f>
        <v>0</v>
      </c>
      <c r="Q65" s="23">
        <f>IF(P65="","",B65&amp;"|"&amp;P65)</f>
        <v>0</v>
      </c>
      <c r="R65" s="39">
        <f>IF(B65="","",IF(O65="Duplicate","Duplicate - job billed twice",IF(M65=0,"Add - no price on this line",IF(AND(C65="",E65=""),"Add - what is this line for?","OK"))))</f>
        <v>0</v>
      </c>
    </row>
    <row r="66" spans="1:18">
      <c r="A66" s="43">
        <f>IF(B66="","","IL-"&amp;TEXT(ROW()-4,"0000"))</f>
        <v>0</v>
      </c>
      <c r="B66" s="49" t="s">
        <v>1641</v>
      </c>
      <c r="C66" s="49" t="s">
        <v>1524</v>
      </c>
      <c r="D66" s="18">
        <f>IF(C66="","",IFERROR(INDEX(Jobs!$B$5:$B$604,MATCH(C66,Jobs!$A$5:$A$604,0)),""))</f>
        <v>0</v>
      </c>
      <c r="E66" s="44" t="s">
        <v>172</v>
      </c>
      <c r="F66" s="17">
        <v>1</v>
      </c>
      <c r="H66" s="47" t="s">
        <v>454</v>
      </c>
      <c r="I66" s="44" t="s">
        <v>172</v>
      </c>
      <c r="J66" s="21">
        <f>IF(C66="","",IFERROR(INDEX(Jobs!$AJ$5:$AJ$604,MATCH(C66,Jobs!$A$5:$A$604,0)),"0"))</f>
        <v>0</v>
      </c>
      <c r="K66" s="23">
        <f>IF(C66="","",IFERROR(INDEX(Jobs!$M$5:$M$604,MATCH(C66,Jobs!$A$5:$A$604,0)),""))</f>
        <v>0</v>
      </c>
      <c r="L66" s="51">
        <f>IF(B66="","",IF(E66&lt;&gt;"",E66,IF(C66="","",K66&amp;" - "&amp;TEXT(D66,"d mmm yyyy"))))</f>
        <v>0</v>
      </c>
      <c r="M66" s="21">
        <f>IF(B66="","",IF(G66&lt;&gt;"",G66,IFERROR(J66*1,0)))</f>
        <v>0</v>
      </c>
      <c r="N66" s="21">
        <f>IF(B66="","",ROUND(IF(F66="",1,F66)*M66,2))</f>
        <v>0</v>
      </c>
      <c r="O66" s="39">
        <f>IF(B66="","",IF(C66="","",IF(COUNTIFS($C$5:$C$804,C66)&gt;1,"Duplicate","OK")))</f>
        <v>0</v>
      </c>
      <c r="P66" s="31">
        <f>IF(OR(B66="",E66=""),"",COUNTIFS($B$5:B66,B66))</f>
        <v>0</v>
      </c>
      <c r="Q66" s="23">
        <f>IF(P66="","",B66&amp;"|"&amp;P66)</f>
        <v>0</v>
      </c>
      <c r="R66" s="39">
        <f>IF(B66="","",IF(O66="Duplicate","Duplicate - job billed twice",IF(M66=0,"Add - no price on this line",IF(AND(C66="",E66=""),"Add - what is this line for?","OK"))))</f>
        <v>0</v>
      </c>
    </row>
    <row r="67" spans="1:18">
      <c r="A67" s="43">
        <f>IF(B67="","","IL-"&amp;TEXT(ROW()-4,"0000"))</f>
        <v>0</v>
      </c>
      <c r="B67" s="49" t="s">
        <v>1641</v>
      </c>
      <c r="C67" s="49" t="s">
        <v>1531</v>
      </c>
      <c r="D67" s="18">
        <f>IF(C67="","",IFERROR(INDEX(Jobs!$B$5:$B$604,MATCH(C67,Jobs!$A$5:$A$604,0)),""))</f>
        <v>0</v>
      </c>
      <c r="E67" s="44" t="s">
        <v>172</v>
      </c>
      <c r="F67" s="17">
        <v>1</v>
      </c>
      <c r="H67" s="47" t="s">
        <v>454</v>
      </c>
      <c r="I67" s="44" t="s">
        <v>172</v>
      </c>
      <c r="J67" s="21">
        <f>IF(C67="","",IFERROR(INDEX(Jobs!$AJ$5:$AJ$604,MATCH(C67,Jobs!$A$5:$A$604,0)),"0"))</f>
        <v>0</v>
      </c>
      <c r="K67" s="23">
        <f>IF(C67="","",IFERROR(INDEX(Jobs!$M$5:$M$604,MATCH(C67,Jobs!$A$5:$A$604,0)),""))</f>
        <v>0</v>
      </c>
      <c r="L67" s="51">
        <f>IF(B67="","",IF(E67&lt;&gt;"",E67,IF(C67="","",K67&amp;" - "&amp;TEXT(D67,"d mmm yyyy"))))</f>
        <v>0</v>
      </c>
      <c r="M67" s="21">
        <f>IF(B67="","",IF(G67&lt;&gt;"",G67,IFERROR(J67*1,0)))</f>
        <v>0</v>
      </c>
      <c r="N67" s="21">
        <f>IF(B67="","",ROUND(IF(F67="",1,F67)*M67,2))</f>
        <v>0</v>
      </c>
      <c r="O67" s="39">
        <f>IF(B67="","",IF(C67="","",IF(COUNTIFS($C$5:$C$804,C67)&gt;1,"Duplicate","OK")))</f>
        <v>0</v>
      </c>
      <c r="P67" s="31">
        <f>IF(OR(B67="",E67=""),"",COUNTIFS($B$5:B67,B67))</f>
        <v>0</v>
      </c>
      <c r="Q67" s="23">
        <f>IF(P67="","",B67&amp;"|"&amp;P67)</f>
        <v>0</v>
      </c>
      <c r="R67" s="39">
        <f>IF(B67="","",IF(O67="Duplicate","Duplicate - job billed twice",IF(M67=0,"Add - no price on this line",IF(AND(C67="",E67=""),"Add - what is this line for?","OK"))))</f>
        <v>0</v>
      </c>
    </row>
    <row r="68" spans="1:18">
      <c r="A68" s="43">
        <f>IF(B68="","","IL-"&amp;TEXT(ROW()-4,"0000"))</f>
        <v>0</v>
      </c>
      <c r="B68" s="49" t="s">
        <v>1641</v>
      </c>
      <c r="C68" s="49" t="s">
        <v>1207</v>
      </c>
      <c r="D68" s="18">
        <f>IF(C68="","",IFERROR(INDEX(Jobs!$B$5:$B$604,MATCH(C68,Jobs!$A$5:$A$604,0)),""))</f>
        <v>0</v>
      </c>
      <c r="E68" s="44" t="s">
        <v>172</v>
      </c>
      <c r="F68" s="17">
        <v>1</v>
      </c>
      <c r="H68" s="47" t="s">
        <v>454</v>
      </c>
      <c r="I68" s="44" t="s">
        <v>172</v>
      </c>
      <c r="J68" s="21">
        <f>IF(C68="","",IFERROR(INDEX(Jobs!$AJ$5:$AJ$604,MATCH(C68,Jobs!$A$5:$A$604,0)),"0"))</f>
        <v>0</v>
      </c>
      <c r="K68" s="23">
        <f>IF(C68="","",IFERROR(INDEX(Jobs!$M$5:$M$604,MATCH(C68,Jobs!$A$5:$A$604,0)),""))</f>
        <v>0</v>
      </c>
      <c r="L68" s="51">
        <f>IF(B68="","",IF(E68&lt;&gt;"",E68,IF(C68="","",K68&amp;" - "&amp;TEXT(D68,"d mmm yyyy"))))</f>
        <v>0</v>
      </c>
      <c r="M68" s="21">
        <f>IF(B68="","",IF(G68&lt;&gt;"",G68,IFERROR(J68*1,0)))</f>
        <v>0</v>
      </c>
      <c r="N68" s="21">
        <f>IF(B68="","",ROUND(IF(F68="",1,F68)*M68,2))</f>
        <v>0</v>
      </c>
      <c r="O68" s="39">
        <f>IF(B68="","",IF(C68="","",IF(COUNTIFS($C$5:$C$804,C68)&gt;1,"Duplicate","OK")))</f>
        <v>0</v>
      </c>
      <c r="P68" s="31">
        <f>IF(OR(B68="",E68=""),"",COUNTIFS($B$5:B68,B68))</f>
        <v>0</v>
      </c>
      <c r="Q68" s="23">
        <f>IF(P68="","",B68&amp;"|"&amp;P68)</f>
        <v>0</v>
      </c>
      <c r="R68" s="39">
        <f>IF(B68="","",IF(O68="Duplicate","Duplicate - job billed twice",IF(M68=0,"Add - no price on this line",IF(AND(C68="",E68=""),"Add - what is this line for?","OK"))))</f>
        <v>0</v>
      </c>
    </row>
    <row r="69" spans="1:18">
      <c r="A69" s="43">
        <f>IF(B69="","","IL-"&amp;TEXT(ROW()-4,"0000"))</f>
        <v>0</v>
      </c>
      <c r="B69" s="49" t="s">
        <v>1642</v>
      </c>
      <c r="C69" s="49" t="s">
        <v>1521</v>
      </c>
      <c r="D69" s="18">
        <f>IF(C69="","",IFERROR(INDEX(Jobs!$B$5:$B$604,MATCH(C69,Jobs!$A$5:$A$604,0)),""))</f>
        <v>0</v>
      </c>
      <c r="E69" s="44" t="s">
        <v>172</v>
      </c>
      <c r="F69" s="17">
        <v>1</v>
      </c>
      <c r="H69" s="47" t="s">
        <v>454</v>
      </c>
      <c r="I69" s="44" t="s">
        <v>172</v>
      </c>
      <c r="J69" s="21">
        <f>IF(C69="","",IFERROR(INDEX(Jobs!$AJ$5:$AJ$604,MATCH(C69,Jobs!$A$5:$A$604,0)),"0"))</f>
        <v>0</v>
      </c>
      <c r="K69" s="23">
        <f>IF(C69="","",IFERROR(INDEX(Jobs!$M$5:$M$604,MATCH(C69,Jobs!$A$5:$A$604,0)),""))</f>
        <v>0</v>
      </c>
      <c r="L69" s="51">
        <f>IF(B69="","",IF(E69&lt;&gt;"",E69,IF(C69="","",K69&amp;" - "&amp;TEXT(D69,"d mmm yyyy"))))</f>
        <v>0</v>
      </c>
      <c r="M69" s="21">
        <f>IF(B69="","",IF(G69&lt;&gt;"",G69,IFERROR(J69*1,0)))</f>
        <v>0</v>
      </c>
      <c r="N69" s="21">
        <f>IF(B69="","",ROUND(IF(F69="",1,F69)*M69,2))</f>
        <v>0</v>
      </c>
      <c r="O69" s="39">
        <f>IF(B69="","",IF(C69="","",IF(COUNTIFS($C$5:$C$804,C69)&gt;1,"Duplicate","OK")))</f>
        <v>0</v>
      </c>
      <c r="P69" s="31">
        <f>IF(OR(B69="",E69=""),"",COUNTIFS($B$5:B69,B69))</f>
        <v>0</v>
      </c>
      <c r="Q69" s="23">
        <f>IF(P69="","",B69&amp;"|"&amp;P69)</f>
        <v>0</v>
      </c>
      <c r="R69" s="39">
        <f>IF(B69="","",IF(O69="Duplicate","Duplicate - job billed twice",IF(M69=0,"Add - no price on this line",IF(AND(C69="",E69=""),"Add - what is this line for?","OK"))))</f>
        <v>0</v>
      </c>
    </row>
    <row r="70" spans="1:18">
      <c r="A70" s="43">
        <f>IF(B70="","","IL-"&amp;TEXT(ROW()-4,"0000"))</f>
        <v>0</v>
      </c>
      <c r="B70" s="49" t="s">
        <v>1642</v>
      </c>
      <c r="C70" s="49" t="s">
        <v>1522</v>
      </c>
      <c r="D70" s="18">
        <f>IF(C70="","",IFERROR(INDEX(Jobs!$B$5:$B$604,MATCH(C70,Jobs!$A$5:$A$604,0)),""))</f>
        <v>0</v>
      </c>
      <c r="E70" s="44" t="s">
        <v>172</v>
      </c>
      <c r="F70" s="17">
        <v>1</v>
      </c>
      <c r="H70" s="47" t="s">
        <v>454</v>
      </c>
      <c r="I70" s="44" t="s">
        <v>172</v>
      </c>
      <c r="J70" s="21">
        <f>IF(C70="","",IFERROR(INDEX(Jobs!$AJ$5:$AJ$604,MATCH(C70,Jobs!$A$5:$A$604,0)),"0"))</f>
        <v>0</v>
      </c>
      <c r="K70" s="23">
        <f>IF(C70="","",IFERROR(INDEX(Jobs!$M$5:$M$604,MATCH(C70,Jobs!$A$5:$A$604,0)),""))</f>
        <v>0</v>
      </c>
      <c r="L70" s="51">
        <f>IF(B70="","",IF(E70&lt;&gt;"",E70,IF(C70="","",K70&amp;" - "&amp;TEXT(D70,"d mmm yyyy"))))</f>
        <v>0</v>
      </c>
      <c r="M70" s="21">
        <f>IF(B70="","",IF(G70&lt;&gt;"",G70,IFERROR(J70*1,0)))</f>
        <v>0</v>
      </c>
      <c r="N70" s="21">
        <f>IF(B70="","",ROUND(IF(F70="",1,F70)*M70,2))</f>
        <v>0</v>
      </c>
      <c r="O70" s="39">
        <f>IF(B70="","",IF(C70="","",IF(COUNTIFS($C$5:$C$804,C70)&gt;1,"Duplicate","OK")))</f>
        <v>0</v>
      </c>
      <c r="P70" s="31">
        <f>IF(OR(B70="",E70=""),"",COUNTIFS($B$5:B70,B70))</f>
        <v>0</v>
      </c>
      <c r="Q70" s="23">
        <f>IF(P70="","",B70&amp;"|"&amp;P70)</f>
        <v>0</v>
      </c>
      <c r="R70" s="39">
        <f>IF(B70="","",IF(O70="Duplicate","Duplicate - job billed twice",IF(M70=0,"Add - no price on this line",IF(AND(C70="",E70=""),"Add - what is this line for?","OK"))))</f>
        <v>0</v>
      </c>
    </row>
    <row r="71" spans="1:18">
      <c r="A71" s="43">
        <f>IF(B71="","","IL-"&amp;TEXT(ROW()-4,"0000"))</f>
        <v>0</v>
      </c>
      <c r="B71" s="49" t="s">
        <v>1642</v>
      </c>
      <c r="C71" s="49" t="s">
        <v>1539</v>
      </c>
      <c r="D71" s="18">
        <f>IF(C71="","",IFERROR(INDEX(Jobs!$B$5:$B$604,MATCH(C71,Jobs!$A$5:$A$604,0)),""))</f>
        <v>0</v>
      </c>
      <c r="E71" s="44" t="s">
        <v>172</v>
      </c>
      <c r="F71" s="17">
        <v>1</v>
      </c>
      <c r="H71" s="47" t="s">
        <v>454</v>
      </c>
      <c r="I71" s="44" t="s">
        <v>172</v>
      </c>
      <c r="J71" s="21">
        <f>IF(C71="","",IFERROR(INDEX(Jobs!$AJ$5:$AJ$604,MATCH(C71,Jobs!$A$5:$A$604,0)),"0"))</f>
        <v>0</v>
      </c>
      <c r="K71" s="23">
        <f>IF(C71="","",IFERROR(INDEX(Jobs!$M$5:$M$604,MATCH(C71,Jobs!$A$5:$A$604,0)),""))</f>
        <v>0</v>
      </c>
      <c r="L71" s="51">
        <f>IF(B71="","",IF(E71&lt;&gt;"",E71,IF(C71="","",K71&amp;" - "&amp;TEXT(D71,"d mmm yyyy"))))</f>
        <v>0</v>
      </c>
      <c r="M71" s="21">
        <f>IF(B71="","",IF(G71&lt;&gt;"",G71,IFERROR(J71*1,0)))</f>
        <v>0</v>
      </c>
      <c r="N71" s="21">
        <f>IF(B71="","",ROUND(IF(F71="",1,F71)*M71,2))</f>
        <v>0</v>
      </c>
      <c r="O71" s="39">
        <f>IF(B71="","",IF(C71="","",IF(COUNTIFS($C$5:$C$804,C71)&gt;1,"Duplicate","OK")))</f>
        <v>0</v>
      </c>
      <c r="P71" s="31">
        <f>IF(OR(B71="",E71=""),"",COUNTIFS($B$5:B71,B71))</f>
        <v>0</v>
      </c>
      <c r="Q71" s="23">
        <f>IF(P71="","",B71&amp;"|"&amp;P71)</f>
        <v>0</v>
      </c>
      <c r="R71" s="39">
        <f>IF(B71="","",IF(O71="Duplicate","Duplicate - job billed twice",IF(M71=0,"Add - no price on this line",IF(AND(C71="",E71=""),"Add - what is this line for?","OK"))))</f>
        <v>0</v>
      </c>
    </row>
    <row r="72" spans="1:18">
      <c r="A72" s="43">
        <f>IF(B72="","","IL-"&amp;TEXT(ROW()-4,"0000"))</f>
        <v>0</v>
      </c>
      <c r="B72" s="49" t="s">
        <v>1642</v>
      </c>
      <c r="C72" s="49" t="s">
        <v>1540</v>
      </c>
      <c r="D72" s="18">
        <f>IF(C72="","",IFERROR(INDEX(Jobs!$B$5:$B$604,MATCH(C72,Jobs!$A$5:$A$604,0)),""))</f>
        <v>0</v>
      </c>
      <c r="E72" s="44" t="s">
        <v>172</v>
      </c>
      <c r="F72" s="17">
        <v>1</v>
      </c>
      <c r="H72" s="47" t="s">
        <v>454</v>
      </c>
      <c r="I72" s="44" t="s">
        <v>172</v>
      </c>
      <c r="J72" s="21">
        <f>IF(C72="","",IFERROR(INDEX(Jobs!$AJ$5:$AJ$604,MATCH(C72,Jobs!$A$5:$A$604,0)),"0"))</f>
        <v>0</v>
      </c>
      <c r="K72" s="23">
        <f>IF(C72="","",IFERROR(INDEX(Jobs!$M$5:$M$604,MATCH(C72,Jobs!$A$5:$A$604,0)),""))</f>
        <v>0</v>
      </c>
      <c r="L72" s="51">
        <f>IF(B72="","",IF(E72&lt;&gt;"",E72,IF(C72="","",K72&amp;" - "&amp;TEXT(D72,"d mmm yyyy"))))</f>
        <v>0</v>
      </c>
      <c r="M72" s="21">
        <f>IF(B72="","",IF(G72&lt;&gt;"",G72,IFERROR(J72*1,0)))</f>
        <v>0</v>
      </c>
      <c r="N72" s="21">
        <f>IF(B72="","",ROUND(IF(F72="",1,F72)*M72,2))</f>
        <v>0</v>
      </c>
      <c r="O72" s="39">
        <f>IF(B72="","",IF(C72="","",IF(COUNTIFS($C$5:$C$804,C72)&gt;1,"Duplicate","OK")))</f>
        <v>0</v>
      </c>
      <c r="P72" s="31">
        <f>IF(OR(B72="",E72=""),"",COUNTIFS($B$5:B72,B72))</f>
        <v>0</v>
      </c>
      <c r="Q72" s="23">
        <f>IF(P72="","",B72&amp;"|"&amp;P72)</f>
        <v>0</v>
      </c>
      <c r="R72" s="39">
        <f>IF(B72="","",IF(O72="Duplicate","Duplicate - job billed twice",IF(M72=0,"Add - no price on this line",IF(AND(C72="",E72=""),"Add - what is this line for?","OK"))))</f>
        <v>0</v>
      </c>
    </row>
    <row r="73" spans="1:18">
      <c r="A73" s="43">
        <f>IF(B73="","","IL-"&amp;TEXT(ROW()-4,"0000"))</f>
        <v>0</v>
      </c>
      <c r="B73" s="49" t="s">
        <v>1643</v>
      </c>
      <c r="C73" s="49" t="s">
        <v>1529</v>
      </c>
      <c r="D73" s="18">
        <f>IF(C73="","",IFERROR(INDEX(Jobs!$B$5:$B$604,MATCH(C73,Jobs!$A$5:$A$604,0)),""))</f>
        <v>0</v>
      </c>
      <c r="E73" s="44" t="s">
        <v>172</v>
      </c>
      <c r="F73" s="17">
        <v>1</v>
      </c>
      <c r="H73" s="47" t="s">
        <v>454</v>
      </c>
      <c r="I73" s="44" t="s">
        <v>172</v>
      </c>
      <c r="J73" s="21">
        <f>IF(C73="","",IFERROR(INDEX(Jobs!$AJ$5:$AJ$604,MATCH(C73,Jobs!$A$5:$A$604,0)),"0"))</f>
        <v>0</v>
      </c>
      <c r="K73" s="23">
        <f>IF(C73="","",IFERROR(INDEX(Jobs!$M$5:$M$604,MATCH(C73,Jobs!$A$5:$A$604,0)),""))</f>
        <v>0</v>
      </c>
      <c r="L73" s="51">
        <f>IF(B73="","",IF(E73&lt;&gt;"",E73,IF(C73="","",K73&amp;" - "&amp;TEXT(D73,"d mmm yyyy"))))</f>
        <v>0</v>
      </c>
      <c r="M73" s="21">
        <f>IF(B73="","",IF(G73&lt;&gt;"",G73,IFERROR(J73*1,0)))</f>
        <v>0</v>
      </c>
      <c r="N73" s="21">
        <f>IF(B73="","",ROUND(IF(F73="",1,F73)*M73,2))</f>
        <v>0</v>
      </c>
      <c r="O73" s="39">
        <f>IF(B73="","",IF(C73="","",IF(COUNTIFS($C$5:$C$804,C73)&gt;1,"Duplicate","OK")))</f>
        <v>0</v>
      </c>
      <c r="P73" s="31">
        <f>IF(OR(B73="",E73=""),"",COUNTIFS($B$5:B73,B73))</f>
        <v>0</v>
      </c>
      <c r="Q73" s="23">
        <f>IF(P73="","",B73&amp;"|"&amp;P73)</f>
        <v>0</v>
      </c>
      <c r="R73" s="39">
        <f>IF(B73="","",IF(O73="Duplicate","Duplicate - job billed twice",IF(M73=0,"Add - no price on this line",IF(AND(C73="",E73=""),"Add - what is this line for?","OK"))))</f>
        <v>0</v>
      </c>
    </row>
    <row r="74" spans="1:18">
      <c r="A74" s="43">
        <f>IF(B74="","","IL-"&amp;TEXT(ROW()-4,"0000"))</f>
        <v>0</v>
      </c>
      <c r="B74" s="49" t="s">
        <v>1643</v>
      </c>
      <c r="C74" s="49" t="s">
        <v>1530</v>
      </c>
      <c r="D74" s="18">
        <f>IF(C74="","",IFERROR(INDEX(Jobs!$B$5:$B$604,MATCH(C74,Jobs!$A$5:$A$604,0)),""))</f>
        <v>0</v>
      </c>
      <c r="E74" s="44" t="s">
        <v>172</v>
      </c>
      <c r="F74" s="17">
        <v>1</v>
      </c>
      <c r="H74" s="47" t="s">
        <v>454</v>
      </c>
      <c r="I74" s="44" t="s">
        <v>172</v>
      </c>
      <c r="J74" s="21">
        <f>IF(C74="","",IFERROR(INDEX(Jobs!$AJ$5:$AJ$604,MATCH(C74,Jobs!$A$5:$A$604,0)),"0"))</f>
        <v>0</v>
      </c>
      <c r="K74" s="23">
        <f>IF(C74="","",IFERROR(INDEX(Jobs!$M$5:$M$604,MATCH(C74,Jobs!$A$5:$A$604,0)),""))</f>
        <v>0</v>
      </c>
      <c r="L74" s="51">
        <f>IF(B74="","",IF(E74&lt;&gt;"",E74,IF(C74="","",K74&amp;" - "&amp;TEXT(D74,"d mmm yyyy"))))</f>
        <v>0</v>
      </c>
      <c r="M74" s="21">
        <f>IF(B74="","",IF(G74&lt;&gt;"",G74,IFERROR(J74*1,0)))</f>
        <v>0</v>
      </c>
      <c r="N74" s="21">
        <f>IF(B74="","",ROUND(IF(F74="",1,F74)*M74,2))</f>
        <v>0</v>
      </c>
      <c r="O74" s="39">
        <f>IF(B74="","",IF(C74="","",IF(COUNTIFS($C$5:$C$804,C74)&gt;1,"Duplicate","OK")))</f>
        <v>0</v>
      </c>
      <c r="P74" s="31">
        <f>IF(OR(B74="",E74=""),"",COUNTIFS($B$5:B74,B74))</f>
        <v>0</v>
      </c>
      <c r="Q74" s="23">
        <f>IF(P74="","",B74&amp;"|"&amp;P74)</f>
        <v>0</v>
      </c>
      <c r="R74" s="39">
        <f>IF(B74="","",IF(O74="Duplicate","Duplicate - job billed twice",IF(M74=0,"Add - no price on this line",IF(AND(C74="",E74=""),"Add - what is this line for?","OK"))))</f>
        <v>0</v>
      </c>
    </row>
    <row r="75" spans="1:18">
      <c r="A75" s="43">
        <f>IF(B75="","","IL-"&amp;TEXT(ROW()-4,"0000"))</f>
        <v>0</v>
      </c>
      <c r="B75" s="49" t="s">
        <v>1644</v>
      </c>
      <c r="C75" s="49" t="s">
        <v>1527</v>
      </c>
      <c r="D75" s="18">
        <f>IF(C75="","",IFERROR(INDEX(Jobs!$B$5:$B$604,MATCH(C75,Jobs!$A$5:$A$604,0)),""))</f>
        <v>0</v>
      </c>
      <c r="E75" s="44" t="s">
        <v>172</v>
      </c>
      <c r="F75" s="17">
        <v>1</v>
      </c>
      <c r="H75" s="47" t="s">
        <v>454</v>
      </c>
      <c r="I75" s="44" t="s">
        <v>172</v>
      </c>
      <c r="J75" s="21">
        <f>IF(C75="","",IFERROR(INDEX(Jobs!$AJ$5:$AJ$604,MATCH(C75,Jobs!$A$5:$A$604,0)),"0"))</f>
        <v>0</v>
      </c>
      <c r="K75" s="23">
        <f>IF(C75="","",IFERROR(INDEX(Jobs!$M$5:$M$604,MATCH(C75,Jobs!$A$5:$A$604,0)),""))</f>
        <v>0</v>
      </c>
      <c r="L75" s="51">
        <f>IF(B75="","",IF(E75&lt;&gt;"",E75,IF(C75="","",K75&amp;" - "&amp;TEXT(D75,"d mmm yyyy"))))</f>
        <v>0</v>
      </c>
      <c r="M75" s="21">
        <f>IF(B75="","",IF(G75&lt;&gt;"",G75,IFERROR(J75*1,0)))</f>
        <v>0</v>
      </c>
      <c r="N75" s="21">
        <f>IF(B75="","",ROUND(IF(F75="",1,F75)*M75,2))</f>
        <v>0</v>
      </c>
      <c r="O75" s="39">
        <f>IF(B75="","",IF(C75="","",IF(COUNTIFS($C$5:$C$804,C75)&gt;1,"Duplicate","OK")))</f>
        <v>0</v>
      </c>
      <c r="P75" s="31">
        <f>IF(OR(B75="",E75=""),"",COUNTIFS($B$5:B75,B75))</f>
        <v>0</v>
      </c>
      <c r="Q75" s="23">
        <f>IF(P75="","",B75&amp;"|"&amp;P75)</f>
        <v>0</v>
      </c>
      <c r="R75" s="39">
        <f>IF(B75="","",IF(O75="Duplicate","Duplicate - job billed twice",IF(M75=0,"Add - no price on this line",IF(AND(C75="",E75=""),"Add - what is this line for?","OK"))))</f>
        <v>0</v>
      </c>
    </row>
    <row r="76" spans="1:18">
      <c r="A76" s="43">
        <f>IF(B76="","","IL-"&amp;TEXT(ROW()-4,"0000"))</f>
        <v>0</v>
      </c>
      <c r="B76" s="49" t="s">
        <v>1645</v>
      </c>
      <c r="C76" s="49" t="s">
        <v>1520</v>
      </c>
      <c r="D76" s="18">
        <f>IF(C76="","",IFERROR(INDEX(Jobs!$B$5:$B$604,MATCH(C76,Jobs!$A$5:$A$604,0)),""))</f>
        <v>0</v>
      </c>
      <c r="E76" s="44" t="s">
        <v>172</v>
      </c>
      <c r="F76" s="17">
        <v>1</v>
      </c>
      <c r="H76" s="47" t="s">
        <v>454</v>
      </c>
      <c r="I76" s="44" t="s">
        <v>172</v>
      </c>
      <c r="J76" s="21">
        <f>IF(C76="","",IFERROR(INDEX(Jobs!$AJ$5:$AJ$604,MATCH(C76,Jobs!$A$5:$A$604,0)),"0"))</f>
        <v>0</v>
      </c>
      <c r="K76" s="23">
        <f>IF(C76="","",IFERROR(INDEX(Jobs!$M$5:$M$604,MATCH(C76,Jobs!$A$5:$A$604,0)),""))</f>
        <v>0</v>
      </c>
      <c r="L76" s="51">
        <f>IF(B76="","",IF(E76&lt;&gt;"",E76,IF(C76="","",K76&amp;" - "&amp;TEXT(D76,"d mmm yyyy"))))</f>
        <v>0</v>
      </c>
      <c r="M76" s="21">
        <f>IF(B76="","",IF(G76&lt;&gt;"",G76,IFERROR(J76*1,0)))</f>
        <v>0</v>
      </c>
      <c r="N76" s="21">
        <f>IF(B76="","",ROUND(IF(F76="",1,F76)*M76,2))</f>
        <v>0</v>
      </c>
      <c r="O76" s="39">
        <f>IF(B76="","",IF(C76="","",IF(COUNTIFS($C$5:$C$804,C76)&gt;1,"Duplicate","OK")))</f>
        <v>0</v>
      </c>
      <c r="P76" s="31">
        <f>IF(OR(B76="",E76=""),"",COUNTIFS($B$5:B76,B76))</f>
        <v>0</v>
      </c>
      <c r="Q76" s="23">
        <f>IF(P76="","",B76&amp;"|"&amp;P76)</f>
        <v>0</v>
      </c>
      <c r="R76" s="39">
        <f>IF(B76="","",IF(O76="Duplicate","Duplicate - job billed twice",IF(M76=0,"Add - no price on this line",IF(AND(C76="",E76=""),"Add - what is this line for?","OK"))))</f>
        <v>0</v>
      </c>
    </row>
    <row r="77" spans="1:18">
      <c r="A77" s="43">
        <f>IF(B77="","","IL-"&amp;TEXT(ROW()-4,"0000"))</f>
        <v>0</v>
      </c>
      <c r="B77" s="49" t="s">
        <v>1645</v>
      </c>
      <c r="C77" s="49" t="s">
        <v>1537</v>
      </c>
      <c r="D77" s="18">
        <f>IF(C77="","",IFERROR(INDEX(Jobs!$B$5:$B$604,MATCH(C77,Jobs!$A$5:$A$604,0)),""))</f>
        <v>0</v>
      </c>
      <c r="E77" s="44" t="s">
        <v>172</v>
      </c>
      <c r="F77" s="17">
        <v>1</v>
      </c>
      <c r="H77" s="47" t="s">
        <v>454</v>
      </c>
      <c r="I77" s="44" t="s">
        <v>172</v>
      </c>
      <c r="J77" s="21">
        <f>IF(C77="","",IFERROR(INDEX(Jobs!$AJ$5:$AJ$604,MATCH(C77,Jobs!$A$5:$A$604,0)),"0"))</f>
        <v>0</v>
      </c>
      <c r="K77" s="23">
        <f>IF(C77="","",IFERROR(INDEX(Jobs!$M$5:$M$604,MATCH(C77,Jobs!$A$5:$A$604,0)),""))</f>
        <v>0</v>
      </c>
      <c r="L77" s="51">
        <f>IF(B77="","",IF(E77&lt;&gt;"",E77,IF(C77="","",K77&amp;" - "&amp;TEXT(D77,"d mmm yyyy"))))</f>
        <v>0</v>
      </c>
      <c r="M77" s="21">
        <f>IF(B77="","",IF(G77&lt;&gt;"",G77,IFERROR(J77*1,0)))</f>
        <v>0</v>
      </c>
      <c r="N77" s="21">
        <f>IF(B77="","",ROUND(IF(F77="",1,F77)*M77,2))</f>
        <v>0</v>
      </c>
      <c r="O77" s="39">
        <f>IF(B77="","",IF(C77="","",IF(COUNTIFS($C$5:$C$804,C77)&gt;1,"Duplicate","OK")))</f>
        <v>0</v>
      </c>
      <c r="P77" s="31">
        <f>IF(OR(B77="",E77=""),"",COUNTIFS($B$5:B77,B77))</f>
        <v>0</v>
      </c>
      <c r="Q77" s="23">
        <f>IF(P77="","",B77&amp;"|"&amp;P77)</f>
        <v>0</v>
      </c>
      <c r="R77" s="39">
        <f>IF(B77="","",IF(O77="Duplicate","Duplicate - job billed twice",IF(M77=0,"Add - no price on this line",IF(AND(C77="",E77=""),"Add - what is this line for?","OK"))))</f>
        <v>0</v>
      </c>
    </row>
    <row r="78" spans="1:18">
      <c r="A78" s="43">
        <f>IF(B78="","","IL-"&amp;TEXT(ROW()-4,"0000"))</f>
        <v>0</v>
      </c>
      <c r="D78" s="18">
        <f>IF(C78="","",IFERROR(INDEX(Jobs!$B$5:$B$604,MATCH(C78,Jobs!$A$5:$A$604,0)),""))</f>
        <v>0</v>
      </c>
      <c r="J78" s="21">
        <f>IF(C78="","",IFERROR(INDEX(Jobs!$AJ$5:$AJ$604,MATCH(C78,Jobs!$A$5:$A$604,0)),"0"))</f>
        <v>0</v>
      </c>
      <c r="K78" s="23">
        <f>IF(C78="","",IFERROR(INDEX(Jobs!$M$5:$M$604,MATCH(C78,Jobs!$A$5:$A$604,0)),""))</f>
        <v>0</v>
      </c>
      <c r="L78" s="51">
        <f>IF(B78="","",IF(E78&lt;&gt;"",E78,IF(C78="","",K78&amp;" - "&amp;TEXT(D78,"d mmm yyyy"))))</f>
        <v>0</v>
      </c>
      <c r="M78" s="21">
        <f>IF(B78="","",IF(G78&lt;&gt;"",G78,IFERROR(J78*1,0)))</f>
        <v>0</v>
      </c>
      <c r="N78" s="21">
        <f>IF(B78="","",ROUND(IF(F78="",1,F78)*M78,2))</f>
        <v>0</v>
      </c>
      <c r="O78" s="39">
        <f>IF(B78="","",IF(C78="","",IF(COUNTIFS($C$5:$C$804,C78)&gt;1,"Duplicate","OK")))</f>
        <v>0</v>
      </c>
      <c r="P78" s="31">
        <f>IF(OR(B78="",E78=""),"",COUNTIFS($B$5:B78,B78))</f>
        <v>0</v>
      </c>
      <c r="Q78" s="23">
        <f>IF(P78="","",B78&amp;"|"&amp;P78)</f>
        <v>0</v>
      </c>
      <c r="R78" s="39">
        <f>IF(B78="","",IF(O78="Duplicate","Duplicate - job billed twice",IF(M78=0,"Add - no price on this line",IF(AND(C78="",E78=""),"Add - what is this line for?","OK"))))</f>
        <v>0</v>
      </c>
    </row>
    <row r="79" spans="1:18">
      <c r="A79" s="43">
        <f>IF(B79="","","IL-"&amp;TEXT(ROW()-4,"0000"))</f>
        <v>0</v>
      </c>
      <c r="D79" s="18">
        <f>IF(C79="","",IFERROR(INDEX(Jobs!$B$5:$B$604,MATCH(C79,Jobs!$A$5:$A$604,0)),""))</f>
        <v>0</v>
      </c>
      <c r="J79" s="21">
        <f>IF(C79="","",IFERROR(INDEX(Jobs!$AJ$5:$AJ$604,MATCH(C79,Jobs!$A$5:$A$604,0)),"0"))</f>
        <v>0</v>
      </c>
      <c r="K79" s="23">
        <f>IF(C79="","",IFERROR(INDEX(Jobs!$M$5:$M$604,MATCH(C79,Jobs!$A$5:$A$604,0)),""))</f>
        <v>0</v>
      </c>
      <c r="L79" s="51">
        <f>IF(B79="","",IF(E79&lt;&gt;"",E79,IF(C79="","",K79&amp;" - "&amp;TEXT(D79,"d mmm yyyy"))))</f>
        <v>0</v>
      </c>
      <c r="M79" s="21">
        <f>IF(B79="","",IF(G79&lt;&gt;"",G79,IFERROR(J79*1,0)))</f>
        <v>0</v>
      </c>
      <c r="N79" s="21">
        <f>IF(B79="","",ROUND(IF(F79="",1,F79)*M79,2))</f>
        <v>0</v>
      </c>
      <c r="O79" s="39">
        <f>IF(B79="","",IF(C79="","",IF(COUNTIFS($C$5:$C$804,C79)&gt;1,"Duplicate","OK")))</f>
        <v>0</v>
      </c>
      <c r="P79" s="31">
        <f>IF(OR(B79="",E79=""),"",COUNTIFS($B$5:B79,B79))</f>
        <v>0</v>
      </c>
      <c r="Q79" s="23">
        <f>IF(P79="","",B79&amp;"|"&amp;P79)</f>
        <v>0</v>
      </c>
      <c r="R79" s="39">
        <f>IF(B79="","",IF(O79="Duplicate","Duplicate - job billed twice",IF(M79=0,"Add - no price on this line",IF(AND(C79="",E79=""),"Add - what is this line for?","OK"))))</f>
        <v>0</v>
      </c>
    </row>
    <row r="80" spans="1:18">
      <c r="A80" s="43">
        <f>IF(B80="","","IL-"&amp;TEXT(ROW()-4,"0000"))</f>
        <v>0</v>
      </c>
      <c r="D80" s="18">
        <f>IF(C80="","",IFERROR(INDEX(Jobs!$B$5:$B$604,MATCH(C80,Jobs!$A$5:$A$604,0)),""))</f>
        <v>0</v>
      </c>
      <c r="J80" s="21">
        <f>IF(C80="","",IFERROR(INDEX(Jobs!$AJ$5:$AJ$604,MATCH(C80,Jobs!$A$5:$A$604,0)),"0"))</f>
        <v>0</v>
      </c>
      <c r="K80" s="23">
        <f>IF(C80="","",IFERROR(INDEX(Jobs!$M$5:$M$604,MATCH(C80,Jobs!$A$5:$A$604,0)),""))</f>
        <v>0</v>
      </c>
      <c r="L80" s="51">
        <f>IF(B80="","",IF(E80&lt;&gt;"",E80,IF(C80="","",K80&amp;" - "&amp;TEXT(D80,"d mmm yyyy"))))</f>
        <v>0</v>
      </c>
      <c r="M80" s="21">
        <f>IF(B80="","",IF(G80&lt;&gt;"",G80,IFERROR(J80*1,0)))</f>
        <v>0</v>
      </c>
      <c r="N80" s="21">
        <f>IF(B80="","",ROUND(IF(F80="",1,F80)*M80,2))</f>
        <v>0</v>
      </c>
      <c r="O80" s="39">
        <f>IF(B80="","",IF(C80="","",IF(COUNTIFS($C$5:$C$804,C80)&gt;1,"Duplicate","OK")))</f>
        <v>0</v>
      </c>
      <c r="P80" s="31">
        <f>IF(OR(B80="",E80=""),"",COUNTIFS($B$5:B80,B80))</f>
        <v>0</v>
      </c>
      <c r="Q80" s="23">
        <f>IF(P80="","",B80&amp;"|"&amp;P80)</f>
        <v>0</v>
      </c>
      <c r="R80" s="39">
        <f>IF(B80="","",IF(O80="Duplicate","Duplicate - job billed twice",IF(M80=0,"Add - no price on this line",IF(AND(C80="",E80=""),"Add - what is this line for?","OK"))))</f>
        <v>0</v>
      </c>
    </row>
    <row r="81" spans="1:18">
      <c r="A81" s="43">
        <f>IF(B81="","","IL-"&amp;TEXT(ROW()-4,"0000"))</f>
        <v>0</v>
      </c>
      <c r="D81" s="18">
        <f>IF(C81="","",IFERROR(INDEX(Jobs!$B$5:$B$604,MATCH(C81,Jobs!$A$5:$A$604,0)),""))</f>
        <v>0</v>
      </c>
      <c r="J81" s="21">
        <f>IF(C81="","",IFERROR(INDEX(Jobs!$AJ$5:$AJ$604,MATCH(C81,Jobs!$A$5:$A$604,0)),"0"))</f>
        <v>0</v>
      </c>
      <c r="K81" s="23">
        <f>IF(C81="","",IFERROR(INDEX(Jobs!$M$5:$M$604,MATCH(C81,Jobs!$A$5:$A$604,0)),""))</f>
        <v>0</v>
      </c>
      <c r="L81" s="51">
        <f>IF(B81="","",IF(E81&lt;&gt;"",E81,IF(C81="","",K81&amp;" - "&amp;TEXT(D81,"d mmm yyyy"))))</f>
        <v>0</v>
      </c>
      <c r="M81" s="21">
        <f>IF(B81="","",IF(G81&lt;&gt;"",G81,IFERROR(J81*1,0)))</f>
        <v>0</v>
      </c>
      <c r="N81" s="21">
        <f>IF(B81="","",ROUND(IF(F81="",1,F81)*M81,2))</f>
        <v>0</v>
      </c>
      <c r="O81" s="39">
        <f>IF(B81="","",IF(C81="","",IF(COUNTIFS($C$5:$C$804,C81)&gt;1,"Duplicate","OK")))</f>
        <v>0</v>
      </c>
      <c r="P81" s="31">
        <f>IF(OR(B81="",E81=""),"",COUNTIFS($B$5:B81,B81))</f>
        <v>0</v>
      </c>
      <c r="Q81" s="23">
        <f>IF(P81="","",B81&amp;"|"&amp;P81)</f>
        <v>0</v>
      </c>
      <c r="R81" s="39">
        <f>IF(B81="","",IF(O81="Duplicate","Duplicate - job billed twice",IF(M81=0,"Add - no price on this line",IF(AND(C81="",E81=""),"Add - what is this line for?","OK"))))</f>
        <v>0</v>
      </c>
    </row>
    <row r="82" spans="1:18">
      <c r="A82" s="43">
        <f>IF(B82="","","IL-"&amp;TEXT(ROW()-4,"0000"))</f>
        <v>0</v>
      </c>
      <c r="D82" s="18">
        <f>IF(C82="","",IFERROR(INDEX(Jobs!$B$5:$B$604,MATCH(C82,Jobs!$A$5:$A$604,0)),""))</f>
        <v>0</v>
      </c>
      <c r="J82" s="21">
        <f>IF(C82="","",IFERROR(INDEX(Jobs!$AJ$5:$AJ$604,MATCH(C82,Jobs!$A$5:$A$604,0)),"0"))</f>
        <v>0</v>
      </c>
      <c r="K82" s="23">
        <f>IF(C82="","",IFERROR(INDEX(Jobs!$M$5:$M$604,MATCH(C82,Jobs!$A$5:$A$604,0)),""))</f>
        <v>0</v>
      </c>
      <c r="L82" s="51">
        <f>IF(B82="","",IF(E82&lt;&gt;"",E82,IF(C82="","",K82&amp;" - "&amp;TEXT(D82,"d mmm yyyy"))))</f>
        <v>0</v>
      </c>
      <c r="M82" s="21">
        <f>IF(B82="","",IF(G82&lt;&gt;"",G82,IFERROR(J82*1,0)))</f>
        <v>0</v>
      </c>
      <c r="N82" s="21">
        <f>IF(B82="","",ROUND(IF(F82="",1,F82)*M82,2))</f>
        <v>0</v>
      </c>
      <c r="O82" s="39">
        <f>IF(B82="","",IF(C82="","",IF(COUNTIFS($C$5:$C$804,C82)&gt;1,"Duplicate","OK")))</f>
        <v>0</v>
      </c>
      <c r="P82" s="31">
        <f>IF(OR(B82="",E82=""),"",COUNTIFS($B$5:B82,B82))</f>
        <v>0</v>
      </c>
      <c r="Q82" s="23">
        <f>IF(P82="","",B82&amp;"|"&amp;P82)</f>
        <v>0</v>
      </c>
      <c r="R82" s="39">
        <f>IF(B82="","",IF(O82="Duplicate","Duplicate - job billed twice",IF(M82=0,"Add - no price on this line",IF(AND(C82="",E82=""),"Add - what is this line for?","OK"))))</f>
        <v>0</v>
      </c>
    </row>
    <row r="83" spans="1:18">
      <c r="A83" s="43">
        <f>IF(B83="","","IL-"&amp;TEXT(ROW()-4,"0000"))</f>
        <v>0</v>
      </c>
      <c r="D83" s="18">
        <f>IF(C83="","",IFERROR(INDEX(Jobs!$B$5:$B$604,MATCH(C83,Jobs!$A$5:$A$604,0)),""))</f>
        <v>0</v>
      </c>
      <c r="J83" s="21">
        <f>IF(C83="","",IFERROR(INDEX(Jobs!$AJ$5:$AJ$604,MATCH(C83,Jobs!$A$5:$A$604,0)),"0"))</f>
        <v>0</v>
      </c>
      <c r="K83" s="23">
        <f>IF(C83="","",IFERROR(INDEX(Jobs!$M$5:$M$604,MATCH(C83,Jobs!$A$5:$A$604,0)),""))</f>
        <v>0</v>
      </c>
      <c r="L83" s="51">
        <f>IF(B83="","",IF(E83&lt;&gt;"",E83,IF(C83="","",K83&amp;" - "&amp;TEXT(D83,"d mmm yyyy"))))</f>
        <v>0</v>
      </c>
      <c r="M83" s="21">
        <f>IF(B83="","",IF(G83&lt;&gt;"",G83,IFERROR(J83*1,0)))</f>
        <v>0</v>
      </c>
      <c r="N83" s="21">
        <f>IF(B83="","",ROUND(IF(F83="",1,F83)*M83,2))</f>
        <v>0</v>
      </c>
      <c r="O83" s="39">
        <f>IF(B83="","",IF(C83="","",IF(COUNTIFS($C$5:$C$804,C83)&gt;1,"Duplicate","OK")))</f>
        <v>0</v>
      </c>
      <c r="P83" s="31">
        <f>IF(OR(B83="",E83=""),"",COUNTIFS($B$5:B83,B83))</f>
        <v>0</v>
      </c>
      <c r="Q83" s="23">
        <f>IF(P83="","",B83&amp;"|"&amp;P83)</f>
        <v>0</v>
      </c>
      <c r="R83" s="39">
        <f>IF(B83="","",IF(O83="Duplicate","Duplicate - job billed twice",IF(M83=0,"Add - no price on this line",IF(AND(C83="",E83=""),"Add - what is this line for?","OK"))))</f>
        <v>0</v>
      </c>
    </row>
    <row r="84" spans="1:18">
      <c r="A84" s="43">
        <f>IF(B84="","","IL-"&amp;TEXT(ROW()-4,"0000"))</f>
        <v>0</v>
      </c>
      <c r="D84" s="18">
        <f>IF(C84="","",IFERROR(INDEX(Jobs!$B$5:$B$604,MATCH(C84,Jobs!$A$5:$A$604,0)),""))</f>
        <v>0</v>
      </c>
      <c r="J84" s="21">
        <f>IF(C84="","",IFERROR(INDEX(Jobs!$AJ$5:$AJ$604,MATCH(C84,Jobs!$A$5:$A$604,0)),"0"))</f>
        <v>0</v>
      </c>
      <c r="K84" s="23">
        <f>IF(C84="","",IFERROR(INDEX(Jobs!$M$5:$M$604,MATCH(C84,Jobs!$A$5:$A$604,0)),""))</f>
        <v>0</v>
      </c>
      <c r="L84" s="51">
        <f>IF(B84="","",IF(E84&lt;&gt;"",E84,IF(C84="","",K84&amp;" - "&amp;TEXT(D84,"d mmm yyyy"))))</f>
        <v>0</v>
      </c>
      <c r="M84" s="21">
        <f>IF(B84="","",IF(G84&lt;&gt;"",G84,IFERROR(J84*1,0)))</f>
        <v>0</v>
      </c>
      <c r="N84" s="21">
        <f>IF(B84="","",ROUND(IF(F84="",1,F84)*M84,2))</f>
        <v>0</v>
      </c>
      <c r="O84" s="39">
        <f>IF(B84="","",IF(C84="","",IF(COUNTIFS($C$5:$C$804,C84)&gt;1,"Duplicate","OK")))</f>
        <v>0</v>
      </c>
      <c r="P84" s="31">
        <f>IF(OR(B84="",E84=""),"",COUNTIFS($B$5:B84,B84))</f>
        <v>0</v>
      </c>
      <c r="Q84" s="23">
        <f>IF(P84="","",B84&amp;"|"&amp;P84)</f>
        <v>0</v>
      </c>
      <c r="R84" s="39">
        <f>IF(B84="","",IF(O84="Duplicate","Duplicate - job billed twice",IF(M84=0,"Add - no price on this line",IF(AND(C84="",E84=""),"Add - what is this line for?","OK"))))</f>
        <v>0</v>
      </c>
    </row>
    <row r="85" spans="1:18">
      <c r="A85" s="43">
        <f>IF(B85="","","IL-"&amp;TEXT(ROW()-4,"0000"))</f>
        <v>0</v>
      </c>
      <c r="D85" s="18">
        <f>IF(C85="","",IFERROR(INDEX(Jobs!$B$5:$B$604,MATCH(C85,Jobs!$A$5:$A$604,0)),""))</f>
        <v>0</v>
      </c>
      <c r="J85" s="21">
        <f>IF(C85="","",IFERROR(INDEX(Jobs!$AJ$5:$AJ$604,MATCH(C85,Jobs!$A$5:$A$604,0)),"0"))</f>
        <v>0</v>
      </c>
      <c r="K85" s="23">
        <f>IF(C85="","",IFERROR(INDEX(Jobs!$M$5:$M$604,MATCH(C85,Jobs!$A$5:$A$604,0)),""))</f>
        <v>0</v>
      </c>
      <c r="L85" s="51">
        <f>IF(B85="","",IF(E85&lt;&gt;"",E85,IF(C85="","",K85&amp;" - "&amp;TEXT(D85,"d mmm yyyy"))))</f>
        <v>0</v>
      </c>
      <c r="M85" s="21">
        <f>IF(B85="","",IF(G85&lt;&gt;"",G85,IFERROR(J85*1,0)))</f>
        <v>0</v>
      </c>
      <c r="N85" s="21">
        <f>IF(B85="","",ROUND(IF(F85="",1,F85)*M85,2))</f>
        <v>0</v>
      </c>
      <c r="O85" s="39">
        <f>IF(B85="","",IF(C85="","",IF(COUNTIFS($C$5:$C$804,C85)&gt;1,"Duplicate","OK")))</f>
        <v>0</v>
      </c>
      <c r="P85" s="31">
        <f>IF(OR(B85="",E85=""),"",COUNTIFS($B$5:B85,B85))</f>
        <v>0</v>
      </c>
      <c r="Q85" s="23">
        <f>IF(P85="","",B85&amp;"|"&amp;P85)</f>
        <v>0</v>
      </c>
      <c r="R85" s="39">
        <f>IF(B85="","",IF(O85="Duplicate","Duplicate - job billed twice",IF(M85=0,"Add - no price on this line",IF(AND(C85="",E85=""),"Add - what is this line for?","OK"))))</f>
        <v>0</v>
      </c>
    </row>
    <row r="86" spans="1:18">
      <c r="A86" s="43">
        <f>IF(B86="","","IL-"&amp;TEXT(ROW()-4,"0000"))</f>
        <v>0</v>
      </c>
      <c r="D86" s="18">
        <f>IF(C86="","",IFERROR(INDEX(Jobs!$B$5:$B$604,MATCH(C86,Jobs!$A$5:$A$604,0)),""))</f>
        <v>0</v>
      </c>
      <c r="J86" s="21">
        <f>IF(C86="","",IFERROR(INDEX(Jobs!$AJ$5:$AJ$604,MATCH(C86,Jobs!$A$5:$A$604,0)),"0"))</f>
        <v>0</v>
      </c>
      <c r="K86" s="23">
        <f>IF(C86="","",IFERROR(INDEX(Jobs!$M$5:$M$604,MATCH(C86,Jobs!$A$5:$A$604,0)),""))</f>
        <v>0</v>
      </c>
      <c r="L86" s="51">
        <f>IF(B86="","",IF(E86&lt;&gt;"",E86,IF(C86="","",K86&amp;" - "&amp;TEXT(D86,"d mmm yyyy"))))</f>
        <v>0</v>
      </c>
      <c r="M86" s="21">
        <f>IF(B86="","",IF(G86&lt;&gt;"",G86,IFERROR(J86*1,0)))</f>
        <v>0</v>
      </c>
      <c r="N86" s="21">
        <f>IF(B86="","",ROUND(IF(F86="",1,F86)*M86,2))</f>
        <v>0</v>
      </c>
      <c r="O86" s="39">
        <f>IF(B86="","",IF(C86="","",IF(COUNTIFS($C$5:$C$804,C86)&gt;1,"Duplicate","OK")))</f>
        <v>0</v>
      </c>
      <c r="P86" s="31">
        <f>IF(OR(B86="",E86=""),"",COUNTIFS($B$5:B86,B86))</f>
        <v>0</v>
      </c>
      <c r="Q86" s="23">
        <f>IF(P86="","",B86&amp;"|"&amp;P86)</f>
        <v>0</v>
      </c>
      <c r="R86" s="39">
        <f>IF(B86="","",IF(O86="Duplicate","Duplicate - job billed twice",IF(M86=0,"Add - no price on this line",IF(AND(C86="",E86=""),"Add - what is this line for?","OK"))))</f>
        <v>0</v>
      </c>
    </row>
    <row r="87" spans="1:18">
      <c r="A87" s="43">
        <f>IF(B87="","","IL-"&amp;TEXT(ROW()-4,"0000"))</f>
        <v>0</v>
      </c>
      <c r="D87" s="18">
        <f>IF(C87="","",IFERROR(INDEX(Jobs!$B$5:$B$604,MATCH(C87,Jobs!$A$5:$A$604,0)),""))</f>
        <v>0</v>
      </c>
      <c r="J87" s="21">
        <f>IF(C87="","",IFERROR(INDEX(Jobs!$AJ$5:$AJ$604,MATCH(C87,Jobs!$A$5:$A$604,0)),"0"))</f>
        <v>0</v>
      </c>
      <c r="K87" s="23">
        <f>IF(C87="","",IFERROR(INDEX(Jobs!$M$5:$M$604,MATCH(C87,Jobs!$A$5:$A$604,0)),""))</f>
        <v>0</v>
      </c>
      <c r="L87" s="51">
        <f>IF(B87="","",IF(E87&lt;&gt;"",E87,IF(C87="","",K87&amp;" - "&amp;TEXT(D87,"d mmm yyyy"))))</f>
        <v>0</v>
      </c>
      <c r="M87" s="21">
        <f>IF(B87="","",IF(G87&lt;&gt;"",G87,IFERROR(J87*1,0)))</f>
        <v>0</v>
      </c>
      <c r="N87" s="21">
        <f>IF(B87="","",ROUND(IF(F87="",1,F87)*M87,2))</f>
        <v>0</v>
      </c>
      <c r="O87" s="39">
        <f>IF(B87="","",IF(C87="","",IF(COUNTIFS($C$5:$C$804,C87)&gt;1,"Duplicate","OK")))</f>
        <v>0</v>
      </c>
      <c r="P87" s="31">
        <f>IF(OR(B87="",E87=""),"",COUNTIFS($B$5:B87,B87))</f>
        <v>0</v>
      </c>
      <c r="Q87" s="23">
        <f>IF(P87="","",B87&amp;"|"&amp;P87)</f>
        <v>0</v>
      </c>
      <c r="R87" s="39">
        <f>IF(B87="","",IF(O87="Duplicate","Duplicate - job billed twice",IF(M87=0,"Add - no price on this line",IF(AND(C87="",E87=""),"Add - what is this line for?","OK"))))</f>
        <v>0</v>
      </c>
    </row>
    <row r="88" spans="1:18">
      <c r="A88" s="43">
        <f>IF(B88="","","IL-"&amp;TEXT(ROW()-4,"0000"))</f>
        <v>0</v>
      </c>
      <c r="D88" s="18">
        <f>IF(C88="","",IFERROR(INDEX(Jobs!$B$5:$B$604,MATCH(C88,Jobs!$A$5:$A$604,0)),""))</f>
        <v>0</v>
      </c>
      <c r="J88" s="21">
        <f>IF(C88="","",IFERROR(INDEX(Jobs!$AJ$5:$AJ$604,MATCH(C88,Jobs!$A$5:$A$604,0)),"0"))</f>
        <v>0</v>
      </c>
      <c r="K88" s="23">
        <f>IF(C88="","",IFERROR(INDEX(Jobs!$M$5:$M$604,MATCH(C88,Jobs!$A$5:$A$604,0)),""))</f>
        <v>0</v>
      </c>
      <c r="L88" s="51">
        <f>IF(B88="","",IF(E88&lt;&gt;"",E88,IF(C88="","",K88&amp;" - "&amp;TEXT(D88,"d mmm yyyy"))))</f>
        <v>0</v>
      </c>
      <c r="M88" s="21">
        <f>IF(B88="","",IF(G88&lt;&gt;"",G88,IFERROR(J88*1,0)))</f>
        <v>0</v>
      </c>
      <c r="N88" s="21">
        <f>IF(B88="","",ROUND(IF(F88="",1,F88)*M88,2))</f>
        <v>0</v>
      </c>
      <c r="O88" s="39">
        <f>IF(B88="","",IF(C88="","",IF(COUNTIFS($C$5:$C$804,C88)&gt;1,"Duplicate","OK")))</f>
        <v>0</v>
      </c>
      <c r="P88" s="31">
        <f>IF(OR(B88="",E88=""),"",COUNTIFS($B$5:B88,B88))</f>
        <v>0</v>
      </c>
      <c r="Q88" s="23">
        <f>IF(P88="","",B88&amp;"|"&amp;P88)</f>
        <v>0</v>
      </c>
      <c r="R88" s="39">
        <f>IF(B88="","",IF(O88="Duplicate","Duplicate - job billed twice",IF(M88=0,"Add - no price on this line",IF(AND(C88="",E88=""),"Add - what is this line for?","OK"))))</f>
        <v>0</v>
      </c>
    </row>
    <row r="89" spans="1:18">
      <c r="A89" s="43">
        <f>IF(B89="","","IL-"&amp;TEXT(ROW()-4,"0000"))</f>
        <v>0</v>
      </c>
      <c r="D89" s="18">
        <f>IF(C89="","",IFERROR(INDEX(Jobs!$B$5:$B$604,MATCH(C89,Jobs!$A$5:$A$604,0)),""))</f>
        <v>0</v>
      </c>
      <c r="J89" s="21">
        <f>IF(C89="","",IFERROR(INDEX(Jobs!$AJ$5:$AJ$604,MATCH(C89,Jobs!$A$5:$A$604,0)),"0"))</f>
        <v>0</v>
      </c>
      <c r="K89" s="23">
        <f>IF(C89="","",IFERROR(INDEX(Jobs!$M$5:$M$604,MATCH(C89,Jobs!$A$5:$A$604,0)),""))</f>
        <v>0</v>
      </c>
      <c r="L89" s="51">
        <f>IF(B89="","",IF(E89&lt;&gt;"",E89,IF(C89="","",K89&amp;" - "&amp;TEXT(D89,"d mmm yyyy"))))</f>
        <v>0</v>
      </c>
      <c r="M89" s="21">
        <f>IF(B89="","",IF(G89&lt;&gt;"",G89,IFERROR(J89*1,0)))</f>
        <v>0</v>
      </c>
      <c r="N89" s="21">
        <f>IF(B89="","",ROUND(IF(F89="",1,F89)*M89,2))</f>
        <v>0</v>
      </c>
      <c r="O89" s="39">
        <f>IF(B89="","",IF(C89="","",IF(COUNTIFS($C$5:$C$804,C89)&gt;1,"Duplicate","OK")))</f>
        <v>0</v>
      </c>
      <c r="P89" s="31">
        <f>IF(OR(B89="",E89=""),"",COUNTIFS($B$5:B89,B89))</f>
        <v>0</v>
      </c>
      <c r="Q89" s="23">
        <f>IF(P89="","",B89&amp;"|"&amp;P89)</f>
        <v>0</v>
      </c>
      <c r="R89" s="39">
        <f>IF(B89="","",IF(O89="Duplicate","Duplicate - job billed twice",IF(M89=0,"Add - no price on this line",IF(AND(C89="",E89=""),"Add - what is this line for?","OK"))))</f>
        <v>0</v>
      </c>
    </row>
    <row r="90" spans="1:18">
      <c r="A90" s="43">
        <f>IF(B90="","","IL-"&amp;TEXT(ROW()-4,"0000"))</f>
        <v>0</v>
      </c>
      <c r="D90" s="18">
        <f>IF(C90="","",IFERROR(INDEX(Jobs!$B$5:$B$604,MATCH(C90,Jobs!$A$5:$A$604,0)),""))</f>
        <v>0</v>
      </c>
      <c r="J90" s="21">
        <f>IF(C90="","",IFERROR(INDEX(Jobs!$AJ$5:$AJ$604,MATCH(C90,Jobs!$A$5:$A$604,0)),"0"))</f>
        <v>0</v>
      </c>
      <c r="K90" s="23">
        <f>IF(C90="","",IFERROR(INDEX(Jobs!$M$5:$M$604,MATCH(C90,Jobs!$A$5:$A$604,0)),""))</f>
        <v>0</v>
      </c>
      <c r="L90" s="51">
        <f>IF(B90="","",IF(E90&lt;&gt;"",E90,IF(C90="","",K90&amp;" - "&amp;TEXT(D90,"d mmm yyyy"))))</f>
        <v>0</v>
      </c>
      <c r="M90" s="21">
        <f>IF(B90="","",IF(G90&lt;&gt;"",G90,IFERROR(J90*1,0)))</f>
        <v>0</v>
      </c>
      <c r="N90" s="21">
        <f>IF(B90="","",ROUND(IF(F90="",1,F90)*M90,2))</f>
        <v>0</v>
      </c>
      <c r="O90" s="39">
        <f>IF(B90="","",IF(C90="","",IF(COUNTIFS($C$5:$C$804,C90)&gt;1,"Duplicate","OK")))</f>
        <v>0</v>
      </c>
      <c r="P90" s="31">
        <f>IF(OR(B90="",E90=""),"",COUNTIFS($B$5:B90,B90))</f>
        <v>0</v>
      </c>
      <c r="Q90" s="23">
        <f>IF(P90="","",B90&amp;"|"&amp;P90)</f>
        <v>0</v>
      </c>
      <c r="R90" s="39">
        <f>IF(B90="","",IF(O90="Duplicate","Duplicate - job billed twice",IF(M90=0,"Add - no price on this line",IF(AND(C90="",E90=""),"Add - what is this line for?","OK"))))</f>
        <v>0</v>
      </c>
    </row>
    <row r="91" spans="1:18">
      <c r="A91" s="43">
        <f>IF(B91="","","IL-"&amp;TEXT(ROW()-4,"0000"))</f>
        <v>0</v>
      </c>
      <c r="D91" s="18">
        <f>IF(C91="","",IFERROR(INDEX(Jobs!$B$5:$B$604,MATCH(C91,Jobs!$A$5:$A$604,0)),""))</f>
        <v>0</v>
      </c>
      <c r="J91" s="21">
        <f>IF(C91="","",IFERROR(INDEX(Jobs!$AJ$5:$AJ$604,MATCH(C91,Jobs!$A$5:$A$604,0)),"0"))</f>
        <v>0</v>
      </c>
      <c r="K91" s="23">
        <f>IF(C91="","",IFERROR(INDEX(Jobs!$M$5:$M$604,MATCH(C91,Jobs!$A$5:$A$604,0)),""))</f>
        <v>0</v>
      </c>
      <c r="L91" s="51">
        <f>IF(B91="","",IF(E91&lt;&gt;"",E91,IF(C91="","",K91&amp;" - "&amp;TEXT(D91,"d mmm yyyy"))))</f>
        <v>0</v>
      </c>
      <c r="M91" s="21">
        <f>IF(B91="","",IF(G91&lt;&gt;"",G91,IFERROR(J91*1,0)))</f>
        <v>0</v>
      </c>
      <c r="N91" s="21">
        <f>IF(B91="","",ROUND(IF(F91="",1,F91)*M91,2))</f>
        <v>0</v>
      </c>
      <c r="O91" s="39">
        <f>IF(B91="","",IF(C91="","",IF(COUNTIFS($C$5:$C$804,C91)&gt;1,"Duplicate","OK")))</f>
        <v>0</v>
      </c>
      <c r="P91" s="31">
        <f>IF(OR(B91="",E91=""),"",COUNTIFS($B$5:B91,B91))</f>
        <v>0</v>
      </c>
      <c r="Q91" s="23">
        <f>IF(P91="","",B91&amp;"|"&amp;P91)</f>
        <v>0</v>
      </c>
      <c r="R91" s="39">
        <f>IF(B91="","",IF(O91="Duplicate","Duplicate - job billed twice",IF(M91=0,"Add - no price on this line",IF(AND(C91="",E91=""),"Add - what is this line for?","OK"))))</f>
        <v>0</v>
      </c>
    </row>
    <row r="92" spans="1:18">
      <c r="A92" s="43">
        <f>IF(B92="","","IL-"&amp;TEXT(ROW()-4,"0000"))</f>
        <v>0</v>
      </c>
      <c r="D92" s="18">
        <f>IF(C92="","",IFERROR(INDEX(Jobs!$B$5:$B$604,MATCH(C92,Jobs!$A$5:$A$604,0)),""))</f>
        <v>0</v>
      </c>
      <c r="J92" s="21">
        <f>IF(C92="","",IFERROR(INDEX(Jobs!$AJ$5:$AJ$604,MATCH(C92,Jobs!$A$5:$A$604,0)),"0"))</f>
        <v>0</v>
      </c>
      <c r="K92" s="23">
        <f>IF(C92="","",IFERROR(INDEX(Jobs!$M$5:$M$604,MATCH(C92,Jobs!$A$5:$A$604,0)),""))</f>
        <v>0</v>
      </c>
      <c r="L92" s="51">
        <f>IF(B92="","",IF(E92&lt;&gt;"",E92,IF(C92="","",K92&amp;" - "&amp;TEXT(D92,"d mmm yyyy"))))</f>
        <v>0</v>
      </c>
      <c r="M92" s="21">
        <f>IF(B92="","",IF(G92&lt;&gt;"",G92,IFERROR(J92*1,0)))</f>
        <v>0</v>
      </c>
      <c r="N92" s="21">
        <f>IF(B92="","",ROUND(IF(F92="",1,F92)*M92,2))</f>
        <v>0</v>
      </c>
      <c r="O92" s="39">
        <f>IF(B92="","",IF(C92="","",IF(COUNTIFS($C$5:$C$804,C92)&gt;1,"Duplicate","OK")))</f>
        <v>0</v>
      </c>
      <c r="P92" s="31">
        <f>IF(OR(B92="",E92=""),"",COUNTIFS($B$5:B92,B92))</f>
        <v>0</v>
      </c>
      <c r="Q92" s="23">
        <f>IF(P92="","",B92&amp;"|"&amp;P92)</f>
        <v>0</v>
      </c>
      <c r="R92" s="39">
        <f>IF(B92="","",IF(O92="Duplicate","Duplicate - job billed twice",IF(M92=0,"Add - no price on this line",IF(AND(C92="",E92=""),"Add - what is this line for?","OK"))))</f>
        <v>0</v>
      </c>
    </row>
    <row r="93" spans="1:18">
      <c r="A93" s="43">
        <f>IF(B93="","","IL-"&amp;TEXT(ROW()-4,"0000"))</f>
        <v>0</v>
      </c>
      <c r="D93" s="18">
        <f>IF(C93="","",IFERROR(INDEX(Jobs!$B$5:$B$604,MATCH(C93,Jobs!$A$5:$A$604,0)),""))</f>
        <v>0</v>
      </c>
      <c r="J93" s="21">
        <f>IF(C93="","",IFERROR(INDEX(Jobs!$AJ$5:$AJ$604,MATCH(C93,Jobs!$A$5:$A$604,0)),"0"))</f>
        <v>0</v>
      </c>
      <c r="K93" s="23">
        <f>IF(C93="","",IFERROR(INDEX(Jobs!$M$5:$M$604,MATCH(C93,Jobs!$A$5:$A$604,0)),""))</f>
        <v>0</v>
      </c>
      <c r="L93" s="51">
        <f>IF(B93="","",IF(E93&lt;&gt;"",E93,IF(C93="","",K93&amp;" - "&amp;TEXT(D93,"d mmm yyyy"))))</f>
        <v>0</v>
      </c>
      <c r="M93" s="21">
        <f>IF(B93="","",IF(G93&lt;&gt;"",G93,IFERROR(J93*1,0)))</f>
        <v>0</v>
      </c>
      <c r="N93" s="21">
        <f>IF(B93="","",ROUND(IF(F93="",1,F93)*M93,2))</f>
        <v>0</v>
      </c>
      <c r="O93" s="39">
        <f>IF(B93="","",IF(C93="","",IF(COUNTIFS($C$5:$C$804,C93)&gt;1,"Duplicate","OK")))</f>
        <v>0</v>
      </c>
      <c r="P93" s="31">
        <f>IF(OR(B93="",E93=""),"",COUNTIFS($B$5:B93,B93))</f>
        <v>0</v>
      </c>
      <c r="Q93" s="23">
        <f>IF(P93="","",B93&amp;"|"&amp;P93)</f>
        <v>0</v>
      </c>
      <c r="R93" s="39">
        <f>IF(B93="","",IF(O93="Duplicate","Duplicate - job billed twice",IF(M93=0,"Add - no price on this line",IF(AND(C93="",E93=""),"Add - what is this line for?","OK"))))</f>
        <v>0</v>
      </c>
    </row>
    <row r="94" spans="1:18">
      <c r="A94" s="43">
        <f>IF(B94="","","IL-"&amp;TEXT(ROW()-4,"0000"))</f>
        <v>0</v>
      </c>
      <c r="D94" s="18">
        <f>IF(C94="","",IFERROR(INDEX(Jobs!$B$5:$B$604,MATCH(C94,Jobs!$A$5:$A$604,0)),""))</f>
        <v>0</v>
      </c>
      <c r="J94" s="21">
        <f>IF(C94="","",IFERROR(INDEX(Jobs!$AJ$5:$AJ$604,MATCH(C94,Jobs!$A$5:$A$604,0)),"0"))</f>
        <v>0</v>
      </c>
      <c r="K94" s="23">
        <f>IF(C94="","",IFERROR(INDEX(Jobs!$M$5:$M$604,MATCH(C94,Jobs!$A$5:$A$604,0)),""))</f>
        <v>0</v>
      </c>
      <c r="L94" s="51">
        <f>IF(B94="","",IF(E94&lt;&gt;"",E94,IF(C94="","",K94&amp;" - "&amp;TEXT(D94,"d mmm yyyy"))))</f>
        <v>0</v>
      </c>
      <c r="M94" s="21">
        <f>IF(B94="","",IF(G94&lt;&gt;"",G94,IFERROR(J94*1,0)))</f>
        <v>0</v>
      </c>
      <c r="N94" s="21">
        <f>IF(B94="","",ROUND(IF(F94="",1,F94)*M94,2))</f>
        <v>0</v>
      </c>
      <c r="O94" s="39">
        <f>IF(B94="","",IF(C94="","",IF(COUNTIFS($C$5:$C$804,C94)&gt;1,"Duplicate","OK")))</f>
        <v>0</v>
      </c>
      <c r="P94" s="31">
        <f>IF(OR(B94="",E94=""),"",COUNTIFS($B$5:B94,B94))</f>
        <v>0</v>
      </c>
      <c r="Q94" s="23">
        <f>IF(P94="","",B94&amp;"|"&amp;P94)</f>
        <v>0</v>
      </c>
      <c r="R94" s="39">
        <f>IF(B94="","",IF(O94="Duplicate","Duplicate - job billed twice",IF(M94=0,"Add - no price on this line",IF(AND(C94="",E94=""),"Add - what is this line for?","OK"))))</f>
        <v>0</v>
      </c>
    </row>
    <row r="95" spans="1:18">
      <c r="A95" s="43">
        <f>IF(B95="","","IL-"&amp;TEXT(ROW()-4,"0000"))</f>
        <v>0</v>
      </c>
      <c r="D95" s="18">
        <f>IF(C95="","",IFERROR(INDEX(Jobs!$B$5:$B$604,MATCH(C95,Jobs!$A$5:$A$604,0)),""))</f>
        <v>0</v>
      </c>
      <c r="J95" s="21">
        <f>IF(C95="","",IFERROR(INDEX(Jobs!$AJ$5:$AJ$604,MATCH(C95,Jobs!$A$5:$A$604,0)),"0"))</f>
        <v>0</v>
      </c>
      <c r="K95" s="23">
        <f>IF(C95="","",IFERROR(INDEX(Jobs!$M$5:$M$604,MATCH(C95,Jobs!$A$5:$A$604,0)),""))</f>
        <v>0</v>
      </c>
      <c r="L95" s="51">
        <f>IF(B95="","",IF(E95&lt;&gt;"",E95,IF(C95="","",K95&amp;" - "&amp;TEXT(D95,"d mmm yyyy"))))</f>
        <v>0</v>
      </c>
      <c r="M95" s="21">
        <f>IF(B95="","",IF(G95&lt;&gt;"",G95,IFERROR(J95*1,0)))</f>
        <v>0</v>
      </c>
      <c r="N95" s="21">
        <f>IF(B95="","",ROUND(IF(F95="",1,F95)*M95,2))</f>
        <v>0</v>
      </c>
      <c r="O95" s="39">
        <f>IF(B95="","",IF(C95="","",IF(COUNTIFS($C$5:$C$804,C95)&gt;1,"Duplicate","OK")))</f>
        <v>0</v>
      </c>
      <c r="P95" s="31">
        <f>IF(OR(B95="",E95=""),"",COUNTIFS($B$5:B95,B95))</f>
        <v>0</v>
      </c>
      <c r="Q95" s="23">
        <f>IF(P95="","",B95&amp;"|"&amp;P95)</f>
        <v>0</v>
      </c>
      <c r="R95" s="39">
        <f>IF(B95="","",IF(O95="Duplicate","Duplicate - job billed twice",IF(M95=0,"Add - no price on this line",IF(AND(C95="",E95=""),"Add - what is this line for?","OK"))))</f>
        <v>0</v>
      </c>
    </row>
    <row r="96" spans="1:18">
      <c r="A96" s="43">
        <f>IF(B96="","","IL-"&amp;TEXT(ROW()-4,"0000"))</f>
        <v>0</v>
      </c>
      <c r="D96" s="18">
        <f>IF(C96="","",IFERROR(INDEX(Jobs!$B$5:$B$604,MATCH(C96,Jobs!$A$5:$A$604,0)),""))</f>
        <v>0</v>
      </c>
      <c r="J96" s="21">
        <f>IF(C96="","",IFERROR(INDEX(Jobs!$AJ$5:$AJ$604,MATCH(C96,Jobs!$A$5:$A$604,0)),"0"))</f>
        <v>0</v>
      </c>
      <c r="K96" s="23">
        <f>IF(C96="","",IFERROR(INDEX(Jobs!$M$5:$M$604,MATCH(C96,Jobs!$A$5:$A$604,0)),""))</f>
        <v>0</v>
      </c>
      <c r="L96" s="51">
        <f>IF(B96="","",IF(E96&lt;&gt;"",E96,IF(C96="","",K96&amp;" - "&amp;TEXT(D96,"d mmm yyyy"))))</f>
        <v>0</v>
      </c>
      <c r="M96" s="21">
        <f>IF(B96="","",IF(G96&lt;&gt;"",G96,IFERROR(J96*1,0)))</f>
        <v>0</v>
      </c>
      <c r="N96" s="21">
        <f>IF(B96="","",ROUND(IF(F96="",1,F96)*M96,2))</f>
        <v>0</v>
      </c>
      <c r="O96" s="39">
        <f>IF(B96="","",IF(C96="","",IF(COUNTIFS($C$5:$C$804,C96)&gt;1,"Duplicate","OK")))</f>
        <v>0</v>
      </c>
      <c r="P96" s="31">
        <f>IF(OR(B96="",E96=""),"",COUNTIFS($B$5:B96,B96))</f>
        <v>0</v>
      </c>
      <c r="Q96" s="23">
        <f>IF(P96="","",B96&amp;"|"&amp;P96)</f>
        <v>0</v>
      </c>
      <c r="R96" s="39">
        <f>IF(B96="","",IF(O96="Duplicate","Duplicate - job billed twice",IF(M96=0,"Add - no price on this line",IF(AND(C96="",E96=""),"Add - what is this line for?","OK"))))</f>
        <v>0</v>
      </c>
    </row>
    <row r="97" spans="1:18">
      <c r="A97" s="43">
        <f>IF(B97="","","IL-"&amp;TEXT(ROW()-4,"0000"))</f>
        <v>0</v>
      </c>
      <c r="D97" s="18">
        <f>IF(C97="","",IFERROR(INDEX(Jobs!$B$5:$B$604,MATCH(C97,Jobs!$A$5:$A$604,0)),""))</f>
        <v>0</v>
      </c>
      <c r="J97" s="21">
        <f>IF(C97="","",IFERROR(INDEX(Jobs!$AJ$5:$AJ$604,MATCH(C97,Jobs!$A$5:$A$604,0)),"0"))</f>
        <v>0</v>
      </c>
      <c r="K97" s="23">
        <f>IF(C97="","",IFERROR(INDEX(Jobs!$M$5:$M$604,MATCH(C97,Jobs!$A$5:$A$604,0)),""))</f>
        <v>0</v>
      </c>
      <c r="L97" s="51">
        <f>IF(B97="","",IF(E97&lt;&gt;"",E97,IF(C97="","",K97&amp;" - "&amp;TEXT(D97,"d mmm yyyy"))))</f>
        <v>0</v>
      </c>
      <c r="M97" s="21">
        <f>IF(B97="","",IF(G97&lt;&gt;"",G97,IFERROR(J97*1,0)))</f>
        <v>0</v>
      </c>
      <c r="N97" s="21">
        <f>IF(B97="","",ROUND(IF(F97="",1,F97)*M97,2))</f>
        <v>0</v>
      </c>
      <c r="O97" s="39">
        <f>IF(B97="","",IF(C97="","",IF(COUNTIFS($C$5:$C$804,C97)&gt;1,"Duplicate","OK")))</f>
        <v>0</v>
      </c>
      <c r="P97" s="31">
        <f>IF(OR(B97="",E97=""),"",COUNTIFS($B$5:B97,B97))</f>
        <v>0</v>
      </c>
      <c r="Q97" s="23">
        <f>IF(P97="","",B97&amp;"|"&amp;P97)</f>
        <v>0</v>
      </c>
      <c r="R97" s="39">
        <f>IF(B97="","",IF(O97="Duplicate","Duplicate - job billed twice",IF(M97=0,"Add - no price on this line",IF(AND(C97="",E97=""),"Add - what is this line for?","OK"))))</f>
        <v>0</v>
      </c>
    </row>
    <row r="98" spans="1:18">
      <c r="A98" s="43">
        <f>IF(B98="","","IL-"&amp;TEXT(ROW()-4,"0000"))</f>
        <v>0</v>
      </c>
      <c r="D98" s="18">
        <f>IF(C98="","",IFERROR(INDEX(Jobs!$B$5:$B$604,MATCH(C98,Jobs!$A$5:$A$604,0)),""))</f>
        <v>0</v>
      </c>
      <c r="J98" s="21">
        <f>IF(C98="","",IFERROR(INDEX(Jobs!$AJ$5:$AJ$604,MATCH(C98,Jobs!$A$5:$A$604,0)),"0"))</f>
        <v>0</v>
      </c>
      <c r="K98" s="23">
        <f>IF(C98="","",IFERROR(INDEX(Jobs!$M$5:$M$604,MATCH(C98,Jobs!$A$5:$A$604,0)),""))</f>
        <v>0</v>
      </c>
      <c r="L98" s="51">
        <f>IF(B98="","",IF(E98&lt;&gt;"",E98,IF(C98="","",K98&amp;" - "&amp;TEXT(D98,"d mmm yyyy"))))</f>
        <v>0</v>
      </c>
      <c r="M98" s="21">
        <f>IF(B98="","",IF(G98&lt;&gt;"",G98,IFERROR(J98*1,0)))</f>
        <v>0</v>
      </c>
      <c r="N98" s="21">
        <f>IF(B98="","",ROUND(IF(F98="",1,F98)*M98,2))</f>
        <v>0</v>
      </c>
      <c r="O98" s="39">
        <f>IF(B98="","",IF(C98="","",IF(COUNTIFS($C$5:$C$804,C98)&gt;1,"Duplicate","OK")))</f>
        <v>0</v>
      </c>
      <c r="P98" s="31">
        <f>IF(OR(B98="",E98=""),"",COUNTIFS($B$5:B98,B98))</f>
        <v>0</v>
      </c>
      <c r="Q98" s="23">
        <f>IF(P98="","",B98&amp;"|"&amp;P98)</f>
        <v>0</v>
      </c>
      <c r="R98" s="39">
        <f>IF(B98="","",IF(O98="Duplicate","Duplicate - job billed twice",IF(M98=0,"Add - no price on this line",IF(AND(C98="",E98=""),"Add - what is this line for?","OK"))))</f>
        <v>0</v>
      </c>
    </row>
    <row r="99" spans="1:18">
      <c r="A99" s="43">
        <f>IF(B99="","","IL-"&amp;TEXT(ROW()-4,"0000"))</f>
        <v>0</v>
      </c>
      <c r="D99" s="18">
        <f>IF(C99="","",IFERROR(INDEX(Jobs!$B$5:$B$604,MATCH(C99,Jobs!$A$5:$A$604,0)),""))</f>
        <v>0</v>
      </c>
      <c r="J99" s="21">
        <f>IF(C99="","",IFERROR(INDEX(Jobs!$AJ$5:$AJ$604,MATCH(C99,Jobs!$A$5:$A$604,0)),"0"))</f>
        <v>0</v>
      </c>
      <c r="K99" s="23">
        <f>IF(C99="","",IFERROR(INDEX(Jobs!$M$5:$M$604,MATCH(C99,Jobs!$A$5:$A$604,0)),""))</f>
        <v>0</v>
      </c>
      <c r="L99" s="51">
        <f>IF(B99="","",IF(E99&lt;&gt;"",E99,IF(C99="","",K99&amp;" - "&amp;TEXT(D99,"d mmm yyyy"))))</f>
        <v>0</v>
      </c>
      <c r="M99" s="21">
        <f>IF(B99="","",IF(G99&lt;&gt;"",G99,IFERROR(J99*1,0)))</f>
        <v>0</v>
      </c>
      <c r="N99" s="21">
        <f>IF(B99="","",ROUND(IF(F99="",1,F99)*M99,2))</f>
        <v>0</v>
      </c>
      <c r="O99" s="39">
        <f>IF(B99="","",IF(C99="","",IF(COUNTIFS($C$5:$C$804,C99)&gt;1,"Duplicate","OK")))</f>
        <v>0</v>
      </c>
      <c r="P99" s="31">
        <f>IF(OR(B99="",E99=""),"",COUNTIFS($B$5:B99,B99))</f>
        <v>0</v>
      </c>
      <c r="Q99" s="23">
        <f>IF(P99="","",B99&amp;"|"&amp;P99)</f>
        <v>0</v>
      </c>
      <c r="R99" s="39">
        <f>IF(B99="","",IF(O99="Duplicate","Duplicate - job billed twice",IF(M99=0,"Add - no price on this line",IF(AND(C99="",E99=""),"Add - what is this line for?","OK"))))</f>
        <v>0</v>
      </c>
    </row>
    <row r="100" spans="1:18">
      <c r="A100" s="43">
        <f>IF(B100="","","IL-"&amp;TEXT(ROW()-4,"0000"))</f>
        <v>0</v>
      </c>
      <c r="D100" s="18">
        <f>IF(C100="","",IFERROR(INDEX(Jobs!$B$5:$B$604,MATCH(C100,Jobs!$A$5:$A$604,0)),""))</f>
        <v>0</v>
      </c>
      <c r="J100" s="21">
        <f>IF(C100="","",IFERROR(INDEX(Jobs!$AJ$5:$AJ$604,MATCH(C100,Jobs!$A$5:$A$604,0)),"0"))</f>
        <v>0</v>
      </c>
      <c r="K100" s="23">
        <f>IF(C100="","",IFERROR(INDEX(Jobs!$M$5:$M$604,MATCH(C100,Jobs!$A$5:$A$604,0)),""))</f>
        <v>0</v>
      </c>
      <c r="L100" s="51">
        <f>IF(B100="","",IF(E100&lt;&gt;"",E100,IF(C100="","",K100&amp;" - "&amp;TEXT(D100,"d mmm yyyy"))))</f>
        <v>0</v>
      </c>
      <c r="M100" s="21">
        <f>IF(B100="","",IF(G100&lt;&gt;"",G100,IFERROR(J100*1,0)))</f>
        <v>0</v>
      </c>
      <c r="N100" s="21">
        <f>IF(B100="","",ROUND(IF(F100="",1,F100)*M100,2))</f>
        <v>0</v>
      </c>
      <c r="O100" s="39">
        <f>IF(B100="","",IF(C100="","",IF(COUNTIFS($C$5:$C$804,C100)&gt;1,"Duplicate","OK")))</f>
        <v>0</v>
      </c>
      <c r="P100" s="31">
        <f>IF(OR(B100="",E100=""),"",COUNTIFS($B$5:B100,B100))</f>
        <v>0</v>
      </c>
      <c r="Q100" s="23">
        <f>IF(P100="","",B100&amp;"|"&amp;P100)</f>
        <v>0</v>
      </c>
      <c r="R100" s="39">
        <f>IF(B100="","",IF(O100="Duplicate","Duplicate - job billed twice",IF(M100=0,"Add - no price on this line",IF(AND(C100="",E100=""),"Add - what is this line for?","OK"))))</f>
        <v>0</v>
      </c>
    </row>
    <row r="101" spans="1:18">
      <c r="A101" s="43">
        <f>IF(B101="","","IL-"&amp;TEXT(ROW()-4,"0000"))</f>
        <v>0</v>
      </c>
      <c r="D101" s="18">
        <f>IF(C101="","",IFERROR(INDEX(Jobs!$B$5:$B$604,MATCH(C101,Jobs!$A$5:$A$604,0)),""))</f>
        <v>0</v>
      </c>
      <c r="J101" s="21">
        <f>IF(C101="","",IFERROR(INDEX(Jobs!$AJ$5:$AJ$604,MATCH(C101,Jobs!$A$5:$A$604,0)),"0"))</f>
        <v>0</v>
      </c>
      <c r="K101" s="23">
        <f>IF(C101="","",IFERROR(INDEX(Jobs!$M$5:$M$604,MATCH(C101,Jobs!$A$5:$A$604,0)),""))</f>
        <v>0</v>
      </c>
      <c r="L101" s="51">
        <f>IF(B101="","",IF(E101&lt;&gt;"",E101,IF(C101="","",K101&amp;" - "&amp;TEXT(D101,"d mmm yyyy"))))</f>
        <v>0</v>
      </c>
      <c r="M101" s="21">
        <f>IF(B101="","",IF(G101&lt;&gt;"",G101,IFERROR(J101*1,0)))</f>
        <v>0</v>
      </c>
      <c r="N101" s="21">
        <f>IF(B101="","",ROUND(IF(F101="",1,F101)*M101,2))</f>
        <v>0</v>
      </c>
      <c r="O101" s="39">
        <f>IF(B101="","",IF(C101="","",IF(COUNTIFS($C$5:$C$804,C101)&gt;1,"Duplicate","OK")))</f>
        <v>0</v>
      </c>
      <c r="P101" s="31">
        <f>IF(OR(B101="",E101=""),"",COUNTIFS($B$5:B101,B101))</f>
        <v>0</v>
      </c>
      <c r="Q101" s="23">
        <f>IF(P101="","",B101&amp;"|"&amp;P101)</f>
        <v>0</v>
      </c>
      <c r="R101" s="39">
        <f>IF(B101="","",IF(O101="Duplicate","Duplicate - job billed twice",IF(M101=0,"Add - no price on this line",IF(AND(C101="",E101=""),"Add - what is this line for?","OK"))))</f>
        <v>0</v>
      </c>
    </row>
    <row r="102" spans="1:18">
      <c r="A102" s="43">
        <f>IF(B102="","","IL-"&amp;TEXT(ROW()-4,"0000"))</f>
        <v>0</v>
      </c>
      <c r="D102" s="18">
        <f>IF(C102="","",IFERROR(INDEX(Jobs!$B$5:$B$604,MATCH(C102,Jobs!$A$5:$A$604,0)),""))</f>
        <v>0</v>
      </c>
      <c r="J102" s="21">
        <f>IF(C102="","",IFERROR(INDEX(Jobs!$AJ$5:$AJ$604,MATCH(C102,Jobs!$A$5:$A$604,0)),"0"))</f>
        <v>0</v>
      </c>
      <c r="K102" s="23">
        <f>IF(C102="","",IFERROR(INDEX(Jobs!$M$5:$M$604,MATCH(C102,Jobs!$A$5:$A$604,0)),""))</f>
        <v>0</v>
      </c>
      <c r="L102" s="51">
        <f>IF(B102="","",IF(E102&lt;&gt;"",E102,IF(C102="","",K102&amp;" - "&amp;TEXT(D102,"d mmm yyyy"))))</f>
        <v>0</v>
      </c>
      <c r="M102" s="21">
        <f>IF(B102="","",IF(G102&lt;&gt;"",G102,IFERROR(J102*1,0)))</f>
        <v>0</v>
      </c>
      <c r="N102" s="21">
        <f>IF(B102="","",ROUND(IF(F102="",1,F102)*M102,2))</f>
        <v>0</v>
      </c>
      <c r="O102" s="39">
        <f>IF(B102="","",IF(C102="","",IF(COUNTIFS($C$5:$C$804,C102)&gt;1,"Duplicate","OK")))</f>
        <v>0</v>
      </c>
      <c r="P102" s="31">
        <f>IF(OR(B102="",E102=""),"",COUNTIFS($B$5:B102,B102))</f>
        <v>0</v>
      </c>
      <c r="Q102" s="23">
        <f>IF(P102="","",B102&amp;"|"&amp;P102)</f>
        <v>0</v>
      </c>
      <c r="R102" s="39">
        <f>IF(B102="","",IF(O102="Duplicate","Duplicate - job billed twice",IF(M102=0,"Add - no price on this line",IF(AND(C102="",E102=""),"Add - what is this line for?","OK"))))</f>
        <v>0</v>
      </c>
    </row>
    <row r="103" spans="1:18">
      <c r="A103" s="43">
        <f>IF(B103="","","IL-"&amp;TEXT(ROW()-4,"0000"))</f>
        <v>0</v>
      </c>
      <c r="D103" s="18">
        <f>IF(C103="","",IFERROR(INDEX(Jobs!$B$5:$B$604,MATCH(C103,Jobs!$A$5:$A$604,0)),""))</f>
        <v>0</v>
      </c>
      <c r="J103" s="21">
        <f>IF(C103="","",IFERROR(INDEX(Jobs!$AJ$5:$AJ$604,MATCH(C103,Jobs!$A$5:$A$604,0)),"0"))</f>
        <v>0</v>
      </c>
      <c r="K103" s="23">
        <f>IF(C103="","",IFERROR(INDEX(Jobs!$M$5:$M$604,MATCH(C103,Jobs!$A$5:$A$604,0)),""))</f>
        <v>0</v>
      </c>
      <c r="L103" s="51">
        <f>IF(B103="","",IF(E103&lt;&gt;"",E103,IF(C103="","",K103&amp;" - "&amp;TEXT(D103,"d mmm yyyy"))))</f>
        <v>0</v>
      </c>
      <c r="M103" s="21">
        <f>IF(B103="","",IF(G103&lt;&gt;"",G103,IFERROR(J103*1,0)))</f>
        <v>0</v>
      </c>
      <c r="N103" s="21">
        <f>IF(B103="","",ROUND(IF(F103="",1,F103)*M103,2))</f>
        <v>0</v>
      </c>
      <c r="O103" s="39">
        <f>IF(B103="","",IF(C103="","",IF(COUNTIFS($C$5:$C$804,C103)&gt;1,"Duplicate","OK")))</f>
        <v>0</v>
      </c>
      <c r="P103" s="31">
        <f>IF(OR(B103="",E103=""),"",COUNTIFS($B$5:B103,B103))</f>
        <v>0</v>
      </c>
      <c r="Q103" s="23">
        <f>IF(P103="","",B103&amp;"|"&amp;P103)</f>
        <v>0</v>
      </c>
      <c r="R103" s="39">
        <f>IF(B103="","",IF(O103="Duplicate","Duplicate - job billed twice",IF(M103=0,"Add - no price on this line",IF(AND(C103="",E103=""),"Add - what is this line for?","OK"))))</f>
        <v>0</v>
      </c>
    </row>
    <row r="104" spans="1:18">
      <c r="A104" s="43">
        <f>IF(B104="","","IL-"&amp;TEXT(ROW()-4,"0000"))</f>
        <v>0</v>
      </c>
      <c r="D104" s="18">
        <f>IF(C104="","",IFERROR(INDEX(Jobs!$B$5:$B$604,MATCH(C104,Jobs!$A$5:$A$604,0)),""))</f>
        <v>0</v>
      </c>
      <c r="J104" s="21">
        <f>IF(C104="","",IFERROR(INDEX(Jobs!$AJ$5:$AJ$604,MATCH(C104,Jobs!$A$5:$A$604,0)),"0"))</f>
        <v>0</v>
      </c>
      <c r="K104" s="23">
        <f>IF(C104="","",IFERROR(INDEX(Jobs!$M$5:$M$604,MATCH(C104,Jobs!$A$5:$A$604,0)),""))</f>
        <v>0</v>
      </c>
      <c r="L104" s="51">
        <f>IF(B104="","",IF(E104&lt;&gt;"",E104,IF(C104="","",K104&amp;" - "&amp;TEXT(D104,"d mmm yyyy"))))</f>
        <v>0</v>
      </c>
      <c r="M104" s="21">
        <f>IF(B104="","",IF(G104&lt;&gt;"",G104,IFERROR(J104*1,0)))</f>
        <v>0</v>
      </c>
      <c r="N104" s="21">
        <f>IF(B104="","",ROUND(IF(F104="",1,F104)*M104,2))</f>
        <v>0</v>
      </c>
      <c r="O104" s="39">
        <f>IF(B104="","",IF(C104="","",IF(COUNTIFS($C$5:$C$804,C104)&gt;1,"Duplicate","OK")))</f>
        <v>0</v>
      </c>
      <c r="P104" s="31">
        <f>IF(OR(B104="",E104=""),"",COUNTIFS($B$5:B104,B104))</f>
        <v>0</v>
      </c>
      <c r="Q104" s="23">
        <f>IF(P104="","",B104&amp;"|"&amp;P104)</f>
        <v>0</v>
      </c>
      <c r="R104" s="39">
        <f>IF(B104="","",IF(O104="Duplicate","Duplicate - job billed twice",IF(M104=0,"Add - no price on this line",IF(AND(C104="",E104=""),"Add - what is this line for?","OK"))))</f>
        <v>0</v>
      </c>
    </row>
    <row r="105" spans="1:18">
      <c r="A105" s="43">
        <f>IF(B105="","","IL-"&amp;TEXT(ROW()-4,"0000"))</f>
        <v>0</v>
      </c>
      <c r="D105" s="18">
        <f>IF(C105="","",IFERROR(INDEX(Jobs!$B$5:$B$604,MATCH(C105,Jobs!$A$5:$A$604,0)),""))</f>
        <v>0</v>
      </c>
      <c r="J105" s="21">
        <f>IF(C105="","",IFERROR(INDEX(Jobs!$AJ$5:$AJ$604,MATCH(C105,Jobs!$A$5:$A$604,0)),"0"))</f>
        <v>0</v>
      </c>
      <c r="K105" s="23">
        <f>IF(C105="","",IFERROR(INDEX(Jobs!$M$5:$M$604,MATCH(C105,Jobs!$A$5:$A$604,0)),""))</f>
        <v>0</v>
      </c>
      <c r="L105" s="51">
        <f>IF(B105="","",IF(E105&lt;&gt;"",E105,IF(C105="","",K105&amp;" - "&amp;TEXT(D105,"d mmm yyyy"))))</f>
        <v>0</v>
      </c>
      <c r="M105" s="21">
        <f>IF(B105="","",IF(G105&lt;&gt;"",G105,IFERROR(J105*1,0)))</f>
        <v>0</v>
      </c>
      <c r="N105" s="21">
        <f>IF(B105="","",ROUND(IF(F105="",1,F105)*M105,2))</f>
        <v>0</v>
      </c>
      <c r="O105" s="39">
        <f>IF(B105="","",IF(C105="","",IF(COUNTIFS($C$5:$C$804,C105)&gt;1,"Duplicate","OK")))</f>
        <v>0</v>
      </c>
      <c r="P105" s="31">
        <f>IF(OR(B105="",E105=""),"",COUNTIFS($B$5:B105,B105))</f>
        <v>0</v>
      </c>
      <c r="Q105" s="23">
        <f>IF(P105="","",B105&amp;"|"&amp;P105)</f>
        <v>0</v>
      </c>
      <c r="R105" s="39">
        <f>IF(B105="","",IF(O105="Duplicate","Duplicate - job billed twice",IF(M105=0,"Add - no price on this line",IF(AND(C105="",E105=""),"Add - what is this line for?","OK"))))</f>
        <v>0</v>
      </c>
    </row>
    <row r="106" spans="1:18">
      <c r="A106" s="43">
        <f>IF(B106="","","IL-"&amp;TEXT(ROW()-4,"0000"))</f>
        <v>0</v>
      </c>
      <c r="D106" s="18">
        <f>IF(C106="","",IFERROR(INDEX(Jobs!$B$5:$B$604,MATCH(C106,Jobs!$A$5:$A$604,0)),""))</f>
        <v>0</v>
      </c>
      <c r="J106" s="21">
        <f>IF(C106="","",IFERROR(INDEX(Jobs!$AJ$5:$AJ$604,MATCH(C106,Jobs!$A$5:$A$604,0)),"0"))</f>
        <v>0</v>
      </c>
      <c r="K106" s="23">
        <f>IF(C106="","",IFERROR(INDEX(Jobs!$M$5:$M$604,MATCH(C106,Jobs!$A$5:$A$604,0)),""))</f>
        <v>0</v>
      </c>
      <c r="L106" s="51">
        <f>IF(B106="","",IF(E106&lt;&gt;"",E106,IF(C106="","",K106&amp;" - "&amp;TEXT(D106,"d mmm yyyy"))))</f>
        <v>0</v>
      </c>
      <c r="M106" s="21">
        <f>IF(B106="","",IF(G106&lt;&gt;"",G106,IFERROR(J106*1,0)))</f>
        <v>0</v>
      </c>
      <c r="N106" s="21">
        <f>IF(B106="","",ROUND(IF(F106="",1,F106)*M106,2))</f>
        <v>0</v>
      </c>
      <c r="O106" s="39">
        <f>IF(B106="","",IF(C106="","",IF(COUNTIFS($C$5:$C$804,C106)&gt;1,"Duplicate","OK")))</f>
        <v>0</v>
      </c>
      <c r="P106" s="31">
        <f>IF(OR(B106="",E106=""),"",COUNTIFS($B$5:B106,B106))</f>
        <v>0</v>
      </c>
      <c r="Q106" s="23">
        <f>IF(P106="","",B106&amp;"|"&amp;P106)</f>
        <v>0</v>
      </c>
      <c r="R106" s="39">
        <f>IF(B106="","",IF(O106="Duplicate","Duplicate - job billed twice",IF(M106=0,"Add - no price on this line",IF(AND(C106="",E106=""),"Add - what is this line for?","OK"))))</f>
        <v>0</v>
      </c>
    </row>
    <row r="107" spans="1:18">
      <c r="A107" s="43">
        <f>IF(B107="","","IL-"&amp;TEXT(ROW()-4,"0000"))</f>
        <v>0</v>
      </c>
      <c r="D107" s="18">
        <f>IF(C107="","",IFERROR(INDEX(Jobs!$B$5:$B$604,MATCH(C107,Jobs!$A$5:$A$604,0)),""))</f>
        <v>0</v>
      </c>
      <c r="J107" s="21">
        <f>IF(C107="","",IFERROR(INDEX(Jobs!$AJ$5:$AJ$604,MATCH(C107,Jobs!$A$5:$A$604,0)),"0"))</f>
        <v>0</v>
      </c>
      <c r="K107" s="23">
        <f>IF(C107="","",IFERROR(INDEX(Jobs!$M$5:$M$604,MATCH(C107,Jobs!$A$5:$A$604,0)),""))</f>
        <v>0</v>
      </c>
      <c r="L107" s="51">
        <f>IF(B107="","",IF(E107&lt;&gt;"",E107,IF(C107="","",K107&amp;" - "&amp;TEXT(D107,"d mmm yyyy"))))</f>
        <v>0</v>
      </c>
      <c r="M107" s="21">
        <f>IF(B107="","",IF(G107&lt;&gt;"",G107,IFERROR(J107*1,0)))</f>
        <v>0</v>
      </c>
      <c r="N107" s="21">
        <f>IF(B107="","",ROUND(IF(F107="",1,F107)*M107,2))</f>
        <v>0</v>
      </c>
      <c r="O107" s="39">
        <f>IF(B107="","",IF(C107="","",IF(COUNTIFS($C$5:$C$804,C107)&gt;1,"Duplicate","OK")))</f>
        <v>0</v>
      </c>
      <c r="P107" s="31">
        <f>IF(OR(B107="",E107=""),"",COUNTIFS($B$5:B107,B107))</f>
        <v>0</v>
      </c>
      <c r="Q107" s="23">
        <f>IF(P107="","",B107&amp;"|"&amp;P107)</f>
        <v>0</v>
      </c>
      <c r="R107" s="39">
        <f>IF(B107="","",IF(O107="Duplicate","Duplicate - job billed twice",IF(M107=0,"Add - no price on this line",IF(AND(C107="",E107=""),"Add - what is this line for?","OK"))))</f>
        <v>0</v>
      </c>
    </row>
    <row r="108" spans="1:18">
      <c r="A108" s="43">
        <f>IF(B108="","","IL-"&amp;TEXT(ROW()-4,"0000"))</f>
        <v>0</v>
      </c>
      <c r="D108" s="18">
        <f>IF(C108="","",IFERROR(INDEX(Jobs!$B$5:$B$604,MATCH(C108,Jobs!$A$5:$A$604,0)),""))</f>
        <v>0</v>
      </c>
      <c r="J108" s="21">
        <f>IF(C108="","",IFERROR(INDEX(Jobs!$AJ$5:$AJ$604,MATCH(C108,Jobs!$A$5:$A$604,0)),"0"))</f>
        <v>0</v>
      </c>
      <c r="K108" s="23">
        <f>IF(C108="","",IFERROR(INDEX(Jobs!$M$5:$M$604,MATCH(C108,Jobs!$A$5:$A$604,0)),""))</f>
        <v>0</v>
      </c>
      <c r="L108" s="51">
        <f>IF(B108="","",IF(E108&lt;&gt;"",E108,IF(C108="","",K108&amp;" - "&amp;TEXT(D108,"d mmm yyyy"))))</f>
        <v>0</v>
      </c>
      <c r="M108" s="21">
        <f>IF(B108="","",IF(G108&lt;&gt;"",G108,IFERROR(J108*1,0)))</f>
        <v>0</v>
      </c>
      <c r="N108" s="21">
        <f>IF(B108="","",ROUND(IF(F108="",1,F108)*M108,2))</f>
        <v>0</v>
      </c>
      <c r="O108" s="39">
        <f>IF(B108="","",IF(C108="","",IF(COUNTIFS($C$5:$C$804,C108)&gt;1,"Duplicate","OK")))</f>
        <v>0</v>
      </c>
      <c r="P108" s="31">
        <f>IF(OR(B108="",E108=""),"",COUNTIFS($B$5:B108,B108))</f>
        <v>0</v>
      </c>
      <c r="Q108" s="23">
        <f>IF(P108="","",B108&amp;"|"&amp;P108)</f>
        <v>0</v>
      </c>
      <c r="R108" s="39">
        <f>IF(B108="","",IF(O108="Duplicate","Duplicate - job billed twice",IF(M108=0,"Add - no price on this line",IF(AND(C108="",E108=""),"Add - what is this line for?","OK"))))</f>
        <v>0</v>
      </c>
    </row>
    <row r="109" spans="1:18">
      <c r="A109" s="43">
        <f>IF(B109="","","IL-"&amp;TEXT(ROW()-4,"0000"))</f>
        <v>0</v>
      </c>
      <c r="D109" s="18">
        <f>IF(C109="","",IFERROR(INDEX(Jobs!$B$5:$B$604,MATCH(C109,Jobs!$A$5:$A$604,0)),""))</f>
        <v>0</v>
      </c>
      <c r="J109" s="21">
        <f>IF(C109="","",IFERROR(INDEX(Jobs!$AJ$5:$AJ$604,MATCH(C109,Jobs!$A$5:$A$604,0)),"0"))</f>
        <v>0</v>
      </c>
      <c r="K109" s="23">
        <f>IF(C109="","",IFERROR(INDEX(Jobs!$M$5:$M$604,MATCH(C109,Jobs!$A$5:$A$604,0)),""))</f>
        <v>0</v>
      </c>
      <c r="L109" s="51">
        <f>IF(B109="","",IF(E109&lt;&gt;"",E109,IF(C109="","",K109&amp;" - "&amp;TEXT(D109,"d mmm yyyy"))))</f>
        <v>0</v>
      </c>
      <c r="M109" s="21">
        <f>IF(B109="","",IF(G109&lt;&gt;"",G109,IFERROR(J109*1,0)))</f>
        <v>0</v>
      </c>
      <c r="N109" s="21">
        <f>IF(B109="","",ROUND(IF(F109="",1,F109)*M109,2))</f>
        <v>0</v>
      </c>
      <c r="O109" s="39">
        <f>IF(B109="","",IF(C109="","",IF(COUNTIFS($C$5:$C$804,C109)&gt;1,"Duplicate","OK")))</f>
        <v>0</v>
      </c>
      <c r="P109" s="31">
        <f>IF(OR(B109="",E109=""),"",COUNTIFS($B$5:B109,B109))</f>
        <v>0</v>
      </c>
      <c r="Q109" s="23">
        <f>IF(P109="","",B109&amp;"|"&amp;P109)</f>
        <v>0</v>
      </c>
      <c r="R109" s="39">
        <f>IF(B109="","",IF(O109="Duplicate","Duplicate - job billed twice",IF(M109=0,"Add - no price on this line",IF(AND(C109="",E109=""),"Add - what is this line for?","OK"))))</f>
        <v>0</v>
      </c>
    </row>
    <row r="110" spans="1:18">
      <c r="A110" s="43">
        <f>IF(B110="","","IL-"&amp;TEXT(ROW()-4,"0000"))</f>
        <v>0</v>
      </c>
      <c r="D110" s="18">
        <f>IF(C110="","",IFERROR(INDEX(Jobs!$B$5:$B$604,MATCH(C110,Jobs!$A$5:$A$604,0)),""))</f>
        <v>0</v>
      </c>
      <c r="J110" s="21">
        <f>IF(C110="","",IFERROR(INDEX(Jobs!$AJ$5:$AJ$604,MATCH(C110,Jobs!$A$5:$A$604,0)),"0"))</f>
        <v>0</v>
      </c>
      <c r="K110" s="23">
        <f>IF(C110="","",IFERROR(INDEX(Jobs!$M$5:$M$604,MATCH(C110,Jobs!$A$5:$A$604,0)),""))</f>
        <v>0</v>
      </c>
      <c r="L110" s="51">
        <f>IF(B110="","",IF(E110&lt;&gt;"",E110,IF(C110="","",K110&amp;" - "&amp;TEXT(D110,"d mmm yyyy"))))</f>
        <v>0</v>
      </c>
      <c r="M110" s="21">
        <f>IF(B110="","",IF(G110&lt;&gt;"",G110,IFERROR(J110*1,0)))</f>
        <v>0</v>
      </c>
      <c r="N110" s="21">
        <f>IF(B110="","",ROUND(IF(F110="",1,F110)*M110,2))</f>
        <v>0</v>
      </c>
      <c r="O110" s="39">
        <f>IF(B110="","",IF(C110="","",IF(COUNTIFS($C$5:$C$804,C110)&gt;1,"Duplicate","OK")))</f>
        <v>0</v>
      </c>
      <c r="P110" s="31">
        <f>IF(OR(B110="",E110=""),"",COUNTIFS($B$5:B110,B110))</f>
        <v>0</v>
      </c>
      <c r="Q110" s="23">
        <f>IF(P110="","",B110&amp;"|"&amp;P110)</f>
        <v>0</v>
      </c>
      <c r="R110" s="39">
        <f>IF(B110="","",IF(O110="Duplicate","Duplicate - job billed twice",IF(M110=0,"Add - no price on this line",IF(AND(C110="",E110=""),"Add - what is this line for?","OK"))))</f>
        <v>0</v>
      </c>
    </row>
    <row r="111" spans="1:18">
      <c r="A111" s="43">
        <f>IF(B111="","","IL-"&amp;TEXT(ROW()-4,"0000"))</f>
        <v>0</v>
      </c>
      <c r="D111" s="18">
        <f>IF(C111="","",IFERROR(INDEX(Jobs!$B$5:$B$604,MATCH(C111,Jobs!$A$5:$A$604,0)),""))</f>
        <v>0</v>
      </c>
      <c r="J111" s="21">
        <f>IF(C111="","",IFERROR(INDEX(Jobs!$AJ$5:$AJ$604,MATCH(C111,Jobs!$A$5:$A$604,0)),"0"))</f>
        <v>0</v>
      </c>
      <c r="K111" s="23">
        <f>IF(C111="","",IFERROR(INDEX(Jobs!$M$5:$M$604,MATCH(C111,Jobs!$A$5:$A$604,0)),""))</f>
        <v>0</v>
      </c>
      <c r="L111" s="51">
        <f>IF(B111="","",IF(E111&lt;&gt;"",E111,IF(C111="","",K111&amp;" - "&amp;TEXT(D111,"d mmm yyyy"))))</f>
        <v>0</v>
      </c>
      <c r="M111" s="21">
        <f>IF(B111="","",IF(G111&lt;&gt;"",G111,IFERROR(J111*1,0)))</f>
        <v>0</v>
      </c>
      <c r="N111" s="21">
        <f>IF(B111="","",ROUND(IF(F111="",1,F111)*M111,2))</f>
        <v>0</v>
      </c>
      <c r="O111" s="39">
        <f>IF(B111="","",IF(C111="","",IF(COUNTIFS($C$5:$C$804,C111)&gt;1,"Duplicate","OK")))</f>
        <v>0</v>
      </c>
      <c r="P111" s="31">
        <f>IF(OR(B111="",E111=""),"",COUNTIFS($B$5:B111,B111))</f>
        <v>0</v>
      </c>
      <c r="Q111" s="23">
        <f>IF(P111="","",B111&amp;"|"&amp;P111)</f>
        <v>0</v>
      </c>
      <c r="R111" s="39">
        <f>IF(B111="","",IF(O111="Duplicate","Duplicate - job billed twice",IF(M111=0,"Add - no price on this line",IF(AND(C111="",E111=""),"Add - what is this line for?","OK"))))</f>
        <v>0</v>
      </c>
    </row>
    <row r="112" spans="1:18">
      <c r="A112" s="43">
        <f>IF(B112="","","IL-"&amp;TEXT(ROW()-4,"0000"))</f>
        <v>0</v>
      </c>
      <c r="D112" s="18">
        <f>IF(C112="","",IFERROR(INDEX(Jobs!$B$5:$B$604,MATCH(C112,Jobs!$A$5:$A$604,0)),""))</f>
        <v>0</v>
      </c>
      <c r="J112" s="21">
        <f>IF(C112="","",IFERROR(INDEX(Jobs!$AJ$5:$AJ$604,MATCH(C112,Jobs!$A$5:$A$604,0)),"0"))</f>
        <v>0</v>
      </c>
      <c r="K112" s="23">
        <f>IF(C112="","",IFERROR(INDEX(Jobs!$M$5:$M$604,MATCH(C112,Jobs!$A$5:$A$604,0)),""))</f>
        <v>0</v>
      </c>
      <c r="L112" s="51">
        <f>IF(B112="","",IF(E112&lt;&gt;"",E112,IF(C112="","",K112&amp;" - "&amp;TEXT(D112,"d mmm yyyy"))))</f>
        <v>0</v>
      </c>
      <c r="M112" s="21">
        <f>IF(B112="","",IF(G112&lt;&gt;"",G112,IFERROR(J112*1,0)))</f>
        <v>0</v>
      </c>
      <c r="N112" s="21">
        <f>IF(B112="","",ROUND(IF(F112="",1,F112)*M112,2))</f>
        <v>0</v>
      </c>
      <c r="O112" s="39">
        <f>IF(B112="","",IF(C112="","",IF(COUNTIFS($C$5:$C$804,C112)&gt;1,"Duplicate","OK")))</f>
        <v>0</v>
      </c>
      <c r="P112" s="31">
        <f>IF(OR(B112="",E112=""),"",COUNTIFS($B$5:B112,B112))</f>
        <v>0</v>
      </c>
      <c r="Q112" s="23">
        <f>IF(P112="","",B112&amp;"|"&amp;P112)</f>
        <v>0</v>
      </c>
      <c r="R112" s="39">
        <f>IF(B112="","",IF(O112="Duplicate","Duplicate - job billed twice",IF(M112=0,"Add - no price on this line",IF(AND(C112="",E112=""),"Add - what is this line for?","OK"))))</f>
        <v>0</v>
      </c>
    </row>
    <row r="113" spans="1:18">
      <c r="A113" s="43">
        <f>IF(B113="","","IL-"&amp;TEXT(ROW()-4,"0000"))</f>
        <v>0</v>
      </c>
      <c r="D113" s="18">
        <f>IF(C113="","",IFERROR(INDEX(Jobs!$B$5:$B$604,MATCH(C113,Jobs!$A$5:$A$604,0)),""))</f>
        <v>0</v>
      </c>
      <c r="J113" s="21">
        <f>IF(C113="","",IFERROR(INDEX(Jobs!$AJ$5:$AJ$604,MATCH(C113,Jobs!$A$5:$A$604,0)),"0"))</f>
        <v>0</v>
      </c>
      <c r="K113" s="23">
        <f>IF(C113="","",IFERROR(INDEX(Jobs!$M$5:$M$604,MATCH(C113,Jobs!$A$5:$A$604,0)),""))</f>
        <v>0</v>
      </c>
      <c r="L113" s="51">
        <f>IF(B113="","",IF(E113&lt;&gt;"",E113,IF(C113="","",K113&amp;" - "&amp;TEXT(D113,"d mmm yyyy"))))</f>
        <v>0</v>
      </c>
      <c r="M113" s="21">
        <f>IF(B113="","",IF(G113&lt;&gt;"",G113,IFERROR(J113*1,0)))</f>
        <v>0</v>
      </c>
      <c r="N113" s="21">
        <f>IF(B113="","",ROUND(IF(F113="",1,F113)*M113,2))</f>
        <v>0</v>
      </c>
      <c r="O113" s="39">
        <f>IF(B113="","",IF(C113="","",IF(COUNTIFS($C$5:$C$804,C113)&gt;1,"Duplicate","OK")))</f>
        <v>0</v>
      </c>
      <c r="P113" s="31">
        <f>IF(OR(B113="",E113=""),"",COUNTIFS($B$5:B113,B113))</f>
        <v>0</v>
      </c>
      <c r="Q113" s="23">
        <f>IF(P113="","",B113&amp;"|"&amp;P113)</f>
        <v>0</v>
      </c>
      <c r="R113" s="39">
        <f>IF(B113="","",IF(O113="Duplicate","Duplicate - job billed twice",IF(M113=0,"Add - no price on this line",IF(AND(C113="",E113=""),"Add - what is this line for?","OK"))))</f>
        <v>0</v>
      </c>
    </row>
    <row r="114" spans="1:18">
      <c r="A114" s="43">
        <f>IF(B114="","","IL-"&amp;TEXT(ROW()-4,"0000"))</f>
        <v>0</v>
      </c>
      <c r="D114" s="18">
        <f>IF(C114="","",IFERROR(INDEX(Jobs!$B$5:$B$604,MATCH(C114,Jobs!$A$5:$A$604,0)),""))</f>
        <v>0</v>
      </c>
      <c r="J114" s="21">
        <f>IF(C114="","",IFERROR(INDEX(Jobs!$AJ$5:$AJ$604,MATCH(C114,Jobs!$A$5:$A$604,0)),"0"))</f>
        <v>0</v>
      </c>
      <c r="K114" s="23">
        <f>IF(C114="","",IFERROR(INDEX(Jobs!$M$5:$M$604,MATCH(C114,Jobs!$A$5:$A$604,0)),""))</f>
        <v>0</v>
      </c>
      <c r="L114" s="51">
        <f>IF(B114="","",IF(E114&lt;&gt;"",E114,IF(C114="","",K114&amp;" - "&amp;TEXT(D114,"d mmm yyyy"))))</f>
        <v>0</v>
      </c>
      <c r="M114" s="21">
        <f>IF(B114="","",IF(G114&lt;&gt;"",G114,IFERROR(J114*1,0)))</f>
        <v>0</v>
      </c>
      <c r="N114" s="21">
        <f>IF(B114="","",ROUND(IF(F114="",1,F114)*M114,2))</f>
        <v>0</v>
      </c>
      <c r="O114" s="39">
        <f>IF(B114="","",IF(C114="","",IF(COUNTIFS($C$5:$C$804,C114)&gt;1,"Duplicate","OK")))</f>
        <v>0</v>
      </c>
      <c r="P114" s="31">
        <f>IF(OR(B114="",E114=""),"",COUNTIFS($B$5:B114,B114))</f>
        <v>0</v>
      </c>
      <c r="Q114" s="23">
        <f>IF(P114="","",B114&amp;"|"&amp;P114)</f>
        <v>0</v>
      </c>
      <c r="R114" s="39">
        <f>IF(B114="","",IF(O114="Duplicate","Duplicate - job billed twice",IF(M114=0,"Add - no price on this line",IF(AND(C114="",E114=""),"Add - what is this line for?","OK"))))</f>
        <v>0</v>
      </c>
    </row>
    <row r="115" spans="1:18">
      <c r="A115" s="43">
        <f>IF(B115="","","IL-"&amp;TEXT(ROW()-4,"0000"))</f>
        <v>0</v>
      </c>
      <c r="D115" s="18">
        <f>IF(C115="","",IFERROR(INDEX(Jobs!$B$5:$B$604,MATCH(C115,Jobs!$A$5:$A$604,0)),""))</f>
        <v>0</v>
      </c>
      <c r="J115" s="21">
        <f>IF(C115="","",IFERROR(INDEX(Jobs!$AJ$5:$AJ$604,MATCH(C115,Jobs!$A$5:$A$604,0)),"0"))</f>
        <v>0</v>
      </c>
      <c r="K115" s="23">
        <f>IF(C115="","",IFERROR(INDEX(Jobs!$M$5:$M$604,MATCH(C115,Jobs!$A$5:$A$604,0)),""))</f>
        <v>0</v>
      </c>
      <c r="L115" s="51">
        <f>IF(B115="","",IF(E115&lt;&gt;"",E115,IF(C115="","",K115&amp;" - "&amp;TEXT(D115,"d mmm yyyy"))))</f>
        <v>0</v>
      </c>
      <c r="M115" s="21">
        <f>IF(B115="","",IF(G115&lt;&gt;"",G115,IFERROR(J115*1,0)))</f>
        <v>0</v>
      </c>
      <c r="N115" s="21">
        <f>IF(B115="","",ROUND(IF(F115="",1,F115)*M115,2))</f>
        <v>0</v>
      </c>
      <c r="O115" s="39">
        <f>IF(B115="","",IF(C115="","",IF(COUNTIFS($C$5:$C$804,C115)&gt;1,"Duplicate","OK")))</f>
        <v>0</v>
      </c>
      <c r="P115" s="31">
        <f>IF(OR(B115="",E115=""),"",COUNTIFS($B$5:B115,B115))</f>
        <v>0</v>
      </c>
      <c r="Q115" s="23">
        <f>IF(P115="","",B115&amp;"|"&amp;P115)</f>
        <v>0</v>
      </c>
      <c r="R115" s="39">
        <f>IF(B115="","",IF(O115="Duplicate","Duplicate - job billed twice",IF(M115=0,"Add - no price on this line",IF(AND(C115="",E115=""),"Add - what is this line for?","OK"))))</f>
        <v>0</v>
      </c>
    </row>
    <row r="116" spans="1:18">
      <c r="A116" s="43">
        <f>IF(B116="","","IL-"&amp;TEXT(ROW()-4,"0000"))</f>
        <v>0</v>
      </c>
      <c r="D116" s="18">
        <f>IF(C116="","",IFERROR(INDEX(Jobs!$B$5:$B$604,MATCH(C116,Jobs!$A$5:$A$604,0)),""))</f>
        <v>0</v>
      </c>
      <c r="J116" s="21">
        <f>IF(C116="","",IFERROR(INDEX(Jobs!$AJ$5:$AJ$604,MATCH(C116,Jobs!$A$5:$A$604,0)),"0"))</f>
        <v>0</v>
      </c>
      <c r="K116" s="23">
        <f>IF(C116="","",IFERROR(INDEX(Jobs!$M$5:$M$604,MATCH(C116,Jobs!$A$5:$A$604,0)),""))</f>
        <v>0</v>
      </c>
      <c r="L116" s="51">
        <f>IF(B116="","",IF(E116&lt;&gt;"",E116,IF(C116="","",K116&amp;" - "&amp;TEXT(D116,"d mmm yyyy"))))</f>
        <v>0</v>
      </c>
      <c r="M116" s="21">
        <f>IF(B116="","",IF(G116&lt;&gt;"",G116,IFERROR(J116*1,0)))</f>
        <v>0</v>
      </c>
      <c r="N116" s="21">
        <f>IF(B116="","",ROUND(IF(F116="",1,F116)*M116,2))</f>
        <v>0</v>
      </c>
      <c r="O116" s="39">
        <f>IF(B116="","",IF(C116="","",IF(COUNTIFS($C$5:$C$804,C116)&gt;1,"Duplicate","OK")))</f>
        <v>0</v>
      </c>
      <c r="P116" s="31">
        <f>IF(OR(B116="",E116=""),"",COUNTIFS($B$5:B116,B116))</f>
        <v>0</v>
      </c>
      <c r="Q116" s="23">
        <f>IF(P116="","",B116&amp;"|"&amp;P116)</f>
        <v>0</v>
      </c>
      <c r="R116" s="39">
        <f>IF(B116="","",IF(O116="Duplicate","Duplicate - job billed twice",IF(M116=0,"Add - no price on this line",IF(AND(C116="",E116=""),"Add - what is this line for?","OK"))))</f>
        <v>0</v>
      </c>
    </row>
    <row r="117" spans="1:18">
      <c r="A117" s="43">
        <f>IF(B117="","","IL-"&amp;TEXT(ROW()-4,"0000"))</f>
        <v>0</v>
      </c>
      <c r="D117" s="18">
        <f>IF(C117="","",IFERROR(INDEX(Jobs!$B$5:$B$604,MATCH(C117,Jobs!$A$5:$A$604,0)),""))</f>
        <v>0</v>
      </c>
      <c r="J117" s="21">
        <f>IF(C117="","",IFERROR(INDEX(Jobs!$AJ$5:$AJ$604,MATCH(C117,Jobs!$A$5:$A$604,0)),"0"))</f>
        <v>0</v>
      </c>
      <c r="K117" s="23">
        <f>IF(C117="","",IFERROR(INDEX(Jobs!$M$5:$M$604,MATCH(C117,Jobs!$A$5:$A$604,0)),""))</f>
        <v>0</v>
      </c>
      <c r="L117" s="51">
        <f>IF(B117="","",IF(E117&lt;&gt;"",E117,IF(C117="","",K117&amp;" - "&amp;TEXT(D117,"d mmm yyyy"))))</f>
        <v>0</v>
      </c>
      <c r="M117" s="21">
        <f>IF(B117="","",IF(G117&lt;&gt;"",G117,IFERROR(J117*1,0)))</f>
        <v>0</v>
      </c>
      <c r="N117" s="21">
        <f>IF(B117="","",ROUND(IF(F117="",1,F117)*M117,2))</f>
        <v>0</v>
      </c>
      <c r="O117" s="39">
        <f>IF(B117="","",IF(C117="","",IF(COUNTIFS($C$5:$C$804,C117)&gt;1,"Duplicate","OK")))</f>
        <v>0</v>
      </c>
      <c r="P117" s="31">
        <f>IF(OR(B117="",E117=""),"",COUNTIFS($B$5:B117,B117))</f>
        <v>0</v>
      </c>
      <c r="Q117" s="23">
        <f>IF(P117="","",B117&amp;"|"&amp;P117)</f>
        <v>0</v>
      </c>
      <c r="R117" s="39">
        <f>IF(B117="","",IF(O117="Duplicate","Duplicate - job billed twice",IF(M117=0,"Add - no price on this line",IF(AND(C117="",E117=""),"Add - what is this line for?","OK"))))</f>
        <v>0</v>
      </c>
    </row>
    <row r="118" spans="1:18">
      <c r="A118" s="43">
        <f>IF(B118="","","IL-"&amp;TEXT(ROW()-4,"0000"))</f>
        <v>0</v>
      </c>
      <c r="D118" s="18">
        <f>IF(C118="","",IFERROR(INDEX(Jobs!$B$5:$B$604,MATCH(C118,Jobs!$A$5:$A$604,0)),""))</f>
        <v>0</v>
      </c>
      <c r="J118" s="21">
        <f>IF(C118="","",IFERROR(INDEX(Jobs!$AJ$5:$AJ$604,MATCH(C118,Jobs!$A$5:$A$604,0)),"0"))</f>
        <v>0</v>
      </c>
      <c r="K118" s="23">
        <f>IF(C118="","",IFERROR(INDEX(Jobs!$M$5:$M$604,MATCH(C118,Jobs!$A$5:$A$604,0)),""))</f>
        <v>0</v>
      </c>
      <c r="L118" s="51">
        <f>IF(B118="","",IF(E118&lt;&gt;"",E118,IF(C118="","",K118&amp;" - "&amp;TEXT(D118,"d mmm yyyy"))))</f>
        <v>0</v>
      </c>
      <c r="M118" s="21">
        <f>IF(B118="","",IF(G118&lt;&gt;"",G118,IFERROR(J118*1,0)))</f>
        <v>0</v>
      </c>
      <c r="N118" s="21">
        <f>IF(B118="","",ROUND(IF(F118="",1,F118)*M118,2))</f>
        <v>0</v>
      </c>
      <c r="O118" s="39">
        <f>IF(B118="","",IF(C118="","",IF(COUNTIFS($C$5:$C$804,C118)&gt;1,"Duplicate","OK")))</f>
        <v>0</v>
      </c>
      <c r="P118" s="31">
        <f>IF(OR(B118="",E118=""),"",COUNTIFS($B$5:B118,B118))</f>
        <v>0</v>
      </c>
      <c r="Q118" s="23">
        <f>IF(P118="","",B118&amp;"|"&amp;P118)</f>
        <v>0</v>
      </c>
      <c r="R118" s="39">
        <f>IF(B118="","",IF(O118="Duplicate","Duplicate - job billed twice",IF(M118=0,"Add - no price on this line",IF(AND(C118="",E118=""),"Add - what is this line for?","OK"))))</f>
        <v>0</v>
      </c>
    </row>
    <row r="119" spans="1:18">
      <c r="A119" s="43">
        <f>IF(B119="","","IL-"&amp;TEXT(ROW()-4,"0000"))</f>
        <v>0</v>
      </c>
      <c r="D119" s="18">
        <f>IF(C119="","",IFERROR(INDEX(Jobs!$B$5:$B$604,MATCH(C119,Jobs!$A$5:$A$604,0)),""))</f>
        <v>0</v>
      </c>
      <c r="J119" s="21">
        <f>IF(C119="","",IFERROR(INDEX(Jobs!$AJ$5:$AJ$604,MATCH(C119,Jobs!$A$5:$A$604,0)),"0"))</f>
        <v>0</v>
      </c>
      <c r="K119" s="23">
        <f>IF(C119="","",IFERROR(INDEX(Jobs!$M$5:$M$604,MATCH(C119,Jobs!$A$5:$A$604,0)),""))</f>
        <v>0</v>
      </c>
      <c r="L119" s="51">
        <f>IF(B119="","",IF(E119&lt;&gt;"",E119,IF(C119="","",K119&amp;" - "&amp;TEXT(D119,"d mmm yyyy"))))</f>
        <v>0</v>
      </c>
      <c r="M119" s="21">
        <f>IF(B119="","",IF(G119&lt;&gt;"",G119,IFERROR(J119*1,0)))</f>
        <v>0</v>
      </c>
      <c r="N119" s="21">
        <f>IF(B119="","",ROUND(IF(F119="",1,F119)*M119,2))</f>
        <v>0</v>
      </c>
      <c r="O119" s="39">
        <f>IF(B119="","",IF(C119="","",IF(COUNTIFS($C$5:$C$804,C119)&gt;1,"Duplicate","OK")))</f>
        <v>0</v>
      </c>
      <c r="P119" s="31">
        <f>IF(OR(B119="",E119=""),"",COUNTIFS($B$5:B119,B119))</f>
        <v>0</v>
      </c>
      <c r="Q119" s="23">
        <f>IF(P119="","",B119&amp;"|"&amp;P119)</f>
        <v>0</v>
      </c>
      <c r="R119" s="39">
        <f>IF(B119="","",IF(O119="Duplicate","Duplicate - job billed twice",IF(M119=0,"Add - no price on this line",IF(AND(C119="",E119=""),"Add - what is this line for?","OK"))))</f>
        <v>0</v>
      </c>
    </row>
    <row r="120" spans="1:18">
      <c r="A120" s="43">
        <f>IF(B120="","","IL-"&amp;TEXT(ROW()-4,"0000"))</f>
        <v>0</v>
      </c>
      <c r="D120" s="18">
        <f>IF(C120="","",IFERROR(INDEX(Jobs!$B$5:$B$604,MATCH(C120,Jobs!$A$5:$A$604,0)),""))</f>
        <v>0</v>
      </c>
      <c r="J120" s="21">
        <f>IF(C120="","",IFERROR(INDEX(Jobs!$AJ$5:$AJ$604,MATCH(C120,Jobs!$A$5:$A$604,0)),"0"))</f>
        <v>0</v>
      </c>
      <c r="K120" s="23">
        <f>IF(C120="","",IFERROR(INDEX(Jobs!$M$5:$M$604,MATCH(C120,Jobs!$A$5:$A$604,0)),""))</f>
        <v>0</v>
      </c>
      <c r="L120" s="51">
        <f>IF(B120="","",IF(E120&lt;&gt;"",E120,IF(C120="","",K120&amp;" - "&amp;TEXT(D120,"d mmm yyyy"))))</f>
        <v>0</v>
      </c>
      <c r="M120" s="21">
        <f>IF(B120="","",IF(G120&lt;&gt;"",G120,IFERROR(J120*1,0)))</f>
        <v>0</v>
      </c>
      <c r="N120" s="21">
        <f>IF(B120="","",ROUND(IF(F120="",1,F120)*M120,2))</f>
        <v>0</v>
      </c>
      <c r="O120" s="39">
        <f>IF(B120="","",IF(C120="","",IF(COUNTIFS($C$5:$C$804,C120)&gt;1,"Duplicate","OK")))</f>
        <v>0</v>
      </c>
      <c r="P120" s="31">
        <f>IF(OR(B120="",E120=""),"",COUNTIFS($B$5:B120,B120))</f>
        <v>0</v>
      </c>
      <c r="Q120" s="23">
        <f>IF(P120="","",B120&amp;"|"&amp;P120)</f>
        <v>0</v>
      </c>
      <c r="R120" s="39">
        <f>IF(B120="","",IF(O120="Duplicate","Duplicate - job billed twice",IF(M120=0,"Add - no price on this line",IF(AND(C120="",E120=""),"Add - what is this line for?","OK"))))</f>
        <v>0</v>
      </c>
    </row>
    <row r="121" spans="1:18">
      <c r="A121" s="43">
        <f>IF(B121="","","IL-"&amp;TEXT(ROW()-4,"0000"))</f>
        <v>0</v>
      </c>
      <c r="D121" s="18">
        <f>IF(C121="","",IFERROR(INDEX(Jobs!$B$5:$B$604,MATCH(C121,Jobs!$A$5:$A$604,0)),""))</f>
        <v>0</v>
      </c>
      <c r="J121" s="21">
        <f>IF(C121="","",IFERROR(INDEX(Jobs!$AJ$5:$AJ$604,MATCH(C121,Jobs!$A$5:$A$604,0)),"0"))</f>
        <v>0</v>
      </c>
      <c r="K121" s="23">
        <f>IF(C121="","",IFERROR(INDEX(Jobs!$M$5:$M$604,MATCH(C121,Jobs!$A$5:$A$604,0)),""))</f>
        <v>0</v>
      </c>
      <c r="L121" s="51">
        <f>IF(B121="","",IF(E121&lt;&gt;"",E121,IF(C121="","",K121&amp;" - "&amp;TEXT(D121,"d mmm yyyy"))))</f>
        <v>0</v>
      </c>
      <c r="M121" s="21">
        <f>IF(B121="","",IF(G121&lt;&gt;"",G121,IFERROR(J121*1,0)))</f>
        <v>0</v>
      </c>
      <c r="N121" s="21">
        <f>IF(B121="","",ROUND(IF(F121="",1,F121)*M121,2))</f>
        <v>0</v>
      </c>
      <c r="O121" s="39">
        <f>IF(B121="","",IF(C121="","",IF(COUNTIFS($C$5:$C$804,C121)&gt;1,"Duplicate","OK")))</f>
        <v>0</v>
      </c>
      <c r="P121" s="31">
        <f>IF(OR(B121="",E121=""),"",COUNTIFS($B$5:B121,B121))</f>
        <v>0</v>
      </c>
      <c r="Q121" s="23">
        <f>IF(P121="","",B121&amp;"|"&amp;P121)</f>
        <v>0</v>
      </c>
      <c r="R121" s="39">
        <f>IF(B121="","",IF(O121="Duplicate","Duplicate - job billed twice",IF(M121=0,"Add - no price on this line",IF(AND(C121="",E121=""),"Add - what is this line for?","OK"))))</f>
        <v>0</v>
      </c>
    </row>
    <row r="122" spans="1:18">
      <c r="A122" s="43">
        <f>IF(B122="","","IL-"&amp;TEXT(ROW()-4,"0000"))</f>
        <v>0</v>
      </c>
      <c r="D122" s="18">
        <f>IF(C122="","",IFERROR(INDEX(Jobs!$B$5:$B$604,MATCH(C122,Jobs!$A$5:$A$604,0)),""))</f>
        <v>0</v>
      </c>
      <c r="J122" s="21">
        <f>IF(C122="","",IFERROR(INDEX(Jobs!$AJ$5:$AJ$604,MATCH(C122,Jobs!$A$5:$A$604,0)),"0"))</f>
        <v>0</v>
      </c>
      <c r="K122" s="23">
        <f>IF(C122="","",IFERROR(INDEX(Jobs!$M$5:$M$604,MATCH(C122,Jobs!$A$5:$A$604,0)),""))</f>
        <v>0</v>
      </c>
      <c r="L122" s="51">
        <f>IF(B122="","",IF(E122&lt;&gt;"",E122,IF(C122="","",K122&amp;" - "&amp;TEXT(D122,"d mmm yyyy"))))</f>
        <v>0</v>
      </c>
      <c r="M122" s="21">
        <f>IF(B122="","",IF(G122&lt;&gt;"",G122,IFERROR(J122*1,0)))</f>
        <v>0</v>
      </c>
      <c r="N122" s="21">
        <f>IF(B122="","",ROUND(IF(F122="",1,F122)*M122,2))</f>
        <v>0</v>
      </c>
      <c r="O122" s="39">
        <f>IF(B122="","",IF(C122="","",IF(COUNTIFS($C$5:$C$804,C122)&gt;1,"Duplicate","OK")))</f>
        <v>0</v>
      </c>
      <c r="P122" s="31">
        <f>IF(OR(B122="",E122=""),"",COUNTIFS($B$5:B122,B122))</f>
        <v>0</v>
      </c>
      <c r="Q122" s="23">
        <f>IF(P122="","",B122&amp;"|"&amp;P122)</f>
        <v>0</v>
      </c>
      <c r="R122" s="39">
        <f>IF(B122="","",IF(O122="Duplicate","Duplicate - job billed twice",IF(M122=0,"Add - no price on this line",IF(AND(C122="",E122=""),"Add - what is this line for?","OK"))))</f>
        <v>0</v>
      </c>
    </row>
    <row r="123" spans="1:18">
      <c r="A123" s="43">
        <f>IF(B123="","","IL-"&amp;TEXT(ROW()-4,"0000"))</f>
        <v>0</v>
      </c>
      <c r="D123" s="18">
        <f>IF(C123="","",IFERROR(INDEX(Jobs!$B$5:$B$604,MATCH(C123,Jobs!$A$5:$A$604,0)),""))</f>
        <v>0</v>
      </c>
      <c r="J123" s="21">
        <f>IF(C123="","",IFERROR(INDEX(Jobs!$AJ$5:$AJ$604,MATCH(C123,Jobs!$A$5:$A$604,0)),"0"))</f>
        <v>0</v>
      </c>
      <c r="K123" s="23">
        <f>IF(C123="","",IFERROR(INDEX(Jobs!$M$5:$M$604,MATCH(C123,Jobs!$A$5:$A$604,0)),""))</f>
        <v>0</v>
      </c>
      <c r="L123" s="51">
        <f>IF(B123="","",IF(E123&lt;&gt;"",E123,IF(C123="","",K123&amp;" - "&amp;TEXT(D123,"d mmm yyyy"))))</f>
        <v>0</v>
      </c>
      <c r="M123" s="21">
        <f>IF(B123="","",IF(G123&lt;&gt;"",G123,IFERROR(J123*1,0)))</f>
        <v>0</v>
      </c>
      <c r="N123" s="21">
        <f>IF(B123="","",ROUND(IF(F123="",1,F123)*M123,2))</f>
        <v>0</v>
      </c>
      <c r="O123" s="39">
        <f>IF(B123="","",IF(C123="","",IF(COUNTIFS($C$5:$C$804,C123)&gt;1,"Duplicate","OK")))</f>
        <v>0</v>
      </c>
      <c r="P123" s="31">
        <f>IF(OR(B123="",E123=""),"",COUNTIFS($B$5:B123,B123))</f>
        <v>0</v>
      </c>
      <c r="Q123" s="23">
        <f>IF(P123="","",B123&amp;"|"&amp;P123)</f>
        <v>0</v>
      </c>
      <c r="R123" s="39">
        <f>IF(B123="","",IF(O123="Duplicate","Duplicate - job billed twice",IF(M123=0,"Add - no price on this line",IF(AND(C123="",E123=""),"Add - what is this line for?","OK"))))</f>
        <v>0</v>
      </c>
    </row>
    <row r="124" spans="1:18">
      <c r="A124" s="43">
        <f>IF(B124="","","IL-"&amp;TEXT(ROW()-4,"0000"))</f>
        <v>0</v>
      </c>
      <c r="D124" s="18">
        <f>IF(C124="","",IFERROR(INDEX(Jobs!$B$5:$B$604,MATCH(C124,Jobs!$A$5:$A$604,0)),""))</f>
        <v>0</v>
      </c>
      <c r="J124" s="21">
        <f>IF(C124="","",IFERROR(INDEX(Jobs!$AJ$5:$AJ$604,MATCH(C124,Jobs!$A$5:$A$604,0)),"0"))</f>
        <v>0</v>
      </c>
      <c r="K124" s="23">
        <f>IF(C124="","",IFERROR(INDEX(Jobs!$M$5:$M$604,MATCH(C124,Jobs!$A$5:$A$604,0)),""))</f>
        <v>0</v>
      </c>
      <c r="L124" s="51">
        <f>IF(B124="","",IF(E124&lt;&gt;"",E124,IF(C124="","",K124&amp;" - "&amp;TEXT(D124,"d mmm yyyy"))))</f>
        <v>0</v>
      </c>
      <c r="M124" s="21">
        <f>IF(B124="","",IF(G124&lt;&gt;"",G124,IFERROR(J124*1,0)))</f>
        <v>0</v>
      </c>
      <c r="N124" s="21">
        <f>IF(B124="","",ROUND(IF(F124="",1,F124)*M124,2))</f>
        <v>0</v>
      </c>
      <c r="O124" s="39">
        <f>IF(B124="","",IF(C124="","",IF(COUNTIFS($C$5:$C$804,C124)&gt;1,"Duplicate","OK")))</f>
        <v>0</v>
      </c>
      <c r="P124" s="31">
        <f>IF(OR(B124="",E124=""),"",COUNTIFS($B$5:B124,B124))</f>
        <v>0</v>
      </c>
      <c r="Q124" s="23">
        <f>IF(P124="","",B124&amp;"|"&amp;P124)</f>
        <v>0</v>
      </c>
      <c r="R124" s="39">
        <f>IF(B124="","",IF(O124="Duplicate","Duplicate - job billed twice",IF(M124=0,"Add - no price on this line",IF(AND(C124="",E124=""),"Add - what is this line for?","OK"))))</f>
        <v>0</v>
      </c>
    </row>
    <row r="125" spans="1:18">
      <c r="A125" s="43">
        <f>IF(B125="","","IL-"&amp;TEXT(ROW()-4,"0000"))</f>
        <v>0</v>
      </c>
      <c r="D125" s="18">
        <f>IF(C125="","",IFERROR(INDEX(Jobs!$B$5:$B$604,MATCH(C125,Jobs!$A$5:$A$604,0)),""))</f>
        <v>0</v>
      </c>
      <c r="J125" s="21">
        <f>IF(C125="","",IFERROR(INDEX(Jobs!$AJ$5:$AJ$604,MATCH(C125,Jobs!$A$5:$A$604,0)),"0"))</f>
        <v>0</v>
      </c>
      <c r="K125" s="23">
        <f>IF(C125="","",IFERROR(INDEX(Jobs!$M$5:$M$604,MATCH(C125,Jobs!$A$5:$A$604,0)),""))</f>
        <v>0</v>
      </c>
      <c r="L125" s="51">
        <f>IF(B125="","",IF(E125&lt;&gt;"",E125,IF(C125="","",K125&amp;" - "&amp;TEXT(D125,"d mmm yyyy"))))</f>
        <v>0</v>
      </c>
      <c r="M125" s="21">
        <f>IF(B125="","",IF(G125&lt;&gt;"",G125,IFERROR(J125*1,0)))</f>
        <v>0</v>
      </c>
      <c r="N125" s="21">
        <f>IF(B125="","",ROUND(IF(F125="",1,F125)*M125,2))</f>
        <v>0</v>
      </c>
      <c r="O125" s="39">
        <f>IF(B125="","",IF(C125="","",IF(COUNTIFS($C$5:$C$804,C125)&gt;1,"Duplicate","OK")))</f>
        <v>0</v>
      </c>
      <c r="P125" s="31">
        <f>IF(OR(B125="",E125=""),"",COUNTIFS($B$5:B125,B125))</f>
        <v>0</v>
      </c>
      <c r="Q125" s="23">
        <f>IF(P125="","",B125&amp;"|"&amp;P125)</f>
        <v>0</v>
      </c>
      <c r="R125" s="39">
        <f>IF(B125="","",IF(O125="Duplicate","Duplicate - job billed twice",IF(M125=0,"Add - no price on this line",IF(AND(C125="",E125=""),"Add - what is this line for?","OK"))))</f>
        <v>0</v>
      </c>
    </row>
    <row r="126" spans="1:18">
      <c r="A126" s="43">
        <f>IF(B126="","","IL-"&amp;TEXT(ROW()-4,"0000"))</f>
        <v>0</v>
      </c>
      <c r="D126" s="18">
        <f>IF(C126="","",IFERROR(INDEX(Jobs!$B$5:$B$604,MATCH(C126,Jobs!$A$5:$A$604,0)),""))</f>
        <v>0</v>
      </c>
      <c r="J126" s="21">
        <f>IF(C126="","",IFERROR(INDEX(Jobs!$AJ$5:$AJ$604,MATCH(C126,Jobs!$A$5:$A$604,0)),"0"))</f>
        <v>0</v>
      </c>
      <c r="K126" s="23">
        <f>IF(C126="","",IFERROR(INDEX(Jobs!$M$5:$M$604,MATCH(C126,Jobs!$A$5:$A$604,0)),""))</f>
        <v>0</v>
      </c>
      <c r="L126" s="51">
        <f>IF(B126="","",IF(E126&lt;&gt;"",E126,IF(C126="","",K126&amp;" - "&amp;TEXT(D126,"d mmm yyyy"))))</f>
        <v>0</v>
      </c>
      <c r="M126" s="21">
        <f>IF(B126="","",IF(G126&lt;&gt;"",G126,IFERROR(J126*1,0)))</f>
        <v>0</v>
      </c>
      <c r="N126" s="21">
        <f>IF(B126="","",ROUND(IF(F126="",1,F126)*M126,2))</f>
        <v>0</v>
      </c>
      <c r="O126" s="39">
        <f>IF(B126="","",IF(C126="","",IF(COUNTIFS($C$5:$C$804,C126)&gt;1,"Duplicate","OK")))</f>
        <v>0</v>
      </c>
      <c r="P126" s="31">
        <f>IF(OR(B126="",E126=""),"",COUNTIFS($B$5:B126,B126))</f>
        <v>0</v>
      </c>
      <c r="Q126" s="23">
        <f>IF(P126="","",B126&amp;"|"&amp;P126)</f>
        <v>0</v>
      </c>
      <c r="R126" s="39">
        <f>IF(B126="","",IF(O126="Duplicate","Duplicate - job billed twice",IF(M126=0,"Add - no price on this line",IF(AND(C126="",E126=""),"Add - what is this line for?","OK"))))</f>
        <v>0</v>
      </c>
    </row>
    <row r="127" spans="1:18">
      <c r="A127" s="43">
        <f>IF(B127="","","IL-"&amp;TEXT(ROW()-4,"0000"))</f>
        <v>0</v>
      </c>
      <c r="D127" s="18">
        <f>IF(C127="","",IFERROR(INDEX(Jobs!$B$5:$B$604,MATCH(C127,Jobs!$A$5:$A$604,0)),""))</f>
        <v>0</v>
      </c>
      <c r="J127" s="21">
        <f>IF(C127="","",IFERROR(INDEX(Jobs!$AJ$5:$AJ$604,MATCH(C127,Jobs!$A$5:$A$604,0)),"0"))</f>
        <v>0</v>
      </c>
      <c r="K127" s="23">
        <f>IF(C127="","",IFERROR(INDEX(Jobs!$M$5:$M$604,MATCH(C127,Jobs!$A$5:$A$604,0)),""))</f>
        <v>0</v>
      </c>
      <c r="L127" s="51">
        <f>IF(B127="","",IF(E127&lt;&gt;"",E127,IF(C127="","",K127&amp;" - "&amp;TEXT(D127,"d mmm yyyy"))))</f>
        <v>0</v>
      </c>
      <c r="M127" s="21">
        <f>IF(B127="","",IF(G127&lt;&gt;"",G127,IFERROR(J127*1,0)))</f>
        <v>0</v>
      </c>
      <c r="N127" s="21">
        <f>IF(B127="","",ROUND(IF(F127="",1,F127)*M127,2))</f>
        <v>0</v>
      </c>
      <c r="O127" s="39">
        <f>IF(B127="","",IF(C127="","",IF(COUNTIFS($C$5:$C$804,C127)&gt;1,"Duplicate","OK")))</f>
        <v>0</v>
      </c>
      <c r="P127" s="31">
        <f>IF(OR(B127="",E127=""),"",COUNTIFS($B$5:B127,B127))</f>
        <v>0</v>
      </c>
      <c r="Q127" s="23">
        <f>IF(P127="","",B127&amp;"|"&amp;P127)</f>
        <v>0</v>
      </c>
      <c r="R127" s="39">
        <f>IF(B127="","",IF(O127="Duplicate","Duplicate - job billed twice",IF(M127=0,"Add - no price on this line",IF(AND(C127="",E127=""),"Add - what is this line for?","OK"))))</f>
        <v>0</v>
      </c>
    </row>
    <row r="128" spans="1:18">
      <c r="A128" s="43">
        <f>IF(B128="","","IL-"&amp;TEXT(ROW()-4,"0000"))</f>
        <v>0</v>
      </c>
      <c r="D128" s="18">
        <f>IF(C128="","",IFERROR(INDEX(Jobs!$B$5:$B$604,MATCH(C128,Jobs!$A$5:$A$604,0)),""))</f>
        <v>0</v>
      </c>
      <c r="J128" s="21">
        <f>IF(C128="","",IFERROR(INDEX(Jobs!$AJ$5:$AJ$604,MATCH(C128,Jobs!$A$5:$A$604,0)),"0"))</f>
        <v>0</v>
      </c>
      <c r="K128" s="23">
        <f>IF(C128="","",IFERROR(INDEX(Jobs!$M$5:$M$604,MATCH(C128,Jobs!$A$5:$A$604,0)),""))</f>
        <v>0</v>
      </c>
      <c r="L128" s="51">
        <f>IF(B128="","",IF(E128&lt;&gt;"",E128,IF(C128="","",K128&amp;" - "&amp;TEXT(D128,"d mmm yyyy"))))</f>
        <v>0</v>
      </c>
      <c r="M128" s="21">
        <f>IF(B128="","",IF(G128&lt;&gt;"",G128,IFERROR(J128*1,0)))</f>
        <v>0</v>
      </c>
      <c r="N128" s="21">
        <f>IF(B128="","",ROUND(IF(F128="",1,F128)*M128,2))</f>
        <v>0</v>
      </c>
      <c r="O128" s="39">
        <f>IF(B128="","",IF(C128="","",IF(COUNTIFS($C$5:$C$804,C128)&gt;1,"Duplicate","OK")))</f>
        <v>0</v>
      </c>
      <c r="P128" s="31">
        <f>IF(OR(B128="",E128=""),"",COUNTIFS($B$5:B128,B128))</f>
        <v>0</v>
      </c>
      <c r="Q128" s="23">
        <f>IF(P128="","",B128&amp;"|"&amp;P128)</f>
        <v>0</v>
      </c>
      <c r="R128" s="39">
        <f>IF(B128="","",IF(O128="Duplicate","Duplicate - job billed twice",IF(M128=0,"Add - no price on this line",IF(AND(C128="",E128=""),"Add - what is this line for?","OK"))))</f>
        <v>0</v>
      </c>
    </row>
    <row r="129" spans="1:18">
      <c r="A129" s="43">
        <f>IF(B129="","","IL-"&amp;TEXT(ROW()-4,"0000"))</f>
        <v>0</v>
      </c>
      <c r="D129" s="18">
        <f>IF(C129="","",IFERROR(INDEX(Jobs!$B$5:$B$604,MATCH(C129,Jobs!$A$5:$A$604,0)),""))</f>
        <v>0</v>
      </c>
      <c r="J129" s="21">
        <f>IF(C129="","",IFERROR(INDEX(Jobs!$AJ$5:$AJ$604,MATCH(C129,Jobs!$A$5:$A$604,0)),"0"))</f>
        <v>0</v>
      </c>
      <c r="K129" s="23">
        <f>IF(C129="","",IFERROR(INDEX(Jobs!$M$5:$M$604,MATCH(C129,Jobs!$A$5:$A$604,0)),""))</f>
        <v>0</v>
      </c>
      <c r="L129" s="51">
        <f>IF(B129="","",IF(E129&lt;&gt;"",E129,IF(C129="","",K129&amp;" - "&amp;TEXT(D129,"d mmm yyyy"))))</f>
        <v>0</v>
      </c>
      <c r="M129" s="21">
        <f>IF(B129="","",IF(G129&lt;&gt;"",G129,IFERROR(J129*1,0)))</f>
        <v>0</v>
      </c>
      <c r="N129" s="21">
        <f>IF(B129="","",ROUND(IF(F129="",1,F129)*M129,2))</f>
        <v>0</v>
      </c>
      <c r="O129" s="39">
        <f>IF(B129="","",IF(C129="","",IF(COUNTIFS($C$5:$C$804,C129)&gt;1,"Duplicate","OK")))</f>
        <v>0</v>
      </c>
      <c r="P129" s="31">
        <f>IF(OR(B129="",E129=""),"",COUNTIFS($B$5:B129,B129))</f>
        <v>0</v>
      </c>
      <c r="Q129" s="23">
        <f>IF(P129="","",B129&amp;"|"&amp;P129)</f>
        <v>0</v>
      </c>
      <c r="R129" s="39">
        <f>IF(B129="","",IF(O129="Duplicate","Duplicate - job billed twice",IF(M129=0,"Add - no price on this line",IF(AND(C129="",E129=""),"Add - what is this line for?","OK"))))</f>
        <v>0</v>
      </c>
    </row>
    <row r="130" spans="1:18">
      <c r="A130" s="43">
        <f>IF(B130="","","IL-"&amp;TEXT(ROW()-4,"0000"))</f>
        <v>0</v>
      </c>
      <c r="D130" s="18">
        <f>IF(C130="","",IFERROR(INDEX(Jobs!$B$5:$B$604,MATCH(C130,Jobs!$A$5:$A$604,0)),""))</f>
        <v>0</v>
      </c>
      <c r="J130" s="21">
        <f>IF(C130="","",IFERROR(INDEX(Jobs!$AJ$5:$AJ$604,MATCH(C130,Jobs!$A$5:$A$604,0)),"0"))</f>
        <v>0</v>
      </c>
      <c r="K130" s="23">
        <f>IF(C130="","",IFERROR(INDEX(Jobs!$M$5:$M$604,MATCH(C130,Jobs!$A$5:$A$604,0)),""))</f>
        <v>0</v>
      </c>
      <c r="L130" s="51">
        <f>IF(B130="","",IF(E130&lt;&gt;"",E130,IF(C130="","",K130&amp;" - "&amp;TEXT(D130,"d mmm yyyy"))))</f>
        <v>0</v>
      </c>
      <c r="M130" s="21">
        <f>IF(B130="","",IF(G130&lt;&gt;"",G130,IFERROR(J130*1,0)))</f>
        <v>0</v>
      </c>
      <c r="N130" s="21">
        <f>IF(B130="","",ROUND(IF(F130="",1,F130)*M130,2))</f>
        <v>0</v>
      </c>
      <c r="O130" s="39">
        <f>IF(B130="","",IF(C130="","",IF(COUNTIFS($C$5:$C$804,C130)&gt;1,"Duplicate","OK")))</f>
        <v>0</v>
      </c>
      <c r="P130" s="31">
        <f>IF(OR(B130="",E130=""),"",COUNTIFS($B$5:B130,B130))</f>
        <v>0</v>
      </c>
      <c r="Q130" s="23">
        <f>IF(P130="","",B130&amp;"|"&amp;P130)</f>
        <v>0</v>
      </c>
      <c r="R130" s="39">
        <f>IF(B130="","",IF(O130="Duplicate","Duplicate - job billed twice",IF(M130=0,"Add - no price on this line",IF(AND(C130="",E130=""),"Add - what is this line for?","OK"))))</f>
        <v>0</v>
      </c>
    </row>
    <row r="131" spans="1:18">
      <c r="A131" s="43">
        <f>IF(B131="","","IL-"&amp;TEXT(ROW()-4,"0000"))</f>
        <v>0</v>
      </c>
      <c r="D131" s="18">
        <f>IF(C131="","",IFERROR(INDEX(Jobs!$B$5:$B$604,MATCH(C131,Jobs!$A$5:$A$604,0)),""))</f>
        <v>0</v>
      </c>
      <c r="J131" s="21">
        <f>IF(C131="","",IFERROR(INDEX(Jobs!$AJ$5:$AJ$604,MATCH(C131,Jobs!$A$5:$A$604,0)),"0"))</f>
        <v>0</v>
      </c>
      <c r="K131" s="23">
        <f>IF(C131="","",IFERROR(INDEX(Jobs!$M$5:$M$604,MATCH(C131,Jobs!$A$5:$A$604,0)),""))</f>
        <v>0</v>
      </c>
      <c r="L131" s="51">
        <f>IF(B131="","",IF(E131&lt;&gt;"",E131,IF(C131="","",K131&amp;" - "&amp;TEXT(D131,"d mmm yyyy"))))</f>
        <v>0</v>
      </c>
      <c r="M131" s="21">
        <f>IF(B131="","",IF(G131&lt;&gt;"",G131,IFERROR(J131*1,0)))</f>
        <v>0</v>
      </c>
      <c r="N131" s="21">
        <f>IF(B131="","",ROUND(IF(F131="",1,F131)*M131,2))</f>
        <v>0</v>
      </c>
      <c r="O131" s="39">
        <f>IF(B131="","",IF(C131="","",IF(COUNTIFS($C$5:$C$804,C131)&gt;1,"Duplicate","OK")))</f>
        <v>0</v>
      </c>
      <c r="P131" s="31">
        <f>IF(OR(B131="",E131=""),"",COUNTIFS($B$5:B131,B131))</f>
        <v>0</v>
      </c>
      <c r="Q131" s="23">
        <f>IF(P131="","",B131&amp;"|"&amp;P131)</f>
        <v>0</v>
      </c>
      <c r="R131" s="39">
        <f>IF(B131="","",IF(O131="Duplicate","Duplicate - job billed twice",IF(M131=0,"Add - no price on this line",IF(AND(C131="",E131=""),"Add - what is this line for?","OK"))))</f>
        <v>0</v>
      </c>
    </row>
    <row r="132" spans="1:18">
      <c r="A132" s="43">
        <f>IF(B132="","","IL-"&amp;TEXT(ROW()-4,"0000"))</f>
        <v>0</v>
      </c>
      <c r="D132" s="18">
        <f>IF(C132="","",IFERROR(INDEX(Jobs!$B$5:$B$604,MATCH(C132,Jobs!$A$5:$A$604,0)),""))</f>
        <v>0</v>
      </c>
      <c r="J132" s="21">
        <f>IF(C132="","",IFERROR(INDEX(Jobs!$AJ$5:$AJ$604,MATCH(C132,Jobs!$A$5:$A$604,0)),"0"))</f>
        <v>0</v>
      </c>
      <c r="K132" s="23">
        <f>IF(C132="","",IFERROR(INDEX(Jobs!$M$5:$M$604,MATCH(C132,Jobs!$A$5:$A$604,0)),""))</f>
        <v>0</v>
      </c>
      <c r="L132" s="51">
        <f>IF(B132="","",IF(E132&lt;&gt;"",E132,IF(C132="","",K132&amp;" - "&amp;TEXT(D132,"d mmm yyyy"))))</f>
        <v>0</v>
      </c>
      <c r="M132" s="21">
        <f>IF(B132="","",IF(G132&lt;&gt;"",G132,IFERROR(J132*1,0)))</f>
        <v>0</v>
      </c>
      <c r="N132" s="21">
        <f>IF(B132="","",ROUND(IF(F132="",1,F132)*M132,2))</f>
        <v>0</v>
      </c>
      <c r="O132" s="39">
        <f>IF(B132="","",IF(C132="","",IF(COUNTIFS($C$5:$C$804,C132)&gt;1,"Duplicate","OK")))</f>
        <v>0</v>
      </c>
      <c r="P132" s="31">
        <f>IF(OR(B132="",E132=""),"",COUNTIFS($B$5:B132,B132))</f>
        <v>0</v>
      </c>
      <c r="Q132" s="23">
        <f>IF(P132="","",B132&amp;"|"&amp;P132)</f>
        <v>0</v>
      </c>
      <c r="R132" s="39">
        <f>IF(B132="","",IF(O132="Duplicate","Duplicate - job billed twice",IF(M132=0,"Add - no price on this line",IF(AND(C132="",E132=""),"Add - what is this line for?","OK"))))</f>
        <v>0</v>
      </c>
    </row>
    <row r="133" spans="1:18">
      <c r="A133" s="43">
        <f>IF(B133="","","IL-"&amp;TEXT(ROW()-4,"0000"))</f>
        <v>0</v>
      </c>
      <c r="D133" s="18">
        <f>IF(C133="","",IFERROR(INDEX(Jobs!$B$5:$B$604,MATCH(C133,Jobs!$A$5:$A$604,0)),""))</f>
        <v>0</v>
      </c>
      <c r="J133" s="21">
        <f>IF(C133="","",IFERROR(INDEX(Jobs!$AJ$5:$AJ$604,MATCH(C133,Jobs!$A$5:$A$604,0)),"0"))</f>
        <v>0</v>
      </c>
      <c r="K133" s="23">
        <f>IF(C133="","",IFERROR(INDEX(Jobs!$M$5:$M$604,MATCH(C133,Jobs!$A$5:$A$604,0)),""))</f>
        <v>0</v>
      </c>
      <c r="L133" s="51">
        <f>IF(B133="","",IF(E133&lt;&gt;"",E133,IF(C133="","",K133&amp;" - "&amp;TEXT(D133,"d mmm yyyy"))))</f>
        <v>0</v>
      </c>
      <c r="M133" s="21">
        <f>IF(B133="","",IF(G133&lt;&gt;"",G133,IFERROR(J133*1,0)))</f>
        <v>0</v>
      </c>
      <c r="N133" s="21">
        <f>IF(B133="","",ROUND(IF(F133="",1,F133)*M133,2))</f>
        <v>0</v>
      </c>
      <c r="O133" s="39">
        <f>IF(B133="","",IF(C133="","",IF(COUNTIFS($C$5:$C$804,C133)&gt;1,"Duplicate","OK")))</f>
        <v>0</v>
      </c>
      <c r="P133" s="31">
        <f>IF(OR(B133="",E133=""),"",COUNTIFS($B$5:B133,B133))</f>
        <v>0</v>
      </c>
      <c r="Q133" s="23">
        <f>IF(P133="","",B133&amp;"|"&amp;P133)</f>
        <v>0</v>
      </c>
      <c r="R133" s="39">
        <f>IF(B133="","",IF(O133="Duplicate","Duplicate - job billed twice",IF(M133=0,"Add - no price on this line",IF(AND(C133="",E133=""),"Add - what is this line for?","OK"))))</f>
        <v>0</v>
      </c>
    </row>
    <row r="134" spans="1:18">
      <c r="A134" s="43">
        <f>IF(B134="","","IL-"&amp;TEXT(ROW()-4,"0000"))</f>
        <v>0</v>
      </c>
      <c r="D134" s="18">
        <f>IF(C134="","",IFERROR(INDEX(Jobs!$B$5:$B$604,MATCH(C134,Jobs!$A$5:$A$604,0)),""))</f>
        <v>0</v>
      </c>
      <c r="J134" s="21">
        <f>IF(C134="","",IFERROR(INDEX(Jobs!$AJ$5:$AJ$604,MATCH(C134,Jobs!$A$5:$A$604,0)),"0"))</f>
        <v>0</v>
      </c>
      <c r="K134" s="23">
        <f>IF(C134="","",IFERROR(INDEX(Jobs!$M$5:$M$604,MATCH(C134,Jobs!$A$5:$A$604,0)),""))</f>
        <v>0</v>
      </c>
      <c r="L134" s="51">
        <f>IF(B134="","",IF(E134&lt;&gt;"",E134,IF(C134="","",K134&amp;" - "&amp;TEXT(D134,"d mmm yyyy"))))</f>
        <v>0</v>
      </c>
      <c r="M134" s="21">
        <f>IF(B134="","",IF(G134&lt;&gt;"",G134,IFERROR(J134*1,0)))</f>
        <v>0</v>
      </c>
      <c r="N134" s="21">
        <f>IF(B134="","",ROUND(IF(F134="",1,F134)*M134,2))</f>
        <v>0</v>
      </c>
      <c r="O134" s="39">
        <f>IF(B134="","",IF(C134="","",IF(COUNTIFS($C$5:$C$804,C134)&gt;1,"Duplicate","OK")))</f>
        <v>0</v>
      </c>
      <c r="P134" s="31">
        <f>IF(OR(B134="",E134=""),"",COUNTIFS($B$5:B134,B134))</f>
        <v>0</v>
      </c>
      <c r="Q134" s="23">
        <f>IF(P134="","",B134&amp;"|"&amp;P134)</f>
        <v>0</v>
      </c>
      <c r="R134" s="39">
        <f>IF(B134="","",IF(O134="Duplicate","Duplicate - job billed twice",IF(M134=0,"Add - no price on this line",IF(AND(C134="",E134=""),"Add - what is this line for?","OK"))))</f>
        <v>0</v>
      </c>
    </row>
    <row r="135" spans="1:18">
      <c r="A135" s="43">
        <f>IF(B135="","","IL-"&amp;TEXT(ROW()-4,"0000"))</f>
        <v>0</v>
      </c>
      <c r="D135" s="18">
        <f>IF(C135="","",IFERROR(INDEX(Jobs!$B$5:$B$604,MATCH(C135,Jobs!$A$5:$A$604,0)),""))</f>
        <v>0</v>
      </c>
      <c r="J135" s="21">
        <f>IF(C135="","",IFERROR(INDEX(Jobs!$AJ$5:$AJ$604,MATCH(C135,Jobs!$A$5:$A$604,0)),"0"))</f>
        <v>0</v>
      </c>
      <c r="K135" s="23">
        <f>IF(C135="","",IFERROR(INDEX(Jobs!$M$5:$M$604,MATCH(C135,Jobs!$A$5:$A$604,0)),""))</f>
        <v>0</v>
      </c>
      <c r="L135" s="51">
        <f>IF(B135="","",IF(E135&lt;&gt;"",E135,IF(C135="","",K135&amp;" - "&amp;TEXT(D135,"d mmm yyyy"))))</f>
        <v>0</v>
      </c>
      <c r="M135" s="21">
        <f>IF(B135="","",IF(G135&lt;&gt;"",G135,IFERROR(J135*1,0)))</f>
        <v>0</v>
      </c>
      <c r="N135" s="21">
        <f>IF(B135="","",ROUND(IF(F135="",1,F135)*M135,2))</f>
        <v>0</v>
      </c>
      <c r="O135" s="39">
        <f>IF(B135="","",IF(C135="","",IF(COUNTIFS($C$5:$C$804,C135)&gt;1,"Duplicate","OK")))</f>
        <v>0</v>
      </c>
      <c r="P135" s="31">
        <f>IF(OR(B135="",E135=""),"",COUNTIFS($B$5:B135,B135))</f>
        <v>0</v>
      </c>
      <c r="Q135" s="23">
        <f>IF(P135="","",B135&amp;"|"&amp;P135)</f>
        <v>0</v>
      </c>
      <c r="R135" s="39">
        <f>IF(B135="","",IF(O135="Duplicate","Duplicate - job billed twice",IF(M135=0,"Add - no price on this line",IF(AND(C135="",E135=""),"Add - what is this line for?","OK"))))</f>
        <v>0</v>
      </c>
    </row>
    <row r="136" spans="1:18">
      <c r="A136" s="43">
        <f>IF(B136="","","IL-"&amp;TEXT(ROW()-4,"0000"))</f>
        <v>0</v>
      </c>
      <c r="D136" s="18">
        <f>IF(C136="","",IFERROR(INDEX(Jobs!$B$5:$B$604,MATCH(C136,Jobs!$A$5:$A$604,0)),""))</f>
        <v>0</v>
      </c>
      <c r="J136" s="21">
        <f>IF(C136="","",IFERROR(INDEX(Jobs!$AJ$5:$AJ$604,MATCH(C136,Jobs!$A$5:$A$604,0)),"0"))</f>
        <v>0</v>
      </c>
      <c r="K136" s="23">
        <f>IF(C136="","",IFERROR(INDEX(Jobs!$M$5:$M$604,MATCH(C136,Jobs!$A$5:$A$604,0)),""))</f>
        <v>0</v>
      </c>
      <c r="L136" s="51">
        <f>IF(B136="","",IF(E136&lt;&gt;"",E136,IF(C136="","",K136&amp;" - "&amp;TEXT(D136,"d mmm yyyy"))))</f>
        <v>0</v>
      </c>
      <c r="M136" s="21">
        <f>IF(B136="","",IF(G136&lt;&gt;"",G136,IFERROR(J136*1,0)))</f>
        <v>0</v>
      </c>
      <c r="N136" s="21">
        <f>IF(B136="","",ROUND(IF(F136="",1,F136)*M136,2))</f>
        <v>0</v>
      </c>
      <c r="O136" s="39">
        <f>IF(B136="","",IF(C136="","",IF(COUNTIFS($C$5:$C$804,C136)&gt;1,"Duplicate","OK")))</f>
        <v>0</v>
      </c>
      <c r="P136" s="31">
        <f>IF(OR(B136="",E136=""),"",COUNTIFS($B$5:B136,B136))</f>
        <v>0</v>
      </c>
      <c r="Q136" s="23">
        <f>IF(P136="","",B136&amp;"|"&amp;P136)</f>
        <v>0</v>
      </c>
      <c r="R136" s="39">
        <f>IF(B136="","",IF(O136="Duplicate","Duplicate - job billed twice",IF(M136=0,"Add - no price on this line",IF(AND(C136="",E136=""),"Add - what is this line for?","OK"))))</f>
        <v>0</v>
      </c>
    </row>
    <row r="137" spans="1:18">
      <c r="A137" s="43">
        <f>IF(B137="","","IL-"&amp;TEXT(ROW()-4,"0000"))</f>
        <v>0</v>
      </c>
      <c r="D137" s="18">
        <f>IF(C137="","",IFERROR(INDEX(Jobs!$B$5:$B$604,MATCH(C137,Jobs!$A$5:$A$604,0)),""))</f>
        <v>0</v>
      </c>
      <c r="J137" s="21">
        <f>IF(C137="","",IFERROR(INDEX(Jobs!$AJ$5:$AJ$604,MATCH(C137,Jobs!$A$5:$A$604,0)),"0"))</f>
        <v>0</v>
      </c>
      <c r="K137" s="23">
        <f>IF(C137="","",IFERROR(INDEX(Jobs!$M$5:$M$604,MATCH(C137,Jobs!$A$5:$A$604,0)),""))</f>
        <v>0</v>
      </c>
      <c r="L137" s="51">
        <f>IF(B137="","",IF(E137&lt;&gt;"",E137,IF(C137="","",K137&amp;" - "&amp;TEXT(D137,"d mmm yyyy"))))</f>
        <v>0</v>
      </c>
      <c r="M137" s="21">
        <f>IF(B137="","",IF(G137&lt;&gt;"",G137,IFERROR(J137*1,0)))</f>
        <v>0</v>
      </c>
      <c r="N137" s="21">
        <f>IF(B137="","",ROUND(IF(F137="",1,F137)*M137,2))</f>
        <v>0</v>
      </c>
      <c r="O137" s="39">
        <f>IF(B137="","",IF(C137="","",IF(COUNTIFS($C$5:$C$804,C137)&gt;1,"Duplicate","OK")))</f>
        <v>0</v>
      </c>
      <c r="P137" s="31">
        <f>IF(OR(B137="",E137=""),"",COUNTIFS($B$5:B137,B137))</f>
        <v>0</v>
      </c>
      <c r="Q137" s="23">
        <f>IF(P137="","",B137&amp;"|"&amp;P137)</f>
        <v>0</v>
      </c>
      <c r="R137" s="39">
        <f>IF(B137="","",IF(O137="Duplicate","Duplicate - job billed twice",IF(M137=0,"Add - no price on this line",IF(AND(C137="",E137=""),"Add - what is this line for?","OK"))))</f>
        <v>0</v>
      </c>
    </row>
    <row r="138" spans="1:18">
      <c r="A138" s="43">
        <f>IF(B138="","","IL-"&amp;TEXT(ROW()-4,"0000"))</f>
        <v>0</v>
      </c>
      <c r="D138" s="18">
        <f>IF(C138="","",IFERROR(INDEX(Jobs!$B$5:$B$604,MATCH(C138,Jobs!$A$5:$A$604,0)),""))</f>
        <v>0</v>
      </c>
      <c r="J138" s="21">
        <f>IF(C138="","",IFERROR(INDEX(Jobs!$AJ$5:$AJ$604,MATCH(C138,Jobs!$A$5:$A$604,0)),"0"))</f>
        <v>0</v>
      </c>
      <c r="K138" s="23">
        <f>IF(C138="","",IFERROR(INDEX(Jobs!$M$5:$M$604,MATCH(C138,Jobs!$A$5:$A$604,0)),""))</f>
        <v>0</v>
      </c>
      <c r="L138" s="51">
        <f>IF(B138="","",IF(E138&lt;&gt;"",E138,IF(C138="","",K138&amp;" - "&amp;TEXT(D138,"d mmm yyyy"))))</f>
        <v>0</v>
      </c>
      <c r="M138" s="21">
        <f>IF(B138="","",IF(G138&lt;&gt;"",G138,IFERROR(J138*1,0)))</f>
        <v>0</v>
      </c>
      <c r="N138" s="21">
        <f>IF(B138="","",ROUND(IF(F138="",1,F138)*M138,2))</f>
        <v>0</v>
      </c>
      <c r="O138" s="39">
        <f>IF(B138="","",IF(C138="","",IF(COUNTIFS($C$5:$C$804,C138)&gt;1,"Duplicate","OK")))</f>
        <v>0</v>
      </c>
      <c r="P138" s="31">
        <f>IF(OR(B138="",E138=""),"",COUNTIFS($B$5:B138,B138))</f>
        <v>0</v>
      </c>
      <c r="Q138" s="23">
        <f>IF(P138="","",B138&amp;"|"&amp;P138)</f>
        <v>0</v>
      </c>
      <c r="R138" s="39">
        <f>IF(B138="","",IF(O138="Duplicate","Duplicate - job billed twice",IF(M138=0,"Add - no price on this line",IF(AND(C138="",E138=""),"Add - what is this line for?","OK"))))</f>
        <v>0</v>
      </c>
    </row>
    <row r="139" spans="1:18">
      <c r="A139" s="43">
        <f>IF(B139="","","IL-"&amp;TEXT(ROW()-4,"0000"))</f>
        <v>0</v>
      </c>
      <c r="D139" s="18">
        <f>IF(C139="","",IFERROR(INDEX(Jobs!$B$5:$B$604,MATCH(C139,Jobs!$A$5:$A$604,0)),""))</f>
        <v>0</v>
      </c>
      <c r="J139" s="21">
        <f>IF(C139="","",IFERROR(INDEX(Jobs!$AJ$5:$AJ$604,MATCH(C139,Jobs!$A$5:$A$604,0)),"0"))</f>
        <v>0</v>
      </c>
      <c r="K139" s="23">
        <f>IF(C139="","",IFERROR(INDEX(Jobs!$M$5:$M$604,MATCH(C139,Jobs!$A$5:$A$604,0)),""))</f>
        <v>0</v>
      </c>
      <c r="L139" s="51">
        <f>IF(B139="","",IF(E139&lt;&gt;"",E139,IF(C139="","",K139&amp;" - "&amp;TEXT(D139,"d mmm yyyy"))))</f>
        <v>0</v>
      </c>
      <c r="M139" s="21">
        <f>IF(B139="","",IF(G139&lt;&gt;"",G139,IFERROR(J139*1,0)))</f>
        <v>0</v>
      </c>
      <c r="N139" s="21">
        <f>IF(B139="","",ROUND(IF(F139="",1,F139)*M139,2))</f>
        <v>0</v>
      </c>
      <c r="O139" s="39">
        <f>IF(B139="","",IF(C139="","",IF(COUNTIFS($C$5:$C$804,C139)&gt;1,"Duplicate","OK")))</f>
        <v>0</v>
      </c>
      <c r="P139" s="31">
        <f>IF(OR(B139="",E139=""),"",COUNTIFS($B$5:B139,B139))</f>
        <v>0</v>
      </c>
      <c r="Q139" s="23">
        <f>IF(P139="","",B139&amp;"|"&amp;P139)</f>
        <v>0</v>
      </c>
      <c r="R139" s="39">
        <f>IF(B139="","",IF(O139="Duplicate","Duplicate - job billed twice",IF(M139=0,"Add - no price on this line",IF(AND(C139="",E139=""),"Add - what is this line for?","OK"))))</f>
        <v>0</v>
      </c>
    </row>
    <row r="140" spans="1:18">
      <c r="A140" s="43">
        <f>IF(B140="","","IL-"&amp;TEXT(ROW()-4,"0000"))</f>
        <v>0</v>
      </c>
      <c r="D140" s="18">
        <f>IF(C140="","",IFERROR(INDEX(Jobs!$B$5:$B$604,MATCH(C140,Jobs!$A$5:$A$604,0)),""))</f>
        <v>0</v>
      </c>
      <c r="J140" s="21">
        <f>IF(C140="","",IFERROR(INDEX(Jobs!$AJ$5:$AJ$604,MATCH(C140,Jobs!$A$5:$A$604,0)),"0"))</f>
        <v>0</v>
      </c>
      <c r="K140" s="23">
        <f>IF(C140="","",IFERROR(INDEX(Jobs!$M$5:$M$604,MATCH(C140,Jobs!$A$5:$A$604,0)),""))</f>
        <v>0</v>
      </c>
      <c r="L140" s="51">
        <f>IF(B140="","",IF(E140&lt;&gt;"",E140,IF(C140="","",K140&amp;" - "&amp;TEXT(D140,"d mmm yyyy"))))</f>
        <v>0</v>
      </c>
      <c r="M140" s="21">
        <f>IF(B140="","",IF(G140&lt;&gt;"",G140,IFERROR(J140*1,0)))</f>
        <v>0</v>
      </c>
      <c r="N140" s="21">
        <f>IF(B140="","",ROUND(IF(F140="",1,F140)*M140,2))</f>
        <v>0</v>
      </c>
      <c r="O140" s="39">
        <f>IF(B140="","",IF(C140="","",IF(COUNTIFS($C$5:$C$804,C140)&gt;1,"Duplicate","OK")))</f>
        <v>0</v>
      </c>
      <c r="P140" s="31">
        <f>IF(OR(B140="",E140=""),"",COUNTIFS($B$5:B140,B140))</f>
        <v>0</v>
      </c>
      <c r="Q140" s="23">
        <f>IF(P140="","",B140&amp;"|"&amp;P140)</f>
        <v>0</v>
      </c>
      <c r="R140" s="39">
        <f>IF(B140="","",IF(O140="Duplicate","Duplicate - job billed twice",IF(M140=0,"Add - no price on this line",IF(AND(C140="",E140=""),"Add - what is this line for?","OK"))))</f>
        <v>0</v>
      </c>
    </row>
    <row r="141" spans="1:18">
      <c r="A141" s="43">
        <f>IF(B141="","","IL-"&amp;TEXT(ROW()-4,"0000"))</f>
        <v>0</v>
      </c>
      <c r="D141" s="18">
        <f>IF(C141="","",IFERROR(INDEX(Jobs!$B$5:$B$604,MATCH(C141,Jobs!$A$5:$A$604,0)),""))</f>
        <v>0</v>
      </c>
      <c r="J141" s="21">
        <f>IF(C141="","",IFERROR(INDEX(Jobs!$AJ$5:$AJ$604,MATCH(C141,Jobs!$A$5:$A$604,0)),"0"))</f>
        <v>0</v>
      </c>
      <c r="K141" s="23">
        <f>IF(C141="","",IFERROR(INDEX(Jobs!$M$5:$M$604,MATCH(C141,Jobs!$A$5:$A$604,0)),""))</f>
        <v>0</v>
      </c>
      <c r="L141" s="51">
        <f>IF(B141="","",IF(E141&lt;&gt;"",E141,IF(C141="","",K141&amp;" - "&amp;TEXT(D141,"d mmm yyyy"))))</f>
        <v>0</v>
      </c>
      <c r="M141" s="21">
        <f>IF(B141="","",IF(G141&lt;&gt;"",G141,IFERROR(J141*1,0)))</f>
        <v>0</v>
      </c>
      <c r="N141" s="21">
        <f>IF(B141="","",ROUND(IF(F141="",1,F141)*M141,2))</f>
        <v>0</v>
      </c>
      <c r="O141" s="39">
        <f>IF(B141="","",IF(C141="","",IF(COUNTIFS($C$5:$C$804,C141)&gt;1,"Duplicate","OK")))</f>
        <v>0</v>
      </c>
      <c r="P141" s="31">
        <f>IF(OR(B141="",E141=""),"",COUNTIFS($B$5:B141,B141))</f>
        <v>0</v>
      </c>
      <c r="Q141" s="23">
        <f>IF(P141="","",B141&amp;"|"&amp;P141)</f>
        <v>0</v>
      </c>
      <c r="R141" s="39">
        <f>IF(B141="","",IF(O141="Duplicate","Duplicate - job billed twice",IF(M141=0,"Add - no price on this line",IF(AND(C141="",E141=""),"Add - what is this line for?","OK"))))</f>
        <v>0</v>
      </c>
    </row>
    <row r="142" spans="1:18">
      <c r="A142" s="43">
        <f>IF(B142="","","IL-"&amp;TEXT(ROW()-4,"0000"))</f>
        <v>0</v>
      </c>
      <c r="D142" s="18">
        <f>IF(C142="","",IFERROR(INDEX(Jobs!$B$5:$B$604,MATCH(C142,Jobs!$A$5:$A$604,0)),""))</f>
        <v>0</v>
      </c>
      <c r="J142" s="21">
        <f>IF(C142="","",IFERROR(INDEX(Jobs!$AJ$5:$AJ$604,MATCH(C142,Jobs!$A$5:$A$604,0)),"0"))</f>
        <v>0</v>
      </c>
      <c r="K142" s="23">
        <f>IF(C142="","",IFERROR(INDEX(Jobs!$M$5:$M$604,MATCH(C142,Jobs!$A$5:$A$604,0)),""))</f>
        <v>0</v>
      </c>
      <c r="L142" s="51">
        <f>IF(B142="","",IF(E142&lt;&gt;"",E142,IF(C142="","",K142&amp;" - "&amp;TEXT(D142,"d mmm yyyy"))))</f>
        <v>0</v>
      </c>
      <c r="M142" s="21">
        <f>IF(B142="","",IF(G142&lt;&gt;"",G142,IFERROR(J142*1,0)))</f>
        <v>0</v>
      </c>
      <c r="N142" s="21">
        <f>IF(B142="","",ROUND(IF(F142="",1,F142)*M142,2))</f>
        <v>0</v>
      </c>
      <c r="O142" s="39">
        <f>IF(B142="","",IF(C142="","",IF(COUNTIFS($C$5:$C$804,C142)&gt;1,"Duplicate","OK")))</f>
        <v>0</v>
      </c>
      <c r="P142" s="31">
        <f>IF(OR(B142="",E142=""),"",COUNTIFS($B$5:B142,B142))</f>
        <v>0</v>
      </c>
      <c r="Q142" s="23">
        <f>IF(P142="","",B142&amp;"|"&amp;P142)</f>
        <v>0</v>
      </c>
      <c r="R142" s="39">
        <f>IF(B142="","",IF(O142="Duplicate","Duplicate - job billed twice",IF(M142=0,"Add - no price on this line",IF(AND(C142="",E142=""),"Add - what is this line for?","OK"))))</f>
        <v>0</v>
      </c>
    </row>
    <row r="143" spans="1:18">
      <c r="A143" s="43">
        <f>IF(B143="","","IL-"&amp;TEXT(ROW()-4,"0000"))</f>
        <v>0</v>
      </c>
      <c r="D143" s="18">
        <f>IF(C143="","",IFERROR(INDEX(Jobs!$B$5:$B$604,MATCH(C143,Jobs!$A$5:$A$604,0)),""))</f>
        <v>0</v>
      </c>
      <c r="J143" s="21">
        <f>IF(C143="","",IFERROR(INDEX(Jobs!$AJ$5:$AJ$604,MATCH(C143,Jobs!$A$5:$A$604,0)),"0"))</f>
        <v>0</v>
      </c>
      <c r="K143" s="23">
        <f>IF(C143="","",IFERROR(INDEX(Jobs!$M$5:$M$604,MATCH(C143,Jobs!$A$5:$A$604,0)),""))</f>
        <v>0</v>
      </c>
      <c r="L143" s="51">
        <f>IF(B143="","",IF(E143&lt;&gt;"",E143,IF(C143="","",K143&amp;" - "&amp;TEXT(D143,"d mmm yyyy"))))</f>
        <v>0</v>
      </c>
      <c r="M143" s="21">
        <f>IF(B143="","",IF(G143&lt;&gt;"",G143,IFERROR(J143*1,0)))</f>
        <v>0</v>
      </c>
      <c r="N143" s="21">
        <f>IF(B143="","",ROUND(IF(F143="",1,F143)*M143,2))</f>
        <v>0</v>
      </c>
      <c r="O143" s="39">
        <f>IF(B143="","",IF(C143="","",IF(COUNTIFS($C$5:$C$804,C143)&gt;1,"Duplicate","OK")))</f>
        <v>0</v>
      </c>
      <c r="P143" s="31">
        <f>IF(OR(B143="",E143=""),"",COUNTIFS($B$5:B143,B143))</f>
        <v>0</v>
      </c>
      <c r="Q143" s="23">
        <f>IF(P143="","",B143&amp;"|"&amp;P143)</f>
        <v>0</v>
      </c>
      <c r="R143" s="39">
        <f>IF(B143="","",IF(O143="Duplicate","Duplicate - job billed twice",IF(M143=0,"Add - no price on this line",IF(AND(C143="",E143=""),"Add - what is this line for?","OK"))))</f>
        <v>0</v>
      </c>
    </row>
    <row r="144" spans="1:18">
      <c r="A144" s="43">
        <f>IF(B144="","","IL-"&amp;TEXT(ROW()-4,"0000"))</f>
        <v>0</v>
      </c>
      <c r="D144" s="18">
        <f>IF(C144="","",IFERROR(INDEX(Jobs!$B$5:$B$604,MATCH(C144,Jobs!$A$5:$A$604,0)),""))</f>
        <v>0</v>
      </c>
      <c r="J144" s="21">
        <f>IF(C144="","",IFERROR(INDEX(Jobs!$AJ$5:$AJ$604,MATCH(C144,Jobs!$A$5:$A$604,0)),"0"))</f>
        <v>0</v>
      </c>
      <c r="K144" s="23">
        <f>IF(C144="","",IFERROR(INDEX(Jobs!$M$5:$M$604,MATCH(C144,Jobs!$A$5:$A$604,0)),""))</f>
        <v>0</v>
      </c>
      <c r="L144" s="51">
        <f>IF(B144="","",IF(E144&lt;&gt;"",E144,IF(C144="","",K144&amp;" - "&amp;TEXT(D144,"d mmm yyyy"))))</f>
        <v>0</v>
      </c>
      <c r="M144" s="21">
        <f>IF(B144="","",IF(G144&lt;&gt;"",G144,IFERROR(J144*1,0)))</f>
        <v>0</v>
      </c>
      <c r="N144" s="21">
        <f>IF(B144="","",ROUND(IF(F144="",1,F144)*M144,2))</f>
        <v>0</v>
      </c>
      <c r="O144" s="39">
        <f>IF(B144="","",IF(C144="","",IF(COUNTIFS($C$5:$C$804,C144)&gt;1,"Duplicate","OK")))</f>
        <v>0</v>
      </c>
      <c r="P144" s="31">
        <f>IF(OR(B144="",E144=""),"",COUNTIFS($B$5:B144,B144))</f>
        <v>0</v>
      </c>
      <c r="Q144" s="23">
        <f>IF(P144="","",B144&amp;"|"&amp;P144)</f>
        <v>0</v>
      </c>
      <c r="R144" s="39">
        <f>IF(B144="","",IF(O144="Duplicate","Duplicate - job billed twice",IF(M144=0,"Add - no price on this line",IF(AND(C144="",E144=""),"Add - what is this line for?","OK"))))</f>
        <v>0</v>
      </c>
    </row>
    <row r="145" spans="1:18">
      <c r="A145" s="43">
        <f>IF(B145="","","IL-"&amp;TEXT(ROW()-4,"0000"))</f>
        <v>0</v>
      </c>
      <c r="D145" s="18">
        <f>IF(C145="","",IFERROR(INDEX(Jobs!$B$5:$B$604,MATCH(C145,Jobs!$A$5:$A$604,0)),""))</f>
        <v>0</v>
      </c>
      <c r="J145" s="21">
        <f>IF(C145="","",IFERROR(INDEX(Jobs!$AJ$5:$AJ$604,MATCH(C145,Jobs!$A$5:$A$604,0)),"0"))</f>
        <v>0</v>
      </c>
      <c r="K145" s="23">
        <f>IF(C145="","",IFERROR(INDEX(Jobs!$M$5:$M$604,MATCH(C145,Jobs!$A$5:$A$604,0)),""))</f>
        <v>0</v>
      </c>
      <c r="L145" s="51">
        <f>IF(B145="","",IF(E145&lt;&gt;"",E145,IF(C145="","",K145&amp;" - "&amp;TEXT(D145,"d mmm yyyy"))))</f>
        <v>0</v>
      </c>
      <c r="M145" s="21">
        <f>IF(B145="","",IF(G145&lt;&gt;"",G145,IFERROR(J145*1,0)))</f>
        <v>0</v>
      </c>
      <c r="N145" s="21">
        <f>IF(B145="","",ROUND(IF(F145="",1,F145)*M145,2))</f>
        <v>0</v>
      </c>
      <c r="O145" s="39">
        <f>IF(B145="","",IF(C145="","",IF(COUNTIFS($C$5:$C$804,C145)&gt;1,"Duplicate","OK")))</f>
        <v>0</v>
      </c>
      <c r="P145" s="31">
        <f>IF(OR(B145="",E145=""),"",COUNTIFS($B$5:B145,B145))</f>
        <v>0</v>
      </c>
      <c r="Q145" s="23">
        <f>IF(P145="","",B145&amp;"|"&amp;P145)</f>
        <v>0</v>
      </c>
      <c r="R145" s="39">
        <f>IF(B145="","",IF(O145="Duplicate","Duplicate - job billed twice",IF(M145=0,"Add - no price on this line",IF(AND(C145="",E145=""),"Add - what is this line for?","OK"))))</f>
        <v>0</v>
      </c>
    </row>
    <row r="146" spans="1:18">
      <c r="A146" s="43">
        <f>IF(B146="","","IL-"&amp;TEXT(ROW()-4,"0000"))</f>
        <v>0</v>
      </c>
      <c r="D146" s="18">
        <f>IF(C146="","",IFERROR(INDEX(Jobs!$B$5:$B$604,MATCH(C146,Jobs!$A$5:$A$604,0)),""))</f>
        <v>0</v>
      </c>
      <c r="J146" s="21">
        <f>IF(C146="","",IFERROR(INDEX(Jobs!$AJ$5:$AJ$604,MATCH(C146,Jobs!$A$5:$A$604,0)),"0"))</f>
        <v>0</v>
      </c>
      <c r="K146" s="23">
        <f>IF(C146="","",IFERROR(INDEX(Jobs!$M$5:$M$604,MATCH(C146,Jobs!$A$5:$A$604,0)),""))</f>
        <v>0</v>
      </c>
      <c r="L146" s="51">
        <f>IF(B146="","",IF(E146&lt;&gt;"",E146,IF(C146="","",K146&amp;" - "&amp;TEXT(D146,"d mmm yyyy"))))</f>
        <v>0</v>
      </c>
      <c r="M146" s="21">
        <f>IF(B146="","",IF(G146&lt;&gt;"",G146,IFERROR(J146*1,0)))</f>
        <v>0</v>
      </c>
      <c r="N146" s="21">
        <f>IF(B146="","",ROUND(IF(F146="",1,F146)*M146,2))</f>
        <v>0</v>
      </c>
      <c r="O146" s="39">
        <f>IF(B146="","",IF(C146="","",IF(COUNTIFS($C$5:$C$804,C146)&gt;1,"Duplicate","OK")))</f>
        <v>0</v>
      </c>
      <c r="P146" s="31">
        <f>IF(OR(B146="",E146=""),"",COUNTIFS($B$5:B146,B146))</f>
        <v>0</v>
      </c>
      <c r="Q146" s="23">
        <f>IF(P146="","",B146&amp;"|"&amp;P146)</f>
        <v>0</v>
      </c>
      <c r="R146" s="39">
        <f>IF(B146="","",IF(O146="Duplicate","Duplicate - job billed twice",IF(M146=0,"Add - no price on this line",IF(AND(C146="",E146=""),"Add - what is this line for?","OK"))))</f>
        <v>0</v>
      </c>
    </row>
    <row r="147" spans="1:18">
      <c r="A147" s="43">
        <f>IF(B147="","","IL-"&amp;TEXT(ROW()-4,"0000"))</f>
        <v>0</v>
      </c>
      <c r="D147" s="18">
        <f>IF(C147="","",IFERROR(INDEX(Jobs!$B$5:$B$604,MATCH(C147,Jobs!$A$5:$A$604,0)),""))</f>
        <v>0</v>
      </c>
      <c r="J147" s="21">
        <f>IF(C147="","",IFERROR(INDEX(Jobs!$AJ$5:$AJ$604,MATCH(C147,Jobs!$A$5:$A$604,0)),"0"))</f>
        <v>0</v>
      </c>
      <c r="K147" s="23">
        <f>IF(C147="","",IFERROR(INDEX(Jobs!$M$5:$M$604,MATCH(C147,Jobs!$A$5:$A$604,0)),""))</f>
        <v>0</v>
      </c>
      <c r="L147" s="51">
        <f>IF(B147="","",IF(E147&lt;&gt;"",E147,IF(C147="","",K147&amp;" - "&amp;TEXT(D147,"d mmm yyyy"))))</f>
        <v>0</v>
      </c>
      <c r="M147" s="21">
        <f>IF(B147="","",IF(G147&lt;&gt;"",G147,IFERROR(J147*1,0)))</f>
        <v>0</v>
      </c>
      <c r="N147" s="21">
        <f>IF(B147="","",ROUND(IF(F147="",1,F147)*M147,2))</f>
        <v>0</v>
      </c>
      <c r="O147" s="39">
        <f>IF(B147="","",IF(C147="","",IF(COUNTIFS($C$5:$C$804,C147)&gt;1,"Duplicate","OK")))</f>
        <v>0</v>
      </c>
      <c r="P147" s="31">
        <f>IF(OR(B147="",E147=""),"",COUNTIFS($B$5:B147,B147))</f>
        <v>0</v>
      </c>
      <c r="Q147" s="23">
        <f>IF(P147="","",B147&amp;"|"&amp;P147)</f>
        <v>0</v>
      </c>
      <c r="R147" s="39">
        <f>IF(B147="","",IF(O147="Duplicate","Duplicate - job billed twice",IF(M147=0,"Add - no price on this line",IF(AND(C147="",E147=""),"Add - what is this line for?","OK"))))</f>
        <v>0</v>
      </c>
    </row>
    <row r="148" spans="1:18">
      <c r="A148" s="43">
        <f>IF(B148="","","IL-"&amp;TEXT(ROW()-4,"0000"))</f>
        <v>0</v>
      </c>
      <c r="D148" s="18">
        <f>IF(C148="","",IFERROR(INDEX(Jobs!$B$5:$B$604,MATCH(C148,Jobs!$A$5:$A$604,0)),""))</f>
        <v>0</v>
      </c>
      <c r="J148" s="21">
        <f>IF(C148="","",IFERROR(INDEX(Jobs!$AJ$5:$AJ$604,MATCH(C148,Jobs!$A$5:$A$604,0)),"0"))</f>
        <v>0</v>
      </c>
      <c r="K148" s="23">
        <f>IF(C148="","",IFERROR(INDEX(Jobs!$M$5:$M$604,MATCH(C148,Jobs!$A$5:$A$604,0)),""))</f>
        <v>0</v>
      </c>
      <c r="L148" s="51">
        <f>IF(B148="","",IF(E148&lt;&gt;"",E148,IF(C148="","",K148&amp;" - "&amp;TEXT(D148,"d mmm yyyy"))))</f>
        <v>0</v>
      </c>
      <c r="M148" s="21">
        <f>IF(B148="","",IF(G148&lt;&gt;"",G148,IFERROR(J148*1,0)))</f>
        <v>0</v>
      </c>
      <c r="N148" s="21">
        <f>IF(B148="","",ROUND(IF(F148="",1,F148)*M148,2))</f>
        <v>0</v>
      </c>
      <c r="O148" s="39">
        <f>IF(B148="","",IF(C148="","",IF(COUNTIFS($C$5:$C$804,C148)&gt;1,"Duplicate","OK")))</f>
        <v>0</v>
      </c>
      <c r="P148" s="31">
        <f>IF(OR(B148="",E148=""),"",COUNTIFS($B$5:B148,B148))</f>
        <v>0</v>
      </c>
      <c r="Q148" s="23">
        <f>IF(P148="","",B148&amp;"|"&amp;P148)</f>
        <v>0</v>
      </c>
      <c r="R148" s="39">
        <f>IF(B148="","",IF(O148="Duplicate","Duplicate - job billed twice",IF(M148=0,"Add - no price on this line",IF(AND(C148="",E148=""),"Add - what is this line for?","OK"))))</f>
        <v>0</v>
      </c>
    </row>
    <row r="149" spans="1:18">
      <c r="A149" s="43">
        <f>IF(B149="","","IL-"&amp;TEXT(ROW()-4,"0000"))</f>
        <v>0</v>
      </c>
      <c r="D149" s="18">
        <f>IF(C149="","",IFERROR(INDEX(Jobs!$B$5:$B$604,MATCH(C149,Jobs!$A$5:$A$604,0)),""))</f>
        <v>0</v>
      </c>
      <c r="J149" s="21">
        <f>IF(C149="","",IFERROR(INDEX(Jobs!$AJ$5:$AJ$604,MATCH(C149,Jobs!$A$5:$A$604,0)),"0"))</f>
        <v>0</v>
      </c>
      <c r="K149" s="23">
        <f>IF(C149="","",IFERROR(INDEX(Jobs!$M$5:$M$604,MATCH(C149,Jobs!$A$5:$A$604,0)),""))</f>
        <v>0</v>
      </c>
      <c r="L149" s="51">
        <f>IF(B149="","",IF(E149&lt;&gt;"",E149,IF(C149="","",K149&amp;" - "&amp;TEXT(D149,"d mmm yyyy"))))</f>
        <v>0</v>
      </c>
      <c r="M149" s="21">
        <f>IF(B149="","",IF(G149&lt;&gt;"",G149,IFERROR(J149*1,0)))</f>
        <v>0</v>
      </c>
      <c r="N149" s="21">
        <f>IF(B149="","",ROUND(IF(F149="",1,F149)*M149,2))</f>
        <v>0</v>
      </c>
      <c r="O149" s="39">
        <f>IF(B149="","",IF(C149="","",IF(COUNTIFS($C$5:$C$804,C149)&gt;1,"Duplicate","OK")))</f>
        <v>0</v>
      </c>
      <c r="P149" s="31">
        <f>IF(OR(B149="",E149=""),"",COUNTIFS($B$5:B149,B149))</f>
        <v>0</v>
      </c>
      <c r="Q149" s="23">
        <f>IF(P149="","",B149&amp;"|"&amp;P149)</f>
        <v>0</v>
      </c>
      <c r="R149" s="39">
        <f>IF(B149="","",IF(O149="Duplicate","Duplicate - job billed twice",IF(M149=0,"Add - no price on this line",IF(AND(C149="",E149=""),"Add - what is this line for?","OK"))))</f>
        <v>0</v>
      </c>
    </row>
    <row r="150" spans="1:18">
      <c r="A150" s="43">
        <f>IF(B150="","","IL-"&amp;TEXT(ROW()-4,"0000"))</f>
        <v>0</v>
      </c>
      <c r="D150" s="18">
        <f>IF(C150="","",IFERROR(INDEX(Jobs!$B$5:$B$604,MATCH(C150,Jobs!$A$5:$A$604,0)),""))</f>
        <v>0</v>
      </c>
      <c r="J150" s="21">
        <f>IF(C150="","",IFERROR(INDEX(Jobs!$AJ$5:$AJ$604,MATCH(C150,Jobs!$A$5:$A$604,0)),"0"))</f>
        <v>0</v>
      </c>
      <c r="K150" s="23">
        <f>IF(C150="","",IFERROR(INDEX(Jobs!$M$5:$M$604,MATCH(C150,Jobs!$A$5:$A$604,0)),""))</f>
        <v>0</v>
      </c>
      <c r="L150" s="51">
        <f>IF(B150="","",IF(E150&lt;&gt;"",E150,IF(C150="","",K150&amp;" - "&amp;TEXT(D150,"d mmm yyyy"))))</f>
        <v>0</v>
      </c>
      <c r="M150" s="21">
        <f>IF(B150="","",IF(G150&lt;&gt;"",G150,IFERROR(J150*1,0)))</f>
        <v>0</v>
      </c>
      <c r="N150" s="21">
        <f>IF(B150="","",ROUND(IF(F150="",1,F150)*M150,2))</f>
        <v>0</v>
      </c>
      <c r="O150" s="39">
        <f>IF(B150="","",IF(C150="","",IF(COUNTIFS($C$5:$C$804,C150)&gt;1,"Duplicate","OK")))</f>
        <v>0</v>
      </c>
      <c r="P150" s="31">
        <f>IF(OR(B150="",E150=""),"",COUNTIFS($B$5:B150,B150))</f>
        <v>0</v>
      </c>
      <c r="Q150" s="23">
        <f>IF(P150="","",B150&amp;"|"&amp;P150)</f>
        <v>0</v>
      </c>
      <c r="R150" s="39">
        <f>IF(B150="","",IF(O150="Duplicate","Duplicate - job billed twice",IF(M150=0,"Add - no price on this line",IF(AND(C150="",E150=""),"Add - what is this line for?","OK"))))</f>
        <v>0</v>
      </c>
    </row>
    <row r="151" spans="1:18">
      <c r="A151" s="43">
        <f>IF(B151="","","IL-"&amp;TEXT(ROW()-4,"0000"))</f>
        <v>0</v>
      </c>
      <c r="D151" s="18">
        <f>IF(C151="","",IFERROR(INDEX(Jobs!$B$5:$B$604,MATCH(C151,Jobs!$A$5:$A$604,0)),""))</f>
        <v>0</v>
      </c>
      <c r="J151" s="21">
        <f>IF(C151="","",IFERROR(INDEX(Jobs!$AJ$5:$AJ$604,MATCH(C151,Jobs!$A$5:$A$604,0)),"0"))</f>
        <v>0</v>
      </c>
      <c r="K151" s="23">
        <f>IF(C151="","",IFERROR(INDEX(Jobs!$M$5:$M$604,MATCH(C151,Jobs!$A$5:$A$604,0)),""))</f>
        <v>0</v>
      </c>
      <c r="L151" s="51">
        <f>IF(B151="","",IF(E151&lt;&gt;"",E151,IF(C151="","",K151&amp;" - "&amp;TEXT(D151,"d mmm yyyy"))))</f>
        <v>0</v>
      </c>
      <c r="M151" s="21">
        <f>IF(B151="","",IF(G151&lt;&gt;"",G151,IFERROR(J151*1,0)))</f>
        <v>0</v>
      </c>
      <c r="N151" s="21">
        <f>IF(B151="","",ROUND(IF(F151="",1,F151)*M151,2))</f>
        <v>0</v>
      </c>
      <c r="O151" s="39">
        <f>IF(B151="","",IF(C151="","",IF(COUNTIFS($C$5:$C$804,C151)&gt;1,"Duplicate","OK")))</f>
        <v>0</v>
      </c>
      <c r="P151" s="31">
        <f>IF(OR(B151="",E151=""),"",COUNTIFS($B$5:B151,B151))</f>
        <v>0</v>
      </c>
      <c r="Q151" s="23">
        <f>IF(P151="","",B151&amp;"|"&amp;P151)</f>
        <v>0</v>
      </c>
      <c r="R151" s="39">
        <f>IF(B151="","",IF(O151="Duplicate","Duplicate - job billed twice",IF(M151=0,"Add - no price on this line",IF(AND(C151="",E151=""),"Add - what is this line for?","OK"))))</f>
        <v>0</v>
      </c>
    </row>
    <row r="152" spans="1:18">
      <c r="A152" s="43">
        <f>IF(B152="","","IL-"&amp;TEXT(ROW()-4,"0000"))</f>
        <v>0</v>
      </c>
      <c r="D152" s="18">
        <f>IF(C152="","",IFERROR(INDEX(Jobs!$B$5:$B$604,MATCH(C152,Jobs!$A$5:$A$604,0)),""))</f>
        <v>0</v>
      </c>
      <c r="J152" s="21">
        <f>IF(C152="","",IFERROR(INDEX(Jobs!$AJ$5:$AJ$604,MATCH(C152,Jobs!$A$5:$A$604,0)),"0"))</f>
        <v>0</v>
      </c>
      <c r="K152" s="23">
        <f>IF(C152="","",IFERROR(INDEX(Jobs!$M$5:$M$604,MATCH(C152,Jobs!$A$5:$A$604,0)),""))</f>
        <v>0</v>
      </c>
      <c r="L152" s="51">
        <f>IF(B152="","",IF(E152&lt;&gt;"",E152,IF(C152="","",K152&amp;" - "&amp;TEXT(D152,"d mmm yyyy"))))</f>
        <v>0</v>
      </c>
      <c r="M152" s="21">
        <f>IF(B152="","",IF(G152&lt;&gt;"",G152,IFERROR(J152*1,0)))</f>
        <v>0</v>
      </c>
      <c r="N152" s="21">
        <f>IF(B152="","",ROUND(IF(F152="",1,F152)*M152,2))</f>
        <v>0</v>
      </c>
      <c r="O152" s="39">
        <f>IF(B152="","",IF(C152="","",IF(COUNTIFS($C$5:$C$804,C152)&gt;1,"Duplicate","OK")))</f>
        <v>0</v>
      </c>
      <c r="P152" s="31">
        <f>IF(OR(B152="",E152=""),"",COUNTIFS($B$5:B152,B152))</f>
        <v>0</v>
      </c>
      <c r="Q152" s="23">
        <f>IF(P152="","",B152&amp;"|"&amp;P152)</f>
        <v>0</v>
      </c>
      <c r="R152" s="39">
        <f>IF(B152="","",IF(O152="Duplicate","Duplicate - job billed twice",IF(M152=0,"Add - no price on this line",IF(AND(C152="",E152=""),"Add - what is this line for?","OK"))))</f>
        <v>0</v>
      </c>
    </row>
    <row r="153" spans="1:18">
      <c r="A153" s="43">
        <f>IF(B153="","","IL-"&amp;TEXT(ROW()-4,"0000"))</f>
        <v>0</v>
      </c>
      <c r="D153" s="18">
        <f>IF(C153="","",IFERROR(INDEX(Jobs!$B$5:$B$604,MATCH(C153,Jobs!$A$5:$A$604,0)),""))</f>
        <v>0</v>
      </c>
      <c r="J153" s="21">
        <f>IF(C153="","",IFERROR(INDEX(Jobs!$AJ$5:$AJ$604,MATCH(C153,Jobs!$A$5:$A$604,0)),"0"))</f>
        <v>0</v>
      </c>
      <c r="K153" s="23">
        <f>IF(C153="","",IFERROR(INDEX(Jobs!$M$5:$M$604,MATCH(C153,Jobs!$A$5:$A$604,0)),""))</f>
        <v>0</v>
      </c>
      <c r="L153" s="51">
        <f>IF(B153="","",IF(E153&lt;&gt;"",E153,IF(C153="","",K153&amp;" - "&amp;TEXT(D153,"d mmm yyyy"))))</f>
        <v>0</v>
      </c>
      <c r="M153" s="21">
        <f>IF(B153="","",IF(G153&lt;&gt;"",G153,IFERROR(J153*1,0)))</f>
        <v>0</v>
      </c>
      <c r="N153" s="21">
        <f>IF(B153="","",ROUND(IF(F153="",1,F153)*M153,2))</f>
        <v>0</v>
      </c>
      <c r="O153" s="39">
        <f>IF(B153="","",IF(C153="","",IF(COUNTIFS($C$5:$C$804,C153)&gt;1,"Duplicate","OK")))</f>
        <v>0</v>
      </c>
      <c r="P153" s="31">
        <f>IF(OR(B153="",E153=""),"",COUNTIFS($B$5:B153,B153))</f>
        <v>0</v>
      </c>
      <c r="Q153" s="23">
        <f>IF(P153="","",B153&amp;"|"&amp;P153)</f>
        <v>0</v>
      </c>
      <c r="R153" s="39">
        <f>IF(B153="","",IF(O153="Duplicate","Duplicate - job billed twice",IF(M153=0,"Add - no price on this line",IF(AND(C153="",E153=""),"Add - what is this line for?","OK"))))</f>
        <v>0</v>
      </c>
    </row>
    <row r="154" spans="1:18">
      <c r="A154" s="43">
        <f>IF(B154="","","IL-"&amp;TEXT(ROW()-4,"0000"))</f>
        <v>0</v>
      </c>
      <c r="D154" s="18">
        <f>IF(C154="","",IFERROR(INDEX(Jobs!$B$5:$B$604,MATCH(C154,Jobs!$A$5:$A$604,0)),""))</f>
        <v>0</v>
      </c>
      <c r="J154" s="21">
        <f>IF(C154="","",IFERROR(INDEX(Jobs!$AJ$5:$AJ$604,MATCH(C154,Jobs!$A$5:$A$604,0)),"0"))</f>
        <v>0</v>
      </c>
      <c r="K154" s="23">
        <f>IF(C154="","",IFERROR(INDEX(Jobs!$M$5:$M$604,MATCH(C154,Jobs!$A$5:$A$604,0)),""))</f>
        <v>0</v>
      </c>
      <c r="L154" s="51">
        <f>IF(B154="","",IF(E154&lt;&gt;"",E154,IF(C154="","",K154&amp;" - "&amp;TEXT(D154,"d mmm yyyy"))))</f>
        <v>0</v>
      </c>
      <c r="M154" s="21">
        <f>IF(B154="","",IF(G154&lt;&gt;"",G154,IFERROR(J154*1,0)))</f>
        <v>0</v>
      </c>
      <c r="N154" s="21">
        <f>IF(B154="","",ROUND(IF(F154="",1,F154)*M154,2))</f>
        <v>0</v>
      </c>
      <c r="O154" s="39">
        <f>IF(B154="","",IF(C154="","",IF(COUNTIFS($C$5:$C$804,C154)&gt;1,"Duplicate","OK")))</f>
        <v>0</v>
      </c>
      <c r="P154" s="31">
        <f>IF(OR(B154="",E154=""),"",COUNTIFS($B$5:B154,B154))</f>
        <v>0</v>
      </c>
      <c r="Q154" s="23">
        <f>IF(P154="","",B154&amp;"|"&amp;P154)</f>
        <v>0</v>
      </c>
      <c r="R154" s="39">
        <f>IF(B154="","",IF(O154="Duplicate","Duplicate - job billed twice",IF(M154=0,"Add - no price on this line",IF(AND(C154="",E154=""),"Add - what is this line for?","OK"))))</f>
        <v>0</v>
      </c>
    </row>
    <row r="155" spans="1:18">
      <c r="A155" s="43">
        <f>IF(B155="","","IL-"&amp;TEXT(ROW()-4,"0000"))</f>
        <v>0</v>
      </c>
      <c r="D155" s="18">
        <f>IF(C155="","",IFERROR(INDEX(Jobs!$B$5:$B$604,MATCH(C155,Jobs!$A$5:$A$604,0)),""))</f>
        <v>0</v>
      </c>
      <c r="J155" s="21">
        <f>IF(C155="","",IFERROR(INDEX(Jobs!$AJ$5:$AJ$604,MATCH(C155,Jobs!$A$5:$A$604,0)),"0"))</f>
        <v>0</v>
      </c>
      <c r="K155" s="23">
        <f>IF(C155="","",IFERROR(INDEX(Jobs!$M$5:$M$604,MATCH(C155,Jobs!$A$5:$A$604,0)),""))</f>
        <v>0</v>
      </c>
      <c r="L155" s="51">
        <f>IF(B155="","",IF(E155&lt;&gt;"",E155,IF(C155="","",K155&amp;" - "&amp;TEXT(D155,"d mmm yyyy"))))</f>
        <v>0</v>
      </c>
      <c r="M155" s="21">
        <f>IF(B155="","",IF(G155&lt;&gt;"",G155,IFERROR(J155*1,0)))</f>
        <v>0</v>
      </c>
      <c r="N155" s="21">
        <f>IF(B155="","",ROUND(IF(F155="",1,F155)*M155,2))</f>
        <v>0</v>
      </c>
      <c r="O155" s="39">
        <f>IF(B155="","",IF(C155="","",IF(COUNTIFS($C$5:$C$804,C155)&gt;1,"Duplicate","OK")))</f>
        <v>0</v>
      </c>
      <c r="P155" s="31">
        <f>IF(OR(B155="",E155=""),"",COUNTIFS($B$5:B155,B155))</f>
        <v>0</v>
      </c>
      <c r="Q155" s="23">
        <f>IF(P155="","",B155&amp;"|"&amp;P155)</f>
        <v>0</v>
      </c>
      <c r="R155" s="39">
        <f>IF(B155="","",IF(O155="Duplicate","Duplicate - job billed twice",IF(M155=0,"Add - no price on this line",IF(AND(C155="",E155=""),"Add - what is this line for?","OK"))))</f>
        <v>0</v>
      </c>
    </row>
    <row r="156" spans="1:18">
      <c r="A156" s="43">
        <f>IF(B156="","","IL-"&amp;TEXT(ROW()-4,"0000"))</f>
        <v>0</v>
      </c>
      <c r="D156" s="18">
        <f>IF(C156="","",IFERROR(INDEX(Jobs!$B$5:$B$604,MATCH(C156,Jobs!$A$5:$A$604,0)),""))</f>
        <v>0</v>
      </c>
      <c r="J156" s="21">
        <f>IF(C156="","",IFERROR(INDEX(Jobs!$AJ$5:$AJ$604,MATCH(C156,Jobs!$A$5:$A$604,0)),"0"))</f>
        <v>0</v>
      </c>
      <c r="K156" s="23">
        <f>IF(C156="","",IFERROR(INDEX(Jobs!$M$5:$M$604,MATCH(C156,Jobs!$A$5:$A$604,0)),""))</f>
        <v>0</v>
      </c>
      <c r="L156" s="51">
        <f>IF(B156="","",IF(E156&lt;&gt;"",E156,IF(C156="","",K156&amp;" - "&amp;TEXT(D156,"d mmm yyyy"))))</f>
        <v>0</v>
      </c>
      <c r="M156" s="21">
        <f>IF(B156="","",IF(G156&lt;&gt;"",G156,IFERROR(J156*1,0)))</f>
        <v>0</v>
      </c>
      <c r="N156" s="21">
        <f>IF(B156="","",ROUND(IF(F156="",1,F156)*M156,2))</f>
        <v>0</v>
      </c>
      <c r="O156" s="39">
        <f>IF(B156="","",IF(C156="","",IF(COUNTIFS($C$5:$C$804,C156)&gt;1,"Duplicate","OK")))</f>
        <v>0</v>
      </c>
      <c r="P156" s="31">
        <f>IF(OR(B156="",E156=""),"",COUNTIFS($B$5:B156,B156))</f>
        <v>0</v>
      </c>
      <c r="Q156" s="23">
        <f>IF(P156="","",B156&amp;"|"&amp;P156)</f>
        <v>0</v>
      </c>
      <c r="R156" s="39">
        <f>IF(B156="","",IF(O156="Duplicate","Duplicate - job billed twice",IF(M156=0,"Add - no price on this line",IF(AND(C156="",E156=""),"Add - what is this line for?","OK"))))</f>
        <v>0</v>
      </c>
    </row>
    <row r="157" spans="1:18">
      <c r="A157" s="43">
        <f>IF(B157="","","IL-"&amp;TEXT(ROW()-4,"0000"))</f>
        <v>0</v>
      </c>
      <c r="D157" s="18">
        <f>IF(C157="","",IFERROR(INDEX(Jobs!$B$5:$B$604,MATCH(C157,Jobs!$A$5:$A$604,0)),""))</f>
        <v>0</v>
      </c>
      <c r="J157" s="21">
        <f>IF(C157="","",IFERROR(INDEX(Jobs!$AJ$5:$AJ$604,MATCH(C157,Jobs!$A$5:$A$604,0)),"0"))</f>
        <v>0</v>
      </c>
      <c r="K157" s="23">
        <f>IF(C157="","",IFERROR(INDEX(Jobs!$M$5:$M$604,MATCH(C157,Jobs!$A$5:$A$604,0)),""))</f>
        <v>0</v>
      </c>
      <c r="L157" s="51">
        <f>IF(B157="","",IF(E157&lt;&gt;"",E157,IF(C157="","",K157&amp;" - "&amp;TEXT(D157,"d mmm yyyy"))))</f>
        <v>0</v>
      </c>
      <c r="M157" s="21">
        <f>IF(B157="","",IF(G157&lt;&gt;"",G157,IFERROR(J157*1,0)))</f>
        <v>0</v>
      </c>
      <c r="N157" s="21">
        <f>IF(B157="","",ROUND(IF(F157="",1,F157)*M157,2))</f>
        <v>0</v>
      </c>
      <c r="O157" s="39">
        <f>IF(B157="","",IF(C157="","",IF(COUNTIFS($C$5:$C$804,C157)&gt;1,"Duplicate","OK")))</f>
        <v>0</v>
      </c>
      <c r="P157" s="31">
        <f>IF(OR(B157="",E157=""),"",COUNTIFS($B$5:B157,B157))</f>
        <v>0</v>
      </c>
      <c r="Q157" s="23">
        <f>IF(P157="","",B157&amp;"|"&amp;P157)</f>
        <v>0</v>
      </c>
      <c r="R157" s="39">
        <f>IF(B157="","",IF(O157="Duplicate","Duplicate - job billed twice",IF(M157=0,"Add - no price on this line",IF(AND(C157="",E157=""),"Add - what is this line for?","OK"))))</f>
        <v>0</v>
      </c>
    </row>
    <row r="158" spans="1:18">
      <c r="A158" s="43">
        <f>IF(B158="","","IL-"&amp;TEXT(ROW()-4,"0000"))</f>
        <v>0</v>
      </c>
      <c r="D158" s="18">
        <f>IF(C158="","",IFERROR(INDEX(Jobs!$B$5:$B$604,MATCH(C158,Jobs!$A$5:$A$604,0)),""))</f>
        <v>0</v>
      </c>
      <c r="J158" s="21">
        <f>IF(C158="","",IFERROR(INDEX(Jobs!$AJ$5:$AJ$604,MATCH(C158,Jobs!$A$5:$A$604,0)),"0"))</f>
        <v>0</v>
      </c>
      <c r="K158" s="23">
        <f>IF(C158="","",IFERROR(INDEX(Jobs!$M$5:$M$604,MATCH(C158,Jobs!$A$5:$A$604,0)),""))</f>
        <v>0</v>
      </c>
      <c r="L158" s="51">
        <f>IF(B158="","",IF(E158&lt;&gt;"",E158,IF(C158="","",K158&amp;" - "&amp;TEXT(D158,"d mmm yyyy"))))</f>
        <v>0</v>
      </c>
      <c r="M158" s="21">
        <f>IF(B158="","",IF(G158&lt;&gt;"",G158,IFERROR(J158*1,0)))</f>
        <v>0</v>
      </c>
      <c r="N158" s="21">
        <f>IF(B158="","",ROUND(IF(F158="",1,F158)*M158,2))</f>
        <v>0</v>
      </c>
      <c r="O158" s="39">
        <f>IF(B158="","",IF(C158="","",IF(COUNTIFS($C$5:$C$804,C158)&gt;1,"Duplicate","OK")))</f>
        <v>0</v>
      </c>
      <c r="P158" s="31">
        <f>IF(OR(B158="",E158=""),"",COUNTIFS($B$5:B158,B158))</f>
        <v>0</v>
      </c>
      <c r="Q158" s="23">
        <f>IF(P158="","",B158&amp;"|"&amp;P158)</f>
        <v>0</v>
      </c>
      <c r="R158" s="39">
        <f>IF(B158="","",IF(O158="Duplicate","Duplicate - job billed twice",IF(M158=0,"Add - no price on this line",IF(AND(C158="",E158=""),"Add - what is this line for?","OK"))))</f>
        <v>0</v>
      </c>
    </row>
    <row r="159" spans="1:18">
      <c r="A159" s="43">
        <f>IF(B159="","","IL-"&amp;TEXT(ROW()-4,"0000"))</f>
        <v>0</v>
      </c>
      <c r="D159" s="18">
        <f>IF(C159="","",IFERROR(INDEX(Jobs!$B$5:$B$604,MATCH(C159,Jobs!$A$5:$A$604,0)),""))</f>
        <v>0</v>
      </c>
      <c r="J159" s="21">
        <f>IF(C159="","",IFERROR(INDEX(Jobs!$AJ$5:$AJ$604,MATCH(C159,Jobs!$A$5:$A$604,0)),"0"))</f>
        <v>0</v>
      </c>
      <c r="K159" s="23">
        <f>IF(C159="","",IFERROR(INDEX(Jobs!$M$5:$M$604,MATCH(C159,Jobs!$A$5:$A$604,0)),""))</f>
        <v>0</v>
      </c>
      <c r="L159" s="51">
        <f>IF(B159="","",IF(E159&lt;&gt;"",E159,IF(C159="","",K159&amp;" - "&amp;TEXT(D159,"d mmm yyyy"))))</f>
        <v>0</v>
      </c>
      <c r="M159" s="21">
        <f>IF(B159="","",IF(G159&lt;&gt;"",G159,IFERROR(J159*1,0)))</f>
        <v>0</v>
      </c>
      <c r="N159" s="21">
        <f>IF(B159="","",ROUND(IF(F159="",1,F159)*M159,2))</f>
        <v>0</v>
      </c>
      <c r="O159" s="39">
        <f>IF(B159="","",IF(C159="","",IF(COUNTIFS($C$5:$C$804,C159)&gt;1,"Duplicate","OK")))</f>
        <v>0</v>
      </c>
      <c r="P159" s="31">
        <f>IF(OR(B159="",E159=""),"",COUNTIFS($B$5:B159,B159))</f>
        <v>0</v>
      </c>
      <c r="Q159" s="23">
        <f>IF(P159="","",B159&amp;"|"&amp;P159)</f>
        <v>0</v>
      </c>
      <c r="R159" s="39">
        <f>IF(B159="","",IF(O159="Duplicate","Duplicate - job billed twice",IF(M159=0,"Add - no price on this line",IF(AND(C159="",E159=""),"Add - what is this line for?","OK"))))</f>
        <v>0</v>
      </c>
    </row>
    <row r="160" spans="1:18">
      <c r="A160" s="43">
        <f>IF(B160="","","IL-"&amp;TEXT(ROW()-4,"0000"))</f>
        <v>0</v>
      </c>
      <c r="D160" s="18">
        <f>IF(C160="","",IFERROR(INDEX(Jobs!$B$5:$B$604,MATCH(C160,Jobs!$A$5:$A$604,0)),""))</f>
        <v>0</v>
      </c>
      <c r="J160" s="21">
        <f>IF(C160="","",IFERROR(INDEX(Jobs!$AJ$5:$AJ$604,MATCH(C160,Jobs!$A$5:$A$604,0)),"0"))</f>
        <v>0</v>
      </c>
      <c r="K160" s="23">
        <f>IF(C160="","",IFERROR(INDEX(Jobs!$M$5:$M$604,MATCH(C160,Jobs!$A$5:$A$604,0)),""))</f>
        <v>0</v>
      </c>
      <c r="L160" s="51">
        <f>IF(B160="","",IF(E160&lt;&gt;"",E160,IF(C160="","",K160&amp;" - "&amp;TEXT(D160,"d mmm yyyy"))))</f>
        <v>0</v>
      </c>
      <c r="M160" s="21">
        <f>IF(B160="","",IF(G160&lt;&gt;"",G160,IFERROR(J160*1,0)))</f>
        <v>0</v>
      </c>
      <c r="N160" s="21">
        <f>IF(B160="","",ROUND(IF(F160="",1,F160)*M160,2))</f>
        <v>0</v>
      </c>
      <c r="O160" s="39">
        <f>IF(B160="","",IF(C160="","",IF(COUNTIFS($C$5:$C$804,C160)&gt;1,"Duplicate","OK")))</f>
        <v>0</v>
      </c>
      <c r="P160" s="31">
        <f>IF(OR(B160="",E160=""),"",COUNTIFS($B$5:B160,B160))</f>
        <v>0</v>
      </c>
      <c r="Q160" s="23">
        <f>IF(P160="","",B160&amp;"|"&amp;P160)</f>
        <v>0</v>
      </c>
      <c r="R160" s="39">
        <f>IF(B160="","",IF(O160="Duplicate","Duplicate - job billed twice",IF(M160=0,"Add - no price on this line",IF(AND(C160="",E160=""),"Add - what is this line for?","OK"))))</f>
        <v>0</v>
      </c>
    </row>
    <row r="161" spans="1:18">
      <c r="A161" s="43">
        <f>IF(B161="","","IL-"&amp;TEXT(ROW()-4,"0000"))</f>
        <v>0</v>
      </c>
      <c r="D161" s="18">
        <f>IF(C161="","",IFERROR(INDEX(Jobs!$B$5:$B$604,MATCH(C161,Jobs!$A$5:$A$604,0)),""))</f>
        <v>0</v>
      </c>
      <c r="J161" s="21">
        <f>IF(C161="","",IFERROR(INDEX(Jobs!$AJ$5:$AJ$604,MATCH(C161,Jobs!$A$5:$A$604,0)),"0"))</f>
        <v>0</v>
      </c>
      <c r="K161" s="23">
        <f>IF(C161="","",IFERROR(INDEX(Jobs!$M$5:$M$604,MATCH(C161,Jobs!$A$5:$A$604,0)),""))</f>
        <v>0</v>
      </c>
      <c r="L161" s="51">
        <f>IF(B161="","",IF(E161&lt;&gt;"",E161,IF(C161="","",K161&amp;" - "&amp;TEXT(D161,"d mmm yyyy"))))</f>
        <v>0</v>
      </c>
      <c r="M161" s="21">
        <f>IF(B161="","",IF(G161&lt;&gt;"",G161,IFERROR(J161*1,0)))</f>
        <v>0</v>
      </c>
      <c r="N161" s="21">
        <f>IF(B161="","",ROUND(IF(F161="",1,F161)*M161,2))</f>
        <v>0</v>
      </c>
      <c r="O161" s="39">
        <f>IF(B161="","",IF(C161="","",IF(COUNTIFS($C$5:$C$804,C161)&gt;1,"Duplicate","OK")))</f>
        <v>0</v>
      </c>
      <c r="P161" s="31">
        <f>IF(OR(B161="",E161=""),"",COUNTIFS($B$5:B161,B161))</f>
        <v>0</v>
      </c>
      <c r="Q161" s="23">
        <f>IF(P161="","",B161&amp;"|"&amp;P161)</f>
        <v>0</v>
      </c>
      <c r="R161" s="39">
        <f>IF(B161="","",IF(O161="Duplicate","Duplicate - job billed twice",IF(M161=0,"Add - no price on this line",IF(AND(C161="",E161=""),"Add - what is this line for?","OK"))))</f>
        <v>0</v>
      </c>
    </row>
    <row r="162" spans="1:18">
      <c r="A162" s="43">
        <f>IF(B162="","","IL-"&amp;TEXT(ROW()-4,"0000"))</f>
        <v>0</v>
      </c>
      <c r="D162" s="18">
        <f>IF(C162="","",IFERROR(INDEX(Jobs!$B$5:$B$604,MATCH(C162,Jobs!$A$5:$A$604,0)),""))</f>
        <v>0</v>
      </c>
      <c r="J162" s="21">
        <f>IF(C162="","",IFERROR(INDEX(Jobs!$AJ$5:$AJ$604,MATCH(C162,Jobs!$A$5:$A$604,0)),"0"))</f>
        <v>0</v>
      </c>
      <c r="K162" s="23">
        <f>IF(C162="","",IFERROR(INDEX(Jobs!$M$5:$M$604,MATCH(C162,Jobs!$A$5:$A$604,0)),""))</f>
        <v>0</v>
      </c>
      <c r="L162" s="51">
        <f>IF(B162="","",IF(E162&lt;&gt;"",E162,IF(C162="","",K162&amp;" - "&amp;TEXT(D162,"d mmm yyyy"))))</f>
        <v>0</v>
      </c>
      <c r="M162" s="21">
        <f>IF(B162="","",IF(G162&lt;&gt;"",G162,IFERROR(J162*1,0)))</f>
        <v>0</v>
      </c>
      <c r="N162" s="21">
        <f>IF(B162="","",ROUND(IF(F162="",1,F162)*M162,2))</f>
        <v>0</v>
      </c>
      <c r="O162" s="39">
        <f>IF(B162="","",IF(C162="","",IF(COUNTIFS($C$5:$C$804,C162)&gt;1,"Duplicate","OK")))</f>
        <v>0</v>
      </c>
      <c r="P162" s="31">
        <f>IF(OR(B162="",E162=""),"",COUNTIFS($B$5:B162,B162))</f>
        <v>0</v>
      </c>
      <c r="Q162" s="23">
        <f>IF(P162="","",B162&amp;"|"&amp;P162)</f>
        <v>0</v>
      </c>
      <c r="R162" s="39">
        <f>IF(B162="","",IF(O162="Duplicate","Duplicate - job billed twice",IF(M162=0,"Add - no price on this line",IF(AND(C162="",E162=""),"Add - what is this line for?","OK"))))</f>
        <v>0</v>
      </c>
    </row>
    <row r="163" spans="1:18">
      <c r="A163" s="43">
        <f>IF(B163="","","IL-"&amp;TEXT(ROW()-4,"0000"))</f>
        <v>0</v>
      </c>
      <c r="D163" s="18">
        <f>IF(C163="","",IFERROR(INDEX(Jobs!$B$5:$B$604,MATCH(C163,Jobs!$A$5:$A$604,0)),""))</f>
        <v>0</v>
      </c>
      <c r="J163" s="21">
        <f>IF(C163="","",IFERROR(INDEX(Jobs!$AJ$5:$AJ$604,MATCH(C163,Jobs!$A$5:$A$604,0)),"0"))</f>
        <v>0</v>
      </c>
      <c r="K163" s="23">
        <f>IF(C163="","",IFERROR(INDEX(Jobs!$M$5:$M$604,MATCH(C163,Jobs!$A$5:$A$604,0)),""))</f>
        <v>0</v>
      </c>
      <c r="L163" s="51">
        <f>IF(B163="","",IF(E163&lt;&gt;"",E163,IF(C163="","",K163&amp;" - "&amp;TEXT(D163,"d mmm yyyy"))))</f>
        <v>0</v>
      </c>
      <c r="M163" s="21">
        <f>IF(B163="","",IF(G163&lt;&gt;"",G163,IFERROR(J163*1,0)))</f>
        <v>0</v>
      </c>
      <c r="N163" s="21">
        <f>IF(B163="","",ROUND(IF(F163="",1,F163)*M163,2))</f>
        <v>0</v>
      </c>
      <c r="O163" s="39">
        <f>IF(B163="","",IF(C163="","",IF(COUNTIFS($C$5:$C$804,C163)&gt;1,"Duplicate","OK")))</f>
        <v>0</v>
      </c>
      <c r="P163" s="31">
        <f>IF(OR(B163="",E163=""),"",COUNTIFS($B$5:B163,B163))</f>
        <v>0</v>
      </c>
      <c r="Q163" s="23">
        <f>IF(P163="","",B163&amp;"|"&amp;P163)</f>
        <v>0</v>
      </c>
      <c r="R163" s="39">
        <f>IF(B163="","",IF(O163="Duplicate","Duplicate - job billed twice",IF(M163=0,"Add - no price on this line",IF(AND(C163="",E163=""),"Add - what is this line for?","OK"))))</f>
        <v>0</v>
      </c>
    </row>
    <row r="164" spans="1:18">
      <c r="A164" s="43">
        <f>IF(B164="","","IL-"&amp;TEXT(ROW()-4,"0000"))</f>
        <v>0</v>
      </c>
      <c r="D164" s="18">
        <f>IF(C164="","",IFERROR(INDEX(Jobs!$B$5:$B$604,MATCH(C164,Jobs!$A$5:$A$604,0)),""))</f>
        <v>0</v>
      </c>
      <c r="J164" s="21">
        <f>IF(C164="","",IFERROR(INDEX(Jobs!$AJ$5:$AJ$604,MATCH(C164,Jobs!$A$5:$A$604,0)),"0"))</f>
        <v>0</v>
      </c>
      <c r="K164" s="23">
        <f>IF(C164="","",IFERROR(INDEX(Jobs!$M$5:$M$604,MATCH(C164,Jobs!$A$5:$A$604,0)),""))</f>
        <v>0</v>
      </c>
      <c r="L164" s="51">
        <f>IF(B164="","",IF(E164&lt;&gt;"",E164,IF(C164="","",K164&amp;" - "&amp;TEXT(D164,"d mmm yyyy"))))</f>
        <v>0</v>
      </c>
      <c r="M164" s="21">
        <f>IF(B164="","",IF(G164&lt;&gt;"",G164,IFERROR(J164*1,0)))</f>
        <v>0</v>
      </c>
      <c r="N164" s="21">
        <f>IF(B164="","",ROUND(IF(F164="",1,F164)*M164,2))</f>
        <v>0</v>
      </c>
      <c r="O164" s="39">
        <f>IF(B164="","",IF(C164="","",IF(COUNTIFS($C$5:$C$804,C164)&gt;1,"Duplicate","OK")))</f>
        <v>0</v>
      </c>
      <c r="P164" s="31">
        <f>IF(OR(B164="",E164=""),"",COUNTIFS($B$5:B164,B164))</f>
        <v>0</v>
      </c>
      <c r="Q164" s="23">
        <f>IF(P164="","",B164&amp;"|"&amp;P164)</f>
        <v>0</v>
      </c>
      <c r="R164" s="39">
        <f>IF(B164="","",IF(O164="Duplicate","Duplicate - job billed twice",IF(M164=0,"Add - no price on this line",IF(AND(C164="",E164=""),"Add - what is this line for?","OK"))))</f>
        <v>0</v>
      </c>
    </row>
    <row r="165" spans="1:18">
      <c r="A165" s="43">
        <f>IF(B165="","","IL-"&amp;TEXT(ROW()-4,"0000"))</f>
        <v>0</v>
      </c>
      <c r="D165" s="18">
        <f>IF(C165="","",IFERROR(INDEX(Jobs!$B$5:$B$604,MATCH(C165,Jobs!$A$5:$A$604,0)),""))</f>
        <v>0</v>
      </c>
      <c r="J165" s="21">
        <f>IF(C165="","",IFERROR(INDEX(Jobs!$AJ$5:$AJ$604,MATCH(C165,Jobs!$A$5:$A$604,0)),"0"))</f>
        <v>0</v>
      </c>
      <c r="K165" s="23">
        <f>IF(C165="","",IFERROR(INDEX(Jobs!$M$5:$M$604,MATCH(C165,Jobs!$A$5:$A$604,0)),""))</f>
        <v>0</v>
      </c>
      <c r="L165" s="51">
        <f>IF(B165="","",IF(E165&lt;&gt;"",E165,IF(C165="","",K165&amp;" - "&amp;TEXT(D165,"d mmm yyyy"))))</f>
        <v>0</v>
      </c>
      <c r="M165" s="21">
        <f>IF(B165="","",IF(G165&lt;&gt;"",G165,IFERROR(J165*1,0)))</f>
        <v>0</v>
      </c>
      <c r="N165" s="21">
        <f>IF(B165="","",ROUND(IF(F165="",1,F165)*M165,2))</f>
        <v>0</v>
      </c>
      <c r="O165" s="39">
        <f>IF(B165="","",IF(C165="","",IF(COUNTIFS($C$5:$C$804,C165)&gt;1,"Duplicate","OK")))</f>
        <v>0</v>
      </c>
      <c r="P165" s="31">
        <f>IF(OR(B165="",E165=""),"",COUNTIFS($B$5:B165,B165))</f>
        <v>0</v>
      </c>
      <c r="Q165" s="23">
        <f>IF(P165="","",B165&amp;"|"&amp;P165)</f>
        <v>0</v>
      </c>
      <c r="R165" s="39">
        <f>IF(B165="","",IF(O165="Duplicate","Duplicate - job billed twice",IF(M165=0,"Add - no price on this line",IF(AND(C165="",E165=""),"Add - what is this line for?","OK"))))</f>
        <v>0</v>
      </c>
    </row>
    <row r="166" spans="1:18">
      <c r="A166" s="43">
        <f>IF(B166="","","IL-"&amp;TEXT(ROW()-4,"0000"))</f>
        <v>0</v>
      </c>
      <c r="D166" s="18">
        <f>IF(C166="","",IFERROR(INDEX(Jobs!$B$5:$B$604,MATCH(C166,Jobs!$A$5:$A$604,0)),""))</f>
        <v>0</v>
      </c>
      <c r="J166" s="21">
        <f>IF(C166="","",IFERROR(INDEX(Jobs!$AJ$5:$AJ$604,MATCH(C166,Jobs!$A$5:$A$604,0)),"0"))</f>
        <v>0</v>
      </c>
      <c r="K166" s="23">
        <f>IF(C166="","",IFERROR(INDEX(Jobs!$M$5:$M$604,MATCH(C166,Jobs!$A$5:$A$604,0)),""))</f>
        <v>0</v>
      </c>
      <c r="L166" s="51">
        <f>IF(B166="","",IF(E166&lt;&gt;"",E166,IF(C166="","",K166&amp;" - "&amp;TEXT(D166,"d mmm yyyy"))))</f>
        <v>0</v>
      </c>
      <c r="M166" s="21">
        <f>IF(B166="","",IF(G166&lt;&gt;"",G166,IFERROR(J166*1,0)))</f>
        <v>0</v>
      </c>
      <c r="N166" s="21">
        <f>IF(B166="","",ROUND(IF(F166="",1,F166)*M166,2))</f>
        <v>0</v>
      </c>
      <c r="O166" s="39">
        <f>IF(B166="","",IF(C166="","",IF(COUNTIFS($C$5:$C$804,C166)&gt;1,"Duplicate","OK")))</f>
        <v>0</v>
      </c>
      <c r="P166" s="31">
        <f>IF(OR(B166="",E166=""),"",COUNTIFS($B$5:B166,B166))</f>
        <v>0</v>
      </c>
      <c r="Q166" s="23">
        <f>IF(P166="","",B166&amp;"|"&amp;P166)</f>
        <v>0</v>
      </c>
      <c r="R166" s="39">
        <f>IF(B166="","",IF(O166="Duplicate","Duplicate - job billed twice",IF(M166=0,"Add - no price on this line",IF(AND(C166="",E166=""),"Add - what is this line for?","OK"))))</f>
        <v>0</v>
      </c>
    </row>
    <row r="167" spans="1:18">
      <c r="A167" s="43">
        <f>IF(B167="","","IL-"&amp;TEXT(ROW()-4,"0000"))</f>
        <v>0</v>
      </c>
      <c r="D167" s="18">
        <f>IF(C167="","",IFERROR(INDEX(Jobs!$B$5:$B$604,MATCH(C167,Jobs!$A$5:$A$604,0)),""))</f>
        <v>0</v>
      </c>
      <c r="J167" s="21">
        <f>IF(C167="","",IFERROR(INDEX(Jobs!$AJ$5:$AJ$604,MATCH(C167,Jobs!$A$5:$A$604,0)),"0"))</f>
        <v>0</v>
      </c>
      <c r="K167" s="23">
        <f>IF(C167="","",IFERROR(INDEX(Jobs!$M$5:$M$604,MATCH(C167,Jobs!$A$5:$A$604,0)),""))</f>
        <v>0</v>
      </c>
      <c r="L167" s="51">
        <f>IF(B167="","",IF(E167&lt;&gt;"",E167,IF(C167="","",K167&amp;" - "&amp;TEXT(D167,"d mmm yyyy"))))</f>
        <v>0</v>
      </c>
      <c r="M167" s="21">
        <f>IF(B167="","",IF(G167&lt;&gt;"",G167,IFERROR(J167*1,0)))</f>
        <v>0</v>
      </c>
      <c r="N167" s="21">
        <f>IF(B167="","",ROUND(IF(F167="",1,F167)*M167,2))</f>
        <v>0</v>
      </c>
      <c r="O167" s="39">
        <f>IF(B167="","",IF(C167="","",IF(COUNTIFS($C$5:$C$804,C167)&gt;1,"Duplicate","OK")))</f>
        <v>0</v>
      </c>
      <c r="P167" s="31">
        <f>IF(OR(B167="",E167=""),"",COUNTIFS($B$5:B167,B167))</f>
        <v>0</v>
      </c>
      <c r="Q167" s="23">
        <f>IF(P167="","",B167&amp;"|"&amp;P167)</f>
        <v>0</v>
      </c>
      <c r="R167" s="39">
        <f>IF(B167="","",IF(O167="Duplicate","Duplicate - job billed twice",IF(M167=0,"Add - no price on this line",IF(AND(C167="",E167=""),"Add - what is this line for?","OK"))))</f>
        <v>0</v>
      </c>
    </row>
    <row r="168" spans="1:18">
      <c r="A168" s="43">
        <f>IF(B168="","","IL-"&amp;TEXT(ROW()-4,"0000"))</f>
        <v>0</v>
      </c>
      <c r="D168" s="18">
        <f>IF(C168="","",IFERROR(INDEX(Jobs!$B$5:$B$604,MATCH(C168,Jobs!$A$5:$A$604,0)),""))</f>
        <v>0</v>
      </c>
      <c r="J168" s="21">
        <f>IF(C168="","",IFERROR(INDEX(Jobs!$AJ$5:$AJ$604,MATCH(C168,Jobs!$A$5:$A$604,0)),"0"))</f>
        <v>0</v>
      </c>
      <c r="K168" s="23">
        <f>IF(C168="","",IFERROR(INDEX(Jobs!$M$5:$M$604,MATCH(C168,Jobs!$A$5:$A$604,0)),""))</f>
        <v>0</v>
      </c>
      <c r="L168" s="51">
        <f>IF(B168="","",IF(E168&lt;&gt;"",E168,IF(C168="","",K168&amp;" - "&amp;TEXT(D168,"d mmm yyyy"))))</f>
        <v>0</v>
      </c>
      <c r="M168" s="21">
        <f>IF(B168="","",IF(G168&lt;&gt;"",G168,IFERROR(J168*1,0)))</f>
        <v>0</v>
      </c>
      <c r="N168" s="21">
        <f>IF(B168="","",ROUND(IF(F168="",1,F168)*M168,2))</f>
        <v>0</v>
      </c>
      <c r="O168" s="39">
        <f>IF(B168="","",IF(C168="","",IF(COUNTIFS($C$5:$C$804,C168)&gt;1,"Duplicate","OK")))</f>
        <v>0</v>
      </c>
      <c r="P168" s="31">
        <f>IF(OR(B168="",E168=""),"",COUNTIFS($B$5:B168,B168))</f>
        <v>0</v>
      </c>
      <c r="Q168" s="23">
        <f>IF(P168="","",B168&amp;"|"&amp;P168)</f>
        <v>0</v>
      </c>
      <c r="R168" s="39">
        <f>IF(B168="","",IF(O168="Duplicate","Duplicate - job billed twice",IF(M168=0,"Add - no price on this line",IF(AND(C168="",E168=""),"Add - what is this line for?","OK"))))</f>
        <v>0</v>
      </c>
    </row>
    <row r="169" spans="1:18">
      <c r="A169" s="43">
        <f>IF(B169="","","IL-"&amp;TEXT(ROW()-4,"0000"))</f>
        <v>0</v>
      </c>
      <c r="D169" s="18">
        <f>IF(C169="","",IFERROR(INDEX(Jobs!$B$5:$B$604,MATCH(C169,Jobs!$A$5:$A$604,0)),""))</f>
        <v>0</v>
      </c>
      <c r="J169" s="21">
        <f>IF(C169="","",IFERROR(INDEX(Jobs!$AJ$5:$AJ$604,MATCH(C169,Jobs!$A$5:$A$604,0)),"0"))</f>
        <v>0</v>
      </c>
      <c r="K169" s="23">
        <f>IF(C169="","",IFERROR(INDEX(Jobs!$M$5:$M$604,MATCH(C169,Jobs!$A$5:$A$604,0)),""))</f>
        <v>0</v>
      </c>
      <c r="L169" s="51">
        <f>IF(B169="","",IF(E169&lt;&gt;"",E169,IF(C169="","",K169&amp;" - "&amp;TEXT(D169,"d mmm yyyy"))))</f>
        <v>0</v>
      </c>
      <c r="M169" s="21">
        <f>IF(B169="","",IF(G169&lt;&gt;"",G169,IFERROR(J169*1,0)))</f>
        <v>0</v>
      </c>
      <c r="N169" s="21">
        <f>IF(B169="","",ROUND(IF(F169="",1,F169)*M169,2))</f>
        <v>0</v>
      </c>
      <c r="O169" s="39">
        <f>IF(B169="","",IF(C169="","",IF(COUNTIFS($C$5:$C$804,C169)&gt;1,"Duplicate","OK")))</f>
        <v>0</v>
      </c>
      <c r="P169" s="31">
        <f>IF(OR(B169="",E169=""),"",COUNTIFS($B$5:B169,B169))</f>
        <v>0</v>
      </c>
      <c r="Q169" s="23">
        <f>IF(P169="","",B169&amp;"|"&amp;P169)</f>
        <v>0</v>
      </c>
      <c r="R169" s="39">
        <f>IF(B169="","",IF(O169="Duplicate","Duplicate - job billed twice",IF(M169=0,"Add - no price on this line",IF(AND(C169="",E169=""),"Add - what is this line for?","OK"))))</f>
        <v>0</v>
      </c>
    </row>
    <row r="170" spans="1:18">
      <c r="A170" s="43">
        <f>IF(B170="","","IL-"&amp;TEXT(ROW()-4,"0000"))</f>
        <v>0</v>
      </c>
      <c r="D170" s="18">
        <f>IF(C170="","",IFERROR(INDEX(Jobs!$B$5:$B$604,MATCH(C170,Jobs!$A$5:$A$604,0)),""))</f>
        <v>0</v>
      </c>
      <c r="J170" s="21">
        <f>IF(C170="","",IFERROR(INDEX(Jobs!$AJ$5:$AJ$604,MATCH(C170,Jobs!$A$5:$A$604,0)),"0"))</f>
        <v>0</v>
      </c>
      <c r="K170" s="23">
        <f>IF(C170="","",IFERROR(INDEX(Jobs!$M$5:$M$604,MATCH(C170,Jobs!$A$5:$A$604,0)),""))</f>
        <v>0</v>
      </c>
      <c r="L170" s="51">
        <f>IF(B170="","",IF(E170&lt;&gt;"",E170,IF(C170="","",K170&amp;" - "&amp;TEXT(D170,"d mmm yyyy"))))</f>
        <v>0</v>
      </c>
      <c r="M170" s="21">
        <f>IF(B170="","",IF(G170&lt;&gt;"",G170,IFERROR(J170*1,0)))</f>
        <v>0</v>
      </c>
      <c r="N170" s="21">
        <f>IF(B170="","",ROUND(IF(F170="",1,F170)*M170,2))</f>
        <v>0</v>
      </c>
      <c r="O170" s="39">
        <f>IF(B170="","",IF(C170="","",IF(COUNTIFS($C$5:$C$804,C170)&gt;1,"Duplicate","OK")))</f>
        <v>0</v>
      </c>
      <c r="P170" s="31">
        <f>IF(OR(B170="",E170=""),"",COUNTIFS($B$5:B170,B170))</f>
        <v>0</v>
      </c>
      <c r="Q170" s="23">
        <f>IF(P170="","",B170&amp;"|"&amp;P170)</f>
        <v>0</v>
      </c>
      <c r="R170" s="39">
        <f>IF(B170="","",IF(O170="Duplicate","Duplicate - job billed twice",IF(M170=0,"Add - no price on this line",IF(AND(C170="",E170=""),"Add - what is this line for?","OK"))))</f>
        <v>0</v>
      </c>
    </row>
    <row r="171" spans="1:18">
      <c r="A171" s="43">
        <f>IF(B171="","","IL-"&amp;TEXT(ROW()-4,"0000"))</f>
        <v>0</v>
      </c>
      <c r="D171" s="18">
        <f>IF(C171="","",IFERROR(INDEX(Jobs!$B$5:$B$604,MATCH(C171,Jobs!$A$5:$A$604,0)),""))</f>
        <v>0</v>
      </c>
      <c r="J171" s="21">
        <f>IF(C171="","",IFERROR(INDEX(Jobs!$AJ$5:$AJ$604,MATCH(C171,Jobs!$A$5:$A$604,0)),"0"))</f>
        <v>0</v>
      </c>
      <c r="K171" s="23">
        <f>IF(C171="","",IFERROR(INDEX(Jobs!$M$5:$M$604,MATCH(C171,Jobs!$A$5:$A$604,0)),""))</f>
        <v>0</v>
      </c>
      <c r="L171" s="51">
        <f>IF(B171="","",IF(E171&lt;&gt;"",E171,IF(C171="","",K171&amp;" - "&amp;TEXT(D171,"d mmm yyyy"))))</f>
        <v>0</v>
      </c>
      <c r="M171" s="21">
        <f>IF(B171="","",IF(G171&lt;&gt;"",G171,IFERROR(J171*1,0)))</f>
        <v>0</v>
      </c>
      <c r="N171" s="21">
        <f>IF(B171="","",ROUND(IF(F171="",1,F171)*M171,2))</f>
        <v>0</v>
      </c>
      <c r="O171" s="39">
        <f>IF(B171="","",IF(C171="","",IF(COUNTIFS($C$5:$C$804,C171)&gt;1,"Duplicate","OK")))</f>
        <v>0</v>
      </c>
      <c r="P171" s="31">
        <f>IF(OR(B171="",E171=""),"",COUNTIFS($B$5:B171,B171))</f>
        <v>0</v>
      </c>
      <c r="Q171" s="23">
        <f>IF(P171="","",B171&amp;"|"&amp;P171)</f>
        <v>0</v>
      </c>
      <c r="R171" s="39">
        <f>IF(B171="","",IF(O171="Duplicate","Duplicate - job billed twice",IF(M171=0,"Add - no price on this line",IF(AND(C171="",E171=""),"Add - what is this line for?","OK"))))</f>
        <v>0</v>
      </c>
    </row>
    <row r="172" spans="1:18">
      <c r="A172" s="43">
        <f>IF(B172="","","IL-"&amp;TEXT(ROW()-4,"0000"))</f>
        <v>0</v>
      </c>
      <c r="D172" s="18">
        <f>IF(C172="","",IFERROR(INDEX(Jobs!$B$5:$B$604,MATCH(C172,Jobs!$A$5:$A$604,0)),""))</f>
        <v>0</v>
      </c>
      <c r="J172" s="21">
        <f>IF(C172="","",IFERROR(INDEX(Jobs!$AJ$5:$AJ$604,MATCH(C172,Jobs!$A$5:$A$604,0)),"0"))</f>
        <v>0</v>
      </c>
      <c r="K172" s="23">
        <f>IF(C172="","",IFERROR(INDEX(Jobs!$M$5:$M$604,MATCH(C172,Jobs!$A$5:$A$604,0)),""))</f>
        <v>0</v>
      </c>
      <c r="L172" s="51">
        <f>IF(B172="","",IF(E172&lt;&gt;"",E172,IF(C172="","",K172&amp;" - "&amp;TEXT(D172,"d mmm yyyy"))))</f>
        <v>0</v>
      </c>
      <c r="M172" s="21">
        <f>IF(B172="","",IF(G172&lt;&gt;"",G172,IFERROR(J172*1,0)))</f>
        <v>0</v>
      </c>
      <c r="N172" s="21">
        <f>IF(B172="","",ROUND(IF(F172="",1,F172)*M172,2))</f>
        <v>0</v>
      </c>
      <c r="O172" s="39">
        <f>IF(B172="","",IF(C172="","",IF(COUNTIFS($C$5:$C$804,C172)&gt;1,"Duplicate","OK")))</f>
        <v>0</v>
      </c>
      <c r="P172" s="31">
        <f>IF(OR(B172="",E172=""),"",COUNTIFS($B$5:B172,B172))</f>
        <v>0</v>
      </c>
      <c r="Q172" s="23">
        <f>IF(P172="","",B172&amp;"|"&amp;P172)</f>
        <v>0</v>
      </c>
      <c r="R172" s="39">
        <f>IF(B172="","",IF(O172="Duplicate","Duplicate - job billed twice",IF(M172=0,"Add - no price on this line",IF(AND(C172="",E172=""),"Add - what is this line for?","OK"))))</f>
        <v>0</v>
      </c>
    </row>
    <row r="173" spans="1:18">
      <c r="A173" s="43">
        <f>IF(B173="","","IL-"&amp;TEXT(ROW()-4,"0000"))</f>
        <v>0</v>
      </c>
      <c r="D173" s="18">
        <f>IF(C173="","",IFERROR(INDEX(Jobs!$B$5:$B$604,MATCH(C173,Jobs!$A$5:$A$604,0)),""))</f>
        <v>0</v>
      </c>
      <c r="J173" s="21">
        <f>IF(C173="","",IFERROR(INDEX(Jobs!$AJ$5:$AJ$604,MATCH(C173,Jobs!$A$5:$A$604,0)),"0"))</f>
        <v>0</v>
      </c>
      <c r="K173" s="23">
        <f>IF(C173="","",IFERROR(INDEX(Jobs!$M$5:$M$604,MATCH(C173,Jobs!$A$5:$A$604,0)),""))</f>
        <v>0</v>
      </c>
      <c r="L173" s="51">
        <f>IF(B173="","",IF(E173&lt;&gt;"",E173,IF(C173="","",K173&amp;" - "&amp;TEXT(D173,"d mmm yyyy"))))</f>
        <v>0</v>
      </c>
      <c r="M173" s="21">
        <f>IF(B173="","",IF(G173&lt;&gt;"",G173,IFERROR(J173*1,0)))</f>
        <v>0</v>
      </c>
      <c r="N173" s="21">
        <f>IF(B173="","",ROUND(IF(F173="",1,F173)*M173,2))</f>
        <v>0</v>
      </c>
      <c r="O173" s="39">
        <f>IF(B173="","",IF(C173="","",IF(COUNTIFS($C$5:$C$804,C173)&gt;1,"Duplicate","OK")))</f>
        <v>0</v>
      </c>
      <c r="P173" s="31">
        <f>IF(OR(B173="",E173=""),"",COUNTIFS($B$5:B173,B173))</f>
        <v>0</v>
      </c>
      <c r="Q173" s="23">
        <f>IF(P173="","",B173&amp;"|"&amp;P173)</f>
        <v>0</v>
      </c>
      <c r="R173" s="39">
        <f>IF(B173="","",IF(O173="Duplicate","Duplicate - job billed twice",IF(M173=0,"Add - no price on this line",IF(AND(C173="",E173=""),"Add - what is this line for?","OK"))))</f>
        <v>0</v>
      </c>
    </row>
    <row r="174" spans="1:18">
      <c r="A174" s="43">
        <f>IF(B174="","","IL-"&amp;TEXT(ROW()-4,"0000"))</f>
        <v>0</v>
      </c>
      <c r="D174" s="18">
        <f>IF(C174="","",IFERROR(INDEX(Jobs!$B$5:$B$604,MATCH(C174,Jobs!$A$5:$A$604,0)),""))</f>
        <v>0</v>
      </c>
      <c r="J174" s="21">
        <f>IF(C174="","",IFERROR(INDEX(Jobs!$AJ$5:$AJ$604,MATCH(C174,Jobs!$A$5:$A$604,0)),"0"))</f>
        <v>0</v>
      </c>
      <c r="K174" s="23">
        <f>IF(C174="","",IFERROR(INDEX(Jobs!$M$5:$M$604,MATCH(C174,Jobs!$A$5:$A$604,0)),""))</f>
        <v>0</v>
      </c>
      <c r="L174" s="51">
        <f>IF(B174="","",IF(E174&lt;&gt;"",E174,IF(C174="","",K174&amp;" - "&amp;TEXT(D174,"d mmm yyyy"))))</f>
        <v>0</v>
      </c>
      <c r="M174" s="21">
        <f>IF(B174="","",IF(G174&lt;&gt;"",G174,IFERROR(J174*1,0)))</f>
        <v>0</v>
      </c>
      <c r="N174" s="21">
        <f>IF(B174="","",ROUND(IF(F174="",1,F174)*M174,2))</f>
        <v>0</v>
      </c>
      <c r="O174" s="39">
        <f>IF(B174="","",IF(C174="","",IF(COUNTIFS($C$5:$C$804,C174)&gt;1,"Duplicate","OK")))</f>
        <v>0</v>
      </c>
      <c r="P174" s="31">
        <f>IF(OR(B174="",E174=""),"",COUNTIFS($B$5:B174,B174))</f>
        <v>0</v>
      </c>
      <c r="Q174" s="23">
        <f>IF(P174="","",B174&amp;"|"&amp;P174)</f>
        <v>0</v>
      </c>
      <c r="R174" s="39">
        <f>IF(B174="","",IF(O174="Duplicate","Duplicate - job billed twice",IF(M174=0,"Add - no price on this line",IF(AND(C174="",E174=""),"Add - what is this line for?","OK"))))</f>
        <v>0</v>
      </c>
    </row>
    <row r="175" spans="1:18">
      <c r="A175" s="43">
        <f>IF(B175="","","IL-"&amp;TEXT(ROW()-4,"0000"))</f>
        <v>0</v>
      </c>
      <c r="D175" s="18">
        <f>IF(C175="","",IFERROR(INDEX(Jobs!$B$5:$B$604,MATCH(C175,Jobs!$A$5:$A$604,0)),""))</f>
        <v>0</v>
      </c>
      <c r="J175" s="21">
        <f>IF(C175="","",IFERROR(INDEX(Jobs!$AJ$5:$AJ$604,MATCH(C175,Jobs!$A$5:$A$604,0)),"0"))</f>
        <v>0</v>
      </c>
      <c r="K175" s="23">
        <f>IF(C175="","",IFERROR(INDEX(Jobs!$M$5:$M$604,MATCH(C175,Jobs!$A$5:$A$604,0)),""))</f>
        <v>0</v>
      </c>
      <c r="L175" s="51">
        <f>IF(B175="","",IF(E175&lt;&gt;"",E175,IF(C175="","",K175&amp;" - "&amp;TEXT(D175,"d mmm yyyy"))))</f>
        <v>0</v>
      </c>
      <c r="M175" s="21">
        <f>IF(B175="","",IF(G175&lt;&gt;"",G175,IFERROR(J175*1,0)))</f>
        <v>0</v>
      </c>
      <c r="N175" s="21">
        <f>IF(B175="","",ROUND(IF(F175="",1,F175)*M175,2))</f>
        <v>0</v>
      </c>
      <c r="O175" s="39">
        <f>IF(B175="","",IF(C175="","",IF(COUNTIFS($C$5:$C$804,C175)&gt;1,"Duplicate","OK")))</f>
        <v>0</v>
      </c>
      <c r="P175" s="31">
        <f>IF(OR(B175="",E175=""),"",COUNTIFS($B$5:B175,B175))</f>
        <v>0</v>
      </c>
      <c r="Q175" s="23">
        <f>IF(P175="","",B175&amp;"|"&amp;P175)</f>
        <v>0</v>
      </c>
      <c r="R175" s="39">
        <f>IF(B175="","",IF(O175="Duplicate","Duplicate - job billed twice",IF(M175=0,"Add - no price on this line",IF(AND(C175="",E175=""),"Add - what is this line for?","OK"))))</f>
        <v>0</v>
      </c>
    </row>
    <row r="176" spans="1:18">
      <c r="A176" s="43">
        <f>IF(B176="","","IL-"&amp;TEXT(ROW()-4,"0000"))</f>
        <v>0</v>
      </c>
      <c r="D176" s="18">
        <f>IF(C176="","",IFERROR(INDEX(Jobs!$B$5:$B$604,MATCH(C176,Jobs!$A$5:$A$604,0)),""))</f>
        <v>0</v>
      </c>
      <c r="J176" s="21">
        <f>IF(C176="","",IFERROR(INDEX(Jobs!$AJ$5:$AJ$604,MATCH(C176,Jobs!$A$5:$A$604,0)),"0"))</f>
        <v>0</v>
      </c>
      <c r="K176" s="23">
        <f>IF(C176="","",IFERROR(INDEX(Jobs!$M$5:$M$604,MATCH(C176,Jobs!$A$5:$A$604,0)),""))</f>
        <v>0</v>
      </c>
      <c r="L176" s="51">
        <f>IF(B176="","",IF(E176&lt;&gt;"",E176,IF(C176="","",K176&amp;" - "&amp;TEXT(D176,"d mmm yyyy"))))</f>
        <v>0</v>
      </c>
      <c r="M176" s="21">
        <f>IF(B176="","",IF(G176&lt;&gt;"",G176,IFERROR(J176*1,0)))</f>
        <v>0</v>
      </c>
      <c r="N176" s="21">
        <f>IF(B176="","",ROUND(IF(F176="",1,F176)*M176,2))</f>
        <v>0</v>
      </c>
      <c r="O176" s="39">
        <f>IF(B176="","",IF(C176="","",IF(COUNTIFS($C$5:$C$804,C176)&gt;1,"Duplicate","OK")))</f>
        <v>0</v>
      </c>
      <c r="P176" s="31">
        <f>IF(OR(B176="",E176=""),"",COUNTIFS($B$5:B176,B176))</f>
        <v>0</v>
      </c>
      <c r="Q176" s="23">
        <f>IF(P176="","",B176&amp;"|"&amp;P176)</f>
        <v>0</v>
      </c>
      <c r="R176" s="39">
        <f>IF(B176="","",IF(O176="Duplicate","Duplicate - job billed twice",IF(M176=0,"Add - no price on this line",IF(AND(C176="",E176=""),"Add - what is this line for?","OK"))))</f>
        <v>0</v>
      </c>
    </row>
    <row r="177" spans="1:18">
      <c r="A177" s="43">
        <f>IF(B177="","","IL-"&amp;TEXT(ROW()-4,"0000"))</f>
        <v>0</v>
      </c>
      <c r="D177" s="18">
        <f>IF(C177="","",IFERROR(INDEX(Jobs!$B$5:$B$604,MATCH(C177,Jobs!$A$5:$A$604,0)),""))</f>
        <v>0</v>
      </c>
      <c r="J177" s="21">
        <f>IF(C177="","",IFERROR(INDEX(Jobs!$AJ$5:$AJ$604,MATCH(C177,Jobs!$A$5:$A$604,0)),"0"))</f>
        <v>0</v>
      </c>
      <c r="K177" s="23">
        <f>IF(C177="","",IFERROR(INDEX(Jobs!$M$5:$M$604,MATCH(C177,Jobs!$A$5:$A$604,0)),""))</f>
        <v>0</v>
      </c>
      <c r="L177" s="51">
        <f>IF(B177="","",IF(E177&lt;&gt;"",E177,IF(C177="","",K177&amp;" - "&amp;TEXT(D177,"d mmm yyyy"))))</f>
        <v>0</v>
      </c>
      <c r="M177" s="21">
        <f>IF(B177="","",IF(G177&lt;&gt;"",G177,IFERROR(J177*1,0)))</f>
        <v>0</v>
      </c>
      <c r="N177" s="21">
        <f>IF(B177="","",ROUND(IF(F177="",1,F177)*M177,2))</f>
        <v>0</v>
      </c>
      <c r="O177" s="39">
        <f>IF(B177="","",IF(C177="","",IF(COUNTIFS($C$5:$C$804,C177)&gt;1,"Duplicate","OK")))</f>
        <v>0</v>
      </c>
      <c r="P177" s="31">
        <f>IF(OR(B177="",E177=""),"",COUNTIFS($B$5:B177,B177))</f>
        <v>0</v>
      </c>
      <c r="Q177" s="23">
        <f>IF(P177="","",B177&amp;"|"&amp;P177)</f>
        <v>0</v>
      </c>
      <c r="R177" s="39">
        <f>IF(B177="","",IF(O177="Duplicate","Duplicate - job billed twice",IF(M177=0,"Add - no price on this line",IF(AND(C177="",E177=""),"Add - what is this line for?","OK"))))</f>
        <v>0</v>
      </c>
    </row>
    <row r="178" spans="1:18">
      <c r="A178" s="43">
        <f>IF(B178="","","IL-"&amp;TEXT(ROW()-4,"0000"))</f>
        <v>0</v>
      </c>
      <c r="D178" s="18">
        <f>IF(C178="","",IFERROR(INDEX(Jobs!$B$5:$B$604,MATCH(C178,Jobs!$A$5:$A$604,0)),""))</f>
        <v>0</v>
      </c>
      <c r="J178" s="21">
        <f>IF(C178="","",IFERROR(INDEX(Jobs!$AJ$5:$AJ$604,MATCH(C178,Jobs!$A$5:$A$604,0)),"0"))</f>
        <v>0</v>
      </c>
      <c r="K178" s="23">
        <f>IF(C178="","",IFERROR(INDEX(Jobs!$M$5:$M$604,MATCH(C178,Jobs!$A$5:$A$604,0)),""))</f>
        <v>0</v>
      </c>
      <c r="L178" s="51">
        <f>IF(B178="","",IF(E178&lt;&gt;"",E178,IF(C178="","",K178&amp;" - "&amp;TEXT(D178,"d mmm yyyy"))))</f>
        <v>0</v>
      </c>
      <c r="M178" s="21">
        <f>IF(B178="","",IF(G178&lt;&gt;"",G178,IFERROR(J178*1,0)))</f>
        <v>0</v>
      </c>
      <c r="N178" s="21">
        <f>IF(B178="","",ROUND(IF(F178="",1,F178)*M178,2))</f>
        <v>0</v>
      </c>
      <c r="O178" s="39">
        <f>IF(B178="","",IF(C178="","",IF(COUNTIFS($C$5:$C$804,C178)&gt;1,"Duplicate","OK")))</f>
        <v>0</v>
      </c>
      <c r="P178" s="31">
        <f>IF(OR(B178="",E178=""),"",COUNTIFS($B$5:B178,B178))</f>
        <v>0</v>
      </c>
      <c r="Q178" s="23">
        <f>IF(P178="","",B178&amp;"|"&amp;P178)</f>
        <v>0</v>
      </c>
      <c r="R178" s="39">
        <f>IF(B178="","",IF(O178="Duplicate","Duplicate - job billed twice",IF(M178=0,"Add - no price on this line",IF(AND(C178="",E178=""),"Add - what is this line for?","OK"))))</f>
        <v>0</v>
      </c>
    </row>
    <row r="179" spans="1:18">
      <c r="A179" s="43">
        <f>IF(B179="","","IL-"&amp;TEXT(ROW()-4,"0000"))</f>
        <v>0</v>
      </c>
      <c r="D179" s="18">
        <f>IF(C179="","",IFERROR(INDEX(Jobs!$B$5:$B$604,MATCH(C179,Jobs!$A$5:$A$604,0)),""))</f>
        <v>0</v>
      </c>
      <c r="J179" s="21">
        <f>IF(C179="","",IFERROR(INDEX(Jobs!$AJ$5:$AJ$604,MATCH(C179,Jobs!$A$5:$A$604,0)),"0"))</f>
        <v>0</v>
      </c>
      <c r="K179" s="23">
        <f>IF(C179="","",IFERROR(INDEX(Jobs!$M$5:$M$604,MATCH(C179,Jobs!$A$5:$A$604,0)),""))</f>
        <v>0</v>
      </c>
      <c r="L179" s="51">
        <f>IF(B179="","",IF(E179&lt;&gt;"",E179,IF(C179="","",K179&amp;" - "&amp;TEXT(D179,"d mmm yyyy"))))</f>
        <v>0</v>
      </c>
      <c r="M179" s="21">
        <f>IF(B179="","",IF(G179&lt;&gt;"",G179,IFERROR(J179*1,0)))</f>
        <v>0</v>
      </c>
      <c r="N179" s="21">
        <f>IF(B179="","",ROUND(IF(F179="",1,F179)*M179,2))</f>
        <v>0</v>
      </c>
      <c r="O179" s="39">
        <f>IF(B179="","",IF(C179="","",IF(COUNTIFS($C$5:$C$804,C179)&gt;1,"Duplicate","OK")))</f>
        <v>0</v>
      </c>
      <c r="P179" s="31">
        <f>IF(OR(B179="",E179=""),"",COUNTIFS($B$5:B179,B179))</f>
        <v>0</v>
      </c>
      <c r="Q179" s="23">
        <f>IF(P179="","",B179&amp;"|"&amp;P179)</f>
        <v>0</v>
      </c>
      <c r="R179" s="39">
        <f>IF(B179="","",IF(O179="Duplicate","Duplicate - job billed twice",IF(M179=0,"Add - no price on this line",IF(AND(C179="",E179=""),"Add - what is this line for?","OK"))))</f>
        <v>0</v>
      </c>
    </row>
    <row r="180" spans="1:18">
      <c r="A180" s="43">
        <f>IF(B180="","","IL-"&amp;TEXT(ROW()-4,"0000"))</f>
        <v>0</v>
      </c>
      <c r="D180" s="18">
        <f>IF(C180="","",IFERROR(INDEX(Jobs!$B$5:$B$604,MATCH(C180,Jobs!$A$5:$A$604,0)),""))</f>
        <v>0</v>
      </c>
      <c r="J180" s="21">
        <f>IF(C180="","",IFERROR(INDEX(Jobs!$AJ$5:$AJ$604,MATCH(C180,Jobs!$A$5:$A$604,0)),"0"))</f>
        <v>0</v>
      </c>
      <c r="K180" s="23">
        <f>IF(C180="","",IFERROR(INDEX(Jobs!$M$5:$M$604,MATCH(C180,Jobs!$A$5:$A$604,0)),""))</f>
        <v>0</v>
      </c>
      <c r="L180" s="51">
        <f>IF(B180="","",IF(E180&lt;&gt;"",E180,IF(C180="","",K180&amp;" - "&amp;TEXT(D180,"d mmm yyyy"))))</f>
        <v>0</v>
      </c>
      <c r="M180" s="21">
        <f>IF(B180="","",IF(G180&lt;&gt;"",G180,IFERROR(J180*1,0)))</f>
        <v>0</v>
      </c>
      <c r="N180" s="21">
        <f>IF(B180="","",ROUND(IF(F180="",1,F180)*M180,2))</f>
        <v>0</v>
      </c>
      <c r="O180" s="39">
        <f>IF(B180="","",IF(C180="","",IF(COUNTIFS($C$5:$C$804,C180)&gt;1,"Duplicate","OK")))</f>
        <v>0</v>
      </c>
      <c r="P180" s="31">
        <f>IF(OR(B180="",E180=""),"",COUNTIFS($B$5:B180,B180))</f>
        <v>0</v>
      </c>
      <c r="Q180" s="23">
        <f>IF(P180="","",B180&amp;"|"&amp;P180)</f>
        <v>0</v>
      </c>
      <c r="R180" s="39">
        <f>IF(B180="","",IF(O180="Duplicate","Duplicate - job billed twice",IF(M180=0,"Add - no price on this line",IF(AND(C180="",E180=""),"Add - what is this line for?","OK"))))</f>
        <v>0</v>
      </c>
    </row>
    <row r="181" spans="1:18">
      <c r="A181" s="43">
        <f>IF(B181="","","IL-"&amp;TEXT(ROW()-4,"0000"))</f>
        <v>0</v>
      </c>
      <c r="D181" s="18">
        <f>IF(C181="","",IFERROR(INDEX(Jobs!$B$5:$B$604,MATCH(C181,Jobs!$A$5:$A$604,0)),""))</f>
        <v>0</v>
      </c>
      <c r="J181" s="21">
        <f>IF(C181="","",IFERROR(INDEX(Jobs!$AJ$5:$AJ$604,MATCH(C181,Jobs!$A$5:$A$604,0)),"0"))</f>
        <v>0</v>
      </c>
      <c r="K181" s="23">
        <f>IF(C181="","",IFERROR(INDEX(Jobs!$M$5:$M$604,MATCH(C181,Jobs!$A$5:$A$604,0)),""))</f>
        <v>0</v>
      </c>
      <c r="L181" s="51">
        <f>IF(B181="","",IF(E181&lt;&gt;"",E181,IF(C181="","",K181&amp;" - "&amp;TEXT(D181,"d mmm yyyy"))))</f>
        <v>0</v>
      </c>
      <c r="M181" s="21">
        <f>IF(B181="","",IF(G181&lt;&gt;"",G181,IFERROR(J181*1,0)))</f>
        <v>0</v>
      </c>
      <c r="N181" s="21">
        <f>IF(B181="","",ROUND(IF(F181="",1,F181)*M181,2))</f>
        <v>0</v>
      </c>
      <c r="O181" s="39">
        <f>IF(B181="","",IF(C181="","",IF(COUNTIFS($C$5:$C$804,C181)&gt;1,"Duplicate","OK")))</f>
        <v>0</v>
      </c>
      <c r="P181" s="31">
        <f>IF(OR(B181="",E181=""),"",COUNTIFS($B$5:B181,B181))</f>
        <v>0</v>
      </c>
      <c r="Q181" s="23">
        <f>IF(P181="","",B181&amp;"|"&amp;P181)</f>
        <v>0</v>
      </c>
      <c r="R181" s="39">
        <f>IF(B181="","",IF(O181="Duplicate","Duplicate - job billed twice",IF(M181=0,"Add - no price on this line",IF(AND(C181="",E181=""),"Add - what is this line for?","OK"))))</f>
        <v>0</v>
      </c>
    </row>
    <row r="182" spans="1:18">
      <c r="A182" s="43">
        <f>IF(B182="","","IL-"&amp;TEXT(ROW()-4,"0000"))</f>
        <v>0</v>
      </c>
      <c r="D182" s="18">
        <f>IF(C182="","",IFERROR(INDEX(Jobs!$B$5:$B$604,MATCH(C182,Jobs!$A$5:$A$604,0)),""))</f>
        <v>0</v>
      </c>
      <c r="J182" s="21">
        <f>IF(C182="","",IFERROR(INDEX(Jobs!$AJ$5:$AJ$604,MATCH(C182,Jobs!$A$5:$A$604,0)),"0"))</f>
        <v>0</v>
      </c>
      <c r="K182" s="23">
        <f>IF(C182="","",IFERROR(INDEX(Jobs!$M$5:$M$604,MATCH(C182,Jobs!$A$5:$A$604,0)),""))</f>
        <v>0</v>
      </c>
      <c r="L182" s="51">
        <f>IF(B182="","",IF(E182&lt;&gt;"",E182,IF(C182="","",K182&amp;" - "&amp;TEXT(D182,"d mmm yyyy"))))</f>
        <v>0</v>
      </c>
      <c r="M182" s="21">
        <f>IF(B182="","",IF(G182&lt;&gt;"",G182,IFERROR(J182*1,0)))</f>
        <v>0</v>
      </c>
      <c r="N182" s="21">
        <f>IF(B182="","",ROUND(IF(F182="",1,F182)*M182,2))</f>
        <v>0</v>
      </c>
      <c r="O182" s="39">
        <f>IF(B182="","",IF(C182="","",IF(COUNTIFS($C$5:$C$804,C182)&gt;1,"Duplicate","OK")))</f>
        <v>0</v>
      </c>
      <c r="P182" s="31">
        <f>IF(OR(B182="",E182=""),"",COUNTIFS($B$5:B182,B182))</f>
        <v>0</v>
      </c>
      <c r="Q182" s="23">
        <f>IF(P182="","",B182&amp;"|"&amp;P182)</f>
        <v>0</v>
      </c>
      <c r="R182" s="39">
        <f>IF(B182="","",IF(O182="Duplicate","Duplicate - job billed twice",IF(M182=0,"Add - no price on this line",IF(AND(C182="",E182=""),"Add - what is this line for?","OK"))))</f>
        <v>0</v>
      </c>
    </row>
    <row r="183" spans="1:18">
      <c r="A183" s="43">
        <f>IF(B183="","","IL-"&amp;TEXT(ROW()-4,"0000"))</f>
        <v>0</v>
      </c>
      <c r="D183" s="18">
        <f>IF(C183="","",IFERROR(INDEX(Jobs!$B$5:$B$604,MATCH(C183,Jobs!$A$5:$A$604,0)),""))</f>
        <v>0</v>
      </c>
      <c r="J183" s="21">
        <f>IF(C183="","",IFERROR(INDEX(Jobs!$AJ$5:$AJ$604,MATCH(C183,Jobs!$A$5:$A$604,0)),"0"))</f>
        <v>0</v>
      </c>
      <c r="K183" s="23">
        <f>IF(C183="","",IFERROR(INDEX(Jobs!$M$5:$M$604,MATCH(C183,Jobs!$A$5:$A$604,0)),""))</f>
        <v>0</v>
      </c>
      <c r="L183" s="51">
        <f>IF(B183="","",IF(E183&lt;&gt;"",E183,IF(C183="","",K183&amp;" - "&amp;TEXT(D183,"d mmm yyyy"))))</f>
        <v>0</v>
      </c>
      <c r="M183" s="21">
        <f>IF(B183="","",IF(G183&lt;&gt;"",G183,IFERROR(J183*1,0)))</f>
        <v>0</v>
      </c>
      <c r="N183" s="21">
        <f>IF(B183="","",ROUND(IF(F183="",1,F183)*M183,2))</f>
        <v>0</v>
      </c>
      <c r="O183" s="39">
        <f>IF(B183="","",IF(C183="","",IF(COUNTIFS($C$5:$C$804,C183)&gt;1,"Duplicate","OK")))</f>
        <v>0</v>
      </c>
      <c r="P183" s="31">
        <f>IF(OR(B183="",E183=""),"",COUNTIFS($B$5:B183,B183))</f>
        <v>0</v>
      </c>
      <c r="Q183" s="23">
        <f>IF(P183="","",B183&amp;"|"&amp;P183)</f>
        <v>0</v>
      </c>
      <c r="R183" s="39">
        <f>IF(B183="","",IF(O183="Duplicate","Duplicate - job billed twice",IF(M183=0,"Add - no price on this line",IF(AND(C183="",E183=""),"Add - what is this line for?","OK"))))</f>
        <v>0</v>
      </c>
    </row>
    <row r="184" spans="1:18">
      <c r="A184" s="43">
        <f>IF(B184="","","IL-"&amp;TEXT(ROW()-4,"0000"))</f>
        <v>0</v>
      </c>
      <c r="D184" s="18">
        <f>IF(C184="","",IFERROR(INDEX(Jobs!$B$5:$B$604,MATCH(C184,Jobs!$A$5:$A$604,0)),""))</f>
        <v>0</v>
      </c>
      <c r="J184" s="21">
        <f>IF(C184="","",IFERROR(INDEX(Jobs!$AJ$5:$AJ$604,MATCH(C184,Jobs!$A$5:$A$604,0)),"0"))</f>
        <v>0</v>
      </c>
      <c r="K184" s="23">
        <f>IF(C184="","",IFERROR(INDEX(Jobs!$M$5:$M$604,MATCH(C184,Jobs!$A$5:$A$604,0)),""))</f>
        <v>0</v>
      </c>
      <c r="L184" s="51">
        <f>IF(B184="","",IF(E184&lt;&gt;"",E184,IF(C184="","",K184&amp;" - "&amp;TEXT(D184,"d mmm yyyy"))))</f>
        <v>0</v>
      </c>
      <c r="M184" s="21">
        <f>IF(B184="","",IF(G184&lt;&gt;"",G184,IFERROR(J184*1,0)))</f>
        <v>0</v>
      </c>
      <c r="N184" s="21">
        <f>IF(B184="","",ROUND(IF(F184="",1,F184)*M184,2))</f>
        <v>0</v>
      </c>
      <c r="O184" s="39">
        <f>IF(B184="","",IF(C184="","",IF(COUNTIFS($C$5:$C$804,C184)&gt;1,"Duplicate","OK")))</f>
        <v>0</v>
      </c>
      <c r="P184" s="31">
        <f>IF(OR(B184="",E184=""),"",COUNTIFS($B$5:B184,B184))</f>
        <v>0</v>
      </c>
      <c r="Q184" s="23">
        <f>IF(P184="","",B184&amp;"|"&amp;P184)</f>
        <v>0</v>
      </c>
      <c r="R184" s="39">
        <f>IF(B184="","",IF(O184="Duplicate","Duplicate - job billed twice",IF(M184=0,"Add - no price on this line",IF(AND(C184="",E184=""),"Add - what is this line for?","OK"))))</f>
        <v>0</v>
      </c>
    </row>
    <row r="185" spans="1:18">
      <c r="A185" s="43">
        <f>IF(B185="","","IL-"&amp;TEXT(ROW()-4,"0000"))</f>
        <v>0</v>
      </c>
      <c r="D185" s="18">
        <f>IF(C185="","",IFERROR(INDEX(Jobs!$B$5:$B$604,MATCH(C185,Jobs!$A$5:$A$604,0)),""))</f>
        <v>0</v>
      </c>
      <c r="J185" s="21">
        <f>IF(C185="","",IFERROR(INDEX(Jobs!$AJ$5:$AJ$604,MATCH(C185,Jobs!$A$5:$A$604,0)),"0"))</f>
        <v>0</v>
      </c>
      <c r="K185" s="23">
        <f>IF(C185="","",IFERROR(INDEX(Jobs!$M$5:$M$604,MATCH(C185,Jobs!$A$5:$A$604,0)),""))</f>
        <v>0</v>
      </c>
      <c r="L185" s="51">
        <f>IF(B185="","",IF(E185&lt;&gt;"",E185,IF(C185="","",K185&amp;" - "&amp;TEXT(D185,"d mmm yyyy"))))</f>
        <v>0</v>
      </c>
      <c r="M185" s="21">
        <f>IF(B185="","",IF(G185&lt;&gt;"",G185,IFERROR(J185*1,0)))</f>
        <v>0</v>
      </c>
      <c r="N185" s="21">
        <f>IF(B185="","",ROUND(IF(F185="",1,F185)*M185,2))</f>
        <v>0</v>
      </c>
      <c r="O185" s="39">
        <f>IF(B185="","",IF(C185="","",IF(COUNTIFS($C$5:$C$804,C185)&gt;1,"Duplicate","OK")))</f>
        <v>0</v>
      </c>
      <c r="P185" s="31">
        <f>IF(OR(B185="",E185=""),"",COUNTIFS($B$5:B185,B185))</f>
        <v>0</v>
      </c>
      <c r="Q185" s="23">
        <f>IF(P185="","",B185&amp;"|"&amp;P185)</f>
        <v>0</v>
      </c>
      <c r="R185" s="39">
        <f>IF(B185="","",IF(O185="Duplicate","Duplicate - job billed twice",IF(M185=0,"Add - no price on this line",IF(AND(C185="",E185=""),"Add - what is this line for?","OK"))))</f>
        <v>0</v>
      </c>
    </row>
    <row r="186" spans="1:18">
      <c r="A186" s="43">
        <f>IF(B186="","","IL-"&amp;TEXT(ROW()-4,"0000"))</f>
        <v>0</v>
      </c>
      <c r="D186" s="18">
        <f>IF(C186="","",IFERROR(INDEX(Jobs!$B$5:$B$604,MATCH(C186,Jobs!$A$5:$A$604,0)),""))</f>
        <v>0</v>
      </c>
      <c r="J186" s="21">
        <f>IF(C186="","",IFERROR(INDEX(Jobs!$AJ$5:$AJ$604,MATCH(C186,Jobs!$A$5:$A$604,0)),"0"))</f>
        <v>0</v>
      </c>
      <c r="K186" s="23">
        <f>IF(C186="","",IFERROR(INDEX(Jobs!$M$5:$M$604,MATCH(C186,Jobs!$A$5:$A$604,0)),""))</f>
        <v>0</v>
      </c>
      <c r="L186" s="51">
        <f>IF(B186="","",IF(E186&lt;&gt;"",E186,IF(C186="","",K186&amp;" - "&amp;TEXT(D186,"d mmm yyyy"))))</f>
        <v>0</v>
      </c>
      <c r="M186" s="21">
        <f>IF(B186="","",IF(G186&lt;&gt;"",G186,IFERROR(J186*1,0)))</f>
        <v>0</v>
      </c>
      <c r="N186" s="21">
        <f>IF(B186="","",ROUND(IF(F186="",1,F186)*M186,2))</f>
        <v>0</v>
      </c>
      <c r="O186" s="39">
        <f>IF(B186="","",IF(C186="","",IF(COUNTIFS($C$5:$C$804,C186)&gt;1,"Duplicate","OK")))</f>
        <v>0</v>
      </c>
      <c r="P186" s="31">
        <f>IF(OR(B186="",E186=""),"",COUNTIFS($B$5:B186,B186))</f>
        <v>0</v>
      </c>
      <c r="Q186" s="23">
        <f>IF(P186="","",B186&amp;"|"&amp;P186)</f>
        <v>0</v>
      </c>
      <c r="R186" s="39">
        <f>IF(B186="","",IF(O186="Duplicate","Duplicate - job billed twice",IF(M186=0,"Add - no price on this line",IF(AND(C186="",E186=""),"Add - what is this line for?","OK"))))</f>
        <v>0</v>
      </c>
    </row>
    <row r="187" spans="1:18">
      <c r="A187" s="43">
        <f>IF(B187="","","IL-"&amp;TEXT(ROW()-4,"0000"))</f>
        <v>0</v>
      </c>
      <c r="D187" s="18">
        <f>IF(C187="","",IFERROR(INDEX(Jobs!$B$5:$B$604,MATCH(C187,Jobs!$A$5:$A$604,0)),""))</f>
        <v>0</v>
      </c>
      <c r="J187" s="21">
        <f>IF(C187="","",IFERROR(INDEX(Jobs!$AJ$5:$AJ$604,MATCH(C187,Jobs!$A$5:$A$604,0)),"0"))</f>
        <v>0</v>
      </c>
      <c r="K187" s="23">
        <f>IF(C187="","",IFERROR(INDEX(Jobs!$M$5:$M$604,MATCH(C187,Jobs!$A$5:$A$604,0)),""))</f>
        <v>0</v>
      </c>
      <c r="L187" s="51">
        <f>IF(B187="","",IF(E187&lt;&gt;"",E187,IF(C187="","",K187&amp;" - "&amp;TEXT(D187,"d mmm yyyy"))))</f>
        <v>0</v>
      </c>
      <c r="M187" s="21">
        <f>IF(B187="","",IF(G187&lt;&gt;"",G187,IFERROR(J187*1,0)))</f>
        <v>0</v>
      </c>
      <c r="N187" s="21">
        <f>IF(B187="","",ROUND(IF(F187="",1,F187)*M187,2))</f>
        <v>0</v>
      </c>
      <c r="O187" s="39">
        <f>IF(B187="","",IF(C187="","",IF(COUNTIFS($C$5:$C$804,C187)&gt;1,"Duplicate","OK")))</f>
        <v>0</v>
      </c>
      <c r="P187" s="31">
        <f>IF(OR(B187="",E187=""),"",COUNTIFS($B$5:B187,B187))</f>
        <v>0</v>
      </c>
      <c r="Q187" s="23">
        <f>IF(P187="","",B187&amp;"|"&amp;P187)</f>
        <v>0</v>
      </c>
      <c r="R187" s="39">
        <f>IF(B187="","",IF(O187="Duplicate","Duplicate - job billed twice",IF(M187=0,"Add - no price on this line",IF(AND(C187="",E187=""),"Add - what is this line for?","OK"))))</f>
        <v>0</v>
      </c>
    </row>
    <row r="188" spans="1:18">
      <c r="A188" s="43">
        <f>IF(B188="","","IL-"&amp;TEXT(ROW()-4,"0000"))</f>
        <v>0</v>
      </c>
      <c r="D188" s="18">
        <f>IF(C188="","",IFERROR(INDEX(Jobs!$B$5:$B$604,MATCH(C188,Jobs!$A$5:$A$604,0)),""))</f>
        <v>0</v>
      </c>
      <c r="J188" s="21">
        <f>IF(C188="","",IFERROR(INDEX(Jobs!$AJ$5:$AJ$604,MATCH(C188,Jobs!$A$5:$A$604,0)),"0"))</f>
        <v>0</v>
      </c>
      <c r="K188" s="23">
        <f>IF(C188="","",IFERROR(INDEX(Jobs!$M$5:$M$604,MATCH(C188,Jobs!$A$5:$A$604,0)),""))</f>
        <v>0</v>
      </c>
      <c r="L188" s="51">
        <f>IF(B188="","",IF(E188&lt;&gt;"",E188,IF(C188="","",K188&amp;" - "&amp;TEXT(D188,"d mmm yyyy"))))</f>
        <v>0</v>
      </c>
      <c r="M188" s="21">
        <f>IF(B188="","",IF(G188&lt;&gt;"",G188,IFERROR(J188*1,0)))</f>
        <v>0</v>
      </c>
      <c r="N188" s="21">
        <f>IF(B188="","",ROUND(IF(F188="",1,F188)*M188,2))</f>
        <v>0</v>
      </c>
      <c r="O188" s="39">
        <f>IF(B188="","",IF(C188="","",IF(COUNTIFS($C$5:$C$804,C188)&gt;1,"Duplicate","OK")))</f>
        <v>0</v>
      </c>
      <c r="P188" s="31">
        <f>IF(OR(B188="",E188=""),"",COUNTIFS($B$5:B188,B188))</f>
        <v>0</v>
      </c>
      <c r="Q188" s="23">
        <f>IF(P188="","",B188&amp;"|"&amp;P188)</f>
        <v>0</v>
      </c>
      <c r="R188" s="39">
        <f>IF(B188="","",IF(O188="Duplicate","Duplicate - job billed twice",IF(M188=0,"Add - no price on this line",IF(AND(C188="",E188=""),"Add - what is this line for?","OK"))))</f>
        <v>0</v>
      </c>
    </row>
    <row r="189" spans="1:18">
      <c r="A189" s="43">
        <f>IF(B189="","","IL-"&amp;TEXT(ROW()-4,"0000"))</f>
        <v>0</v>
      </c>
      <c r="D189" s="18">
        <f>IF(C189="","",IFERROR(INDEX(Jobs!$B$5:$B$604,MATCH(C189,Jobs!$A$5:$A$604,0)),""))</f>
        <v>0</v>
      </c>
      <c r="J189" s="21">
        <f>IF(C189="","",IFERROR(INDEX(Jobs!$AJ$5:$AJ$604,MATCH(C189,Jobs!$A$5:$A$604,0)),"0"))</f>
        <v>0</v>
      </c>
      <c r="K189" s="23">
        <f>IF(C189="","",IFERROR(INDEX(Jobs!$M$5:$M$604,MATCH(C189,Jobs!$A$5:$A$604,0)),""))</f>
        <v>0</v>
      </c>
      <c r="L189" s="51">
        <f>IF(B189="","",IF(E189&lt;&gt;"",E189,IF(C189="","",K189&amp;" - "&amp;TEXT(D189,"d mmm yyyy"))))</f>
        <v>0</v>
      </c>
      <c r="M189" s="21">
        <f>IF(B189="","",IF(G189&lt;&gt;"",G189,IFERROR(J189*1,0)))</f>
        <v>0</v>
      </c>
      <c r="N189" s="21">
        <f>IF(B189="","",ROUND(IF(F189="",1,F189)*M189,2))</f>
        <v>0</v>
      </c>
      <c r="O189" s="39">
        <f>IF(B189="","",IF(C189="","",IF(COUNTIFS($C$5:$C$804,C189)&gt;1,"Duplicate","OK")))</f>
        <v>0</v>
      </c>
      <c r="P189" s="31">
        <f>IF(OR(B189="",E189=""),"",COUNTIFS($B$5:B189,B189))</f>
        <v>0</v>
      </c>
      <c r="Q189" s="23">
        <f>IF(P189="","",B189&amp;"|"&amp;P189)</f>
        <v>0</v>
      </c>
      <c r="R189" s="39">
        <f>IF(B189="","",IF(O189="Duplicate","Duplicate - job billed twice",IF(M189=0,"Add - no price on this line",IF(AND(C189="",E189=""),"Add - what is this line for?","OK"))))</f>
        <v>0</v>
      </c>
    </row>
    <row r="190" spans="1:18">
      <c r="A190" s="43">
        <f>IF(B190="","","IL-"&amp;TEXT(ROW()-4,"0000"))</f>
        <v>0</v>
      </c>
      <c r="D190" s="18">
        <f>IF(C190="","",IFERROR(INDEX(Jobs!$B$5:$B$604,MATCH(C190,Jobs!$A$5:$A$604,0)),""))</f>
        <v>0</v>
      </c>
      <c r="J190" s="21">
        <f>IF(C190="","",IFERROR(INDEX(Jobs!$AJ$5:$AJ$604,MATCH(C190,Jobs!$A$5:$A$604,0)),"0"))</f>
        <v>0</v>
      </c>
      <c r="K190" s="23">
        <f>IF(C190="","",IFERROR(INDEX(Jobs!$M$5:$M$604,MATCH(C190,Jobs!$A$5:$A$604,0)),""))</f>
        <v>0</v>
      </c>
      <c r="L190" s="51">
        <f>IF(B190="","",IF(E190&lt;&gt;"",E190,IF(C190="","",K190&amp;" - "&amp;TEXT(D190,"d mmm yyyy"))))</f>
        <v>0</v>
      </c>
      <c r="M190" s="21">
        <f>IF(B190="","",IF(G190&lt;&gt;"",G190,IFERROR(J190*1,0)))</f>
        <v>0</v>
      </c>
      <c r="N190" s="21">
        <f>IF(B190="","",ROUND(IF(F190="",1,F190)*M190,2))</f>
        <v>0</v>
      </c>
      <c r="O190" s="39">
        <f>IF(B190="","",IF(C190="","",IF(COUNTIFS($C$5:$C$804,C190)&gt;1,"Duplicate","OK")))</f>
        <v>0</v>
      </c>
      <c r="P190" s="31">
        <f>IF(OR(B190="",E190=""),"",COUNTIFS($B$5:B190,B190))</f>
        <v>0</v>
      </c>
      <c r="Q190" s="23">
        <f>IF(P190="","",B190&amp;"|"&amp;P190)</f>
        <v>0</v>
      </c>
      <c r="R190" s="39">
        <f>IF(B190="","",IF(O190="Duplicate","Duplicate - job billed twice",IF(M190=0,"Add - no price on this line",IF(AND(C190="",E190=""),"Add - what is this line for?","OK"))))</f>
        <v>0</v>
      </c>
    </row>
    <row r="191" spans="1:18">
      <c r="A191" s="43">
        <f>IF(B191="","","IL-"&amp;TEXT(ROW()-4,"0000"))</f>
        <v>0</v>
      </c>
      <c r="D191" s="18">
        <f>IF(C191="","",IFERROR(INDEX(Jobs!$B$5:$B$604,MATCH(C191,Jobs!$A$5:$A$604,0)),""))</f>
        <v>0</v>
      </c>
      <c r="J191" s="21">
        <f>IF(C191="","",IFERROR(INDEX(Jobs!$AJ$5:$AJ$604,MATCH(C191,Jobs!$A$5:$A$604,0)),"0"))</f>
        <v>0</v>
      </c>
      <c r="K191" s="23">
        <f>IF(C191="","",IFERROR(INDEX(Jobs!$M$5:$M$604,MATCH(C191,Jobs!$A$5:$A$604,0)),""))</f>
        <v>0</v>
      </c>
      <c r="L191" s="51">
        <f>IF(B191="","",IF(E191&lt;&gt;"",E191,IF(C191="","",K191&amp;" - "&amp;TEXT(D191,"d mmm yyyy"))))</f>
        <v>0</v>
      </c>
      <c r="M191" s="21">
        <f>IF(B191="","",IF(G191&lt;&gt;"",G191,IFERROR(J191*1,0)))</f>
        <v>0</v>
      </c>
      <c r="N191" s="21">
        <f>IF(B191="","",ROUND(IF(F191="",1,F191)*M191,2))</f>
        <v>0</v>
      </c>
      <c r="O191" s="39">
        <f>IF(B191="","",IF(C191="","",IF(COUNTIFS($C$5:$C$804,C191)&gt;1,"Duplicate","OK")))</f>
        <v>0</v>
      </c>
      <c r="P191" s="31">
        <f>IF(OR(B191="",E191=""),"",COUNTIFS($B$5:B191,B191))</f>
        <v>0</v>
      </c>
      <c r="Q191" s="23">
        <f>IF(P191="","",B191&amp;"|"&amp;P191)</f>
        <v>0</v>
      </c>
      <c r="R191" s="39">
        <f>IF(B191="","",IF(O191="Duplicate","Duplicate - job billed twice",IF(M191=0,"Add - no price on this line",IF(AND(C191="",E191=""),"Add - what is this line for?","OK"))))</f>
        <v>0</v>
      </c>
    </row>
    <row r="192" spans="1:18">
      <c r="A192" s="43">
        <f>IF(B192="","","IL-"&amp;TEXT(ROW()-4,"0000"))</f>
        <v>0</v>
      </c>
      <c r="D192" s="18">
        <f>IF(C192="","",IFERROR(INDEX(Jobs!$B$5:$B$604,MATCH(C192,Jobs!$A$5:$A$604,0)),""))</f>
        <v>0</v>
      </c>
      <c r="J192" s="21">
        <f>IF(C192="","",IFERROR(INDEX(Jobs!$AJ$5:$AJ$604,MATCH(C192,Jobs!$A$5:$A$604,0)),"0"))</f>
        <v>0</v>
      </c>
      <c r="K192" s="23">
        <f>IF(C192="","",IFERROR(INDEX(Jobs!$M$5:$M$604,MATCH(C192,Jobs!$A$5:$A$604,0)),""))</f>
        <v>0</v>
      </c>
      <c r="L192" s="51">
        <f>IF(B192="","",IF(E192&lt;&gt;"",E192,IF(C192="","",K192&amp;" - "&amp;TEXT(D192,"d mmm yyyy"))))</f>
        <v>0</v>
      </c>
      <c r="M192" s="21">
        <f>IF(B192="","",IF(G192&lt;&gt;"",G192,IFERROR(J192*1,0)))</f>
        <v>0</v>
      </c>
      <c r="N192" s="21">
        <f>IF(B192="","",ROUND(IF(F192="",1,F192)*M192,2))</f>
        <v>0</v>
      </c>
      <c r="O192" s="39">
        <f>IF(B192="","",IF(C192="","",IF(COUNTIFS($C$5:$C$804,C192)&gt;1,"Duplicate","OK")))</f>
        <v>0</v>
      </c>
      <c r="P192" s="31">
        <f>IF(OR(B192="",E192=""),"",COUNTIFS($B$5:B192,B192))</f>
        <v>0</v>
      </c>
      <c r="Q192" s="23">
        <f>IF(P192="","",B192&amp;"|"&amp;P192)</f>
        <v>0</v>
      </c>
      <c r="R192" s="39">
        <f>IF(B192="","",IF(O192="Duplicate","Duplicate - job billed twice",IF(M192=0,"Add - no price on this line",IF(AND(C192="",E192=""),"Add - what is this line for?","OK"))))</f>
        <v>0</v>
      </c>
    </row>
    <row r="193" spans="1:18">
      <c r="A193" s="43">
        <f>IF(B193="","","IL-"&amp;TEXT(ROW()-4,"0000"))</f>
        <v>0</v>
      </c>
      <c r="D193" s="18">
        <f>IF(C193="","",IFERROR(INDEX(Jobs!$B$5:$B$604,MATCH(C193,Jobs!$A$5:$A$604,0)),""))</f>
        <v>0</v>
      </c>
      <c r="J193" s="21">
        <f>IF(C193="","",IFERROR(INDEX(Jobs!$AJ$5:$AJ$604,MATCH(C193,Jobs!$A$5:$A$604,0)),"0"))</f>
        <v>0</v>
      </c>
      <c r="K193" s="23">
        <f>IF(C193="","",IFERROR(INDEX(Jobs!$M$5:$M$604,MATCH(C193,Jobs!$A$5:$A$604,0)),""))</f>
        <v>0</v>
      </c>
      <c r="L193" s="51">
        <f>IF(B193="","",IF(E193&lt;&gt;"",E193,IF(C193="","",K193&amp;" - "&amp;TEXT(D193,"d mmm yyyy"))))</f>
        <v>0</v>
      </c>
      <c r="M193" s="21">
        <f>IF(B193="","",IF(G193&lt;&gt;"",G193,IFERROR(J193*1,0)))</f>
        <v>0</v>
      </c>
      <c r="N193" s="21">
        <f>IF(B193="","",ROUND(IF(F193="",1,F193)*M193,2))</f>
        <v>0</v>
      </c>
      <c r="O193" s="39">
        <f>IF(B193="","",IF(C193="","",IF(COUNTIFS($C$5:$C$804,C193)&gt;1,"Duplicate","OK")))</f>
        <v>0</v>
      </c>
      <c r="P193" s="31">
        <f>IF(OR(B193="",E193=""),"",COUNTIFS($B$5:B193,B193))</f>
        <v>0</v>
      </c>
      <c r="Q193" s="23">
        <f>IF(P193="","",B193&amp;"|"&amp;P193)</f>
        <v>0</v>
      </c>
      <c r="R193" s="39">
        <f>IF(B193="","",IF(O193="Duplicate","Duplicate - job billed twice",IF(M193=0,"Add - no price on this line",IF(AND(C193="",E193=""),"Add - what is this line for?","OK"))))</f>
        <v>0</v>
      </c>
    </row>
    <row r="194" spans="1:18">
      <c r="A194" s="43">
        <f>IF(B194="","","IL-"&amp;TEXT(ROW()-4,"0000"))</f>
        <v>0</v>
      </c>
      <c r="D194" s="18">
        <f>IF(C194="","",IFERROR(INDEX(Jobs!$B$5:$B$604,MATCH(C194,Jobs!$A$5:$A$604,0)),""))</f>
        <v>0</v>
      </c>
      <c r="J194" s="21">
        <f>IF(C194="","",IFERROR(INDEX(Jobs!$AJ$5:$AJ$604,MATCH(C194,Jobs!$A$5:$A$604,0)),"0"))</f>
        <v>0</v>
      </c>
      <c r="K194" s="23">
        <f>IF(C194="","",IFERROR(INDEX(Jobs!$M$5:$M$604,MATCH(C194,Jobs!$A$5:$A$604,0)),""))</f>
        <v>0</v>
      </c>
      <c r="L194" s="51">
        <f>IF(B194="","",IF(E194&lt;&gt;"",E194,IF(C194="","",K194&amp;" - "&amp;TEXT(D194,"d mmm yyyy"))))</f>
        <v>0</v>
      </c>
      <c r="M194" s="21">
        <f>IF(B194="","",IF(G194&lt;&gt;"",G194,IFERROR(J194*1,0)))</f>
        <v>0</v>
      </c>
      <c r="N194" s="21">
        <f>IF(B194="","",ROUND(IF(F194="",1,F194)*M194,2))</f>
        <v>0</v>
      </c>
      <c r="O194" s="39">
        <f>IF(B194="","",IF(C194="","",IF(COUNTIFS($C$5:$C$804,C194)&gt;1,"Duplicate","OK")))</f>
        <v>0</v>
      </c>
      <c r="P194" s="31">
        <f>IF(OR(B194="",E194=""),"",COUNTIFS($B$5:B194,B194))</f>
        <v>0</v>
      </c>
      <c r="Q194" s="23">
        <f>IF(P194="","",B194&amp;"|"&amp;P194)</f>
        <v>0</v>
      </c>
      <c r="R194" s="39">
        <f>IF(B194="","",IF(O194="Duplicate","Duplicate - job billed twice",IF(M194=0,"Add - no price on this line",IF(AND(C194="",E194=""),"Add - what is this line for?","OK"))))</f>
        <v>0</v>
      </c>
    </row>
    <row r="195" spans="1:18">
      <c r="A195" s="43">
        <f>IF(B195="","","IL-"&amp;TEXT(ROW()-4,"0000"))</f>
        <v>0</v>
      </c>
      <c r="D195" s="18">
        <f>IF(C195="","",IFERROR(INDEX(Jobs!$B$5:$B$604,MATCH(C195,Jobs!$A$5:$A$604,0)),""))</f>
        <v>0</v>
      </c>
      <c r="J195" s="21">
        <f>IF(C195="","",IFERROR(INDEX(Jobs!$AJ$5:$AJ$604,MATCH(C195,Jobs!$A$5:$A$604,0)),"0"))</f>
        <v>0</v>
      </c>
      <c r="K195" s="23">
        <f>IF(C195="","",IFERROR(INDEX(Jobs!$M$5:$M$604,MATCH(C195,Jobs!$A$5:$A$604,0)),""))</f>
        <v>0</v>
      </c>
      <c r="L195" s="51">
        <f>IF(B195="","",IF(E195&lt;&gt;"",E195,IF(C195="","",K195&amp;" - "&amp;TEXT(D195,"d mmm yyyy"))))</f>
        <v>0</v>
      </c>
      <c r="M195" s="21">
        <f>IF(B195="","",IF(G195&lt;&gt;"",G195,IFERROR(J195*1,0)))</f>
        <v>0</v>
      </c>
      <c r="N195" s="21">
        <f>IF(B195="","",ROUND(IF(F195="",1,F195)*M195,2))</f>
        <v>0</v>
      </c>
      <c r="O195" s="39">
        <f>IF(B195="","",IF(C195="","",IF(COUNTIFS($C$5:$C$804,C195)&gt;1,"Duplicate","OK")))</f>
        <v>0</v>
      </c>
      <c r="P195" s="31">
        <f>IF(OR(B195="",E195=""),"",COUNTIFS($B$5:B195,B195))</f>
        <v>0</v>
      </c>
      <c r="Q195" s="23">
        <f>IF(P195="","",B195&amp;"|"&amp;P195)</f>
        <v>0</v>
      </c>
      <c r="R195" s="39">
        <f>IF(B195="","",IF(O195="Duplicate","Duplicate - job billed twice",IF(M195=0,"Add - no price on this line",IF(AND(C195="",E195=""),"Add - what is this line for?","OK"))))</f>
        <v>0</v>
      </c>
    </row>
    <row r="196" spans="1:18">
      <c r="A196" s="43">
        <f>IF(B196="","","IL-"&amp;TEXT(ROW()-4,"0000"))</f>
        <v>0</v>
      </c>
      <c r="D196" s="18">
        <f>IF(C196="","",IFERROR(INDEX(Jobs!$B$5:$B$604,MATCH(C196,Jobs!$A$5:$A$604,0)),""))</f>
        <v>0</v>
      </c>
      <c r="J196" s="21">
        <f>IF(C196="","",IFERROR(INDEX(Jobs!$AJ$5:$AJ$604,MATCH(C196,Jobs!$A$5:$A$604,0)),"0"))</f>
        <v>0</v>
      </c>
      <c r="K196" s="23">
        <f>IF(C196="","",IFERROR(INDEX(Jobs!$M$5:$M$604,MATCH(C196,Jobs!$A$5:$A$604,0)),""))</f>
        <v>0</v>
      </c>
      <c r="L196" s="51">
        <f>IF(B196="","",IF(E196&lt;&gt;"",E196,IF(C196="","",K196&amp;" - "&amp;TEXT(D196,"d mmm yyyy"))))</f>
        <v>0</v>
      </c>
      <c r="M196" s="21">
        <f>IF(B196="","",IF(G196&lt;&gt;"",G196,IFERROR(J196*1,0)))</f>
        <v>0</v>
      </c>
      <c r="N196" s="21">
        <f>IF(B196="","",ROUND(IF(F196="",1,F196)*M196,2))</f>
        <v>0</v>
      </c>
      <c r="O196" s="39">
        <f>IF(B196="","",IF(C196="","",IF(COUNTIFS($C$5:$C$804,C196)&gt;1,"Duplicate","OK")))</f>
        <v>0</v>
      </c>
      <c r="P196" s="31">
        <f>IF(OR(B196="",E196=""),"",COUNTIFS($B$5:B196,B196))</f>
        <v>0</v>
      </c>
      <c r="Q196" s="23">
        <f>IF(P196="","",B196&amp;"|"&amp;P196)</f>
        <v>0</v>
      </c>
      <c r="R196" s="39">
        <f>IF(B196="","",IF(O196="Duplicate","Duplicate - job billed twice",IF(M196=0,"Add - no price on this line",IF(AND(C196="",E196=""),"Add - what is this line for?","OK"))))</f>
        <v>0</v>
      </c>
    </row>
    <row r="197" spans="1:18">
      <c r="A197" s="43">
        <f>IF(B197="","","IL-"&amp;TEXT(ROW()-4,"0000"))</f>
        <v>0</v>
      </c>
      <c r="D197" s="18">
        <f>IF(C197="","",IFERROR(INDEX(Jobs!$B$5:$B$604,MATCH(C197,Jobs!$A$5:$A$604,0)),""))</f>
        <v>0</v>
      </c>
      <c r="J197" s="21">
        <f>IF(C197="","",IFERROR(INDEX(Jobs!$AJ$5:$AJ$604,MATCH(C197,Jobs!$A$5:$A$604,0)),"0"))</f>
        <v>0</v>
      </c>
      <c r="K197" s="23">
        <f>IF(C197="","",IFERROR(INDEX(Jobs!$M$5:$M$604,MATCH(C197,Jobs!$A$5:$A$604,0)),""))</f>
        <v>0</v>
      </c>
      <c r="L197" s="51">
        <f>IF(B197="","",IF(E197&lt;&gt;"",E197,IF(C197="","",K197&amp;" - "&amp;TEXT(D197,"d mmm yyyy"))))</f>
        <v>0</v>
      </c>
      <c r="M197" s="21">
        <f>IF(B197="","",IF(G197&lt;&gt;"",G197,IFERROR(J197*1,0)))</f>
        <v>0</v>
      </c>
      <c r="N197" s="21">
        <f>IF(B197="","",ROUND(IF(F197="",1,F197)*M197,2))</f>
        <v>0</v>
      </c>
      <c r="O197" s="39">
        <f>IF(B197="","",IF(C197="","",IF(COUNTIFS($C$5:$C$804,C197)&gt;1,"Duplicate","OK")))</f>
        <v>0</v>
      </c>
      <c r="P197" s="31">
        <f>IF(OR(B197="",E197=""),"",COUNTIFS($B$5:B197,B197))</f>
        <v>0</v>
      </c>
      <c r="Q197" s="23">
        <f>IF(P197="","",B197&amp;"|"&amp;P197)</f>
        <v>0</v>
      </c>
      <c r="R197" s="39">
        <f>IF(B197="","",IF(O197="Duplicate","Duplicate - job billed twice",IF(M197=0,"Add - no price on this line",IF(AND(C197="",E197=""),"Add - what is this line for?","OK"))))</f>
        <v>0</v>
      </c>
    </row>
    <row r="198" spans="1:18">
      <c r="A198" s="43">
        <f>IF(B198="","","IL-"&amp;TEXT(ROW()-4,"0000"))</f>
        <v>0</v>
      </c>
      <c r="D198" s="18">
        <f>IF(C198="","",IFERROR(INDEX(Jobs!$B$5:$B$604,MATCH(C198,Jobs!$A$5:$A$604,0)),""))</f>
        <v>0</v>
      </c>
      <c r="J198" s="21">
        <f>IF(C198="","",IFERROR(INDEX(Jobs!$AJ$5:$AJ$604,MATCH(C198,Jobs!$A$5:$A$604,0)),"0"))</f>
        <v>0</v>
      </c>
      <c r="K198" s="23">
        <f>IF(C198="","",IFERROR(INDEX(Jobs!$M$5:$M$604,MATCH(C198,Jobs!$A$5:$A$604,0)),""))</f>
        <v>0</v>
      </c>
      <c r="L198" s="51">
        <f>IF(B198="","",IF(E198&lt;&gt;"",E198,IF(C198="","",K198&amp;" - "&amp;TEXT(D198,"d mmm yyyy"))))</f>
        <v>0</v>
      </c>
      <c r="M198" s="21">
        <f>IF(B198="","",IF(G198&lt;&gt;"",G198,IFERROR(J198*1,0)))</f>
        <v>0</v>
      </c>
      <c r="N198" s="21">
        <f>IF(B198="","",ROUND(IF(F198="",1,F198)*M198,2))</f>
        <v>0</v>
      </c>
      <c r="O198" s="39">
        <f>IF(B198="","",IF(C198="","",IF(COUNTIFS($C$5:$C$804,C198)&gt;1,"Duplicate","OK")))</f>
        <v>0</v>
      </c>
      <c r="P198" s="31">
        <f>IF(OR(B198="",E198=""),"",COUNTIFS($B$5:B198,B198))</f>
        <v>0</v>
      </c>
      <c r="Q198" s="23">
        <f>IF(P198="","",B198&amp;"|"&amp;P198)</f>
        <v>0</v>
      </c>
      <c r="R198" s="39">
        <f>IF(B198="","",IF(O198="Duplicate","Duplicate - job billed twice",IF(M198=0,"Add - no price on this line",IF(AND(C198="",E198=""),"Add - what is this line for?","OK"))))</f>
        <v>0</v>
      </c>
    </row>
    <row r="199" spans="1:18">
      <c r="A199" s="43">
        <f>IF(B199="","","IL-"&amp;TEXT(ROW()-4,"0000"))</f>
        <v>0</v>
      </c>
      <c r="D199" s="18">
        <f>IF(C199="","",IFERROR(INDEX(Jobs!$B$5:$B$604,MATCH(C199,Jobs!$A$5:$A$604,0)),""))</f>
        <v>0</v>
      </c>
      <c r="J199" s="21">
        <f>IF(C199="","",IFERROR(INDEX(Jobs!$AJ$5:$AJ$604,MATCH(C199,Jobs!$A$5:$A$604,0)),"0"))</f>
        <v>0</v>
      </c>
      <c r="K199" s="23">
        <f>IF(C199="","",IFERROR(INDEX(Jobs!$M$5:$M$604,MATCH(C199,Jobs!$A$5:$A$604,0)),""))</f>
        <v>0</v>
      </c>
      <c r="L199" s="51">
        <f>IF(B199="","",IF(E199&lt;&gt;"",E199,IF(C199="","",K199&amp;" - "&amp;TEXT(D199,"d mmm yyyy"))))</f>
        <v>0</v>
      </c>
      <c r="M199" s="21">
        <f>IF(B199="","",IF(G199&lt;&gt;"",G199,IFERROR(J199*1,0)))</f>
        <v>0</v>
      </c>
      <c r="N199" s="21">
        <f>IF(B199="","",ROUND(IF(F199="",1,F199)*M199,2))</f>
        <v>0</v>
      </c>
      <c r="O199" s="39">
        <f>IF(B199="","",IF(C199="","",IF(COUNTIFS($C$5:$C$804,C199)&gt;1,"Duplicate","OK")))</f>
        <v>0</v>
      </c>
      <c r="P199" s="31">
        <f>IF(OR(B199="",E199=""),"",COUNTIFS($B$5:B199,B199))</f>
        <v>0</v>
      </c>
      <c r="Q199" s="23">
        <f>IF(P199="","",B199&amp;"|"&amp;P199)</f>
        <v>0</v>
      </c>
      <c r="R199" s="39">
        <f>IF(B199="","",IF(O199="Duplicate","Duplicate - job billed twice",IF(M199=0,"Add - no price on this line",IF(AND(C199="",E199=""),"Add - what is this line for?","OK"))))</f>
        <v>0</v>
      </c>
    </row>
    <row r="200" spans="1:18">
      <c r="A200" s="43">
        <f>IF(B200="","","IL-"&amp;TEXT(ROW()-4,"0000"))</f>
        <v>0</v>
      </c>
      <c r="D200" s="18">
        <f>IF(C200="","",IFERROR(INDEX(Jobs!$B$5:$B$604,MATCH(C200,Jobs!$A$5:$A$604,0)),""))</f>
        <v>0</v>
      </c>
      <c r="J200" s="21">
        <f>IF(C200="","",IFERROR(INDEX(Jobs!$AJ$5:$AJ$604,MATCH(C200,Jobs!$A$5:$A$604,0)),"0"))</f>
        <v>0</v>
      </c>
      <c r="K200" s="23">
        <f>IF(C200="","",IFERROR(INDEX(Jobs!$M$5:$M$604,MATCH(C200,Jobs!$A$5:$A$604,0)),""))</f>
        <v>0</v>
      </c>
      <c r="L200" s="51">
        <f>IF(B200="","",IF(E200&lt;&gt;"",E200,IF(C200="","",K200&amp;" - "&amp;TEXT(D200,"d mmm yyyy"))))</f>
        <v>0</v>
      </c>
      <c r="M200" s="21">
        <f>IF(B200="","",IF(G200&lt;&gt;"",G200,IFERROR(J200*1,0)))</f>
        <v>0</v>
      </c>
      <c r="N200" s="21">
        <f>IF(B200="","",ROUND(IF(F200="",1,F200)*M200,2))</f>
        <v>0</v>
      </c>
      <c r="O200" s="39">
        <f>IF(B200="","",IF(C200="","",IF(COUNTIFS($C$5:$C$804,C200)&gt;1,"Duplicate","OK")))</f>
        <v>0</v>
      </c>
      <c r="P200" s="31">
        <f>IF(OR(B200="",E200=""),"",COUNTIFS($B$5:B200,B200))</f>
        <v>0</v>
      </c>
      <c r="Q200" s="23">
        <f>IF(P200="","",B200&amp;"|"&amp;P200)</f>
        <v>0</v>
      </c>
      <c r="R200" s="39">
        <f>IF(B200="","",IF(O200="Duplicate","Duplicate - job billed twice",IF(M200=0,"Add - no price on this line",IF(AND(C200="",E200=""),"Add - what is this line for?","OK"))))</f>
        <v>0</v>
      </c>
    </row>
    <row r="201" spans="1:18">
      <c r="A201" s="43">
        <f>IF(B201="","","IL-"&amp;TEXT(ROW()-4,"0000"))</f>
        <v>0</v>
      </c>
      <c r="D201" s="18">
        <f>IF(C201="","",IFERROR(INDEX(Jobs!$B$5:$B$604,MATCH(C201,Jobs!$A$5:$A$604,0)),""))</f>
        <v>0</v>
      </c>
      <c r="J201" s="21">
        <f>IF(C201="","",IFERROR(INDEX(Jobs!$AJ$5:$AJ$604,MATCH(C201,Jobs!$A$5:$A$604,0)),"0"))</f>
        <v>0</v>
      </c>
      <c r="K201" s="23">
        <f>IF(C201="","",IFERROR(INDEX(Jobs!$M$5:$M$604,MATCH(C201,Jobs!$A$5:$A$604,0)),""))</f>
        <v>0</v>
      </c>
      <c r="L201" s="51">
        <f>IF(B201="","",IF(E201&lt;&gt;"",E201,IF(C201="","",K201&amp;" - "&amp;TEXT(D201,"d mmm yyyy"))))</f>
        <v>0</v>
      </c>
      <c r="M201" s="21">
        <f>IF(B201="","",IF(G201&lt;&gt;"",G201,IFERROR(J201*1,0)))</f>
        <v>0</v>
      </c>
      <c r="N201" s="21">
        <f>IF(B201="","",ROUND(IF(F201="",1,F201)*M201,2))</f>
        <v>0</v>
      </c>
      <c r="O201" s="39">
        <f>IF(B201="","",IF(C201="","",IF(COUNTIFS($C$5:$C$804,C201)&gt;1,"Duplicate","OK")))</f>
        <v>0</v>
      </c>
      <c r="P201" s="31">
        <f>IF(OR(B201="",E201=""),"",COUNTIFS($B$5:B201,B201))</f>
        <v>0</v>
      </c>
      <c r="Q201" s="23">
        <f>IF(P201="","",B201&amp;"|"&amp;P201)</f>
        <v>0</v>
      </c>
      <c r="R201" s="39">
        <f>IF(B201="","",IF(O201="Duplicate","Duplicate - job billed twice",IF(M201=0,"Add - no price on this line",IF(AND(C201="",E201=""),"Add - what is this line for?","OK"))))</f>
        <v>0</v>
      </c>
    </row>
    <row r="202" spans="1:18">
      <c r="A202" s="43">
        <f>IF(B202="","","IL-"&amp;TEXT(ROW()-4,"0000"))</f>
        <v>0</v>
      </c>
      <c r="D202" s="18">
        <f>IF(C202="","",IFERROR(INDEX(Jobs!$B$5:$B$604,MATCH(C202,Jobs!$A$5:$A$604,0)),""))</f>
        <v>0</v>
      </c>
      <c r="J202" s="21">
        <f>IF(C202="","",IFERROR(INDEX(Jobs!$AJ$5:$AJ$604,MATCH(C202,Jobs!$A$5:$A$604,0)),"0"))</f>
        <v>0</v>
      </c>
      <c r="K202" s="23">
        <f>IF(C202="","",IFERROR(INDEX(Jobs!$M$5:$M$604,MATCH(C202,Jobs!$A$5:$A$604,0)),""))</f>
        <v>0</v>
      </c>
      <c r="L202" s="51">
        <f>IF(B202="","",IF(E202&lt;&gt;"",E202,IF(C202="","",K202&amp;" - "&amp;TEXT(D202,"d mmm yyyy"))))</f>
        <v>0</v>
      </c>
      <c r="M202" s="21">
        <f>IF(B202="","",IF(G202&lt;&gt;"",G202,IFERROR(J202*1,0)))</f>
        <v>0</v>
      </c>
      <c r="N202" s="21">
        <f>IF(B202="","",ROUND(IF(F202="",1,F202)*M202,2))</f>
        <v>0</v>
      </c>
      <c r="O202" s="39">
        <f>IF(B202="","",IF(C202="","",IF(COUNTIFS($C$5:$C$804,C202)&gt;1,"Duplicate","OK")))</f>
        <v>0</v>
      </c>
      <c r="P202" s="31">
        <f>IF(OR(B202="",E202=""),"",COUNTIFS($B$5:B202,B202))</f>
        <v>0</v>
      </c>
      <c r="Q202" s="23">
        <f>IF(P202="","",B202&amp;"|"&amp;P202)</f>
        <v>0</v>
      </c>
      <c r="R202" s="39">
        <f>IF(B202="","",IF(O202="Duplicate","Duplicate - job billed twice",IF(M202=0,"Add - no price on this line",IF(AND(C202="",E202=""),"Add - what is this line for?","OK"))))</f>
        <v>0</v>
      </c>
    </row>
    <row r="203" spans="1:18">
      <c r="A203" s="43">
        <f>IF(B203="","","IL-"&amp;TEXT(ROW()-4,"0000"))</f>
        <v>0</v>
      </c>
      <c r="D203" s="18">
        <f>IF(C203="","",IFERROR(INDEX(Jobs!$B$5:$B$604,MATCH(C203,Jobs!$A$5:$A$604,0)),""))</f>
        <v>0</v>
      </c>
      <c r="J203" s="21">
        <f>IF(C203="","",IFERROR(INDEX(Jobs!$AJ$5:$AJ$604,MATCH(C203,Jobs!$A$5:$A$604,0)),"0"))</f>
        <v>0</v>
      </c>
      <c r="K203" s="23">
        <f>IF(C203="","",IFERROR(INDEX(Jobs!$M$5:$M$604,MATCH(C203,Jobs!$A$5:$A$604,0)),""))</f>
        <v>0</v>
      </c>
      <c r="L203" s="51">
        <f>IF(B203="","",IF(E203&lt;&gt;"",E203,IF(C203="","",K203&amp;" - "&amp;TEXT(D203,"d mmm yyyy"))))</f>
        <v>0</v>
      </c>
      <c r="M203" s="21">
        <f>IF(B203="","",IF(G203&lt;&gt;"",G203,IFERROR(J203*1,0)))</f>
        <v>0</v>
      </c>
      <c r="N203" s="21">
        <f>IF(B203="","",ROUND(IF(F203="",1,F203)*M203,2))</f>
        <v>0</v>
      </c>
      <c r="O203" s="39">
        <f>IF(B203="","",IF(C203="","",IF(COUNTIFS($C$5:$C$804,C203)&gt;1,"Duplicate","OK")))</f>
        <v>0</v>
      </c>
      <c r="P203" s="31">
        <f>IF(OR(B203="",E203=""),"",COUNTIFS($B$5:B203,B203))</f>
        <v>0</v>
      </c>
      <c r="Q203" s="23">
        <f>IF(P203="","",B203&amp;"|"&amp;P203)</f>
        <v>0</v>
      </c>
      <c r="R203" s="39">
        <f>IF(B203="","",IF(O203="Duplicate","Duplicate - job billed twice",IF(M203=0,"Add - no price on this line",IF(AND(C203="",E203=""),"Add - what is this line for?","OK"))))</f>
        <v>0</v>
      </c>
    </row>
    <row r="204" spans="1:18">
      <c r="A204" s="43">
        <f>IF(B204="","","IL-"&amp;TEXT(ROW()-4,"0000"))</f>
        <v>0</v>
      </c>
      <c r="D204" s="18">
        <f>IF(C204="","",IFERROR(INDEX(Jobs!$B$5:$B$604,MATCH(C204,Jobs!$A$5:$A$604,0)),""))</f>
        <v>0</v>
      </c>
      <c r="J204" s="21">
        <f>IF(C204="","",IFERROR(INDEX(Jobs!$AJ$5:$AJ$604,MATCH(C204,Jobs!$A$5:$A$604,0)),"0"))</f>
        <v>0</v>
      </c>
      <c r="K204" s="23">
        <f>IF(C204="","",IFERROR(INDEX(Jobs!$M$5:$M$604,MATCH(C204,Jobs!$A$5:$A$604,0)),""))</f>
        <v>0</v>
      </c>
      <c r="L204" s="51">
        <f>IF(B204="","",IF(E204&lt;&gt;"",E204,IF(C204="","",K204&amp;" - "&amp;TEXT(D204,"d mmm yyyy"))))</f>
        <v>0</v>
      </c>
      <c r="M204" s="21">
        <f>IF(B204="","",IF(G204&lt;&gt;"",G204,IFERROR(J204*1,0)))</f>
        <v>0</v>
      </c>
      <c r="N204" s="21">
        <f>IF(B204="","",ROUND(IF(F204="",1,F204)*M204,2))</f>
        <v>0</v>
      </c>
      <c r="O204" s="39">
        <f>IF(B204="","",IF(C204="","",IF(COUNTIFS($C$5:$C$804,C204)&gt;1,"Duplicate","OK")))</f>
        <v>0</v>
      </c>
      <c r="P204" s="31">
        <f>IF(OR(B204="",E204=""),"",COUNTIFS($B$5:B204,B204))</f>
        <v>0</v>
      </c>
      <c r="Q204" s="23">
        <f>IF(P204="","",B204&amp;"|"&amp;P204)</f>
        <v>0</v>
      </c>
      <c r="R204" s="39">
        <f>IF(B204="","",IF(O204="Duplicate","Duplicate - job billed twice",IF(M204=0,"Add - no price on this line",IF(AND(C204="",E204=""),"Add - what is this line for?","OK"))))</f>
        <v>0</v>
      </c>
    </row>
    <row r="205" spans="1:18">
      <c r="A205" s="43">
        <f>IF(B205="","","IL-"&amp;TEXT(ROW()-4,"0000"))</f>
        <v>0</v>
      </c>
      <c r="D205" s="18">
        <f>IF(C205="","",IFERROR(INDEX(Jobs!$B$5:$B$604,MATCH(C205,Jobs!$A$5:$A$604,0)),""))</f>
        <v>0</v>
      </c>
      <c r="J205" s="21">
        <f>IF(C205="","",IFERROR(INDEX(Jobs!$AJ$5:$AJ$604,MATCH(C205,Jobs!$A$5:$A$604,0)),"0"))</f>
        <v>0</v>
      </c>
      <c r="K205" s="23">
        <f>IF(C205="","",IFERROR(INDEX(Jobs!$M$5:$M$604,MATCH(C205,Jobs!$A$5:$A$604,0)),""))</f>
        <v>0</v>
      </c>
      <c r="L205" s="51">
        <f>IF(B205="","",IF(E205&lt;&gt;"",E205,IF(C205="","",K205&amp;" - "&amp;TEXT(D205,"d mmm yyyy"))))</f>
        <v>0</v>
      </c>
      <c r="M205" s="21">
        <f>IF(B205="","",IF(G205&lt;&gt;"",G205,IFERROR(J205*1,0)))</f>
        <v>0</v>
      </c>
      <c r="N205" s="21">
        <f>IF(B205="","",ROUND(IF(F205="",1,F205)*M205,2))</f>
        <v>0</v>
      </c>
      <c r="O205" s="39">
        <f>IF(B205="","",IF(C205="","",IF(COUNTIFS($C$5:$C$804,C205)&gt;1,"Duplicate","OK")))</f>
        <v>0</v>
      </c>
      <c r="P205" s="31">
        <f>IF(OR(B205="",E205=""),"",COUNTIFS($B$5:B205,B205))</f>
        <v>0</v>
      </c>
      <c r="Q205" s="23">
        <f>IF(P205="","",B205&amp;"|"&amp;P205)</f>
        <v>0</v>
      </c>
      <c r="R205" s="39">
        <f>IF(B205="","",IF(O205="Duplicate","Duplicate - job billed twice",IF(M205=0,"Add - no price on this line",IF(AND(C205="",E205=""),"Add - what is this line for?","OK"))))</f>
        <v>0</v>
      </c>
    </row>
    <row r="206" spans="1:18">
      <c r="A206" s="43">
        <f>IF(B206="","","IL-"&amp;TEXT(ROW()-4,"0000"))</f>
        <v>0</v>
      </c>
      <c r="D206" s="18">
        <f>IF(C206="","",IFERROR(INDEX(Jobs!$B$5:$B$604,MATCH(C206,Jobs!$A$5:$A$604,0)),""))</f>
        <v>0</v>
      </c>
      <c r="J206" s="21">
        <f>IF(C206="","",IFERROR(INDEX(Jobs!$AJ$5:$AJ$604,MATCH(C206,Jobs!$A$5:$A$604,0)),"0"))</f>
        <v>0</v>
      </c>
      <c r="K206" s="23">
        <f>IF(C206="","",IFERROR(INDEX(Jobs!$M$5:$M$604,MATCH(C206,Jobs!$A$5:$A$604,0)),""))</f>
        <v>0</v>
      </c>
      <c r="L206" s="51">
        <f>IF(B206="","",IF(E206&lt;&gt;"",E206,IF(C206="","",K206&amp;" - "&amp;TEXT(D206,"d mmm yyyy"))))</f>
        <v>0</v>
      </c>
      <c r="M206" s="21">
        <f>IF(B206="","",IF(G206&lt;&gt;"",G206,IFERROR(J206*1,0)))</f>
        <v>0</v>
      </c>
      <c r="N206" s="21">
        <f>IF(B206="","",ROUND(IF(F206="",1,F206)*M206,2))</f>
        <v>0</v>
      </c>
      <c r="O206" s="39">
        <f>IF(B206="","",IF(C206="","",IF(COUNTIFS($C$5:$C$804,C206)&gt;1,"Duplicate","OK")))</f>
        <v>0</v>
      </c>
      <c r="P206" s="31">
        <f>IF(OR(B206="",E206=""),"",COUNTIFS($B$5:B206,B206))</f>
        <v>0</v>
      </c>
      <c r="Q206" s="23">
        <f>IF(P206="","",B206&amp;"|"&amp;P206)</f>
        <v>0</v>
      </c>
      <c r="R206" s="39">
        <f>IF(B206="","",IF(O206="Duplicate","Duplicate - job billed twice",IF(M206=0,"Add - no price on this line",IF(AND(C206="",E206=""),"Add - what is this line for?","OK"))))</f>
        <v>0</v>
      </c>
    </row>
    <row r="207" spans="1:18">
      <c r="A207" s="43">
        <f>IF(B207="","","IL-"&amp;TEXT(ROW()-4,"0000"))</f>
        <v>0</v>
      </c>
      <c r="D207" s="18">
        <f>IF(C207="","",IFERROR(INDEX(Jobs!$B$5:$B$604,MATCH(C207,Jobs!$A$5:$A$604,0)),""))</f>
        <v>0</v>
      </c>
      <c r="J207" s="21">
        <f>IF(C207="","",IFERROR(INDEX(Jobs!$AJ$5:$AJ$604,MATCH(C207,Jobs!$A$5:$A$604,0)),"0"))</f>
        <v>0</v>
      </c>
      <c r="K207" s="23">
        <f>IF(C207="","",IFERROR(INDEX(Jobs!$M$5:$M$604,MATCH(C207,Jobs!$A$5:$A$604,0)),""))</f>
        <v>0</v>
      </c>
      <c r="L207" s="51">
        <f>IF(B207="","",IF(E207&lt;&gt;"",E207,IF(C207="","",K207&amp;" - "&amp;TEXT(D207,"d mmm yyyy"))))</f>
        <v>0</v>
      </c>
      <c r="M207" s="21">
        <f>IF(B207="","",IF(G207&lt;&gt;"",G207,IFERROR(J207*1,0)))</f>
        <v>0</v>
      </c>
      <c r="N207" s="21">
        <f>IF(B207="","",ROUND(IF(F207="",1,F207)*M207,2))</f>
        <v>0</v>
      </c>
      <c r="O207" s="39">
        <f>IF(B207="","",IF(C207="","",IF(COUNTIFS($C$5:$C$804,C207)&gt;1,"Duplicate","OK")))</f>
        <v>0</v>
      </c>
      <c r="P207" s="31">
        <f>IF(OR(B207="",E207=""),"",COUNTIFS($B$5:B207,B207))</f>
        <v>0</v>
      </c>
      <c r="Q207" s="23">
        <f>IF(P207="","",B207&amp;"|"&amp;P207)</f>
        <v>0</v>
      </c>
      <c r="R207" s="39">
        <f>IF(B207="","",IF(O207="Duplicate","Duplicate - job billed twice",IF(M207=0,"Add - no price on this line",IF(AND(C207="",E207=""),"Add - what is this line for?","OK"))))</f>
        <v>0</v>
      </c>
    </row>
    <row r="208" spans="1:18">
      <c r="A208" s="43">
        <f>IF(B208="","","IL-"&amp;TEXT(ROW()-4,"0000"))</f>
        <v>0</v>
      </c>
      <c r="D208" s="18">
        <f>IF(C208="","",IFERROR(INDEX(Jobs!$B$5:$B$604,MATCH(C208,Jobs!$A$5:$A$604,0)),""))</f>
        <v>0</v>
      </c>
      <c r="J208" s="21">
        <f>IF(C208="","",IFERROR(INDEX(Jobs!$AJ$5:$AJ$604,MATCH(C208,Jobs!$A$5:$A$604,0)),"0"))</f>
        <v>0</v>
      </c>
      <c r="K208" s="23">
        <f>IF(C208="","",IFERROR(INDEX(Jobs!$M$5:$M$604,MATCH(C208,Jobs!$A$5:$A$604,0)),""))</f>
        <v>0</v>
      </c>
      <c r="L208" s="51">
        <f>IF(B208="","",IF(E208&lt;&gt;"",E208,IF(C208="","",K208&amp;" - "&amp;TEXT(D208,"d mmm yyyy"))))</f>
        <v>0</v>
      </c>
      <c r="M208" s="21">
        <f>IF(B208="","",IF(G208&lt;&gt;"",G208,IFERROR(J208*1,0)))</f>
        <v>0</v>
      </c>
      <c r="N208" s="21">
        <f>IF(B208="","",ROUND(IF(F208="",1,F208)*M208,2))</f>
        <v>0</v>
      </c>
      <c r="O208" s="39">
        <f>IF(B208="","",IF(C208="","",IF(COUNTIFS($C$5:$C$804,C208)&gt;1,"Duplicate","OK")))</f>
        <v>0</v>
      </c>
      <c r="P208" s="31">
        <f>IF(OR(B208="",E208=""),"",COUNTIFS($B$5:B208,B208))</f>
        <v>0</v>
      </c>
      <c r="Q208" s="23">
        <f>IF(P208="","",B208&amp;"|"&amp;P208)</f>
        <v>0</v>
      </c>
      <c r="R208" s="39">
        <f>IF(B208="","",IF(O208="Duplicate","Duplicate - job billed twice",IF(M208=0,"Add - no price on this line",IF(AND(C208="",E208=""),"Add - what is this line for?","OK"))))</f>
        <v>0</v>
      </c>
    </row>
    <row r="209" spans="1:18">
      <c r="A209" s="43">
        <f>IF(B209="","","IL-"&amp;TEXT(ROW()-4,"0000"))</f>
        <v>0</v>
      </c>
      <c r="D209" s="18">
        <f>IF(C209="","",IFERROR(INDEX(Jobs!$B$5:$B$604,MATCH(C209,Jobs!$A$5:$A$604,0)),""))</f>
        <v>0</v>
      </c>
      <c r="J209" s="21">
        <f>IF(C209="","",IFERROR(INDEX(Jobs!$AJ$5:$AJ$604,MATCH(C209,Jobs!$A$5:$A$604,0)),"0"))</f>
        <v>0</v>
      </c>
      <c r="K209" s="23">
        <f>IF(C209="","",IFERROR(INDEX(Jobs!$M$5:$M$604,MATCH(C209,Jobs!$A$5:$A$604,0)),""))</f>
        <v>0</v>
      </c>
      <c r="L209" s="51">
        <f>IF(B209="","",IF(E209&lt;&gt;"",E209,IF(C209="","",K209&amp;" - "&amp;TEXT(D209,"d mmm yyyy"))))</f>
        <v>0</v>
      </c>
      <c r="M209" s="21">
        <f>IF(B209="","",IF(G209&lt;&gt;"",G209,IFERROR(J209*1,0)))</f>
        <v>0</v>
      </c>
      <c r="N209" s="21">
        <f>IF(B209="","",ROUND(IF(F209="",1,F209)*M209,2))</f>
        <v>0</v>
      </c>
      <c r="O209" s="39">
        <f>IF(B209="","",IF(C209="","",IF(COUNTIFS($C$5:$C$804,C209)&gt;1,"Duplicate","OK")))</f>
        <v>0</v>
      </c>
      <c r="P209" s="31">
        <f>IF(OR(B209="",E209=""),"",COUNTIFS($B$5:B209,B209))</f>
        <v>0</v>
      </c>
      <c r="Q209" s="23">
        <f>IF(P209="","",B209&amp;"|"&amp;P209)</f>
        <v>0</v>
      </c>
      <c r="R209" s="39">
        <f>IF(B209="","",IF(O209="Duplicate","Duplicate - job billed twice",IF(M209=0,"Add - no price on this line",IF(AND(C209="",E209=""),"Add - what is this line for?","OK"))))</f>
        <v>0</v>
      </c>
    </row>
    <row r="210" spans="1:18">
      <c r="A210" s="43">
        <f>IF(B210="","","IL-"&amp;TEXT(ROW()-4,"0000"))</f>
        <v>0</v>
      </c>
      <c r="D210" s="18">
        <f>IF(C210="","",IFERROR(INDEX(Jobs!$B$5:$B$604,MATCH(C210,Jobs!$A$5:$A$604,0)),""))</f>
        <v>0</v>
      </c>
      <c r="J210" s="21">
        <f>IF(C210="","",IFERROR(INDEX(Jobs!$AJ$5:$AJ$604,MATCH(C210,Jobs!$A$5:$A$604,0)),"0"))</f>
        <v>0</v>
      </c>
      <c r="K210" s="23">
        <f>IF(C210="","",IFERROR(INDEX(Jobs!$M$5:$M$604,MATCH(C210,Jobs!$A$5:$A$604,0)),""))</f>
        <v>0</v>
      </c>
      <c r="L210" s="51">
        <f>IF(B210="","",IF(E210&lt;&gt;"",E210,IF(C210="","",K210&amp;" - "&amp;TEXT(D210,"d mmm yyyy"))))</f>
        <v>0</v>
      </c>
      <c r="M210" s="21">
        <f>IF(B210="","",IF(G210&lt;&gt;"",G210,IFERROR(J210*1,0)))</f>
        <v>0</v>
      </c>
      <c r="N210" s="21">
        <f>IF(B210="","",ROUND(IF(F210="",1,F210)*M210,2))</f>
        <v>0</v>
      </c>
      <c r="O210" s="39">
        <f>IF(B210="","",IF(C210="","",IF(COUNTIFS($C$5:$C$804,C210)&gt;1,"Duplicate","OK")))</f>
        <v>0</v>
      </c>
      <c r="P210" s="31">
        <f>IF(OR(B210="",E210=""),"",COUNTIFS($B$5:B210,B210))</f>
        <v>0</v>
      </c>
      <c r="Q210" s="23">
        <f>IF(P210="","",B210&amp;"|"&amp;P210)</f>
        <v>0</v>
      </c>
      <c r="R210" s="39">
        <f>IF(B210="","",IF(O210="Duplicate","Duplicate - job billed twice",IF(M210=0,"Add - no price on this line",IF(AND(C210="",E210=""),"Add - what is this line for?","OK"))))</f>
        <v>0</v>
      </c>
    </row>
    <row r="211" spans="1:18">
      <c r="A211" s="43">
        <f>IF(B211="","","IL-"&amp;TEXT(ROW()-4,"0000"))</f>
        <v>0</v>
      </c>
      <c r="D211" s="18">
        <f>IF(C211="","",IFERROR(INDEX(Jobs!$B$5:$B$604,MATCH(C211,Jobs!$A$5:$A$604,0)),""))</f>
        <v>0</v>
      </c>
      <c r="J211" s="21">
        <f>IF(C211="","",IFERROR(INDEX(Jobs!$AJ$5:$AJ$604,MATCH(C211,Jobs!$A$5:$A$604,0)),"0"))</f>
        <v>0</v>
      </c>
      <c r="K211" s="23">
        <f>IF(C211="","",IFERROR(INDEX(Jobs!$M$5:$M$604,MATCH(C211,Jobs!$A$5:$A$604,0)),""))</f>
        <v>0</v>
      </c>
      <c r="L211" s="51">
        <f>IF(B211="","",IF(E211&lt;&gt;"",E211,IF(C211="","",K211&amp;" - "&amp;TEXT(D211,"d mmm yyyy"))))</f>
        <v>0</v>
      </c>
      <c r="M211" s="21">
        <f>IF(B211="","",IF(G211&lt;&gt;"",G211,IFERROR(J211*1,0)))</f>
        <v>0</v>
      </c>
      <c r="N211" s="21">
        <f>IF(B211="","",ROUND(IF(F211="",1,F211)*M211,2))</f>
        <v>0</v>
      </c>
      <c r="O211" s="39">
        <f>IF(B211="","",IF(C211="","",IF(COUNTIFS($C$5:$C$804,C211)&gt;1,"Duplicate","OK")))</f>
        <v>0</v>
      </c>
      <c r="P211" s="31">
        <f>IF(OR(B211="",E211=""),"",COUNTIFS($B$5:B211,B211))</f>
        <v>0</v>
      </c>
      <c r="Q211" s="23">
        <f>IF(P211="","",B211&amp;"|"&amp;P211)</f>
        <v>0</v>
      </c>
      <c r="R211" s="39">
        <f>IF(B211="","",IF(O211="Duplicate","Duplicate - job billed twice",IF(M211=0,"Add - no price on this line",IF(AND(C211="",E211=""),"Add - what is this line for?","OK"))))</f>
        <v>0</v>
      </c>
    </row>
    <row r="212" spans="1:18">
      <c r="A212" s="43">
        <f>IF(B212="","","IL-"&amp;TEXT(ROW()-4,"0000"))</f>
        <v>0</v>
      </c>
      <c r="D212" s="18">
        <f>IF(C212="","",IFERROR(INDEX(Jobs!$B$5:$B$604,MATCH(C212,Jobs!$A$5:$A$604,0)),""))</f>
        <v>0</v>
      </c>
      <c r="J212" s="21">
        <f>IF(C212="","",IFERROR(INDEX(Jobs!$AJ$5:$AJ$604,MATCH(C212,Jobs!$A$5:$A$604,0)),"0"))</f>
        <v>0</v>
      </c>
      <c r="K212" s="23">
        <f>IF(C212="","",IFERROR(INDEX(Jobs!$M$5:$M$604,MATCH(C212,Jobs!$A$5:$A$604,0)),""))</f>
        <v>0</v>
      </c>
      <c r="L212" s="51">
        <f>IF(B212="","",IF(E212&lt;&gt;"",E212,IF(C212="","",K212&amp;" - "&amp;TEXT(D212,"d mmm yyyy"))))</f>
        <v>0</v>
      </c>
      <c r="M212" s="21">
        <f>IF(B212="","",IF(G212&lt;&gt;"",G212,IFERROR(J212*1,0)))</f>
        <v>0</v>
      </c>
      <c r="N212" s="21">
        <f>IF(B212="","",ROUND(IF(F212="",1,F212)*M212,2))</f>
        <v>0</v>
      </c>
      <c r="O212" s="39">
        <f>IF(B212="","",IF(C212="","",IF(COUNTIFS($C$5:$C$804,C212)&gt;1,"Duplicate","OK")))</f>
        <v>0</v>
      </c>
      <c r="P212" s="31">
        <f>IF(OR(B212="",E212=""),"",COUNTIFS($B$5:B212,B212))</f>
        <v>0</v>
      </c>
      <c r="Q212" s="23">
        <f>IF(P212="","",B212&amp;"|"&amp;P212)</f>
        <v>0</v>
      </c>
      <c r="R212" s="39">
        <f>IF(B212="","",IF(O212="Duplicate","Duplicate - job billed twice",IF(M212=0,"Add - no price on this line",IF(AND(C212="",E212=""),"Add - what is this line for?","OK"))))</f>
        <v>0</v>
      </c>
    </row>
    <row r="213" spans="1:18">
      <c r="A213" s="43">
        <f>IF(B213="","","IL-"&amp;TEXT(ROW()-4,"0000"))</f>
        <v>0</v>
      </c>
      <c r="D213" s="18">
        <f>IF(C213="","",IFERROR(INDEX(Jobs!$B$5:$B$604,MATCH(C213,Jobs!$A$5:$A$604,0)),""))</f>
        <v>0</v>
      </c>
      <c r="J213" s="21">
        <f>IF(C213="","",IFERROR(INDEX(Jobs!$AJ$5:$AJ$604,MATCH(C213,Jobs!$A$5:$A$604,0)),"0"))</f>
        <v>0</v>
      </c>
      <c r="K213" s="23">
        <f>IF(C213="","",IFERROR(INDEX(Jobs!$M$5:$M$604,MATCH(C213,Jobs!$A$5:$A$604,0)),""))</f>
        <v>0</v>
      </c>
      <c r="L213" s="51">
        <f>IF(B213="","",IF(E213&lt;&gt;"",E213,IF(C213="","",K213&amp;" - "&amp;TEXT(D213,"d mmm yyyy"))))</f>
        <v>0</v>
      </c>
      <c r="M213" s="21">
        <f>IF(B213="","",IF(G213&lt;&gt;"",G213,IFERROR(J213*1,0)))</f>
        <v>0</v>
      </c>
      <c r="N213" s="21">
        <f>IF(B213="","",ROUND(IF(F213="",1,F213)*M213,2))</f>
        <v>0</v>
      </c>
      <c r="O213" s="39">
        <f>IF(B213="","",IF(C213="","",IF(COUNTIFS($C$5:$C$804,C213)&gt;1,"Duplicate","OK")))</f>
        <v>0</v>
      </c>
      <c r="P213" s="31">
        <f>IF(OR(B213="",E213=""),"",COUNTIFS($B$5:B213,B213))</f>
        <v>0</v>
      </c>
      <c r="Q213" s="23">
        <f>IF(P213="","",B213&amp;"|"&amp;P213)</f>
        <v>0</v>
      </c>
      <c r="R213" s="39">
        <f>IF(B213="","",IF(O213="Duplicate","Duplicate - job billed twice",IF(M213=0,"Add - no price on this line",IF(AND(C213="",E213=""),"Add - what is this line for?","OK"))))</f>
        <v>0</v>
      </c>
    </row>
    <row r="214" spans="1:18">
      <c r="A214" s="43">
        <f>IF(B214="","","IL-"&amp;TEXT(ROW()-4,"0000"))</f>
        <v>0</v>
      </c>
      <c r="D214" s="18">
        <f>IF(C214="","",IFERROR(INDEX(Jobs!$B$5:$B$604,MATCH(C214,Jobs!$A$5:$A$604,0)),""))</f>
        <v>0</v>
      </c>
      <c r="J214" s="21">
        <f>IF(C214="","",IFERROR(INDEX(Jobs!$AJ$5:$AJ$604,MATCH(C214,Jobs!$A$5:$A$604,0)),"0"))</f>
        <v>0</v>
      </c>
      <c r="K214" s="23">
        <f>IF(C214="","",IFERROR(INDEX(Jobs!$M$5:$M$604,MATCH(C214,Jobs!$A$5:$A$604,0)),""))</f>
        <v>0</v>
      </c>
      <c r="L214" s="51">
        <f>IF(B214="","",IF(E214&lt;&gt;"",E214,IF(C214="","",K214&amp;" - "&amp;TEXT(D214,"d mmm yyyy"))))</f>
        <v>0</v>
      </c>
      <c r="M214" s="21">
        <f>IF(B214="","",IF(G214&lt;&gt;"",G214,IFERROR(J214*1,0)))</f>
        <v>0</v>
      </c>
      <c r="N214" s="21">
        <f>IF(B214="","",ROUND(IF(F214="",1,F214)*M214,2))</f>
        <v>0</v>
      </c>
      <c r="O214" s="39">
        <f>IF(B214="","",IF(C214="","",IF(COUNTIFS($C$5:$C$804,C214)&gt;1,"Duplicate","OK")))</f>
        <v>0</v>
      </c>
      <c r="P214" s="31">
        <f>IF(OR(B214="",E214=""),"",COUNTIFS($B$5:B214,B214))</f>
        <v>0</v>
      </c>
      <c r="Q214" s="23">
        <f>IF(P214="","",B214&amp;"|"&amp;P214)</f>
        <v>0</v>
      </c>
      <c r="R214" s="39">
        <f>IF(B214="","",IF(O214="Duplicate","Duplicate - job billed twice",IF(M214=0,"Add - no price on this line",IF(AND(C214="",E214=""),"Add - what is this line for?","OK"))))</f>
        <v>0</v>
      </c>
    </row>
    <row r="215" spans="1:18">
      <c r="A215" s="43">
        <f>IF(B215="","","IL-"&amp;TEXT(ROW()-4,"0000"))</f>
        <v>0</v>
      </c>
      <c r="D215" s="18">
        <f>IF(C215="","",IFERROR(INDEX(Jobs!$B$5:$B$604,MATCH(C215,Jobs!$A$5:$A$604,0)),""))</f>
        <v>0</v>
      </c>
      <c r="J215" s="21">
        <f>IF(C215="","",IFERROR(INDEX(Jobs!$AJ$5:$AJ$604,MATCH(C215,Jobs!$A$5:$A$604,0)),"0"))</f>
        <v>0</v>
      </c>
      <c r="K215" s="23">
        <f>IF(C215="","",IFERROR(INDEX(Jobs!$M$5:$M$604,MATCH(C215,Jobs!$A$5:$A$604,0)),""))</f>
        <v>0</v>
      </c>
      <c r="L215" s="51">
        <f>IF(B215="","",IF(E215&lt;&gt;"",E215,IF(C215="","",K215&amp;" - "&amp;TEXT(D215,"d mmm yyyy"))))</f>
        <v>0</v>
      </c>
      <c r="M215" s="21">
        <f>IF(B215="","",IF(G215&lt;&gt;"",G215,IFERROR(J215*1,0)))</f>
        <v>0</v>
      </c>
      <c r="N215" s="21">
        <f>IF(B215="","",ROUND(IF(F215="",1,F215)*M215,2))</f>
        <v>0</v>
      </c>
      <c r="O215" s="39">
        <f>IF(B215="","",IF(C215="","",IF(COUNTIFS($C$5:$C$804,C215)&gt;1,"Duplicate","OK")))</f>
        <v>0</v>
      </c>
      <c r="P215" s="31">
        <f>IF(OR(B215="",E215=""),"",COUNTIFS($B$5:B215,B215))</f>
        <v>0</v>
      </c>
      <c r="Q215" s="23">
        <f>IF(P215="","",B215&amp;"|"&amp;P215)</f>
        <v>0</v>
      </c>
      <c r="R215" s="39">
        <f>IF(B215="","",IF(O215="Duplicate","Duplicate - job billed twice",IF(M215=0,"Add - no price on this line",IF(AND(C215="",E215=""),"Add - what is this line for?","OK"))))</f>
        <v>0</v>
      </c>
    </row>
    <row r="216" spans="1:18">
      <c r="A216" s="43">
        <f>IF(B216="","","IL-"&amp;TEXT(ROW()-4,"0000"))</f>
        <v>0</v>
      </c>
      <c r="D216" s="18">
        <f>IF(C216="","",IFERROR(INDEX(Jobs!$B$5:$B$604,MATCH(C216,Jobs!$A$5:$A$604,0)),""))</f>
        <v>0</v>
      </c>
      <c r="J216" s="21">
        <f>IF(C216="","",IFERROR(INDEX(Jobs!$AJ$5:$AJ$604,MATCH(C216,Jobs!$A$5:$A$604,0)),"0"))</f>
        <v>0</v>
      </c>
      <c r="K216" s="23">
        <f>IF(C216="","",IFERROR(INDEX(Jobs!$M$5:$M$604,MATCH(C216,Jobs!$A$5:$A$604,0)),""))</f>
        <v>0</v>
      </c>
      <c r="L216" s="51">
        <f>IF(B216="","",IF(E216&lt;&gt;"",E216,IF(C216="","",K216&amp;" - "&amp;TEXT(D216,"d mmm yyyy"))))</f>
        <v>0</v>
      </c>
      <c r="M216" s="21">
        <f>IF(B216="","",IF(G216&lt;&gt;"",G216,IFERROR(J216*1,0)))</f>
        <v>0</v>
      </c>
      <c r="N216" s="21">
        <f>IF(B216="","",ROUND(IF(F216="",1,F216)*M216,2))</f>
        <v>0</v>
      </c>
      <c r="O216" s="39">
        <f>IF(B216="","",IF(C216="","",IF(COUNTIFS($C$5:$C$804,C216)&gt;1,"Duplicate","OK")))</f>
        <v>0</v>
      </c>
      <c r="P216" s="31">
        <f>IF(OR(B216="",E216=""),"",COUNTIFS($B$5:B216,B216))</f>
        <v>0</v>
      </c>
      <c r="Q216" s="23">
        <f>IF(P216="","",B216&amp;"|"&amp;P216)</f>
        <v>0</v>
      </c>
      <c r="R216" s="39">
        <f>IF(B216="","",IF(O216="Duplicate","Duplicate - job billed twice",IF(M216=0,"Add - no price on this line",IF(AND(C216="",E216=""),"Add - what is this line for?","OK"))))</f>
        <v>0</v>
      </c>
    </row>
    <row r="217" spans="1:18">
      <c r="A217" s="43">
        <f>IF(B217="","","IL-"&amp;TEXT(ROW()-4,"0000"))</f>
        <v>0</v>
      </c>
      <c r="D217" s="18">
        <f>IF(C217="","",IFERROR(INDEX(Jobs!$B$5:$B$604,MATCH(C217,Jobs!$A$5:$A$604,0)),""))</f>
        <v>0</v>
      </c>
      <c r="J217" s="21">
        <f>IF(C217="","",IFERROR(INDEX(Jobs!$AJ$5:$AJ$604,MATCH(C217,Jobs!$A$5:$A$604,0)),"0"))</f>
        <v>0</v>
      </c>
      <c r="K217" s="23">
        <f>IF(C217="","",IFERROR(INDEX(Jobs!$M$5:$M$604,MATCH(C217,Jobs!$A$5:$A$604,0)),""))</f>
        <v>0</v>
      </c>
      <c r="L217" s="51">
        <f>IF(B217="","",IF(E217&lt;&gt;"",E217,IF(C217="","",K217&amp;" - "&amp;TEXT(D217,"d mmm yyyy"))))</f>
        <v>0</v>
      </c>
      <c r="M217" s="21">
        <f>IF(B217="","",IF(G217&lt;&gt;"",G217,IFERROR(J217*1,0)))</f>
        <v>0</v>
      </c>
      <c r="N217" s="21">
        <f>IF(B217="","",ROUND(IF(F217="",1,F217)*M217,2))</f>
        <v>0</v>
      </c>
      <c r="O217" s="39">
        <f>IF(B217="","",IF(C217="","",IF(COUNTIFS($C$5:$C$804,C217)&gt;1,"Duplicate","OK")))</f>
        <v>0</v>
      </c>
      <c r="P217" s="31">
        <f>IF(OR(B217="",E217=""),"",COUNTIFS($B$5:B217,B217))</f>
        <v>0</v>
      </c>
      <c r="Q217" s="23">
        <f>IF(P217="","",B217&amp;"|"&amp;P217)</f>
        <v>0</v>
      </c>
      <c r="R217" s="39">
        <f>IF(B217="","",IF(O217="Duplicate","Duplicate - job billed twice",IF(M217=0,"Add - no price on this line",IF(AND(C217="",E217=""),"Add - what is this line for?","OK"))))</f>
        <v>0</v>
      </c>
    </row>
    <row r="218" spans="1:18">
      <c r="A218" s="43">
        <f>IF(B218="","","IL-"&amp;TEXT(ROW()-4,"0000"))</f>
        <v>0</v>
      </c>
      <c r="D218" s="18">
        <f>IF(C218="","",IFERROR(INDEX(Jobs!$B$5:$B$604,MATCH(C218,Jobs!$A$5:$A$604,0)),""))</f>
        <v>0</v>
      </c>
      <c r="J218" s="21">
        <f>IF(C218="","",IFERROR(INDEX(Jobs!$AJ$5:$AJ$604,MATCH(C218,Jobs!$A$5:$A$604,0)),"0"))</f>
        <v>0</v>
      </c>
      <c r="K218" s="23">
        <f>IF(C218="","",IFERROR(INDEX(Jobs!$M$5:$M$604,MATCH(C218,Jobs!$A$5:$A$604,0)),""))</f>
        <v>0</v>
      </c>
      <c r="L218" s="51">
        <f>IF(B218="","",IF(E218&lt;&gt;"",E218,IF(C218="","",K218&amp;" - "&amp;TEXT(D218,"d mmm yyyy"))))</f>
        <v>0</v>
      </c>
      <c r="M218" s="21">
        <f>IF(B218="","",IF(G218&lt;&gt;"",G218,IFERROR(J218*1,0)))</f>
        <v>0</v>
      </c>
      <c r="N218" s="21">
        <f>IF(B218="","",ROUND(IF(F218="",1,F218)*M218,2))</f>
        <v>0</v>
      </c>
      <c r="O218" s="39">
        <f>IF(B218="","",IF(C218="","",IF(COUNTIFS($C$5:$C$804,C218)&gt;1,"Duplicate","OK")))</f>
        <v>0</v>
      </c>
      <c r="P218" s="31">
        <f>IF(OR(B218="",E218=""),"",COUNTIFS($B$5:B218,B218))</f>
        <v>0</v>
      </c>
      <c r="Q218" s="23">
        <f>IF(P218="","",B218&amp;"|"&amp;P218)</f>
        <v>0</v>
      </c>
      <c r="R218" s="39">
        <f>IF(B218="","",IF(O218="Duplicate","Duplicate - job billed twice",IF(M218=0,"Add - no price on this line",IF(AND(C218="",E218=""),"Add - what is this line for?","OK"))))</f>
        <v>0</v>
      </c>
    </row>
    <row r="219" spans="1:18">
      <c r="A219" s="43">
        <f>IF(B219="","","IL-"&amp;TEXT(ROW()-4,"0000"))</f>
        <v>0</v>
      </c>
      <c r="D219" s="18">
        <f>IF(C219="","",IFERROR(INDEX(Jobs!$B$5:$B$604,MATCH(C219,Jobs!$A$5:$A$604,0)),""))</f>
        <v>0</v>
      </c>
      <c r="J219" s="21">
        <f>IF(C219="","",IFERROR(INDEX(Jobs!$AJ$5:$AJ$604,MATCH(C219,Jobs!$A$5:$A$604,0)),"0"))</f>
        <v>0</v>
      </c>
      <c r="K219" s="23">
        <f>IF(C219="","",IFERROR(INDEX(Jobs!$M$5:$M$604,MATCH(C219,Jobs!$A$5:$A$604,0)),""))</f>
        <v>0</v>
      </c>
      <c r="L219" s="51">
        <f>IF(B219="","",IF(E219&lt;&gt;"",E219,IF(C219="","",K219&amp;" - "&amp;TEXT(D219,"d mmm yyyy"))))</f>
        <v>0</v>
      </c>
      <c r="M219" s="21">
        <f>IF(B219="","",IF(G219&lt;&gt;"",G219,IFERROR(J219*1,0)))</f>
        <v>0</v>
      </c>
      <c r="N219" s="21">
        <f>IF(B219="","",ROUND(IF(F219="",1,F219)*M219,2))</f>
        <v>0</v>
      </c>
      <c r="O219" s="39">
        <f>IF(B219="","",IF(C219="","",IF(COUNTIFS($C$5:$C$804,C219)&gt;1,"Duplicate","OK")))</f>
        <v>0</v>
      </c>
      <c r="P219" s="31">
        <f>IF(OR(B219="",E219=""),"",COUNTIFS($B$5:B219,B219))</f>
        <v>0</v>
      </c>
      <c r="Q219" s="23">
        <f>IF(P219="","",B219&amp;"|"&amp;P219)</f>
        <v>0</v>
      </c>
      <c r="R219" s="39">
        <f>IF(B219="","",IF(O219="Duplicate","Duplicate - job billed twice",IF(M219=0,"Add - no price on this line",IF(AND(C219="",E219=""),"Add - what is this line for?","OK"))))</f>
        <v>0</v>
      </c>
    </row>
    <row r="220" spans="1:18">
      <c r="A220" s="43">
        <f>IF(B220="","","IL-"&amp;TEXT(ROW()-4,"0000"))</f>
        <v>0</v>
      </c>
      <c r="D220" s="18">
        <f>IF(C220="","",IFERROR(INDEX(Jobs!$B$5:$B$604,MATCH(C220,Jobs!$A$5:$A$604,0)),""))</f>
        <v>0</v>
      </c>
      <c r="J220" s="21">
        <f>IF(C220="","",IFERROR(INDEX(Jobs!$AJ$5:$AJ$604,MATCH(C220,Jobs!$A$5:$A$604,0)),"0"))</f>
        <v>0</v>
      </c>
      <c r="K220" s="23">
        <f>IF(C220="","",IFERROR(INDEX(Jobs!$M$5:$M$604,MATCH(C220,Jobs!$A$5:$A$604,0)),""))</f>
        <v>0</v>
      </c>
      <c r="L220" s="51">
        <f>IF(B220="","",IF(E220&lt;&gt;"",E220,IF(C220="","",K220&amp;" - "&amp;TEXT(D220,"d mmm yyyy"))))</f>
        <v>0</v>
      </c>
      <c r="M220" s="21">
        <f>IF(B220="","",IF(G220&lt;&gt;"",G220,IFERROR(J220*1,0)))</f>
        <v>0</v>
      </c>
      <c r="N220" s="21">
        <f>IF(B220="","",ROUND(IF(F220="",1,F220)*M220,2))</f>
        <v>0</v>
      </c>
      <c r="O220" s="39">
        <f>IF(B220="","",IF(C220="","",IF(COUNTIFS($C$5:$C$804,C220)&gt;1,"Duplicate","OK")))</f>
        <v>0</v>
      </c>
      <c r="P220" s="31">
        <f>IF(OR(B220="",E220=""),"",COUNTIFS($B$5:B220,B220))</f>
        <v>0</v>
      </c>
      <c r="Q220" s="23">
        <f>IF(P220="","",B220&amp;"|"&amp;P220)</f>
        <v>0</v>
      </c>
      <c r="R220" s="39">
        <f>IF(B220="","",IF(O220="Duplicate","Duplicate - job billed twice",IF(M220=0,"Add - no price on this line",IF(AND(C220="",E220=""),"Add - what is this line for?","OK"))))</f>
        <v>0</v>
      </c>
    </row>
    <row r="221" spans="1:18">
      <c r="A221" s="43">
        <f>IF(B221="","","IL-"&amp;TEXT(ROW()-4,"0000"))</f>
        <v>0</v>
      </c>
      <c r="D221" s="18">
        <f>IF(C221="","",IFERROR(INDEX(Jobs!$B$5:$B$604,MATCH(C221,Jobs!$A$5:$A$604,0)),""))</f>
        <v>0</v>
      </c>
      <c r="J221" s="21">
        <f>IF(C221="","",IFERROR(INDEX(Jobs!$AJ$5:$AJ$604,MATCH(C221,Jobs!$A$5:$A$604,0)),"0"))</f>
        <v>0</v>
      </c>
      <c r="K221" s="23">
        <f>IF(C221="","",IFERROR(INDEX(Jobs!$M$5:$M$604,MATCH(C221,Jobs!$A$5:$A$604,0)),""))</f>
        <v>0</v>
      </c>
      <c r="L221" s="51">
        <f>IF(B221="","",IF(E221&lt;&gt;"",E221,IF(C221="","",K221&amp;" - "&amp;TEXT(D221,"d mmm yyyy"))))</f>
        <v>0</v>
      </c>
      <c r="M221" s="21">
        <f>IF(B221="","",IF(G221&lt;&gt;"",G221,IFERROR(J221*1,0)))</f>
        <v>0</v>
      </c>
      <c r="N221" s="21">
        <f>IF(B221="","",ROUND(IF(F221="",1,F221)*M221,2))</f>
        <v>0</v>
      </c>
      <c r="O221" s="39">
        <f>IF(B221="","",IF(C221="","",IF(COUNTIFS($C$5:$C$804,C221)&gt;1,"Duplicate","OK")))</f>
        <v>0</v>
      </c>
      <c r="P221" s="31">
        <f>IF(OR(B221="",E221=""),"",COUNTIFS($B$5:B221,B221))</f>
        <v>0</v>
      </c>
      <c r="Q221" s="23">
        <f>IF(P221="","",B221&amp;"|"&amp;P221)</f>
        <v>0</v>
      </c>
      <c r="R221" s="39">
        <f>IF(B221="","",IF(O221="Duplicate","Duplicate - job billed twice",IF(M221=0,"Add - no price on this line",IF(AND(C221="",E221=""),"Add - what is this line for?","OK"))))</f>
        <v>0</v>
      </c>
    </row>
    <row r="222" spans="1:18">
      <c r="A222" s="43">
        <f>IF(B222="","","IL-"&amp;TEXT(ROW()-4,"0000"))</f>
        <v>0</v>
      </c>
      <c r="D222" s="18">
        <f>IF(C222="","",IFERROR(INDEX(Jobs!$B$5:$B$604,MATCH(C222,Jobs!$A$5:$A$604,0)),""))</f>
        <v>0</v>
      </c>
      <c r="J222" s="21">
        <f>IF(C222="","",IFERROR(INDEX(Jobs!$AJ$5:$AJ$604,MATCH(C222,Jobs!$A$5:$A$604,0)),"0"))</f>
        <v>0</v>
      </c>
      <c r="K222" s="23">
        <f>IF(C222="","",IFERROR(INDEX(Jobs!$M$5:$M$604,MATCH(C222,Jobs!$A$5:$A$604,0)),""))</f>
        <v>0</v>
      </c>
      <c r="L222" s="51">
        <f>IF(B222="","",IF(E222&lt;&gt;"",E222,IF(C222="","",K222&amp;" - "&amp;TEXT(D222,"d mmm yyyy"))))</f>
        <v>0</v>
      </c>
      <c r="M222" s="21">
        <f>IF(B222="","",IF(G222&lt;&gt;"",G222,IFERROR(J222*1,0)))</f>
        <v>0</v>
      </c>
      <c r="N222" s="21">
        <f>IF(B222="","",ROUND(IF(F222="",1,F222)*M222,2))</f>
        <v>0</v>
      </c>
      <c r="O222" s="39">
        <f>IF(B222="","",IF(C222="","",IF(COUNTIFS($C$5:$C$804,C222)&gt;1,"Duplicate","OK")))</f>
        <v>0</v>
      </c>
      <c r="P222" s="31">
        <f>IF(OR(B222="",E222=""),"",COUNTIFS($B$5:B222,B222))</f>
        <v>0</v>
      </c>
      <c r="Q222" s="23">
        <f>IF(P222="","",B222&amp;"|"&amp;P222)</f>
        <v>0</v>
      </c>
      <c r="R222" s="39">
        <f>IF(B222="","",IF(O222="Duplicate","Duplicate - job billed twice",IF(M222=0,"Add - no price on this line",IF(AND(C222="",E222=""),"Add - what is this line for?","OK"))))</f>
        <v>0</v>
      </c>
    </row>
    <row r="223" spans="1:18">
      <c r="A223" s="43">
        <f>IF(B223="","","IL-"&amp;TEXT(ROW()-4,"0000"))</f>
        <v>0</v>
      </c>
      <c r="D223" s="18">
        <f>IF(C223="","",IFERROR(INDEX(Jobs!$B$5:$B$604,MATCH(C223,Jobs!$A$5:$A$604,0)),""))</f>
        <v>0</v>
      </c>
      <c r="J223" s="21">
        <f>IF(C223="","",IFERROR(INDEX(Jobs!$AJ$5:$AJ$604,MATCH(C223,Jobs!$A$5:$A$604,0)),"0"))</f>
        <v>0</v>
      </c>
      <c r="K223" s="23">
        <f>IF(C223="","",IFERROR(INDEX(Jobs!$M$5:$M$604,MATCH(C223,Jobs!$A$5:$A$604,0)),""))</f>
        <v>0</v>
      </c>
      <c r="L223" s="51">
        <f>IF(B223="","",IF(E223&lt;&gt;"",E223,IF(C223="","",K223&amp;" - "&amp;TEXT(D223,"d mmm yyyy"))))</f>
        <v>0</v>
      </c>
      <c r="M223" s="21">
        <f>IF(B223="","",IF(G223&lt;&gt;"",G223,IFERROR(J223*1,0)))</f>
        <v>0</v>
      </c>
      <c r="N223" s="21">
        <f>IF(B223="","",ROUND(IF(F223="",1,F223)*M223,2))</f>
        <v>0</v>
      </c>
      <c r="O223" s="39">
        <f>IF(B223="","",IF(C223="","",IF(COUNTIFS($C$5:$C$804,C223)&gt;1,"Duplicate","OK")))</f>
        <v>0</v>
      </c>
      <c r="P223" s="31">
        <f>IF(OR(B223="",E223=""),"",COUNTIFS($B$5:B223,B223))</f>
        <v>0</v>
      </c>
      <c r="Q223" s="23">
        <f>IF(P223="","",B223&amp;"|"&amp;P223)</f>
        <v>0</v>
      </c>
      <c r="R223" s="39">
        <f>IF(B223="","",IF(O223="Duplicate","Duplicate - job billed twice",IF(M223=0,"Add - no price on this line",IF(AND(C223="",E223=""),"Add - what is this line for?","OK"))))</f>
        <v>0</v>
      </c>
    </row>
    <row r="224" spans="1:18">
      <c r="A224" s="43">
        <f>IF(B224="","","IL-"&amp;TEXT(ROW()-4,"0000"))</f>
        <v>0</v>
      </c>
      <c r="D224" s="18">
        <f>IF(C224="","",IFERROR(INDEX(Jobs!$B$5:$B$604,MATCH(C224,Jobs!$A$5:$A$604,0)),""))</f>
        <v>0</v>
      </c>
      <c r="J224" s="21">
        <f>IF(C224="","",IFERROR(INDEX(Jobs!$AJ$5:$AJ$604,MATCH(C224,Jobs!$A$5:$A$604,0)),"0"))</f>
        <v>0</v>
      </c>
      <c r="K224" s="23">
        <f>IF(C224="","",IFERROR(INDEX(Jobs!$M$5:$M$604,MATCH(C224,Jobs!$A$5:$A$604,0)),""))</f>
        <v>0</v>
      </c>
      <c r="L224" s="51">
        <f>IF(B224="","",IF(E224&lt;&gt;"",E224,IF(C224="","",K224&amp;" - "&amp;TEXT(D224,"d mmm yyyy"))))</f>
        <v>0</v>
      </c>
      <c r="M224" s="21">
        <f>IF(B224="","",IF(G224&lt;&gt;"",G224,IFERROR(J224*1,0)))</f>
        <v>0</v>
      </c>
      <c r="N224" s="21">
        <f>IF(B224="","",ROUND(IF(F224="",1,F224)*M224,2))</f>
        <v>0</v>
      </c>
      <c r="O224" s="39">
        <f>IF(B224="","",IF(C224="","",IF(COUNTIFS($C$5:$C$804,C224)&gt;1,"Duplicate","OK")))</f>
        <v>0</v>
      </c>
      <c r="P224" s="31">
        <f>IF(OR(B224="",E224=""),"",COUNTIFS($B$5:B224,B224))</f>
        <v>0</v>
      </c>
      <c r="Q224" s="23">
        <f>IF(P224="","",B224&amp;"|"&amp;P224)</f>
        <v>0</v>
      </c>
      <c r="R224" s="39">
        <f>IF(B224="","",IF(O224="Duplicate","Duplicate - job billed twice",IF(M224=0,"Add - no price on this line",IF(AND(C224="",E224=""),"Add - what is this line for?","OK"))))</f>
        <v>0</v>
      </c>
    </row>
    <row r="225" spans="1:18">
      <c r="A225" s="43">
        <f>IF(B225="","","IL-"&amp;TEXT(ROW()-4,"0000"))</f>
        <v>0</v>
      </c>
      <c r="D225" s="18">
        <f>IF(C225="","",IFERROR(INDEX(Jobs!$B$5:$B$604,MATCH(C225,Jobs!$A$5:$A$604,0)),""))</f>
        <v>0</v>
      </c>
      <c r="J225" s="21">
        <f>IF(C225="","",IFERROR(INDEX(Jobs!$AJ$5:$AJ$604,MATCH(C225,Jobs!$A$5:$A$604,0)),"0"))</f>
        <v>0</v>
      </c>
      <c r="K225" s="23">
        <f>IF(C225="","",IFERROR(INDEX(Jobs!$M$5:$M$604,MATCH(C225,Jobs!$A$5:$A$604,0)),""))</f>
        <v>0</v>
      </c>
      <c r="L225" s="51">
        <f>IF(B225="","",IF(E225&lt;&gt;"",E225,IF(C225="","",K225&amp;" - "&amp;TEXT(D225,"d mmm yyyy"))))</f>
        <v>0</v>
      </c>
      <c r="M225" s="21">
        <f>IF(B225="","",IF(G225&lt;&gt;"",G225,IFERROR(J225*1,0)))</f>
        <v>0</v>
      </c>
      <c r="N225" s="21">
        <f>IF(B225="","",ROUND(IF(F225="",1,F225)*M225,2))</f>
        <v>0</v>
      </c>
      <c r="O225" s="39">
        <f>IF(B225="","",IF(C225="","",IF(COUNTIFS($C$5:$C$804,C225)&gt;1,"Duplicate","OK")))</f>
        <v>0</v>
      </c>
      <c r="P225" s="31">
        <f>IF(OR(B225="",E225=""),"",COUNTIFS($B$5:B225,B225))</f>
        <v>0</v>
      </c>
      <c r="Q225" s="23">
        <f>IF(P225="","",B225&amp;"|"&amp;P225)</f>
        <v>0</v>
      </c>
      <c r="R225" s="39">
        <f>IF(B225="","",IF(O225="Duplicate","Duplicate - job billed twice",IF(M225=0,"Add - no price on this line",IF(AND(C225="",E225=""),"Add - what is this line for?","OK"))))</f>
        <v>0</v>
      </c>
    </row>
    <row r="226" spans="1:18">
      <c r="A226" s="43">
        <f>IF(B226="","","IL-"&amp;TEXT(ROW()-4,"0000"))</f>
        <v>0</v>
      </c>
      <c r="D226" s="18">
        <f>IF(C226="","",IFERROR(INDEX(Jobs!$B$5:$B$604,MATCH(C226,Jobs!$A$5:$A$604,0)),""))</f>
        <v>0</v>
      </c>
      <c r="J226" s="21">
        <f>IF(C226="","",IFERROR(INDEX(Jobs!$AJ$5:$AJ$604,MATCH(C226,Jobs!$A$5:$A$604,0)),"0"))</f>
        <v>0</v>
      </c>
      <c r="K226" s="23">
        <f>IF(C226="","",IFERROR(INDEX(Jobs!$M$5:$M$604,MATCH(C226,Jobs!$A$5:$A$604,0)),""))</f>
        <v>0</v>
      </c>
      <c r="L226" s="51">
        <f>IF(B226="","",IF(E226&lt;&gt;"",E226,IF(C226="","",K226&amp;" - "&amp;TEXT(D226,"d mmm yyyy"))))</f>
        <v>0</v>
      </c>
      <c r="M226" s="21">
        <f>IF(B226="","",IF(G226&lt;&gt;"",G226,IFERROR(J226*1,0)))</f>
        <v>0</v>
      </c>
      <c r="N226" s="21">
        <f>IF(B226="","",ROUND(IF(F226="",1,F226)*M226,2))</f>
        <v>0</v>
      </c>
      <c r="O226" s="39">
        <f>IF(B226="","",IF(C226="","",IF(COUNTIFS($C$5:$C$804,C226)&gt;1,"Duplicate","OK")))</f>
        <v>0</v>
      </c>
      <c r="P226" s="31">
        <f>IF(OR(B226="",E226=""),"",COUNTIFS($B$5:B226,B226))</f>
        <v>0</v>
      </c>
      <c r="Q226" s="23">
        <f>IF(P226="","",B226&amp;"|"&amp;P226)</f>
        <v>0</v>
      </c>
      <c r="R226" s="39">
        <f>IF(B226="","",IF(O226="Duplicate","Duplicate - job billed twice",IF(M226=0,"Add - no price on this line",IF(AND(C226="",E226=""),"Add - what is this line for?","OK"))))</f>
        <v>0</v>
      </c>
    </row>
    <row r="227" spans="1:18">
      <c r="A227" s="43">
        <f>IF(B227="","","IL-"&amp;TEXT(ROW()-4,"0000"))</f>
        <v>0</v>
      </c>
      <c r="D227" s="18">
        <f>IF(C227="","",IFERROR(INDEX(Jobs!$B$5:$B$604,MATCH(C227,Jobs!$A$5:$A$604,0)),""))</f>
        <v>0</v>
      </c>
      <c r="J227" s="21">
        <f>IF(C227="","",IFERROR(INDEX(Jobs!$AJ$5:$AJ$604,MATCH(C227,Jobs!$A$5:$A$604,0)),"0"))</f>
        <v>0</v>
      </c>
      <c r="K227" s="23">
        <f>IF(C227="","",IFERROR(INDEX(Jobs!$M$5:$M$604,MATCH(C227,Jobs!$A$5:$A$604,0)),""))</f>
        <v>0</v>
      </c>
      <c r="L227" s="51">
        <f>IF(B227="","",IF(E227&lt;&gt;"",E227,IF(C227="","",K227&amp;" - "&amp;TEXT(D227,"d mmm yyyy"))))</f>
        <v>0</v>
      </c>
      <c r="M227" s="21">
        <f>IF(B227="","",IF(G227&lt;&gt;"",G227,IFERROR(J227*1,0)))</f>
        <v>0</v>
      </c>
      <c r="N227" s="21">
        <f>IF(B227="","",ROUND(IF(F227="",1,F227)*M227,2))</f>
        <v>0</v>
      </c>
      <c r="O227" s="39">
        <f>IF(B227="","",IF(C227="","",IF(COUNTIFS($C$5:$C$804,C227)&gt;1,"Duplicate","OK")))</f>
        <v>0</v>
      </c>
      <c r="P227" s="31">
        <f>IF(OR(B227="",E227=""),"",COUNTIFS($B$5:B227,B227))</f>
        <v>0</v>
      </c>
      <c r="Q227" s="23">
        <f>IF(P227="","",B227&amp;"|"&amp;P227)</f>
        <v>0</v>
      </c>
      <c r="R227" s="39">
        <f>IF(B227="","",IF(O227="Duplicate","Duplicate - job billed twice",IF(M227=0,"Add - no price on this line",IF(AND(C227="",E227=""),"Add - what is this line for?","OK"))))</f>
        <v>0</v>
      </c>
    </row>
    <row r="228" spans="1:18">
      <c r="A228" s="43">
        <f>IF(B228="","","IL-"&amp;TEXT(ROW()-4,"0000"))</f>
        <v>0</v>
      </c>
      <c r="D228" s="18">
        <f>IF(C228="","",IFERROR(INDEX(Jobs!$B$5:$B$604,MATCH(C228,Jobs!$A$5:$A$604,0)),""))</f>
        <v>0</v>
      </c>
      <c r="J228" s="21">
        <f>IF(C228="","",IFERROR(INDEX(Jobs!$AJ$5:$AJ$604,MATCH(C228,Jobs!$A$5:$A$604,0)),"0"))</f>
        <v>0</v>
      </c>
      <c r="K228" s="23">
        <f>IF(C228="","",IFERROR(INDEX(Jobs!$M$5:$M$604,MATCH(C228,Jobs!$A$5:$A$604,0)),""))</f>
        <v>0</v>
      </c>
      <c r="L228" s="51">
        <f>IF(B228="","",IF(E228&lt;&gt;"",E228,IF(C228="","",K228&amp;" - "&amp;TEXT(D228,"d mmm yyyy"))))</f>
        <v>0</v>
      </c>
      <c r="M228" s="21">
        <f>IF(B228="","",IF(G228&lt;&gt;"",G228,IFERROR(J228*1,0)))</f>
        <v>0</v>
      </c>
      <c r="N228" s="21">
        <f>IF(B228="","",ROUND(IF(F228="",1,F228)*M228,2))</f>
        <v>0</v>
      </c>
      <c r="O228" s="39">
        <f>IF(B228="","",IF(C228="","",IF(COUNTIFS($C$5:$C$804,C228)&gt;1,"Duplicate","OK")))</f>
        <v>0</v>
      </c>
      <c r="P228" s="31">
        <f>IF(OR(B228="",E228=""),"",COUNTIFS($B$5:B228,B228))</f>
        <v>0</v>
      </c>
      <c r="Q228" s="23">
        <f>IF(P228="","",B228&amp;"|"&amp;P228)</f>
        <v>0</v>
      </c>
      <c r="R228" s="39">
        <f>IF(B228="","",IF(O228="Duplicate","Duplicate - job billed twice",IF(M228=0,"Add - no price on this line",IF(AND(C228="",E228=""),"Add - what is this line for?","OK"))))</f>
        <v>0</v>
      </c>
    </row>
    <row r="229" spans="1:18">
      <c r="A229" s="43">
        <f>IF(B229="","","IL-"&amp;TEXT(ROW()-4,"0000"))</f>
        <v>0</v>
      </c>
      <c r="D229" s="18">
        <f>IF(C229="","",IFERROR(INDEX(Jobs!$B$5:$B$604,MATCH(C229,Jobs!$A$5:$A$604,0)),""))</f>
        <v>0</v>
      </c>
      <c r="J229" s="21">
        <f>IF(C229="","",IFERROR(INDEX(Jobs!$AJ$5:$AJ$604,MATCH(C229,Jobs!$A$5:$A$604,0)),"0"))</f>
        <v>0</v>
      </c>
      <c r="K229" s="23">
        <f>IF(C229="","",IFERROR(INDEX(Jobs!$M$5:$M$604,MATCH(C229,Jobs!$A$5:$A$604,0)),""))</f>
        <v>0</v>
      </c>
      <c r="L229" s="51">
        <f>IF(B229="","",IF(E229&lt;&gt;"",E229,IF(C229="","",K229&amp;" - "&amp;TEXT(D229,"d mmm yyyy"))))</f>
        <v>0</v>
      </c>
      <c r="M229" s="21">
        <f>IF(B229="","",IF(G229&lt;&gt;"",G229,IFERROR(J229*1,0)))</f>
        <v>0</v>
      </c>
      <c r="N229" s="21">
        <f>IF(B229="","",ROUND(IF(F229="",1,F229)*M229,2))</f>
        <v>0</v>
      </c>
      <c r="O229" s="39">
        <f>IF(B229="","",IF(C229="","",IF(COUNTIFS($C$5:$C$804,C229)&gt;1,"Duplicate","OK")))</f>
        <v>0</v>
      </c>
      <c r="P229" s="31">
        <f>IF(OR(B229="",E229=""),"",COUNTIFS($B$5:B229,B229))</f>
        <v>0</v>
      </c>
      <c r="Q229" s="23">
        <f>IF(P229="","",B229&amp;"|"&amp;P229)</f>
        <v>0</v>
      </c>
      <c r="R229" s="39">
        <f>IF(B229="","",IF(O229="Duplicate","Duplicate - job billed twice",IF(M229=0,"Add - no price on this line",IF(AND(C229="",E229=""),"Add - what is this line for?","OK"))))</f>
        <v>0</v>
      </c>
    </row>
    <row r="230" spans="1:18">
      <c r="A230" s="43">
        <f>IF(B230="","","IL-"&amp;TEXT(ROW()-4,"0000"))</f>
        <v>0</v>
      </c>
      <c r="D230" s="18">
        <f>IF(C230="","",IFERROR(INDEX(Jobs!$B$5:$B$604,MATCH(C230,Jobs!$A$5:$A$604,0)),""))</f>
        <v>0</v>
      </c>
      <c r="J230" s="21">
        <f>IF(C230="","",IFERROR(INDEX(Jobs!$AJ$5:$AJ$604,MATCH(C230,Jobs!$A$5:$A$604,0)),"0"))</f>
        <v>0</v>
      </c>
      <c r="K230" s="23">
        <f>IF(C230="","",IFERROR(INDEX(Jobs!$M$5:$M$604,MATCH(C230,Jobs!$A$5:$A$604,0)),""))</f>
        <v>0</v>
      </c>
      <c r="L230" s="51">
        <f>IF(B230="","",IF(E230&lt;&gt;"",E230,IF(C230="","",K230&amp;" - "&amp;TEXT(D230,"d mmm yyyy"))))</f>
        <v>0</v>
      </c>
      <c r="M230" s="21">
        <f>IF(B230="","",IF(G230&lt;&gt;"",G230,IFERROR(J230*1,0)))</f>
        <v>0</v>
      </c>
      <c r="N230" s="21">
        <f>IF(B230="","",ROUND(IF(F230="",1,F230)*M230,2))</f>
        <v>0</v>
      </c>
      <c r="O230" s="39">
        <f>IF(B230="","",IF(C230="","",IF(COUNTIFS($C$5:$C$804,C230)&gt;1,"Duplicate","OK")))</f>
        <v>0</v>
      </c>
      <c r="P230" s="31">
        <f>IF(OR(B230="",E230=""),"",COUNTIFS($B$5:B230,B230))</f>
        <v>0</v>
      </c>
      <c r="Q230" s="23">
        <f>IF(P230="","",B230&amp;"|"&amp;P230)</f>
        <v>0</v>
      </c>
      <c r="R230" s="39">
        <f>IF(B230="","",IF(O230="Duplicate","Duplicate - job billed twice",IF(M230=0,"Add - no price on this line",IF(AND(C230="",E230=""),"Add - what is this line for?","OK"))))</f>
        <v>0</v>
      </c>
    </row>
    <row r="231" spans="1:18">
      <c r="A231" s="43">
        <f>IF(B231="","","IL-"&amp;TEXT(ROW()-4,"0000"))</f>
        <v>0</v>
      </c>
      <c r="D231" s="18">
        <f>IF(C231="","",IFERROR(INDEX(Jobs!$B$5:$B$604,MATCH(C231,Jobs!$A$5:$A$604,0)),""))</f>
        <v>0</v>
      </c>
      <c r="J231" s="21">
        <f>IF(C231="","",IFERROR(INDEX(Jobs!$AJ$5:$AJ$604,MATCH(C231,Jobs!$A$5:$A$604,0)),"0"))</f>
        <v>0</v>
      </c>
      <c r="K231" s="23">
        <f>IF(C231="","",IFERROR(INDEX(Jobs!$M$5:$M$604,MATCH(C231,Jobs!$A$5:$A$604,0)),""))</f>
        <v>0</v>
      </c>
      <c r="L231" s="51">
        <f>IF(B231="","",IF(E231&lt;&gt;"",E231,IF(C231="","",K231&amp;" - "&amp;TEXT(D231,"d mmm yyyy"))))</f>
        <v>0</v>
      </c>
      <c r="M231" s="21">
        <f>IF(B231="","",IF(G231&lt;&gt;"",G231,IFERROR(J231*1,0)))</f>
        <v>0</v>
      </c>
      <c r="N231" s="21">
        <f>IF(B231="","",ROUND(IF(F231="",1,F231)*M231,2))</f>
        <v>0</v>
      </c>
      <c r="O231" s="39">
        <f>IF(B231="","",IF(C231="","",IF(COUNTIFS($C$5:$C$804,C231)&gt;1,"Duplicate","OK")))</f>
        <v>0</v>
      </c>
      <c r="P231" s="31">
        <f>IF(OR(B231="",E231=""),"",COUNTIFS($B$5:B231,B231))</f>
        <v>0</v>
      </c>
      <c r="Q231" s="23">
        <f>IF(P231="","",B231&amp;"|"&amp;P231)</f>
        <v>0</v>
      </c>
      <c r="R231" s="39">
        <f>IF(B231="","",IF(O231="Duplicate","Duplicate - job billed twice",IF(M231=0,"Add - no price on this line",IF(AND(C231="",E231=""),"Add - what is this line for?","OK"))))</f>
        <v>0</v>
      </c>
    </row>
    <row r="232" spans="1:18">
      <c r="A232" s="43">
        <f>IF(B232="","","IL-"&amp;TEXT(ROW()-4,"0000"))</f>
        <v>0</v>
      </c>
      <c r="D232" s="18">
        <f>IF(C232="","",IFERROR(INDEX(Jobs!$B$5:$B$604,MATCH(C232,Jobs!$A$5:$A$604,0)),""))</f>
        <v>0</v>
      </c>
      <c r="J232" s="21">
        <f>IF(C232="","",IFERROR(INDEX(Jobs!$AJ$5:$AJ$604,MATCH(C232,Jobs!$A$5:$A$604,0)),"0"))</f>
        <v>0</v>
      </c>
      <c r="K232" s="23">
        <f>IF(C232="","",IFERROR(INDEX(Jobs!$M$5:$M$604,MATCH(C232,Jobs!$A$5:$A$604,0)),""))</f>
        <v>0</v>
      </c>
      <c r="L232" s="51">
        <f>IF(B232="","",IF(E232&lt;&gt;"",E232,IF(C232="","",K232&amp;" - "&amp;TEXT(D232,"d mmm yyyy"))))</f>
        <v>0</v>
      </c>
      <c r="M232" s="21">
        <f>IF(B232="","",IF(G232&lt;&gt;"",G232,IFERROR(J232*1,0)))</f>
        <v>0</v>
      </c>
      <c r="N232" s="21">
        <f>IF(B232="","",ROUND(IF(F232="",1,F232)*M232,2))</f>
        <v>0</v>
      </c>
      <c r="O232" s="39">
        <f>IF(B232="","",IF(C232="","",IF(COUNTIFS($C$5:$C$804,C232)&gt;1,"Duplicate","OK")))</f>
        <v>0</v>
      </c>
      <c r="P232" s="31">
        <f>IF(OR(B232="",E232=""),"",COUNTIFS($B$5:B232,B232))</f>
        <v>0</v>
      </c>
      <c r="Q232" s="23">
        <f>IF(P232="","",B232&amp;"|"&amp;P232)</f>
        <v>0</v>
      </c>
      <c r="R232" s="39">
        <f>IF(B232="","",IF(O232="Duplicate","Duplicate - job billed twice",IF(M232=0,"Add - no price on this line",IF(AND(C232="",E232=""),"Add - what is this line for?","OK"))))</f>
        <v>0</v>
      </c>
    </row>
    <row r="233" spans="1:18">
      <c r="A233" s="43">
        <f>IF(B233="","","IL-"&amp;TEXT(ROW()-4,"0000"))</f>
        <v>0</v>
      </c>
      <c r="D233" s="18">
        <f>IF(C233="","",IFERROR(INDEX(Jobs!$B$5:$B$604,MATCH(C233,Jobs!$A$5:$A$604,0)),""))</f>
        <v>0</v>
      </c>
      <c r="J233" s="21">
        <f>IF(C233="","",IFERROR(INDEX(Jobs!$AJ$5:$AJ$604,MATCH(C233,Jobs!$A$5:$A$604,0)),"0"))</f>
        <v>0</v>
      </c>
      <c r="K233" s="23">
        <f>IF(C233="","",IFERROR(INDEX(Jobs!$M$5:$M$604,MATCH(C233,Jobs!$A$5:$A$604,0)),""))</f>
        <v>0</v>
      </c>
      <c r="L233" s="51">
        <f>IF(B233="","",IF(E233&lt;&gt;"",E233,IF(C233="","",K233&amp;" - "&amp;TEXT(D233,"d mmm yyyy"))))</f>
        <v>0</v>
      </c>
      <c r="M233" s="21">
        <f>IF(B233="","",IF(G233&lt;&gt;"",G233,IFERROR(J233*1,0)))</f>
        <v>0</v>
      </c>
      <c r="N233" s="21">
        <f>IF(B233="","",ROUND(IF(F233="",1,F233)*M233,2))</f>
        <v>0</v>
      </c>
      <c r="O233" s="39">
        <f>IF(B233="","",IF(C233="","",IF(COUNTIFS($C$5:$C$804,C233)&gt;1,"Duplicate","OK")))</f>
        <v>0</v>
      </c>
      <c r="P233" s="31">
        <f>IF(OR(B233="",E233=""),"",COUNTIFS($B$5:B233,B233))</f>
        <v>0</v>
      </c>
      <c r="Q233" s="23">
        <f>IF(P233="","",B233&amp;"|"&amp;P233)</f>
        <v>0</v>
      </c>
      <c r="R233" s="39">
        <f>IF(B233="","",IF(O233="Duplicate","Duplicate - job billed twice",IF(M233=0,"Add - no price on this line",IF(AND(C233="",E233=""),"Add - what is this line for?","OK"))))</f>
        <v>0</v>
      </c>
    </row>
    <row r="234" spans="1:18">
      <c r="A234" s="43">
        <f>IF(B234="","","IL-"&amp;TEXT(ROW()-4,"0000"))</f>
        <v>0</v>
      </c>
      <c r="D234" s="18">
        <f>IF(C234="","",IFERROR(INDEX(Jobs!$B$5:$B$604,MATCH(C234,Jobs!$A$5:$A$604,0)),""))</f>
        <v>0</v>
      </c>
      <c r="J234" s="21">
        <f>IF(C234="","",IFERROR(INDEX(Jobs!$AJ$5:$AJ$604,MATCH(C234,Jobs!$A$5:$A$604,0)),"0"))</f>
        <v>0</v>
      </c>
      <c r="K234" s="23">
        <f>IF(C234="","",IFERROR(INDEX(Jobs!$M$5:$M$604,MATCH(C234,Jobs!$A$5:$A$604,0)),""))</f>
        <v>0</v>
      </c>
      <c r="L234" s="51">
        <f>IF(B234="","",IF(E234&lt;&gt;"",E234,IF(C234="","",K234&amp;" - "&amp;TEXT(D234,"d mmm yyyy"))))</f>
        <v>0</v>
      </c>
      <c r="M234" s="21">
        <f>IF(B234="","",IF(G234&lt;&gt;"",G234,IFERROR(J234*1,0)))</f>
        <v>0</v>
      </c>
      <c r="N234" s="21">
        <f>IF(B234="","",ROUND(IF(F234="",1,F234)*M234,2))</f>
        <v>0</v>
      </c>
      <c r="O234" s="39">
        <f>IF(B234="","",IF(C234="","",IF(COUNTIFS($C$5:$C$804,C234)&gt;1,"Duplicate","OK")))</f>
        <v>0</v>
      </c>
      <c r="P234" s="31">
        <f>IF(OR(B234="",E234=""),"",COUNTIFS($B$5:B234,B234))</f>
        <v>0</v>
      </c>
      <c r="Q234" s="23">
        <f>IF(P234="","",B234&amp;"|"&amp;P234)</f>
        <v>0</v>
      </c>
      <c r="R234" s="39">
        <f>IF(B234="","",IF(O234="Duplicate","Duplicate - job billed twice",IF(M234=0,"Add - no price on this line",IF(AND(C234="",E234=""),"Add - what is this line for?","OK"))))</f>
        <v>0</v>
      </c>
    </row>
    <row r="235" spans="1:18">
      <c r="A235" s="43">
        <f>IF(B235="","","IL-"&amp;TEXT(ROW()-4,"0000"))</f>
        <v>0</v>
      </c>
      <c r="D235" s="18">
        <f>IF(C235="","",IFERROR(INDEX(Jobs!$B$5:$B$604,MATCH(C235,Jobs!$A$5:$A$604,0)),""))</f>
        <v>0</v>
      </c>
      <c r="J235" s="21">
        <f>IF(C235="","",IFERROR(INDEX(Jobs!$AJ$5:$AJ$604,MATCH(C235,Jobs!$A$5:$A$604,0)),"0"))</f>
        <v>0</v>
      </c>
      <c r="K235" s="23">
        <f>IF(C235="","",IFERROR(INDEX(Jobs!$M$5:$M$604,MATCH(C235,Jobs!$A$5:$A$604,0)),""))</f>
        <v>0</v>
      </c>
      <c r="L235" s="51">
        <f>IF(B235="","",IF(E235&lt;&gt;"",E235,IF(C235="","",K235&amp;" - "&amp;TEXT(D235,"d mmm yyyy"))))</f>
        <v>0</v>
      </c>
      <c r="M235" s="21">
        <f>IF(B235="","",IF(G235&lt;&gt;"",G235,IFERROR(J235*1,0)))</f>
        <v>0</v>
      </c>
      <c r="N235" s="21">
        <f>IF(B235="","",ROUND(IF(F235="",1,F235)*M235,2))</f>
        <v>0</v>
      </c>
      <c r="O235" s="39">
        <f>IF(B235="","",IF(C235="","",IF(COUNTIFS($C$5:$C$804,C235)&gt;1,"Duplicate","OK")))</f>
        <v>0</v>
      </c>
      <c r="P235" s="31">
        <f>IF(OR(B235="",E235=""),"",COUNTIFS($B$5:B235,B235))</f>
        <v>0</v>
      </c>
      <c r="Q235" s="23">
        <f>IF(P235="","",B235&amp;"|"&amp;P235)</f>
        <v>0</v>
      </c>
      <c r="R235" s="39">
        <f>IF(B235="","",IF(O235="Duplicate","Duplicate - job billed twice",IF(M235=0,"Add - no price on this line",IF(AND(C235="",E235=""),"Add - what is this line for?","OK"))))</f>
        <v>0</v>
      </c>
    </row>
    <row r="236" spans="1:18">
      <c r="A236" s="43">
        <f>IF(B236="","","IL-"&amp;TEXT(ROW()-4,"0000"))</f>
        <v>0</v>
      </c>
      <c r="D236" s="18">
        <f>IF(C236="","",IFERROR(INDEX(Jobs!$B$5:$B$604,MATCH(C236,Jobs!$A$5:$A$604,0)),""))</f>
        <v>0</v>
      </c>
      <c r="J236" s="21">
        <f>IF(C236="","",IFERROR(INDEX(Jobs!$AJ$5:$AJ$604,MATCH(C236,Jobs!$A$5:$A$604,0)),"0"))</f>
        <v>0</v>
      </c>
      <c r="K236" s="23">
        <f>IF(C236="","",IFERROR(INDEX(Jobs!$M$5:$M$604,MATCH(C236,Jobs!$A$5:$A$604,0)),""))</f>
        <v>0</v>
      </c>
      <c r="L236" s="51">
        <f>IF(B236="","",IF(E236&lt;&gt;"",E236,IF(C236="","",K236&amp;" - "&amp;TEXT(D236,"d mmm yyyy"))))</f>
        <v>0</v>
      </c>
      <c r="M236" s="21">
        <f>IF(B236="","",IF(G236&lt;&gt;"",G236,IFERROR(J236*1,0)))</f>
        <v>0</v>
      </c>
      <c r="N236" s="21">
        <f>IF(B236="","",ROUND(IF(F236="",1,F236)*M236,2))</f>
        <v>0</v>
      </c>
      <c r="O236" s="39">
        <f>IF(B236="","",IF(C236="","",IF(COUNTIFS($C$5:$C$804,C236)&gt;1,"Duplicate","OK")))</f>
        <v>0</v>
      </c>
      <c r="P236" s="31">
        <f>IF(OR(B236="",E236=""),"",COUNTIFS($B$5:B236,B236))</f>
        <v>0</v>
      </c>
      <c r="Q236" s="23">
        <f>IF(P236="","",B236&amp;"|"&amp;P236)</f>
        <v>0</v>
      </c>
      <c r="R236" s="39">
        <f>IF(B236="","",IF(O236="Duplicate","Duplicate - job billed twice",IF(M236=0,"Add - no price on this line",IF(AND(C236="",E236=""),"Add - what is this line for?","OK"))))</f>
        <v>0</v>
      </c>
    </row>
    <row r="237" spans="1:18">
      <c r="A237" s="43">
        <f>IF(B237="","","IL-"&amp;TEXT(ROW()-4,"0000"))</f>
        <v>0</v>
      </c>
      <c r="D237" s="18">
        <f>IF(C237="","",IFERROR(INDEX(Jobs!$B$5:$B$604,MATCH(C237,Jobs!$A$5:$A$604,0)),""))</f>
        <v>0</v>
      </c>
      <c r="J237" s="21">
        <f>IF(C237="","",IFERROR(INDEX(Jobs!$AJ$5:$AJ$604,MATCH(C237,Jobs!$A$5:$A$604,0)),"0"))</f>
        <v>0</v>
      </c>
      <c r="K237" s="23">
        <f>IF(C237="","",IFERROR(INDEX(Jobs!$M$5:$M$604,MATCH(C237,Jobs!$A$5:$A$604,0)),""))</f>
        <v>0</v>
      </c>
      <c r="L237" s="51">
        <f>IF(B237="","",IF(E237&lt;&gt;"",E237,IF(C237="","",K237&amp;" - "&amp;TEXT(D237,"d mmm yyyy"))))</f>
        <v>0</v>
      </c>
      <c r="M237" s="21">
        <f>IF(B237="","",IF(G237&lt;&gt;"",G237,IFERROR(J237*1,0)))</f>
        <v>0</v>
      </c>
      <c r="N237" s="21">
        <f>IF(B237="","",ROUND(IF(F237="",1,F237)*M237,2))</f>
        <v>0</v>
      </c>
      <c r="O237" s="39">
        <f>IF(B237="","",IF(C237="","",IF(COUNTIFS($C$5:$C$804,C237)&gt;1,"Duplicate","OK")))</f>
        <v>0</v>
      </c>
      <c r="P237" s="31">
        <f>IF(OR(B237="",E237=""),"",COUNTIFS($B$5:B237,B237))</f>
        <v>0</v>
      </c>
      <c r="Q237" s="23">
        <f>IF(P237="","",B237&amp;"|"&amp;P237)</f>
        <v>0</v>
      </c>
      <c r="R237" s="39">
        <f>IF(B237="","",IF(O237="Duplicate","Duplicate - job billed twice",IF(M237=0,"Add - no price on this line",IF(AND(C237="",E237=""),"Add - what is this line for?","OK"))))</f>
        <v>0</v>
      </c>
    </row>
    <row r="238" spans="1:18">
      <c r="A238" s="43">
        <f>IF(B238="","","IL-"&amp;TEXT(ROW()-4,"0000"))</f>
        <v>0</v>
      </c>
      <c r="D238" s="18">
        <f>IF(C238="","",IFERROR(INDEX(Jobs!$B$5:$B$604,MATCH(C238,Jobs!$A$5:$A$604,0)),""))</f>
        <v>0</v>
      </c>
      <c r="J238" s="21">
        <f>IF(C238="","",IFERROR(INDEX(Jobs!$AJ$5:$AJ$604,MATCH(C238,Jobs!$A$5:$A$604,0)),"0"))</f>
        <v>0</v>
      </c>
      <c r="K238" s="23">
        <f>IF(C238="","",IFERROR(INDEX(Jobs!$M$5:$M$604,MATCH(C238,Jobs!$A$5:$A$604,0)),""))</f>
        <v>0</v>
      </c>
      <c r="L238" s="51">
        <f>IF(B238="","",IF(E238&lt;&gt;"",E238,IF(C238="","",K238&amp;" - "&amp;TEXT(D238,"d mmm yyyy"))))</f>
        <v>0</v>
      </c>
      <c r="M238" s="21">
        <f>IF(B238="","",IF(G238&lt;&gt;"",G238,IFERROR(J238*1,0)))</f>
        <v>0</v>
      </c>
      <c r="N238" s="21">
        <f>IF(B238="","",ROUND(IF(F238="",1,F238)*M238,2))</f>
        <v>0</v>
      </c>
      <c r="O238" s="39">
        <f>IF(B238="","",IF(C238="","",IF(COUNTIFS($C$5:$C$804,C238)&gt;1,"Duplicate","OK")))</f>
        <v>0</v>
      </c>
      <c r="P238" s="31">
        <f>IF(OR(B238="",E238=""),"",COUNTIFS($B$5:B238,B238))</f>
        <v>0</v>
      </c>
      <c r="Q238" s="23">
        <f>IF(P238="","",B238&amp;"|"&amp;P238)</f>
        <v>0</v>
      </c>
      <c r="R238" s="39">
        <f>IF(B238="","",IF(O238="Duplicate","Duplicate - job billed twice",IF(M238=0,"Add - no price on this line",IF(AND(C238="",E238=""),"Add - what is this line for?","OK"))))</f>
        <v>0</v>
      </c>
    </row>
    <row r="239" spans="1:18">
      <c r="A239" s="43">
        <f>IF(B239="","","IL-"&amp;TEXT(ROW()-4,"0000"))</f>
        <v>0</v>
      </c>
      <c r="D239" s="18">
        <f>IF(C239="","",IFERROR(INDEX(Jobs!$B$5:$B$604,MATCH(C239,Jobs!$A$5:$A$604,0)),""))</f>
        <v>0</v>
      </c>
      <c r="J239" s="21">
        <f>IF(C239="","",IFERROR(INDEX(Jobs!$AJ$5:$AJ$604,MATCH(C239,Jobs!$A$5:$A$604,0)),"0"))</f>
        <v>0</v>
      </c>
      <c r="K239" s="23">
        <f>IF(C239="","",IFERROR(INDEX(Jobs!$M$5:$M$604,MATCH(C239,Jobs!$A$5:$A$604,0)),""))</f>
        <v>0</v>
      </c>
      <c r="L239" s="51">
        <f>IF(B239="","",IF(E239&lt;&gt;"",E239,IF(C239="","",K239&amp;" - "&amp;TEXT(D239,"d mmm yyyy"))))</f>
        <v>0</v>
      </c>
      <c r="M239" s="21">
        <f>IF(B239="","",IF(G239&lt;&gt;"",G239,IFERROR(J239*1,0)))</f>
        <v>0</v>
      </c>
      <c r="N239" s="21">
        <f>IF(B239="","",ROUND(IF(F239="",1,F239)*M239,2))</f>
        <v>0</v>
      </c>
      <c r="O239" s="39">
        <f>IF(B239="","",IF(C239="","",IF(COUNTIFS($C$5:$C$804,C239)&gt;1,"Duplicate","OK")))</f>
        <v>0</v>
      </c>
      <c r="P239" s="31">
        <f>IF(OR(B239="",E239=""),"",COUNTIFS($B$5:B239,B239))</f>
        <v>0</v>
      </c>
      <c r="Q239" s="23">
        <f>IF(P239="","",B239&amp;"|"&amp;P239)</f>
        <v>0</v>
      </c>
      <c r="R239" s="39">
        <f>IF(B239="","",IF(O239="Duplicate","Duplicate - job billed twice",IF(M239=0,"Add - no price on this line",IF(AND(C239="",E239=""),"Add - what is this line for?","OK"))))</f>
        <v>0</v>
      </c>
    </row>
    <row r="240" spans="1:18">
      <c r="A240" s="43">
        <f>IF(B240="","","IL-"&amp;TEXT(ROW()-4,"0000"))</f>
        <v>0</v>
      </c>
      <c r="D240" s="18">
        <f>IF(C240="","",IFERROR(INDEX(Jobs!$B$5:$B$604,MATCH(C240,Jobs!$A$5:$A$604,0)),""))</f>
        <v>0</v>
      </c>
      <c r="J240" s="21">
        <f>IF(C240="","",IFERROR(INDEX(Jobs!$AJ$5:$AJ$604,MATCH(C240,Jobs!$A$5:$A$604,0)),"0"))</f>
        <v>0</v>
      </c>
      <c r="K240" s="23">
        <f>IF(C240="","",IFERROR(INDEX(Jobs!$M$5:$M$604,MATCH(C240,Jobs!$A$5:$A$604,0)),""))</f>
        <v>0</v>
      </c>
      <c r="L240" s="51">
        <f>IF(B240="","",IF(E240&lt;&gt;"",E240,IF(C240="","",K240&amp;" - "&amp;TEXT(D240,"d mmm yyyy"))))</f>
        <v>0</v>
      </c>
      <c r="M240" s="21">
        <f>IF(B240="","",IF(G240&lt;&gt;"",G240,IFERROR(J240*1,0)))</f>
        <v>0</v>
      </c>
      <c r="N240" s="21">
        <f>IF(B240="","",ROUND(IF(F240="",1,F240)*M240,2))</f>
        <v>0</v>
      </c>
      <c r="O240" s="39">
        <f>IF(B240="","",IF(C240="","",IF(COUNTIFS($C$5:$C$804,C240)&gt;1,"Duplicate","OK")))</f>
        <v>0</v>
      </c>
      <c r="P240" s="31">
        <f>IF(OR(B240="",E240=""),"",COUNTIFS($B$5:B240,B240))</f>
        <v>0</v>
      </c>
      <c r="Q240" s="23">
        <f>IF(P240="","",B240&amp;"|"&amp;P240)</f>
        <v>0</v>
      </c>
      <c r="R240" s="39">
        <f>IF(B240="","",IF(O240="Duplicate","Duplicate - job billed twice",IF(M240=0,"Add - no price on this line",IF(AND(C240="",E240=""),"Add - what is this line for?","OK"))))</f>
        <v>0</v>
      </c>
    </row>
    <row r="241" spans="1:18">
      <c r="A241" s="43">
        <f>IF(B241="","","IL-"&amp;TEXT(ROW()-4,"0000"))</f>
        <v>0</v>
      </c>
      <c r="D241" s="18">
        <f>IF(C241="","",IFERROR(INDEX(Jobs!$B$5:$B$604,MATCH(C241,Jobs!$A$5:$A$604,0)),""))</f>
        <v>0</v>
      </c>
      <c r="J241" s="21">
        <f>IF(C241="","",IFERROR(INDEX(Jobs!$AJ$5:$AJ$604,MATCH(C241,Jobs!$A$5:$A$604,0)),"0"))</f>
        <v>0</v>
      </c>
      <c r="K241" s="23">
        <f>IF(C241="","",IFERROR(INDEX(Jobs!$M$5:$M$604,MATCH(C241,Jobs!$A$5:$A$604,0)),""))</f>
        <v>0</v>
      </c>
      <c r="L241" s="51">
        <f>IF(B241="","",IF(E241&lt;&gt;"",E241,IF(C241="","",K241&amp;" - "&amp;TEXT(D241,"d mmm yyyy"))))</f>
        <v>0</v>
      </c>
      <c r="M241" s="21">
        <f>IF(B241="","",IF(G241&lt;&gt;"",G241,IFERROR(J241*1,0)))</f>
        <v>0</v>
      </c>
      <c r="N241" s="21">
        <f>IF(B241="","",ROUND(IF(F241="",1,F241)*M241,2))</f>
        <v>0</v>
      </c>
      <c r="O241" s="39">
        <f>IF(B241="","",IF(C241="","",IF(COUNTIFS($C$5:$C$804,C241)&gt;1,"Duplicate","OK")))</f>
        <v>0</v>
      </c>
      <c r="P241" s="31">
        <f>IF(OR(B241="",E241=""),"",COUNTIFS($B$5:B241,B241))</f>
        <v>0</v>
      </c>
      <c r="Q241" s="23">
        <f>IF(P241="","",B241&amp;"|"&amp;P241)</f>
        <v>0</v>
      </c>
      <c r="R241" s="39">
        <f>IF(B241="","",IF(O241="Duplicate","Duplicate - job billed twice",IF(M241=0,"Add - no price on this line",IF(AND(C241="",E241=""),"Add - what is this line for?","OK"))))</f>
        <v>0</v>
      </c>
    </row>
    <row r="242" spans="1:18">
      <c r="A242" s="43">
        <f>IF(B242="","","IL-"&amp;TEXT(ROW()-4,"0000"))</f>
        <v>0</v>
      </c>
      <c r="D242" s="18">
        <f>IF(C242="","",IFERROR(INDEX(Jobs!$B$5:$B$604,MATCH(C242,Jobs!$A$5:$A$604,0)),""))</f>
        <v>0</v>
      </c>
      <c r="J242" s="21">
        <f>IF(C242="","",IFERROR(INDEX(Jobs!$AJ$5:$AJ$604,MATCH(C242,Jobs!$A$5:$A$604,0)),"0"))</f>
        <v>0</v>
      </c>
      <c r="K242" s="23">
        <f>IF(C242="","",IFERROR(INDEX(Jobs!$M$5:$M$604,MATCH(C242,Jobs!$A$5:$A$604,0)),""))</f>
        <v>0</v>
      </c>
      <c r="L242" s="51">
        <f>IF(B242="","",IF(E242&lt;&gt;"",E242,IF(C242="","",K242&amp;" - "&amp;TEXT(D242,"d mmm yyyy"))))</f>
        <v>0</v>
      </c>
      <c r="M242" s="21">
        <f>IF(B242="","",IF(G242&lt;&gt;"",G242,IFERROR(J242*1,0)))</f>
        <v>0</v>
      </c>
      <c r="N242" s="21">
        <f>IF(B242="","",ROUND(IF(F242="",1,F242)*M242,2))</f>
        <v>0</v>
      </c>
      <c r="O242" s="39">
        <f>IF(B242="","",IF(C242="","",IF(COUNTIFS($C$5:$C$804,C242)&gt;1,"Duplicate","OK")))</f>
        <v>0</v>
      </c>
      <c r="P242" s="31">
        <f>IF(OR(B242="",E242=""),"",COUNTIFS($B$5:B242,B242))</f>
        <v>0</v>
      </c>
      <c r="Q242" s="23">
        <f>IF(P242="","",B242&amp;"|"&amp;P242)</f>
        <v>0</v>
      </c>
      <c r="R242" s="39">
        <f>IF(B242="","",IF(O242="Duplicate","Duplicate - job billed twice",IF(M242=0,"Add - no price on this line",IF(AND(C242="",E242=""),"Add - what is this line for?","OK"))))</f>
        <v>0</v>
      </c>
    </row>
    <row r="243" spans="1:18">
      <c r="A243" s="43">
        <f>IF(B243="","","IL-"&amp;TEXT(ROW()-4,"0000"))</f>
        <v>0</v>
      </c>
      <c r="D243" s="18">
        <f>IF(C243="","",IFERROR(INDEX(Jobs!$B$5:$B$604,MATCH(C243,Jobs!$A$5:$A$604,0)),""))</f>
        <v>0</v>
      </c>
      <c r="J243" s="21">
        <f>IF(C243="","",IFERROR(INDEX(Jobs!$AJ$5:$AJ$604,MATCH(C243,Jobs!$A$5:$A$604,0)),"0"))</f>
        <v>0</v>
      </c>
      <c r="K243" s="23">
        <f>IF(C243="","",IFERROR(INDEX(Jobs!$M$5:$M$604,MATCH(C243,Jobs!$A$5:$A$604,0)),""))</f>
        <v>0</v>
      </c>
      <c r="L243" s="51">
        <f>IF(B243="","",IF(E243&lt;&gt;"",E243,IF(C243="","",K243&amp;" - "&amp;TEXT(D243,"d mmm yyyy"))))</f>
        <v>0</v>
      </c>
      <c r="M243" s="21">
        <f>IF(B243="","",IF(G243&lt;&gt;"",G243,IFERROR(J243*1,0)))</f>
        <v>0</v>
      </c>
      <c r="N243" s="21">
        <f>IF(B243="","",ROUND(IF(F243="",1,F243)*M243,2))</f>
        <v>0</v>
      </c>
      <c r="O243" s="39">
        <f>IF(B243="","",IF(C243="","",IF(COUNTIFS($C$5:$C$804,C243)&gt;1,"Duplicate","OK")))</f>
        <v>0</v>
      </c>
      <c r="P243" s="31">
        <f>IF(OR(B243="",E243=""),"",COUNTIFS($B$5:B243,B243))</f>
        <v>0</v>
      </c>
      <c r="Q243" s="23">
        <f>IF(P243="","",B243&amp;"|"&amp;P243)</f>
        <v>0</v>
      </c>
      <c r="R243" s="39">
        <f>IF(B243="","",IF(O243="Duplicate","Duplicate - job billed twice",IF(M243=0,"Add - no price on this line",IF(AND(C243="",E243=""),"Add - what is this line for?","OK"))))</f>
        <v>0</v>
      </c>
    </row>
    <row r="244" spans="1:18">
      <c r="A244" s="43">
        <f>IF(B244="","","IL-"&amp;TEXT(ROW()-4,"0000"))</f>
        <v>0</v>
      </c>
      <c r="D244" s="18">
        <f>IF(C244="","",IFERROR(INDEX(Jobs!$B$5:$B$604,MATCH(C244,Jobs!$A$5:$A$604,0)),""))</f>
        <v>0</v>
      </c>
      <c r="J244" s="21">
        <f>IF(C244="","",IFERROR(INDEX(Jobs!$AJ$5:$AJ$604,MATCH(C244,Jobs!$A$5:$A$604,0)),"0"))</f>
        <v>0</v>
      </c>
      <c r="K244" s="23">
        <f>IF(C244="","",IFERROR(INDEX(Jobs!$M$5:$M$604,MATCH(C244,Jobs!$A$5:$A$604,0)),""))</f>
        <v>0</v>
      </c>
      <c r="L244" s="51">
        <f>IF(B244="","",IF(E244&lt;&gt;"",E244,IF(C244="","",K244&amp;" - "&amp;TEXT(D244,"d mmm yyyy"))))</f>
        <v>0</v>
      </c>
      <c r="M244" s="21">
        <f>IF(B244="","",IF(G244&lt;&gt;"",G244,IFERROR(J244*1,0)))</f>
        <v>0</v>
      </c>
      <c r="N244" s="21">
        <f>IF(B244="","",ROUND(IF(F244="",1,F244)*M244,2))</f>
        <v>0</v>
      </c>
      <c r="O244" s="39">
        <f>IF(B244="","",IF(C244="","",IF(COUNTIFS($C$5:$C$804,C244)&gt;1,"Duplicate","OK")))</f>
        <v>0</v>
      </c>
      <c r="P244" s="31">
        <f>IF(OR(B244="",E244=""),"",COUNTIFS($B$5:B244,B244))</f>
        <v>0</v>
      </c>
      <c r="Q244" s="23">
        <f>IF(P244="","",B244&amp;"|"&amp;P244)</f>
        <v>0</v>
      </c>
      <c r="R244" s="39">
        <f>IF(B244="","",IF(O244="Duplicate","Duplicate - job billed twice",IF(M244=0,"Add - no price on this line",IF(AND(C244="",E244=""),"Add - what is this line for?","OK"))))</f>
        <v>0</v>
      </c>
    </row>
    <row r="245" spans="1:18">
      <c r="A245" s="43">
        <f>IF(B245="","","IL-"&amp;TEXT(ROW()-4,"0000"))</f>
        <v>0</v>
      </c>
      <c r="D245" s="18">
        <f>IF(C245="","",IFERROR(INDEX(Jobs!$B$5:$B$604,MATCH(C245,Jobs!$A$5:$A$604,0)),""))</f>
        <v>0</v>
      </c>
      <c r="J245" s="21">
        <f>IF(C245="","",IFERROR(INDEX(Jobs!$AJ$5:$AJ$604,MATCH(C245,Jobs!$A$5:$A$604,0)),"0"))</f>
        <v>0</v>
      </c>
      <c r="K245" s="23">
        <f>IF(C245="","",IFERROR(INDEX(Jobs!$M$5:$M$604,MATCH(C245,Jobs!$A$5:$A$604,0)),""))</f>
        <v>0</v>
      </c>
      <c r="L245" s="51">
        <f>IF(B245="","",IF(E245&lt;&gt;"",E245,IF(C245="","",K245&amp;" - "&amp;TEXT(D245,"d mmm yyyy"))))</f>
        <v>0</v>
      </c>
      <c r="M245" s="21">
        <f>IF(B245="","",IF(G245&lt;&gt;"",G245,IFERROR(J245*1,0)))</f>
        <v>0</v>
      </c>
      <c r="N245" s="21">
        <f>IF(B245="","",ROUND(IF(F245="",1,F245)*M245,2))</f>
        <v>0</v>
      </c>
      <c r="O245" s="39">
        <f>IF(B245="","",IF(C245="","",IF(COUNTIFS($C$5:$C$804,C245)&gt;1,"Duplicate","OK")))</f>
        <v>0</v>
      </c>
      <c r="P245" s="31">
        <f>IF(OR(B245="",E245=""),"",COUNTIFS($B$5:B245,B245))</f>
        <v>0</v>
      </c>
      <c r="Q245" s="23">
        <f>IF(P245="","",B245&amp;"|"&amp;P245)</f>
        <v>0</v>
      </c>
      <c r="R245" s="39">
        <f>IF(B245="","",IF(O245="Duplicate","Duplicate - job billed twice",IF(M245=0,"Add - no price on this line",IF(AND(C245="",E245=""),"Add - what is this line for?","OK"))))</f>
        <v>0</v>
      </c>
    </row>
    <row r="246" spans="1:18">
      <c r="A246" s="43">
        <f>IF(B246="","","IL-"&amp;TEXT(ROW()-4,"0000"))</f>
        <v>0</v>
      </c>
      <c r="D246" s="18">
        <f>IF(C246="","",IFERROR(INDEX(Jobs!$B$5:$B$604,MATCH(C246,Jobs!$A$5:$A$604,0)),""))</f>
        <v>0</v>
      </c>
      <c r="J246" s="21">
        <f>IF(C246="","",IFERROR(INDEX(Jobs!$AJ$5:$AJ$604,MATCH(C246,Jobs!$A$5:$A$604,0)),"0"))</f>
        <v>0</v>
      </c>
      <c r="K246" s="23">
        <f>IF(C246="","",IFERROR(INDEX(Jobs!$M$5:$M$604,MATCH(C246,Jobs!$A$5:$A$604,0)),""))</f>
        <v>0</v>
      </c>
      <c r="L246" s="51">
        <f>IF(B246="","",IF(E246&lt;&gt;"",E246,IF(C246="","",K246&amp;" - "&amp;TEXT(D246,"d mmm yyyy"))))</f>
        <v>0</v>
      </c>
      <c r="M246" s="21">
        <f>IF(B246="","",IF(G246&lt;&gt;"",G246,IFERROR(J246*1,0)))</f>
        <v>0</v>
      </c>
      <c r="N246" s="21">
        <f>IF(B246="","",ROUND(IF(F246="",1,F246)*M246,2))</f>
        <v>0</v>
      </c>
      <c r="O246" s="39">
        <f>IF(B246="","",IF(C246="","",IF(COUNTIFS($C$5:$C$804,C246)&gt;1,"Duplicate","OK")))</f>
        <v>0</v>
      </c>
      <c r="P246" s="31">
        <f>IF(OR(B246="",E246=""),"",COUNTIFS($B$5:B246,B246))</f>
        <v>0</v>
      </c>
      <c r="Q246" s="23">
        <f>IF(P246="","",B246&amp;"|"&amp;P246)</f>
        <v>0</v>
      </c>
      <c r="R246" s="39">
        <f>IF(B246="","",IF(O246="Duplicate","Duplicate - job billed twice",IF(M246=0,"Add - no price on this line",IF(AND(C246="",E246=""),"Add - what is this line for?","OK"))))</f>
        <v>0</v>
      </c>
    </row>
    <row r="247" spans="1:18">
      <c r="A247" s="43">
        <f>IF(B247="","","IL-"&amp;TEXT(ROW()-4,"0000"))</f>
        <v>0</v>
      </c>
      <c r="D247" s="18">
        <f>IF(C247="","",IFERROR(INDEX(Jobs!$B$5:$B$604,MATCH(C247,Jobs!$A$5:$A$604,0)),""))</f>
        <v>0</v>
      </c>
      <c r="J247" s="21">
        <f>IF(C247="","",IFERROR(INDEX(Jobs!$AJ$5:$AJ$604,MATCH(C247,Jobs!$A$5:$A$604,0)),"0"))</f>
        <v>0</v>
      </c>
      <c r="K247" s="23">
        <f>IF(C247="","",IFERROR(INDEX(Jobs!$M$5:$M$604,MATCH(C247,Jobs!$A$5:$A$604,0)),""))</f>
        <v>0</v>
      </c>
      <c r="L247" s="51">
        <f>IF(B247="","",IF(E247&lt;&gt;"",E247,IF(C247="","",K247&amp;" - "&amp;TEXT(D247,"d mmm yyyy"))))</f>
        <v>0</v>
      </c>
      <c r="M247" s="21">
        <f>IF(B247="","",IF(G247&lt;&gt;"",G247,IFERROR(J247*1,0)))</f>
        <v>0</v>
      </c>
      <c r="N247" s="21">
        <f>IF(B247="","",ROUND(IF(F247="",1,F247)*M247,2))</f>
        <v>0</v>
      </c>
      <c r="O247" s="39">
        <f>IF(B247="","",IF(C247="","",IF(COUNTIFS($C$5:$C$804,C247)&gt;1,"Duplicate","OK")))</f>
        <v>0</v>
      </c>
      <c r="P247" s="31">
        <f>IF(OR(B247="",E247=""),"",COUNTIFS($B$5:B247,B247))</f>
        <v>0</v>
      </c>
      <c r="Q247" s="23">
        <f>IF(P247="","",B247&amp;"|"&amp;P247)</f>
        <v>0</v>
      </c>
      <c r="R247" s="39">
        <f>IF(B247="","",IF(O247="Duplicate","Duplicate - job billed twice",IF(M247=0,"Add - no price on this line",IF(AND(C247="",E247=""),"Add - what is this line for?","OK"))))</f>
        <v>0</v>
      </c>
    </row>
    <row r="248" spans="1:18">
      <c r="A248" s="43">
        <f>IF(B248="","","IL-"&amp;TEXT(ROW()-4,"0000"))</f>
        <v>0</v>
      </c>
      <c r="D248" s="18">
        <f>IF(C248="","",IFERROR(INDEX(Jobs!$B$5:$B$604,MATCH(C248,Jobs!$A$5:$A$604,0)),""))</f>
        <v>0</v>
      </c>
      <c r="J248" s="21">
        <f>IF(C248="","",IFERROR(INDEX(Jobs!$AJ$5:$AJ$604,MATCH(C248,Jobs!$A$5:$A$604,0)),"0"))</f>
        <v>0</v>
      </c>
      <c r="K248" s="23">
        <f>IF(C248="","",IFERROR(INDEX(Jobs!$M$5:$M$604,MATCH(C248,Jobs!$A$5:$A$604,0)),""))</f>
        <v>0</v>
      </c>
      <c r="L248" s="51">
        <f>IF(B248="","",IF(E248&lt;&gt;"",E248,IF(C248="","",K248&amp;" - "&amp;TEXT(D248,"d mmm yyyy"))))</f>
        <v>0</v>
      </c>
      <c r="M248" s="21">
        <f>IF(B248="","",IF(G248&lt;&gt;"",G248,IFERROR(J248*1,0)))</f>
        <v>0</v>
      </c>
      <c r="N248" s="21">
        <f>IF(B248="","",ROUND(IF(F248="",1,F248)*M248,2))</f>
        <v>0</v>
      </c>
      <c r="O248" s="39">
        <f>IF(B248="","",IF(C248="","",IF(COUNTIFS($C$5:$C$804,C248)&gt;1,"Duplicate","OK")))</f>
        <v>0</v>
      </c>
      <c r="P248" s="31">
        <f>IF(OR(B248="",E248=""),"",COUNTIFS($B$5:B248,B248))</f>
        <v>0</v>
      </c>
      <c r="Q248" s="23">
        <f>IF(P248="","",B248&amp;"|"&amp;P248)</f>
        <v>0</v>
      </c>
      <c r="R248" s="39">
        <f>IF(B248="","",IF(O248="Duplicate","Duplicate - job billed twice",IF(M248=0,"Add - no price on this line",IF(AND(C248="",E248=""),"Add - what is this line for?","OK"))))</f>
        <v>0</v>
      </c>
    </row>
    <row r="249" spans="1:18">
      <c r="A249" s="43">
        <f>IF(B249="","","IL-"&amp;TEXT(ROW()-4,"0000"))</f>
        <v>0</v>
      </c>
      <c r="D249" s="18">
        <f>IF(C249="","",IFERROR(INDEX(Jobs!$B$5:$B$604,MATCH(C249,Jobs!$A$5:$A$604,0)),""))</f>
        <v>0</v>
      </c>
      <c r="J249" s="21">
        <f>IF(C249="","",IFERROR(INDEX(Jobs!$AJ$5:$AJ$604,MATCH(C249,Jobs!$A$5:$A$604,0)),"0"))</f>
        <v>0</v>
      </c>
      <c r="K249" s="23">
        <f>IF(C249="","",IFERROR(INDEX(Jobs!$M$5:$M$604,MATCH(C249,Jobs!$A$5:$A$604,0)),""))</f>
        <v>0</v>
      </c>
      <c r="L249" s="51">
        <f>IF(B249="","",IF(E249&lt;&gt;"",E249,IF(C249="","",K249&amp;" - "&amp;TEXT(D249,"d mmm yyyy"))))</f>
        <v>0</v>
      </c>
      <c r="M249" s="21">
        <f>IF(B249="","",IF(G249&lt;&gt;"",G249,IFERROR(J249*1,0)))</f>
        <v>0</v>
      </c>
      <c r="N249" s="21">
        <f>IF(B249="","",ROUND(IF(F249="",1,F249)*M249,2))</f>
        <v>0</v>
      </c>
      <c r="O249" s="39">
        <f>IF(B249="","",IF(C249="","",IF(COUNTIFS($C$5:$C$804,C249)&gt;1,"Duplicate","OK")))</f>
        <v>0</v>
      </c>
      <c r="P249" s="31">
        <f>IF(OR(B249="",E249=""),"",COUNTIFS($B$5:B249,B249))</f>
        <v>0</v>
      </c>
      <c r="Q249" s="23">
        <f>IF(P249="","",B249&amp;"|"&amp;P249)</f>
        <v>0</v>
      </c>
      <c r="R249" s="39">
        <f>IF(B249="","",IF(O249="Duplicate","Duplicate - job billed twice",IF(M249=0,"Add - no price on this line",IF(AND(C249="",E249=""),"Add - what is this line for?","OK"))))</f>
        <v>0</v>
      </c>
    </row>
    <row r="250" spans="1:18">
      <c r="A250" s="43">
        <f>IF(B250="","","IL-"&amp;TEXT(ROW()-4,"0000"))</f>
        <v>0</v>
      </c>
      <c r="D250" s="18">
        <f>IF(C250="","",IFERROR(INDEX(Jobs!$B$5:$B$604,MATCH(C250,Jobs!$A$5:$A$604,0)),""))</f>
        <v>0</v>
      </c>
      <c r="J250" s="21">
        <f>IF(C250="","",IFERROR(INDEX(Jobs!$AJ$5:$AJ$604,MATCH(C250,Jobs!$A$5:$A$604,0)),"0"))</f>
        <v>0</v>
      </c>
      <c r="K250" s="23">
        <f>IF(C250="","",IFERROR(INDEX(Jobs!$M$5:$M$604,MATCH(C250,Jobs!$A$5:$A$604,0)),""))</f>
        <v>0</v>
      </c>
      <c r="L250" s="51">
        <f>IF(B250="","",IF(E250&lt;&gt;"",E250,IF(C250="","",K250&amp;" - "&amp;TEXT(D250,"d mmm yyyy"))))</f>
        <v>0</v>
      </c>
      <c r="M250" s="21">
        <f>IF(B250="","",IF(G250&lt;&gt;"",G250,IFERROR(J250*1,0)))</f>
        <v>0</v>
      </c>
      <c r="N250" s="21">
        <f>IF(B250="","",ROUND(IF(F250="",1,F250)*M250,2))</f>
        <v>0</v>
      </c>
      <c r="O250" s="39">
        <f>IF(B250="","",IF(C250="","",IF(COUNTIFS($C$5:$C$804,C250)&gt;1,"Duplicate","OK")))</f>
        <v>0</v>
      </c>
      <c r="P250" s="31">
        <f>IF(OR(B250="",E250=""),"",COUNTIFS($B$5:B250,B250))</f>
        <v>0</v>
      </c>
      <c r="Q250" s="23">
        <f>IF(P250="","",B250&amp;"|"&amp;P250)</f>
        <v>0</v>
      </c>
      <c r="R250" s="39">
        <f>IF(B250="","",IF(O250="Duplicate","Duplicate - job billed twice",IF(M250=0,"Add - no price on this line",IF(AND(C250="",E250=""),"Add - what is this line for?","OK"))))</f>
        <v>0</v>
      </c>
    </row>
    <row r="251" spans="1:18">
      <c r="A251" s="43">
        <f>IF(B251="","","IL-"&amp;TEXT(ROW()-4,"0000"))</f>
        <v>0</v>
      </c>
      <c r="D251" s="18">
        <f>IF(C251="","",IFERROR(INDEX(Jobs!$B$5:$B$604,MATCH(C251,Jobs!$A$5:$A$604,0)),""))</f>
        <v>0</v>
      </c>
      <c r="J251" s="21">
        <f>IF(C251="","",IFERROR(INDEX(Jobs!$AJ$5:$AJ$604,MATCH(C251,Jobs!$A$5:$A$604,0)),"0"))</f>
        <v>0</v>
      </c>
      <c r="K251" s="23">
        <f>IF(C251="","",IFERROR(INDEX(Jobs!$M$5:$M$604,MATCH(C251,Jobs!$A$5:$A$604,0)),""))</f>
        <v>0</v>
      </c>
      <c r="L251" s="51">
        <f>IF(B251="","",IF(E251&lt;&gt;"",E251,IF(C251="","",K251&amp;" - "&amp;TEXT(D251,"d mmm yyyy"))))</f>
        <v>0</v>
      </c>
      <c r="M251" s="21">
        <f>IF(B251="","",IF(G251&lt;&gt;"",G251,IFERROR(J251*1,0)))</f>
        <v>0</v>
      </c>
      <c r="N251" s="21">
        <f>IF(B251="","",ROUND(IF(F251="",1,F251)*M251,2))</f>
        <v>0</v>
      </c>
      <c r="O251" s="39">
        <f>IF(B251="","",IF(C251="","",IF(COUNTIFS($C$5:$C$804,C251)&gt;1,"Duplicate","OK")))</f>
        <v>0</v>
      </c>
      <c r="P251" s="31">
        <f>IF(OR(B251="",E251=""),"",COUNTIFS($B$5:B251,B251))</f>
        <v>0</v>
      </c>
      <c r="Q251" s="23">
        <f>IF(P251="","",B251&amp;"|"&amp;P251)</f>
        <v>0</v>
      </c>
      <c r="R251" s="39">
        <f>IF(B251="","",IF(O251="Duplicate","Duplicate - job billed twice",IF(M251=0,"Add - no price on this line",IF(AND(C251="",E251=""),"Add - what is this line for?","OK"))))</f>
        <v>0</v>
      </c>
    </row>
    <row r="252" spans="1:18">
      <c r="A252" s="43">
        <f>IF(B252="","","IL-"&amp;TEXT(ROW()-4,"0000"))</f>
        <v>0</v>
      </c>
      <c r="D252" s="18">
        <f>IF(C252="","",IFERROR(INDEX(Jobs!$B$5:$B$604,MATCH(C252,Jobs!$A$5:$A$604,0)),""))</f>
        <v>0</v>
      </c>
      <c r="J252" s="21">
        <f>IF(C252="","",IFERROR(INDEX(Jobs!$AJ$5:$AJ$604,MATCH(C252,Jobs!$A$5:$A$604,0)),"0"))</f>
        <v>0</v>
      </c>
      <c r="K252" s="23">
        <f>IF(C252="","",IFERROR(INDEX(Jobs!$M$5:$M$604,MATCH(C252,Jobs!$A$5:$A$604,0)),""))</f>
        <v>0</v>
      </c>
      <c r="L252" s="51">
        <f>IF(B252="","",IF(E252&lt;&gt;"",E252,IF(C252="","",K252&amp;" - "&amp;TEXT(D252,"d mmm yyyy"))))</f>
        <v>0</v>
      </c>
      <c r="M252" s="21">
        <f>IF(B252="","",IF(G252&lt;&gt;"",G252,IFERROR(J252*1,0)))</f>
        <v>0</v>
      </c>
      <c r="N252" s="21">
        <f>IF(B252="","",ROUND(IF(F252="",1,F252)*M252,2))</f>
        <v>0</v>
      </c>
      <c r="O252" s="39">
        <f>IF(B252="","",IF(C252="","",IF(COUNTIFS($C$5:$C$804,C252)&gt;1,"Duplicate","OK")))</f>
        <v>0</v>
      </c>
      <c r="P252" s="31">
        <f>IF(OR(B252="",E252=""),"",COUNTIFS($B$5:B252,B252))</f>
        <v>0</v>
      </c>
      <c r="Q252" s="23">
        <f>IF(P252="","",B252&amp;"|"&amp;P252)</f>
        <v>0</v>
      </c>
      <c r="R252" s="39">
        <f>IF(B252="","",IF(O252="Duplicate","Duplicate - job billed twice",IF(M252=0,"Add - no price on this line",IF(AND(C252="",E252=""),"Add - what is this line for?","OK"))))</f>
        <v>0</v>
      </c>
    </row>
    <row r="253" spans="1:18">
      <c r="A253" s="43">
        <f>IF(B253="","","IL-"&amp;TEXT(ROW()-4,"0000"))</f>
        <v>0</v>
      </c>
      <c r="D253" s="18">
        <f>IF(C253="","",IFERROR(INDEX(Jobs!$B$5:$B$604,MATCH(C253,Jobs!$A$5:$A$604,0)),""))</f>
        <v>0</v>
      </c>
      <c r="J253" s="21">
        <f>IF(C253="","",IFERROR(INDEX(Jobs!$AJ$5:$AJ$604,MATCH(C253,Jobs!$A$5:$A$604,0)),"0"))</f>
        <v>0</v>
      </c>
      <c r="K253" s="23">
        <f>IF(C253="","",IFERROR(INDEX(Jobs!$M$5:$M$604,MATCH(C253,Jobs!$A$5:$A$604,0)),""))</f>
        <v>0</v>
      </c>
      <c r="L253" s="51">
        <f>IF(B253="","",IF(E253&lt;&gt;"",E253,IF(C253="","",K253&amp;" - "&amp;TEXT(D253,"d mmm yyyy"))))</f>
        <v>0</v>
      </c>
      <c r="M253" s="21">
        <f>IF(B253="","",IF(G253&lt;&gt;"",G253,IFERROR(J253*1,0)))</f>
        <v>0</v>
      </c>
      <c r="N253" s="21">
        <f>IF(B253="","",ROUND(IF(F253="",1,F253)*M253,2))</f>
        <v>0</v>
      </c>
      <c r="O253" s="39">
        <f>IF(B253="","",IF(C253="","",IF(COUNTIFS($C$5:$C$804,C253)&gt;1,"Duplicate","OK")))</f>
        <v>0</v>
      </c>
      <c r="P253" s="31">
        <f>IF(OR(B253="",E253=""),"",COUNTIFS($B$5:B253,B253))</f>
        <v>0</v>
      </c>
      <c r="Q253" s="23">
        <f>IF(P253="","",B253&amp;"|"&amp;P253)</f>
        <v>0</v>
      </c>
      <c r="R253" s="39">
        <f>IF(B253="","",IF(O253="Duplicate","Duplicate - job billed twice",IF(M253=0,"Add - no price on this line",IF(AND(C253="",E253=""),"Add - what is this line for?","OK"))))</f>
        <v>0</v>
      </c>
    </row>
    <row r="254" spans="1:18">
      <c r="A254" s="43">
        <f>IF(B254="","","IL-"&amp;TEXT(ROW()-4,"0000"))</f>
        <v>0</v>
      </c>
      <c r="D254" s="18">
        <f>IF(C254="","",IFERROR(INDEX(Jobs!$B$5:$B$604,MATCH(C254,Jobs!$A$5:$A$604,0)),""))</f>
        <v>0</v>
      </c>
      <c r="J254" s="21">
        <f>IF(C254="","",IFERROR(INDEX(Jobs!$AJ$5:$AJ$604,MATCH(C254,Jobs!$A$5:$A$604,0)),"0"))</f>
        <v>0</v>
      </c>
      <c r="K254" s="23">
        <f>IF(C254="","",IFERROR(INDEX(Jobs!$M$5:$M$604,MATCH(C254,Jobs!$A$5:$A$604,0)),""))</f>
        <v>0</v>
      </c>
      <c r="L254" s="51">
        <f>IF(B254="","",IF(E254&lt;&gt;"",E254,IF(C254="","",K254&amp;" - "&amp;TEXT(D254,"d mmm yyyy"))))</f>
        <v>0</v>
      </c>
      <c r="M254" s="21">
        <f>IF(B254="","",IF(G254&lt;&gt;"",G254,IFERROR(J254*1,0)))</f>
        <v>0</v>
      </c>
      <c r="N254" s="21">
        <f>IF(B254="","",ROUND(IF(F254="",1,F254)*M254,2))</f>
        <v>0</v>
      </c>
      <c r="O254" s="39">
        <f>IF(B254="","",IF(C254="","",IF(COUNTIFS($C$5:$C$804,C254)&gt;1,"Duplicate","OK")))</f>
        <v>0</v>
      </c>
      <c r="P254" s="31">
        <f>IF(OR(B254="",E254=""),"",COUNTIFS($B$5:B254,B254))</f>
        <v>0</v>
      </c>
      <c r="Q254" s="23">
        <f>IF(P254="","",B254&amp;"|"&amp;P254)</f>
        <v>0</v>
      </c>
      <c r="R254" s="39">
        <f>IF(B254="","",IF(O254="Duplicate","Duplicate - job billed twice",IF(M254=0,"Add - no price on this line",IF(AND(C254="",E254=""),"Add - what is this line for?","OK"))))</f>
        <v>0</v>
      </c>
    </row>
    <row r="255" spans="1:18">
      <c r="A255" s="43">
        <f>IF(B255="","","IL-"&amp;TEXT(ROW()-4,"0000"))</f>
        <v>0</v>
      </c>
      <c r="D255" s="18">
        <f>IF(C255="","",IFERROR(INDEX(Jobs!$B$5:$B$604,MATCH(C255,Jobs!$A$5:$A$604,0)),""))</f>
        <v>0</v>
      </c>
      <c r="J255" s="21">
        <f>IF(C255="","",IFERROR(INDEX(Jobs!$AJ$5:$AJ$604,MATCH(C255,Jobs!$A$5:$A$604,0)),"0"))</f>
        <v>0</v>
      </c>
      <c r="K255" s="23">
        <f>IF(C255="","",IFERROR(INDEX(Jobs!$M$5:$M$604,MATCH(C255,Jobs!$A$5:$A$604,0)),""))</f>
        <v>0</v>
      </c>
      <c r="L255" s="51">
        <f>IF(B255="","",IF(E255&lt;&gt;"",E255,IF(C255="","",K255&amp;" - "&amp;TEXT(D255,"d mmm yyyy"))))</f>
        <v>0</v>
      </c>
      <c r="M255" s="21">
        <f>IF(B255="","",IF(G255&lt;&gt;"",G255,IFERROR(J255*1,0)))</f>
        <v>0</v>
      </c>
      <c r="N255" s="21">
        <f>IF(B255="","",ROUND(IF(F255="",1,F255)*M255,2))</f>
        <v>0</v>
      </c>
      <c r="O255" s="39">
        <f>IF(B255="","",IF(C255="","",IF(COUNTIFS($C$5:$C$804,C255)&gt;1,"Duplicate","OK")))</f>
        <v>0</v>
      </c>
      <c r="P255" s="31">
        <f>IF(OR(B255="",E255=""),"",COUNTIFS($B$5:B255,B255))</f>
        <v>0</v>
      </c>
      <c r="Q255" s="23">
        <f>IF(P255="","",B255&amp;"|"&amp;P255)</f>
        <v>0</v>
      </c>
      <c r="R255" s="39">
        <f>IF(B255="","",IF(O255="Duplicate","Duplicate - job billed twice",IF(M255=0,"Add - no price on this line",IF(AND(C255="",E255=""),"Add - what is this line for?","OK"))))</f>
        <v>0</v>
      </c>
    </row>
    <row r="256" spans="1:18">
      <c r="A256" s="43">
        <f>IF(B256="","","IL-"&amp;TEXT(ROW()-4,"0000"))</f>
        <v>0</v>
      </c>
      <c r="D256" s="18">
        <f>IF(C256="","",IFERROR(INDEX(Jobs!$B$5:$B$604,MATCH(C256,Jobs!$A$5:$A$604,0)),""))</f>
        <v>0</v>
      </c>
      <c r="J256" s="21">
        <f>IF(C256="","",IFERROR(INDEX(Jobs!$AJ$5:$AJ$604,MATCH(C256,Jobs!$A$5:$A$604,0)),"0"))</f>
        <v>0</v>
      </c>
      <c r="K256" s="23">
        <f>IF(C256="","",IFERROR(INDEX(Jobs!$M$5:$M$604,MATCH(C256,Jobs!$A$5:$A$604,0)),""))</f>
        <v>0</v>
      </c>
      <c r="L256" s="51">
        <f>IF(B256="","",IF(E256&lt;&gt;"",E256,IF(C256="","",K256&amp;" - "&amp;TEXT(D256,"d mmm yyyy"))))</f>
        <v>0</v>
      </c>
      <c r="M256" s="21">
        <f>IF(B256="","",IF(G256&lt;&gt;"",G256,IFERROR(J256*1,0)))</f>
        <v>0</v>
      </c>
      <c r="N256" s="21">
        <f>IF(B256="","",ROUND(IF(F256="",1,F256)*M256,2))</f>
        <v>0</v>
      </c>
      <c r="O256" s="39">
        <f>IF(B256="","",IF(C256="","",IF(COUNTIFS($C$5:$C$804,C256)&gt;1,"Duplicate","OK")))</f>
        <v>0</v>
      </c>
      <c r="P256" s="31">
        <f>IF(OR(B256="",E256=""),"",COUNTIFS($B$5:B256,B256))</f>
        <v>0</v>
      </c>
      <c r="Q256" s="23">
        <f>IF(P256="","",B256&amp;"|"&amp;P256)</f>
        <v>0</v>
      </c>
      <c r="R256" s="39">
        <f>IF(B256="","",IF(O256="Duplicate","Duplicate - job billed twice",IF(M256=0,"Add - no price on this line",IF(AND(C256="",E256=""),"Add - what is this line for?","OK"))))</f>
        <v>0</v>
      </c>
    </row>
    <row r="257" spans="1:18">
      <c r="A257" s="43">
        <f>IF(B257="","","IL-"&amp;TEXT(ROW()-4,"0000"))</f>
        <v>0</v>
      </c>
      <c r="D257" s="18">
        <f>IF(C257="","",IFERROR(INDEX(Jobs!$B$5:$B$604,MATCH(C257,Jobs!$A$5:$A$604,0)),""))</f>
        <v>0</v>
      </c>
      <c r="J257" s="21">
        <f>IF(C257="","",IFERROR(INDEX(Jobs!$AJ$5:$AJ$604,MATCH(C257,Jobs!$A$5:$A$604,0)),"0"))</f>
        <v>0</v>
      </c>
      <c r="K257" s="23">
        <f>IF(C257="","",IFERROR(INDEX(Jobs!$M$5:$M$604,MATCH(C257,Jobs!$A$5:$A$604,0)),""))</f>
        <v>0</v>
      </c>
      <c r="L257" s="51">
        <f>IF(B257="","",IF(E257&lt;&gt;"",E257,IF(C257="","",K257&amp;" - "&amp;TEXT(D257,"d mmm yyyy"))))</f>
        <v>0</v>
      </c>
      <c r="M257" s="21">
        <f>IF(B257="","",IF(G257&lt;&gt;"",G257,IFERROR(J257*1,0)))</f>
        <v>0</v>
      </c>
      <c r="N257" s="21">
        <f>IF(B257="","",ROUND(IF(F257="",1,F257)*M257,2))</f>
        <v>0</v>
      </c>
      <c r="O257" s="39">
        <f>IF(B257="","",IF(C257="","",IF(COUNTIFS($C$5:$C$804,C257)&gt;1,"Duplicate","OK")))</f>
        <v>0</v>
      </c>
      <c r="P257" s="31">
        <f>IF(OR(B257="",E257=""),"",COUNTIFS($B$5:B257,B257))</f>
        <v>0</v>
      </c>
      <c r="Q257" s="23">
        <f>IF(P257="","",B257&amp;"|"&amp;P257)</f>
        <v>0</v>
      </c>
      <c r="R257" s="39">
        <f>IF(B257="","",IF(O257="Duplicate","Duplicate - job billed twice",IF(M257=0,"Add - no price on this line",IF(AND(C257="",E257=""),"Add - what is this line for?","OK"))))</f>
        <v>0</v>
      </c>
    </row>
    <row r="258" spans="1:18">
      <c r="A258" s="43">
        <f>IF(B258="","","IL-"&amp;TEXT(ROW()-4,"0000"))</f>
        <v>0</v>
      </c>
      <c r="D258" s="18">
        <f>IF(C258="","",IFERROR(INDEX(Jobs!$B$5:$B$604,MATCH(C258,Jobs!$A$5:$A$604,0)),""))</f>
        <v>0</v>
      </c>
      <c r="J258" s="21">
        <f>IF(C258="","",IFERROR(INDEX(Jobs!$AJ$5:$AJ$604,MATCH(C258,Jobs!$A$5:$A$604,0)),"0"))</f>
        <v>0</v>
      </c>
      <c r="K258" s="23">
        <f>IF(C258="","",IFERROR(INDEX(Jobs!$M$5:$M$604,MATCH(C258,Jobs!$A$5:$A$604,0)),""))</f>
        <v>0</v>
      </c>
      <c r="L258" s="51">
        <f>IF(B258="","",IF(E258&lt;&gt;"",E258,IF(C258="","",K258&amp;" - "&amp;TEXT(D258,"d mmm yyyy"))))</f>
        <v>0</v>
      </c>
      <c r="M258" s="21">
        <f>IF(B258="","",IF(G258&lt;&gt;"",G258,IFERROR(J258*1,0)))</f>
        <v>0</v>
      </c>
      <c r="N258" s="21">
        <f>IF(B258="","",ROUND(IF(F258="",1,F258)*M258,2))</f>
        <v>0</v>
      </c>
      <c r="O258" s="39">
        <f>IF(B258="","",IF(C258="","",IF(COUNTIFS($C$5:$C$804,C258)&gt;1,"Duplicate","OK")))</f>
        <v>0</v>
      </c>
      <c r="P258" s="31">
        <f>IF(OR(B258="",E258=""),"",COUNTIFS($B$5:B258,B258))</f>
        <v>0</v>
      </c>
      <c r="Q258" s="23">
        <f>IF(P258="","",B258&amp;"|"&amp;P258)</f>
        <v>0</v>
      </c>
      <c r="R258" s="39">
        <f>IF(B258="","",IF(O258="Duplicate","Duplicate - job billed twice",IF(M258=0,"Add - no price on this line",IF(AND(C258="",E258=""),"Add - what is this line for?","OK"))))</f>
        <v>0</v>
      </c>
    </row>
    <row r="259" spans="1:18">
      <c r="A259" s="43">
        <f>IF(B259="","","IL-"&amp;TEXT(ROW()-4,"0000"))</f>
        <v>0</v>
      </c>
      <c r="D259" s="18">
        <f>IF(C259="","",IFERROR(INDEX(Jobs!$B$5:$B$604,MATCH(C259,Jobs!$A$5:$A$604,0)),""))</f>
        <v>0</v>
      </c>
      <c r="J259" s="21">
        <f>IF(C259="","",IFERROR(INDEX(Jobs!$AJ$5:$AJ$604,MATCH(C259,Jobs!$A$5:$A$604,0)),"0"))</f>
        <v>0</v>
      </c>
      <c r="K259" s="23">
        <f>IF(C259="","",IFERROR(INDEX(Jobs!$M$5:$M$604,MATCH(C259,Jobs!$A$5:$A$604,0)),""))</f>
        <v>0</v>
      </c>
      <c r="L259" s="51">
        <f>IF(B259="","",IF(E259&lt;&gt;"",E259,IF(C259="","",K259&amp;" - "&amp;TEXT(D259,"d mmm yyyy"))))</f>
        <v>0</v>
      </c>
      <c r="M259" s="21">
        <f>IF(B259="","",IF(G259&lt;&gt;"",G259,IFERROR(J259*1,0)))</f>
        <v>0</v>
      </c>
      <c r="N259" s="21">
        <f>IF(B259="","",ROUND(IF(F259="",1,F259)*M259,2))</f>
        <v>0</v>
      </c>
      <c r="O259" s="39">
        <f>IF(B259="","",IF(C259="","",IF(COUNTIFS($C$5:$C$804,C259)&gt;1,"Duplicate","OK")))</f>
        <v>0</v>
      </c>
      <c r="P259" s="31">
        <f>IF(OR(B259="",E259=""),"",COUNTIFS($B$5:B259,B259))</f>
        <v>0</v>
      </c>
      <c r="Q259" s="23">
        <f>IF(P259="","",B259&amp;"|"&amp;P259)</f>
        <v>0</v>
      </c>
      <c r="R259" s="39">
        <f>IF(B259="","",IF(O259="Duplicate","Duplicate - job billed twice",IF(M259=0,"Add - no price on this line",IF(AND(C259="",E259=""),"Add - what is this line for?","OK"))))</f>
        <v>0</v>
      </c>
    </row>
    <row r="260" spans="1:18">
      <c r="A260" s="43">
        <f>IF(B260="","","IL-"&amp;TEXT(ROW()-4,"0000"))</f>
        <v>0</v>
      </c>
      <c r="D260" s="18">
        <f>IF(C260="","",IFERROR(INDEX(Jobs!$B$5:$B$604,MATCH(C260,Jobs!$A$5:$A$604,0)),""))</f>
        <v>0</v>
      </c>
      <c r="J260" s="21">
        <f>IF(C260="","",IFERROR(INDEX(Jobs!$AJ$5:$AJ$604,MATCH(C260,Jobs!$A$5:$A$604,0)),"0"))</f>
        <v>0</v>
      </c>
      <c r="K260" s="23">
        <f>IF(C260="","",IFERROR(INDEX(Jobs!$M$5:$M$604,MATCH(C260,Jobs!$A$5:$A$604,0)),""))</f>
        <v>0</v>
      </c>
      <c r="L260" s="51">
        <f>IF(B260="","",IF(E260&lt;&gt;"",E260,IF(C260="","",K260&amp;" - "&amp;TEXT(D260,"d mmm yyyy"))))</f>
        <v>0</v>
      </c>
      <c r="M260" s="21">
        <f>IF(B260="","",IF(G260&lt;&gt;"",G260,IFERROR(J260*1,0)))</f>
        <v>0</v>
      </c>
      <c r="N260" s="21">
        <f>IF(B260="","",ROUND(IF(F260="",1,F260)*M260,2))</f>
        <v>0</v>
      </c>
      <c r="O260" s="39">
        <f>IF(B260="","",IF(C260="","",IF(COUNTIFS($C$5:$C$804,C260)&gt;1,"Duplicate","OK")))</f>
        <v>0</v>
      </c>
      <c r="P260" s="31">
        <f>IF(OR(B260="",E260=""),"",COUNTIFS($B$5:B260,B260))</f>
        <v>0</v>
      </c>
      <c r="Q260" s="23">
        <f>IF(P260="","",B260&amp;"|"&amp;P260)</f>
        <v>0</v>
      </c>
      <c r="R260" s="39">
        <f>IF(B260="","",IF(O260="Duplicate","Duplicate - job billed twice",IF(M260=0,"Add - no price on this line",IF(AND(C260="",E260=""),"Add - what is this line for?","OK"))))</f>
        <v>0</v>
      </c>
    </row>
    <row r="261" spans="1:18">
      <c r="A261" s="43">
        <f>IF(B261="","","IL-"&amp;TEXT(ROW()-4,"0000"))</f>
        <v>0</v>
      </c>
      <c r="D261" s="18">
        <f>IF(C261="","",IFERROR(INDEX(Jobs!$B$5:$B$604,MATCH(C261,Jobs!$A$5:$A$604,0)),""))</f>
        <v>0</v>
      </c>
      <c r="J261" s="21">
        <f>IF(C261="","",IFERROR(INDEX(Jobs!$AJ$5:$AJ$604,MATCH(C261,Jobs!$A$5:$A$604,0)),"0"))</f>
        <v>0</v>
      </c>
      <c r="K261" s="23">
        <f>IF(C261="","",IFERROR(INDEX(Jobs!$M$5:$M$604,MATCH(C261,Jobs!$A$5:$A$604,0)),""))</f>
        <v>0</v>
      </c>
      <c r="L261" s="51">
        <f>IF(B261="","",IF(E261&lt;&gt;"",E261,IF(C261="","",K261&amp;" - "&amp;TEXT(D261,"d mmm yyyy"))))</f>
        <v>0</v>
      </c>
      <c r="M261" s="21">
        <f>IF(B261="","",IF(G261&lt;&gt;"",G261,IFERROR(J261*1,0)))</f>
        <v>0</v>
      </c>
      <c r="N261" s="21">
        <f>IF(B261="","",ROUND(IF(F261="",1,F261)*M261,2))</f>
        <v>0</v>
      </c>
      <c r="O261" s="39">
        <f>IF(B261="","",IF(C261="","",IF(COUNTIFS($C$5:$C$804,C261)&gt;1,"Duplicate","OK")))</f>
        <v>0</v>
      </c>
      <c r="P261" s="31">
        <f>IF(OR(B261="",E261=""),"",COUNTIFS($B$5:B261,B261))</f>
        <v>0</v>
      </c>
      <c r="Q261" s="23">
        <f>IF(P261="","",B261&amp;"|"&amp;P261)</f>
        <v>0</v>
      </c>
      <c r="R261" s="39">
        <f>IF(B261="","",IF(O261="Duplicate","Duplicate - job billed twice",IF(M261=0,"Add - no price on this line",IF(AND(C261="",E261=""),"Add - what is this line for?","OK"))))</f>
        <v>0</v>
      </c>
    </row>
    <row r="262" spans="1:18">
      <c r="A262" s="43">
        <f>IF(B262="","","IL-"&amp;TEXT(ROW()-4,"0000"))</f>
        <v>0</v>
      </c>
      <c r="D262" s="18">
        <f>IF(C262="","",IFERROR(INDEX(Jobs!$B$5:$B$604,MATCH(C262,Jobs!$A$5:$A$604,0)),""))</f>
        <v>0</v>
      </c>
      <c r="J262" s="21">
        <f>IF(C262="","",IFERROR(INDEX(Jobs!$AJ$5:$AJ$604,MATCH(C262,Jobs!$A$5:$A$604,0)),"0"))</f>
        <v>0</v>
      </c>
      <c r="K262" s="23">
        <f>IF(C262="","",IFERROR(INDEX(Jobs!$M$5:$M$604,MATCH(C262,Jobs!$A$5:$A$604,0)),""))</f>
        <v>0</v>
      </c>
      <c r="L262" s="51">
        <f>IF(B262="","",IF(E262&lt;&gt;"",E262,IF(C262="","",K262&amp;" - "&amp;TEXT(D262,"d mmm yyyy"))))</f>
        <v>0</v>
      </c>
      <c r="M262" s="21">
        <f>IF(B262="","",IF(G262&lt;&gt;"",G262,IFERROR(J262*1,0)))</f>
        <v>0</v>
      </c>
      <c r="N262" s="21">
        <f>IF(B262="","",ROUND(IF(F262="",1,F262)*M262,2))</f>
        <v>0</v>
      </c>
      <c r="O262" s="39">
        <f>IF(B262="","",IF(C262="","",IF(COUNTIFS($C$5:$C$804,C262)&gt;1,"Duplicate","OK")))</f>
        <v>0</v>
      </c>
      <c r="P262" s="31">
        <f>IF(OR(B262="",E262=""),"",COUNTIFS($B$5:B262,B262))</f>
        <v>0</v>
      </c>
      <c r="Q262" s="23">
        <f>IF(P262="","",B262&amp;"|"&amp;P262)</f>
        <v>0</v>
      </c>
      <c r="R262" s="39">
        <f>IF(B262="","",IF(O262="Duplicate","Duplicate - job billed twice",IF(M262=0,"Add - no price on this line",IF(AND(C262="",E262=""),"Add - what is this line for?","OK"))))</f>
        <v>0</v>
      </c>
    </row>
    <row r="263" spans="1:18">
      <c r="A263" s="43">
        <f>IF(B263="","","IL-"&amp;TEXT(ROW()-4,"0000"))</f>
        <v>0</v>
      </c>
      <c r="D263" s="18">
        <f>IF(C263="","",IFERROR(INDEX(Jobs!$B$5:$B$604,MATCH(C263,Jobs!$A$5:$A$604,0)),""))</f>
        <v>0</v>
      </c>
      <c r="J263" s="21">
        <f>IF(C263="","",IFERROR(INDEX(Jobs!$AJ$5:$AJ$604,MATCH(C263,Jobs!$A$5:$A$604,0)),"0"))</f>
        <v>0</v>
      </c>
      <c r="K263" s="23">
        <f>IF(C263="","",IFERROR(INDEX(Jobs!$M$5:$M$604,MATCH(C263,Jobs!$A$5:$A$604,0)),""))</f>
        <v>0</v>
      </c>
      <c r="L263" s="51">
        <f>IF(B263="","",IF(E263&lt;&gt;"",E263,IF(C263="","",K263&amp;" - "&amp;TEXT(D263,"d mmm yyyy"))))</f>
        <v>0</v>
      </c>
      <c r="M263" s="21">
        <f>IF(B263="","",IF(G263&lt;&gt;"",G263,IFERROR(J263*1,0)))</f>
        <v>0</v>
      </c>
      <c r="N263" s="21">
        <f>IF(B263="","",ROUND(IF(F263="",1,F263)*M263,2))</f>
        <v>0</v>
      </c>
      <c r="O263" s="39">
        <f>IF(B263="","",IF(C263="","",IF(COUNTIFS($C$5:$C$804,C263)&gt;1,"Duplicate","OK")))</f>
        <v>0</v>
      </c>
      <c r="P263" s="31">
        <f>IF(OR(B263="",E263=""),"",COUNTIFS($B$5:B263,B263))</f>
        <v>0</v>
      </c>
      <c r="Q263" s="23">
        <f>IF(P263="","",B263&amp;"|"&amp;P263)</f>
        <v>0</v>
      </c>
      <c r="R263" s="39">
        <f>IF(B263="","",IF(O263="Duplicate","Duplicate - job billed twice",IF(M263=0,"Add - no price on this line",IF(AND(C263="",E263=""),"Add - what is this line for?","OK"))))</f>
        <v>0</v>
      </c>
    </row>
    <row r="264" spans="1:18">
      <c r="A264" s="43">
        <f>IF(B264="","","IL-"&amp;TEXT(ROW()-4,"0000"))</f>
        <v>0</v>
      </c>
      <c r="D264" s="18">
        <f>IF(C264="","",IFERROR(INDEX(Jobs!$B$5:$B$604,MATCH(C264,Jobs!$A$5:$A$604,0)),""))</f>
        <v>0</v>
      </c>
      <c r="J264" s="21">
        <f>IF(C264="","",IFERROR(INDEX(Jobs!$AJ$5:$AJ$604,MATCH(C264,Jobs!$A$5:$A$604,0)),"0"))</f>
        <v>0</v>
      </c>
      <c r="K264" s="23">
        <f>IF(C264="","",IFERROR(INDEX(Jobs!$M$5:$M$604,MATCH(C264,Jobs!$A$5:$A$604,0)),""))</f>
        <v>0</v>
      </c>
      <c r="L264" s="51">
        <f>IF(B264="","",IF(E264&lt;&gt;"",E264,IF(C264="","",K264&amp;" - "&amp;TEXT(D264,"d mmm yyyy"))))</f>
        <v>0</v>
      </c>
      <c r="M264" s="21">
        <f>IF(B264="","",IF(G264&lt;&gt;"",G264,IFERROR(J264*1,0)))</f>
        <v>0</v>
      </c>
      <c r="N264" s="21">
        <f>IF(B264="","",ROUND(IF(F264="",1,F264)*M264,2))</f>
        <v>0</v>
      </c>
      <c r="O264" s="39">
        <f>IF(B264="","",IF(C264="","",IF(COUNTIFS($C$5:$C$804,C264)&gt;1,"Duplicate","OK")))</f>
        <v>0</v>
      </c>
      <c r="P264" s="31">
        <f>IF(OR(B264="",E264=""),"",COUNTIFS($B$5:B264,B264))</f>
        <v>0</v>
      </c>
      <c r="Q264" s="23">
        <f>IF(P264="","",B264&amp;"|"&amp;P264)</f>
        <v>0</v>
      </c>
      <c r="R264" s="39">
        <f>IF(B264="","",IF(O264="Duplicate","Duplicate - job billed twice",IF(M264=0,"Add - no price on this line",IF(AND(C264="",E264=""),"Add - what is this line for?","OK"))))</f>
        <v>0</v>
      </c>
    </row>
    <row r="265" spans="1:18">
      <c r="A265" s="43">
        <f>IF(B265="","","IL-"&amp;TEXT(ROW()-4,"0000"))</f>
        <v>0</v>
      </c>
      <c r="D265" s="18">
        <f>IF(C265="","",IFERROR(INDEX(Jobs!$B$5:$B$604,MATCH(C265,Jobs!$A$5:$A$604,0)),""))</f>
        <v>0</v>
      </c>
      <c r="J265" s="21">
        <f>IF(C265="","",IFERROR(INDEX(Jobs!$AJ$5:$AJ$604,MATCH(C265,Jobs!$A$5:$A$604,0)),"0"))</f>
        <v>0</v>
      </c>
      <c r="K265" s="23">
        <f>IF(C265="","",IFERROR(INDEX(Jobs!$M$5:$M$604,MATCH(C265,Jobs!$A$5:$A$604,0)),""))</f>
        <v>0</v>
      </c>
      <c r="L265" s="51">
        <f>IF(B265="","",IF(E265&lt;&gt;"",E265,IF(C265="","",K265&amp;" - "&amp;TEXT(D265,"d mmm yyyy"))))</f>
        <v>0</v>
      </c>
      <c r="M265" s="21">
        <f>IF(B265="","",IF(G265&lt;&gt;"",G265,IFERROR(J265*1,0)))</f>
        <v>0</v>
      </c>
      <c r="N265" s="21">
        <f>IF(B265="","",ROUND(IF(F265="",1,F265)*M265,2))</f>
        <v>0</v>
      </c>
      <c r="O265" s="39">
        <f>IF(B265="","",IF(C265="","",IF(COUNTIFS($C$5:$C$804,C265)&gt;1,"Duplicate","OK")))</f>
        <v>0</v>
      </c>
      <c r="P265" s="31">
        <f>IF(OR(B265="",E265=""),"",COUNTIFS($B$5:B265,B265))</f>
        <v>0</v>
      </c>
      <c r="Q265" s="23">
        <f>IF(P265="","",B265&amp;"|"&amp;P265)</f>
        <v>0</v>
      </c>
      <c r="R265" s="39">
        <f>IF(B265="","",IF(O265="Duplicate","Duplicate - job billed twice",IF(M265=0,"Add - no price on this line",IF(AND(C265="",E265=""),"Add - what is this line for?","OK"))))</f>
        <v>0</v>
      </c>
    </row>
    <row r="266" spans="1:18">
      <c r="A266" s="43">
        <f>IF(B266="","","IL-"&amp;TEXT(ROW()-4,"0000"))</f>
        <v>0</v>
      </c>
      <c r="D266" s="18">
        <f>IF(C266="","",IFERROR(INDEX(Jobs!$B$5:$B$604,MATCH(C266,Jobs!$A$5:$A$604,0)),""))</f>
        <v>0</v>
      </c>
      <c r="J266" s="21">
        <f>IF(C266="","",IFERROR(INDEX(Jobs!$AJ$5:$AJ$604,MATCH(C266,Jobs!$A$5:$A$604,0)),"0"))</f>
        <v>0</v>
      </c>
      <c r="K266" s="23">
        <f>IF(C266="","",IFERROR(INDEX(Jobs!$M$5:$M$604,MATCH(C266,Jobs!$A$5:$A$604,0)),""))</f>
        <v>0</v>
      </c>
      <c r="L266" s="51">
        <f>IF(B266="","",IF(E266&lt;&gt;"",E266,IF(C266="","",K266&amp;" - "&amp;TEXT(D266,"d mmm yyyy"))))</f>
        <v>0</v>
      </c>
      <c r="M266" s="21">
        <f>IF(B266="","",IF(G266&lt;&gt;"",G266,IFERROR(J266*1,0)))</f>
        <v>0</v>
      </c>
      <c r="N266" s="21">
        <f>IF(B266="","",ROUND(IF(F266="",1,F266)*M266,2))</f>
        <v>0</v>
      </c>
      <c r="O266" s="39">
        <f>IF(B266="","",IF(C266="","",IF(COUNTIFS($C$5:$C$804,C266)&gt;1,"Duplicate","OK")))</f>
        <v>0</v>
      </c>
      <c r="P266" s="31">
        <f>IF(OR(B266="",E266=""),"",COUNTIFS($B$5:B266,B266))</f>
        <v>0</v>
      </c>
      <c r="Q266" s="23">
        <f>IF(P266="","",B266&amp;"|"&amp;P266)</f>
        <v>0</v>
      </c>
      <c r="R266" s="39">
        <f>IF(B266="","",IF(O266="Duplicate","Duplicate - job billed twice",IF(M266=0,"Add - no price on this line",IF(AND(C266="",E266=""),"Add - what is this line for?","OK"))))</f>
        <v>0</v>
      </c>
    </row>
    <row r="267" spans="1:18">
      <c r="A267" s="43">
        <f>IF(B267="","","IL-"&amp;TEXT(ROW()-4,"0000"))</f>
        <v>0</v>
      </c>
      <c r="D267" s="18">
        <f>IF(C267="","",IFERROR(INDEX(Jobs!$B$5:$B$604,MATCH(C267,Jobs!$A$5:$A$604,0)),""))</f>
        <v>0</v>
      </c>
      <c r="J267" s="21">
        <f>IF(C267="","",IFERROR(INDEX(Jobs!$AJ$5:$AJ$604,MATCH(C267,Jobs!$A$5:$A$604,0)),"0"))</f>
        <v>0</v>
      </c>
      <c r="K267" s="23">
        <f>IF(C267="","",IFERROR(INDEX(Jobs!$M$5:$M$604,MATCH(C267,Jobs!$A$5:$A$604,0)),""))</f>
        <v>0</v>
      </c>
      <c r="L267" s="51">
        <f>IF(B267="","",IF(E267&lt;&gt;"",E267,IF(C267="","",K267&amp;" - "&amp;TEXT(D267,"d mmm yyyy"))))</f>
        <v>0</v>
      </c>
      <c r="M267" s="21">
        <f>IF(B267="","",IF(G267&lt;&gt;"",G267,IFERROR(J267*1,0)))</f>
        <v>0</v>
      </c>
      <c r="N267" s="21">
        <f>IF(B267="","",ROUND(IF(F267="",1,F267)*M267,2))</f>
        <v>0</v>
      </c>
      <c r="O267" s="39">
        <f>IF(B267="","",IF(C267="","",IF(COUNTIFS($C$5:$C$804,C267)&gt;1,"Duplicate","OK")))</f>
        <v>0</v>
      </c>
      <c r="P267" s="31">
        <f>IF(OR(B267="",E267=""),"",COUNTIFS($B$5:B267,B267))</f>
        <v>0</v>
      </c>
      <c r="Q267" s="23">
        <f>IF(P267="","",B267&amp;"|"&amp;P267)</f>
        <v>0</v>
      </c>
      <c r="R267" s="39">
        <f>IF(B267="","",IF(O267="Duplicate","Duplicate - job billed twice",IF(M267=0,"Add - no price on this line",IF(AND(C267="",E267=""),"Add - what is this line for?","OK"))))</f>
        <v>0</v>
      </c>
    </row>
    <row r="268" spans="1:18">
      <c r="A268" s="43">
        <f>IF(B268="","","IL-"&amp;TEXT(ROW()-4,"0000"))</f>
        <v>0</v>
      </c>
      <c r="D268" s="18">
        <f>IF(C268="","",IFERROR(INDEX(Jobs!$B$5:$B$604,MATCH(C268,Jobs!$A$5:$A$604,0)),""))</f>
        <v>0</v>
      </c>
      <c r="J268" s="21">
        <f>IF(C268="","",IFERROR(INDEX(Jobs!$AJ$5:$AJ$604,MATCH(C268,Jobs!$A$5:$A$604,0)),"0"))</f>
        <v>0</v>
      </c>
      <c r="K268" s="23">
        <f>IF(C268="","",IFERROR(INDEX(Jobs!$M$5:$M$604,MATCH(C268,Jobs!$A$5:$A$604,0)),""))</f>
        <v>0</v>
      </c>
      <c r="L268" s="51">
        <f>IF(B268="","",IF(E268&lt;&gt;"",E268,IF(C268="","",K268&amp;" - "&amp;TEXT(D268,"d mmm yyyy"))))</f>
        <v>0</v>
      </c>
      <c r="M268" s="21">
        <f>IF(B268="","",IF(G268&lt;&gt;"",G268,IFERROR(J268*1,0)))</f>
        <v>0</v>
      </c>
      <c r="N268" s="21">
        <f>IF(B268="","",ROUND(IF(F268="",1,F268)*M268,2))</f>
        <v>0</v>
      </c>
      <c r="O268" s="39">
        <f>IF(B268="","",IF(C268="","",IF(COUNTIFS($C$5:$C$804,C268)&gt;1,"Duplicate","OK")))</f>
        <v>0</v>
      </c>
      <c r="P268" s="31">
        <f>IF(OR(B268="",E268=""),"",COUNTIFS($B$5:B268,B268))</f>
        <v>0</v>
      </c>
      <c r="Q268" s="23">
        <f>IF(P268="","",B268&amp;"|"&amp;P268)</f>
        <v>0</v>
      </c>
      <c r="R268" s="39">
        <f>IF(B268="","",IF(O268="Duplicate","Duplicate - job billed twice",IF(M268=0,"Add - no price on this line",IF(AND(C268="",E268=""),"Add - what is this line for?","OK"))))</f>
        <v>0</v>
      </c>
    </row>
    <row r="269" spans="1:18">
      <c r="A269" s="43">
        <f>IF(B269="","","IL-"&amp;TEXT(ROW()-4,"0000"))</f>
        <v>0</v>
      </c>
      <c r="D269" s="18">
        <f>IF(C269="","",IFERROR(INDEX(Jobs!$B$5:$B$604,MATCH(C269,Jobs!$A$5:$A$604,0)),""))</f>
        <v>0</v>
      </c>
      <c r="J269" s="21">
        <f>IF(C269="","",IFERROR(INDEX(Jobs!$AJ$5:$AJ$604,MATCH(C269,Jobs!$A$5:$A$604,0)),"0"))</f>
        <v>0</v>
      </c>
      <c r="K269" s="23">
        <f>IF(C269="","",IFERROR(INDEX(Jobs!$M$5:$M$604,MATCH(C269,Jobs!$A$5:$A$604,0)),""))</f>
        <v>0</v>
      </c>
      <c r="L269" s="51">
        <f>IF(B269="","",IF(E269&lt;&gt;"",E269,IF(C269="","",K269&amp;" - "&amp;TEXT(D269,"d mmm yyyy"))))</f>
        <v>0</v>
      </c>
      <c r="M269" s="21">
        <f>IF(B269="","",IF(G269&lt;&gt;"",G269,IFERROR(J269*1,0)))</f>
        <v>0</v>
      </c>
      <c r="N269" s="21">
        <f>IF(B269="","",ROUND(IF(F269="",1,F269)*M269,2))</f>
        <v>0</v>
      </c>
      <c r="O269" s="39">
        <f>IF(B269="","",IF(C269="","",IF(COUNTIFS($C$5:$C$804,C269)&gt;1,"Duplicate","OK")))</f>
        <v>0</v>
      </c>
      <c r="P269" s="31">
        <f>IF(OR(B269="",E269=""),"",COUNTIFS($B$5:B269,B269))</f>
        <v>0</v>
      </c>
      <c r="Q269" s="23">
        <f>IF(P269="","",B269&amp;"|"&amp;P269)</f>
        <v>0</v>
      </c>
      <c r="R269" s="39">
        <f>IF(B269="","",IF(O269="Duplicate","Duplicate - job billed twice",IF(M269=0,"Add - no price on this line",IF(AND(C269="",E269=""),"Add - what is this line for?","OK"))))</f>
        <v>0</v>
      </c>
    </row>
    <row r="270" spans="1:18">
      <c r="A270" s="43">
        <f>IF(B270="","","IL-"&amp;TEXT(ROW()-4,"0000"))</f>
        <v>0</v>
      </c>
      <c r="D270" s="18">
        <f>IF(C270="","",IFERROR(INDEX(Jobs!$B$5:$B$604,MATCH(C270,Jobs!$A$5:$A$604,0)),""))</f>
        <v>0</v>
      </c>
      <c r="J270" s="21">
        <f>IF(C270="","",IFERROR(INDEX(Jobs!$AJ$5:$AJ$604,MATCH(C270,Jobs!$A$5:$A$604,0)),"0"))</f>
        <v>0</v>
      </c>
      <c r="K270" s="23">
        <f>IF(C270="","",IFERROR(INDEX(Jobs!$M$5:$M$604,MATCH(C270,Jobs!$A$5:$A$604,0)),""))</f>
        <v>0</v>
      </c>
      <c r="L270" s="51">
        <f>IF(B270="","",IF(E270&lt;&gt;"",E270,IF(C270="","",K270&amp;" - "&amp;TEXT(D270,"d mmm yyyy"))))</f>
        <v>0</v>
      </c>
      <c r="M270" s="21">
        <f>IF(B270="","",IF(G270&lt;&gt;"",G270,IFERROR(J270*1,0)))</f>
        <v>0</v>
      </c>
      <c r="N270" s="21">
        <f>IF(B270="","",ROUND(IF(F270="",1,F270)*M270,2))</f>
        <v>0</v>
      </c>
      <c r="O270" s="39">
        <f>IF(B270="","",IF(C270="","",IF(COUNTIFS($C$5:$C$804,C270)&gt;1,"Duplicate","OK")))</f>
        <v>0</v>
      </c>
      <c r="P270" s="31">
        <f>IF(OR(B270="",E270=""),"",COUNTIFS($B$5:B270,B270))</f>
        <v>0</v>
      </c>
      <c r="Q270" s="23">
        <f>IF(P270="","",B270&amp;"|"&amp;P270)</f>
        <v>0</v>
      </c>
      <c r="R270" s="39">
        <f>IF(B270="","",IF(O270="Duplicate","Duplicate - job billed twice",IF(M270=0,"Add - no price on this line",IF(AND(C270="",E270=""),"Add - what is this line for?","OK"))))</f>
        <v>0</v>
      </c>
    </row>
    <row r="271" spans="1:18">
      <c r="A271" s="43">
        <f>IF(B271="","","IL-"&amp;TEXT(ROW()-4,"0000"))</f>
        <v>0</v>
      </c>
      <c r="D271" s="18">
        <f>IF(C271="","",IFERROR(INDEX(Jobs!$B$5:$B$604,MATCH(C271,Jobs!$A$5:$A$604,0)),""))</f>
        <v>0</v>
      </c>
      <c r="J271" s="21">
        <f>IF(C271="","",IFERROR(INDEX(Jobs!$AJ$5:$AJ$604,MATCH(C271,Jobs!$A$5:$A$604,0)),"0"))</f>
        <v>0</v>
      </c>
      <c r="K271" s="23">
        <f>IF(C271="","",IFERROR(INDEX(Jobs!$M$5:$M$604,MATCH(C271,Jobs!$A$5:$A$604,0)),""))</f>
        <v>0</v>
      </c>
      <c r="L271" s="51">
        <f>IF(B271="","",IF(E271&lt;&gt;"",E271,IF(C271="","",K271&amp;" - "&amp;TEXT(D271,"d mmm yyyy"))))</f>
        <v>0</v>
      </c>
      <c r="M271" s="21">
        <f>IF(B271="","",IF(G271&lt;&gt;"",G271,IFERROR(J271*1,0)))</f>
        <v>0</v>
      </c>
      <c r="N271" s="21">
        <f>IF(B271="","",ROUND(IF(F271="",1,F271)*M271,2))</f>
        <v>0</v>
      </c>
      <c r="O271" s="39">
        <f>IF(B271="","",IF(C271="","",IF(COUNTIFS($C$5:$C$804,C271)&gt;1,"Duplicate","OK")))</f>
        <v>0</v>
      </c>
      <c r="P271" s="31">
        <f>IF(OR(B271="",E271=""),"",COUNTIFS($B$5:B271,B271))</f>
        <v>0</v>
      </c>
      <c r="Q271" s="23">
        <f>IF(P271="","",B271&amp;"|"&amp;P271)</f>
        <v>0</v>
      </c>
      <c r="R271" s="39">
        <f>IF(B271="","",IF(O271="Duplicate","Duplicate - job billed twice",IF(M271=0,"Add - no price on this line",IF(AND(C271="",E271=""),"Add - what is this line for?","OK"))))</f>
        <v>0</v>
      </c>
    </row>
    <row r="272" spans="1:18">
      <c r="A272" s="43">
        <f>IF(B272="","","IL-"&amp;TEXT(ROW()-4,"0000"))</f>
        <v>0</v>
      </c>
      <c r="D272" s="18">
        <f>IF(C272="","",IFERROR(INDEX(Jobs!$B$5:$B$604,MATCH(C272,Jobs!$A$5:$A$604,0)),""))</f>
        <v>0</v>
      </c>
      <c r="J272" s="21">
        <f>IF(C272="","",IFERROR(INDEX(Jobs!$AJ$5:$AJ$604,MATCH(C272,Jobs!$A$5:$A$604,0)),"0"))</f>
        <v>0</v>
      </c>
      <c r="K272" s="23">
        <f>IF(C272="","",IFERROR(INDEX(Jobs!$M$5:$M$604,MATCH(C272,Jobs!$A$5:$A$604,0)),""))</f>
        <v>0</v>
      </c>
      <c r="L272" s="51">
        <f>IF(B272="","",IF(E272&lt;&gt;"",E272,IF(C272="","",K272&amp;" - "&amp;TEXT(D272,"d mmm yyyy"))))</f>
        <v>0</v>
      </c>
      <c r="M272" s="21">
        <f>IF(B272="","",IF(G272&lt;&gt;"",G272,IFERROR(J272*1,0)))</f>
        <v>0</v>
      </c>
      <c r="N272" s="21">
        <f>IF(B272="","",ROUND(IF(F272="",1,F272)*M272,2))</f>
        <v>0</v>
      </c>
      <c r="O272" s="39">
        <f>IF(B272="","",IF(C272="","",IF(COUNTIFS($C$5:$C$804,C272)&gt;1,"Duplicate","OK")))</f>
        <v>0</v>
      </c>
      <c r="P272" s="31">
        <f>IF(OR(B272="",E272=""),"",COUNTIFS($B$5:B272,B272))</f>
        <v>0</v>
      </c>
      <c r="Q272" s="23">
        <f>IF(P272="","",B272&amp;"|"&amp;P272)</f>
        <v>0</v>
      </c>
      <c r="R272" s="39">
        <f>IF(B272="","",IF(O272="Duplicate","Duplicate - job billed twice",IF(M272=0,"Add - no price on this line",IF(AND(C272="",E272=""),"Add - what is this line for?","OK"))))</f>
        <v>0</v>
      </c>
    </row>
    <row r="273" spans="1:18">
      <c r="A273" s="43">
        <f>IF(B273="","","IL-"&amp;TEXT(ROW()-4,"0000"))</f>
        <v>0</v>
      </c>
      <c r="D273" s="18">
        <f>IF(C273="","",IFERROR(INDEX(Jobs!$B$5:$B$604,MATCH(C273,Jobs!$A$5:$A$604,0)),""))</f>
        <v>0</v>
      </c>
      <c r="J273" s="21">
        <f>IF(C273="","",IFERROR(INDEX(Jobs!$AJ$5:$AJ$604,MATCH(C273,Jobs!$A$5:$A$604,0)),"0"))</f>
        <v>0</v>
      </c>
      <c r="K273" s="23">
        <f>IF(C273="","",IFERROR(INDEX(Jobs!$M$5:$M$604,MATCH(C273,Jobs!$A$5:$A$604,0)),""))</f>
        <v>0</v>
      </c>
      <c r="L273" s="51">
        <f>IF(B273="","",IF(E273&lt;&gt;"",E273,IF(C273="","",K273&amp;" - "&amp;TEXT(D273,"d mmm yyyy"))))</f>
        <v>0</v>
      </c>
      <c r="M273" s="21">
        <f>IF(B273="","",IF(G273&lt;&gt;"",G273,IFERROR(J273*1,0)))</f>
        <v>0</v>
      </c>
      <c r="N273" s="21">
        <f>IF(B273="","",ROUND(IF(F273="",1,F273)*M273,2))</f>
        <v>0</v>
      </c>
      <c r="O273" s="39">
        <f>IF(B273="","",IF(C273="","",IF(COUNTIFS($C$5:$C$804,C273)&gt;1,"Duplicate","OK")))</f>
        <v>0</v>
      </c>
      <c r="P273" s="31">
        <f>IF(OR(B273="",E273=""),"",COUNTIFS($B$5:B273,B273))</f>
        <v>0</v>
      </c>
      <c r="Q273" s="23">
        <f>IF(P273="","",B273&amp;"|"&amp;P273)</f>
        <v>0</v>
      </c>
      <c r="R273" s="39">
        <f>IF(B273="","",IF(O273="Duplicate","Duplicate - job billed twice",IF(M273=0,"Add - no price on this line",IF(AND(C273="",E273=""),"Add - what is this line for?","OK"))))</f>
        <v>0</v>
      </c>
    </row>
    <row r="274" spans="1:18">
      <c r="A274" s="43">
        <f>IF(B274="","","IL-"&amp;TEXT(ROW()-4,"0000"))</f>
        <v>0</v>
      </c>
      <c r="D274" s="18">
        <f>IF(C274="","",IFERROR(INDEX(Jobs!$B$5:$B$604,MATCH(C274,Jobs!$A$5:$A$604,0)),""))</f>
        <v>0</v>
      </c>
      <c r="J274" s="21">
        <f>IF(C274="","",IFERROR(INDEX(Jobs!$AJ$5:$AJ$604,MATCH(C274,Jobs!$A$5:$A$604,0)),"0"))</f>
        <v>0</v>
      </c>
      <c r="K274" s="23">
        <f>IF(C274="","",IFERROR(INDEX(Jobs!$M$5:$M$604,MATCH(C274,Jobs!$A$5:$A$604,0)),""))</f>
        <v>0</v>
      </c>
      <c r="L274" s="51">
        <f>IF(B274="","",IF(E274&lt;&gt;"",E274,IF(C274="","",K274&amp;" - "&amp;TEXT(D274,"d mmm yyyy"))))</f>
        <v>0</v>
      </c>
      <c r="M274" s="21">
        <f>IF(B274="","",IF(G274&lt;&gt;"",G274,IFERROR(J274*1,0)))</f>
        <v>0</v>
      </c>
      <c r="N274" s="21">
        <f>IF(B274="","",ROUND(IF(F274="",1,F274)*M274,2))</f>
        <v>0</v>
      </c>
      <c r="O274" s="39">
        <f>IF(B274="","",IF(C274="","",IF(COUNTIFS($C$5:$C$804,C274)&gt;1,"Duplicate","OK")))</f>
        <v>0</v>
      </c>
      <c r="P274" s="31">
        <f>IF(OR(B274="",E274=""),"",COUNTIFS($B$5:B274,B274))</f>
        <v>0</v>
      </c>
      <c r="Q274" s="23">
        <f>IF(P274="","",B274&amp;"|"&amp;P274)</f>
        <v>0</v>
      </c>
      <c r="R274" s="39">
        <f>IF(B274="","",IF(O274="Duplicate","Duplicate - job billed twice",IF(M274=0,"Add - no price on this line",IF(AND(C274="",E274=""),"Add - what is this line for?","OK"))))</f>
        <v>0</v>
      </c>
    </row>
    <row r="275" spans="1:18">
      <c r="A275" s="43">
        <f>IF(B275="","","IL-"&amp;TEXT(ROW()-4,"0000"))</f>
        <v>0</v>
      </c>
      <c r="D275" s="18">
        <f>IF(C275="","",IFERROR(INDEX(Jobs!$B$5:$B$604,MATCH(C275,Jobs!$A$5:$A$604,0)),""))</f>
        <v>0</v>
      </c>
      <c r="J275" s="21">
        <f>IF(C275="","",IFERROR(INDEX(Jobs!$AJ$5:$AJ$604,MATCH(C275,Jobs!$A$5:$A$604,0)),"0"))</f>
        <v>0</v>
      </c>
      <c r="K275" s="23">
        <f>IF(C275="","",IFERROR(INDEX(Jobs!$M$5:$M$604,MATCH(C275,Jobs!$A$5:$A$604,0)),""))</f>
        <v>0</v>
      </c>
      <c r="L275" s="51">
        <f>IF(B275="","",IF(E275&lt;&gt;"",E275,IF(C275="","",K275&amp;" - "&amp;TEXT(D275,"d mmm yyyy"))))</f>
        <v>0</v>
      </c>
      <c r="M275" s="21">
        <f>IF(B275="","",IF(G275&lt;&gt;"",G275,IFERROR(J275*1,0)))</f>
        <v>0</v>
      </c>
      <c r="N275" s="21">
        <f>IF(B275="","",ROUND(IF(F275="",1,F275)*M275,2))</f>
        <v>0</v>
      </c>
      <c r="O275" s="39">
        <f>IF(B275="","",IF(C275="","",IF(COUNTIFS($C$5:$C$804,C275)&gt;1,"Duplicate","OK")))</f>
        <v>0</v>
      </c>
      <c r="P275" s="31">
        <f>IF(OR(B275="",E275=""),"",COUNTIFS($B$5:B275,B275))</f>
        <v>0</v>
      </c>
      <c r="Q275" s="23">
        <f>IF(P275="","",B275&amp;"|"&amp;P275)</f>
        <v>0</v>
      </c>
      <c r="R275" s="39">
        <f>IF(B275="","",IF(O275="Duplicate","Duplicate - job billed twice",IF(M275=0,"Add - no price on this line",IF(AND(C275="",E275=""),"Add - what is this line for?","OK"))))</f>
        <v>0</v>
      </c>
    </row>
    <row r="276" spans="1:18">
      <c r="A276" s="43">
        <f>IF(B276="","","IL-"&amp;TEXT(ROW()-4,"0000"))</f>
        <v>0</v>
      </c>
      <c r="D276" s="18">
        <f>IF(C276="","",IFERROR(INDEX(Jobs!$B$5:$B$604,MATCH(C276,Jobs!$A$5:$A$604,0)),""))</f>
        <v>0</v>
      </c>
      <c r="J276" s="21">
        <f>IF(C276="","",IFERROR(INDEX(Jobs!$AJ$5:$AJ$604,MATCH(C276,Jobs!$A$5:$A$604,0)),"0"))</f>
        <v>0</v>
      </c>
      <c r="K276" s="23">
        <f>IF(C276="","",IFERROR(INDEX(Jobs!$M$5:$M$604,MATCH(C276,Jobs!$A$5:$A$604,0)),""))</f>
        <v>0</v>
      </c>
      <c r="L276" s="51">
        <f>IF(B276="","",IF(E276&lt;&gt;"",E276,IF(C276="","",K276&amp;" - "&amp;TEXT(D276,"d mmm yyyy"))))</f>
        <v>0</v>
      </c>
      <c r="M276" s="21">
        <f>IF(B276="","",IF(G276&lt;&gt;"",G276,IFERROR(J276*1,0)))</f>
        <v>0</v>
      </c>
      <c r="N276" s="21">
        <f>IF(B276="","",ROUND(IF(F276="",1,F276)*M276,2))</f>
        <v>0</v>
      </c>
      <c r="O276" s="39">
        <f>IF(B276="","",IF(C276="","",IF(COUNTIFS($C$5:$C$804,C276)&gt;1,"Duplicate","OK")))</f>
        <v>0</v>
      </c>
      <c r="P276" s="31">
        <f>IF(OR(B276="",E276=""),"",COUNTIFS($B$5:B276,B276))</f>
        <v>0</v>
      </c>
      <c r="Q276" s="23">
        <f>IF(P276="","",B276&amp;"|"&amp;P276)</f>
        <v>0</v>
      </c>
      <c r="R276" s="39">
        <f>IF(B276="","",IF(O276="Duplicate","Duplicate - job billed twice",IF(M276=0,"Add - no price on this line",IF(AND(C276="",E276=""),"Add - what is this line for?","OK"))))</f>
        <v>0</v>
      </c>
    </row>
    <row r="277" spans="1:18">
      <c r="A277" s="43">
        <f>IF(B277="","","IL-"&amp;TEXT(ROW()-4,"0000"))</f>
        <v>0</v>
      </c>
      <c r="D277" s="18">
        <f>IF(C277="","",IFERROR(INDEX(Jobs!$B$5:$B$604,MATCH(C277,Jobs!$A$5:$A$604,0)),""))</f>
        <v>0</v>
      </c>
      <c r="J277" s="21">
        <f>IF(C277="","",IFERROR(INDEX(Jobs!$AJ$5:$AJ$604,MATCH(C277,Jobs!$A$5:$A$604,0)),"0"))</f>
        <v>0</v>
      </c>
      <c r="K277" s="23">
        <f>IF(C277="","",IFERROR(INDEX(Jobs!$M$5:$M$604,MATCH(C277,Jobs!$A$5:$A$604,0)),""))</f>
        <v>0</v>
      </c>
      <c r="L277" s="51">
        <f>IF(B277="","",IF(E277&lt;&gt;"",E277,IF(C277="","",K277&amp;" - "&amp;TEXT(D277,"d mmm yyyy"))))</f>
        <v>0</v>
      </c>
      <c r="M277" s="21">
        <f>IF(B277="","",IF(G277&lt;&gt;"",G277,IFERROR(J277*1,0)))</f>
        <v>0</v>
      </c>
      <c r="N277" s="21">
        <f>IF(B277="","",ROUND(IF(F277="",1,F277)*M277,2))</f>
        <v>0</v>
      </c>
      <c r="O277" s="39">
        <f>IF(B277="","",IF(C277="","",IF(COUNTIFS($C$5:$C$804,C277)&gt;1,"Duplicate","OK")))</f>
        <v>0</v>
      </c>
      <c r="P277" s="31">
        <f>IF(OR(B277="",E277=""),"",COUNTIFS($B$5:B277,B277))</f>
        <v>0</v>
      </c>
      <c r="Q277" s="23">
        <f>IF(P277="","",B277&amp;"|"&amp;P277)</f>
        <v>0</v>
      </c>
      <c r="R277" s="39">
        <f>IF(B277="","",IF(O277="Duplicate","Duplicate - job billed twice",IF(M277=0,"Add - no price on this line",IF(AND(C277="",E277=""),"Add - what is this line for?","OK"))))</f>
        <v>0</v>
      </c>
    </row>
    <row r="278" spans="1:18">
      <c r="A278" s="43">
        <f>IF(B278="","","IL-"&amp;TEXT(ROW()-4,"0000"))</f>
        <v>0</v>
      </c>
      <c r="D278" s="18">
        <f>IF(C278="","",IFERROR(INDEX(Jobs!$B$5:$B$604,MATCH(C278,Jobs!$A$5:$A$604,0)),""))</f>
        <v>0</v>
      </c>
      <c r="J278" s="21">
        <f>IF(C278="","",IFERROR(INDEX(Jobs!$AJ$5:$AJ$604,MATCH(C278,Jobs!$A$5:$A$604,0)),"0"))</f>
        <v>0</v>
      </c>
      <c r="K278" s="23">
        <f>IF(C278="","",IFERROR(INDEX(Jobs!$M$5:$M$604,MATCH(C278,Jobs!$A$5:$A$604,0)),""))</f>
        <v>0</v>
      </c>
      <c r="L278" s="51">
        <f>IF(B278="","",IF(E278&lt;&gt;"",E278,IF(C278="","",K278&amp;" - "&amp;TEXT(D278,"d mmm yyyy"))))</f>
        <v>0</v>
      </c>
      <c r="M278" s="21">
        <f>IF(B278="","",IF(G278&lt;&gt;"",G278,IFERROR(J278*1,0)))</f>
        <v>0</v>
      </c>
      <c r="N278" s="21">
        <f>IF(B278="","",ROUND(IF(F278="",1,F278)*M278,2))</f>
        <v>0</v>
      </c>
      <c r="O278" s="39">
        <f>IF(B278="","",IF(C278="","",IF(COUNTIFS($C$5:$C$804,C278)&gt;1,"Duplicate","OK")))</f>
        <v>0</v>
      </c>
      <c r="P278" s="31">
        <f>IF(OR(B278="",E278=""),"",COUNTIFS($B$5:B278,B278))</f>
        <v>0</v>
      </c>
      <c r="Q278" s="23">
        <f>IF(P278="","",B278&amp;"|"&amp;P278)</f>
        <v>0</v>
      </c>
      <c r="R278" s="39">
        <f>IF(B278="","",IF(O278="Duplicate","Duplicate - job billed twice",IF(M278=0,"Add - no price on this line",IF(AND(C278="",E278=""),"Add - what is this line for?","OK"))))</f>
        <v>0</v>
      </c>
    </row>
    <row r="279" spans="1:18">
      <c r="A279" s="43">
        <f>IF(B279="","","IL-"&amp;TEXT(ROW()-4,"0000"))</f>
        <v>0</v>
      </c>
      <c r="D279" s="18">
        <f>IF(C279="","",IFERROR(INDEX(Jobs!$B$5:$B$604,MATCH(C279,Jobs!$A$5:$A$604,0)),""))</f>
        <v>0</v>
      </c>
      <c r="J279" s="21">
        <f>IF(C279="","",IFERROR(INDEX(Jobs!$AJ$5:$AJ$604,MATCH(C279,Jobs!$A$5:$A$604,0)),"0"))</f>
        <v>0</v>
      </c>
      <c r="K279" s="23">
        <f>IF(C279="","",IFERROR(INDEX(Jobs!$M$5:$M$604,MATCH(C279,Jobs!$A$5:$A$604,0)),""))</f>
        <v>0</v>
      </c>
      <c r="L279" s="51">
        <f>IF(B279="","",IF(E279&lt;&gt;"",E279,IF(C279="","",K279&amp;" - "&amp;TEXT(D279,"d mmm yyyy"))))</f>
        <v>0</v>
      </c>
      <c r="M279" s="21">
        <f>IF(B279="","",IF(G279&lt;&gt;"",G279,IFERROR(J279*1,0)))</f>
        <v>0</v>
      </c>
      <c r="N279" s="21">
        <f>IF(B279="","",ROUND(IF(F279="",1,F279)*M279,2))</f>
        <v>0</v>
      </c>
      <c r="O279" s="39">
        <f>IF(B279="","",IF(C279="","",IF(COUNTIFS($C$5:$C$804,C279)&gt;1,"Duplicate","OK")))</f>
        <v>0</v>
      </c>
      <c r="P279" s="31">
        <f>IF(OR(B279="",E279=""),"",COUNTIFS($B$5:B279,B279))</f>
        <v>0</v>
      </c>
      <c r="Q279" s="23">
        <f>IF(P279="","",B279&amp;"|"&amp;P279)</f>
        <v>0</v>
      </c>
      <c r="R279" s="39">
        <f>IF(B279="","",IF(O279="Duplicate","Duplicate - job billed twice",IF(M279=0,"Add - no price on this line",IF(AND(C279="",E279=""),"Add - what is this line for?","OK"))))</f>
        <v>0</v>
      </c>
    </row>
    <row r="280" spans="1:18">
      <c r="A280" s="43">
        <f>IF(B280="","","IL-"&amp;TEXT(ROW()-4,"0000"))</f>
        <v>0</v>
      </c>
      <c r="D280" s="18">
        <f>IF(C280="","",IFERROR(INDEX(Jobs!$B$5:$B$604,MATCH(C280,Jobs!$A$5:$A$604,0)),""))</f>
        <v>0</v>
      </c>
      <c r="J280" s="21">
        <f>IF(C280="","",IFERROR(INDEX(Jobs!$AJ$5:$AJ$604,MATCH(C280,Jobs!$A$5:$A$604,0)),"0"))</f>
        <v>0</v>
      </c>
      <c r="K280" s="23">
        <f>IF(C280="","",IFERROR(INDEX(Jobs!$M$5:$M$604,MATCH(C280,Jobs!$A$5:$A$604,0)),""))</f>
        <v>0</v>
      </c>
      <c r="L280" s="51">
        <f>IF(B280="","",IF(E280&lt;&gt;"",E280,IF(C280="","",K280&amp;" - "&amp;TEXT(D280,"d mmm yyyy"))))</f>
        <v>0</v>
      </c>
      <c r="M280" s="21">
        <f>IF(B280="","",IF(G280&lt;&gt;"",G280,IFERROR(J280*1,0)))</f>
        <v>0</v>
      </c>
      <c r="N280" s="21">
        <f>IF(B280="","",ROUND(IF(F280="",1,F280)*M280,2))</f>
        <v>0</v>
      </c>
      <c r="O280" s="39">
        <f>IF(B280="","",IF(C280="","",IF(COUNTIFS($C$5:$C$804,C280)&gt;1,"Duplicate","OK")))</f>
        <v>0</v>
      </c>
      <c r="P280" s="31">
        <f>IF(OR(B280="",E280=""),"",COUNTIFS($B$5:B280,B280))</f>
        <v>0</v>
      </c>
      <c r="Q280" s="23">
        <f>IF(P280="","",B280&amp;"|"&amp;P280)</f>
        <v>0</v>
      </c>
      <c r="R280" s="39">
        <f>IF(B280="","",IF(O280="Duplicate","Duplicate - job billed twice",IF(M280=0,"Add - no price on this line",IF(AND(C280="",E280=""),"Add - what is this line for?","OK"))))</f>
        <v>0</v>
      </c>
    </row>
    <row r="281" spans="1:18">
      <c r="A281" s="43">
        <f>IF(B281="","","IL-"&amp;TEXT(ROW()-4,"0000"))</f>
        <v>0</v>
      </c>
      <c r="D281" s="18">
        <f>IF(C281="","",IFERROR(INDEX(Jobs!$B$5:$B$604,MATCH(C281,Jobs!$A$5:$A$604,0)),""))</f>
        <v>0</v>
      </c>
      <c r="J281" s="21">
        <f>IF(C281="","",IFERROR(INDEX(Jobs!$AJ$5:$AJ$604,MATCH(C281,Jobs!$A$5:$A$604,0)),"0"))</f>
        <v>0</v>
      </c>
      <c r="K281" s="23">
        <f>IF(C281="","",IFERROR(INDEX(Jobs!$M$5:$M$604,MATCH(C281,Jobs!$A$5:$A$604,0)),""))</f>
        <v>0</v>
      </c>
      <c r="L281" s="51">
        <f>IF(B281="","",IF(E281&lt;&gt;"",E281,IF(C281="","",K281&amp;" - "&amp;TEXT(D281,"d mmm yyyy"))))</f>
        <v>0</v>
      </c>
      <c r="M281" s="21">
        <f>IF(B281="","",IF(G281&lt;&gt;"",G281,IFERROR(J281*1,0)))</f>
        <v>0</v>
      </c>
      <c r="N281" s="21">
        <f>IF(B281="","",ROUND(IF(F281="",1,F281)*M281,2))</f>
        <v>0</v>
      </c>
      <c r="O281" s="39">
        <f>IF(B281="","",IF(C281="","",IF(COUNTIFS($C$5:$C$804,C281)&gt;1,"Duplicate","OK")))</f>
        <v>0</v>
      </c>
      <c r="P281" s="31">
        <f>IF(OR(B281="",E281=""),"",COUNTIFS($B$5:B281,B281))</f>
        <v>0</v>
      </c>
      <c r="Q281" s="23">
        <f>IF(P281="","",B281&amp;"|"&amp;P281)</f>
        <v>0</v>
      </c>
      <c r="R281" s="39">
        <f>IF(B281="","",IF(O281="Duplicate","Duplicate - job billed twice",IF(M281=0,"Add - no price on this line",IF(AND(C281="",E281=""),"Add - what is this line for?","OK"))))</f>
        <v>0</v>
      </c>
    </row>
    <row r="282" spans="1:18">
      <c r="A282" s="43">
        <f>IF(B282="","","IL-"&amp;TEXT(ROW()-4,"0000"))</f>
        <v>0</v>
      </c>
      <c r="D282" s="18">
        <f>IF(C282="","",IFERROR(INDEX(Jobs!$B$5:$B$604,MATCH(C282,Jobs!$A$5:$A$604,0)),""))</f>
        <v>0</v>
      </c>
      <c r="J282" s="21">
        <f>IF(C282="","",IFERROR(INDEX(Jobs!$AJ$5:$AJ$604,MATCH(C282,Jobs!$A$5:$A$604,0)),"0"))</f>
        <v>0</v>
      </c>
      <c r="K282" s="23">
        <f>IF(C282="","",IFERROR(INDEX(Jobs!$M$5:$M$604,MATCH(C282,Jobs!$A$5:$A$604,0)),""))</f>
        <v>0</v>
      </c>
      <c r="L282" s="51">
        <f>IF(B282="","",IF(E282&lt;&gt;"",E282,IF(C282="","",K282&amp;" - "&amp;TEXT(D282,"d mmm yyyy"))))</f>
        <v>0</v>
      </c>
      <c r="M282" s="21">
        <f>IF(B282="","",IF(G282&lt;&gt;"",G282,IFERROR(J282*1,0)))</f>
        <v>0</v>
      </c>
      <c r="N282" s="21">
        <f>IF(B282="","",ROUND(IF(F282="",1,F282)*M282,2))</f>
        <v>0</v>
      </c>
      <c r="O282" s="39">
        <f>IF(B282="","",IF(C282="","",IF(COUNTIFS($C$5:$C$804,C282)&gt;1,"Duplicate","OK")))</f>
        <v>0</v>
      </c>
      <c r="P282" s="31">
        <f>IF(OR(B282="",E282=""),"",COUNTIFS($B$5:B282,B282))</f>
        <v>0</v>
      </c>
      <c r="Q282" s="23">
        <f>IF(P282="","",B282&amp;"|"&amp;P282)</f>
        <v>0</v>
      </c>
      <c r="R282" s="39">
        <f>IF(B282="","",IF(O282="Duplicate","Duplicate - job billed twice",IF(M282=0,"Add - no price on this line",IF(AND(C282="",E282=""),"Add - what is this line for?","OK"))))</f>
        <v>0</v>
      </c>
    </row>
    <row r="283" spans="1:18">
      <c r="A283" s="43">
        <f>IF(B283="","","IL-"&amp;TEXT(ROW()-4,"0000"))</f>
        <v>0</v>
      </c>
      <c r="D283" s="18">
        <f>IF(C283="","",IFERROR(INDEX(Jobs!$B$5:$B$604,MATCH(C283,Jobs!$A$5:$A$604,0)),""))</f>
        <v>0</v>
      </c>
      <c r="J283" s="21">
        <f>IF(C283="","",IFERROR(INDEX(Jobs!$AJ$5:$AJ$604,MATCH(C283,Jobs!$A$5:$A$604,0)),"0"))</f>
        <v>0</v>
      </c>
      <c r="K283" s="23">
        <f>IF(C283="","",IFERROR(INDEX(Jobs!$M$5:$M$604,MATCH(C283,Jobs!$A$5:$A$604,0)),""))</f>
        <v>0</v>
      </c>
      <c r="L283" s="51">
        <f>IF(B283="","",IF(E283&lt;&gt;"",E283,IF(C283="","",K283&amp;" - "&amp;TEXT(D283,"d mmm yyyy"))))</f>
        <v>0</v>
      </c>
      <c r="M283" s="21">
        <f>IF(B283="","",IF(G283&lt;&gt;"",G283,IFERROR(J283*1,0)))</f>
        <v>0</v>
      </c>
      <c r="N283" s="21">
        <f>IF(B283="","",ROUND(IF(F283="",1,F283)*M283,2))</f>
        <v>0</v>
      </c>
      <c r="O283" s="39">
        <f>IF(B283="","",IF(C283="","",IF(COUNTIFS($C$5:$C$804,C283)&gt;1,"Duplicate","OK")))</f>
        <v>0</v>
      </c>
      <c r="P283" s="31">
        <f>IF(OR(B283="",E283=""),"",COUNTIFS($B$5:B283,B283))</f>
        <v>0</v>
      </c>
      <c r="Q283" s="23">
        <f>IF(P283="","",B283&amp;"|"&amp;P283)</f>
        <v>0</v>
      </c>
      <c r="R283" s="39">
        <f>IF(B283="","",IF(O283="Duplicate","Duplicate - job billed twice",IF(M283=0,"Add - no price on this line",IF(AND(C283="",E283=""),"Add - what is this line for?","OK"))))</f>
        <v>0</v>
      </c>
    </row>
    <row r="284" spans="1:18">
      <c r="A284" s="43">
        <f>IF(B284="","","IL-"&amp;TEXT(ROW()-4,"0000"))</f>
        <v>0</v>
      </c>
      <c r="D284" s="18">
        <f>IF(C284="","",IFERROR(INDEX(Jobs!$B$5:$B$604,MATCH(C284,Jobs!$A$5:$A$604,0)),""))</f>
        <v>0</v>
      </c>
      <c r="J284" s="21">
        <f>IF(C284="","",IFERROR(INDEX(Jobs!$AJ$5:$AJ$604,MATCH(C284,Jobs!$A$5:$A$604,0)),"0"))</f>
        <v>0</v>
      </c>
      <c r="K284" s="23">
        <f>IF(C284="","",IFERROR(INDEX(Jobs!$M$5:$M$604,MATCH(C284,Jobs!$A$5:$A$604,0)),""))</f>
        <v>0</v>
      </c>
      <c r="L284" s="51">
        <f>IF(B284="","",IF(E284&lt;&gt;"",E284,IF(C284="","",K284&amp;" - "&amp;TEXT(D284,"d mmm yyyy"))))</f>
        <v>0</v>
      </c>
      <c r="M284" s="21">
        <f>IF(B284="","",IF(G284&lt;&gt;"",G284,IFERROR(J284*1,0)))</f>
        <v>0</v>
      </c>
      <c r="N284" s="21">
        <f>IF(B284="","",ROUND(IF(F284="",1,F284)*M284,2))</f>
        <v>0</v>
      </c>
      <c r="O284" s="39">
        <f>IF(B284="","",IF(C284="","",IF(COUNTIFS($C$5:$C$804,C284)&gt;1,"Duplicate","OK")))</f>
        <v>0</v>
      </c>
      <c r="P284" s="31">
        <f>IF(OR(B284="",E284=""),"",COUNTIFS($B$5:B284,B284))</f>
        <v>0</v>
      </c>
      <c r="Q284" s="23">
        <f>IF(P284="","",B284&amp;"|"&amp;P284)</f>
        <v>0</v>
      </c>
      <c r="R284" s="39">
        <f>IF(B284="","",IF(O284="Duplicate","Duplicate - job billed twice",IF(M284=0,"Add - no price on this line",IF(AND(C284="",E284=""),"Add - what is this line for?","OK"))))</f>
        <v>0</v>
      </c>
    </row>
    <row r="285" spans="1:18">
      <c r="A285" s="43">
        <f>IF(B285="","","IL-"&amp;TEXT(ROW()-4,"0000"))</f>
        <v>0</v>
      </c>
      <c r="D285" s="18">
        <f>IF(C285="","",IFERROR(INDEX(Jobs!$B$5:$B$604,MATCH(C285,Jobs!$A$5:$A$604,0)),""))</f>
        <v>0</v>
      </c>
      <c r="J285" s="21">
        <f>IF(C285="","",IFERROR(INDEX(Jobs!$AJ$5:$AJ$604,MATCH(C285,Jobs!$A$5:$A$604,0)),"0"))</f>
        <v>0</v>
      </c>
      <c r="K285" s="23">
        <f>IF(C285="","",IFERROR(INDEX(Jobs!$M$5:$M$604,MATCH(C285,Jobs!$A$5:$A$604,0)),""))</f>
        <v>0</v>
      </c>
      <c r="L285" s="51">
        <f>IF(B285="","",IF(E285&lt;&gt;"",E285,IF(C285="","",K285&amp;" - "&amp;TEXT(D285,"d mmm yyyy"))))</f>
        <v>0</v>
      </c>
      <c r="M285" s="21">
        <f>IF(B285="","",IF(G285&lt;&gt;"",G285,IFERROR(J285*1,0)))</f>
        <v>0</v>
      </c>
      <c r="N285" s="21">
        <f>IF(B285="","",ROUND(IF(F285="",1,F285)*M285,2))</f>
        <v>0</v>
      </c>
      <c r="O285" s="39">
        <f>IF(B285="","",IF(C285="","",IF(COUNTIFS($C$5:$C$804,C285)&gt;1,"Duplicate","OK")))</f>
        <v>0</v>
      </c>
      <c r="P285" s="31">
        <f>IF(OR(B285="",E285=""),"",COUNTIFS($B$5:B285,B285))</f>
        <v>0</v>
      </c>
      <c r="Q285" s="23">
        <f>IF(P285="","",B285&amp;"|"&amp;P285)</f>
        <v>0</v>
      </c>
      <c r="R285" s="39">
        <f>IF(B285="","",IF(O285="Duplicate","Duplicate - job billed twice",IF(M285=0,"Add - no price on this line",IF(AND(C285="",E285=""),"Add - what is this line for?","OK"))))</f>
        <v>0</v>
      </c>
    </row>
    <row r="286" spans="1:18">
      <c r="A286" s="43">
        <f>IF(B286="","","IL-"&amp;TEXT(ROW()-4,"0000"))</f>
        <v>0</v>
      </c>
      <c r="D286" s="18">
        <f>IF(C286="","",IFERROR(INDEX(Jobs!$B$5:$B$604,MATCH(C286,Jobs!$A$5:$A$604,0)),""))</f>
        <v>0</v>
      </c>
      <c r="J286" s="21">
        <f>IF(C286="","",IFERROR(INDEX(Jobs!$AJ$5:$AJ$604,MATCH(C286,Jobs!$A$5:$A$604,0)),"0"))</f>
        <v>0</v>
      </c>
      <c r="K286" s="23">
        <f>IF(C286="","",IFERROR(INDEX(Jobs!$M$5:$M$604,MATCH(C286,Jobs!$A$5:$A$604,0)),""))</f>
        <v>0</v>
      </c>
      <c r="L286" s="51">
        <f>IF(B286="","",IF(E286&lt;&gt;"",E286,IF(C286="","",K286&amp;" - "&amp;TEXT(D286,"d mmm yyyy"))))</f>
        <v>0</v>
      </c>
      <c r="M286" s="21">
        <f>IF(B286="","",IF(G286&lt;&gt;"",G286,IFERROR(J286*1,0)))</f>
        <v>0</v>
      </c>
      <c r="N286" s="21">
        <f>IF(B286="","",ROUND(IF(F286="",1,F286)*M286,2))</f>
        <v>0</v>
      </c>
      <c r="O286" s="39">
        <f>IF(B286="","",IF(C286="","",IF(COUNTIFS($C$5:$C$804,C286)&gt;1,"Duplicate","OK")))</f>
        <v>0</v>
      </c>
      <c r="P286" s="31">
        <f>IF(OR(B286="",E286=""),"",COUNTIFS($B$5:B286,B286))</f>
        <v>0</v>
      </c>
      <c r="Q286" s="23">
        <f>IF(P286="","",B286&amp;"|"&amp;P286)</f>
        <v>0</v>
      </c>
      <c r="R286" s="39">
        <f>IF(B286="","",IF(O286="Duplicate","Duplicate - job billed twice",IF(M286=0,"Add - no price on this line",IF(AND(C286="",E286=""),"Add - what is this line for?","OK"))))</f>
        <v>0</v>
      </c>
    </row>
    <row r="287" spans="1:18">
      <c r="A287" s="43">
        <f>IF(B287="","","IL-"&amp;TEXT(ROW()-4,"0000"))</f>
        <v>0</v>
      </c>
      <c r="D287" s="18">
        <f>IF(C287="","",IFERROR(INDEX(Jobs!$B$5:$B$604,MATCH(C287,Jobs!$A$5:$A$604,0)),""))</f>
        <v>0</v>
      </c>
      <c r="J287" s="21">
        <f>IF(C287="","",IFERROR(INDEX(Jobs!$AJ$5:$AJ$604,MATCH(C287,Jobs!$A$5:$A$604,0)),"0"))</f>
        <v>0</v>
      </c>
      <c r="K287" s="23">
        <f>IF(C287="","",IFERROR(INDEX(Jobs!$M$5:$M$604,MATCH(C287,Jobs!$A$5:$A$604,0)),""))</f>
        <v>0</v>
      </c>
      <c r="L287" s="51">
        <f>IF(B287="","",IF(E287&lt;&gt;"",E287,IF(C287="","",K287&amp;" - "&amp;TEXT(D287,"d mmm yyyy"))))</f>
        <v>0</v>
      </c>
      <c r="M287" s="21">
        <f>IF(B287="","",IF(G287&lt;&gt;"",G287,IFERROR(J287*1,0)))</f>
        <v>0</v>
      </c>
      <c r="N287" s="21">
        <f>IF(B287="","",ROUND(IF(F287="",1,F287)*M287,2))</f>
        <v>0</v>
      </c>
      <c r="O287" s="39">
        <f>IF(B287="","",IF(C287="","",IF(COUNTIFS($C$5:$C$804,C287)&gt;1,"Duplicate","OK")))</f>
        <v>0</v>
      </c>
      <c r="P287" s="31">
        <f>IF(OR(B287="",E287=""),"",COUNTIFS($B$5:B287,B287))</f>
        <v>0</v>
      </c>
      <c r="Q287" s="23">
        <f>IF(P287="","",B287&amp;"|"&amp;P287)</f>
        <v>0</v>
      </c>
      <c r="R287" s="39">
        <f>IF(B287="","",IF(O287="Duplicate","Duplicate - job billed twice",IF(M287=0,"Add - no price on this line",IF(AND(C287="",E287=""),"Add - what is this line for?","OK"))))</f>
        <v>0</v>
      </c>
    </row>
    <row r="288" spans="1:18">
      <c r="A288" s="43">
        <f>IF(B288="","","IL-"&amp;TEXT(ROW()-4,"0000"))</f>
        <v>0</v>
      </c>
      <c r="D288" s="18">
        <f>IF(C288="","",IFERROR(INDEX(Jobs!$B$5:$B$604,MATCH(C288,Jobs!$A$5:$A$604,0)),""))</f>
        <v>0</v>
      </c>
      <c r="J288" s="21">
        <f>IF(C288="","",IFERROR(INDEX(Jobs!$AJ$5:$AJ$604,MATCH(C288,Jobs!$A$5:$A$604,0)),"0"))</f>
        <v>0</v>
      </c>
      <c r="K288" s="23">
        <f>IF(C288="","",IFERROR(INDEX(Jobs!$M$5:$M$604,MATCH(C288,Jobs!$A$5:$A$604,0)),""))</f>
        <v>0</v>
      </c>
      <c r="L288" s="51">
        <f>IF(B288="","",IF(E288&lt;&gt;"",E288,IF(C288="","",K288&amp;" - "&amp;TEXT(D288,"d mmm yyyy"))))</f>
        <v>0</v>
      </c>
      <c r="M288" s="21">
        <f>IF(B288="","",IF(G288&lt;&gt;"",G288,IFERROR(J288*1,0)))</f>
        <v>0</v>
      </c>
      <c r="N288" s="21">
        <f>IF(B288="","",ROUND(IF(F288="",1,F288)*M288,2))</f>
        <v>0</v>
      </c>
      <c r="O288" s="39">
        <f>IF(B288="","",IF(C288="","",IF(COUNTIFS($C$5:$C$804,C288)&gt;1,"Duplicate","OK")))</f>
        <v>0</v>
      </c>
      <c r="P288" s="31">
        <f>IF(OR(B288="",E288=""),"",COUNTIFS($B$5:B288,B288))</f>
        <v>0</v>
      </c>
      <c r="Q288" s="23">
        <f>IF(P288="","",B288&amp;"|"&amp;P288)</f>
        <v>0</v>
      </c>
      <c r="R288" s="39">
        <f>IF(B288="","",IF(O288="Duplicate","Duplicate - job billed twice",IF(M288=0,"Add - no price on this line",IF(AND(C288="",E288=""),"Add - what is this line for?","OK"))))</f>
        <v>0</v>
      </c>
    </row>
    <row r="289" spans="1:18">
      <c r="A289" s="43">
        <f>IF(B289="","","IL-"&amp;TEXT(ROW()-4,"0000"))</f>
        <v>0</v>
      </c>
      <c r="D289" s="18">
        <f>IF(C289="","",IFERROR(INDEX(Jobs!$B$5:$B$604,MATCH(C289,Jobs!$A$5:$A$604,0)),""))</f>
        <v>0</v>
      </c>
      <c r="J289" s="21">
        <f>IF(C289="","",IFERROR(INDEX(Jobs!$AJ$5:$AJ$604,MATCH(C289,Jobs!$A$5:$A$604,0)),"0"))</f>
        <v>0</v>
      </c>
      <c r="K289" s="23">
        <f>IF(C289="","",IFERROR(INDEX(Jobs!$M$5:$M$604,MATCH(C289,Jobs!$A$5:$A$604,0)),""))</f>
        <v>0</v>
      </c>
      <c r="L289" s="51">
        <f>IF(B289="","",IF(E289&lt;&gt;"",E289,IF(C289="","",K289&amp;" - "&amp;TEXT(D289,"d mmm yyyy"))))</f>
        <v>0</v>
      </c>
      <c r="M289" s="21">
        <f>IF(B289="","",IF(G289&lt;&gt;"",G289,IFERROR(J289*1,0)))</f>
        <v>0</v>
      </c>
      <c r="N289" s="21">
        <f>IF(B289="","",ROUND(IF(F289="",1,F289)*M289,2))</f>
        <v>0</v>
      </c>
      <c r="O289" s="39">
        <f>IF(B289="","",IF(C289="","",IF(COUNTIFS($C$5:$C$804,C289)&gt;1,"Duplicate","OK")))</f>
        <v>0</v>
      </c>
      <c r="P289" s="31">
        <f>IF(OR(B289="",E289=""),"",COUNTIFS($B$5:B289,B289))</f>
        <v>0</v>
      </c>
      <c r="Q289" s="23">
        <f>IF(P289="","",B289&amp;"|"&amp;P289)</f>
        <v>0</v>
      </c>
      <c r="R289" s="39">
        <f>IF(B289="","",IF(O289="Duplicate","Duplicate - job billed twice",IF(M289=0,"Add - no price on this line",IF(AND(C289="",E289=""),"Add - what is this line for?","OK"))))</f>
        <v>0</v>
      </c>
    </row>
    <row r="290" spans="1:18">
      <c r="A290" s="43">
        <f>IF(B290="","","IL-"&amp;TEXT(ROW()-4,"0000"))</f>
        <v>0</v>
      </c>
      <c r="D290" s="18">
        <f>IF(C290="","",IFERROR(INDEX(Jobs!$B$5:$B$604,MATCH(C290,Jobs!$A$5:$A$604,0)),""))</f>
        <v>0</v>
      </c>
      <c r="J290" s="21">
        <f>IF(C290="","",IFERROR(INDEX(Jobs!$AJ$5:$AJ$604,MATCH(C290,Jobs!$A$5:$A$604,0)),"0"))</f>
        <v>0</v>
      </c>
      <c r="K290" s="23">
        <f>IF(C290="","",IFERROR(INDEX(Jobs!$M$5:$M$604,MATCH(C290,Jobs!$A$5:$A$604,0)),""))</f>
        <v>0</v>
      </c>
      <c r="L290" s="51">
        <f>IF(B290="","",IF(E290&lt;&gt;"",E290,IF(C290="","",K290&amp;" - "&amp;TEXT(D290,"d mmm yyyy"))))</f>
        <v>0</v>
      </c>
      <c r="M290" s="21">
        <f>IF(B290="","",IF(G290&lt;&gt;"",G290,IFERROR(J290*1,0)))</f>
        <v>0</v>
      </c>
      <c r="N290" s="21">
        <f>IF(B290="","",ROUND(IF(F290="",1,F290)*M290,2))</f>
        <v>0</v>
      </c>
      <c r="O290" s="39">
        <f>IF(B290="","",IF(C290="","",IF(COUNTIFS($C$5:$C$804,C290)&gt;1,"Duplicate","OK")))</f>
        <v>0</v>
      </c>
      <c r="P290" s="31">
        <f>IF(OR(B290="",E290=""),"",COUNTIFS($B$5:B290,B290))</f>
        <v>0</v>
      </c>
      <c r="Q290" s="23">
        <f>IF(P290="","",B290&amp;"|"&amp;P290)</f>
        <v>0</v>
      </c>
      <c r="R290" s="39">
        <f>IF(B290="","",IF(O290="Duplicate","Duplicate - job billed twice",IF(M290=0,"Add - no price on this line",IF(AND(C290="",E290=""),"Add - what is this line for?","OK"))))</f>
        <v>0</v>
      </c>
    </row>
    <row r="291" spans="1:18">
      <c r="A291" s="43">
        <f>IF(B291="","","IL-"&amp;TEXT(ROW()-4,"0000"))</f>
        <v>0</v>
      </c>
      <c r="D291" s="18">
        <f>IF(C291="","",IFERROR(INDEX(Jobs!$B$5:$B$604,MATCH(C291,Jobs!$A$5:$A$604,0)),""))</f>
        <v>0</v>
      </c>
      <c r="J291" s="21">
        <f>IF(C291="","",IFERROR(INDEX(Jobs!$AJ$5:$AJ$604,MATCH(C291,Jobs!$A$5:$A$604,0)),"0"))</f>
        <v>0</v>
      </c>
      <c r="K291" s="23">
        <f>IF(C291="","",IFERROR(INDEX(Jobs!$M$5:$M$604,MATCH(C291,Jobs!$A$5:$A$604,0)),""))</f>
        <v>0</v>
      </c>
      <c r="L291" s="51">
        <f>IF(B291="","",IF(E291&lt;&gt;"",E291,IF(C291="","",K291&amp;" - "&amp;TEXT(D291,"d mmm yyyy"))))</f>
        <v>0</v>
      </c>
      <c r="M291" s="21">
        <f>IF(B291="","",IF(G291&lt;&gt;"",G291,IFERROR(J291*1,0)))</f>
        <v>0</v>
      </c>
      <c r="N291" s="21">
        <f>IF(B291="","",ROUND(IF(F291="",1,F291)*M291,2))</f>
        <v>0</v>
      </c>
      <c r="O291" s="39">
        <f>IF(B291="","",IF(C291="","",IF(COUNTIFS($C$5:$C$804,C291)&gt;1,"Duplicate","OK")))</f>
        <v>0</v>
      </c>
      <c r="P291" s="31">
        <f>IF(OR(B291="",E291=""),"",COUNTIFS($B$5:B291,B291))</f>
        <v>0</v>
      </c>
      <c r="Q291" s="23">
        <f>IF(P291="","",B291&amp;"|"&amp;P291)</f>
        <v>0</v>
      </c>
      <c r="R291" s="39">
        <f>IF(B291="","",IF(O291="Duplicate","Duplicate - job billed twice",IF(M291=0,"Add - no price on this line",IF(AND(C291="",E291=""),"Add - what is this line for?","OK"))))</f>
        <v>0</v>
      </c>
    </row>
    <row r="292" spans="1:18">
      <c r="A292" s="43">
        <f>IF(B292="","","IL-"&amp;TEXT(ROW()-4,"0000"))</f>
        <v>0</v>
      </c>
      <c r="D292" s="18">
        <f>IF(C292="","",IFERROR(INDEX(Jobs!$B$5:$B$604,MATCH(C292,Jobs!$A$5:$A$604,0)),""))</f>
        <v>0</v>
      </c>
      <c r="J292" s="21">
        <f>IF(C292="","",IFERROR(INDEX(Jobs!$AJ$5:$AJ$604,MATCH(C292,Jobs!$A$5:$A$604,0)),"0"))</f>
        <v>0</v>
      </c>
      <c r="K292" s="23">
        <f>IF(C292="","",IFERROR(INDEX(Jobs!$M$5:$M$604,MATCH(C292,Jobs!$A$5:$A$604,0)),""))</f>
        <v>0</v>
      </c>
      <c r="L292" s="51">
        <f>IF(B292="","",IF(E292&lt;&gt;"",E292,IF(C292="","",K292&amp;" - "&amp;TEXT(D292,"d mmm yyyy"))))</f>
        <v>0</v>
      </c>
      <c r="M292" s="21">
        <f>IF(B292="","",IF(G292&lt;&gt;"",G292,IFERROR(J292*1,0)))</f>
        <v>0</v>
      </c>
      <c r="N292" s="21">
        <f>IF(B292="","",ROUND(IF(F292="",1,F292)*M292,2))</f>
        <v>0</v>
      </c>
      <c r="O292" s="39">
        <f>IF(B292="","",IF(C292="","",IF(COUNTIFS($C$5:$C$804,C292)&gt;1,"Duplicate","OK")))</f>
        <v>0</v>
      </c>
      <c r="P292" s="31">
        <f>IF(OR(B292="",E292=""),"",COUNTIFS($B$5:B292,B292))</f>
        <v>0</v>
      </c>
      <c r="Q292" s="23">
        <f>IF(P292="","",B292&amp;"|"&amp;P292)</f>
        <v>0</v>
      </c>
      <c r="R292" s="39">
        <f>IF(B292="","",IF(O292="Duplicate","Duplicate - job billed twice",IF(M292=0,"Add - no price on this line",IF(AND(C292="",E292=""),"Add - what is this line for?","OK"))))</f>
        <v>0</v>
      </c>
    </row>
    <row r="293" spans="1:18">
      <c r="A293" s="43">
        <f>IF(B293="","","IL-"&amp;TEXT(ROW()-4,"0000"))</f>
        <v>0</v>
      </c>
      <c r="D293" s="18">
        <f>IF(C293="","",IFERROR(INDEX(Jobs!$B$5:$B$604,MATCH(C293,Jobs!$A$5:$A$604,0)),""))</f>
        <v>0</v>
      </c>
      <c r="J293" s="21">
        <f>IF(C293="","",IFERROR(INDEX(Jobs!$AJ$5:$AJ$604,MATCH(C293,Jobs!$A$5:$A$604,0)),"0"))</f>
        <v>0</v>
      </c>
      <c r="K293" s="23">
        <f>IF(C293="","",IFERROR(INDEX(Jobs!$M$5:$M$604,MATCH(C293,Jobs!$A$5:$A$604,0)),""))</f>
        <v>0</v>
      </c>
      <c r="L293" s="51">
        <f>IF(B293="","",IF(E293&lt;&gt;"",E293,IF(C293="","",K293&amp;" - "&amp;TEXT(D293,"d mmm yyyy"))))</f>
        <v>0</v>
      </c>
      <c r="M293" s="21">
        <f>IF(B293="","",IF(G293&lt;&gt;"",G293,IFERROR(J293*1,0)))</f>
        <v>0</v>
      </c>
      <c r="N293" s="21">
        <f>IF(B293="","",ROUND(IF(F293="",1,F293)*M293,2))</f>
        <v>0</v>
      </c>
      <c r="O293" s="39">
        <f>IF(B293="","",IF(C293="","",IF(COUNTIFS($C$5:$C$804,C293)&gt;1,"Duplicate","OK")))</f>
        <v>0</v>
      </c>
      <c r="P293" s="31">
        <f>IF(OR(B293="",E293=""),"",COUNTIFS($B$5:B293,B293))</f>
        <v>0</v>
      </c>
      <c r="Q293" s="23">
        <f>IF(P293="","",B293&amp;"|"&amp;P293)</f>
        <v>0</v>
      </c>
      <c r="R293" s="39">
        <f>IF(B293="","",IF(O293="Duplicate","Duplicate - job billed twice",IF(M293=0,"Add - no price on this line",IF(AND(C293="",E293=""),"Add - what is this line for?","OK"))))</f>
        <v>0</v>
      </c>
    </row>
    <row r="294" spans="1:18">
      <c r="A294" s="43">
        <f>IF(B294="","","IL-"&amp;TEXT(ROW()-4,"0000"))</f>
        <v>0</v>
      </c>
      <c r="D294" s="18">
        <f>IF(C294="","",IFERROR(INDEX(Jobs!$B$5:$B$604,MATCH(C294,Jobs!$A$5:$A$604,0)),""))</f>
        <v>0</v>
      </c>
      <c r="J294" s="21">
        <f>IF(C294="","",IFERROR(INDEX(Jobs!$AJ$5:$AJ$604,MATCH(C294,Jobs!$A$5:$A$604,0)),"0"))</f>
        <v>0</v>
      </c>
      <c r="K294" s="23">
        <f>IF(C294="","",IFERROR(INDEX(Jobs!$M$5:$M$604,MATCH(C294,Jobs!$A$5:$A$604,0)),""))</f>
        <v>0</v>
      </c>
      <c r="L294" s="51">
        <f>IF(B294="","",IF(E294&lt;&gt;"",E294,IF(C294="","",K294&amp;" - "&amp;TEXT(D294,"d mmm yyyy"))))</f>
        <v>0</v>
      </c>
      <c r="M294" s="21">
        <f>IF(B294="","",IF(G294&lt;&gt;"",G294,IFERROR(J294*1,0)))</f>
        <v>0</v>
      </c>
      <c r="N294" s="21">
        <f>IF(B294="","",ROUND(IF(F294="",1,F294)*M294,2))</f>
        <v>0</v>
      </c>
      <c r="O294" s="39">
        <f>IF(B294="","",IF(C294="","",IF(COUNTIFS($C$5:$C$804,C294)&gt;1,"Duplicate","OK")))</f>
        <v>0</v>
      </c>
      <c r="P294" s="31">
        <f>IF(OR(B294="",E294=""),"",COUNTIFS($B$5:B294,B294))</f>
        <v>0</v>
      </c>
      <c r="Q294" s="23">
        <f>IF(P294="","",B294&amp;"|"&amp;P294)</f>
        <v>0</v>
      </c>
      <c r="R294" s="39">
        <f>IF(B294="","",IF(O294="Duplicate","Duplicate - job billed twice",IF(M294=0,"Add - no price on this line",IF(AND(C294="",E294=""),"Add - what is this line for?","OK"))))</f>
        <v>0</v>
      </c>
    </row>
    <row r="295" spans="1:18">
      <c r="A295" s="43">
        <f>IF(B295="","","IL-"&amp;TEXT(ROW()-4,"0000"))</f>
        <v>0</v>
      </c>
      <c r="D295" s="18">
        <f>IF(C295="","",IFERROR(INDEX(Jobs!$B$5:$B$604,MATCH(C295,Jobs!$A$5:$A$604,0)),""))</f>
        <v>0</v>
      </c>
      <c r="J295" s="21">
        <f>IF(C295="","",IFERROR(INDEX(Jobs!$AJ$5:$AJ$604,MATCH(C295,Jobs!$A$5:$A$604,0)),"0"))</f>
        <v>0</v>
      </c>
      <c r="K295" s="23">
        <f>IF(C295="","",IFERROR(INDEX(Jobs!$M$5:$M$604,MATCH(C295,Jobs!$A$5:$A$604,0)),""))</f>
        <v>0</v>
      </c>
      <c r="L295" s="51">
        <f>IF(B295="","",IF(E295&lt;&gt;"",E295,IF(C295="","",K295&amp;" - "&amp;TEXT(D295,"d mmm yyyy"))))</f>
        <v>0</v>
      </c>
      <c r="M295" s="21">
        <f>IF(B295="","",IF(G295&lt;&gt;"",G295,IFERROR(J295*1,0)))</f>
        <v>0</v>
      </c>
      <c r="N295" s="21">
        <f>IF(B295="","",ROUND(IF(F295="",1,F295)*M295,2))</f>
        <v>0</v>
      </c>
      <c r="O295" s="39">
        <f>IF(B295="","",IF(C295="","",IF(COUNTIFS($C$5:$C$804,C295)&gt;1,"Duplicate","OK")))</f>
        <v>0</v>
      </c>
      <c r="P295" s="31">
        <f>IF(OR(B295="",E295=""),"",COUNTIFS($B$5:B295,B295))</f>
        <v>0</v>
      </c>
      <c r="Q295" s="23">
        <f>IF(P295="","",B295&amp;"|"&amp;P295)</f>
        <v>0</v>
      </c>
      <c r="R295" s="39">
        <f>IF(B295="","",IF(O295="Duplicate","Duplicate - job billed twice",IF(M295=0,"Add - no price on this line",IF(AND(C295="",E295=""),"Add - what is this line for?","OK"))))</f>
        <v>0</v>
      </c>
    </row>
    <row r="296" spans="1:18">
      <c r="A296" s="43">
        <f>IF(B296="","","IL-"&amp;TEXT(ROW()-4,"0000"))</f>
        <v>0</v>
      </c>
      <c r="D296" s="18">
        <f>IF(C296="","",IFERROR(INDEX(Jobs!$B$5:$B$604,MATCH(C296,Jobs!$A$5:$A$604,0)),""))</f>
        <v>0</v>
      </c>
      <c r="J296" s="21">
        <f>IF(C296="","",IFERROR(INDEX(Jobs!$AJ$5:$AJ$604,MATCH(C296,Jobs!$A$5:$A$604,0)),"0"))</f>
        <v>0</v>
      </c>
      <c r="K296" s="23">
        <f>IF(C296="","",IFERROR(INDEX(Jobs!$M$5:$M$604,MATCH(C296,Jobs!$A$5:$A$604,0)),""))</f>
        <v>0</v>
      </c>
      <c r="L296" s="51">
        <f>IF(B296="","",IF(E296&lt;&gt;"",E296,IF(C296="","",K296&amp;" - "&amp;TEXT(D296,"d mmm yyyy"))))</f>
        <v>0</v>
      </c>
      <c r="M296" s="21">
        <f>IF(B296="","",IF(G296&lt;&gt;"",G296,IFERROR(J296*1,0)))</f>
        <v>0</v>
      </c>
      <c r="N296" s="21">
        <f>IF(B296="","",ROUND(IF(F296="",1,F296)*M296,2))</f>
        <v>0</v>
      </c>
      <c r="O296" s="39">
        <f>IF(B296="","",IF(C296="","",IF(COUNTIFS($C$5:$C$804,C296)&gt;1,"Duplicate","OK")))</f>
        <v>0</v>
      </c>
      <c r="P296" s="31">
        <f>IF(OR(B296="",E296=""),"",COUNTIFS($B$5:B296,B296))</f>
        <v>0</v>
      </c>
      <c r="Q296" s="23">
        <f>IF(P296="","",B296&amp;"|"&amp;P296)</f>
        <v>0</v>
      </c>
      <c r="R296" s="39">
        <f>IF(B296="","",IF(O296="Duplicate","Duplicate - job billed twice",IF(M296=0,"Add - no price on this line",IF(AND(C296="",E296=""),"Add - what is this line for?","OK"))))</f>
        <v>0</v>
      </c>
    </row>
    <row r="297" spans="1:18">
      <c r="A297" s="43">
        <f>IF(B297="","","IL-"&amp;TEXT(ROW()-4,"0000"))</f>
        <v>0</v>
      </c>
      <c r="D297" s="18">
        <f>IF(C297="","",IFERROR(INDEX(Jobs!$B$5:$B$604,MATCH(C297,Jobs!$A$5:$A$604,0)),""))</f>
        <v>0</v>
      </c>
      <c r="J297" s="21">
        <f>IF(C297="","",IFERROR(INDEX(Jobs!$AJ$5:$AJ$604,MATCH(C297,Jobs!$A$5:$A$604,0)),"0"))</f>
        <v>0</v>
      </c>
      <c r="K297" s="23">
        <f>IF(C297="","",IFERROR(INDEX(Jobs!$M$5:$M$604,MATCH(C297,Jobs!$A$5:$A$604,0)),""))</f>
        <v>0</v>
      </c>
      <c r="L297" s="51">
        <f>IF(B297="","",IF(E297&lt;&gt;"",E297,IF(C297="","",K297&amp;" - "&amp;TEXT(D297,"d mmm yyyy"))))</f>
        <v>0</v>
      </c>
      <c r="M297" s="21">
        <f>IF(B297="","",IF(G297&lt;&gt;"",G297,IFERROR(J297*1,0)))</f>
        <v>0</v>
      </c>
      <c r="N297" s="21">
        <f>IF(B297="","",ROUND(IF(F297="",1,F297)*M297,2))</f>
        <v>0</v>
      </c>
      <c r="O297" s="39">
        <f>IF(B297="","",IF(C297="","",IF(COUNTIFS($C$5:$C$804,C297)&gt;1,"Duplicate","OK")))</f>
        <v>0</v>
      </c>
      <c r="P297" s="31">
        <f>IF(OR(B297="",E297=""),"",COUNTIFS($B$5:B297,B297))</f>
        <v>0</v>
      </c>
      <c r="Q297" s="23">
        <f>IF(P297="","",B297&amp;"|"&amp;P297)</f>
        <v>0</v>
      </c>
      <c r="R297" s="39">
        <f>IF(B297="","",IF(O297="Duplicate","Duplicate - job billed twice",IF(M297=0,"Add - no price on this line",IF(AND(C297="",E297=""),"Add - what is this line for?","OK"))))</f>
        <v>0</v>
      </c>
    </row>
    <row r="298" spans="1:18">
      <c r="A298" s="43">
        <f>IF(B298="","","IL-"&amp;TEXT(ROW()-4,"0000"))</f>
        <v>0</v>
      </c>
      <c r="D298" s="18">
        <f>IF(C298="","",IFERROR(INDEX(Jobs!$B$5:$B$604,MATCH(C298,Jobs!$A$5:$A$604,0)),""))</f>
        <v>0</v>
      </c>
      <c r="J298" s="21">
        <f>IF(C298="","",IFERROR(INDEX(Jobs!$AJ$5:$AJ$604,MATCH(C298,Jobs!$A$5:$A$604,0)),"0"))</f>
        <v>0</v>
      </c>
      <c r="K298" s="23">
        <f>IF(C298="","",IFERROR(INDEX(Jobs!$M$5:$M$604,MATCH(C298,Jobs!$A$5:$A$604,0)),""))</f>
        <v>0</v>
      </c>
      <c r="L298" s="51">
        <f>IF(B298="","",IF(E298&lt;&gt;"",E298,IF(C298="","",K298&amp;" - "&amp;TEXT(D298,"d mmm yyyy"))))</f>
        <v>0</v>
      </c>
      <c r="M298" s="21">
        <f>IF(B298="","",IF(G298&lt;&gt;"",G298,IFERROR(J298*1,0)))</f>
        <v>0</v>
      </c>
      <c r="N298" s="21">
        <f>IF(B298="","",ROUND(IF(F298="",1,F298)*M298,2))</f>
        <v>0</v>
      </c>
      <c r="O298" s="39">
        <f>IF(B298="","",IF(C298="","",IF(COUNTIFS($C$5:$C$804,C298)&gt;1,"Duplicate","OK")))</f>
        <v>0</v>
      </c>
      <c r="P298" s="31">
        <f>IF(OR(B298="",E298=""),"",COUNTIFS($B$5:B298,B298))</f>
        <v>0</v>
      </c>
      <c r="Q298" s="23">
        <f>IF(P298="","",B298&amp;"|"&amp;P298)</f>
        <v>0</v>
      </c>
      <c r="R298" s="39">
        <f>IF(B298="","",IF(O298="Duplicate","Duplicate - job billed twice",IF(M298=0,"Add - no price on this line",IF(AND(C298="",E298=""),"Add - what is this line for?","OK"))))</f>
        <v>0</v>
      </c>
    </row>
    <row r="299" spans="1:18">
      <c r="A299" s="43">
        <f>IF(B299="","","IL-"&amp;TEXT(ROW()-4,"0000"))</f>
        <v>0</v>
      </c>
      <c r="D299" s="18">
        <f>IF(C299="","",IFERROR(INDEX(Jobs!$B$5:$B$604,MATCH(C299,Jobs!$A$5:$A$604,0)),""))</f>
        <v>0</v>
      </c>
      <c r="J299" s="21">
        <f>IF(C299="","",IFERROR(INDEX(Jobs!$AJ$5:$AJ$604,MATCH(C299,Jobs!$A$5:$A$604,0)),"0"))</f>
        <v>0</v>
      </c>
      <c r="K299" s="23">
        <f>IF(C299="","",IFERROR(INDEX(Jobs!$M$5:$M$604,MATCH(C299,Jobs!$A$5:$A$604,0)),""))</f>
        <v>0</v>
      </c>
      <c r="L299" s="51">
        <f>IF(B299="","",IF(E299&lt;&gt;"",E299,IF(C299="","",K299&amp;" - "&amp;TEXT(D299,"d mmm yyyy"))))</f>
        <v>0</v>
      </c>
      <c r="M299" s="21">
        <f>IF(B299="","",IF(G299&lt;&gt;"",G299,IFERROR(J299*1,0)))</f>
        <v>0</v>
      </c>
      <c r="N299" s="21">
        <f>IF(B299="","",ROUND(IF(F299="",1,F299)*M299,2))</f>
        <v>0</v>
      </c>
      <c r="O299" s="39">
        <f>IF(B299="","",IF(C299="","",IF(COUNTIFS($C$5:$C$804,C299)&gt;1,"Duplicate","OK")))</f>
        <v>0</v>
      </c>
      <c r="P299" s="31">
        <f>IF(OR(B299="",E299=""),"",COUNTIFS($B$5:B299,B299))</f>
        <v>0</v>
      </c>
      <c r="Q299" s="23">
        <f>IF(P299="","",B299&amp;"|"&amp;P299)</f>
        <v>0</v>
      </c>
      <c r="R299" s="39">
        <f>IF(B299="","",IF(O299="Duplicate","Duplicate - job billed twice",IF(M299=0,"Add - no price on this line",IF(AND(C299="",E299=""),"Add - what is this line for?","OK"))))</f>
        <v>0</v>
      </c>
    </row>
    <row r="300" spans="1:18">
      <c r="A300" s="43">
        <f>IF(B300="","","IL-"&amp;TEXT(ROW()-4,"0000"))</f>
        <v>0</v>
      </c>
      <c r="D300" s="18">
        <f>IF(C300="","",IFERROR(INDEX(Jobs!$B$5:$B$604,MATCH(C300,Jobs!$A$5:$A$604,0)),""))</f>
        <v>0</v>
      </c>
      <c r="J300" s="21">
        <f>IF(C300="","",IFERROR(INDEX(Jobs!$AJ$5:$AJ$604,MATCH(C300,Jobs!$A$5:$A$604,0)),"0"))</f>
        <v>0</v>
      </c>
      <c r="K300" s="23">
        <f>IF(C300="","",IFERROR(INDEX(Jobs!$M$5:$M$604,MATCH(C300,Jobs!$A$5:$A$604,0)),""))</f>
        <v>0</v>
      </c>
      <c r="L300" s="51">
        <f>IF(B300="","",IF(E300&lt;&gt;"",E300,IF(C300="","",K300&amp;" - "&amp;TEXT(D300,"d mmm yyyy"))))</f>
        <v>0</v>
      </c>
      <c r="M300" s="21">
        <f>IF(B300="","",IF(G300&lt;&gt;"",G300,IFERROR(J300*1,0)))</f>
        <v>0</v>
      </c>
      <c r="N300" s="21">
        <f>IF(B300="","",ROUND(IF(F300="",1,F300)*M300,2))</f>
        <v>0</v>
      </c>
      <c r="O300" s="39">
        <f>IF(B300="","",IF(C300="","",IF(COUNTIFS($C$5:$C$804,C300)&gt;1,"Duplicate","OK")))</f>
        <v>0</v>
      </c>
      <c r="P300" s="31">
        <f>IF(OR(B300="",E300=""),"",COUNTIFS($B$5:B300,B300))</f>
        <v>0</v>
      </c>
      <c r="Q300" s="23">
        <f>IF(P300="","",B300&amp;"|"&amp;P300)</f>
        <v>0</v>
      </c>
      <c r="R300" s="39">
        <f>IF(B300="","",IF(O300="Duplicate","Duplicate - job billed twice",IF(M300=0,"Add - no price on this line",IF(AND(C300="",E300=""),"Add - what is this line for?","OK"))))</f>
        <v>0</v>
      </c>
    </row>
    <row r="301" spans="1:18">
      <c r="A301" s="43">
        <f>IF(B301="","","IL-"&amp;TEXT(ROW()-4,"0000"))</f>
        <v>0</v>
      </c>
      <c r="D301" s="18">
        <f>IF(C301="","",IFERROR(INDEX(Jobs!$B$5:$B$604,MATCH(C301,Jobs!$A$5:$A$604,0)),""))</f>
        <v>0</v>
      </c>
      <c r="J301" s="21">
        <f>IF(C301="","",IFERROR(INDEX(Jobs!$AJ$5:$AJ$604,MATCH(C301,Jobs!$A$5:$A$604,0)),"0"))</f>
        <v>0</v>
      </c>
      <c r="K301" s="23">
        <f>IF(C301="","",IFERROR(INDEX(Jobs!$M$5:$M$604,MATCH(C301,Jobs!$A$5:$A$604,0)),""))</f>
        <v>0</v>
      </c>
      <c r="L301" s="51">
        <f>IF(B301="","",IF(E301&lt;&gt;"",E301,IF(C301="","",K301&amp;" - "&amp;TEXT(D301,"d mmm yyyy"))))</f>
        <v>0</v>
      </c>
      <c r="M301" s="21">
        <f>IF(B301="","",IF(G301&lt;&gt;"",G301,IFERROR(J301*1,0)))</f>
        <v>0</v>
      </c>
      <c r="N301" s="21">
        <f>IF(B301="","",ROUND(IF(F301="",1,F301)*M301,2))</f>
        <v>0</v>
      </c>
      <c r="O301" s="39">
        <f>IF(B301="","",IF(C301="","",IF(COUNTIFS($C$5:$C$804,C301)&gt;1,"Duplicate","OK")))</f>
        <v>0</v>
      </c>
      <c r="P301" s="31">
        <f>IF(OR(B301="",E301=""),"",COUNTIFS($B$5:B301,B301))</f>
        <v>0</v>
      </c>
      <c r="Q301" s="23">
        <f>IF(P301="","",B301&amp;"|"&amp;P301)</f>
        <v>0</v>
      </c>
      <c r="R301" s="39">
        <f>IF(B301="","",IF(O301="Duplicate","Duplicate - job billed twice",IF(M301=0,"Add - no price on this line",IF(AND(C301="",E301=""),"Add - what is this line for?","OK"))))</f>
        <v>0</v>
      </c>
    </row>
    <row r="302" spans="1:18">
      <c r="A302" s="43">
        <f>IF(B302="","","IL-"&amp;TEXT(ROW()-4,"0000"))</f>
        <v>0</v>
      </c>
      <c r="D302" s="18">
        <f>IF(C302="","",IFERROR(INDEX(Jobs!$B$5:$B$604,MATCH(C302,Jobs!$A$5:$A$604,0)),""))</f>
        <v>0</v>
      </c>
      <c r="J302" s="21">
        <f>IF(C302="","",IFERROR(INDEX(Jobs!$AJ$5:$AJ$604,MATCH(C302,Jobs!$A$5:$A$604,0)),"0"))</f>
        <v>0</v>
      </c>
      <c r="K302" s="23">
        <f>IF(C302="","",IFERROR(INDEX(Jobs!$M$5:$M$604,MATCH(C302,Jobs!$A$5:$A$604,0)),""))</f>
        <v>0</v>
      </c>
      <c r="L302" s="51">
        <f>IF(B302="","",IF(E302&lt;&gt;"",E302,IF(C302="","",K302&amp;" - "&amp;TEXT(D302,"d mmm yyyy"))))</f>
        <v>0</v>
      </c>
      <c r="M302" s="21">
        <f>IF(B302="","",IF(G302&lt;&gt;"",G302,IFERROR(J302*1,0)))</f>
        <v>0</v>
      </c>
      <c r="N302" s="21">
        <f>IF(B302="","",ROUND(IF(F302="",1,F302)*M302,2))</f>
        <v>0</v>
      </c>
      <c r="O302" s="39">
        <f>IF(B302="","",IF(C302="","",IF(COUNTIFS($C$5:$C$804,C302)&gt;1,"Duplicate","OK")))</f>
        <v>0</v>
      </c>
      <c r="P302" s="31">
        <f>IF(OR(B302="",E302=""),"",COUNTIFS($B$5:B302,B302))</f>
        <v>0</v>
      </c>
      <c r="Q302" s="23">
        <f>IF(P302="","",B302&amp;"|"&amp;P302)</f>
        <v>0</v>
      </c>
      <c r="R302" s="39">
        <f>IF(B302="","",IF(O302="Duplicate","Duplicate - job billed twice",IF(M302=0,"Add - no price on this line",IF(AND(C302="",E302=""),"Add - what is this line for?","OK"))))</f>
        <v>0</v>
      </c>
    </row>
    <row r="303" spans="1:18">
      <c r="A303" s="43">
        <f>IF(B303="","","IL-"&amp;TEXT(ROW()-4,"0000"))</f>
        <v>0</v>
      </c>
      <c r="D303" s="18">
        <f>IF(C303="","",IFERROR(INDEX(Jobs!$B$5:$B$604,MATCH(C303,Jobs!$A$5:$A$604,0)),""))</f>
        <v>0</v>
      </c>
      <c r="J303" s="21">
        <f>IF(C303="","",IFERROR(INDEX(Jobs!$AJ$5:$AJ$604,MATCH(C303,Jobs!$A$5:$A$604,0)),"0"))</f>
        <v>0</v>
      </c>
      <c r="K303" s="23">
        <f>IF(C303="","",IFERROR(INDEX(Jobs!$M$5:$M$604,MATCH(C303,Jobs!$A$5:$A$604,0)),""))</f>
        <v>0</v>
      </c>
      <c r="L303" s="51">
        <f>IF(B303="","",IF(E303&lt;&gt;"",E303,IF(C303="","",K303&amp;" - "&amp;TEXT(D303,"d mmm yyyy"))))</f>
        <v>0</v>
      </c>
      <c r="M303" s="21">
        <f>IF(B303="","",IF(G303&lt;&gt;"",G303,IFERROR(J303*1,0)))</f>
        <v>0</v>
      </c>
      <c r="N303" s="21">
        <f>IF(B303="","",ROUND(IF(F303="",1,F303)*M303,2))</f>
        <v>0</v>
      </c>
      <c r="O303" s="39">
        <f>IF(B303="","",IF(C303="","",IF(COUNTIFS($C$5:$C$804,C303)&gt;1,"Duplicate","OK")))</f>
        <v>0</v>
      </c>
      <c r="P303" s="31">
        <f>IF(OR(B303="",E303=""),"",COUNTIFS($B$5:B303,B303))</f>
        <v>0</v>
      </c>
      <c r="Q303" s="23">
        <f>IF(P303="","",B303&amp;"|"&amp;P303)</f>
        <v>0</v>
      </c>
      <c r="R303" s="39">
        <f>IF(B303="","",IF(O303="Duplicate","Duplicate - job billed twice",IF(M303=0,"Add - no price on this line",IF(AND(C303="",E303=""),"Add - what is this line for?","OK"))))</f>
        <v>0</v>
      </c>
    </row>
    <row r="304" spans="1:18">
      <c r="A304" s="43">
        <f>IF(B304="","","IL-"&amp;TEXT(ROW()-4,"0000"))</f>
        <v>0</v>
      </c>
      <c r="D304" s="18">
        <f>IF(C304="","",IFERROR(INDEX(Jobs!$B$5:$B$604,MATCH(C304,Jobs!$A$5:$A$604,0)),""))</f>
        <v>0</v>
      </c>
      <c r="J304" s="21">
        <f>IF(C304="","",IFERROR(INDEX(Jobs!$AJ$5:$AJ$604,MATCH(C304,Jobs!$A$5:$A$604,0)),"0"))</f>
        <v>0</v>
      </c>
      <c r="K304" s="23">
        <f>IF(C304="","",IFERROR(INDEX(Jobs!$M$5:$M$604,MATCH(C304,Jobs!$A$5:$A$604,0)),""))</f>
        <v>0</v>
      </c>
      <c r="L304" s="51">
        <f>IF(B304="","",IF(E304&lt;&gt;"",E304,IF(C304="","",K304&amp;" - "&amp;TEXT(D304,"d mmm yyyy"))))</f>
        <v>0</v>
      </c>
      <c r="M304" s="21">
        <f>IF(B304="","",IF(G304&lt;&gt;"",G304,IFERROR(J304*1,0)))</f>
        <v>0</v>
      </c>
      <c r="N304" s="21">
        <f>IF(B304="","",ROUND(IF(F304="",1,F304)*M304,2))</f>
        <v>0</v>
      </c>
      <c r="O304" s="39">
        <f>IF(B304="","",IF(C304="","",IF(COUNTIFS($C$5:$C$804,C304)&gt;1,"Duplicate","OK")))</f>
        <v>0</v>
      </c>
      <c r="P304" s="31">
        <f>IF(OR(B304="",E304=""),"",COUNTIFS($B$5:B304,B304))</f>
        <v>0</v>
      </c>
      <c r="Q304" s="23">
        <f>IF(P304="","",B304&amp;"|"&amp;P304)</f>
        <v>0</v>
      </c>
      <c r="R304" s="39">
        <f>IF(B304="","",IF(O304="Duplicate","Duplicate - job billed twice",IF(M304=0,"Add - no price on this line",IF(AND(C304="",E304=""),"Add - what is this line for?","OK"))))</f>
        <v>0</v>
      </c>
    </row>
    <row r="305" spans="1:18">
      <c r="A305" s="43">
        <f>IF(B305="","","IL-"&amp;TEXT(ROW()-4,"0000"))</f>
        <v>0</v>
      </c>
      <c r="D305" s="18">
        <f>IF(C305="","",IFERROR(INDEX(Jobs!$B$5:$B$604,MATCH(C305,Jobs!$A$5:$A$604,0)),""))</f>
        <v>0</v>
      </c>
      <c r="J305" s="21">
        <f>IF(C305="","",IFERROR(INDEX(Jobs!$AJ$5:$AJ$604,MATCH(C305,Jobs!$A$5:$A$604,0)),"0"))</f>
        <v>0</v>
      </c>
      <c r="K305" s="23">
        <f>IF(C305="","",IFERROR(INDEX(Jobs!$M$5:$M$604,MATCH(C305,Jobs!$A$5:$A$604,0)),""))</f>
        <v>0</v>
      </c>
      <c r="L305" s="51">
        <f>IF(B305="","",IF(E305&lt;&gt;"",E305,IF(C305="","",K305&amp;" - "&amp;TEXT(D305,"d mmm yyyy"))))</f>
        <v>0</v>
      </c>
      <c r="M305" s="21">
        <f>IF(B305="","",IF(G305&lt;&gt;"",G305,IFERROR(J305*1,0)))</f>
        <v>0</v>
      </c>
      <c r="N305" s="21">
        <f>IF(B305="","",ROUND(IF(F305="",1,F305)*M305,2))</f>
        <v>0</v>
      </c>
      <c r="O305" s="39">
        <f>IF(B305="","",IF(C305="","",IF(COUNTIFS($C$5:$C$804,C305)&gt;1,"Duplicate","OK")))</f>
        <v>0</v>
      </c>
      <c r="P305" s="31">
        <f>IF(OR(B305="",E305=""),"",COUNTIFS($B$5:B305,B305))</f>
        <v>0</v>
      </c>
      <c r="Q305" s="23">
        <f>IF(P305="","",B305&amp;"|"&amp;P305)</f>
        <v>0</v>
      </c>
      <c r="R305" s="39">
        <f>IF(B305="","",IF(O305="Duplicate","Duplicate - job billed twice",IF(M305=0,"Add - no price on this line",IF(AND(C305="",E305=""),"Add - what is this line for?","OK"))))</f>
        <v>0</v>
      </c>
    </row>
    <row r="306" spans="1:18">
      <c r="A306" s="43">
        <f>IF(B306="","","IL-"&amp;TEXT(ROW()-4,"0000"))</f>
        <v>0</v>
      </c>
      <c r="D306" s="18">
        <f>IF(C306="","",IFERROR(INDEX(Jobs!$B$5:$B$604,MATCH(C306,Jobs!$A$5:$A$604,0)),""))</f>
        <v>0</v>
      </c>
      <c r="J306" s="21">
        <f>IF(C306="","",IFERROR(INDEX(Jobs!$AJ$5:$AJ$604,MATCH(C306,Jobs!$A$5:$A$604,0)),"0"))</f>
        <v>0</v>
      </c>
      <c r="K306" s="23">
        <f>IF(C306="","",IFERROR(INDEX(Jobs!$M$5:$M$604,MATCH(C306,Jobs!$A$5:$A$604,0)),""))</f>
        <v>0</v>
      </c>
      <c r="L306" s="51">
        <f>IF(B306="","",IF(E306&lt;&gt;"",E306,IF(C306="","",K306&amp;" - "&amp;TEXT(D306,"d mmm yyyy"))))</f>
        <v>0</v>
      </c>
      <c r="M306" s="21">
        <f>IF(B306="","",IF(G306&lt;&gt;"",G306,IFERROR(J306*1,0)))</f>
        <v>0</v>
      </c>
      <c r="N306" s="21">
        <f>IF(B306="","",ROUND(IF(F306="",1,F306)*M306,2))</f>
        <v>0</v>
      </c>
      <c r="O306" s="39">
        <f>IF(B306="","",IF(C306="","",IF(COUNTIFS($C$5:$C$804,C306)&gt;1,"Duplicate","OK")))</f>
        <v>0</v>
      </c>
      <c r="P306" s="31">
        <f>IF(OR(B306="",E306=""),"",COUNTIFS($B$5:B306,B306))</f>
        <v>0</v>
      </c>
      <c r="Q306" s="23">
        <f>IF(P306="","",B306&amp;"|"&amp;P306)</f>
        <v>0</v>
      </c>
      <c r="R306" s="39">
        <f>IF(B306="","",IF(O306="Duplicate","Duplicate - job billed twice",IF(M306=0,"Add - no price on this line",IF(AND(C306="",E306=""),"Add - what is this line for?","OK"))))</f>
        <v>0</v>
      </c>
    </row>
    <row r="307" spans="1:18">
      <c r="A307" s="43">
        <f>IF(B307="","","IL-"&amp;TEXT(ROW()-4,"0000"))</f>
        <v>0</v>
      </c>
      <c r="D307" s="18">
        <f>IF(C307="","",IFERROR(INDEX(Jobs!$B$5:$B$604,MATCH(C307,Jobs!$A$5:$A$604,0)),""))</f>
        <v>0</v>
      </c>
      <c r="J307" s="21">
        <f>IF(C307="","",IFERROR(INDEX(Jobs!$AJ$5:$AJ$604,MATCH(C307,Jobs!$A$5:$A$604,0)),"0"))</f>
        <v>0</v>
      </c>
      <c r="K307" s="23">
        <f>IF(C307="","",IFERROR(INDEX(Jobs!$M$5:$M$604,MATCH(C307,Jobs!$A$5:$A$604,0)),""))</f>
        <v>0</v>
      </c>
      <c r="L307" s="51">
        <f>IF(B307="","",IF(E307&lt;&gt;"",E307,IF(C307="","",K307&amp;" - "&amp;TEXT(D307,"d mmm yyyy"))))</f>
        <v>0</v>
      </c>
      <c r="M307" s="21">
        <f>IF(B307="","",IF(G307&lt;&gt;"",G307,IFERROR(J307*1,0)))</f>
        <v>0</v>
      </c>
      <c r="N307" s="21">
        <f>IF(B307="","",ROUND(IF(F307="",1,F307)*M307,2))</f>
        <v>0</v>
      </c>
      <c r="O307" s="39">
        <f>IF(B307="","",IF(C307="","",IF(COUNTIFS($C$5:$C$804,C307)&gt;1,"Duplicate","OK")))</f>
        <v>0</v>
      </c>
      <c r="P307" s="31">
        <f>IF(OR(B307="",E307=""),"",COUNTIFS($B$5:B307,B307))</f>
        <v>0</v>
      </c>
      <c r="Q307" s="23">
        <f>IF(P307="","",B307&amp;"|"&amp;P307)</f>
        <v>0</v>
      </c>
      <c r="R307" s="39">
        <f>IF(B307="","",IF(O307="Duplicate","Duplicate - job billed twice",IF(M307=0,"Add - no price on this line",IF(AND(C307="",E307=""),"Add - what is this line for?","OK"))))</f>
        <v>0</v>
      </c>
    </row>
    <row r="308" spans="1:18">
      <c r="A308" s="43">
        <f>IF(B308="","","IL-"&amp;TEXT(ROW()-4,"0000"))</f>
        <v>0</v>
      </c>
      <c r="D308" s="18">
        <f>IF(C308="","",IFERROR(INDEX(Jobs!$B$5:$B$604,MATCH(C308,Jobs!$A$5:$A$604,0)),""))</f>
        <v>0</v>
      </c>
      <c r="J308" s="21">
        <f>IF(C308="","",IFERROR(INDEX(Jobs!$AJ$5:$AJ$604,MATCH(C308,Jobs!$A$5:$A$604,0)),"0"))</f>
        <v>0</v>
      </c>
      <c r="K308" s="23">
        <f>IF(C308="","",IFERROR(INDEX(Jobs!$M$5:$M$604,MATCH(C308,Jobs!$A$5:$A$604,0)),""))</f>
        <v>0</v>
      </c>
      <c r="L308" s="51">
        <f>IF(B308="","",IF(E308&lt;&gt;"",E308,IF(C308="","",K308&amp;" - "&amp;TEXT(D308,"d mmm yyyy"))))</f>
        <v>0</v>
      </c>
      <c r="M308" s="21">
        <f>IF(B308="","",IF(G308&lt;&gt;"",G308,IFERROR(J308*1,0)))</f>
        <v>0</v>
      </c>
      <c r="N308" s="21">
        <f>IF(B308="","",ROUND(IF(F308="",1,F308)*M308,2))</f>
        <v>0</v>
      </c>
      <c r="O308" s="39">
        <f>IF(B308="","",IF(C308="","",IF(COUNTIFS($C$5:$C$804,C308)&gt;1,"Duplicate","OK")))</f>
        <v>0</v>
      </c>
      <c r="P308" s="31">
        <f>IF(OR(B308="",E308=""),"",COUNTIFS($B$5:B308,B308))</f>
        <v>0</v>
      </c>
      <c r="Q308" s="23">
        <f>IF(P308="","",B308&amp;"|"&amp;P308)</f>
        <v>0</v>
      </c>
      <c r="R308" s="39">
        <f>IF(B308="","",IF(O308="Duplicate","Duplicate - job billed twice",IF(M308=0,"Add - no price on this line",IF(AND(C308="",E308=""),"Add - what is this line for?","OK"))))</f>
        <v>0</v>
      </c>
    </row>
    <row r="309" spans="1:18">
      <c r="A309" s="43">
        <f>IF(B309="","","IL-"&amp;TEXT(ROW()-4,"0000"))</f>
        <v>0</v>
      </c>
      <c r="D309" s="18">
        <f>IF(C309="","",IFERROR(INDEX(Jobs!$B$5:$B$604,MATCH(C309,Jobs!$A$5:$A$604,0)),""))</f>
        <v>0</v>
      </c>
      <c r="J309" s="21">
        <f>IF(C309="","",IFERROR(INDEX(Jobs!$AJ$5:$AJ$604,MATCH(C309,Jobs!$A$5:$A$604,0)),"0"))</f>
        <v>0</v>
      </c>
      <c r="K309" s="23">
        <f>IF(C309="","",IFERROR(INDEX(Jobs!$M$5:$M$604,MATCH(C309,Jobs!$A$5:$A$604,0)),""))</f>
        <v>0</v>
      </c>
      <c r="L309" s="51">
        <f>IF(B309="","",IF(E309&lt;&gt;"",E309,IF(C309="","",K309&amp;" - "&amp;TEXT(D309,"d mmm yyyy"))))</f>
        <v>0</v>
      </c>
      <c r="M309" s="21">
        <f>IF(B309="","",IF(G309&lt;&gt;"",G309,IFERROR(J309*1,0)))</f>
        <v>0</v>
      </c>
      <c r="N309" s="21">
        <f>IF(B309="","",ROUND(IF(F309="",1,F309)*M309,2))</f>
        <v>0</v>
      </c>
      <c r="O309" s="39">
        <f>IF(B309="","",IF(C309="","",IF(COUNTIFS($C$5:$C$804,C309)&gt;1,"Duplicate","OK")))</f>
        <v>0</v>
      </c>
      <c r="P309" s="31">
        <f>IF(OR(B309="",E309=""),"",COUNTIFS($B$5:B309,B309))</f>
        <v>0</v>
      </c>
      <c r="Q309" s="23">
        <f>IF(P309="","",B309&amp;"|"&amp;P309)</f>
        <v>0</v>
      </c>
      <c r="R309" s="39">
        <f>IF(B309="","",IF(O309="Duplicate","Duplicate - job billed twice",IF(M309=0,"Add - no price on this line",IF(AND(C309="",E309=""),"Add - what is this line for?","OK"))))</f>
        <v>0</v>
      </c>
    </row>
    <row r="310" spans="1:18">
      <c r="A310" s="43">
        <f>IF(B310="","","IL-"&amp;TEXT(ROW()-4,"0000"))</f>
        <v>0</v>
      </c>
      <c r="D310" s="18">
        <f>IF(C310="","",IFERROR(INDEX(Jobs!$B$5:$B$604,MATCH(C310,Jobs!$A$5:$A$604,0)),""))</f>
        <v>0</v>
      </c>
      <c r="J310" s="21">
        <f>IF(C310="","",IFERROR(INDEX(Jobs!$AJ$5:$AJ$604,MATCH(C310,Jobs!$A$5:$A$604,0)),"0"))</f>
        <v>0</v>
      </c>
      <c r="K310" s="23">
        <f>IF(C310="","",IFERROR(INDEX(Jobs!$M$5:$M$604,MATCH(C310,Jobs!$A$5:$A$604,0)),""))</f>
        <v>0</v>
      </c>
      <c r="L310" s="51">
        <f>IF(B310="","",IF(E310&lt;&gt;"",E310,IF(C310="","",K310&amp;" - "&amp;TEXT(D310,"d mmm yyyy"))))</f>
        <v>0</v>
      </c>
      <c r="M310" s="21">
        <f>IF(B310="","",IF(G310&lt;&gt;"",G310,IFERROR(J310*1,0)))</f>
        <v>0</v>
      </c>
      <c r="N310" s="21">
        <f>IF(B310="","",ROUND(IF(F310="",1,F310)*M310,2))</f>
        <v>0</v>
      </c>
      <c r="O310" s="39">
        <f>IF(B310="","",IF(C310="","",IF(COUNTIFS($C$5:$C$804,C310)&gt;1,"Duplicate","OK")))</f>
        <v>0</v>
      </c>
      <c r="P310" s="31">
        <f>IF(OR(B310="",E310=""),"",COUNTIFS($B$5:B310,B310))</f>
        <v>0</v>
      </c>
      <c r="Q310" s="23">
        <f>IF(P310="","",B310&amp;"|"&amp;P310)</f>
        <v>0</v>
      </c>
      <c r="R310" s="39">
        <f>IF(B310="","",IF(O310="Duplicate","Duplicate - job billed twice",IF(M310=0,"Add - no price on this line",IF(AND(C310="",E310=""),"Add - what is this line for?","OK"))))</f>
        <v>0</v>
      </c>
    </row>
    <row r="311" spans="1:18">
      <c r="A311" s="43">
        <f>IF(B311="","","IL-"&amp;TEXT(ROW()-4,"0000"))</f>
        <v>0</v>
      </c>
      <c r="D311" s="18">
        <f>IF(C311="","",IFERROR(INDEX(Jobs!$B$5:$B$604,MATCH(C311,Jobs!$A$5:$A$604,0)),""))</f>
        <v>0</v>
      </c>
      <c r="J311" s="21">
        <f>IF(C311="","",IFERROR(INDEX(Jobs!$AJ$5:$AJ$604,MATCH(C311,Jobs!$A$5:$A$604,0)),"0"))</f>
        <v>0</v>
      </c>
      <c r="K311" s="23">
        <f>IF(C311="","",IFERROR(INDEX(Jobs!$M$5:$M$604,MATCH(C311,Jobs!$A$5:$A$604,0)),""))</f>
        <v>0</v>
      </c>
      <c r="L311" s="51">
        <f>IF(B311="","",IF(E311&lt;&gt;"",E311,IF(C311="","",K311&amp;" - "&amp;TEXT(D311,"d mmm yyyy"))))</f>
        <v>0</v>
      </c>
      <c r="M311" s="21">
        <f>IF(B311="","",IF(G311&lt;&gt;"",G311,IFERROR(J311*1,0)))</f>
        <v>0</v>
      </c>
      <c r="N311" s="21">
        <f>IF(B311="","",ROUND(IF(F311="",1,F311)*M311,2))</f>
        <v>0</v>
      </c>
      <c r="O311" s="39">
        <f>IF(B311="","",IF(C311="","",IF(COUNTIFS($C$5:$C$804,C311)&gt;1,"Duplicate","OK")))</f>
        <v>0</v>
      </c>
      <c r="P311" s="31">
        <f>IF(OR(B311="",E311=""),"",COUNTIFS($B$5:B311,B311))</f>
        <v>0</v>
      </c>
      <c r="Q311" s="23">
        <f>IF(P311="","",B311&amp;"|"&amp;P311)</f>
        <v>0</v>
      </c>
      <c r="R311" s="39">
        <f>IF(B311="","",IF(O311="Duplicate","Duplicate - job billed twice",IF(M311=0,"Add - no price on this line",IF(AND(C311="",E311=""),"Add - what is this line for?","OK"))))</f>
        <v>0</v>
      </c>
    </row>
    <row r="312" spans="1:18">
      <c r="A312" s="43">
        <f>IF(B312="","","IL-"&amp;TEXT(ROW()-4,"0000"))</f>
        <v>0</v>
      </c>
      <c r="D312" s="18">
        <f>IF(C312="","",IFERROR(INDEX(Jobs!$B$5:$B$604,MATCH(C312,Jobs!$A$5:$A$604,0)),""))</f>
        <v>0</v>
      </c>
      <c r="J312" s="21">
        <f>IF(C312="","",IFERROR(INDEX(Jobs!$AJ$5:$AJ$604,MATCH(C312,Jobs!$A$5:$A$604,0)),"0"))</f>
        <v>0</v>
      </c>
      <c r="K312" s="23">
        <f>IF(C312="","",IFERROR(INDEX(Jobs!$M$5:$M$604,MATCH(C312,Jobs!$A$5:$A$604,0)),""))</f>
        <v>0</v>
      </c>
      <c r="L312" s="51">
        <f>IF(B312="","",IF(E312&lt;&gt;"",E312,IF(C312="","",K312&amp;" - "&amp;TEXT(D312,"d mmm yyyy"))))</f>
        <v>0</v>
      </c>
      <c r="M312" s="21">
        <f>IF(B312="","",IF(G312&lt;&gt;"",G312,IFERROR(J312*1,0)))</f>
        <v>0</v>
      </c>
      <c r="N312" s="21">
        <f>IF(B312="","",ROUND(IF(F312="",1,F312)*M312,2))</f>
        <v>0</v>
      </c>
      <c r="O312" s="39">
        <f>IF(B312="","",IF(C312="","",IF(COUNTIFS($C$5:$C$804,C312)&gt;1,"Duplicate","OK")))</f>
        <v>0</v>
      </c>
      <c r="P312" s="31">
        <f>IF(OR(B312="",E312=""),"",COUNTIFS($B$5:B312,B312))</f>
        <v>0</v>
      </c>
      <c r="Q312" s="23">
        <f>IF(P312="","",B312&amp;"|"&amp;P312)</f>
        <v>0</v>
      </c>
      <c r="R312" s="39">
        <f>IF(B312="","",IF(O312="Duplicate","Duplicate - job billed twice",IF(M312=0,"Add - no price on this line",IF(AND(C312="",E312=""),"Add - what is this line for?","OK"))))</f>
        <v>0</v>
      </c>
    </row>
    <row r="313" spans="1:18">
      <c r="A313" s="43">
        <f>IF(B313="","","IL-"&amp;TEXT(ROW()-4,"0000"))</f>
        <v>0</v>
      </c>
      <c r="D313" s="18">
        <f>IF(C313="","",IFERROR(INDEX(Jobs!$B$5:$B$604,MATCH(C313,Jobs!$A$5:$A$604,0)),""))</f>
        <v>0</v>
      </c>
      <c r="J313" s="21">
        <f>IF(C313="","",IFERROR(INDEX(Jobs!$AJ$5:$AJ$604,MATCH(C313,Jobs!$A$5:$A$604,0)),"0"))</f>
        <v>0</v>
      </c>
      <c r="K313" s="23">
        <f>IF(C313="","",IFERROR(INDEX(Jobs!$M$5:$M$604,MATCH(C313,Jobs!$A$5:$A$604,0)),""))</f>
        <v>0</v>
      </c>
      <c r="L313" s="51">
        <f>IF(B313="","",IF(E313&lt;&gt;"",E313,IF(C313="","",K313&amp;" - "&amp;TEXT(D313,"d mmm yyyy"))))</f>
        <v>0</v>
      </c>
      <c r="M313" s="21">
        <f>IF(B313="","",IF(G313&lt;&gt;"",G313,IFERROR(J313*1,0)))</f>
        <v>0</v>
      </c>
      <c r="N313" s="21">
        <f>IF(B313="","",ROUND(IF(F313="",1,F313)*M313,2))</f>
        <v>0</v>
      </c>
      <c r="O313" s="39">
        <f>IF(B313="","",IF(C313="","",IF(COUNTIFS($C$5:$C$804,C313)&gt;1,"Duplicate","OK")))</f>
        <v>0</v>
      </c>
      <c r="P313" s="31">
        <f>IF(OR(B313="",E313=""),"",COUNTIFS($B$5:B313,B313))</f>
        <v>0</v>
      </c>
      <c r="Q313" s="23">
        <f>IF(P313="","",B313&amp;"|"&amp;P313)</f>
        <v>0</v>
      </c>
      <c r="R313" s="39">
        <f>IF(B313="","",IF(O313="Duplicate","Duplicate - job billed twice",IF(M313=0,"Add - no price on this line",IF(AND(C313="",E313=""),"Add - what is this line for?","OK"))))</f>
        <v>0</v>
      </c>
    </row>
    <row r="314" spans="1:18">
      <c r="A314" s="43">
        <f>IF(B314="","","IL-"&amp;TEXT(ROW()-4,"0000"))</f>
        <v>0</v>
      </c>
      <c r="D314" s="18">
        <f>IF(C314="","",IFERROR(INDEX(Jobs!$B$5:$B$604,MATCH(C314,Jobs!$A$5:$A$604,0)),""))</f>
        <v>0</v>
      </c>
      <c r="J314" s="21">
        <f>IF(C314="","",IFERROR(INDEX(Jobs!$AJ$5:$AJ$604,MATCH(C314,Jobs!$A$5:$A$604,0)),"0"))</f>
        <v>0</v>
      </c>
      <c r="K314" s="23">
        <f>IF(C314="","",IFERROR(INDEX(Jobs!$M$5:$M$604,MATCH(C314,Jobs!$A$5:$A$604,0)),""))</f>
        <v>0</v>
      </c>
      <c r="L314" s="51">
        <f>IF(B314="","",IF(E314&lt;&gt;"",E314,IF(C314="","",K314&amp;" - "&amp;TEXT(D314,"d mmm yyyy"))))</f>
        <v>0</v>
      </c>
      <c r="M314" s="21">
        <f>IF(B314="","",IF(G314&lt;&gt;"",G314,IFERROR(J314*1,0)))</f>
        <v>0</v>
      </c>
      <c r="N314" s="21">
        <f>IF(B314="","",ROUND(IF(F314="",1,F314)*M314,2))</f>
        <v>0</v>
      </c>
      <c r="O314" s="39">
        <f>IF(B314="","",IF(C314="","",IF(COUNTIFS($C$5:$C$804,C314)&gt;1,"Duplicate","OK")))</f>
        <v>0</v>
      </c>
      <c r="P314" s="31">
        <f>IF(OR(B314="",E314=""),"",COUNTIFS($B$5:B314,B314))</f>
        <v>0</v>
      </c>
      <c r="Q314" s="23">
        <f>IF(P314="","",B314&amp;"|"&amp;P314)</f>
        <v>0</v>
      </c>
      <c r="R314" s="39">
        <f>IF(B314="","",IF(O314="Duplicate","Duplicate - job billed twice",IF(M314=0,"Add - no price on this line",IF(AND(C314="",E314=""),"Add - what is this line for?","OK"))))</f>
        <v>0</v>
      </c>
    </row>
    <row r="315" spans="1:18">
      <c r="A315" s="43">
        <f>IF(B315="","","IL-"&amp;TEXT(ROW()-4,"0000"))</f>
        <v>0</v>
      </c>
      <c r="D315" s="18">
        <f>IF(C315="","",IFERROR(INDEX(Jobs!$B$5:$B$604,MATCH(C315,Jobs!$A$5:$A$604,0)),""))</f>
        <v>0</v>
      </c>
      <c r="J315" s="21">
        <f>IF(C315="","",IFERROR(INDEX(Jobs!$AJ$5:$AJ$604,MATCH(C315,Jobs!$A$5:$A$604,0)),"0"))</f>
        <v>0</v>
      </c>
      <c r="K315" s="23">
        <f>IF(C315="","",IFERROR(INDEX(Jobs!$M$5:$M$604,MATCH(C315,Jobs!$A$5:$A$604,0)),""))</f>
        <v>0</v>
      </c>
      <c r="L315" s="51">
        <f>IF(B315="","",IF(E315&lt;&gt;"",E315,IF(C315="","",K315&amp;" - "&amp;TEXT(D315,"d mmm yyyy"))))</f>
        <v>0</v>
      </c>
      <c r="M315" s="21">
        <f>IF(B315="","",IF(G315&lt;&gt;"",G315,IFERROR(J315*1,0)))</f>
        <v>0</v>
      </c>
      <c r="N315" s="21">
        <f>IF(B315="","",ROUND(IF(F315="",1,F315)*M315,2))</f>
        <v>0</v>
      </c>
      <c r="O315" s="39">
        <f>IF(B315="","",IF(C315="","",IF(COUNTIFS($C$5:$C$804,C315)&gt;1,"Duplicate","OK")))</f>
        <v>0</v>
      </c>
      <c r="P315" s="31">
        <f>IF(OR(B315="",E315=""),"",COUNTIFS($B$5:B315,B315))</f>
        <v>0</v>
      </c>
      <c r="Q315" s="23">
        <f>IF(P315="","",B315&amp;"|"&amp;P315)</f>
        <v>0</v>
      </c>
      <c r="R315" s="39">
        <f>IF(B315="","",IF(O315="Duplicate","Duplicate - job billed twice",IF(M315=0,"Add - no price on this line",IF(AND(C315="",E315=""),"Add - what is this line for?","OK"))))</f>
        <v>0</v>
      </c>
    </row>
    <row r="316" spans="1:18">
      <c r="A316" s="43">
        <f>IF(B316="","","IL-"&amp;TEXT(ROW()-4,"0000"))</f>
        <v>0</v>
      </c>
      <c r="D316" s="18">
        <f>IF(C316="","",IFERROR(INDEX(Jobs!$B$5:$B$604,MATCH(C316,Jobs!$A$5:$A$604,0)),""))</f>
        <v>0</v>
      </c>
      <c r="J316" s="21">
        <f>IF(C316="","",IFERROR(INDEX(Jobs!$AJ$5:$AJ$604,MATCH(C316,Jobs!$A$5:$A$604,0)),"0"))</f>
        <v>0</v>
      </c>
      <c r="K316" s="23">
        <f>IF(C316="","",IFERROR(INDEX(Jobs!$M$5:$M$604,MATCH(C316,Jobs!$A$5:$A$604,0)),""))</f>
        <v>0</v>
      </c>
      <c r="L316" s="51">
        <f>IF(B316="","",IF(E316&lt;&gt;"",E316,IF(C316="","",K316&amp;" - "&amp;TEXT(D316,"d mmm yyyy"))))</f>
        <v>0</v>
      </c>
      <c r="M316" s="21">
        <f>IF(B316="","",IF(G316&lt;&gt;"",G316,IFERROR(J316*1,0)))</f>
        <v>0</v>
      </c>
      <c r="N316" s="21">
        <f>IF(B316="","",ROUND(IF(F316="",1,F316)*M316,2))</f>
        <v>0</v>
      </c>
      <c r="O316" s="39">
        <f>IF(B316="","",IF(C316="","",IF(COUNTIFS($C$5:$C$804,C316)&gt;1,"Duplicate","OK")))</f>
        <v>0</v>
      </c>
      <c r="P316" s="31">
        <f>IF(OR(B316="",E316=""),"",COUNTIFS($B$5:B316,B316))</f>
        <v>0</v>
      </c>
      <c r="Q316" s="23">
        <f>IF(P316="","",B316&amp;"|"&amp;P316)</f>
        <v>0</v>
      </c>
      <c r="R316" s="39">
        <f>IF(B316="","",IF(O316="Duplicate","Duplicate - job billed twice",IF(M316=0,"Add - no price on this line",IF(AND(C316="",E316=""),"Add - what is this line for?","OK"))))</f>
        <v>0</v>
      </c>
    </row>
    <row r="317" spans="1:18">
      <c r="A317" s="43">
        <f>IF(B317="","","IL-"&amp;TEXT(ROW()-4,"0000"))</f>
        <v>0</v>
      </c>
      <c r="D317" s="18">
        <f>IF(C317="","",IFERROR(INDEX(Jobs!$B$5:$B$604,MATCH(C317,Jobs!$A$5:$A$604,0)),""))</f>
        <v>0</v>
      </c>
      <c r="J317" s="21">
        <f>IF(C317="","",IFERROR(INDEX(Jobs!$AJ$5:$AJ$604,MATCH(C317,Jobs!$A$5:$A$604,0)),"0"))</f>
        <v>0</v>
      </c>
      <c r="K317" s="23">
        <f>IF(C317="","",IFERROR(INDEX(Jobs!$M$5:$M$604,MATCH(C317,Jobs!$A$5:$A$604,0)),""))</f>
        <v>0</v>
      </c>
      <c r="L317" s="51">
        <f>IF(B317="","",IF(E317&lt;&gt;"",E317,IF(C317="","",K317&amp;" - "&amp;TEXT(D317,"d mmm yyyy"))))</f>
        <v>0</v>
      </c>
      <c r="M317" s="21">
        <f>IF(B317="","",IF(G317&lt;&gt;"",G317,IFERROR(J317*1,0)))</f>
        <v>0</v>
      </c>
      <c r="N317" s="21">
        <f>IF(B317="","",ROUND(IF(F317="",1,F317)*M317,2))</f>
        <v>0</v>
      </c>
      <c r="O317" s="39">
        <f>IF(B317="","",IF(C317="","",IF(COUNTIFS($C$5:$C$804,C317)&gt;1,"Duplicate","OK")))</f>
        <v>0</v>
      </c>
      <c r="P317" s="31">
        <f>IF(OR(B317="",E317=""),"",COUNTIFS($B$5:B317,B317))</f>
        <v>0</v>
      </c>
      <c r="Q317" s="23">
        <f>IF(P317="","",B317&amp;"|"&amp;P317)</f>
        <v>0</v>
      </c>
      <c r="R317" s="39">
        <f>IF(B317="","",IF(O317="Duplicate","Duplicate - job billed twice",IF(M317=0,"Add - no price on this line",IF(AND(C317="",E317=""),"Add - what is this line for?","OK"))))</f>
        <v>0</v>
      </c>
    </row>
    <row r="318" spans="1:18">
      <c r="A318" s="43">
        <f>IF(B318="","","IL-"&amp;TEXT(ROW()-4,"0000"))</f>
        <v>0</v>
      </c>
      <c r="D318" s="18">
        <f>IF(C318="","",IFERROR(INDEX(Jobs!$B$5:$B$604,MATCH(C318,Jobs!$A$5:$A$604,0)),""))</f>
        <v>0</v>
      </c>
      <c r="J318" s="21">
        <f>IF(C318="","",IFERROR(INDEX(Jobs!$AJ$5:$AJ$604,MATCH(C318,Jobs!$A$5:$A$604,0)),"0"))</f>
        <v>0</v>
      </c>
      <c r="K318" s="23">
        <f>IF(C318="","",IFERROR(INDEX(Jobs!$M$5:$M$604,MATCH(C318,Jobs!$A$5:$A$604,0)),""))</f>
        <v>0</v>
      </c>
      <c r="L318" s="51">
        <f>IF(B318="","",IF(E318&lt;&gt;"",E318,IF(C318="","",K318&amp;" - "&amp;TEXT(D318,"d mmm yyyy"))))</f>
        <v>0</v>
      </c>
      <c r="M318" s="21">
        <f>IF(B318="","",IF(G318&lt;&gt;"",G318,IFERROR(J318*1,0)))</f>
        <v>0</v>
      </c>
      <c r="N318" s="21">
        <f>IF(B318="","",ROUND(IF(F318="",1,F318)*M318,2))</f>
        <v>0</v>
      </c>
      <c r="O318" s="39">
        <f>IF(B318="","",IF(C318="","",IF(COUNTIFS($C$5:$C$804,C318)&gt;1,"Duplicate","OK")))</f>
        <v>0</v>
      </c>
      <c r="P318" s="31">
        <f>IF(OR(B318="",E318=""),"",COUNTIFS($B$5:B318,B318))</f>
        <v>0</v>
      </c>
      <c r="Q318" s="23">
        <f>IF(P318="","",B318&amp;"|"&amp;P318)</f>
        <v>0</v>
      </c>
      <c r="R318" s="39">
        <f>IF(B318="","",IF(O318="Duplicate","Duplicate - job billed twice",IF(M318=0,"Add - no price on this line",IF(AND(C318="",E318=""),"Add - what is this line for?","OK"))))</f>
        <v>0</v>
      </c>
    </row>
    <row r="319" spans="1:18">
      <c r="A319" s="43">
        <f>IF(B319="","","IL-"&amp;TEXT(ROW()-4,"0000"))</f>
        <v>0</v>
      </c>
      <c r="D319" s="18">
        <f>IF(C319="","",IFERROR(INDEX(Jobs!$B$5:$B$604,MATCH(C319,Jobs!$A$5:$A$604,0)),""))</f>
        <v>0</v>
      </c>
      <c r="J319" s="21">
        <f>IF(C319="","",IFERROR(INDEX(Jobs!$AJ$5:$AJ$604,MATCH(C319,Jobs!$A$5:$A$604,0)),"0"))</f>
        <v>0</v>
      </c>
      <c r="K319" s="23">
        <f>IF(C319="","",IFERROR(INDEX(Jobs!$M$5:$M$604,MATCH(C319,Jobs!$A$5:$A$604,0)),""))</f>
        <v>0</v>
      </c>
      <c r="L319" s="51">
        <f>IF(B319="","",IF(E319&lt;&gt;"",E319,IF(C319="","",K319&amp;" - "&amp;TEXT(D319,"d mmm yyyy"))))</f>
        <v>0</v>
      </c>
      <c r="M319" s="21">
        <f>IF(B319="","",IF(G319&lt;&gt;"",G319,IFERROR(J319*1,0)))</f>
        <v>0</v>
      </c>
      <c r="N319" s="21">
        <f>IF(B319="","",ROUND(IF(F319="",1,F319)*M319,2))</f>
        <v>0</v>
      </c>
      <c r="O319" s="39">
        <f>IF(B319="","",IF(C319="","",IF(COUNTIFS($C$5:$C$804,C319)&gt;1,"Duplicate","OK")))</f>
        <v>0</v>
      </c>
      <c r="P319" s="31">
        <f>IF(OR(B319="",E319=""),"",COUNTIFS($B$5:B319,B319))</f>
        <v>0</v>
      </c>
      <c r="Q319" s="23">
        <f>IF(P319="","",B319&amp;"|"&amp;P319)</f>
        <v>0</v>
      </c>
      <c r="R319" s="39">
        <f>IF(B319="","",IF(O319="Duplicate","Duplicate - job billed twice",IF(M319=0,"Add - no price on this line",IF(AND(C319="",E319=""),"Add - what is this line for?","OK"))))</f>
        <v>0</v>
      </c>
    </row>
    <row r="320" spans="1:18">
      <c r="A320" s="43">
        <f>IF(B320="","","IL-"&amp;TEXT(ROW()-4,"0000"))</f>
        <v>0</v>
      </c>
      <c r="D320" s="18">
        <f>IF(C320="","",IFERROR(INDEX(Jobs!$B$5:$B$604,MATCH(C320,Jobs!$A$5:$A$604,0)),""))</f>
        <v>0</v>
      </c>
      <c r="J320" s="21">
        <f>IF(C320="","",IFERROR(INDEX(Jobs!$AJ$5:$AJ$604,MATCH(C320,Jobs!$A$5:$A$604,0)),"0"))</f>
        <v>0</v>
      </c>
      <c r="K320" s="23">
        <f>IF(C320="","",IFERROR(INDEX(Jobs!$M$5:$M$604,MATCH(C320,Jobs!$A$5:$A$604,0)),""))</f>
        <v>0</v>
      </c>
      <c r="L320" s="51">
        <f>IF(B320="","",IF(E320&lt;&gt;"",E320,IF(C320="","",K320&amp;" - "&amp;TEXT(D320,"d mmm yyyy"))))</f>
        <v>0</v>
      </c>
      <c r="M320" s="21">
        <f>IF(B320="","",IF(G320&lt;&gt;"",G320,IFERROR(J320*1,0)))</f>
        <v>0</v>
      </c>
      <c r="N320" s="21">
        <f>IF(B320="","",ROUND(IF(F320="",1,F320)*M320,2))</f>
        <v>0</v>
      </c>
      <c r="O320" s="39">
        <f>IF(B320="","",IF(C320="","",IF(COUNTIFS($C$5:$C$804,C320)&gt;1,"Duplicate","OK")))</f>
        <v>0</v>
      </c>
      <c r="P320" s="31">
        <f>IF(OR(B320="",E320=""),"",COUNTIFS($B$5:B320,B320))</f>
        <v>0</v>
      </c>
      <c r="Q320" s="23">
        <f>IF(P320="","",B320&amp;"|"&amp;P320)</f>
        <v>0</v>
      </c>
      <c r="R320" s="39">
        <f>IF(B320="","",IF(O320="Duplicate","Duplicate - job billed twice",IF(M320=0,"Add - no price on this line",IF(AND(C320="",E320=""),"Add - what is this line for?","OK"))))</f>
        <v>0</v>
      </c>
    </row>
    <row r="321" spans="1:18">
      <c r="A321" s="43">
        <f>IF(B321="","","IL-"&amp;TEXT(ROW()-4,"0000"))</f>
        <v>0</v>
      </c>
      <c r="D321" s="18">
        <f>IF(C321="","",IFERROR(INDEX(Jobs!$B$5:$B$604,MATCH(C321,Jobs!$A$5:$A$604,0)),""))</f>
        <v>0</v>
      </c>
      <c r="J321" s="21">
        <f>IF(C321="","",IFERROR(INDEX(Jobs!$AJ$5:$AJ$604,MATCH(C321,Jobs!$A$5:$A$604,0)),"0"))</f>
        <v>0</v>
      </c>
      <c r="K321" s="23">
        <f>IF(C321="","",IFERROR(INDEX(Jobs!$M$5:$M$604,MATCH(C321,Jobs!$A$5:$A$604,0)),""))</f>
        <v>0</v>
      </c>
      <c r="L321" s="51">
        <f>IF(B321="","",IF(E321&lt;&gt;"",E321,IF(C321="","",K321&amp;" - "&amp;TEXT(D321,"d mmm yyyy"))))</f>
        <v>0</v>
      </c>
      <c r="M321" s="21">
        <f>IF(B321="","",IF(G321&lt;&gt;"",G321,IFERROR(J321*1,0)))</f>
        <v>0</v>
      </c>
      <c r="N321" s="21">
        <f>IF(B321="","",ROUND(IF(F321="",1,F321)*M321,2))</f>
        <v>0</v>
      </c>
      <c r="O321" s="39">
        <f>IF(B321="","",IF(C321="","",IF(COUNTIFS($C$5:$C$804,C321)&gt;1,"Duplicate","OK")))</f>
        <v>0</v>
      </c>
      <c r="P321" s="31">
        <f>IF(OR(B321="",E321=""),"",COUNTIFS($B$5:B321,B321))</f>
        <v>0</v>
      </c>
      <c r="Q321" s="23">
        <f>IF(P321="","",B321&amp;"|"&amp;P321)</f>
        <v>0</v>
      </c>
      <c r="R321" s="39">
        <f>IF(B321="","",IF(O321="Duplicate","Duplicate - job billed twice",IF(M321=0,"Add - no price on this line",IF(AND(C321="",E321=""),"Add - what is this line for?","OK"))))</f>
        <v>0</v>
      </c>
    </row>
    <row r="322" spans="1:18">
      <c r="A322" s="43">
        <f>IF(B322="","","IL-"&amp;TEXT(ROW()-4,"0000"))</f>
        <v>0</v>
      </c>
      <c r="D322" s="18">
        <f>IF(C322="","",IFERROR(INDEX(Jobs!$B$5:$B$604,MATCH(C322,Jobs!$A$5:$A$604,0)),""))</f>
        <v>0</v>
      </c>
      <c r="J322" s="21">
        <f>IF(C322="","",IFERROR(INDEX(Jobs!$AJ$5:$AJ$604,MATCH(C322,Jobs!$A$5:$A$604,0)),"0"))</f>
        <v>0</v>
      </c>
      <c r="K322" s="23">
        <f>IF(C322="","",IFERROR(INDEX(Jobs!$M$5:$M$604,MATCH(C322,Jobs!$A$5:$A$604,0)),""))</f>
        <v>0</v>
      </c>
      <c r="L322" s="51">
        <f>IF(B322="","",IF(E322&lt;&gt;"",E322,IF(C322="","",K322&amp;" - "&amp;TEXT(D322,"d mmm yyyy"))))</f>
        <v>0</v>
      </c>
      <c r="M322" s="21">
        <f>IF(B322="","",IF(G322&lt;&gt;"",G322,IFERROR(J322*1,0)))</f>
        <v>0</v>
      </c>
      <c r="N322" s="21">
        <f>IF(B322="","",ROUND(IF(F322="",1,F322)*M322,2))</f>
        <v>0</v>
      </c>
      <c r="O322" s="39">
        <f>IF(B322="","",IF(C322="","",IF(COUNTIFS($C$5:$C$804,C322)&gt;1,"Duplicate","OK")))</f>
        <v>0</v>
      </c>
      <c r="P322" s="31">
        <f>IF(OR(B322="",E322=""),"",COUNTIFS($B$5:B322,B322))</f>
        <v>0</v>
      </c>
      <c r="Q322" s="23">
        <f>IF(P322="","",B322&amp;"|"&amp;P322)</f>
        <v>0</v>
      </c>
      <c r="R322" s="39">
        <f>IF(B322="","",IF(O322="Duplicate","Duplicate - job billed twice",IF(M322=0,"Add - no price on this line",IF(AND(C322="",E322=""),"Add - what is this line for?","OK"))))</f>
        <v>0</v>
      </c>
    </row>
    <row r="323" spans="1:18">
      <c r="A323" s="43">
        <f>IF(B323="","","IL-"&amp;TEXT(ROW()-4,"0000"))</f>
        <v>0</v>
      </c>
      <c r="D323" s="18">
        <f>IF(C323="","",IFERROR(INDEX(Jobs!$B$5:$B$604,MATCH(C323,Jobs!$A$5:$A$604,0)),""))</f>
        <v>0</v>
      </c>
      <c r="J323" s="21">
        <f>IF(C323="","",IFERROR(INDEX(Jobs!$AJ$5:$AJ$604,MATCH(C323,Jobs!$A$5:$A$604,0)),"0"))</f>
        <v>0</v>
      </c>
      <c r="K323" s="23">
        <f>IF(C323="","",IFERROR(INDEX(Jobs!$M$5:$M$604,MATCH(C323,Jobs!$A$5:$A$604,0)),""))</f>
        <v>0</v>
      </c>
      <c r="L323" s="51">
        <f>IF(B323="","",IF(E323&lt;&gt;"",E323,IF(C323="","",K323&amp;" - "&amp;TEXT(D323,"d mmm yyyy"))))</f>
        <v>0</v>
      </c>
      <c r="M323" s="21">
        <f>IF(B323="","",IF(G323&lt;&gt;"",G323,IFERROR(J323*1,0)))</f>
        <v>0</v>
      </c>
      <c r="N323" s="21">
        <f>IF(B323="","",ROUND(IF(F323="",1,F323)*M323,2))</f>
        <v>0</v>
      </c>
      <c r="O323" s="39">
        <f>IF(B323="","",IF(C323="","",IF(COUNTIFS($C$5:$C$804,C323)&gt;1,"Duplicate","OK")))</f>
        <v>0</v>
      </c>
      <c r="P323" s="31">
        <f>IF(OR(B323="",E323=""),"",COUNTIFS($B$5:B323,B323))</f>
        <v>0</v>
      </c>
      <c r="Q323" s="23">
        <f>IF(P323="","",B323&amp;"|"&amp;P323)</f>
        <v>0</v>
      </c>
      <c r="R323" s="39">
        <f>IF(B323="","",IF(O323="Duplicate","Duplicate - job billed twice",IF(M323=0,"Add - no price on this line",IF(AND(C323="",E323=""),"Add - what is this line for?","OK"))))</f>
        <v>0</v>
      </c>
    </row>
    <row r="324" spans="1:18">
      <c r="A324" s="43">
        <f>IF(B324="","","IL-"&amp;TEXT(ROW()-4,"0000"))</f>
        <v>0</v>
      </c>
      <c r="D324" s="18">
        <f>IF(C324="","",IFERROR(INDEX(Jobs!$B$5:$B$604,MATCH(C324,Jobs!$A$5:$A$604,0)),""))</f>
        <v>0</v>
      </c>
      <c r="J324" s="21">
        <f>IF(C324="","",IFERROR(INDEX(Jobs!$AJ$5:$AJ$604,MATCH(C324,Jobs!$A$5:$A$604,0)),"0"))</f>
        <v>0</v>
      </c>
      <c r="K324" s="23">
        <f>IF(C324="","",IFERROR(INDEX(Jobs!$M$5:$M$604,MATCH(C324,Jobs!$A$5:$A$604,0)),""))</f>
        <v>0</v>
      </c>
      <c r="L324" s="51">
        <f>IF(B324="","",IF(E324&lt;&gt;"",E324,IF(C324="","",K324&amp;" - "&amp;TEXT(D324,"d mmm yyyy"))))</f>
        <v>0</v>
      </c>
      <c r="M324" s="21">
        <f>IF(B324="","",IF(G324&lt;&gt;"",G324,IFERROR(J324*1,0)))</f>
        <v>0</v>
      </c>
      <c r="N324" s="21">
        <f>IF(B324="","",ROUND(IF(F324="",1,F324)*M324,2))</f>
        <v>0</v>
      </c>
      <c r="O324" s="39">
        <f>IF(B324="","",IF(C324="","",IF(COUNTIFS($C$5:$C$804,C324)&gt;1,"Duplicate","OK")))</f>
        <v>0</v>
      </c>
      <c r="P324" s="31">
        <f>IF(OR(B324="",E324=""),"",COUNTIFS($B$5:B324,B324))</f>
        <v>0</v>
      </c>
      <c r="Q324" s="23">
        <f>IF(P324="","",B324&amp;"|"&amp;P324)</f>
        <v>0</v>
      </c>
      <c r="R324" s="39">
        <f>IF(B324="","",IF(O324="Duplicate","Duplicate - job billed twice",IF(M324=0,"Add - no price on this line",IF(AND(C324="",E324=""),"Add - what is this line for?","OK"))))</f>
        <v>0</v>
      </c>
    </row>
    <row r="325" spans="1:18">
      <c r="A325" s="43">
        <f>IF(B325="","","IL-"&amp;TEXT(ROW()-4,"0000"))</f>
        <v>0</v>
      </c>
      <c r="D325" s="18">
        <f>IF(C325="","",IFERROR(INDEX(Jobs!$B$5:$B$604,MATCH(C325,Jobs!$A$5:$A$604,0)),""))</f>
        <v>0</v>
      </c>
      <c r="J325" s="21">
        <f>IF(C325="","",IFERROR(INDEX(Jobs!$AJ$5:$AJ$604,MATCH(C325,Jobs!$A$5:$A$604,0)),"0"))</f>
        <v>0</v>
      </c>
      <c r="K325" s="23">
        <f>IF(C325="","",IFERROR(INDEX(Jobs!$M$5:$M$604,MATCH(C325,Jobs!$A$5:$A$604,0)),""))</f>
        <v>0</v>
      </c>
      <c r="L325" s="51">
        <f>IF(B325="","",IF(E325&lt;&gt;"",E325,IF(C325="","",K325&amp;" - "&amp;TEXT(D325,"d mmm yyyy"))))</f>
        <v>0</v>
      </c>
      <c r="M325" s="21">
        <f>IF(B325="","",IF(G325&lt;&gt;"",G325,IFERROR(J325*1,0)))</f>
        <v>0</v>
      </c>
      <c r="N325" s="21">
        <f>IF(B325="","",ROUND(IF(F325="",1,F325)*M325,2))</f>
        <v>0</v>
      </c>
      <c r="O325" s="39">
        <f>IF(B325="","",IF(C325="","",IF(COUNTIFS($C$5:$C$804,C325)&gt;1,"Duplicate","OK")))</f>
        <v>0</v>
      </c>
      <c r="P325" s="31">
        <f>IF(OR(B325="",E325=""),"",COUNTIFS($B$5:B325,B325))</f>
        <v>0</v>
      </c>
      <c r="Q325" s="23">
        <f>IF(P325="","",B325&amp;"|"&amp;P325)</f>
        <v>0</v>
      </c>
      <c r="R325" s="39">
        <f>IF(B325="","",IF(O325="Duplicate","Duplicate - job billed twice",IF(M325=0,"Add - no price on this line",IF(AND(C325="",E325=""),"Add - what is this line for?","OK"))))</f>
        <v>0</v>
      </c>
    </row>
    <row r="326" spans="1:18">
      <c r="A326" s="43">
        <f>IF(B326="","","IL-"&amp;TEXT(ROW()-4,"0000"))</f>
        <v>0</v>
      </c>
      <c r="D326" s="18">
        <f>IF(C326="","",IFERROR(INDEX(Jobs!$B$5:$B$604,MATCH(C326,Jobs!$A$5:$A$604,0)),""))</f>
        <v>0</v>
      </c>
      <c r="J326" s="21">
        <f>IF(C326="","",IFERROR(INDEX(Jobs!$AJ$5:$AJ$604,MATCH(C326,Jobs!$A$5:$A$604,0)),"0"))</f>
        <v>0</v>
      </c>
      <c r="K326" s="23">
        <f>IF(C326="","",IFERROR(INDEX(Jobs!$M$5:$M$604,MATCH(C326,Jobs!$A$5:$A$604,0)),""))</f>
        <v>0</v>
      </c>
      <c r="L326" s="51">
        <f>IF(B326="","",IF(E326&lt;&gt;"",E326,IF(C326="","",K326&amp;" - "&amp;TEXT(D326,"d mmm yyyy"))))</f>
        <v>0</v>
      </c>
      <c r="M326" s="21">
        <f>IF(B326="","",IF(G326&lt;&gt;"",G326,IFERROR(J326*1,0)))</f>
        <v>0</v>
      </c>
      <c r="N326" s="21">
        <f>IF(B326="","",ROUND(IF(F326="",1,F326)*M326,2))</f>
        <v>0</v>
      </c>
      <c r="O326" s="39">
        <f>IF(B326="","",IF(C326="","",IF(COUNTIFS($C$5:$C$804,C326)&gt;1,"Duplicate","OK")))</f>
        <v>0</v>
      </c>
      <c r="P326" s="31">
        <f>IF(OR(B326="",E326=""),"",COUNTIFS($B$5:B326,B326))</f>
        <v>0</v>
      </c>
      <c r="Q326" s="23">
        <f>IF(P326="","",B326&amp;"|"&amp;P326)</f>
        <v>0</v>
      </c>
      <c r="R326" s="39">
        <f>IF(B326="","",IF(O326="Duplicate","Duplicate - job billed twice",IF(M326=0,"Add - no price on this line",IF(AND(C326="",E326=""),"Add - what is this line for?","OK"))))</f>
        <v>0</v>
      </c>
    </row>
    <row r="327" spans="1:18">
      <c r="A327" s="43">
        <f>IF(B327="","","IL-"&amp;TEXT(ROW()-4,"0000"))</f>
        <v>0</v>
      </c>
      <c r="D327" s="18">
        <f>IF(C327="","",IFERROR(INDEX(Jobs!$B$5:$B$604,MATCH(C327,Jobs!$A$5:$A$604,0)),""))</f>
        <v>0</v>
      </c>
      <c r="J327" s="21">
        <f>IF(C327="","",IFERROR(INDEX(Jobs!$AJ$5:$AJ$604,MATCH(C327,Jobs!$A$5:$A$604,0)),"0"))</f>
        <v>0</v>
      </c>
      <c r="K327" s="23">
        <f>IF(C327="","",IFERROR(INDEX(Jobs!$M$5:$M$604,MATCH(C327,Jobs!$A$5:$A$604,0)),""))</f>
        <v>0</v>
      </c>
      <c r="L327" s="51">
        <f>IF(B327="","",IF(E327&lt;&gt;"",E327,IF(C327="","",K327&amp;" - "&amp;TEXT(D327,"d mmm yyyy"))))</f>
        <v>0</v>
      </c>
      <c r="M327" s="21">
        <f>IF(B327="","",IF(G327&lt;&gt;"",G327,IFERROR(J327*1,0)))</f>
        <v>0</v>
      </c>
      <c r="N327" s="21">
        <f>IF(B327="","",ROUND(IF(F327="",1,F327)*M327,2))</f>
        <v>0</v>
      </c>
      <c r="O327" s="39">
        <f>IF(B327="","",IF(C327="","",IF(COUNTIFS($C$5:$C$804,C327)&gt;1,"Duplicate","OK")))</f>
        <v>0</v>
      </c>
      <c r="P327" s="31">
        <f>IF(OR(B327="",E327=""),"",COUNTIFS($B$5:B327,B327))</f>
        <v>0</v>
      </c>
      <c r="Q327" s="23">
        <f>IF(P327="","",B327&amp;"|"&amp;P327)</f>
        <v>0</v>
      </c>
      <c r="R327" s="39">
        <f>IF(B327="","",IF(O327="Duplicate","Duplicate - job billed twice",IF(M327=0,"Add - no price on this line",IF(AND(C327="",E327=""),"Add - what is this line for?","OK"))))</f>
        <v>0</v>
      </c>
    </row>
    <row r="328" spans="1:18">
      <c r="A328" s="43">
        <f>IF(B328="","","IL-"&amp;TEXT(ROW()-4,"0000"))</f>
        <v>0</v>
      </c>
      <c r="D328" s="18">
        <f>IF(C328="","",IFERROR(INDEX(Jobs!$B$5:$B$604,MATCH(C328,Jobs!$A$5:$A$604,0)),""))</f>
        <v>0</v>
      </c>
      <c r="J328" s="21">
        <f>IF(C328="","",IFERROR(INDEX(Jobs!$AJ$5:$AJ$604,MATCH(C328,Jobs!$A$5:$A$604,0)),"0"))</f>
        <v>0</v>
      </c>
      <c r="K328" s="23">
        <f>IF(C328="","",IFERROR(INDEX(Jobs!$M$5:$M$604,MATCH(C328,Jobs!$A$5:$A$604,0)),""))</f>
        <v>0</v>
      </c>
      <c r="L328" s="51">
        <f>IF(B328="","",IF(E328&lt;&gt;"",E328,IF(C328="","",K328&amp;" - "&amp;TEXT(D328,"d mmm yyyy"))))</f>
        <v>0</v>
      </c>
      <c r="M328" s="21">
        <f>IF(B328="","",IF(G328&lt;&gt;"",G328,IFERROR(J328*1,0)))</f>
        <v>0</v>
      </c>
      <c r="N328" s="21">
        <f>IF(B328="","",ROUND(IF(F328="",1,F328)*M328,2))</f>
        <v>0</v>
      </c>
      <c r="O328" s="39">
        <f>IF(B328="","",IF(C328="","",IF(COUNTIFS($C$5:$C$804,C328)&gt;1,"Duplicate","OK")))</f>
        <v>0</v>
      </c>
      <c r="P328" s="31">
        <f>IF(OR(B328="",E328=""),"",COUNTIFS($B$5:B328,B328))</f>
        <v>0</v>
      </c>
      <c r="Q328" s="23">
        <f>IF(P328="","",B328&amp;"|"&amp;P328)</f>
        <v>0</v>
      </c>
      <c r="R328" s="39">
        <f>IF(B328="","",IF(O328="Duplicate","Duplicate - job billed twice",IF(M328=0,"Add - no price on this line",IF(AND(C328="",E328=""),"Add - what is this line for?","OK"))))</f>
        <v>0</v>
      </c>
    </row>
    <row r="329" spans="1:18">
      <c r="A329" s="43">
        <f>IF(B329="","","IL-"&amp;TEXT(ROW()-4,"0000"))</f>
        <v>0</v>
      </c>
      <c r="D329" s="18">
        <f>IF(C329="","",IFERROR(INDEX(Jobs!$B$5:$B$604,MATCH(C329,Jobs!$A$5:$A$604,0)),""))</f>
        <v>0</v>
      </c>
      <c r="J329" s="21">
        <f>IF(C329="","",IFERROR(INDEX(Jobs!$AJ$5:$AJ$604,MATCH(C329,Jobs!$A$5:$A$604,0)),"0"))</f>
        <v>0</v>
      </c>
      <c r="K329" s="23">
        <f>IF(C329="","",IFERROR(INDEX(Jobs!$M$5:$M$604,MATCH(C329,Jobs!$A$5:$A$604,0)),""))</f>
        <v>0</v>
      </c>
      <c r="L329" s="51">
        <f>IF(B329="","",IF(E329&lt;&gt;"",E329,IF(C329="","",K329&amp;" - "&amp;TEXT(D329,"d mmm yyyy"))))</f>
        <v>0</v>
      </c>
      <c r="M329" s="21">
        <f>IF(B329="","",IF(G329&lt;&gt;"",G329,IFERROR(J329*1,0)))</f>
        <v>0</v>
      </c>
      <c r="N329" s="21">
        <f>IF(B329="","",ROUND(IF(F329="",1,F329)*M329,2))</f>
        <v>0</v>
      </c>
      <c r="O329" s="39">
        <f>IF(B329="","",IF(C329="","",IF(COUNTIFS($C$5:$C$804,C329)&gt;1,"Duplicate","OK")))</f>
        <v>0</v>
      </c>
      <c r="P329" s="31">
        <f>IF(OR(B329="",E329=""),"",COUNTIFS($B$5:B329,B329))</f>
        <v>0</v>
      </c>
      <c r="Q329" s="23">
        <f>IF(P329="","",B329&amp;"|"&amp;P329)</f>
        <v>0</v>
      </c>
      <c r="R329" s="39">
        <f>IF(B329="","",IF(O329="Duplicate","Duplicate - job billed twice",IF(M329=0,"Add - no price on this line",IF(AND(C329="",E329=""),"Add - what is this line for?","OK"))))</f>
        <v>0</v>
      </c>
    </row>
    <row r="330" spans="1:18">
      <c r="A330" s="43">
        <f>IF(B330="","","IL-"&amp;TEXT(ROW()-4,"0000"))</f>
        <v>0</v>
      </c>
      <c r="D330" s="18">
        <f>IF(C330="","",IFERROR(INDEX(Jobs!$B$5:$B$604,MATCH(C330,Jobs!$A$5:$A$604,0)),""))</f>
        <v>0</v>
      </c>
      <c r="J330" s="21">
        <f>IF(C330="","",IFERROR(INDEX(Jobs!$AJ$5:$AJ$604,MATCH(C330,Jobs!$A$5:$A$604,0)),"0"))</f>
        <v>0</v>
      </c>
      <c r="K330" s="23">
        <f>IF(C330="","",IFERROR(INDEX(Jobs!$M$5:$M$604,MATCH(C330,Jobs!$A$5:$A$604,0)),""))</f>
        <v>0</v>
      </c>
      <c r="L330" s="51">
        <f>IF(B330="","",IF(E330&lt;&gt;"",E330,IF(C330="","",K330&amp;" - "&amp;TEXT(D330,"d mmm yyyy"))))</f>
        <v>0</v>
      </c>
      <c r="M330" s="21">
        <f>IF(B330="","",IF(G330&lt;&gt;"",G330,IFERROR(J330*1,0)))</f>
        <v>0</v>
      </c>
      <c r="N330" s="21">
        <f>IF(B330="","",ROUND(IF(F330="",1,F330)*M330,2))</f>
        <v>0</v>
      </c>
      <c r="O330" s="39">
        <f>IF(B330="","",IF(C330="","",IF(COUNTIFS($C$5:$C$804,C330)&gt;1,"Duplicate","OK")))</f>
        <v>0</v>
      </c>
      <c r="P330" s="31">
        <f>IF(OR(B330="",E330=""),"",COUNTIFS($B$5:B330,B330))</f>
        <v>0</v>
      </c>
      <c r="Q330" s="23">
        <f>IF(P330="","",B330&amp;"|"&amp;P330)</f>
        <v>0</v>
      </c>
      <c r="R330" s="39">
        <f>IF(B330="","",IF(O330="Duplicate","Duplicate - job billed twice",IF(M330=0,"Add - no price on this line",IF(AND(C330="",E330=""),"Add - what is this line for?","OK"))))</f>
        <v>0</v>
      </c>
    </row>
    <row r="331" spans="1:18">
      <c r="A331" s="43">
        <f>IF(B331="","","IL-"&amp;TEXT(ROW()-4,"0000"))</f>
        <v>0</v>
      </c>
      <c r="D331" s="18">
        <f>IF(C331="","",IFERROR(INDEX(Jobs!$B$5:$B$604,MATCH(C331,Jobs!$A$5:$A$604,0)),""))</f>
        <v>0</v>
      </c>
      <c r="J331" s="21">
        <f>IF(C331="","",IFERROR(INDEX(Jobs!$AJ$5:$AJ$604,MATCH(C331,Jobs!$A$5:$A$604,0)),"0"))</f>
        <v>0</v>
      </c>
      <c r="K331" s="23">
        <f>IF(C331="","",IFERROR(INDEX(Jobs!$M$5:$M$604,MATCH(C331,Jobs!$A$5:$A$604,0)),""))</f>
        <v>0</v>
      </c>
      <c r="L331" s="51">
        <f>IF(B331="","",IF(E331&lt;&gt;"",E331,IF(C331="","",K331&amp;" - "&amp;TEXT(D331,"d mmm yyyy"))))</f>
        <v>0</v>
      </c>
      <c r="M331" s="21">
        <f>IF(B331="","",IF(G331&lt;&gt;"",G331,IFERROR(J331*1,0)))</f>
        <v>0</v>
      </c>
      <c r="N331" s="21">
        <f>IF(B331="","",ROUND(IF(F331="",1,F331)*M331,2))</f>
        <v>0</v>
      </c>
      <c r="O331" s="39">
        <f>IF(B331="","",IF(C331="","",IF(COUNTIFS($C$5:$C$804,C331)&gt;1,"Duplicate","OK")))</f>
        <v>0</v>
      </c>
      <c r="P331" s="31">
        <f>IF(OR(B331="",E331=""),"",COUNTIFS($B$5:B331,B331))</f>
        <v>0</v>
      </c>
      <c r="Q331" s="23">
        <f>IF(P331="","",B331&amp;"|"&amp;P331)</f>
        <v>0</v>
      </c>
      <c r="R331" s="39">
        <f>IF(B331="","",IF(O331="Duplicate","Duplicate - job billed twice",IF(M331=0,"Add - no price on this line",IF(AND(C331="",E331=""),"Add - what is this line for?","OK"))))</f>
        <v>0</v>
      </c>
    </row>
    <row r="332" spans="1:18">
      <c r="A332" s="43">
        <f>IF(B332="","","IL-"&amp;TEXT(ROW()-4,"0000"))</f>
        <v>0</v>
      </c>
      <c r="D332" s="18">
        <f>IF(C332="","",IFERROR(INDEX(Jobs!$B$5:$B$604,MATCH(C332,Jobs!$A$5:$A$604,0)),""))</f>
        <v>0</v>
      </c>
      <c r="J332" s="21">
        <f>IF(C332="","",IFERROR(INDEX(Jobs!$AJ$5:$AJ$604,MATCH(C332,Jobs!$A$5:$A$604,0)),"0"))</f>
        <v>0</v>
      </c>
      <c r="K332" s="23">
        <f>IF(C332="","",IFERROR(INDEX(Jobs!$M$5:$M$604,MATCH(C332,Jobs!$A$5:$A$604,0)),""))</f>
        <v>0</v>
      </c>
      <c r="L332" s="51">
        <f>IF(B332="","",IF(E332&lt;&gt;"",E332,IF(C332="","",K332&amp;" - "&amp;TEXT(D332,"d mmm yyyy"))))</f>
        <v>0</v>
      </c>
      <c r="M332" s="21">
        <f>IF(B332="","",IF(G332&lt;&gt;"",G332,IFERROR(J332*1,0)))</f>
        <v>0</v>
      </c>
      <c r="N332" s="21">
        <f>IF(B332="","",ROUND(IF(F332="",1,F332)*M332,2))</f>
        <v>0</v>
      </c>
      <c r="O332" s="39">
        <f>IF(B332="","",IF(C332="","",IF(COUNTIFS($C$5:$C$804,C332)&gt;1,"Duplicate","OK")))</f>
        <v>0</v>
      </c>
      <c r="P332" s="31">
        <f>IF(OR(B332="",E332=""),"",COUNTIFS($B$5:B332,B332))</f>
        <v>0</v>
      </c>
      <c r="Q332" s="23">
        <f>IF(P332="","",B332&amp;"|"&amp;P332)</f>
        <v>0</v>
      </c>
      <c r="R332" s="39">
        <f>IF(B332="","",IF(O332="Duplicate","Duplicate - job billed twice",IF(M332=0,"Add - no price on this line",IF(AND(C332="",E332=""),"Add - what is this line for?","OK"))))</f>
        <v>0</v>
      </c>
    </row>
    <row r="333" spans="1:18">
      <c r="A333" s="43">
        <f>IF(B333="","","IL-"&amp;TEXT(ROW()-4,"0000"))</f>
        <v>0</v>
      </c>
      <c r="D333" s="18">
        <f>IF(C333="","",IFERROR(INDEX(Jobs!$B$5:$B$604,MATCH(C333,Jobs!$A$5:$A$604,0)),""))</f>
        <v>0</v>
      </c>
      <c r="J333" s="21">
        <f>IF(C333="","",IFERROR(INDEX(Jobs!$AJ$5:$AJ$604,MATCH(C333,Jobs!$A$5:$A$604,0)),"0"))</f>
        <v>0</v>
      </c>
      <c r="K333" s="23">
        <f>IF(C333="","",IFERROR(INDEX(Jobs!$M$5:$M$604,MATCH(C333,Jobs!$A$5:$A$604,0)),""))</f>
        <v>0</v>
      </c>
      <c r="L333" s="51">
        <f>IF(B333="","",IF(E333&lt;&gt;"",E333,IF(C333="","",K333&amp;" - "&amp;TEXT(D333,"d mmm yyyy"))))</f>
        <v>0</v>
      </c>
      <c r="M333" s="21">
        <f>IF(B333="","",IF(G333&lt;&gt;"",G333,IFERROR(J333*1,0)))</f>
        <v>0</v>
      </c>
      <c r="N333" s="21">
        <f>IF(B333="","",ROUND(IF(F333="",1,F333)*M333,2))</f>
        <v>0</v>
      </c>
      <c r="O333" s="39">
        <f>IF(B333="","",IF(C333="","",IF(COUNTIFS($C$5:$C$804,C333)&gt;1,"Duplicate","OK")))</f>
        <v>0</v>
      </c>
      <c r="P333" s="31">
        <f>IF(OR(B333="",E333=""),"",COUNTIFS($B$5:B333,B333))</f>
        <v>0</v>
      </c>
      <c r="Q333" s="23">
        <f>IF(P333="","",B333&amp;"|"&amp;P333)</f>
        <v>0</v>
      </c>
      <c r="R333" s="39">
        <f>IF(B333="","",IF(O333="Duplicate","Duplicate - job billed twice",IF(M333=0,"Add - no price on this line",IF(AND(C333="",E333=""),"Add - what is this line for?","OK"))))</f>
        <v>0</v>
      </c>
    </row>
    <row r="334" spans="1:18">
      <c r="A334" s="43">
        <f>IF(B334="","","IL-"&amp;TEXT(ROW()-4,"0000"))</f>
        <v>0</v>
      </c>
      <c r="D334" s="18">
        <f>IF(C334="","",IFERROR(INDEX(Jobs!$B$5:$B$604,MATCH(C334,Jobs!$A$5:$A$604,0)),""))</f>
        <v>0</v>
      </c>
      <c r="J334" s="21">
        <f>IF(C334="","",IFERROR(INDEX(Jobs!$AJ$5:$AJ$604,MATCH(C334,Jobs!$A$5:$A$604,0)),"0"))</f>
        <v>0</v>
      </c>
      <c r="K334" s="23">
        <f>IF(C334="","",IFERROR(INDEX(Jobs!$M$5:$M$604,MATCH(C334,Jobs!$A$5:$A$604,0)),""))</f>
        <v>0</v>
      </c>
      <c r="L334" s="51">
        <f>IF(B334="","",IF(E334&lt;&gt;"",E334,IF(C334="","",K334&amp;" - "&amp;TEXT(D334,"d mmm yyyy"))))</f>
        <v>0</v>
      </c>
      <c r="M334" s="21">
        <f>IF(B334="","",IF(G334&lt;&gt;"",G334,IFERROR(J334*1,0)))</f>
        <v>0</v>
      </c>
      <c r="N334" s="21">
        <f>IF(B334="","",ROUND(IF(F334="",1,F334)*M334,2))</f>
        <v>0</v>
      </c>
      <c r="O334" s="39">
        <f>IF(B334="","",IF(C334="","",IF(COUNTIFS($C$5:$C$804,C334)&gt;1,"Duplicate","OK")))</f>
        <v>0</v>
      </c>
      <c r="P334" s="31">
        <f>IF(OR(B334="",E334=""),"",COUNTIFS($B$5:B334,B334))</f>
        <v>0</v>
      </c>
      <c r="Q334" s="23">
        <f>IF(P334="","",B334&amp;"|"&amp;P334)</f>
        <v>0</v>
      </c>
      <c r="R334" s="39">
        <f>IF(B334="","",IF(O334="Duplicate","Duplicate - job billed twice",IF(M334=0,"Add - no price on this line",IF(AND(C334="",E334=""),"Add - what is this line for?","OK"))))</f>
        <v>0</v>
      </c>
    </row>
    <row r="335" spans="1:18">
      <c r="A335" s="43">
        <f>IF(B335="","","IL-"&amp;TEXT(ROW()-4,"0000"))</f>
        <v>0</v>
      </c>
      <c r="D335" s="18">
        <f>IF(C335="","",IFERROR(INDEX(Jobs!$B$5:$B$604,MATCH(C335,Jobs!$A$5:$A$604,0)),""))</f>
        <v>0</v>
      </c>
      <c r="J335" s="21">
        <f>IF(C335="","",IFERROR(INDEX(Jobs!$AJ$5:$AJ$604,MATCH(C335,Jobs!$A$5:$A$604,0)),"0"))</f>
        <v>0</v>
      </c>
      <c r="K335" s="23">
        <f>IF(C335="","",IFERROR(INDEX(Jobs!$M$5:$M$604,MATCH(C335,Jobs!$A$5:$A$604,0)),""))</f>
        <v>0</v>
      </c>
      <c r="L335" s="51">
        <f>IF(B335="","",IF(E335&lt;&gt;"",E335,IF(C335="","",K335&amp;" - "&amp;TEXT(D335,"d mmm yyyy"))))</f>
        <v>0</v>
      </c>
      <c r="M335" s="21">
        <f>IF(B335="","",IF(G335&lt;&gt;"",G335,IFERROR(J335*1,0)))</f>
        <v>0</v>
      </c>
      <c r="N335" s="21">
        <f>IF(B335="","",ROUND(IF(F335="",1,F335)*M335,2))</f>
        <v>0</v>
      </c>
      <c r="O335" s="39">
        <f>IF(B335="","",IF(C335="","",IF(COUNTIFS($C$5:$C$804,C335)&gt;1,"Duplicate","OK")))</f>
        <v>0</v>
      </c>
      <c r="P335" s="31">
        <f>IF(OR(B335="",E335=""),"",COUNTIFS($B$5:B335,B335))</f>
        <v>0</v>
      </c>
      <c r="Q335" s="23">
        <f>IF(P335="","",B335&amp;"|"&amp;P335)</f>
        <v>0</v>
      </c>
      <c r="R335" s="39">
        <f>IF(B335="","",IF(O335="Duplicate","Duplicate - job billed twice",IF(M335=0,"Add - no price on this line",IF(AND(C335="",E335=""),"Add - what is this line for?","OK"))))</f>
        <v>0</v>
      </c>
    </row>
    <row r="336" spans="1:18">
      <c r="A336" s="43">
        <f>IF(B336="","","IL-"&amp;TEXT(ROW()-4,"0000"))</f>
        <v>0</v>
      </c>
      <c r="D336" s="18">
        <f>IF(C336="","",IFERROR(INDEX(Jobs!$B$5:$B$604,MATCH(C336,Jobs!$A$5:$A$604,0)),""))</f>
        <v>0</v>
      </c>
      <c r="J336" s="21">
        <f>IF(C336="","",IFERROR(INDEX(Jobs!$AJ$5:$AJ$604,MATCH(C336,Jobs!$A$5:$A$604,0)),"0"))</f>
        <v>0</v>
      </c>
      <c r="K336" s="23">
        <f>IF(C336="","",IFERROR(INDEX(Jobs!$M$5:$M$604,MATCH(C336,Jobs!$A$5:$A$604,0)),""))</f>
        <v>0</v>
      </c>
      <c r="L336" s="51">
        <f>IF(B336="","",IF(E336&lt;&gt;"",E336,IF(C336="","",K336&amp;" - "&amp;TEXT(D336,"d mmm yyyy"))))</f>
        <v>0</v>
      </c>
      <c r="M336" s="21">
        <f>IF(B336="","",IF(G336&lt;&gt;"",G336,IFERROR(J336*1,0)))</f>
        <v>0</v>
      </c>
      <c r="N336" s="21">
        <f>IF(B336="","",ROUND(IF(F336="",1,F336)*M336,2))</f>
        <v>0</v>
      </c>
      <c r="O336" s="39">
        <f>IF(B336="","",IF(C336="","",IF(COUNTIFS($C$5:$C$804,C336)&gt;1,"Duplicate","OK")))</f>
        <v>0</v>
      </c>
      <c r="P336" s="31">
        <f>IF(OR(B336="",E336=""),"",COUNTIFS($B$5:B336,B336))</f>
        <v>0</v>
      </c>
      <c r="Q336" s="23">
        <f>IF(P336="","",B336&amp;"|"&amp;P336)</f>
        <v>0</v>
      </c>
      <c r="R336" s="39">
        <f>IF(B336="","",IF(O336="Duplicate","Duplicate - job billed twice",IF(M336=0,"Add - no price on this line",IF(AND(C336="",E336=""),"Add - what is this line for?","OK"))))</f>
        <v>0</v>
      </c>
    </row>
    <row r="337" spans="1:18">
      <c r="A337" s="43">
        <f>IF(B337="","","IL-"&amp;TEXT(ROW()-4,"0000"))</f>
        <v>0</v>
      </c>
      <c r="D337" s="18">
        <f>IF(C337="","",IFERROR(INDEX(Jobs!$B$5:$B$604,MATCH(C337,Jobs!$A$5:$A$604,0)),""))</f>
        <v>0</v>
      </c>
      <c r="J337" s="21">
        <f>IF(C337="","",IFERROR(INDEX(Jobs!$AJ$5:$AJ$604,MATCH(C337,Jobs!$A$5:$A$604,0)),"0"))</f>
        <v>0</v>
      </c>
      <c r="K337" s="23">
        <f>IF(C337="","",IFERROR(INDEX(Jobs!$M$5:$M$604,MATCH(C337,Jobs!$A$5:$A$604,0)),""))</f>
        <v>0</v>
      </c>
      <c r="L337" s="51">
        <f>IF(B337="","",IF(E337&lt;&gt;"",E337,IF(C337="","",K337&amp;" - "&amp;TEXT(D337,"d mmm yyyy"))))</f>
        <v>0</v>
      </c>
      <c r="M337" s="21">
        <f>IF(B337="","",IF(G337&lt;&gt;"",G337,IFERROR(J337*1,0)))</f>
        <v>0</v>
      </c>
      <c r="N337" s="21">
        <f>IF(B337="","",ROUND(IF(F337="",1,F337)*M337,2))</f>
        <v>0</v>
      </c>
      <c r="O337" s="39">
        <f>IF(B337="","",IF(C337="","",IF(COUNTIFS($C$5:$C$804,C337)&gt;1,"Duplicate","OK")))</f>
        <v>0</v>
      </c>
      <c r="P337" s="31">
        <f>IF(OR(B337="",E337=""),"",COUNTIFS($B$5:B337,B337))</f>
        <v>0</v>
      </c>
      <c r="Q337" s="23">
        <f>IF(P337="","",B337&amp;"|"&amp;P337)</f>
        <v>0</v>
      </c>
      <c r="R337" s="39">
        <f>IF(B337="","",IF(O337="Duplicate","Duplicate - job billed twice",IF(M337=0,"Add - no price on this line",IF(AND(C337="",E337=""),"Add - what is this line for?","OK"))))</f>
        <v>0</v>
      </c>
    </row>
    <row r="338" spans="1:18">
      <c r="A338" s="43">
        <f>IF(B338="","","IL-"&amp;TEXT(ROW()-4,"0000"))</f>
        <v>0</v>
      </c>
      <c r="D338" s="18">
        <f>IF(C338="","",IFERROR(INDEX(Jobs!$B$5:$B$604,MATCH(C338,Jobs!$A$5:$A$604,0)),""))</f>
        <v>0</v>
      </c>
      <c r="J338" s="21">
        <f>IF(C338="","",IFERROR(INDEX(Jobs!$AJ$5:$AJ$604,MATCH(C338,Jobs!$A$5:$A$604,0)),"0"))</f>
        <v>0</v>
      </c>
      <c r="K338" s="23">
        <f>IF(C338="","",IFERROR(INDEX(Jobs!$M$5:$M$604,MATCH(C338,Jobs!$A$5:$A$604,0)),""))</f>
        <v>0</v>
      </c>
      <c r="L338" s="51">
        <f>IF(B338="","",IF(E338&lt;&gt;"",E338,IF(C338="","",K338&amp;" - "&amp;TEXT(D338,"d mmm yyyy"))))</f>
        <v>0</v>
      </c>
      <c r="M338" s="21">
        <f>IF(B338="","",IF(G338&lt;&gt;"",G338,IFERROR(J338*1,0)))</f>
        <v>0</v>
      </c>
      <c r="N338" s="21">
        <f>IF(B338="","",ROUND(IF(F338="",1,F338)*M338,2))</f>
        <v>0</v>
      </c>
      <c r="O338" s="39">
        <f>IF(B338="","",IF(C338="","",IF(COUNTIFS($C$5:$C$804,C338)&gt;1,"Duplicate","OK")))</f>
        <v>0</v>
      </c>
      <c r="P338" s="31">
        <f>IF(OR(B338="",E338=""),"",COUNTIFS($B$5:B338,B338))</f>
        <v>0</v>
      </c>
      <c r="Q338" s="23">
        <f>IF(P338="","",B338&amp;"|"&amp;P338)</f>
        <v>0</v>
      </c>
      <c r="R338" s="39">
        <f>IF(B338="","",IF(O338="Duplicate","Duplicate - job billed twice",IF(M338=0,"Add - no price on this line",IF(AND(C338="",E338=""),"Add - what is this line for?","OK"))))</f>
        <v>0</v>
      </c>
    </row>
    <row r="339" spans="1:18">
      <c r="A339" s="43">
        <f>IF(B339="","","IL-"&amp;TEXT(ROW()-4,"0000"))</f>
        <v>0</v>
      </c>
      <c r="D339" s="18">
        <f>IF(C339="","",IFERROR(INDEX(Jobs!$B$5:$B$604,MATCH(C339,Jobs!$A$5:$A$604,0)),""))</f>
        <v>0</v>
      </c>
      <c r="J339" s="21">
        <f>IF(C339="","",IFERROR(INDEX(Jobs!$AJ$5:$AJ$604,MATCH(C339,Jobs!$A$5:$A$604,0)),"0"))</f>
        <v>0</v>
      </c>
      <c r="K339" s="23">
        <f>IF(C339="","",IFERROR(INDEX(Jobs!$M$5:$M$604,MATCH(C339,Jobs!$A$5:$A$604,0)),""))</f>
        <v>0</v>
      </c>
      <c r="L339" s="51">
        <f>IF(B339="","",IF(E339&lt;&gt;"",E339,IF(C339="","",K339&amp;" - "&amp;TEXT(D339,"d mmm yyyy"))))</f>
        <v>0</v>
      </c>
      <c r="M339" s="21">
        <f>IF(B339="","",IF(G339&lt;&gt;"",G339,IFERROR(J339*1,0)))</f>
        <v>0</v>
      </c>
      <c r="N339" s="21">
        <f>IF(B339="","",ROUND(IF(F339="",1,F339)*M339,2))</f>
        <v>0</v>
      </c>
      <c r="O339" s="39">
        <f>IF(B339="","",IF(C339="","",IF(COUNTIFS($C$5:$C$804,C339)&gt;1,"Duplicate","OK")))</f>
        <v>0</v>
      </c>
      <c r="P339" s="31">
        <f>IF(OR(B339="",E339=""),"",COUNTIFS($B$5:B339,B339))</f>
        <v>0</v>
      </c>
      <c r="Q339" s="23">
        <f>IF(P339="","",B339&amp;"|"&amp;P339)</f>
        <v>0</v>
      </c>
      <c r="R339" s="39">
        <f>IF(B339="","",IF(O339="Duplicate","Duplicate - job billed twice",IF(M339=0,"Add - no price on this line",IF(AND(C339="",E339=""),"Add - what is this line for?","OK"))))</f>
        <v>0</v>
      </c>
    </row>
    <row r="340" spans="1:18">
      <c r="A340" s="43">
        <f>IF(B340="","","IL-"&amp;TEXT(ROW()-4,"0000"))</f>
        <v>0</v>
      </c>
      <c r="D340" s="18">
        <f>IF(C340="","",IFERROR(INDEX(Jobs!$B$5:$B$604,MATCH(C340,Jobs!$A$5:$A$604,0)),""))</f>
        <v>0</v>
      </c>
      <c r="J340" s="21">
        <f>IF(C340="","",IFERROR(INDEX(Jobs!$AJ$5:$AJ$604,MATCH(C340,Jobs!$A$5:$A$604,0)),"0"))</f>
        <v>0</v>
      </c>
      <c r="K340" s="23">
        <f>IF(C340="","",IFERROR(INDEX(Jobs!$M$5:$M$604,MATCH(C340,Jobs!$A$5:$A$604,0)),""))</f>
        <v>0</v>
      </c>
      <c r="L340" s="51">
        <f>IF(B340="","",IF(E340&lt;&gt;"",E340,IF(C340="","",K340&amp;" - "&amp;TEXT(D340,"d mmm yyyy"))))</f>
        <v>0</v>
      </c>
      <c r="M340" s="21">
        <f>IF(B340="","",IF(G340&lt;&gt;"",G340,IFERROR(J340*1,0)))</f>
        <v>0</v>
      </c>
      <c r="N340" s="21">
        <f>IF(B340="","",ROUND(IF(F340="",1,F340)*M340,2))</f>
        <v>0</v>
      </c>
      <c r="O340" s="39">
        <f>IF(B340="","",IF(C340="","",IF(COUNTIFS($C$5:$C$804,C340)&gt;1,"Duplicate","OK")))</f>
        <v>0</v>
      </c>
      <c r="P340" s="31">
        <f>IF(OR(B340="",E340=""),"",COUNTIFS($B$5:B340,B340))</f>
        <v>0</v>
      </c>
      <c r="Q340" s="23">
        <f>IF(P340="","",B340&amp;"|"&amp;P340)</f>
        <v>0</v>
      </c>
      <c r="R340" s="39">
        <f>IF(B340="","",IF(O340="Duplicate","Duplicate - job billed twice",IF(M340=0,"Add - no price on this line",IF(AND(C340="",E340=""),"Add - what is this line for?","OK"))))</f>
        <v>0</v>
      </c>
    </row>
    <row r="341" spans="1:18">
      <c r="A341" s="43">
        <f>IF(B341="","","IL-"&amp;TEXT(ROW()-4,"0000"))</f>
        <v>0</v>
      </c>
      <c r="D341" s="18">
        <f>IF(C341="","",IFERROR(INDEX(Jobs!$B$5:$B$604,MATCH(C341,Jobs!$A$5:$A$604,0)),""))</f>
        <v>0</v>
      </c>
      <c r="J341" s="21">
        <f>IF(C341="","",IFERROR(INDEX(Jobs!$AJ$5:$AJ$604,MATCH(C341,Jobs!$A$5:$A$604,0)),"0"))</f>
        <v>0</v>
      </c>
      <c r="K341" s="23">
        <f>IF(C341="","",IFERROR(INDEX(Jobs!$M$5:$M$604,MATCH(C341,Jobs!$A$5:$A$604,0)),""))</f>
        <v>0</v>
      </c>
      <c r="L341" s="51">
        <f>IF(B341="","",IF(E341&lt;&gt;"",E341,IF(C341="","",K341&amp;" - "&amp;TEXT(D341,"d mmm yyyy"))))</f>
        <v>0</v>
      </c>
      <c r="M341" s="21">
        <f>IF(B341="","",IF(G341&lt;&gt;"",G341,IFERROR(J341*1,0)))</f>
        <v>0</v>
      </c>
      <c r="N341" s="21">
        <f>IF(B341="","",ROUND(IF(F341="",1,F341)*M341,2))</f>
        <v>0</v>
      </c>
      <c r="O341" s="39">
        <f>IF(B341="","",IF(C341="","",IF(COUNTIFS($C$5:$C$804,C341)&gt;1,"Duplicate","OK")))</f>
        <v>0</v>
      </c>
      <c r="P341" s="31">
        <f>IF(OR(B341="",E341=""),"",COUNTIFS($B$5:B341,B341))</f>
        <v>0</v>
      </c>
      <c r="Q341" s="23">
        <f>IF(P341="","",B341&amp;"|"&amp;P341)</f>
        <v>0</v>
      </c>
      <c r="R341" s="39">
        <f>IF(B341="","",IF(O341="Duplicate","Duplicate - job billed twice",IF(M341=0,"Add - no price on this line",IF(AND(C341="",E341=""),"Add - what is this line for?","OK"))))</f>
        <v>0</v>
      </c>
    </row>
    <row r="342" spans="1:18">
      <c r="A342" s="43">
        <f>IF(B342="","","IL-"&amp;TEXT(ROW()-4,"0000"))</f>
        <v>0</v>
      </c>
      <c r="D342" s="18">
        <f>IF(C342="","",IFERROR(INDEX(Jobs!$B$5:$B$604,MATCH(C342,Jobs!$A$5:$A$604,0)),""))</f>
        <v>0</v>
      </c>
      <c r="J342" s="21">
        <f>IF(C342="","",IFERROR(INDEX(Jobs!$AJ$5:$AJ$604,MATCH(C342,Jobs!$A$5:$A$604,0)),"0"))</f>
        <v>0</v>
      </c>
      <c r="K342" s="23">
        <f>IF(C342="","",IFERROR(INDEX(Jobs!$M$5:$M$604,MATCH(C342,Jobs!$A$5:$A$604,0)),""))</f>
        <v>0</v>
      </c>
      <c r="L342" s="51">
        <f>IF(B342="","",IF(E342&lt;&gt;"",E342,IF(C342="","",K342&amp;" - "&amp;TEXT(D342,"d mmm yyyy"))))</f>
        <v>0</v>
      </c>
      <c r="M342" s="21">
        <f>IF(B342="","",IF(G342&lt;&gt;"",G342,IFERROR(J342*1,0)))</f>
        <v>0</v>
      </c>
      <c r="N342" s="21">
        <f>IF(B342="","",ROUND(IF(F342="",1,F342)*M342,2))</f>
        <v>0</v>
      </c>
      <c r="O342" s="39">
        <f>IF(B342="","",IF(C342="","",IF(COUNTIFS($C$5:$C$804,C342)&gt;1,"Duplicate","OK")))</f>
        <v>0</v>
      </c>
      <c r="P342" s="31">
        <f>IF(OR(B342="",E342=""),"",COUNTIFS($B$5:B342,B342))</f>
        <v>0</v>
      </c>
      <c r="Q342" s="23">
        <f>IF(P342="","",B342&amp;"|"&amp;P342)</f>
        <v>0</v>
      </c>
      <c r="R342" s="39">
        <f>IF(B342="","",IF(O342="Duplicate","Duplicate - job billed twice",IF(M342=0,"Add - no price on this line",IF(AND(C342="",E342=""),"Add - what is this line for?","OK"))))</f>
        <v>0</v>
      </c>
    </row>
    <row r="343" spans="1:18">
      <c r="A343" s="43">
        <f>IF(B343="","","IL-"&amp;TEXT(ROW()-4,"0000"))</f>
        <v>0</v>
      </c>
      <c r="D343" s="18">
        <f>IF(C343="","",IFERROR(INDEX(Jobs!$B$5:$B$604,MATCH(C343,Jobs!$A$5:$A$604,0)),""))</f>
        <v>0</v>
      </c>
      <c r="J343" s="21">
        <f>IF(C343="","",IFERROR(INDEX(Jobs!$AJ$5:$AJ$604,MATCH(C343,Jobs!$A$5:$A$604,0)),"0"))</f>
        <v>0</v>
      </c>
      <c r="K343" s="23">
        <f>IF(C343="","",IFERROR(INDEX(Jobs!$M$5:$M$604,MATCH(C343,Jobs!$A$5:$A$604,0)),""))</f>
        <v>0</v>
      </c>
      <c r="L343" s="51">
        <f>IF(B343="","",IF(E343&lt;&gt;"",E343,IF(C343="","",K343&amp;" - "&amp;TEXT(D343,"d mmm yyyy"))))</f>
        <v>0</v>
      </c>
      <c r="M343" s="21">
        <f>IF(B343="","",IF(G343&lt;&gt;"",G343,IFERROR(J343*1,0)))</f>
        <v>0</v>
      </c>
      <c r="N343" s="21">
        <f>IF(B343="","",ROUND(IF(F343="",1,F343)*M343,2))</f>
        <v>0</v>
      </c>
      <c r="O343" s="39">
        <f>IF(B343="","",IF(C343="","",IF(COUNTIFS($C$5:$C$804,C343)&gt;1,"Duplicate","OK")))</f>
        <v>0</v>
      </c>
      <c r="P343" s="31">
        <f>IF(OR(B343="",E343=""),"",COUNTIFS($B$5:B343,B343))</f>
        <v>0</v>
      </c>
      <c r="Q343" s="23">
        <f>IF(P343="","",B343&amp;"|"&amp;P343)</f>
        <v>0</v>
      </c>
      <c r="R343" s="39">
        <f>IF(B343="","",IF(O343="Duplicate","Duplicate - job billed twice",IF(M343=0,"Add - no price on this line",IF(AND(C343="",E343=""),"Add - what is this line for?","OK"))))</f>
        <v>0</v>
      </c>
    </row>
    <row r="344" spans="1:18">
      <c r="A344" s="43">
        <f>IF(B344="","","IL-"&amp;TEXT(ROW()-4,"0000"))</f>
        <v>0</v>
      </c>
      <c r="D344" s="18">
        <f>IF(C344="","",IFERROR(INDEX(Jobs!$B$5:$B$604,MATCH(C344,Jobs!$A$5:$A$604,0)),""))</f>
        <v>0</v>
      </c>
      <c r="J344" s="21">
        <f>IF(C344="","",IFERROR(INDEX(Jobs!$AJ$5:$AJ$604,MATCH(C344,Jobs!$A$5:$A$604,0)),"0"))</f>
        <v>0</v>
      </c>
      <c r="K344" s="23">
        <f>IF(C344="","",IFERROR(INDEX(Jobs!$M$5:$M$604,MATCH(C344,Jobs!$A$5:$A$604,0)),""))</f>
        <v>0</v>
      </c>
      <c r="L344" s="51">
        <f>IF(B344="","",IF(E344&lt;&gt;"",E344,IF(C344="","",K344&amp;" - "&amp;TEXT(D344,"d mmm yyyy"))))</f>
        <v>0</v>
      </c>
      <c r="M344" s="21">
        <f>IF(B344="","",IF(G344&lt;&gt;"",G344,IFERROR(J344*1,0)))</f>
        <v>0</v>
      </c>
      <c r="N344" s="21">
        <f>IF(B344="","",ROUND(IF(F344="",1,F344)*M344,2))</f>
        <v>0</v>
      </c>
      <c r="O344" s="39">
        <f>IF(B344="","",IF(C344="","",IF(COUNTIFS($C$5:$C$804,C344)&gt;1,"Duplicate","OK")))</f>
        <v>0</v>
      </c>
      <c r="P344" s="31">
        <f>IF(OR(B344="",E344=""),"",COUNTIFS($B$5:B344,B344))</f>
        <v>0</v>
      </c>
      <c r="Q344" s="23">
        <f>IF(P344="","",B344&amp;"|"&amp;P344)</f>
        <v>0</v>
      </c>
      <c r="R344" s="39">
        <f>IF(B344="","",IF(O344="Duplicate","Duplicate - job billed twice",IF(M344=0,"Add - no price on this line",IF(AND(C344="",E344=""),"Add - what is this line for?","OK"))))</f>
        <v>0</v>
      </c>
    </row>
    <row r="345" spans="1:18">
      <c r="A345" s="43">
        <f>IF(B345="","","IL-"&amp;TEXT(ROW()-4,"0000"))</f>
        <v>0</v>
      </c>
      <c r="D345" s="18">
        <f>IF(C345="","",IFERROR(INDEX(Jobs!$B$5:$B$604,MATCH(C345,Jobs!$A$5:$A$604,0)),""))</f>
        <v>0</v>
      </c>
      <c r="J345" s="21">
        <f>IF(C345="","",IFERROR(INDEX(Jobs!$AJ$5:$AJ$604,MATCH(C345,Jobs!$A$5:$A$604,0)),"0"))</f>
        <v>0</v>
      </c>
      <c r="K345" s="23">
        <f>IF(C345="","",IFERROR(INDEX(Jobs!$M$5:$M$604,MATCH(C345,Jobs!$A$5:$A$604,0)),""))</f>
        <v>0</v>
      </c>
      <c r="L345" s="51">
        <f>IF(B345="","",IF(E345&lt;&gt;"",E345,IF(C345="","",K345&amp;" - "&amp;TEXT(D345,"d mmm yyyy"))))</f>
        <v>0</v>
      </c>
      <c r="M345" s="21">
        <f>IF(B345="","",IF(G345&lt;&gt;"",G345,IFERROR(J345*1,0)))</f>
        <v>0</v>
      </c>
      <c r="N345" s="21">
        <f>IF(B345="","",ROUND(IF(F345="",1,F345)*M345,2))</f>
        <v>0</v>
      </c>
      <c r="O345" s="39">
        <f>IF(B345="","",IF(C345="","",IF(COUNTIFS($C$5:$C$804,C345)&gt;1,"Duplicate","OK")))</f>
        <v>0</v>
      </c>
      <c r="P345" s="31">
        <f>IF(OR(B345="",E345=""),"",COUNTIFS($B$5:B345,B345))</f>
        <v>0</v>
      </c>
      <c r="Q345" s="23">
        <f>IF(P345="","",B345&amp;"|"&amp;P345)</f>
        <v>0</v>
      </c>
      <c r="R345" s="39">
        <f>IF(B345="","",IF(O345="Duplicate","Duplicate - job billed twice",IF(M345=0,"Add - no price on this line",IF(AND(C345="",E345=""),"Add - what is this line for?","OK"))))</f>
        <v>0</v>
      </c>
    </row>
    <row r="346" spans="1:18">
      <c r="A346" s="43">
        <f>IF(B346="","","IL-"&amp;TEXT(ROW()-4,"0000"))</f>
        <v>0</v>
      </c>
      <c r="D346" s="18">
        <f>IF(C346="","",IFERROR(INDEX(Jobs!$B$5:$B$604,MATCH(C346,Jobs!$A$5:$A$604,0)),""))</f>
        <v>0</v>
      </c>
      <c r="J346" s="21">
        <f>IF(C346="","",IFERROR(INDEX(Jobs!$AJ$5:$AJ$604,MATCH(C346,Jobs!$A$5:$A$604,0)),"0"))</f>
        <v>0</v>
      </c>
      <c r="K346" s="23">
        <f>IF(C346="","",IFERROR(INDEX(Jobs!$M$5:$M$604,MATCH(C346,Jobs!$A$5:$A$604,0)),""))</f>
        <v>0</v>
      </c>
      <c r="L346" s="51">
        <f>IF(B346="","",IF(E346&lt;&gt;"",E346,IF(C346="","",K346&amp;" - "&amp;TEXT(D346,"d mmm yyyy"))))</f>
        <v>0</v>
      </c>
      <c r="M346" s="21">
        <f>IF(B346="","",IF(G346&lt;&gt;"",G346,IFERROR(J346*1,0)))</f>
        <v>0</v>
      </c>
      <c r="N346" s="21">
        <f>IF(B346="","",ROUND(IF(F346="",1,F346)*M346,2))</f>
        <v>0</v>
      </c>
      <c r="O346" s="39">
        <f>IF(B346="","",IF(C346="","",IF(COUNTIFS($C$5:$C$804,C346)&gt;1,"Duplicate","OK")))</f>
        <v>0</v>
      </c>
      <c r="P346" s="31">
        <f>IF(OR(B346="",E346=""),"",COUNTIFS($B$5:B346,B346))</f>
        <v>0</v>
      </c>
      <c r="Q346" s="23">
        <f>IF(P346="","",B346&amp;"|"&amp;P346)</f>
        <v>0</v>
      </c>
      <c r="R346" s="39">
        <f>IF(B346="","",IF(O346="Duplicate","Duplicate - job billed twice",IF(M346=0,"Add - no price on this line",IF(AND(C346="",E346=""),"Add - what is this line for?","OK"))))</f>
        <v>0</v>
      </c>
    </row>
    <row r="347" spans="1:18">
      <c r="A347" s="43">
        <f>IF(B347="","","IL-"&amp;TEXT(ROW()-4,"0000"))</f>
        <v>0</v>
      </c>
      <c r="D347" s="18">
        <f>IF(C347="","",IFERROR(INDEX(Jobs!$B$5:$B$604,MATCH(C347,Jobs!$A$5:$A$604,0)),""))</f>
        <v>0</v>
      </c>
      <c r="J347" s="21">
        <f>IF(C347="","",IFERROR(INDEX(Jobs!$AJ$5:$AJ$604,MATCH(C347,Jobs!$A$5:$A$604,0)),"0"))</f>
        <v>0</v>
      </c>
      <c r="K347" s="23">
        <f>IF(C347="","",IFERROR(INDEX(Jobs!$M$5:$M$604,MATCH(C347,Jobs!$A$5:$A$604,0)),""))</f>
        <v>0</v>
      </c>
      <c r="L347" s="51">
        <f>IF(B347="","",IF(E347&lt;&gt;"",E347,IF(C347="","",K347&amp;" - "&amp;TEXT(D347,"d mmm yyyy"))))</f>
        <v>0</v>
      </c>
      <c r="M347" s="21">
        <f>IF(B347="","",IF(G347&lt;&gt;"",G347,IFERROR(J347*1,0)))</f>
        <v>0</v>
      </c>
      <c r="N347" s="21">
        <f>IF(B347="","",ROUND(IF(F347="",1,F347)*M347,2))</f>
        <v>0</v>
      </c>
      <c r="O347" s="39">
        <f>IF(B347="","",IF(C347="","",IF(COUNTIFS($C$5:$C$804,C347)&gt;1,"Duplicate","OK")))</f>
        <v>0</v>
      </c>
      <c r="P347" s="31">
        <f>IF(OR(B347="",E347=""),"",COUNTIFS($B$5:B347,B347))</f>
        <v>0</v>
      </c>
      <c r="Q347" s="23">
        <f>IF(P347="","",B347&amp;"|"&amp;P347)</f>
        <v>0</v>
      </c>
      <c r="R347" s="39">
        <f>IF(B347="","",IF(O347="Duplicate","Duplicate - job billed twice",IF(M347=0,"Add - no price on this line",IF(AND(C347="",E347=""),"Add - what is this line for?","OK"))))</f>
        <v>0</v>
      </c>
    </row>
    <row r="348" spans="1:18">
      <c r="A348" s="43">
        <f>IF(B348="","","IL-"&amp;TEXT(ROW()-4,"0000"))</f>
        <v>0</v>
      </c>
      <c r="D348" s="18">
        <f>IF(C348="","",IFERROR(INDEX(Jobs!$B$5:$B$604,MATCH(C348,Jobs!$A$5:$A$604,0)),""))</f>
        <v>0</v>
      </c>
      <c r="J348" s="21">
        <f>IF(C348="","",IFERROR(INDEX(Jobs!$AJ$5:$AJ$604,MATCH(C348,Jobs!$A$5:$A$604,0)),"0"))</f>
        <v>0</v>
      </c>
      <c r="K348" s="23">
        <f>IF(C348="","",IFERROR(INDEX(Jobs!$M$5:$M$604,MATCH(C348,Jobs!$A$5:$A$604,0)),""))</f>
        <v>0</v>
      </c>
      <c r="L348" s="51">
        <f>IF(B348="","",IF(E348&lt;&gt;"",E348,IF(C348="","",K348&amp;" - "&amp;TEXT(D348,"d mmm yyyy"))))</f>
        <v>0</v>
      </c>
      <c r="M348" s="21">
        <f>IF(B348="","",IF(G348&lt;&gt;"",G348,IFERROR(J348*1,0)))</f>
        <v>0</v>
      </c>
      <c r="N348" s="21">
        <f>IF(B348="","",ROUND(IF(F348="",1,F348)*M348,2))</f>
        <v>0</v>
      </c>
      <c r="O348" s="39">
        <f>IF(B348="","",IF(C348="","",IF(COUNTIFS($C$5:$C$804,C348)&gt;1,"Duplicate","OK")))</f>
        <v>0</v>
      </c>
      <c r="P348" s="31">
        <f>IF(OR(B348="",E348=""),"",COUNTIFS($B$5:B348,B348))</f>
        <v>0</v>
      </c>
      <c r="Q348" s="23">
        <f>IF(P348="","",B348&amp;"|"&amp;P348)</f>
        <v>0</v>
      </c>
      <c r="R348" s="39">
        <f>IF(B348="","",IF(O348="Duplicate","Duplicate - job billed twice",IF(M348=0,"Add - no price on this line",IF(AND(C348="",E348=""),"Add - what is this line for?","OK"))))</f>
        <v>0</v>
      </c>
    </row>
    <row r="349" spans="1:18">
      <c r="A349" s="43">
        <f>IF(B349="","","IL-"&amp;TEXT(ROW()-4,"0000"))</f>
        <v>0</v>
      </c>
      <c r="D349" s="18">
        <f>IF(C349="","",IFERROR(INDEX(Jobs!$B$5:$B$604,MATCH(C349,Jobs!$A$5:$A$604,0)),""))</f>
        <v>0</v>
      </c>
      <c r="J349" s="21">
        <f>IF(C349="","",IFERROR(INDEX(Jobs!$AJ$5:$AJ$604,MATCH(C349,Jobs!$A$5:$A$604,0)),"0"))</f>
        <v>0</v>
      </c>
      <c r="K349" s="23">
        <f>IF(C349="","",IFERROR(INDEX(Jobs!$M$5:$M$604,MATCH(C349,Jobs!$A$5:$A$604,0)),""))</f>
        <v>0</v>
      </c>
      <c r="L349" s="51">
        <f>IF(B349="","",IF(E349&lt;&gt;"",E349,IF(C349="","",K349&amp;" - "&amp;TEXT(D349,"d mmm yyyy"))))</f>
        <v>0</v>
      </c>
      <c r="M349" s="21">
        <f>IF(B349="","",IF(G349&lt;&gt;"",G349,IFERROR(J349*1,0)))</f>
        <v>0</v>
      </c>
      <c r="N349" s="21">
        <f>IF(B349="","",ROUND(IF(F349="",1,F349)*M349,2))</f>
        <v>0</v>
      </c>
      <c r="O349" s="39">
        <f>IF(B349="","",IF(C349="","",IF(COUNTIFS($C$5:$C$804,C349)&gt;1,"Duplicate","OK")))</f>
        <v>0</v>
      </c>
      <c r="P349" s="31">
        <f>IF(OR(B349="",E349=""),"",COUNTIFS($B$5:B349,B349))</f>
        <v>0</v>
      </c>
      <c r="Q349" s="23">
        <f>IF(P349="","",B349&amp;"|"&amp;P349)</f>
        <v>0</v>
      </c>
      <c r="R349" s="39">
        <f>IF(B349="","",IF(O349="Duplicate","Duplicate - job billed twice",IF(M349=0,"Add - no price on this line",IF(AND(C349="",E349=""),"Add - what is this line for?","OK"))))</f>
        <v>0</v>
      </c>
    </row>
    <row r="350" spans="1:18">
      <c r="A350" s="43">
        <f>IF(B350="","","IL-"&amp;TEXT(ROW()-4,"0000"))</f>
        <v>0</v>
      </c>
      <c r="D350" s="18">
        <f>IF(C350="","",IFERROR(INDEX(Jobs!$B$5:$B$604,MATCH(C350,Jobs!$A$5:$A$604,0)),""))</f>
        <v>0</v>
      </c>
      <c r="J350" s="21">
        <f>IF(C350="","",IFERROR(INDEX(Jobs!$AJ$5:$AJ$604,MATCH(C350,Jobs!$A$5:$A$604,0)),"0"))</f>
        <v>0</v>
      </c>
      <c r="K350" s="23">
        <f>IF(C350="","",IFERROR(INDEX(Jobs!$M$5:$M$604,MATCH(C350,Jobs!$A$5:$A$604,0)),""))</f>
        <v>0</v>
      </c>
      <c r="L350" s="51">
        <f>IF(B350="","",IF(E350&lt;&gt;"",E350,IF(C350="","",K350&amp;" - "&amp;TEXT(D350,"d mmm yyyy"))))</f>
        <v>0</v>
      </c>
      <c r="M350" s="21">
        <f>IF(B350="","",IF(G350&lt;&gt;"",G350,IFERROR(J350*1,0)))</f>
        <v>0</v>
      </c>
      <c r="N350" s="21">
        <f>IF(B350="","",ROUND(IF(F350="",1,F350)*M350,2))</f>
        <v>0</v>
      </c>
      <c r="O350" s="39">
        <f>IF(B350="","",IF(C350="","",IF(COUNTIFS($C$5:$C$804,C350)&gt;1,"Duplicate","OK")))</f>
        <v>0</v>
      </c>
      <c r="P350" s="31">
        <f>IF(OR(B350="",E350=""),"",COUNTIFS($B$5:B350,B350))</f>
        <v>0</v>
      </c>
      <c r="Q350" s="23">
        <f>IF(P350="","",B350&amp;"|"&amp;P350)</f>
        <v>0</v>
      </c>
      <c r="R350" s="39">
        <f>IF(B350="","",IF(O350="Duplicate","Duplicate - job billed twice",IF(M350=0,"Add - no price on this line",IF(AND(C350="",E350=""),"Add - what is this line for?","OK"))))</f>
        <v>0</v>
      </c>
    </row>
    <row r="351" spans="1:18">
      <c r="A351" s="43">
        <f>IF(B351="","","IL-"&amp;TEXT(ROW()-4,"0000"))</f>
        <v>0</v>
      </c>
      <c r="D351" s="18">
        <f>IF(C351="","",IFERROR(INDEX(Jobs!$B$5:$B$604,MATCH(C351,Jobs!$A$5:$A$604,0)),""))</f>
        <v>0</v>
      </c>
      <c r="J351" s="21">
        <f>IF(C351="","",IFERROR(INDEX(Jobs!$AJ$5:$AJ$604,MATCH(C351,Jobs!$A$5:$A$604,0)),"0"))</f>
        <v>0</v>
      </c>
      <c r="K351" s="23">
        <f>IF(C351="","",IFERROR(INDEX(Jobs!$M$5:$M$604,MATCH(C351,Jobs!$A$5:$A$604,0)),""))</f>
        <v>0</v>
      </c>
      <c r="L351" s="51">
        <f>IF(B351="","",IF(E351&lt;&gt;"",E351,IF(C351="","",K351&amp;" - "&amp;TEXT(D351,"d mmm yyyy"))))</f>
        <v>0</v>
      </c>
      <c r="M351" s="21">
        <f>IF(B351="","",IF(G351&lt;&gt;"",G351,IFERROR(J351*1,0)))</f>
        <v>0</v>
      </c>
      <c r="N351" s="21">
        <f>IF(B351="","",ROUND(IF(F351="",1,F351)*M351,2))</f>
        <v>0</v>
      </c>
      <c r="O351" s="39">
        <f>IF(B351="","",IF(C351="","",IF(COUNTIFS($C$5:$C$804,C351)&gt;1,"Duplicate","OK")))</f>
        <v>0</v>
      </c>
      <c r="P351" s="31">
        <f>IF(OR(B351="",E351=""),"",COUNTIFS($B$5:B351,B351))</f>
        <v>0</v>
      </c>
      <c r="Q351" s="23">
        <f>IF(P351="","",B351&amp;"|"&amp;P351)</f>
        <v>0</v>
      </c>
      <c r="R351" s="39">
        <f>IF(B351="","",IF(O351="Duplicate","Duplicate - job billed twice",IF(M351=0,"Add - no price on this line",IF(AND(C351="",E351=""),"Add - what is this line for?","OK"))))</f>
        <v>0</v>
      </c>
    </row>
    <row r="352" spans="1:18">
      <c r="A352" s="43">
        <f>IF(B352="","","IL-"&amp;TEXT(ROW()-4,"0000"))</f>
        <v>0</v>
      </c>
      <c r="D352" s="18">
        <f>IF(C352="","",IFERROR(INDEX(Jobs!$B$5:$B$604,MATCH(C352,Jobs!$A$5:$A$604,0)),""))</f>
        <v>0</v>
      </c>
      <c r="J352" s="21">
        <f>IF(C352="","",IFERROR(INDEX(Jobs!$AJ$5:$AJ$604,MATCH(C352,Jobs!$A$5:$A$604,0)),"0"))</f>
        <v>0</v>
      </c>
      <c r="K352" s="23">
        <f>IF(C352="","",IFERROR(INDEX(Jobs!$M$5:$M$604,MATCH(C352,Jobs!$A$5:$A$604,0)),""))</f>
        <v>0</v>
      </c>
      <c r="L352" s="51">
        <f>IF(B352="","",IF(E352&lt;&gt;"",E352,IF(C352="","",K352&amp;" - "&amp;TEXT(D352,"d mmm yyyy"))))</f>
        <v>0</v>
      </c>
      <c r="M352" s="21">
        <f>IF(B352="","",IF(G352&lt;&gt;"",G352,IFERROR(J352*1,0)))</f>
        <v>0</v>
      </c>
      <c r="N352" s="21">
        <f>IF(B352="","",ROUND(IF(F352="",1,F352)*M352,2))</f>
        <v>0</v>
      </c>
      <c r="O352" s="39">
        <f>IF(B352="","",IF(C352="","",IF(COUNTIFS($C$5:$C$804,C352)&gt;1,"Duplicate","OK")))</f>
        <v>0</v>
      </c>
      <c r="P352" s="31">
        <f>IF(OR(B352="",E352=""),"",COUNTIFS($B$5:B352,B352))</f>
        <v>0</v>
      </c>
      <c r="Q352" s="23">
        <f>IF(P352="","",B352&amp;"|"&amp;P352)</f>
        <v>0</v>
      </c>
      <c r="R352" s="39">
        <f>IF(B352="","",IF(O352="Duplicate","Duplicate - job billed twice",IF(M352=0,"Add - no price on this line",IF(AND(C352="",E352=""),"Add - what is this line for?","OK"))))</f>
        <v>0</v>
      </c>
    </row>
    <row r="353" spans="1:18">
      <c r="A353" s="43">
        <f>IF(B353="","","IL-"&amp;TEXT(ROW()-4,"0000"))</f>
        <v>0</v>
      </c>
      <c r="D353" s="18">
        <f>IF(C353="","",IFERROR(INDEX(Jobs!$B$5:$B$604,MATCH(C353,Jobs!$A$5:$A$604,0)),""))</f>
        <v>0</v>
      </c>
      <c r="J353" s="21">
        <f>IF(C353="","",IFERROR(INDEX(Jobs!$AJ$5:$AJ$604,MATCH(C353,Jobs!$A$5:$A$604,0)),"0"))</f>
        <v>0</v>
      </c>
      <c r="K353" s="23">
        <f>IF(C353="","",IFERROR(INDEX(Jobs!$M$5:$M$604,MATCH(C353,Jobs!$A$5:$A$604,0)),""))</f>
        <v>0</v>
      </c>
      <c r="L353" s="51">
        <f>IF(B353="","",IF(E353&lt;&gt;"",E353,IF(C353="","",K353&amp;" - "&amp;TEXT(D353,"d mmm yyyy"))))</f>
        <v>0</v>
      </c>
      <c r="M353" s="21">
        <f>IF(B353="","",IF(G353&lt;&gt;"",G353,IFERROR(J353*1,0)))</f>
        <v>0</v>
      </c>
      <c r="N353" s="21">
        <f>IF(B353="","",ROUND(IF(F353="",1,F353)*M353,2))</f>
        <v>0</v>
      </c>
      <c r="O353" s="39">
        <f>IF(B353="","",IF(C353="","",IF(COUNTIFS($C$5:$C$804,C353)&gt;1,"Duplicate","OK")))</f>
        <v>0</v>
      </c>
      <c r="P353" s="31">
        <f>IF(OR(B353="",E353=""),"",COUNTIFS($B$5:B353,B353))</f>
        <v>0</v>
      </c>
      <c r="Q353" s="23">
        <f>IF(P353="","",B353&amp;"|"&amp;P353)</f>
        <v>0</v>
      </c>
      <c r="R353" s="39">
        <f>IF(B353="","",IF(O353="Duplicate","Duplicate - job billed twice",IF(M353=0,"Add - no price on this line",IF(AND(C353="",E353=""),"Add - what is this line for?","OK"))))</f>
        <v>0</v>
      </c>
    </row>
    <row r="354" spans="1:18">
      <c r="A354" s="43">
        <f>IF(B354="","","IL-"&amp;TEXT(ROW()-4,"0000"))</f>
        <v>0</v>
      </c>
      <c r="D354" s="18">
        <f>IF(C354="","",IFERROR(INDEX(Jobs!$B$5:$B$604,MATCH(C354,Jobs!$A$5:$A$604,0)),""))</f>
        <v>0</v>
      </c>
      <c r="J354" s="21">
        <f>IF(C354="","",IFERROR(INDEX(Jobs!$AJ$5:$AJ$604,MATCH(C354,Jobs!$A$5:$A$604,0)),"0"))</f>
        <v>0</v>
      </c>
      <c r="K354" s="23">
        <f>IF(C354="","",IFERROR(INDEX(Jobs!$M$5:$M$604,MATCH(C354,Jobs!$A$5:$A$604,0)),""))</f>
        <v>0</v>
      </c>
      <c r="L354" s="51">
        <f>IF(B354="","",IF(E354&lt;&gt;"",E354,IF(C354="","",K354&amp;" - "&amp;TEXT(D354,"d mmm yyyy"))))</f>
        <v>0</v>
      </c>
      <c r="M354" s="21">
        <f>IF(B354="","",IF(G354&lt;&gt;"",G354,IFERROR(J354*1,0)))</f>
        <v>0</v>
      </c>
      <c r="N354" s="21">
        <f>IF(B354="","",ROUND(IF(F354="",1,F354)*M354,2))</f>
        <v>0</v>
      </c>
      <c r="O354" s="39">
        <f>IF(B354="","",IF(C354="","",IF(COUNTIFS($C$5:$C$804,C354)&gt;1,"Duplicate","OK")))</f>
        <v>0</v>
      </c>
      <c r="P354" s="31">
        <f>IF(OR(B354="",E354=""),"",COUNTIFS($B$5:B354,B354))</f>
        <v>0</v>
      </c>
      <c r="Q354" s="23">
        <f>IF(P354="","",B354&amp;"|"&amp;P354)</f>
        <v>0</v>
      </c>
      <c r="R354" s="39">
        <f>IF(B354="","",IF(O354="Duplicate","Duplicate - job billed twice",IF(M354=0,"Add - no price on this line",IF(AND(C354="",E354=""),"Add - what is this line for?","OK"))))</f>
        <v>0</v>
      </c>
    </row>
    <row r="355" spans="1:18">
      <c r="A355" s="43">
        <f>IF(B355="","","IL-"&amp;TEXT(ROW()-4,"0000"))</f>
        <v>0</v>
      </c>
      <c r="D355" s="18">
        <f>IF(C355="","",IFERROR(INDEX(Jobs!$B$5:$B$604,MATCH(C355,Jobs!$A$5:$A$604,0)),""))</f>
        <v>0</v>
      </c>
      <c r="J355" s="21">
        <f>IF(C355="","",IFERROR(INDEX(Jobs!$AJ$5:$AJ$604,MATCH(C355,Jobs!$A$5:$A$604,0)),"0"))</f>
        <v>0</v>
      </c>
      <c r="K355" s="23">
        <f>IF(C355="","",IFERROR(INDEX(Jobs!$M$5:$M$604,MATCH(C355,Jobs!$A$5:$A$604,0)),""))</f>
        <v>0</v>
      </c>
      <c r="L355" s="51">
        <f>IF(B355="","",IF(E355&lt;&gt;"",E355,IF(C355="","",K355&amp;" - "&amp;TEXT(D355,"d mmm yyyy"))))</f>
        <v>0</v>
      </c>
      <c r="M355" s="21">
        <f>IF(B355="","",IF(G355&lt;&gt;"",G355,IFERROR(J355*1,0)))</f>
        <v>0</v>
      </c>
      <c r="N355" s="21">
        <f>IF(B355="","",ROUND(IF(F355="",1,F355)*M355,2))</f>
        <v>0</v>
      </c>
      <c r="O355" s="39">
        <f>IF(B355="","",IF(C355="","",IF(COUNTIFS($C$5:$C$804,C355)&gt;1,"Duplicate","OK")))</f>
        <v>0</v>
      </c>
      <c r="P355" s="31">
        <f>IF(OR(B355="",E355=""),"",COUNTIFS($B$5:B355,B355))</f>
        <v>0</v>
      </c>
      <c r="Q355" s="23">
        <f>IF(P355="","",B355&amp;"|"&amp;P355)</f>
        <v>0</v>
      </c>
      <c r="R355" s="39">
        <f>IF(B355="","",IF(O355="Duplicate","Duplicate - job billed twice",IF(M355=0,"Add - no price on this line",IF(AND(C355="",E355=""),"Add - what is this line for?","OK"))))</f>
        <v>0</v>
      </c>
    </row>
    <row r="356" spans="1:18">
      <c r="A356" s="43">
        <f>IF(B356="","","IL-"&amp;TEXT(ROW()-4,"0000"))</f>
        <v>0</v>
      </c>
      <c r="D356" s="18">
        <f>IF(C356="","",IFERROR(INDEX(Jobs!$B$5:$B$604,MATCH(C356,Jobs!$A$5:$A$604,0)),""))</f>
        <v>0</v>
      </c>
      <c r="J356" s="21">
        <f>IF(C356="","",IFERROR(INDEX(Jobs!$AJ$5:$AJ$604,MATCH(C356,Jobs!$A$5:$A$604,0)),"0"))</f>
        <v>0</v>
      </c>
      <c r="K356" s="23">
        <f>IF(C356="","",IFERROR(INDEX(Jobs!$M$5:$M$604,MATCH(C356,Jobs!$A$5:$A$604,0)),""))</f>
        <v>0</v>
      </c>
      <c r="L356" s="51">
        <f>IF(B356="","",IF(E356&lt;&gt;"",E356,IF(C356="","",K356&amp;" - "&amp;TEXT(D356,"d mmm yyyy"))))</f>
        <v>0</v>
      </c>
      <c r="M356" s="21">
        <f>IF(B356="","",IF(G356&lt;&gt;"",G356,IFERROR(J356*1,0)))</f>
        <v>0</v>
      </c>
      <c r="N356" s="21">
        <f>IF(B356="","",ROUND(IF(F356="",1,F356)*M356,2))</f>
        <v>0</v>
      </c>
      <c r="O356" s="39">
        <f>IF(B356="","",IF(C356="","",IF(COUNTIFS($C$5:$C$804,C356)&gt;1,"Duplicate","OK")))</f>
        <v>0</v>
      </c>
      <c r="P356" s="31">
        <f>IF(OR(B356="",E356=""),"",COUNTIFS($B$5:B356,B356))</f>
        <v>0</v>
      </c>
      <c r="Q356" s="23">
        <f>IF(P356="","",B356&amp;"|"&amp;P356)</f>
        <v>0</v>
      </c>
      <c r="R356" s="39">
        <f>IF(B356="","",IF(O356="Duplicate","Duplicate - job billed twice",IF(M356=0,"Add - no price on this line",IF(AND(C356="",E356=""),"Add - what is this line for?","OK"))))</f>
        <v>0</v>
      </c>
    </row>
    <row r="357" spans="1:18">
      <c r="A357" s="43">
        <f>IF(B357="","","IL-"&amp;TEXT(ROW()-4,"0000"))</f>
        <v>0</v>
      </c>
      <c r="D357" s="18">
        <f>IF(C357="","",IFERROR(INDEX(Jobs!$B$5:$B$604,MATCH(C357,Jobs!$A$5:$A$604,0)),""))</f>
        <v>0</v>
      </c>
      <c r="J357" s="21">
        <f>IF(C357="","",IFERROR(INDEX(Jobs!$AJ$5:$AJ$604,MATCH(C357,Jobs!$A$5:$A$604,0)),"0"))</f>
        <v>0</v>
      </c>
      <c r="K357" s="23">
        <f>IF(C357="","",IFERROR(INDEX(Jobs!$M$5:$M$604,MATCH(C357,Jobs!$A$5:$A$604,0)),""))</f>
        <v>0</v>
      </c>
      <c r="L357" s="51">
        <f>IF(B357="","",IF(E357&lt;&gt;"",E357,IF(C357="","",K357&amp;" - "&amp;TEXT(D357,"d mmm yyyy"))))</f>
        <v>0</v>
      </c>
      <c r="M357" s="21">
        <f>IF(B357="","",IF(G357&lt;&gt;"",G357,IFERROR(J357*1,0)))</f>
        <v>0</v>
      </c>
      <c r="N357" s="21">
        <f>IF(B357="","",ROUND(IF(F357="",1,F357)*M357,2))</f>
        <v>0</v>
      </c>
      <c r="O357" s="39">
        <f>IF(B357="","",IF(C357="","",IF(COUNTIFS($C$5:$C$804,C357)&gt;1,"Duplicate","OK")))</f>
        <v>0</v>
      </c>
      <c r="P357" s="31">
        <f>IF(OR(B357="",E357=""),"",COUNTIFS($B$5:B357,B357))</f>
        <v>0</v>
      </c>
      <c r="Q357" s="23">
        <f>IF(P357="","",B357&amp;"|"&amp;P357)</f>
        <v>0</v>
      </c>
      <c r="R357" s="39">
        <f>IF(B357="","",IF(O357="Duplicate","Duplicate - job billed twice",IF(M357=0,"Add - no price on this line",IF(AND(C357="",E357=""),"Add - what is this line for?","OK"))))</f>
        <v>0</v>
      </c>
    </row>
    <row r="358" spans="1:18">
      <c r="A358" s="43">
        <f>IF(B358="","","IL-"&amp;TEXT(ROW()-4,"0000"))</f>
        <v>0</v>
      </c>
      <c r="D358" s="18">
        <f>IF(C358="","",IFERROR(INDEX(Jobs!$B$5:$B$604,MATCH(C358,Jobs!$A$5:$A$604,0)),""))</f>
        <v>0</v>
      </c>
      <c r="J358" s="21">
        <f>IF(C358="","",IFERROR(INDEX(Jobs!$AJ$5:$AJ$604,MATCH(C358,Jobs!$A$5:$A$604,0)),"0"))</f>
        <v>0</v>
      </c>
      <c r="K358" s="23">
        <f>IF(C358="","",IFERROR(INDEX(Jobs!$M$5:$M$604,MATCH(C358,Jobs!$A$5:$A$604,0)),""))</f>
        <v>0</v>
      </c>
      <c r="L358" s="51">
        <f>IF(B358="","",IF(E358&lt;&gt;"",E358,IF(C358="","",K358&amp;" - "&amp;TEXT(D358,"d mmm yyyy"))))</f>
        <v>0</v>
      </c>
      <c r="M358" s="21">
        <f>IF(B358="","",IF(G358&lt;&gt;"",G358,IFERROR(J358*1,0)))</f>
        <v>0</v>
      </c>
      <c r="N358" s="21">
        <f>IF(B358="","",ROUND(IF(F358="",1,F358)*M358,2))</f>
        <v>0</v>
      </c>
      <c r="O358" s="39">
        <f>IF(B358="","",IF(C358="","",IF(COUNTIFS($C$5:$C$804,C358)&gt;1,"Duplicate","OK")))</f>
        <v>0</v>
      </c>
      <c r="P358" s="31">
        <f>IF(OR(B358="",E358=""),"",COUNTIFS($B$5:B358,B358))</f>
        <v>0</v>
      </c>
      <c r="Q358" s="23">
        <f>IF(P358="","",B358&amp;"|"&amp;P358)</f>
        <v>0</v>
      </c>
      <c r="R358" s="39">
        <f>IF(B358="","",IF(O358="Duplicate","Duplicate - job billed twice",IF(M358=0,"Add - no price on this line",IF(AND(C358="",E358=""),"Add - what is this line for?","OK"))))</f>
        <v>0</v>
      </c>
    </row>
    <row r="359" spans="1:18">
      <c r="A359" s="43">
        <f>IF(B359="","","IL-"&amp;TEXT(ROW()-4,"0000"))</f>
        <v>0</v>
      </c>
      <c r="D359" s="18">
        <f>IF(C359="","",IFERROR(INDEX(Jobs!$B$5:$B$604,MATCH(C359,Jobs!$A$5:$A$604,0)),""))</f>
        <v>0</v>
      </c>
      <c r="J359" s="21">
        <f>IF(C359="","",IFERROR(INDEX(Jobs!$AJ$5:$AJ$604,MATCH(C359,Jobs!$A$5:$A$604,0)),"0"))</f>
        <v>0</v>
      </c>
      <c r="K359" s="23">
        <f>IF(C359="","",IFERROR(INDEX(Jobs!$M$5:$M$604,MATCH(C359,Jobs!$A$5:$A$604,0)),""))</f>
        <v>0</v>
      </c>
      <c r="L359" s="51">
        <f>IF(B359="","",IF(E359&lt;&gt;"",E359,IF(C359="","",K359&amp;" - "&amp;TEXT(D359,"d mmm yyyy"))))</f>
        <v>0</v>
      </c>
      <c r="M359" s="21">
        <f>IF(B359="","",IF(G359&lt;&gt;"",G359,IFERROR(J359*1,0)))</f>
        <v>0</v>
      </c>
      <c r="N359" s="21">
        <f>IF(B359="","",ROUND(IF(F359="",1,F359)*M359,2))</f>
        <v>0</v>
      </c>
      <c r="O359" s="39">
        <f>IF(B359="","",IF(C359="","",IF(COUNTIFS($C$5:$C$804,C359)&gt;1,"Duplicate","OK")))</f>
        <v>0</v>
      </c>
      <c r="P359" s="31">
        <f>IF(OR(B359="",E359=""),"",COUNTIFS($B$5:B359,B359))</f>
        <v>0</v>
      </c>
      <c r="Q359" s="23">
        <f>IF(P359="","",B359&amp;"|"&amp;P359)</f>
        <v>0</v>
      </c>
      <c r="R359" s="39">
        <f>IF(B359="","",IF(O359="Duplicate","Duplicate - job billed twice",IF(M359=0,"Add - no price on this line",IF(AND(C359="",E359=""),"Add - what is this line for?","OK"))))</f>
        <v>0</v>
      </c>
    </row>
    <row r="360" spans="1:18">
      <c r="A360" s="43">
        <f>IF(B360="","","IL-"&amp;TEXT(ROW()-4,"0000"))</f>
        <v>0</v>
      </c>
      <c r="D360" s="18">
        <f>IF(C360="","",IFERROR(INDEX(Jobs!$B$5:$B$604,MATCH(C360,Jobs!$A$5:$A$604,0)),""))</f>
        <v>0</v>
      </c>
      <c r="J360" s="21">
        <f>IF(C360="","",IFERROR(INDEX(Jobs!$AJ$5:$AJ$604,MATCH(C360,Jobs!$A$5:$A$604,0)),"0"))</f>
        <v>0</v>
      </c>
      <c r="K360" s="23">
        <f>IF(C360="","",IFERROR(INDEX(Jobs!$M$5:$M$604,MATCH(C360,Jobs!$A$5:$A$604,0)),""))</f>
        <v>0</v>
      </c>
      <c r="L360" s="51">
        <f>IF(B360="","",IF(E360&lt;&gt;"",E360,IF(C360="","",K360&amp;" - "&amp;TEXT(D360,"d mmm yyyy"))))</f>
        <v>0</v>
      </c>
      <c r="M360" s="21">
        <f>IF(B360="","",IF(G360&lt;&gt;"",G360,IFERROR(J360*1,0)))</f>
        <v>0</v>
      </c>
      <c r="N360" s="21">
        <f>IF(B360="","",ROUND(IF(F360="",1,F360)*M360,2))</f>
        <v>0</v>
      </c>
      <c r="O360" s="39">
        <f>IF(B360="","",IF(C360="","",IF(COUNTIFS($C$5:$C$804,C360)&gt;1,"Duplicate","OK")))</f>
        <v>0</v>
      </c>
      <c r="P360" s="31">
        <f>IF(OR(B360="",E360=""),"",COUNTIFS($B$5:B360,B360))</f>
        <v>0</v>
      </c>
      <c r="Q360" s="23">
        <f>IF(P360="","",B360&amp;"|"&amp;P360)</f>
        <v>0</v>
      </c>
      <c r="R360" s="39">
        <f>IF(B360="","",IF(O360="Duplicate","Duplicate - job billed twice",IF(M360=0,"Add - no price on this line",IF(AND(C360="",E360=""),"Add - what is this line for?","OK"))))</f>
        <v>0</v>
      </c>
    </row>
    <row r="361" spans="1:18">
      <c r="A361" s="43">
        <f>IF(B361="","","IL-"&amp;TEXT(ROW()-4,"0000"))</f>
        <v>0</v>
      </c>
      <c r="D361" s="18">
        <f>IF(C361="","",IFERROR(INDEX(Jobs!$B$5:$B$604,MATCH(C361,Jobs!$A$5:$A$604,0)),""))</f>
        <v>0</v>
      </c>
      <c r="J361" s="21">
        <f>IF(C361="","",IFERROR(INDEX(Jobs!$AJ$5:$AJ$604,MATCH(C361,Jobs!$A$5:$A$604,0)),"0"))</f>
        <v>0</v>
      </c>
      <c r="K361" s="23">
        <f>IF(C361="","",IFERROR(INDEX(Jobs!$M$5:$M$604,MATCH(C361,Jobs!$A$5:$A$604,0)),""))</f>
        <v>0</v>
      </c>
      <c r="L361" s="51">
        <f>IF(B361="","",IF(E361&lt;&gt;"",E361,IF(C361="","",K361&amp;" - "&amp;TEXT(D361,"d mmm yyyy"))))</f>
        <v>0</v>
      </c>
      <c r="M361" s="21">
        <f>IF(B361="","",IF(G361&lt;&gt;"",G361,IFERROR(J361*1,0)))</f>
        <v>0</v>
      </c>
      <c r="N361" s="21">
        <f>IF(B361="","",ROUND(IF(F361="",1,F361)*M361,2))</f>
        <v>0</v>
      </c>
      <c r="O361" s="39">
        <f>IF(B361="","",IF(C361="","",IF(COUNTIFS($C$5:$C$804,C361)&gt;1,"Duplicate","OK")))</f>
        <v>0</v>
      </c>
      <c r="P361" s="31">
        <f>IF(OR(B361="",E361=""),"",COUNTIFS($B$5:B361,B361))</f>
        <v>0</v>
      </c>
      <c r="Q361" s="23">
        <f>IF(P361="","",B361&amp;"|"&amp;P361)</f>
        <v>0</v>
      </c>
      <c r="R361" s="39">
        <f>IF(B361="","",IF(O361="Duplicate","Duplicate - job billed twice",IF(M361=0,"Add - no price on this line",IF(AND(C361="",E361=""),"Add - what is this line for?","OK"))))</f>
        <v>0</v>
      </c>
    </row>
    <row r="362" spans="1:18">
      <c r="A362" s="43">
        <f>IF(B362="","","IL-"&amp;TEXT(ROW()-4,"0000"))</f>
        <v>0</v>
      </c>
      <c r="D362" s="18">
        <f>IF(C362="","",IFERROR(INDEX(Jobs!$B$5:$B$604,MATCH(C362,Jobs!$A$5:$A$604,0)),""))</f>
        <v>0</v>
      </c>
      <c r="J362" s="21">
        <f>IF(C362="","",IFERROR(INDEX(Jobs!$AJ$5:$AJ$604,MATCH(C362,Jobs!$A$5:$A$604,0)),"0"))</f>
        <v>0</v>
      </c>
      <c r="K362" s="23">
        <f>IF(C362="","",IFERROR(INDEX(Jobs!$M$5:$M$604,MATCH(C362,Jobs!$A$5:$A$604,0)),""))</f>
        <v>0</v>
      </c>
      <c r="L362" s="51">
        <f>IF(B362="","",IF(E362&lt;&gt;"",E362,IF(C362="","",K362&amp;" - "&amp;TEXT(D362,"d mmm yyyy"))))</f>
        <v>0</v>
      </c>
      <c r="M362" s="21">
        <f>IF(B362="","",IF(G362&lt;&gt;"",G362,IFERROR(J362*1,0)))</f>
        <v>0</v>
      </c>
      <c r="N362" s="21">
        <f>IF(B362="","",ROUND(IF(F362="",1,F362)*M362,2))</f>
        <v>0</v>
      </c>
      <c r="O362" s="39">
        <f>IF(B362="","",IF(C362="","",IF(COUNTIFS($C$5:$C$804,C362)&gt;1,"Duplicate","OK")))</f>
        <v>0</v>
      </c>
      <c r="P362" s="31">
        <f>IF(OR(B362="",E362=""),"",COUNTIFS($B$5:B362,B362))</f>
        <v>0</v>
      </c>
      <c r="Q362" s="23">
        <f>IF(P362="","",B362&amp;"|"&amp;P362)</f>
        <v>0</v>
      </c>
      <c r="R362" s="39">
        <f>IF(B362="","",IF(O362="Duplicate","Duplicate - job billed twice",IF(M362=0,"Add - no price on this line",IF(AND(C362="",E362=""),"Add - what is this line for?","OK"))))</f>
        <v>0</v>
      </c>
    </row>
    <row r="363" spans="1:18">
      <c r="A363" s="43">
        <f>IF(B363="","","IL-"&amp;TEXT(ROW()-4,"0000"))</f>
        <v>0</v>
      </c>
      <c r="D363" s="18">
        <f>IF(C363="","",IFERROR(INDEX(Jobs!$B$5:$B$604,MATCH(C363,Jobs!$A$5:$A$604,0)),""))</f>
        <v>0</v>
      </c>
      <c r="J363" s="21">
        <f>IF(C363="","",IFERROR(INDEX(Jobs!$AJ$5:$AJ$604,MATCH(C363,Jobs!$A$5:$A$604,0)),"0"))</f>
        <v>0</v>
      </c>
      <c r="K363" s="23">
        <f>IF(C363="","",IFERROR(INDEX(Jobs!$M$5:$M$604,MATCH(C363,Jobs!$A$5:$A$604,0)),""))</f>
        <v>0</v>
      </c>
      <c r="L363" s="51">
        <f>IF(B363="","",IF(E363&lt;&gt;"",E363,IF(C363="","",K363&amp;" - "&amp;TEXT(D363,"d mmm yyyy"))))</f>
        <v>0</v>
      </c>
      <c r="M363" s="21">
        <f>IF(B363="","",IF(G363&lt;&gt;"",G363,IFERROR(J363*1,0)))</f>
        <v>0</v>
      </c>
      <c r="N363" s="21">
        <f>IF(B363="","",ROUND(IF(F363="",1,F363)*M363,2))</f>
        <v>0</v>
      </c>
      <c r="O363" s="39">
        <f>IF(B363="","",IF(C363="","",IF(COUNTIFS($C$5:$C$804,C363)&gt;1,"Duplicate","OK")))</f>
        <v>0</v>
      </c>
      <c r="P363" s="31">
        <f>IF(OR(B363="",E363=""),"",COUNTIFS($B$5:B363,B363))</f>
        <v>0</v>
      </c>
      <c r="Q363" s="23">
        <f>IF(P363="","",B363&amp;"|"&amp;P363)</f>
        <v>0</v>
      </c>
      <c r="R363" s="39">
        <f>IF(B363="","",IF(O363="Duplicate","Duplicate - job billed twice",IF(M363=0,"Add - no price on this line",IF(AND(C363="",E363=""),"Add - what is this line for?","OK"))))</f>
        <v>0</v>
      </c>
    </row>
    <row r="364" spans="1:18">
      <c r="A364" s="43">
        <f>IF(B364="","","IL-"&amp;TEXT(ROW()-4,"0000"))</f>
        <v>0</v>
      </c>
      <c r="D364" s="18">
        <f>IF(C364="","",IFERROR(INDEX(Jobs!$B$5:$B$604,MATCH(C364,Jobs!$A$5:$A$604,0)),""))</f>
        <v>0</v>
      </c>
      <c r="J364" s="21">
        <f>IF(C364="","",IFERROR(INDEX(Jobs!$AJ$5:$AJ$604,MATCH(C364,Jobs!$A$5:$A$604,0)),"0"))</f>
        <v>0</v>
      </c>
      <c r="K364" s="23">
        <f>IF(C364="","",IFERROR(INDEX(Jobs!$M$5:$M$604,MATCH(C364,Jobs!$A$5:$A$604,0)),""))</f>
        <v>0</v>
      </c>
      <c r="L364" s="51">
        <f>IF(B364="","",IF(E364&lt;&gt;"",E364,IF(C364="","",K364&amp;" - "&amp;TEXT(D364,"d mmm yyyy"))))</f>
        <v>0</v>
      </c>
      <c r="M364" s="21">
        <f>IF(B364="","",IF(G364&lt;&gt;"",G364,IFERROR(J364*1,0)))</f>
        <v>0</v>
      </c>
      <c r="N364" s="21">
        <f>IF(B364="","",ROUND(IF(F364="",1,F364)*M364,2))</f>
        <v>0</v>
      </c>
      <c r="O364" s="39">
        <f>IF(B364="","",IF(C364="","",IF(COUNTIFS($C$5:$C$804,C364)&gt;1,"Duplicate","OK")))</f>
        <v>0</v>
      </c>
      <c r="P364" s="31">
        <f>IF(OR(B364="",E364=""),"",COUNTIFS($B$5:B364,B364))</f>
        <v>0</v>
      </c>
      <c r="Q364" s="23">
        <f>IF(P364="","",B364&amp;"|"&amp;P364)</f>
        <v>0</v>
      </c>
      <c r="R364" s="39">
        <f>IF(B364="","",IF(O364="Duplicate","Duplicate - job billed twice",IF(M364=0,"Add - no price on this line",IF(AND(C364="",E364=""),"Add - what is this line for?","OK"))))</f>
        <v>0</v>
      </c>
    </row>
    <row r="365" spans="1:18">
      <c r="A365" s="43">
        <f>IF(B365="","","IL-"&amp;TEXT(ROW()-4,"0000"))</f>
        <v>0</v>
      </c>
      <c r="D365" s="18">
        <f>IF(C365="","",IFERROR(INDEX(Jobs!$B$5:$B$604,MATCH(C365,Jobs!$A$5:$A$604,0)),""))</f>
        <v>0</v>
      </c>
      <c r="J365" s="21">
        <f>IF(C365="","",IFERROR(INDEX(Jobs!$AJ$5:$AJ$604,MATCH(C365,Jobs!$A$5:$A$604,0)),"0"))</f>
        <v>0</v>
      </c>
      <c r="K365" s="23">
        <f>IF(C365="","",IFERROR(INDEX(Jobs!$M$5:$M$604,MATCH(C365,Jobs!$A$5:$A$604,0)),""))</f>
        <v>0</v>
      </c>
      <c r="L365" s="51">
        <f>IF(B365="","",IF(E365&lt;&gt;"",E365,IF(C365="","",K365&amp;" - "&amp;TEXT(D365,"d mmm yyyy"))))</f>
        <v>0</v>
      </c>
      <c r="M365" s="21">
        <f>IF(B365="","",IF(G365&lt;&gt;"",G365,IFERROR(J365*1,0)))</f>
        <v>0</v>
      </c>
      <c r="N365" s="21">
        <f>IF(B365="","",ROUND(IF(F365="",1,F365)*M365,2))</f>
        <v>0</v>
      </c>
      <c r="O365" s="39">
        <f>IF(B365="","",IF(C365="","",IF(COUNTIFS($C$5:$C$804,C365)&gt;1,"Duplicate","OK")))</f>
        <v>0</v>
      </c>
      <c r="P365" s="31">
        <f>IF(OR(B365="",E365=""),"",COUNTIFS($B$5:B365,B365))</f>
        <v>0</v>
      </c>
      <c r="Q365" s="23">
        <f>IF(P365="","",B365&amp;"|"&amp;P365)</f>
        <v>0</v>
      </c>
      <c r="R365" s="39">
        <f>IF(B365="","",IF(O365="Duplicate","Duplicate - job billed twice",IF(M365=0,"Add - no price on this line",IF(AND(C365="",E365=""),"Add - what is this line for?","OK"))))</f>
        <v>0</v>
      </c>
    </row>
    <row r="366" spans="1:18">
      <c r="A366" s="43">
        <f>IF(B366="","","IL-"&amp;TEXT(ROW()-4,"0000"))</f>
        <v>0</v>
      </c>
      <c r="D366" s="18">
        <f>IF(C366="","",IFERROR(INDEX(Jobs!$B$5:$B$604,MATCH(C366,Jobs!$A$5:$A$604,0)),""))</f>
        <v>0</v>
      </c>
      <c r="J366" s="21">
        <f>IF(C366="","",IFERROR(INDEX(Jobs!$AJ$5:$AJ$604,MATCH(C366,Jobs!$A$5:$A$604,0)),"0"))</f>
        <v>0</v>
      </c>
      <c r="K366" s="23">
        <f>IF(C366="","",IFERROR(INDEX(Jobs!$M$5:$M$604,MATCH(C366,Jobs!$A$5:$A$604,0)),""))</f>
        <v>0</v>
      </c>
      <c r="L366" s="51">
        <f>IF(B366="","",IF(E366&lt;&gt;"",E366,IF(C366="","",K366&amp;" - "&amp;TEXT(D366,"d mmm yyyy"))))</f>
        <v>0</v>
      </c>
      <c r="M366" s="21">
        <f>IF(B366="","",IF(G366&lt;&gt;"",G366,IFERROR(J366*1,0)))</f>
        <v>0</v>
      </c>
      <c r="N366" s="21">
        <f>IF(B366="","",ROUND(IF(F366="",1,F366)*M366,2))</f>
        <v>0</v>
      </c>
      <c r="O366" s="39">
        <f>IF(B366="","",IF(C366="","",IF(COUNTIFS($C$5:$C$804,C366)&gt;1,"Duplicate","OK")))</f>
        <v>0</v>
      </c>
      <c r="P366" s="31">
        <f>IF(OR(B366="",E366=""),"",COUNTIFS($B$5:B366,B366))</f>
        <v>0</v>
      </c>
      <c r="Q366" s="23">
        <f>IF(P366="","",B366&amp;"|"&amp;P366)</f>
        <v>0</v>
      </c>
      <c r="R366" s="39">
        <f>IF(B366="","",IF(O366="Duplicate","Duplicate - job billed twice",IF(M366=0,"Add - no price on this line",IF(AND(C366="",E366=""),"Add - what is this line for?","OK"))))</f>
        <v>0</v>
      </c>
    </row>
    <row r="367" spans="1:18">
      <c r="A367" s="43">
        <f>IF(B367="","","IL-"&amp;TEXT(ROW()-4,"0000"))</f>
        <v>0</v>
      </c>
      <c r="D367" s="18">
        <f>IF(C367="","",IFERROR(INDEX(Jobs!$B$5:$B$604,MATCH(C367,Jobs!$A$5:$A$604,0)),""))</f>
        <v>0</v>
      </c>
      <c r="J367" s="21">
        <f>IF(C367="","",IFERROR(INDEX(Jobs!$AJ$5:$AJ$604,MATCH(C367,Jobs!$A$5:$A$604,0)),"0"))</f>
        <v>0</v>
      </c>
      <c r="K367" s="23">
        <f>IF(C367="","",IFERROR(INDEX(Jobs!$M$5:$M$604,MATCH(C367,Jobs!$A$5:$A$604,0)),""))</f>
        <v>0</v>
      </c>
      <c r="L367" s="51">
        <f>IF(B367="","",IF(E367&lt;&gt;"",E367,IF(C367="","",K367&amp;" - "&amp;TEXT(D367,"d mmm yyyy"))))</f>
        <v>0</v>
      </c>
      <c r="M367" s="21">
        <f>IF(B367="","",IF(G367&lt;&gt;"",G367,IFERROR(J367*1,0)))</f>
        <v>0</v>
      </c>
      <c r="N367" s="21">
        <f>IF(B367="","",ROUND(IF(F367="",1,F367)*M367,2))</f>
        <v>0</v>
      </c>
      <c r="O367" s="39">
        <f>IF(B367="","",IF(C367="","",IF(COUNTIFS($C$5:$C$804,C367)&gt;1,"Duplicate","OK")))</f>
        <v>0</v>
      </c>
      <c r="P367" s="31">
        <f>IF(OR(B367="",E367=""),"",COUNTIFS($B$5:B367,B367))</f>
        <v>0</v>
      </c>
      <c r="Q367" s="23">
        <f>IF(P367="","",B367&amp;"|"&amp;P367)</f>
        <v>0</v>
      </c>
      <c r="R367" s="39">
        <f>IF(B367="","",IF(O367="Duplicate","Duplicate - job billed twice",IF(M367=0,"Add - no price on this line",IF(AND(C367="",E367=""),"Add - what is this line for?","OK"))))</f>
        <v>0</v>
      </c>
    </row>
    <row r="368" spans="1:18">
      <c r="A368" s="43">
        <f>IF(B368="","","IL-"&amp;TEXT(ROW()-4,"0000"))</f>
        <v>0</v>
      </c>
      <c r="D368" s="18">
        <f>IF(C368="","",IFERROR(INDEX(Jobs!$B$5:$B$604,MATCH(C368,Jobs!$A$5:$A$604,0)),""))</f>
        <v>0</v>
      </c>
      <c r="J368" s="21">
        <f>IF(C368="","",IFERROR(INDEX(Jobs!$AJ$5:$AJ$604,MATCH(C368,Jobs!$A$5:$A$604,0)),"0"))</f>
        <v>0</v>
      </c>
      <c r="K368" s="23">
        <f>IF(C368="","",IFERROR(INDEX(Jobs!$M$5:$M$604,MATCH(C368,Jobs!$A$5:$A$604,0)),""))</f>
        <v>0</v>
      </c>
      <c r="L368" s="51">
        <f>IF(B368="","",IF(E368&lt;&gt;"",E368,IF(C368="","",K368&amp;" - "&amp;TEXT(D368,"d mmm yyyy"))))</f>
        <v>0</v>
      </c>
      <c r="M368" s="21">
        <f>IF(B368="","",IF(G368&lt;&gt;"",G368,IFERROR(J368*1,0)))</f>
        <v>0</v>
      </c>
      <c r="N368" s="21">
        <f>IF(B368="","",ROUND(IF(F368="",1,F368)*M368,2))</f>
        <v>0</v>
      </c>
      <c r="O368" s="39">
        <f>IF(B368="","",IF(C368="","",IF(COUNTIFS($C$5:$C$804,C368)&gt;1,"Duplicate","OK")))</f>
        <v>0</v>
      </c>
      <c r="P368" s="31">
        <f>IF(OR(B368="",E368=""),"",COUNTIFS($B$5:B368,B368))</f>
        <v>0</v>
      </c>
      <c r="Q368" s="23">
        <f>IF(P368="","",B368&amp;"|"&amp;P368)</f>
        <v>0</v>
      </c>
      <c r="R368" s="39">
        <f>IF(B368="","",IF(O368="Duplicate","Duplicate - job billed twice",IF(M368=0,"Add - no price on this line",IF(AND(C368="",E368=""),"Add - what is this line for?","OK"))))</f>
        <v>0</v>
      </c>
    </row>
    <row r="369" spans="1:18">
      <c r="A369" s="43">
        <f>IF(B369="","","IL-"&amp;TEXT(ROW()-4,"0000"))</f>
        <v>0</v>
      </c>
      <c r="D369" s="18">
        <f>IF(C369="","",IFERROR(INDEX(Jobs!$B$5:$B$604,MATCH(C369,Jobs!$A$5:$A$604,0)),""))</f>
        <v>0</v>
      </c>
      <c r="J369" s="21">
        <f>IF(C369="","",IFERROR(INDEX(Jobs!$AJ$5:$AJ$604,MATCH(C369,Jobs!$A$5:$A$604,0)),"0"))</f>
        <v>0</v>
      </c>
      <c r="K369" s="23">
        <f>IF(C369="","",IFERROR(INDEX(Jobs!$M$5:$M$604,MATCH(C369,Jobs!$A$5:$A$604,0)),""))</f>
        <v>0</v>
      </c>
      <c r="L369" s="51">
        <f>IF(B369="","",IF(E369&lt;&gt;"",E369,IF(C369="","",K369&amp;" - "&amp;TEXT(D369,"d mmm yyyy"))))</f>
        <v>0</v>
      </c>
      <c r="M369" s="21">
        <f>IF(B369="","",IF(G369&lt;&gt;"",G369,IFERROR(J369*1,0)))</f>
        <v>0</v>
      </c>
      <c r="N369" s="21">
        <f>IF(B369="","",ROUND(IF(F369="",1,F369)*M369,2))</f>
        <v>0</v>
      </c>
      <c r="O369" s="39">
        <f>IF(B369="","",IF(C369="","",IF(COUNTIFS($C$5:$C$804,C369)&gt;1,"Duplicate","OK")))</f>
        <v>0</v>
      </c>
      <c r="P369" s="31">
        <f>IF(OR(B369="",E369=""),"",COUNTIFS($B$5:B369,B369))</f>
        <v>0</v>
      </c>
      <c r="Q369" s="23">
        <f>IF(P369="","",B369&amp;"|"&amp;P369)</f>
        <v>0</v>
      </c>
      <c r="R369" s="39">
        <f>IF(B369="","",IF(O369="Duplicate","Duplicate - job billed twice",IF(M369=0,"Add - no price on this line",IF(AND(C369="",E369=""),"Add - what is this line for?","OK"))))</f>
        <v>0</v>
      </c>
    </row>
    <row r="370" spans="1:18">
      <c r="A370" s="43">
        <f>IF(B370="","","IL-"&amp;TEXT(ROW()-4,"0000"))</f>
        <v>0</v>
      </c>
      <c r="D370" s="18">
        <f>IF(C370="","",IFERROR(INDEX(Jobs!$B$5:$B$604,MATCH(C370,Jobs!$A$5:$A$604,0)),""))</f>
        <v>0</v>
      </c>
      <c r="J370" s="21">
        <f>IF(C370="","",IFERROR(INDEX(Jobs!$AJ$5:$AJ$604,MATCH(C370,Jobs!$A$5:$A$604,0)),"0"))</f>
        <v>0</v>
      </c>
      <c r="K370" s="23">
        <f>IF(C370="","",IFERROR(INDEX(Jobs!$M$5:$M$604,MATCH(C370,Jobs!$A$5:$A$604,0)),""))</f>
        <v>0</v>
      </c>
      <c r="L370" s="51">
        <f>IF(B370="","",IF(E370&lt;&gt;"",E370,IF(C370="","",K370&amp;" - "&amp;TEXT(D370,"d mmm yyyy"))))</f>
        <v>0</v>
      </c>
      <c r="M370" s="21">
        <f>IF(B370="","",IF(G370&lt;&gt;"",G370,IFERROR(J370*1,0)))</f>
        <v>0</v>
      </c>
      <c r="N370" s="21">
        <f>IF(B370="","",ROUND(IF(F370="",1,F370)*M370,2))</f>
        <v>0</v>
      </c>
      <c r="O370" s="39">
        <f>IF(B370="","",IF(C370="","",IF(COUNTIFS($C$5:$C$804,C370)&gt;1,"Duplicate","OK")))</f>
        <v>0</v>
      </c>
      <c r="P370" s="31">
        <f>IF(OR(B370="",E370=""),"",COUNTIFS($B$5:B370,B370))</f>
        <v>0</v>
      </c>
      <c r="Q370" s="23">
        <f>IF(P370="","",B370&amp;"|"&amp;P370)</f>
        <v>0</v>
      </c>
      <c r="R370" s="39">
        <f>IF(B370="","",IF(O370="Duplicate","Duplicate - job billed twice",IF(M370=0,"Add - no price on this line",IF(AND(C370="",E370=""),"Add - what is this line for?","OK"))))</f>
        <v>0</v>
      </c>
    </row>
    <row r="371" spans="1:18">
      <c r="A371" s="43">
        <f>IF(B371="","","IL-"&amp;TEXT(ROW()-4,"0000"))</f>
        <v>0</v>
      </c>
      <c r="D371" s="18">
        <f>IF(C371="","",IFERROR(INDEX(Jobs!$B$5:$B$604,MATCH(C371,Jobs!$A$5:$A$604,0)),""))</f>
        <v>0</v>
      </c>
      <c r="J371" s="21">
        <f>IF(C371="","",IFERROR(INDEX(Jobs!$AJ$5:$AJ$604,MATCH(C371,Jobs!$A$5:$A$604,0)),"0"))</f>
        <v>0</v>
      </c>
      <c r="K371" s="23">
        <f>IF(C371="","",IFERROR(INDEX(Jobs!$M$5:$M$604,MATCH(C371,Jobs!$A$5:$A$604,0)),""))</f>
        <v>0</v>
      </c>
      <c r="L371" s="51">
        <f>IF(B371="","",IF(E371&lt;&gt;"",E371,IF(C371="","",K371&amp;" - "&amp;TEXT(D371,"d mmm yyyy"))))</f>
        <v>0</v>
      </c>
      <c r="M371" s="21">
        <f>IF(B371="","",IF(G371&lt;&gt;"",G371,IFERROR(J371*1,0)))</f>
        <v>0</v>
      </c>
      <c r="N371" s="21">
        <f>IF(B371="","",ROUND(IF(F371="",1,F371)*M371,2))</f>
        <v>0</v>
      </c>
      <c r="O371" s="39">
        <f>IF(B371="","",IF(C371="","",IF(COUNTIFS($C$5:$C$804,C371)&gt;1,"Duplicate","OK")))</f>
        <v>0</v>
      </c>
      <c r="P371" s="31">
        <f>IF(OR(B371="",E371=""),"",COUNTIFS($B$5:B371,B371))</f>
        <v>0</v>
      </c>
      <c r="Q371" s="23">
        <f>IF(P371="","",B371&amp;"|"&amp;P371)</f>
        <v>0</v>
      </c>
      <c r="R371" s="39">
        <f>IF(B371="","",IF(O371="Duplicate","Duplicate - job billed twice",IF(M371=0,"Add - no price on this line",IF(AND(C371="",E371=""),"Add - what is this line for?","OK"))))</f>
        <v>0</v>
      </c>
    </row>
    <row r="372" spans="1:18">
      <c r="A372" s="43">
        <f>IF(B372="","","IL-"&amp;TEXT(ROW()-4,"0000"))</f>
        <v>0</v>
      </c>
      <c r="D372" s="18">
        <f>IF(C372="","",IFERROR(INDEX(Jobs!$B$5:$B$604,MATCH(C372,Jobs!$A$5:$A$604,0)),""))</f>
        <v>0</v>
      </c>
      <c r="J372" s="21">
        <f>IF(C372="","",IFERROR(INDEX(Jobs!$AJ$5:$AJ$604,MATCH(C372,Jobs!$A$5:$A$604,0)),"0"))</f>
        <v>0</v>
      </c>
      <c r="K372" s="23">
        <f>IF(C372="","",IFERROR(INDEX(Jobs!$M$5:$M$604,MATCH(C372,Jobs!$A$5:$A$604,0)),""))</f>
        <v>0</v>
      </c>
      <c r="L372" s="51">
        <f>IF(B372="","",IF(E372&lt;&gt;"",E372,IF(C372="","",K372&amp;" - "&amp;TEXT(D372,"d mmm yyyy"))))</f>
        <v>0</v>
      </c>
      <c r="M372" s="21">
        <f>IF(B372="","",IF(G372&lt;&gt;"",G372,IFERROR(J372*1,0)))</f>
        <v>0</v>
      </c>
      <c r="N372" s="21">
        <f>IF(B372="","",ROUND(IF(F372="",1,F372)*M372,2))</f>
        <v>0</v>
      </c>
      <c r="O372" s="39">
        <f>IF(B372="","",IF(C372="","",IF(COUNTIFS($C$5:$C$804,C372)&gt;1,"Duplicate","OK")))</f>
        <v>0</v>
      </c>
      <c r="P372" s="31">
        <f>IF(OR(B372="",E372=""),"",COUNTIFS($B$5:B372,B372))</f>
        <v>0</v>
      </c>
      <c r="Q372" s="23">
        <f>IF(P372="","",B372&amp;"|"&amp;P372)</f>
        <v>0</v>
      </c>
      <c r="R372" s="39">
        <f>IF(B372="","",IF(O372="Duplicate","Duplicate - job billed twice",IF(M372=0,"Add - no price on this line",IF(AND(C372="",E372=""),"Add - what is this line for?","OK"))))</f>
        <v>0</v>
      </c>
    </row>
    <row r="373" spans="1:18">
      <c r="A373" s="43">
        <f>IF(B373="","","IL-"&amp;TEXT(ROW()-4,"0000"))</f>
        <v>0</v>
      </c>
      <c r="D373" s="18">
        <f>IF(C373="","",IFERROR(INDEX(Jobs!$B$5:$B$604,MATCH(C373,Jobs!$A$5:$A$604,0)),""))</f>
        <v>0</v>
      </c>
      <c r="J373" s="21">
        <f>IF(C373="","",IFERROR(INDEX(Jobs!$AJ$5:$AJ$604,MATCH(C373,Jobs!$A$5:$A$604,0)),"0"))</f>
        <v>0</v>
      </c>
      <c r="K373" s="23">
        <f>IF(C373="","",IFERROR(INDEX(Jobs!$M$5:$M$604,MATCH(C373,Jobs!$A$5:$A$604,0)),""))</f>
        <v>0</v>
      </c>
      <c r="L373" s="51">
        <f>IF(B373="","",IF(E373&lt;&gt;"",E373,IF(C373="","",K373&amp;" - "&amp;TEXT(D373,"d mmm yyyy"))))</f>
        <v>0</v>
      </c>
      <c r="M373" s="21">
        <f>IF(B373="","",IF(G373&lt;&gt;"",G373,IFERROR(J373*1,0)))</f>
        <v>0</v>
      </c>
      <c r="N373" s="21">
        <f>IF(B373="","",ROUND(IF(F373="",1,F373)*M373,2))</f>
        <v>0</v>
      </c>
      <c r="O373" s="39">
        <f>IF(B373="","",IF(C373="","",IF(COUNTIFS($C$5:$C$804,C373)&gt;1,"Duplicate","OK")))</f>
        <v>0</v>
      </c>
      <c r="P373" s="31">
        <f>IF(OR(B373="",E373=""),"",COUNTIFS($B$5:B373,B373))</f>
        <v>0</v>
      </c>
      <c r="Q373" s="23">
        <f>IF(P373="","",B373&amp;"|"&amp;P373)</f>
        <v>0</v>
      </c>
      <c r="R373" s="39">
        <f>IF(B373="","",IF(O373="Duplicate","Duplicate - job billed twice",IF(M373=0,"Add - no price on this line",IF(AND(C373="",E373=""),"Add - what is this line for?","OK"))))</f>
        <v>0</v>
      </c>
    </row>
    <row r="374" spans="1:18">
      <c r="A374" s="43">
        <f>IF(B374="","","IL-"&amp;TEXT(ROW()-4,"0000"))</f>
        <v>0</v>
      </c>
      <c r="D374" s="18">
        <f>IF(C374="","",IFERROR(INDEX(Jobs!$B$5:$B$604,MATCH(C374,Jobs!$A$5:$A$604,0)),""))</f>
        <v>0</v>
      </c>
      <c r="J374" s="21">
        <f>IF(C374="","",IFERROR(INDEX(Jobs!$AJ$5:$AJ$604,MATCH(C374,Jobs!$A$5:$A$604,0)),"0"))</f>
        <v>0</v>
      </c>
      <c r="K374" s="23">
        <f>IF(C374="","",IFERROR(INDEX(Jobs!$M$5:$M$604,MATCH(C374,Jobs!$A$5:$A$604,0)),""))</f>
        <v>0</v>
      </c>
      <c r="L374" s="51">
        <f>IF(B374="","",IF(E374&lt;&gt;"",E374,IF(C374="","",K374&amp;" - "&amp;TEXT(D374,"d mmm yyyy"))))</f>
        <v>0</v>
      </c>
      <c r="M374" s="21">
        <f>IF(B374="","",IF(G374&lt;&gt;"",G374,IFERROR(J374*1,0)))</f>
        <v>0</v>
      </c>
      <c r="N374" s="21">
        <f>IF(B374="","",ROUND(IF(F374="",1,F374)*M374,2))</f>
        <v>0</v>
      </c>
      <c r="O374" s="39">
        <f>IF(B374="","",IF(C374="","",IF(COUNTIFS($C$5:$C$804,C374)&gt;1,"Duplicate","OK")))</f>
        <v>0</v>
      </c>
      <c r="P374" s="31">
        <f>IF(OR(B374="",E374=""),"",COUNTIFS($B$5:B374,B374))</f>
        <v>0</v>
      </c>
      <c r="Q374" s="23">
        <f>IF(P374="","",B374&amp;"|"&amp;P374)</f>
        <v>0</v>
      </c>
      <c r="R374" s="39">
        <f>IF(B374="","",IF(O374="Duplicate","Duplicate - job billed twice",IF(M374=0,"Add - no price on this line",IF(AND(C374="",E374=""),"Add - what is this line for?","OK"))))</f>
        <v>0</v>
      </c>
    </row>
    <row r="375" spans="1:18">
      <c r="A375" s="43">
        <f>IF(B375="","","IL-"&amp;TEXT(ROW()-4,"0000"))</f>
        <v>0</v>
      </c>
      <c r="D375" s="18">
        <f>IF(C375="","",IFERROR(INDEX(Jobs!$B$5:$B$604,MATCH(C375,Jobs!$A$5:$A$604,0)),""))</f>
        <v>0</v>
      </c>
      <c r="J375" s="21">
        <f>IF(C375="","",IFERROR(INDEX(Jobs!$AJ$5:$AJ$604,MATCH(C375,Jobs!$A$5:$A$604,0)),"0"))</f>
        <v>0</v>
      </c>
      <c r="K375" s="23">
        <f>IF(C375="","",IFERROR(INDEX(Jobs!$M$5:$M$604,MATCH(C375,Jobs!$A$5:$A$604,0)),""))</f>
        <v>0</v>
      </c>
      <c r="L375" s="51">
        <f>IF(B375="","",IF(E375&lt;&gt;"",E375,IF(C375="","",K375&amp;" - "&amp;TEXT(D375,"d mmm yyyy"))))</f>
        <v>0</v>
      </c>
      <c r="M375" s="21">
        <f>IF(B375="","",IF(G375&lt;&gt;"",G375,IFERROR(J375*1,0)))</f>
        <v>0</v>
      </c>
      <c r="N375" s="21">
        <f>IF(B375="","",ROUND(IF(F375="",1,F375)*M375,2))</f>
        <v>0</v>
      </c>
      <c r="O375" s="39">
        <f>IF(B375="","",IF(C375="","",IF(COUNTIFS($C$5:$C$804,C375)&gt;1,"Duplicate","OK")))</f>
        <v>0</v>
      </c>
      <c r="P375" s="31">
        <f>IF(OR(B375="",E375=""),"",COUNTIFS($B$5:B375,B375))</f>
        <v>0</v>
      </c>
      <c r="Q375" s="23">
        <f>IF(P375="","",B375&amp;"|"&amp;P375)</f>
        <v>0</v>
      </c>
      <c r="R375" s="39">
        <f>IF(B375="","",IF(O375="Duplicate","Duplicate - job billed twice",IF(M375=0,"Add - no price on this line",IF(AND(C375="",E375=""),"Add - what is this line for?","OK"))))</f>
        <v>0</v>
      </c>
    </row>
    <row r="376" spans="1:18">
      <c r="A376" s="43">
        <f>IF(B376="","","IL-"&amp;TEXT(ROW()-4,"0000"))</f>
        <v>0</v>
      </c>
      <c r="D376" s="18">
        <f>IF(C376="","",IFERROR(INDEX(Jobs!$B$5:$B$604,MATCH(C376,Jobs!$A$5:$A$604,0)),""))</f>
        <v>0</v>
      </c>
      <c r="J376" s="21">
        <f>IF(C376="","",IFERROR(INDEX(Jobs!$AJ$5:$AJ$604,MATCH(C376,Jobs!$A$5:$A$604,0)),"0"))</f>
        <v>0</v>
      </c>
      <c r="K376" s="23">
        <f>IF(C376="","",IFERROR(INDEX(Jobs!$M$5:$M$604,MATCH(C376,Jobs!$A$5:$A$604,0)),""))</f>
        <v>0</v>
      </c>
      <c r="L376" s="51">
        <f>IF(B376="","",IF(E376&lt;&gt;"",E376,IF(C376="","",K376&amp;" - "&amp;TEXT(D376,"d mmm yyyy"))))</f>
        <v>0</v>
      </c>
      <c r="M376" s="21">
        <f>IF(B376="","",IF(G376&lt;&gt;"",G376,IFERROR(J376*1,0)))</f>
        <v>0</v>
      </c>
      <c r="N376" s="21">
        <f>IF(B376="","",ROUND(IF(F376="",1,F376)*M376,2))</f>
        <v>0</v>
      </c>
      <c r="O376" s="39">
        <f>IF(B376="","",IF(C376="","",IF(COUNTIFS($C$5:$C$804,C376)&gt;1,"Duplicate","OK")))</f>
        <v>0</v>
      </c>
      <c r="P376" s="31">
        <f>IF(OR(B376="",E376=""),"",COUNTIFS($B$5:B376,B376))</f>
        <v>0</v>
      </c>
      <c r="Q376" s="23">
        <f>IF(P376="","",B376&amp;"|"&amp;P376)</f>
        <v>0</v>
      </c>
      <c r="R376" s="39">
        <f>IF(B376="","",IF(O376="Duplicate","Duplicate - job billed twice",IF(M376=0,"Add - no price on this line",IF(AND(C376="",E376=""),"Add - what is this line for?","OK"))))</f>
        <v>0</v>
      </c>
    </row>
    <row r="377" spans="1:18">
      <c r="A377" s="43">
        <f>IF(B377="","","IL-"&amp;TEXT(ROW()-4,"0000"))</f>
        <v>0</v>
      </c>
      <c r="D377" s="18">
        <f>IF(C377="","",IFERROR(INDEX(Jobs!$B$5:$B$604,MATCH(C377,Jobs!$A$5:$A$604,0)),""))</f>
        <v>0</v>
      </c>
      <c r="J377" s="21">
        <f>IF(C377="","",IFERROR(INDEX(Jobs!$AJ$5:$AJ$604,MATCH(C377,Jobs!$A$5:$A$604,0)),"0"))</f>
        <v>0</v>
      </c>
      <c r="K377" s="23">
        <f>IF(C377="","",IFERROR(INDEX(Jobs!$M$5:$M$604,MATCH(C377,Jobs!$A$5:$A$604,0)),""))</f>
        <v>0</v>
      </c>
      <c r="L377" s="51">
        <f>IF(B377="","",IF(E377&lt;&gt;"",E377,IF(C377="","",K377&amp;" - "&amp;TEXT(D377,"d mmm yyyy"))))</f>
        <v>0</v>
      </c>
      <c r="M377" s="21">
        <f>IF(B377="","",IF(G377&lt;&gt;"",G377,IFERROR(J377*1,0)))</f>
        <v>0</v>
      </c>
      <c r="N377" s="21">
        <f>IF(B377="","",ROUND(IF(F377="",1,F377)*M377,2))</f>
        <v>0</v>
      </c>
      <c r="O377" s="39">
        <f>IF(B377="","",IF(C377="","",IF(COUNTIFS($C$5:$C$804,C377)&gt;1,"Duplicate","OK")))</f>
        <v>0</v>
      </c>
      <c r="P377" s="31">
        <f>IF(OR(B377="",E377=""),"",COUNTIFS($B$5:B377,B377))</f>
        <v>0</v>
      </c>
      <c r="Q377" s="23">
        <f>IF(P377="","",B377&amp;"|"&amp;P377)</f>
        <v>0</v>
      </c>
      <c r="R377" s="39">
        <f>IF(B377="","",IF(O377="Duplicate","Duplicate - job billed twice",IF(M377=0,"Add - no price on this line",IF(AND(C377="",E377=""),"Add - what is this line for?","OK"))))</f>
        <v>0</v>
      </c>
    </row>
    <row r="378" spans="1:18">
      <c r="A378" s="43">
        <f>IF(B378="","","IL-"&amp;TEXT(ROW()-4,"0000"))</f>
        <v>0</v>
      </c>
      <c r="D378" s="18">
        <f>IF(C378="","",IFERROR(INDEX(Jobs!$B$5:$B$604,MATCH(C378,Jobs!$A$5:$A$604,0)),""))</f>
        <v>0</v>
      </c>
      <c r="J378" s="21">
        <f>IF(C378="","",IFERROR(INDEX(Jobs!$AJ$5:$AJ$604,MATCH(C378,Jobs!$A$5:$A$604,0)),"0"))</f>
        <v>0</v>
      </c>
      <c r="K378" s="23">
        <f>IF(C378="","",IFERROR(INDEX(Jobs!$M$5:$M$604,MATCH(C378,Jobs!$A$5:$A$604,0)),""))</f>
        <v>0</v>
      </c>
      <c r="L378" s="51">
        <f>IF(B378="","",IF(E378&lt;&gt;"",E378,IF(C378="","",K378&amp;" - "&amp;TEXT(D378,"d mmm yyyy"))))</f>
        <v>0</v>
      </c>
      <c r="M378" s="21">
        <f>IF(B378="","",IF(G378&lt;&gt;"",G378,IFERROR(J378*1,0)))</f>
        <v>0</v>
      </c>
      <c r="N378" s="21">
        <f>IF(B378="","",ROUND(IF(F378="",1,F378)*M378,2))</f>
        <v>0</v>
      </c>
      <c r="O378" s="39">
        <f>IF(B378="","",IF(C378="","",IF(COUNTIFS($C$5:$C$804,C378)&gt;1,"Duplicate","OK")))</f>
        <v>0</v>
      </c>
      <c r="P378" s="31">
        <f>IF(OR(B378="",E378=""),"",COUNTIFS($B$5:B378,B378))</f>
        <v>0</v>
      </c>
      <c r="Q378" s="23">
        <f>IF(P378="","",B378&amp;"|"&amp;P378)</f>
        <v>0</v>
      </c>
      <c r="R378" s="39">
        <f>IF(B378="","",IF(O378="Duplicate","Duplicate - job billed twice",IF(M378=0,"Add - no price on this line",IF(AND(C378="",E378=""),"Add - what is this line for?","OK"))))</f>
        <v>0</v>
      </c>
    </row>
    <row r="379" spans="1:18">
      <c r="A379" s="43">
        <f>IF(B379="","","IL-"&amp;TEXT(ROW()-4,"0000"))</f>
        <v>0</v>
      </c>
      <c r="D379" s="18">
        <f>IF(C379="","",IFERROR(INDEX(Jobs!$B$5:$B$604,MATCH(C379,Jobs!$A$5:$A$604,0)),""))</f>
        <v>0</v>
      </c>
      <c r="J379" s="21">
        <f>IF(C379="","",IFERROR(INDEX(Jobs!$AJ$5:$AJ$604,MATCH(C379,Jobs!$A$5:$A$604,0)),"0"))</f>
        <v>0</v>
      </c>
      <c r="K379" s="23">
        <f>IF(C379="","",IFERROR(INDEX(Jobs!$M$5:$M$604,MATCH(C379,Jobs!$A$5:$A$604,0)),""))</f>
        <v>0</v>
      </c>
      <c r="L379" s="51">
        <f>IF(B379="","",IF(E379&lt;&gt;"",E379,IF(C379="","",K379&amp;" - "&amp;TEXT(D379,"d mmm yyyy"))))</f>
        <v>0</v>
      </c>
      <c r="M379" s="21">
        <f>IF(B379="","",IF(G379&lt;&gt;"",G379,IFERROR(J379*1,0)))</f>
        <v>0</v>
      </c>
      <c r="N379" s="21">
        <f>IF(B379="","",ROUND(IF(F379="",1,F379)*M379,2))</f>
        <v>0</v>
      </c>
      <c r="O379" s="39">
        <f>IF(B379="","",IF(C379="","",IF(COUNTIFS($C$5:$C$804,C379)&gt;1,"Duplicate","OK")))</f>
        <v>0</v>
      </c>
      <c r="P379" s="31">
        <f>IF(OR(B379="",E379=""),"",COUNTIFS($B$5:B379,B379))</f>
        <v>0</v>
      </c>
      <c r="Q379" s="23">
        <f>IF(P379="","",B379&amp;"|"&amp;P379)</f>
        <v>0</v>
      </c>
      <c r="R379" s="39">
        <f>IF(B379="","",IF(O379="Duplicate","Duplicate - job billed twice",IF(M379=0,"Add - no price on this line",IF(AND(C379="",E379=""),"Add - what is this line for?","OK"))))</f>
        <v>0</v>
      </c>
    </row>
    <row r="380" spans="1:18">
      <c r="A380" s="43">
        <f>IF(B380="","","IL-"&amp;TEXT(ROW()-4,"0000"))</f>
        <v>0</v>
      </c>
      <c r="D380" s="18">
        <f>IF(C380="","",IFERROR(INDEX(Jobs!$B$5:$B$604,MATCH(C380,Jobs!$A$5:$A$604,0)),""))</f>
        <v>0</v>
      </c>
      <c r="J380" s="21">
        <f>IF(C380="","",IFERROR(INDEX(Jobs!$AJ$5:$AJ$604,MATCH(C380,Jobs!$A$5:$A$604,0)),"0"))</f>
        <v>0</v>
      </c>
      <c r="K380" s="23">
        <f>IF(C380="","",IFERROR(INDEX(Jobs!$M$5:$M$604,MATCH(C380,Jobs!$A$5:$A$604,0)),""))</f>
        <v>0</v>
      </c>
      <c r="L380" s="51">
        <f>IF(B380="","",IF(E380&lt;&gt;"",E380,IF(C380="","",K380&amp;" - "&amp;TEXT(D380,"d mmm yyyy"))))</f>
        <v>0</v>
      </c>
      <c r="M380" s="21">
        <f>IF(B380="","",IF(G380&lt;&gt;"",G380,IFERROR(J380*1,0)))</f>
        <v>0</v>
      </c>
      <c r="N380" s="21">
        <f>IF(B380="","",ROUND(IF(F380="",1,F380)*M380,2))</f>
        <v>0</v>
      </c>
      <c r="O380" s="39">
        <f>IF(B380="","",IF(C380="","",IF(COUNTIFS($C$5:$C$804,C380)&gt;1,"Duplicate","OK")))</f>
        <v>0</v>
      </c>
      <c r="P380" s="31">
        <f>IF(OR(B380="",E380=""),"",COUNTIFS($B$5:B380,B380))</f>
        <v>0</v>
      </c>
      <c r="Q380" s="23">
        <f>IF(P380="","",B380&amp;"|"&amp;P380)</f>
        <v>0</v>
      </c>
      <c r="R380" s="39">
        <f>IF(B380="","",IF(O380="Duplicate","Duplicate - job billed twice",IF(M380=0,"Add - no price on this line",IF(AND(C380="",E380=""),"Add - what is this line for?","OK"))))</f>
        <v>0</v>
      </c>
    </row>
    <row r="381" spans="1:18">
      <c r="A381" s="43">
        <f>IF(B381="","","IL-"&amp;TEXT(ROW()-4,"0000"))</f>
        <v>0</v>
      </c>
      <c r="D381" s="18">
        <f>IF(C381="","",IFERROR(INDEX(Jobs!$B$5:$B$604,MATCH(C381,Jobs!$A$5:$A$604,0)),""))</f>
        <v>0</v>
      </c>
      <c r="J381" s="21">
        <f>IF(C381="","",IFERROR(INDEX(Jobs!$AJ$5:$AJ$604,MATCH(C381,Jobs!$A$5:$A$604,0)),"0"))</f>
        <v>0</v>
      </c>
      <c r="K381" s="23">
        <f>IF(C381="","",IFERROR(INDEX(Jobs!$M$5:$M$604,MATCH(C381,Jobs!$A$5:$A$604,0)),""))</f>
        <v>0</v>
      </c>
      <c r="L381" s="51">
        <f>IF(B381="","",IF(E381&lt;&gt;"",E381,IF(C381="","",K381&amp;" - "&amp;TEXT(D381,"d mmm yyyy"))))</f>
        <v>0</v>
      </c>
      <c r="M381" s="21">
        <f>IF(B381="","",IF(G381&lt;&gt;"",G381,IFERROR(J381*1,0)))</f>
        <v>0</v>
      </c>
      <c r="N381" s="21">
        <f>IF(B381="","",ROUND(IF(F381="",1,F381)*M381,2))</f>
        <v>0</v>
      </c>
      <c r="O381" s="39">
        <f>IF(B381="","",IF(C381="","",IF(COUNTIFS($C$5:$C$804,C381)&gt;1,"Duplicate","OK")))</f>
        <v>0</v>
      </c>
      <c r="P381" s="31">
        <f>IF(OR(B381="",E381=""),"",COUNTIFS($B$5:B381,B381))</f>
        <v>0</v>
      </c>
      <c r="Q381" s="23">
        <f>IF(P381="","",B381&amp;"|"&amp;P381)</f>
        <v>0</v>
      </c>
      <c r="R381" s="39">
        <f>IF(B381="","",IF(O381="Duplicate","Duplicate - job billed twice",IF(M381=0,"Add - no price on this line",IF(AND(C381="",E381=""),"Add - what is this line for?","OK"))))</f>
        <v>0</v>
      </c>
    </row>
    <row r="382" spans="1:18">
      <c r="A382" s="43">
        <f>IF(B382="","","IL-"&amp;TEXT(ROW()-4,"0000"))</f>
        <v>0</v>
      </c>
      <c r="D382" s="18">
        <f>IF(C382="","",IFERROR(INDEX(Jobs!$B$5:$B$604,MATCH(C382,Jobs!$A$5:$A$604,0)),""))</f>
        <v>0</v>
      </c>
      <c r="J382" s="21">
        <f>IF(C382="","",IFERROR(INDEX(Jobs!$AJ$5:$AJ$604,MATCH(C382,Jobs!$A$5:$A$604,0)),"0"))</f>
        <v>0</v>
      </c>
      <c r="K382" s="23">
        <f>IF(C382="","",IFERROR(INDEX(Jobs!$M$5:$M$604,MATCH(C382,Jobs!$A$5:$A$604,0)),""))</f>
        <v>0</v>
      </c>
      <c r="L382" s="51">
        <f>IF(B382="","",IF(E382&lt;&gt;"",E382,IF(C382="","",K382&amp;" - "&amp;TEXT(D382,"d mmm yyyy"))))</f>
        <v>0</v>
      </c>
      <c r="M382" s="21">
        <f>IF(B382="","",IF(G382&lt;&gt;"",G382,IFERROR(J382*1,0)))</f>
        <v>0</v>
      </c>
      <c r="N382" s="21">
        <f>IF(B382="","",ROUND(IF(F382="",1,F382)*M382,2))</f>
        <v>0</v>
      </c>
      <c r="O382" s="39">
        <f>IF(B382="","",IF(C382="","",IF(COUNTIFS($C$5:$C$804,C382)&gt;1,"Duplicate","OK")))</f>
        <v>0</v>
      </c>
      <c r="P382" s="31">
        <f>IF(OR(B382="",E382=""),"",COUNTIFS($B$5:B382,B382))</f>
        <v>0</v>
      </c>
      <c r="Q382" s="23">
        <f>IF(P382="","",B382&amp;"|"&amp;P382)</f>
        <v>0</v>
      </c>
      <c r="R382" s="39">
        <f>IF(B382="","",IF(O382="Duplicate","Duplicate - job billed twice",IF(M382=0,"Add - no price on this line",IF(AND(C382="",E382=""),"Add - what is this line for?","OK"))))</f>
        <v>0</v>
      </c>
    </row>
    <row r="383" spans="1:18">
      <c r="A383" s="43">
        <f>IF(B383="","","IL-"&amp;TEXT(ROW()-4,"0000"))</f>
        <v>0</v>
      </c>
      <c r="D383" s="18">
        <f>IF(C383="","",IFERROR(INDEX(Jobs!$B$5:$B$604,MATCH(C383,Jobs!$A$5:$A$604,0)),""))</f>
        <v>0</v>
      </c>
      <c r="J383" s="21">
        <f>IF(C383="","",IFERROR(INDEX(Jobs!$AJ$5:$AJ$604,MATCH(C383,Jobs!$A$5:$A$604,0)),"0"))</f>
        <v>0</v>
      </c>
      <c r="K383" s="23">
        <f>IF(C383="","",IFERROR(INDEX(Jobs!$M$5:$M$604,MATCH(C383,Jobs!$A$5:$A$604,0)),""))</f>
        <v>0</v>
      </c>
      <c r="L383" s="51">
        <f>IF(B383="","",IF(E383&lt;&gt;"",E383,IF(C383="","",K383&amp;" - "&amp;TEXT(D383,"d mmm yyyy"))))</f>
        <v>0</v>
      </c>
      <c r="M383" s="21">
        <f>IF(B383="","",IF(G383&lt;&gt;"",G383,IFERROR(J383*1,0)))</f>
        <v>0</v>
      </c>
      <c r="N383" s="21">
        <f>IF(B383="","",ROUND(IF(F383="",1,F383)*M383,2))</f>
        <v>0</v>
      </c>
      <c r="O383" s="39">
        <f>IF(B383="","",IF(C383="","",IF(COUNTIFS($C$5:$C$804,C383)&gt;1,"Duplicate","OK")))</f>
        <v>0</v>
      </c>
      <c r="P383" s="31">
        <f>IF(OR(B383="",E383=""),"",COUNTIFS($B$5:B383,B383))</f>
        <v>0</v>
      </c>
      <c r="Q383" s="23">
        <f>IF(P383="","",B383&amp;"|"&amp;P383)</f>
        <v>0</v>
      </c>
      <c r="R383" s="39">
        <f>IF(B383="","",IF(O383="Duplicate","Duplicate - job billed twice",IF(M383=0,"Add - no price on this line",IF(AND(C383="",E383=""),"Add - what is this line for?","OK"))))</f>
        <v>0</v>
      </c>
    </row>
    <row r="384" spans="1:18">
      <c r="A384" s="43">
        <f>IF(B384="","","IL-"&amp;TEXT(ROW()-4,"0000"))</f>
        <v>0</v>
      </c>
      <c r="D384" s="18">
        <f>IF(C384="","",IFERROR(INDEX(Jobs!$B$5:$B$604,MATCH(C384,Jobs!$A$5:$A$604,0)),""))</f>
        <v>0</v>
      </c>
      <c r="J384" s="21">
        <f>IF(C384="","",IFERROR(INDEX(Jobs!$AJ$5:$AJ$604,MATCH(C384,Jobs!$A$5:$A$604,0)),"0"))</f>
        <v>0</v>
      </c>
      <c r="K384" s="23">
        <f>IF(C384="","",IFERROR(INDEX(Jobs!$M$5:$M$604,MATCH(C384,Jobs!$A$5:$A$604,0)),""))</f>
        <v>0</v>
      </c>
      <c r="L384" s="51">
        <f>IF(B384="","",IF(E384&lt;&gt;"",E384,IF(C384="","",K384&amp;" - "&amp;TEXT(D384,"d mmm yyyy"))))</f>
        <v>0</v>
      </c>
      <c r="M384" s="21">
        <f>IF(B384="","",IF(G384&lt;&gt;"",G384,IFERROR(J384*1,0)))</f>
        <v>0</v>
      </c>
      <c r="N384" s="21">
        <f>IF(B384="","",ROUND(IF(F384="",1,F384)*M384,2))</f>
        <v>0</v>
      </c>
      <c r="O384" s="39">
        <f>IF(B384="","",IF(C384="","",IF(COUNTIFS($C$5:$C$804,C384)&gt;1,"Duplicate","OK")))</f>
        <v>0</v>
      </c>
      <c r="P384" s="31">
        <f>IF(OR(B384="",E384=""),"",COUNTIFS($B$5:B384,B384))</f>
        <v>0</v>
      </c>
      <c r="Q384" s="23">
        <f>IF(P384="","",B384&amp;"|"&amp;P384)</f>
        <v>0</v>
      </c>
      <c r="R384" s="39">
        <f>IF(B384="","",IF(O384="Duplicate","Duplicate - job billed twice",IF(M384=0,"Add - no price on this line",IF(AND(C384="",E384=""),"Add - what is this line for?","OK"))))</f>
        <v>0</v>
      </c>
    </row>
    <row r="385" spans="1:18">
      <c r="A385" s="43">
        <f>IF(B385="","","IL-"&amp;TEXT(ROW()-4,"0000"))</f>
        <v>0</v>
      </c>
      <c r="D385" s="18">
        <f>IF(C385="","",IFERROR(INDEX(Jobs!$B$5:$B$604,MATCH(C385,Jobs!$A$5:$A$604,0)),""))</f>
        <v>0</v>
      </c>
      <c r="J385" s="21">
        <f>IF(C385="","",IFERROR(INDEX(Jobs!$AJ$5:$AJ$604,MATCH(C385,Jobs!$A$5:$A$604,0)),"0"))</f>
        <v>0</v>
      </c>
      <c r="K385" s="23">
        <f>IF(C385="","",IFERROR(INDEX(Jobs!$M$5:$M$604,MATCH(C385,Jobs!$A$5:$A$604,0)),""))</f>
        <v>0</v>
      </c>
      <c r="L385" s="51">
        <f>IF(B385="","",IF(E385&lt;&gt;"",E385,IF(C385="","",K385&amp;" - "&amp;TEXT(D385,"d mmm yyyy"))))</f>
        <v>0</v>
      </c>
      <c r="M385" s="21">
        <f>IF(B385="","",IF(G385&lt;&gt;"",G385,IFERROR(J385*1,0)))</f>
        <v>0</v>
      </c>
      <c r="N385" s="21">
        <f>IF(B385="","",ROUND(IF(F385="",1,F385)*M385,2))</f>
        <v>0</v>
      </c>
      <c r="O385" s="39">
        <f>IF(B385="","",IF(C385="","",IF(COUNTIFS($C$5:$C$804,C385)&gt;1,"Duplicate","OK")))</f>
        <v>0</v>
      </c>
      <c r="P385" s="31">
        <f>IF(OR(B385="",E385=""),"",COUNTIFS($B$5:B385,B385))</f>
        <v>0</v>
      </c>
      <c r="Q385" s="23">
        <f>IF(P385="","",B385&amp;"|"&amp;P385)</f>
        <v>0</v>
      </c>
      <c r="R385" s="39">
        <f>IF(B385="","",IF(O385="Duplicate","Duplicate - job billed twice",IF(M385=0,"Add - no price on this line",IF(AND(C385="",E385=""),"Add - what is this line for?","OK"))))</f>
        <v>0</v>
      </c>
    </row>
    <row r="386" spans="1:18">
      <c r="A386" s="43">
        <f>IF(B386="","","IL-"&amp;TEXT(ROW()-4,"0000"))</f>
        <v>0</v>
      </c>
      <c r="D386" s="18">
        <f>IF(C386="","",IFERROR(INDEX(Jobs!$B$5:$B$604,MATCH(C386,Jobs!$A$5:$A$604,0)),""))</f>
        <v>0</v>
      </c>
      <c r="J386" s="21">
        <f>IF(C386="","",IFERROR(INDEX(Jobs!$AJ$5:$AJ$604,MATCH(C386,Jobs!$A$5:$A$604,0)),"0"))</f>
        <v>0</v>
      </c>
      <c r="K386" s="23">
        <f>IF(C386="","",IFERROR(INDEX(Jobs!$M$5:$M$604,MATCH(C386,Jobs!$A$5:$A$604,0)),""))</f>
        <v>0</v>
      </c>
      <c r="L386" s="51">
        <f>IF(B386="","",IF(E386&lt;&gt;"",E386,IF(C386="","",K386&amp;" - "&amp;TEXT(D386,"d mmm yyyy"))))</f>
        <v>0</v>
      </c>
      <c r="M386" s="21">
        <f>IF(B386="","",IF(G386&lt;&gt;"",G386,IFERROR(J386*1,0)))</f>
        <v>0</v>
      </c>
      <c r="N386" s="21">
        <f>IF(B386="","",ROUND(IF(F386="",1,F386)*M386,2))</f>
        <v>0</v>
      </c>
      <c r="O386" s="39">
        <f>IF(B386="","",IF(C386="","",IF(COUNTIFS($C$5:$C$804,C386)&gt;1,"Duplicate","OK")))</f>
        <v>0</v>
      </c>
      <c r="P386" s="31">
        <f>IF(OR(B386="",E386=""),"",COUNTIFS($B$5:B386,B386))</f>
        <v>0</v>
      </c>
      <c r="Q386" s="23">
        <f>IF(P386="","",B386&amp;"|"&amp;P386)</f>
        <v>0</v>
      </c>
      <c r="R386" s="39">
        <f>IF(B386="","",IF(O386="Duplicate","Duplicate - job billed twice",IF(M386=0,"Add - no price on this line",IF(AND(C386="",E386=""),"Add - what is this line for?","OK"))))</f>
        <v>0</v>
      </c>
    </row>
    <row r="387" spans="1:18">
      <c r="A387" s="43">
        <f>IF(B387="","","IL-"&amp;TEXT(ROW()-4,"0000"))</f>
        <v>0</v>
      </c>
      <c r="D387" s="18">
        <f>IF(C387="","",IFERROR(INDEX(Jobs!$B$5:$B$604,MATCH(C387,Jobs!$A$5:$A$604,0)),""))</f>
        <v>0</v>
      </c>
      <c r="J387" s="21">
        <f>IF(C387="","",IFERROR(INDEX(Jobs!$AJ$5:$AJ$604,MATCH(C387,Jobs!$A$5:$A$604,0)),"0"))</f>
        <v>0</v>
      </c>
      <c r="K387" s="23">
        <f>IF(C387="","",IFERROR(INDEX(Jobs!$M$5:$M$604,MATCH(C387,Jobs!$A$5:$A$604,0)),""))</f>
        <v>0</v>
      </c>
      <c r="L387" s="51">
        <f>IF(B387="","",IF(E387&lt;&gt;"",E387,IF(C387="","",K387&amp;" - "&amp;TEXT(D387,"d mmm yyyy"))))</f>
        <v>0</v>
      </c>
      <c r="M387" s="21">
        <f>IF(B387="","",IF(G387&lt;&gt;"",G387,IFERROR(J387*1,0)))</f>
        <v>0</v>
      </c>
      <c r="N387" s="21">
        <f>IF(B387="","",ROUND(IF(F387="",1,F387)*M387,2))</f>
        <v>0</v>
      </c>
      <c r="O387" s="39">
        <f>IF(B387="","",IF(C387="","",IF(COUNTIFS($C$5:$C$804,C387)&gt;1,"Duplicate","OK")))</f>
        <v>0</v>
      </c>
      <c r="P387" s="31">
        <f>IF(OR(B387="",E387=""),"",COUNTIFS($B$5:B387,B387))</f>
        <v>0</v>
      </c>
      <c r="Q387" s="23">
        <f>IF(P387="","",B387&amp;"|"&amp;P387)</f>
        <v>0</v>
      </c>
      <c r="R387" s="39">
        <f>IF(B387="","",IF(O387="Duplicate","Duplicate - job billed twice",IF(M387=0,"Add - no price on this line",IF(AND(C387="",E387=""),"Add - what is this line for?","OK"))))</f>
        <v>0</v>
      </c>
    </row>
    <row r="388" spans="1:18">
      <c r="A388" s="43">
        <f>IF(B388="","","IL-"&amp;TEXT(ROW()-4,"0000"))</f>
        <v>0</v>
      </c>
      <c r="D388" s="18">
        <f>IF(C388="","",IFERROR(INDEX(Jobs!$B$5:$B$604,MATCH(C388,Jobs!$A$5:$A$604,0)),""))</f>
        <v>0</v>
      </c>
      <c r="J388" s="21">
        <f>IF(C388="","",IFERROR(INDEX(Jobs!$AJ$5:$AJ$604,MATCH(C388,Jobs!$A$5:$A$604,0)),"0"))</f>
        <v>0</v>
      </c>
      <c r="K388" s="23">
        <f>IF(C388="","",IFERROR(INDEX(Jobs!$M$5:$M$604,MATCH(C388,Jobs!$A$5:$A$604,0)),""))</f>
        <v>0</v>
      </c>
      <c r="L388" s="51">
        <f>IF(B388="","",IF(E388&lt;&gt;"",E388,IF(C388="","",K388&amp;" - "&amp;TEXT(D388,"d mmm yyyy"))))</f>
        <v>0</v>
      </c>
      <c r="M388" s="21">
        <f>IF(B388="","",IF(G388&lt;&gt;"",G388,IFERROR(J388*1,0)))</f>
        <v>0</v>
      </c>
      <c r="N388" s="21">
        <f>IF(B388="","",ROUND(IF(F388="",1,F388)*M388,2))</f>
        <v>0</v>
      </c>
      <c r="O388" s="39">
        <f>IF(B388="","",IF(C388="","",IF(COUNTIFS($C$5:$C$804,C388)&gt;1,"Duplicate","OK")))</f>
        <v>0</v>
      </c>
      <c r="P388" s="31">
        <f>IF(OR(B388="",E388=""),"",COUNTIFS($B$5:B388,B388))</f>
        <v>0</v>
      </c>
      <c r="Q388" s="23">
        <f>IF(P388="","",B388&amp;"|"&amp;P388)</f>
        <v>0</v>
      </c>
      <c r="R388" s="39">
        <f>IF(B388="","",IF(O388="Duplicate","Duplicate - job billed twice",IF(M388=0,"Add - no price on this line",IF(AND(C388="",E388=""),"Add - what is this line for?","OK"))))</f>
        <v>0</v>
      </c>
    </row>
    <row r="389" spans="1:18">
      <c r="A389" s="43">
        <f>IF(B389="","","IL-"&amp;TEXT(ROW()-4,"0000"))</f>
        <v>0</v>
      </c>
      <c r="D389" s="18">
        <f>IF(C389="","",IFERROR(INDEX(Jobs!$B$5:$B$604,MATCH(C389,Jobs!$A$5:$A$604,0)),""))</f>
        <v>0</v>
      </c>
      <c r="J389" s="21">
        <f>IF(C389="","",IFERROR(INDEX(Jobs!$AJ$5:$AJ$604,MATCH(C389,Jobs!$A$5:$A$604,0)),"0"))</f>
        <v>0</v>
      </c>
      <c r="K389" s="23">
        <f>IF(C389="","",IFERROR(INDEX(Jobs!$M$5:$M$604,MATCH(C389,Jobs!$A$5:$A$604,0)),""))</f>
        <v>0</v>
      </c>
      <c r="L389" s="51">
        <f>IF(B389="","",IF(E389&lt;&gt;"",E389,IF(C389="","",K389&amp;" - "&amp;TEXT(D389,"d mmm yyyy"))))</f>
        <v>0</v>
      </c>
      <c r="M389" s="21">
        <f>IF(B389="","",IF(G389&lt;&gt;"",G389,IFERROR(J389*1,0)))</f>
        <v>0</v>
      </c>
      <c r="N389" s="21">
        <f>IF(B389="","",ROUND(IF(F389="",1,F389)*M389,2))</f>
        <v>0</v>
      </c>
      <c r="O389" s="39">
        <f>IF(B389="","",IF(C389="","",IF(COUNTIFS($C$5:$C$804,C389)&gt;1,"Duplicate","OK")))</f>
        <v>0</v>
      </c>
      <c r="P389" s="31">
        <f>IF(OR(B389="",E389=""),"",COUNTIFS($B$5:B389,B389))</f>
        <v>0</v>
      </c>
      <c r="Q389" s="23">
        <f>IF(P389="","",B389&amp;"|"&amp;P389)</f>
        <v>0</v>
      </c>
      <c r="R389" s="39">
        <f>IF(B389="","",IF(O389="Duplicate","Duplicate - job billed twice",IF(M389=0,"Add - no price on this line",IF(AND(C389="",E389=""),"Add - what is this line for?","OK"))))</f>
        <v>0</v>
      </c>
    </row>
    <row r="390" spans="1:18">
      <c r="A390" s="43">
        <f>IF(B390="","","IL-"&amp;TEXT(ROW()-4,"0000"))</f>
        <v>0</v>
      </c>
      <c r="D390" s="18">
        <f>IF(C390="","",IFERROR(INDEX(Jobs!$B$5:$B$604,MATCH(C390,Jobs!$A$5:$A$604,0)),""))</f>
        <v>0</v>
      </c>
      <c r="J390" s="21">
        <f>IF(C390="","",IFERROR(INDEX(Jobs!$AJ$5:$AJ$604,MATCH(C390,Jobs!$A$5:$A$604,0)),"0"))</f>
        <v>0</v>
      </c>
      <c r="K390" s="23">
        <f>IF(C390="","",IFERROR(INDEX(Jobs!$M$5:$M$604,MATCH(C390,Jobs!$A$5:$A$604,0)),""))</f>
        <v>0</v>
      </c>
      <c r="L390" s="51">
        <f>IF(B390="","",IF(E390&lt;&gt;"",E390,IF(C390="","",K390&amp;" - "&amp;TEXT(D390,"d mmm yyyy"))))</f>
        <v>0</v>
      </c>
      <c r="M390" s="21">
        <f>IF(B390="","",IF(G390&lt;&gt;"",G390,IFERROR(J390*1,0)))</f>
        <v>0</v>
      </c>
      <c r="N390" s="21">
        <f>IF(B390="","",ROUND(IF(F390="",1,F390)*M390,2))</f>
        <v>0</v>
      </c>
      <c r="O390" s="39">
        <f>IF(B390="","",IF(C390="","",IF(COUNTIFS($C$5:$C$804,C390)&gt;1,"Duplicate","OK")))</f>
        <v>0</v>
      </c>
      <c r="P390" s="31">
        <f>IF(OR(B390="",E390=""),"",COUNTIFS($B$5:B390,B390))</f>
        <v>0</v>
      </c>
      <c r="Q390" s="23">
        <f>IF(P390="","",B390&amp;"|"&amp;P390)</f>
        <v>0</v>
      </c>
      <c r="R390" s="39">
        <f>IF(B390="","",IF(O390="Duplicate","Duplicate - job billed twice",IF(M390=0,"Add - no price on this line",IF(AND(C390="",E390=""),"Add - what is this line for?","OK"))))</f>
        <v>0</v>
      </c>
    </row>
    <row r="391" spans="1:18">
      <c r="A391" s="43">
        <f>IF(B391="","","IL-"&amp;TEXT(ROW()-4,"0000"))</f>
        <v>0</v>
      </c>
      <c r="D391" s="18">
        <f>IF(C391="","",IFERROR(INDEX(Jobs!$B$5:$B$604,MATCH(C391,Jobs!$A$5:$A$604,0)),""))</f>
        <v>0</v>
      </c>
      <c r="J391" s="21">
        <f>IF(C391="","",IFERROR(INDEX(Jobs!$AJ$5:$AJ$604,MATCH(C391,Jobs!$A$5:$A$604,0)),"0"))</f>
        <v>0</v>
      </c>
      <c r="K391" s="23">
        <f>IF(C391="","",IFERROR(INDEX(Jobs!$M$5:$M$604,MATCH(C391,Jobs!$A$5:$A$604,0)),""))</f>
        <v>0</v>
      </c>
      <c r="L391" s="51">
        <f>IF(B391="","",IF(E391&lt;&gt;"",E391,IF(C391="","",K391&amp;" - "&amp;TEXT(D391,"d mmm yyyy"))))</f>
        <v>0</v>
      </c>
      <c r="M391" s="21">
        <f>IF(B391="","",IF(G391&lt;&gt;"",G391,IFERROR(J391*1,0)))</f>
        <v>0</v>
      </c>
      <c r="N391" s="21">
        <f>IF(B391="","",ROUND(IF(F391="",1,F391)*M391,2))</f>
        <v>0</v>
      </c>
      <c r="O391" s="39">
        <f>IF(B391="","",IF(C391="","",IF(COUNTIFS($C$5:$C$804,C391)&gt;1,"Duplicate","OK")))</f>
        <v>0</v>
      </c>
      <c r="P391" s="31">
        <f>IF(OR(B391="",E391=""),"",COUNTIFS($B$5:B391,B391))</f>
        <v>0</v>
      </c>
      <c r="Q391" s="23">
        <f>IF(P391="","",B391&amp;"|"&amp;P391)</f>
        <v>0</v>
      </c>
      <c r="R391" s="39">
        <f>IF(B391="","",IF(O391="Duplicate","Duplicate - job billed twice",IF(M391=0,"Add - no price on this line",IF(AND(C391="",E391=""),"Add - what is this line for?","OK"))))</f>
        <v>0</v>
      </c>
    </row>
    <row r="392" spans="1:18">
      <c r="A392" s="43">
        <f>IF(B392="","","IL-"&amp;TEXT(ROW()-4,"0000"))</f>
        <v>0</v>
      </c>
      <c r="D392" s="18">
        <f>IF(C392="","",IFERROR(INDEX(Jobs!$B$5:$B$604,MATCH(C392,Jobs!$A$5:$A$604,0)),""))</f>
        <v>0</v>
      </c>
      <c r="J392" s="21">
        <f>IF(C392="","",IFERROR(INDEX(Jobs!$AJ$5:$AJ$604,MATCH(C392,Jobs!$A$5:$A$604,0)),"0"))</f>
        <v>0</v>
      </c>
      <c r="K392" s="23">
        <f>IF(C392="","",IFERROR(INDEX(Jobs!$M$5:$M$604,MATCH(C392,Jobs!$A$5:$A$604,0)),""))</f>
        <v>0</v>
      </c>
      <c r="L392" s="51">
        <f>IF(B392="","",IF(E392&lt;&gt;"",E392,IF(C392="","",K392&amp;" - "&amp;TEXT(D392,"d mmm yyyy"))))</f>
        <v>0</v>
      </c>
      <c r="M392" s="21">
        <f>IF(B392="","",IF(G392&lt;&gt;"",G392,IFERROR(J392*1,0)))</f>
        <v>0</v>
      </c>
      <c r="N392" s="21">
        <f>IF(B392="","",ROUND(IF(F392="",1,F392)*M392,2))</f>
        <v>0</v>
      </c>
      <c r="O392" s="39">
        <f>IF(B392="","",IF(C392="","",IF(COUNTIFS($C$5:$C$804,C392)&gt;1,"Duplicate","OK")))</f>
        <v>0</v>
      </c>
      <c r="P392" s="31">
        <f>IF(OR(B392="",E392=""),"",COUNTIFS($B$5:B392,B392))</f>
        <v>0</v>
      </c>
      <c r="Q392" s="23">
        <f>IF(P392="","",B392&amp;"|"&amp;P392)</f>
        <v>0</v>
      </c>
      <c r="R392" s="39">
        <f>IF(B392="","",IF(O392="Duplicate","Duplicate - job billed twice",IF(M392=0,"Add - no price on this line",IF(AND(C392="",E392=""),"Add - what is this line for?","OK"))))</f>
        <v>0</v>
      </c>
    </row>
    <row r="393" spans="1:18">
      <c r="A393" s="43">
        <f>IF(B393="","","IL-"&amp;TEXT(ROW()-4,"0000"))</f>
        <v>0</v>
      </c>
      <c r="D393" s="18">
        <f>IF(C393="","",IFERROR(INDEX(Jobs!$B$5:$B$604,MATCH(C393,Jobs!$A$5:$A$604,0)),""))</f>
        <v>0</v>
      </c>
      <c r="J393" s="21">
        <f>IF(C393="","",IFERROR(INDEX(Jobs!$AJ$5:$AJ$604,MATCH(C393,Jobs!$A$5:$A$604,0)),"0"))</f>
        <v>0</v>
      </c>
      <c r="K393" s="23">
        <f>IF(C393="","",IFERROR(INDEX(Jobs!$M$5:$M$604,MATCH(C393,Jobs!$A$5:$A$604,0)),""))</f>
        <v>0</v>
      </c>
      <c r="L393" s="51">
        <f>IF(B393="","",IF(E393&lt;&gt;"",E393,IF(C393="","",K393&amp;" - "&amp;TEXT(D393,"d mmm yyyy"))))</f>
        <v>0</v>
      </c>
      <c r="M393" s="21">
        <f>IF(B393="","",IF(G393&lt;&gt;"",G393,IFERROR(J393*1,0)))</f>
        <v>0</v>
      </c>
      <c r="N393" s="21">
        <f>IF(B393="","",ROUND(IF(F393="",1,F393)*M393,2))</f>
        <v>0</v>
      </c>
      <c r="O393" s="39">
        <f>IF(B393="","",IF(C393="","",IF(COUNTIFS($C$5:$C$804,C393)&gt;1,"Duplicate","OK")))</f>
        <v>0</v>
      </c>
      <c r="P393" s="31">
        <f>IF(OR(B393="",E393=""),"",COUNTIFS($B$5:B393,B393))</f>
        <v>0</v>
      </c>
      <c r="Q393" s="23">
        <f>IF(P393="","",B393&amp;"|"&amp;P393)</f>
        <v>0</v>
      </c>
      <c r="R393" s="39">
        <f>IF(B393="","",IF(O393="Duplicate","Duplicate - job billed twice",IF(M393=0,"Add - no price on this line",IF(AND(C393="",E393=""),"Add - what is this line for?","OK"))))</f>
        <v>0</v>
      </c>
    </row>
    <row r="394" spans="1:18">
      <c r="A394" s="43">
        <f>IF(B394="","","IL-"&amp;TEXT(ROW()-4,"0000"))</f>
        <v>0</v>
      </c>
      <c r="D394" s="18">
        <f>IF(C394="","",IFERROR(INDEX(Jobs!$B$5:$B$604,MATCH(C394,Jobs!$A$5:$A$604,0)),""))</f>
        <v>0</v>
      </c>
      <c r="J394" s="21">
        <f>IF(C394="","",IFERROR(INDEX(Jobs!$AJ$5:$AJ$604,MATCH(C394,Jobs!$A$5:$A$604,0)),"0"))</f>
        <v>0</v>
      </c>
      <c r="K394" s="23">
        <f>IF(C394="","",IFERROR(INDEX(Jobs!$M$5:$M$604,MATCH(C394,Jobs!$A$5:$A$604,0)),""))</f>
        <v>0</v>
      </c>
      <c r="L394" s="51">
        <f>IF(B394="","",IF(E394&lt;&gt;"",E394,IF(C394="","",K394&amp;" - "&amp;TEXT(D394,"d mmm yyyy"))))</f>
        <v>0</v>
      </c>
      <c r="M394" s="21">
        <f>IF(B394="","",IF(G394&lt;&gt;"",G394,IFERROR(J394*1,0)))</f>
        <v>0</v>
      </c>
      <c r="N394" s="21">
        <f>IF(B394="","",ROUND(IF(F394="",1,F394)*M394,2))</f>
        <v>0</v>
      </c>
      <c r="O394" s="39">
        <f>IF(B394="","",IF(C394="","",IF(COUNTIFS($C$5:$C$804,C394)&gt;1,"Duplicate","OK")))</f>
        <v>0</v>
      </c>
      <c r="P394" s="31">
        <f>IF(OR(B394="",E394=""),"",COUNTIFS($B$5:B394,B394))</f>
        <v>0</v>
      </c>
      <c r="Q394" s="23">
        <f>IF(P394="","",B394&amp;"|"&amp;P394)</f>
        <v>0</v>
      </c>
      <c r="R394" s="39">
        <f>IF(B394="","",IF(O394="Duplicate","Duplicate - job billed twice",IF(M394=0,"Add - no price on this line",IF(AND(C394="",E394=""),"Add - what is this line for?","OK"))))</f>
        <v>0</v>
      </c>
    </row>
    <row r="395" spans="1:18">
      <c r="A395" s="43">
        <f>IF(B395="","","IL-"&amp;TEXT(ROW()-4,"0000"))</f>
        <v>0</v>
      </c>
      <c r="D395" s="18">
        <f>IF(C395="","",IFERROR(INDEX(Jobs!$B$5:$B$604,MATCH(C395,Jobs!$A$5:$A$604,0)),""))</f>
        <v>0</v>
      </c>
      <c r="J395" s="21">
        <f>IF(C395="","",IFERROR(INDEX(Jobs!$AJ$5:$AJ$604,MATCH(C395,Jobs!$A$5:$A$604,0)),"0"))</f>
        <v>0</v>
      </c>
      <c r="K395" s="23">
        <f>IF(C395="","",IFERROR(INDEX(Jobs!$M$5:$M$604,MATCH(C395,Jobs!$A$5:$A$604,0)),""))</f>
        <v>0</v>
      </c>
      <c r="L395" s="51">
        <f>IF(B395="","",IF(E395&lt;&gt;"",E395,IF(C395="","",K395&amp;" - "&amp;TEXT(D395,"d mmm yyyy"))))</f>
        <v>0</v>
      </c>
      <c r="M395" s="21">
        <f>IF(B395="","",IF(G395&lt;&gt;"",G395,IFERROR(J395*1,0)))</f>
        <v>0</v>
      </c>
      <c r="N395" s="21">
        <f>IF(B395="","",ROUND(IF(F395="",1,F395)*M395,2))</f>
        <v>0</v>
      </c>
      <c r="O395" s="39">
        <f>IF(B395="","",IF(C395="","",IF(COUNTIFS($C$5:$C$804,C395)&gt;1,"Duplicate","OK")))</f>
        <v>0</v>
      </c>
      <c r="P395" s="31">
        <f>IF(OR(B395="",E395=""),"",COUNTIFS($B$5:B395,B395))</f>
        <v>0</v>
      </c>
      <c r="Q395" s="23">
        <f>IF(P395="","",B395&amp;"|"&amp;P395)</f>
        <v>0</v>
      </c>
      <c r="R395" s="39">
        <f>IF(B395="","",IF(O395="Duplicate","Duplicate - job billed twice",IF(M395=0,"Add - no price on this line",IF(AND(C395="",E395=""),"Add - what is this line for?","OK"))))</f>
        <v>0</v>
      </c>
    </row>
    <row r="396" spans="1:18">
      <c r="A396" s="43">
        <f>IF(B396="","","IL-"&amp;TEXT(ROW()-4,"0000"))</f>
        <v>0</v>
      </c>
      <c r="D396" s="18">
        <f>IF(C396="","",IFERROR(INDEX(Jobs!$B$5:$B$604,MATCH(C396,Jobs!$A$5:$A$604,0)),""))</f>
        <v>0</v>
      </c>
      <c r="J396" s="21">
        <f>IF(C396="","",IFERROR(INDEX(Jobs!$AJ$5:$AJ$604,MATCH(C396,Jobs!$A$5:$A$604,0)),"0"))</f>
        <v>0</v>
      </c>
      <c r="K396" s="23">
        <f>IF(C396="","",IFERROR(INDEX(Jobs!$M$5:$M$604,MATCH(C396,Jobs!$A$5:$A$604,0)),""))</f>
        <v>0</v>
      </c>
      <c r="L396" s="51">
        <f>IF(B396="","",IF(E396&lt;&gt;"",E396,IF(C396="","",K396&amp;" - "&amp;TEXT(D396,"d mmm yyyy"))))</f>
        <v>0</v>
      </c>
      <c r="M396" s="21">
        <f>IF(B396="","",IF(G396&lt;&gt;"",G396,IFERROR(J396*1,0)))</f>
        <v>0</v>
      </c>
      <c r="N396" s="21">
        <f>IF(B396="","",ROUND(IF(F396="",1,F396)*M396,2))</f>
        <v>0</v>
      </c>
      <c r="O396" s="39">
        <f>IF(B396="","",IF(C396="","",IF(COUNTIFS($C$5:$C$804,C396)&gt;1,"Duplicate","OK")))</f>
        <v>0</v>
      </c>
      <c r="P396" s="31">
        <f>IF(OR(B396="",E396=""),"",COUNTIFS($B$5:B396,B396))</f>
        <v>0</v>
      </c>
      <c r="Q396" s="23">
        <f>IF(P396="","",B396&amp;"|"&amp;P396)</f>
        <v>0</v>
      </c>
      <c r="R396" s="39">
        <f>IF(B396="","",IF(O396="Duplicate","Duplicate - job billed twice",IF(M396=0,"Add - no price on this line",IF(AND(C396="",E396=""),"Add - what is this line for?","OK"))))</f>
        <v>0</v>
      </c>
    </row>
    <row r="397" spans="1:18">
      <c r="A397" s="43">
        <f>IF(B397="","","IL-"&amp;TEXT(ROW()-4,"0000"))</f>
        <v>0</v>
      </c>
      <c r="D397" s="18">
        <f>IF(C397="","",IFERROR(INDEX(Jobs!$B$5:$B$604,MATCH(C397,Jobs!$A$5:$A$604,0)),""))</f>
        <v>0</v>
      </c>
      <c r="J397" s="21">
        <f>IF(C397="","",IFERROR(INDEX(Jobs!$AJ$5:$AJ$604,MATCH(C397,Jobs!$A$5:$A$604,0)),"0"))</f>
        <v>0</v>
      </c>
      <c r="K397" s="23">
        <f>IF(C397="","",IFERROR(INDEX(Jobs!$M$5:$M$604,MATCH(C397,Jobs!$A$5:$A$604,0)),""))</f>
        <v>0</v>
      </c>
      <c r="L397" s="51">
        <f>IF(B397="","",IF(E397&lt;&gt;"",E397,IF(C397="","",K397&amp;" - "&amp;TEXT(D397,"d mmm yyyy"))))</f>
        <v>0</v>
      </c>
      <c r="M397" s="21">
        <f>IF(B397="","",IF(G397&lt;&gt;"",G397,IFERROR(J397*1,0)))</f>
        <v>0</v>
      </c>
      <c r="N397" s="21">
        <f>IF(B397="","",ROUND(IF(F397="",1,F397)*M397,2))</f>
        <v>0</v>
      </c>
      <c r="O397" s="39">
        <f>IF(B397="","",IF(C397="","",IF(COUNTIFS($C$5:$C$804,C397)&gt;1,"Duplicate","OK")))</f>
        <v>0</v>
      </c>
      <c r="P397" s="31">
        <f>IF(OR(B397="",E397=""),"",COUNTIFS($B$5:B397,B397))</f>
        <v>0</v>
      </c>
      <c r="Q397" s="23">
        <f>IF(P397="","",B397&amp;"|"&amp;P397)</f>
        <v>0</v>
      </c>
      <c r="R397" s="39">
        <f>IF(B397="","",IF(O397="Duplicate","Duplicate - job billed twice",IF(M397=0,"Add - no price on this line",IF(AND(C397="",E397=""),"Add - what is this line for?","OK"))))</f>
        <v>0</v>
      </c>
    </row>
    <row r="398" spans="1:18">
      <c r="A398" s="43">
        <f>IF(B398="","","IL-"&amp;TEXT(ROW()-4,"0000"))</f>
        <v>0</v>
      </c>
      <c r="D398" s="18">
        <f>IF(C398="","",IFERROR(INDEX(Jobs!$B$5:$B$604,MATCH(C398,Jobs!$A$5:$A$604,0)),""))</f>
        <v>0</v>
      </c>
      <c r="J398" s="21">
        <f>IF(C398="","",IFERROR(INDEX(Jobs!$AJ$5:$AJ$604,MATCH(C398,Jobs!$A$5:$A$604,0)),"0"))</f>
        <v>0</v>
      </c>
      <c r="K398" s="23">
        <f>IF(C398="","",IFERROR(INDEX(Jobs!$M$5:$M$604,MATCH(C398,Jobs!$A$5:$A$604,0)),""))</f>
        <v>0</v>
      </c>
      <c r="L398" s="51">
        <f>IF(B398="","",IF(E398&lt;&gt;"",E398,IF(C398="","",K398&amp;" - "&amp;TEXT(D398,"d mmm yyyy"))))</f>
        <v>0</v>
      </c>
      <c r="M398" s="21">
        <f>IF(B398="","",IF(G398&lt;&gt;"",G398,IFERROR(J398*1,0)))</f>
        <v>0</v>
      </c>
      <c r="N398" s="21">
        <f>IF(B398="","",ROUND(IF(F398="",1,F398)*M398,2))</f>
        <v>0</v>
      </c>
      <c r="O398" s="39">
        <f>IF(B398="","",IF(C398="","",IF(COUNTIFS($C$5:$C$804,C398)&gt;1,"Duplicate","OK")))</f>
        <v>0</v>
      </c>
      <c r="P398" s="31">
        <f>IF(OR(B398="",E398=""),"",COUNTIFS($B$5:B398,B398))</f>
        <v>0</v>
      </c>
      <c r="Q398" s="23">
        <f>IF(P398="","",B398&amp;"|"&amp;P398)</f>
        <v>0</v>
      </c>
      <c r="R398" s="39">
        <f>IF(B398="","",IF(O398="Duplicate","Duplicate - job billed twice",IF(M398=0,"Add - no price on this line",IF(AND(C398="",E398=""),"Add - what is this line for?","OK"))))</f>
        <v>0</v>
      </c>
    </row>
    <row r="399" spans="1:18">
      <c r="A399" s="43">
        <f>IF(B399="","","IL-"&amp;TEXT(ROW()-4,"0000"))</f>
        <v>0</v>
      </c>
      <c r="D399" s="18">
        <f>IF(C399="","",IFERROR(INDEX(Jobs!$B$5:$B$604,MATCH(C399,Jobs!$A$5:$A$604,0)),""))</f>
        <v>0</v>
      </c>
      <c r="J399" s="21">
        <f>IF(C399="","",IFERROR(INDEX(Jobs!$AJ$5:$AJ$604,MATCH(C399,Jobs!$A$5:$A$604,0)),"0"))</f>
        <v>0</v>
      </c>
      <c r="K399" s="23">
        <f>IF(C399="","",IFERROR(INDEX(Jobs!$M$5:$M$604,MATCH(C399,Jobs!$A$5:$A$604,0)),""))</f>
        <v>0</v>
      </c>
      <c r="L399" s="51">
        <f>IF(B399="","",IF(E399&lt;&gt;"",E399,IF(C399="","",K399&amp;" - "&amp;TEXT(D399,"d mmm yyyy"))))</f>
        <v>0</v>
      </c>
      <c r="M399" s="21">
        <f>IF(B399="","",IF(G399&lt;&gt;"",G399,IFERROR(J399*1,0)))</f>
        <v>0</v>
      </c>
      <c r="N399" s="21">
        <f>IF(B399="","",ROUND(IF(F399="",1,F399)*M399,2))</f>
        <v>0</v>
      </c>
      <c r="O399" s="39">
        <f>IF(B399="","",IF(C399="","",IF(COUNTIFS($C$5:$C$804,C399)&gt;1,"Duplicate","OK")))</f>
        <v>0</v>
      </c>
      <c r="P399" s="31">
        <f>IF(OR(B399="",E399=""),"",COUNTIFS($B$5:B399,B399))</f>
        <v>0</v>
      </c>
      <c r="Q399" s="23">
        <f>IF(P399="","",B399&amp;"|"&amp;P399)</f>
        <v>0</v>
      </c>
      <c r="R399" s="39">
        <f>IF(B399="","",IF(O399="Duplicate","Duplicate - job billed twice",IF(M399=0,"Add - no price on this line",IF(AND(C399="",E399=""),"Add - what is this line for?","OK"))))</f>
        <v>0</v>
      </c>
    </row>
    <row r="400" spans="1:18">
      <c r="A400" s="43">
        <f>IF(B400="","","IL-"&amp;TEXT(ROW()-4,"0000"))</f>
        <v>0</v>
      </c>
      <c r="D400" s="18">
        <f>IF(C400="","",IFERROR(INDEX(Jobs!$B$5:$B$604,MATCH(C400,Jobs!$A$5:$A$604,0)),""))</f>
        <v>0</v>
      </c>
      <c r="J400" s="21">
        <f>IF(C400="","",IFERROR(INDEX(Jobs!$AJ$5:$AJ$604,MATCH(C400,Jobs!$A$5:$A$604,0)),"0"))</f>
        <v>0</v>
      </c>
      <c r="K400" s="23">
        <f>IF(C400="","",IFERROR(INDEX(Jobs!$M$5:$M$604,MATCH(C400,Jobs!$A$5:$A$604,0)),""))</f>
        <v>0</v>
      </c>
      <c r="L400" s="51">
        <f>IF(B400="","",IF(E400&lt;&gt;"",E400,IF(C400="","",K400&amp;" - "&amp;TEXT(D400,"d mmm yyyy"))))</f>
        <v>0</v>
      </c>
      <c r="M400" s="21">
        <f>IF(B400="","",IF(G400&lt;&gt;"",G400,IFERROR(J400*1,0)))</f>
        <v>0</v>
      </c>
      <c r="N400" s="21">
        <f>IF(B400="","",ROUND(IF(F400="",1,F400)*M400,2))</f>
        <v>0</v>
      </c>
      <c r="O400" s="39">
        <f>IF(B400="","",IF(C400="","",IF(COUNTIFS($C$5:$C$804,C400)&gt;1,"Duplicate","OK")))</f>
        <v>0</v>
      </c>
      <c r="P400" s="31">
        <f>IF(OR(B400="",E400=""),"",COUNTIFS($B$5:B400,B400))</f>
        <v>0</v>
      </c>
      <c r="Q400" s="23">
        <f>IF(P400="","",B400&amp;"|"&amp;P400)</f>
        <v>0</v>
      </c>
      <c r="R400" s="39">
        <f>IF(B400="","",IF(O400="Duplicate","Duplicate - job billed twice",IF(M400=0,"Add - no price on this line",IF(AND(C400="",E400=""),"Add - what is this line for?","OK"))))</f>
        <v>0</v>
      </c>
    </row>
    <row r="401" spans="1:18">
      <c r="A401" s="43">
        <f>IF(B401="","","IL-"&amp;TEXT(ROW()-4,"0000"))</f>
        <v>0</v>
      </c>
      <c r="D401" s="18">
        <f>IF(C401="","",IFERROR(INDEX(Jobs!$B$5:$B$604,MATCH(C401,Jobs!$A$5:$A$604,0)),""))</f>
        <v>0</v>
      </c>
      <c r="J401" s="21">
        <f>IF(C401="","",IFERROR(INDEX(Jobs!$AJ$5:$AJ$604,MATCH(C401,Jobs!$A$5:$A$604,0)),"0"))</f>
        <v>0</v>
      </c>
      <c r="K401" s="23">
        <f>IF(C401="","",IFERROR(INDEX(Jobs!$M$5:$M$604,MATCH(C401,Jobs!$A$5:$A$604,0)),""))</f>
        <v>0</v>
      </c>
      <c r="L401" s="51">
        <f>IF(B401="","",IF(E401&lt;&gt;"",E401,IF(C401="","",K401&amp;" - "&amp;TEXT(D401,"d mmm yyyy"))))</f>
        <v>0</v>
      </c>
      <c r="M401" s="21">
        <f>IF(B401="","",IF(G401&lt;&gt;"",G401,IFERROR(J401*1,0)))</f>
        <v>0</v>
      </c>
      <c r="N401" s="21">
        <f>IF(B401="","",ROUND(IF(F401="",1,F401)*M401,2))</f>
        <v>0</v>
      </c>
      <c r="O401" s="39">
        <f>IF(B401="","",IF(C401="","",IF(COUNTIFS($C$5:$C$804,C401)&gt;1,"Duplicate","OK")))</f>
        <v>0</v>
      </c>
      <c r="P401" s="31">
        <f>IF(OR(B401="",E401=""),"",COUNTIFS($B$5:B401,B401))</f>
        <v>0</v>
      </c>
      <c r="Q401" s="23">
        <f>IF(P401="","",B401&amp;"|"&amp;P401)</f>
        <v>0</v>
      </c>
      <c r="R401" s="39">
        <f>IF(B401="","",IF(O401="Duplicate","Duplicate - job billed twice",IF(M401=0,"Add - no price on this line",IF(AND(C401="",E401=""),"Add - what is this line for?","OK"))))</f>
        <v>0</v>
      </c>
    </row>
    <row r="402" spans="1:18">
      <c r="A402" s="43">
        <f>IF(B402="","","IL-"&amp;TEXT(ROW()-4,"0000"))</f>
        <v>0</v>
      </c>
      <c r="D402" s="18">
        <f>IF(C402="","",IFERROR(INDEX(Jobs!$B$5:$B$604,MATCH(C402,Jobs!$A$5:$A$604,0)),""))</f>
        <v>0</v>
      </c>
      <c r="J402" s="21">
        <f>IF(C402="","",IFERROR(INDEX(Jobs!$AJ$5:$AJ$604,MATCH(C402,Jobs!$A$5:$A$604,0)),"0"))</f>
        <v>0</v>
      </c>
      <c r="K402" s="23">
        <f>IF(C402="","",IFERROR(INDEX(Jobs!$M$5:$M$604,MATCH(C402,Jobs!$A$5:$A$604,0)),""))</f>
        <v>0</v>
      </c>
      <c r="L402" s="51">
        <f>IF(B402="","",IF(E402&lt;&gt;"",E402,IF(C402="","",K402&amp;" - "&amp;TEXT(D402,"d mmm yyyy"))))</f>
        <v>0</v>
      </c>
      <c r="M402" s="21">
        <f>IF(B402="","",IF(G402&lt;&gt;"",G402,IFERROR(J402*1,0)))</f>
        <v>0</v>
      </c>
      <c r="N402" s="21">
        <f>IF(B402="","",ROUND(IF(F402="",1,F402)*M402,2))</f>
        <v>0</v>
      </c>
      <c r="O402" s="39">
        <f>IF(B402="","",IF(C402="","",IF(COUNTIFS($C$5:$C$804,C402)&gt;1,"Duplicate","OK")))</f>
        <v>0</v>
      </c>
      <c r="P402" s="31">
        <f>IF(OR(B402="",E402=""),"",COUNTIFS($B$5:B402,B402))</f>
        <v>0</v>
      </c>
      <c r="Q402" s="23">
        <f>IF(P402="","",B402&amp;"|"&amp;P402)</f>
        <v>0</v>
      </c>
      <c r="R402" s="39">
        <f>IF(B402="","",IF(O402="Duplicate","Duplicate - job billed twice",IF(M402=0,"Add - no price on this line",IF(AND(C402="",E402=""),"Add - what is this line for?","OK"))))</f>
        <v>0</v>
      </c>
    </row>
    <row r="403" spans="1:18">
      <c r="A403" s="43">
        <f>IF(B403="","","IL-"&amp;TEXT(ROW()-4,"0000"))</f>
        <v>0</v>
      </c>
      <c r="D403" s="18">
        <f>IF(C403="","",IFERROR(INDEX(Jobs!$B$5:$B$604,MATCH(C403,Jobs!$A$5:$A$604,0)),""))</f>
        <v>0</v>
      </c>
      <c r="J403" s="21">
        <f>IF(C403="","",IFERROR(INDEX(Jobs!$AJ$5:$AJ$604,MATCH(C403,Jobs!$A$5:$A$604,0)),"0"))</f>
        <v>0</v>
      </c>
      <c r="K403" s="23">
        <f>IF(C403="","",IFERROR(INDEX(Jobs!$M$5:$M$604,MATCH(C403,Jobs!$A$5:$A$604,0)),""))</f>
        <v>0</v>
      </c>
      <c r="L403" s="51">
        <f>IF(B403="","",IF(E403&lt;&gt;"",E403,IF(C403="","",K403&amp;" - "&amp;TEXT(D403,"d mmm yyyy"))))</f>
        <v>0</v>
      </c>
      <c r="M403" s="21">
        <f>IF(B403="","",IF(G403&lt;&gt;"",G403,IFERROR(J403*1,0)))</f>
        <v>0</v>
      </c>
      <c r="N403" s="21">
        <f>IF(B403="","",ROUND(IF(F403="",1,F403)*M403,2))</f>
        <v>0</v>
      </c>
      <c r="O403" s="39">
        <f>IF(B403="","",IF(C403="","",IF(COUNTIFS($C$5:$C$804,C403)&gt;1,"Duplicate","OK")))</f>
        <v>0</v>
      </c>
      <c r="P403" s="31">
        <f>IF(OR(B403="",E403=""),"",COUNTIFS($B$5:B403,B403))</f>
        <v>0</v>
      </c>
      <c r="Q403" s="23">
        <f>IF(P403="","",B403&amp;"|"&amp;P403)</f>
        <v>0</v>
      </c>
      <c r="R403" s="39">
        <f>IF(B403="","",IF(O403="Duplicate","Duplicate - job billed twice",IF(M403=0,"Add - no price on this line",IF(AND(C403="",E403=""),"Add - what is this line for?","OK"))))</f>
        <v>0</v>
      </c>
    </row>
    <row r="404" spans="1:18">
      <c r="A404" s="43">
        <f>IF(B404="","","IL-"&amp;TEXT(ROW()-4,"0000"))</f>
        <v>0</v>
      </c>
      <c r="D404" s="18">
        <f>IF(C404="","",IFERROR(INDEX(Jobs!$B$5:$B$604,MATCH(C404,Jobs!$A$5:$A$604,0)),""))</f>
        <v>0</v>
      </c>
      <c r="J404" s="21">
        <f>IF(C404="","",IFERROR(INDEX(Jobs!$AJ$5:$AJ$604,MATCH(C404,Jobs!$A$5:$A$604,0)),"0"))</f>
        <v>0</v>
      </c>
      <c r="K404" s="23">
        <f>IF(C404="","",IFERROR(INDEX(Jobs!$M$5:$M$604,MATCH(C404,Jobs!$A$5:$A$604,0)),""))</f>
        <v>0</v>
      </c>
      <c r="L404" s="51">
        <f>IF(B404="","",IF(E404&lt;&gt;"",E404,IF(C404="","",K404&amp;" - "&amp;TEXT(D404,"d mmm yyyy"))))</f>
        <v>0</v>
      </c>
      <c r="M404" s="21">
        <f>IF(B404="","",IF(G404&lt;&gt;"",G404,IFERROR(J404*1,0)))</f>
        <v>0</v>
      </c>
      <c r="N404" s="21">
        <f>IF(B404="","",ROUND(IF(F404="",1,F404)*M404,2))</f>
        <v>0</v>
      </c>
      <c r="O404" s="39">
        <f>IF(B404="","",IF(C404="","",IF(COUNTIFS($C$5:$C$804,C404)&gt;1,"Duplicate","OK")))</f>
        <v>0</v>
      </c>
      <c r="P404" s="31">
        <f>IF(OR(B404="",E404=""),"",COUNTIFS($B$5:B404,B404))</f>
        <v>0</v>
      </c>
      <c r="Q404" s="23">
        <f>IF(P404="","",B404&amp;"|"&amp;P404)</f>
        <v>0</v>
      </c>
      <c r="R404" s="39">
        <f>IF(B404="","",IF(O404="Duplicate","Duplicate - job billed twice",IF(M404=0,"Add - no price on this line",IF(AND(C404="",E404=""),"Add - what is this line for?","OK"))))</f>
        <v>0</v>
      </c>
    </row>
    <row r="405" spans="1:18">
      <c r="A405" s="43">
        <f>IF(B405="","","IL-"&amp;TEXT(ROW()-4,"0000"))</f>
        <v>0</v>
      </c>
      <c r="D405" s="18">
        <f>IF(C405="","",IFERROR(INDEX(Jobs!$B$5:$B$604,MATCH(C405,Jobs!$A$5:$A$604,0)),""))</f>
        <v>0</v>
      </c>
      <c r="J405" s="21">
        <f>IF(C405="","",IFERROR(INDEX(Jobs!$AJ$5:$AJ$604,MATCH(C405,Jobs!$A$5:$A$604,0)),"0"))</f>
        <v>0</v>
      </c>
      <c r="K405" s="23">
        <f>IF(C405="","",IFERROR(INDEX(Jobs!$M$5:$M$604,MATCH(C405,Jobs!$A$5:$A$604,0)),""))</f>
        <v>0</v>
      </c>
      <c r="L405" s="51">
        <f>IF(B405="","",IF(E405&lt;&gt;"",E405,IF(C405="","",K405&amp;" - "&amp;TEXT(D405,"d mmm yyyy"))))</f>
        <v>0</v>
      </c>
      <c r="M405" s="21">
        <f>IF(B405="","",IF(G405&lt;&gt;"",G405,IFERROR(J405*1,0)))</f>
        <v>0</v>
      </c>
      <c r="N405" s="21">
        <f>IF(B405="","",ROUND(IF(F405="",1,F405)*M405,2))</f>
        <v>0</v>
      </c>
      <c r="O405" s="39">
        <f>IF(B405="","",IF(C405="","",IF(COUNTIFS($C$5:$C$804,C405)&gt;1,"Duplicate","OK")))</f>
        <v>0</v>
      </c>
      <c r="P405" s="31">
        <f>IF(OR(B405="",E405=""),"",COUNTIFS($B$5:B405,B405))</f>
        <v>0</v>
      </c>
      <c r="Q405" s="23">
        <f>IF(P405="","",B405&amp;"|"&amp;P405)</f>
        <v>0</v>
      </c>
      <c r="R405" s="39">
        <f>IF(B405="","",IF(O405="Duplicate","Duplicate - job billed twice",IF(M405=0,"Add - no price on this line",IF(AND(C405="",E405=""),"Add - what is this line for?","OK"))))</f>
        <v>0</v>
      </c>
    </row>
    <row r="406" spans="1:18">
      <c r="A406" s="43">
        <f>IF(B406="","","IL-"&amp;TEXT(ROW()-4,"0000"))</f>
        <v>0</v>
      </c>
      <c r="D406" s="18">
        <f>IF(C406="","",IFERROR(INDEX(Jobs!$B$5:$B$604,MATCH(C406,Jobs!$A$5:$A$604,0)),""))</f>
        <v>0</v>
      </c>
      <c r="J406" s="21">
        <f>IF(C406="","",IFERROR(INDEX(Jobs!$AJ$5:$AJ$604,MATCH(C406,Jobs!$A$5:$A$604,0)),"0"))</f>
        <v>0</v>
      </c>
      <c r="K406" s="23">
        <f>IF(C406="","",IFERROR(INDEX(Jobs!$M$5:$M$604,MATCH(C406,Jobs!$A$5:$A$604,0)),""))</f>
        <v>0</v>
      </c>
      <c r="L406" s="51">
        <f>IF(B406="","",IF(E406&lt;&gt;"",E406,IF(C406="","",K406&amp;" - "&amp;TEXT(D406,"d mmm yyyy"))))</f>
        <v>0</v>
      </c>
      <c r="M406" s="21">
        <f>IF(B406="","",IF(G406&lt;&gt;"",G406,IFERROR(J406*1,0)))</f>
        <v>0</v>
      </c>
      <c r="N406" s="21">
        <f>IF(B406="","",ROUND(IF(F406="",1,F406)*M406,2))</f>
        <v>0</v>
      </c>
      <c r="O406" s="39">
        <f>IF(B406="","",IF(C406="","",IF(COUNTIFS($C$5:$C$804,C406)&gt;1,"Duplicate","OK")))</f>
        <v>0</v>
      </c>
      <c r="P406" s="31">
        <f>IF(OR(B406="",E406=""),"",COUNTIFS($B$5:B406,B406))</f>
        <v>0</v>
      </c>
      <c r="Q406" s="23">
        <f>IF(P406="","",B406&amp;"|"&amp;P406)</f>
        <v>0</v>
      </c>
      <c r="R406" s="39">
        <f>IF(B406="","",IF(O406="Duplicate","Duplicate - job billed twice",IF(M406=0,"Add - no price on this line",IF(AND(C406="",E406=""),"Add - what is this line for?","OK"))))</f>
        <v>0</v>
      </c>
    </row>
    <row r="407" spans="1:18">
      <c r="A407" s="43">
        <f>IF(B407="","","IL-"&amp;TEXT(ROW()-4,"0000"))</f>
        <v>0</v>
      </c>
      <c r="D407" s="18">
        <f>IF(C407="","",IFERROR(INDEX(Jobs!$B$5:$B$604,MATCH(C407,Jobs!$A$5:$A$604,0)),""))</f>
        <v>0</v>
      </c>
      <c r="J407" s="21">
        <f>IF(C407="","",IFERROR(INDEX(Jobs!$AJ$5:$AJ$604,MATCH(C407,Jobs!$A$5:$A$604,0)),"0"))</f>
        <v>0</v>
      </c>
      <c r="K407" s="23">
        <f>IF(C407="","",IFERROR(INDEX(Jobs!$M$5:$M$604,MATCH(C407,Jobs!$A$5:$A$604,0)),""))</f>
        <v>0</v>
      </c>
      <c r="L407" s="51">
        <f>IF(B407="","",IF(E407&lt;&gt;"",E407,IF(C407="","",K407&amp;" - "&amp;TEXT(D407,"d mmm yyyy"))))</f>
        <v>0</v>
      </c>
      <c r="M407" s="21">
        <f>IF(B407="","",IF(G407&lt;&gt;"",G407,IFERROR(J407*1,0)))</f>
        <v>0</v>
      </c>
      <c r="N407" s="21">
        <f>IF(B407="","",ROUND(IF(F407="",1,F407)*M407,2))</f>
        <v>0</v>
      </c>
      <c r="O407" s="39">
        <f>IF(B407="","",IF(C407="","",IF(COUNTIFS($C$5:$C$804,C407)&gt;1,"Duplicate","OK")))</f>
        <v>0</v>
      </c>
      <c r="P407" s="31">
        <f>IF(OR(B407="",E407=""),"",COUNTIFS($B$5:B407,B407))</f>
        <v>0</v>
      </c>
      <c r="Q407" s="23">
        <f>IF(P407="","",B407&amp;"|"&amp;P407)</f>
        <v>0</v>
      </c>
      <c r="R407" s="39">
        <f>IF(B407="","",IF(O407="Duplicate","Duplicate - job billed twice",IF(M407=0,"Add - no price on this line",IF(AND(C407="",E407=""),"Add - what is this line for?","OK"))))</f>
        <v>0</v>
      </c>
    </row>
    <row r="408" spans="1:18">
      <c r="A408" s="43">
        <f>IF(B408="","","IL-"&amp;TEXT(ROW()-4,"0000"))</f>
        <v>0</v>
      </c>
      <c r="D408" s="18">
        <f>IF(C408="","",IFERROR(INDEX(Jobs!$B$5:$B$604,MATCH(C408,Jobs!$A$5:$A$604,0)),""))</f>
        <v>0</v>
      </c>
      <c r="J408" s="21">
        <f>IF(C408="","",IFERROR(INDEX(Jobs!$AJ$5:$AJ$604,MATCH(C408,Jobs!$A$5:$A$604,0)),"0"))</f>
        <v>0</v>
      </c>
      <c r="K408" s="23">
        <f>IF(C408="","",IFERROR(INDEX(Jobs!$M$5:$M$604,MATCH(C408,Jobs!$A$5:$A$604,0)),""))</f>
        <v>0</v>
      </c>
      <c r="L408" s="51">
        <f>IF(B408="","",IF(E408&lt;&gt;"",E408,IF(C408="","",K408&amp;" - "&amp;TEXT(D408,"d mmm yyyy"))))</f>
        <v>0</v>
      </c>
      <c r="M408" s="21">
        <f>IF(B408="","",IF(G408&lt;&gt;"",G408,IFERROR(J408*1,0)))</f>
        <v>0</v>
      </c>
      <c r="N408" s="21">
        <f>IF(B408="","",ROUND(IF(F408="",1,F408)*M408,2))</f>
        <v>0</v>
      </c>
      <c r="O408" s="39">
        <f>IF(B408="","",IF(C408="","",IF(COUNTIFS($C$5:$C$804,C408)&gt;1,"Duplicate","OK")))</f>
        <v>0</v>
      </c>
      <c r="P408" s="31">
        <f>IF(OR(B408="",E408=""),"",COUNTIFS($B$5:B408,B408))</f>
        <v>0</v>
      </c>
      <c r="Q408" s="23">
        <f>IF(P408="","",B408&amp;"|"&amp;P408)</f>
        <v>0</v>
      </c>
      <c r="R408" s="39">
        <f>IF(B408="","",IF(O408="Duplicate","Duplicate - job billed twice",IF(M408=0,"Add - no price on this line",IF(AND(C408="",E408=""),"Add - what is this line for?","OK"))))</f>
        <v>0</v>
      </c>
    </row>
    <row r="409" spans="1:18">
      <c r="A409" s="43">
        <f>IF(B409="","","IL-"&amp;TEXT(ROW()-4,"0000"))</f>
        <v>0</v>
      </c>
      <c r="D409" s="18">
        <f>IF(C409="","",IFERROR(INDEX(Jobs!$B$5:$B$604,MATCH(C409,Jobs!$A$5:$A$604,0)),""))</f>
        <v>0</v>
      </c>
      <c r="J409" s="21">
        <f>IF(C409="","",IFERROR(INDEX(Jobs!$AJ$5:$AJ$604,MATCH(C409,Jobs!$A$5:$A$604,0)),"0"))</f>
        <v>0</v>
      </c>
      <c r="K409" s="23">
        <f>IF(C409="","",IFERROR(INDEX(Jobs!$M$5:$M$604,MATCH(C409,Jobs!$A$5:$A$604,0)),""))</f>
        <v>0</v>
      </c>
      <c r="L409" s="51">
        <f>IF(B409="","",IF(E409&lt;&gt;"",E409,IF(C409="","",K409&amp;" - "&amp;TEXT(D409,"d mmm yyyy"))))</f>
        <v>0</v>
      </c>
      <c r="M409" s="21">
        <f>IF(B409="","",IF(G409&lt;&gt;"",G409,IFERROR(J409*1,0)))</f>
        <v>0</v>
      </c>
      <c r="N409" s="21">
        <f>IF(B409="","",ROUND(IF(F409="",1,F409)*M409,2))</f>
        <v>0</v>
      </c>
      <c r="O409" s="39">
        <f>IF(B409="","",IF(C409="","",IF(COUNTIFS($C$5:$C$804,C409)&gt;1,"Duplicate","OK")))</f>
        <v>0</v>
      </c>
      <c r="P409" s="31">
        <f>IF(OR(B409="",E409=""),"",COUNTIFS($B$5:B409,B409))</f>
        <v>0</v>
      </c>
      <c r="Q409" s="23">
        <f>IF(P409="","",B409&amp;"|"&amp;P409)</f>
        <v>0</v>
      </c>
      <c r="R409" s="39">
        <f>IF(B409="","",IF(O409="Duplicate","Duplicate - job billed twice",IF(M409=0,"Add - no price on this line",IF(AND(C409="",E409=""),"Add - what is this line for?","OK"))))</f>
        <v>0</v>
      </c>
    </row>
    <row r="410" spans="1:18">
      <c r="A410" s="43">
        <f>IF(B410="","","IL-"&amp;TEXT(ROW()-4,"0000"))</f>
        <v>0</v>
      </c>
      <c r="D410" s="18">
        <f>IF(C410="","",IFERROR(INDEX(Jobs!$B$5:$B$604,MATCH(C410,Jobs!$A$5:$A$604,0)),""))</f>
        <v>0</v>
      </c>
      <c r="J410" s="21">
        <f>IF(C410="","",IFERROR(INDEX(Jobs!$AJ$5:$AJ$604,MATCH(C410,Jobs!$A$5:$A$604,0)),"0"))</f>
        <v>0</v>
      </c>
      <c r="K410" s="23">
        <f>IF(C410="","",IFERROR(INDEX(Jobs!$M$5:$M$604,MATCH(C410,Jobs!$A$5:$A$604,0)),""))</f>
        <v>0</v>
      </c>
      <c r="L410" s="51">
        <f>IF(B410="","",IF(E410&lt;&gt;"",E410,IF(C410="","",K410&amp;" - "&amp;TEXT(D410,"d mmm yyyy"))))</f>
        <v>0</v>
      </c>
      <c r="M410" s="21">
        <f>IF(B410="","",IF(G410&lt;&gt;"",G410,IFERROR(J410*1,0)))</f>
        <v>0</v>
      </c>
      <c r="N410" s="21">
        <f>IF(B410="","",ROUND(IF(F410="",1,F410)*M410,2))</f>
        <v>0</v>
      </c>
      <c r="O410" s="39">
        <f>IF(B410="","",IF(C410="","",IF(COUNTIFS($C$5:$C$804,C410)&gt;1,"Duplicate","OK")))</f>
        <v>0</v>
      </c>
      <c r="P410" s="31">
        <f>IF(OR(B410="",E410=""),"",COUNTIFS($B$5:B410,B410))</f>
        <v>0</v>
      </c>
      <c r="Q410" s="23">
        <f>IF(P410="","",B410&amp;"|"&amp;P410)</f>
        <v>0</v>
      </c>
      <c r="R410" s="39">
        <f>IF(B410="","",IF(O410="Duplicate","Duplicate - job billed twice",IF(M410=0,"Add - no price on this line",IF(AND(C410="",E410=""),"Add - what is this line for?","OK"))))</f>
        <v>0</v>
      </c>
    </row>
    <row r="411" spans="1:18">
      <c r="A411" s="43">
        <f>IF(B411="","","IL-"&amp;TEXT(ROW()-4,"0000"))</f>
        <v>0</v>
      </c>
      <c r="D411" s="18">
        <f>IF(C411="","",IFERROR(INDEX(Jobs!$B$5:$B$604,MATCH(C411,Jobs!$A$5:$A$604,0)),""))</f>
        <v>0</v>
      </c>
      <c r="J411" s="21">
        <f>IF(C411="","",IFERROR(INDEX(Jobs!$AJ$5:$AJ$604,MATCH(C411,Jobs!$A$5:$A$604,0)),"0"))</f>
        <v>0</v>
      </c>
      <c r="K411" s="23">
        <f>IF(C411="","",IFERROR(INDEX(Jobs!$M$5:$M$604,MATCH(C411,Jobs!$A$5:$A$604,0)),""))</f>
        <v>0</v>
      </c>
      <c r="L411" s="51">
        <f>IF(B411="","",IF(E411&lt;&gt;"",E411,IF(C411="","",K411&amp;" - "&amp;TEXT(D411,"d mmm yyyy"))))</f>
        <v>0</v>
      </c>
      <c r="M411" s="21">
        <f>IF(B411="","",IF(G411&lt;&gt;"",G411,IFERROR(J411*1,0)))</f>
        <v>0</v>
      </c>
      <c r="N411" s="21">
        <f>IF(B411="","",ROUND(IF(F411="",1,F411)*M411,2))</f>
        <v>0</v>
      </c>
      <c r="O411" s="39">
        <f>IF(B411="","",IF(C411="","",IF(COUNTIFS($C$5:$C$804,C411)&gt;1,"Duplicate","OK")))</f>
        <v>0</v>
      </c>
      <c r="P411" s="31">
        <f>IF(OR(B411="",E411=""),"",COUNTIFS($B$5:B411,B411))</f>
        <v>0</v>
      </c>
      <c r="Q411" s="23">
        <f>IF(P411="","",B411&amp;"|"&amp;P411)</f>
        <v>0</v>
      </c>
      <c r="R411" s="39">
        <f>IF(B411="","",IF(O411="Duplicate","Duplicate - job billed twice",IF(M411=0,"Add - no price on this line",IF(AND(C411="",E411=""),"Add - what is this line for?","OK"))))</f>
        <v>0</v>
      </c>
    </row>
    <row r="412" spans="1:18">
      <c r="A412" s="43">
        <f>IF(B412="","","IL-"&amp;TEXT(ROW()-4,"0000"))</f>
        <v>0</v>
      </c>
      <c r="D412" s="18">
        <f>IF(C412="","",IFERROR(INDEX(Jobs!$B$5:$B$604,MATCH(C412,Jobs!$A$5:$A$604,0)),""))</f>
        <v>0</v>
      </c>
      <c r="J412" s="21">
        <f>IF(C412="","",IFERROR(INDEX(Jobs!$AJ$5:$AJ$604,MATCH(C412,Jobs!$A$5:$A$604,0)),"0"))</f>
        <v>0</v>
      </c>
      <c r="K412" s="23">
        <f>IF(C412="","",IFERROR(INDEX(Jobs!$M$5:$M$604,MATCH(C412,Jobs!$A$5:$A$604,0)),""))</f>
        <v>0</v>
      </c>
      <c r="L412" s="51">
        <f>IF(B412="","",IF(E412&lt;&gt;"",E412,IF(C412="","",K412&amp;" - "&amp;TEXT(D412,"d mmm yyyy"))))</f>
        <v>0</v>
      </c>
      <c r="M412" s="21">
        <f>IF(B412="","",IF(G412&lt;&gt;"",G412,IFERROR(J412*1,0)))</f>
        <v>0</v>
      </c>
      <c r="N412" s="21">
        <f>IF(B412="","",ROUND(IF(F412="",1,F412)*M412,2))</f>
        <v>0</v>
      </c>
      <c r="O412" s="39">
        <f>IF(B412="","",IF(C412="","",IF(COUNTIFS($C$5:$C$804,C412)&gt;1,"Duplicate","OK")))</f>
        <v>0</v>
      </c>
      <c r="P412" s="31">
        <f>IF(OR(B412="",E412=""),"",COUNTIFS($B$5:B412,B412))</f>
        <v>0</v>
      </c>
      <c r="Q412" s="23">
        <f>IF(P412="","",B412&amp;"|"&amp;P412)</f>
        <v>0</v>
      </c>
      <c r="R412" s="39">
        <f>IF(B412="","",IF(O412="Duplicate","Duplicate - job billed twice",IF(M412=0,"Add - no price on this line",IF(AND(C412="",E412=""),"Add - what is this line for?","OK"))))</f>
        <v>0</v>
      </c>
    </row>
    <row r="413" spans="1:18">
      <c r="A413" s="43">
        <f>IF(B413="","","IL-"&amp;TEXT(ROW()-4,"0000"))</f>
        <v>0</v>
      </c>
      <c r="D413" s="18">
        <f>IF(C413="","",IFERROR(INDEX(Jobs!$B$5:$B$604,MATCH(C413,Jobs!$A$5:$A$604,0)),""))</f>
        <v>0</v>
      </c>
      <c r="J413" s="21">
        <f>IF(C413="","",IFERROR(INDEX(Jobs!$AJ$5:$AJ$604,MATCH(C413,Jobs!$A$5:$A$604,0)),"0"))</f>
        <v>0</v>
      </c>
      <c r="K413" s="23">
        <f>IF(C413="","",IFERROR(INDEX(Jobs!$M$5:$M$604,MATCH(C413,Jobs!$A$5:$A$604,0)),""))</f>
        <v>0</v>
      </c>
      <c r="L413" s="51">
        <f>IF(B413="","",IF(E413&lt;&gt;"",E413,IF(C413="","",K413&amp;" - "&amp;TEXT(D413,"d mmm yyyy"))))</f>
        <v>0</v>
      </c>
      <c r="M413" s="21">
        <f>IF(B413="","",IF(G413&lt;&gt;"",G413,IFERROR(J413*1,0)))</f>
        <v>0</v>
      </c>
      <c r="N413" s="21">
        <f>IF(B413="","",ROUND(IF(F413="",1,F413)*M413,2))</f>
        <v>0</v>
      </c>
      <c r="O413" s="39">
        <f>IF(B413="","",IF(C413="","",IF(COUNTIFS($C$5:$C$804,C413)&gt;1,"Duplicate","OK")))</f>
        <v>0</v>
      </c>
      <c r="P413" s="31">
        <f>IF(OR(B413="",E413=""),"",COUNTIFS($B$5:B413,B413))</f>
        <v>0</v>
      </c>
      <c r="Q413" s="23">
        <f>IF(P413="","",B413&amp;"|"&amp;P413)</f>
        <v>0</v>
      </c>
      <c r="R413" s="39">
        <f>IF(B413="","",IF(O413="Duplicate","Duplicate - job billed twice",IF(M413=0,"Add - no price on this line",IF(AND(C413="",E413=""),"Add - what is this line for?","OK"))))</f>
        <v>0</v>
      </c>
    </row>
    <row r="414" spans="1:18">
      <c r="A414" s="43">
        <f>IF(B414="","","IL-"&amp;TEXT(ROW()-4,"0000"))</f>
        <v>0</v>
      </c>
      <c r="D414" s="18">
        <f>IF(C414="","",IFERROR(INDEX(Jobs!$B$5:$B$604,MATCH(C414,Jobs!$A$5:$A$604,0)),""))</f>
        <v>0</v>
      </c>
      <c r="J414" s="21">
        <f>IF(C414="","",IFERROR(INDEX(Jobs!$AJ$5:$AJ$604,MATCH(C414,Jobs!$A$5:$A$604,0)),"0"))</f>
        <v>0</v>
      </c>
      <c r="K414" s="23">
        <f>IF(C414="","",IFERROR(INDEX(Jobs!$M$5:$M$604,MATCH(C414,Jobs!$A$5:$A$604,0)),""))</f>
        <v>0</v>
      </c>
      <c r="L414" s="51">
        <f>IF(B414="","",IF(E414&lt;&gt;"",E414,IF(C414="","",K414&amp;" - "&amp;TEXT(D414,"d mmm yyyy"))))</f>
        <v>0</v>
      </c>
      <c r="M414" s="21">
        <f>IF(B414="","",IF(G414&lt;&gt;"",G414,IFERROR(J414*1,0)))</f>
        <v>0</v>
      </c>
      <c r="N414" s="21">
        <f>IF(B414="","",ROUND(IF(F414="",1,F414)*M414,2))</f>
        <v>0</v>
      </c>
      <c r="O414" s="39">
        <f>IF(B414="","",IF(C414="","",IF(COUNTIFS($C$5:$C$804,C414)&gt;1,"Duplicate","OK")))</f>
        <v>0</v>
      </c>
      <c r="P414" s="31">
        <f>IF(OR(B414="",E414=""),"",COUNTIFS($B$5:B414,B414))</f>
        <v>0</v>
      </c>
      <c r="Q414" s="23">
        <f>IF(P414="","",B414&amp;"|"&amp;P414)</f>
        <v>0</v>
      </c>
      <c r="R414" s="39">
        <f>IF(B414="","",IF(O414="Duplicate","Duplicate - job billed twice",IF(M414=0,"Add - no price on this line",IF(AND(C414="",E414=""),"Add - what is this line for?","OK"))))</f>
        <v>0</v>
      </c>
    </row>
    <row r="415" spans="1:18">
      <c r="A415" s="43">
        <f>IF(B415="","","IL-"&amp;TEXT(ROW()-4,"0000"))</f>
        <v>0</v>
      </c>
      <c r="D415" s="18">
        <f>IF(C415="","",IFERROR(INDEX(Jobs!$B$5:$B$604,MATCH(C415,Jobs!$A$5:$A$604,0)),""))</f>
        <v>0</v>
      </c>
      <c r="J415" s="21">
        <f>IF(C415="","",IFERROR(INDEX(Jobs!$AJ$5:$AJ$604,MATCH(C415,Jobs!$A$5:$A$604,0)),"0"))</f>
        <v>0</v>
      </c>
      <c r="K415" s="23">
        <f>IF(C415="","",IFERROR(INDEX(Jobs!$M$5:$M$604,MATCH(C415,Jobs!$A$5:$A$604,0)),""))</f>
        <v>0</v>
      </c>
      <c r="L415" s="51">
        <f>IF(B415="","",IF(E415&lt;&gt;"",E415,IF(C415="","",K415&amp;" - "&amp;TEXT(D415,"d mmm yyyy"))))</f>
        <v>0</v>
      </c>
      <c r="M415" s="21">
        <f>IF(B415="","",IF(G415&lt;&gt;"",G415,IFERROR(J415*1,0)))</f>
        <v>0</v>
      </c>
      <c r="N415" s="21">
        <f>IF(B415="","",ROUND(IF(F415="",1,F415)*M415,2))</f>
        <v>0</v>
      </c>
      <c r="O415" s="39">
        <f>IF(B415="","",IF(C415="","",IF(COUNTIFS($C$5:$C$804,C415)&gt;1,"Duplicate","OK")))</f>
        <v>0</v>
      </c>
      <c r="P415" s="31">
        <f>IF(OR(B415="",E415=""),"",COUNTIFS($B$5:B415,B415))</f>
        <v>0</v>
      </c>
      <c r="Q415" s="23">
        <f>IF(P415="","",B415&amp;"|"&amp;P415)</f>
        <v>0</v>
      </c>
      <c r="R415" s="39">
        <f>IF(B415="","",IF(O415="Duplicate","Duplicate - job billed twice",IF(M415=0,"Add - no price on this line",IF(AND(C415="",E415=""),"Add - what is this line for?","OK"))))</f>
        <v>0</v>
      </c>
    </row>
    <row r="416" spans="1:18">
      <c r="A416" s="43">
        <f>IF(B416="","","IL-"&amp;TEXT(ROW()-4,"0000"))</f>
        <v>0</v>
      </c>
      <c r="D416" s="18">
        <f>IF(C416="","",IFERROR(INDEX(Jobs!$B$5:$B$604,MATCH(C416,Jobs!$A$5:$A$604,0)),""))</f>
        <v>0</v>
      </c>
      <c r="J416" s="21">
        <f>IF(C416="","",IFERROR(INDEX(Jobs!$AJ$5:$AJ$604,MATCH(C416,Jobs!$A$5:$A$604,0)),"0"))</f>
        <v>0</v>
      </c>
      <c r="K416" s="23">
        <f>IF(C416="","",IFERROR(INDEX(Jobs!$M$5:$M$604,MATCH(C416,Jobs!$A$5:$A$604,0)),""))</f>
        <v>0</v>
      </c>
      <c r="L416" s="51">
        <f>IF(B416="","",IF(E416&lt;&gt;"",E416,IF(C416="","",K416&amp;" - "&amp;TEXT(D416,"d mmm yyyy"))))</f>
        <v>0</v>
      </c>
      <c r="M416" s="21">
        <f>IF(B416="","",IF(G416&lt;&gt;"",G416,IFERROR(J416*1,0)))</f>
        <v>0</v>
      </c>
      <c r="N416" s="21">
        <f>IF(B416="","",ROUND(IF(F416="",1,F416)*M416,2))</f>
        <v>0</v>
      </c>
      <c r="O416" s="39">
        <f>IF(B416="","",IF(C416="","",IF(COUNTIFS($C$5:$C$804,C416)&gt;1,"Duplicate","OK")))</f>
        <v>0</v>
      </c>
      <c r="P416" s="31">
        <f>IF(OR(B416="",E416=""),"",COUNTIFS($B$5:B416,B416))</f>
        <v>0</v>
      </c>
      <c r="Q416" s="23">
        <f>IF(P416="","",B416&amp;"|"&amp;P416)</f>
        <v>0</v>
      </c>
      <c r="R416" s="39">
        <f>IF(B416="","",IF(O416="Duplicate","Duplicate - job billed twice",IF(M416=0,"Add - no price on this line",IF(AND(C416="",E416=""),"Add - what is this line for?","OK"))))</f>
        <v>0</v>
      </c>
    </row>
    <row r="417" spans="1:18">
      <c r="A417" s="43">
        <f>IF(B417="","","IL-"&amp;TEXT(ROW()-4,"0000"))</f>
        <v>0</v>
      </c>
      <c r="D417" s="18">
        <f>IF(C417="","",IFERROR(INDEX(Jobs!$B$5:$B$604,MATCH(C417,Jobs!$A$5:$A$604,0)),""))</f>
        <v>0</v>
      </c>
      <c r="J417" s="21">
        <f>IF(C417="","",IFERROR(INDEX(Jobs!$AJ$5:$AJ$604,MATCH(C417,Jobs!$A$5:$A$604,0)),"0"))</f>
        <v>0</v>
      </c>
      <c r="K417" s="23">
        <f>IF(C417="","",IFERROR(INDEX(Jobs!$M$5:$M$604,MATCH(C417,Jobs!$A$5:$A$604,0)),""))</f>
        <v>0</v>
      </c>
      <c r="L417" s="51">
        <f>IF(B417="","",IF(E417&lt;&gt;"",E417,IF(C417="","",K417&amp;" - "&amp;TEXT(D417,"d mmm yyyy"))))</f>
        <v>0</v>
      </c>
      <c r="M417" s="21">
        <f>IF(B417="","",IF(G417&lt;&gt;"",G417,IFERROR(J417*1,0)))</f>
        <v>0</v>
      </c>
      <c r="N417" s="21">
        <f>IF(B417="","",ROUND(IF(F417="",1,F417)*M417,2))</f>
        <v>0</v>
      </c>
      <c r="O417" s="39">
        <f>IF(B417="","",IF(C417="","",IF(COUNTIFS($C$5:$C$804,C417)&gt;1,"Duplicate","OK")))</f>
        <v>0</v>
      </c>
      <c r="P417" s="31">
        <f>IF(OR(B417="",E417=""),"",COUNTIFS($B$5:B417,B417))</f>
        <v>0</v>
      </c>
      <c r="Q417" s="23">
        <f>IF(P417="","",B417&amp;"|"&amp;P417)</f>
        <v>0</v>
      </c>
      <c r="R417" s="39">
        <f>IF(B417="","",IF(O417="Duplicate","Duplicate - job billed twice",IF(M417=0,"Add - no price on this line",IF(AND(C417="",E417=""),"Add - what is this line for?","OK"))))</f>
        <v>0</v>
      </c>
    </row>
    <row r="418" spans="1:18">
      <c r="A418" s="43">
        <f>IF(B418="","","IL-"&amp;TEXT(ROW()-4,"0000"))</f>
        <v>0</v>
      </c>
      <c r="D418" s="18">
        <f>IF(C418="","",IFERROR(INDEX(Jobs!$B$5:$B$604,MATCH(C418,Jobs!$A$5:$A$604,0)),""))</f>
        <v>0</v>
      </c>
      <c r="J418" s="21">
        <f>IF(C418="","",IFERROR(INDEX(Jobs!$AJ$5:$AJ$604,MATCH(C418,Jobs!$A$5:$A$604,0)),"0"))</f>
        <v>0</v>
      </c>
      <c r="K418" s="23">
        <f>IF(C418="","",IFERROR(INDEX(Jobs!$M$5:$M$604,MATCH(C418,Jobs!$A$5:$A$604,0)),""))</f>
        <v>0</v>
      </c>
      <c r="L418" s="51">
        <f>IF(B418="","",IF(E418&lt;&gt;"",E418,IF(C418="","",K418&amp;" - "&amp;TEXT(D418,"d mmm yyyy"))))</f>
        <v>0</v>
      </c>
      <c r="M418" s="21">
        <f>IF(B418="","",IF(G418&lt;&gt;"",G418,IFERROR(J418*1,0)))</f>
        <v>0</v>
      </c>
      <c r="N418" s="21">
        <f>IF(B418="","",ROUND(IF(F418="",1,F418)*M418,2))</f>
        <v>0</v>
      </c>
      <c r="O418" s="39">
        <f>IF(B418="","",IF(C418="","",IF(COUNTIFS($C$5:$C$804,C418)&gt;1,"Duplicate","OK")))</f>
        <v>0</v>
      </c>
      <c r="P418" s="31">
        <f>IF(OR(B418="",E418=""),"",COUNTIFS($B$5:B418,B418))</f>
        <v>0</v>
      </c>
      <c r="Q418" s="23">
        <f>IF(P418="","",B418&amp;"|"&amp;P418)</f>
        <v>0</v>
      </c>
      <c r="R418" s="39">
        <f>IF(B418="","",IF(O418="Duplicate","Duplicate - job billed twice",IF(M418=0,"Add - no price on this line",IF(AND(C418="",E418=""),"Add - what is this line for?","OK"))))</f>
        <v>0</v>
      </c>
    </row>
    <row r="419" spans="1:18">
      <c r="A419" s="43">
        <f>IF(B419="","","IL-"&amp;TEXT(ROW()-4,"0000"))</f>
        <v>0</v>
      </c>
      <c r="D419" s="18">
        <f>IF(C419="","",IFERROR(INDEX(Jobs!$B$5:$B$604,MATCH(C419,Jobs!$A$5:$A$604,0)),""))</f>
        <v>0</v>
      </c>
      <c r="J419" s="21">
        <f>IF(C419="","",IFERROR(INDEX(Jobs!$AJ$5:$AJ$604,MATCH(C419,Jobs!$A$5:$A$604,0)),"0"))</f>
        <v>0</v>
      </c>
      <c r="K419" s="23">
        <f>IF(C419="","",IFERROR(INDEX(Jobs!$M$5:$M$604,MATCH(C419,Jobs!$A$5:$A$604,0)),""))</f>
        <v>0</v>
      </c>
      <c r="L419" s="51">
        <f>IF(B419="","",IF(E419&lt;&gt;"",E419,IF(C419="","",K419&amp;" - "&amp;TEXT(D419,"d mmm yyyy"))))</f>
        <v>0</v>
      </c>
      <c r="M419" s="21">
        <f>IF(B419="","",IF(G419&lt;&gt;"",G419,IFERROR(J419*1,0)))</f>
        <v>0</v>
      </c>
      <c r="N419" s="21">
        <f>IF(B419="","",ROUND(IF(F419="",1,F419)*M419,2))</f>
        <v>0</v>
      </c>
      <c r="O419" s="39">
        <f>IF(B419="","",IF(C419="","",IF(COUNTIFS($C$5:$C$804,C419)&gt;1,"Duplicate","OK")))</f>
        <v>0</v>
      </c>
      <c r="P419" s="31">
        <f>IF(OR(B419="",E419=""),"",COUNTIFS($B$5:B419,B419))</f>
        <v>0</v>
      </c>
      <c r="Q419" s="23">
        <f>IF(P419="","",B419&amp;"|"&amp;P419)</f>
        <v>0</v>
      </c>
      <c r="R419" s="39">
        <f>IF(B419="","",IF(O419="Duplicate","Duplicate - job billed twice",IF(M419=0,"Add - no price on this line",IF(AND(C419="",E419=""),"Add - what is this line for?","OK"))))</f>
        <v>0</v>
      </c>
    </row>
    <row r="420" spans="1:18">
      <c r="A420" s="43">
        <f>IF(B420="","","IL-"&amp;TEXT(ROW()-4,"0000"))</f>
        <v>0</v>
      </c>
      <c r="D420" s="18">
        <f>IF(C420="","",IFERROR(INDEX(Jobs!$B$5:$B$604,MATCH(C420,Jobs!$A$5:$A$604,0)),""))</f>
        <v>0</v>
      </c>
      <c r="J420" s="21">
        <f>IF(C420="","",IFERROR(INDEX(Jobs!$AJ$5:$AJ$604,MATCH(C420,Jobs!$A$5:$A$604,0)),"0"))</f>
        <v>0</v>
      </c>
      <c r="K420" s="23">
        <f>IF(C420="","",IFERROR(INDEX(Jobs!$M$5:$M$604,MATCH(C420,Jobs!$A$5:$A$604,0)),""))</f>
        <v>0</v>
      </c>
      <c r="L420" s="51">
        <f>IF(B420="","",IF(E420&lt;&gt;"",E420,IF(C420="","",K420&amp;" - "&amp;TEXT(D420,"d mmm yyyy"))))</f>
        <v>0</v>
      </c>
      <c r="M420" s="21">
        <f>IF(B420="","",IF(G420&lt;&gt;"",G420,IFERROR(J420*1,0)))</f>
        <v>0</v>
      </c>
      <c r="N420" s="21">
        <f>IF(B420="","",ROUND(IF(F420="",1,F420)*M420,2))</f>
        <v>0</v>
      </c>
      <c r="O420" s="39">
        <f>IF(B420="","",IF(C420="","",IF(COUNTIFS($C$5:$C$804,C420)&gt;1,"Duplicate","OK")))</f>
        <v>0</v>
      </c>
      <c r="P420" s="31">
        <f>IF(OR(B420="",E420=""),"",COUNTIFS($B$5:B420,B420))</f>
        <v>0</v>
      </c>
      <c r="Q420" s="23">
        <f>IF(P420="","",B420&amp;"|"&amp;P420)</f>
        <v>0</v>
      </c>
      <c r="R420" s="39">
        <f>IF(B420="","",IF(O420="Duplicate","Duplicate - job billed twice",IF(M420=0,"Add - no price on this line",IF(AND(C420="",E420=""),"Add - what is this line for?","OK"))))</f>
        <v>0</v>
      </c>
    </row>
    <row r="421" spans="1:18">
      <c r="A421" s="43">
        <f>IF(B421="","","IL-"&amp;TEXT(ROW()-4,"0000"))</f>
        <v>0</v>
      </c>
      <c r="D421" s="18">
        <f>IF(C421="","",IFERROR(INDEX(Jobs!$B$5:$B$604,MATCH(C421,Jobs!$A$5:$A$604,0)),""))</f>
        <v>0</v>
      </c>
      <c r="J421" s="21">
        <f>IF(C421="","",IFERROR(INDEX(Jobs!$AJ$5:$AJ$604,MATCH(C421,Jobs!$A$5:$A$604,0)),"0"))</f>
        <v>0</v>
      </c>
      <c r="K421" s="23">
        <f>IF(C421="","",IFERROR(INDEX(Jobs!$M$5:$M$604,MATCH(C421,Jobs!$A$5:$A$604,0)),""))</f>
        <v>0</v>
      </c>
      <c r="L421" s="51">
        <f>IF(B421="","",IF(E421&lt;&gt;"",E421,IF(C421="","",K421&amp;" - "&amp;TEXT(D421,"d mmm yyyy"))))</f>
        <v>0</v>
      </c>
      <c r="M421" s="21">
        <f>IF(B421="","",IF(G421&lt;&gt;"",G421,IFERROR(J421*1,0)))</f>
        <v>0</v>
      </c>
      <c r="N421" s="21">
        <f>IF(B421="","",ROUND(IF(F421="",1,F421)*M421,2))</f>
        <v>0</v>
      </c>
      <c r="O421" s="39">
        <f>IF(B421="","",IF(C421="","",IF(COUNTIFS($C$5:$C$804,C421)&gt;1,"Duplicate","OK")))</f>
        <v>0</v>
      </c>
      <c r="P421" s="31">
        <f>IF(OR(B421="",E421=""),"",COUNTIFS($B$5:B421,B421))</f>
        <v>0</v>
      </c>
      <c r="Q421" s="23">
        <f>IF(P421="","",B421&amp;"|"&amp;P421)</f>
        <v>0</v>
      </c>
      <c r="R421" s="39">
        <f>IF(B421="","",IF(O421="Duplicate","Duplicate - job billed twice",IF(M421=0,"Add - no price on this line",IF(AND(C421="",E421=""),"Add - what is this line for?","OK"))))</f>
        <v>0</v>
      </c>
    </row>
    <row r="422" spans="1:18">
      <c r="A422" s="43">
        <f>IF(B422="","","IL-"&amp;TEXT(ROW()-4,"0000"))</f>
        <v>0</v>
      </c>
      <c r="D422" s="18">
        <f>IF(C422="","",IFERROR(INDEX(Jobs!$B$5:$B$604,MATCH(C422,Jobs!$A$5:$A$604,0)),""))</f>
        <v>0</v>
      </c>
      <c r="J422" s="21">
        <f>IF(C422="","",IFERROR(INDEX(Jobs!$AJ$5:$AJ$604,MATCH(C422,Jobs!$A$5:$A$604,0)),"0"))</f>
        <v>0</v>
      </c>
      <c r="K422" s="23">
        <f>IF(C422="","",IFERROR(INDEX(Jobs!$M$5:$M$604,MATCH(C422,Jobs!$A$5:$A$604,0)),""))</f>
        <v>0</v>
      </c>
      <c r="L422" s="51">
        <f>IF(B422="","",IF(E422&lt;&gt;"",E422,IF(C422="","",K422&amp;" - "&amp;TEXT(D422,"d mmm yyyy"))))</f>
        <v>0</v>
      </c>
      <c r="M422" s="21">
        <f>IF(B422="","",IF(G422&lt;&gt;"",G422,IFERROR(J422*1,0)))</f>
        <v>0</v>
      </c>
      <c r="N422" s="21">
        <f>IF(B422="","",ROUND(IF(F422="",1,F422)*M422,2))</f>
        <v>0</v>
      </c>
      <c r="O422" s="39">
        <f>IF(B422="","",IF(C422="","",IF(COUNTIFS($C$5:$C$804,C422)&gt;1,"Duplicate","OK")))</f>
        <v>0</v>
      </c>
      <c r="P422" s="31">
        <f>IF(OR(B422="",E422=""),"",COUNTIFS($B$5:B422,B422))</f>
        <v>0</v>
      </c>
      <c r="Q422" s="23">
        <f>IF(P422="","",B422&amp;"|"&amp;P422)</f>
        <v>0</v>
      </c>
      <c r="R422" s="39">
        <f>IF(B422="","",IF(O422="Duplicate","Duplicate - job billed twice",IF(M422=0,"Add - no price on this line",IF(AND(C422="",E422=""),"Add - what is this line for?","OK"))))</f>
        <v>0</v>
      </c>
    </row>
    <row r="423" spans="1:18">
      <c r="A423" s="43">
        <f>IF(B423="","","IL-"&amp;TEXT(ROW()-4,"0000"))</f>
        <v>0</v>
      </c>
      <c r="D423" s="18">
        <f>IF(C423="","",IFERROR(INDEX(Jobs!$B$5:$B$604,MATCH(C423,Jobs!$A$5:$A$604,0)),""))</f>
        <v>0</v>
      </c>
      <c r="J423" s="21">
        <f>IF(C423="","",IFERROR(INDEX(Jobs!$AJ$5:$AJ$604,MATCH(C423,Jobs!$A$5:$A$604,0)),"0"))</f>
        <v>0</v>
      </c>
      <c r="K423" s="23">
        <f>IF(C423="","",IFERROR(INDEX(Jobs!$M$5:$M$604,MATCH(C423,Jobs!$A$5:$A$604,0)),""))</f>
        <v>0</v>
      </c>
      <c r="L423" s="51">
        <f>IF(B423="","",IF(E423&lt;&gt;"",E423,IF(C423="","",K423&amp;" - "&amp;TEXT(D423,"d mmm yyyy"))))</f>
        <v>0</v>
      </c>
      <c r="M423" s="21">
        <f>IF(B423="","",IF(G423&lt;&gt;"",G423,IFERROR(J423*1,0)))</f>
        <v>0</v>
      </c>
      <c r="N423" s="21">
        <f>IF(B423="","",ROUND(IF(F423="",1,F423)*M423,2))</f>
        <v>0</v>
      </c>
      <c r="O423" s="39">
        <f>IF(B423="","",IF(C423="","",IF(COUNTIFS($C$5:$C$804,C423)&gt;1,"Duplicate","OK")))</f>
        <v>0</v>
      </c>
      <c r="P423" s="31">
        <f>IF(OR(B423="",E423=""),"",COUNTIFS($B$5:B423,B423))</f>
        <v>0</v>
      </c>
      <c r="Q423" s="23">
        <f>IF(P423="","",B423&amp;"|"&amp;P423)</f>
        <v>0</v>
      </c>
      <c r="R423" s="39">
        <f>IF(B423="","",IF(O423="Duplicate","Duplicate - job billed twice",IF(M423=0,"Add - no price on this line",IF(AND(C423="",E423=""),"Add - what is this line for?","OK"))))</f>
        <v>0</v>
      </c>
    </row>
    <row r="424" spans="1:18">
      <c r="A424" s="43">
        <f>IF(B424="","","IL-"&amp;TEXT(ROW()-4,"0000"))</f>
        <v>0</v>
      </c>
      <c r="D424" s="18">
        <f>IF(C424="","",IFERROR(INDEX(Jobs!$B$5:$B$604,MATCH(C424,Jobs!$A$5:$A$604,0)),""))</f>
        <v>0</v>
      </c>
      <c r="J424" s="21">
        <f>IF(C424="","",IFERROR(INDEX(Jobs!$AJ$5:$AJ$604,MATCH(C424,Jobs!$A$5:$A$604,0)),"0"))</f>
        <v>0</v>
      </c>
      <c r="K424" s="23">
        <f>IF(C424="","",IFERROR(INDEX(Jobs!$M$5:$M$604,MATCH(C424,Jobs!$A$5:$A$604,0)),""))</f>
        <v>0</v>
      </c>
      <c r="L424" s="51">
        <f>IF(B424="","",IF(E424&lt;&gt;"",E424,IF(C424="","",K424&amp;" - "&amp;TEXT(D424,"d mmm yyyy"))))</f>
        <v>0</v>
      </c>
      <c r="M424" s="21">
        <f>IF(B424="","",IF(G424&lt;&gt;"",G424,IFERROR(J424*1,0)))</f>
        <v>0</v>
      </c>
      <c r="N424" s="21">
        <f>IF(B424="","",ROUND(IF(F424="",1,F424)*M424,2))</f>
        <v>0</v>
      </c>
      <c r="O424" s="39">
        <f>IF(B424="","",IF(C424="","",IF(COUNTIFS($C$5:$C$804,C424)&gt;1,"Duplicate","OK")))</f>
        <v>0</v>
      </c>
      <c r="P424" s="31">
        <f>IF(OR(B424="",E424=""),"",COUNTIFS($B$5:B424,B424))</f>
        <v>0</v>
      </c>
      <c r="Q424" s="23">
        <f>IF(P424="","",B424&amp;"|"&amp;P424)</f>
        <v>0</v>
      </c>
      <c r="R424" s="39">
        <f>IF(B424="","",IF(O424="Duplicate","Duplicate - job billed twice",IF(M424=0,"Add - no price on this line",IF(AND(C424="",E424=""),"Add - what is this line for?","OK"))))</f>
        <v>0</v>
      </c>
    </row>
    <row r="425" spans="1:18">
      <c r="A425" s="43">
        <f>IF(B425="","","IL-"&amp;TEXT(ROW()-4,"0000"))</f>
        <v>0</v>
      </c>
      <c r="D425" s="18">
        <f>IF(C425="","",IFERROR(INDEX(Jobs!$B$5:$B$604,MATCH(C425,Jobs!$A$5:$A$604,0)),""))</f>
        <v>0</v>
      </c>
      <c r="J425" s="21">
        <f>IF(C425="","",IFERROR(INDEX(Jobs!$AJ$5:$AJ$604,MATCH(C425,Jobs!$A$5:$A$604,0)),"0"))</f>
        <v>0</v>
      </c>
      <c r="K425" s="23">
        <f>IF(C425="","",IFERROR(INDEX(Jobs!$M$5:$M$604,MATCH(C425,Jobs!$A$5:$A$604,0)),""))</f>
        <v>0</v>
      </c>
      <c r="L425" s="51">
        <f>IF(B425="","",IF(E425&lt;&gt;"",E425,IF(C425="","",K425&amp;" - "&amp;TEXT(D425,"d mmm yyyy"))))</f>
        <v>0</v>
      </c>
      <c r="M425" s="21">
        <f>IF(B425="","",IF(G425&lt;&gt;"",G425,IFERROR(J425*1,0)))</f>
        <v>0</v>
      </c>
      <c r="N425" s="21">
        <f>IF(B425="","",ROUND(IF(F425="",1,F425)*M425,2))</f>
        <v>0</v>
      </c>
      <c r="O425" s="39">
        <f>IF(B425="","",IF(C425="","",IF(COUNTIFS($C$5:$C$804,C425)&gt;1,"Duplicate","OK")))</f>
        <v>0</v>
      </c>
      <c r="P425" s="31">
        <f>IF(OR(B425="",E425=""),"",COUNTIFS($B$5:B425,B425))</f>
        <v>0</v>
      </c>
      <c r="Q425" s="23">
        <f>IF(P425="","",B425&amp;"|"&amp;P425)</f>
        <v>0</v>
      </c>
      <c r="R425" s="39">
        <f>IF(B425="","",IF(O425="Duplicate","Duplicate - job billed twice",IF(M425=0,"Add - no price on this line",IF(AND(C425="",E425=""),"Add - what is this line for?","OK"))))</f>
        <v>0</v>
      </c>
    </row>
    <row r="426" spans="1:18">
      <c r="A426" s="43">
        <f>IF(B426="","","IL-"&amp;TEXT(ROW()-4,"0000"))</f>
        <v>0</v>
      </c>
      <c r="D426" s="18">
        <f>IF(C426="","",IFERROR(INDEX(Jobs!$B$5:$B$604,MATCH(C426,Jobs!$A$5:$A$604,0)),""))</f>
        <v>0</v>
      </c>
      <c r="J426" s="21">
        <f>IF(C426="","",IFERROR(INDEX(Jobs!$AJ$5:$AJ$604,MATCH(C426,Jobs!$A$5:$A$604,0)),"0"))</f>
        <v>0</v>
      </c>
      <c r="K426" s="23">
        <f>IF(C426="","",IFERROR(INDEX(Jobs!$M$5:$M$604,MATCH(C426,Jobs!$A$5:$A$604,0)),""))</f>
        <v>0</v>
      </c>
      <c r="L426" s="51">
        <f>IF(B426="","",IF(E426&lt;&gt;"",E426,IF(C426="","",K426&amp;" - "&amp;TEXT(D426,"d mmm yyyy"))))</f>
        <v>0</v>
      </c>
      <c r="M426" s="21">
        <f>IF(B426="","",IF(G426&lt;&gt;"",G426,IFERROR(J426*1,0)))</f>
        <v>0</v>
      </c>
      <c r="N426" s="21">
        <f>IF(B426="","",ROUND(IF(F426="",1,F426)*M426,2))</f>
        <v>0</v>
      </c>
      <c r="O426" s="39">
        <f>IF(B426="","",IF(C426="","",IF(COUNTIFS($C$5:$C$804,C426)&gt;1,"Duplicate","OK")))</f>
        <v>0</v>
      </c>
      <c r="P426" s="31">
        <f>IF(OR(B426="",E426=""),"",COUNTIFS($B$5:B426,B426))</f>
        <v>0</v>
      </c>
      <c r="Q426" s="23">
        <f>IF(P426="","",B426&amp;"|"&amp;P426)</f>
        <v>0</v>
      </c>
      <c r="R426" s="39">
        <f>IF(B426="","",IF(O426="Duplicate","Duplicate - job billed twice",IF(M426=0,"Add - no price on this line",IF(AND(C426="",E426=""),"Add - what is this line for?","OK"))))</f>
        <v>0</v>
      </c>
    </row>
    <row r="427" spans="1:18">
      <c r="A427" s="43">
        <f>IF(B427="","","IL-"&amp;TEXT(ROW()-4,"0000"))</f>
        <v>0</v>
      </c>
      <c r="D427" s="18">
        <f>IF(C427="","",IFERROR(INDEX(Jobs!$B$5:$B$604,MATCH(C427,Jobs!$A$5:$A$604,0)),""))</f>
        <v>0</v>
      </c>
      <c r="J427" s="21">
        <f>IF(C427="","",IFERROR(INDEX(Jobs!$AJ$5:$AJ$604,MATCH(C427,Jobs!$A$5:$A$604,0)),"0"))</f>
        <v>0</v>
      </c>
      <c r="K427" s="23">
        <f>IF(C427="","",IFERROR(INDEX(Jobs!$M$5:$M$604,MATCH(C427,Jobs!$A$5:$A$604,0)),""))</f>
        <v>0</v>
      </c>
      <c r="L427" s="51">
        <f>IF(B427="","",IF(E427&lt;&gt;"",E427,IF(C427="","",K427&amp;" - "&amp;TEXT(D427,"d mmm yyyy"))))</f>
        <v>0</v>
      </c>
      <c r="M427" s="21">
        <f>IF(B427="","",IF(G427&lt;&gt;"",G427,IFERROR(J427*1,0)))</f>
        <v>0</v>
      </c>
      <c r="N427" s="21">
        <f>IF(B427="","",ROUND(IF(F427="",1,F427)*M427,2))</f>
        <v>0</v>
      </c>
      <c r="O427" s="39">
        <f>IF(B427="","",IF(C427="","",IF(COUNTIFS($C$5:$C$804,C427)&gt;1,"Duplicate","OK")))</f>
        <v>0</v>
      </c>
      <c r="P427" s="31">
        <f>IF(OR(B427="",E427=""),"",COUNTIFS($B$5:B427,B427))</f>
        <v>0</v>
      </c>
      <c r="Q427" s="23">
        <f>IF(P427="","",B427&amp;"|"&amp;P427)</f>
        <v>0</v>
      </c>
      <c r="R427" s="39">
        <f>IF(B427="","",IF(O427="Duplicate","Duplicate - job billed twice",IF(M427=0,"Add - no price on this line",IF(AND(C427="",E427=""),"Add - what is this line for?","OK"))))</f>
        <v>0</v>
      </c>
    </row>
    <row r="428" spans="1:18">
      <c r="A428" s="43">
        <f>IF(B428="","","IL-"&amp;TEXT(ROW()-4,"0000"))</f>
        <v>0</v>
      </c>
      <c r="D428" s="18">
        <f>IF(C428="","",IFERROR(INDEX(Jobs!$B$5:$B$604,MATCH(C428,Jobs!$A$5:$A$604,0)),""))</f>
        <v>0</v>
      </c>
      <c r="J428" s="21">
        <f>IF(C428="","",IFERROR(INDEX(Jobs!$AJ$5:$AJ$604,MATCH(C428,Jobs!$A$5:$A$604,0)),"0"))</f>
        <v>0</v>
      </c>
      <c r="K428" s="23">
        <f>IF(C428="","",IFERROR(INDEX(Jobs!$M$5:$M$604,MATCH(C428,Jobs!$A$5:$A$604,0)),""))</f>
        <v>0</v>
      </c>
      <c r="L428" s="51">
        <f>IF(B428="","",IF(E428&lt;&gt;"",E428,IF(C428="","",K428&amp;" - "&amp;TEXT(D428,"d mmm yyyy"))))</f>
        <v>0</v>
      </c>
      <c r="M428" s="21">
        <f>IF(B428="","",IF(G428&lt;&gt;"",G428,IFERROR(J428*1,0)))</f>
        <v>0</v>
      </c>
      <c r="N428" s="21">
        <f>IF(B428="","",ROUND(IF(F428="",1,F428)*M428,2))</f>
        <v>0</v>
      </c>
      <c r="O428" s="39">
        <f>IF(B428="","",IF(C428="","",IF(COUNTIFS($C$5:$C$804,C428)&gt;1,"Duplicate","OK")))</f>
        <v>0</v>
      </c>
      <c r="P428" s="31">
        <f>IF(OR(B428="",E428=""),"",COUNTIFS($B$5:B428,B428))</f>
        <v>0</v>
      </c>
      <c r="Q428" s="23">
        <f>IF(P428="","",B428&amp;"|"&amp;P428)</f>
        <v>0</v>
      </c>
      <c r="R428" s="39">
        <f>IF(B428="","",IF(O428="Duplicate","Duplicate - job billed twice",IF(M428=0,"Add - no price on this line",IF(AND(C428="",E428=""),"Add - what is this line for?","OK"))))</f>
        <v>0</v>
      </c>
    </row>
    <row r="429" spans="1:18">
      <c r="A429" s="43">
        <f>IF(B429="","","IL-"&amp;TEXT(ROW()-4,"0000"))</f>
        <v>0</v>
      </c>
      <c r="D429" s="18">
        <f>IF(C429="","",IFERROR(INDEX(Jobs!$B$5:$B$604,MATCH(C429,Jobs!$A$5:$A$604,0)),""))</f>
        <v>0</v>
      </c>
      <c r="J429" s="21">
        <f>IF(C429="","",IFERROR(INDEX(Jobs!$AJ$5:$AJ$604,MATCH(C429,Jobs!$A$5:$A$604,0)),"0"))</f>
        <v>0</v>
      </c>
      <c r="K429" s="23">
        <f>IF(C429="","",IFERROR(INDEX(Jobs!$M$5:$M$604,MATCH(C429,Jobs!$A$5:$A$604,0)),""))</f>
        <v>0</v>
      </c>
      <c r="L429" s="51">
        <f>IF(B429="","",IF(E429&lt;&gt;"",E429,IF(C429="","",K429&amp;" - "&amp;TEXT(D429,"d mmm yyyy"))))</f>
        <v>0</v>
      </c>
      <c r="M429" s="21">
        <f>IF(B429="","",IF(G429&lt;&gt;"",G429,IFERROR(J429*1,0)))</f>
        <v>0</v>
      </c>
      <c r="N429" s="21">
        <f>IF(B429="","",ROUND(IF(F429="",1,F429)*M429,2))</f>
        <v>0</v>
      </c>
      <c r="O429" s="39">
        <f>IF(B429="","",IF(C429="","",IF(COUNTIFS($C$5:$C$804,C429)&gt;1,"Duplicate","OK")))</f>
        <v>0</v>
      </c>
      <c r="P429" s="31">
        <f>IF(OR(B429="",E429=""),"",COUNTIFS($B$5:B429,B429))</f>
        <v>0</v>
      </c>
      <c r="Q429" s="23">
        <f>IF(P429="","",B429&amp;"|"&amp;P429)</f>
        <v>0</v>
      </c>
      <c r="R429" s="39">
        <f>IF(B429="","",IF(O429="Duplicate","Duplicate - job billed twice",IF(M429=0,"Add - no price on this line",IF(AND(C429="",E429=""),"Add - what is this line for?","OK"))))</f>
        <v>0</v>
      </c>
    </row>
    <row r="430" spans="1:18">
      <c r="A430" s="43">
        <f>IF(B430="","","IL-"&amp;TEXT(ROW()-4,"0000"))</f>
        <v>0</v>
      </c>
      <c r="D430" s="18">
        <f>IF(C430="","",IFERROR(INDEX(Jobs!$B$5:$B$604,MATCH(C430,Jobs!$A$5:$A$604,0)),""))</f>
        <v>0</v>
      </c>
      <c r="J430" s="21">
        <f>IF(C430="","",IFERROR(INDEX(Jobs!$AJ$5:$AJ$604,MATCH(C430,Jobs!$A$5:$A$604,0)),"0"))</f>
        <v>0</v>
      </c>
      <c r="K430" s="23">
        <f>IF(C430="","",IFERROR(INDEX(Jobs!$M$5:$M$604,MATCH(C430,Jobs!$A$5:$A$604,0)),""))</f>
        <v>0</v>
      </c>
      <c r="L430" s="51">
        <f>IF(B430="","",IF(E430&lt;&gt;"",E430,IF(C430="","",K430&amp;" - "&amp;TEXT(D430,"d mmm yyyy"))))</f>
        <v>0</v>
      </c>
      <c r="M430" s="21">
        <f>IF(B430="","",IF(G430&lt;&gt;"",G430,IFERROR(J430*1,0)))</f>
        <v>0</v>
      </c>
      <c r="N430" s="21">
        <f>IF(B430="","",ROUND(IF(F430="",1,F430)*M430,2))</f>
        <v>0</v>
      </c>
      <c r="O430" s="39">
        <f>IF(B430="","",IF(C430="","",IF(COUNTIFS($C$5:$C$804,C430)&gt;1,"Duplicate","OK")))</f>
        <v>0</v>
      </c>
      <c r="P430" s="31">
        <f>IF(OR(B430="",E430=""),"",COUNTIFS($B$5:B430,B430))</f>
        <v>0</v>
      </c>
      <c r="Q430" s="23">
        <f>IF(P430="","",B430&amp;"|"&amp;P430)</f>
        <v>0</v>
      </c>
      <c r="R430" s="39">
        <f>IF(B430="","",IF(O430="Duplicate","Duplicate - job billed twice",IF(M430=0,"Add - no price on this line",IF(AND(C430="",E430=""),"Add - what is this line for?","OK"))))</f>
        <v>0</v>
      </c>
    </row>
    <row r="431" spans="1:18">
      <c r="A431" s="43">
        <f>IF(B431="","","IL-"&amp;TEXT(ROW()-4,"0000"))</f>
        <v>0</v>
      </c>
      <c r="D431" s="18">
        <f>IF(C431="","",IFERROR(INDEX(Jobs!$B$5:$B$604,MATCH(C431,Jobs!$A$5:$A$604,0)),""))</f>
        <v>0</v>
      </c>
      <c r="J431" s="21">
        <f>IF(C431="","",IFERROR(INDEX(Jobs!$AJ$5:$AJ$604,MATCH(C431,Jobs!$A$5:$A$604,0)),"0"))</f>
        <v>0</v>
      </c>
      <c r="K431" s="23">
        <f>IF(C431="","",IFERROR(INDEX(Jobs!$M$5:$M$604,MATCH(C431,Jobs!$A$5:$A$604,0)),""))</f>
        <v>0</v>
      </c>
      <c r="L431" s="51">
        <f>IF(B431="","",IF(E431&lt;&gt;"",E431,IF(C431="","",K431&amp;" - "&amp;TEXT(D431,"d mmm yyyy"))))</f>
        <v>0</v>
      </c>
      <c r="M431" s="21">
        <f>IF(B431="","",IF(G431&lt;&gt;"",G431,IFERROR(J431*1,0)))</f>
        <v>0</v>
      </c>
      <c r="N431" s="21">
        <f>IF(B431="","",ROUND(IF(F431="",1,F431)*M431,2))</f>
        <v>0</v>
      </c>
      <c r="O431" s="39">
        <f>IF(B431="","",IF(C431="","",IF(COUNTIFS($C$5:$C$804,C431)&gt;1,"Duplicate","OK")))</f>
        <v>0</v>
      </c>
      <c r="P431" s="31">
        <f>IF(OR(B431="",E431=""),"",COUNTIFS($B$5:B431,B431))</f>
        <v>0</v>
      </c>
      <c r="Q431" s="23">
        <f>IF(P431="","",B431&amp;"|"&amp;P431)</f>
        <v>0</v>
      </c>
      <c r="R431" s="39">
        <f>IF(B431="","",IF(O431="Duplicate","Duplicate - job billed twice",IF(M431=0,"Add - no price on this line",IF(AND(C431="",E431=""),"Add - what is this line for?","OK"))))</f>
        <v>0</v>
      </c>
    </row>
    <row r="432" spans="1:18">
      <c r="A432" s="43">
        <f>IF(B432="","","IL-"&amp;TEXT(ROW()-4,"0000"))</f>
        <v>0</v>
      </c>
      <c r="D432" s="18">
        <f>IF(C432="","",IFERROR(INDEX(Jobs!$B$5:$B$604,MATCH(C432,Jobs!$A$5:$A$604,0)),""))</f>
        <v>0</v>
      </c>
      <c r="J432" s="21">
        <f>IF(C432="","",IFERROR(INDEX(Jobs!$AJ$5:$AJ$604,MATCH(C432,Jobs!$A$5:$A$604,0)),"0"))</f>
        <v>0</v>
      </c>
      <c r="K432" s="23">
        <f>IF(C432="","",IFERROR(INDEX(Jobs!$M$5:$M$604,MATCH(C432,Jobs!$A$5:$A$604,0)),""))</f>
        <v>0</v>
      </c>
      <c r="L432" s="51">
        <f>IF(B432="","",IF(E432&lt;&gt;"",E432,IF(C432="","",K432&amp;" - "&amp;TEXT(D432,"d mmm yyyy"))))</f>
        <v>0</v>
      </c>
      <c r="M432" s="21">
        <f>IF(B432="","",IF(G432&lt;&gt;"",G432,IFERROR(J432*1,0)))</f>
        <v>0</v>
      </c>
      <c r="N432" s="21">
        <f>IF(B432="","",ROUND(IF(F432="",1,F432)*M432,2))</f>
        <v>0</v>
      </c>
      <c r="O432" s="39">
        <f>IF(B432="","",IF(C432="","",IF(COUNTIFS($C$5:$C$804,C432)&gt;1,"Duplicate","OK")))</f>
        <v>0</v>
      </c>
      <c r="P432" s="31">
        <f>IF(OR(B432="",E432=""),"",COUNTIFS($B$5:B432,B432))</f>
        <v>0</v>
      </c>
      <c r="Q432" s="23">
        <f>IF(P432="","",B432&amp;"|"&amp;P432)</f>
        <v>0</v>
      </c>
      <c r="R432" s="39">
        <f>IF(B432="","",IF(O432="Duplicate","Duplicate - job billed twice",IF(M432=0,"Add - no price on this line",IF(AND(C432="",E432=""),"Add - what is this line for?","OK"))))</f>
        <v>0</v>
      </c>
    </row>
    <row r="433" spans="1:18">
      <c r="A433" s="43">
        <f>IF(B433="","","IL-"&amp;TEXT(ROW()-4,"0000"))</f>
        <v>0</v>
      </c>
      <c r="D433" s="18">
        <f>IF(C433="","",IFERROR(INDEX(Jobs!$B$5:$B$604,MATCH(C433,Jobs!$A$5:$A$604,0)),""))</f>
        <v>0</v>
      </c>
      <c r="J433" s="21">
        <f>IF(C433="","",IFERROR(INDEX(Jobs!$AJ$5:$AJ$604,MATCH(C433,Jobs!$A$5:$A$604,0)),"0"))</f>
        <v>0</v>
      </c>
      <c r="K433" s="23">
        <f>IF(C433="","",IFERROR(INDEX(Jobs!$M$5:$M$604,MATCH(C433,Jobs!$A$5:$A$604,0)),""))</f>
        <v>0</v>
      </c>
      <c r="L433" s="51">
        <f>IF(B433="","",IF(E433&lt;&gt;"",E433,IF(C433="","",K433&amp;" - "&amp;TEXT(D433,"d mmm yyyy"))))</f>
        <v>0</v>
      </c>
      <c r="M433" s="21">
        <f>IF(B433="","",IF(G433&lt;&gt;"",G433,IFERROR(J433*1,0)))</f>
        <v>0</v>
      </c>
      <c r="N433" s="21">
        <f>IF(B433="","",ROUND(IF(F433="",1,F433)*M433,2))</f>
        <v>0</v>
      </c>
      <c r="O433" s="39">
        <f>IF(B433="","",IF(C433="","",IF(COUNTIFS($C$5:$C$804,C433)&gt;1,"Duplicate","OK")))</f>
        <v>0</v>
      </c>
      <c r="P433" s="31">
        <f>IF(OR(B433="",E433=""),"",COUNTIFS($B$5:B433,B433))</f>
        <v>0</v>
      </c>
      <c r="Q433" s="23">
        <f>IF(P433="","",B433&amp;"|"&amp;P433)</f>
        <v>0</v>
      </c>
      <c r="R433" s="39">
        <f>IF(B433="","",IF(O433="Duplicate","Duplicate - job billed twice",IF(M433=0,"Add - no price on this line",IF(AND(C433="",E433=""),"Add - what is this line for?","OK"))))</f>
        <v>0</v>
      </c>
    </row>
    <row r="434" spans="1:18">
      <c r="A434" s="43">
        <f>IF(B434="","","IL-"&amp;TEXT(ROW()-4,"0000"))</f>
        <v>0</v>
      </c>
      <c r="D434" s="18">
        <f>IF(C434="","",IFERROR(INDEX(Jobs!$B$5:$B$604,MATCH(C434,Jobs!$A$5:$A$604,0)),""))</f>
        <v>0</v>
      </c>
      <c r="J434" s="21">
        <f>IF(C434="","",IFERROR(INDEX(Jobs!$AJ$5:$AJ$604,MATCH(C434,Jobs!$A$5:$A$604,0)),"0"))</f>
        <v>0</v>
      </c>
      <c r="K434" s="23">
        <f>IF(C434="","",IFERROR(INDEX(Jobs!$M$5:$M$604,MATCH(C434,Jobs!$A$5:$A$604,0)),""))</f>
        <v>0</v>
      </c>
      <c r="L434" s="51">
        <f>IF(B434="","",IF(E434&lt;&gt;"",E434,IF(C434="","",K434&amp;" - "&amp;TEXT(D434,"d mmm yyyy"))))</f>
        <v>0</v>
      </c>
      <c r="M434" s="21">
        <f>IF(B434="","",IF(G434&lt;&gt;"",G434,IFERROR(J434*1,0)))</f>
        <v>0</v>
      </c>
      <c r="N434" s="21">
        <f>IF(B434="","",ROUND(IF(F434="",1,F434)*M434,2))</f>
        <v>0</v>
      </c>
      <c r="O434" s="39">
        <f>IF(B434="","",IF(C434="","",IF(COUNTIFS($C$5:$C$804,C434)&gt;1,"Duplicate","OK")))</f>
        <v>0</v>
      </c>
      <c r="P434" s="31">
        <f>IF(OR(B434="",E434=""),"",COUNTIFS($B$5:B434,B434))</f>
        <v>0</v>
      </c>
      <c r="Q434" s="23">
        <f>IF(P434="","",B434&amp;"|"&amp;P434)</f>
        <v>0</v>
      </c>
      <c r="R434" s="39">
        <f>IF(B434="","",IF(O434="Duplicate","Duplicate - job billed twice",IF(M434=0,"Add - no price on this line",IF(AND(C434="",E434=""),"Add - what is this line for?","OK"))))</f>
        <v>0</v>
      </c>
    </row>
    <row r="435" spans="1:18">
      <c r="A435" s="43">
        <f>IF(B435="","","IL-"&amp;TEXT(ROW()-4,"0000"))</f>
        <v>0</v>
      </c>
      <c r="D435" s="18">
        <f>IF(C435="","",IFERROR(INDEX(Jobs!$B$5:$B$604,MATCH(C435,Jobs!$A$5:$A$604,0)),""))</f>
        <v>0</v>
      </c>
      <c r="J435" s="21">
        <f>IF(C435="","",IFERROR(INDEX(Jobs!$AJ$5:$AJ$604,MATCH(C435,Jobs!$A$5:$A$604,0)),"0"))</f>
        <v>0</v>
      </c>
      <c r="K435" s="23">
        <f>IF(C435="","",IFERROR(INDEX(Jobs!$M$5:$M$604,MATCH(C435,Jobs!$A$5:$A$604,0)),""))</f>
        <v>0</v>
      </c>
      <c r="L435" s="51">
        <f>IF(B435="","",IF(E435&lt;&gt;"",E435,IF(C435="","",K435&amp;" - "&amp;TEXT(D435,"d mmm yyyy"))))</f>
        <v>0</v>
      </c>
      <c r="M435" s="21">
        <f>IF(B435="","",IF(G435&lt;&gt;"",G435,IFERROR(J435*1,0)))</f>
        <v>0</v>
      </c>
      <c r="N435" s="21">
        <f>IF(B435="","",ROUND(IF(F435="",1,F435)*M435,2))</f>
        <v>0</v>
      </c>
      <c r="O435" s="39">
        <f>IF(B435="","",IF(C435="","",IF(COUNTIFS($C$5:$C$804,C435)&gt;1,"Duplicate","OK")))</f>
        <v>0</v>
      </c>
      <c r="P435" s="31">
        <f>IF(OR(B435="",E435=""),"",COUNTIFS($B$5:B435,B435))</f>
        <v>0</v>
      </c>
      <c r="Q435" s="23">
        <f>IF(P435="","",B435&amp;"|"&amp;P435)</f>
        <v>0</v>
      </c>
      <c r="R435" s="39">
        <f>IF(B435="","",IF(O435="Duplicate","Duplicate - job billed twice",IF(M435=0,"Add - no price on this line",IF(AND(C435="",E435=""),"Add - what is this line for?","OK"))))</f>
        <v>0</v>
      </c>
    </row>
    <row r="436" spans="1:18">
      <c r="A436" s="43">
        <f>IF(B436="","","IL-"&amp;TEXT(ROW()-4,"0000"))</f>
        <v>0</v>
      </c>
      <c r="D436" s="18">
        <f>IF(C436="","",IFERROR(INDEX(Jobs!$B$5:$B$604,MATCH(C436,Jobs!$A$5:$A$604,0)),""))</f>
        <v>0</v>
      </c>
      <c r="J436" s="21">
        <f>IF(C436="","",IFERROR(INDEX(Jobs!$AJ$5:$AJ$604,MATCH(C436,Jobs!$A$5:$A$604,0)),"0"))</f>
        <v>0</v>
      </c>
      <c r="K436" s="23">
        <f>IF(C436="","",IFERROR(INDEX(Jobs!$M$5:$M$604,MATCH(C436,Jobs!$A$5:$A$604,0)),""))</f>
        <v>0</v>
      </c>
      <c r="L436" s="51">
        <f>IF(B436="","",IF(E436&lt;&gt;"",E436,IF(C436="","",K436&amp;" - "&amp;TEXT(D436,"d mmm yyyy"))))</f>
        <v>0</v>
      </c>
      <c r="M436" s="21">
        <f>IF(B436="","",IF(G436&lt;&gt;"",G436,IFERROR(J436*1,0)))</f>
        <v>0</v>
      </c>
      <c r="N436" s="21">
        <f>IF(B436="","",ROUND(IF(F436="",1,F436)*M436,2))</f>
        <v>0</v>
      </c>
      <c r="O436" s="39">
        <f>IF(B436="","",IF(C436="","",IF(COUNTIFS($C$5:$C$804,C436)&gt;1,"Duplicate","OK")))</f>
        <v>0</v>
      </c>
      <c r="P436" s="31">
        <f>IF(OR(B436="",E436=""),"",COUNTIFS($B$5:B436,B436))</f>
        <v>0</v>
      </c>
      <c r="Q436" s="23">
        <f>IF(P436="","",B436&amp;"|"&amp;P436)</f>
        <v>0</v>
      </c>
      <c r="R436" s="39">
        <f>IF(B436="","",IF(O436="Duplicate","Duplicate - job billed twice",IF(M436=0,"Add - no price on this line",IF(AND(C436="",E436=""),"Add - what is this line for?","OK"))))</f>
        <v>0</v>
      </c>
    </row>
    <row r="437" spans="1:18">
      <c r="A437" s="43">
        <f>IF(B437="","","IL-"&amp;TEXT(ROW()-4,"0000"))</f>
        <v>0</v>
      </c>
      <c r="D437" s="18">
        <f>IF(C437="","",IFERROR(INDEX(Jobs!$B$5:$B$604,MATCH(C437,Jobs!$A$5:$A$604,0)),""))</f>
        <v>0</v>
      </c>
      <c r="J437" s="21">
        <f>IF(C437="","",IFERROR(INDEX(Jobs!$AJ$5:$AJ$604,MATCH(C437,Jobs!$A$5:$A$604,0)),"0"))</f>
        <v>0</v>
      </c>
      <c r="K437" s="23">
        <f>IF(C437="","",IFERROR(INDEX(Jobs!$M$5:$M$604,MATCH(C437,Jobs!$A$5:$A$604,0)),""))</f>
        <v>0</v>
      </c>
      <c r="L437" s="51">
        <f>IF(B437="","",IF(E437&lt;&gt;"",E437,IF(C437="","",K437&amp;" - "&amp;TEXT(D437,"d mmm yyyy"))))</f>
        <v>0</v>
      </c>
      <c r="M437" s="21">
        <f>IF(B437="","",IF(G437&lt;&gt;"",G437,IFERROR(J437*1,0)))</f>
        <v>0</v>
      </c>
      <c r="N437" s="21">
        <f>IF(B437="","",ROUND(IF(F437="",1,F437)*M437,2))</f>
        <v>0</v>
      </c>
      <c r="O437" s="39">
        <f>IF(B437="","",IF(C437="","",IF(COUNTIFS($C$5:$C$804,C437)&gt;1,"Duplicate","OK")))</f>
        <v>0</v>
      </c>
      <c r="P437" s="31">
        <f>IF(OR(B437="",E437=""),"",COUNTIFS($B$5:B437,B437))</f>
        <v>0</v>
      </c>
      <c r="Q437" s="23">
        <f>IF(P437="","",B437&amp;"|"&amp;P437)</f>
        <v>0</v>
      </c>
      <c r="R437" s="39">
        <f>IF(B437="","",IF(O437="Duplicate","Duplicate - job billed twice",IF(M437=0,"Add - no price on this line",IF(AND(C437="",E437=""),"Add - what is this line for?","OK"))))</f>
        <v>0</v>
      </c>
    </row>
    <row r="438" spans="1:18">
      <c r="A438" s="43">
        <f>IF(B438="","","IL-"&amp;TEXT(ROW()-4,"0000"))</f>
        <v>0</v>
      </c>
      <c r="D438" s="18">
        <f>IF(C438="","",IFERROR(INDEX(Jobs!$B$5:$B$604,MATCH(C438,Jobs!$A$5:$A$604,0)),""))</f>
        <v>0</v>
      </c>
      <c r="J438" s="21">
        <f>IF(C438="","",IFERROR(INDEX(Jobs!$AJ$5:$AJ$604,MATCH(C438,Jobs!$A$5:$A$604,0)),"0"))</f>
        <v>0</v>
      </c>
      <c r="K438" s="23">
        <f>IF(C438="","",IFERROR(INDEX(Jobs!$M$5:$M$604,MATCH(C438,Jobs!$A$5:$A$604,0)),""))</f>
        <v>0</v>
      </c>
      <c r="L438" s="51">
        <f>IF(B438="","",IF(E438&lt;&gt;"",E438,IF(C438="","",K438&amp;" - "&amp;TEXT(D438,"d mmm yyyy"))))</f>
        <v>0</v>
      </c>
      <c r="M438" s="21">
        <f>IF(B438="","",IF(G438&lt;&gt;"",G438,IFERROR(J438*1,0)))</f>
        <v>0</v>
      </c>
      <c r="N438" s="21">
        <f>IF(B438="","",ROUND(IF(F438="",1,F438)*M438,2))</f>
        <v>0</v>
      </c>
      <c r="O438" s="39">
        <f>IF(B438="","",IF(C438="","",IF(COUNTIFS($C$5:$C$804,C438)&gt;1,"Duplicate","OK")))</f>
        <v>0</v>
      </c>
      <c r="P438" s="31">
        <f>IF(OR(B438="",E438=""),"",COUNTIFS($B$5:B438,B438))</f>
        <v>0</v>
      </c>
      <c r="Q438" s="23">
        <f>IF(P438="","",B438&amp;"|"&amp;P438)</f>
        <v>0</v>
      </c>
      <c r="R438" s="39">
        <f>IF(B438="","",IF(O438="Duplicate","Duplicate - job billed twice",IF(M438=0,"Add - no price on this line",IF(AND(C438="",E438=""),"Add - what is this line for?","OK"))))</f>
        <v>0</v>
      </c>
    </row>
    <row r="439" spans="1:18">
      <c r="A439" s="43">
        <f>IF(B439="","","IL-"&amp;TEXT(ROW()-4,"0000"))</f>
        <v>0</v>
      </c>
      <c r="D439" s="18">
        <f>IF(C439="","",IFERROR(INDEX(Jobs!$B$5:$B$604,MATCH(C439,Jobs!$A$5:$A$604,0)),""))</f>
        <v>0</v>
      </c>
      <c r="J439" s="21">
        <f>IF(C439="","",IFERROR(INDEX(Jobs!$AJ$5:$AJ$604,MATCH(C439,Jobs!$A$5:$A$604,0)),"0"))</f>
        <v>0</v>
      </c>
      <c r="K439" s="23">
        <f>IF(C439="","",IFERROR(INDEX(Jobs!$M$5:$M$604,MATCH(C439,Jobs!$A$5:$A$604,0)),""))</f>
        <v>0</v>
      </c>
      <c r="L439" s="51">
        <f>IF(B439="","",IF(E439&lt;&gt;"",E439,IF(C439="","",K439&amp;" - "&amp;TEXT(D439,"d mmm yyyy"))))</f>
        <v>0</v>
      </c>
      <c r="M439" s="21">
        <f>IF(B439="","",IF(G439&lt;&gt;"",G439,IFERROR(J439*1,0)))</f>
        <v>0</v>
      </c>
      <c r="N439" s="21">
        <f>IF(B439="","",ROUND(IF(F439="",1,F439)*M439,2))</f>
        <v>0</v>
      </c>
      <c r="O439" s="39">
        <f>IF(B439="","",IF(C439="","",IF(COUNTIFS($C$5:$C$804,C439)&gt;1,"Duplicate","OK")))</f>
        <v>0</v>
      </c>
      <c r="P439" s="31">
        <f>IF(OR(B439="",E439=""),"",COUNTIFS($B$5:B439,B439))</f>
        <v>0</v>
      </c>
      <c r="Q439" s="23">
        <f>IF(P439="","",B439&amp;"|"&amp;P439)</f>
        <v>0</v>
      </c>
      <c r="R439" s="39">
        <f>IF(B439="","",IF(O439="Duplicate","Duplicate - job billed twice",IF(M439=0,"Add - no price on this line",IF(AND(C439="",E439=""),"Add - what is this line for?","OK"))))</f>
        <v>0</v>
      </c>
    </row>
    <row r="440" spans="1:18">
      <c r="A440" s="43">
        <f>IF(B440="","","IL-"&amp;TEXT(ROW()-4,"0000"))</f>
        <v>0</v>
      </c>
      <c r="D440" s="18">
        <f>IF(C440="","",IFERROR(INDEX(Jobs!$B$5:$B$604,MATCH(C440,Jobs!$A$5:$A$604,0)),""))</f>
        <v>0</v>
      </c>
      <c r="J440" s="21">
        <f>IF(C440="","",IFERROR(INDEX(Jobs!$AJ$5:$AJ$604,MATCH(C440,Jobs!$A$5:$A$604,0)),"0"))</f>
        <v>0</v>
      </c>
      <c r="K440" s="23">
        <f>IF(C440="","",IFERROR(INDEX(Jobs!$M$5:$M$604,MATCH(C440,Jobs!$A$5:$A$604,0)),""))</f>
        <v>0</v>
      </c>
      <c r="L440" s="51">
        <f>IF(B440="","",IF(E440&lt;&gt;"",E440,IF(C440="","",K440&amp;" - "&amp;TEXT(D440,"d mmm yyyy"))))</f>
        <v>0</v>
      </c>
      <c r="M440" s="21">
        <f>IF(B440="","",IF(G440&lt;&gt;"",G440,IFERROR(J440*1,0)))</f>
        <v>0</v>
      </c>
      <c r="N440" s="21">
        <f>IF(B440="","",ROUND(IF(F440="",1,F440)*M440,2))</f>
        <v>0</v>
      </c>
      <c r="O440" s="39">
        <f>IF(B440="","",IF(C440="","",IF(COUNTIFS($C$5:$C$804,C440)&gt;1,"Duplicate","OK")))</f>
        <v>0</v>
      </c>
      <c r="P440" s="31">
        <f>IF(OR(B440="",E440=""),"",COUNTIFS($B$5:B440,B440))</f>
        <v>0</v>
      </c>
      <c r="Q440" s="23">
        <f>IF(P440="","",B440&amp;"|"&amp;P440)</f>
        <v>0</v>
      </c>
      <c r="R440" s="39">
        <f>IF(B440="","",IF(O440="Duplicate","Duplicate - job billed twice",IF(M440=0,"Add - no price on this line",IF(AND(C440="",E440=""),"Add - what is this line for?","OK"))))</f>
        <v>0</v>
      </c>
    </row>
    <row r="441" spans="1:18">
      <c r="A441" s="43">
        <f>IF(B441="","","IL-"&amp;TEXT(ROW()-4,"0000"))</f>
        <v>0</v>
      </c>
      <c r="D441" s="18">
        <f>IF(C441="","",IFERROR(INDEX(Jobs!$B$5:$B$604,MATCH(C441,Jobs!$A$5:$A$604,0)),""))</f>
        <v>0</v>
      </c>
      <c r="J441" s="21">
        <f>IF(C441="","",IFERROR(INDEX(Jobs!$AJ$5:$AJ$604,MATCH(C441,Jobs!$A$5:$A$604,0)),"0"))</f>
        <v>0</v>
      </c>
      <c r="K441" s="23">
        <f>IF(C441="","",IFERROR(INDEX(Jobs!$M$5:$M$604,MATCH(C441,Jobs!$A$5:$A$604,0)),""))</f>
        <v>0</v>
      </c>
      <c r="L441" s="51">
        <f>IF(B441="","",IF(E441&lt;&gt;"",E441,IF(C441="","",K441&amp;" - "&amp;TEXT(D441,"d mmm yyyy"))))</f>
        <v>0</v>
      </c>
      <c r="M441" s="21">
        <f>IF(B441="","",IF(G441&lt;&gt;"",G441,IFERROR(J441*1,0)))</f>
        <v>0</v>
      </c>
      <c r="N441" s="21">
        <f>IF(B441="","",ROUND(IF(F441="",1,F441)*M441,2))</f>
        <v>0</v>
      </c>
      <c r="O441" s="39">
        <f>IF(B441="","",IF(C441="","",IF(COUNTIFS($C$5:$C$804,C441)&gt;1,"Duplicate","OK")))</f>
        <v>0</v>
      </c>
      <c r="P441" s="31">
        <f>IF(OR(B441="",E441=""),"",COUNTIFS($B$5:B441,B441))</f>
        <v>0</v>
      </c>
      <c r="Q441" s="23">
        <f>IF(P441="","",B441&amp;"|"&amp;P441)</f>
        <v>0</v>
      </c>
      <c r="R441" s="39">
        <f>IF(B441="","",IF(O441="Duplicate","Duplicate - job billed twice",IF(M441=0,"Add - no price on this line",IF(AND(C441="",E441=""),"Add - what is this line for?","OK"))))</f>
        <v>0</v>
      </c>
    </row>
    <row r="442" spans="1:18">
      <c r="A442" s="43">
        <f>IF(B442="","","IL-"&amp;TEXT(ROW()-4,"0000"))</f>
        <v>0</v>
      </c>
      <c r="D442" s="18">
        <f>IF(C442="","",IFERROR(INDEX(Jobs!$B$5:$B$604,MATCH(C442,Jobs!$A$5:$A$604,0)),""))</f>
        <v>0</v>
      </c>
      <c r="J442" s="21">
        <f>IF(C442="","",IFERROR(INDEX(Jobs!$AJ$5:$AJ$604,MATCH(C442,Jobs!$A$5:$A$604,0)),"0"))</f>
        <v>0</v>
      </c>
      <c r="K442" s="23">
        <f>IF(C442="","",IFERROR(INDEX(Jobs!$M$5:$M$604,MATCH(C442,Jobs!$A$5:$A$604,0)),""))</f>
        <v>0</v>
      </c>
      <c r="L442" s="51">
        <f>IF(B442="","",IF(E442&lt;&gt;"",E442,IF(C442="","",K442&amp;" - "&amp;TEXT(D442,"d mmm yyyy"))))</f>
        <v>0</v>
      </c>
      <c r="M442" s="21">
        <f>IF(B442="","",IF(G442&lt;&gt;"",G442,IFERROR(J442*1,0)))</f>
        <v>0</v>
      </c>
      <c r="N442" s="21">
        <f>IF(B442="","",ROUND(IF(F442="",1,F442)*M442,2))</f>
        <v>0</v>
      </c>
      <c r="O442" s="39">
        <f>IF(B442="","",IF(C442="","",IF(COUNTIFS($C$5:$C$804,C442)&gt;1,"Duplicate","OK")))</f>
        <v>0</v>
      </c>
      <c r="P442" s="31">
        <f>IF(OR(B442="",E442=""),"",COUNTIFS($B$5:B442,B442))</f>
        <v>0</v>
      </c>
      <c r="Q442" s="23">
        <f>IF(P442="","",B442&amp;"|"&amp;P442)</f>
        <v>0</v>
      </c>
      <c r="R442" s="39">
        <f>IF(B442="","",IF(O442="Duplicate","Duplicate - job billed twice",IF(M442=0,"Add - no price on this line",IF(AND(C442="",E442=""),"Add - what is this line for?","OK"))))</f>
        <v>0</v>
      </c>
    </row>
    <row r="443" spans="1:18">
      <c r="A443" s="43">
        <f>IF(B443="","","IL-"&amp;TEXT(ROW()-4,"0000"))</f>
        <v>0</v>
      </c>
      <c r="D443" s="18">
        <f>IF(C443="","",IFERROR(INDEX(Jobs!$B$5:$B$604,MATCH(C443,Jobs!$A$5:$A$604,0)),""))</f>
        <v>0</v>
      </c>
      <c r="J443" s="21">
        <f>IF(C443="","",IFERROR(INDEX(Jobs!$AJ$5:$AJ$604,MATCH(C443,Jobs!$A$5:$A$604,0)),"0"))</f>
        <v>0</v>
      </c>
      <c r="K443" s="23">
        <f>IF(C443="","",IFERROR(INDEX(Jobs!$M$5:$M$604,MATCH(C443,Jobs!$A$5:$A$604,0)),""))</f>
        <v>0</v>
      </c>
      <c r="L443" s="51">
        <f>IF(B443="","",IF(E443&lt;&gt;"",E443,IF(C443="","",K443&amp;" - "&amp;TEXT(D443,"d mmm yyyy"))))</f>
        <v>0</v>
      </c>
      <c r="M443" s="21">
        <f>IF(B443="","",IF(G443&lt;&gt;"",G443,IFERROR(J443*1,0)))</f>
        <v>0</v>
      </c>
      <c r="N443" s="21">
        <f>IF(B443="","",ROUND(IF(F443="",1,F443)*M443,2))</f>
        <v>0</v>
      </c>
      <c r="O443" s="39">
        <f>IF(B443="","",IF(C443="","",IF(COUNTIFS($C$5:$C$804,C443)&gt;1,"Duplicate","OK")))</f>
        <v>0</v>
      </c>
      <c r="P443" s="31">
        <f>IF(OR(B443="",E443=""),"",COUNTIFS($B$5:B443,B443))</f>
        <v>0</v>
      </c>
      <c r="Q443" s="23">
        <f>IF(P443="","",B443&amp;"|"&amp;P443)</f>
        <v>0</v>
      </c>
      <c r="R443" s="39">
        <f>IF(B443="","",IF(O443="Duplicate","Duplicate - job billed twice",IF(M443=0,"Add - no price on this line",IF(AND(C443="",E443=""),"Add - what is this line for?","OK"))))</f>
        <v>0</v>
      </c>
    </row>
    <row r="444" spans="1:18">
      <c r="A444" s="43">
        <f>IF(B444="","","IL-"&amp;TEXT(ROW()-4,"0000"))</f>
        <v>0</v>
      </c>
      <c r="D444" s="18">
        <f>IF(C444="","",IFERROR(INDEX(Jobs!$B$5:$B$604,MATCH(C444,Jobs!$A$5:$A$604,0)),""))</f>
        <v>0</v>
      </c>
      <c r="J444" s="21">
        <f>IF(C444="","",IFERROR(INDEX(Jobs!$AJ$5:$AJ$604,MATCH(C444,Jobs!$A$5:$A$604,0)),"0"))</f>
        <v>0</v>
      </c>
      <c r="K444" s="23">
        <f>IF(C444="","",IFERROR(INDEX(Jobs!$M$5:$M$604,MATCH(C444,Jobs!$A$5:$A$604,0)),""))</f>
        <v>0</v>
      </c>
      <c r="L444" s="51">
        <f>IF(B444="","",IF(E444&lt;&gt;"",E444,IF(C444="","",K444&amp;" - "&amp;TEXT(D444,"d mmm yyyy"))))</f>
        <v>0</v>
      </c>
      <c r="M444" s="21">
        <f>IF(B444="","",IF(G444&lt;&gt;"",G444,IFERROR(J444*1,0)))</f>
        <v>0</v>
      </c>
      <c r="N444" s="21">
        <f>IF(B444="","",ROUND(IF(F444="",1,F444)*M444,2))</f>
        <v>0</v>
      </c>
      <c r="O444" s="39">
        <f>IF(B444="","",IF(C444="","",IF(COUNTIFS($C$5:$C$804,C444)&gt;1,"Duplicate","OK")))</f>
        <v>0</v>
      </c>
      <c r="P444" s="31">
        <f>IF(OR(B444="",E444=""),"",COUNTIFS($B$5:B444,B444))</f>
        <v>0</v>
      </c>
      <c r="Q444" s="23">
        <f>IF(P444="","",B444&amp;"|"&amp;P444)</f>
        <v>0</v>
      </c>
      <c r="R444" s="39">
        <f>IF(B444="","",IF(O444="Duplicate","Duplicate - job billed twice",IF(M444=0,"Add - no price on this line",IF(AND(C444="",E444=""),"Add - what is this line for?","OK"))))</f>
        <v>0</v>
      </c>
    </row>
    <row r="445" spans="1:18">
      <c r="A445" s="43">
        <f>IF(B445="","","IL-"&amp;TEXT(ROW()-4,"0000"))</f>
        <v>0</v>
      </c>
      <c r="D445" s="18">
        <f>IF(C445="","",IFERROR(INDEX(Jobs!$B$5:$B$604,MATCH(C445,Jobs!$A$5:$A$604,0)),""))</f>
        <v>0</v>
      </c>
      <c r="J445" s="21">
        <f>IF(C445="","",IFERROR(INDEX(Jobs!$AJ$5:$AJ$604,MATCH(C445,Jobs!$A$5:$A$604,0)),"0"))</f>
        <v>0</v>
      </c>
      <c r="K445" s="23">
        <f>IF(C445="","",IFERROR(INDEX(Jobs!$M$5:$M$604,MATCH(C445,Jobs!$A$5:$A$604,0)),""))</f>
        <v>0</v>
      </c>
      <c r="L445" s="51">
        <f>IF(B445="","",IF(E445&lt;&gt;"",E445,IF(C445="","",K445&amp;" - "&amp;TEXT(D445,"d mmm yyyy"))))</f>
        <v>0</v>
      </c>
      <c r="M445" s="21">
        <f>IF(B445="","",IF(G445&lt;&gt;"",G445,IFERROR(J445*1,0)))</f>
        <v>0</v>
      </c>
      <c r="N445" s="21">
        <f>IF(B445="","",ROUND(IF(F445="",1,F445)*M445,2))</f>
        <v>0</v>
      </c>
      <c r="O445" s="39">
        <f>IF(B445="","",IF(C445="","",IF(COUNTIFS($C$5:$C$804,C445)&gt;1,"Duplicate","OK")))</f>
        <v>0</v>
      </c>
      <c r="P445" s="31">
        <f>IF(OR(B445="",E445=""),"",COUNTIFS($B$5:B445,B445))</f>
        <v>0</v>
      </c>
      <c r="Q445" s="23">
        <f>IF(P445="","",B445&amp;"|"&amp;P445)</f>
        <v>0</v>
      </c>
      <c r="R445" s="39">
        <f>IF(B445="","",IF(O445="Duplicate","Duplicate - job billed twice",IF(M445=0,"Add - no price on this line",IF(AND(C445="",E445=""),"Add - what is this line for?","OK"))))</f>
        <v>0</v>
      </c>
    </row>
    <row r="446" spans="1:18">
      <c r="A446" s="43">
        <f>IF(B446="","","IL-"&amp;TEXT(ROW()-4,"0000"))</f>
        <v>0</v>
      </c>
      <c r="D446" s="18">
        <f>IF(C446="","",IFERROR(INDEX(Jobs!$B$5:$B$604,MATCH(C446,Jobs!$A$5:$A$604,0)),""))</f>
        <v>0</v>
      </c>
      <c r="J446" s="21">
        <f>IF(C446="","",IFERROR(INDEX(Jobs!$AJ$5:$AJ$604,MATCH(C446,Jobs!$A$5:$A$604,0)),"0"))</f>
        <v>0</v>
      </c>
      <c r="K446" s="23">
        <f>IF(C446="","",IFERROR(INDEX(Jobs!$M$5:$M$604,MATCH(C446,Jobs!$A$5:$A$604,0)),""))</f>
        <v>0</v>
      </c>
      <c r="L446" s="51">
        <f>IF(B446="","",IF(E446&lt;&gt;"",E446,IF(C446="","",K446&amp;" - "&amp;TEXT(D446,"d mmm yyyy"))))</f>
        <v>0</v>
      </c>
      <c r="M446" s="21">
        <f>IF(B446="","",IF(G446&lt;&gt;"",G446,IFERROR(J446*1,0)))</f>
        <v>0</v>
      </c>
      <c r="N446" s="21">
        <f>IF(B446="","",ROUND(IF(F446="",1,F446)*M446,2))</f>
        <v>0</v>
      </c>
      <c r="O446" s="39">
        <f>IF(B446="","",IF(C446="","",IF(COUNTIFS($C$5:$C$804,C446)&gt;1,"Duplicate","OK")))</f>
        <v>0</v>
      </c>
      <c r="P446" s="31">
        <f>IF(OR(B446="",E446=""),"",COUNTIFS($B$5:B446,B446))</f>
        <v>0</v>
      </c>
      <c r="Q446" s="23">
        <f>IF(P446="","",B446&amp;"|"&amp;P446)</f>
        <v>0</v>
      </c>
      <c r="R446" s="39">
        <f>IF(B446="","",IF(O446="Duplicate","Duplicate - job billed twice",IF(M446=0,"Add - no price on this line",IF(AND(C446="",E446=""),"Add - what is this line for?","OK"))))</f>
        <v>0</v>
      </c>
    </row>
    <row r="447" spans="1:18">
      <c r="A447" s="43">
        <f>IF(B447="","","IL-"&amp;TEXT(ROW()-4,"0000"))</f>
        <v>0</v>
      </c>
      <c r="D447" s="18">
        <f>IF(C447="","",IFERROR(INDEX(Jobs!$B$5:$B$604,MATCH(C447,Jobs!$A$5:$A$604,0)),""))</f>
        <v>0</v>
      </c>
      <c r="J447" s="21">
        <f>IF(C447="","",IFERROR(INDEX(Jobs!$AJ$5:$AJ$604,MATCH(C447,Jobs!$A$5:$A$604,0)),"0"))</f>
        <v>0</v>
      </c>
      <c r="K447" s="23">
        <f>IF(C447="","",IFERROR(INDEX(Jobs!$M$5:$M$604,MATCH(C447,Jobs!$A$5:$A$604,0)),""))</f>
        <v>0</v>
      </c>
      <c r="L447" s="51">
        <f>IF(B447="","",IF(E447&lt;&gt;"",E447,IF(C447="","",K447&amp;" - "&amp;TEXT(D447,"d mmm yyyy"))))</f>
        <v>0</v>
      </c>
      <c r="M447" s="21">
        <f>IF(B447="","",IF(G447&lt;&gt;"",G447,IFERROR(J447*1,0)))</f>
        <v>0</v>
      </c>
      <c r="N447" s="21">
        <f>IF(B447="","",ROUND(IF(F447="",1,F447)*M447,2))</f>
        <v>0</v>
      </c>
      <c r="O447" s="39">
        <f>IF(B447="","",IF(C447="","",IF(COUNTIFS($C$5:$C$804,C447)&gt;1,"Duplicate","OK")))</f>
        <v>0</v>
      </c>
      <c r="P447" s="31">
        <f>IF(OR(B447="",E447=""),"",COUNTIFS($B$5:B447,B447))</f>
        <v>0</v>
      </c>
      <c r="Q447" s="23">
        <f>IF(P447="","",B447&amp;"|"&amp;P447)</f>
        <v>0</v>
      </c>
      <c r="R447" s="39">
        <f>IF(B447="","",IF(O447="Duplicate","Duplicate - job billed twice",IF(M447=0,"Add - no price on this line",IF(AND(C447="",E447=""),"Add - what is this line for?","OK"))))</f>
        <v>0</v>
      </c>
    </row>
    <row r="448" spans="1:18">
      <c r="A448" s="43">
        <f>IF(B448="","","IL-"&amp;TEXT(ROW()-4,"0000"))</f>
        <v>0</v>
      </c>
      <c r="D448" s="18">
        <f>IF(C448="","",IFERROR(INDEX(Jobs!$B$5:$B$604,MATCH(C448,Jobs!$A$5:$A$604,0)),""))</f>
        <v>0</v>
      </c>
      <c r="J448" s="21">
        <f>IF(C448="","",IFERROR(INDEX(Jobs!$AJ$5:$AJ$604,MATCH(C448,Jobs!$A$5:$A$604,0)),"0"))</f>
        <v>0</v>
      </c>
      <c r="K448" s="23">
        <f>IF(C448="","",IFERROR(INDEX(Jobs!$M$5:$M$604,MATCH(C448,Jobs!$A$5:$A$604,0)),""))</f>
        <v>0</v>
      </c>
      <c r="L448" s="51">
        <f>IF(B448="","",IF(E448&lt;&gt;"",E448,IF(C448="","",K448&amp;" - "&amp;TEXT(D448,"d mmm yyyy"))))</f>
        <v>0</v>
      </c>
      <c r="M448" s="21">
        <f>IF(B448="","",IF(G448&lt;&gt;"",G448,IFERROR(J448*1,0)))</f>
        <v>0</v>
      </c>
      <c r="N448" s="21">
        <f>IF(B448="","",ROUND(IF(F448="",1,F448)*M448,2))</f>
        <v>0</v>
      </c>
      <c r="O448" s="39">
        <f>IF(B448="","",IF(C448="","",IF(COUNTIFS($C$5:$C$804,C448)&gt;1,"Duplicate","OK")))</f>
        <v>0</v>
      </c>
      <c r="P448" s="31">
        <f>IF(OR(B448="",E448=""),"",COUNTIFS($B$5:B448,B448))</f>
        <v>0</v>
      </c>
      <c r="Q448" s="23">
        <f>IF(P448="","",B448&amp;"|"&amp;P448)</f>
        <v>0</v>
      </c>
      <c r="R448" s="39">
        <f>IF(B448="","",IF(O448="Duplicate","Duplicate - job billed twice",IF(M448=0,"Add - no price on this line",IF(AND(C448="",E448=""),"Add - what is this line for?","OK"))))</f>
        <v>0</v>
      </c>
    </row>
    <row r="449" spans="1:18">
      <c r="A449" s="43">
        <f>IF(B449="","","IL-"&amp;TEXT(ROW()-4,"0000"))</f>
        <v>0</v>
      </c>
      <c r="D449" s="18">
        <f>IF(C449="","",IFERROR(INDEX(Jobs!$B$5:$B$604,MATCH(C449,Jobs!$A$5:$A$604,0)),""))</f>
        <v>0</v>
      </c>
      <c r="J449" s="21">
        <f>IF(C449="","",IFERROR(INDEX(Jobs!$AJ$5:$AJ$604,MATCH(C449,Jobs!$A$5:$A$604,0)),"0"))</f>
        <v>0</v>
      </c>
      <c r="K449" s="23">
        <f>IF(C449="","",IFERROR(INDEX(Jobs!$M$5:$M$604,MATCH(C449,Jobs!$A$5:$A$604,0)),""))</f>
        <v>0</v>
      </c>
      <c r="L449" s="51">
        <f>IF(B449="","",IF(E449&lt;&gt;"",E449,IF(C449="","",K449&amp;" - "&amp;TEXT(D449,"d mmm yyyy"))))</f>
        <v>0</v>
      </c>
      <c r="M449" s="21">
        <f>IF(B449="","",IF(G449&lt;&gt;"",G449,IFERROR(J449*1,0)))</f>
        <v>0</v>
      </c>
      <c r="N449" s="21">
        <f>IF(B449="","",ROUND(IF(F449="",1,F449)*M449,2))</f>
        <v>0</v>
      </c>
      <c r="O449" s="39">
        <f>IF(B449="","",IF(C449="","",IF(COUNTIFS($C$5:$C$804,C449)&gt;1,"Duplicate","OK")))</f>
        <v>0</v>
      </c>
      <c r="P449" s="31">
        <f>IF(OR(B449="",E449=""),"",COUNTIFS($B$5:B449,B449))</f>
        <v>0</v>
      </c>
      <c r="Q449" s="23">
        <f>IF(P449="","",B449&amp;"|"&amp;P449)</f>
        <v>0</v>
      </c>
      <c r="R449" s="39">
        <f>IF(B449="","",IF(O449="Duplicate","Duplicate - job billed twice",IF(M449=0,"Add - no price on this line",IF(AND(C449="",E449=""),"Add - what is this line for?","OK"))))</f>
        <v>0</v>
      </c>
    </row>
    <row r="450" spans="1:18">
      <c r="A450" s="43">
        <f>IF(B450="","","IL-"&amp;TEXT(ROW()-4,"0000"))</f>
        <v>0</v>
      </c>
      <c r="D450" s="18">
        <f>IF(C450="","",IFERROR(INDEX(Jobs!$B$5:$B$604,MATCH(C450,Jobs!$A$5:$A$604,0)),""))</f>
        <v>0</v>
      </c>
      <c r="J450" s="21">
        <f>IF(C450="","",IFERROR(INDEX(Jobs!$AJ$5:$AJ$604,MATCH(C450,Jobs!$A$5:$A$604,0)),"0"))</f>
        <v>0</v>
      </c>
      <c r="K450" s="23">
        <f>IF(C450="","",IFERROR(INDEX(Jobs!$M$5:$M$604,MATCH(C450,Jobs!$A$5:$A$604,0)),""))</f>
        <v>0</v>
      </c>
      <c r="L450" s="51">
        <f>IF(B450="","",IF(E450&lt;&gt;"",E450,IF(C450="","",K450&amp;" - "&amp;TEXT(D450,"d mmm yyyy"))))</f>
        <v>0</v>
      </c>
      <c r="M450" s="21">
        <f>IF(B450="","",IF(G450&lt;&gt;"",G450,IFERROR(J450*1,0)))</f>
        <v>0</v>
      </c>
      <c r="N450" s="21">
        <f>IF(B450="","",ROUND(IF(F450="",1,F450)*M450,2))</f>
        <v>0</v>
      </c>
      <c r="O450" s="39">
        <f>IF(B450="","",IF(C450="","",IF(COUNTIFS($C$5:$C$804,C450)&gt;1,"Duplicate","OK")))</f>
        <v>0</v>
      </c>
      <c r="P450" s="31">
        <f>IF(OR(B450="",E450=""),"",COUNTIFS($B$5:B450,B450))</f>
        <v>0</v>
      </c>
      <c r="Q450" s="23">
        <f>IF(P450="","",B450&amp;"|"&amp;P450)</f>
        <v>0</v>
      </c>
      <c r="R450" s="39">
        <f>IF(B450="","",IF(O450="Duplicate","Duplicate - job billed twice",IF(M450=0,"Add - no price on this line",IF(AND(C450="",E450=""),"Add - what is this line for?","OK"))))</f>
        <v>0</v>
      </c>
    </row>
    <row r="451" spans="1:18">
      <c r="A451" s="43">
        <f>IF(B451="","","IL-"&amp;TEXT(ROW()-4,"0000"))</f>
        <v>0</v>
      </c>
      <c r="D451" s="18">
        <f>IF(C451="","",IFERROR(INDEX(Jobs!$B$5:$B$604,MATCH(C451,Jobs!$A$5:$A$604,0)),""))</f>
        <v>0</v>
      </c>
      <c r="J451" s="21">
        <f>IF(C451="","",IFERROR(INDEX(Jobs!$AJ$5:$AJ$604,MATCH(C451,Jobs!$A$5:$A$604,0)),"0"))</f>
        <v>0</v>
      </c>
      <c r="K451" s="23">
        <f>IF(C451="","",IFERROR(INDEX(Jobs!$M$5:$M$604,MATCH(C451,Jobs!$A$5:$A$604,0)),""))</f>
        <v>0</v>
      </c>
      <c r="L451" s="51">
        <f>IF(B451="","",IF(E451&lt;&gt;"",E451,IF(C451="","",K451&amp;" - "&amp;TEXT(D451,"d mmm yyyy"))))</f>
        <v>0</v>
      </c>
      <c r="M451" s="21">
        <f>IF(B451="","",IF(G451&lt;&gt;"",G451,IFERROR(J451*1,0)))</f>
        <v>0</v>
      </c>
      <c r="N451" s="21">
        <f>IF(B451="","",ROUND(IF(F451="",1,F451)*M451,2))</f>
        <v>0</v>
      </c>
      <c r="O451" s="39">
        <f>IF(B451="","",IF(C451="","",IF(COUNTIFS($C$5:$C$804,C451)&gt;1,"Duplicate","OK")))</f>
        <v>0</v>
      </c>
      <c r="P451" s="31">
        <f>IF(OR(B451="",E451=""),"",COUNTIFS($B$5:B451,B451))</f>
        <v>0</v>
      </c>
      <c r="Q451" s="23">
        <f>IF(P451="","",B451&amp;"|"&amp;P451)</f>
        <v>0</v>
      </c>
      <c r="R451" s="39">
        <f>IF(B451="","",IF(O451="Duplicate","Duplicate - job billed twice",IF(M451=0,"Add - no price on this line",IF(AND(C451="",E451=""),"Add - what is this line for?","OK"))))</f>
        <v>0</v>
      </c>
    </row>
    <row r="452" spans="1:18">
      <c r="A452" s="43">
        <f>IF(B452="","","IL-"&amp;TEXT(ROW()-4,"0000"))</f>
        <v>0</v>
      </c>
      <c r="D452" s="18">
        <f>IF(C452="","",IFERROR(INDEX(Jobs!$B$5:$B$604,MATCH(C452,Jobs!$A$5:$A$604,0)),""))</f>
        <v>0</v>
      </c>
      <c r="J452" s="21">
        <f>IF(C452="","",IFERROR(INDEX(Jobs!$AJ$5:$AJ$604,MATCH(C452,Jobs!$A$5:$A$604,0)),"0"))</f>
        <v>0</v>
      </c>
      <c r="K452" s="23">
        <f>IF(C452="","",IFERROR(INDEX(Jobs!$M$5:$M$604,MATCH(C452,Jobs!$A$5:$A$604,0)),""))</f>
        <v>0</v>
      </c>
      <c r="L452" s="51">
        <f>IF(B452="","",IF(E452&lt;&gt;"",E452,IF(C452="","",K452&amp;" - "&amp;TEXT(D452,"d mmm yyyy"))))</f>
        <v>0</v>
      </c>
      <c r="M452" s="21">
        <f>IF(B452="","",IF(G452&lt;&gt;"",G452,IFERROR(J452*1,0)))</f>
        <v>0</v>
      </c>
      <c r="N452" s="21">
        <f>IF(B452="","",ROUND(IF(F452="",1,F452)*M452,2))</f>
        <v>0</v>
      </c>
      <c r="O452" s="39">
        <f>IF(B452="","",IF(C452="","",IF(COUNTIFS($C$5:$C$804,C452)&gt;1,"Duplicate","OK")))</f>
        <v>0</v>
      </c>
      <c r="P452" s="31">
        <f>IF(OR(B452="",E452=""),"",COUNTIFS($B$5:B452,B452))</f>
        <v>0</v>
      </c>
      <c r="Q452" s="23">
        <f>IF(P452="","",B452&amp;"|"&amp;P452)</f>
        <v>0</v>
      </c>
      <c r="R452" s="39">
        <f>IF(B452="","",IF(O452="Duplicate","Duplicate - job billed twice",IF(M452=0,"Add - no price on this line",IF(AND(C452="",E452=""),"Add - what is this line for?","OK"))))</f>
        <v>0</v>
      </c>
    </row>
    <row r="453" spans="1:18">
      <c r="A453" s="43">
        <f>IF(B453="","","IL-"&amp;TEXT(ROW()-4,"0000"))</f>
        <v>0</v>
      </c>
      <c r="D453" s="18">
        <f>IF(C453="","",IFERROR(INDEX(Jobs!$B$5:$B$604,MATCH(C453,Jobs!$A$5:$A$604,0)),""))</f>
        <v>0</v>
      </c>
      <c r="J453" s="21">
        <f>IF(C453="","",IFERROR(INDEX(Jobs!$AJ$5:$AJ$604,MATCH(C453,Jobs!$A$5:$A$604,0)),"0"))</f>
        <v>0</v>
      </c>
      <c r="K453" s="23">
        <f>IF(C453="","",IFERROR(INDEX(Jobs!$M$5:$M$604,MATCH(C453,Jobs!$A$5:$A$604,0)),""))</f>
        <v>0</v>
      </c>
      <c r="L453" s="51">
        <f>IF(B453="","",IF(E453&lt;&gt;"",E453,IF(C453="","",K453&amp;" - "&amp;TEXT(D453,"d mmm yyyy"))))</f>
        <v>0</v>
      </c>
      <c r="M453" s="21">
        <f>IF(B453="","",IF(G453&lt;&gt;"",G453,IFERROR(J453*1,0)))</f>
        <v>0</v>
      </c>
      <c r="N453" s="21">
        <f>IF(B453="","",ROUND(IF(F453="",1,F453)*M453,2))</f>
        <v>0</v>
      </c>
      <c r="O453" s="39">
        <f>IF(B453="","",IF(C453="","",IF(COUNTIFS($C$5:$C$804,C453)&gt;1,"Duplicate","OK")))</f>
        <v>0</v>
      </c>
      <c r="P453" s="31">
        <f>IF(OR(B453="",E453=""),"",COUNTIFS($B$5:B453,B453))</f>
        <v>0</v>
      </c>
      <c r="Q453" s="23">
        <f>IF(P453="","",B453&amp;"|"&amp;P453)</f>
        <v>0</v>
      </c>
      <c r="R453" s="39">
        <f>IF(B453="","",IF(O453="Duplicate","Duplicate - job billed twice",IF(M453=0,"Add - no price on this line",IF(AND(C453="",E453=""),"Add - what is this line for?","OK"))))</f>
        <v>0</v>
      </c>
    </row>
    <row r="454" spans="1:18">
      <c r="A454" s="43">
        <f>IF(B454="","","IL-"&amp;TEXT(ROW()-4,"0000"))</f>
        <v>0</v>
      </c>
      <c r="D454" s="18">
        <f>IF(C454="","",IFERROR(INDEX(Jobs!$B$5:$B$604,MATCH(C454,Jobs!$A$5:$A$604,0)),""))</f>
        <v>0</v>
      </c>
      <c r="J454" s="21">
        <f>IF(C454="","",IFERROR(INDEX(Jobs!$AJ$5:$AJ$604,MATCH(C454,Jobs!$A$5:$A$604,0)),"0"))</f>
        <v>0</v>
      </c>
      <c r="K454" s="23">
        <f>IF(C454="","",IFERROR(INDEX(Jobs!$M$5:$M$604,MATCH(C454,Jobs!$A$5:$A$604,0)),""))</f>
        <v>0</v>
      </c>
      <c r="L454" s="51">
        <f>IF(B454="","",IF(E454&lt;&gt;"",E454,IF(C454="","",K454&amp;" - "&amp;TEXT(D454,"d mmm yyyy"))))</f>
        <v>0</v>
      </c>
      <c r="M454" s="21">
        <f>IF(B454="","",IF(G454&lt;&gt;"",G454,IFERROR(J454*1,0)))</f>
        <v>0</v>
      </c>
      <c r="N454" s="21">
        <f>IF(B454="","",ROUND(IF(F454="",1,F454)*M454,2))</f>
        <v>0</v>
      </c>
      <c r="O454" s="39">
        <f>IF(B454="","",IF(C454="","",IF(COUNTIFS($C$5:$C$804,C454)&gt;1,"Duplicate","OK")))</f>
        <v>0</v>
      </c>
      <c r="P454" s="31">
        <f>IF(OR(B454="",E454=""),"",COUNTIFS($B$5:B454,B454))</f>
        <v>0</v>
      </c>
      <c r="Q454" s="23">
        <f>IF(P454="","",B454&amp;"|"&amp;P454)</f>
        <v>0</v>
      </c>
      <c r="R454" s="39">
        <f>IF(B454="","",IF(O454="Duplicate","Duplicate - job billed twice",IF(M454=0,"Add - no price on this line",IF(AND(C454="",E454=""),"Add - what is this line for?","OK"))))</f>
        <v>0</v>
      </c>
    </row>
    <row r="455" spans="1:18">
      <c r="A455" s="43">
        <f>IF(B455="","","IL-"&amp;TEXT(ROW()-4,"0000"))</f>
        <v>0</v>
      </c>
      <c r="D455" s="18">
        <f>IF(C455="","",IFERROR(INDEX(Jobs!$B$5:$B$604,MATCH(C455,Jobs!$A$5:$A$604,0)),""))</f>
        <v>0</v>
      </c>
      <c r="J455" s="21">
        <f>IF(C455="","",IFERROR(INDEX(Jobs!$AJ$5:$AJ$604,MATCH(C455,Jobs!$A$5:$A$604,0)),"0"))</f>
        <v>0</v>
      </c>
      <c r="K455" s="23">
        <f>IF(C455="","",IFERROR(INDEX(Jobs!$M$5:$M$604,MATCH(C455,Jobs!$A$5:$A$604,0)),""))</f>
        <v>0</v>
      </c>
      <c r="L455" s="51">
        <f>IF(B455="","",IF(E455&lt;&gt;"",E455,IF(C455="","",K455&amp;" - "&amp;TEXT(D455,"d mmm yyyy"))))</f>
        <v>0</v>
      </c>
      <c r="M455" s="21">
        <f>IF(B455="","",IF(G455&lt;&gt;"",G455,IFERROR(J455*1,0)))</f>
        <v>0</v>
      </c>
      <c r="N455" s="21">
        <f>IF(B455="","",ROUND(IF(F455="",1,F455)*M455,2))</f>
        <v>0</v>
      </c>
      <c r="O455" s="39">
        <f>IF(B455="","",IF(C455="","",IF(COUNTIFS($C$5:$C$804,C455)&gt;1,"Duplicate","OK")))</f>
        <v>0</v>
      </c>
      <c r="P455" s="31">
        <f>IF(OR(B455="",E455=""),"",COUNTIFS($B$5:B455,B455))</f>
        <v>0</v>
      </c>
      <c r="Q455" s="23">
        <f>IF(P455="","",B455&amp;"|"&amp;P455)</f>
        <v>0</v>
      </c>
      <c r="R455" s="39">
        <f>IF(B455="","",IF(O455="Duplicate","Duplicate - job billed twice",IF(M455=0,"Add - no price on this line",IF(AND(C455="",E455=""),"Add - what is this line for?","OK"))))</f>
        <v>0</v>
      </c>
    </row>
    <row r="456" spans="1:18">
      <c r="A456" s="43">
        <f>IF(B456="","","IL-"&amp;TEXT(ROW()-4,"0000"))</f>
        <v>0</v>
      </c>
      <c r="D456" s="18">
        <f>IF(C456="","",IFERROR(INDEX(Jobs!$B$5:$B$604,MATCH(C456,Jobs!$A$5:$A$604,0)),""))</f>
        <v>0</v>
      </c>
      <c r="J456" s="21">
        <f>IF(C456="","",IFERROR(INDEX(Jobs!$AJ$5:$AJ$604,MATCH(C456,Jobs!$A$5:$A$604,0)),"0"))</f>
        <v>0</v>
      </c>
      <c r="K456" s="23">
        <f>IF(C456="","",IFERROR(INDEX(Jobs!$M$5:$M$604,MATCH(C456,Jobs!$A$5:$A$604,0)),""))</f>
        <v>0</v>
      </c>
      <c r="L456" s="51">
        <f>IF(B456="","",IF(E456&lt;&gt;"",E456,IF(C456="","",K456&amp;" - "&amp;TEXT(D456,"d mmm yyyy"))))</f>
        <v>0</v>
      </c>
      <c r="M456" s="21">
        <f>IF(B456="","",IF(G456&lt;&gt;"",G456,IFERROR(J456*1,0)))</f>
        <v>0</v>
      </c>
      <c r="N456" s="21">
        <f>IF(B456="","",ROUND(IF(F456="",1,F456)*M456,2))</f>
        <v>0</v>
      </c>
      <c r="O456" s="39">
        <f>IF(B456="","",IF(C456="","",IF(COUNTIFS($C$5:$C$804,C456)&gt;1,"Duplicate","OK")))</f>
        <v>0</v>
      </c>
      <c r="P456" s="31">
        <f>IF(OR(B456="",E456=""),"",COUNTIFS($B$5:B456,B456))</f>
        <v>0</v>
      </c>
      <c r="Q456" s="23">
        <f>IF(P456="","",B456&amp;"|"&amp;P456)</f>
        <v>0</v>
      </c>
      <c r="R456" s="39">
        <f>IF(B456="","",IF(O456="Duplicate","Duplicate - job billed twice",IF(M456=0,"Add - no price on this line",IF(AND(C456="",E456=""),"Add - what is this line for?","OK"))))</f>
        <v>0</v>
      </c>
    </row>
    <row r="457" spans="1:18">
      <c r="A457" s="43">
        <f>IF(B457="","","IL-"&amp;TEXT(ROW()-4,"0000"))</f>
        <v>0</v>
      </c>
      <c r="D457" s="18">
        <f>IF(C457="","",IFERROR(INDEX(Jobs!$B$5:$B$604,MATCH(C457,Jobs!$A$5:$A$604,0)),""))</f>
        <v>0</v>
      </c>
      <c r="J457" s="21">
        <f>IF(C457="","",IFERROR(INDEX(Jobs!$AJ$5:$AJ$604,MATCH(C457,Jobs!$A$5:$A$604,0)),"0"))</f>
        <v>0</v>
      </c>
      <c r="K457" s="23">
        <f>IF(C457="","",IFERROR(INDEX(Jobs!$M$5:$M$604,MATCH(C457,Jobs!$A$5:$A$604,0)),""))</f>
        <v>0</v>
      </c>
      <c r="L457" s="51">
        <f>IF(B457="","",IF(E457&lt;&gt;"",E457,IF(C457="","",K457&amp;" - "&amp;TEXT(D457,"d mmm yyyy"))))</f>
        <v>0</v>
      </c>
      <c r="M457" s="21">
        <f>IF(B457="","",IF(G457&lt;&gt;"",G457,IFERROR(J457*1,0)))</f>
        <v>0</v>
      </c>
      <c r="N457" s="21">
        <f>IF(B457="","",ROUND(IF(F457="",1,F457)*M457,2))</f>
        <v>0</v>
      </c>
      <c r="O457" s="39">
        <f>IF(B457="","",IF(C457="","",IF(COUNTIFS($C$5:$C$804,C457)&gt;1,"Duplicate","OK")))</f>
        <v>0</v>
      </c>
      <c r="P457" s="31">
        <f>IF(OR(B457="",E457=""),"",COUNTIFS($B$5:B457,B457))</f>
        <v>0</v>
      </c>
      <c r="Q457" s="23">
        <f>IF(P457="","",B457&amp;"|"&amp;P457)</f>
        <v>0</v>
      </c>
      <c r="R457" s="39">
        <f>IF(B457="","",IF(O457="Duplicate","Duplicate - job billed twice",IF(M457=0,"Add - no price on this line",IF(AND(C457="",E457=""),"Add - what is this line for?","OK"))))</f>
        <v>0</v>
      </c>
    </row>
    <row r="458" spans="1:18">
      <c r="A458" s="43">
        <f>IF(B458="","","IL-"&amp;TEXT(ROW()-4,"0000"))</f>
        <v>0</v>
      </c>
      <c r="D458" s="18">
        <f>IF(C458="","",IFERROR(INDEX(Jobs!$B$5:$B$604,MATCH(C458,Jobs!$A$5:$A$604,0)),""))</f>
        <v>0</v>
      </c>
      <c r="J458" s="21">
        <f>IF(C458="","",IFERROR(INDEX(Jobs!$AJ$5:$AJ$604,MATCH(C458,Jobs!$A$5:$A$604,0)),"0"))</f>
        <v>0</v>
      </c>
      <c r="K458" s="23">
        <f>IF(C458="","",IFERROR(INDEX(Jobs!$M$5:$M$604,MATCH(C458,Jobs!$A$5:$A$604,0)),""))</f>
        <v>0</v>
      </c>
      <c r="L458" s="51">
        <f>IF(B458="","",IF(E458&lt;&gt;"",E458,IF(C458="","",K458&amp;" - "&amp;TEXT(D458,"d mmm yyyy"))))</f>
        <v>0</v>
      </c>
      <c r="M458" s="21">
        <f>IF(B458="","",IF(G458&lt;&gt;"",G458,IFERROR(J458*1,0)))</f>
        <v>0</v>
      </c>
      <c r="N458" s="21">
        <f>IF(B458="","",ROUND(IF(F458="",1,F458)*M458,2))</f>
        <v>0</v>
      </c>
      <c r="O458" s="39">
        <f>IF(B458="","",IF(C458="","",IF(COUNTIFS($C$5:$C$804,C458)&gt;1,"Duplicate","OK")))</f>
        <v>0</v>
      </c>
      <c r="P458" s="31">
        <f>IF(OR(B458="",E458=""),"",COUNTIFS($B$5:B458,B458))</f>
        <v>0</v>
      </c>
      <c r="Q458" s="23">
        <f>IF(P458="","",B458&amp;"|"&amp;P458)</f>
        <v>0</v>
      </c>
      <c r="R458" s="39">
        <f>IF(B458="","",IF(O458="Duplicate","Duplicate - job billed twice",IF(M458=0,"Add - no price on this line",IF(AND(C458="",E458=""),"Add - what is this line for?","OK"))))</f>
        <v>0</v>
      </c>
    </row>
    <row r="459" spans="1:18">
      <c r="A459" s="43">
        <f>IF(B459="","","IL-"&amp;TEXT(ROW()-4,"0000"))</f>
        <v>0</v>
      </c>
      <c r="D459" s="18">
        <f>IF(C459="","",IFERROR(INDEX(Jobs!$B$5:$B$604,MATCH(C459,Jobs!$A$5:$A$604,0)),""))</f>
        <v>0</v>
      </c>
      <c r="J459" s="21">
        <f>IF(C459="","",IFERROR(INDEX(Jobs!$AJ$5:$AJ$604,MATCH(C459,Jobs!$A$5:$A$604,0)),"0"))</f>
        <v>0</v>
      </c>
      <c r="K459" s="23">
        <f>IF(C459="","",IFERROR(INDEX(Jobs!$M$5:$M$604,MATCH(C459,Jobs!$A$5:$A$604,0)),""))</f>
        <v>0</v>
      </c>
      <c r="L459" s="51">
        <f>IF(B459="","",IF(E459&lt;&gt;"",E459,IF(C459="","",K459&amp;" - "&amp;TEXT(D459,"d mmm yyyy"))))</f>
        <v>0</v>
      </c>
      <c r="M459" s="21">
        <f>IF(B459="","",IF(G459&lt;&gt;"",G459,IFERROR(J459*1,0)))</f>
        <v>0</v>
      </c>
      <c r="N459" s="21">
        <f>IF(B459="","",ROUND(IF(F459="",1,F459)*M459,2))</f>
        <v>0</v>
      </c>
      <c r="O459" s="39">
        <f>IF(B459="","",IF(C459="","",IF(COUNTIFS($C$5:$C$804,C459)&gt;1,"Duplicate","OK")))</f>
        <v>0</v>
      </c>
      <c r="P459" s="31">
        <f>IF(OR(B459="",E459=""),"",COUNTIFS($B$5:B459,B459))</f>
        <v>0</v>
      </c>
      <c r="Q459" s="23">
        <f>IF(P459="","",B459&amp;"|"&amp;P459)</f>
        <v>0</v>
      </c>
      <c r="R459" s="39">
        <f>IF(B459="","",IF(O459="Duplicate","Duplicate - job billed twice",IF(M459=0,"Add - no price on this line",IF(AND(C459="",E459=""),"Add - what is this line for?","OK"))))</f>
        <v>0</v>
      </c>
    </row>
    <row r="460" spans="1:18">
      <c r="A460" s="43">
        <f>IF(B460="","","IL-"&amp;TEXT(ROW()-4,"0000"))</f>
        <v>0</v>
      </c>
      <c r="D460" s="18">
        <f>IF(C460="","",IFERROR(INDEX(Jobs!$B$5:$B$604,MATCH(C460,Jobs!$A$5:$A$604,0)),""))</f>
        <v>0</v>
      </c>
      <c r="J460" s="21">
        <f>IF(C460="","",IFERROR(INDEX(Jobs!$AJ$5:$AJ$604,MATCH(C460,Jobs!$A$5:$A$604,0)),"0"))</f>
        <v>0</v>
      </c>
      <c r="K460" s="23">
        <f>IF(C460="","",IFERROR(INDEX(Jobs!$M$5:$M$604,MATCH(C460,Jobs!$A$5:$A$604,0)),""))</f>
        <v>0</v>
      </c>
      <c r="L460" s="51">
        <f>IF(B460="","",IF(E460&lt;&gt;"",E460,IF(C460="","",K460&amp;" - "&amp;TEXT(D460,"d mmm yyyy"))))</f>
        <v>0</v>
      </c>
      <c r="M460" s="21">
        <f>IF(B460="","",IF(G460&lt;&gt;"",G460,IFERROR(J460*1,0)))</f>
        <v>0</v>
      </c>
      <c r="N460" s="21">
        <f>IF(B460="","",ROUND(IF(F460="",1,F460)*M460,2))</f>
        <v>0</v>
      </c>
      <c r="O460" s="39">
        <f>IF(B460="","",IF(C460="","",IF(COUNTIFS($C$5:$C$804,C460)&gt;1,"Duplicate","OK")))</f>
        <v>0</v>
      </c>
      <c r="P460" s="31">
        <f>IF(OR(B460="",E460=""),"",COUNTIFS($B$5:B460,B460))</f>
        <v>0</v>
      </c>
      <c r="Q460" s="23">
        <f>IF(P460="","",B460&amp;"|"&amp;P460)</f>
        <v>0</v>
      </c>
      <c r="R460" s="39">
        <f>IF(B460="","",IF(O460="Duplicate","Duplicate - job billed twice",IF(M460=0,"Add - no price on this line",IF(AND(C460="",E460=""),"Add - what is this line for?","OK"))))</f>
        <v>0</v>
      </c>
    </row>
    <row r="461" spans="1:18">
      <c r="A461" s="43">
        <f>IF(B461="","","IL-"&amp;TEXT(ROW()-4,"0000"))</f>
        <v>0</v>
      </c>
      <c r="D461" s="18">
        <f>IF(C461="","",IFERROR(INDEX(Jobs!$B$5:$B$604,MATCH(C461,Jobs!$A$5:$A$604,0)),""))</f>
        <v>0</v>
      </c>
      <c r="J461" s="21">
        <f>IF(C461="","",IFERROR(INDEX(Jobs!$AJ$5:$AJ$604,MATCH(C461,Jobs!$A$5:$A$604,0)),"0"))</f>
        <v>0</v>
      </c>
      <c r="K461" s="23">
        <f>IF(C461="","",IFERROR(INDEX(Jobs!$M$5:$M$604,MATCH(C461,Jobs!$A$5:$A$604,0)),""))</f>
        <v>0</v>
      </c>
      <c r="L461" s="51">
        <f>IF(B461="","",IF(E461&lt;&gt;"",E461,IF(C461="","",K461&amp;" - "&amp;TEXT(D461,"d mmm yyyy"))))</f>
        <v>0</v>
      </c>
      <c r="M461" s="21">
        <f>IF(B461="","",IF(G461&lt;&gt;"",G461,IFERROR(J461*1,0)))</f>
        <v>0</v>
      </c>
      <c r="N461" s="21">
        <f>IF(B461="","",ROUND(IF(F461="",1,F461)*M461,2))</f>
        <v>0</v>
      </c>
      <c r="O461" s="39">
        <f>IF(B461="","",IF(C461="","",IF(COUNTIFS($C$5:$C$804,C461)&gt;1,"Duplicate","OK")))</f>
        <v>0</v>
      </c>
      <c r="P461" s="31">
        <f>IF(OR(B461="",E461=""),"",COUNTIFS($B$5:B461,B461))</f>
        <v>0</v>
      </c>
      <c r="Q461" s="23">
        <f>IF(P461="","",B461&amp;"|"&amp;P461)</f>
        <v>0</v>
      </c>
      <c r="R461" s="39">
        <f>IF(B461="","",IF(O461="Duplicate","Duplicate - job billed twice",IF(M461=0,"Add - no price on this line",IF(AND(C461="",E461=""),"Add - what is this line for?","OK"))))</f>
        <v>0</v>
      </c>
    </row>
    <row r="462" spans="1:18">
      <c r="A462" s="43">
        <f>IF(B462="","","IL-"&amp;TEXT(ROW()-4,"0000"))</f>
        <v>0</v>
      </c>
      <c r="D462" s="18">
        <f>IF(C462="","",IFERROR(INDEX(Jobs!$B$5:$B$604,MATCH(C462,Jobs!$A$5:$A$604,0)),""))</f>
        <v>0</v>
      </c>
      <c r="J462" s="21">
        <f>IF(C462="","",IFERROR(INDEX(Jobs!$AJ$5:$AJ$604,MATCH(C462,Jobs!$A$5:$A$604,0)),"0"))</f>
        <v>0</v>
      </c>
      <c r="K462" s="23">
        <f>IF(C462="","",IFERROR(INDEX(Jobs!$M$5:$M$604,MATCH(C462,Jobs!$A$5:$A$604,0)),""))</f>
        <v>0</v>
      </c>
      <c r="L462" s="51">
        <f>IF(B462="","",IF(E462&lt;&gt;"",E462,IF(C462="","",K462&amp;" - "&amp;TEXT(D462,"d mmm yyyy"))))</f>
        <v>0</v>
      </c>
      <c r="M462" s="21">
        <f>IF(B462="","",IF(G462&lt;&gt;"",G462,IFERROR(J462*1,0)))</f>
        <v>0</v>
      </c>
      <c r="N462" s="21">
        <f>IF(B462="","",ROUND(IF(F462="",1,F462)*M462,2))</f>
        <v>0</v>
      </c>
      <c r="O462" s="39">
        <f>IF(B462="","",IF(C462="","",IF(COUNTIFS($C$5:$C$804,C462)&gt;1,"Duplicate","OK")))</f>
        <v>0</v>
      </c>
      <c r="P462" s="31">
        <f>IF(OR(B462="",E462=""),"",COUNTIFS($B$5:B462,B462))</f>
        <v>0</v>
      </c>
      <c r="Q462" s="23">
        <f>IF(P462="","",B462&amp;"|"&amp;P462)</f>
        <v>0</v>
      </c>
      <c r="R462" s="39">
        <f>IF(B462="","",IF(O462="Duplicate","Duplicate - job billed twice",IF(M462=0,"Add - no price on this line",IF(AND(C462="",E462=""),"Add - what is this line for?","OK"))))</f>
        <v>0</v>
      </c>
    </row>
    <row r="463" spans="1:18">
      <c r="A463" s="43">
        <f>IF(B463="","","IL-"&amp;TEXT(ROW()-4,"0000"))</f>
        <v>0</v>
      </c>
      <c r="D463" s="18">
        <f>IF(C463="","",IFERROR(INDEX(Jobs!$B$5:$B$604,MATCH(C463,Jobs!$A$5:$A$604,0)),""))</f>
        <v>0</v>
      </c>
      <c r="J463" s="21">
        <f>IF(C463="","",IFERROR(INDEX(Jobs!$AJ$5:$AJ$604,MATCH(C463,Jobs!$A$5:$A$604,0)),"0"))</f>
        <v>0</v>
      </c>
      <c r="K463" s="23">
        <f>IF(C463="","",IFERROR(INDEX(Jobs!$M$5:$M$604,MATCH(C463,Jobs!$A$5:$A$604,0)),""))</f>
        <v>0</v>
      </c>
      <c r="L463" s="51">
        <f>IF(B463="","",IF(E463&lt;&gt;"",E463,IF(C463="","",K463&amp;" - "&amp;TEXT(D463,"d mmm yyyy"))))</f>
        <v>0</v>
      </c>
      <c r="M463" s="21">
        <f>IF(B463="","",IF(G463&lt;&gt;"",G463,IFERROR(J463*1,0)))</f>
        <v>0</v>
      </c>
      <c r="N463" s="21">
        <f>IF(B463="","",ROUND(IF(F463="",1,F463)*M463,2))</f>
        <v>0</v>
      </c>
      <c r="O463" s="39">
        <f>IF(B463="","",IF(C463="","",IF(COUNTIFS($C$5:$C$804,C463)&gt;1,"Duplicate","OK")))</f>
        <v>0</v>
      </c>
      <c r="P463" s="31">
        <f>IF(OR(B463="",E463=""),"",COUNTIFS($B$5:B463,B463))</f>
        <v>0</v>
      </c>
      <c r="Q463" s="23">
        <f>IF(P463="","",B463&amp;"|"&amp;P463)</f>
        <v>0</v>
      </c>
      <c r="R463" s="39">
        <f>IF(B463="","",IF(O463="Duplicate","Duplicate - job billed twice",IF(M463=0,"Add - no price on this line",IF(AND(C463="",E463=""),"Add - what is this line for?","OK"))))</f>
        <v>0</v>
      </c>
    </row>
    <row r="464" spans="1:18">
      <c r="A464" s="43">
        <f>IF(B464="","","IL-"&amp;TEXT(ROW()-4,"0000"))</f>
        <v>0</v>
      </c>
      <c r="D464" s="18">
        <f>IF(C464="","",IFERROR(INDEX(Jobs!$B$5:$B$604,MATCH(C464,Jobs!$A$5:$A$604,0)),""))</f>
        <v>0</v>
      </c>
      <c r="J464" s="21">
        <f>IF(C464="","",IFERROR(INDEX(Jobs!$AJ$5:$AJ$604,MATCH(C464,Jobs!$A$5:$A$604,0)),"0"))</f>
        <v>0</v>
      </c>
      <c r="K464" s="23">
        <f>IF(C464="","",IFERROR(INDEX(Jobs!$M$5:$M$604,MATCH(C464,Jobs!$A$5:$A$604,0)),""))</f>
        <v>0</v>
      </c>
      <c r="L464" s="51">
        <f>IF(B464="","",IF(E464&lt;&gt;"",E464,IF(C464="","",K464&amp;" - "&amp;TEXT(D464,"d mmm yyyy"))))</f>
        <v>0</v>
      </c>
      <c r="M464" s="21">
        <f>IF(B464="","",IF(G464&lt;&gt;"",G464,IFERROR(J464*1,0)))</f>
        <v>0</v>
      </c>
      <c r="N464" s="21">
        <f>IF(B464="","",ROUND(IF(F464="",1,F464)*M464,2))</f>
        <v>0</v>
      </c>
      <c r="O464" s="39">
        <f>IF(B464="","",IF(C464="","",IF(COUNTIFS($C$5:$C$804,C464)&gt;1,"Duplicate","OK")))</f>
        <v>0</v>
      </c>
      <c r="P464" s="31">
        <f>IF(OR(B464="",E464=""),"",COUNTIFS($B$5:B464,B464))</f>
        <v>0</v>
      </c>
      <c r="Q464" s="23">
        <f>IF(P464="","",B464&amp;"|"&amp;P464)</f>
        <v>0</v>
      </c>
      <c r="R464" s="39">
        <f>IF(B464="","",IF(O464="Duplicate","Duplicate - job billed twice",IF(M464=0,"Add - no price on this line",IF(AND(C464="",E464=""),"Add - what is this line for?","OK"))))</f>
        <v>0</v>
      </c>
    </row>
    <row r="465" spans="1:18">
      <c r="A465" s="43">
        <f>IF(B465="","","IL-"&amp;TEXT(ROW()-4,"0000"))</f>
        <v>0</v>
      </c>
      <c r="D465" s="18">
        <f>IF(C465="","",IFERROR(INDEX(Jobs!$B$5:$B$604,MATCH(C465,Jobs!$A$5:$A$604,0)),""))</f>
        <v>0</v>
      </c>
      <c r="J465" s="21">
        <f>IF(C465="","",IFERROR(INDEX(Jobs!$AJ$5:$AJ$604,MATCH(C465,Jobs!$A$5:$A$604,0)),"0"))</f>
        <v>0</v>
      </c>
      <c r="K465" s="23">
        <f>IF(C465="","",IFERROR(INDEX(Jobs!$M$5:$M$604,MATCH(C465,Jobs!$A$5:$A$604,0)),""))</f>
        <v>0</v>
      </c>
      <c r="L465" s="51">
        <f>IF(B465="","",IF(E465&lt;&gt;"",E465,IF(C465="","",K465&amp;" - "&amp;TEXT(D465,"d mmm yyyy"))))</f>
        <v>0</v>
      </c>
      <c r="M465" s="21">
        <f>IF(B465="","",IF(G465&lt;&gt;"",G465,IFERROR(J465*1,0)))</f>
        <v>0</v>
      </c>
      <c r="N465" s="21">
        <f>IF(B465="","",ROUND(IF(F465="",1,F465)*M465,2))</f>
        <v>0</v>
      </c>
      <c r="O465" s="39">
        <f>IF(B465="","",IF(C465="","",IF(COUNTIFS($C$5:$C$804,C465)&gt;1,"Duplicate","OK")))</f>
        <v>0</v>
      </c>
      <c r="P465" s="31">
        <f>IF(OR(B465="",E465=""),"",COUNTIFS($B$5:B465,B465))</f>
        <v>0</v>
      </c>
      <c r="Q465" s="23">
        <f>IF(P465="","",B465&amp;"|"&amp;P465)</f>
        <v>0</v>
      </c>
      <c r="R465" s="39">
        <f>IF(B465="","",IF(O465="Duplicate","Duplicate - job billed twice",IF(M465=0,"Add - no price on this line",IF(AND(C465="",E465=""),"Add - what is this line for?","OK"))))</f>
        <v>0</v>
      </c>
    </row>
    <row r="466" spans="1:18">
      <c r="A466" s="43">
        <f>IF(B466="","","IL-"&amp;TEXT(ROW()-4,"0000"))</f>
        <v>0</v>
      </c>
      <c r="D466" s="18">
        <f>IF(C466="","",IFERROR(INDEX(Jobs!$B$5:$B$604,MATCH(C466,Jobs!$A$5:$A$604,0)),""))</f>
        <v>0</v>
      </c>
      <c r="J466" s="21">
        <f>IF(C466="","",IFERROR(INDEX(Jobs!$AJ$5:$AJ$604,MATCH(C466,Jobs!$A$5:$A$604,0)),"0"))</f>
        <v>0</v>
      </c>
      <c r="K466" s="23">
        <f>IF(C466="","",IFERROR(INDEX(Jobs!$M$5:$M$604,MATCH(C466,Jobs!$A$5:$A$604,0)),""))</f>
        <v>0</v>
      </c>
      <c r="L466" s="51">
        <f>IF(B466="","",IF(E466&lt;&gt;"",E466,IF(C466="","",K466&amp;" - "&amp;TEXT(D466,"d mmm yyyy"))))</f>
        <v>0</v>
      </c>
      <c r="M466" s="21">
        <f>IF(B466="","",IF(G466&lt;&gt;"",G466,IFERROR(J466*1,0)))</f>
        <v>0</v>
      </c>
      <c r="N466" s="21">
        <f>IF(B466="","",ROUND(IF(F466="",1,F466)*M466,2))</f>
        <v>0</v>
      </c>
      <c r="O466" s="39">
        <f>IF(B466="","",IF(C466="","",IF(COUNTIFS($C$5:$C$804,C466)&gt;1,"Duplicate","OK")))</f>
        <v>0</v>
      </c>
      <c r="P466" s="31">
        <f>IF(OR(B466="",E466=""),"",COUNTIFS($B$5:B466,B466))</f>
        <v>0</v>
      </c>
      <c r="Q466" s="23">
        <f>IF(P466="","",B466&amp;"|"&amp;P466)</f>
        <v>0</v>
      </c>
      <c r="R466" s="39">
        <f>IF(B466="","",IF(O466="Duplicate","Duplicate - job billed twice",IF(M466=0,"Add - no price on this line",IF(AND(C466="",E466=""),"Add - what is this line for?","OK"))))</f>
        <v>0</v>
      </c>
    </row>
    <row r="467" spans="1:18">
      <c r="A467" s="43">
        <f>IF(B467="","","IL-"&amp;TEXT(ROW()-4,"0000"))</f>
        <v>0</v>
      </c>
      <c r="D467" s="18">
        <f>IF(C467="","",IFERROR(INDEX(Jobs!$B$5:$B$604,MATCH(C467,Jobs!$A$5:$A$604,0)),""))</f>
        <v>0</v>
      </c>
      <c r="J467" s="21">
        <f>IF(C467="","",IFERROR(INDEX(Jobs!$AJ$5:$AJ$604,MATCH(C467,Jobs!$A$5:$A$604,0)),"0"))</f>
        <v>0</v>
      </c>
      <c r="K467" s="23">
        <f>IF(C467="","",IFERROR(INDEX(Jobs!$M$5:$M$604,MATCH(C467,Jobs!$A$5:$A$604,0)),""))</f>
        <v>0</v>
      </c>
      <c r="L467" s="51">
        <f>IF(B467="","",IF(E467&lt;&gt;"",E467,IF(C467="","",K467&amp;" - "&amp;TEXT(D467,"d mmm yyyy"))))</f>
        <v>0</v>
      </c>
      <c r="M467" s="21">
        <f>IF(B467="","",IF(G467&lt;&gt;"",G467,IFERROR(J467*1,0)))</f>
        <v>0</v>
      </c>
      <c r="N467" s="21">
        <f>IF(B467="","",ROUND(IF(F467="",1,F467)*M467,2))</f>
        <v>0</v>
      </c>
      <c r="O467" s="39">
        <f>IF(B467="","",IF(C467="","",IF(COUNTIFS($C$5:$C$804,C467)&gt;1,"Duplicate","OK")))</f>
        <v>0</v>
      </c>
      <c r="P467" s="31">
        <f>IF(OR(B467="",E467=""),"",COUNTIFS($B$5:B467,B467))</f>
        <v>0</v>
      </c>
      <c r="Q467" s="23">
        <f>IF(P467="","",B467&amp;"|"&amp;P467)</f>
        <v>0</v>
      </c>
      <c r="R467" s="39">
        <f>IF(B467="","",IF(O467="Duplicate","Duplicate - job billed twice",IF(M467=0,"Add - no price on this line",IF(AND(C467="",E467=""),"Add - what is this line for?","OK"))))</f>
        <v>0</v>
      </c>
    </row>
    <row r="468" spans="1:18">
      <c r="A468" s="43">
        <f>IF(B468="","","IL-"&amp;TEXT(ROW()-4,"0000"))</f>
        <v>0</v>
      </c>
      <c r="D468" s="18">
        <f>IF(C468="","",IFERROR(INDEX(Jobs!$B$5:$B$604,MATCH(C468,Jobs!$A$5:$A$604,0)),""))</f>
        <v>0</v>
      </c>
      <c r="J468" s="21">
        <f>IF(C468="","",IFERROR(INDEX(Jobs!$AJ$5:$AJ$604,MATCH(C468,Jobs!$A$5:$A$604,0)),"0"))</f>
        <v>0</v>
      </c>
      <c r="K468" s="23">
        <f>IF(C468="","",IFERROR(INDEX(Jobs!$M$5:$M$604,MATCH(C468,Jobs!$A$5:$A$604,0)),""))</f>
        <v>0</v>
      </c>
      <c r="L468" s="51">
        <f>IF(B468="","",IF(E468&lt;&gt;"",E468,IF(C468="","",K468&amp;" - "&amp;TEXT(D468,"d mmm yyyy"))))</f>
        <v>0</v>
      </c>
      <c r="M468" s="21">
        <f>IF(B468="","",IF(G468&lt;&gt;"",G468,IFERROR(J468*1,0)))</f>
        <v>0</v>
      </c>
      <c r="N468" s="21">
        <f>IF(B468="","",ROUND(IF(F468="",1,F468)*M468,2))</f>
        <v>0</v>
      </c>
      <c r="O468" s="39">
        <f>IF(B468="","",IF(C468="","",IF(COUNTIFS($C$5:$C$804,C468)&gt;1,"Duplicate","OK")))</f>
        <v>0</v>
      </c>
      <c r="P468" s="31">
        <f>IF(OR(B468="",E468=""),"",COUNTIFS($B$5:B468,B468))</f>
        <v>0</v>
      </c>
      <c r="Q468" s="23">
        <f>IF(P468="","",B468&amp;"|"&amp;P468)</f>
        <v>0</v>
      </c>
      <c r="R468" s="39">
        <f>IF(B468="","",IF(O468="Duplicate","Duplicate - job billed twice",IF(M468=0,"Add - no price on this line",IF(AND(C468="",E468=""),"Add - what is this line for?","OK"))))</f>
        <v>0</v>
      </c>
    </row>
    <row r="469" spans="1:18">
      <c r="A469" s="43">
        <f>IF(B469="","","IL-"&amp;TEXT(ROW()-4,"0000"))</f>
        <v>0</v>
      </c>
      <c r="D469" s="18">
        <f>IF(C469="","",IFERROR(INDEX(Jobs!$B$5:$B$604,MATCH(C469,Jobs!$A$5:$A$604,0)),""))</f>
        <v>0</v>
      </c>
      <c r="J469" s="21">
        <f>IF(C469="","",IFERROR(INDEX(Jobs!$AJ$5:$AJ$604,MATCH(C469,Jobs!$A$5:$A$604,0)),"0"))</f>
        <v>0</v>
      </c>
      <c r="K469" s="23">
        <f>IF(C469="","",IFERROR(INDEX(Jobs!$M$5:$M$604,MATCH(C469,Jobs!$A$5:$A$604,0)),""))</f>
        <v>0</v>
      </c>
      <c r="L469" s="51">
        <f>IF(B469="","",IF(E469&lt;&gt;"",E469,IF(C469="","",K469&amp;" - "&amp;TEXT(D469,"d mmm yyyy"))))</f>
        <v>0</v>
      </c>
      <c r="M469" s="21">
        <f>IF(B469="","",IF(G469&lt;&gt;"",G469,IFERROR(J469*1,0)))</f>
        <v>0</v>
      </c>
      <c r="N469" s="21">
        <f>IF(B469="","",ROUND(IF(F469="",1,F469)*M469,2))</f>
        <v>0</v>
      </c>
      <c r="O469" s="39">
        <f>IF(B469="","",IF(C469="","",IF(COUNTIFS($C$5:$C$804,C469)&gt;1,"Duplicate","OK")))</f>
        <v>0</v>
      </c>
      <c r="P469" s="31">
        <f>IF(OR(B469="",E469=""),"",COUNTIFS($B$5:B469,B469))</f>
        <v>0</v>
      </c>
      <c r="Q469" s="23">
        <f>IF(P469="","",B469&amp;"|"&amp;P469)</f>
        <v>0</v>
      </c>
      <c r="R469" s="39">
        <f>IF(B469="","",IF(O469="Duplicate","Duplicate - job billed twice",IF(M469=0,"Add - no price on this line",IF(AND(C469="",E469=""),"Add - what is this line for?","OK"))))</f>
        <v>0</v>
      </c>
    </row>
    <row r="470" spans="1:18">
      <c r="A470" s="43">
        <f>IF(B470="","","IL-"&amp;TEXT(ROW()-4,"0000"))</f>
        <v>0</v>
      </c>
      <c r="D470" s="18">
        <f>IF(C470="","",IFERROR(INDEX(Jobs!$B$5:$B$604,MATCH(C470,Jobs!$A$5:$A$604,0)),""))</f>
        <v>0</v>
      </c>
      <c r="J470" s="21">
        <f>IF(C470="","",IFERROR(INDEX(Jobs!$AJ$5:$AJ$604,MATCH(C470,Jobs!$A$5:$A$604,0)),"0"))</f>
        <v>0</v>
      </c>
      <c r="K470" s="23">
        <f>IF(C470="","",IFERROR(INDEX(Jobs!$M$5:$M$604,MATCH(C470,Jobs!$A$5:$A$604,0)),""))</f>
        <v>0</v>
      </c>
      <c r="L470" s="51">
        <f>IF(B470="","",IF(E470&lt;&gt;"",E470,IF(C470="","",K470&amp;" - "&amp;TEXT(D470,"d mmm yyyy"))))</f>
        <v>0</v>
      </c>
      <c r="M470" s="21">
        <f>IF(B470="","",IF(G470&lt;&gt;"",G470,IFERROR(J470*1,0)))</f>
        <v>0</v>
      </c>
      <c r="N470" s="21">
        <f>IF(B470="","",ROUND(IF(F470="",1,F470)*M470,2))</f>
        <v>0</v>
      </c>
      <c r="O470" s="39">
        <f>IF(B470="","",IF(C470="","",IF(COUNTIFS($C$5:$C$804,C470)&gt;1,"Duplicate","OK")))</f>
        <v>0</v>
      </c>
      <c r="P470" s="31">
        <f>IF(OR(B470="",E470=""),"",COUNTIFS($B$5:B470,B470))</f>
        <v>0</v>
      </c>
      <c r="Q470" s="23">
        <f>IF(P470="","",B470&amp;"|"&amp;P470)</f>
        <v>0</v>
      </c>
      <c r="R470" s="39">
        <f>IF(B470="","",IF(O470="Duplicate","Duplicate - job billed twice",IF(M470=0,"Add - no price on this line",IF(AND(C470="",E470=""),"Add - what is this line for?","OK"))))</f>
        <v>0</v>
      </c>
    </row>
    <row r="471" spans="1:18">
      <c r="A471" s="43">
        <f>IF(B471="","","IL-"&amp;TEXT(ROW()-4,"0000"))</f>
        <v>0</v>
      </c>
      <c r="D471" s="18">
        <f>IF(C471="","",IFERROR(INDEX(Jobs!$B$5:$B$604,MATCH(C471,Jobs!$A$5:$A$604,0)),""))</f>
        <v>0</v>
      </c>
      <c r="J471" s="21">
        <f>IF(C471="","",IFERROR(INDEX(Jobs!$AJ$5:$AJ$604,MATCH(C471,Jobs!$A$5:$A$604,0)),"0"))</f>
        <v>0</v>
      </c>
      <c r="K471" s="23">
        <f>IF(C471="","",IFERROR(INDEX(Jobs!$M$5:$M$604,MATCH(C471,Jobs!$A$5:$A$604,0)),""))</f>
        <v>0</v>
      </c>
      <c r="L471" s="51">
        <f>IF(B471="","",IF(E471&lt;&gt;"",E471,IF(C471="","",K471&amp;" - "&amp;TEXT(D471,"d mmm yyyy"))))</f>
        <v>0</v>
      </c>
      <c r="M471" s="21">
        <f>IF(B471="","",IF(G471&lt;&gt;"",G471,IFERROR(J471*1,0)))</f>
        <v>0</v>
      </c>
      <c r="N471" s="21">
        <f>IF(B471="","",ROUND(IF(F471="",1,F471)*M471,2))</f>
        <v>0</v>
      </c>
      <c r="O471" s="39">
        <f>IF(B471="","",IF(C471="","",IF(COUNTIFS($C$5:$C$804,C471)&gt;1,"Duplicate","OK")))</f>
        <v>0</v>
      </c>
      <c r="P471" s="31">
        <f>IF(OR(B471="",E471=""),"",COUNTIFS($B$5:B471,B471))</f>
        <v>0</v>
      </c>
      <c r="Q471" s="23">
        <f>IF(P471="","",B471&amp;"|"&amp;P471)</f>
        <v>0</v>
      </c>
      <c r="R471" s="39">
        <f>IF(B471="","",IF(O471="Duplicate","Duplicate - job billed twice",IF(M471=0,"Add - no price on this line",IF(AND(C471="",E471=""),"Add - what is this line for?","OK"))))</f>
        <v>0</v>
      </c>
    </row>
    <row r="472" spans="1:18">
      <c r="A472" s="43">
        <f>IF(B472="","","IL-"&amp;TEXT(ROW()-4,"0000"))</f>
        <v>0</v>
      </c>
      <c r="D472" s="18">
        <f>IF(C472="","",IFERROR(INDEX(Jobs!$B$5:$B$604,MATCH(C472,Jobs!$A$5:$A$604,0)),""))</f>
        <v>0</v>
      </c>
      <c r="J472" s="21">
        <f>IF(C472="","",IFERROR(INDEX(Jobs!$AJ$5:$AJ$604,MATCH(C472,Jobs!$A$5:$A$604,0)),"0"))</f>
        <v>0</v>
      </c>
      <c r="K472" s="23">
        <f>IF(C472="","",IFERROR(INDEX(Jobs!$M$5:$M$604,MATCH(C472,Jobs!$A$5:$A$604,0)),""))</f>
        <v>0</v>
      </c>
      <c r="L472" s="51">
        <f>IF(B472="","",IF(E472&lt;&gt;"",E472,IF(C472="","",K472&amp;" - "&amp;TEXT(D472,"d mmm yyyy"))))</f>
        <v>0</v>
      </c>
      <c r="M472" s="21">
        <f>IF(B472="","",IF(G472&lt;&gt;"",G472,IFERROR(J472*1,0)))</f>
        <v>0</v>
      </c>
      <c r="N472" s="21">
        <f>IF(B472="","",ROUND(IF(F472="",1,F472)*M472,2))</f>
        <v>0</v>
      </c>
      <c r="O472" s="39">
        <f>IF(B472="","",IF(C472="","",IF(COUNTIFS($C$5:$C$804,C472)&gt;1,"Duplicate","OK")))</f>
        <v>0</v>
      </c>
      <c r="P472" s="31">
        <f>IF(OR(B472="",E472=""),"",COUNTIFS($B$5:B472,B472))</f>
        <v>0</v>
      </c>
      <c r="Q472" s="23">
        <f>IF(P472="","",B472&amp;"|"&amp;P472)</f>
        <v>0</v>
      </c>
      <c r="R472" s="39">
        <f>IF(B472="","",IF(O472="Duplicate","Duplicate - job billed twice",IF(M472=0,"Add - no price on this line",IF(AND(C472="",E472=""),"Add - what is this line for?","OK"))))</f>
        <v>0</v>
      </c>
    </row>
    <row r="473" spans="1:18">
      <c r="A473" s="43">
        <f>IF(B473="","","IL-"&amp;TEXT(ROW()-4,"0000"))</f>
        <v>0</v>
      </c>
      <c r="D473" s="18">
        <f>IF(C473="","",IFERROR(INDEX(Jobs!$B$5:$B$604,MATCH(C473,Jobs!$A$5:$A$604,0)),""))</f>
        <v>0</v>
      </c>
      <c r="J473" s="21">
        <f>IF(C473="","",IFERROR(INDEX(Jobs!$AJ$5:$AJ$604,MATCH(C473,Jobs!$A$5:$A$604,0)),"0"))</f>
        <v>0</v>
      </c>
      <c r="K473" s="23">
        <f>IF(C473="","",IFERROR(INDEX(Jobs!$M$5:$M$604,MATCH(C473,Jobs!$A$5:$A$604,0)),""))</f>
        <v>0</v>
      </c>
      <c r="L473" s="51">
        <f>IF(B473="","",IF(E473&lt;&gt;"",E473,IF(C473="","",K473&amp;" - "&amp;TEXT(D473,"d mmm yyyy"))))</f>
        <v>0</v>
      </c>
      <c r="M473" s="21">
        <f>IF(B473="","",IF(G473&lt;&gt;"",G473,IFERROR(J473*1,0)))</f>
        <v>0</v>
      </c>
      <c r="N473" s="21">
        <f>IF(B473="","",ROUND(IF(F473="",1,F473)*M473,2))</f>
        <v>0</v>
      </c>
      <c r="O473" s="39">
        <f>IF(B473="","",IF(C473="","",IF(COUNTIFS($C$5:$C$804,C473)&gt;1,"Duplicate","OK")))</f>
        <v>0</v>
      </c>
      <c r="P473" s="31">
        <f>IF(OR(B473="",E473=""),"",COUNTIFS($B$5:B473,B473))</f>
        <v>0</v>
      </c>
      <c r="Q473" s="23">
        <f>IF(P473="","",B473&amp;"|"&amp;P473)</f>
        <v>0</v>
      </c>
      <c r="R473" s="39">
        <f>IF(B473="","",IF(O473="Duplicate","Duplicate - job billed twice",IF(M473=0,"Add - no price on this line",IF(AND(C473="",E473=""),"Add - what is this line for?","OK"))))</f>
        <v>0</v>
      </c>
    </row>
    <row r="474" spans="1:18">
      <c r="A474" s="43">
        <f>IF(B474="","","IL-"&amp;TEXT(ROW()-4,"0000"))</f>
        <v>0</v>
      </c>
      <c r="D474" s="18">
        <f>IF(C474="","",IFERROR(INDEX(Jobs!$B$5:$B$604,MATCH(C474,Jobs!$A$5:$A$604,0)),""))</f>
        <v>0</v>
      </c>
      <c r="J474" s="21">
        <f>IF(C474="","",IFERROR(INDEX(Jobs!$AJ$5:$AJ$604,MATCH(C474,Jobs!$A$5:$A$604,0)),"0"))</f>
        <v>0</v>
      </c>
      <c r="K474" s="23">
        <f>IF(C474="","",IFERROR(INDEX(Jobs!$M$5:$M$604,MATCH(C474,Jobs!$A$5:$A$604,0)),""))</f>
        <v>0</v>
      </c>
      <c r="L474" s="51">
        <f>IF(B474="","",IF(E474&lt;&gt;"",E474,IF(C474="","",K474&amp;" - "&amp;TEXT(D474,"d mmm yyyy"))))</f>
        <v>0</v>
      </c>
      <c r="M474" s="21">
        <f>IF(B474="","",IF(G474&lt;&gt;"",G474,IFERROR(J474*1,0)))</f>
        <v>0</v>
      </c>
      <c r="N474" s="21">
        <f>IF(B474="","",ROUND(IF(F474="",1,F474)*M474,2))</f>
        <v>0</v>
      </c>
      <c r="O474" s="39">
        <f>IF(B474="","",IF(C474="","",IF(COUNTIFS($C$5:$C$804,C474)&gt;1,"Duplicate","OK")))</f>
        <v>0</v>
      </c>
      <c r="P474" s="31">
        <f>IF(OR(B474="",E474=""),"",COUNTIFS($B$5:B474,B474))</f>
        <v>0</v>
      </c>
      <c r="Q474" s="23">
        <f>IF(P474="","",B474&amp;"|"&amp;P474)</f>
        <v>0</v>
      </c>
      <c r="R474" s="39">
        <f>IF(B474="","",IF(O474="Duplicate","Duplicate - job billed twice",IF(M474=0,"Add - no price on this line",IF(AND(C474="",E474=""),"Add - what is this line for?","OK"))))</f>
        <v>0</v>
      </c>
    </row>
    <row r="475" spans="1:18">
      <c r="A475" s="43">
        <f>IF(B475="","","IL-"&amp;TEXT(ROW()-4,"0000"))</f>
        <v>0</v>
      </c>
      <c r="D475" s="18">
        <f>IF(C475="","",IFERROR(INDEX(Jobs!$B$5:$B$604,MATCH(C475,Jobs!$A$5:$A$604,0)),""))</f>
        <v>0</v>
      </c>
      <c r="J475" s="21">
        <f>IF(C475="","",IFERROR(INDEX(Jobs!$AJ$5:$AJ$604,MATCH(C475,Jobs!$A$5:$A$604,0)),"0"))</f>
        <v>0</v>
      </c>
      <c r="K475" s="23">
        <f>IF(C475="","",IFERROR(INDEX(Jobs!$M$5:$M$604,MATCH(C475,Jobs!$A$5:$A$604,0)),""))</f>
        <v>0</v>
      </c>
      <c r="L475" s="51">
        <f>IF(B475="","",IF(E475&lt;&gt;"",E475,IF(C475="","",K475&amp;" - "&amp;TEXT(D475,"d mmm yyyy"))))</f>
        <v>0</v>
      </c>
      <c r="M475" s="21">
        <f>IF(B475="","",IF(G475&lt;&gt;"",G475,IFERROR(J475*1,0)))</f>
        <v>0</v>
      </c>
      <c r="N475" s="21">
        <f>IF(B475="","",ROUND(IF(F475="",1,F475)*M475,2))</f>
        <v>0</v>
      </c>
      <c r="O475" s="39">
        <f>IF(B475="","",IF(C475="","",IF(COUNTIFS($C$5:$C$804,C475)&gt;1,"Duplicate","OK")))</f>
        <v>0</v>
      </c>
      <c r="P475" s="31">
        <f>IF(OR(B475="",E475=""),"",COUNTIFS($B$5:B475,B475))</f>
        <v>0</v>
      </c>
      <c r="Q475" s="23">
        <f>IF(P475="","",B475&amp;"|"&amp;P475)</f>
        <v>0</v>
      </c>
      <c r="R475" s="39">
        <f>IF(B475="","",IF(O475="Duplicate","Duplicate - job billed twice",IF(M475=0,"Add - no price on this line",IF(AND(C475="",E475=""),"Add - what is this line for?","OK"))))</f>
        <v>0</v>
      </c>
    </row>
    <row r="476" spans="1:18">
      <c r="A476" s="43">
        <f>IF(B476="","","IL-"&amp;TEXT(ROW()-4,"0000"))</f>
        <v>0</v>
      </c>
      <c r="D476" s="18">
        <f>IF(C476="","",IFERROR(INDEX(Jobs!$B$5:$B$604,MATCH(C476,Jobs!$A$5:$A$604,0)),""))</f>
        <v>0</v>
      </c>
      <c r="J476" s="21">
        <f>IF(C476="","",IFERROR(INDEX(Jobs!$AJ$5:$AJ$604,MATCH(C476,Jobs!$A$5:$A$604,0)),"0"))</f>
        <v>0</v>
      </c>
      <c r="K476" s="23">
        <f>IF(C476="","",IFERROR(INDEX(Jobs!$M$5:$M$604,MATCH(C476,Jobs!$A$5:$A$604,0)),""))</f>
        <v>0</v>
      </c>
      <c r="L476" s="51">
        <f>IF(B476="","",IF(E476&lt;&gt;"",E476,IF(C476="","",K476&amp;" - "&amp;TEXT(D476,"d mmm yyyy"))))</f>
        <v>0</v>
      </c>
      <c r="M476" s="21">
        <f>IF(B476="","",IF(G476&lt;&gt;"",G476,IFERROR(J476*1,0)))</f>
        <v>0</v>
      </c>
      <c r="N476" s="21">
        <f>IF(B476="","",ROUND(IF(F476="",1,F476)*M476,2))</f>
        <v>0</v>
      </c>
      <c r="O476" s="39">
        <f>IF(B476="","",IF(C476="","",IF(COUNTIFS($C$5:$C$804,C476)&gt;1,"Duplicate","OK")))</f>
        <v>0</v>
      </c>
      <c r="P476" s="31">
        <f>IF(OR(B476="",E476=""),"",COUNTIFS($B$5:B476,B476))</f>
        <v>0</v>
      </c>
      <c r="Q476" s="23">
        <f>IF(P476="","",B476&amp;"|"&amp;P476)</f>
        <v>0</v>
      </c>
      <c r="R476" s="39">
        <f>IF(B476="","",IF(O476="Duplicate","Duplicate - job billed twice",IF(M476=0,"Add - no price on this line",IF(AND(C476="",E476=""),"Add - what is this line for?","OK"))))</f>
        <v>0</v>
      </c>
    </row>
    <row r="477" spans="1:18">
      <c r="A477" s="43">
        <f>IF(B477="","","IL-"&amp;TEXT(ROW()-4,"0000"))</f>
        <v>0</v>
      </c>
      <c r="D477" s="18">
        <f>IF(C477="","",IFERROR(INDEX(Jobs!$B$5:$B$604,MATCH(C477,Jobs!$A$5:$A$604,0)),""))</f>
        <v>0</v>
      </c>
      <c r="J477" s="21">
        <f>IF(C477="","",IFERROR(INDEX(Jobs!$AJ$5:$AJ$604,MATCH(C477,Jobs!$A$5:$A$604,0)),"0"))</f>
        <v>0</v>
      </c>
      <c r="K477" s="23">
        <f>IF(C477="","",IFERROR(INDEX(Jobs!$M$5:$M$604,MATCH(C477,Jobs!$A$5:$A$604,0)),""))</f>
        <v>0</v>
      </c>
      <c r="L477" s="51">
        <f>IF(B477="","",IF(E477&lt;&gt;"",E477,IF(C477="","",K477&amp;" - "&amp;TEXT(D477,"d mmm yyyy"))))</f>
        <v>0</v>
      </c>
      <c r="M477" s="21">
        <f>IF(B477="","",IF(G477&lt;&gt;"",G477,IFERROR(J477*1,0)))</f>
        <v>0</v>
      </c>
      <c r="N477" s="21">
        <f>IF(B477="","",ROUND(IF(F477="",1,F477)*M477,2))</f>
        <v>0</v>
      </c>
      <c r="O477" s="39">
        <f>IF(B477="","",IF(C477="","",IF(COUNTIFS($C$5:$C$804,C477)&gt;1,"Duplicate","OK")))</f>
        <v>0</v>
      </c>
      <c r="P477" s="31">
        <f>IF(OR(B477="",E477=""),"",COUNTIFS($B$5:B477,B477))</f>
        <v>0</v>
      </c>
      <c r="Q477" s="23">
        <f>IF(P477="","",B477&amp;"|"&amp;P477)</f>
        <v>0</v>
      </c>
      <c r="R477" s="39">
        <f>IF(B477="","",IF(O477="Duplicate","Duplicate - job billed twice",IF(M477=0,"Add - no price on this line",IF(AND(C477="",E477=""),"Add - what is this line for?","OK"))))</f>
        <v>0</v>
      </c>
    </row>
    <row r="478" spans="1:18">
      <c r="A478" s="43">
        <f>IF(B478="","","IL-"&amp;TEXT(ROW()-4,"0000"))</f>
        <v>0</v>
      </c>
      <c r="D478" s="18">
        <f>IF(C478="","",IFERROR(INDEX(Jobs!$B$5:$B$604,MATCH(C478,Jobs!$A$5:$A$604,0)),""))</f>
        <v>0</v>
      </c>
      <c r="J478" s="21">
        <f>IF(C478="","",IFERROR(INDEX(Jobs!$AJ$5:$AJ$604,MATCH(C478,Jobs!$A$5:$A$604,0)),"0"))</f>
        <v>0</v>
      </c>
      <c r="K478" s="23">
        <f>IF(C478="","",IFERROR(INDEX(Jobs!$M$5:$M$604,MATCH(C478,Jobs!$A$5:$A$604,0)),""))</f>
        <v>0</v>
      </c>
      <c r="L478" s="51">
        <f>IF(B478="","",IF(E478&lt;&gt;"",E478,IF(C478="","",K478&amp;" - "&amp;TEXT(D478,"d mmm yyyy"))))</f>
        <v>0</v>
      </c>
      <c r="M478" s="21">
        <f>IF(B478="","",IF(G478&lt;&gt;"",G478,IFERROR(J478*1,0)))</f>
        <v>0</v>
      </c>
      <c r="N478" s="21">
        <f>IF(B478="","",ROUND(IF(F478="",1,F478)*M478,2))</f>
        <v>0</v>
      </c>
      <c r="O478" s="39">
        <f>IF(B478="","",IF(C478="","",IF(COUNTIFS($C$5:$C$804,C478)&gt;1,"Duplicate","OK")))</f>
        <v>0</v>
      </c>
      <c r="P478" s="31">
        <f>IF(OR(B478="",E478=""),"",COUNTIFS($B$5:B478,B478))</f>
        <v>0</v>
      </c>
      <c r="Q478" s="23">
        <f>IF(P478="","",B478&amp;"|"&amp;P478)</f>
        <v>0</v>
      </c>
      <c r="R478" s="39">
        <f>IF(B478="","",IF(O478="Duplicate","Duplicate - job billed twice",IF(M478=0,"Add - no price on this line",IF(AND(C478="",E478=""),"Add - what is this line for?","OK"))))</f>
        <v>0</v>
      </c>
    </row>
    <row r="479" spans="1:18">
      <c r="A479" s="43">
        <f>IF(B479="","","IL-"&amp;TEXT(ROW()-4,"0000"))</f>
        <v>0</v>
      </c>
      <c r="D479" s="18">
        <f>IF(C479="","",IFERROR(INDEX(Jobs!$B$5:$B$604,MATCH(C479,Jobs!$A$5:$A$604,0)),""))</f>
        <v>0</v>
      </c>
      <c r="J479" s="21">
        <f>IF(C479="","",IFERROR(INDEX(Jobs!$AJ$5:$AJ$604,MATCH(C479,Jobs!$A$5:$A$604,0)),"0"))</f>
        <v>0</v>
      </c>
      <c r="K479" s="23">
        <f>IF(C479="","",IFERROR(INDEX(Jobs!$M$5:$M$604,MATCH(C479,Jobs!$A$5:$A$604,0)),""))</f>
        <v>0</v>
      </c>
      <c r="L479" s="51">
        <f>IF(B479="","",IF(E479&lt;&gt;"",E479,IF(C479="","",K479&amp;" - "&amp;TEXT(D479,"d mmm yyyy"))))</f>
        <v>0</v>
      </c>
      <c r="M479" s="21">
        <f>IF(B479="","",IF(G479&lt;&gt;"",G479,IFERROR(J479*1,0)))</f>
        <v>0</v>
      </c>
      <c r="N479" s="21">
        <f>IF(B479="","",ROUND(IF(F479="",1,F479)*M479,2))</f>
        <v>0</v>
      </c>
      <c r="O479" s="39">
        <f>IF(B479="","",IF(C479="","",IF(COUNTIFS($C$5:$C$804,C479)&gt;1,"Duplicate","OK")))</f>
        <v>0</v>
      </c>
      <c r="P479" s="31">
        <f>IF(OR(B479="",E479=""),"",COUNTIFS($B$5:B479,B479))</f>
        <v>0</v>
      </c>
      <c r="Q479" s="23">
        <f>IF(P479="","",B479&amp;"|"&amp;P479)</f>
        <v>0</v>
      </c>
      <c r="R479" s="39">
        <f>IF(B479="","",IF(O479="Duplicate","Duplicate - job billed twice",IF(M479=0,"Add - no price on this line",IF(AND(C479="",E479=""),"Add - what is this line for?","OK"))))</f>
        <v>0</v>
      </c>
    </row>
    <row r="480" spans="1:18">
      <c r="A480" s="43">
        <f>IF(B480="","","IL-"&amp;TEXT(ROW()-4,"0000"))</f>
        <v>0</v>
      </c>
      <c r="D480" s="18">
        <f>IF(C480="","",IFERROR(INDEX(Jobs!$B$5:$B$604,MATCH(C480,Jobs!$A$5:$A$604,0)),""))</f>
        <v>0</v>
      </c>
      <c r="J480" s="21">
        <f>IF(C480="","",IFERROR(INDEX(Jobs!$AJ$5:$AJ$604,MATCH(C480,Jobs!$A$5:$A$604,0)),"0"))</f>
        <v>0</v>
      </c>
      <c r="K480" s="23">
        <f>IF(C480="","",IFERROR(INDEX(Jobs!$M$5:$M$604,MATCH(C480,Jobs!$A$5:$A$604,0)),""))</f>
        <v>0</v>
      </c>
      <c r="L480" s="51">
        <f>IF(B480="","",IF(E480&lt;&gt;"",E480,IF(C480="","",K480&amp;" - "&amp;TEXT(D480,"d mmm yyyy"))))</f>
        <v>0</v>
      </c>
      <c r="M480" s="21">
        <f>IF(B480="","",IF(G480&lt;&gt;"",G480,IFERROR(J480*1,0)))</f>
        <v>0</v>
      </c>
      <c r="N480" s="21">
        <f>IF(B480="","",ROUND(IF(F480="",1,F480)*M480,2))</f>
        <v>0</v>
      </c>
      <c r="O480" s="39">
        <f>IF(B480="","",IF(C480="","",IF(COUNTIFS($C$5:$C$804,C480)&gt;1,"Duplicate","OK")))</f>
        <v>0</v>
      </c>
      <c r="P480" s="31">
        <f>IF(OR(B480="",E480=""),"",COUNTIFS($B$5:B480,B480))</f>
        <v>0</v>
      </c>
      <c r="Q480" s="23">
        <f>IF(P480="","",B480&amp;"|"&amp;P480)</f>
        <v>0</v>
      </c>
      <c r="R480" s="39">
        <f>IF(B480="","",IF(O480="Duplicate","Duplicate - job billed twice",IF(M480=0,"Add - no price on this line",IF(AND(C480="",E480=""),"Add - what is this line for?","OK"))))</f>
        <v>0</v>
      </c>
    </row>
    <row r="481" spans="1:18">
      <c r="A481" s="43">
        <f>IF(B481="","","IL-"&amp;TEXT(ROW()-4,"0000"))</f>
        <v>0</v>
      </c>
      <c r="D481" s="18">
        <f>IF(C481="","",IFERROR(INDEX(Jobs!$B$5:$B$604,MATCH(C481,Jobs!$A$5:$A$604,0)),""))</f>
        <v>0</v>
      </c>
      <c r="J481" s="21">
        <f>IF(C481="","",IFERROR(INDEX(Jobs!$AJ$5:$AJ$604,MATCH(C481,Jobs!$A$5:$A$604,0)),"0"))</f>
        <v>0</v>
      </c>
      <c r="K481" s="23">
        <f>IF(C481="","",IFERROR(INDEX(Jobs!$M$5:$M$604,MATCH(C481,Jobs!$A$5:$A$604,0)),""))</f>
        <v>0</v>
      </c>
      <c r="L481" s="51">
        <f>IF(B481="","",IF(E481&lt;&gt;"",E481,IF(C481="","",K481&amp;" - "&amp;TEXT(D481,"d mmm yyyy"))))</f>
        <v>0</v>
      </c>
      <c r="M481" s="21">
        <f>IF(B481="","",IF(G481&lt;&gt;"",G481,IFERROR(J481*1,0)))</f>
        <v>0</v>
      </c>
      <c r="N481" s="21">
        <f>IF(B481="","",ROUND(IF(F481="",1,F481)*M481,2))</f>
        <v>0</v>
      </c>
      <c r="O481" s="39">
        <f>IF(B481="","",IF(C481="","",IF(COUNTIFS($C$5:$C$804,C481)&gt;1,"Duplicate","OK")))</f>
        <v>0</v>
      </c>
      <c r="P481" s="31">
        <f>IF(OR(B481="",E481=""),"",COUNTIFS($B$5:B481,B481))</f>
        <v>0</v>
      </c>
      <c r="Q481" s="23">
        <f>IF(P481="","",B481&amp;"|"&amp;P481)</f>
        <v>0</v>
      </c>
      <c r="R481" s="39">
        <f>IF(B481="","",IF(O481="Duplicate","Duplicate - job billed twice",IF(M481=0,"Add - no price on this line",IF(AND(C481="",E481=""),"Add - what is this line for?","OK"))))</f>
        <v>0</v>
      </c>
    </row>
    <row r="482" spans="1:18">
      <c r="A482" s="43">
        <f>IF(B482="","","IL-"&amp;TEXT(ROW()-4,"0000"))</f>
        <v>0</v>
      </c>
      <c r="D482" s="18">
        <f>IF(C482="","",IFERROR(INDEX(Jobs!$B$5:$B$604,MATCH(C482,Jobs!$A$5:$A$604,0)),""))</f>
        <v>0</v>
      </c>
      <c r="J482" s="21">
        <f>IF(C482="","",IFERROR(INDEX(Jobs!$AJ$5:$AJ$604,MATCH(C482,Jobs!$A$5:$A$604,0)),"0"))</f>
        <v>0</v>
      </c>
      <c r="K482" s="23">
        <f>IF(C482="","",IFERROR(INDEX(Jobs!$M$5:$M$604,MATCH(C482,Jobs!$A$5:$A$604,0)),""))</f>
        <v>0</v>
      </c>
      <c r="L482" s="51">
        <f>IF(B482="","",IF(E482&lt;&gt;"",E482,IF(C482="","",K482&amp;" - "&amp;TEXT(D482,"d mmm yyyy"))))</f>
        <v>0</v>
      </c>
      <c r="M482" s="21">
        <f>IF(B482="","",IF(G482&lt;&gt;"",G482,IFERROR(J482*1,0)))</f>
        <v>0</v>
      </c>
      <c r="N482" s="21">
        <f>IF(B482="","",ROUND(IF(F482="",1,F482)*M482,2))</f>
        <v>0</v>
      </c>
      <c r="O482" s="39">
        <f>IF(B482="","",IF(C482="","",IF(COUNTIFS($C$5:$C$804,C482)&gt;1,"Duplicate","OK")))</f>
        <v>0</v>
      </c>
      <c r="P482" s="31">
        <f>IF(OR(B482="",E482=""),"",COUNTIFS($B$5:B482,B482))</f>
        <v>0</v>
      </c>
      <c r="Q482" s="23">
        <f>IF(P482="","",B482&amp;"|"&amp;P482)</f>
        <v>0</v>
      </c>
      <c r="R482" s="39">
        <f>IF(B482="","",IF(O482="Duplicate","Duplicate - job billed twice",IF(M482=0,"Add - no price on this line",IF(AND(C482="",E482=""),"Add - what is this line for?","OK"))))</f>
        <v>0</v>
      </c>
    </row>
    <row r="483" spans="1:18">
      <c r="A483" s="43">
        <f>IF(B483="","","IL-"&amp;TEXT(ROW()-4,"0000"))</f>
        <v>0</v>
      </c>
      <c r="D483" s="18">
        <f>IF(C483="","",IFERROR(INDEX(Jobs!$B$5:$B$604,MATCH(C483,Jobs!$A$5:$A$604,0)),""))</f>
        <v>0</v>
      </c>
      <c r="J483" s="21">
        <f>IF(C483="","",IFERROR(INDEX(Jobs!$AJ$5:$AJ$604,MATCH(C483,Jobs!$A$5:$A$604,0)),"0"))</f>
        <v>0</v>
      </c>
      <c r="K483" s="23">
        <f>IF(C483="","",IFERROR(INDEX(Jobs!$M$5:$M$604,MATCH(C483,Jobs!$A$5:$A$604,0)),""))</f>
        <v>0</v>
      </c>
      <c r="L483" s="51">
        <f>IF(B483="","",IF(E483&lt;&gt;"",E483,IF(C483="","",K483&amp;" - "&amp;TEXT(D483,"d mmm yyyy"))))</f>
        <v>0</v>
      </c>
      <c r="M483" s="21">
        <f>IF(B483="","",IF(G483&lt;&gt;"",G483,IFERROR(J483*1,0)))</f>
        <v>0</v>
      </c>
      <c r="N483" s="21">
        <f>IF(B483="","",ROUND(IF(F483="",1,F483)*M483,2))</f>
        <v>0</v>
      </c>
      <c r="O483" s="39">
        <f>IF(B483="","",IF(C483="","",IF(COUNTIFS($C$5:$C$804,C483)&gt;1,"Duplicate","OK")))</f>
        <v>0</v>
      </c>
      <c r="P483" s="31">
        <f>IF(OR(B483="",E483=""),"",COUNTIFS($B$5:B483,B483))</f>
        <v>0</v>
      </c>
      <c r="Q483" s="23">
        <f>IF(P483="","",B483&amp;"|"&amp;P483)</f>
        <v>0</v>
      </c>
      <c r="R483" s="39">
        <f>IF(B483="","",IF(O483="Duplicate","Duplicate - job billed twice",IF(M483=0,"Add - no price on this line",IF(AND(C483="",E483=""),"Add - what is this line for?","OK"))))</f>
        <v>0</v>
      </c>
    </row>
    <row r="484" spans="1:18">
      <c r="A484" s="43">
        <f>IF(B484="","","IL-"&amp;TEXT(ROW()-4,"0000"))</f>
        <v>0</v>
      </c>
      <c r="D484" s="18">
        <f>IF(C484="","",IFERROR(INDEX(Jobs!$B$5:$B$604,MATCH(C484,Jobs!$A$5:$A$604,0)),""))</f>
        <v>0</v>
      </c>
      <c r="J484" s="21">
        <f>IF(C484="","",IFERROR(INDEX(Jobs!$AJ$5:$AJ$604,MATCH(C484,Jobs!$A$5:$A$604,0)),"0"))</f>
        <v>0</v>
      </c>
      <c r="K484" s="23">
        <f>IF(C484="","",IFERROR(INDEX(Jobs!$M$5:$M$604,MATCH(C484,Jobs!$A$5:$A$604,0)),""))</f>
        <v>0</v>
      </c>
      <c r="L484" s="51">
        <f>IF(B484="","",IF(E484&lt;&gt;"",E484,IF(C484="","",K484&amp;" - "&amp;TEXT(D484,"d mmm yyyy"))))</f>
        <v>0</v>
      </c>
      <c r="M484" s="21">
        <f>IF(B484="","",IF(G484&lt;&gt;"",G484,IFERROR(J484*1,0)))</f>
        <v>0</v>
      </c>
      <c r="N484" s="21">
        <f>IF(B484="","",ROUND(IF(F484="",1,F484)*M484,2))</f>
        <v>0</v>
      </c>
      <c r="O484" s="39">
        <f>IF(B484="","",IF(C484="","",IF(COUNTIFS($C$5:$C$804,C484)&gt;1,"Duplicate","OK")))</f>
        <v>0</v>
      </c>
      <c r="P484" s="31">
        <f>IF(OR(B484="",E484=""),"",COUNTIFS($B$5:B484,B484))</f>
        <v>0</v>
      </c>
      <c r="Q484" s="23">
        <f>IF(P484="","",B484&amp;"|"&amp;P484)</f>
        <v>0</v>
      </c>
      <c r="R484" s="39">
        <f>IF(B484="","",IF(O484="Duplicate","Duplicate - job billed twice",IF(M484=0,"Add - no price on this line",IF(AND(C484="",E484=""),"Add - what is this line for?","OK"))))</f>
        <v>0</v>
      </c>
    </row>
    <row r="485" spans="1:18">
      <c r="A485" s="43">
        <f>IF(B485="","","IL-"&amp;TEXT(ROW()-4,"0000"))</f>
        <v>0</v>
      </c>
      <c r="D485" s="18">
        <f>IF(C485="","",IFERROR(INDEX(Jobs!$B$5:$B$604,MATCH(C485,Jobs!$A$5:$A$604,0)),""))</f>
        <v>0</v>
      </c>
      <c r="J485" s="21">
        <f>IF(C485="","",IFERROR(INDEX(Jobs!$AJ$5:$AJ$604,MATCH(C485,Jobs!$A$5:$A$604,0)),"0"))</f>
        <v>0</v>
      </c>
      <c r="K485" s="23">
        <f>IF(C485="","",IFERROR(INDEX(Jobs!$M$5:$M$604,MATCH(C485,Jobs!$A$5:$A$604,0)),""))</f>
        <v>0</v>
      </c>
      <c r="L485" s="51">
        <f>IF(B485="","",IF(E485&lt;&gt;"",E485,IF(C485="","",K485&amp;" - "&amp;TEXT(D485,"d mmm yyyy"))))</f>
        <v>0</v>
      </c>
      <c r="M485" s="21">
        <f>IF(B485="","",IF(G485&lt;&gt;"",G485,IFERROR(J485*1,0)))</f>
        <v>0</v>
      </c>
      <c r="N485" s="21">
        <f>IF(B485="","",ROUND(IF(F485="",1,F485)*M485,2))</f>
        <v>0</v>
      </c>
      <c r="O485" s="39">
        <f>IF(B485="","",IF(C485="","",IF(COUNTIFS($C$5:$C$804,C485)&gt;1,"Duplicate","OK")))</f>
        <v>0</v>
      </c>
      <c r="P485" s="31">
        <f>IF(OR(B485="",E485=""),"",COUNTIFS($B$5:B485,B485))</f>
        <v>0</v>
      </c>
      <c r="Q485" s="23">
        <f>IF(P485="","",B485&amp;"|"&amp;P485)</f>
        <v>0</v>
      </c>
      <c r="R485" s="39">
        <f>IF(B485="","",IF(O485="Duplicate","Duplicate - job billed twice",IF(M485=0,"Add - no price on this line",IF(AND(C485="",E485=""),"Add - what is this line for?","OK"))))</f>
        <v>0</v>
      </c>
    </row>
    <row r="486" spans="1:18">
      <c r="A486" s="43">
        <f>IF(B486="","","IL-"&amp;TEXT(ROW()-4,"0000"))</f>
        <v>0</v>
      </c>
      <c r="D486" s="18">
        <f>IF(C486="","",IFERROR(INDEX(Jobs!$B$5:$B$604,MATCH(C486,Jobs!$A$5:$A$604,0)),""))</f>
        <v>0</v>
      </c>
      <c r="J486" s="21">
        <f>IF(C486="","",IFERROR(INDEX(Jobs!$AJ$5:$AJ$604,MATCH(C486,Jobs!$A$5:$A$604,0)),"0"))</f>
        <v>0</v>
      </c>
      <c r="K486" s="23">
        <f>IF(C486="","",IFERROR(INDEX(Jobs!$M$5:$M$604,MATCH(C486,Jobs!$A$5:$A$604,0)),""))</f>
        <v>0</v>
      </c>
      <c r="L486" s="51">
        <f>IF(B486="","",IF(E486&lt;&gt;"",E486,IF(C486="","",K486&amp;" - "&amp;TEXT(D486,"d mmm yyyy"))))</f>
        <v>0</v>
      </c>
      <c r="M486" s="21">
        <f>IF(B486="","",IF(G486&lt;&gt;"",G486,IFERROR(J486*1,0)))</f>
        <v>0</v>
      </c>
      <c r="N486" s="21">
        <f>IF(B486="","",ROUND(IF(F486="",1,F486)*M486,2))</f>
        <v>0</v>
      </c>
      <c r="O486" s="39">
        <f>IF(B486="","",IF(C486="","",IF(COUNTIFS($C$5:$C$804,C486)&gt;1,"Duplicate","OK")))</f>
        <v>0</v>
      </c>
      <c r="P486" s="31">
        <f>IF(OR(B486="",E486=""),"",COUNTIFS($B$5:B486,B486))</f>
        <v>0</v>
      </c>
      <c r="Q486" s="23">
        <f>IF(P486="","",B486&amp;"|"&amp;P486)</f>
        <v>0</v>
      </c>
      <c r="R486" s="39">
        <f>IF(B486="","",IF(O486="Duplicate","Duplicate - job billed twice",IF(M486=0,"Add - no price on this line",IF(AND(C486="",E486=""),"Add - what is this line for?","OK"))))</f>
        <v>0</v>
      </c>
    </row>
    <row r="487" spans="1:18">
      <c r="A487" s="43">
        <f>IF(B487="","","IL-"&amp;TEXT(ROW()-4,"0000"))</f>
        <v>0</v>
      </c>
      <c r="D487" s="18">
        <f>IF(C487="","",IFERROR(INDEX(Jobs!$B$5:$B$604,MATCH(C487,Jobs!$A$5:$A$604,0)),""))</f>
        <v>0</v>
      </c>
      <c r="J487" s="21">
        <f>IF(C487="","",IFERROR(INDEX(Jobs!$AJ$5:$AJ$604,MATCH(C487,Jobs!$A$5:$A$604,0)),"0"))</f>
        <v>0</v>
      </c>
      <c r="K487" s="23">
        <f>IF(C487="","",IFERROR(INDEX(Jobs!$M$5:$M$604,MATCH(C487,Jobs!$A$5:$A$604,0)),""))</f>
        <v>0</v>
      </c>
      <c r="L487" s="51">
        <f>IF(B487="","",IF(E487&lt;&gt;"",E487,IF(C487="","",K487&amp;" - "&amp;TEXT(D487,"d mmm yyyy"))))</f>
        <v>0</v>
      </c>
      <c r="M487" s="21">
        <f>IF(B487="","",IF(G487&lt;&gt;"",G487,IFERROR(J487*1,0)))</f>
        <v>0</v>
      </c>
      <c r="N487" s="21">
        <f>IF(B487="","",ROUND(IF(F487="",1,F487)*M487,2))</f>
        <v>0</v>
      </c>
      <c r="O487" s="39">
        <f>IF(B487="","",IF(C487="","",IF(COUNTIFS($C$5:$C$804,C487)&gt;1,"Duplicate","OK")))</f>
        <v>0</v>
      </c>
      <c r="P487" s="31">
        <f>IF(OR(B487="",E487=""),"",COUNTIFS($B$5:B487,B487))</f>
        <v>0</v>
      </c>
      <c r="Q487" s="23">
        <f>IF(P487="","",B487&amp;"|"&amp;P487)</f>
        <v>0</v>
      </c>
      <c r="R487" s="39">
        <f>IF(B487="","",IF(O487="Duplicate","Duplicate - job billed twice",IF(M487=0,"Add - no price on this line",IF(AND(C487="",E487=""),"Add - what is this line for?","OK"))))</f>
        <v>0</v>
      </c>
    </row>
    <row r="488" spans="1:18">
      <c r="A488" s="43">
        <f>IF(B488="","","IL-"&amp;TEXT(ROW()-4,"0000"))</f>
        <v>0</v>
      </c>
      <c r="D488" s="18">
        <f>IF(C488="","",IFERROR(INDEX(Jobs!$B$5:$B$604,MATCH(C488,Jobs!$A$5:$A$604,0)),""))</f>
        <v>0</v>
      </c>
      <c r="J488" s="21">
        <f>IF(C488="","",IFERROR(INDEX(Jobs!$AJ$5:$AJ$604,MATCH(C488,Jobs!$A$5:$A$604,0)),"0"))</f>
        <v>0</v>
      </c>
      <c r="K488" s="23">
        <f>IF(C488="","",IFERROR(INDEX(Jobs!$M$5:$M$604,MATCH(C488,Jobs!$A$5:$A$604,0)),""))</f>
        <v>0</v>
      </c>
      <c r="L488" s="51">
        <f>IF(B488="","",IF(E488&lt;&gt;"",E488,IF(C488="","",K488&amp;" - "&amp;TEXT(D488,"d mmm yyyy"))))</f>
        <v>0</v>
      </c>
      <c r="M488" s="21">
        <f>IF(B488="","",IF(G488&lt;&gt;"",G488,IFERROR(J488*1,0)))</f>
        <v>0</v>
      </c>
      <c r="N488" s="21">
        <f>IF(B488="","",ROUND(IF(F488="",1,F488)*M488,2))</f>
        <v>0</v>
      </c>
      <c r="O488" s="39">
        <f>IF(B488="","",IF(C488="","",IF(COUNTIFS($C$5:$C$804,C488)&gt;1,"Duplicate","OK")))</f>
        <v>0</v>
      </c>
      <c r="P488" s="31">
        <f>IF(OR(B488="",E488=""),"",COUNTIFS($B$5:B488,B488))</f>
        <v>0</v>
      </c>
      <c r="Q488" s="23">
        <f>IF(P488="","",B488&amp;"|"&amp;P488)</f>
        <v>0</v>
      </c>
      <c r="R488" s="39">
        <f>IF(B488="","",IF(O488="Duplicate","Duplicate - job billed twice",IF(M488=0,"Add - no price on this line",IF(AND(C488="",E488=""),"Add - what is this line for?","OK"))))</f>
        <v>0</v>
      </c>
    </row>
    <row r="489" spans="1:18">
      <c r="A489" s="43">
        <f>IF(B489="","","IL-"&amp;TEXT(ROW()-4,"0000"))</f>
        <v>0</v>
      </c>
      <c r="D489" s="18">
        <f>IF(C489="","",IFERROR(INDEX(Jobs!$B$5:$B$604,MATCH(C489,Jobs!$A$5:$A$604,0)),""))</f>
        <v>0</v>
      </c>
      <c r="J489" s="21">
        <f>IF(C489="","",IFERROR(INDEX(Jobs!$AJ$5:$AJ$604,MATCH(C489,Jobs!$A$5:$A$604,0)),"0"))</f>
        <v>0</v>
      </c>
      <c r="K489" s="23">
        <f>IF(C489="","",IFERROR(INDEX(Jobs!$M$5:$M$604,MATCH(C489,Jobs!$A$5:$A$604,0)),""))</f>
        <v>0</v>
      </c>
      <c r="L489" s="51">
        <f>IF(B489="","",IF(E489&lt;&gt;"",E489,IF(C489="","",K489&amp;" - "&amp;TEXT(D489,"d mmm yyyy"))))</f>
        <v>0</v>
      </c>
      <c r="M489" s="21">
        <f>IF(B489="","",IF(G489&lt;&gt;"",G489,IFERROR(J489*1,0)))</f>
        <v>0</v>
      </c>
      <c r="N489" s="21">
        <f>IF(B489="","",ROUND(IF(F489="",1,F489)*M489,2))</f>
        <v>0</v>
      </c>
      <c r="O489" s="39">
        <f>IF(B489="","",IF(C489="","",IF(COUNTIFS($C$5:$C$804,C489)&gt;1,"Duplicate","OK")))</f>
        <v>0</v>
      </c>
      <c r="P489" s="31">
        <f>IF(OR(B489="",E489=""),"",COUNTIFS($B$5:B489,B489))</f>
        <v>0</v>
      </c>
      <c r="Q489" s="23">
        <f>IF(P489="","",B489&amp;"|"&amp;P489)</f>
        <v>0</v>
      </c>
      <c r="R489" s="39">
        <f>IF(B489="","",IF(O489="Duplicate","Duplicate - job billed twice",IF(M489=0,"Add - no price on this line",IF(AND(C489="",E489=""),"Add - what is this line for?","OK"))))</f>
        <v>0</v>
      </c>
    </row>
    <row r="490" spans="1:18">
      <c r="A490" s="43">
        <f>IF(B490="","","IL-"&amp;TEXT(ROW()-4,"0000"))</f>
        <v>0</v>
      </c>
      <c r="D490" s="18">
        <f>IF(C490="","",IFERROR(INDEX(Jobs!$B$5:$B$604,MATCH(C490,Jobs!$A$5:$A$604,0)),""))</f>
        <v>0</v>
      </c>
      <c r="J490" s="21">
        <f>IF(C490="","",IFERROR(INDEX(Jobs!$AJ$5:$AJ$604,MATCH(C490,Jobs!$A$5:$A$604,0)),"0"))</f>
        <v>0</v>
      </c>
      <c r="K490" s="23">
        <f>IF(C490="","",IFERROR(INDEX(Jobs!$M$5:$M$604,MATCH(C490,Jobs!$A$5:$A$604,0)),""))</f>
        <v>0</v>
      </c>
      <c r="L490" s="51">
        <f>IF(B490="","",IF(E490&lt;&gt;"",E490,IF(C490="","",K490&amp;" - "&amp;TEXT(D490,"d mmm yyyy"))))</f>
        <v>0</v>
      </c>
      <c r="M490" s="21">
        <f>IF(B490="","",IF(G490&lt;&gt;"",G490,IFERROR(J490*1,0)))</f>
        <v>0</v>
      </c>
      <c r="N490" s="21">
        <f>IF(B490="","",ROUND(IF(F490="",1,F490)*M490,2))</f>
        <v>0</v>
      </c>
      <c r="O490" s="39">
        <f>IF(B490="","",IF(C490="","",IF(COUNTIFS($C$5:$C$804,C490)&gt;1,"Duplicate","OK")))</f>
        <v>0</v>
      </c>
      <c r="P490" s="31">
        <f>IF(OR(B490="",E490=""),"",COUNTIFS($B$5:B490,B490))</f>
        <v>0</v>
      </c>
      <c r="Q490" s="23">
        <f>IF(P490="","",B490&amp;"|"&amp;P490)</f>
        <v>0</v>
      </c>
      <c r="R490" s="39">
        <f>IF(B490="","",IF(O490="Duplicate","Duplicate - job billed twice",IF(M490=0,"Add - no price on this line",IF(AND(C490="",E490=""),"Add - what is this line for?","OK"))))</f>
        <v>0</v>
      </c>
    </row>
    <row r="491" spans="1:18">
      <c r="A491" s="43">
        <f>IF(B491="","","IL-"&amp;TEXT(ROW()-4,"0000"))</f>
        <v>0</v>
      </c>
      <c r="D491" s="18">
        <f>IF(C491="","",IFERROR(INDEX(Jobs!$B$5:$B$604,MATCH(C491,Jobs!$A$5:$A$604,0)),""))</f>
        <v>0</v>
      </c>
      <c r="J491" s="21">
        <f>IF(C491="","",IFERROR(INDEX(Jobs!$AJ$5:$AJ$604,MATCH(C491,Jobs!$A$5:$A$604,0)),"0"))</f>
        <v>0</v>
      </c>
      <c r="K491" s="23">
        <f>IF(C491="","",IFERROR(INDEX(Jobs!$M$5:$M$604,MATCH(C491,Jobs!$A$5:$A$604,0)),""))</f>
        <v>0</v>
      </c>
      <c r="L491" s="51">
        <f>IF(B491="","",IF(E491&lt;&gt;"",E491,IF(C491="","",K491&amp;" - "&amp;TEXT(D491,"d mmm yyyy"))))</f>
        <v>0</v>
      </c>
      <c r="M491" s="21">
        <f>IF(B491="","",IF(G491&lt;&gt;"",G491,IFERROR(J491*1,0)))</f>
        <v>0</v>
      </c>
      <c r="N491" s="21">
        <f>IF(B491="","",ROUND(IF(F491="",1,F491)*M491,2))</f>
        <v>0</v>
      </c>
      <c r="O491" s="39">
        <f>IF(B491="","",IF(C491="","",IF(COUNTIFS($C$5:$C$804,C491)&gt;1,"Duplicate","OK")))</f>
        <v>0</v>
      </c>
      <c r="P491" s="31">
        <f>IF(OR(B491="",E491=""),"",COUNTIFS($B$5:B491,B491))</f>
        <v>0</v>
      </c>
      <c r="Q491" s="23">
        <f>IF(P491="","",B491&amp;"|"&amp;P491)</f>
        <v>0</v>
      </c>
      <c r="R491" s="39">
        <f>IF(B491="","",IF(O491="Duplicate","Duplicate - job billed twice",IF(M491=0,"Add - no price on this line",IF(AND(C491="",E491=""),"Add - what is this line for?","OK"))))</f>
        <v>0</v>
      </c>
    </row>
    <row r="492" spans="1:18">
      <c r="A492" s="43">
        <f>IF(B492="","","IL-"&amp;TEXT(ROW()-4,"0000"))</f>
        <v>0</v>
      </c>
      <c r="D492" s="18">
        <f>IF(C492="","",IFERROR(INDEX(Jobs!$B$5:$B$604,MATCH(C492,Jobs!$A$5:$A$604,0)),""))</f>
        <v>0</v>
      </c>
      <c r="J492" s="21">
        <f>IF(C492="","",IFERROR(INDEX(Jobs!$AJ$5:$AJ$604,MATCH(C492,Jobs!$A$5:$A$604,0)),"0"))</f>
        <v>0</v>
      </c>
      <c r="K492" s="23">
        <f>IF(C492="","",IFERROR(INDEX(Jobs!$M$5:$M$604,MATCH(C492,Jobs!$A$5:$A$604,0)),""))</f>
        <v>0</v>
      </c>
      <c r="L492" s="51">
        <f>IF(B492="","",IF(E492&lt;&gt;"",E492,IF(C492="","",K492&amp;" - "&amp;TEXT(D492,"d mmm yyyy"))))</f>
        <v>0</v>
      </c>
      <c r="M492" s="21">
        <f>IF(B492="","",IF(G492&lt;&gt;"",G492,IFERROR(J492*1,0)))</f>
        <v>0</v>
      </c>
      <c r="N492" s="21">
        <f>IF(B492="","",ROUND(IF(F492="",1,F492)*M492,2))</f>
        <v>0</v>
      </c>
      <c r="O492" s="39">
        <f>IF(B492="","",IF(C492="","",IF(COUNTIFS($C$5:$C$804,C492)&gt;1,"Duplicate","OK")))</f>
        <v>0</v>
      </c>
      <c r="P492" s="31">
        <f>IF(OR(B492="",E492=""),"",COUNTIFS($B$5:B492,B492))</f>
        <v>0</v>
      </c>
      <c r="Q492" s="23">
        <f>IF(P492="","",B492&amp;"|"&amp;P492)</f>
        <v>0</v>
      </c>
      <c r="R492" s="39">
        <f>IF(B492="","",IF(O492="Duplicate","Duplicate - job billed twice",IF(M492=0,"Add - no price on this line",IF(AND(C492="",E492=""),"Add - what is this line for?","OK"))))</f>
        <v>0</v>
      </c>
    </row>
    <row r="493" spans="1:18">
      <c r="A493" s="43">
        <f>IF(B493="","","IL-"&amp;TEXT(ROW()-4,"0000"))</f>
        <v>0</v>
      </c>
      <c r="D493" s="18">
        <f>IF(C493="","",IFERROR(INDEX(Jobs!$B$5:$B$604,MATCH(C493,Jobs!$A$5:$A$604,0)),""))</f>
        <v>0</v>
      </c>
      <c r="J493" s="21">
        <f>IF(C493="","",IFERROR(INDEX(Jobs!$AJ$5:$AJ$604,MATCH(C493,Jobs!$A$5:$A$604,0)),"0"))</f>
        <v>0</v>
      </c>
      <c r="K493" s="23">
        <f>IF(C493="","",IFERROR(INDEX(Jobs!$M$5:$M$604,MATCH(C493,Jobs!$A$5:$A$604,0)),""))</f>
        <v>0</v>
      </c>
      <c r="L493" s="51">
        <f>IF(B493="","",IF(E493&lt;&gt;"",E493,IF(C493="","",K493&amp;" - "&amp;TEXT(D493,"d mmm yyyy"))))</f>
        <v>0</v>
      </c>
      <c r="M493" s="21">
        <f>IF(B493="","",IF(G493&lt;&gt;"",G493,IFERROR(J493*1,0)))</f>
        <v>0</v>
      </c>
      <c r="N493" s="21">
        <f>IF(B493="","",ROUND(IF(F493="",1,F493)*M493,2))</f>
        <v>0</v>
      </c>
      <c r="O493" s="39">
        <f>IF(B493="","",IF(C493="","",IF(COUNTIFS($C$5:$C$804,C493)&gt;1,"Duplicate","OK")))</f>
        <v>0</v>
      </c>
      <c r="P493" s="31">
        <f>IF(OR(B493="",E493=""),"",COUNTIFS($B$5:B493,B493))</f>
        <v>0</v>
      </c>
      <c r="Q493" s="23">
        <f>IF(P493="","",B493&amp;"|"&amp;P493)</f>
        <v>0</v>
      </c>
      <c r="R493" s="39">
        <f>IF(B493="","",IF(O493="Duplicate","Duplicate - job billed twice",IF(M493=0,"Add - no price on this line",IF(AND(C493="",E493=""),"Add - what is this line for?","OK"))))</f>
        <v>0</v>
      </c>
    </row>
    <row r="494" spans="1:18">
      <c r="A494" s="43">
        <f>IF(B494="","","IL-"&amp;TEXT(ROW()-4,"0000"))</f>
        <v>0</v>
      </c>
      <c r="D494" s="18">
        <f>IF(C494="","",IFERROR(INDEX(Jobs!$B$5:$B$604,MATCH(C494,Jobs!$A$5:$A$604,0)),""))</f>
        <v>0</v>
      </c>
      <c r="J494" s="21">
        <f>IF(C494="","",IFERROR(INDEX(Jobs!$AJ$5:$AJ$604,MATCH(C494,Jobs!$A$5:$A$604,0)),"0"))</f>
        <v>0</v>
      </c>
      <c r="K494" s="23">
        <f>IF(C494="","",IFERROR(INDEX(Jobs!$M$5:$M$604,MATCH(C494,Jobs!$A$5:$A$604,0)),""))</f>
        <v>0</v>
      </c>
      <c r="L494" s="51">
        <f>IF(B494="","",IF(E494&lt;&gt;"",E494,IF(C494="","",K494&amp;" - "&amp;TEXT(D494,"d mmm yyyy"))))</f>
        <v>0</v>
      </c>
      <c r="M494" s="21">
        <f>IF(B494="","",IF(G494&lt;&gt;"",G494,IFERROR(J494*1,0)))</f>
        <v>0</v>
      </c>
      <c r="N494" s="21">
        <f>IF(B494="","",ROUND(IF(F494="",1,F494)*M494,2))</f>
        <v>0</v>
      </c>
      <c r="O494" s="39">
        <f>IF(B494="","",IF(C494="","",IF(COUNTIFS($C$5:$C$804,C494)&gt;1,"Duplicate","OK")))</f>
        <v>0</v>
      </c>
      <c r="P494" s="31">
        <f>IF(OR(B494="",E494=""),"",COUNTIFS($B$5:B494,B494))</f>
        <v>0</v>
      </c>
      <c r="Q494" s="23">
        <f>IF(P494="","",B494&amp;"|"&amp;P494)</f>
        <v>0</v>
      </c>
      <c r="R494" s="39">
        <f>IF(B494="","",IF(O494="Duplicate","Duplicate - job billed twice",IF(M494=0,"Add - no price on this line",IF(AND(C494="",E494=""),"Add - what is this line for?","OK"))))</f>
        <v>0</v>
      </c>
    </row>
    <row r="495" spans="1:18">
      <c r="A495" s="43">
        <f>IF(B495="","","IL-"&amp;TEXT(ROW()-4,"0000"))</f>
        <v>0</v>
      </c>
      <c r="D495" s="18">
        <f>IF(C495="","",IFERROR(INDEX(Jobs!$B$5:$B$604,MATCH(C495,Jobs!$A$5:$A$604,0)),""))</f>
        <v>0</v>
      </c>
      <c r="J495" s="21">
        <f>IF(C495="","",IFERROR(INDEX(Jobs!$AJ$5:$AJ$604,MATCH(C495,Jobs!$A$5:$A$604,0)),"0"))</f>
        <v>0</v>
      </c>
      <c r="K495" s="23">
        <f>IF(C495="","",IFERROR(INDEX(Jobs!$M$5:$M$604,MATCH(C495,Jobs!$A$5:$A$604,0)),""))</f>
        <v>0</v>
      </c>
      <c r="L495" s="51">
        <f>IF(B495="","",IF(E495&lt;&gt;"",E495,IF(C495="","",K495&amp;" - "&amp;TEXT(D495,"d mmm yyyy"))))</f>
        <v>0</v>
      </c>
      <c r="M495" s="21">
        <f>IF(B495="","",IF(G495&lt;&gt;"",G495,IFERROR(J495*1,0)))</f>
        <v>0</v>
      </c>
      <c r="N495" s="21">
        <f>IF(B495="","",ROUND(IF(F495="",1,F495)*M495,2))</f>
        <v>0</v>
      </c>
      <c r="O495" s="39">
        <f>IF(B495="","",IF(C495="","",IF(COUNTIFS($C$5:$C$804,C495)&gt;1,"Duplicate","OK")))</f>
        <v>0</v>
      </c>
      <c r="P495" s="31">
        <f>IF(OR(B495="",E495=""),"",COUNTIFS($B$5:B495,B495))</f>
        <v>0</v>
      </c>
      <c r="Q495" s="23">
        <f>IF(P495="","",B495&amp;"|"&amp;P495)</f>
        <v>0</v>
      </c>
      <c r="R495" s="39">
        <f>IF(B495="","",IF(O495="Duplicate","Duplicate - job billed twice",IF(M495=0,"Add - no price on this line",IF(AND(C495="",E495=""),"Add - what is this line for?","OK"))))</f>
        <v>0</v>
      </c>
    </row>
    <row r="496" spans="1:18">
      <c r="A496" s="43">
        <f>IF(B496="","","IL-"&amp;TEXT(ROW()-4,"0000"))</f>
        <v>0</v>
      </c>
      <c r="D496" s="18">
        <f>IF(C496="","",IFERROR(INDEX(Jobs!$B$5:$B$604,MATCH(C496,Jobs!$A$5:$A$604,0)),""))</f>
        <v>0</v>
      </c>
      <c r="J496" s="21">
        <f>IF(C496="","",IFERROR(INDEX(Jobs!$AJ$5:$AJ$604,MATCH(C496,Jobs!$A$5:$A$604,0)),"0"))</f>
        <v>0</v>
      </c>
      <c r="K496" s="23">
        <f>IF(C496="","",IFERROR(INDEX(Jobs!$M$5:$M$604,MATCH(C496,Jobs!$A$5:$A$604,0)),""))</f>
        <v>0</v>
      </c>
      <c r="L496" s="51">
        <f>IF(B496="","",IF(E496&lt;&gt;"",E496,IF(C496="","",K496&amp;" - "&amp;TEXT(D496,"d mmm yyyy"))))</f>
        <v>0</v>
      </c>
      <c r="M496" s="21">
        <f>IF(B496="","",IF(G496&lt;&gt;"",G496,IFERROR(J496*1,0)))</f>
        <v>0</v>
      </c>
      <c r="N496" s="21">
        <f>IF(B496="","",ROUND(IF(F496="",1,F496)*M496,2))</f>
        <v>0</v>
      </c>
      <c r="O496" s="39">
        <f>IF(B496="","",IF(C496="","",IF(COUNTIFS($C$5:$C$804,C496)&gt;1,"Duplicate","OK")))</f>
        <v>0</v>
      </c>
      <c r="P496" s="31">
        <f>IF(OR(B496="",E496=""),"",COUNTIFS($B$5:B496,B496))</f>
        <v>0</v>
      </c>
      <c r="Q496" s="23">
        <f>IF(P496="","",B496&amp;"|"&amp;P496)</f>
        <v>0</v>
      </c>
      <c r="R496" s="39">
        <f>IF(B496="","",IF(O496="Duplicate","Duplicate - job billed twice",IF(M496=0,"Add - no price on this line",IF(AND(C496="",E496=""),"Add - what is this line for?","OK"))))</f>
        <v>0</v>
      </c>
    </row>
    <row r="497" spans="1:18">
      <c r="A497" s="43">
        <f>IF(B497="","","IL-"&amp;TEXT(ROW()-4,"0000"))</f>
        <v>0</v>
      </c>
      <c r="D497" s="18">
        <f>IF(C497="","",IFERROR(INDEX(Jobs!$B$5:$B$604,MATCH(C497,Jobs!$A$5:$A$604,0)),""))</f>
        <v>0</v>
      </c>
      <c r="J497" s="21">
        <f>IF(C497="","",IFERROR(INDEX(Jobs!$AJ$5:$AJ$604,MATCH(C497,Jobs!$A$5:$A$604,0)),"0"))</f>
        <v>0</v>
      </c>
      <c r="K497" s="23">
        <f>IF(C497="","",IFERROR(INDEX(Jobs!$M$5:$M$604,MATCH(C497,Jobs!$A$5:$A$604,0)),""))</f>
        <v>0</v>
      </c>
      <c r="L497" s="51">
        <f>IF(B497="","",IF(E497&lt;&gt;"",E497,IF(C497="","",K497&amp;" - "&amp;TEXT(D497,"d mmm yyyy"))))</f>
        <v>0</v>
      </c>
      <c r="M497" s="21">
        <f>IF(B497="","",IF(G497&lt;&gt;"",G497,IFERROR(J497*1,0)))</f>
        <v>0</v>
      </c>
      <c r="N497" s="21">
        <f>IF(B497="","",ROUND(IF(F497="",1,F497)*M497,2))</f>
        <v>0</v>
      </c>
      <c r="O497" s="39">
        <f>IF(B497="","",IF(C497="","",IF(COUNTIFS($C$5:$C$804,C497)&gt;1,"Duplicate","OK")))</f>
        <v>0</v>
      </c>
      <c r="P497" s="31">
        <f>IF(OR(B497="",E497=""),"",COUNTIFS($B$5:B497,B497))</f>
        <v>0</v>
      </c>
      <c r="Q497" s="23">
        <f>IF(P497="","",B497&amp;"|"&amp;P497)</f>
        <v>0</v>
      </c>
      <c r="R497" s="39">
        <f>IF(B497="","",IF(O497="Duplicate","Duplicate - job billed twice",IF(M497=0,"Add - no price on this line",IF(AND(C497="",E497=""),"Add - what is this line for?","OK"))))</f>
        <v>0</v>
      </c>
    </row>
    <row r="498" spans="1:18">
      <c r="A498" s="43">
        <f>IF(B498="","","IL-"&amp;TEXT(ROW()-4,"0000"))</f>
        <v>0</v>
      </c>
      <c r="D498" s="18">
        <f>IF(C498="","",IFERROR(INDEX(Jobs!$B$5:$B$604,MATCH(C498,Jobs!$A$5:$A$604,0)),""))</f>
        <v>0</v>
      </c>
      <c r="J498" s="21">
        <f>IF(C498="","",IFERROR(INDEX(Jobs!$AJ$5:$AJ$604,MATCH(C498,Jobs!$A$5:$A$604,0)),"0"))</f>
        <v>0</v>
      </c>
      <c r="K498" s="23">
        <f>IF(C498="","",IFERROR(INDEX(Jobs!$M$5:$M$604,MATCH(C498,Jobs!$A$5:$A$604,0)),""))</f>
        <v>0</v>
      </c>
      <c r="L498" s="51">
        <f>IF(B498="","",IF(E498&lt;&gt;"",E498,IF(C498="","",K498&amp;" - "&amp;TEXT(D498,"d mmm yyyy"))))</f>
        <v>0</v>
      </c>
      <c r="M498" s="21">
        <f>IF(B498="","",IF(G498&lt;&gt;"",G498,IFERROR(J498*1,0)))</f>
        <v>0</v>
      </c>
      <c r="N498" s="21">
        <f>IF(B498="","",ROUND(IF(F498="",1,F498)*M498,2))</f>
        <v>0</v>
      </c>
      <c r="O498" s="39">
        <f>IF(B498="","",IF(C498="","",IF(COUNTIFS($C$5:$C$804,C498)&gt;1,"Duplicate","OK")))</f>
        <v>0</v>
      </c>
      <c r="P498" s="31">
        <f>IF(OR(B498="",E498=""),"",COUNTIFS($B$5:B498,B498))</f>
        <v>0</v>
      </c>
      <c r="Q498" s="23">
        <f>IF(P498="","",B498&amp;"|"&amp;P498)</f>
        <v>0</v>
      </c>
      <c r="R498" s="39">
        <f>IF(B498="","",IF(O498="Duplicate","Duplicate - job billed twice",IF(M498=0,"Add - no price on this line",IF(AND(C498="",E498=""),"Add - what is this line for?","OK"))))</f>
        <v>0</v>
      </c>
    </row>
    <row r="499" spans="1:18">
      <c r="A499" s="43">
        <f>IF(B499="","","IL-"&amp;TEXT(ROW()-4,"0000"))</f>
        <v>0</v>
      </c>
      <c r="D499" s="18">
        <f>IF(C499="","",IFERROR(INDEX(Jobs!$B$5:$B$604,MATCH(C499,Jobs!$A$5:$A$604,0)),""))</f>
        <v>0</v>
      </c>
      <c r="J499" s="21">
        <f>IF(C499="","",IFERROR(INDEX(Jobs!$AJ$5:$AJ$604,MATCH(C499,Jobs!$A$5:$A$604,0)),"0"))</f>
        <v>0</v>
      </c>
      <c r="K499" s="23">
        <f>IF(C499="","",IFERROR(INDEX(Jobs!$M$5:$M$604,MATCH(C499,Jobs!$A$5:$A$604,0)),""))</f>
        <v>0</v>
      </c>
      <c r="L499" s="51">
        <f>IF(B499="","",IF(E499&lt;&gt;"",E499,IF(C499="","",K499&amp;" - "&amp;TEXT(D499,"d mmm yyyy"))))</f>
        <v>0</v>
      </c>
      <c r="M499" s="21">
        <f>IF(B499="","",IF(G499&lt;&gt;"",G499,IFERROR(J499*1,0)))</f>
        <v>0</v>
      </c>
      <c r="N499" s="21">
        <f>IF(B499="","",ROUND(IF(F499="",1,F499)*M499,2))</f>
        <v>0</v>
      </c>
      <c r="O499" s="39">
        <f>IF(B499="","",IF(C499="","",IF(COUNTIFS($C$5:$C$804,C499)&gt;1,"Duplicate","OK")))</f>
        <v>0</v>
      </c>
      <c r="P499" s="31">
        <f>IF(OR(B499="",E499=""),"",COUNTIFS($B$5:B499,B499))</f>
        <v>0</v>
      </c>
      <c r="Q499" s="23">
        <f>IF(P499="","",B499&amp;"|"&amp;P499)</f>
        <v>0</v>
      </c>
      <c r="R499" s="39">
        <f>IF(B499="","",IF(O499="Duplicate","Duplicate - job billed twice",IF(M499=0,"Add - no price on this line",IF(AND(C499="",E499=""),"Add - what is this line for?","OK"))))</f>
        <v>0</v>
      </c>
    </row>
    <row r="500" spans="1:18">
      <c r="A500" s="43">
        <f>IF(B500="","","IL-"&amp;TEXT(ROW()-4,"0000"))</f>
        <v>0</v>
      </c>
      <c r="D500" s="18">
        <f>IF(C500="","",IFERROR(INDEX(Jobs!$B$5:$B$604,MATCH(C500,Jobs!$A$5:$A$604,0)),""))</f>
        <v>0</v>
      </c>
      <c r="J500" s="21">
        <f>IF(C500="","",IFERROR(INDEX(Jobs!$AJ$5:$AJ$604,MATCH(C500,Jobs!$A$5:$A$604,0)),"0"))</f>
        <v>0</v>
      </c>
      <c r="K500" s="23">
        <f>IF(C500="","",IFERROR(INDEX(Jobs!$M$5:$M$604,MATCH(C500,Jobs!$A$5:$A$604,0)),""))</f>
        <v>0</v>
      </c>
      <c r="L500" s="51">
        <f>IF(B500="","",IF(E500&lt;&gt;"",E500,IF(C500="","",K500&amp;" - "&amp;TEXT(D500,"d mmm yyyy"))))</f>
        <v>0</v>
      </c>
      <c r="M500" s="21">
        <f>IF(B500="","",IF(G500&lt;&gt;"",G500,IFERROR(J500*1,0)))</f>
        <v>0</v>
      </c>
      <c r="N500" s="21">
        <f>IF(B500="","",ROUND(IF(F500="",1,F500)*M500,2))</f>
        <v>0</v>
      </c>
      <c r="O500" s="39">
        <f>IF(B500="","",IF(C500="","",IF(COUNTIFS($C$5:$C$804,C500)&gt;1,"Duplicate","OK")))</f>
        <v>0</v>
      </c>
      <c r="P500" s="31">
        <f>IF(OR(B500="",E500=""),"",COUNTIFS($B$5:B500,B500))</f>
        <v>0</v>
      </c>
      <c r="Q500" s="23">
        <f>IF(P500="","",B500&amp;"|"&amp;P500)</f>
        <v>0</v>
      </c>
      <c r="R500" s="39">
        <f>IF(B500="","",IF(O500="Duplicate","Duplicate - job billed twice",IF(M500=0,"Add - no price on this line",IF(AND(C500="",E500=""),"Add - what is this line for?","OK"))))</f>
        <v>0</v>
      </c>
    </row>
    <row r="501" spans="1:18">
      <c r="A501" s="43">
        <f>IF(B501="","","IL-"&amp;TEXT(ROW()-4,"0000"))</f>
        <v>0</v>
      </c>
      <c r="D501" s="18">
        <f>IF(C501="","",IFERROR(INDEX(Jobs!$B$5:$B$604,MATCH(C501,Jobs!$A$5:$A$604,0)),""))</f>
        <v>0</v>
      </c>
      <c r="J501" s="21">
        <f>IF(C501="","",IFERROR(INDEX(Jobs!$AJ$5:$AJ$604,MATCH(C501,Jobs!$A$5:$A$604,0)),"0"))</f>
        <v>0</v>
      </c>
      <c r="K501" s="23">
        <f>IF(C501="","",IFERROR(INDEX(Jobs!$M$5:$M$604,MATCH(C501,Jobs!$A$5:$A$604,0)),""))</f>
        <v>0</v>
      </c>
      <c r="L501" s="51">
        <f>IF(B501="","",IF(E501&lt;&gt;"",E501,IF(C501="","",K501&amp;" - "&amp;TEXT(D501,"d mmm yyyy"))))</f>
        <v>0</v>
      </c>
      <c r="M501" s="21">
        <f>IF(B501="","",IF(G501&lt;&gt;"",G501,IFERROR(J501*1,0)))</f>
        <v>0</v>
      </c>
      <c r="N501" s="21">
        <f>IF(B501="","",ROUND(IF(F501="",1,F501)*M501,2))</f>
        <v>0</v>
      </c>
      <c r="O501" s="39">
        <f>IF(B501="","",IF(C501="","",IF(COUNTIFS($C$5:$C$804,C501)&gt;1,"Duplicate","OK")))</f>
        <v>0</v>
      </c>
      <c r="P501" s="31">
        <f>IF(OR(B501="",E501=""),"",COUNTIFS($B$5:B501,B501))</f>
        <v>0</v>
      </c>
      <c r="Q501" s="23">
        <f>IF(P501="","",B501&amp;"|"&amp;P501)</f>
        <v>0</v>
      </c>
      <c r="R501" s="39">
        <f>IF(B501="","",IF(O501="Duplicate","Duplicate - job billed twice",IF(M501=0,"Add - no price on this line",IF(AND(C501="",E501=""),"Add - what is this line for?","OK"))))</f>
        <v>0</v>
      </c>
    </row>
    <row r="502" spans="1:18">
      <c r="A502" s="43">
        <f>IF(B502="","","IL-"&amp;TEXT(ROW()-4,"0000"))</f>
        <v>0</v>
      </c>
      <c r="D502" s="18">
        <f>IF(C502="","",IFERROR(INDEX(Jobs!$B$5:$B$604,MATCH(C502,Jobs!$A$5:$A$604,0)),""))</f>
        <v>0</v>
      </c>
      <c r="J502" s="21">
        <f>IF(C502="","",IFERROR(INDEX(Jobs!$AJ$5:$AJ$604,MATCH(C502,Jobs!$A$5:$A$604,0)),"0"))</f>
        <v>0</v>
      </c>
      <c r="K502" s="23">
        <f>IF(C502="","",IFERROR(INDEX(Jobs!$M$5:$M$604,MATCH(C502,Jobs!$A$5:$A$604,0)),""))</f>
        <v>0</v>
      </c>
      <c r="L502" s="51">
        <f>IF(B502="","",IF(E502&lt;&gt;"",E502,IF(C502="","",K502&amp;" - "&amp;TEXT(D502,"d mmm yyyy"))))</f>
        <v>0</v>
      </c>
      <c r="M502" s="21">
        <f>IF(B502="","",IF(G502&lt;&gt;"",G502,IFERROR(J502*1,0)))</f>
        <v>0</v>
      </c>
      <c r="N502" s="21">
        <f>IF(B502="","",ROUND(IF(F502="",1,F502)*M502,2))</f>
        <v>0</v>
      </c>
      <c r="O502" s="39">
        <f>IF(B502="","",IF(C502="","",IF(COUNTIFS($C$5:$C$804,C502)&gt;1,"Duplicate","OK")))</f>
        <v>0</v>
      </c>
      <c r="P502" s="31">
        <f>IF(OR(B502="",E502=""),"",COUNTIFS($B$5:B502,B502))</f>
        <v>0</v>
      </c>
      <c r="Q502" s="23">
        <f>IF(P502="","",B502&amp;"|"&amp;P502)</f>
        <v>0</v>
      </c>
      <c r="R502" s="39">
        <f>IF(B502="","",IF(O502="Duplicate","Duplicate - job billed twice",IF(M502=0,"Add - no price on this line",IF(AND(C502="",E502=""),"Add - what is this line for?","OK"))))</f>
        <v>0</v>
      </c>
    </row>
    <row r="503" spans="1:18">
      <c r="A503" s="43">
        <f>IF(B503="","","IL-"&amp;TEXT(ROW()-4,"0000"))</f>
        <v>0</v>
      </c>
      <c r="D503" s="18">
        <f>IF(C503="","",IFERROR(INDEX(Jobs!$B$5:$B$604,MATCH(C503,Jobs!$A$5:$A$604,0)),""))</f>
        <v>0</v>
      </c>
      <c r="J503" s="21">
        <f>IF(C503="","",IFERROR(INDEX(Jobs!$AJ$5:$AJ$604,MATCH(C503,Jobs!$A$5:$A$604,0)),"0"))</f>
        <v>0</v>
      </c>
      <c r="K503" s="23">
        <f>IF(C503="","",IFERROR(INDEX(Jobs!$M$5:$M$604,MATCH(C503,Jobs!$A$5:$A$604,0)),""))</f>
        <v>0</v>
      </c>
      <c r="L503" s="51">
        <f>IF(B503="","",IF(E503&lt;&gt;"",E503,IF(C503="","",K503&amp;" - "&amp;TEXT(D503,"d mmm yyyy"))))</f>
        <v>0</v>
      </c>
      <c r="M503" s="21">
        <f>IF(B503="","",IF(G503&lt;&gt;"",G503,IFERROR(J503*1,0)))</f>
        <v>0</v>
      </c>
      <c r="N503" s="21">
        <f>IF(B503="","",ROUND(IF(F503="",1,F503)*M503,2))</f>
        <v>0</v>
      </c>
      <c r="O503" s="39">
        <f>IF(B503="","",IF(C503="","",IF(COUNTIFS($C$5:$C$804,C503)&gt;1,"Duplicate","OK")))</f>
        <v>0</v>
      </c>
      <c r="P503" s="31">
        <f>IF(OR(B503="",E503=""),"",COUNTIFS($B$5:B503,B503))</f>
        <v>0</v>
      </c>
      <c r="Q503" s="23">
        <f>IF(P503="","",B503&amp;"|"&amp;P503)</f>
        <v>0</v>
      </c>
      <c r="R503" s="39">
        <f>IF(B503="","",IF(O503="Duplicate","Duplicate - job billed twice",IF(M503=0,"Add - no price on this line",IF(AND(C503="",E503=""),"Add - what is this line for?","OK"))))</f>
        <v>0</v>
      </c>
    </row>
    <row r="504" spans="1:18">
      <c r="A504" s="43">
        <f>IF(B504="","","IL-"&amp;TEXT(ROW()-4,"0000"))</f>
        <v>0</v>
      </c>
      <c r="D504" s="18">
        <f>IF(C504="","",IFERROR(INDEX(Jobs!$B$5:$B$604,MATCH(C504,Jobs!$A$5:$A$604,0)),""))</f>
        <v>0</v>
      </c>
      <c r="J504" s="21">
        <f>IF(C504="","",IFERROR(INDEX(Jobs!$AJ$5:$AJ$604,MATCH(C504,Jobs!$A$5:$A$604,0)),"0"))</f>
        <v>0</v>
      </c>
      <c r="K504" s="23">
        <f>IF(C504="","",IFERROR(INDEX(Jobs!$M$5:$M$604,MATCH(C504,Jobs!$A$5:$A$604,0)),""))</f>
        <v>0</v>
      </c>
      <c r="L504" s="51">
        <f>IF(B504="","",IF(E504&lt;&gt;"",E504,IF(C504="","",K504&amp;" - "&amp;TEXT(D504,"d mmm yyyy"))))</f>
        <v>0</v>
      </c>
      <c r="M504" s="21">
        <f>IF(B504="","",IF(G504&lt;&gt;"",G504,IFERROR(J504*1,0)))</f>
        <v>0</v>
      </c>
      <c r="N504" s="21">
        <f>IF(B504="","",ROUND(IF(F504="",1,F504)*M504,2))</f>
        <v>0</v>
      </c>
      <c r="O504" s="39">
        <f>IF(B504="","",IF(C504="","",IF(COUNTIFS($C$5:$C$804,C504)&gt;1,"Duplicate","OK")))</f>
        <v>0</v>
      </c>
      <c r="P504" s="31">
        <f>IF(OR(B504="",E504=""),"",COUNTIFS($B$5:B504,B504))</f>
        <v>0</v>
      </c>
      <c r="Q504" s="23">
        <f>IF(P504="","",B504&amp;"|"&amp;P504)</f>
        <v>0</v>
      </c>
      <c r="R504" s="39">
        <f>IF(B504="","",IF(O504="Duplicate","Duplicate - job billed twice",IF(M504=0,"Add - no price on this line",IF(AND(C504="",E504=""),"Add - what is this line for?","OK"))))</f>
        <v>0</v>
      </c>
    </row>
    <row r="505" spans="1:18">
      <c r="A505" s="43">
        <f>IF(B505="","","IL-"&amp;TEXT(ROW()-4,"0000"))</f>
        <v>0</v>
      </c>
      <c r="D505" s="18">
        <f>IF(C505="","",IFERROR(INDEX(Jobs!$B$5:$B$604,MATCH(C505,Jobs!$A$5:$A$604,0)),""))</f>
        <v>0</v>
      </c>
      <c r="J505" s="21">
        <f>IF(C505="","",IFERROR(INDEX(Jobs!$AJ$5:$AJ$604,MATCH(C505,Jobs!$A$5:$A$604,0)),"0"))</f>
        <v>0</v>
      </c>
      <c r="K505" s="23">
        <f>IF(C505="","",IFERROR(INDEX(Jobs!$M$5:$M$604,MATCH(C505,Jobs!$A$5:$A$604,0)),""))</f>
        <v>0</v>
      </c>
      <c r="L505" s="51">
        <f>IF(B505="","",IF(E505&lt;&gt;"",E505,IF(C505="","",K505&amp;" - "&amp;TEXT(D505,"d mmm yyyy"))))</f>
        <v>0</v>
      </c>
      <c r="M505" s="21">
        <f>IF(B505="","",IF(G505&lt;&gt;"",G505,IFERROR(J505*1,0)))</f>
        <v>0</v>
      </c>
      <c r="N505" s="21">
        <f>IF(B505="","",ROUND(IF(F505="",1,F505)*M505,2))</f>
        <v>0</v>
      </c>
      <c r="O505" s="39">
        <f>IF(B505="","",IF(C505="","",IF(COUNTIFS($C$5:$C$804,C505)&gt;1,"Duplicate","OK")))</f>
        <v>0</v>
      </c>
      <c r="P505" s="31">
        <f>IF(OR(B505="",E505=""),"",COUNTIFS($B$5:B505,B505))</f>
        <v>0</v>
      </c>
      <c r="Q505" s="23">
        <f>IF(P505="","",B505&amp;"|"&amp;P505)</f>
        <v>0</v>
      </c>
      <c r="R505" s="39">
        <f>IF(B505="","",IF(O505="Duplicate","Duplicate - job billed twice",IF(M505=0,"Add - no price on this line",IF(AND(C505="",E505=""),"Add - what is this line for?","OK"))))</f>
        <v>0</v>
      </c>
    </row>
    <row r="506" spans="1:18">
      <c r="A506" s="43">
        <f>IF(B506="","","IL-"&amp;TEXT(ROW()-4,"0000"))</f>
        <v>0</v>
      </c>
      <c r="D506" s="18">
        <f>IF(C506="","",IFERROR(INDEX(Jobs!$B$5:$B$604,MATCH(C506,Jobs!$A$5:$A$604,0)),""))</f>
        <v>0</v>
      </c>
      <c r="J506" s="21">
        <f>IF(C506="","",IFERROR(INDEX(Jobs!$AJ$5:$AJ$604,MATCH(C506,Jobs!$A$5:$A$604,0)),"0"))</f>
        <v>0</v>
      </c>
      <c r="K506" s="23">
        <f>IF(C506="","",IFERROR(INDEX(Jobs!$M$5:$M$604,MATCH(C506,Jobs!$A$5:$A$604,0)),""))</f>
        <v>0</v>
      </c>
      <c r="L506" s="51">
        <f>IF(B506="","",IF(E506&lt;&gt;"",E506,IF(C506="","",K506&amp;" - "&amp;TEXT(D506,"d mmm yyyy"))))</f>
        <v>0</v>
      </c>
      <c r="M506" s="21">
        <f>IF(B506="","",IF(G506&lt;&gt;"",G506,IFERROR(J506*1,0)))</f>
        <v>0</v>
      </c>
      <c r="N506" s="21">
        <f>IF(B506="","",ROUND(IF(F506="",1,F506)*M506,2))</f>
        <v>0</v>
      </c>
      <c r="O506" s="39">
        <f>IF(B506="","",IF(C506="","",IF(COUNTIFS($C$5:$C$804,C506)&gt;1,"Duplicate","OK")))</f>
        <v>0</v>
      </c>
      <c r="P506" s="31">
        <f>IF(OR(B506="",E506=""),"",COUNTIFS($B$5:B506,B506))</f>
        <v>0</v>
      </c>
      <c r="Q506" s="23">
        <f>IF(P506="","",B506&amp;"|"&amp;P506)</f>
        <v>0</v>
      </c>
      <c r="R506" s="39">
        <f>IF(B506="","",IF(O506="Duplicate","Duplicate - job billed twice",IF(M506=0,"Add - no price on this line",IF(AND(C506="",E506=""),"Add - what is this line for?","OK"))))</f>
        <v>0</v>
      </c>
    </row>
    <row r="507" spans="1:18">
      <c r="A507" s="43">
        <f>IF(B507="","","IL-"&amp;TEXT(ROW()-4,"0000"))</f>
        <v>0</v>
      </c>
      <c r="D507" s="18">
        <f>IF(C507="","",IFERROR(INDEX(Jobs!$B$5:$B$604,MATCH(C507,Jobs!$A$5:$A$604,0)),""))</f>
        <v>0</v>
      </c>
      <c r="J507" s="21">
        <f>IF(C507="","",IFERROR(INDEX(Jobs!$AJ$5:$AJ$604,MATCH(C507,Jobs!$A$5:$A$604,0)),"0"))</f>
        <v>0</v>
      </c>
      <c r="K507" s="23">
        <f>IF(C507="","",IFERROR(INDEX(Jobs!$M$5:$M$604,MATCH(C507,Jobs!$A$5:$A$604,0)),""))</f>
        <v>0</v>
      </c>
      <c r="L507" s="51">
        <f>IF(B507="","",IF(E507&lt;&gt;"",E507,IF(C507="","",K507&amp;" - "&amp;TEXT(D507,"d mmm yyyy"))))</f>
        <v>0</v>
      </c>
      <c r="M507" s="21">
        <f>IF(B507="","",IF(G507&lt;&gt;"",G507,IFERROR(J507*1,0)))</f>
        <v>0</v>
      </c>
      <c r="N507" s="21">
        <f>IF(B507="","",ROUND(IF(F507="",1,F507)*M507,2))</f>
        <v>0</v>
      </c>
      <c r="O507" s="39">
        <f>IF(B507="","",IF(C507="","",IF(COUNTIFS($C$5:$C$804,C507)&gt;1,"Duplicate","OK")))</f>
        <v>0</v>
      </c>
      <c r="P507" s="31">
        <f>IF(OR(B507="",E507=""),"",COUNTIFS($B$5:B507,B507))</f>
        <v>0</v>
      </c>
      <c r="Q507" s="23">
        <f>IF(P507="","",B507&amp;"|"&amp;P507)</f>
        <v>0</v>
      </c>
      <c r="R507" s="39">
        <f>IF(B507="","",IF(O507="Duplicate","Duplicate - job billed twice",IF(M507=0,"Add - no price on this line",IF(AND(C507="",E507=""),"Add - what is this line for?","OK"))))</f>
        <v>0</v>
      </c>
    </row>
    <row r="508" spans="1:18">
      <c r="A508" s="43">
        <f>IF(B508="","","IL-"&amp;TEXT(ROW()-4,"0000"))</f>
        <v>0</v>
      </c>
      <c r="D508" s="18">
        <f>IF(C508="","",IFERROR(INDEX(Jobs!$B$5:$B$604,MATCH(C508,Jobs!$A$5:$A$604,0)),""))</f>
        <v>0</v>
      </c>
      <c r="J508" s="21">
        <f>IF(C508="","",IFERROR(INDEX(Jobs!$AJ$5:$AJ$604,MATCH(C508,Jobs!$A$5:$A$604,0)),"0"))</f>
        <v>0</v>
      </c>
      <c r="K508" s="23">
        <f>IF(C508="","",IFERROR(INDEX(Jobs!$M$5:$M$604,MATCH(C508,Jobs!$A$5:$A$604,0)),""))</f>
        <v>0</v>
      </c>
      <c r="L508" s="51">
        <f>IF(B508="","",IF(E508&lt;&gt;"",E508,IF(C508="","",K508&amp;" - "&amp;TEXT(D508,"d mmm yyyy"))))</f>
        <v>0</v>
      </c>
      <c r="M508" s="21">
        <f>IF(B508="","",IF(G508&lt;&gt;"",G508,IFERROR(J508*1,0)))</f>
        <v>0</v>
      </c>
      <c r="N508" s="21">
        <f>IF(B508="","",ROUND(IF(F508="",1,F508)*M508,2))</f>
        <v>0</v>
      </c>
      <c r="O508" s="39">
        <f>IF(B508="","",IF(C508="","",IF(COUNTIFS($C$5:$C$804,C508)&gt;1,"Duplicate","OK")))</f>
        <v>0</v>
      </c>
      <c r="P508" s="31">
        <f>IF(OR(B508="",E508=""),"",COUNTIFS($B$5:B508,B508))</f>
        <v>0</v>
      </c>
      <c r="Q508" s="23">
        <f>IF(P508="","",B508&amp;"|"&amp;P508)</f>
        <v>0</v>
      </c>
      <c r="R508" s="39">
        <f>IF(B508="","",IF(O508="Duplicate","Duplicate - job billed twice",IF(M508=0,"Add - no price on this line",IF(AND(C508="",E508=""),"Add - what is this line for?","OK"))))</f>
        <v>0</v>
      </c>
    </row>
    <row r="509" spans="1:18">
      <c r="A509" s="43">
        <f>IF(B509="","","IL-"&amp;TEXT(ROW()-4,"0000"))</f>
        <v>0</v>
      </c>
      <c r="D509" s="18">
        <f>IF(C509="","",IFERROR(INDEX(Jobs!$B$5:$B$604,MATCH(C509,Jobs!$A$5:$A$604,0)),""))</f>
        <v>0</v>
      </c>
      <c r="J509" s="21">
        <f>IF(C509="","",IFERROR(INDEX(Jobs!$AJ$5:$AJ$604,MATCH(C509,Jobs!$A$5:$A$604,0)),"0"))</f>
        <v>0</v>
      </c>
      <c r="K509" s="23">
        <f>IF(C509="","",IFERROR(INDEX(Jobs!$M$5:$M$604,MATCH(C509,Jobs!$A$5:$A$604,0)),""))</f>
        <v>0</v>
      </c>
      <c r="L509" s="51">
        <f>IF(B509="","",IF(E509&lt;&gt;"",E509,IF(C509="","",K509&amp;" - "&amp;TEXT(D509,"d mmm yyyy"))))</f>
        <v>0</v>
      </c>
      <c r="M509" s="21">
        <f>IF(B509="","",IF(G509&lt;&gt;"",G509,IFERROR(J509*1,0)))</f>
        <v>0</v>
      </c>
      <c r="N509" s="21">
        <f>IF(B509="","",ROUND(IF(F509="",1,F509)*M509,2))</f>
        <v>0</v>
      </c>
      <c r="O509" s="39">
        <f>IF(B509="","",IF(C509="","",IF(COUNTIFS($C$5:$C$804,C509)&gt;1,"Duplicate","OK")))</f>
        <v>0</v>
      </c>
      <c r="P509" s="31">
        <f>IF(OR(B509="",E509=""),"",COUNTIFS($B$5:B509,B509))</f>
        <v>0</v>
      </c>
      <c r="Q509" s="23">
        <f>IF(P509="","",B509&amp;"|"&amp;P509)</f>
        <v>0</v>
      </c>
      <c r="R509" s="39">
        <f>IF(B509="","",IF(O509="Duplicate","Duplicate - job billed twice",IF(M509=0,"Add - no price on this line",IF(AND(C509="",E509=""),"Add - what is this line for?","OK"))))</f>
        <v>0</v>
      </c>
    </row>
    <row r="510" spans="1:18">
      <c r="A510" s="43">
        <f>IF(B510="","","IL-"&amp;TEXT(ROW()-4,"0000"))</f>
        <v>0</v>
      </c>
      <c r="D510" s="18">
        <f>IF(C510="","",IFERROR(INDEX(Jobs!$B$5:$B$604,MATCH(C510,Jobs!$A$5:$A$604,0)),""))</f>
        <v>0</v>
      </c>
      <c r="J510" s="21">
        <f>IF(C510="","",IFERROR(INDEX(Jobs!$AJ$5:$AJ$604,MATCH(C510,Jobs!$A$5:$A$604,0)),"0"))</f>
        <v>0</v>
      </c>
      <c r="K510" s="23">
        <f>IF(C510="","",IFERROR(INDEX(Jobs!$M$5:$M$604,MATCH(C510,Jobs!$A$5:$A$604,0)),""))</f>
        <v>0</v>
      </c>
      <c r="L510" s="51">
        <f>IF(B510="","",IF(E510&lt;&gt;"",E510,IF(C510="","",K510&amp;" - "&amp;TEXT(D510,"d mmm yyyy"))))</f>
        <v>0</v>
      </c>
      <c r="M510" s="21">
        <f>IF(B510="","",IF(G510&lt;&gt;"",G510,IFERROR(J510*1,0)))</f>
        <v>0</v>
      </c>
      <c r="N510" s="21">
        <f>IF(B510="","",ROUND(IF(F510="",1,F510)*M510,2))</f>
        <v>0</v>
      </c>
      <c r="O510" s="39">
        <f>IF(B510="","",IF(C510="","",IF(COUNTIFS($C$5:$C$804,C510)&gt;1,"Duplicate","OK")))</f>
        <v>0</v>
      </c>
      <c r="P510" s="31">
        <f>IF(OR(B510="",E510=""),"",COUNTIFS($B$5:B510,B510))</f>
        <v>0</v>
      </c>
      <c r="Q510" s="23">
        <f>IF(P510="","",B510&amp;"|"&amp;P510)</f>
        <v>0</v>
      </c>
      <c r="R510" s="39">
        <f>IF(B510="","",IF(O510="Duplicate","Duplicate - job billed twice",IF(M510=0,"Add - no price on this line",IF(AND(C510="",E510=""),"Add - what is this line for?","OK"))))</f>
        <v>0</v>
      </c>
    </row>
    <row r="511" spans="1:18">
      <c r="A511" s="43">
        <f>IF(B511="","","IL-"&amp;TEXT(ROW()-4,"0000"))</f>
        <v>0</v>
      </c>
      <c r="D511" s="18">
        <f>IF(C511="","",IFERROR(INDEX(Jobs!$B$5:$B$604,MATCH(C511,Jobs!$A$5:$A$604,0)),""))</f>
        <v>0</v>
      </c>
      <c r="J511" s="21">
        <f>IF(C511="","",IFERROR(INDEX(Jobs!$AJ$5:$AJ$604,MATCH(C511,Jobs!$A$5:$A$604,0)),"0"))</f>
        <v>0</v>
      </c>
      <c r="K511" s="23">
        <f>IF(C511="","",IFERROR(INDEX(Jobs!$M$5:$M$604,MATCH(C511,Jobs!$A$5:$A$604,0)),""))</f>
        <v>0</v>
      </c>
      <c r="L511" s="51">
        <f>IF(B511="","",IF(E511&lt;&gt;"",E511,IF(C511="","",K511&amp;" - "&amp;TEXT(D511,"d mmm yyyy"))))</f>
        <v>0</v>
      </c>
      <c r="M511" s="21">
        <f>IF(B511="","",IF(G511&lt;&gt;"",G511,IFERROR(J511*1,0)))</f>
        <v>0</v>
      </c>
      <c r="N511" s="21">
        <f>IF(B511="","",ROUND(IF(F511="",1,F511)*M511,2))</f>
        <v>0</v>
      </c>
      <c r="O511" s="39">
        <f>IF(B511="","",IF(C511="","",IF(COUNTIFS($C$5:$C$804,C511)&gt;1,"Duplicate","OK")))</f>
        <v>0</v>
      </c>
      <c r="P511" s="31">
        <f>IF(OR(B511="",E511=""),"",COUNTIFS($B$5:B511,B511))</f>
        <v>0</v>
      </c>
      <c r="Q511" s="23">
        <f>IF(P511="","",B511&amp;"|"&amp;P511)</f>
        <v>0</v>
      </c>
      <c r="R511" s="39">
        <f>IF(B511="","",IF(O511="Duplicate","Duplicate - job billed twice",IF(M511=0,"Add - no price on this line",IF(AND(C511="",E511=""),"Add - what is this line for?","OK"))))</f>
        <v>0</v>
      </c>
    </row>
    <row r="512" spans="1:18">
      <c r="A512" s="43">
        <f>IF(B512="","","IL-"&amp;TEXT(ROW()-4,"0000"))</f>
        <v>0</v>
      </c>
      <c r="D512" s="18">
        <f>IF(C512="","",IFERROR(INDEX(Jobs!$B$5:$B$604,MATCH(C512,Jobs!$A$5:$A$604,0)),""))</f>
        <v>0</v>
      </c>
      <c r="J512" s="21">
        <f>IF(C512="","",IFERROR(INDEX(Jobs!$AJ$5:$AJ$604,MATCH(C512,Jobs!$A$5:$A$604,0)),"0"))</f>
        <v>0</v>
      </c>
      <c r="K512" s="23">
        <f>IF(C512="","",IFERROR(INDEX(Jobs!$M$5:$M$604,MATCH(C512,Jobs!$A$5:$A$604,0)),""))</f>
        <v>0</v>
      </c>
      <c r="L512" s="51">
        <f>IF(B512="","",IF(E512&lt;&gt;"",E512,IF(C512="","",K512&amp;" - "&amp;TEXT(D512,"d mmm yyyy"))))</f>
        <v>0</v>
      </c>
      <c r="M512" s="21">
        <f>IF(B512="","",IF(G512&lt;&gt;"",G512,IFERROR(J512*1,0)))</f>
        <v>0</v>
      </c>
      <c r="N512" s="21">
        <f>IF(B512="","",ROUND(IF(F512="",1,F512)*M512,2))</f>
        <v>0</v>
      </c>
      <c r="O512" s="39">
        <f>IF(B512="","",IF(C512="","",IF(COUNTIFS($C$5:$C$804,C512)&gt;1,"Duplicate","OK")))</f>
        <v>0</v>
      </c>
      <c r="P512" s="31">
        <f>IF(OR(B512="",E512=""),"",COUNTIFS($B$5:B512,B512))</f>
        <v>0</v>
      </c>
      <c r="Q512" s="23">
        <f>IF(P512="","",B512&amp;"|"&amp;P512)</f>
        <v>0</v>
      </c>
      <c r="R512" s="39">
        <f>IF(B512="","",IF(O512="Duplicate","Duplicate - job billed twice",IF(M512=0,"Add - no price on this line",IF(AND(C512="",E512=""),"Add - what is this line for?","OK"))))</f>
        <v>0</v>
      </c>
    </row>
    <row r="513" spans="1:18">
      <c r="A513" s="43">
        <f>IF(B513="","","IL-"&amp;TEXT(ROW()-4,"0000"))</f>
        <v>0</v>
      </c>
      <c r="D513" s="18">
        <f>IF(C513="","",IFERROR(INDEX(Jobs!$B$5:$B$604,MATCH(C513,Jobs!$A$5:$A$604,0)),""))</f>
        <v>0</v>
      </c>
      <c r="J513" s="21">
        <f>IF(C513="","",IFERROR(INDEX(Jobs!$AJ$5:$AJ$604,MATCH(C513,Jobs!$A$5:$A$604,0)),"0"))</f>
        <v>0</v>
      </c>
      <c r="K513" s="23">
        <f>IF(C513="","",IFERROR(INDEX(Jobs!$M$5:$M$604,MATCH(C513,Jobs!$A$5:$A$604,0)),""))</f>
        <v>0</v>
      </c>
      <c r="L513" s="51">
        <f>IF(B513="","",IF(E513&lt;&gt;"",E513,IF(C513="","",K513&amp;" - "&amp;TEXT(D513,"d mmm yyyy"))))</f>
        <v>0</v>
      </c>
      <c r="M513" s="21">
        <f>IF(B513="","",IF(G513&lt;&gt;"",G513,IFERROR(J513*1,0)))</f>
        <v>0</v>
      </c>
      <c r="N513" s="21">
        <f>IF(B513="","",ROUND(IF(F513="",1,F513)*M513,2))</f>
        <v>0</v>
      </c>
      <c r="O513" s="39">
        <f>IF(B513="","",IF(C513="","",IF(COUNTIFS($C$5:$C$804,C513)&gt;1,"Duplicate","OK")))</f>
        <v>0</v>
      </c>
      <c r="P513" s="31">
        <f>IF(OR(B513="",E513=""),"",COUNTIFS($B$5:B513,B513))</f>
        <v>0</v>
      </c>
      <c r="Q513" s="23">
        <f>IF(P513="","",B513&amp;"|"&amp;P513)</f>
        <v>0</v>
      </c>
      <c r="R513" s="39">
        <f>IF(B513="","",IF(O513="Duplicate","Duplicate - job billed twice",IF(M513=0,"Add - no price on this line",IF(AND(C513="",E513=""),"Add - what is this line for?","OK"))))</f>
        <v>0</v>
      </c>
    </row>
    <row r="514" spans="1:18">
      <c r="A514" s="43">
        <f>IF(B514="","","IL-"&amp;TEXT(ROW()-4,"0000"))</f>
        <v>0</v>
      </c>
      <c r="D514" s="18">
        <f>IF(C514="","",IFERROR(INDEX(Jobs!$B$5:$B$604,MATCH(C514,Jobs!$A$5:$A$604,0)),""))</f>
        <v>0</v>
      </c>
      <c r="J514" s="21">
        <f>IF(C514="","",IFERROR(INDEX(Jobs!$AJ$5:$AJ$604,MATCH(C514,Jobs!$A$5:$A$604,0)),"0"))</f>
        <v>0</v>
      </c>
      <c r="K514" s="23">
        <f>IF(C514="","",IFERROR(INDEX(Jobs!$M$5:$M$604,MATCH(C514,Jobs!$A$5:$A$604,0)),""))</f>
        <v>0</v>
      </c>
      <c r="L514" s="51">
        <f>IF(B514="","",IF(E514&lt;&gt;"",E514,IF(C514="","",K514&amp;" - "&amp;TEXT(D514,"d mmm yyyy"))))</f>
        <v>0</v>
      </c>
      <c r="M514" s="21">
        <f>IF(B514="","",IF(G514&lt;&gt;"",G514,IFERROR(J514*1,0)))</f>
        <v>0</v>
      </c>
      <c r="N514" s="21">
        <f>IF(B514="","",ROUND(IF(F514="",1,F514)*M514,2))</f>
        <v>0</v>
      </c>
      <c r="O514" s="39">
        <f>IF(B514="","",IF(C514="","",IF(COUNTIFS($C$5:$C$804,C514)&gt;1,"Duplicate","OK")))</f>
        <v>0</v>
      </c>
      <c r="P514" s="31">
        <f>IF(OR(B514="",E514=""),"",COUNTIFS($B$5:B514,B514))</f>
        <v>0</v>
      </c>
      <c r="Q514" s="23">
        <f>IF(P514="","",B514&amp;"|"&amp;P514)</f>
        <v>0</v>
      </c>
      <c r="R514" s="39">
        <f>IF(B514="","",IF(O514="Duplicate","Duplicate - job billed twice",IF(M514=0,"Add - no price on this line",IF(AND(C514="",E514=""),"Add - what is this line for?","OK"))))</f>
        <v>0</v>
      </c>
    </row>
    <row r="515" spans="1:18">
      <c r="A515" s="43">
        <f>IF(B515="","","IL-"&amp;TEXT(ROW()-4,"0000"))</f>
        <v>0</v>
      </c>
      <c r="D515" s="18">
        <f>IF(C515="","",IFERROR(INDEX(Jobs!$B$5:$B$604,MATCH(C515,Jobs!$A$5:$A$604,0)),""))</f>
        <v>0</v>
      </c>
      <c r="J515" s="21">
        <f>IF(C515="","",IFERROR(INDEX(Jobs!$AJ$5:$AJ$604,MATCH(C515,Jobs!$A$5:$A$604,0)),"0"))</f>
        <v>0</v>
      </c>
      <c r="K515" s="23">
        <f>IF(C515="","",IFERROR(INDEX(Jobs!$M$5:$M$604,MATCH(C515,Jobs!$A$5:$A$604,0)),""))</f>
        <v>0</v>
      </c>
      <c r="L515" s="51">
        <f>IF(B515="","",IF(E515&lt;&gt;"",E515,IF(C515="","",K515&amp;" - "&amp;TEXT(D515,"d mmm yyyy"))))</f>
        <v>0</v>
      </c>
      <c r="M515" s="21">
        <f>IF(B515="","",IF(G515&lt;&gt;"",G515,IFERROR(J515*1,0)))</f>
        <v>0</v>
      </c>
      <c r="N515" s="21">
        <f>IF(B515="","",ROUND(IF(F515="",1,F515)*M515,2))</f>
        <v>0</v>
      </c>
      <c r="O515" s="39">
        <f>IF(B515="","",IF(C515="","",IF(COUNTIFS($C$5:$C$804,C515)&gt;1,"Duplicate","OK")))</f>
        <v>0</v>
      </c>
      <c r="P515" s="31">
        <f>IF(OR(B515="",E515=""),"",COUNTIFS($B$5:B515,B515))</f>
        <v>0</v>
      </c>
      <c r="Q515" s="23">
        <f>IF(P515="","",B515&amp;"|"&amp;P515)</f>
        <v>0</v>
      </c>
      <c r="R515" s="39">
        <f>IF(B515="","",IF(O515="Duplicate","Duplicate - job billed twice",IF(M515=0,"Add - no price on this line",IF(AND(C515="",E515=""),"Add - what is this line for?","OK"))))</f>
        <v>0</v>
      </c>
    </row>
    <row r="516" spans="1:18">
      <c r="A516" s="43">
        <f>IF(B516="","","IL-"&amp;TEXT(ROW()-4,"0000"))</f>
        <v>0</v>
      </c>
      <c r="D516" s="18">
        <f>IF(C516="","",IFERROR(INDEX(Jobs!$B$5:$B$604,MATCH(C516,Jobs!$A$5:$A$604,0)),""))</f>
        <v>0</v>
      </c>
      <c r="J516" s="21">
        <f>IF(C516="","",IFERROR(INDEX(Jobs!$AJ$5:$AJ$604,MATCH(C516,Jobs!$A$5:$A$604,0)),"0"))</f>
        <v>0</v>
      </c>
      <c r="K516" s="23">
        <f>IF(C516="","",IFERROR(INDEX(Jobs!$M$5:$M$604,MATCH(C516,Jobs!$A$5:$A$604,0)),""))</f>
        <v>0</v>
      </c>
      <c r="L516" s="51">
        <f>IF(B516="","",IF(E516&lt;&gt;"",E516,IF(C516="","",K516&amp;" - "&amp;TEXT(D516,"d mmm yyyy"))))</f>
        <v>0</v>
      </c>
      <c r="M516" s="21">
        <f>IF(B516="","",IF(G516&lt;&gt;"",G516,IFERROR(J516*1,0)))</f>
        <v>0</v>
      </c>
      <c r="N516" s="21">
        <f>IF(B516="","",ROUND(IF(F516="",1,F516)*M516,2))</f>
        <v>0</v>
      </c>
      <c r="O516" s="39">
        <f>IF(B516="","",IF(C516="","",IF(COUNTIFS($C$5:$C$804,C516)&gt;1,"Duplicate","OK")))</f>
        <v>0</v>
      </c>
      <c r="P516" s="31">
        <f>IF(OR(B516="",E516=""),"",COUNTIFS($B$5:B516,B516))</f>
        <v>0</v>
      </c>
      <c r="Q516" s="23">
        <f>IF(P516="","",B516&amp;"|"&amp;P516)</f>
        <v>0</v>
      </c>
      <c r="R516" s="39">
        <f>IF(B516="","",IF(O516="Duplicate","Duplicate - job billed twice",IF(M516=0,"Add - no price on this line",IF(AND(C516="",E516=""),"Add - what is this line for?","OK"))))</f>
        <v>0</v>
      </c>
    </row>
    <row r="517" spans="1:18">
      <c r="A517" s="43">
        <f>IF(B517="","","IL-"&amp;TEXT(ROW()-4,"0000"))</f>
        <v>0</v>
      </c>
      <c r="D517" s="18">
        <f>IF(C517="","",IFERROR(INDEX(Jobs!$B$5:$B$604,MATCH(C517,Jobs!$A$5:$A$604,0)),""))</f>
        <v>0</v>
      </c>
      <c r="J517" s="21">
        <f>IF(C517="","",IFERROR(INDEX(Jobs!$AJ$5:$AJ$604,MATCH(C517,Jobs!$A$5:$A$604,0)),"0"))</f>
        <v>0</v>
      </c>
      <c r="K517" s="23">
        <f>IF(C517="","",IFERROR(INDEX(Jobs!$M$5:$M$604,MATCH(C517,Jobs!$A$5:$A$604,0)),""))</f>
        <v>0</v>
      </c>
      <c r="L517" s="51">
        <f>IF(B517="","",IF(E517&lt;&gt;"",E517,IF(C517="","",K517&amp;" - "&amp;TEXT(D517,"d mmm yyyy"))))</f>
        <v>0</v>
      </c>
      <c r="M517" s="21">
        <f>IF(B517="","",IF(G517&lt;&gt;"",G517,IFERROR(J517*1,0)))</f>
        <v>0</v>
      </c>
      <c r="N517" s="21">
        <f>IF(B517="","",ROUND(IF(F517="",1,F517)*M517,2))</f>
        <v>0</v>
      </c>
      <c r="O517" s="39">
        <f>IF(B517="","",IF(C517="","",IF(COUNTIFS($C$5:$C$804,C517)&gt;1,"Duplicate","OK")))</f>
        <v>0</v>
      </c>
      <c r="P517" s="31">
        <f>IF(OR(B517="",E517=""),"",COUNTIFS($B$5:B517,B517))</f>
        <v>0</v>
      </c>
      <c r="Q517" s="23">
        <f>IF(P517="","",B517&amp;"|"&amp;P517)</f>
        <v>0</v>
      </c>
      <c r="R517" s="39">
        <f>IF(B517="","",IF(O517="Duplicate","Duplicate - job billed twice",IF(M517=0,"Add - no price on this line",IF(AND(C517="",E517=""),"Add - what is this line for?","OK"))))</f>
        <v>0</v>
      </c>
    </row>
    <row r="518" spans="1:18">
      <c r="A518" s="43">
        <f>IF(B518="","","IL-"&amp;TEXT(ROW()-4,"0000"))</f>
        <v>0</v>
      </c>
      <c r="D518" s="18">
        <f>IF(C518="","",IFERROR(INDEX(Jobs!$B$5:$B$604,MATCH(C518,Jobs!$A$5:$A$604,0)),""))</f>
        <v>0</v>
      </c>
      <c r="J518" s="21">
        <f>IF(C518="","",IFERROR(INDEX(Jobs!$AJ$5:$AJ$604,MATCH(C518,Jobs!$A$5:$A$604,0)),"0"))</f>
        <v>0</v>
      </c>
      <c r="K518" s="23">
        <f>IF(C518="","",IFERROR(INDEX(Jobs!$M$5:$M$604,MATCH(C518,Jobs!$A$5:$A$604,0)),""))</f>
        <v>0</v>
      </c>
      <c r="L518" s="51">
        <f>IF(B518="","",IF(E518&lt;&gt;"",E518,IF(C518="","",K518&amp;" - "&amp;TEXT(D518,"d mmm yyyy"))))</f>
        <v>0</v>
      </c>
      <c r="M518" s="21">
        <f>IF(B518="","",IF(G518&lt;&gt;"",G518,IFERROR(J518*1,0)))</f>
        <v>0</v>
      </c>
      <c r="N518" s="21">
        <f>IF(B518="","",ROUND(IF(F518="",1,F518)*M518,2))</f>
        <v>0</v>
      </c>
      <c r="O518" s="39">
        <f>IF(B518="","",IF(C518="","",IF(COUNTIFS($C$5:$C$804,C518)&gt;1,"Duplicate","OK")))</f>
        <v>0</v>
      </c>
      <c r="P518" s="31">
        <f>IF(OR(B518="",E518=""),"",COUNTIFS($B$5:B518,B518))</f>
        <v>0</v>
      </c>
      <c r="Q518" s="23">
        <f>IF(P518="","",B518&amp;"|"&amp;P518)</f>
        <v>0</v>
      </c>
      <c r="R518" s="39">
        <f>IF(B518="","",IF(O518="Duplicate","Duplicate - job billed twice",IF(M518=0,"Add - no price on this line",IF(AND(C518="",E518=""),"Add - what is this line for?","OK"))))</f>
        <v>0</v>
      </c>
    </row>
    <row r="519" spans="1:18">
      <c r="A519" s="43">
        <f>IF(B519="","","IL-"&amp;TEXT(ROW()-4,"0000"))</f>
        <v>0</v>
      </c>
      <c r="D519" s="18">
        <f>IF(C519="","",IFERROR(INDEX(Jobs!$B$5:$B$604,MATCH(C519,Jobs!$A$5:$A$604,0)),""))</f>
        <v>0</v>
      </c>
      <c r="J519" s="21">
        <f>IF(C519="","",IFERROR(INDEX(Jobs!$AJ$5:$AJ$604,MATCH(C519,Jobs!$A$5:$A$604,0)),"0"))</f>
        <v>0</v>
      </c>
      <c r="K519" s="23">
        <f>IF(C519="","",IFERROR(INDEX(Jobs!$M$5:$M$604,MATCH(C519,Jobs!$A$5:$A$604,0)),""))</f>
        <v>0</v>
      </c>
      <c r="L519" s="51">
        <f>IF(B519="","",IF(E519&lt;&gt;"",E519,IF(C519="","",K519&amp;" - "&amp;TEXT(D519,"d mmm yyyy"))))</f>
        <v>0</v>
      </c>
      <c r="M519" s="21">
        <f>IF(B519="","",IF(G519&lt;&gt;"",G519,IFERROR(J519*1,0)))</f>
        <v>0</v>
      </c>
      <c r="N519" s="21">
        <f>IF(B519="","",ROUND(IF(F519="",1,F519)*M519,2))</f>
        <v>0</v>
      </c>
      <c r="O519" s="39">
        <f>IF(B519="","",IF(C519="","",IF(COUNTIFS($C$5:$C$804,C519)&gt;1,"Duplicate","OK")))</f>
        <v>0</v>
      </c>
      <c r="P519" s="31">
        <f>IF(OR(B519="",E519=""),"",COUNTIFS($B$5:B519,B519))</f>
        <v>0</v>
      </c>
      <c r="Q519" s="23">
        <f>IF(P519="","",B519&amp;"|"&amp;P519)</f>
        <v>0</v>
      </c>
      <c r="R519" s="39">
        <f>IF(B519="","",IF(O519="Duplicate","Duplicate - job billed twice",IF(M519=0,"Add - no price on this line",IF(AND(C519="",E519=""),"Add - what is this line for?","OK"))))</f>
        <v>0</v>
      </c>
    </row>
    <row r="520" spans="1:18">
      <c r="A520" s="43">
        <f>IF(B520="","","IL-"&amp;TEXT(ROW()-4,"0000"))</f>
        <v>0</v>
      </c>
      <c r="D520" s="18">
        <f>IF(C520="","",IFERROR(INDEX(Jobs!$B$5:$B$604,MATCH(C520,Jobs!$A$5:$A$604,0)),""))</f>
        <v>0</v>
      </c>
      <c r="J520" s="21">
        <f>IF(C520="","",IFERROR(INDEX(Jobs!$AJ$5:$AJ$604,MATCH(C520,Jobs!$A$5:$A$604,0)),"0"))</f>
        <v>0</v>
      </c>
      <c r="K520" s="23">
        <f>IF(C520="","",IFERROR(INDEX(Jobs!$M$5:$M$604,MATCH(C520,Jobs!$A$5:$A$604,0)),""))</f>
        <v>0</v>
      </c>
      <c r="L520" s="51">
        <f>IF(B520="","",IF(E520&lt;&gt;"",E520,IF(C520="","",K520&amp;" - "&amp;TEXT(D520,"d mmm yyyy"))))</f>
        <v>0</v>
      </c>
      <c r="M520" s="21">
        <f>IF(B520="","",IF(G520&lt;&gt;"",G520,IFERROR(J520*1,0)))</f>
        <v>0</v>
      </c>
      <c r="N520" s="21">
        <f>IF(B520="","",ROUND(IF(F520="",1,F520)*M520,2))</f>
        <v>0</v>
      </c>
      <c r="O520" s="39">
        <f>IF(B520="","",IF(C520="","",IF(COUNTIFS($C$5:$C$804,C520)&gt;1,"Duplicate","OK")))</f>
        <v>0</v>
      </c>
      <c r="P520" s="31">
        <f>IF(OR(B520="",E520=""),"",COUNTIFS($B$5:B520,B520))</f>
        <v>0</v>
      </c>
      <c r="Q520" s="23">
        <f>IF(P520="","",B520&amp;"|"&amp;P520)</f>
        <v>0</v>
      </c>
      <c r="R520" s="39">
        <f>IF(B520="","",IF(O520="Duplicate","Duplicate - job billed twice",IF(M520=0,"Add - no price on this line",IF(AND(C520="",E520=""),"Add - what is this line for?","OK"))))</f>
        <v>0</v>
      </c>
    </row>
    <row r="521" spans="1:18">
      <c r="A521" s="43">
        <f>IF(B521="","","IL-"&amp;TEXT(ROW()-4,"0000"))</f>
        <v>0</v>
      </c>
      <c r="D521" s="18">
        <f>IF(C521="","",IFERROR(INDEX(Jobs!$B$5:$B$604,MATCH(C521,Jobs!$A$5:$A$604,0)),""))</f>
        <v>0</v>
      </c>
      <c r="J521" s="21">
        <f>IF(C521="","",IFERROR(INDEX(Jobs!$AJ$5:$AJ$604,MATCH(C521,Jobs!$A$5:$A$604,0)),"0"))</f>
        <v>0</v>
      </c>
      <c r="K521" s="23">
        <f>IF(C521="","",IFERROR(INDEX(Jobs!$M$5:$M$604,MATCH(C521,Jobs!$A$5:$A$604,0)),""))</f>
        <v>0</v>
      </c>
      <c r="L521" s="51">
        <f>IF(B521="","",IF(E521&lt;&gt;"",E521,IF(C521="","",K521&amp;" - "&amp;TEXT(D521,"d mmm yyyy"))))</f>
        <v>0</v>
      </c>
      <c r="M521" s="21">
        <f>IF(B521="","",IF(G521&lt;&gt;"",G521,IFERROR(J521*1,0)))</f>
        <v>0</v>
      </c>
      <c r="N521" s="21">
        <f>IF(B521="","",ROUND(IF(F521="",1,F521)*M521,2))</f>
        <v>0</v>
      </c>
      <c r="O521" s="39">
        <f>IF(B521="","",IF(C521="","",IF(COUNTIFS($C$5:$C$804,C521)&gt;1,"Duplicate","OK")))</f>
        <v>0</v>
      </c>
      <c r="P521" s="31">
        <f>IF(OR(B521="",E521=""),"",COUNTIFS($B$5:B521,B521))</f>
        <v>0</v>
      </c>
      <c r="Q521" s="23">
        <f>IF(P521="","",B521&amp;"|"&amp;P521)</f>
        <v>0</v>
      </c>
      <c r="R521" s="39">
        <f>IF(B521="","",IF(O521="Duplicate","Duplicate - job billed twice",IF(M521=0,"Add - no price on this line",IF(AND(C521="",E521=""),"Add - what is this line for?","OK"))))</f>
        <v>0</v>
      </c>
    </row>
    <row r="522" spans="1:18">
      <c r="A522" s="43">
        <f>IF(B522="","","IL-"&amp;TEXT(ROW()-4,"0000"))</f>
        <v>0</v>
      </c>
      <c r="D522" s="18">
        <f>IF(C522="","",IFERROR(INDEX(Jobs!$B$5:$B$604,MATCH(C522,Jobs!$A$5:$A$604,0)),""))</f>
        <v>0</v>
      </c>
      <c r="J522" s="21">
        <f>IF(C522="","",IFERROR(INDEX(Jobs!$AJ$5:$AJ$604,MATCH(C522,Jobs!$A$5:$A$604,0)),"0"))</f>
        <v>0</v>
      </c>
      <c r="K522" s="23">
        <f>IF(C522="","",IFERROR(INDEX(Jobs!$M$5:$M$604,MATCH(C522,Jobs!$A$5:$A$604,0)),""))</f>
        <v>0</v>
      </c>
      <c r="L522" s="51">
        <f>IF(B522="","",IF(E522&lt;&gt;"",E522,IF(C522="","",K522&amp;" - "&amp;TEXT(D522,"d mmm yyyy"))))</f>
        <v>0</v>
      </c>
      <c r="M522" s="21">
        <f>IF(B522="","",IF(G522&lt;&gt;"",G522,IFERROR(J522*1,0)))</f>
        <v>0</v>
      </c>
      <c r="N522" s="21">
        <f>IF(B522="","",ROUND(IF(F522="",1,F522)*M522,2))</f>
        <v>0</v>
      </c>
      <c r="O522" s="39">
        <f>IF(B522="","",IF(C522="","",IF(COUNTIFS($C$5:$C$804,C522)&gt;1,"Duplicate","OK")))</f>
        <v>0</v>
      </c>
      <c r="P522" s="31">
        <f>IF(OR(B522="",E522=""),"",COUNTIFS($B$5:B522,B522))</f>
        <v>0</v>
      </c>
      <c r="Q522" s="23">
        <f>IF(P522="","",B522&amp;"|"&amp;P522)</f>
        <v>0</v>
      </c>
      <c r="R522" s="39">
        <f>IF(B522="","",IF(O522="Duplicate","Duplicate - job billed twice",IF(M522=0,"Add - no price on this line",IF(AND(C522="",E522=""),"Add - what is this line for?","OK"))))</f>
        <v>0</v>
      </c>
    </row>
    <row r="523" spans="1:18">
      <c r="A523" s="43">
        <f>IF(B523="","","IL-"&amp;TEXT(ROW()-4,"0000"))</f>
        <v>0</v>
      </c>
      <c r="D523" s="18">
        <f>IF(C523="","",IFERROR(INDEX(Jobs!$B$5:$B$604,MATCH(C523,Jobs!$A$5:$A$604,0)),""))</f>
        <v>0</v>
      </c>
      <c r="J523" s="21">
        <f>IF(C523="","",IFERROR(INDEX(Jobs!$AJ$5:$AJ$604,MATCH(C523,Jobs!$A$5:$A$604,0)),"0"))</f>
        <v>0</v>
      </c>
      <c r="K523" s="23">
        <f>IF(C523="","",IFERROR(INDEX(Jobs!$M$5:$M$604,MATCH(C523,Jobs!$A$5:$A$604,0)),""))</f>
        <v>0</v>
      </c>
      <c r="L523" s="51">
        <f>IF(B523="","",IF(E523&lt;&gt;"",E523,IF(C523="","",K523&amp;" - "&amp;TEXT(D523,"d mmm yyyy"))))</f>
        <v>0</v>
      </c>
      <c r="M523" s="21">
        <f>IF(B523="","",IF(G523&lt;&gt;"",G523,IFERROR(J523*1,0)))</f>
        <v>0</v>
      </c>
      <c r="N523" s="21">
        <f>IF(B523="","",ROUND(IF(F523="",1,F523)*M523,2))</f>
        <v>0</v>
      </c>
      <c r="O523" s="39">
        <f>IF(B523="","",IF(C523="","",IF(COUNTIFS($C$5:$C$804,C523)&gt;1,"Duplicate","OK")))</f>
        <v>0</v>
      </c>
      <c r="P523" s="31">
        <f>IF(OR(B523="",E523=""),"",COUNTIFS($B$5:B523,B523))</f>
        <v>0</v>
      </c>
      <c r="Q523" s="23">
        <f>IF(P523="","",B523&amp;"|"&amp;P523)</f>
        <v>0</v>
      </c>
      <c r="R523" s="39">
        <f>IF(B523="","",IF(O523="Duplicate","Duplicate - job billed twice",IF(M523=0,"Add - no price on this line",IF(AND(C523="",E523=""),"Add - what is this line for?","OK"))))</f>
        <v>0</v>
      </c>
    </row>
    <row r="524" spans="1:18">
      <c r="A524" s="43">
        <f>IF(B524="","","IL-"&amp;TEXT(ROW()-4,"0000"))</f>
        <v>0</v>
      </c>
      <c r="D524" s="18">
        <f>IF(C524="","",IFERROR(INDEX(Jobs!$B$5:$B$604,MATCH(C524,Jobs!$A$5:$A$604,0)),""))</f>
        <v>0</v>
      </c>
      <c r="J524" s="21">
        <f>IF(C524="","",IFERROR(INDEX(Jobs!$AJ$5:$AJ$604,MATCH(C524,Jobs!$A$5:$A$604,0)),"0"))</f>
        <v>0</v>
      </c>
      <c r="K524" s="23">
        <f>IF(C524="","",IFERROR(INDEX(Jobs!$M$5:$M$604,MATCH(C524,Jobs!$A$5:$A$604,0)),""))</f>
        <v>0</v>
      </c>
      <c r="L524" s="51">
        <f>IF(B524="","",IF(E524&lt;&gt;"",E524,IF(C524="","",K524&amp;" - "&amp;TEXT(D524,"d mmm yyyy"))))</f>
        <v>0</v>
      </c>
      <c r="M524" s="21">
        <f>IF(B524="","",IF(G524&lt;&gt;"",G524,IFERROR(J524*1,0)))</f>
        <v>0</v>
      </c>
      <c r="N524" s="21">
        <f>IF(B524="","",ROUND(IF(F524="",1,F524)*M524,2))</f>
        <v>0</v>
      </c>
      <c r="O524" s="39">
        <f>IF(B524="","",IF(C524="","",IF(COUNTIFS($C$5:$C$804,C524)&gt;1,"Duplicate","OK")))</f>
        <v>0</v>
      </c>
      <c r="P524" s="31">
        <f>IF(OR(B524="",E524=""),"",COUNTIFS($B$5:B524,B524))</f>
        <v>0</v>
      </c>
      <c r="Q524" s="23">
        <f>IF(P524="","",B524&amp;"|"&amp;P524)</f>
        <v>0</v>
      </c>
      <c r="R524" s="39">
        <f>IF(B524="","",IF(O524="Duplicate","Duplicate - job billed twice",IF(M524=0,"Add - no price on this line",IF(AND(C524="",E524=""),"Add - what is this line for?","OK"))))</f>
        <v>0</v>
      </c>
    </row>
    <row r="525" spans="1:18">
      <c r="A525" s="43">
        <f>IF(B525="","","IL-"&amp;TEXT(ROW()-4,"0000"))</f>
        <v>0</v>
      </c>
      <c r="D525" s="18">
        <f>IF(C525="","",IFERROR(INDEX(Jobs!$B$5:$B$604,MATCH(C525,Jobs!$A$5:$A$604,0)),""))</f>
        <v>0</v>
      </c>
      <c r="J525" s="21">
        <f>IF(C525="","",IFERROR(INDEX(Jobs!$AJ$5:$AJ$604,MATCH(C525,Jobs!$A$5:$A$604,0)),"0"))</f>
        <v>0</v>
      </c>
      <c r="K525" s="23">
        <f>IF(C525="","",IFERROR(INDEX(Jobs!$M$5:$M$604,MATCH(C525,Jobs!$A$5:$A$604,0)),""))</f>
        <v>0</v>
      </c>
      <c r="L525" s="51">
        <f>IF(B525="","",IF(E525&lt;&gt;"",E525,IF(C525="","",K525&amp;" - "&amp;TEXT(D525,"d mmm yyyy"))))</f>
        <v>0</v>
      </c>
      <c r="M525" s="21">
        <f>IF(B525="","",IF(G525&lt;&gt;"",G525,IFERROR(J525*1,0)))</f>
        <v>0</v>
      </c>
      <c r="N525" s="21">
        <f>IF(B525="","",ROUND(IF(F525="",1,F525)*M525,2))</f>
        <v>0</v>
      </c>
      <c r="O525" s="39">
        <f>IF(B525="","",IF(C525="","",IF(COUNTIFS($C$5:$C$804,C525)&gt;1,"Duplicate","OK")))</f>
        <v>0</v>
      </c>
      <c r="P525" s="31">
        <f>IF(OR(B525="",E525=""),"",COUNTIFS($B$5:B525,B525))</f>
        <v>0</v>
      </c>
      <c r="Q525" s="23">
        <f>IF(P525="","",B525&amp;"|"&amp;P525)</f>
        <v>0</v>
      </c>
      <c r="R525" s="39">
        <f>IF(B525="","",IF(O525="Duplicate","Duplicate - job billed twice",IF(M525=0,"Add - no price on this line",IF(AND(C525="",E525=""),"Add - what is this line for?","OK"))))</f>
        <v>0</v>
      </c>
    </row>
    <row r="526" spans="1:18">
      <c r="A526" s="43">
        <f>IF(B526="","","IL-"&amp;TEXT(ROW()-4,"0000"))</f>
        <v>0</v>
      </c>
      <c r="D526" s="18">
        <f>IF(C526="","",IFERROR(INDEX(Jobs!$B$5:$B$604,MATCH(C526,Jobs!$A$5:$A$604,0)),""))</f>
        <v>0</v>
      </c>
      <c r="J526" s="21">
        <f>IF(C526="","",IFERROR(INDEX(Jobs!$AJ$5:$AJ$604,MATCH(C526,Jobs!$A$5:$A$604,0)),"0"))</f>
        <v>0</v>
      </c>
      <c r="K526" s="23">
        <f>IF(C526="","",IFERROR(INDEX(Jobs!$M$5:$M$604,MATCH(C526,Jobs!$A$5:$A$604,0)),""))</f>
        <v>0</v>
      </c>
      <c r="L526" s="51">
        <f>IF(B526="","",IF(E526&lt;&gt;"",E526,IF(C526="","",K526&amp;" - "&amp;TEXT(D526,"d mmm yyyy"))))</f>
        <v>0</v>
      </c>
      <c r="M526" s="21">
        <f>IF(B526="","",IF(G526&lt;&gt;"",G526,IFERROR(J526*1,0)))</f>
        <v>0</v>
      </c>
      <c r="N526" s="21">
        <f>IF(B526="","",ROUND(IF(F526="",1,F526)*M526,2))</f>
        <v>0</v>
      </c>
      <c r="O526" s="39">
        <f>IF(B526="","",IF(C526="","",IF(COUNTIFS($C$5:$C$804,C526)&gt;1,"Duplicate","OK")))</f>
        <v>0</v>
      </c>
      <c r="P526" s="31">
        <f>IF(OR(B526="",E526=""),"",COUNTIFS($B$5:B526,B526))</f>
        <v>0</v>
      </c>
      <c r="Q526" s="23">
        <f>IF(P526="","",B526&amp;"|"&amp;P526)</f>
        <v>0</v>
      </c>
      <c r="R526" s="39">
        <f>IF(B526="","",IF(O526="Duplicate","Duplicate - job billed twice",IF(M526=0,"Add - no price on this line",IF(AND(C526="",E526=""),"Add - what is this line for?","OK"))))</f>
        <v>0</v>
      </c>
    </row>
    <row r="527" spans="1:18">
      <c r="A527" s="43">
        <f>IF(B527="","","IL-"&amp;TEXT(ROW()-4,"0000"))</f>
        <v>0</v>
      </c>
      <c r="D527" s="18">
        <f>IF(C527="","",IFERROR(INDEX(Jobs!$B$5:$B$604,MATCH(C527,Jobs!$A$5:$A$604,0)),""))</f>
        <v>0</v>
      </c>
      <c r="J527" s="21">
        <f>IF(C527="","",IFERROR(INDEX(Jobs!$AJ$5:$AJ$604,MATCH(C527,Jobs!$A$5:$A$604,0)),"0"))</f>
        <v>0</v>
      </c>
      <c r="K527" s="23">
        <f>IF(C527="","",IFERROR(INDEX(Jobs!$M$5:$M$604,MATCH(C527,Jobs!$A$5:$A$604,0)),""))</f>
        <v>0</v>
      </c>
      <c r="L527" s="51">
        <f>IF(B527="","",IF(E527&lt;&gt;"",E527,IF(C527="","",K527&amp;" - "&amp;TEXT(D527,"d mmm yyyy"))))</f>
        <v>0</v>
      </c>
      <c r="M527" s="21">
        <f>IF(B527="","",IF(G527&lt;&gt;"",G527,IFERROR(J527*1,0)))</f>
        <v>0</v>
      </c>
      <c r="N527" s="21">
        <f>IF(B527="","",ROUND(IF(F527="",1,F527)*M527,2))</f>
        <v>0</v>
      </c>
      <c r="O527" s="39">
        <f>IF(B527="","",IF(C527="","",IF(COUNTIFS($C$5:$C$804,C527)&gt;1,"Duplicate","OK")))</f>
        <v>0</v>
      </c>
      <c r="P527" s="31">
        <f>IF(OR(B527="",E527=""),"",COUNTIFS($B$5:B527,B527))</f>
        <v>0</v>
      </c>
      <c r="Q527" s="23">
        <f>IF(P527="","",B527&amp;"|"&amp;P527)</f>
        <v>0</v>
      </c>
      <c r="R527" s="39">
        <f>IF(B527="","",IF(O527="Duplicate","Duplicate - job billed twice",IF(M527=0,"Add - no price on this line",IF(AND(C527="",E527=""),"Add - what is this line for?","OK"))))</f>
        <v>0</v>
      </c>
    </row>
    <row r="528" spans="1:18">
      <c r="A528" s="43">
        <f>IF(B528="","","IL-"&amp;TEXT(ROW()-4,"0000"))</f>
        <v>0</v>
      </c>
      <c r="D528" s="18">
        <f>IF(C528="","",IFERROR(INDEX(Jobs!$B$5:$B$604,MATCH(C528,Jobs!$A$5:$A$604,0)),""))</f>
        <v>0</v>
      </c>
      <c r="J528" s="21">
        <f>IF(C528="","",IFERROR(INDEX(Jobs!$AJ$5:$AJ$604,MATCH(C528,Jobs!$A$5:$A$604,0)),"0"))</f>
        <v>0</v>
      </c>
      <c r="K528" s="23">
        <f>IF(C528="","",IFERROR(INDEX(Jobs!$M$5:$M$604,MATCH(C528,Jobs!$A$5:$A$604,0)),""))</f>
        <v>0</v>
      </c>
      <c r="L528" s="51">
        <f>IF(B528="","",IF(E528&lt;&gt;"",E528,IF(C528="","",K528&amp;" - "&amp;TEXT(D528,"d mmm yyyy"))))</f>
        <v>0</v>
      </c>
      <c r="M528" s="21">
        <f>IF(B528="","",IF(G528&lt;&gt;"",G528,IFERROR(J528*1,0)))</f>
        <v>0</v>
      </c>
      <c r="N528" s="21">
        <f>IF(B528="","",ROUND(IF(F528="",1,F528)*M528,2))</f>
        <v>0</v>
      </c>
      <c r="O528" s="39">
        <f>IF(B528="","",IF(C528="","",IF(COUNTIFS($C$5:$C$804,C528)&gt;1,"Duplicate","OK")))</f>
        <v>0</v>
      </c>
      <c r="P528" s="31">
        <f>IF(OR(B528="",E528=""),"",COUNTIFS($B$5:B528,B528))</f>
        <v>0</v>
      </c>
      <c r="Q528" s="23">
        <f>IF(P528="","",B528&amp;"|"&amp;P528)</f>
        <v>0</v>
      </c>
      <c r="R528" s="39">
        <f>IF(B528="","",IF(O528="Duplicate","Duplicate - job billed twice",IF(M528=0,"Add - no price on this line",IF(AND(C528="",E528=""),"Add - what is this line for?","OK"))))</f>
        <v>0</v>
      </c>
    </row>
    <row r="529" spans="1:18">
      <c r="A529" s="43">
        <f>IF(B529="","","IL-"&amp;TEXT(ROW()-4,"0000"))</f>
        <v>0</v>
      </c>
      <c r="D529" s="18">
        <f>IF(C529="","",IFERROR(INDEX(Jobs!$B$5:$B$604,MATCH(C529,Jobs!$A$5:$A$604,0)),""))</f>
        <v>0</v>
      </c>
      <c r="J529" s="21">
        <f>IF(C529="","",IFERROR(INDEX(Jobs!$AJ$5:$AJ$604,MATCH(C529,Jobs!$A$5:$A$604,0)),"0"))</f>
        <v>0</v>
      </c>
      <c r="K529" s="23">
        <f>IF(C529="","",IFERROR(INDEX(Jobs!$M$5:$M$604,MATCH(C529,Jobs!$A$5:$A$604,0)),""))</f>
        <v>0</v>
      </c>
      <c r="L529" s="51">
        <f>IF(B529="","",IF(E529&lt;&gt;"",E529,IF(C529="","",K529&amp;" - "&amp;TEXT(D529,"d mmm yyyy"))))</f>
        <v>0</v>
      </c>
      <c r="M529" s="21">
        <f>IF(B529="","",IF(G529&lt;&gt;"",G529,IFERROR(J529*1,0)))</f>
        <v>0</v>
      </c>
      <c r="N529" s="21">
        <f>IF(B529="","",ROUND(IF(F529="",1,F529)*M529,2))</f>
        <v>0</v>
      </c>
      <c r="O529" s="39">
        <f>IF(B529="","",IF(C529="","",IF(COUNTIFS($C$5:$C$804,C529)&gt;1,"Duplicate","OK")))</f>
        <v>0</v>
      </c>
      <c r="P529" s="31">
        <f>IF(OR(B529="",E529=""),"",COUNTIFS($B$5:B529,B529))</f>
        <v>0</v>
      </c>
      <c r="Q529" s="23">
        <f>IF(P529="","",B529&amp;"|"&amp;P529)</f>
        <v>0</v>
      </c>
      <c r="R529" s="39">
        <f>IF(B529="","",IF(O529="Duplicate","Duplicate - job billed twice",IF(M529=0,"Add - no price on this line",IF(AND(C529="",E529=""),"Add - what is this line for?","OK"))))</f>
        <v>0</v>
      </c>
    </row>
    <row r="530" spans="1:18">
      <c r="A530" s="43">
        <f>IF(B530="","","IL-"&amp;TEXT(ROW()-4,"0000"))</f>
        <v>0</v>
      </c>
      <c r="D530" s="18">
        <f>IF(C530="","",IFERROR(INDEX(Jobs!$B$5:$B$604,MATCH(C530,Jobs!$A$5:$A$604,0)),""))</f>
        <v>0</v>
      </c>
      <c r="J530" s="21">
        <f>IF(C530="","",IFERROR(INDEX(Jobs!$AJ$5:$AJ$604,MATCH(C530,Jobs!$A$5:$A$604,0)),"0"))</f>
        <v>0</v>
      </c>
      <c r="K530" s="23">
        <f>IF(C530="","",IFERROR(INDEX(Jobs!$M$5:$M$604,MATCH(C530,Jobs!$A$5:$A$604,0)),""))</f>
        <v>0</v>
      </c>
      <c r="L530" s="51">
        <f>IF(B530="","",IF(E530&lt;&gt;"",E530,IF(C530="","",K530&amp;" - "&amp;TEXT(D530,"d mmm yyyy"))))</f>
        <v>0</v>
      </c>
      <c r="M530" s="21">
        <f>IF(B530="","",IF(G530&lt;&gt;"",G530,IFERROR(J530*1,0)))</f>
        <v>0</v>
      </c>
      <c r="N530" s="21">
        <f>IF(B530="","",ROUND(IF(F530="",1,F530)*M530,2))</f>
        <v>0</v>
      </c>
      <c r="O530" s="39">
        <f>IF(B530="","",IF(C530="","",IF(COUNTIFS($C$5:$C$804,C530)&gt;1,"Duplicate","OK")))</f>
        <v>0</v>
      </c>
      <c r="P530" s="31">
        <f>IF(OR(B530="",E530=""),"",COUNTIFS($B$5:B530,B530))</f>
        <v>0</v>
      </c>
      <c r="Q530" s="23">
        <f>IF(P530="","",B530&amp;"|"&amp;P530)</f>
        <v>0</v>
      </c>
      <c r="R530" s="39">
        <f>IF(B530="","",IF(O530="Duplicate","Duplicate - job billed twice",IF(M530=0,"Add - no price on this line",IF(AND(C530="",E530=""),"Add - what is this line for?","OK"))))</f>
        <v>0</v>
      </c>
    </row>
    <row r="531" spans="1:18">
      <c r="A531" s="43">
        <f>IF(B531="","","IL-"&amp;TEXT(ROW()-4,"0000"))</f>
        <v>0</v>
      </c>
      <c r="D531" s="18">
        <f>IF(C531="","",IFERROR(INDEX(Jobs!$B$5:$B$604,MATCH(C531,Jobs!$A$5:$A$604,0)),""))</f>
        <v>0</v>
      </c>
      <c r="J531" s="21">
        <f>IF(C531="","",IFERROR(INDEX(Jobs!$AJ$5:$AJ$604,MATCH(C531,Jobs!$A$5:$A$604,0)),"0"))</f>
        <v>0</v>
      </c>
      <c r="K531" s="23">
        <f>IF(C531="","",IFERROR(INDEX(Jobs!$M$5:$M$604,MATCH(C531,Jobs!$A$5:$A$604,0)),""))</f>
        <v>0</v>
      </c>
      <c r="L531" s="51">
        <f>IF(B531="","",IF(E531&lt;&gt;"",E531,IF(C531="","",K531&amp;" - "&amp;TEXT(D531,"d mmm yyyy"))))</f>
        <v>0</v>
      </c>
      <c r="M531" s="21">
        <f>IF(B531="","",IF(G531&lt;&gt;"",G531,IFERROR(J531*1,0)))</f>
        <v>0</v>
      </c>
      <c r="N531" s="21">
        <f>IF(B531="","",ROUND(IF(F531="",1,F531)*M531,2))</f>
        <v>0</v>
      </c>
      <c r="O531" s="39">
        <f>IF(B531="","",IF(C531="","",IF(COUNTIFS($C$5:$C$804,C531)&gt;1,"Duplicate","OK")))</f>
        <v>0</v>
      </c>
      <c r="P531" s="31">
        <f>IF(OR(B531="",E531=""),"",COUNTIFS($B$5:B531,B531))</f>
        <v>0</v>
      </c>
      <c r="Q531" s="23">
        <f>IF(P531="","",B531&amp;"|"&amp;P531)</f>
        <v>0</v>
      </c>
      <c r="R531" s="39">
        <f>IF(B531="","",IF(O531="Duplicate","Duplicate - job billed twice",IF(M531=0,"Add - no price on this line",IF(AND(C531="",E531=""),"Add - what is this line for?","OK"))))</f>
        <v>0</v>
      </c>
    </row>
    <row r="532" spans="1:18">
      <c r="A532" s="43">
        <f>IF(B532="","","IL-"&amp;TEXT(ROW()-4,"0000"))</f>
        <v>0</v>
      </c>
      <c r="D532" s="18">
        <f>IF(C532="","",IFERROR(INDEX(Jobs!$B$5:$B$604,MATCH(C532,Jobs!$A$5:$A$604,0)),""))</f>
        <v>0</v>
      </c>
      <c r="J532" s="21">
        <f>IF(C532="","",IFERROR(INDEX(Jobs!$AJ$5:$AJ$604,MATCH(C532,Jobs!$A$5:$A$604,0)),"0"))</f>
        <v>0</v>
      </c>
      <c r="K532" s="23">
        <f>IF(C532="","",IFERROR(INDEX(Jobs!$M$5:$M$604,MATCH(C532,Jobs!$A$5:$A$604,0)),""))</f>
        <v>0</v>
      </c>
      <c r="L532" s="51">
        <f>IF(B532="","",IF(E532&lt;&gt;"",E532,IF(C532="","",K532&amp;" - "&amp;TEXT(D532,"d mmm yyyy"))))</f>
        <v>0</v>
      </c>
      <c r="M532" s="21">
        <f>IF(B532="","",IF(G532&lt;&gt;"",G532,IFERROR(J532*1,0)))</f>
        <v>0</v>
      </c>
      <c r="N532" s="21">
        <f>IF(B532="","",ROUND(IF(F532="",1,F532)*M532,2))</f>
        <v>0</v>
      </c>
      <c r="O532" s="39">
        <f>IF(B532="","",IF(C532="","",IF(COUNTIFS($C$5:$C$804,C532)&gt;1,"Duplicate","OK")))</f>
        <v>0</v>
      </c>
      <c r="P532" s="31">
        <f>IF(OR(B532="",E532=""),"",COUNTIFS($B$5:B532,B532))</f>
        <v>0</v>
      </c>
      <c r="Q532" s="23">
        <f>IF(P532="","",B532&amp;"|"&amp;P532)</f>
        <v>0</v>
      </c>
      <c r="R532" s="39">
        <f>IF(B532="","",IF(O532="Duplicate","Duplicate - job billed twice",IF(M532=0,"Add - no price on this line",IF(AND(C532="",E532=""),"Add - what is this line for?","OK"))))</f>
        <v>0</v>
      </c>
    </row>
    <row r="533" spans="1:18">
      <c r="A533" s="43">
        <f>IF(B533="","","IL-"&amp;TEXT(ROW()-4,"0000"))</f>
        <v>0</v>
      </c>
      <c r="D533" s="18">
        <f>IF(C533="","",IFERROR(INDEX(Jobs!$B$5:$B$604,MATCH(C533,Jobs!$A$5:$A$604,0)),""))</f>
        <v>0</v>
      </c>
      <c r="J533" s="21">
        <f>IF(C533="","",IFERROR(INDEX(Jobs!$AJ$5:$AJ$604,MATCH(C533,Jobs!$A$5:$A$604,0)),"0"))</f>
        <v>0</v>
      </c>
      <c r="K533" s="23">
        <f>IF(C533="","",IFERROR(INDEX(Jobs!$M$5:$M$604,MATCH(C533,Jobs!$A$5:$A$604,0)),""))</f>
        <v>0</v>
      </c>
      <c r="L533" s="51">
        <f>IF(B533="","",IF(E533&lt;&gt;"",E533,IF(C533="","",K533&amp;" - "&amp;TEXT(D533,"d mmm yyyy"))))</f>
        <v>0</v>
      </c>
      <c r="M533" s="21">
        <f>IF(B533="","",IF(G533&lt;&gt;"",G533,IFERROR(J533*1,0)))</f>
        <v>0</v>
      </c>
      <c r="N533" s="21">
        <f>IF(B533="","",ROUND(IF(F533="",1,F533)*M533,2))</f>
        <v>0</v>
      </c>
      <c r="O533" s="39">
        <f>IF(B533="","",IF(C533="","",IF(COUNTIFS($C$5:$C$804,C533)&gt;1,"Duplicate","OK")))</f>
        <v>0</v>
      </c>
      <c r="P533" s="31">
        <f>IF(OR(B533="",E533=""),"",COUNTIFS($B$5:B533,B533))</f>
        <v>0</v>
      </c>
      <c r="Q533" s="23">
        <f>IF(P533="","",B533&amp;"|"&amp;P533)</f>
        <v>0</v>
      </c>
      <c r="R533" s="39">
        <f>IF(B533="","",IF(O533="Duplicate","Duplicate - job billed twice",IF(M533=0,"Add - no price on this line",IF(AND(C533="",E533=""),"Add - what is this line for?","OK"))))</f>
        <v>0</v>
      </c>
    </row>
    <row r="534" spans="1:18">
      <c r="A534" s="43">
        <f>IF(B534="","","IL-"&amp;TEXT(ROW()-4,"0000"))</f>
        <v>0</v>
      </c>
      <c r="D534" s="18">
        <f>IF(C534="","",IFERROR(INDEX(Jobs!$B$5:$B$604,MATCH(C534,Jobs!$A$5:$A$604,0)),""))</f>
        <v>0</v>
      </c>
      <c r="J534" s="21">
        <f>IF(C534="","",IFERROR(INDEX(Jobs!$AJ$5:$AJ$604,MATCH(C534,Jobs!$A$5:$A$604,0)),"0"))</f>
        <v>0</v>
      </c>
      <c r="K534" s="23">
        <f>IF(C534="","",IFERROR(INDEX(Jobs!$M$5:$M$604,MATCH(C534,Jobs!$A$5:$A$604,0)),""))</f>
        <v>0</v>
      </c>
      <c r="L534" s="51">
        <f>IF(B534="","",IF(E534&lt;&gt;"",E534,IF(C534="","",K534&amp;" - "&amp;TEXT(D534,"d mmm yyyy"))))</f>
        <v>0</v>
      </c>
      <c r="M534" s="21">
        <f>IF(B534="","",IF(G534&lt;&gt;"",G534,IFERROR(J534*1,0)))</f>
        <v>0</v>
      </c>
      <c r="N534" s="21">
        <f>IF(B534="","",ROUND(IF(F534="",1,F534)*M534,2))</f>
        <v>0</v>
      </c>
      <c r="O534" s="39">
        <f>IF(B534="","",IF(C534="","",IF(COUNTIFS($C$5:$C$804,C534)&gt;1,"Duplicate","OK")))</f>
        <v>0</v>
      </c>
      <c r="P534" s="31">
        <f>IF(OR(B534="",E534=""),"",COUNTIFS($B$5:B534,B534))</f>
        <v>0</v>
      </c>
      <c r="Q534" s="23">
        <f>IF(P534="","",B534&amp;"|"&amp;P534)</f>
        <v>0</v>
      </c>
      <c r="R534" s="39">
        <f>IF(B534="","",IF(O534="Duplicate","Duplicate - job billed twice",IF(M534=0,"Add - no price on this line",IF(AND(C534="",E534=""),"Add - what is this line for?","OK"))))</f>
        <v>0</v>
      </c>
    </row>
    <row r="535" spans="1:18">
      <c r="A535" s="43">
        <f>IF(B535="","","IL-"&amp;TEXT(ROW()-4,"0000"))</f>
        <v>0</v>
      </c>
      <c r="D535" s="18">
        <f>IF(C535="","",IFERROR(INDEX(Jobs!$B$5:$B$604,MATCH(C535,Jobs!$A$5:$A$604,0)),""))</f>
        <v>0</v>
      </c>
      <c r="J535" s="21">
        <f>IF(C535="","",IFERROR(INDEX(Jobs!$AJ$5:$AJ$604,MATCH(C535,Jobs!$A$5:$A$604,0)),"0"))</f>
        <v>0</v>
      </c>
      <c r="K535" s="23">
        <f>IF(C535="","",IFERROR(INDEX(Jobs!$M$5:$M$604,MATCH(C535,Jobs!$A$5:$A$604,0)),""))</f>
        <v>0</v>
      </c>
      <c r="L535" s="51">
        <f>IF(B535="","",IF(E535&lt;&gt;"",E535,IF(C535="","",K535&amp;" - "&amp;TEXT(D535,"d mmm yyyy"))))</f>
        <v>0</v>
      </c>
      <c r="M535" s="21">
        <f>IF(B535="","",IF(G535&lt;&gt;"",G535,IFERROR(J535*1,0)))</f>
        <v>0</v>
      </c>
      <c r="N535" s="21">
        <f>IF(B535="","",ROUND(IF(F535="",1,F535)*M535,2))</f>
        <v>0</v>
      </c>
      <c r="O535" s="39">
        <f>IF(B535="","",IF(C535="","",IF(COUNTIFS($C$5:$C$804,C535)&gt;1,"Duplicate","OK")))</f>
        <v>0</v>
      </c>
      <c r="P535" s="31">
        <f>IF(OR(B535="",E535=""),"",COUNTIFS($B$5:B535,B535))</f>
        <v>0</v>
      </c>
      <c r="Q535" s="23">
        <f>IF(P535="","",B535&amp;"|"&amp;P535)</f>
        <v>0</v>
      </c>
      <c r="R535" s="39">
        <f>IF(B535="","",IF(O535="Duplicate","Duplicate - job billed twice",IF(M535=0,"Add - no price on this line",IF(AND(C535="",E535=""),"Add - what is this line for?","OK"))))</f>
        <v>0</v>
      </c>
    </row>
    <row r="536" spans="1:18">
      <c r="A536" s="43">
        <f>IF(B536="","","IL-"&amp;TEXT(ROW()-4,"0000"))</f>
        <v>0</v>
      </c>
      <c r="D536" s="18">
        <f>IF(C536="","",IFERROR(INDEX(Jobs!$B$5:$B$604,MATCH(C536,Jobs!$A$5:$A$604,0)),""))</f>
        <v>0</v>
      </c>
      <c r="J536" s="21">
        <f>IF(C536="","",IFERROR(INDEX(Jobs!$AJ$5:$AJ$604,MATCH(C536,Jobs!$A$5:$A$604,0)),"0"))</f>
        <v>0</v>
      </c>
      <c r="K536" s="23">
        <f>IF(C536="","",IFERROR(INDEX(Jobs!$M$5:$M$604,MATCH(C536,Jobs!$A$5:$A$604,0)),""))</f>
        <v>0</v>
      </c>
      <c r="L536" s="51">
        <f>IF(B536="","",IF(E536&lt;&gt;"",E536,IF(C536="","",K536&amp;" - "&amp;TEXT(D536,"d mmm yyyy"))))</f>
        <v>0</v>
      </c>
      <c r="M536" s="21">
        <f>IF(B536="","",IF(G536&lt;&gt;"",G536,IFERROR(J536*1,0)))</f>
        <v>0</v>
      </c>
      <c r="N536" s="21">
        <f>IF(B536="","",ROUND(IF(F536="",1,F536)*M536,2))</f>
        <v>0</v>
      </c>
      <c r="O536" s="39">
        <f>IF(B536="","",IF(C536="","",IF(COUNTIFS($C$5:$C$804,C536)&gt;1,"Duplicate","OK")))</f>
        <v>0</v>
      </c>
      <c r="P536" s="31">
        <f>IF(OR(B536="",E536=""),"",COUNTIFS($B$5:B536,B536))</f>
        <v>0</v>
      </c>
      <c r="Q536" s="23">
        <f>IF(P536="","",B536&amp;"|"&amp;P536)</f>
        <v>0</v>
      </c>
      <c r="R536" s="39">
        <f>IF(B536="","",IF(O536="Duplicate","Duplicate - job billed twice",IF(M536=0,"Add - no price on this line",IF(AND(C536="",E536=""),"Add - what is this line for?","OK"))))</f>
        <v>0</v>
      </c>
    </row>
    <row r="537" spans="1:18">
      <c r="A537" s="43">
        <f>IF(B537="","","IL-"&amp;TEXT(ROW()-4,"0000"))</f>
        <v>0</v>
      </c>
      <c r="D537" s="18">
        <f>IF(C537="","",IFERROR(INDEX(Jobs!$B$5:$B$604,MATCH(C537,Jobs!$A$5:$A$604,0)),""))</f>
        <v>0</v>
      </c>
      <c r="J537" s="21">
        <f>IF(C537="","",IFERROR(INDEX(Jobs!$AJ$5:$AJ$604,MATCH(C537,Jobs!$A$5:$A$604,0)),"0"))</f>
        <v>0</v>
      </c>
      <c r="K537" s="23">
        <f>IF(C537="","",IFERROR(INDEX(Jobs!$M$5:$M$604,MATCH(C537,Jobs!$A$5:$A$604,0)),""))</f>
        <v>0</v>
      </c>
      <c r="L537" s="51">
        <f>IF(B537="","",IF(E537&lt;&gt;"",E537,IF(C537="","",K537&amp;" - "&amp;TEXT(D537,"d mmm yyyy"))))</f>
        <v>0</v>
      </c>
      <c r="M537" s="21">
        <f>IF(B537="","",IF(G537&lt;&gt;"",G537,IFERROR(J537*1,0)))</f>
        <v>0</v>
      </c>
      <c r="N537" s="21">
        <f>IF(B537="","",ROUND(IF(F537="",1,F537)*M537,2))</f>
        <v>0</v>
      </c>
      <c r="O537" s="39">
        <f>IF(B537="","",IF(C537="","",IF(COUNTIFS($C$5:$C$804,C537)&gt;1,"Duplicate","OK")))</f>
        <v>0</v>
      </c>
      <c r="P537" s="31">
        <f>IF(OR(B537="",E537=""),"",COUNTIFS($B$5:B537,B537))</f>
        <v>0</v>
      </c>
      <c r="Q537" s="23">
        <f>IF(P537="","",B537&amp;"|"&amp;P537)</f>
        <v>0</v>
      </c>
      <c r="R537" s="39">
        <f>IF(B537="","",IF(O537="Duplicate","Duplicate - job billed twice",IF(M537=0,"Add - no price on this line",IF(AND(C537="",E537=""),"Add - what is this line for?","OK"))))</f>
        <v>0</v>
      </c>
    </row>
    <row r="538" spans="1:18">
      <c r="A538" s="43">
        <f>IF(B538="","","IL-"&amp;TEXT(ROW()-4,"0000"))</f>
        <v>0</v>
      </c>
      <c r="D538" s="18">
        <f>IF(C538="","",IFERROR(INDEX(Jobs!$B$5:$B$604,MATCH(C538,Jobs!$A$5:$A$604,0)),""))</f>
        <v>0</v>
      </c>
      <c r="J538" s="21">
        <f>IF(C538="","",IFERROR(INDEX(Jobs!$AJ$5:$AJ$604,MATCH(C538,Jobs!$A$5:$A$604,0)),"0"))</f>
        <v>0</v>
      </c>
      <c r="K538" s="23">
        <f>IF(C538="","",IFERROR(INDEX(Jobs!$M$5:$M$604,MATCH(C538,Jobs!$A$5:$A$604,0)),""))</f>
        <v>0</v>
      </c>
      <c r="L538" s="51">
        <f>IF(B538="","",IF(E538&lt;&gt;"",E538,IF(C538="","",K538&amp;" - "&amp;TEXT(D538,"d mmm yyyy"))))</f>
        <v>0</v>
      </c>
      <c r="M538" s="21">
        <f>IF(B538="","",IF(G538&lt;&gt;"",G538,IFERROR(J538*1,0)))</f>
        <v>0</v>
      </c>
      <c r="N538" s="21">
        <f>IF(B538="","",ROUND(IF(F538="",1,F538)*M538,2))</f>
        <v>0</v>
      </c>
      <c r="O538" s="39">
        <f>IF(B538="","",IF(C538="","",IF(COUNTIFS($C$5:$C$804,C538)&gt;1,"Duplicate","OK")))</f>
        <v>0</v>
      </c>
      <c r="P538" s="31">
        <f>IF(OR(B538="",E538=""),"",COUNTIFS($B$5:B538,B538))</f>
        <v>0</v>
      </c>
      <c r="Q538" s="23">
        <f>IF(P538="","",B538&amp;"|"&amp;P538)</f>
        <v>0</v>
      </c>
      <c r="R538" s="39">
        <f>IF(B538="","",IF(O538="Duplicate","Duplicate - job billed twice",IF(M538=0,"Add - no price on this line",IF(AND(C538="",E538=""),"Add - what is this line for?","OK"))))</f>
        <v>0</v>
      </c>
    </row>
    <row r="539" spans="1:18">
      <c r="A539" s="43">
        <f>IF(B539="","","IL-"&amp;TEXT(ROW()-4,"0000"))</f>
        <v>0</v>
      </c>
      <c r="D539" s="18">
        <f>IF(C539="","",IFERROR(INDEX(Jobs!$B$5:$B$604,MATCH(C539,Jobs!$A$5:$A$604,0)),""))</f>
        <v>0</v>
      </c>
      <c r="J539" s="21">
        <f>IF(C539="","",IFERROR(INDEX(Jobs!$AJ$5:$AJ$604,MATCH(C539,Jobs!$A$5:$A$604,0)),"0"))</f>
        <v>0</v>
      </c>
      <c r="K539" s="23">
        <f>IF(C539="","",IFERROR(INDEX(Jobs!$M$5:$M$604,MATCH(C539,Jobs!$A$5:$A$604,0)),""))</f>
        <v>0</v>
      </c>
      <c r="L539" s="51">
        <f>IF(B539="","",IF(E539&lt;&gt;"",E539,IF(C539="","",K539&amp;" - "&amp;TEXT(D539,"d mmm yyyy"))))</f>
        <v>0</v>
      </c>
      <c r="M539" s="21">
        <f>IF(B539="","",IF(G539&lt;&gt;"",G539,IFERROR(J539*1,0)))</f>
        <v>0</v>
      </c>
      <c r="N539" s="21">
        <f>IF(B539="","",ROUND(IF(F539="",1,F539)*M539,2))</f>
        <v>0</v>
      </c>
      <c r="O539" s="39">
        <f>IF(B539="","",IF(C539="","",IF(COUNTIFS($C$5:$C$804,C539)&gt;1,"Duplicate","OK")))</f>
        <v>0</v>
      </c>
      <c r="P539" s="31">
        <f>IF(OR(B539="",E539=""),"",COUNTIFS($B$5:B539,B539))</f>
        <v>0</v>
      </c>
      <c r="Q539" s="23">
        <f>IF(P539="","",B539&amp;"|"&amp;P539)</f>
        <v>0</v>
      </c>
      <c r="R539" s="39">
        <f>IF(B539="","",IF(O539="Duplicate","Duplicate - job billed twice",IF(M539=0,"Add - no price on this line",IF(AND(C539="",E539=""),"Add - what is this line for?","OK"))))</f>
        <v>0</v>
      </c>
    </row>
    <row r="540" spans="1:18">
      <c r="A540" s="43">
        <f>IF(B540="","","IL-"&amp;TEXT(ROW()-4,"0000"))</f>
        <v>0</v>
      </c>
      <c r="D540" s="18">
        <f>IF(C540="","",IFERROR(INDEX(Jobs!$B$5:$B$604,MATCH(C540,Jobs!$A$5:$A$604,0)),""))</f>
        <v>0</v>
      </c>
      <c r="J540" s="21">
        <f>IF(C540="","",IFERROR(INDEX(Jobs!$AJ$5:$AJ$604,MATCH(C540,Jobs!$A$5:$A$604,0)),"0"))</f>
        <v>0</v>
      </c>
      <c r="K540" s="23">
        <f>IF(C540="","",IFERROR(INDEX(Jobs!$M$5:$M$604,MATCH(C540,Jobs!$A$5:$A$604,0)),""))</f>
        <v>0</v>
      </c>
      <c r="L540" s="51">
        <f>IF(B540="","",IF(E540&lt;&gt;"",E540,IF(C540="","",K540&amp;" - "&amp;TEXT(D540,"d mmm yyyy"))))</f>
        <v>0</v>
      </c>
      <c r="M540" s="21">
        <f>IF(B540="","",IF(G540&lt;&gt;"",G540,IFERROR(J540*1,0)))</f>
        <v>0</v>
      </c>
      <c r="N540" s="21">
        <f>IF(B540="","",ROUND(IF(F540="",1,F540)*M540,2))</f>
        <v>0</v>
      </c>
      <c r="O540" s="39">
        <f>IF(B540="","",IF(C540="","",IF(COUNTIFS($C$5:$C$804,C540)&gt;1,"Duplicate","OK")))</f>
        <v>0</v>
      </c>
      <c r="P540" s="31">
        <f>IF(OR(B540="",E540=""),"",COUNTIFS($B$5:B540,B540))</f>
        <v>0</v>
      </c>
      <c r="Q540" s="23">
        <f>IF(P540="","",B540&amp;"|"&amp;P540)</f>
        <v>0</v>
      </c>
      <c r="R540" s="39">
        <f>IF(B540="","",IF(O540="Duplicate","Duplicate - job billed twice",IF(M540=0,"Add - no price on this line",IF(AND(C540="",E540=""),"Add - what is this line for?","OK"))))</f>
        <v>0</v>
      </c>
    </row>
    <row r="541" spans="1:18">
      <c r="A541" s="43">
        <f>IF(B541="","","IL-"&amp;TEXT(ROW()-4,"0000"))</f>
        <v>0</v>
      </c>
      <c r="D541" s="18">
        <f>IF(C541="","",IFERROR(INDEX(Jobs!$B$5:$B$604,MATCH(C541,Jobs!$A$5:$A$604,0)),""))</f>
        <v>0</v>
      </c>
      <c r="J541" s="21">
        <f>IF(C541="","",IFERROR(INDEX(Jobs!$AJ$5:$AJ$604,MATCH(C541,Jobs!$A$5:$A$604,0)),"0"))</f>
        <v>0</v>
      </c>
      <c r="K541" s="23">
        <f>IF(C541="","",IFERROR(INDEX(Jobs!$M$5:$M$604,MATCH(C541,Jobs!$A$5:$A$604,0)),""))</f>
        <v>0</v>
      </c>
      <c r="L541" s="51">
        <f>IF(B541="","",IF(E541&lt;&gt;"",E541,IF(C541="","",K541&amp;" - "&amp;TEXT(D541,"d mmm yyyy"))))</f>
        <v>0</v>
      </c>
      <c r="M541" s="21">
        <f>IF(B541="","",IF(G541&lt;&gt;"",G541,IFERROR(J541*1,0)))</f>
        <v>0</v>
      </c>
      <c r="N541" s="21">
        <f>IF(B541="","",ROUND(IF(F541="",1,F541)*M541,2))</f>
        <v>0</v>
      </c>
      <c r="O541" s="39">
        <f>IF(B541="","",IF(C541="","",IF(COUNTIFS($C$5:$C$804,C541)&gt;1,"Duplicate","OK")))</f>
        <v>0</v>
      </c>
      <c r="P541" s="31">
        <f>IF(OR(B541="",E541=""),"",COUNTIFS($B$5:B541,B541))</f>
        <v>0</v>
      </c>
      <c r="Q541" s="23">
        <f>IF(P541="","",B541&amp;"|"&amp;P541)</f>
        <v>0</v>
      </c>
      <c r="R541" s="39">
        <f>IF(B541="","",IF(O541="Duplicate","Duplicate - job billed twice",IF(M541=0,"Add - no price on this line",IF(AND(C541="",E541=""),"Add - what is this line for?","OK"))))</f>
        <v>0</v>
      </c>
    </row>
    <row r="542" spans="1:18">
      <c r="A542" s="43">
        <f>IF(B542="","","IL-"&amp;TEXT(ROW()-4,"0000"))</f>
        <v>0</v>
      </c>
      <c r="D542" s="18">
        <f>IF(C542="","",IFERROR(INDEX(Jobs!$B$5:$B$604,MATCH(C542,Jobs!$A$5:$A$604,0)),""))</f>
        <v>0</v>
      </c>
      <c r="J542" s="21">
        <f>IF(C542="","",IFERROR(INDEX(Jobs!$AJ$5:$AJ$604,MATCH(C542,Jobs!$A$5:$A$604,0)),"0"))</f>
        <v>0</v>
      </c>
      <c r="K542" s="23">
        <f>IF(C542="","",IFERROR(INDEX(Jobs!$M$5:$M$604,MATCH(C542,Jobs!$A$5:$A$604,0)),""))</f>
        <v>0</v>
      </c>
      <c r="L542" s="51">
        <f>IF(B542="","",IF(E542&lt;&gt;"",E542,IF(C542="","",K542&amp;" - "&amp;TEXT(D542,"d mmm yyyy"))))</f>
        <v>0</v>
      </c>
      <c r="M542" s="21">
        <f>IF(B542="","",IF(G542&lt;&gt;"",G542,IFERROR(J542*1,0)))</f>
        <v>0</v>
      </c>
      <c r="N542" s="21">
        <f>IF(B542="","",ROUND(IF(F542="",1,F542)*M542,2))</f>
        <v>0</v>
      </c>
      <c r="O542" s="39">
        <f>IF(B542="","",IF(C542="","",IF(COUNTIFS($C$5:$C$804,C542)&gt;1,"Duplicate","OK")))</f>
        <v>0</v>
      </c>
      <c r="P542" s="31">
        <f>IF(OR(B542="",E542=""),"",COUNTIFS($B$5:B542,B542))</f>
        <v>0</v>
      </c>
      <c r="Q542" s="23">
        <f>IF(P542="","",B542&amp;"|"&amp;P542)</f>
        <v>0</v>
      </c>
      <c r="R542" s="39">
        <f>IF(B542="","",IF(O542="Duplicate","Duplicate - job billed twice",IF(M542=0,"Add - no price on this line",IF(AND(C542="",E542=""),"Add - what is this line for?","OK"))))</f>
        <v>0</v>
      </c>
    </row>
    <row r="543" spans="1:18">
      <c r="A543" s="43">
        <f>IF(B543="","","IL-"&amp;TEXT(ROW()-4,"0000"))</f>
        <v>0</v>
      </c>
      <c r="D543" s="18">
        <f>IF(C543="","",IFERROR(INDEX(Jobs!$B$5:$B$604,MATCH(C543,Jobs!$A$5:$A$604,0)),""))</f>
        <v>0</v>
      </c>
      <c r="J543" s="21">
        <f>IF(C543="","",IFERROR(INDEX(Jobs!$AJ$5:$AJ$604,MATCH(C543,Jobs!$A$5:$A$604,0)),"0"))</f>
        <v>0</v>
      </c>
      <c r="K543" s="23">
        <f>IF(C543="","",IFERROR(INDEX(Jobs!$M$5:$M$604,MATCH(C543,Jobs!$A$5:$A$604,0)),""))</f>
        <v>0</v>
      </c>
      <c r="L543" s="51">
        <f>IF(B543="","",IF(E543&lt;&gt;"",E543,IF(C543="","",K543&amp;" - "&amp;TEXT(D543,"d mmm yyyy"))))</f>
        <v>0</v>
      </c>
      <c r="M543" s="21">
        <f>IF(B543="","",IF(G543&lt;&gt;"",G543,IFERROR(J543*1,0)))</f>
        <v>0</v>
      </c>
      <c r="N543" s="21">
        <f>IF(B543="","",ROUND(IF(F543="",1,F543)*M543,2))</f>
        <v>0</v>
      </c>
      <c r="O543" s="39">
        <f>IF(B543="","",IF(C543="","",IF(COUNTIFS($C$5:$C$804,C543)&gt;1,"Duplicate","OK")))</f>
        <v>0</v>
      </c>
      <c r="P543" s="31">
        <f>IF(OR(B543="",E543=""),"",COUNTIFS($B$5:B543,B543))</f>
        <v>0</v>
      </c>
      <c r="Q543" s="23">
        <f>IF(P543="","",B543&amp;"|"&amp;P543)</f>
        <v>0</v>
      </c>
      <c r="R543" s="39">
        <f>IF(B543="","",IF(O543="Duplicate","Duplicate - job billed twice",IF(M543=0,"Add - no price on this line",IF(AND(C543="",E543=""),"Add - what is this line for?","OK"))))</f>
        <v>0</v>
      </c>
    </row>
    <row r="544" spans="1:18">
      <c r="A544" s="43">
        <f>IF(B544="","","IL-"&amp;TEXT(ROW()-4,"0000"))</f>
        <v>0</v>
      </c>
      <c r="D544" s="18">
        <f>IF(C544="","",IFERROR(INDEX(Jobs!$B$5:$B$604,MATCH(C544,Jobs!$A$5:$A$604,0)),""))</f>
        <v>0</v>
      </c>
      <c r="J544" s="21">
        <f>IF(C544="","",IFERROR(INDEX(Jobs!$AJ$5:$AJ$604,MATCH(C544,Jobs!$A$5:$A$604,0)),"0"))</f>
        <v>0</v>
      </c>
      <c r="K544" s="23">
        <f>IF(C544="","",IFERROR(INDEX(Jobs!$M$5:$M$604,MATCH(C544,Jobs!$A$5:$A$604,0)),""))</f>
        <v>0</v>
      </c>
      <c r="L544" s="51">
        <f>IF(B544="","",IF(E544&lt;&gt;"",E544,IF(C544="","",K544&amp;" - "&amp;TEXT(D544,"d mmm yyyy"))))</f>
        <v>0</v>
      </c>
      <c r="M544" s="21">
        <f>IF(B544="","",IF(G544&lt;&gt;"",G544,IFERROR(J544*1,0)))</f>
        <v>0</v>
      </c>
      <c r="N544" s="21">
        <f>IF(B544="","",ROUND(IF(F544="",1,F544)*M544,2))</f>
        <v>0</v>
      </c>
      <c r="O544" s="39">
        <f>IF(B544="","",IF(C544="","",IF(COUNTIFS($C$5:$C$804,C544)&gt;1,"Duplicate","OK")))</f>
        <v>0</v>
      </c>
      <c r="P544" s="31">
        <f>IF(OR(B544="",E544=""),"",COUNTIFS($B$5:B544,B544))</f>
        <v>0</v>
      </c>
      <c r="Q544" s="23">
        <f>IF(P544="","",B544&amp;"|"&amp;P544)</f>
        <v>0</v>
      </c>
      <c r="R544" s="39">
        <f>IF(B544="","",IF(O544="Duplicate","Duplicate - job billed twice",IF(M544=0,"Add - no price on this line",IF(AND(C544="",E544=""),"Add - what is this line for?","OK"))))</f>
        <v>0</v>
      </c>
    </row>
    <row r="545" spans="1:18">
      <c r="A545" s="43">
        <f>IF(B545="","","IL-"&amp;TEXT(ROW()-4,"0000"))</f>
        <v>0</v>
      </c>
      <c r="D545" s="18">
        <f>IF(C545="","",IFERROR(INDEX(Jobs!$B$5:$B$604,MATCH(C545,Jobs!$A$5:$A$604,0)),""))</f>
        <v>0</v>
      </c>
      <c r="J545" s="21">
        <f>IF(C545="","",IFERROR(INDEX(Jobs!$AJ$5:$AJ$604,MATCH(C545,Jobs!$A$5:$A$604,0)),"0"))</f>
        <v>0</v>
      </c>
      <c r="K545" s="23">
        <f>IF(C545="","",IFERROR(INDEX(Jobs!$M$5:$M$604,MATCH(C545,Jobs!$A$5:$A$604,0)),""))</f>
        <v>0</v>
      </c>
      <c r="L545" s="51">
        <f>IF(B545="","",IF(E545&lt;&gt;"",E545,IF(C545="","",K545&amp;" - "&amp;TEXT(D545,"d mmm yyyy"))))</f>
        <v>0</v>
      </c>
      <c r="M545" s="21">
        <f>IF(B545="","",IF(G545&lt;&gt;"",G545,IFERROR(J545*1,0)))</f>
        <v>0</v>
      </c>
      <c r="N545" s="21">
        <f>IF(B545="","",ROUND(IF(F545="",1,F545)*M545,2))</f>
        <v>0</v>
      </c>
      <c r="O545" s="39">
        <f>IF(B545="","",IF(C545="","",IF(COUNTIFS($C$5:$C$804,C545)&gt;1,"Duplicate","OK")))</f>
        <v>0</v>
      </c>
      <c r="P545" s="31">
        <f>IF(OR(B545="",E545=""),"",COUNTIFS($B$5:B545,B545))</f>
        <v>0</v>
      </c>
      <c r="Q545" s="23">
        <f>IF(P545="","",B545&amp;"|"&amp;P545)</f>
        <v>0</v>
      </c>
      <c r="R545" s="39">
        <f>IF(B545="","",IF(O545="Duplicate","Duplicate - job billed twice",IF(M545=0,"Add - no price on this line",IF(AND(C545="",E545=""),"Add - what is this line for?","OK"))))</f>
        <v>0</v>
      </c>
    </row>
    <row r="546" spans="1:18">
      <c r="A546" s="43">
        <f>IF(B546="","","IL-"&amp;TEXT(ROW()-4,"0000"))</f>
        <v>0</v>
      </c>
      <c r="D546" s="18">
        <f>IF(C546="","",IFERROR(INDEX(Jobs!$B$5:$B$604,MATCH(C546,Jobs!$A$5:$A$604,0)),""))</f>
        <v>0</v>
      </c>
      <c r="J546" s="21">
        <f>IF(C546="","",IFERROR(INDEX(Jobs!$AJ$5:$AJ$604,MATCH(C546,Jobs!$A$5:$A$604,0)),"0"))</f>
        <v>0</v>
      </c>
      <c r="K546" s="23">
        <f>IF(C546="","",IFERROR(INDEX(Jobs!$M$5:$M$604,MATCH(C546,Jobs!$A$5:$A$604,0)),""))</f>
        <v>0</v>
      </c>
      <c r="L546" s="51">
        <f>IF(B546="","",IF(E546&lt;&gt;"",E546,IF(C546="","",K546&amp;" - "&amp;TEXT(D546,"d mmm yyyy"))))</f>
        <v>0</v>
      </c>
      <c r="M546" s="21">
        <f>IF(B546="","",IF(G546&lt;&gt;"",G546,IFERROR(J546*1,0)))</f>
        <v>0</v>
      </c>
      <c r="N546" s="21">
        <f>IF(B546="","",ROUND(IF(F546="",1,F546)*M546,2))</f>
        <v>0</v>
      </c>
      <c r="O546" s="39">
        <f>IF(B546="","",IF(C546="","",IF(COUNTIFS($C$5:$C$804,C546)&gt;1,"Duplicate","OK")))</f>
        <v>0</v>
      </c>
      <c r="P546" s="31">
        <f>IF(OR(B546="",E546=""),"",COUNTIFS($B$5:B546,B546))</f>
        <v>0</v>
      </c>
      <c r="Q546" s="23">
        <f>IF(P546="","",B546&amp;"|"&amp;P546)</f>
        <v>0</v>
      </c>
      <c r="R546" s="39">
        <f>IF(B546="","",IF(O546="Duplicate","Duplicate - job billed twice",IF(M546=0,"Add - no price on this line",IF(AND(C546="",E546=""),"Add - what is this line for?","OK"))))</f>
        <v>0</v>
      </c>
    </row>
    <row r="547" spans="1:18">
      <c r="A547" s="43">
        <f>IF(B547="","","IL-"&amp;TEXT(ROW()-4,"0000"))</f>
        <v>0</v>
      </c>
      <c r="D547" s="18">
        <f>IF(C547="","",IFERROR(INDEX(Jobs!$B$5:$B$604,MATCH(C547,Jobs!$A$5:$A$604,0)),""))</f>
        <v>0</v>
      </c>
      <c r="J547" s="21">
        <f>IF(C547="","",IFERROR(INDEX(Jobs!$AJ$5:$AJ$604,MATCH(C547,Jobs!$A$5:$A$604,0)),"0"))</f>
        <v>0</v>
      </c>
      <c r="K547" s="23">
        <f>IF(C547="","",IFERROR(INDEX(Jobs!$M$5:$M$604,MATCH(C547,Jobs!$A$5:$A$604,0)),""))</f>
        <v>0</v>
      </c>
      <c r="L547" s="51">
        <f>IF(B547="","",IF(E547&lt;&gt;"",E547,IF(C547="","",K547&amp;" - "&amp;TEXT(D547,"d mmm yyyy"))))</f>
        <v>0</v>
      </c>
      <c r="M547" s="21">
        <f>IF(B547="","",IF(G547&lt;&gt;"",G547,IFERROR(J547*1,0)))</f>
        <v>0</v>
      </c>
      <c r="N547" s="21">
        <f>IF(B547="","",ROUND(IF(F547="",1,F547)*M547,2))</f>
        <v>0</v>
      </c>
      <c r="O547" s="39">
        <f>IF(B547="","",IF(C547="","",IF(COUNTIFS($C$5:$C$804,C547)&gt;1,"Duplicate","OK")))</f>
        <v>0</v>
      </c>
      <c r="P547" s="31">
        <f>IF(OR(B547="",E547=""),"",COUNTIFS($B$5:B547,B547))</f>
        <v>0</v>
      </c>
      <c r="Q547" s="23">
        <f>IF(P547="","",B547&amp;"|"&amp;P547)</f>
        <v>0</v>
      </c>
      <c r="R547" s="39">
        <f>IF(B547="","",IF(O547="Duplicate","Duplicate - job billed twice",IF(M547=0,"Add - no price on this line",IF(AND(C547="",E547=""),"Add - what is this line for?","OK"))))</f>
        <v>0</v>
      </c>
    </row>
    <row r="548" spans="1:18">
      <c r="A548" s="43">
        <f>IF(B548="","","IL-"&amp;TEXT(ROW()-4,"0000"))</f>
        <v>0</v>
      </c>
      <c r="D548" s="18">
        <f>IF(C548="","",IFERROR(INDEX(Jobs!$B$5:$B$604,MATCH(C548,Jobs!$A$5:$A$604,0)),""))</f>
        <v>0</v>
      </c>
      <c r="J548" s="21">
        <f>IF(C548="","",IFERROR(INDEX(Jobs!$AJ$5:$AJ$604,MATCH(C548,Jobs!$A$5:$A$604,0)),"0"))</f>
        <v>0</v>
      </c>
      <c r="K548" s="23">
        <f>IF(C548="","",IFERROR(INDEX(Jobs!$M$5:$M$604,MATCH(C548,Jobs!$A$5:$A$604,0)),""))</f>
        <v>0</v>
      </c>
      <c r="L548" s="51">
        <f>IF(B548="","",IF(E548&lt;&gt;"",E548,IF(C548="","",K548&amp;" - "&amp;TEXT(D548,"d mmm yyyy"))))</f>
        <v>0</v>
      </c>
      <c r="M548" s="21">
        <f>IF(B548="","",IF(G548&lt;&gt;"",G548,IFERROR(J548*1,0)))</f>
        <v>0</v>
      </c>
      <c r="N548" s="21">
        <f>IF(B548="","",ROUND(IF(F548="",1,F548)*M548,2))</f>
        <v>0</v>
      </c>
      <c r="O548" s="39">
        <f>IF(B548="","",IF(C548="","",IF(COUNTIFS($C$5:$C$804,C548)&gt;1,"Duplicate","OK")))</f>
        <v>0</v>
      </c>
      <c r="P548" s="31">
        <f>IF(OR(B548="",E548=""),"",COUNTIFS($B$5:B548,B548))</f>
        <v>0</v>
      </c>
      <c r="Q548" s="23">
        <f>IF(P548="","",B548&amp;"|"&amp;P548)</f>
        <v>0</v>
      </c>
      <c r="R548" s="39">
        <f>IF(B548="","",IF(O548="Duplicate","Duplicate - job billed twice",IF(M548=0,"Add - no price on this line",IF(AND(C548="",E548=""),"Add - what is this line for?","OK"))))</f>
        <v>0</v>
      </c>
    </row>
    <row r="549" spans="1:18">
      <c r="A549" s="43">
        <f>IF(B549="","","IL-"&amp;TEXT(ROW()-4,"0000"))</f>
        <v>0</v>
      </c>
      <c r="D549" s="18">
        <f>IF(C549="","",IFERROR(INDEX(Jobs!$B$5:$B$604,MATCH(C549,Jobs!$A$5:$A$604,0)),""))</f>
        <v>0</v>
      </c>
      <c r="J549" s="21">
        <f>IF(C549="","",IFERROR(INDEX(Jobs!$AJ$5:$AJ$604,MATCH(C549,Jobs!$A$5:$A$604,0)),"0"))</f>
        <v>0</v>
      </c>
      <c r="K549" s="23">
        <f>IF(C549="","",IFERROR(INDEX(Jobs!$M$5:$M$604,MATCH(C549,Jobs!$A$5:$A$604,0)),""))</f>
        <v>0</v>
      </c>
      <c r="L549" s="51">
        <f>IF(B549="","",IF(E549&lt;&gt;"",E549,IF(C549="","",K549&amp;" - "&amp;TEXT(D549,"d mmm yyyy"))))</f>
        <v>0</v>
      </c>
      <c r="M549" s="21">
        <f>IF(B549="","",IF(G549&lt;&gt;"",G549,IFERROR(J549*1,0)))</f>
        <v>0</v>
      </c>
      <c r="N549" s="21">
        <f>IF(B549="","",ROUND(IF(F549="",1,F549)*M549,2))</f>
        <v>0</v>
      </c>
      <c r="O549" s="39">
        <f>IF(B549="","",IF(C549="","",IF(COUNTIFS($C$5:$C$804,C549)&gt;1,"Duplicate","OK")))</f>
        <v>0</v>
      </c>
      <c r="P549" s="31">
        <f>IF(OR(B549="",E549=""),"",COUNTIFS($B$5:B549,B549))</f>
        <v>0</v>
      </c>
      <c r="Q549" s="23">
        <f>IF(P549="","",B549&amp;"|"&amp;P549)</f>
        <v>0</v>
      </c>
      <c r="R549" s="39">
        <f>IF(B549="","",IF(O549="Duplicate","Duplicate - job billed twice",IF(M549=0,"Add - no price on this line",IF(AND(C549="",E549=""),"Add - what is this line for?","OK"))))</f>
        <v>0</v>
      </c>
    </row>
    <row r="550" spans="1:18">
      <c r="A550" s="43">
        <f>IF(B550="","","IL-"&amp;TEXT(ROW()-4,"0000"))</f>
        <v>0</v>
      </c>
      <c r="D550" s="18">
        <f>IF(C550="","",IFERROR(INDEX(Jobs!$B$5:$B$604,MATCH(C550,Jobs!$A$5:$A$604,0)),""))</f>
        <v>0</v>
      </c>
      <c r="J550" s="21">
        <f>IF(C550="","",IFERROR(INDEX(Jobs!$AJ$5:$AJ$604,MATCH(C550,Jobs!$A$5:$A$604,0)),"0"))</f>
        <v>0</v>
      </c>
      <c r="K550" s="23">
        <f>IF(C550="","",IFERROR(INDEX(Jobs!$M$5:$M$604,MATCH(C550,Jobs!$A$5:$A$604,0)),""))</f>
        <v>0</v>
      </c>
      <c r="L550" s="51">
        <f>IF(B550="","",IF(E550&lt;&gt;"",E550,IF(C550="","",K550&amp;" - "&amp;TEXT(D550,"d mmm yyyy"))))</f>
        <v>0</v>
      </c>
      <c r="M550" s="21">
        <f>IF(B550="","",IF(G550&lt;&gt;"",G550,IFERROR(J550*1,0)))</f>
        <v>0</v>
      </c>
      <c r="N550" s="21">
        <f>IF(B550="","",ROUND(IF(F550="",1,F550)*M550,2))</f>
        <v>0</v>
      </c>
      <c r="O550" s="39">
        <f>IF(B550="","",IF(C550="","",IF(COUNTIFS($C$5:$C$804,C550)&gt;1,"Duplicate","OK")))</f>
        <v>0</v>
      </c>
      <c r="P550" s="31">
        <f>IF(OR(B550="",E550=""),"",COUNTIFS($B$5:B550,B550))</f>
        <v>0</v>
      </c>
      <c r="Q550" s="23">
        <f>IF(P550="","",B550&amp;"|"&amp;P550)</f>
        <v>0</v>
      </c>
      <c r="R550" s="39">
        <f>IF(B550="","",IF(O550="Duplicate","Duplicate - job billed twice",IF(M550=0,"Add - no price on this line",IF(AND(C550="",E550=""),"Add - what is this line for?","OK"))))</f>
        <v>0</v>
      </c>
    </row>
    <row r="551" spans="1:18">
      <c r="A551" s="43">
        <f>IF(B551="","","IL-"&amp;TEXT(ROW()-4,"0000"))</f>
        <v>0</v>
      </c>
      <c r="D551" s="18">
        <f>IF(C551="","",IFERROR(INDEX(Jobs!$B$5:$B$604,MATCH(C551,Jobs!$A$5:$A$604,0)),""))</f>
        <v>0</v>
      </c>
      <c r="J551" s="21">
        <f>IF(C551="","",IFERROR(INDEX(Jobs!$AJ$5:$AJ$604,MATCH(C551,Jobs!$A$5:$A$604,0)),"0"))</f>
        <v>0</v>
      </c>
      <c r="K551" s="23">
        <f>IF(C551="","",IFERROR(INDEX(Jobs!$M$5:$M$604,MATCH(C551,Jobs!$A$5:$A$604,0)),""))</f>
        <v>0</v>
      </c>
      <c r="L551" s="51">
        <f>IF(B551="","",IF(E551&lt;&gt;"",E551,IF(C551="","",K551&amp;" - "&amp;TEXT(D551,"d mmm yyyy"))))</f>
        <v>0</v>
      </c>
      <c r="M551" s="21">
        <f>IF(B551="","",IF(G551&lt;&gt;"",G551,IFERROR(J551*1,0)))</f>
        <v>0</v>
      </c>
      <c r="N551" s="21">
        <f>IF(B551="","",ROUND(IF(F551="",1,F551)*M551,2))</f>
        <v>0</v>
      </c>
      <c r="O551" s="39">
        <f>IF(B551="","",IF(C551="","",IF(COUNTIFS($C$5:$C$804,C551)&gt;1,"Duplicate","OK")))</f>
        <v>0</v>
      </c>
      <c r="P551" s="31">
        <f>IF(OR(B551="",E551=""),"",COUNTIFS($B$5:B551,B551))</f>
        <v>0</v>
      </c>
      <c r="Q551" s="23">
        <f>IF(P551="","",B551&amp;"|"&amp;P551)</f>
        <v>0</v>
      </c>
      <c r="R551" s="39">
        <f>IF(B551="","",IF(O551="Duplicate","Duplicate - job billed twice",IF(M551=0,"Add - no price on this line",IF(AND(C551="",E551=""),"Add - what is this line for?","OK"))))</f>
        <v>0</v>
      </c>
    </row>
    <row r="552" spans="1:18">
      <c r="A552" s="43">
        <f>IF(B552="","","IL-"&amp;TEXT(ROW()-4,"0000"))</f>
        <v>0</v>
      </c>
      <c r="D552" s="18">
        <f>IF(C552="","",IFERROR(INDEX(Jobs!$B$5:$B$604,MATCH(C552,Jobs!$A$5:$A$604,0)),""))</f>
        <v>0</v>
      </c>
      <c r="J552" s="21">
        <f>IF(C552="","",IFERROR(INDEX(Jobs!$AJ$5:$AJ$604,MATCH(C552,Jobs!$A$5:$A$604,0)),"0"))</f>
        <v>0</v>
      </c>
      <c r="K552" s="23">
        <f>IF(C552="","",IFERROR(INDEX(Jobs!$M$5:$M$604,MATCH(C552,Jobs!$A$5:$A$604,0)),""))</f>
        <v>0</v>
      </c>
      <c r="L552" s="51">
        <f>IF(B552="","",IF(E552&lt;&gt;"",E552,IF(C552="","",K552&amp;" - "&amp;TEXT(D552,"d mmm yyyy"))))</f>
        <v>0</v>
      </c>
      <c r="M552" s="21">
        <f>IF(B552="","",IF(G552&lt;&gt;"",G552,IFERROR(J552*1,0)))</f>
        <v>0</v>
      </c>
      <c r="N552" s="21">
        <f>IF(B552="","",ROUND(IF(F552="",1,F552)*M552,2))</f>
        <v>0</v>
      </c>
      <c r="O552" s="39">
        <f>IF(B552="","",IF(C552="","",IF(COUNTIFS($C$5:$C$804,C552)&gt;1,"Duplicate","OK")))</f>
        <v>0</v>
      </c>
      <c r="P552" s="31">
        <f>IF(OR(B552="",E552=""),"",COUNTIFS($B$5:B552,B552))</f>
        <v>0</v>
      </c>
      <c r="Q552" s="23">
        <f>IF(P552="","",B552&amp;"|"&amp;P552)</f>
        <v>0</v>
      </c>
      <c r="R552" s="39">
        <f>IF(B552="","",IF(O552="Duplicate","Duplicate - job billed twice",IF(M552=0,"Add - no price on this line",IF(AND(C552="",E552=""),"Add - what is this line for?","OK"))))</f>
        <v>0</v>
      </c>
    </row>
    <row r="553" spans="1:18">
      <c r="A553" s="43">
        <f>IF(B553="","","IL-"&amp;TEXT(ROW()-4,"0000"))</f>
        <v>0</v>
      </c>
      <c r="D553" s="18">
        <f>IF(C553="","",IFERROR(INDEX(Jobs!$B$5:$B$604,MATCH(C553,Jobs!$A$5:$A$604,0)),""))</f>
        <v>0</v>
      </c>
      <c r="J553" s="21">
        <f>IF(C553="","",IFERROR(INDEX(Jobs!$AJ$5:$AJ$604,MATCH(C553,Jobs!$A$5:$A$604,0)),"0"))</f>
        <v>0</v>
      </c>
      <c r="K553" s="23">
        <f>IF(C553="","",IFERROR(INDEX(Jobs!$M$5:$M$604,MATCH(C553,Jobs!$A$5:$A$604,0)),""))</f>
        <v>0</v>
      </c>
      <c r="L553" s="51">
        <f>IF(B553="","",IF(E553&lt;&gt;"",E553,IF(C553="","",K553&amp;" - "&amp;TEXT(D553,"d mmm yyyy"))))</f>
        <v>0</v>
      </c>
      <c r="M553" s="21">
        <f>IF(B553="","",IF(G553&lt;&gt;"",G553,IFERROR(J553*1,0)))</f>
        <v>0</v>
      </c>
      <c r="N553" s="21">
        <f>IF(B553="","",ROUND(IF(F553="",1,F553)*M553,2))</f>
        <v>0</v>
      </c>
      <c r="O553" s="39">
        <f>IF(B553="","",IF(C553="","",IF(COUNTIFS($C$5:$C$804,C553)&gt;1,"Duplicate","OK")))</f>
        <v>0</v>
      </c>
      <c r="P553" s="31">
        <f>IF(OR(B553="",E553=""),"",COUNTIFS($B$5:B553,B553))</f>
        <v>0</v>
      </c>
      <c r="Q553" s="23">
        <f>IF(P553="","",B553&amp;"|"&amp;P553)</f>
        <v>0</v>
      </c>
      <c r="R553" s="39">
        <f>IF(B553="","",IF(O553="Duplicate","Duplicate - job billed twice",IF(M553=0,"Add - no price on this line",IF(AND(C553="",E553=""),"Add - what is this line for?","OK"))))</f>
        <v>0</v>
      </c>
    </row>
    <row r="554" spans="1:18">
      <c r="A554" s="43">
        <f>IF(B554="","","IL-"&amp;TEXT(ROW()-4,"0000"))</f>
        <v>0</v>
      </c>
      <c r="D554" s="18">
        <f>IF(C554="","",IFERROR(INDEX(Jobs!$B$5:$B$604,MATCH(C554,Jobs!$A$5:$A$604,0)),""))</f>
        <v>0</v>
      </c>
      <c r="J554" s="21">
        <f>IF(C554="","",IFERROR(INDEX(Jobs!$AJ$5:$AJ$604,MATCH(C554,Jobs!$A$5:$A$604,0)),"0"))</f>
        <v>0</v>
      </c>
      <c r="K554" s="23">
        <f>IF(C554="","",IFERROR(INDEX(Jobs!$M$5:$M$604,MATCH(C554,Jobs!$A$5:$A$604,0)),""))</f>
        <v>0</v>
      </c>
      <c r="L554" s="51">
        <f>IF(B554="","",IF(E554&lt;&gt;"",E554,IF(C554="","",K554&amp;" - "&amp;TEXT(D554,"d mmm yyyy"))))</f>
        <v>0</v>
      </c>
      <c r="M554" s="21">
        <f>IF(B554="","",IF(G554&lt;&gt;"",G554,IFERROR(J554*1,0)))</f>
        <v>0</v>
      </c>
      <c r="N554" s="21">
        <f>IF(B554="","",ROUND(IF(F554="",1,F554)*M554,2))</f>
        <v>0</v>
      </c>
      <c r="O554" s="39">
        <f>IF(B554="","",IF(C554="","",IF(COUNTIFS($C$5:$C$804,C554)&gt;1,"Duplicate","OK")))</f>
        <v>0</v>
      </c>
      <c r="P554" s="31">
        <f>IF(OR(B554="",E554=""),"",COUNTIFS($B$5:B554,B554))</f>
        <v>0</v>
      </c>
      <c r="Q554" s="23">
        <f>IF(P554="","",B554&amp;"|"&amp;P554)</f>
        <v>0</v>
      </c>
      <c r="R554" s="39">
        <f>IF(B554="","",IF(O554="Duplicate","Duplicate - job billed twice",IF(M554=0,"Add - no price on this line",IF(AND(C554="",E554=""),"Add - what is this line for?","OK"))))</f>
        <v>0</v>
      </c>
    </row>
    <row r="555" spans="1:18">
      <c r="A555" s="43">
        <f>IF(B555="","","IL-"&amp;TEXT(ROW()-4,"0000"))</f>
        <v>0</v>
      </c>
      <c r="D555" s="18">
        <f>IF(C555="","",IFERROR(INDEX(Jobs!$B$5:$B$604,MATCH(C555,Jobs!$A$5:$A$604,0)),""))</f>
        <v>0</v>
      </c>
      <c r="J555" s="21">
        <f>IF(C555="","",IFERROR(INDEX(Jobs!$AJ$5:$AJ$604,MATCH(C555,Jobs!$A$5:$A$604,0)),"0"))</f>
        <v>0</v>
      </c>
      <c r="K555" s="23">
        <f>IF(C555="","",IFERROR(INDEX(Jobs!$M$5:$M$604,MATCH(C555,Jobs!$A$5:$A$604,0)),""))</f>
        <v>0</v>
      </c>
      <c r="L555" s="51">
        <f>IF(B555="","",IF(E555&lt;&gt;"",E555,IF(C555="","",K555&amp;" - "&amp;TEXT(D555,"d mmm yyyy"))))</f>
        <v>0</v>
      </c>
      <c r="M555" s="21">
        <f>IF(B555="","",IF(G555&lt;&gt;"",G555,IFERROR(J555*1,0)))</f>
        <v>0</v>
      </c>
      <c r="N555" s="21">
        <f>IF(B555="","",ROUND(IF(F555="",1,F555)*M555,2))</f>
        <v>0</v>
      </c>
      <c r="O555" s="39">
        <f>IF(B555="","",IF(C555="","",IF(COUNTIFS($C$5:$C$804,C555)&gt;1,"Duplicate","OK")))</f>
        <v>0</v>
      </c>
      <c r="P555" s="31">
        <f>IF(OR(B555="",E555=""),"",COUNTIFS($B$5:B555,B555))</f>
        <v>0</v>
      </c>
      <c r="Q555" s="23">
        <f>IF(P555="","",B555&amp;"|"&amp;P555)</f>
        <v>0</v>
      </c>
      <c r="R555" s="39">
        <f>IF(B555="","",IF(O555="Duplicate","Duplicate - job billed twice",IF(M555=0,"Add - no price on this line",IF(AND(C555="",E555=""),"Add - what is this line for?","OK"))))</f>
        <v>0</v>
      </c>
    </row>
    <row r="556" spans="1:18">
      <c r="A556" s="43">
        <f>IF(B556="","","IL-"&amp;TEXT(ROW()-4,"0000"))</f>
        <v>0</v>
      </c>
      <c r="D556" s="18">
        <f>IF(C556="","",IFERROR(INDEX(Jobs!$B$5:$B$604,MATCH(C556,Jobs!$A$5:$A$604,0)),""))</f>
        <v>0</v>
      </c>
      <c r="J556" s="21">
        <f>IF(C556="","",IFERROR(INDEX(Jobs!$AJ$5:$AJ$604,MATCH(C556,Jobs!$A$5:$A$604,0)),"0"))</f>
        <v>0</v>
      </c>
      <c r="K556" s="23">
        <f>IF(C556="","",IFERROR(INDEX(Jobs!$M$5:$M$604,MATCH(C556,Jobs!$A$5:$A$604,0)),""))</f>
        <v>0</v>
      </c>
      <c r="L556" s="51">
        <f>IF(B556="","",IF(E556&lt;&gt;"",E556,IF(C556="","",K556&amp;" - "&amp;TEXT(D556,"d mmm yyyy"))))</f>
        <v>0</v>
      </c>
      <c r="M556" s="21">
        <f>IF(B556="","",IF(G556&lt;&gt;"",G556,IFERROR(J556*1,0)))</f>
        <v>0</v>
      </c>
      <c r="N556" s="21">
        <f>IF(B556="","",ROUND(IF(F556="",1,F556)*M556,2))</f>
        <v>0</v>
      </c>
      <c r="O556" s="39">
        <f>IF(B556="","",IF(C556="","",IF(COUNTIFS($C$5:$C$804,C556)&gt;1,"Duplicate","OK")))</f>
        <v>0</v>
      </c>
      <c r="P556" s="31">
        <f>IF(OR(B556="",E556=""),"",COUNTIFS($B$5:B556,B556))</f>
        <v>0</v>
      </c>
      <c r="Q556" s="23">
        <f>IF(P556="","",B556&amp;"|"&amp;P556)</f>
        <v>0</v>
      </c>
      <c r="R556" s="39">
        <f>IF(B556="","",IF(O556="Duplicate","Duplicate - job billed twice",IF(M556=0,"Add - no price on this line",IF(AND(C556="",E556=""),"Add - what is this line for?","OK"))))</f>
        <v>0</v>
      </c>
    </row>
    <row r="557" spans="1:18">
      <c r="A557" s="43">
        <f>IF(B557="","","IL-"&amp;TEXT(ROW()-4,"0000"))</f>
        <v>0</v>
      </c>
      <c r="D557" s="18">
        <f>IF(C557="","",IFERROR(INDEX(Jobs!$B$5:$B$604,MATCH(C557,Jobs!$A$5:$A$604,0)),""))</f>
        <v>0</v>
      </c>
      <c r="J557" s="21">
        <f>IF(C557="","",IFERROR(INDEX(Jobs!$AJ$5:$AJ$604,MATCH(C557,Jobs!$A$5:$A$604,0)),"0"))</f>
        <v>0</v>
      </c>
      <c r="K557" s="23">
        <f>IF(C557="","",IFERROR(INDEX(Jobs!$M$5:$M$604,MATCH(C557,Jobs!$A$5:$A$604,0)),""))</f>
        <v>0</v>
      </c>
      <c r="L557" s="51">
        <f>IF(B557="","",IF(E557&lt;&gt;"",E557,IF(C557="","",K557&amp;" - "&amp;TEXT(D557,"d mmm yyyy"))))</f>
        <v>0</v>
      </c>
      <c r="M557" s="21">
        <f>IF(B557="","",IF(G557&lt;&gt;"",G557,IFERROR(J557*1,0)))</f>
        <v>0</v>
      </c>
      <c r="N557" s="21">
        <f>IF(B557="","",ROUND(IF(F557="",1,F557)*M557,2))</f>
        <v>0</v>
      </c>
      <c r="O557" s="39">
        <f>IF(B557="","",IF(C557="","",IF(COUNTIFS($C$5:$C$804,C557)&gt;1,"Duplicate","OK")))</f>
        <v>0</v>
      </c>
      <c r="P557" s="31">
        <f>IF(OR(B557="",E557=""),"",COUNTIFS($B$5:B557,B557))</f>
        <v>0</v>
      </c>
      <c r="Q557" s="23">
        <f>IF(P557="","",B557&amp;"|"&amp;P557)</f>
        <v>0</v>
      </c>
      <c r="R557" s="39">
        <f>IF(B557="","",IF(O557="Duplicate","Duplicate - job billed twice",IF(M557=0,"Add - no price on this line",IF(AND(C557="",E557=""),"Add - what is this line for?","OK"))))</f>
        <v>0</v>
      </c>
    </row>
    <row r="558" spans="1:18">
      <c r="A558" s="43">
        <f>IF(B558="","","IL-"&amp;TEXT(ROW()-4,"0000"))</f>
        <v>0</v>
      </c>
      <c r="D558" s="18">
        <f>IF(C558="","",IFERROR(INDEX(Jobs!$B$5:$B$604,MATCH(C558,Jobs!$A$5:$A$604,0)),""))</f>
        <v>0</v>
      </c>
      <c r="J558" s="21">
        <f>IF(C558="","",IFERROR(INDEX(Jobs!$AJ$5:$AJ$604,MATCH(C558,Jobs!$A$5:$A$604,0)),"0"))</f>
        <v>0</v>
      </c>
      <c r="K558" s="23">
        <f>IF(C558="","",IFERROR(INDEX(Jobs!$M$5:$M$604,MATCH(C558,Jobs!$A$5:$A$604,0)),""))</f>
        <v>0</v>
      </c>
      <c r="L558" s="51">
        <f>IF(B558="","",IF(E558&lt;&gt;"",E558,IF(C558="","",K558&amp;" - "&amp;TEXT(D558,"d mmm yyyy"))))</f>
        <v>0</v>
      </c>
      <c r="M558" s="21">
        <f>IF(B558="","",IF(G558&lt;&gt;"",G558,IFERROR(J558*1,0)))</f>
        <v>0</v>
      </c>
      <c r="N558" s="21">
        <f>IF(B558="","",ROUND(IF(F558="",1,F558)*M558,2))</f>
        <v>0</v>
      </c>
      <c r="O558" s="39">
        <f>IF(B558="","",IF(C558="","",IF(COUNTIFS($C$5:$C$804,C558)&gt;1,"Duplicate","OK")))</f>
        <v>0</v>
      </c>
      <c r="P558" s="31">
        <f>IF(OR(B558="",E558=""),"",COUNTIFS($B$5:B558,B558))</f>
        <v>0</v>
      </c>
      <c r="Q558" s="23">
        <f>IF(P558="","",B558&amp;"|"&amp;P558)</f>
        <v>0</v>
      </c>
      <c r="R558" s="39">
        <f>IF(B558="","",IF(O558="Duplicate","Duplicate - job billed twice",IF(M558=0,"Add - no price on this line",IF(AND(C558="",E558=""),"Add - what is this line for?","OK"))))</f>
        <v>0</v>
      </c>
    </row>
    <row r="559" spans="1:18">
      <c r="A559" s="43">
        <f>IF(B559="","","IL-"&amp;TEXT(ROW()-4,"0000"))</f>
        <v>0</v>
      </c>
      <c r="D559" s="18">
        <f>IF(C559="","",IFERROR(INDEX(Jobs!$B$5:$B$604,MATCH(C559,Jobs!$A$5:$A$604,0)),""))</f>
        <v>0</v>
      </c>
      <c r="J559" s="21">
        <f>IF(C559="","",IFERROR(INDEX(Jobs!$AJ$5:$AJ$604,MATCH(C559,Jobs!$A$5:$A$604,0)),"0"))</f>
        <v>0</v>
      </c>
      <c r="K559" s="23">
        <f>IF(C559="","",IFERROR(INDEX(Jobs!$M$5:$M$604,MATCH(C559,Jobs!$A$5:$A$604,0)),""))</f>
        <v>0</v>
      </c>
      <c r="L559" s="51">
        <f>IF(B559="","",IF(E559&lt;&gt;"",E559,IF(C559="","",K559&amp;" - "&amp;TEXT(D559,"d mmm yyyy"))))</f>
        <v>0</v>
      </c>
      <c r="M559" s="21">
        <f>IF(B559="","",IF(G559&lt;&gt;"",G559,IFERROR(J559*1,0)))</f>
        <v>0</v>
      </c>
      <c r="N559" s="21">
        <f>IF(B559="","",ROUND(IF(F559="",1,F559)*M559,2))</f>
        <v>0</v>
      </c>
      <c r="O559" s="39">
        <f>IF(B559="","",IF(C559="","",IF(COUNTIFS($C$5:$C$804,C559)&gt;1,"Duplicate","OK")))</f>
        <v>0</v>
      </c>
      <c r="P559" s="31">
        <f>IF(OR(B559="",E559=""),"",COUNTIFS($B$5:B559,B559))</f>
        <v>0</v>
      </c>
      <c r="Q559" s="23">
        <f>IF(P559="","",B559&amp;"|"&amp;P559)</f>
        <v>0</v>
      </c>
      <c r="R559" s="39">
        <f>IF(B559="","",IF(O559="Duplicate","Duplicate - job billed twice",IF(M559=0,"Add - no price on this line",IF(AND(C559="",E559=""),"Add - what is this line for?","OK"))))</f>
        <v>0</v>
      </c>
    </row>
    <row r="560" spans="1:18">
      <c r="A560" s="43">
        <f>IF(B560="","","IL-"&amp;TEXT(ROW()-4,"0000"))</f>
        <v>0</v>
      </c>
      <c r="D560" s="18">
        <f>IF(C560="","",IFERROR(INDEX(Jobs!$B$5:$B$604,MATCH(C560,Jobs!$A$5:$A$604,0)),""))</f>
        <v>0</v>
      </c>
      <c r="J560" s="21">
        <f>IF(C560="","",IFERROR(INDEX(Jobs!$AJ$5:$AJ$604,MATCH(C560,Jobs!$A$5:$A$604,0)),"0"))</f>
        <v>0</v>
      </c>
      <c r="K560" s="23">
        <f>IF(C560="","",IFERROR(INDEX(Jobs!$M$5:$M$604,MATCH(C560,Jobs!$A$5:$A$604,0)),""))</f>
        <v>0</v>
      </c>
      <c r="L560" s="51">
        <f>IF(B560="","",IF(E560&lt;&gt;"",E560,IF(C560="","",K560&amp;" - "&amp;TEXT(D560,"d mmm yyyy"))))</f>
        <v>0</v>
      </c>
      <c r="M560" s="21">
        <f>IF(B560="","",IF(G560&lt;&gt;"",G560,IFERROR(J560*1,0)))</f>
        <v>0</v>
      </c>
      <c r="N560" s="21">
        <f>IF(B560="","",ROUND(IF(F560="",1,F560)*M560,2))</f>
        <v>0</v>
      </c>
      <c r="O560" s="39">
        <f>IF(B560="","",IF(C560="","",IF(COUNTIFS($C$5:$C$804,C560)&gt;1,"Duplicate","OK")))</f>
        <v>0</v>
      </c>
      <c r="P560" s="31">
        <f>IF(OR(B560="",E560=""),"",COUNTIFS($B$5:B560,B560))</f>
        <v>0</v>
      </c>
      <c r="Q560" s="23">
        <f>IF(P560="","",B560&amp;"|"&amp;P560)</f>
        <v>0</v>
      </c>
      <c r="R560" s="39">
        <f>IF(B560="","",IF(O560="Duplicate","Duplicate - job billed twice",IF(M560=0,"Add - no price on this line",IF(AND(C560="",E560=""),"Add - what is this line for?","OK"))))</f>
        <v>0</v>
      </c>
    </row>
    <row r="561" spans="1:18">
      <c r="A561" s="43">
        <f>IF(B561="","","IL-"&amp;TEXT(ROW()-4,"0000"))</f>
        <v>0</v>
      </c>
      <c r="D561" s="18">
        <f>IF(C561="","",IFERROR(INDEX(Jobs!$B$5:$B$604,MATCH(C561,Jobs!$A$5:$A$604,0)),""))</f>
        <v>0</v>
      </c>
      <c r="J561" s="21">
        <f>IF(C561="","",IFERROR(INDEX(Jobs!$AJ$5:$AJ$604,MATCH(C561,Jobs!$A$5:$A$604,0)),"0"))</f>
        <v>0</v>
      </c>
      <c r="K561" s="23">
        <f>IF(C561="","",IFERROR(INDEX(Jobs!$M$5:$M$604,MATCH(C561,Jobs!$A$5:$A$604,0)),""))</f>
        <v>0</v>
      </c>
      <c r="L561" s="51">
        <f>IF(B561="","",IF(E561&lt;&gt;"",E561,IF(C561="","",K561&amp;" - "&amp;TEXT(D561,"d mmm yyyy"))))</f>
        <v>0</v>
      </c>
      <c r="M561" s="21">
        <f>IF(B561="","",IF(G561&lt;&gt;"",G561,IFERROR(J561*1,0)))</f>
        <v>0</v>
      </c>
      <c r="N561" s="21">
        <f>IF(B561="","",ROUND(IF(F561="",1,F561)*M561,2))</f>
        <v>0</v>
      </c>
      <c r="O561" s="39">
        <f>IF(B561="","",IF(C561="","",IF(COUNTIFS($C$5:$C$804,C561)&gt;1,"Duplicate","OK")))</f>
        <v>0</v>
      </c>
      <c r="P561" s="31">
        <f>IF(OR(B561="",E561=""),"",COUNTIFS($B$5:B561,B561))</f>
        <v>0</v>
      </c>
      <c r="Q561" s="23">
        <f>IF(P561="","",B561&amp;"|"&amp;P561)</f>
        <v>0</v>
      </c>
      <c r="R561" s="39">
        <f>IF(B561="","",IF(O561="Duplicate","Duplicate - job billed twice",IF(M561=0,"Add - no price on this line",IF(AND(C561="",E561=""),"Add - what is this line for?","OK"))))</f>
        <v>0</v>
      </c>
    </row>
    <row r="562" spans="1:18">
      <c r="A562" s="43">
        <f>IF(B562="","","IL-"&amp;TEXT(ROW()-4,"0000"))</f>
        <v>0</v>
      </c>
      <c r="D562" s="18">
        <f>IF(C562="","",IFERROR(INDEX(Jobs!$B$5:$B$604,MATCH(C562,Jobs!$A$5:$A$604,0)),""))</f>
        <v>0</v>
      </c>
      <c r="J562" s="21">
        <f>IF(C562="","",IFERROR(INDEX(Jobs!$AJ$5:$AJ$604,MATCH(C562,Jobs!$A$5:$A$604,0)),"0"))</f>
        <v>0</v>
      </c>
      <c r="K562" s="23">
        <f>IF(C562="","",IFERROR(INDEX(Jobs!$M$5:$M$604,MATCH(C562,Jobs!$A$5:$A$604,0)),""))</f>
        <v>0</v>
      </c>
      <c r="L562" s="51">
        <f>IF(B562="","",IF(E562&lt;&gt;"",E562,IF(C562="","",K562&amp;" - "&amp;TEXT(D562,"d mmm yyyy"))))</f>
        <v>0</v>
      </c>
      <c r="M562" s="21">
        <f>IF(B562="","",IF(G562&lt;&gt;"",G562,IFERROR(J562*1,0)))</f>
        <v>0</v>
      </c>
      <c r="N562" s="21">
        <f>IF(B562="","",ROUND(IF(F562="",1,F562)*M562,2))</f>
        <v>0</v>
      </c>
      <c r="O562" s="39">
        <f>IF(B562="","",IF(C562="","",IF(COUNTIFS($C$5:$C$804,C562)&gt;1,"Duplicate","OK")))</f>
        <v>0</v>
      </c>
      <c r="P562" s="31">
        <f>IF(OR(B562="",E562=""),"",COUNTIFS($B$5:B562,B562))</f>
        <v>0</v>
      </c>
      <c r="Q562" s="23">
        <f>IF(P562="","",B562&amp;"|"&amp;P562)</f>
        <v>0</v>
      </c>
      <c r="R562" s="39">
        <f>IF(B562="","",IF(O562="Duplicate","Duplicate - job billed twice",IF(M562=0,"Add - no price on this line",IF(AND(C562="",E562=""),"Add - what is this line for?","OK"))))</f>
        <v>0</v>
      </c>
    </row>
    <row r="563" spans="1:18">
      <c r="A563" s="43">
        <f>IF(B563="","","IL-"&amp;TEXT(ROW()-4,"0000"))</f>
        <v>0</v>
      </c>
      <c r="D563" s="18">
        <f>IF(C563="","",IFERROR(INDEX(Jobs!$B$5:$B$604,MATCH(C563,Jobs!$A$5:$A$604,0)),""))</f>
        <v>0</v>
      </c>
      <c r="J563" s="21">
        <f>IF(C563="","",IFERROR(INDEX(Jobs!$AJ$5:$AJ$604,MATCH(C563,Jobs!$A$5:$A$604,0)),"0"))</f>
        <v>0</v>
      </c>
      <c r="K563" s="23">
        <f>IF(C563="","",IFERROR(INDEX(Jobs!$M$5:$M$604,MATCH(C563,Jobs!$A$5:$A$604,0)),""))</f>
        <v>0</v>
      </c>
      <c r="L563" s="51">
        <f>IF(B563="","",IF(E563&lt;&gt;"",E563,IF(C563="","",K563&amp;" - "&amp;TEXT(D563,"d mmm yyyy"))))</f>
        <v>0</v>
      </c>
      <c r="M563" s="21">
        <f>IF(B563="","",IF(G563&lt;&gt;"",G563,IFERROR(J563*1,0)))</f>
        <v>0</v>
      </c>
      <c r="N563" s="21">
        <f>IF(B563="","",ROUND(IF(F563="",1,F563)*M563,2))</f>
        <v>0</v>
      </c>
      <c r="O563" s="39">
        <f>IF(B563="","",IF(C563="","",IF(COUNTIFS($C$5:$C$804,C563)&gt;1,"Duplicate","OK")))</f>
        <v>0</v>
      </c>
      <c r="P563" s="31">
        <f>IF(OR(B563="",E563=""),"",COUNTIFS($B$5:B563,B563))</f>
        <v>0</v>
      </c>
      <c r="Q563" s="23">
        <f>IF(P563="","",B563&amp;"|"&amp;P563)</f>
        <v>0</v>
      </c>
      <c r="R563" s="39">
        <f>IF(B563="","",IF(O563="Duplicate","Duplicate - job billed twice",IF(M563=0,"Add - no price on this line",IF(AND(C563="",E563=""),"Add - what is this line for?","OK"))))</f>
        <v>0</v>
      </c>
    </row>
    <row r="564" spans="1:18">
      <c r="A564" s="43">
        <f>IF(B564="","","IL-"&amp;TEXT(ROW()-4,"0000"))</f>
        <v>0</v>
      </c>
      <c r="D564" s="18">
        <f>IF(C564="","",IFERROR(INDEX(Jobs!$B$5:$B$604,MATCH(C564,Jobs!$A$5:$A$604,0)),""))</f>
        <v>0</v>
      </c>
      <c r="J564" s="21">
        <f>IF(C564="","",IFERROR(INDEX(Jobs!$AJ$5:$AJ$604,MATCH(C564,Jobs!$A$5:$A$604,0)),"0"))</f>
        <v>0</v>
      </c>
      <c r="K564" s="23">
        <f>IF(C564="","",IFERROR(INDEX(Jobs!$M$5:$M$604,MATCH(C564,Jobs!$A$5:$A$604,0)),""))</f>
        <v>0</v>
      </c>
      <c r="L564" s="51">
        <f>IF(B564="","",IF(E564&lt;&gt;"",E564,IF(C564="","",K564&amp;" - "&amp;TEXT(D564,"d mmm yyyy"))))</f>
        <v>0</v>
      </c>
      <c r="M564" s="21">
        <f>IF(B564="","",IF(G564&lt;&gt;"",G564,IFERROR(J564*1,0)))</f>
        <v>0</v>
      </c>
      <c r="N564" s="21">
        <f>IF(B564="","",ROUND(IF(F564="",1,F564)*M564,2))</f>
        <v>0</v>
      </c>
      <c r="O564" s="39">
        <f>IF(B564="","",IF(C564="","",IF(COUNTIFS($C$5:$C$804,C564)&gt;1,"Duplicate","OK")))</f>
        <v>0</v>
      </c>
      <c r="P564" s="31">
        <f>IF(OR(B564="",E564=""),"",COUNTIFS($B$5:B564,B564))</f>
        <v>0</v>
      </c>
      <c r="Q564" s="23">
        <f>IF(P564="","",B564&amp;"|"&amp;P564)</f>
        <v>0</v>
      </c>
      <c r="R564" s="39">
        <f>IF(B564="","",IF(O564="Duplicate","Duplicate - job billed twice",IF(M564=0,"Add - no price on this line",IF(AND(C564="",E564=""),"Add - what is this line for?","OK"))))</f>
        <v>0</v>
      </c>
    </row>
    <row r="565" spans="1:18">
      <c r="A565" s="43">
        <f>IF(B565="","","IL-"&amp;TEXT(ROW()-4,"0000"))</f>
        <v>0</v>
      </c>
      <c r="D565" s="18">
        <f>IF(C565="","",IFERROR(INDEX(Jobs!$B$5:$B$604,MATCH(C565,Jobs!$A$5:$A$604,0)),""))</f>
        <v>0</v>
      </c>
      <c r="J565" s="21">
        <f>IF(C565="","",IFERROR(INDEX(Jobs!$AJ$5:$AJ$604,MATCH(C565,Jobs!$A$5:$A$604,0)),"0"))</f>
        <v>0</v>
      </c>
      <c r="K565" s="23">
        <f>IF(C565="","",IFERROR(INDEX(Jobs!$M$5:$M$604,MATCH(C565,Jobs!$A$5:$A$604,0)),""))</f>
        <v>0</v>
      </c>
      <c r="L565" s="51">
        <f>IF(B565="","",IF(E565&lt;&gt;"",E565,IF(C565="","",K565&amp;" - "&amp;TEXT(D565,"d mmm yyyy"))))</f>
        <v>0</v>
      </c>
      <c r="M565" s="21">
        <f>IF(B565="","",IF(G565&lt;&gt;"",G565,IFERROR(J565*1,0)))</f>
        <v>0</v>
      </c>
      <c r="N565" s="21">
        <f>IF(B565="","",ROUND(IF(F565="",1,F565)*M565,2))</f>
        <v>0</v>
      </c>
      <c r="O565" s="39">
        <f>IF(B565="","",IF(C565="","",IF(COUNTIFS($C$5:$C$804,C565)&gt;1,"Duplicate","OK")))</f>
        <v>0</v>
      </c>
      <c r="P565" s="31">
        <f>IF(OR(B565="",E565=""),"",COUNTIFS($B$5:B565,B565))</f>
        <v>0</v>
      </c>
      <c r="Q565" s="23">
        <f>IF(P565="","",B565&amp;"|"&amp;P565)</f>
        <v>0</v>
      </c>
      <c r="R565" s="39">
        <f>IF(B565="","",IF(O565="Duplicate","Duplicate - job billed twice",IF(M565=0,"Add - no price on this line",IF(AND(C565="",E565=""),"Add - what is this line for?","OK"))))</f>
        <v>0</v>
      </c>
    </row>
    <row r="566" spans="1:18">
      <c r="A566" s="43">
        <f>IF(B566="","","IL-"&amp;TEXT(ROW()-4,"0000"))</f>
        <v>0</v>
      </c>
      <c r="D566" s="18">
        <f>IF(C566="","",IFERROR(INDEX(Jobs!$B$5:$B$604,MATCH(C566,Jobs!$A$5:$A$604,0)),""))</f>
        <v>0</v>
      </c>
      <c r="J566" s="21">
        <f>IF(C566="","",IFERROR(INDEX(Jobs!$AJ$5:$AJ$604,MATCH(C566,Jobs!$A$5:$A$604,0)),"0"))</f>
        <v>0</v>
      </c>
      <c r="K566" s="23">
        <f>IF(C566="","",IFERROR(INDEX(Jobs!$M$5:$M$604,MATCH(C566,Jobs!$A$5:$A$604,0)),""))</f>
        <v>0</v>
      </c>
      <c r="L566" s="51">
        <f>IF(B566="","",IF(E566&lt;&gt;"",E566,IF(C566="","",K566&amp;" - "&amp;TEXT(D566,"d mmm yyyy"))))</f>
        <v>0</v>
      </c>
      <c r="M566" s="21">
        <f>IF(B566="","",IF(G566&lt;&gt;"",G566,IFERROR(J566*1,0)))</f>
        <v>0</v>
      </c>
      <c r="N566" s="21">
        <f>IF(B566="","",ROUND(IF(F566="",1,F566)*M566,2))</f>
        <v>0</v>
      </c>
      <c r="O566" s="39">
        <f>IF(B566="","",IF(C566="","",IF(COUNTIFS($C$5:$C$804,C566)&gt;1,"Duplicate","OK")))</f>
        <v>0</v>
      </c>
      <c r="P566" s="31">
        <f>IF(OR(B566="",E566=""),"",COUNTIFS($B$5:B566,B566))</f>
        <v>0</v>
      </c>
      <c r="Q566" s="23">
        <f>IF(P566="","",B566&amp;"|"&amp;P566)</f>
        <v>0</v>
      </c>
      <c r="R566" s="39">
        <f>IF(B566="","",IF(O566="Duplicate","Duplicate - job billed twice",IF(M566=0,"Add - no price on this line",IF(AND(C566="",E566=""),"Add - what is this line for?","OK"))))</f>
        <v>0</v>
      </c>
    </row>
    <row r="567" spans="1:18">
      <c r="A567" s="43">
        <f>IF(B567="","","IL-"&amp;TEXT(ROW()-4,"0000"))</f>
        <v>0</v>
      </c>
      <c r="D567" s="18">
        <f>IF(C567="","",IFERROR(INDEX(Jobs!$B$5:$B$604,MATCH(C567,Jobs!$A$5:$A$604,0)),""))</f>
        <v>0</v>
      </c>
      <c r="J567" s="21">
        <f>IF(C567="","",IFERROR(INDEX(Jobs!$AJ$5:$AJ$604,MATCH(C567,Jobs!$A$5:$A$604,0)),"0"))</f>
        <v>0</v>
      </c>
      <c r="K567" s="23">
        <f>IF(C567="","",IFERROR(INDEX(Jobs!$M$5:$M$604,MATCH(C567,Jobs!$A$5:$A$604,0)),""))</f>
        <v>0</v>
      </c>
      <c r="L567" s="51">
        <f>IF(B567="","",IF(E567&lt;&gt;"",E567,IF(C567="","",K567&amp;" - "&amp;TEXT(D567,"d mmm yyyy"))))</f>
        <v>0</v>
      </c>
      <c r="M567" s="21">
        <f>IF(B567="","",IF(G567&lt;&gt;"",G567,IFERROR(J567*1,0)))</f>
        <v>0</v>
      </c>
      <c r="N567" s="21">
        <f>IF(B567="","",ROUND(IF(F567="",1,F567)*M567,2))</f>
        <v>0</v>
      </c>
      <c r="O567" s="39">
        <f>IF(B567="","",IF(C567="","",IF(COUNTIFS($C$5:$C$804,C567)&gt;1,"Duplicate","OK")))</f>
        <v>0</v>
      </c>
      <c r="P567" s="31">
        <f>IF(OR(B567="",E567=""),"",COUNTIFS($B$5:B567,B567))</f>
        <v>0</v>
      </c>
      <c r="Q567" s="23">
        <f>IF(P567="","",B567&amp;"|"&amp;P567)</f>
        <v>0</v>
      </c>
      <c r="R567" s="39">
        <f>IF(B567="","",IF(O567="Duplicate","Duplicate - job billed twice",IF(M567=0,"Add - no price on this line",IF(AND(C567="",E567=""),"Add - what is this line for?","OK"))))</f>
        <v>0</v>
      </c>
    </row>
    <row r="568" spans="1:18">
      <c r="A568" s="43">
        <f>IF(B568="","","IL-"&amp;TEXT(ROW()-4,"0000"))</f>
        <v>0</v>
      </c>
      <c r="D568" s="18">
        <f>IF(C568="","",IFERROR(INDEX(Jobs!$B$5:$B$604,MATCH(C568,Jobs!$A$5:$A$604,0)),""))</f>
        <v>0</v>
      </c>
      <c r="J568" s="21">
        <f>IF(C568="","",IFERROR(INDEX(Jobs!$AJ$5:$AJ$604,MATCH(C568,Jobs!$A$5:$A$604,0)),"0"))</f>
        <v>0</v>
      </c>
      <c r="K568" s="23">
        <f>IF(C568="","",IFERROR(INDEX(Jobs!$M$5:$M$604,MATCH(C568,Jobs!$A$5:$A$604,0)),""))</f>
        <v>0</v>
      </c>
      <c r="L568" s="51">
        <f>IF(B568="","",IF(E568&lt;&gt;"",E568,IF(C568="","",K568&amp;" - "&amp;TEXT(D568,"d mmm yyyy"))))</f>
        <v>0</v>
      </c>
      <c r="M568" s="21">
        <f>IF(B568="","",IF(G568&lt;&gt;"",G568,IFERROR(J568*1,0)))</f>
        <v>0</v>
      </c>
      <c r="N568" s="21">
        <f>IF(B568="","",ROUND(IF(F568="",1,F568)*M568,2))</f>
        <v>0</v>
      </c>
      <c r="O568" s="39">
        <f>IF(B568="","",IF(C568="","",IF(COUNTIFS($C$5:$C$804,C568)&gt;1,"Duplicate","OK")))</f>
        <v>0</v>
      </c>
      <c r="P568" s="31">
        <f>IF(OR(B568="",E568=""),"",COUNTIFS($B$5:B568,B568))</f>
        <v>0</v>
      </c>
      <c r="Q568" s="23">
        <f>IF(P568="","",B568&amp;"|"&amp;P568)</f>
        <v>0</v>
      </c>
      <c r="R568" s="39">
        <f>IF(B568="","",IF(O568="Duplicate","Duplicate - job billed twice",IF(M568=0,"Add - no price on this line",IF(AND(C568="",E568=""),"Add - what is this line for?","OK"))))</f>
        <v>0</v>
      </c>
    </row>
    <row r="569" spans="1:18">
      <c r="A569" s="43">
        <f>IF(B569="","","IL-"&amp;TEXT(ROW()-4,"0000"))</f>
        <v>0</v>
      </c>
      <c r="D569" s="18">
        <f>IF(C569="","",IFERROR(INDEX(Jobs!$B$5:$B$604,MATCH(C569,Jobs!$A$5:$A$604,0)),""))</f>
        <v>0</v>
      </c>
      <c r="J569" s="21">
        <f>IF(C569="","",IFERROR(INDEX(Jobs!$AJ$5:$AJ$604,MATCH(C569,Jobs!$A$5:$A$604,0)),"0"))</f>
        <v>0</v>
      </c>
      <c r="K569" s="23">
        <f>IF(C569="","",IFERROR(INDEX(Jobs!$M$5:$M$604,MATCH(C569,Jobs!$A$5:$A$604,0)),""))</f>
        <v>0</v>
      </c>
      <c r="L569" s="51">
        <f>IF(B569="","",IF(E569&lt;&gt;"",E569,IF(C569="","",K569&amp;" - "&amp;TEXT(D569,"d mmm yyyy"))))</f>
        <v>0</v>
      </c>
      <c r="M569" s="21">
        <f>IF(B569="","",IF(G569&lt;&gt;"",G569,IFERROR(J569*1,0)))</f>
        <v>0</v>
      </c>
      <c r="N569" s="21">
        <f>IF(B569="","",ROUND(IF(F569="",1,F569)*M569,2))</f>
        <v>0</v>
      </c>
      <c r="O569" s="39">
        <f>IF(B569="","",IF(C569="","",IF(COUNTIFS($C$5:$C$804,C569)&gt;1,"Duplicate","OK")))</f>
        <v>0</v>
      </c>
      <c r="P569" s="31">
        <f>IF(OR(B569="",E569=""),"",COUNTIFS($B$5:B569,B569))</f>
        <v>0</v>
      </c>
      <c r="Q569" s="23">
        <f>IF(P569="","",B569&amp;"|"&amp;P569)</f>
        <v>0</v>
      </c>
      <c r="R569" s="39">
        <f>IF(B569="","",IF(O569="Duplicate","Duplicate - job billed twice",IF(M569=0,"Add - no price on this line",IF(AND(C569="",E569=""),"Add - what is this line for?","OK"))))</f>
        <v>0</v>
      </c>
    </row>
    <row r="570" spans="1:18">
      <c r="A570" s="43">
        <f>IF(B570="","","IL-"&amp;TEXT(ROW()-4,"0000"))</f>
        <v>0</v>
      </c>
      <c r="D570" s="18">
        <f>IF(C570="","",IFERROR(INDEX(Jobs!$B$5:$B$604,MATCH(C570,Jobs!$A$5:$A$604,0)),""))</f>
        <v>0</v>
      </c>
      <c r="J570" s="21">
        <f>IF(C570="","",IFERROR(INDEX(Jobs!$AJ$5:$AJ$604,MATCH(C570,Jobs!$A$5:$A$604,0)),"0"))</f>
        <v>0</v>
      </c>
      <c r="K570" s="23">
        <f>IF(C570="","",IFERROR(INDEX(Jobs!$M$5:$M$604,MATCH(C570,Jobs!$A$5:$A$604,0)),""))</f>
        <v>0</v>
      </c>
      <c r="L570" s="51">
        <f>IF(B570="","",IF(E570&lt;&gt;"",E570,IF(C570="","",K570&amp;" - "&amp;TEXT(D570,"d mmm yyyy"))))</f>
        <v>0</v>
      </c>
      <c r="M570" s="21">
        <f>IF(B570="","",IF(G570&lt;&gt;"",G570,IFERROR(J570*1,0)))</f>
        <v>0</v>
      </c>
      <c r="N570" s="21">
        <f>IF(B570="","",ROUND(IF(F570="",1,F570)*M570,2))</f>
        <v>0</v>
      </c>
      <c r="O570" s="39">
        <f>IF(B570="","",IF(C570="","",IF(COUNTIFS($C$5:$C$804,C570)&gt;1,"Duplicate","OK")))</f>
        <v>0</v>
      </c>
      <c r="P570" s="31">
        <f>IF(OR(B570="",E570=""),"",COUNTIFS($B$5:B570,B570))</f>
        <v>0</v>
      </c>
      <c r="Q570" s="23">
        <f>IF(P570="","",B570&amp;"|"&amp;P570)</f>
        <v>0</v>
      </c>
      <c r="R570" s="39">
        <f>IF(B570="","",IF(O570="Duplicate","Duplicate - job billed twice",IF(M570=0,"Add - no price on this line",IF(AND(C570="",E570=""),"Add - what is this line for?","OK"))))</f>
        <v>0</v>
      </c>
    </row>
    <row r="571" spans="1:18">
      <c r="A571" s="43">
        <f>IF(B571="","","IL-"&amp;TEXT(ROW()-4,"0000"))</f>
        <v>0</v>
      </c>
      <c r="D571" s="18">
        <f>IF(C571="","",IFERROR(INDEX(Jobs!$B$5:$B$604,MATCH(C571,Jobs!$A$5:$A$604,0)),""))</f>
        <v>0</v>
      </c>
      <c r="J571" s="21">
        <f>IF(C571="","",IFERROR(INDEX(Jobs!$AJ$5:$AJ$604,MATCH(C571,Jobs!$A$5:$A$604,0)),"0"))</f>
        <v>0</v>
      </c>
      <c r="K571" s="23">
        <f>IF(C571="","",IFERROR(INDEX(Jobs!$M$5:$M$604,MATCH(C571,Jobs!$A$5:$A$604,0)),""))</f>
        <v>0</v>
      </c>
      <c r="L571" s="51">
        <f>IF(B571="","",IF(E571&lt;&gt;"",E571,IF(C571="","",K571&amp;" - "&amp;TEXT(D571,"d mmm yyyy"))))</f>
        <v>0</v>
      </c>
      <c r="M571" s="21">
        <f>IF(B571="","",IF(G571&lt;&gt;"",G571,IFERROR(J571*1,0)))</f>
        <v>0</v>
      </c>
      <c r="N571" s="21">
        <f>IF(B571="","",ROUND(IF(F571="",1,F571)*M571,2))</f>
        <v>0</v>
      </c>
      <c r="O571" s="39">
        <f>IF(B571="","",IF(C571="","",IF(COUNTIFS($C$5:$C$804,C571)&gt;1,"Duplicate","OK")))</f>
        <v>0</v>
      </c>
      <c r="P571" s="31">
        <f>IF(OR(B571="",E571=""),"",COUNTIFS($B$5:B571,B571))</f>
        <v>0</v>
      </c>
      <c r="Q571" s="23">
        <f>IF(P571="","",B571&amp;"|"&amp;P571)</f>
        <v>0</v>
      </c>
      <c r="R571" s="39">
        <f>IF(B571="","",IF(O571="Duplicate","Duplicate - job billed twice",IF(M571=0,"Add - no price on this line",IF(AND(C571="",E571=""),"Add - what is this line for?","OK"))))</f>
        <v>0</v>
      </c>
    </row>
    <row r="572" spans="1:18">
      <c r="A572" s="43">
        <f>IF(B572="","","IL-"&amp;TEXT(ROW()-4,"0000"))</f>
        <v>0</v>
      </c>
      <c r="D572" s="18">
        <f>IF(C572="","",IFERROR(INDEX(Jobs!$B$5:$B$604,MATCH(C572,Jobs!$A$5:$A$604,0)),""))</f>
        <v>0</v>
      </c>
      <c r="J572" s="21">
        <f>IF(C572="","",IFERROR(INDEX(Jobs!$AJ$5:$AJ$604,MATCH(C572,Jobs!$A$5:$A$604,0)),"0"))</f>
        <v>0</v>
      </c>
      <c r="K572" s="23">
        <f>IF(C572="","",IFERROR(INDEX(Jobs!$M$5:$M$604,MATCH(C572,Jobs!$A$5:$A$604,0)),""))</f>
        <v>0</v>
      </c>
      <c r="L572" s="51">
        <f>IF(B572="","",IF(E572&lt;&gt;"",E572,IF(C572="","",K572&amp;" - "&amp;TEXT(D572,"d mmm yyyy"))))</f>
        <v>0</v>
      </c>
      <c r="M572" s="21">
        <f>IF(B572="","",IF(G572&lt;&gt;"",G572,IFERROR(J572*1,0)))</f>
        <v>0</v>
      </c>
      <c r="N572" s="21">
        <f>IF(B572="","",ROUND(IF(F572="",1,F572)*M572,2))</f>
        <v>0</v>
      </c>
      <c r="O572" s="39">
        <f>IF(B572="","",IF(C572="","",IF(COUNTIFS($C$5:$C$804,C572)&gt;1,"Duplicate","OK")))</f>
        <v>0</v>
      </c>
      <c r="P572" s="31">
        <f>IF(OR(B572="",E572=""),"",COUNTIFS($B$5:B572,B572))</f>
        <v>0</v>
      </c>
      <c r="Q572" s="23">
        <f>IF(P572="","",B572&amp;"|"&amp;P572)</f>
        <v>0</v>
      </c>
      <c r="R572" s="39">
        <f>IF(B572="","",IF(O572="Duplicate","Duplicate - job billed twice",IF(M572=0,"Add - no price on this line",IF(AND(C572="",E572=""),"Add - what is this line for?","OK"))))</f>
        <v>0</v>
      </c>
    </row>
    <row r="573" spans="1:18">
      <c r="A573" s="43">
        <f>IF(B573="","","IL-"&amp;TEXT(ROW()-4,"0000"))</f>
        <v>0</v>
      </c>
      <c r="D573" s="18">
        <f>IF(C573="","",IFERROR(INDEX(Jobs!$B$5:$B$604,MATCH(C573,Jobs!$A$5:$A$604,0)),""))</f>
        <v>0</v>
      </c>
      <c r="J573" s="21">
        <f>IF(C573="","",IFERROR(INDEX(Jobs!$AJ$5:$AJ$604,MATCH(C573,Jobs!$A$5:$A$604,0)),"0"))</f>
        <v>0</v>
      </c>
      <c r="K573" s="23">
        <f>IF(C573="","",IFERROR(INDEX(Jobs!$M$5:$M$604,MATCH(C573,Jobs!$A$5:$A$604,0)),""))</f>
        <v>0</v>
      </c>
      <c r="L573" s="51">
        <f>IF(B573="","",IF(E573&lt;&gt;"",E573,IF(C573="","",K573&amp;" - "&amp;TEXT(D573,"d mmm yyyy"))))</f>
        <v>0</v>
      </c>
      <c r="M573" s="21">
        <f>IF(B573="","",IF(G573&lt;&gt;"",G573,IFERROR(J573*1,0)))</f>
        <v>0</v>
      </c>
      <c r="N573" s="21">
        <f>IF(B573="","",ROUND(IF(F573="",1,F573)*M573,2))</f>
        <v>0</v>
      </c>
      <c r="O573" s="39">
        <f>IF(B573="","",IF(C573="","",IF(COUNTIFS($C$5:$C$804,C573)&gt;1,"Duplicate","OK")))</f>
        <v>0</v>
      </c>
      <c r="P573" s="31">
        <f>IF(OR(B573="",E573=""),"",COUNTIFS($B$5:B573,B573))</f>
        <v>0</v>
      </c>
      <c r="Q573" s="23">
        <f>IF(P573="","",B573&amp;"|"&amp;P573)</f>
        <v>0</v>
      </c>
      <c r="R573" s="39">
        <f>IF(B573="","",IF(O573="Duplicate","Duplicate - job billed twice",IF(M573=0,"Add - no price on this line",IF(AND(C573="",E573=""),"Add - what is this line for?","OK"))))</f>
        <v>0</v>
      </c>
    </row>
    <row r="574" spans="1:18">
      <c r="A574" s="43">
        <f>IF(B574="","","IL-"&amp;TEXT(ROW()-4,"0000"))</f>
        <v>0</v>
      </c>
      <c r="D574" s="18">
        <f>IF(C574="","",IFERROR(INDEX(Jobs!$B$5:$B$604,MATCH(C574,Jobs!$A$5:$A$604,0)),""))</f>
        <v>0</v>
      </c>
      <c r="J574" s="21">
        <f>IF(C574="","",IFERROR(INDEX(Jobs!$AJ$5:$AJ$604,MATCH(C574,Jobs!$A$5:$A$604,0)),"0"))</f>
        <v>0</v>
      </c>
      <c r="K574" s="23">
        <f>IF(C574="","",IFERROR(INDEX(Jobs!$M$5:$M$604,MATCH(C574,Jobs!$A$5:$A$604,0)),""))</f>
        <v>0</v>
      </c>
      <c r="L574" s="51">
        <f>IF(B574="","",IF(E574&lt;&gt;"",E574,IF(C574="","",K574&amp;" - "&amp;TEXT(D574,"d mmm yyyy"))))</f>
        <v>0</v>
      </c>
      <c r="M574" s="21">
        <f>IF(B574="","",IF(G574&lt;&gt;"",G574,IFERROR(J574*1,0)))</f>
        <v>0</v>
      </c>
      <c r="N574" s="21">
        <f>IF(B574="","",ROUND(IF(F574="",1,F574)*M574,2))</f>
        <v>0</v>
      </c>
      <c r="O574" s="39">
        <f>IF(B574="","",IF(C574="","",IF(COUNTIFS($C$5:$C$804,C574)&gt;1,"Duplicate","OK")))</f>
        <v>0</v>
      </c>
      <c r="P574" s="31">
        <f>IF(OR(B574="",E574=""),"",COUNTIFS($B$5:B574,B574))</f>
        <v>0</v>
      </c>
      <c r="Q574" s="23">
        <f>IF(P574="","",B574&amp;"|"&amp;P574)</f>
        <v>0</v>
      </c>
      <c r="R574" s="39">
        <f>IF(B574="","",IF(O574="Duplicate","Duplicate - job billed twice",IF(M574=0,"Add - no price on this line",IF(AND(C574="",E574=""),"Add - what is this line for?","OK"))))</f>
        <v>0</v>
      </c>
    </row>
    <row r="575" spans="1:18">
      <c r="A575" s="43">
        <f>IF(B575="","","IL-"&amp;TEXT(ROW()-4,"0000"))</f>
        <v>0</v>
      </c>
      <c r="D575" s="18">
        <f>IF(C575="","",IFERROR(INDEX(Jobs!$B$5:$B$604,MATCH(C575,Jobs!$A$5:$A$604,0)),""))</f>
        <v>0</v>
      </c>
      <c r="J575" s="21">
        <f>IF(C575="","",IFERROR(INDEX(Jobs!$AJ$5:$AJ$604,MATCH(C575,Jobs!$A$5:$A$604,0)),"0"))</f>
        <v>0</v>
      </c>
      <c r="K575" s="23">
        <f>IF(C575="","",IFERROR(INDEX(Jobs!$M$5:$M$604,MATCH(C575,Jobs!$A$5:$A$604,0)),""))</f>
        <v>0</v>
      </c>
      <c r="L575" s="51">
        <f>IF(B575="","",IF(E575&lt;&gt;"",E575,IF(C575="","",K575&amp;" - "&amp;TEXT(D575,"d mmm yyyy"))))</f>
        <v>0</v>
      </c>
      <c r="M575" s="21">
        <f>IF(B575="","",IF(G575&lt;&gt;"",G575,IFERROR(J575*1,0)))</f>
        <v>0</v>
      </c>
      <c r="N575" s="21">
        <f>IF(B575="","",ROUND(IF(F575="",1,F575)*M575,2))</f>
        <v>0</v>
      </c>
      <c r="O575" s="39">
        <f>IF(B575="","",IF(C575="","",IF(COUNTIFS($C$5:$C$804,C575)&gt;1,"Duplicate","OK")))</f>
        <v>0</v>
      </c>
      <c r="P575" s="31">
        <f>IF(OR(B575="",E575=""),"",COUNTIFS($B$5:B575,B575))</f>
        <v>0</v>
      </c>
      <c r="Q575" s="23">
        <f>IF(P575="","",B575&amp;"|"&amp;P575)</f>
        <v>0</v>
      </c>
      <c r="R575" s="39">
        <f>IF(B575="","",IF(O575="Duplicate","Duplicate - job billed twice",IF(M575=0,"Add - no price on this line",IF(AND(C575="",E575=""),"Add - what is this line for?","OK"))))</f>
        <v>0</v>
      </c>
    </row>
    <row r="576" spans="1:18">
      <c r="A576" s="43">
        <f>IF(B576="","","IL-"&amp;TEXT(ROW()-4,"0000"))</f>
        <v>0</v>
      </c>
      <c r="D576" s="18">
        <f>IF(C576="","",IFERROR(INDEX(Jobs!$B$5:$B$604,MATCH(C576,Jobs!$A$5:$A$604,0)),""))</f>
        <v>0</v>
      </c>
      <c r="J576" s="21">
        <f>IF(C576="","",IFERROR(INDEX(Jobs!$AJ$5:$AJ$604,MATCH(C576,Jobs!$A$5:$A$604,0)),"0"))</f>
        <v>0</v>
      </c>
      <c r="K576" s="23">
        <f>IF(C576="","",IFERROR(INDEX(Jobs!$M$5:$M$604,MATCH(C576,Jobs!$A$5:$A$604,0)),""))</f>
        <v>0</v>
      </c>
      <c r="L576" s="51">
        <f>IF(B576="","",IF(E576&lt;&gt;"",E576,IF(C576="","",K576&amp;" - "&amp;TEXT(D576,"d mmm yyyy"))))</f>
        <v>0</v>
      </c>
      <c r="M576" s="21">
        <f>IF(B576="","",IF(G576&lt;&gt;"",G576,IFERROR(J576*1,0)))</f>
        <v>0</v>
      </c>
      <c r="N576" s="21">
        <f>IF(B576="","",ROUND(IF(F576="",1,F576)*M576,2))</f>
        <v>0</v>
      </c>
      <c r="O576" s="39">
        <f>IF(B576="","",IF(C576="","",IF(COUNTIFS($C$5:$C$804,C576)&gt;1,"Duplicate","OK")))</f>
        <v>0</v>
      </c>
      <c r="P576" s="31">
        <f>IF(OR(B576="",E576=""),"",COUNTIFS($B$5:B576,B576))</f>
        <v>0</v>
      </c>
      <c r="Q576" s="23">
        <f>IF(P576="","",B576&amp;"|"&amp;P576)</f>
        <v>0</v>
      </c>
      <c r="R576" s="39">
        <f>IF(B576="","",IF(O576="Duplicate","Duplicate - job billed twice",IF(M576=0,"Add - no price on this line",IF(AND(C576="",E576=""),"Add - what is this line for?","OK"))))</f>
        <v>0</v>
      </c>
    </row>
    <row r="577" spans="1:18">
      <c r="A577" s="43">
        <f>IF(B577="","","IL-"&amp;TEXT(ROW()-4,"0000"))</f>
        <v>0</v>
      </c>
      <c r="D577" s="18">
        <f>IF(C577="","",IFERROR(INDEX(Jobs!$B$5:$B$604,MATCH(C577,Jobs!$A$5:$A$604,0)),""))</f>
        <v>0</v>
      </c>
      <c r="J577" s="21">
        <f>IF(C577="","",IFERROR(INDEX(Jobs!$AJ$5:$AJ$604,MATCH(C577,Jobs!$A$5:$A$604,0)),"0"))</f>
        <v>0</v>
      </c>
      <c r="K577" s="23">
        <f>IF(C577="","",IFERROR(INDEX(Jobs!$M$5:$M$604,MATCH(C577,Jobs!$A$5:$A$604,0)),""))</f>
        <v>0</v>
      </c>
      <c r="L577" s="51">
        <f>IF(B577="","",IF(E577&lt;&gt;"",E577,IF(C577="","",K577&amp;" - "&amp;TEXT(D577,"d mmm yyyy"))))</f>
        <v>0</v>
      </c>
      <c r="M577" s="21">
        <f>IF(B577="","",IF(G577&lt;&gt;"",G577,IFERROR(J577*1,0)))</f>
        <v>0</v>
      </c>
      <c r="N577" s="21">
        <f>IF(B577="","",ROUND(IF(F577="",1,F577)*M577,2))</f>
        <v>0</v>
      </c>
      <c r="O577" s="39">
        <f>IF(B577="","",IF(C577="","",IF(COUNTIFS($C$5:$C$804,C577)&gt;1,"Duplicate","OK")))</f>
        <v>0</v>
      </c>
      <c r="P577" s="31">
        <f>IF(OR(B577="",E577=""),"",COUNTIFS($B$5:B577,B577))</f>
        <v>0</v>
      </c>
      <c r="Q577" s="23">
        <f>IF(P577="","",B577&amp;"|"&amp;P577)</f>
        <v>0</v>
      </c>
      <c r="R577" s="39">
        <f>IF(B577="","",IF(O577="Duplicate","Duplicate - job billed twice",IF(M577=0,"Add - no price on this line",IF(AND(C577="",E577=""),"Add - what is this line for?","OK"))))</f>
        <v>0</v>
      </c>
    </row>
    <row r="578" spans="1:18">
      <c r="A578" s="43">
        <f>IF(B578="","","IL-"&amp;TEXT(ROW()-4,"0000"))</f>
        <v>0</v>
      </c>
      <c r="D578" s="18">
        <f>IF(C578="","",IFERROR(INDEX(Jobs!$B$5:$B$604,MATCH(C578,Jobs!$A$5:$A$604,0)),""))</f>
        <v>0</v>
      </c>
      <c r="J578" s="21">
        <f>IF(C578="","",IFERROR(INDEX(Jobs!$AJ$5:$AJ$604,MATCH(C578,Jobs!$A$5:$A$604,0)),"0"))</f>
        <v>0</v>
      </c>
      <c r="K578" s="23">
        <f>IF(C578="","",IFERROR(INDEX(Jobs!$M$5:$M$604,MATCH(C578,Jobs!$A$5:$A$604,0)),""))</f>
        <v>0</v>
      </c>
      <c r="L578" s="51">
        <f>IF(B578="","",IF(E578&lt;&gt;"",E578,IF(C578="","",K578&amp;" - "&amp;TEXT(D578,"d mmm yyyy"))))</f>
        <v>0</v>
      </c>
      <c r="M578" s="21">
        <f>IF(B578="","",IF(G578&lt;&gt;"",G578,IFERROR(J578*1,0)))</f>
        <v>0</v>
      </c>
      <c r="N578" s="21">
        <f>IF(B578="","",ROUND(IF(F578="",1,F578)*M578,2))</f>
        <v>0</v>
      </c>
      <c r="O578" s="39">
        <f>IF(B578="","",IF(C578="","",IF(COUNTIFS($C$5:$C$804,C578)&gt;1,"Duplicate","OK")))</f>
        <v>0</v>
      </c>
      <c r="P578" s="31">
        <f>IF(OR(B578="",E578=""),"",COUNTIFS($B$5:B578,B578))</f>
        <v>0</v>
      </c>
      <c r="Q578" s="23">
        <f>IF(P578="","",B578&amp;"|"&amp;P578)</f>
        <v>0</v>
      </c>
      <c r="R578" s="39">
        <f>IF(B578="","",IF(O578="Duplicate","Duplicate - job billed twice",IF(M578=0,"Add - no price on this line",IF(AND(C578="",E578=""),"Add - what is this line for?","OK"))))</f>
        <v>0</v>
      </c>
    </row>
    <row r="579" spans="1:18">
      <c r="A579" s="43">
        <f>IF(B579="","","IL-"&amp;TEXT(ROW()-4,"0000"))</f>
        <v>0</v>
      </c>
      <c r="D579" s="18">
        <f>IF(C579="","",IFERROR(INDEX(Jobs!$B$5:$B$604,MATCH(C579,Jobs!$A$5:$A$604,0)),""))</f>
        <v>0</v>
      </c>
      <c r="J579" s="21">
        <f>IF(C579="","",IFERROR(INDEX(Jobs!$AJ$5:$AJ$604,MATCH(C579,Jobs!$A$5:$A$604,0)),"0"))</f>
        <v>0</v>
      </c>
      <c r="K579" s="23">
        <f>IF(C579="","",IFERROR(INDEX(Jobs!$M$5:$M$604,MATCH(C579,Jobs!$A$5:$A$604,0)),""))</f>
        <v>0</v>
      </c>
      <c r="L579" s="51">
        <f>IF(B579="","",IF(E579&lt;&gt;"",E579,IF(C579="","",K579&amp;" - "&amp;TEXT(D579,"d mmm yyyy"))))</f>
        <v>0</v>
      </c>
      <c r="M579" s="21">
        <f>IF(B579="","",IF(G579&lt;&gt;"",G579,IFERROR(J579*1,0)))</f>
        <v>0</v>
      </c>
      <c r="N579" s="21">
        <f>IF(B579="","",ROUND(IF(F579="",1,F579)*M579,2))</f>
        <v>0</v>
      </c>
      <c r="O579" s="39">
        <f>IF(B579="","",IF(C579="","",IF(COUNTIFS($C$5:$C$804,C579)&gt;1,"Duplicate","OK")))</f>
        <v>0</v>
      </c>
      <c r="P579" s="31">
        <f>IF(OR(B579="",E579=""),"",COUNTIFS($B$5:B579,B579))</f>
        <v>0</v>
      </c>
      <c r="Q579" s="23">
        <f>IF(P579="","",B579&amp;"|"&amp;P579)</f>
        <v>0</v>
      </c>
      <c r="R579" s="39">
        <f>IF(B579="","",IF(O579="Duplicate","Duplicate - job billed twice",IF(M579=0,"Add - no price on this line",IF(AND(C579="",E579=""),"Add - what is this line for?","OK"))))</f>
        <v>0</v>
      </c>
    </row>
    <row r="580" spans="1:18">
      <c r="A580" s="43">
        <f>IF(B580="","","IL-"&amp;TEXT(ROW()-4,"0000"))</f>
        <v>0</v>
      </c>
      <c r="D580" s="18">
        <f>IF(C580="","",IFERROR(INDEX(Jobs!$B$5:$B$604,MATCH(C580,Jobs!$A$5:$A$604,0)),""))</f>
        <v>0</v>
      </c>
      <c r="J580" s="21">
        <f>IF(C580="","",IFERROR(INDEX(Jobs!$AJ$5:$AJ$604,MATCH(C580,Jobs!$A$5:$A$604,0)),"0"))</f>
        <v>0</v>
      </c>
      <c r="K580" s="23">
        <f>IF(C580="","",IFERROR(INDEX(Jobs!$M$5:$M$604,MATCH(C580,Jobs!$A$5:$A$604,0)),""))</f>
        <v>0</v>
      </c>
      <c r="L580" s="51">
        <f>IF(B580="","",IF(E580&lt;&gt;"",E580,IF(C580="","",K580&amp;" - "&amp;TEXT(D580,"d mmm yyyy"))))</f>
        <v>0</v>
      </c>
      <c r="M580" s="21">
        <f>IF(B580="","",IF(G580&lt;&gt;"",G580,IFERROR(J580*1,0)))</f>
        <v>0</v>
      </c>
      <c r="N580" s="21">
        <f>IF(B580="","",ROUND(IF(F580="",1,F580)*M580,2))</f>
        <v>0</v>
      </c>
      <c r="O580" s="39">
        <f>IF(B580="","",IF(C580="","",IF(COUNTIFS($C$5:$C$804,C580)&gt;1,"Duplicate","OK")))</f>
        <v>0</v>
      </c>
      <c r="P580" s="31">
        <f>IF(OR(B580="",E580=""),"",COUNTIFS($B$5:B580,B580))</f>
        <v>0</v>
      </c>
      <c r="Q580" s="23">
        <f>IF(P580="","",B580&amp;"|"&amp;P580)</f>
        <v>0</v>
      </c>
      <c r="R580" s="39">
        <f>IF(B580="","",IF(O580="Duplicate","Duplicate - job billed twice",IF(M580=0,"Add - no price on this line",IF(AND(C580="",E580=""),"Add - what is this line for?","OK"))))</f>
        <v>0</v>
      </c>
    </row>
    <row r="581" spans="1:18">
      <c r="A581" s="43">
        <f>IF(B581="","","IL-"&amp;TEXT(ROW()-4,"0000"))</f>
        <v>0</v>
      </c>
      <c r="D581" s="18">
        <f>IF(C581="","",IFERROR(INDEX(Jobs!$B$5:$B$604,MATCH(C581,Jobs!$A$5:$A$604,0)),""))</f>
        <v>0</v>
      </c>
      <c r="J581" s="21">
        <f>IF(C581="","",IFERROR(INDEX(Jobs!$AJ$5:$AJ$604,MATCH(C581,Jobs!$A$5:$A$604,0)),"0"))</f>
        <v>0</v>
      </c>
      <c r="K581" s="23">
        <f>IF(C581="","",IFERROR(INDEX(Jobs!$M$5:$M$604,MATCH(C581,Jobs!$A$5:$A$604,0)),""))</f>
        <v>0</v>
      </c>
      <c r="L581" s="51">
        <f>IF(B581="","",IF(E581&lt;&gt;"",E581,IF(C581="","",K581&amp;" - "&amp;TEXT(D581,"d mmm yyyy"))))</f>
        <v>0</v>
      </c>
      <c r="M581" s="21">
        <f>IF(B581="","",IF(G581&lt;&gt;"",G581,IFERROR(J581*1,0)))</f>
        <v>0</v>
      </c>
      <c r="N581" s="21">
        <f>IF(B581="","",ROUND(IF(F581="",1,F581)*M581,2))</f>
        <v>0</v>
      </c>
      <c r="O581" s="39">
        <f>IF(B581="","",IF(C581="","",IF(COUNTIFS($C$5:$C$804,C581)&gt;1,"Duplicate","OK")))</f>
        <v>0</v>
      </c>
      <c r="P581" s="31">
        <f>IF(OR(B581="",E581=""),"",COUNTIFS($B$5:B581,B581))</f>
        <v>0</v>
      </c>
      <c r="Q581" s="23">
        <f>IF(P581="","",B581&amp;"|"&amp;P581)</f>
        <v>0</v>
      </c>
      <c r="R581" s="39">
        <f>IF(B581="","",IF(O581="Duplicate","Duplicate - job billed twice",IF(M581=0,"Add - no price on this line",IF(AND(C581="",E581=""),"Add - what is this line for?","OK"))))</f>
        <v>0</v>
      </c>
    </row>
    <row r="582" spans="1:18">
      <c r="A582" s="43">
        <f>IF(B582="","","IL-"&amp;TEXT(ROW()-4,"0000"))</f>
        <v>0</v>
      </c>
      <c r="D582" s="18">
        <f>IF(C582="","",IFERROR(INDEX(Jobs!$B$5:$B$604,MATCH(C582,Jobs!$A$5:$A$604,0)),""))</f>
        <v>0</v>
      </c>
      <c r="J582" s="21">
        <f>IF(C582="","",IFERROR(INDEX(Jobs!$AJ$5:$AJ$604,MATCH(C582,Jobs!$A$5:$A$604,0)),"0"))</f>
        <v>0</v>
      </c>
      <c r="K582" s="23">
        <f>IF(C582="","",IFERROR(INDEX(Jobs!$M$5:$M$604,MATCH(C582,Jobs!$A$5:$A$604,0)),""))</f>
        <v>0</v>
      </c>
      <c r="L582" s="51">
        <f>IF(B582="","",IF(E582&lt;&gt;"",E582,IF(C582="","",K582&amp;" - "&amp;TEXT(D582,"d mmm yyyy"))))</f>
        <v>0</v>
      </c>
      <c r="M582" s="21">
        <f>IF(B582="","",IF(G582&lt;&gt;"",G582,IFERROR(J582*1,0)))</f>
        <v>0</v>
      </c>
      <c r="N582" s="21">
        <f>IF(B582="","",ROUND(IF(F582="",1,F582)*M582,2))</f>
        <v>0</v>
      </c>
      <c r="O582" s="39">
        <f>IF(B582="","",IF(C582="","",IF(COUNTIFS($C$5:$C$804,C582)&gt;1,"Duplicate","OK")))</f>
        <v>0</v>
      </c>
      <c r="P582" s="31">
        <f>IF(OR(B582="",E582=""),"",COUNTIFS($B$5:B582,B582))</f>
        <v>0</v>
      </c>
      <c r="Q582" s="23">
        <f>IF(P582="","",B582&amp;"|"&amp;P582)</f>
        <v>0</v>
      </c>
      <c r="R582" s="39">
        <f>IF(B582="","",IF(O582="Duplicate","Duplicate - job billed twice",IF(M582=0,"Add - no price on this line",IF(AND(C582="",E582=""),"Add - what is this line for?","OK"))))</f>
        <v>0</v>
      </c>
    </row>
    <row r="583" spans="1:18">
      <c r="A583" s="43">
        <f>IF(B583="","","IL-"&amp;TEXT(ROW()-4,"0000"))</f>
        <v>0</v>
      </c>
      <c r="D583" s="18">
        <f>IF(C583="","",IFERROR(INDEX(Jobs!$B$5:$B$604,MATCH(C583,Jobs!$A$5:$A$604,0)),""))</f>
        <v>0</v>
      </c>
      <c r="J583" s="21">
        <f>IF(C583="","",IFERROR(INDEX(Jobs!$AJ$5:$AJ$604,MATCH(C583,Jobs!$A$5:$A$604,0)),"0"))</f>
        <v>0</v>
      </c>
      <c r="K583" s="23">
        <f>IF(C583="","",IFERROR(INDEX(Jobs!$M$5:$M$604,MATCH(C583,Jobs!$A$5:$A$604,0)),""))</f>
        <v>0</v>
      </c>
      <c r="L583" s="51">
        <f>IF(B583="","",IF(E583&lt;&gt;"",E583,IF(C583="","",K583&amp;" - "&amp;TEXT(D583,"d mmm yyyy"))))</f>
        <v>0</v>
      </c>
      <c r="M583" s="21">
        <f>IF(B583="","",IF(G583&lt;&gt;"",G583,IFERROR(J583*1,0)))</f>
        <v>0</v>
      </c>
      <c r="N583" s="21">
        <f>IF(B583="","",ROUND(IF(F583="",1,F583)*M583,2))</f>
        <v>0</v>
      </c>
      <c r="O583" s="39">
        <f>IF(B583="","",IF(C583="","",IF(COUNTIFS($C$5:$C$804,C583)&gt;1,"Duplicate","OK")))</f>
        <v>0</v>
      </c>
      <c r="P583" s="31">
        <f>IF(OR(B583="",E583=""),"",COUNTIFS($B$5:B583,B583))</f>
        <v>0</v>
      </c>
      <c r="Q583" s="23">
        <f>IF(P583="","",B583&amp;"|"&amp;P583)</f>
        <v>0</v>
      </c>
      <c r="R583" s="39">
        <f>IF(B583="","",IF(O583="Duplicate","Duplicate - job billed twice",IF(M583=0,"Add - no price on this line",IF(AND(C583="",E583=""),"Add - what is this line for?","OK"))))</f>
        <v>0</v>
      </c>
    </row>
    <row r="584" spans="1:18">
      <c r="A584" s="43">
        <f>IF(B584="","","IL-"&amp;TEXT(ROW()-4,"0000"))</f>
        <v>0</v>
      </c>
      <c r="D584" s="18">
        <f>IF(C584="","",IFERROR(INDEX(Jobs!$B$5:$B$604,MATCH(C584,Jobs!$A$5:$A$604,0)),""))</f>
        <v>0</v>
      </c>
      <c r="J584" s="21">
        <f>IF(C584="","",IFERROR(INDEX(Jobs!$AJ$5:$AJ$604,MATCH(C584,Jobs!$A$5:$A$604,0)),"0"))</f>
        <v>0</v>
      </c>
      <c r="K584" s="23">
        <f>IF(C584="","",IFERROR(INDEX(Jobs!$M$5:$M$604,MATCH(C584,Jobs!$A$5:$A$604,0)),""))</f>
        <v>0</v>
      </c>
      <c r="L584" s="51">
        <f>IF(B584="","",IF(E584&lt;&gt;"",E584,IF(C584="","",K584&amp;" - "&amp;TEXT(D584,"d mmm yyyy"))))</f>
        <v>0</v>
      </c>
      <c r="M584" s="21">
        <f>IF(B584="","",IF(G584&lt;&gt;"",G584,IFERROR(J584*1,0)))</f>
        <v>0</v>
      </c>
      <c r="N584" s="21">
        <f>IF(B584="","",ROUND(IF(F584="",1,F584)*M584,2))</f>
        <v>0</v>
      </c>
      <c r="O584" s="39">
        <f>IF(B584="","",IF(C584="","",IF(COUNTIFS($C$5:$C$804,C584)&gt;1,"Duplicate","OK")))</f>
        <v>0</v>
      </c>
      <c r="P584" s="31">
        <f>IF(OR(B584="",E584=""),"",COUNTIFS($B$5:B584,B584))</f>
        <v>0</v>
      </c>
      <c r="Q584" s="23">
        <f>IF(P584="","",B584&amp;"|"&amp;P584)</f>
        <v>0</v>
      </c>
      <c r="R584" s="39">
        <f>IF(B584="","",IF(O584="Duplicate","Duplicate - job billed twice",IF(M584=0,"Add - no price on this line",IF(AND(C584="",E584=""),"Add - what is this line for?","OK"))))</f>
        <v>0</v>
      </c>
    </row>
    <row r="585" spans="1:18">
      <c r="A585" s="43">
        <f>IF(B585="","","IL-"&amp;TEXT(ROW()-4,"0000"))</f>
        <v>0</v>
      </c>
      <c r="D585" s="18">
        <f>IF(C585="","",IFERROR(INDEX(Jobs!$B$5:$B$604,MATCH(C585,Jobs!$A$5:$A$604,0)),""))</f>
        <v>0</v>
      </c>
      <c r="J585" s="21">
        <f>IF(C585="","",IFERROR(INDEX(Jobs!$AJ$5:$AJ$604,MATCH(C585,Jobs!$A$5:$A$604,0)),"0"))</f>
        <v>0</v>
      </c>
      <c r="K585" s="23">
        <f>IF(C585="","",IFERROR(INDEX(Jobs!$M$5:$M$604,MATCH(C585,Jobs!$A$5:$A$604,0)),""))</f>
        <v>0</v>
      </c>
      <c r="L585" s="51">
        <f>IF(B585="","",IF(E585&lt;&gt;"",E585,IF(C585="","",K585&amp;" - "&amp;TEXT(D585,"d mmm yyyy"))))</f>
        <v>0</v>
      </c>
      <c r="M585" s="21">
        <f>IF(B585="","",IF(G585&lt;&gt;"",G585,IFERROR(J585*1,0)))</f>
        <v>0</v>
      </c>
      <c r="N585" s="21">
        <f>IF(B585="","",ROUND(IF(F585="",1,F585)*M585,2))</f>
        <v>0</v>
      </c>
      <c r="O585" s="39">
        <f>IF(B585="","",IF(C585="","",IF(COUNTIFS($C$5:$C$804,C585)&gt;1,"Duplicate","OK")))</f>
        <v>0</v>
      </c>
      <c r="P585" s="31">
        <f>IF(OR(B585="",E585=""),"",COUNTIFS($B$5:B585,B585))</f>
        <v>0</v>
      </c>
      <c r="Q585" s="23">
        <f>IF(P585="","",B585&amp;"|"&amp;P585)</f>
        <v>0</v>
      </c>
      <c r="R585" s="39">
        <f>IF(B585="","",IF(O585="Duplicate","Duplicate - job billed twice",IF(M585=0,"Add - no price on this line",IF(AND(C585="",E585=""),"Add - what is this line for?","OK"))))</f>
        <v>0</v>
      </c>
    </row>
    <row r="586" spans="1:18">
      <c r="A586" s="43">
        <f>IF(B586="","","IL-"&amp;TEXT(ROW()-4,"0000"))</f>
        <v>0</v>
      </c>
      <c r="D586" s="18">
        <f>IF(C586="","",IFERROR(INDEX(Jobs!$B$5:$B$604,MATCH(C586,Jobs!$A$5:$A$604,0)),""))</f>
        <v>0</v>
      </c>
      <c r="J586" s="21">
        <f>IF(C586="","",IFERROR(INDEX(Jobs!$AJ$5:$AJ$604,MATCH(C586,Jobs!$A$5:$A$604,0)),"0"))</f>
        <v>0</v>
      </c>
      <c r="K586" s="23">
        <f>IF(C586="","",IFERROR(INDEX(Jobs!$M$5:$M$604,MATCH(C586,Jobs!$A$5:$A$604,0)),""))</f>
        <v>0</v>
      </c>
      <c r="L586" s="51">
        <f>IF(B586="","",IF(E586&lt;&gt;"",E586,IF(C586="","",K586&amp;" - "&amp;TEXT(D586,"d mmm yyyy"))))</f>
        <v>0</v>
      </c>
      <c r="M586" s="21">
        <f>IF(B586="","",IF(G586&lt;&gt;"",G586,IFERROR(J586*1,0)))</f>
        <v>0</v>
      </c>
      <c r="N586" s="21">
        <f>IF(B586="","",ROUND(IF(F586="",1,F586)*M586,2))</f>
        <v>0</v>
      </c>
      <c r="O586" s="39">
        <f>IF(B586="","",IF(C586="","",IF(COUNTIFS($C$5:$C$804,C586)&gt;1,"Duplicate","OK")))</f>
        <v>0</v>
      </c>
      <c r="P586" s="31">
        <f>IF(OR(B586="",E586=""),"",COUNTIFS($B$5:B586,B586))</f>
        <v>0</v>
      </c>
      <c r="Q586" s="23">
        <f>IF(P586="","",B586&amp;"|"&amp;P586)</f>
        <v>0</v>
      </c>
      <c r="R586" s="39">
        <f>IF(B586="","",IF(O586="Duplicate","Duplicate - job billed twice",IF(M586=0,"Add - no price on this line",IF(AND(C586="",E586=""),"Add - what is this line for?","OK"))))</f>
        <v>0</v>
      </c>
    </row>
    <row r="587" spans="1:18">
      <c r="A587" s="43">
        <f>IF(B587="","","IL-"&amp;TEXT(ROW()-4,"0000"))</f>
        <v>0</v>
      </c>
      <c r="D587" s="18">
        <f>IF(C587="","",IFERROR(INDEX(Jobs!$B$5:$B$604,MATCH(C587,Jobs!$A$5:$A$604,0)),""))</f>
        <v>0</v>
      </c>
      <c r="J587" s="21">
        <f>IF(C587="","",IFERROR(INDEX(Jobs!$AJ$5:$AJ$604,MATCH(C587,Jobs!$A$5:$A$604,0)),"0"))</f>
        <v>0</v>
      </c>
      <c r="K587" s="23">
        <f>IF(C587="","",IFERROR(INDEX(Jobs!$M$5:$M$604,MATCH(C587,Jobs!$A$5:$A$604,0)),""))</f>
        <v>0</v>
      </c>
      <c r="L587" s="51">
        <f>IF(B587="","",IF(E587&lt;&gt;"",E587,IF(C587="","",K587&amp;" - "&amp;TEXT(D587,"d mmm yyyy"))))</f>
        <v>0</v>
      </c>
      <c r="M587" s="21">
        <f>IF(B587="","",IF(G587&lt;&gt;"",G587,IFERROR(J587*1,0)))</f>
        <v>0</v>
      </c>
      <c r="N587" s="21">
        <f>IF(B587="","",ROUND(IF(F587="",1,F587)*M587,2))</f>
        <v>0</v>
      </c>
      <c r="O587" s="39">
        <f>IF(B587="","",IF(C587="","",IF(COUNTIFS($C$5:$C$804,C587)&gt;1,"Duplicate","OK")))</f>
        <v>0</v>
      </c>
      <c r="P587" s="31">
        <f>IF(OR(B587="",E587=""),"",COUNTIFS($B$5:B587,B587))</f>
        <v>0</v>
      </c>
      <c r="Q587" s="23">
        <f>IF(P587="","",B587&amp;"|"&amp;P587)</f>
        <v>0</v>
      </c>
      <c r="R587" s="39">
        <f>IF(B587="","",IF(O587="Duplicate","Duplicate - job billed twice",IF(M587=0,"Add - no price on this line",IF(AND(C587="",E587=""),"Add - what is this line for?","OK"))))</f>
        <v>0</v>
      </c>
    </row>
    <row r="588" spans="1:18">
      <c r="A588" s="43">
        <f>IF(B588="","","IL-"&amp;TEXT(ROW()-4,"0000"))</f>
        <v>0</v>
      </c>
      <c r="D588" s="18">
        <f>IF(C588="","",IFERROR(INDEX(Jobs!$B$5:$B$604,MATCH(C588,Jobs!$A$5:$A$604,0)),""))</f>
        <v>0</v>
      </c>
      <c r="J588" s="21">
        <f>IF(C588="","",IFERROR(INDEX(Jobs!$AJ$5:$AJ$604,MATCH(C588,Jobs!$A$5:$A$604,0)),"0"))</f>
        <v>0</v>
      </c>
      <c r="K588" s="23">
        <f>IF(C588="","",IFERROR(INDEX(Jobs!$M$5:$M$604,MATCH(C588,Jobs!$A$5:$A$604,0)),""))</f>
        <v>0</v>
      </c>
      <c r="L588" s="51">
        <f>IF(B588="","",IF(E588&lt;&gt;"",E588,IF(C588="","",K588&amp;" - "&amp;TEXT(D588,"d mmm yyyy"))))</f>
        <v>0</v>
      </c>
      <c r="M588" s="21">
        <f>IF(B588="","",IF(G588&lt;&gt;"",G588,IFERROR(J588*1,0)))</f>
        <v>0</v>
      </c>
      <c r="N588" s="21">
        <f>IF(B588="","",ROUND(IF(F588="",1,F588)*M588,2))</f>
        <v>0</v>
      </c>
      <c r="O588" s="39">
        <f>IF(B588="","",IF(C588="","",IF(COUNTIFS($C$5:$C$804,C588)&gt;1,"Duplicate","OK")))</f>
        <v>0</v>
      </c>
      <c r="P588" s="31">
        <f>IF(OR(B588="",E588=""),"",COUNTIFS($B$5:B588,B588))</f>
        <v>0</v>
      </c>
      <c r="Q588" s="23">
        <f>IF(P588="","",B588&amp;"|"&amp;P588)</f>
        <v>0</v>
      </c>
      <c r="R588" s="39">
        <f>IF(B588="","",IF(O588="Duplicate","Duplicate - job billed twice",IF(M588=0,"Add - no price on this line",IF(AND(C588="",E588=""),"Add - what is this line for?","OK"))))</f>
        <v>0</v>
      </c>
    </row>
    <row r="589" spans="1:18">
      <c r="A589" s="43">
        <f>IF(B589="","","IL-"&amp;TEXT(ROW()-4,"0000"))</f>
        <v>0</v>
      </c>
      <c r="D589" s="18">
        <f>IF(C589="","",IFERROR(INDEX(Jobs!$B$5:$B$604,MATCH(C589,Jobs!$A$5:$A$604,0)),""))</f>
        <v>0</v>
      </c>
      <c r="J589" s="21">
        <f>IF(C589="","",IFERROR(INDEX(Jobs!$AJ$5:$AJ$604,MATCH(C589,Jobs!$A$5:$A$604,0)),"0"))</f>
        <v>0</v>
      </c>
      <c r="K589" s="23">
        <f>IF(C589="","",IFERROR(INDEX(Jobs!$M$5:$M$604,MATCH(C589,Jobs!$A$5:$A$604,0)),""))</f>
        <v>0</v>
      </c>
      <c r="L589" s="51">
        <f>IF(B589="","",IF(E589&lt;&gt;"",E589,IF(C589="","",K589&amp;" - "&amp;TEXT(D589,"d mmm yyyy"))))</f>
        <v>0</v>
      </c>
      <c r="M589" s="21">
        <f>IF(B589="","",IF(G589&lt;&gt;"",G589,IFERROR(J589*1,0)))</f>
        <v>0</v>
      </c>
      <c r="N589" s="21">
        <f>IF(B589="","",ROUND(IF(F589="",1,F589)*M589,2))</f>
        <v>0</v>
      </c>
      <c r="O589" s="39">
        <f>IF(B589="","",IF(C589="","",IF(COUNTIFS($C$5:$C$804,C589)&gt;1,"Duplicate","OK")))</f>
        <v>0</v>
      </c>
      <c r="P589" s="31">
        <f>IF(OR(B589="",E589=""),"",COUNTIFS($B$5:B589,B589))</f>
        <v>0</v>
      </c>
      <c r="Q589" s="23">
        <f>IF(P589="","",B589&amp;"|"&amp;P589)</f>
        <v>0</v>
      </c>
      <c r="R589" s="39">
        <f>IF(B589="","",IF(O589="Duplicate","Duplicate - job billed twice",IF(M589=0,"Add - no price on this line",IF(AND(C589="",E589=""),"Add - what is this line for?","OK"))))</f>
        <v>0</v>
      </c>
    </row>
    <row r="590" spans="1:18">
      <c r="A590" s="43">
        <f>IF(B590="","","IL-"&amp;TEXT(ROW()-4,"0000"))</f>
        <v>0</v>
      </c>
      <c r="D590" s="18">
        <f>IF(C590="","",IFERROR(INDEX(Jobs!$B$5:$B$604,MATCH(C590,Jobs!$A$5:$A$604,0)),""))</f>
        <v>0</v>
      </c>
      <c r="J590" s="21">
        <f>IF(C590="","",IFERROR(INDEX(Jobs!$AJ$5:$AJ$604,MATCH(C590,Jobs!$A$5:$A$604,0)),"0"))</f>
        <v>0</v>
      </c>
      <c r="K590" s="23">
        <f>IF(C590="","",IFERROR(INDEX(Jobs!$M$5:$M$604,MATCH(C590,Jobs!$A$5:$A$604,0)),""))</f>
        <v>0</v>
      </c>
      <c r="L590" s="51">
        <f>IF(B590="","",IF(E590&lt;&gt;"",E590,IF(C590="","",K590&amp;" - "&amp;TEXT(D590,"d mmm yyyy"))))</f>
        <v>0</v>
      </c>
      <c r="M590" s="21">
        <f>IF(B590="","",IF(G590&lt;&gt;"",G590,IFERROR(J590*1,0)))</f>
        <v>0</v>
      </c>
      <c r="N590" s="21">
        <f>IF(B590="","",ROUND(IF(F590="",1,F590)*M590,2))</f>
        <v>0</v>
      </c>
      <c r="O590" s="39">
        <f>IF(B590="","",IF(C590="","",IF(COUNTIFS($C$5:$C$804,C590)&gt;1,"Duplicate","OK")))</f>
        <v>0</v>
      </c>
      <c r="P590" s="31">
        <f>IF(OR(B590="",E590=""),"",COUNTIFS($B$5:B590,B590))</f>
        <v>0</v>
      </c>
      <c r="Q590" s="23">
        <f>IF(P590="","",B590&amp;"|"&amp;P590)</f>
        <v>0</v>
      </c>
      <c r="R590" s="39">
        <f>IF(B590="","",IF(O590="Duplicate","Duplicate - job billed twice",IF(M590=0,"Add - no price on this line",IF(AND(C590="",E590=""),"Add - what is this line for?","OK"))))</f>
        <v>0</v>
      </c>
    </row>
    <row r="591" spans="1:18">
      <c r="A591" s="43">
        <f>IF(B591="","","IL-"&amp;TEXT(ROW()-4,"0000"))</f>
        <v>0</v>
      </c>
      <c r="D591" s="18">
        <f>IF(C591="","",IFERROR(INDEX(Jobs!$B$5:$B$604,MATCH(C591,Jobs!$A$5:$A$604,0)),""))</f>
        <v>0</v>
      </c>
      <c r="J591" s="21">
        <f>IF(C591="","",IFERROR(INDEX(Jobs!$AJ$5:$AJ$604,MATCH(C591,Jobs!$A$5:$A$604,0)),"0"))</f>
        <v>0</v>
      </c>
      <c r="K591" s="23">
        <f>IF(C591="","",IFERROR(INDEX(Jobs!$M$5:$M$604,MATCH(C591,Jobs!$A$5:$A$604,0)),""))</f>
        <v>0</v>
      </c>
      <c r="L591" s="51">
        <f>IF(B591="","",IF(E591&lt;&gt;"",E591,IF(C591="","",K591&amp;" - "&amp;TEXT(D591,"d mmm yyyy"))))</f>
        <v>0</v>
      </c>
      <c r="M591" s="21">
        <f>IF(B591="","",IF(G591&lt;&gt;"",G591,IFERROR(J591*1,0)))</f>
        <v>0</v>
      </c>
      <c r="N591" s="21">
        <f>IF(B591="","",ROUND(IF(F591="",1,F591)*M591,2))</f>
        <v>0</v>
      </c>
      <c r="O591" s="39">
        <f>IF(B591="","",IF(C591="","",IF(COUNTIFS($C$5:$C$804,C591)&gt;1,"Duplicate","OK")))</f>
        <v>0</v>
      </c>
      <c r="P591" s="31">
        <f>IF(OR(B591="",E591=""),"",COUNTIFS($B$5:B591,B591))</f>
        <v>0</v>
      </c>
      <c r="Q591" s="23">
        <f>IF(P591="","",B591&amp;"|"&amp;P591)</f>
        <v>0</v>
      </c>
      <c r="R591" s="39">
        <f>IF(B591="","",IF(O591="Duplicate","Duplicate - job billed twice",IF(M591=0,"Add - no price on this line",IF(AND(C591="",E591=""),"Add - what is this line for?","OK"))))</f>
        <v>0</v>
      </c>
    </row>
    <row r="592" spans="1:18">
      <c r="A592" s="43">
        <f>IF(B592="","","IL-"&amp;TEXT(ROW()-4,"0000"))</f>
        <v>0</v>
      </c>
      <c r="D592" s="18">
        <f>IF(C592="","",IFERROR(INDEX(Jobs!$B$5:$B$604,MATCH(C592,Jobs!$A$5:$A$604,0)),""))</f>
        <v>0</v>
      </c>
      <c r="J592" s="21">
        <f>IF(C592="","",IFERROR(INDEX(Jobs!$AJ$5:$AJ$604,MATCH(C592,Jobs!$A$5:$A$604,0)),"0"))</f>
        <v>0</v>
      </c>
      <c r="K592" s="23">
        <f>IF(C592="","",IFERROR(INDEX(Jobs!$M$5:$M$604,MATCH(C592,Jobs!$A$5:$A$604,0)),""))</f>
        <v>0</v>
      </c>
      <c r="L592" s="51">
        <f>IF(B592="","",IF(E592&lt;&gt;"",E592,IF(C592="","",K592&amp;" - "&amp;TEXT(D592,"d mmm yyyy"))))</f>
        <v>0</v>
      </c>
      <c r="M592" s="21">
        <f>IF(B592="","",IF(G592&lt;&gt;"",G592,IFERROR(J592*1,0)))</f>
        <v>0</v>
      </c>
      <c r="N592" s="21">
        <f>IF(B592="","",ROUND(IF(F592="",1,F592)*M592,2))</f>
        <v>0</v>
      </c>
      <c r="O592" s="39">
        <f>IF(B592="","",IF(C592="","",IF(COUNTIFS($C$5:$C$804,C592)&gt;1,"Duplicate","OK")))</f>
        <v>0</v>
      </c>
      <c r="P592" s="31">
        <f>IF(OR(B592="",E592=""),"",COUNTIFS($B$5:B592,B592))</f>
        <v>0</v>
      </c>
      <c r="Q592" s="23">
        <f>IF(P592="","",B592&amp;"|"&amp;P592)</f>
        <v>0</v>
      </c>
      <c r="R592" s="39">
        <f>IF(B592="","",IF(O592="Duplicate","Duplicate - job billed twice",IF(M592=0,"Add - no price on this line",IF(AND(C592="",E592=""),"Add - what is this line for?","OK"))))</f>
        <v>0</v>
      </c>
    </row>
    <row r="593" spans="1:18">
      <c r="A593" s="43">
        <f>IF(B593="","","IL-"&amp;TEXT(ROW()-4,"0000"))</f>
        <v>0</v>
      </c>
      <c r="D593" s="18">
        <f>IF(C593="","",IFERROR(INDEX(Jobs!$B$5:$B$604,MATCH(C593,Jobs!$A$5:$A$604,0)),""))</f>
        <v>0</v>
      </c>
      <c r="J593" s="21">
        <f>IF(C593="","",IFERROR(INDEX(Jobs!$AJ$5:$AJ$604,MATCH(C593,Jobs!$A$5:$A$604,0)),"0"))</f>
        <v>0</v>
      </c>
      <c r="K593" s="23">
        <f>IF(C593="","",IFERROR(INDEX(Jobs!$M$5:$M$604,MATCH(C593,Jobs!$A$5:$A$604,0)),""))</f>
        <v>0</v>
      </c>
      <c r="L593" s="51">
        <f>IF(B593="","",IF(E593&lt;&gt;"",E593,IF(C593="","",K593&amp;" - "&amp;TEXT(D593,"d mmm yyyy"))))</f>
        <v>0</v>
      </c>
      <c r="M593" s="21">
        <f>IF(B593="","",IF(G593&lt;&gt;"",G593,IFERROR(J593*1,0)))</f>
        <v>0</v>
      </c>
      <c r="N593" s="21">
        <f>IF(B593="","",ROUND(IF(F593="",1,F593)*M593,2))</f>
        <v>0</v>
      </c>
      <c r="O593" s="39">
        <f>IF(B593="","",IF(C593="","",IF(COUNTIFS($C$5:$C$804,C593)&gt;1,"Duplicate","OK")))</f>
        <v>0</v>
      </c>
      <c r="P593" s="31">
        <f>IF(OR(B593="",E593=""),"",COUNTIFS($B$5:B593,B593))</f>
        <v>0</v>
      </c>
      <c r="Q593" s="23">
        <f>IF(P593="","",B593&amp;"|"&amp;P593)</f>
        <v>0</v>
      </c>
      <c r="R593" s="39">
        <f>IF(B593="","",IF(O593="Duplicate","Duplicate - job billed twice",IF(M593=0,"Add - no price on this line",IF(AND(C593="",E593=""),"Add - what is this line for?","OK"))))</f>
        <v>0</v>
      </c>
    </row>
    <row r="594" spans="1:18">
      <c r="A594" s="43">
        <f>IF(B594="","","IL-"&amp;TEXT(ROW()-4,"0000"))</f>
        <v>0</v>
      </c>
      <c r="D594" s="18">
        <f>IF(C594="","",IFERROR(INDEX(Jobs!$B$5:$B$604,MATCH(C594,Jobs!$A$5:$A$604,0)),""))</f>
        <v>0</v>
      </c>
      <c r="J594" s="21">
        <f>IF(C594="","",IFERROR(INDEX(Jobs!$AJ$5:$AJ$604,MATCH(C594,Jobs!$A$5:$A$604,0)),"0"))</f>
        <v>0</v>
      </c>
      <c r="K594" s="23">
        <f>IF(C594="","",IFERROR(INDEX(Jobs!$M$5:$M$604,MATCH(C594,Jobs!$A$5:$A$604,0)),""))</f>
        <v>0</v>
      </c>
      <c r="L594" s="51">
        <f>IF(B594="","",IF(E594&lt;&gt;"",E594,IF(C594="","",K594&amp;" - "&amp;TEXT(D594,"d mmm yyyy"))))</f>
        <v>0</v>
      </c>
      <c r="M594" s="21">
        <f>IF(B594="","",IF(G594&lt;&gt;"",G594,IFERROR(J594*1,0)))</f>
        <v>0</v>
      </c>
      <c r="N594" s="21">
        <f>IF(B594="","",ROUND(IF(F594="",1,F594)*M594,2))</f>
        <v>0</v>
      </c>
      <c r="O594" s="39">
        <f>IF(B594="","",IF(C594="","",IF(COUNTIFS($C$5:$C$804,C594)&gt;1,"Duplicate","OK")))</f>
        <v>0</v>
      </c>
      <c r="P594" s="31">
        <f>IF(OR(B594="",E594=""),"",COUNTIFS($B$5:B594,B594))</f>
        <v>0</v>
      </c>
      <c r="Q594" s="23">
        <f>IF(P594="","",B594&amp;"|"&amp;P594)</f>
        <v>0</v>
      </c>
      <c r="R594" s="39">
        <f>IF(B594="","",IF(O594="Duplicate","Duplicate - job billed twice",IF(M594=0,"Add - no price on this line",IF(AND(C594="",E594=""),"Add - what is this line for?","OK"))))</f>
        <v>0</v>
      </c>
    </row>
    <row r="595" spans="1:18">
      <c r="A595" s="43">
        <f>IF(B595="","","IL-"&amp;TEXT(ROW()-4,"0000"))</f>
        <v>0</v>
      </c>
      <c r="D595" s="18">
        <f>IF(C595="","",IFERROR(INDEX(Jobs!$B$5:$B$604,MATCH(C595,Jobs!$A$5:$A$604,0)),""))</f>
        <v>0</v>
      </c>
      <c r="J595" s="21">
        <f>IF(C595="","",IFERROR(INDEX(Jobs!$AJ$5:$AJ$604,MATCH(C595,Jobs!$A$5:$A$604,0)),"0"))</f>
        <v>0</v>
      </c>
      <c r="K595" s="23">
        <f>IF(C595="","",IFERROR(INDEX(Jobs!$M$5:$M$604,MATCH(C595,Jobs!$A$5:$A$604,0)),""))</f>
        <v>0</v>
      </c>
      <c r="L595" s="51">
        <f>IF(B595="","",IF(E595&lt;&gt;"",E595,IF(C595="","",K595&amp;" - "&amp;TEXT(D595,"d mmm yyyy"))))</f>
        <v>0</v>
      </c>
      <c r="M595" s="21">
        <f>IF(B595="","",IF(G595&lt;&gt;"",G595,IFERROR(J595*1,0)))</f>
        <v>0</v>
      </c>
      <c r="N595" s="21">
        <f>IF(B595="","",ROUND(IF(F595="",1,F595)*M595,2))</f>
        <v>0</v>
      </c>
      <c r="O595" s="39">
        <f>IF(B595="","",IF(C595="","",IF(COUNTIFS($C$5:$C$804,C595)&gt;1,"Duplicate","OK")))</f>
        <v>0</v>
      </c>
      <c r="P595" s="31">
        <f>IF(OR(B595="",E595=""),"",COUNTIFS($B$5:B595,B595))</f>
        <v>0</v>
      </c>
      <c r="Q595" s="23">
        <f>IF(P595="","",B595&amp;"|"&amp;P595)</f>
        <v>0</v>
      </c>
      <c r="R595" s="39">
        <f>IF(B595="","",IF(O595="Duplicate","Duplicate - job billed twice",IF(M595=0,"Add - no price on this line",IF(AND(C595="",E595=""),"Add - what is this line for?","OK"))))</f>
        <v>0</v>
      </c>
    </row>
    <row r="596" spans="1:18">
      <c r="A596" s="43">
        <f>IF(B596="","","IL-"&amp;TEXT(ROW()-4,"0000"))</f>
        <v>0</v>
      </c>
      <c r="D596" s="18">
        <f>IF(C596="","",IFERROR(INDEX(Jobs!$B$5:$B$604,MATCH(C596,Jobs!$A$5:$A$604,0)),""))</f>
        <v>0</v>
      </c>
      <c r="J596" s="21">
        <f>IF(C596="","",IFERROR(INDEX(Jobs!$AJ$5:$AJ$604,MATCH(C596,Jobs!$A$5:$A$604,0)),"0"))</f>
        <v>0</v>
      </c>
      <c r="K596" s="23">
        <f>IF(C596="","",IFERROR(INDEX(Jobs!$M$5:$M$604,MATCH(C596,Jobs!$A$5:$A$604,0)),""))</f>
        <v>0</v>
      </c>
      <c r="L596" s="51">
        <f>IF(B596="","",IF(E596&lt;&gt;"",E596,IF(C596="","",K596&amp;" - "&amp;TEXT(D596,"d mmm yyyy"))))</f>
        <v>0</v>
      </c>
      <c r="M596" s="21">
        <f>IF(B596="","",IF(G596&lt;&gt;"",G596,IFERROR(J596*1,0)))</f>
        <v>0</v>
      </c>
      <c r="N596" s="21">
        <f>IF(B596="","",ROUND(IF(F596="",1,F596)*M596,2))</f>
        <v>0</v>
      </c>
      <c r="O596" s="39">
        <f>IF(B596="","",IF(C596="","",IF(COUNTIFS($C$5:$C$804,C596)&gt;1,"Duplicate","OK")))</f>
        <v>0</v>
      </c>
      <c r="P596" s="31">
        <f>IF(OR(B596="",E596=""),"",COUNTIFS($B$5:B596,B596))</f>
        <v>0</v>
      </c>
      <c r="Q596" s="23">
        <f>IF(P596="","",B596&amp;"|"&amp;P596)</f>
        <v>0</v>
      </c>
      <c r="R596" s="39">
        <f>IF(B596="","",IF(O596="Duplicate","Duplicate - job billed twice",IF(M596=0,"Add - no price on this line",IF(AND(C596="",E596=""),"Add - what is this line for?","OK"))))</f>
        <v>0</v>
      </c>
    </row>
    <row r="597" spans="1:18">
      <c r="A597" s="43">
        <f>IF(B597="","","IL-"&amp;TEXT(ROW()-4,"0000"))</f>
        <v>0</v>
      </c>
      <c r="D597" s="18">
        <f>IF(C597="","",IFERROR(INDEX(Jobs!$B$5:$B$604,MATCH(C597,Jobs!$A$5:$A$604,0)),""))</f>
        <v>0</v>
      </c>
      <c r="J597" s="21">
        <f>IF(C597="","",IFERROR(INDEX(Jobs!$AJ$5:$AJ$604,MATCH(C597,Jobs!$A$5:$A$604,0)),"0"))</f>
        <v>0</v>
      </c>
      <c r="K597" s="23">
        <f>IF(C597="","",IFERROR(INDEX(Jobs!$M$5:$M$604,MATCH(C597,Jobs!$A$5:$A$604,0)),""))</f>
        <v>0</v>
      </c>
      <c r="L597" s="51">
        <f>IF(B597="","",IF(E597&lt;&gt;"",E597,IF(C597="","",K597&amp;" - "&amp;TEXT(D597,"d mmm yyyy"))))</f>
        <v>0</v>
      </c>
      <c r="M597" s="21">
        <f>IF(B597="","",IF(G597&lt;&gt;"",G597,IFERROR(J597*1,0)))</f>
        <v>0</v>
      </c>
      <c r="N597" s="21">
        <f>IF(B597="","",ROUND(IF(F597="",1,F597)*M597,2))</f>
        <v>0</v>
      </c>
      <c r="O597" s="39">
        <f>IF(B597="","",IF(C597="","",IF(COUNTIFS($C$5:$C$804,C597)&gt;1,"Duplicate","OK")))</f>
        <v>0</v>
      </c>
      <c r="P597" s="31">
        <f>IF(OR(B597="",E597=""),"",COUNTIFS($B$5:B597,B597))</f>
        <v>0</v>
      </c>
      <c r="Q597" s="23">
        <f>IF(P597="","",B597&amp;"|"&amp;P597)</f>
        <v>0</v>
      </c>
      <c r="R597" s="39">
        <f>IF(B597="","",IF(O597="Duplicate","Duplicate - job billed twice",IF(M597=0,"Add - no price on this line",IF(AND(C597="",E597=""),"Add - what is this line for?","OK"))))</f>
        <v>0</v>
      </c>
    </row>
    <row r="598" spans="1:18">
      <c r="A598" s="43">
        <f>IF(B598="","","IL-"&amp;TEXT(ROW()-4,"0000"))</f>
        <v>0</v>
      </c>
      <c r="D598" s="18">
        <f>IF(C598="","",IFERROR(INDEX(Jobs!$B$5:$B$604,MATCH(C598,Jobs!$A$5:$A$604,0)),""))</f>
        <v>0</v>
      </c>
      <c r="J598" s="21">
        <f>IF(C598="","",IFERROR(INDEX(Jobs!$AJ$5:$AJ$604,MATCH(C598,Jobs!$A$5:$A$604,0)),"0"))</f>
        <v>0</v>
      </c>
      <c r="K598" s="23">
        <f>IF(C598="","",IFERROR(INDEX(Jobs!$M$5:$M$604,MATCH(C598,Jobs!$A$5:$A$604,0)),""))</f>
        <v>0</v>
      </c>
      <c r="L598" s="51">
        <f>IF(B598="","",IF(E598&lt;&gt;"",E598,IF(C598="","",K598&amp;" - "&amp;TEXT(D598,"d mmm yyyy"))))</f>
        <v>0</v>
      </c>
      <c r="M598" s="21">
        <f>IF(B598="","",IF(G598&lt;&gt;"",G598,IFERROR(J598*1,0)))</f>
        <v>0</v>
      </c>
      <c r="N598" s="21">
        <f>IF(B598="","",ROUND(IF(F598="",1,F598)*M598,2))</f>
        <v>0</v>
      </c>
      <c r="O598" s="39">
        <f>IF(B598="","",IF(C598="","",IF(COUNTIFS($C$5:$C$804,C598)&gt;1,"Duplicate","OK")))</f>
        <v>0</v>
      </c>
      <c r="P598" s="31">
        <f>IF(OR(B598="",E598=""),"",COUNTIFS($B$5:B598,B598))</f>
        <v>0</v>
      </c>
      <c r="Q598" s="23">
        <f>IF(P598="","",B598&amp;"|"&amp;P598)</f>
        <v>0</v>
      </c>
      <c r="R598" s="39">
        <f>IF(B598="","",IF(O598="Duplicate","Duplicate - job billed twice",IF(M598=0,"Add - no price on this line",IF(AND(C598="",E598=""),"Add - what is this line for?","OK"))))</f>
        <v>0</v>
      </c>
    </row>
    <row r="599" spans="1:18">
      <c r="A599" s="43">
        <f>IF(B599="","","IL-"&amp;TEXT(ROW()-4,"0000"))</f>
        <v>0</v>
      </c>
      <c r="D599" s="18">
        <f>IF(C599="","",IFERROR(INDEX(Jobs!$B$5:$B$604,MATCH(C599,Jobs!$A$5:$A$604,0)),""))</f>
        <v>0</v>
      </c>
      <c r="J599" s="21">
        <f>IF(C599="","",IFERROR(INDEX(Jobs!$AJ$5:$AJ$604,MATCH(C599,Jobs!$A$5:$A$604,0)),"0"))</f>
        <v>0</v>
      </c>
      <c r="K599" s="23">
        <f>IF(C599="","",IFERROR(INDEX(Jobs!$M$5:$M$604,MATCH(C599,Jobs!$A$5:$A$604,0)),""))</f>
        <v>0</v>
      </c>
      <c r="L599" s="51">
        <f>IF(B599="","",IF(E599&lt;&gt;"",E599,IF(C599="","",K599&amp;" - "&amp;TEXT(D599,"d mmm yyyy"))))</f>
        <v>0</v>
      </c>
      <c r="M599" s="21">
        <f>IF(B599="","",IF(G599&lt;&gt;"",G599,IFERROR(J599*1,0)))</f>
        <v>0</v>
      </c>
      <c r="N599" s="21">
        <f>IF(B599="","",ROUND(IF(F599="",1,F599)*M599,2))</f>
        <v>0</v>
      </c>
      <c r="O599" s="39">
        <f>IF(B599="","",IF(C599="","",IF(COUNTIFS($C$5:$C$804,C599)&gt;1,"Duplicate","OK")))</f>
        <v>0</v>
      </c>
      <c r="P599" s="31">
        <f>IF(OR(B599="",E599=""),"",COUNTIFS($B$5:B599,B599))</f>
        <v>0</v>
      </c>
      <c r="Q599" s="23">
        <f>IF(P599="","",B599&amp;"|"&amp;P599)</f>
        <v>0</v>
      </c>
      <c r="R599" s="39">
        <f>IF(B599="","",IF(O599="Duplicate","Duplicate - job billed twice",IF(M599=0,"Add - no price on this line",IF(AND(C599="",E599=""),"Add - what is this line for?","OK"))))</f>
        <v>0</v>
      </c>
    </row>
    <row r="600" spans="1:18">
      <c r="A600" s="43">
        <f>IF(B600="","","IL-"&amp;TEXT(ROW()-4,"0000"))</f>
        <v>0</v>
      </c>
      <c r="D600" s="18">
        <f>IF(C600="","",IFERROR(INDEX(Jobs!$B$5:$B$604,MATCH(C600,Jobs!$A$5:$A$604,0)),""))</f>
        <v>0</v>
      </c>
      <c r="J600" s="21">
        <f>IF(C600="","",IFERROR(INDEX(Jobs!$AJ$5:$AJ$604,MATCH(C600,Jobs!$A$5:$A$604,0)),"0"))</f>
        <v>0</v>
      </c>
      <c r="K600" s="23">
        <f>IF(C600="","",IFERROR(INDEX(Jobs!$M$5:$M$604,MATCH(C600,Jobs!$A$5:$A$604,0)),""))</f>
        <v>0</v>
      </c>
      <c r="L600" s="51">
        <f>IF(B600="","",IF(E600&lt;&gt;"",E600,IF(C600="","",K600&amp;" - "&amp;TEXT(D600,"d mmm yyyy"))))</f>
        <v>0</v>
      </c>
      <c r="M600" s="21">
        <f>IF(B600="","",IF(G600&lt;&gt;"",G600,IFERROR(J600*1,0)))</f>
        <v>0</v>
      </c>
      <c r="N600" s="21">
        <f>IF(B600="","",ROUND(IF(F600="",1,F600)*M600,2))</f>
        <v>0</v>
      </c>
      <c r="O600" s="39">
        <f>IF(B600="","",IF(C600="","",IF(COUNTIFS($C$5:$C$804,C600)&gt;1,"Duplicate","OK")))</f>
        <v>0</v>
      </c>
      <c r="P600" s="31">
        <f>IF(OR(B600="",E600=""),"",COUNTIFS($B$5:B600,B600))</f>
        <v>0</v>
      </c>
      <c r="Q600" s="23">
        <f>IF(P600="","",B600&amp;"|"&amp;P600)</f>
        <v>0</v>
      </c>
      <c r="R600" s="39">
        <f>IF(B600="","",IF(O600="Duplicate","Duplicate - job billed twice",IF(M600=0,"Add - no price on this line",IF(AND(C600="",E600=""),"Add - what is this line for?","OK"))))</f>
        <v>0</v>
      </c>
    </row>
    <row r="601" spans="1:18">
      <c r="A601" s="43">
        <f>IF(B601="","","IL-"&amp;TEXT(ROW()-4,"0000"))</f>
        <v>0</v>
      </c>
      <c r="D601" s="18">
        <f>IF(C601="","",IFERROR(INDEX(Jobs!$B$5:$B$604,MATCH(C601,Jobs!$A$5:$A$604,0)),""))</f>
        <v>0</v>
      </c>
      <c r="J601" s="21">
        <f>IF(C601="","",IFERROR(INDEX(Jobs!$AJ$5:$AJ$604,MATCH(C601,Jobs!$A$5:$A$604,0)),"0"))</f>
        <v>0</v>
      </c>
      <c r="K601" s="23">
        <f>IF(C601="","",IFERROR(INDEX(Jobs!$M$5:$M$604,MATCH(C601,Jobs!$A$5:$A$604,0)),""))</f>
        <v>0</v>
      </c>
      <c r="L601" s="51">
        <f>IF(B601="","",IF(E601&lt;&gt;"",E601,IF(C601="","",K601&amp;" - "&amp;TEXT(D601,"d mmm yyyy"))))</f>
        <v>0</v>
      </c>
      <c r="M601" s="21">
        <f>IF(B601="","",IF(G601&lt;&gt;"",G601,IFERROR(J601*1,0)))</f>
        <v>0</v>
      </c>
      <c r="N601" s="21">
        <f>IF(B601="","",ROUND(IF(F601="",1,F601)*M601,2))</f>
        <v>0</v>
      </c>
      <c r="O601" s="39">
        <f>IF(B601="","",IF(C601="","",IF(COUNTIFS($C$5:$C$804,C601)&gt;1,"Duplicate","OK")))</f>
        <v>0</v>
      </c>
      <c r="P601" s="31">
        <f>IF(OR(B601="",E601=""),"",COUNTIFS($B$5:B601,B601))</f>
        <v>0</v>
      </c>
      <c r="Q601" s="23">
        <f>IF(P601="","",B601&amp;"|"&amp;P601)</f>
        <v>0</v>
      </c>
      <c r="R601" s="39">
        <f>IF(B601="","",IF(O601="Duplicate","Duplicate - job billed twice",IF(M601=0,"Add - no price on this line",IF(AND(C601="",E601=""),"Add - what is this line for?","OK"))))</f>
        <v>0</v>
      </c>
    </row>
    <row r="602" spans="1:18">
      <c r="A602" s="43">
        <f>IF(B602="","","IL-"&amp;TEXT(ROW()-4,"0000"))</f>
        <v>0</v>
      </c>
      <c r="D602" s="18">
        <f>IF(C602="","",IFERROR(INDEX(Jobs!$B$5:$B$604,MATCH(C602,Jobs!$A$5:$A$604,0)),""))</f>
        <v>0</v>
      </c>
      <c r="J602" s="21">
        <f>IF(C602="","",IFERROR(INDEX(Jobs!$AJ$5:$AJ$604,MATCH(C602,Jobs!$A$5:$A$604,0)),"0"))</f>
        <v>0</v>
      </c>
      <c r="K602" s="23">
        <f>IF(C602="","",IFERROR(INDEX(Jobs!$M$5:$M$604,MATCH(C602,Jobs!$A$5:$A$604,0)),""))</f>
        <v>0</v>
      </c>
      <c r="L602" s="51">
        <f>IF(B602="","",IF(E602&lt;&gt;"",E602,IF(C602="","",K602&amp;" - "&amp;TEXT(D602,"d mmm yyyy"))))</f>
        <v>0</v>
      </c>
      <c r="M602" s="21">
        <f>IF(B602="","",IF(G602&lt;&gt;"",G602,IFERROR(J602*1,0)))</f>
        <v>0</v>
      </c>
      <c r="N602" s="21">
        <f>IF(B602="","",ROUND(IF(F602="",1,F602)*M602,2))</f>
        <v>0</v>
      </c>
      <c r="O602" s="39">
        <f>IF(B602="","",IF(C602="","",IF(COUNTIFS($C$5:$C$804,C602)&gt;1,"Duplicate","OK")))</f>
        <v>0</v>
      </c>
      <c r="P602" s="31">
        <f>IF(OR(B602="",E602=""),"",COUNTIFS($B$5:B602,B602))</f>
        <v>0</v>
      </c>
      <c r="Q602" s="23">
        <f>IF(P602="","",B602&amp;"|"&amp;P602)</f>
        <v>0</v>
      </c>
      <c r="R602" s="39">
        <f>IF(B602="","",IF(O602="Duplicate","Duplicate - job billed twice",IF(M602=0,"Add - no price on this line",IF(AND(C602="",E602=""),"Add - what is this line for?","OK"))))</f>
        <v>0</v>
      </c>
    </row>
    <row r="603" spans="1:18">
      <c r="A603" s="43">
        <f>IF(B603="","","IL-"&amp;TEXT(ROW()-4,"0000"))</f>
        <v>0</v>
      </c>
      <c r="D603" s="18">
        <f>IF(C603="","",IFERROR(INDEX(Jobs!$B$5:$B$604,MATCH(C603,Jobs!$A$5:$A$604,0)),""))</f>
        <v>0</v>
      </c>
      <c r="J603" s="21">
        <f>IF(C603="","",IFERROR(INDEX(Jobs!$AJ$5:$AJ$604,MATCH(C603,Jobs!$A$5:$A$604,0)),"0"))</f>
        <v>0</v>
      </c>
      <c r="K603" s="23">
        <f>IF(C603="","",IFERROR(INDEX(Jobs!$M$5:$M$604,MATCH(C603,Jobs!$A$5:$A$604,0)),""))</f>
        <v>0</v>
      </c>
      <c r="L603" s="51">
        <f>IF(B603="","",IF(E603&lt;&gt;"",E603,IF(C603="","",K603&amp;" - "&amp;TEXT(D603,"d mmm yyyy"))))</f>
        <v>0</v>
      </c>
      <c r="M603" s="21">
        <f>IF(B603="","",IF(G603&lt;&gt;"",G603,IFERROR(J603*1,0)))</f>
        <v>0</v>
      </c>
      <c r="N603" s="21">
        <f>IF(B603="","",ROUND(IF(F603="",1,F603)*M603,2))</f>
        <v>0</v>
      </c>
      <c r="O603" s="39">
        <f>IF(B603="","",IF(C603="","",IF(COUNTIFS($C$5:$C$804,C603)&gt;1,"Duplicate","OK")))</f>
        <v>0</v>
      </c>
      <c r="P603" s="31">
        <f>IF(OR(B603="",E603=""),"",COUNTIFS($B$5:B603,B603))</f>
        <v>0</v>
      </c>
      <c r="Q603" s="23">
        <f>IF(P603="","",B603&amp;"|"&amp;P603)</f>
        <v>0</v>
      </c>
      <c r="R603" s="39">
        <f>IF(B603="","",IF(O603="Duplicate","Duplicate - job billed twice",IF(M603=0,"Add - no price on this line",IF(AND(C603="",E603=""),"Add - what is this line for?","OK"))))</f>
        <v>0</v>
      </c>
    </row>
    <row r="604" spans="1:18">
      <c r="A604" s="43">
        <f>IF(B604="","","IL-"&amp;TEXT(ROW()-4,"0000"))</f>
        <v>0</v>
      </c>
      <c r="D604" s="18">
        <f>IF(C604="","",IFERROR(INDEX(Jobs!$B$5:$B$604,MATCH(C604,Jobs!$A$5:$A$604,0)),""))</f>
        <v>0</v>
      </c>
      <c r="J604" s="21">
        <f>IF(C604="","",IFERROR(INDEX(Jobs!$AJ$5:$AJ$604,MATCH(C604,Jobs!$A$5:$A$604,0)),"0"))</f>
        <v>0</v>
      </c>
      <c r="K604" s="23">
        <f>IF(C604="","",IFERROR(INDEX(Jobs!$M$5:$M$604,MATCH(C604,Jobs!$A$5:$A$604,0)),""))</f>
        <v>0</v>
      </c>
      <c r="L604" s="51">
        <f>IF(B604="","",IF(E604&lt;&gt;"",E604,IF(C604="","",K604&amp;" - "&amp;TEXT(D604,"d mmm yyyy"))))</f>
        <v>0</v>
      </c>
      <c r="M604" s="21">
        <f>IF(B604="","",IF(G604&lt;&gt;"",G604,IFERROR(J604*1,0)))</f>
        <v>0</v>
      </c>
      <c r="N604" s="21">
        <f>IF(B604="","",ROUND(IF(F604="",1,F604)*M604,2))</f>
        <v>0</v>
      </c>
      <c r="O604" s="39">
        <f>IF(B604="","",IF(C604="","",IF(COUNTIFS($C$5:$C$804,C604)&gt;1,"Duplicate","OK")))</f>
        <v>0</v>
      </c>
      <c r="P604" s="31">
        <f>IF(OR(B604="",E604=""),"",COUNTIFS($B$5:B604,B604))</f>
        <v>0</v>
      </c>
      <c r="Q604" s="23">
        <f>IF(P604="","",B604&amp;"|"&amp;P604)</f>
        <v>0</v>
      </c>
      <c r="R604" s="39">
        <f>IF(B604="","",IF(O604="Duplicate","Duplicate - job billed twice",IF(M604=0,"Add - no price on this line",IF(AND(C604="",E604=""),"Add - what is this line for?","OK"))))</f>
        <v>0</v>
      </c>
    </row>
    <row r="605" spans="1:18">
      <c r="A605" s="43">
        <f>IF(B605="","","IL-"&amp;TEXT(ROW()-4,"0000"))</f>
        <v>0</v>
      </c>
      <c r="D605" s="18">
        <f>IF(C605="","",IFERROR(INDEX(Jobs!$B$5:$B$604,MATCH(C605,Jobs!$A$5:$A$604,0)),""))</f>
        <v>0</v>
      </c>
      <c r="J605" s="21">
        <f>IF(C605="","",IFERROR(INDEX(Jobs!$AJ$5:$AJ$604,MATCH(C605,Jobs!$A$5:$A$604,0)),"0"))</f>
        <v>0</v>
      </c>
      <c r="K605" s="23">
        <f>IF(C605="","",IFERROR(INDEX(Jobs!$M$5:$M$604,MATCH(C605,Jobs!$A$5:$A$604,0)),""))</f>
        <v>0</v>
      </c>
      <c r="L605" s="51">
        <f>IF(B605="","",IF(E605&lt;&gt;"",E605,IF(C605="","",K605&amp;" - "&amp;TEXT(D605,"d mmm yyyy"))))</f>
        <v>0</v>
      </c>
      <c r="M605" s="21">
        <f>IF(B605="","",IF(G605&lt;&gt;"",G605,IFERROR(J605*1,0)))</f>
        <v>0</v>
      </c>
      <c r="N605" s="21">
        <f>IF(B605="","",ROUND(IF(F605="",1,F605)*M605,2))</f>
        <v>0</v>
      </c>
      <c r="O605" s="39">
        <f>IF(B605="","",IF(C605="","",IF(COUNTIFS($C$5:$C$804,C605)&gt;1,"Duplicate","OK")))</f>
        <v>0</v>
      </c>
      <c r="P605" s="31">
        <f>IF(OR(B605="",E605=""),"",COUNTIFS($B$5:B605,B605))</f>
        <v>0</v>
      </c>
      <c r="Q605" s="23">
        <f>IF(P605="","",B605&amp;"|"&amp;P605)</f>
        <v>0</v>
      </c>
      <c r="R605" s="39">
        <f>IF(B605="","",IF(O605="Duplicate","Duplicate - job billed twice",IF(M605=0,"Add - no price on this line",IF(AND(C605="",E605=""),"Add - what is this line for?","OK"))))</f>
        <v>0</v>
      </c>
    </row>
    <row r="606" spans="1:18">
      <c r="A606" s="43">
        <f>IF(B606="","","IL-"&amp;TEXT(ROW()-4,"0000"))</f>
        <v>0</v>
      </c>
      <c r="D606" s="18">
        <f>IF(C606="","",IFERROR(INDEX(Jobs!$B$5:$B$604,MATCH(C606,Jobs!$A$5:$A$604,0)),""))</f>
        <v>0</v>
      </c>
      <c r="J606" s="21">
        <f>IF(C606="","",IFERROR(INDEX(Jobs!$AJ$5:$AJ$604,MATCH(C606,Jobs!$A$5:$A$604,0)),"0"))</f>
        <v>0</v>
      </c>
      <c r="K606" s="23">
        <f>IF(C606="","",IFERROR(INDEX(Jobs!$M$5:$M$604,MATCH(C606,Jobs!$A$5:$A$604,0)),""))</f>
        <v>0</v>
      </c>
      <c r="L606" s="51">
        <f>IF(B606="","",IF(E606&lt;&gt;"",E606,IF(C606="","",K606&amp;" - "&amp;TEXT(D606,"d mmm yyyy"))))</f>
        <v>0</v>
      </c>
      <c r="M606" s="21">
        <f>IF(B606="","",IF(G606&lt;&gt;"",G606,IFERROR(J606*1,0)))</f>
        <v>0</v>
      </c>
      <c r="N606" s="21">
        <f>IF(B606="","",ROUND(IF(F606="",1,F606)*M606,2))</f>
        <v>0</v>
      </c>
      <c r="O606" s="39">
        <f>IF(B606="","",IF(C606="","",IF(COUNTIFS($C$5:$C$804,C606)&gt;1,"Duplicate","OK")))</f>
        <v>0</v>
      </c>
      <c r="P606" s="31">
        <f>IF(OR(B606="",E606=""),"",COUNTIFS($B$5:B606,B606))</f>
        <v>0</v>
      </c>
      <c r="Q606" s="23">
        <f>IF(P606="","",B606&amp;"|"&amp;P606)</f>
        <v>0</v>
      </c>
      <c r="R606" s="39">
        <f>IF(B606="","",IF(O606="Duplicate","Duplicate - job billed twice",IF(M606=0,"Add - no price on this line",IF(AND(C606="",E606=""),"Add - what is this line for?","OK"))))</f>
        <v>0</v>
      </c>
    </row>
    <row r="607" spans="1:18">
      <c r="A607" s="43">
        <f>IF(B607="","","IL-"&amp;TEXT(ROW()-4,"0000"))</f>
        <v>0</v>
      </c>
      <c r="D607" s="18">
        <f>IF(C607="","",IFERROR(INDEX(Jobs!$B$5:$B$604,MATCH(C607,Jobs!$A$5:$A$604,0)),""))</f>
        <v>0</v>
      </c>
      <c r="J607" s="21">
        <f>IF(C607="","",IFERROR(INDEX(Jobs!$AJ$5:$AJ$604,MATCH(C607,Jobs!$A$5:$A$604,0)),"0"))</f>
        <v>0</v>
      </c>
      <c r="K607" s="23">
        <f>IF(C607="","",IFERROR(INDEX(Jobs!$M$5:$M$604,MATCH(C607,Jobs!$A$5:$A$604,0)),""))</f>
        <v>0</v>
      </c>
      <c r="L607" s="51">
        <f>IF(B607="","",IF(E607&lt;&gt;"",E607,IF(C607="","",K607&amp;" - "&amp;TEXT(D607,"d mmm yyyy"))))</f>
        <v>0</v>
      </c>
      <c r="M607" s="21">
        <f>IF(B607="","",IF(G607&lt;&gt;"",G607,IFERROR(J607*1,0)))</f>
        <v>0</v>
      </c>
      <c r="N607" s="21">
        <f>IF(B607="","",ROUND(IF(F607="",1,F607)*M607,2))</f>
        <v>0</v>
      </c>
      <c r="O607" s="39">
        <f>IF(B607="","",IF(C607="","",IF(COUNTIFS($C$5:$C$804,C607)&gt;1,"Duplicate","OK")))</f>
        <v>0</v>
      </c>
      <c r="P607" s="31">
        <f>IF(OR(B607="",E607=""),"",COUNTIFS($B$5:B607,B607))</f>
        <v>0</v>
      </c>
      <c r="Q607" s="23">
        <f>IF(P607="","",B607&amp;"|"&amp;P607)</f>
        <v>0</v>
      </c>
      <c r="R607" s="39">
        <f>IF(B607="","",IF(O607="Duplicate","Duplicate - job billed twice",IF(M607=0,"Add - no price on this line",IF(AND(C607="",E607=""),"Add - what is this line for?","OK"))))</f>
        <v>0</v>
      </c>
    </row>
    <row r="608" spans="1:18">
      <c r="A608" s="43">
        <f>IF(B608="","","IL-"&amp;TEXT(ROW()-4,"0000"))</f>
        <v>0</v>
      </c>
      <c r="D608" s="18">
        <f>IF(C608="","",IFERROR(INDEX(Jobs!$B$5:$B$604,MATCH(C608,Jobs!$A$5:$A$604,0)),""))</f>
        <v>0</v>
      </c>
      <c r="J608" s="21">
        <f>IF(C608="","",IFERROR(INDEX(Jobs!$AJ$5:$AJ$604,MATCH(C608,Jobs!$A$5:$A$604,0)),"0"))</f>
        <v>0</v>
      </c>
      <c r="K608" s="23">
        <f>IF(C608="","",IFERROR(INDEX(Jobs!$M$5:$M$604,MATCH(C608,Jobs!$A$5:$A$604,0)),""))</f>
        <v>0</v>
      </c>
      <c r="L608" s="51">
        <f>IF(B608="","",IF(E608&lt;&gt;"",E608,IF(C608="","",K608&amp;" - "&amp;TEXT(D608,"d mmm yyyy"))))</f>
        <v>0</v>
      </c>
      <c r="M608" s="21">
        <f>IF(B608="","",IF(G608&lt;&gt;"",G608,IFERROR(J608*1,0)))</f>
        <v>0</v>
      </c>
      <c r="N608" s="21">
        <f>IF(B608="","",ROUND(IF(F608="",1,F608)*M608,2))</f>
        <v>0</v>
      </c>
      <c r="O608" s="39">
        <f>IF(B608="","",IF(C608="","",IF(COUNTIFS($C$5:$C$804,C608)&gt;1,"Duplicate","OK")))</f>
        <v>0</v>
      </c>
      <c r="P608" s="31">
        <f>IF(OR(B608="",E608=""),"",COUNTIFS($B$5:B608,B608))</f>
        <v>0</v>
      </c>
      <c r="Q608" s="23">
        <f>IF(P608="","",B608&amp;"|"&amp;P608)</f>
        <v>0</v>
      </c>
      <c r="R608" s="39">
        <f>IF(B608="","",IF(O608="Duplicate","Duplicate - job billed twice",IF(M608=0,"Add - no price on this line",IF(AND(C608="",E608=""),"Add - what is this line for?","OK"))))</f>
        <v>0</v>
      </c>
    </row>
    <row r="609" spans="1:18">
      <c r="A609" s="43">
        <f>IF(B609="","","IL-"&amp;TEXT(ROW()-4,"0000"))</f>
        <v>0</v>
      </c>
      <c r="D609" s="18">
        <f>IF(C609="","",IFERROR(INDEX(Jobs!$B$5:$B$604,MATCH(C609,Jobs!$A$5:$A$604,0)),""))</f>
        <v>0</v>
      </c>
      <c r="J609" s="21">
        <f>IF(C609="","",IFERROR(INDEX(Jobs!$AJ$5:$AJ$604,MATCH(C609,Jobs!$A$5:$A$604,0)),"0"))</f>
        <v>0</v>
      </c>
      <c r="K609" s="23">
        <f>IF(C609="","",IFERROR(INDEX(Jobs!$M$5:$M$604,MATCH(C609,Jobs!$A$5:$A$604,0)),""))</f>
        <v>0</v>
      </c>
      <c r="L609" s="51">
        <f>IF(B609="","",IF(E609&lt;&gt;"",E609,IF(C609="","",K609&amp;" - "&amp;TEXT(D609,"d mmm yyyy"))))</f>
        <v>0</v>
      </c>
      <c r="M609" s="21">
        <f>IF(B609="","",IF(G609&lt;&gt;"",G609,IFERROR(J609*1,0)))</f>
        <v>0</v>
      </c>
      <c r="N609" s="21">
        <f>IF(B609="","",ROUND(IF(F609="",1,F609)*M609,2))</f>
        <v>0</v>
      </c>
      <c r="O609" s="39">
        <f>IF(B609="","",IF(C609="","",IF(COUNTIFS($C$5:$C$804,C609)&gt;1,"Duplicate","OK")))</f>
        <v>0</v>
      </c>
      <c r="P609" s="31">
        <f>IF(OR(B609="",E609=""),"",COUNTIFS($B$5:B609,B609))</f>
        <v>0</v>
      </c>
      <c r="Q609" s="23">
        <f>IF(P609="","",B609&amp;"|"&amp;P609)</f>
        <v>0</v>
      </c>
      <c r="R609" s="39">
        <f>IF(B609="","",IF(O609="Duplicate","Duplicate - job billed twice",IF(M609=0,"Add - no price on this line",IF(AND(C609="",E609=""),"Add - what is this line for?","OK"))))</f>
        <v>0</v>
      </c>
    </row>
    <row r="610" spans="1:18">
      <c r="A610" s="43">
        <f>IF(B610="","","IL-"&amp;TEXT(ROW()-4,"0000"))</f>
        <v>0</v>
      </c>
      <c r="D610" s="18">
        <f>IF(C610="","",IFERROR(INDEX(Jobs!$B$5:$B$604,MATCH(C610,Jobs!$A$5:$A$604,0)),""))</f>
        <v>0</v>
      </c>
      <c r="J610" s="21">
        <f>IF(C610="","",IFERROR(INDEX(Jobs!$AJ$5:$AJ$604,MATCH(C610,Jobs!$A$5:$A$604,0)),"0"))</f>
        <v>0</v>
      </c>
      <c r="K610" s="23">
        <f>IF(C610="","",IFERROR(INDEX(Jobs!$M$5:$M$604,MATCH(C610,Jobs!$A$5:$A$604,0)),""))</f>
        <v>0</v>
      </c>
      <c r="L610" s="51">
        <f>IF(B610="","",IF(E610&lt;&gt;"",E610,IF(C610="","",K610&amp;" - "&amp;TEXT(D610,"d mmm yyyy"))))</f>
        <v>0</v>
      </c>
      <c r="M610" s="21">
        <f>IF(B610="","",IF(G610&lt;&gt;"",G610,IFERROR(J610*1,0)))</f>
        <v>0</v>
      </c>
      <c r="N610" s="21">
        <f>IF(B610="","",ROUND(IF(F610="",1,F610)*M610,2))</f>
        <v>0</v>
      </c>
      <c r="O610" s="39">
        <f>IF(B610="","",IF(C610="","",IF(COUNTIFS($C$5:$C$804,C610)&gt;1,"Duplicate","OK")))</f>
        <v>0</v>
      </c>
      <c r="P610" s="31">
        <f>IF(OR(B610="",E610=""),"",COUNTIFS($B$5:B610,B610))</f>
        <v>0</v>
      </c>
      <c r="Q610" s="23">
        <f>IF(P610="","",B610&amp;"|"&amp;P610)</f>
        <v>0</v>
      </c>
      <c r="R610" s="39">
        <f>IF(B610="","",IF(O610="Duplicate","Duplicate - job billed twice",IF(M610=0,"Add - no price on this line",IF(AND(C610="",E610=""),"Add - what is this line for?","OK"))))</f>
        <v>0</v>
      </c>
    </row>
    <row r="611" spans="1:18">
      <c r="A611" s="43">
        <f>IF(B611="","","IL-"&amp;TEXT(ROW()-4,"0000"))</f>
        <v>0</v>
      </c>
      <c r="D611" s="18">
        <f>IF(C611="","",IFERROR(INDEX(Jobs!$B$5:$B$604,MATCH(C611,Jobs!$A$5:$A$604,0)),""))</f>
        <v>0</v>
      </c>
      <c r="J611" s="21">
        <f>IF(C611="","",IFERROR(INDEX(Jobs!$AJ$5:$AJ$604,MATCH(C611,Jobs!$A$5:$A$604,0)),"0"))</f>
        <v>0</v>
      </c>
      <c r="K611" s="23">
        <f>IF(C611="","",IFERROR(INDEX(Jobs!$M$5:$M$604,MATCH(C611,Jobs!$A$5:$A$604,0)),""))</f>
        <v>0</v>
      </c>
      <c r="L611" s="51">
        <f>IF(B611="","",IF(E611&lt;&gt;"",E611,IF(C611="","",K611&amp;" - "&amp;TEXT(D611,"d mmm yyyy"))))</f>
        <v>0</v>
      </c>
      <c r="M611" s="21">
        <f>IF(B611="","",IF(G611&lt;&gt;"",G611,IFERROR(J611*1,0)))</f>
        <v>0</v>
      </c>
      <c r="N611" s="21">
        <f>IF(B611="","",ROUND(IF(F611="",1,F611)*M611,2))</f>
        <v>0</v>
      </c>
      <c r="O611" s="39">
        <f>IF(B611="","",IF(C611="","",IF(COUNTIFS($C$5:$C$804,C611)&gt;1,"Duplicate","OK")))</f>
        <v>0</v>
      </c>
      <c r="P611" s="31">
        <f>IF(OR(B611="",E611=""),"",COUNTIFS($B$5:B611,B611))</f>
        <v>0</v>
      </c>
      <c r="Q611" s="23">
        <f>IF(P611="","",B611&amp;"|"&amp;P611)</f>
        <v>0</v>
      </c>
      <c r="R611" s="39">
        <f>IF(B611="","",IF(O611="Duplicate","Duplicate - job billed twice",IF(M611=0,"Add - no price on this line",IF(AND(C611="",E611=""),"Add - what is this line for?","OK"))))</f>
        <v>0</v>
      </c>
    </row>
    <row r="612" spans="1:18">
      <c r="A612" s="43">
        <f>IF(B612="","","IL-"&amp;TEXT(ROW()-4,"0000"))</f>
        <v>0</v>
      </c>
      <c r="D612" s="18">
        <f>IF(C612="","",IFERROR(INDEX(Jobs!$B$5:$B$604,MATCH(C612,Jobs!$A$5:$A$604,0)),""))</f>
        <v>0</v>
      </c>
      <c r="J612" s="21">
        <f>IF(C612="","",IFERROR(INDEX(Jobs!$AJ$5:$AJ$604,MATCH(C612,Jobs!$A$5:$A$604,0)),"0"))</f>
        <v>0</v>
      </c>
      <c r="K612" s="23">
        <f>IF(C612="","",IFERROR(INDEX(Jobs!$M$5:$M$604,MATCH(C612,Jobs!$A$5:$A$604,0)),""))</f>
        <v>0</v>
      </c>
      <c r="L612" s="51">
        <f>IF(B612="","",IF(E612&lt;&gt;"",E612,IF(C612="","",K612&amp;" - "&amp;TEXT(D612,"d mmm yyyy"))))</f>
        <v>0</v>
      </c>
      <c r="M612" s="21">
        <f>IF(B612="","",IF(G612&lt;&gt;"",G612,IFERROR(J612*1,0)))</f>
        <v>0</v>
      </c>
      <c r="N612" s="21">
        <f>IF(B612="","",ROUND(IF(F612="",1,F612)*M612,2))</f>
        <v>0</v>
      </c>
      <c r="O612" s="39">
        <f>IF(B612="","",IF(C612="","",IF(COUNTIFS($C$5:$C$804,C612)&gt;1,"Duplicate","OK")))</f>
        <v>0</v>
      </c>
      <c r="P612" s="31">
        <f>IF(OR(B612="",E612=""),"",COUNTIFS($B$5:B612,B612))</f>
        <v>0</v>
      </c>
      <c r="Q612" s="23">
        <f>IF(P612="","",B612&amp;"|"&amp;P612)</f>
        <v>0</v>
      </c>
      <c r="R612" s="39">
        <f>IF(B612="","",IF(O612="Duplicate","Duplicate - job billed twice",IF(M612=0,"Add - no price on this line",IF(AND(C612="",E612=""),"Add - what is this line for?","OK"))))</f>
        <v>0</v>
      </c>
    </row>
    <row r="613" spans="1:18">
      <c r="A613" s="43">
        <f>IF(B613="","","IL-"&amp;TEXT(ROW()-4,"0000"))</f>
        <v>0</v>
      </c>
      <c r="D613" s="18">
        <f>IF(C613="","",IFERROR(INDEX(Jobs!$B$5:$B$604,MATCH(C613,Jobs!$A$5:$A$604,0)),""))</f>
        <v>0</v>
      </c>
      <c r="J613" s="21">
        <f>IF(C613="","",IFERROR(INDEX(Jobs!$AJ$5:$AJ$604,MATCH(C613,Jobs!$A$5:$A$604,0)),"0"))</f>
        <v>0</v>
      </c>
      <c r="K613" s="23">
        <f>IF(C613="","",IFERROR(INDEX(Jobs!$M$5:$M$604,MATCH(C613,Jobs!$A$5:$A$604,0)),""))</f>
        <v>0</v>
      </c>
      <c r="L613" s="51">
        <f>IF(B613="","",IF(E613&lt;&gt;"",E613,IF(C613="","",K613&amp;" - "&amp;TEXT(D613,"d mmm yyyy"))))</f>
        <v>0</v>
      </c>
      <c r="M613" s="21">
        <f>IF(B613="","",IF(G613&lt;&gt;"",G613,IFERROR(J613*1,0)))</f>
        <v>0</v>
      </c>
      <c r="N613" s="21">
        <f>IF(B613="","",ROUND(IF(F613="",1,F613)*M613,2))</f>
        <v>0</v>
      </c>
      <c r="O613" s="39">
        <f>IF(B613="","",IF(C613="","",IF(COUNTIFS($C$5:$C$804,C613)&gt;1,"Duplicate","OK")))</f>
        <v>0</v>
      </c>
      <c r="P613" s="31">
        <f>IF(OR(B613="",E613=""),"",COUNTIFS($B$5:B613,B613))</f>
        <v>0</v>
      </c>
      <c r="Q613" s="23">
        <f>IF(P613="","",B613&amp;"|"&amp;P613)</f>
        <v>0</v>
      </c>
      <c r="R613" s="39">
        <f>IF(B613="","",IF(O613="Duplicate","Duplicate - job billed twice",IF(M613=0,"Add - no price on this line",IF(AND(C613="",E613=""),"Add - what is this line for?","OK"))))</f>
        <v>0</v>
      </c>
    </row>
    <row r="614" spans="1:18">
      <c r="A614" s="43">
        <f>IF(B614="","","IL-"&amp;TEXT(ROW()-4,"0000"))</f>
        <v>0</v>
      </c>
      <c r="D614" s="18">
        <f>IF(C614="","",IFERROR(INDEX(Jobs!$B$5:$B$604,MATCH(C614,Jobs!$A$5:$A$604,0)),""))</f>
        <v>0</v>
      </c>
      <c r="J614" s="21">
        <f>IF(C614="","",IFERROR(INDEX(Jobs!$AJ$5:$AJ$604,MATCH(C614,Jobs!$A$5:$A$604,0)),"0"))</f>
        <v>0</v>
      </c>
      <c r="K614" s="23">
        <f>IF(C614="","",IFERROR(INDEX(Jobs!$M$5:$M$604,MATCH(C614,Jobs!$A$5:$A$604,0)),""))</f>
        <v>0</v>
      </c>
      <c r="L614" s="51">
        <f>IF(B614="","",IF(E614&lt;&gt;"",E614,IF(C614="","",K614&amp;" - "&amp;TEXT(D614,"d mmm yyyy"))))</f>
        <v>0</v>
      </c>
      <c r="M614" s="21">
        <f>IF(B614="","",IF(G614&lt;&gt;"",G614,IFERROR(J614*1,0)))</f>
        <v>0</v>
      </c>
      <c r="N614" s="21">
        <f>IF(B614="","",ROUND(IF(F614="",1,F614)*M614,2))</f>
        <v>0</v>
      </c>
      <c r="O614" s="39">
        <f>IF(B614="","",IF(C614="","",IF(COUNTIFS($C$5:$C$804,C614)&gt;1,"Duplicate","OK")))</f>
        <v>0</v>
      </c>
      <c r="P614" s="31">
        <f>IF(OR(B614="",E614=""),"",COUNTIFS($B$5:B614,B614))</f>
        <v>0</v>
      </c>
      <c r="Q614" s="23">
        <f>IF(P614="","",B614&amp;"|"&amp;P614)</f>
        <v>0</v>
      </c>
      <c r="R614" s="39">
        <f>IF(B614="","",IF(O614="Duplicate","Duplicate - job billed twice",IF(M614=0,"Add - no price on this line",IF(AND(C614="",E614=""),"Add - what is this line for?","OK"))))</f>
        <v>0</v>
      </c>
    </row>
    <row r="615" spans="1:18">
      <c r="A615" s="43">
        <f>IF(B615="","","IL-"&amp;TEXT(ROW()-4,"0000"))</f>
        <v>0</v>
      </c>
      <c r="D615" s="18">
        <f>IF(C615="","",IFERROR(INDEX(Jobs!$B$5:$B$604,MATCH(C615,Jobs!$A$5:$A$604,0)),""))</f>
        <v>0</v>
      </c>
      <c r="J615" s="21">
        <f>IF(C615="","",IFERROR(INDEX(Jobs!$AJ$5:$AJ$604,MATCH(C615,Jobs!$A$5:$A$604,0)),"0"))</f>
        <v>0</v>
      </c>
      <c r="K615" s="23">
        <f>IF(C615="","",IFERROR(INDEX(Jobs!$M$5:$M$604,MATCH(C615,Jobs!$A$5:$A$604,0)),""))</f>
        <v>0</v>
      </c>
      <c r="L615" s="51">
        <f>IF(B615="","",IF(E615&lt;&gt;"",E615,IF(C615="","",K615&amp;" - "&amp;TEXT(D615,"d mmm yyyy"))))</f>
        <v>0</v>
      </c>
      <c r="M615" s="21">
        <f>IF(B615="","",IF(G615&lt;&gt;"",G615,IFERROR(J615*1,0)))</f>
        <v>0</v>
      </c>
      <c r="N615" s="21">
        <f>IF(B615="","",ROUND(IF(F615="",1,F615)*M615,2))</f>
        <v>0</v>
      </c>
      <c r="O615" s="39">
        <f>IF(B615="","",IF(C615="","",IF(COUNTIFS($C$5:$C$804,C615)&gt;1,"Duplicate","OK")))</f>
        <v>0</v>
      </c>
      <c r="P615" s="31">
        <f>IF(OR(B615="",E615=""),"",COUNTIFS($B$5:B615,B615))</f>
        <v>0</v>
      </c>
      <c r="Q615" s="23">
        <f>IF(P615="","",B615&amp;"|"&amp;P615)</f>
        <v>0</v>
      </c>
      <c r="R615" s="39">
        <f>IF(B615="","",IF(O615="Duplicate","Duplicate - job billed twice",IF(M615=0,"Add - no price on this line",IF(AND(C615="",E615=""),"Add - what is this line for?","OK"))))</f>
        <v>0</v>
      </c>
    </row>
    <row r="616" spans="1:18">
      <c r="A616" s="43">
        <f>IF(B616="","","IL-"&amp;TEXT(ROW()-4,"0000"))</f>
        <v>0</v>
      </c>
      <c r="D616" s="18">
        <f>IF(C616="","",IFERROR(INDEX(Jobs!$B$5:$B$604,MATCH(C616,Jobs!$A$5:$A$604,0)),""))</f>
        <v>0</v>
      </c>
      <c r="J616" s="21">
        <f>IF(C616="","",IFERROR(INDEX(Jobs!$AJ$5:$AJ$604,MATCH(C616,Jobs!$A$5:$A$604,0)),"0"))</f>
        <v>0</v>
      </c>
      <c r="K616" s="23">
        <f>IF(C616="","",IFERROR(INDEX(Jobs!$M$5:$M$604,MATCH(C616,Jobs!$A$5:$A$604,0)),""))</f>
        <v>0</v>
      </c>
      <c r="L616" s="51">
        <f>IF(B616="","",IF(E616&lt;&gt;"",E616,IF(C616="","",K616&amp;" - "&amp;TEXT(D616,"d mmm yyyy"))))</f>
        <v>0</v>
      </c>
      <c r="M616" s="21">
        <f>IF(B616="","",IF(G616&lt;&gt;"",G616,IFERROR(J616*1,0)))</f>
        <v>0</v>
      </c>
      <c r="N616" s="21">
        <f>IF(B616="","",ROUND(IF(F616="",1,F616)*M616,2))</f>
        <v>0</v>
      </c>
      <c r="O616" s="39">
        <f>IF(B616="","",IF(C616="","",IF(COUNTIFS($C$5:$C$804,C616)&gt;1,"Duplicate","OK")))</f>
        <v>0</v>
      </c>
      <c r="P616" s="31">
        <f>IF(OR(B616="",E616=""),"",COUNTIFS($B$5:B616,B616))</f>
        <v>0</v>
      </c>
      <c r="Q616" s="23">
        <f>IF(P616="","",B616&amp;"|"&amp;P616)</f>
        <v>0</v>
      </c>
      <c r="R616" s="39">
        <f>IF(B616="","",IF(O616="Duplicate","Duplicate - job billed twice",IF(M616=0,"Add - no price on this line",IF(AND(C616="",E616=""),"Add - what is this line for?","OK"))))</f>
        <v>0</v>
      </c>
    </row>
    <row r="617" spans="1:18">
      <c r="A617" s="43">
        <f>IF(B617="","","IL-"&amp;TEXT(ROW()-4,"0000"))</f>
        <v>0</v>
      </c>
      <c r="D617" s="18">
        <f>IF(C617="","",IFERROR(INDEX(Jobs!$B$5:$B$604,MATCH(C617,Jobs!$A$5:$A$604,0)),""))</f>
        <v>0</v>
      </c>
      <c r="J617" s="21">
        <f>IF(C617="","",IFERROR(INDEX(Jobs!$AJ$5:$AJ$604,MATCH(C617,Jobs!$A$5:$A$604,0)),"0"))</f>
        <v>0</v>
      </c>
      <c r="K617" s="23">
        <f>IF(C617="","",IFERROR(INDEX(Jobs!$M$5:$M$604,MATCH(C617,Jobs!$A$5:$A$604,0)),""))</f>
        <v>0</v>
      </c>
      <c r="L617" s="51">
        <f>IF(B617="","",IF(E617&lt;&gt;"",E617,IF(C617="","",K617&amp;" - "&amp;TEXT(D617,"d mmm yyyy"))))</f>
        <v>0</v>
      </c>
      <c r="M617" s="21">
        <f>IF(B617="","",IF(G617&lt;&gt;"",G617,IFERROR(J617*1,0)))</f>
        <v>0</v>
      </c>
      <c r="N617" s="21">
        <f>IF(B617="","",ROUND(IF(F617="",1,F617)*M617,2))</f>
        <v>0</v>
      </c>
      <c r="O617" s="39">
        <f>IF(B617="","",IF(C617="","",IF(COUNTIFS($C$5:$C$804,C617)&gt;1,"Duplicate","OK")))</f>
        <v>0</v>
      </c>
      <c r="P617" s="31">
        <f>IF(OR(B617="",E617=""),"",COUNTIFS($B$5:B617,B617))</f>
        <v>0</v>
      </c>
      <c r="Q617" s="23">
        <f>IF(P617="","",B617&amp;"|"&amp;P617)</f>
        <v>0</v>
      </c>
      <c r="R617" s="39">
        <f>IF(B617="","",IF(O617="Duplicate","Duplicate - job billed twice",IF(M617=0,"Add - no price on this line",IF(AND(C617="",E617=""),"Add - what is this line for?","OK"))))</f>
        <v>0</v>
      </c>
    </row>
    <row r="618" spans="1:18">
      <c r="A618" s="43">
        <f>IF(B618="","","IL-"&amp;TEXT(ROW()-4,"0000"))</f>
        <v>0</v>
      </c>
      <c r="D618" s="18">
        <f>IF(C618="","",IFERROR(INDEX(Jobs!$B$5:$B$604,MATCH(C618,Jobs!$A$5:$A$604,0)),""))</f>
        <v>0</v>
      </c>
      <c r="J618" s="21">
        <f>IF(C618="","",IFERROR(INDEX(Jobs!$AJ$5:$AJ$604,MATCH(C618,Jobs!$A$5:$A$604,0)),"0"))</f>
        <v>0</v>
      </c>
      <c r="K618" s="23">
        <f>IF(C618="","",IFERROR(INDEX(Jobs!$M$5:$M$604,MATCH(C618,Jobs!$A$5:$A$604,0)),""))</f>
        <v>0</v>
      </c>
      <c r="L618" s="51">
        <f>IF(B618="","",IF(E618&lt;&gt;"",E618,IF(C618="","",K618&amp;" - "&amp;TEXT(D618,"d mmm yyyy"))))</f>
        <v>0</v>
      </c>
      <c r="M618" s="21">
        <f>IF(B618="","",IF(G618&lt;&gt;"",G618,IFERROR(J618*1,0)))</f>
        <v>0</v>
      </c>
      <c r="N618" s="21">
        <f>IF(B618="","",ROUND(IF(F618="",1,F618)*M618,2))</f>
        <v>0</v>
      </c>
      <c r="O618" s="39">
        <f>IF(B618="","",IF(C618="","",IF(COUNTIFS($C$5:$C$804,C618)&gt;1,"Duplicate","OK")))</f>
        <v>0</v>
      </c>
      <c r="P618" s="31">
        <f>IF(OR(B618="",E618=""),"",COUNTIFS($B$5:B618,B618))</f>
        <v>0</v>
      </c>
      <c r="Q618" s="23">
        <f>IF(P618="","",B618&amp;"|"&amp;P618)</f>
        <v>0</v>
      </c>
      <c r="R618" s="39">
        <f>IF(B618="","",IF(O618="Duplicate","Duplicate - job billed twice",IF(M618=0,"Add - no price on this line",IF(AND(C618="",E618=""),"Add - what is this line for?","OK"))))</f>
        <v>0</v>
      </c>
    </row>
    <row r="619" spans="1:18">
      <c r="A619" s="43">
        <f>IF(B619="","","IL-"&amp;TEXT(ROW()-4,"0000"))</f>
        <v>0</v>
      </c>
      <c r="D619" s="18">
        <f>IF(C619="","",IFERROR(INDEX(Jobs!$B$5:$B$604,MATCH(C619,Jobs!$A$5:$A$604,0)),""))</f>
        <v>0</v>
      </c>
      <c r="J619" s="21">
        <f>IF(C619="","",IFERROR(INDEX(Jobs!$AJ$5:$AJ$604,MATCH(C619,Jobs!$A$5:$A$604,0)),"0"))</f>
        <v>0</v>
      </c>
      <c r="K619" s="23">
        <f>IF(C619="","",IFERROR(INDEX(Jobs!$M$5:$M$604,MATCH(C619,Jobs!$A$5:$A$604,0)),""))</f>
        <v>0</v>
      </c>
      <c r="L619" s="51">
        <f>IF(B619="","",IF(E619&lt;&gt;"",E619,IF(C619="","",K619&amp;" - "&amp;TEXT(D619,"d mmm yyyy"))))</f>
        <v>0</v>
      </c>
      <c r="M619" s="21">
        <f>IF(B619="","",IF(G619&lt;&gt;"",G619,IFERROR(J619*1,0)))</f>
        <v>0</v>
      </c>
      <c r="N619" s="21">
        <f>IF(B619="","",ROUND(IF(F619="",1,F619)*M619,2))</f>
        <v>0</v>
      </c>
      <c r="O619" s="39">
        <f>IF(B619="","",IF(C619="","",IF(COUNTIFS($C$5:$C$804,C619)&gt;1,"Duplicate","OK")))</f>
        <v>0</v>
      </c>
      <c r="P619" s="31">
        <f>IF(OR(B619="",E619=""),"",COUNTIFS($B$5:B619,B619))</f>
        <v>0</v>
      </c>
      <c r="Q619" s="23">
        <f>IF(P619="","",B619&amp;"|"&amp;P619)</f>
        <v>0</v>
      </c>
      <c r="R619" s="39">
        <f>IF(B619="","",IF(O619="Duplicate","Duplicate - job billed twice",IF(M619=0,"Add - no price on this line",IF(AND(C619="",E619=""),"Add - what is this line for?","OK"))))</f>
        <v>0</v>
      </c>
    </row>
    <row r="620" spans="1:18">
      <c r="A620" s="43">
        <f>IF(B620="","","IL-"&amp;TEXT(ROW()-4,"0000"))</f>
        <v>0</v>
      </c>
      <c r="D620" s="18">
        <f>IF(C620="","",IFERROR(INDEX(Jobs!$B$5:$B$604,MATCH(C620,Jobs!$A$5:$A$604,0)),""))</f>
        <v>0</v>
      </c>
      <c r="J620" s="21">
        <f>IF(C620="","",IFERROR(INDEX(Jobs!$AJ$5:$AJ$604,MATCH(C620,Jobs!$A$5:$A$604,0)),"0"))</f>
        <v>0</v>
      </c>
      <c r="K620" s="23">
        <f>IF(C620="","",IFERROR(INDEX(Jobs!$M$5:$M$604,MATCH(C620,Jobs!$A$5:$A$604,0)),""))</f>
        <v>0</v>
      </c>
      <c r="L620" s="51">
        <f>IF(B620="","",IF(E620&lt;&gt;"",E620,IF(C620="","",K620&amp;" - "&amp;TEXT(D620,"d mmm yyyy"))))</f>
        <v>0</v>
      </c>
      <c r="M620" s="21">
        <f>IF(B620="","",IF(G620&lt;&gt;"",G620,IFERROR(J620*1,0)))</f>
        <v>0</v>
      </c>
      <c r="N620" s="21">
        <f>IF(B620="","",ROUND(IF(F620="",1,F620)*M620,2))</f>
        <v>0</v>
      </c>
      <c r="O620" s="39">
        <f>IF(B620="","",IF(C620="","",IF(COUNTIFS($C$5:$C$804,C620)&gt;1,"Duplicate","OK")))</f>
        <v>0</v>
      </c>
      <c r="P620" s="31">
        <f>IF(OR(B620="",E620=""),"",COUNTIFS($B$5:B620,B620))</f>
        <v>0</v>
      </c>
      <c r="Q620" s="23">
        <f>IF(P620="","",B620&amp;"|"&amp;P620)</f>
        <v>0</v>
      </c>
      <c r="R620" s="39">
        <f>IF(B620="","",IF(O620="Duplicate","Duplicate - job billed twice",IF(M620=0,"Add - no price on this line",IF(AND(C620="",E620=""),"Add - what is this line for?","OK"))))</f>
        <v>0</v>
      </c>
    </row>
    <row r="621" spans="1:18">
      <c r="A621" s="43">
        <f>IF(B621="","","IL-"&amp;TEXT(ROW()-4,"0000"))</f>
        <v>0</v>
      </c>
      <c r="D621" s="18">
        <f>IF(C621="","",IFERROR(INDEX(Jobs!$B$5:$B$604,MATCH(C621,Jobs!$A$5:$A$604,0)),""))</f>
        <v>0</v>
      </c>
      <c r="J621" s="21">
        <f>IF(C621="","",IFERROR(INDEX(Jobs!$AJ$5:$AJ$604,MATCH(C621,Jobs!$A$5:$A$604,0)),"0"))</f>
        <v>0</v>
      </c>
      <c r="K621" s="23">
        <f>IF(C621="","",IFERROR(INDEX(Jobs!$M$5:$M$604,MATCH(C621,Jobs!$A$5:$A$604,0)),""))</f>
        <v>0</v>
      </c>
      <c r="L621" s="51">
        <f>IF(B621="","",IF(E621&lt;&gt;"",E621,IF(C621="","",K621&amp;" - "&amp;TEXT(D621,"d mmm yyyy"))))</f>
        <v>0</v>
      </c>
      <c r="M621" s="21">
        <f>IF(B621="","",IF(G621&lt;&gt;"",G621,IFERROR(J621*1,0)))</f>
        <v>0</v>
      </c>
      <c r="N621" s="21">
        <f>IF(B621="","",ROUND(IF(F621="",1,F621)*M621,2))</f>
        <v>0</v>
      </c>
      <c r="O621" s="39">
        <f>IF(B621="","",IF(C621="","",IF(COUNTIFS($C$5:$C$804,C621)&gt;1,"Duplicate","OK")))</f>
        <v>0</v>
      </c>
      <c r="P621" s="31">
        <f>IF(OR(B621="",E621=""),"",COUNTIFS($B$5:B621,B621))</f>
        <v>0</v>
      </c>
      <c r="Q621" s="23">
        <f>IF(P621="","",B621&amp;"|"&amp;P621)</f>
        <v>0</v>
      </c>
      <c r="R621" s="39">
        <f>IF(B621="","",IF(O621="Duplicate","Duplicate - job billed twice",IF(M621=0,"Add - no price on this line",IF(AND(C621="",E621=""),"Add - what is this line for?","OK"))))</f>
        <v>0</v>
      </c>
    </row>
    <row r="622" spans="1:18">
      <c r="A622" s="43">
        <f>IF(B622="","","IL-"&amp;TEXT(ROW()-4,"0000"))</f>
        <v>0</v>
      </c>
      <c r="D622" s="18">
        <f>IF(C622="","",IFERROR(INDEX(Jobs!$B$5:$B$604,MATCH(C622,Jobs!$A$5:$A$604,0)),""))</f>
        <v>0</v>
      </c>
      <c r="J622" s="21">
        <f>IF(C622="","",IFERROR(INDEX(Jobs!$AJ$5:$AJ$604,MATCH(C622,Jobs!$A$5:$A$604,0)),"0"))</f>
        <v>0</v>
      </c>
      <c r="K622" s="23">
        <f>IF(C622="","",IFERROR(INDEX(Jobs!$M$5:$M$604,MATCH(C622,Jobs!$A$5:$A$604,0)),""))</f>
        <v>0</v>
      </c>
      <c r="L622" s="51">
        <f>IF(B622="","",IF(E622&lt;&gt;"",E622,IF(C622="","",K622&amp;" - "&amp;TEXT(D622,"d mmm yyyy"))))</f>
        <v>0</v>
      </c>
      <c r="M622" s="21">
        <f>IF(B622="","",IF(G622&lt;&gt;"",G622,IFERROR(J622*1,0)))</f>
        <v>0</v>
      </c>
      <c r="N622" s="21">
        <f>IF(B622="","",ROUND(IF(F622="",1,F622)*M622,2))</f>
        <v>0</v>
      </c>
      <c r="O622" s="39">
        <f>IF(B622="","",IF(C622="","",IF(COUNTIFS($C$5:$C$804,C622)&gt;1,"Duplicate","OK")))</f>
        <v>0</v>
      </c>
      <c r="P622" s="31">
        <f>IF(OR(B622="",E622=""),"",COUNTIFS($B$5:B622,B622))</f>
        <v>0</v>
      </c>
      <c r="Q622" s="23">
        <f>IF(P622="","",B622&amp;"|"&amp;P622)</f>
        <v>0</v>
      </c>
      <c r="R622" s="39">
        <f>IF(B622="","",IF(O622="Duplicate","Duplicate - job billed twice",IF(M622=0,"Add - no price on this line",IF(AND(C622="",E622=""),"Add - what is this line for?","OK"))))</f>
        <v>0</v>
      </c>
    </row>
    <row r="623" spans="1:18">
      <c r="A623" s="43">
        <f>IF(B623="","","IL-"&amp;TEXT(ROW()-4,"0000"))</f>
        <v>0</v>
      </c>
      <c r="D623" s="18">
        <f>IF(C623="","",IFERROR(INDEX(Jobs!$B$5:$B$604,MATCH(C623,Jobs!$A$5:$A$604,0)),""))</f>
        <v>0</v>
      </c>
      <c r="J623" s="21">
        <f>IF(C623="","",IFERROR(INDEX(Jobs!$AJ$5:$AJ$604,MATCH(C623,Jobs!$A$5:$A$604,0)),"0"))</f>
        <v>0</v>
      </c>
      <c r="K623" s="23">
        <f>IF(C623="","",IFERROR(INDEX(Jobs!$M$5:$M$604,MATCH(C623,Jobs!$A$5:$A$604,0)),""))</f>
        <v>0</v>
      </c>
      <c r="L623" s="51">
        <f>IF(B623="","",IF(E623&lt;&gt;"",E623,IF(C623="","",K623&amp;" - "&amp;TEXT(D623,"d mmm yyyy"))))</f>
        <v>0</v>
      </c>
      <c r="M623" s="21">
        <f>IF(B623="","",IF(G623&lt;&gt;"",G623,IFERROR(J623*1,0)))</f>
        <v>0</v>
      </c>
      <c r="N623" s="21">
        <f>IF(B623="","",ROUND(IF(F623="",1,F623)*M623,2))</f>
        <v>0</v>
      </c>
      <c r="O623" s="39">
        <f>IF(B623="","",IF(C623="","",IF(COUNTIFS($C$5:$C$804,C623)&gt;1,"Duplicate","OK")))</f>
        <v>0</v>
      </c>
      <c r="P623" s="31">
        <f>IF(OR(B623="",E623=""),"",COUNTIFS($B$5:B623,B623))</f>
        <v>0</v>
      </c>
      <c r="Q623" s="23">
        <f>IF(P623="","",B623&amp;"|"&amp;P623)</f>
        <v>0</v>
      </c>
      <c r="R623" s="39">
        <f>IF(B623="","",IF(O623="Duplicate","Duplicate - job billed twice",IF(M623=0,"Add - no price on this line",IF(AND(C623="",E623=""),"Add - what is this line for?","OK"))))</f>
        <v>0</v>
      </c>
    </row>
    <row r="624" spans="1:18">
      <c r="A624" s="43">
        <f>IF(B624="","","IL-"&amp;TEXT(ROW()-4,"0000"))</f>
        <v>0</v>
      </c>
      <c r="D624" s="18">
        <f>IF(C624="","",IFERROR(INDEX(Jobs!$B$5:$B$604,MATCH(C624,Jobs!$A$5:$A$604,0)),""))</f>
        <v>0</v>
      </c>
      <c r="J624" s="21">
        <f>IF(C624="","",IFERROR(INDEX(Jobs!$AJ$5:$AJ$604,MATCH(C624,Jobs!$A$5:$A$604,0)),"0"))</f>
        <v>0</v>
      </c>
      <c r="K624" s="23">
        <f>IF(C624="","",IFERROR(INDEX(Jobs!$M$5:$M$604,MATCH(C624,Jobs!$A$5:$A$604,0)),""))</f>
        <v>0</v>
      </c>
      <c r="L624" s="51">
        <f>IF(B624="","",IF(E624&lt;&gt;"",E624,IF(C624="","",K624&amp;" - "&amp;TEXT(D624,"d mmm yyyy"))))</f>
        <v>0</v>
      </c>
      <c r="M624" s="21">
        <f>IF(B624="","",IF(G624&lt;&gt;"",G624,IFERROR(J624*1,0)))</f>
        <v>0</v>
      </c>
      <c r="N624" s="21">
        <f>IF(B624="","",ROUND(IF(F624="",1,F624)*M624,2))</f>
        <v>0</v>
      </c>
      <c r="O624" s="39">
        <f>IF(B624="","",IF(C624="","",IF(COUNTIFS($C$5:$C$804,C624)&gt;1,"Duplicate","OK")))</f>
        <v>0</v>
      </c>
      <c r="P624" s="31">
        <f>IF(OR(B624="",E624=""),"",COUNTIFS($B$5:B624,B624))</f>
        <v>0</v>
      </c>
      <c r="Q624" s="23">
        <f>IF(P624="","",B624&amp;"|"&amp;P624)</f>
        <v>0</v>
      </c>
      <c r="R624" s="39">
        <f>IF(B624="","",IF(O624="Duplicate","Duplicate - job billed twice",IF(M624=0,"Add - no price on this line",IF(AND(C624="",E624=""),"Add - what is this line for?","OK"))))</f>
        <v>0</v>
      </c>
    </row>
    <row r="625" spans="1:18">
      <c r="A625" s="43">
        <f>IF(B625="","","IL-"&amp;TEXT(ROW()-4,"0000"))</f>
        <v>0</v>
      </c>
      <c r="D625" s="18">
        <f>IF(C625="","",IFERROR(INDEX(Jobs!$B$5:$B$604,MATCH(C625,Jobs!$A$5:$A$604,0)),""))</f>
        <v>0</v>
      </c>
      <c r="J625" s="21">
        <f>IF(C625="","",IFERROR(INDEX(Jobs!$AJ$5:$AJ$604,MATCH(C625,Jobs!$A$5:$A$604,0)),"0"))</f>
        <v>0</v>
      </c>
      <c r="K625" s="23">
        <f>IF(C625="","",IFERROR(INDEX(Jobs!$M$5:$M$604,MATCH(C625,Jobs!$A$5:$A$604,0)),""))</f>
        <v>0</v>
      </c>
      <c r="L625" s="51">
        <f>IF(B625="","",IF(E625&lt;&gt;"",E625,IF(C625="","",K625&amp;" - "&amp;TEXT(D625,"d mmm yyyy"))))</f>
        <v>0</v>
      </c>
      <c r="M625" s="21">
        <f>IF(B625="","",IF(G625&lt;&gt;"",G625,IFERROR(J625*1,0)))</f>
        <v>0</v>
      </c>
      <c r="N625" s="21">
        <f>IF(B625="","",ROUND(IF(F625="",1,F625)*M625,2))</f>
        <v>0</v>
      </c>
      <c r="O625" s="39">
        <f>IF(B625="","",IF(C625="","",IF(COUNTIFS($C$5:$C$804,C625)&gt;1,"Duplicate","OK")))</f>
        <v>0</v>
      </c>
      <c r="P625" s="31">
        <f>IF(OR(B625="",E625=""),"",COUNTIFS($B$5:B625,B625))</f>
        <v>0</v>
      </c>
      <c r="Q625" s="23">
        <f>IF(P625="","",B625&amp;"|"&amp;P625)</f>
        <v>0</v>
      </c>
      <c r="R625" s="39">
        <f>IF(B625="","",IF(O625="Duplicate","Duplicate - job billed twice",IF(M625=0,"Add - no price on this line",IF(AND(C625="",E625=""),"Add - what is this line for?","OK"))))</f>
        <v>0</v>
      </c>
    </row>
    <row r="626" spans="1:18">
      <c r="A626" s="43">
        <f>IF(B626="","","IL-"&amp;TEXT(ROW()-4,"0000"))</f>
        <v>0</v>
      </c>
      <c r="D626" s="18">
        <f>IF(C626="","",IFERROR(INDEX(Jobs!$B$5:$B$604,MATCH(C626,Jobs!$A$5:$A$604,0)),""))</f>
        <v>0</v>
      </c>
      <c r="J626" s="21">
        <f>IF(C626="","",IFERROR(INDEX(Jobs!$AJ$5:$AJ$604,MATCH(C626,Jobs!$A$5:$A$604,0)),"0"))</f>
        <v>0</v>
      </c>
      <c r="K626" s="23">
        <f>IF(C626="","",IFERROR(INDEX(Jobs!$M$5:$M$604,MATCH(C626,Jobs!$A$5:$A$604,0)),""))</f>
        <v>0</v>
      </c>
      <c r="L626" s="51">
        <f>IF(B626="","",IF(E626&lt;&gt;"",E626,IF(C626="","",K626&amp;" - "&amp;TEXT(D626,"d mmm yyyy"))))</f>
        <v>0</v>
      </c>
      <c r="M626" s="21">
        <f>IF(B626="","",IF(G626&lt;&gt;"",G626,IFERROR(J626*1,0)))</f>
        <v>0</v>
      </c>
      <c r="N626" s="21">
        <f>IF(B626="","",ROUND(IF(F626="",1,F626)*M626,2))</f>
        <v>0</v>
      </c>
      <c r="O626" s="39">
        <f>IF(B626="","",IF(C626="","",IF(COUNTIFS($C$5:$C$804,C626)&gt;1,"Duplicate","OK")))</f>
        <v>0</v>
      </c>
      <c r="P626" s="31">
        <f>IF(OR(B626="",E626=""),"",COUNTIFS($B$5:B626,B626))</f>
        <v>0</v>
      </c>
      <c r="Q626" s="23">
        <f>IF(P626="","",B626&amp;"|"&amp;P626)</f>
        <v>0</v>
      </c>
      <c r="R626" s="39">
        <f>IF(B626="","",IF(O626="Duplicate","Duplicate - job billed twice",IF(M626=0,"Add - no price on this line",IF(AND(C626="",E626=""),"Add - what is this line for?","OK"))))</f>
        <v>0</v>
      </c>
    </row>
    <row r="627" spans="1:18">
      <c r="A627" s="43">
        <f>IF(B627="","","IL-"&amp;TEXT(ROW()-4,"0000"))</f>
        <v>0</v>
      </c>
      <c r="D627" s="18">
        <f>IF(C627="","",IFERROR(INDEX(Jobs!$B$5:$B$604,MATCH(C627,Jobs!$A$5:$A$604,0)),""))</f>
        <v>0</v>
      </c>
      <c r="J627" s="21">
        <f>IF(C627="","",IFERROR(INDEX(Jobs!$AJ$5:$AJ$604,MATCH(C627,Jobs!$A$5:$A$604,0)),"0"))</f>
        <v>0</v>
      </c>
      <c r="K627" s="23">
        <f>IF(C627="","",IFERROR(INDEX(Jobs!$M$5:$M$604,MATCH(C627,Jobs!$A$5:$A$604,0)),""))</f>
        <v>0</v>
      </c>
      <c r="L627" s="51">
        <f>IF(B627="","",IF(E627&lt;&gt;"",E627,IF(C627="","",K627&amp;" - "&amp;TEXT(D627,"d mmm yyyy"))))</f>
        <v>0</v>
      </c>
      <c r="M627" s="21">
        <f>IF(B627="","",IF(G627&lt;&gt;"",G627,IFERROR(J627*1,0)))</f>
        <v>0</v>
      </c>
      <c r="N627" s="21">
        <f>IF(B627="","",ROUND(IF(F627="",1,F627)*M627,2))</f>
        <v>0</v>
      </c>
      <c r="O627" s="39">
        <f>IF(B627="","",IF(C627="","",IF(COUNTIFS($C$5:$C$804,C627)&gt;1,"Duplicate","OK")))</f>
        <v>0</v>
      </c>
      <c r="P627" s="31">
        <f>IF(OR(B627="",E627=""),"",COUNTIFS($B$5:B627,B627))</f>
        <v>0</v>
      </c>
      <c r="Q627" s="23">
        <f>IF(P627="","",B627&amp;"|"&amp;P627)</f>
        <v>0</v>
      </c>
      <c r="R627" s="39">
        <f>IF(B627="","",IF(O627="Duplicate","Duplicate - job billed twice",IF(M627=0,"Add - no price on this line",IF(AND(C627="",E627=""),"Add - what is this line for?","OK"))))</f>
        <v>0</v>
      </c>
    </row>
    <row r="628" spans="1:18">
      <c r="A628" s="43">
        <f>IF(B628="","","IL-"&amp;TEXT(ROW()-4,"0000"))</f>
        <v>0</v>
      </c>
      <c r="D628" s="18">
        <f>IF(C628="","",IFERROR(INDEX(Jobs!$B$5:$B$604,MATCH(C628,Jobs!$A$5:$A$604,0)),""))</f>
        <v>0</v>
      </c>
      <c r="J628" s="21">
        <f>IF(C628="","",IFERROR(INDEX(Jobs!$AJ$5:$AJ$604,MATCH(C628,Jobs!$A$5:$A$604,0)),"0"))</f>
        <v>0</v>
      </c>
      <c r="K628" s="23">
        <f>IF(C628="","",IFERROR(INDEX(Jobs!$M$5:$M$604,MATCH(C628,Jobs!$A$5:$A$604,0)),""))</f>
        <v>0</v>
      </c>
      <c r="L628" s="51">
        <f>IF(B628="","",IF(E628&lt;&gt;"",E628,IF(C628="","",K628&amp;" - "&amp;TEXT(D628,"d mmm yyyy"))))</f>
        <v>0</v>
      </c>
      <c r="M628" s="21">
        <f>IF(B628="","",IF(G628&lt;&gt;"",G628,IFERROR(J628*1,0)))</f>
        <v>0</v>
      </c>
      <c r="N628" s="21">
        <f>IF(B628="","",ROUND(IF(F628="",1,F628)*M628,2))</f>
        <v>0</v>
      </c>
      <c r="O628" s="39">
        <f>IF(B628="","",IF(C628="","",IF(COUNTIFS($C$5:$C$804,C628)&gt;1,"Duplicate","OK")))</f>
        <v>0</v>
      </c>
      <c r="P628" s="31">
        <f>IF(OR(B628="",E628=""),"",COUNTIFS($B$5:B628,B628))</f>
        <v>0</v>
      </c>
      <c r="Q628" s="23">
        <f>IF(P628="","",B628&amp;"|"&amp;P628)</f>
        <v>0</v>
      </c>
      <c r="R628" s="39">
        <f>IF(B628="","",IF(O628="Duplicate","Duplicate - job billed twice",IF(M628=0,"Add - no price on this line",IF(AND(C628="",E628=""),"Add - what is this line for?","OK"))))</f>
        <v>0</v>
      </c>
    </row>
    <row r="629" spans="1:18">
      <c r="A629" s="43">
        <f>IF(B629="","","IL-"&amp;TEXT(ROW()-4,"0000"))</f>
        <v>0</v>
      </c>
      <c r="D629" s="18">
        <f>IF(C629="","",IFERROR(INDEX(Jobs!$B$5:$B$604,MATCH(C629,Jobs!$A$5:$A$604,0)),""))</f>
        <v>0</v>
      </c>
      <c r="J629" s="21">
        <f>IF(C629="","",IFERROR(INDEX(Jobs!$AJ$5:$AJ$604,MATCH(C629,Jobs!$A$5:$A$604,0)),"0"))</f>
        <v>0</v>
      </c>
      <c r="K629" s="23">
        <f>IF(C629="","",IFERROR(INDEX(Jobs!$M$5:$M$604,MATCH(C629,Jobs!$A$5:$A$604,0)),""))</f>
        <v>0</v>
      </c>
      <c r="L629" s="51">
        <f>IF(B629="","",IF(E629&lt;&gt;"",E629,IF(C629="","",K629&amp;" - "&amp;TEXT(D629,"d mmm yyyy"))))</f>
        <v>0</v>
      </c>
      <c r="M629" s="21">
        <f>IF(B629="","",IF(G629&lt;&gt;"",G629,IFERROR(J629*1,0)))</f>
        <v>0</v>
      </c>
      <c r="N629" s="21">
        <f>IF(B629="","",ROUND(IF(F629="",1,F629)*M629,2))</f>
        <v>0</v>
      </c>
      <c r="O629" s="39">
        <f>IF(B629="","",IF(C629="","",IF(COUNTIFS($C$5:$C$804,C629)&gt;1,"Duplicate","OK")))</f>
        <v>0</v>
      </c>
      <c r="P629" s="31">
        <f>IF(OR(B629="",E629=""),"",COUNTIFS($B$5:B629,B629))</f>
        <v>0</v>
      </c>
      <c r="Q629" s="23">
        <f>IF(P629="","",B629&amp;"|"&amp;P629)</f>
        <v>0</v>
      </c>
      <c r="R629" s="39">
        <f>IF(B629="","",IF(O629="Duplicate","Duplicate - job billed twice",IF(M629=0,"Add - no price on this line",IF(AND(C629="",E629=""),"Add - what is this line for?","OK"))))</f>
        <v>0</v>
      </c>
    </row>
    <row r="630" spans="1:18">
      <c r="A630" s="43">
        <f>IF(B630="","","IL-"&amp;TEXT(ROW()-4,"0000"))</f>
        <v>0</v>
      </c>
      <c r="D630" s="18">
        <f>IF(C630="","",IFERROR(INDEX(Jobs!$B$5:$B$604,MATCH(C630,Jobs!$A$5:$A$604,0)),""))</f>
        <v>0</v>
      </c>
      <c r="J630" s="21">
        <f>IF(C630="","",IFERROR(INDEX(Jobs!$AJ$5:$AJ$604,MATCH(C630,Jobs!$A$5:$A$604,0)),"0"))</f>
        <v>0</v>
      </c>
      <c r="K630" s="23">
        <f>IF(C630="","",IFERROR(INDEX(Jobs!$M$5:$M$604,MATCH(C630,Jobs!$A$5:$A$604,0)),""))</f>
        <v>0</v>
      </c>
      <c r="L630" s="51">
        <f>IF(B630="","",IF(E630&lt;&gt;"",E630,IF(C630="","",K630&amp;" - "&amp;TEXT(D630,"d mmm yyyy"))))</f>
        <v>0</v>
      </c>
      <c r="M630" s="21">
        <f>IF(B630="","",IF(G630&lt;&gt;"",G630,IFERROR(J630*1,0)))</f>
        <v>0</v>
      </c>
      <c r="N630" s="21">
        <f>IF(B630="","",ROUND(IF(F630="",1,F630)*M630,2))</f>
        <v>0</v>
      </c>
      <c r="O630" s="39">
        <f>IF(B630="","",IF(C630="","",IF(COUNTIFS($C$5:$C$804,C630)&gt;1,"Duplicate","OK")))</f>
        <v>0</v>
      </c>
      <c r="P630" s="31">
        <f>IF(OR(B630="",E630=""),"",COUNTIFS($B$5:B630,B630))</f>
        <v>0</v>
      </c>
      <c r="Q630" s="23">
        <f>IF(P630="","",B630&amp;"|"&amp;P630)</f>
        <v>0</v>
      </c>
      <c r="R630" s="39">
        <f>IF(B630="","",IF(O630="Duplicate","Duplicate - job billed twice",IF(M630=0,"Add - no price on this line",IF(AND(C630="",E630=""),"Add - what is this line for?","OK"))))</f>
        <v>0</v>
      </c>
    </row>
    <row r="631" spans="1:18">
      <c r="A631" s="43">
        <f>IF(B631="","","IL-"&amp;TEXT(ROW()-4,"0000"))</f>
        <v>0</v>
      </c>
      <c r="D631" s="18">
        <f>IF(C631="","",IFERROR(INDEX(Jobs!$B$5:$B$604,MATCH(C631,Jobs!$A$5:$A$604,0)),""))</f>
        <v>0</v>
      </c>
      <c r="J631" s="21">
        <f>IF(C631="","",IFERROR(INDEX(Jobs!$AJ$5:$AJ$604,MATCH(C631,Jobs!$A$5:$A$604,0)),"0"))</f>
        <v>0</v>
      </c>
      <c r="K631" s="23">
        <f>IF(C631="","",IFERROR(INDEX(Jobs!$M$5:$M$604,MATCH(C631,Jobs!$A$5:$A$604,0)),""))</f>
        <v>0</v>
      </c>
      <c r="L631" s="51">
        <f>IF(B631="","",IF(E631&lt;&gt;"",E631,IF(C631="","",K631&amp;" - "&amp;TEXT(D631,"d mmm yyyy"))))</f>
        <v>0</v>
      </c>
      <c r="M631" s="21">
        <f>IF(B631="","",IF(G631&lt;&gt;"",G631,IFERROR(J631*1,0)))</f>
        <v>0</v>
      </c>
      <c r="N631" s="21">
        <f>IF(B631="","",ROUND(IF(F631="",1,F631)*M631,2))</f>
        <v>0</v>
      </c>
      <c r="O631" s="39">
        <f>IF(B631="","",IF(C631="","",IF(COUNTIFS($C$5:$C$804,C631)&gt;1,"Duplicate","OK")))</f>
        <v>0</v>
      </c>
      <c r="P631" s="31">
        <f>IF(OR(B631="",E631=""),"",COUNTIFS($B$5:B631,B631))</f>
        <v>0</v>
      </c>
      <c r="Q631" s="23">
        <f>IF(P631="","",B631&amp;"|"&amp;P631)</f>
        <v>0</v>
      </c>
      <c r="R631" s="39">
        <f>IF(B631="","",IF(O631="Duplicate","Duplicate - job billed twice",IF(M631=0,"Add - no price on this line",IF(AND(C631="",E631=""),"Add - what is this line for?","OK"))))</f>
        <v>0</v>
      </c>
    </row>
    <row r="632" spans="1:18">
      <c r="A632" s="43">
        <f>IF(B632="","","IL-"&amp;TEXT(ROW()-4,"0000"))</f>
        <v>0</v>
      </c>
      <c r="D632" s="18">
        <f>IF(C632="","",IFERROR(INDEX(Jobs!$B$5:$B$604,MATCH(C632,Jobs!$A$5:$A$604,0)),""))</f>
        <v>0</v>
      </c>
      <c r="J632" s="21">
        <f>IF(C632="","",IFERROR(INDEX(Jobs!$AJ$5:$AJ$604,MATCH(C632,Jobs!$A$5:$A$604,0)),"0"))</f>
        <v>0</v>
      </c>
      <c r="K632" s="23">
        <f>IF(C632="","",IFERROR(INDEX(Jobs!$M$5:$M$604,MATCH(C632,Jobs!$A$5:$A$604,0)),""))</f>
        <v>0</v>
      </c>
      <c r="L632" s="51">
        <f>IF(B632="","",IF(E632&lt;&gt;"",E632,IF(C632="","",K632&amp;" - "&amp;TEXT(D632,"d mmm yyyy"))))</f>
        <v>0</v>
      </c>
      <c r="M632" s="21">
        <f>IF(B632="","",IF(G632&lt;&gt;"",G632,IFERROR(J632*1,0)))</f>
        <v>0</v>
      </c>
      <c r="N632" s="21">
        <f>IF(B632="","",ROUND(IF(F632="",1,F632)*M632,2))</f>
        <v>0</v>
      </c>
      <c r="O632" s="39">
        <f>IF(B632="","",IF(C632="","",IF(COUNTIFS($C$5:$C$804,C632)&gt;1,"Duplicate","OK")))</f>
        <v>0</v>
      </c>
      <c r="P632" s="31">
        <f>IF(OR(B632="",E632=""),"",COUNTIFS($B$5:B632,B632))</f>
        <v>0</v>
      </c>
      <c r="Q632" s="23">
        <f>IF(P632="","",B632&amp;"|"&amp;P632)</f>
        <v>0</v>
      </c>
      <c r="R632" s="39">
        <f>IF(B632="","",IF(O632="Duplicate","Duplicate - job billed twice",IF(M632=0,"Add - no price on this line",IF(AND(C632="",E632=""),"Add - what is this line for?","OK"))))</f>
        <v>0</v>
      </c>
    </row>
    <row r="633" spans="1:18">
      <c r="A633" s="43">
        <f>IF(B633="","","IL-"&amp;TEXT(ROW()-4,"0000"))</f>
        <v>0</v>
      </c>
      <c r="D633" s="18">
        <f>IF(C633="","",IFERROR(INDEX(Jobs!$B$5:$B$604,MATCH(C633,Jobs!$A$5:$A$604,0)),""))</f>
        <v>0</v>
      </c>
      <c r="J633" s="21">
        <f>IF(C633="","",IFERROR(INDEX(Jobs!$AJ$5:$AJ$604,MATCH(C633,Jobs!$A$5:$A$604,0)),"0"))</f>
        <v>0</v>
      </c>
      <c r="K633" s="23">
        <f>IF(C633="","",IFERROR(INDEX(Jobs!$M$5:$M$604,MATCH(C633,Jobs!$A$5:$A$604,0)),""))</f>
        <v>0</v>
      </c>
      <c r="L633" s="51">
        <f>IF(B633="","",IF(E633&lt;&gt;"",E633,IF(C633="","",K633&amp;" - "&amp;TEXT(D633,"d mmm yyyy"))))</f>
        <v>0</v>
      </c>
      <c r="M633" s="21">
        <f>IF(B633="","",IF(G633&lt;&gt;"",G633,IFERROR(J633*1,0)))</f>
        <v>0</v>
      </c>
      <c r="N633" s="21">
        <f>IF(B633="","",ROUND(IF(F633="",1,F633)*M633,2))</f>
        <v>0</v>
      </c>
      <c r="O633" s="39">
        <f>IF(B633="","",IF(C633="","",IF(COUNTIFS($C$5:$C$804,C633)&gt;1,"Duplicate","OK")))</f>
        <v>0</v>
      </c>
      <c r="P633" s="31">
        <f>IF(OR(B633="",E633=""),"",COUNTIFS($B$5:B633,B633))</f>
        <v>0</v>
      </c>
      <c r="Q633" s="23">
        <f>IF(P633="","",B633&amp;"|"&amp;P633)</f>
        <v>0</v>
      </c>
      <c r="R633" s="39">
        <f>IF(B633="","",IF(O633="Duplicate","Duplicate - job billed twice",IF(M633=0,"Add - no price on this line",IF(AND(C633="",E633=""),"Add - what is this line for?","OK"))))</f>
        <v>0</v>
      </c>
    </row>
    <row r="634" spans="1:18">
      <c r="A634" s="43">
        <f>IF(B634="","","IL-"&amp;TEXT(ROW()-4,"0000"))</f>
        <v>0</v>
      </c>
      <c r="D634" s="18">
        <f>IF(C634="","",IFERROR(INDEX(Jobs!$B$5:$B$604,MATCH(C634,Jobs!$A$5:$A$604,0)),""))</f>
        <v>0</v>
      </c>
      <c r="J634" s="21">
        <f>IF(C634="","",IFERROR(INDEX(Jobs!$AJ$5:$AJ$604,MATCH(C634,Jobs!$A$5:$A$604,0)),"0"))</f>
        <v>0</v>
      </c>
      <c r="K634" s="23">
        <f>IF(C634="","",IFERROR(INDEX(Jobs!$M$5:$M$604,MATCH(C634,Jobs!$A$5:$A$604,0)),""))</f>
        <v>0</v>
      </c>
      <c r="L634" s="51">
        <f>IF(B634="","",IF(E634&lt;&gt;"",E634,IF(C634="","",K634&amp;" - "&amp;TEXT(D634,"d mmm yyyy"))))</f>
        <v>0</v>
      </c>
      <c r="M634" s="21">
        <f>IF(B634="","",IF(G634&lt;&gt;"",G634,IFERROR(J634*1,0)))</f>
        <v>0</v>
      </c>
      <c r="N634" s="21">
        <f>IF(B634="","",ROUND(IF(F634="",1,F634)*M634,2))</f>
        <v>0</v>
      </c>
      <c r="O634" s="39">
        <f>IF(B634="","",IF(C634="","",IF(COUNTIFS($C$5:$C$804,C634)&gt;1,"Duplicate","OK")))</f>
        <v>0</v>
      </c>
      <c r="P634" s="31">
        <f>IF(OR(B634="",E634=""),"",COUNTIFS($B$5:B634,B634))</f>
        <v>0</v>
      </c>
      <c r="Q634" s="23">
        <f>IF(P634="","",B634&amp;"|"&amp;P634)</f>
        <v>0</v>
      </c>
      <c r="R634" s="39">
        <f>IF(B634="","",IF(O634="Duplicate","Duplicate - job billed twice",IF(M634=0,"Add - no price on this line",IF(AND(C634="",E634=""),"Add - what is this line for?","OK"))))</f>
        <v>0</v>
      </c>
    </row>
    <row r="635" spans="1:18">
      <c r="A635" s="43">
        <f>IF(B635="","","IL-"&amp;TEXT(ROW()-4,"0000"))</f>
        <v>0</v>
      </c>
      <c r="D635" s="18">
        <f>IF(C635="","",IFERROR(INDEX(Jobs!$B$5:$B$604,MATCH(C635,Jobs!$A$5:$A$604,0)),""))</f>
        <v>0</v>
      </c>
      <c r="J635" s="21">
        <f>IF(C635="","",IFERROR(INDEX(Jobs!$AJ$5:$AJ$604,MATCH(C635,Jobs!$A$5:$A$604,0)),"0"))</f>
        <v>0</v>
      </c>
      <c r="K635" s="23">
        <f>IF(C635="","",IFERROR(INDEX(Jobs!$M$5:$M$604,MATCH(C635,Jobs!$A$5:$A$604,0)),""))</f>
        <v>0</v>
      </c>
      <c r="L635" s="51">
        <f>IF(B635="","",IF(E635&lt;&gt;"",E635,IF(C635="","",K635&amp;" - "&amp;TEXT(D635,"d mmm yyyy"))))</f>
        <v>0</v>
      </c>
      <c r="M635" s="21">
        <f>IF(B635="","",IF(G635&lt;&gt;"",G635,IFERROR(J635*1,0)))</f>
        <v>0</v>
      </c>
      <c r="N635" s="21">
        <f>IF(B635="","",ROUND(IF(F635="",1,F635)*M635,2))</f>
        <v>0</v>
      </c>
      <c r="O635" s="39">
        <f>IF(B635="","",IF(C635="","",IF(COUNTIFS($C$5:$C$804,C635)&gt;1,"Duplicate","OK")))</f>
        <v>0</v>
      </c>
      <c r="P635" s="31">
        <f>IF(OR(B635="",E635=""),"",COUNTIFS($B$5:B635,B635))</f>
        <v>0</v>
      </c>
      <c r="Q635" s="23">
        <f>IF(P635="","",B635&amp;"|"&amp;P635)</f>
        <v>0</v>
      </c>
      <c r="R635" s="39">
        <f>IF(B635="","",IF(O635="Duplicate","Duplicate - job billed twice",IF(M635=0,"Add - no price on this line",IF(AND(C635="",E635=""),"Add - what is this line for?","OK"))))</f>
        <v>0</v>
      </c>
    </row>
    <row r="636" spans="1:18">
      <c r="A636" s="43">
        <f>IF(B636="","","IL-"&amp;TEXT(ROW()-4,"0000"))</f>
        <v>0</v>
      </c>
      <c r="D636" s="18">
        <f>IF(C636="","",IFERROR(INDEX(Jobs!$B$5:$B$604,MATCH(C636,Jobs!$A$5:$A$604,0)),""))</f>
        <v>0</v>
      </c>
      <c r="J636" s="21">
        <f>IF(C636="","",IFERROR(INDEX(Jobs!$AJ$5:$AJ$604,MATCH(C636,Jobs!$A$5:$A$604,0)),"0"))</f>
        <v>0</v>
      </c>
      <c r="K636" s="23">
        <f>IF(C636="","",IFERROR(INDEX(Jobs!$M$5:$M$604,MATCH(C636,Jobs!$A$5:$A$604,0)),""))</f>
        <v>0</v>
      </c>
      <c r="L636" s="51">
        <f>IF(B636="","",IF(E636&lt;&gt;"",E636,IF(C636="","",K636&amp;" - "&amp;TEXT(D636,"d mmm yyyy"))))</f>
        <v>0</v>
      </c>
      <c r="M636" s="21">
        <f>IF(B636="","",IF(G636&lt;&gt;"",G636,IFERROR(J636*1,0)))</f>
        <v>0</v>
      </c>
      <c r="N636" s="21">
        <f>IF(B636="","",ROUND(IF(F636="",1,F636)*M636,2))</f>
        <v>0</v>
      </c>
      <c r="O636" s="39">
        <f>IF(B636="","",IF(C636="","",IF(COUNTIFS($C$5:$C$804,C636)&gt;1,"Duplicate","OK")))</f>
        <v>0</v>
      </c>
      <c r="P636" s="31">
        <f>IF(OR(B636="",E636=""),"",COUNTIFS($B$5:B636,B636))</f>
        <v>0</v>
      </c>
      <c r="Q636" s="23">
        <f>IF(P636="","",B636&amp;"|"&amp;P636)</f>
        <v>0</v>
      </c>
      <c r="R636" s="39">
        <f>IF(B636="","",IF(O636="Duplicate","Duplicate - job billed twice",IF(M636=0,"Add - no price on this line",IF(AND(C636="",E636=""),"Add - what is this line for?","OK"))))</f>
        <v>0</v>
      </c>
    </row>
    <row r="637" spans="1:18">
      <c r="A637" s="43">
        <f>IF(B637="","","IL-"&amp;TEXT(ROW()-4,"0000"))</f>
        <v>0</v>
      </c>
      <c r="D637" s="18">
        <f>IF(C637="","",IFERROR(INDEX(Jobs!$B$5:$B$604,MATCH(C637,Jobs!$A$5:$A$604,0)),""))</f>
        <v>0</v>
      </c>
      <c r="J637" s="21">
        <f>IF(C637="","",IFERROR(INDEX(Jobs!$AJ$5:$AJ$604,MATCH(C637,Jobs!$A$5:$A$604,0)),"0"))</f>
        <v>0</v>
      </c>
      <c r="K637" s="23">
        <f>IF(C637="","",IFERROR(INDEX(Jobs!$M$5:$M$604,MATCH(C637,Jobs!$A$5:$A$604,0)),""))</f>
        <v>0</v>
      </c>
      <c r="L637" s="51">
        <f>IF(B637="","",IF(E637&lt;&gt;"",E637,IF(C637="","",K637&amp;" - "&amp;TEXT(D637,"d mmm yyyy"))))</f>
        <v>0</v>
      </c>
      <c r="M637" s="21">
        <f>IF(B637="","",IF(G637&lt;&gt;"",G637,IFERROR(J637*1,0)))</f>
        <v>0</v>
      </c>
      <c r="N637" s="21">
        <f>IF(B637="","",ROUND(IF(F637="",1,F637)*M637,2))</f>
        <v>0</v>
      </c>
      <c r="O637" s="39">
        <f>IF(B637="","",IF(C637="","",IF(COUNTIFS($C$5:$C$804,C637)&gt;1,"Duplicate","OK")))</f>
        <v>0</v>
      </c>
      <c r="P637" s="31">
        <f>IF(OR(B637="",E637=""),"",COUNTIFS($B$5:B637,B637))</f>
        <v>0</v>
      </c>
      <c r="Q637" s="23">
        <f>IF(P637="","",B637&amp;"|"&amp;P637)</f>
        <v>0</v>
      </c>
      <c r="R637" s="39">
        <f>IF(B637="","",IF(O637="Duplicate","Duplicate - job billed twice",IF(M637=0,"Add - no price on this line",IF(AND(C637="",E637=""),"Add - what is this line for?","OK"))))</f>
        <v>0</v>
      </c>
    </row>
    <row r="638" spans="1:18">
      <c r="A638" s="43">
        <f>IF(B638="","","IL-"&amp;TEXT(ROW()-4,"0000"))</f>
        <v>0</v>
      </c>
      <c r="D638" s="18">
        <f>IF(C638="","",IFERROR(INDEX(Jobs!$B$5:$B$604,MATCH(C638,Jobs!$A$5:$A$604,0)),""))</f>
        <v>0</v>
      </c>
      <c r="J638" s="21">
        <f>IF(C638="","",IFERROR(INDEX(Jobs!$AJ$5:$AJ$604,MATCH(C638,Jobs!$A$5:$A$604,0)),"0"))</f>
        <v>0</v>
      </c>
      <c r="K638" s="23">
        <f>IF(C638="","",IFERROR(INDEX(Jobs!$M$5:$M$604,MATCH(C638,Jobs!$A$5:$A$604,0)),""))</f>
        <v>0</v>
      </c>
      <c r="L638" s="51">
        <f>IF(B638="","",IF(E638&lt;&gt;"",E638,IF(C638="","",K638&amp;" - "&amp;TEXT(D638,"d mmm yyyy"))))</f>
        <v>0</v>
      </c>
      <c r="M638" s="21">
        <f>IF(B638="","",IF(G638&lt;&gt;"",G638,IFERROR(J638*1,0)))</f>
        <v>0</v>
      </c>
      <c r="N638" s="21">
        <f>IF(B638="","",ROUND(IF(F638="",1,F638)*M638,2))</f>
        <v>0</v>
      </c>
      <c r="O638" s="39">
        <f>IF(B638="","",IF(C638="","",IF(COUNTIFS($C$5:$C$804,C638)&gt;1,"Duplicate","OK")))</f>
        <v>0</v>
      </c>
      <c r="P638" s="31">
        <f>IF(OR(B638="",E638=""),"",COUNTIFS($B$5:B638,B638))</f>
        <v>0</v>
      </c>
      <c r="Q638" s="23">
        <f>IF(P638="","",B638&amp;"|"&amp;P638)</f>
        <v>0</v>
      </c>
      <c r="R638" s="39">
        <f>IF(B638="","",IF(O638="Duplicate","Duplicate - job billed twice",IF(M638=0,"Add - no price on this line",IF(AND(C638="",E638=""),"Add - what is this line for?","OK"))))</f>
        <v>0</v>
      </c>
    </row>
    <row r="639" spans="1:18">
      <c r="A639" s="43">
        <f>IF(B639="","","IL-"&amp;TEXT(ROW()-4,"0000"))</f>
        <v>0</v>
      </c>
      <c r="D639" s="18">
        <f>IF(C639="","",IFERROR(INDEX(Jobs!$B$5:$B$604,MATCH(C639,Jobs!$A$5:$A$604,0)),""))</f>
        <v>0</v>
      </c>
      <c r="J639" s="21">
        <f>IF(C639="","",IFERROR(INDEX(Jobs!$AJ$5:$AJ$604,MATCH(C639,Jobs!$A$5:$A$604,0)),"0"))</f>
        <v>0</v>
      </c>
      <c r="K639" s="23">
        <f>IF(C639="","",IFERROR(INDEX(Jobs!$M$5:$M$604,MATCH(C639,Jobs!$A$5:$A$604,0)),""))</f>
        <v>0</v>
      </c>
      <c r="L639" s="51">
        <f>IF(B639="","",IF(E639&lt;&gt;"",E639,IF(C639="","",K639&amp;" - "&amp;TEXT(D639,"d mmm yyyy"))))</f>
        <v>0</v>
      </c>
      <c r="M639" s="21">
        <f>IF(B639="","",IF(G639&lt;&gt;"",G639,IFERROR(J639*1,0)))</f>
        <v>0</v>
      </c>
      <c r="N639" s="21">
        <f>IF(B639="","",ROUND(IF(F639="",1,F639)*M639,2))</f>
        <v>0</v>
      </c>
      <c r="O639" s="39">
        <f>IF(B639="","",IF(C639="","",IF(COUNTIFS($C$5:$C$804,C639)&gt;1,"Duplicate","OK")))</f>
        <v>0</v>
      </c>
      <c r="P639" s="31">
        <f>IF(OR(B639="",E639=""),"",COUNTIFS($B$5:B639,B639))</f>
        <v>0</v>
      </c>
      <c r="Q639" s="23">
        <f>IF(P639="","",B639&amp;"|"&amp;P639)</f>
        <v>0</v>
      </c>
      <c r="R639" s="39">
        <f>IF(B639="","",IF(O639="Duplicate","Duplicate - job billed twice",IF(M639=0,"Add - no price on this line",IF(AND(C639="",E639=""),"Add - what is this line for?","OK"))))</f>
        <v>0</v>
      </c>
    </row>
    <row r="640" spans="1:18">
      <c r="A640" s="43">
        <f>IF(B640="","","IL-"&amp;TEXT(ROW()-4,"0000"))</f>
        <v>0</v>
      </c>
      <c r="D640" s="18">
        <f>IF(C640="","",IFERROR(INDEX(Jobs!$B$5:$B$604,MATCH(C640,Jobs!$A$5:$A$604,0)),""))</f>
        <v>0</v>
      </c>
      <c r="J640" s="21">
        <f>IF(C640="","",IFERROR(INDEX(Jobs!$AJ$5:$AJ$604,MATCH(C640,Jobs!$A$5:$A$604,0)),"0"))</f>
        <v>0</v>
      </c>
      <c r="K640" s="23">
        <f>IF(C640="","",IFERROR(INDEX(Jobs!$M$5:$M$604,MATCH(C640,Jobs!$A$5:$A$604,0)),""))</f>
        <v>0</v>
      </c>
      <c r="L640" s="51">
        <f>IF(B640="","",IF(E640&lt;&gt;"",E640,IF(C640="","",K640&amp;" - "&amp;TEXT(D640,"d mmm yyyy"))))</f>
        <v>0</v>
      </c>
      <c r="M640" s="21">
        <f>IF(B640="","",IF(G640&lt;&gt;"",G640,IFERROR(J640*1,0)))</f>
        <v>0</v>
      </c>
      <c r="N640" s="21">
        <f>IF(B640="","",ROUND(IF(F640="",1,F640)*M640,2))</f>
        <v>0</v>
      </c>
      <c r="O640" s="39">
        <f>IF(B640="","",IF(C640="","",IF(COUNTIFS($C$5:$C$804,C640)&gt;1,"Duplicate","OK")))</f>
        <v>0</v>
      </c>
      <c r="P640" s="31">
        <f>IF(OR(B640="",E640=""),"",COUNTIFS($B$5:B640,B640))</f>
        <v>0</v>
      </c>
      <c r="Q640" s="23">
        <f>IF(P640="","",B640&amp;"|"&amp;P640)</f>
        <v>0</v>
      </c>
      <c r="R640" s="39">
        <f>IF(B640="","",IF(O640="Duplicate","Duplicate - job billed twice",IF(M640=0,"Add - no price on this line",IF(AND(C640="",E640=""),"Add - what is this line for?","OK"))))</f>
        <v>0</v>
      </c>
    </row>
    <row r="641" spans="1:18">
      <c r="A641" s="43">
        <f>IF(B641="","","IL-"&amp;TEXT(ROW()-4,"0000"))</f>
        <v>0</v>
      </c>
      <c r="D641" s="18">
        <f>IF(C641="","",IFERROR(INDEX(Jobs!$B$5:$B$604,MATCH(C641,Jobs!$A$5:$A$604,0)),""))</f>
        <v>0</v>
      </c>
      <c r="J641" s="21">
        <f>IF(C641="","",IFERROR(INDEX(Jobs!$AJ$5:$AJ$604,MATCH(C641,Jobs!$A$5:$A$604,0)),"0"))</f>
        <v>0</v>
      </c>
      <c r="K641" s="23">
        <f>IF(C641="","",IFERROR(INDEX(Jobs!$M$5:$M$604,MATCH(C641,Jobs!$A$5:$A$604,0)),""))</f>
        <v>0</v>
      </c>
      <c r="L641" s="51">
        <f>IF(B641="","",IF(E641&lt;&gt;"",E641,IF(C641="","",K641&amp;" - "&amp;TEXT(D641,"d mmm yyyy"))))</f>
        <v>0</v>
      </c>
      <c r="M641" s="21">
        <f>IF(B641="","",IF(G641&lt;&gt;"",G641,IFERROR(J641*1,0)))</f>
        <v>0</v>
      </c>
      <c r="N641" s="21">
        <f>IF(B641="","",ROUND(IF(F641="",1,F641)*M641,2))</f>
        <v>0</v>
      </c>
      <c r="O641" s="39">
        <f>IF(B641="","",IF(C641="","",IF(COUNTIFS($C$5:$C$804,C641)&gt;1,"Duplicate","OK")))</f>
        <v>0</v>
      </c>
      <c r="P641" s="31">
        <f>IF(OR(B641="",E641=""),"",COUNTIFS($B$5:B641,B641))</f>
        <v>0</v>
      </c>
      <c r="Q641" s="23">
        <f>IF(P641="","",B641&amp;"|"&amp;P641)</f>
        <v>0</v>
      </c>
      <c r="R641" s="39">
        <f>IF(B641="","",IF(O641="Duplicate","Duplicate - job billed twice",IF(M641=0,"Add - no price on this line",IF(AND(C641="",E641=""),"Add - what is this line for?","OK"))))</f>
        <v>0</v>
      </c>
    </row>
    <row r="642" spans="1:18">
      <c r="A642" s="43">
        <f>IF(B642="","","IL-"&amp;TEXT(ROW()-4,"0000"))</f>
        <v>0</v>
      </c>
      <c r="D642" s="18">
        <f>IF(C642="","",IFERROR(INDEX(Jobs!$B$5:$B$604,MATCH(C642,Jobs!$A$5:$A$604,0)),""))</f>
        <v>0</v>
      </c>
      <c r="J642" s="21">
        <f>IF(C642="","",IFERROR(INDEX(Jobs!$AJ$5:$AJ$604,MATCH(C642,Jobs!$A$5:$A$604,0)),"0"))</f>
        <v>0</v>
      </c>
      <c r="K642" s="23">
        <f>IF(C642="","",IFERROR(INDEX(Jobs!$M$5:$M$604,MATCH(C642,Jobs!$A$5:$A$604,0)),""))</f>
        <v>0</v>
      </c>
      <c r="L642" s="51">
        <f>IF(B642="","",IF(E642&lt;&gt;"",E642,IF(C642="","",K642&amp;" - "&amp;TEXT(D642,"d mmm yyyy"))))</f>
        <v>0</v>
      </c>
      <c r="M642" s="21">
        <f>IF(B642="","",IF(G642&lt;&gt;"",G642,IFERROR(J642*1,0)))</f>
        <v>0</v>
      </c>
      <c r="N642" s="21">
        <f>IF(B642="","",ROUND(IF(F642="",1,F642)*M642,2))</f>
        <v>0</v>
      </c>
      <c r="O642" s="39">
        <f>IF(B642="","",IF(C642="","",IF(COUNTIFS($C$5:$C$804,C642)&gt;1,"Duplicate","OK")))</f>
        <v>0</v>
      </c>
      <c r="P642" s="31">
        <f>IF(OR(B642="",E642=""),"",COUNTIFS($B$5:B642,B642))</f>
        <v>0</v>
      </c>
      <c r="Q642" s="23">
        <f>IF(P642="","",B642&amp;"|"&amp;P642)</f>
        <v>0</v>
      </c>
      <c r="R642" s="39">
        <f>IF(B642="","",IF(O642="Duplicate","Duplicate - job billed twice",IF(M642=0,"Add - no price on this line",IF(AND(C642="",E642=""),"Add - what is this line for?","OK"))))</f>
        <v>0</v>
      </c>
    </row>
    <row r="643" spans="1:18">
      <c r="A643" s="43">
        <f>IF(B643="","","IL-"&amp;TEXT(ROW()-4,"0000"))</f>
        <v>0</v>
      </c>
      <c r="D643" s="18">
        <f>IF(C643="","",IFERROR(INDEX(Jobs!$B$5:$B$604,MATCH(C643,Jobs!$A$5:$A$604,0)),""))</f>
        <v>0</v>
      </c>
      <c r="J643" s="21">
        <f>IF(C643="","",IFERROR(INDEX(Jobs!$AJ$5:$AJ$604,MATCH(C643,Jobs!$A$5:$A$604,0)),"0"))</f>
        <v>0</v>
      </c>
      <c r="K643" s="23">
        <f>IF(C643="","",IFERROR(INDEX(Jobs!$M$5:$M$604,MATCH(C643,Jobs!$A$5:$A$604,0)),""))</f>
        <v>0</v>
      </c>
      <c r="L643" s="51">
        <f>IF(B643="","",IF(E643&lt;&gt;"",E643,IF(C643="","",K643&amp;" - "&amp;TEXT(D643,"d mmm yyyy"))))</f>
        <v>0</v>
      </c>
      <c r="M643" s="21">
        <f>IF(B643="","",IF(G643&lt;&gt;"",G643,IFERROR(J643*1,0)))</f>
        <v>0</v>
      </c>
      <c r="N643" s="21">
        <f>IF(B643="","",ROUND(IF(F643="",1,F643)*M643,2))</f>
        <v>0</v>
      </c>
      <c r="O643" s="39">
        <f>IF(B643="","",IF(C643="","",IF(COUNTIFS($C$5:$C$804,C643)&gt;1,"Duplicate","OK")))</f>
        <v>0</v>
      </c>
      <c r="P643" s="31">
        <f>IF(OR(B643="",E643=""),"",COUNTIFS($B$5:B643,B643))</f>
        <v>0</v>
      </c>
      <c r="Q643" s="23">
        <f>IF(P643="","",B643&amp;"|"&amp;P643)</f>
        <v>0</v>
      </c>
      <c r="R643" s="39">
        <f>IF(B643="","",IF(O643="Duplicate","Duplicate - job billed twice",IF(M643=0,"Add - no price on this line",IF(AND(C643="",E643=""),"Add - what is this line for?","OK"))))</f>
        <v>0</v>
      </c>
    </row>
    <row r="644" spans="1:18">
      <c r="A644" s="43">
        <f>IF(B644="","","IL-"&amp;TEXT(ROW()-4,"0000"))</f>
        <v>0</v>
      </c>
      <c r="D644" s="18">
        <f>IF(C644="","",IFERROR(INDEX(Jobs!$B$5:$B$604,MATCH(C644,Jobs!$A$5:$A$604,0)),""))</f>
        <v>0</v>
      </c>
      <c r="J644" s="21">
        <f>IF(C644="","",IFERROR(INDEX(Jobs!$AJ$5:$AJ$604,MATCH(C644,Jobs!$A$5:$A$604,0)),"0"))</f>
        <v>0</v>
      </c>
      <c r="K644" s="23">
        <f>IF(C644="","",IFERROR(INDEX(Jobs!$M$5:$M$604,MATCH(C644,Jobs!$A$5:$A$604,0)),""))</f>
        <v>0</v>
      </c>
      <c r="L644" s="51">
        <f>IF(B644="","",IF(E644&lt;&gt;"",E644,IF(C644="","",K644&amp;" - "&amp;TEXT(D644,"d mmm yyyy"))))</f>
        <v>0</v>
      </c>
      <c r="M644" s="21">
        <f>IF(B644="","",IF(G644&lt;&gt;"",G644,IFERROR(J644*1,0)))</f>
        <v>0</v>
      </c>
      <c r="N644" s="21">
        <f>IF(B644="","",ROUND(IF(F644="",1,F644)*M644,2))</f>
        <v>0</v>
      </c>
      <c r="O644" s="39">
        <f>IF(B644="","",IF(C644="","",IF(COUNTIFS($C$5:$C$804,C644)&gt;1,"Duplicate","OK")))</f>
        <v>0</v>
      </c>
      <c r="P644" s="31">
        <f>IF(OR(B644="",E644=""),"",COUNTIFS($B$5:B644,B644))</f>
        <v>0</v>
      </c>
      <c r="Q644" s="23">
        <f>IF(P644="","",B644&amp;"|"&amp;P644)</f>
        <v>0</v>
      </c>
      <c r="R644" s="39">
        <f>IF(B644="","",IF(O644="Duplicate","Duplicate - job billed twice",IF(M644=0,"Add - no price on this line",IF(AND(C644="",E644=""),"Add - what is this line for?","OK"))))</f>
        <v>0</v>
      </c>
    </row>
    <row r="645" spans="1:18">
      <c r="A645" s="43">
        <f>IF(B645="","","IL-"&amp;TEXT(ROW()-4,"0000"))</f>
        <v>0</v>
      </c>
      <c r="D645" s="18">
        <f>IF(C645="","",IFERROR(INDEX(Jobs!$B$5:$B$604,MATCH(C645,Jobs!$A$5:$A$604,0)),""))</f>
        <v>0</v>
      </c>
      <c r="J645" s="21">
        <f>IF(C645="","",IFERROR(INDEX(Jobs!$AJ$5:$AJ$604,MATCH(C645,Jobs!$A$5:$A$604,0)),"0"))</f>
        <v>0</v>
      </c>
      <c r="K645" s="23">
        <f>IF(C645="","",IFERROR(INDEX(Jobs!$M$5:$M$604,MATCH(C645,Jobs!$A$5:$A$604,0)),""))</f>
        <v>0</v>
      </c>
      <c r="L645" s="51">
        <f>IF(B645="","",IF(E645&lt;&gt;"",E645,IF(C645="","",K645&amp;" - "&amp;TEXT(D645,"d mmm yyyy"))))</f>
        <v>0</v>
      </c>
      <c r="M645" s="21">
        <f>IF(B645="","",IF(G645&lt;&gt;"",G645,IFERROR(J645*1,0)))</f>
        <v>0</v>
      </c>
      <c r="N645" s="21">
        <f>IF(B645="","",ROUND(IF(F645="",1,F645)*M645,2))</f>
        <v>0</v>
      </c>
      <c r="O645" s="39">
        <f>IF(B645="","",IF(C645="","",IF(COUNTIFS($C$5:$C$804,C645)&gt;1,"Duplicate","OK")))</f>
        <v>0</v>
      </c>
      <c r="P645" s="31">
        <f>IF(OR(B645="",E645=""),"",COUNTIFS($B$5:B645,B645))</f>
        <v>0</v>
      </c>
      <c r="Q645" s="23">
        <f>IF(P645="","",B645&amp;"|"&amp;P645)</f>
        <v>0</v>
      </c>
      <c r="R645" s="39">
        <f>IF(B645="","",IF(O645="Duplicate","Duplicate - job billed twice",IF(M645=0,"Add - no price on this line",IF(AND(C645="",E645=""),"Add - what is this line for?","OK"))))</f>
        <v>0</v>
      </c>
    </row>
    <row r="646" spans="1:18">
      <c r="A646" s="43">
        <f>IF(B646="","","IL-"&amp;TEXT(ROW()-4,"0000"))</f>
        <v>0</v>
      </c>
      <c r="D646" s="18">
        <f>IF(C646="","",IFERROR(INDEX(Jobs!$B$5:$B$604,MATCH(C646,Jobs!$A$5:$A$604,0)),""))</f>
        <v>0</v>
      </c>
      <c r="J646" s="21">
        <f>IF(C646="","",IFERROR(INDEX(Jobs!$AJ$5:$AJ$604,MATCH(C646,Jobs!$A$5:$A$604,0)),"0"))</f>
        <v>0</v>
      </c>
      <c r="K646" s="23">
        <f>IF(C646="","",IFERROR(INDEX(Jobs!$M$5:$M$604,MATCH(C646,Jobs!$A$5:$A$604,0)),""))</f>
        <v>0</v>
      </c>
      <c r="L646" s="51">
        <f>IF(B646="","",IF(E646&lt;&gt;"",E646,IF(C646="","",K646&amp;" - "&amp;TEXT(D646,"d mmm yyyy"))))</f>
        <v>0</v>
      </c>
      <c r="M646" s="21">
        <f>IF(B646="","",IF(G646&lt;&gt;"",G646,IFERROR(J646*1,0)))</f>
        <v>0</v>
      </c>
      <c r="N646" s="21">
        <f>IF(B646="","",ROUND(IF(F646="",1,F646)*M646,2))</f>
        <v>0</v>
      </c>
      <c r="O646" s="39">
        <f>IF(B646="","",IF(C646="","",IF(COUNTIFS($C$5:$C$804,C646)&gt;1,"Duplicate","OK")))</f>
        <v>0</v>
      </c>
      <c r="P646" s="31">
        <f>IF(OR(B646="",E646=""),"",COUNTIFS($B$5:B646,B646))</f>
        <v>0</v>
      </c>
      <c r="Q646" s="23">
        <f>IF(P646="","",B646&amp;"|"&amp;P646)</f>
        <v>0</v>
      </c>
      <c r="R646" s="39">
        <f>IF(B646="","",IF(O646="Duplicate","Duplicate - job billed twice",IF(M646=0,"Add - no price on this line",IF(AND(C646="",E646=""),"Add - what is this line for?","OK"))))</f>
        <v>0</v>
      </c>
    </row>
    <row r="647" spans="1:18">
      <c r="A647" s="43">
        <f>IF(B647="","","IL-"&amp;TEXT(ROW()-4,"0000"))</f>
        <v>0</v>
      </c>
      <c r="D647" s="18">
        <f>IF(C647="","",IFERROR(INDEX(Jobs!$B$5:$B$604,MATCH(C647,Jobs!$A$5:$A$604,0)),""))</f>
        <v>0</v>
      </c>
      <c r="J647" s="21">
        <f>IF(C647="","",IFERROR(INDEX(Jobs!$AJ$5:$AJ$604,MATCH(C647,Jobs!$A$5:$A$604,0)),"0"))</f>
        <v>0</v>
      </c>
      <c r="K647" s="23">
        <f>IF(C647="","",IFERROR(INDEX(Jobs!$M$5:$M$604,MATCH(C647,Jobs!$A$5:$A$604,0)),""))</f>
        <v>0</v>
      </c>
      <c r="L647" s="51">
        <f>IF(B647="","",IF(E647&lt;&gt;"",E647,IF(C647="","",K647&amp;" - "&amp;TEXT(D647,"d mmm yyyy"))))</f>
        <v>0</v>
      </c>
      <c r="M647" s="21">
        <f>IF(B647="","",IF(G647&lt;&gt;"",G647,IFERROR(J647*1,0)))</f>
        <v>0</v>
      </c>
      <c r="N647" s="21">
        <f>IF(B647="","",ROUND(IF(F647="",1,F647)*M647,2))</f>
        <v>0</v>
      </c>
      <c r="O647" s="39">
        <f>IF(B647="","",IF(C647="","",IF(COUNTIFS($C$5:$C$804,C647)&gt;1,"Duplicate","OK")))</f>
        <v>0</v>
      </c>
      <c r="P647" s="31">
        <f>IF(OR(B647="",E647=""),"",COUNTIFS($B$5:B647,B647))</f>
        <v>0</v>
      </c>
      <c r="Q647" s="23">
        <f>IF(P647="","",B647&amp;"|"&amp;P647)</f>
        <v>0</v>
      </c>
      <c r="R647" s="39">
        <f>IF(B647="","",IF(O647="Duplicate","Duplicate - job billed twice",IF(M647=0,"Add - no price on this line",IF(AND(C647="",E647=""),"Add - what is this line for?","OK"))))</f>
        <v>0</v>
      </c>
    </row>
    <row r="648" spans="1:18">
      <c r="A648" s="43">
        <f>IF(B648="","","IL-"&amp;TEXT(ROW()-4,"0000"))</f>
        <v>0</v>
      </c>
      <c r="D648" s="18">
        <f>IF(C648="","",IFERROR(INDEX(Jobs!$B$5:$B$604,MATCH(C648,Jobs!$A$5:$A$604,0)),""))</f>
        <v>0</v>
      </c>
      <c r="J648" s="21">
        <f>IF(C648="","",IFERROR(INDEX(Jobs!$AJ$5:$AJ$604,MATCH(C648,Jobs!$A$5:$A$604,0)),"0"))</f>
        <v>0</v>
      </c>
      <c r="K648" s="23">
        <f>IF(C648="","",IFERROR(INDEX(Jobs!$M$5:$M$604,MATCH(C648,Jobs!$A$5:$A$604,0)),""))</f>
        <v>0</v>
      </c>
      <c r="L648" s="51">
        <f>IF(B648="","",IF(E648&lt;&gt;"",E648,IF(C648="","",K648&amp;" - "&amp;TEXT(D648,"d mmm yyyy"))))</f>
        <v>0</v>
      </c>
      <c r="M648" s="21">
        <f>IF(B648="","",IF(G648&lt;&gt;"",G648,IFERROR(J648*1,0)))</f>
        <v>0</v>
      </c>
      <c r="N648" s="21">
        <f>IF(B648="","",ROUND(IF(F648="",1,F648)*M648,2))</f>
        <v>0</v>
      </c>
      <c r="O648" s="39">
        <f>IF(B648="","",IF(C648="","",IF(COUNTIFS($C$5:$C$804,C648)&gt;1,"Duplicate","OK")))</f>
        <v>0</v>
      </c>
      <c r="P648" s="31">
        <f>IF(OR(B648="",E648=""),"",COUNTIFS($B$5:B648,B648))</f>
        <v>0</v>
      </c>
      <c r="Q648" s="23">
        <f>IF(P648="","",B648&amp;"|"&amp;P648)</f>
        <v>0</v>
      </c>
      <c r="R648" s="39">
        <f>IF(B648="","",IF(O648="Duplicate","Duplicate - job billed twice",IF(M648=0,"Add - no price on this line",IF(AND(C648="",E648=""),"Add - what is this line for?","OK"))))</f>
        <v>0</v>
      </c>
    </row>
    <row r="649" spans="1:18">
      <c r="A649" s="43">
        <f>IF(B649="","","IL-"&amp;TEXT(ROW()-4,"0000"))</f>
        <v>0</v>
      </c>
      <c r="D649" s="18">
        <f>IF(C649="","",IFERROR(INDEX(Jobs!$B$5:$B$604,MATCH(C649,Jobs!$A$5:$A$604,0)),""))</f>
        <v>0</v>
      </c>
      <c r="J649" s="21">
        <f>IF(C649="","",IFERROR(INDEX(Jobs!$AJ$5:$AJ$604,MATCH(C649,Jobs!$A$5:$A$604,0)),"0"))</f>
        <v>0</v>
      </c>
      <c r="K649" s="23">
        <f>IF(C649="","",IFERROR(INDEX(Jobs!$M$5:$M$604,MATCH(C649,Jobs!$A$5:$A$604,0)),""))</f>
        <v>0</v>
      </c>
      <c r="L649" s="51">
        <f>IF(B649="","",IF(E649&lt;&gt;"",E649,IF(C649="","",K649&amp;" - "&amp;TEXT(D649,"d mmm yyyy"))))</f>
        <v>0</v>
      </c>
      <c r="M649" s="21">
        <f>IF(B649="","",IF(G649&lt;&gt;"",G649,IFERROR(J649*1,0)))</f>
        <v>0</v>
      </c>
      <c r="N649" s="21">
        <f>IF(B649="","",ROUND(IF(F649="",1,F649)*M649,2))</f>
        <v>0</v>
      </c>
      <c r="O649" s="39">
        <f>IF(B649="","",IF(C649="","",IF(COUNTIFS($C$5:$C$804,C649)&gt;1,"Duplicate","OK")))</f>
        <v>0</v>
      </c>
      <c r="P649" s="31">
        <f>IF(OR(B649="",E649=""),"",COUNTIFS($B$5:B649,B649))</f>
        <v>0</v>
      </c>
      <c r="Q649" s="23">
        <f>IF(P649="","",B649&amp;"|"&amp;P649)</f>
        <v>0</v>
      </c>
      <c r="R649" s="39">
        <f>IF(B649="","",IF(O649="Duplicate","Duplicate - job billed twice",IF(M649=0,"Add - no price on this line",IF(AND(C649="",E649=""),"Add - what is this line for?","OK"))))</f>
        <v>0</v>
      </c>
    </row>
    <row r="650" spans="1:18">
      <c r="A650" s="43">
        <f>IF(B650="","","IL-"&amp;TEXT(ROW()-4,"0000"))</f>
        <v>0</v>
      </c>
      <c r="D650" s="18">
        <f>IF(C650="","",IFERROR(INDEX(Jobs!$B$5:$B$604,MATCH(C650,Jobs!$A$5:$A$604,0)),""))</f>
        <v>0</v>
      </c>
      <c r="J650" s="21">
        <f>IF(C650="","",IFERROR(INDEX(Jobs!$AJ$5:$AJ$604,MATCH(C650,Jobs!$A$5:$A$604,0)),"0"))</f>
        <v>0</v>
      </c>
      <c r="K650" s="23">
        <f>IF(C650="","",IFERROR(INDEX(Jobs!$M$5:$M$604,MATCH(C650,Jobs!$A$5:$A$604,0)),""))</f>
        <v>0</v>
      </c>
      <c r="L650" s="51">
        <f>IF(B650="","",IF(E650&lt;&gt;"",E650,IF(C650="","",K650&amp;" - "&amp;TEXT(D650,"d mmm yyyy"))))</f>
        <v>0</v>
      </c>
      <c r="M650" s="21">
        <f>IF(B650="","",IF(G650&lt;&gt;"",G650,IFERROR(J650*1,0)))</f>
        <v>0</v>
      </c>
      <c r="N650" s="21">
        <f>IF(B650="","",ROUND(IF(F650="",1,F650)*M650,2))</f>
        <v>0</v>
      </c>
      <c r="O650" s="39">
        <f>IF(B650="","",IF(C650="","",IF(COUNTIFS($C$5:$C$804,C650)&gt;1,"Duplicate","OK")))</f>
        <v>0</v>
      </c>
      <c r="P650" s="31">
        <f>IF(OR(B650="",E650=""),"",COUNTIFS($B$5:B650,B650))</f>
        <v>0</v>
      </c>
      <c r="Q650" s="23">
        <f>IF(P650="","",B650&amp;"|"&amp;P650)</f>
        <v>0</v>
      </c>
      <c r="R650" s="39">
        <f>IF(B650="","",IF(O650="Duplicate","Duplicate - job billed twice",IF(M650=0,"Add - no price on this line",IF(AND(C650="",E650=""),"Add - what is this line for?","OK"))))</f>
        <v>0</v>
      </c>
    </row>
    <row r="651" spans="1:18">
      <c r="A651" s="43">
        <f>IF(B651="","","IL-"&amp;TEXT(ROW()-4,"0000"))</f>
        <v>0</v>
      </c>
      <c r="D651" s="18">
        <f>IF(C651="","",IFERROR(INDEX(Jobs!$B$5:$B$604,MATCH(C651,Jobs!$A$5:$A$604,0)),""))</f>
        <v>0</v>
      </c>
      <c r="J651" s="21">
        <f>IF(C651="","",IFERROR(INDEX(Jobs!$AJ$5:$AJ$604,MATCH(C651,Jobs!$A$5:$A$604,0)),"0"))</f>
        <v>0</v>
      </c>
      <c r="K651" s="23">
        <f>IF(C651="","",IFERROR(INDEX(Jobs!$M$5:$M$604,MATCH(C651,Jobs!$A$5:$A$604,0)),""))</f>
        <v>0</v>
      </c>
      <c r="L651" s="51">
        <f>IF(B651="","",IF(E651&lt;&gt;"",E651,IF(C651="","",K651&amp;" - "&amp;TEXT(D651,"d mmm yyyy"))))</f>
        <v>0</v>
      </c>
      <c r="M651" s="21">
        <f>IF(B651="","",IF(G651&lt;&gt;"",G651,IFERROR(J651*1,0)))</f>
        <v>0</v>
      </c>
      <c r="N651" s="21">
        <f>IF(B651="","",ROUND(IF(F651="",1,F651)*M651,2))</f>
        <v>0</v>
      </c>
      <c r="O651" s="39">
        <f>IF(B651="","",IF(C651="","",IF(COUNTIFS($C$5:$C$804,C651)&gt;1,"Duplicate","OK")))</f>
        <v>0</v>
      </c>
      <c r="P651" s="31">
        <f>IF(OR(B651="",E651=""),"",COUNTIFS($B$5:B651,B651))</f>
        <v>0</v>
      </c>
      <c r="Q651" s="23">
        <f>IF(P651="","",B651&amp;"|"&amp;P651)</f>
        <v>0</v>
      </c>
      <c r="R651" s="39">
        <f>IF(B651="","",IF(O651="Duplicate","Duplicate - job billed twice",IF(M651=0,"Add - no price on this line",IF(AND(C651="",E651=""),"Add - what is this line for?","OK"))))</f>
        <v>0</v>
      </c>
    </row>
    <row r="652" spans="1:18">
      <c r="A652" s="43">
        <f>IF(B652="","","IL-"&amp;TEXT(ROW()-4,"0000"))</f>
        <v>0</v>
      </c>
      <c r="D652" s="18">
        <f>IF(C652="","",IFERROR(INDEX(Jobs!$B$5:$B$604,MATCH(C652,Jobs!$A$5:$A$604,0)),""))</f>
        <v>0</v>
      </c>
      <c r="J652" s="21">
        <f>IF(C652="","",IFERROR(INDEX(Jobs!$AJ$5:$AJ$604,MATCH(C652,Jobs!$A$5:$A$604,0)),"0"))</f>
        <v>0</v>
      </c>
      <c r="K652" s="23">
        <f>IF(C652="","",IFERROR(INDEX(Jobs!$M$5:$M$604,MATCH(C652,Jobs!$A$5:$A$604,0)),""))</f>
        <v>0</v>
      </c>
      <c r="L652" s="51">
        <f>IF(B652="","",IF(E652&lt;&gt;"",E652,IF(C652="","",K652&amp;" - "&amp;TEXT(D652,"d mmm yyyy"))))</f>
        <v>0</v>
      </c>
      <c r="M652" s="21">
        <f>IF(B652="","",IF(G652&lt;&gt;"",G652,IFERROR(J652*1,0)))</f>
        <v>0</v>
      </c>
      <c r="N652" s="21">
        <f>IF(B652="","",ROUND(IF(F652="",1,F652)*M652,2))</f>
        <v>0</v>
      </c>
      <c r="O652" s="39">
        <f>IF(B652="","",IF(C652="","",IF(COUNTIFS($C$5:$C$804,C652)&gt;1,"Duplicate","OK")))</f>
        <v>0</v>
      </c>
      <c r="P652" s="31">
        <f>IF(OR(B652="",E652=""),"",COUNTIFS($B$5:B652,B652))</f>
        <v>0</v>
      </c>
      <c r="Q652" s="23">
        <f>IF(P652="","",B652&amp;"|"&amp;P652)</f>
        <v>0</v>
      </c>
      <c r="R652" s="39">
        <f>IF(B652="","",IF(O652="Duplicate","Duplicate - job billed twice",IF(M652=0,"Add - no price on this line",IF(AND(C652="",E652=""),"Add - what is this line for?","OK"))))</f>
        <v>0</v>
      </c>
    </row>
    <row r="653" spans="1:18">
      <c r="A653" s="43">
        <f>IF(B653="","","IL-"&amp;TEXT(ROW()-4,"0000"))</f>
        <v>0</v>
      </c>
      <c r="D653" s="18">
        <f>IF(C653="","",IFERROR(INDEX(Jobs!$B$5:$B$604,MATCH(C653,Jobs!$A$5:$A$604,0)),""))</f>
        <v>0</v>
      </c>
      <c r="J653" s="21">
        <f>IF(C653="","",IFERROR(INDEX(Jobs!$AJ$5:$AJ$604,MATCH(C653,Jobs!$A$5:$A$604,0)),"0"))</f>
        <v>0</v>
      </c>
      <c r="K653" s="23">
        <f>IF(C653="","",IFERROR(INDEX(Jobs!$M$5:$M$604,MATCH(C653,Jobs!$A$5:$A$604,0)),""))</f>
        <v>0</v>
      </c>
      <c r="L653" s="51">
        <f>IF(B653="","",IF(E653&lt;&gt;"",E653,IF(C653="","",K653&amp;" - "&amp;TEXT(D653,"d mmm yyyy"))))</f>
        <v>0</v>
      </c>
      <c r="M653" s="21">
        <f>IF(B653="","",IF(G653&lt;&gt;"",G653,IFERROR(J653*1,0)))</f>
        <v>0</v>
      </c>
      <c r="N653" s="21">
        <f>IF(B653="","",ROUND(IF(F653="",1,F653)*M653,2))</f>
        <v>0</v>
      </c>
      <c r="O653" s="39">
        <f>IF(B653="","",IF(C653="","",IF(COUNTIFS($C$5:$C$804,C653)&gt;1,"Duplicate","OK")))</f>
        <v>0</v>
      </c>
      <c r="P653" s="31">
        <f>IF(OR(B653="",E653=""),"",COUNTIFS($B$5:B653,B653))</f>
        <v>0</v>
      </c>
      <c r="Q653" s="23">
        <f>IF(P653="","",B653&amp;"|"&amp;P653)</f>
        <v>0</v>
      </c>
      <c r="R653" s="39">
        <f>IF(B653="","",IF(O653="Duplicate","Duplicate - job billed twice",IF(M653=0,"Add - no price on this line",IF(AND(C653="",E653=""),"Add - what is this line for?","OK"))))</f>
        <v>0</v>
      </c>
    </row>
    <row r="654" spans="1:18">
      <c r="A654" s="43">
        <f>IF(B654="","","IL-"&amp;TEXT(ROW()-4,"0000"))</f>
        <v>0</v>
      </c>
      <c r="D654" s="18">
        <f>IF(C654="","",IFERROR(INDEX(Jobs!$B$5:$B$604,MATCH(C654,Jobs!$A$5:$A$604,0)),""))</f>
        <v>0</v>
      </c>
      <c r="J654" s="21">
        <f>IF(C654="","",IFERROR(INDEX(Jobs!$AJ$5:$AJ$604,MATCH(C654,Jobs!$A$5:$A$604,0)),"0"))</f>
        <v>0</v>
      </c>
      <c r="K654" s="23">
        <f>IF(C654="","",IFERROR(INDEX(Jobs!$M$5:$M$604,MATCH(C654,Jobs!$A$5:$A$604,0)),""))</f>
        <v>0</v>
      </c>
      <c r="L654" s="51">
        <f>IF(B654="","",IF(E654&lt;&gt;"",E654,IF(C654="","",K654&amp;" - "&amp;TEXT(D654,"d mmm yyyy"))))</f>
        <v>0</v>
      </c>
      <c r="M654" s="21">
        <f>IF(B654="","",IF(G654&lt;&gt;"",G654,IFERROR(J654*1,0)))</f>
        <v>0</v>
      </c>
      <c r="N654" s="21">
        <f>IF(B654="","",ROUND(IF(F654="",1,F654)*M654,2))</f>
        <v>0</v>
      </c>
      <c r="O654" s="39">
        <f>IF(B654="","",IF(C654="","",IF(COUNTIFS($C$5:$C$804,C654)&gt;1,"Duplicate","OK")))</f>
        <v>0</v>
      </c>
      <c r="P654" s="31">
        <f>IF(OR(B654="",E654=""),"",COUNTIFS($B$5:B654,B654))</f>
        <v>0</v>
      </c>
      <c r="Q654" s="23">
        <f>IF(P654="","",B654&amp;"|"&amp;P654)</f>
        <v>0</v>
      </c>
      <c r="R654" s="39">
        <f>IF(B654="","",IF(O654="Duplicate","Duplicate - job billed twice",IF(M654=0,"Add - no price on this line",IF(AND(C654="",E654=""),"Add - what is this line for?","OK"))))</f>
        <v>0</v>
      </c>
    </row>
    <row r="655" spans="1:18">
      <c r="A655" s="43">
        <f>IF(B655="","","IL-"&amp;TEXT(ROW()-4,"0000"))</f>
        <v>0</v>
      </c>
      <c r="D655" s="18">
        <f>IF(C655="","",IFERROR(INDEX(Jobs!$B$5:$B$604,MATCH(C655,Jobs!$A$5:$A$604,0)),""))</f>
        <v>0</v>
      </c>
      <c r="J655" s="21">
        <f>IF(C655="","",IFERROR(INDEX(Jobs!$AJ$5:$AJ$604,MATCH(C655,Jobs!$A$5:$A$604,0)),"0"))</f>
        <v>0</v>
      </c>
      <c r="K655" s="23">
        <f>IF(C655="","",IFERROR(INDEX(Jobs!$M$5:$M$604,MATCH(C655,Jobs!$A$5:$A$604,0)),""))</f>
        <v>0</v>
      </c>
      <c r="L655" s="51">
        <f>IF(B655="","",IF(E655&lt;&gt;"",E655,IF(C655="","",K655&amp;" - "&amp;TEXT(D655,"d mmm yyyy"))))</f>
        <v>0</v>
      </c>
      <c r="M655" s="21">
        <f>IF(B655="","",IF(G655&lt;&gt;"",G655,IFERROR(J655*1,0)))</f>
        <v>0</v>
      </c>
      <c r="N655" s="21">
        <f>IF(B655="","",ROUND(IF(F655="",1,F655)*M655,2))</f>
        <v>0</v>
      </c>
      <c r="O655" s="39">
        <f>IF(B655="","",IF(C655="","",IF(COUNTIFS($C$5:$C$804,C655)&gt;1,"Duplicate","OK")))</f>
        <v>0</v>
      </c>
      <c r="P655" s="31">
        <f>IF(OR(B655="",E655=""),"",COUNTIFS($B$5:B655,B655))</f>
        <v>0</v>
      </c>
      <c r="Q655" s="23">
        <f>IF(P655="","",B655&amp;"|"&amp;P655)</f>
        <v>0</v>
      </c>
      <c r="R655" s="39">
        <f>IF(B655="","",IF(O655="Duplicate","Duplicate - job billed twice",IF(M655=0,"Add - no price on this line",IF(AND(C655="",E655=""),"Add - what is this line for?","OK"))))</f>
        <v>0</v>
      </c>
    </row>
    <row r="656" spans="1:18">
      <c r="A656" s="43">
        <f>IF(B656="","","IL-"&amp;TEXT(ROW()-4,"0000"))</f>
        <v>0</v>
      </c>
      <c r="D656" s="18">
        <f>IF(C656="","",IFERROR(INDEX(Jobs!$B$5:$B$604,MATCH(C656,Jobs!$A$5:$A$604,0)),""))</f>
        <v>0</v>
      </c>
      <c r="J656" s="21">
        <f>IF(C656="","",IFERROR(INDEX(Jobs!$AJ$5:$AJ$604,MATCH(C656,Jobs!$A$5:$A$604,0)),"0"))</f>
        <v>0</v>
      </c>
      <c r="K656" s="23">
        <f>IF(C656="","",IFERROR(INDEX(Jobs!$M$5:$M$604,MATCH(C656,Jobs!$A$5:$A$604,0)),""))</f>
        <v>0</v>
      </c>
      <c r="L656" s="51">
        <f>IF(B656="","",IF(E656&lt;&gt;"",E656,IF(C656="","",K656&amp;" - "&amp;TEXT(D656,"d mmm yyyy"))))</f>
        <v>0</v>
      </c>
      <c r="M656" s="21">
        <f>IF(B656="","",IF(G656&lt;&gt;"",G656,IFERROR(J656*1,0)))</f>
        <v>0</v>
      </c>
      <c r="N656" s="21">
        <f>IF(B656="","",ROUND(IF(F656="",1,F656)*M656,2))</f>
        <v>0</v>
      </c>
      <c r="O656" s="39">
        <f>IF(B656="","",IF(C656="","",IF(COUNTIFS($C$5:$C$804,C656)&gt;1,"Duplicate","OK")))</f>
        <v>0</v>
      </c>
      <c r="P656" s="31">
        <f>IF(OR(B656="",E656=""),"",COUNTIFS($B$5:B656,B656))</f>
        <v>0</v>
      </c>
      <c r="Q656" s="23">
        <f>IF(P656="","",B656&amp;"|"&amp;P656)</f>
        <v>0</v>
      </c>
      <c r="R656" s="39">
        <f>IF(B656="","",IF(O656="Duplicate","Duplicate - job billed twice",IF(M656=0,"Add - no price on this line",IF(AND(C656="",E656=""),"Add - what is this line for?","OK"))))</f>
        <v>0</v>
      </c>
    </row>
    <row r="657" spans="1:18">
      <c r="A657" s="43">
        <f>IF(B657="","","IL-"&amp;TEXT(ROW()-4,"0000"))</f>
        <v>0</v>
      </c>
      <c r="D657" s="18">
        <f>IF(C657="","",IFERROR(INDEX(Jobs!$B$5:$B$604,MATCH(C657,Jobs!$A$5:$A$604,0)),""))</f>
        <v>0</v>
      </c>
      <c r="J657" s="21">
        <f>IF(C657="","",IFERROR(INDEX(Jobs!$AJ$5:$AJ$604,MATCH(C657,Jobs!$A$5:$A$604,0)),"0"))</f>
        <v>0</v>
      </c>
      <c r="K657" s="23">
        <f>IF(C657="","",IFERROR(INDEX(Jobs!$M$5:$M$604,MATCH(C657,Jobs!$A$5:$A$604,0)),""))</f>
        <v>0</v>
      </c>
      <c r="L657" s="51">
        <f>IF(B657="","",IF(E657&lt;&gt;"",E657,IF(C657="","",K657&amp;" - "&amp;TEXT(D657,"d mmm yyyy"))))</f>
        <v>0</v>
      </c>
      <c r="M657" s="21">
        <f>IF(B657="","",IF(G657&lt;&gt;"",G657,IFERROR(J657*1,0)))</f>
        <v>0</v>
      </c>
      <c r="N657" s="21">
        <f>IF(B657="","",ROUND(IF(F657="",1,F657)*M657,2))</f>
        <v>0</v>
      </c>
      <c r="O657" s="39">
        <f>IF(B657="","",IF(C657="","",IF(COUNTIFS($C$5:$C$804,C657)&gt;1,"Duplicate","OK")))</f>
        <v>0</v>
      </c>
      <c r="P657" s="31">
        <f>IF(OR(B657="",E657=""),"",COUNTIFS($B$5:B657,B657))</f>
        <v>0</v>
      </c>
      <c r="Q657" s="23">
        <f>IF(P657="","",B657&amp;"|"&amp;P657)</f>
        <v>0</v>
      </c>
      <c r="R657" s="39">
        <f>IF(B657="","",IF(O657="Duplicate","Duplicate - job billed twice",IF(M657=0,"Add - no price on this line",IF(AND(C657="",E657=""),"Add - what is this line for?","OK"))))</f>
        <v>0</v>
      </c>
    </row>
    <row r="658" spans="1:18">
      <c r="A658" s="43">
        <f>IF(B658="","","IL-"&amp;TEXT(ROW()-4,"0000"))</f>
        <v>0</v>
      </c>
      <c r="D658" s="18">
        <f>IF(C658="","",IFERROR(INDEX(Jobs!$B$5:$B$604,MATCH(C658,Jobs!$A$5:$A$604,0)),""))</f>
        <v>0</v>
      </c>
      <c r="J658" s="21">
        <f>IF(C658="","",IFERROR(INDEX(Jobs!$AJ$5:$AJ$604,MATCH(C658,Jobs!$A$5:$A$604,0)),"0"))</f>
        <v>0</v>
      </c>
      <c r="K658" s="23">
        <f>IF(C658="","",IFERROR(INDEX(Jobs!$M$5:$M$604,MATCH(C658,Jobs!$A$5:$A$604,0)),""))</f>
        <v>0</v>
      </c>
      <c r="L658" s="51">
        <f>IF(B658="","",IF(E658&lt;&gt;"",E658,IF(C658="","",K658&amp;" - "&amp;TEXT(D658,"d mmm yyyy"))))</f>
        <v>0</v>
      </c>
      <c r="M658" s="21">
        <f>IF(B658="","",IF(G658&lt;&gt;"",G658,IFERROR(J658*1,0)))</f>
        <v>0</v>
      </c>
      <c r="N658" s="21">
        <f>IF(B658="","",ROUND(IF(F658="",1,F658)*M658,2))</f>
        <v>0</v>
      </c>
      <c r="O658" s="39">
        <f>IF(B658="","",IF(C658="","",IF(COUNTIFS($C$5:$C$804,C658)&gt;1,"Duplicate","OK")))</f>
        <v>0</v>
      </c>
      <c r="P658" s="31">
        <f>IF(OR(B658="",E658=""),"",COUNTIFS($B$5:B658,B658))</f>
        <v>0</v>
      </c>
      <c r="Q658" s="23">
        <f>IF(P658="","",B658&amp;"|"&amp;P658)</f>
        <v>0</v>
      </c>
      <c r="R658" s="39">
        <f>IF(B658="","",IF(O658="Duplicate","Duplicate - job billed twice",IF(M658=0,"Add - no price on this line",IF(AND(C658="",E658=""),"Add - what is this line for?","OK"))))</f>
        <v>0</v>
      </c>
    </row>
    <row r="659" spans="1:18">
      <c r="A659" s="43">
        <f>IF(B659="","","IL-"&amp;TEXT(ROW()-4,"0000"))</f>
        <v>0</v>
      </c>
      <c r="D659" s="18">
        <f>IF(C659="","",IFERROR(INDEX(Jobs!$B$5:$B$604,MATCH(C659,Jobs!$A$5:$A$604,0)),""))</f>
        <v>0</v>
      </c>
      <c r="J659" s="21">
        <f>IF(C659="","",IFERROR(INDEX(Jobs!$AJ$5:$AJ$604,MATCH(C659,Jobs!$A$5:$A$604,0)),"0"))</f>
        <v>0</v>
      </c>
      <c r="K659" s="23">
        <f>IF(C659="","",IFERROR(INDEX(Jobs!$M$5:$M$604,MATCH(C659,Jobs!$A$5:$A$604,0)),""))</f>
        <v>0</v>
      </c>
      <c r="L659" s="51">
        <f>IF(B659="","",IF(E659&lt;&gt;"",E659,IF(C659="","",K659&amp;" - "&amp;TEXT(D659,"d mmm yyyy"))))</f>
        <v>0</v>
      </c>
      <c r="M659" s="21">
        <f>IF(B659="","",IF(G659&lt;&gt;"",G659,IFERROR(J659*1,0)))</f>
        <v>0</v>
      </c>
      <c r="N659" s="21">
        <f>IF(B659="","",ROUND(IF(F659="",1,F659)*M659,2))</f>
        <v>0</v>
      </c>
      <c r="O659" s="39">
        <f>IF(B659="","",IF(C659="","",IF(COUNTIFS($C$5:$C$804,C659)&gt;1,"Duplicate","OK")))</f>
        <v>0</v>
      </c>
      <c r="P659" s="31">
        <f>IF(OR(B659="",E659=""),"",COUNTIFS($B$5:B659,B659))</f>
        <v>0</v>
      </c>
      <c r="Q659" s="23">
        <f>IF(P659="","",B659&amp;"|"&amp;P659)</f>
        <v>0</v>
      </c>
      <c r="R659" s="39">
        <f>IF(B659="","",IF(O659="Duplicate","Duplicate - job billed twice",IF(M659=0,"Add - no price on this line",IF(AND(C659="",E659=""),"Add - what is this line for?","OK"))))</f>
        <v>0</v>
      </c>
    </row>
    <row r="660" spans="1:18">
      <c r="A660" s="43">
        <f>IF(B660="","","IL-"&amp;TEXT(ROW()-4,"0000"))</f>
        <v>0</v>
      </c>
      <c r="D660" s="18">
        <f>IF(C660="","",IFERROR(INDEX(Jobs!$B$5:$B$604,MATCH(C660,Jobs!$A$5:$A$604,0)),""))</f>
        <v>0</v>
      </c>
      <c r="J660" s="21">
        <f>IF(C660="","",IFERROR(INDEX(Jobs!$AJ$5:$AJ$604,MATCH(C660,Jobs!$A$5:$A$604,0)),"0"))</f>
        <v>0</v>
      </c>
      <c r="K660" s="23">
        <f>IF(C660="","",IFERROR(INDEX(Jobs!$M$5:$M$604,MATCH(C660,Jobs!$A$5:$A$604,0)),""))</f>
        <v>0</v>
      </c>
      <c r="L660" s="51">
        <f>IF(B660="","",IF(E660&lt;&gt;"",E660,IF(C660="","",K660&amp;" - "&amp;TEXT(D660,"d mmm yyyy"))))</f>
        <v>0</v>
      </c>
      <c r="M660" s="21">
        <f>IF(B660="","",IF(G660&lt;&gt;"",G660,IFERROR(J660*1,0)))</f>
        <v>0</v>
      </c>
      <c r="N660" s="21">
        <f>IF(B660="","",ROUND(IF(F660="",1,F660)*M660,2))</f>
        <v>0</v>
      </c>
      <c r="O660" s="39">
        <f>IF(B660="","",IF(C660="","",IF(COUNTIFS($C$5:$C$804,C660)&gt;1,"Duplicate","OK")))</f>
        <v>0</v>
      </c>
      <c r="P660" s="31">
        <f>IF(OR(B660="",E660=""),"",COUNTIFS($B$5:B660,B660))</f>
        <v>0</v>
      </c>
      <c r="Q660" s="23">
        <f>IF(P660="","",B660&amp;"|"&amp;P660)</f>
        <v>0</v>
      </c>
      <c r="R660" s="39">
        <f>IF(B660="","",IF(O660="Duplicate","Duplicate - job billed twice",IF(M660=0,"Add - no price on this line",IF(AND(C660="",E660=""),"Add - what is this line for?","OK"))))</f>
        <v>0</v>
      </c>
    </row>
    <row r="661" spans="1:18">
      <c r="A661" s="43">
        <f>IF(B661="","","IL-"&amp;TEXT(ROW()-4,"0000"))</f>
        <v>0</v>
      </c>
      <c r="D661" s="18">
        <f>IF(C661="","",IFERROR(INDEX(Jobs!$B$5:$B$604,MATCH(C661,Jobs!$A$5:$A$604,0)),""))</f>
        <v>0</v>
      </c>
      <c r="J661" s="21">
        <f>IF(C661="","",IFERROR(INDEX(Jobs!$AJ$5:$AJ$604,MATCH(C661,Jobs!$A$5:$A$604,0)),"0"))</f>
        <v>0</v>
      </c>
      <c r="K661" s="23">
        <f>IF(C661="","",IFERROR(INDEX(Jobs!$M$5:$M$604,MATCH(C661,Jobs!$A$5:$A$604,0)),""))</f>
        <v>0</v>
      </c>
      <c r="L661" s="51">
        <f>IF(B661="","",IF(E661&lt;&gt;"",E661,IF(C661="","",K661&amp;" - "&amp;TEXT(D661,"d mmm yyyy"))))</f>
        <v>0</v>
      </c>
      <c r="M661" s="21">
        <f>IF(B661="","",IF(G661&lt;&gt;"",G661,IFERROR(J661*1,0)))</f>
        <v>0</v>
      </c>
      <c r="N661" s="21">
        <f>IF(B661="","",ROUND(IF(F661="",1,F661)*M661,2))</f>
        <v>0</v>
      </c>
      <c r="O661" s="39">
        <f>IF(B661="","",IF(C661="","",IF(COUNTIFS($C$5:$C$804,C661)&gt;1,"Duplicate","OK")))</f>
        <v>0</v>
      </c>
      <c r="P661" s="31">
        <f>IF(OR(B661="",E661=""),"",COUNTIFS($B$5:B661,B661))</f>
        <v>0</v>
      </c>
      <c r="Q661" s="23">
        <f>IF(P661="","",B661&amp;"|"&amp;P661)</f>
        <v>0</v>
      </c>
      <c r="R661" s="39">
        <f>IF(B661="","",IF(O661="Duplicate","Duplicate - job billed twice",IF(M661=0,"Add - no price on this line",IF(AND(C661="",E661=""),"Add - what is this line for?","OK"))))</f>
        <v>0</v>
      </c>
    </row>
    <row r="662" spans="1:18">
      <c r="A662" s="43">
        <f>IF(B662="","","IL-"&amp;TEXT(ROW()-4,"0000"))</f>
        <v>0</v>
      </c>
      <c r="D662" s="18">
        <f>IF(C662="","",IFERROR(INDEX(Jobs!$B$5:$B$604,MATCH(C662,Jobs!$A$5:$A$604,0)),""))</f>
        <v>0</v>
      </c>
      <c r="J662" s="21">
        <f>IF(C662="","",IFERROR(INDEX(Jobs!$AJ$5:$AJ$604,MATCH(C662,Jobs!$A$5:$A$604,0)),"0"))</f>
        <v>0</v>
      </c>
      <c r="K662" s="23">
        <f>IF(C662="","",IFERROR(INDEX(Jobs!$M$5:$M$604,MATCH(C662,Jobs!$A$5:$A$604,0)),""))</f>
        <v>0</v>
      </c>
      <c r="L662" s="51">
        <f>IF(B662="","",IF(E662&lt;&gt;"",E662,IF(C662="","",K662&amp;" - "&amp;TEXT(D662,"d mmm yyyy"))))</f>
        <v>0</v>
      </c>
      <c r="M662" s="21">
        <f>IF(B662="","",IF(G662&lt;&gt;"",G662,IFERROR(J662*1,0)))</f>
        <v>0</v>
      </c>
      <c r="N662" s="21">
        <f>IF(B662="","",ROUND(IF(F662="",1,F662)*M662,2))</f>
        <v>0</v>
      </c>
      <c r="O662" s="39">
        <f>IF(B662="","",IF(C662="","",IF(COUNTIFS($C$5:$C$804,C662)&gt;1,"Duplicate","OK")))</f>
        <v>0</v>
      </c>
      <c r="P662" s="31">
        <f>IF(OR(B662="",E662=""),"",COUNTIFS($B$5:B662,B662))</f>
        <v>0</v>
      </c>
      <c r="Q662" s="23">
        <f>IF(P662="","",B662&amp;"|"&amp;P662)</f>
        <v>0</v>
      </c>
      <c r="R662" s="39">
        <f>IF(B662="","",IF(O662="Duplicate","Duplicate - job billed twice",IF(M662=0,"Add - no price on this line",IF(AND(C662="",E662=""),"Add - what is this line for?","OK"))))</f>
        <v>0</v>
      </c>
    </row>
    <row r="663" spans="1:18">
      <c r="A663" s="43">
        <f>IF(B663="","","IL-"&amp;TEXT(ROW()-4,"0000"))</f>
        <v>0</v>
      </c>
      <c r="D663" s="18">
        <f>IF(C663="","",IFERROR(INDEX(Jobs!$B$5:$B$604,MATCH(C663,Jobs!$A$5:$A$604,0)),""))</f>
        <v>0</v>
      </c>
      <c r="J663" s="21">
        <f>IF(C663="","",IFERROR(INDEX(Jobs!$AJ$5:$AJ$604,MATCH(C663,Jobs!$A$5:$A$604,0)),"0"))</f>
        <v>0</v>
      </c>
      <c r="K663" s="23">
        <f>IF(C663="","",IFERROR(INDEX(Jobs!$M$5:$M$604,MATCH(C663,Jobs!$A$5:$A$604,0)),""))</f>
        <v>0</v>
      </c>
      <c r="L663" s="51">
        <f>IF(B663="","",IF(E663&lt;&gt;"",E663,IF(C663="","",K663&amp;" - "&amp;TEXT(D663,"d mmm yyyy"))))</f>
        <v>0</v>
      </c>
      <c r="M663" s="21">
        <f>IF(B663="","",IF(G663&lt;&gt;"",G663,IFERROR(J663*1,0)))</f>
        <v>0</v>
      </c>
      <c r="N663" s="21">
        <f>IF(B663="","",ROUND(IF(F663="",1,F663)*M663,2))</f>
        <v>0</v>
      </c>
      <c r="O663" s="39">
        <f>IF(B663="","",IF(C663="","",IF(COUNTIFS($C$5:$C$804,C663)&gt;1,"Duplicate","OK")))</f>
        <v>0</v>
      </c>
      <c r="P663" s="31">
        <f>IF(OR(B663="",E663=""),"",COUNTIFS($B$5:B663,B663))</f>
        <v>0</v>
      </c>
      <c r="Q663" s="23">
        <f>IF(P663="","",B663&amp;"|"&amp;P663)</f>
        <v>0</v>
      </c>
      <c r="R663" s="39">
        <f>IF(B663="","",IF(O663="Duplicate","Duplicate - job billed twice",IF(M663=0,"Add - no price on this line",IF(AND(C663="",E663=""),"Add - what is this line for?","OK"))))</f>
        <v>0</v>
      </c>
    </row>
    <row r="664" spans="1:18">
      <c r="A664" s="43">
        <f>IF(B664="","","IL-"&amp;TEXT(ROW()-4,"0000"))</f>
        <v>0</v>
      </c>
      <c r="D664" s="18">
        <f>IF(C664="","",IFERROR(INDEX(Jobs!$B$5:$B$604,MATCH(C664,Jobs!$A$5:$A$604,0)),""))</f>
        <v>0</v>
      </c>
      <c r="J664" s="21">
        <f>IF(C664="","",IFERROR(INDEX(Jobs!$AJ$5:$AJ$604,MATCH(C664,Jobs!$A$5:$A$604,0)),"0"))</f>
        <v>0</v>
      </c>
      <c r="K664" s="23">
        <f>IF(C664="","",IFERROR(INDEX(Jobs!$M$5:$M$604,MATCH(C664,Jobs!$A$5:$A$604,0)),""))</f>
        <v>0</v>
      </c>
      <c r="L664" s="51">
        <f>IF(B664="","",IF(E664&lt;&gt;"",E664,IF(C664="","",K664&amp;" - "&amp;TEXT(D664,"d mmm yyyy"))))</f>
        <v>0</v>
      </c>
      <c r="M664" s="21">
        <f>IF(B664="","",IF(G664&lt;&gt;"",G664,IFERROR(J664*1,0)))</f>
        <v>0</v>
      </c>
      <c r="N664" s="21">
        <f>IF(B664="","",ROUND(IF(F664="",1,F664)*M664,2))</f>
        <v>0</v>
      </c>
      <c r="O664" s="39">
        <f>IF(B664="","",IF(C664="","",IF(COUNTIFS($C$5:$C$804,C664)&gt;1,"Duplicate","OK")))</f>
        <v>0</v>
      </c>
      <c r="P664" s="31">
        <f>IF(OR(B664="",E664=""),"",COUNTIFS($B$5:B664,B664))</f>
        <v>0</v>
      </c>
      <c r="Q664" s="23">
        <f>IF(P664="","",B664&amp;"|"&amp;P664)</f>
        <v>0</v>
      </c>
      <c r="R664" s="39">
        <f>IF(B664="","",IF(O664="Duplicate","Duplicate - job billed twice",IF(M664=0,"Add - no price on this line",IF(AND(C664="",E664=""),"Add - what is this line for?","OK"))))</f>
        <v>0</v>
      </c>
    </row>
    <row r="665" spans="1:18">
      <c r="A665" s="43">
        <f>IF(B665="","","IL-"&amp;TEXT(ROW()-4,"0000"))</f>
        <v>0</v>
      </c>
      <c r="D665" s="18">
        <f>IF(C665="","",IFERROR(INDEX(Jobs!$B$5:$B$604,MATCH(C665,Jobs!$A$5:$A$604,0)),""))</f>
        <v>0</v>
      </c>
      <c r="J665" s="21">
        <f>IF(C665="","",IFERROR(INDEX(Jobs!$AJ$5:$AJ$604,MATCH(C665,Jobs!$A$5:$A$604,0)),"0"))</f>
        <v>0</v>
      </c>
      <c r="K665" s="23">
        <f>IF(C665="","",IFERROR(INDEX(Jobs!$M$5:$M$604,MATCH(C665,Jobs!$A$5:$A$604,0)),""))</f>
        <v>0</v>
      </c>
      <c r="L665" s="51">
        <f>IF(B665="","",IF(E665&lt;&gt;"",E665,IF(C665="","",K665&amp;" - "&amp;TEXT(D665,"d mmm yyyy"))))</f>
        <v>0</v>
      </c>
      <c r="M665" s="21">
        <f>IF(B665="","",IF(G665&lt;&gt;"",G665,IFERROR(J665*1,0)))</f>
        <v>0</v>
      </c>
      <c r="N665" s="21">
        <f>IF(B665="","",ROUND(IF(F665="",1,F665)*M665,2))</f>
        <v>0</v>
      </c>
      <c r="O665" s="39">
        <f>IF(B665="","",IF(C665="","",IF(COUNTIFS($C$5:$C$804,C665)&gt;1,"Duplicate","OK")))</f>
        <v>0</v>
      </c>
      <c r="P665" s="31">
        <f>IF(OR(B665="",E665=""),"",COUNTIFS($B$5:B665,B665))</f>
        <v>0</v>
      </c>
      <c r="Q665" s="23">
        <f>IF(P665="","",B665&amp;"|"&amp;P665)</f>
        <v>0</v>
      </c>
      <c r="R665" s="39">
        <f>IF(B665="","",IF(O665="Duplicate","Duplicate - job billed twice",IF(M665=0,"Add - no price on this line",IF(AND(C665="",E665=""),"Add - what is this line for?","OK"))))</f>
        <v>0</v>
      </c>
    </row>
    <row r="666" spans="1:18">
      <c r="A666" s="43">
        <f>IF(B666="","","IL-"&amp;TEXT(ROW()-4,"0000"))</f>
        <v>0</v>
      </c>
      <c r="D666" s="18">
        <f>IF(C666="","",IFERROR(INDEX(Jobs!$B$5:$B$604,MATCH(C666,Jobs!$A$5:$A$604,0)),""))</f>
        <v>0</v>
      </c>
      <c r="J666" s="21">
        <f>IF(C666="","",IFERROR(INDEX(Jobs!$AJ$5:$AJ$604,MATCH(C666,Jobs!$A$5:$A$604,0)),"0"))</f>
        <v>0</v>
      </c>
      <c r="K666" s="23">
        <f>IF(C666="","",IFERROR(INDEX(Jobs!$M$5:$M$604,MATCH(C666,Jobs!$A$5:$A$604,0)),""))</f>
        <v>0</v>
      </c>
      <c r="L666" s="51">
        <f>IF(B666="","",IF(E666&lt;&gt;"",E666,IF(C666="","",K666&amp;" - "&amp;TEXT(D666,"d mmm yyyy"))))</f>
        <v>0</v>
      </c>
      <c r="M666" s="21">
        <f>IF(B666="","",IF(G666&lt;&gt;"",G666,IFERROR(J666*1,0)))</f>
        <v>0</v>
      </c>
      <c r="N666" s="21">
        <f>IF(B666="","",ROUND(IF(F666="",1,F666)*M666,2))</f>
        <v>0</v>
      </c>
      <c r="O666" s="39">
        <f>IF(B666="","",IF(C666="","",IF(COUNTIFS($C$5:$C$804,C666)&gt;1,"Duplicate","OK")))</f>
        <v>0</v>
      </c>
      <c r="P666" s="31">
        <f>IF(OR(B666="",E666=""),"",COUNTIFS($B$5:B666,B666))</f>
        <v>0</v>
      </c>
      <c r="Q666" s="23">
        <f>IF(P666="","",B666&amp;"|"&amp;P666)</f>
        <v>0</v>
      </c>
      <c r="R666" s="39">
        <f>IF(B666="","",IF(O666="Duplicate","Duplicate - job billed twice",IF(M666=0,"Add - no price on this line",IF(AND(C666="",E666=""),"Add - what is this line for?","OK"))))</f>
        <v>0</v>
      </c>
    </row>
    <row r="667" spans="1:18">
      <c r="A667" s="43">
        <f>IF(B667="","","IL-"&amp;TEXT(ROW()-4,"0000"))</f>
        <v>0</v>
      </c>
      <c r="D667" s="18">
        <f>IF(C667="","",IFERROR(INDEX(Jobs!$B$5:$B$604,MATCH(C667,Jobs!$A$5:$A$604,0)),""))</f>
        <v>0</v>
      </c>
      <c r="J667" s="21">
        <f>IF(C667="","",IFERROR(INDEX(Jobs!$AJ$5:$AJ$604,MATCH(C667,Jobs!$A$5:$A$604,0)),"0"))</f>
        <v>0</v>
      </c>
      <c r="K667" s="23">
        <f>IF(C667="","",IFERROR(INDEX(Jobs!$M$5:$M$604,MATCH(C667,Jobs!$A$5:$A$604,0)),""))</f>
        <v>0</v>
      </c>
      <c r="L667" s="51">
        <f>IF(B667="","",IF(E667&lt;&gt;"",E667,IF(C667="","",K667&amp;" - "&amp;TEXT(D667,"d mmm yyyy"))))</f>
        <v>0</v>
      </c>
      <c r="M667" s="21">
        <f>IF(B667="","",IF(G667&lt;&gt;"",G667,IFERROR(J667*1,0)))</f>
        <v>0</v>
      </c>
      <c r="N667" s="21">
        <f>IF(B667="","",ROUND(IF(F667="",1,F667)*M667,2))</f>
        <v>0</v>
      </c>
      <c r="O667" s="39">
        <f>IF(B667="","",IF(C667="","",IF(COUNTIFS($C$5:$C$804,C667)&gt;1,"Duplicate","OK")))</f>
        <v>0</v>
      </c>
      <c r="P667" s="31">
        <f>IF(OR(B667="",E667=""),"",COUNTIFS($B$5:B667,B667))</f>
        <v>0</v>
      </c>
      <c r="Q667" s="23">
        <f>IF(P667="","",B667&amp;"|"&amp;P667)</f>
        <v>0</v>
      </c>
      <c r="R667" s="39">
        <f>IF(B667="","",IF(O667="Duplicate","Duplicate - job billed twice",IF(M667=0,"Add - no price on this line",IF(AND(C667="",E667=""),"Add - what is this line for?","OK"))))</f>
        <v>0</v>
      </c>
    </row>
    <row r="668" spans="1:18">
      <c r="A668" s="43">
        <f>IF(B668="","","IL-"&amp;TEXT(ROW()-4,"0000"))</f>
        <v>0</v>
      </c>
      <c r="D668" s="18">
        <f>IF(C668="","",IFERROR(INDEX(Jobs!$B$5:$B$604,MATCH(C668,Jobs!$A$5:$A$604,0)),""))</f>
        <v>0</v>
      </c>
      <c r="J668" s="21">
        <f>IF(C668="","",IFERROR(INDEX(Jobs!$AJ$5:$AJ$604,MATCH(C668,Jobs!$A$5:$A$604,0)),"0"))</f>
        <v>0</v>
      </c>
      <c r="K668" s="23">
        <f>IF(C668="","",IFERROR(INDEX(Jobs!$M$5:$M$604,MATCH(C668,Jobs!$A$5:$A$604,0)),""))</f>
        <v>0</v>
      </c>
      <c r="L668" s="51">
        <f>IF(B668="","",IF(E668&lt;&gt;"",E668,IF(C668="","",K668&amp;" - "&amp;TEXT(D668,"d mmm yyyy"))))</f>
        <v>0</v>
      </c>
      <c r="M668" s="21">
        <f>IF(B668="","",IF(G668&lt;&gt;"",G668,IFERROR(J668*1,0)))</f>
        <v>0</v>
      </c>
      <c r="N668" s="21">
        <f>IF(B668="","",ROUND(IF(F668="",1,F668)*M668,2))</f>
        <v>0</v>
      </c>
      <c r="O668" s="39">
        <f>IF(B668="","",IF(C668="","",IF(COUNTIFS($C$5:$C$804,C668)&gt;1,"Duplicate","OK")))</f>
        <v>0</v>
      </c>
      <c r="P668" s="31">
        <f>IF(OR(B668="",E668=""),"",COUNTIFS($B$5:B668,B668))</f>
        <v>0</v>
      </c>
      <c r="Q668" s="23">
        <f>IF(P668="","",B668&amp;"|"&amp;P668)</f>
        <v>0</v>
      </c>
      <c r="R668" s="39">
        <f>IF(B668="","",IF(O668="Duplicate","Duplicate - job billed twice",IF(M668=0,"Add - no price on this line",IF(AND(C668="",E668=""),"Add - what is this line for?","OK"))))</f>
        <v>0</v>
      </c>
    </row>
    <row r="669" spans="1:18">
      <c r="A669" s="43">
        <f>IF(B669="","","IL-"&amp;TEXT(ROW()-4,"0000"))</f>
        <v>0</v>
      </c>
      <c r="D669" s="18">
        <f>IF(C669="","",IFERROR(INDEX(Jobs!$B$5:$B$604,MATCH(C669,Jobs!$A$5:$A$604,0)),""))</f>
        <v>0</v>
      </c>
      <c r="J669" s="21">
        <f>IF(C669="","",IFERROR(INDEX(Jobs!$AJ$5:$AJ$604,MATCH(C669,Jobs!$A$5:$A$604,0)),"0"))</f>
        <v>0</v>
      </c>
      <c r="K669" s="23">
        <f>IF(C669="","",IFERROR(INDEX(Jobs!$M$5:$M$604,MATCH(C669,Jobs!$A$5:$A$604,0)),""))</f>
        <v>0</v>
      </c>
      <c r="L669" s="51">
        <f>IF(B669="","",IF(E669&lt;&gt;"",E669,IF(C669="","",K669&amp;" - "&amp;TEXT(D669,"d mmm yyyy"))))</f>
        <v>0</v>
      </c>
      <c r="M669" s="21">
        <f>IF(B669="","",IF(G669&lt;&gt;"",G669,IFERROR(J669*1,0)))</f>
        <v>0</v>
      </c>
      <c r="N669" s="21">
        <f>IF(B669="","",ROUND(IF(F669="",1,F669)*M669,2))</f>
        <v>0</v>
      </c>
      <c r="O669" s="39">
        <f>IF(B669="","",IF(C669="","",IF(COUNTIFS($C$5:$C$804,C669)&gt;1,"Duplicate","OK")))</f>
        <v>0</v>
      </c>
      <c r="P669" s="31">
        <f>IF(OR(B669="",E669=""),"",COUNTIFS($B$5:B669,B669))</f>
        <v>0</v>
      </c>
      <c r="Q669" s="23">
        <f>IF(P669="","",B669&amp;"|"&amp;P669)</f>
        <v>0</v>
      </c>
      <c r="R669" s="39">
        <f>IF(B669="","",IF(O669="Duplicate","Duplicate - job billed twice",IF(M669=0,"Add - no price on this line",IF(AND(C669="",E669=""),"Add - what is this line for?","OK"))))</f>
        <v>0</v>
      </c>
    </row>
    <row r="670" spans="1:18">
      <c r="A670" s="43">
        <f>IF(B670="","","IL-"&amp;TEXT(ROW()-4,"0000"))</f>
        <v>0</v>
      </c>
      <c r="D670" s="18">
        <f>IF(C670="","",IFERROR(INDEX(Jobs!$B$5:$B$604,MATCH(C670,Jobs!$A$5:$A$604,0)),""))</f>
        <v>0</v>
      </c>
      <c r="J670" s="21">
        <f>IF(C670="","",IFERROR(INDEX(Jobs!$AJ$5:$AJ$604,MATCH(C670,Jobs!$A$5:$A$604,0)),"0"))</f>
        <v>0</v>
      </c>
      <c r="K670" s="23">
        <f>IF(C670="","",IFERROR(INDEX(Jobs!$M$5:$M$604,MATCH(C670,Jobs!$A$5:$A$604,0)),""))</f>
        <v>0</v>
      </c>
      <c r="L670" s="51">
        <f>IF(B670="","",IF(E670&lt;&gt;"",E670,IF(C670="","",K670&amp;" - "&amp;TEXT(D670,"d mmm yyyy"))))</f>
        <v>0</v>
      </c>
      <c r="M670" s="21">
        <f>IF(B670="","",IF(G670&lt;&gt;"",G670,IFERROR(J670*1,0)))</f>
        <v>0</v>
      </c>
      <c r="N670" s="21">
        <f>IF(B670="","",ROUND(IF(F670="",1,F670)*M670,2))</f>
        <v>0</v>
      </c>
      <c r="O670" s="39">
        <f>IF(B670="","",IF(C670="","",IF(COUNTIFS($C$5:$C$804,C670)&gt;1,"Duplicate","OK")))</f>
        <v>0</v>
      </c>
      <c r="P670" s="31">
        <f>IF(OR(B670="",E670=""),"",COUNTIFS($B$5:B670,B670))</f>
        <v>0</v>
      </c>
      <c r="Q670" s="23">
        <f>IF(P670="","",B670&amp;"|"&amp;P670)</f>
        <v>0</v>
      </c>
      <c r="R670" s="39">
        <f>IF(B670="","",IF(O670="Duplicate","Duplicate - job billed twice",IF(M670=0,"Add - no price on this line",IF(AND(C670="",E670=""),"Add - what is this line for?","OK"))))</f>
        <v>0</v>
      </c>
    </row>
    <row r="671" spans="1:18">
      <c r="A671" s="43">
        <f>IF(B671="","","IL-"&amp;TEXT(ROW()-4,"0000"))</f>
        <v>0</v>
      </c>
      <c r="D671" s="18">
        <f>IF(C671="","",IFERROR(INDEX(Jobs!$B$5:$B$604,MATCH(C671,Jobs!$A$5:$A$604,0)),""))</f>
        <v>0</v>
      </c>
      <c r="J671" s="21">
        <f>IF(C671="","",IFERROR(INDEX(Jobs!$AJ$5:$AJ$604,MATCH(C671,Jobs!$A$5:$A$604,0)),"0"))</f>
        <v>0</v>
      </c>
      <c r="K671" s="23">
        <f>IF(C671="","",IFERROR(INDEX(Jobs!$M$5:$M$604,MATCH(C671,Jobs!$A$5:$A$604,0)),""))</f>
        <v>0</v>
      </c>
      <c r="L671" s="51">
        <f>IF(B671="","",IF(E671&lt;&gt;"",E671,IF(C671="","",K671&amp;" - "&amp;TEXT(D671,"d mmm yyyy"))))</f>
        <v>0</v>
      </c>
      <c r="M671" s="21">
        <f>IF(B671="","",IF(G671&lt;&gt;"",G671,IFERROR(J671*1,0)))</f>
        <v>0</v>
      </c>
      <c r="N671" s="21">
        <f>IF(B671="","",ROUND(IF(F671="",1,F671)*M671,2))</f>
        <v>0</v>
      </c>
      <c r="O671" s="39">
        <f>IF(B671="","",IF(C671="","",IF(COUNTIFS($C$5:$C$804,C671)&gt;1,"Duplicate","OK")))</f>
        <v>0</v>
      </c>
      <c r="P671" s="31">
        <f>IF(OR(B671="",E671=""),"",COUNTIFS($B$5:B671,B671))</f>
        <v>0</v>
      </c>
      <c r="Q671" s="23">
        <f>IF(P671="","",B671&amp;"|"&amp;P671)</f>
        <v>0</v>
      </c>
      <c r="R671" s="39">
        <f>IF(B671="","",IF(O671="Duplicate","Duplicate - job billed twice",IF(M671=0,"Add - no price on this line",IF(AND(C671="",E671=""),"Add - what is this line for?","OK"))))</f>
        <v>0</v>
      </c>
    </row>
    <row r="672" spans="1:18">
      <c r="A672" s="43">
        <f>IF(B672="","","IL-"&amp;TEXT(ROW()-4,"0000"))</f>
        <v>0</v>
      </c>
      <c r="D672" s="18">
        <f>IF(C672="","",IFERROR(INDEX(Jobs!$B$5:$B$604,MATCH(C672,Jobs!$A$5:$A$604,0)),""))</f>
        <v>0</v>
      </c>
      <c r="J672" s="21">
        <f>IF(C672="","",IFERROR(INDEX(Jobs!$AJ$5:$AJ$604,MATCH(C672,Jobs!$A$5:$A$604,0)),"0"))</f>
        <v>0</v>
      </c>
      <c r="K672" s="23">
        <f>IF(C672="","",IFERROR(INDEX(Jobs!$M$5:$M$604,MATCH(C672,Jobs!$A$5:$A$604,0)),""))</f>
        <v>0</v>
      </c>
      <c r="L672" s="51">
        <f>IF(B672="","",IF(E672&lt;&gt;"",E672,IF(C672="","",K672&amp;" - "&amp;TEXT(D672,"d mmm yyyy"))))</f>
        <v>0</v>
      </c>
      <c r="M672" s="21">
        <f>IF(B672="","",IF(G672&lt;&gt;"",G672,IFERROR(J672*1,0)))</f>
        <v>0</v>
      </c>
      <c r="N672" s="21">
        <f>IF(B672="","",ROUND(IF(F672="",1,F672)*M672,2))</f>
        <v>0</v>
      </c>
      <c r="O672" s="39">
        <f>IF(B672="","",IF(C672="","",IF(COUNTIFS($C$5:$C$804,C672)&gt;1,"Duplicate","OK")))</f>
        <v>0</v>
      </c>
      <c r="P672" s="31">
        <f>IF(OR(B672="",E672=""),"",COUNTIFS($B$5:B672,B672))</f>
        <v>0</v>
      </c>
      <c r="Q672" s="23">
        <f>IF(P672="","",B672&amp;"|"&amp;P672)</f>
        <v>0</v>
      </c>
      <c r="R672" s="39">
        <f>IF(B672="","",IF(O672="Duplicate","Duplicate - job billed twice",IF(M672=0,"Add - no price on this line",IF(AND(C672="",E672=""),"Add - what is this line for?","OK"))))</f>
        <v>0</v>
      </c>
    </row>
    <row r="673" spans="1:18">
      <c r="A673" s="43">
        <f>IF(B673="","","IL-"&amp;TEXT(ROW()-4,"0000"))</f>
        <v>0</v>
      </c>
      <c r="D673" s="18">
        <f>IF(C673="","",IFERROR(INDEX(Jobs!$B$5:$B$604,MATCH(C673,Jobs!$A$5:$A$604,0)),""))</f>
        <v>0</v>
      </c>
      <c r="J673" s="21">
        <f>IF(C673="","",IFERROR(INDEX(Jobs!$AJ$5:$AJ$604,MATCH(C673,Jobs!$A$5:$A$604,0)),"0"))</f>
        <v>0</v>
      </c>
      <c r="K673" s="23">
        <f>IF(C673="","",IFERROR(INDEX(Jobs!$M$5:$M$604,MATCH(C673,Jobs!$A$5:$A$604,0)),""))</f>
        <v>0</v>
      </c>
      <c r="L673" s="51">
        <f>IF(B673="","",IF(E673&lt;&gt;"",E673,IF(C673="","",K673&amp;" - "&amp;TEXT(D673,"d mmm yyyy"))))</f>
        <v>0</v>
      </c>
      <c r="M673" s="21">
        <f>IF(B673="","",IF(G673&lt;&gt;"",G673,IFERROR(J673*1,0)))</f>
        <v>0</v>
      </c>
      <c r="N673" s="21">
        <f>IF(B673="","",ROUND(IF(F673="",1,F673)*M673,2))</f>
        <v>0</v>
      </c>
      <c r="O673" s="39">
        <f>IF(B673="","",IF(C673="","",IF(COUNTIFS($C$5:$C$804,C673)&gt;1,"Duplicate","OK")))</f>
        <v>0</v>
      </c>
      <c r="P673" s="31">
        <f>IF(OR(B673="",E673=""),"",COUNTIFS($B$5:B673,B673))</f>
        <v>0</v>
      </c>
      <c r="Q673" s="23">
        <f>IF(P673="","",B673&amp;"|"&amp;P673)</f>
        <v>0</v>
      </c>
      <c r="R673" s="39">
        <f>IF(B673="","",IF(O673="Duplicate","Duplicate - job billed twice",IF(M673=0,"Add - no price on this line",IF(AND(C673="",E673=""),"Add - what is this line for?","OK"))))</f>
        <v>0</v>
      </c>
    </row>
    <row r="674" spans="1:18">
      <c r="A674" s="43">
        <f>IF(B674="","","IL-"&amp;TEXT(ROW()-4,"0000"))</f>
        <v>0</v>
      </c>
      <c r="D674" s="18">
        <f>IF(C674="","",IFERROR(INDEX(Jobs!$B$5:$B$604,MATCH(C674,Jobs!$A$5:$A$604,0)),""))</f>
        <v>0</v>
      </c>
      <c r="J674" s="21">
        <f>IF(C674="","",IFERROR(INDEX(Jobs!$AJ$5:$AJ$604,MATCH(C674,Jobs!$A$5:$A$604,0)),"0"))</f>
        <v>0</v>
      </c>
      <c r="K674" s="23">
        <f>IF(C674="","",IFERROR(INDEX(Jobs!$M$5:$M$604,MATCH(C674,Jobs!$A$5:$A$604,0)),""))</f>
        <v>0</v>
      </c>
      <c r="L674" s="51">
        <f>IF(B674="","",IF(E674&lt;&gt;"",E674,IF(C674="","",K674&amp;" - "&amp;TEXT(D674,"d mmm yyyy"))))</f>
        <v>0</v>
      </c>
      <c r="M674" s="21">
        <f>IF(B674="","",IF(G674&lt;&gt;"",G674,IFERROR(J674*1,0)))</f>
        <v>0</v>
      </c>
      <c r="N674" s="21">
        <f>IF(B674="","",ROUND(IF(F674="",1,F674)*M674,2))</f>
        <v>0</v>
      </c>
      <c r="O674" s="39">
        <f>IF(B674="","",IF(C674="","",IF(COUNTIFS($C$5:$C$804,C674)&gt;1,"Duplicate","OK")))</f>
        <v>0</v>
      </c>
      <c r="P674" s="31">
        <f>IF(OR(B674="",E674=""),"",COUNTIFS($B$5:B674,B674))</f>
        <v>0</v>
      </c>
      <c r="Q674" s="23">
        <f>IF(P674="","",B674&amp;"|"&amp;P674)</f>
        <v>0</v>
      </c>
      <c r="R674" s="39">
        <f>IF(B674="","",IF(O674="Duplicate","Duplicate - job billed twice",IF(M674=0,"Add - no price on this line",IF(AND(C674="",E674=""),"Add - what is this line for?","OK"))))</f>
        <v>0</v>
      </c>
    </row>
    <row r="675" spans="1:18">
      <c r="A675" s="43">
        <f>IF(B675="","","IL-"&amp;TEXT(ROW()-4,"0000"))</f>
        <v>0</v>
      </c>
      <c r="D675" s="18">
        <f>IF(C675="","",IFERROR(INDEX(Jobs!$B$5:$B$604,MATCH(C675,Jobs!$A$5:$A$604,0)),""))</f>
        <v>0</v>
      </c>
      <c r="J675" s="21">
        <f>IF(C675="","",IFERROR(INDEX(Jobs!$AJ$5:$AJ$604,MATCH(C675,Jobs!$A$5:$A$604,0)),"0"))</f>
        <v>0</v>
      </c>
      <c r="K675" s="23">
        <f>IF(C675="","",IFERROR(INDEX(Jobs!$M$5:$M$604,MATCH(C675,Jobs!$A$5:$A$604,0)),""))</f>
        <v>0</v>
      </c>
      <c r="L675" s="51">
        <f>IF(B675="","",IF(E675&lt;&gt;"",E675,IF(C675="","",K675&amp;" - "&amp;TEXT(D675,"d mmm yyyy"))))</f>
        <v>0</v>
      </c>
      <c r="M675" s="21">
        <f>IF(B675="","",IF(G675&lt;&gt;"",G675,IFERROR(J675*1,0)))</f>
        <v>0</v>
      </c>
      <c r="N675" s="21">
        <f>IF(B675="","",ROUND(IF(F675="",1,F675)*M675,2))</f>
        <v>0</v>
      </c>
      <c r="O675" s="39">
        <f>IF(B675="","",IF(C675="","",IF(COUNTIFS($C$5:$C$804,C675)&gt;1,"Duplicate","OK")))</f>
        <v>0</v>
      </c>
      <c r="P675" s="31">
        <f>IF(OR(B675="",E675=""),"",COUNTIFS($B$5:B675,B675))</f>
        <v>0</v>
      </c>
      <c r="Q675" s="23">
        <f>IF(P675="","",B675&amp;"|"&amp;P675)</f>
        <v>0</v>
      </c>
      <c r="R675" s="39">
        <f>IF(B675="","",IF(O675="Duplicate","Duplicate - job billed twice",IF(M675=0,"Add - no price on this line",IF(AND(C675="",E675=""),"Add - what is this line for?","OK"))))</f>
        <v>0</v>
      </c>
    </row>
    <row r="676" spans="1:18">
      <c r="A676" s="43">
        <f>IF(B676="","","IL-"&amp;TEXT(ROW()-4,"0000"))</f>
        <v>0</v>
      </c>
      <c r="D676" s="18">
        <f>IF(C676="","",IFERROR(INDEX(Jobs!$B$5:$B$604,MATCH(C676,Jobs!$A$5:$A$604,0)),""))</f>
        <v>0</v>
      </c>
      <c r="J676" s="21">
        <f>IF(C676="","",IFERROR(INDEX(Jobs!$AJ$5:$AJ$604,MATCH(C676,Jobs!$A$5:$A$604,0)),"0"))</f>
        <v>0</v>
      </c>
      <c r="K676" s="23">
        <f>IF(C676="","",IFERROR(INDEX(Jobs!$M$5:$M$604,MATCH(C676,Jobs!$A$5:$A$604,0)),""))</f>
        <v>0</v>
      </c>
      <c r="L676" s="51">
        <f>IF(B676="","",IF(E676&lt;&gt;"",E676,IF(C676="","",K676&amp;" - "&amp;TEXT(D676,"d mmm yyyy"))))</f>
        <v>0</v>
      </c>
      <c r="M676" s="21">
        <f>IF(B676="","",IF(G676&lt;&gt;"",G676,IFERROR(J676*1,0)))</f>
        <v>0</v>
      </c>
      <c r="N676" s="21">
        <f>IF(B676="","",ROUND(IF(F676="",1,F676)*M676,2))</f>
        <v>0</v>
      </c>
      <c r="O676" s="39">
        <f>IF(B676="","",IF(C676="","",IF(COUNTIFS($C$5:$C$804,C676)&gt;1,"Duplicate","OK")))</f>
        <v>0</v>
      </c>
      <c r="P676" s="31">
        <f>IF(OR(B676="",E676=""),"",COUNTIFS($B$5:B676,B676))</f>
        <v>0</v>
      </c>
      <c r="Q676" s="23">
        <f>IF(P676="","",B676&amp;"|"&amp;P676)</f>
        <v>0</v>
      </c>
      <c r="R676" s="39">
        <f>IF(B676="","",IF(O676="Duplicate","Duplicate - job billed twice",IF(M676=0,"Add - no price on this line",IF(AND(C676="",E676=""),"Add - what is this line for?","OK"))))</f>
        <v>0</v>
      </c>
    </row>
    <row r="677" spans="1:18">
      <c r="A677" s="43">
        <f>IF(B677="","","IL-"&amp;TEXT(ROW()-4,"0000"))</f>
        <v>0</v>
      </c>
      <c r="D677" s="18">
        <f>IF(C677="","",IFERROR(INDEX(Jobs!$B$5:$B$604,MATCH(C677,Jobs!$A$5:$A$604,0)),""))</f>
        <v>0</v>
      </c>
      <c r="J677" s="21">
        <f>IF(C677="","",IFERROR(INDEX(Jobs!$AJ$5:$AJ$604,MATCH(C677,Jobs!$A$5:$A$604,0)),"0"))</f>
        <v>0</v>
      </c>
      <c r="K677" s="23">
        <f>IF(C677="","",IFERROR(INDEX(Jobs!$M$5:$M$604,MATCH(C677,Jobs!$A$5:$A$604,0)),""))</f>
        <v>0</v>
      </c>
      <c r="L677" s="51">
        <f>IF(B677="","",IF(E677&lt;&gt;"",E677,IF(C677="","",K677&amp;" - "&amp;TEXT(D677,"d mmm yyyy"))))</f>
        <v>0</v>
      </c>
      <c r="M677" s="21">
        <f>IF(B677="","",IF(G677&lt;&gt;"",G677,IFERROR(J677*1,0)))</f>
        <v>0</v>
      </c>
      <c r="N677" s="21">
        <f>IF(B677="","",ROUND(IF(F677="",1,F677)*M677,2))</f>
        <v>0</v>
      </c>
      <c r="O677" s="39">
        <f>IF(B677="","",IF(C677="","",IF(COUNTIFS($C$5:$C$804,C677)&gt;1,"Duplicate","OK")))</f>
        <v>0</v>
      </c>
      <c r="P677" s="31">
        <f>IF(OR(B677="",E677=""),"",COUNTIFS($B$5:B677,B677))</f>
        <v>0</v>
      </c>
      <c r="Q677" s="23">
        <f>IF(P677="","",B677&amp;"|"&amp;P677)</f>
        <v>0</v>
      </c>
      <c r="R677" s="39">
        <f>IF(B677="","",IF(O677="Duplicate","Duplicate - job billed twice",IF(M677=0,"Add - no price on this line",IF(AND(C677="",E677=""),"Add - what is this line for?","OK"))))</f>
        <v>0</v>
      </c>
    </row>
    <row r="678" spans="1:18">
      <c r="A678" s="43">
        <f>IF(B678="","","IL-"&amp;TEXT(ROW()-4,"0000"))</f>
        <v>0</v>
      </c>
      <c r="D678" s="18">
        <f>IF(C678="","",IFERROR(INDEX(Jobs!$B$5:$B$604,MATCH(C678,Jobs!$A$5:$A$604,0)),""))</f>
        <v>0</v>
      </c>
      <c r="J678" s="21">
        <f>IF(C678="","",IFERROR(INDEX(Jobs!$AJ$5:$AJ$604,MATCH(C678,Jobs!$A$5:$A$604,0)),"0"))</f>
        <v>0</v>
      </c>
      <c r="K678" s="23">
        <f>IF(C678="","",IFERROR(INDEX(Jobs!$M$5:$M$604,MATCH(C678,Jobs!$A$5:$A$604,0)),""))</f>
        <v>0</v>
      </c>
      <c r="L678" s="51">
        <f>IF(B678="","",IF(E678&lt;&gt;"",E678,IF(C678="","",K678&amp;" - "&amp;TEXT(D678,"d mmm yyyy"))))</f>
        <v>0</v>
      </c>
      <c r="M678" s="21">
        <f>IF(B678="","",IF(G678&lt;&gt;"",G678,IFERROR(J678*1,0)))</f>
        <v>0</v>
      </c>
      <c r="N678" s="21">
        <f>IF(B678="","",ROUND(IF(F678="",1,F678)*M678,2))</f>
        <v>0</v>
      </c>
      <c r="O678" s="39">
        <f>IF(B678="","",IF(C678="","",IF(COUNTIFS($C$5:$C$804,C678)&gt;1,"Duplicate","OK")))</f>
        <v>0</v>
      </c>
      <c r="P678" s="31">
        <f>IF(OR(B678="",E678=""),"",COUNTIFS($B$5:B678,B678))</f>
        <v>0</v>
      </c>
      <c r="Q678" s="23">
        <f>IF(P678="","",B678&amp;"|"&amp;P678)</f>
        <v>0</v>
      </c>
      <c r="R678" s="39">
        <f>IF(B678="","",IF(O678="Duplicate","Duplicate - job billed twice",IF(M678=0,"Add - no price on this line",IF(AND(C678="",E678=""),"Add - what is this line for?","OK"))))</f>
        <v>0</v>
      </c>
    </row>
    <row r="679" spans="1:18">
      <c r="A679" s="43">
        <f>IF(B679="","","IL-"&amp;TEXT(ROW()-4,"0000"))</f>
        <v>0</v>
      </c>
      <c r="D679" s="18">
        <f>IF(C679="","",IFERROR(INDEX(Jobs!$B$5:$B$604,MATCH(C679,Jobs!$A$5:$A$604,0)),""))</f>
        <v>0</v>
      </c>
      <c r="J679" s="21">
        <f>IF(C679="","",IFERROR(INDEX(Jobs!$AJ$5:$AJ$604,MATCH(C679,Jobs!$A$5:$A$604,0)),"0"))</f>
        <v>0</v>
      </c>
      <c r="K679" s="23">
        <f>IF(C679="","",IFERROR(INDEX(Jobs!$M$5:$M$604,MATCH(C679,Jobs!$A$5:$A$604,0)),""))</f>
        <v>0</v>
      </c>
      <c r="L679" s="51">
        <f>IF(B679="","",IF(E679&lt;&gt;"",E679,IF(C679="","",K679&amp;" - "&amp;TEXT(D679,"d mmm yyyy"))))</f>
        <v>0</v>
      </c>
      <c r="M679" s="21">
        <f>IF(B679="","",IF(G679&lt;&gt;"",G679,IFERROR(J679*1,0)))</f>
        <v>0</v>
      </c>
      <c r="N679" s="21">
        <f>IF(B679="","",ROUND(IF(F679="",1,F679)*M679,2))</f>
        <v>0</v>
      </c>
      <c r="O679" s="39">
        <f>IF(B679="","",IF(C679="","",IF(COUNTIFS($C$5:$C$804,C679)&gt;1,"Duplicate","OK")))</f>
        <v>0</v>
      </c>
      <c r="P679" s="31">
        <f>IF(OR(B679="",E679=""),"",COUNTIFS($B$5:B679,B679))</f>
        <v>0</v>
      </c>
      <c r="Q679" s="23">
        <f>IF(P679="","",B679&amp;"|"&amp;P679)</f>
        <v>0</v>
      </c>
      <c r="R679" s="39">
        <f>IF(B679="","",IF(O679="Duplicate","Duplicate - job billed twice",IF(M679=0,"Add - no price on this line",IF(AND(C679="",E679=""),"Add - what is this line for?","OK"))))</f>
        <v>0</v>
      </c>
    </row>
    <row r="680" spans="1:18">
      <c r="A680" s="43">
        <f>IF(B680="","","IL-"&amp;TEXT(ROW()-4,"0000"))</f>
        <v>0</v>
      </c>
      <c r="D680" s="18">
        <f>IF(C680="","",IFERROR(INDEX(Jobs!$B$5:$B$604,MATCH(C680,Jobs!$A$5:$A$604,0)),""))</f>
        <v>0</v>
      </c>
      <c r="J680" s="21">
        <f>IF(C680="","",IFERROR(INDEX(Jobs!$AJ$5:$AJ$604,MATCH(C680,Jobs!$A$5:$A$604,0)),"0"))</f>
        <v>0</v>
      </c>
      <c r="K680" s="23">
        <f>IF(C680="","",IFERROR(INDEX(Jobs!$M$5:$M$604,MATCH(C680,Jobs!$A$5:$A$604,0)),""))</f>
        <v>0</v>
      </c>
      <c r="L680" s="51">
        <f>IF(B680="","",IF(E680&lt;&gt;"",E680,IF(C680="","",K680&amp;" - "&amp;TEXT(D680,"d mmm yyyy"))))</f>
        <v>0</v>
      </c>
      <c r="M680" s="21">
        <f>IF(B680="","",IF(G680&lt;&gt;"",G680,IFERROR(J680*1,0)))</f>
        <v>0</v>
      </c>
      <c r="N680" s="21">
        <f>IF(B680="","",ROUND(IF(F680="",1,F680)*M680,2))</f>
        <v>0</v>
      </c>
      <c r="O680" s="39">
        <f>IF(B680="","",IF(C680="","",IF(COUNTIFS($C$5:$C$804,C680)&gt;1,"Duplicate","OK")))</f>
        <v>0</v>
      </c>
      <c r="P680" s="31">
        <f>IF(OR(B680="",E680=""),"",COUNTIFS($B$5:B680,B680))</f>
        <v>0</v>
      </c>
      <c r="Q680" s="23">
        <f>IF(P680="","",B680&amp;"|"&amp;P680)</f>
        <v>0</v>
      </c>
      <c r="R680" s="39">
        <f>IF(B680="","",IF(O680="Duplicate","Duplicate - job billed twice",IF(M680=0,"Add - no price on this line",IF(AND(C680="",E680=""),"Add - what is this line for?","OK"))))</f>
        <v>0</v>
      </c>
    </row>
    <row r="681" spans="1:18">
      <c r="A681" s="43">
        <f>IF(B681="","","IL-"&amp;TEXT(ROW()-4,"0000"))</f>
        <v>0</v>
      </c>
      <c r="D681" s="18">
        <f>IF(C681="","",IFERROR(INDEX(Jobs!$B$5:$B$604,MATCH(C681,Jobs!$A$5:$A$604,0)),""))</f>
        <v>0</v>
      </c>
      <c r="J681" s="21">
        <f>IF(C681="","",IFERROR(INDEX(Jobs!$AJ$5:$AJ$604,MATCH(C681,Jobs!$A$5:$A$604,0)),"0"))</f>
        <v>0</v>
      </c>
      <c r="K681" s="23">
        <f>IF(C681="","",IFERROR(INDEX(Jobs!$M$5:$M$604,MATCH(C681,Jobs!$A$5:$A$604,0)),""))</f>
        <v>0</v>
      </c>
      <c r="L681" s="51">
        <f>IF(B681="","",IF(E681&lt;&gt;"",E681,IF(C681="","",K681&amp;" - "&amp;TEXT(D681,"d mmm yyyy"))))</f>
        <v>0</v>
      </c>
      <c r="M681" s="21">
        <f>IF(B681="","",IF(G681&lt;&gt;"",G681,IFERROR(J681*1,0)))</f>
        <v>0</v>
      </c>
      <c r="N681" s="21">
        <f>IF(B681="","",ROUND(IF(F681="",1,F681)*M681,2))</f>
        <v>0</v>
      </c>
      <c r="O681" s="39">
        <f>IF(B681="","",IF(C681="","",IF(COUNTIFS($C$5:$C$804,C681)&gt;1,"Duplicate","OK")))</f>
        <v>0</v>
      </c>
      <c r="P681" s="31">
        <f>IF(OR(B681="",E681=""),"",COUNTIFS($B$5:B681,B681))</f>
        <v>0</v>
      </c>
      <c r="Q681" s="23">
        <f>IF(P681="","",B681&amp;"|"&amp;P681)</f>
        <v>0</v>
      </c>
      <c r="R681" s="39">
        <f>IF(B681="","",IF(O681="Duplicate","Duplicate - job billed twice",IF(M681=0,"Add - no price on this line",IF(AND(C681="",E681=""),"Add - what is this line for?","OK"))))</f>
        <v>0</v>
      </c>
    </row>
    <row r="682" spans="1:18">
      <c r="A682" s="43">
        <f>IF(B682="","","IL-"&amp;TEXT(ROW()-4,"0000"))</f>
        <v>0</v>
      </c>
      <c r="D682" s="18">
        <f>IF(C682="","",IFERROR(INDEX(Jobs!$B$5:$B$604,MATCH(C682,Jobs!$A$5:$A$604,0)),""))</f>
        <v>0</v>
      </c>
      <c r="J682" s="21">
        <f>IF(C682="","",IFERROR(INDEX(Jobs!$AJ$5:$AJ$604,MATCH(C682,Jobs!$A$5:$A$604,0)),"0"))</f>
        <v>0</v>
      </c>
      <c r="K682" s="23">
        <f>IF(C682="","",IFERROR(INDEX(Jobs!$M$5:$M$604,MATCH(C682,Jobs!$A$5:$A$604,0)),""))</f>
        <v>0</v>
      </c>
      <c r="L682" s="51">
        <f>IF(B682="","",IF(E682&lt;&gt;"",E682,IF(C682="","",K682&amp;" - "&amp;TEXT(D682,"d mmm yyyy"))))</f>
        <v>0</v>
      </c>
      <c r="M682" s="21">
        <f>IF(B682="","",IF(G682&lt;&gt;"",G682,IFERROR(J682*1,0)))</f>
        <v>0</v>
      </c>
      <c r="N682" s="21">
        <f>IF(B682="","",ROUND(IF(F682="",1,F682)*M682,2))</f>
        <v>0</v>
      </c>
      <c r="O682" s="39">
        <f>IF(B682="","",IF(C682="","",IF(COUNTIFS($C$5:$C$804,C682)&gt;1,"Duplicate","OK")))</f>
        <v>0</v>
      </c>
      <c r="P682" s="31">
        <f>IF(OR(B682="",E682=""),"",COUNTIFS($B$5:B682,B682))</f>
        <v>0</v>
      </c>
      <c r="Q682" s="23">
        <f>IF(P682="","",B682&amp;"|"&amp;P682)</f>
        <v>0</v>
      </c>
      <c r="R682" s="39">
        <f>IF(B682="","",IF(O682="Duplicate","Duplicate - job billed twice",IF(M682=0,"Add - no price on this line",IF(AND(C682="",E682=""),"Add - what is this line for?","OK"))))</f>
        <v>0</v>
      </c>
    </row>
    <row r="683" spans="1:18">
      <c r="A683" s="43">
        <f>IF(B683="","","IL-"&amp;TEXT(ROW()-4,"0000"))</f>
        <v>0</v>
      </c>
      <c r="D683" s="18">
        <f>IF(C683="","",IFERROR(INDEX(Jobs!$B$5:$B$604,MATCH(C683,Jobs!$A$5:$A$604,0)),""))</f>
        <v>0</v>
      </c>
      <c r="J683" s="21">
        <f>IF(C683="","",IFERROR(INDEX(Jobs!$AJ$5:$AJ$604,MATCH(C683,Jobs!$A$5:$A$604,0)),"0"))</f>
        <v>0</v>
      </c>
      <c r="K683" s="23">
        <f>IF(C683="","",IFERROR(INDEX(Jobs!$M$5:$M$604,MATCH(C683,Jobs!$A$5:$A$604,0)),""))</f>
        <v>0</v>
      </c>
      <c r="L683" s="51">
        <f>IF(B683="","",IF(E683&lt;&gt;"",E683,IF(C683="","",K683&amp;" - "&amp;TEXT(D683,"d mmm yyyy"))))</f>
        <v>0</v>
      </c>
      <c r="M683" s="21">
        <f>IF(B683="","",IF(G683&lt;&gt;"",G683,IFERROR(J683*1,0)))</f>
        <v>0</v>
      </c>
      <c r="N683" s="21">
        <f>IF(B683="","",ROUND(IF(F683="",1,F683)*M683,2))</f>
        <v>0</v>
      </c>
      <c r="O683" s="39">
        <f>IF(B683="","",IF(C683="","",IF(COUNTIFS($C$5:$C$804,C683)&gt;1,"Duplicate","OK")))</f>
        <v>0</v>
      </c>
      <c r="P683" s="31">
        <f>IF(OR(B683="",E683=""),"",COUNTIFS($B$5:B683,B683))</f>
        <v>0</v>
      </c>
      <c r="Q683" s="23">
        <f>IF(P683="","",B683&amp;"|"&amp;P683)</f>
        <v>0</v>
      </c>
      <c r="R683" s="39">
        <f>IF(B683="","",IF(O683="Duplicate","Duplicate - job billed twice",IF(M683=0,"Add - no price on this line",IF(AND(C683="",E683=""),"Add - what is this line for?","OK"))))</f>
        <v>0</v>
      </c>
    </row>
    <row r="684" spans="1:18">
      <c r="A684" s="43">
        <f>IF(B684="","","IL-"&amp;TEXT(ROW()-4,"0000"))</f>
        <v>0</v>
      </c>
      <c r="D684" s="18">
        <f>IF(C684="","",IFERROR(INDEX(Jobs!$B$5:$B$604,MATCH(C684,Jobs!$A$5:$A$604,0)),""))</f>
        <v>0</v>
      </c>
      <c r="J684" s="21">
        <f>IF(C684="","",IFERROR(INDEX(Jobs!$AJ$5:$AJ$604,MATCH(C684,Jobs!$A$5:$A$604,0)),"0"))</f>
        <v>0</v>
      </c>
      <c r="K684" s="23">
        <f>IF(C684="","",IFERROR(INDEX(Jobs!$M$5:$M$604,MATCH(C684,Jobs!$A$5:$A$604,0)),""))</f>
        <v>0</v>
      </c>
      <c r="L684" s="51">
        <f>IF(B684="","",IF(E684&lt;&gt;"",E684,IF(C684="","",K684&amp;" - "&amp;TEXT(D684,"d mmm yyyy"))))</f>
        <v>0</v>
      </c>
      <c r="M684" s="21">
        <f>IF(B684="","",IF(G684&lt;&gt;"",G684,IFERROR(J684*1,0)))</f>
        <v>0</v>
      </c>
      <c r="N684" s="21">
        <f>IF(B684="","",ROUND(IF(F684="",1,F684)*M684,2))</f>
        <v>0</v>
      </c>
      <c r="O684" s="39">
        <f>IF(B684="","",IF(C684="","",IF(COUNTIFS($C$5:$C$804,C684)&gt;1,"Duplicate","OK")))</f>
        <v>0</v>
      </c>
      <c r="P684" s="31">
        <f>IF(OR(B684="",E684=""),"",COUNTIFS($B$5:B684,B684))</f>
        <v>0</v>
      </c>
      <c r="Q684" s="23">
        <f>IF(P684="","",B684&amp;"|"&amp;P684)</f>
        <v>0</v>
      </c>
      <c r="R684" s="39">
        <f>IF(B684="","",IF(O684="Duplicate","Duplicate - job billed twice",IF(M684=0,"Add - no price on this line",IF(AND(C684="",E684=""),"Add - what is this line for?","OK"))))</f>
        <v>0</v>
      </c>
    </row>
    <row r="685" spans="1:18">
      <c r="A685" s="43">
        <f>IF(B685="","","IL-"&amp;TEXT(ROW()-4,"0000"))</f>
        <v>0</v>
      </c>
      <c r="D685" s="18">
        <f>IF(C685="","",IFERROR(INDEX(Jobs!$B$5:$B$604,MATCH(C685,Jobs!$A$5:$A$604,0)),""))</f>
        <v>0</v>
      </c>
      <c r="J685" s="21">
        <f>IF(C685="","",IFERROR(INDEX(Jobs!$AJ$5:$AJ$604,MATCH(C685,Jobs!$A$5:$A$604,0)),"0"))</f>
        <v>0</v>
      </c>
      <c r="K685" s="23">
        <f>IF(C685="","",IFERROR(INDEX(Jobs!$M$5:$M$604,MATCH(C685,Jobs!$A$5:$A$604,0)),""))</f>
        <v>0</v>
      </c>
      <c r="L685" s="51">
        <f>IF(B685="","",IF(E685&lt;&gt;"",E685,IF(C685="","",K685&amp;" - "&amp;TEXT(D685,"d mmm yyyy"))))</f>
        <v>0</v>
      </c>
      <c r="M685" s="21">
        <f>IF(B685="","",IF(G685&lt;&gt;"",G685,IFERROR(J685*1,0)))</f>
        <v>0</v>
      </c>
      <c r="N685" s="21">
        <f>IF(B685="","",ROUND(IF(F685="",1,F685)*M685,2))</f>
        <v>0</v>
      </c>
      <c r="O685" s="39">
        <f>IF(B685="","",IF(C685="","",IF(COUNTIFS($C$5:$C$804,C685)&gt;1,"Duplicate","OK")))</f>
        <v>0</v>
      </c>
      <c r="P685" s="31">
        <f>IF(OR(B685="",E685=""),"",COUNTIFS($B$5:B685,B685))</f>
        <v>0</v>
      </c>
      <c r="Q685" s="23">
        <f>IF(P685="","",B685&amp;"|"&amp;P685)</f>
        <v>0</v>
      </c>
      <c r="R685" s="39">
        <f>IF(B685="","",IF(O685="Duplicate","Duplicate - job billed twice",IF(M685=0,"Add - no price on this line",IF(AND(C685="",E685=""),"Add - what is this line for?","OK"))))</f>
        <v>0</v>
      </c>
    </row>
    <row r="686" spans="1:18">
      <c r="A686" s="43">
        <f>IF(B686="","","IL-"&amp;TEXT(ROW()-4,"0000"))</f>
        <v>0</v>
      </c>
      <c r="D686" s="18">
        <f>IF(C686="","",IFERROR(INDEX(Jobs!$B$5:$B$604,MATCH(C686,Jobs!$A$5:$A$604,0)),""))</f>
        <v>0</v>
      </c>
      <c r="J686" s="21">
        <f>IF(C686="","",IFERROR(INDEX(Jobs!$AJ$5:$AJ$604,MATCH(C686,Jobs!$A$5:$A$604,0)),"0"))</f>
        <v>0</v>
      </c>
      <c r="K686" s="23">
        <f>IF(C686="","",IFERROR(INDEX(Jobs!$M$5:$M$604,MATCH(C686,Jobs!$A$5:$A$604,0)),""))</f>
        <v>0</v>
      </c>
      <c r="L686" s="51">
        <f>IF(B686="","",IF(E686&lt;&gt;"",E686,IF(C686="","",K686&amp;" - "&amp;TEXT(D686,"d mmm yyyy"))))</f>
        <v>0</v>
      </c>
      <c r="M686" s="21">
        <f>IF(B686="","",IF(G686&lt;&gt;"",G686,IFERROR(J686*1,0)))</f>
        <v>0</v>
      </c>
      <c r="N686" s="21">
        <f>IF(B686="","",ROUND(IF(F686="",1,F686)*M686,2))</f>
        <v>0</v>
      </c>
      <c r="O686" s="39">
        <f>IF(B686="","",IF(C686="","",IF(COUNTIFS($C$5:$C$804,C686)&gt;1,"Duplicate","OK")))</f>
        <v>0</v>
      </c>
      <c r="P686" s="31">
        <f>IF(OR(B686="",E686=""),"",COUNTIFS($B$5:B686,B686))</f>
        <v>0</v>
      </c>
      <c r="Q686" s="23">
        <f>IF(P686="","",B686&amp;"|"&amp;P686)</f>
        <v>0</v>
      </c>
      <c r="R686" s="39">
        <f>IF(B686="","",IF(O686="Duplicate","Duplicate - job billed twice",IF(M686=0,"Add - no price on this line",IF(AND(C686="",E686=""),"Add - what is this line for?","OK"))))</f>
        <v>0</v>
      </c>
    </row>
    <row r="687" spans="1:18">
      <c r="A687" s="43">
        <f>IF(B687="","","IL-"&amp;TEXT(ROW()-4,"0000"))</f>
        <v>0</v>
      </c>
      <c r="D687" s="18">
        <f>IF(C687="","",IFERROR(INDEX(Jobs!$B$5:$B$604,MATCH(C687,Jobs!$A$5:$A$604,0)),""))</f>
        <v>0</v>
      </c>
      <c r="J687" s="21">
        <f>IF(C687="","",IFERROR(INDEX(Jobs!$AJ$5:$AJ$604,MATCH(C687,Jobs!$A$5:$A$604,0)),"0"))</f>
        <v>0</v>
      </c>
      <c r="K687" s="23">
        <f>IF(C687="","",IFERROR(INDEX(Jobs!$M$5:$M$604,MATCH(C687,Jobs!$A$5:$A$604,0)),""))</f>
        <v>0</v>
      </c>
      <c r="L687" s="51">
        <f>IF(B687="","",IF(E687&lt;&gt;"",E687,IF(C687="","",K687&amp;" - "&amp;TEXT(D687,"d mmm yyyy"))))</f>
        <v>0</v>
      </c>
      <c r="M687" s="21">
        <f>IF(B687="","",IF(G687&lt;&gt;"",G687,IFERROR(J687*1,0)))</f>
        <v>0</v>
      </c>
      <c r="N687" s="21">
        <f>IF(B687="","",ROUND(IF(F687="",1,F687)*M687,2))</f>
        <v>0</v>
      </c>
      <c r="O687" s="39">
        <f>IF(B687="","",IF(C687="","",IF(COUNTIFS($C$5:$C$804,C687)&gt;1,"Duplicate","OK")))</f>
        <v>0</v>
      </c>
      <c r="P687" s="31">
        <f>IF(OR(B687="",E687=""),"",COUNTIFS($B$5:B687,B687))</f>
        <v>0</v>
      </c>
      <c r="Q687" s="23">
        <f>IF(P687="","",B687&amp;"|"&amp;P687)</f>
        <v>0</v>
      </c>
      <c r="R687" s="39">
        <f>IF(B687="","",IF(O687="Duplicate","Duplicate - job billed twice",IF(M687=0,"Add - no price on this line",IF(AND(C687="",E687=""),"Add - what is this line for?","OK"))))</f>
        <v>0</v>
      </c>
    </row>
    <row r="688" spans="1:18">
      <c r="A688" s="43">
        <f>IF(B688="","","IL-"&amp;TEXT(ROW()-4,"0000"))</f>
        <v>0</v>
      </c>
      <c r="D688" s="18">
        <f>IF(C688="","",IFERROR(INDEX(Jobs!$B$5:$B$604,MATCH(C688,Jobs!$A$5:$A$604,0)),""))</f>
        <v>0</v>
      </c>
      <c r="J688" s="21">
        <f>IF(C688="","",IFERROR(INDEX(Jobs!$AJ$5:$AJ$604,MATCH(C688,Jobs!$A$5:$A$604,0)),"0"))</f>
        <v>0</v>
      </c>
      <c r="K688" s="23">
        <f>IF(C688="","",IFERROR(INDEX(Jobs!$M$5:$M$604,MATCH(C688,Jobs!$A$5:$A$604,0)),""))</f>
        <v>0</v>
      </c>
      <c r="L688" s="51">
        <f>IF(B688="","",IF(E688&lt;&gt;"",E688,IF(C688="","",K688&amp;" - "&amp;TEXT(D688,"d mmm yyyy"))))</f>
        <v>0</v>
      </c>
      <c r="M688" s="21">
        <f>IF(B688="","",IF(G688&lt;&gt;"",G688,IFERROR(J688*1,0)))</f>
        <v>0</v>
      </c>
      <c r="N688" s="21">
        <f>IF(B688="","",ROUND(IF(F688="",1,F688)*M688,2))</f>
        <v>0</v>
      </c>
      <c r="O688" s="39">
        <f>IF(B688="","",IF(C688="","",IF(COUNTIFS($C$5:$C$804,C688)&gt;1,"Duplicate","OK")))</f>
        <v>0</v>
      </c>
      <c r="P688" s="31">
        <f>IF(OR(B688="",E688=""),"",COUNTIFS($B$5:B688,B688))</f>
        <v>0</v>
      </c>
      <c r="Q688" s="23">
        <f>IF(P688="","",B688&amp;"|"&amp;P688)</f>
        <v>0</v>
      </c>
      <c r="R688" s="39">
        <f>IF(B688="","",IF(O688="Duplicate","Duplicate - job billed twice",IF(M688=0,"Add - no price on this line",IF(AND(C688="",E688=""),"Add - what is this line for?","OK"))))</f>
        <v>0</v>
      </c>
    </row>
    <row r="689" spans="1:18">
      <c r="A689" s="43">
        <f>IF(B689="","","IL-"&amp;TEXT(ROW()-4,"0000"))</f>
        <v>0</v>
      </c>
      <c r="D689" s="18">
        <f>IF(C689="","",IFERROR(INDEX(Jobs!$B$5:$B$604,MATCH(C689,Jobs!$A$5:$A$604,0)),""))</f>
        <v>0</v>
      </c>
      <c r="J689" s="21">
        <f>IF(C689="","",IFERROR(INDEX(Jobs!$AJ$5:$AJ$604,MATCH(C689,Jobs!$A$5:$A$604,0)),"0"))</f>
        <v>0</v>
      </c>
      <c r="K689" s="23">
        <f>IF(C689="","",IFERROR(INDEX(Jobs!$M$5:$M$604,MATCH(C689,Jobs!$A$5:$A$604,0)),""))</f>
        <v>0</v>
      </c>
      <c r="L689" s="51">
        <f>IF(B689="","",IF(E689&lt;&gt;"",E689,IF(C689="","",K689&amp;" - "&amp;TEXT(D689,"d mmm yyyy"))))</f>
        <v>0</v>
      </c>
      <c r="M689" s="21">
        <f>IF(B689="","",IF(G689&lt;&gt;"",G689,IFERROR(J689*1,0)))</f>
        <v>0</v>
      </c>
      <c r="N689" s="21">
        <f>IF(B689="","",ROUND(IF(F689="",1,F689)*M689,2))</f>
        <v>0</v>
      </c>
      <c r="O689" s="39">
        <f>IF(B689="","",IF(C689="","",IF(COUNTIFS($C$5:$C$804,C689)&gt;1,"Duplicate","OK")))</f>
        <v>0</v>
      </c>
      <c r="P689" s="31">
        <f>IF(OR(B689="",E689=""),"",COUNTIFS($B$5:B689,B689))</f>
        <v>0</v>
      </c>
      <c r="Q689" s="23">
        <f>IF(P689="","",B689&amp;"|"&amp;P689)</f>
        <v>0</v>
      </c>
      <c r="R689" s="39">
        <f>IF(B689="","",IF(O689="Duplicate","Duplicate - job billed twice",IF(M689=0,"Add - no price on this line",IF(AND(C689="",E689=""),"Add - what is this line for?","OK"))))</f>
        <v>0</v>
      </c>
    </row>
    <row r="690" spans="1:18">
      <c r="A690" s="43">
        <f>IF(B690="","","IL-"&amp;TEXT(ROW()-4,"0000"))</f>
        <v>0</v>
      </c>
      <c r="D690" s="18">
        <f>IF(C690="","",IFERROR(INDEX(Jobs!$B$5:$B$604,MATCH(C690,Jobs!$A$5:$A$604,0)),""))</f>
        <v>0</v>
      </c>
      <c r="J690" s="21">
        <f>IF(C690="","",IFERROR(INDEX(Jobs!$AJ$5:$AJ$604,MATCH(C690,Jobs!$A$5:$A$604,0)),"0"))</f>
        <v>0</v>
      </c>
      <c r="K690" s="23">
        <f>IF(C690="","",IFERROR(INDEX(Jobs!$M$5:$M$604,MATCH(C690,Jobs!$A$5:$A$604,0)),""))</f>
        <v>0</v>
      </c>
      <c r="L690" s="51">
        <f>IF(B690="","",IF(E690&lt;&gt;"",E690,IF(C690="","",K690&amp;" - "&amp;TEXT(D690,"d mmm yyyy"))))</f>
        <v>0</v>
      </c>
      <c r="M690" s="21">
        <f>IF(B690="","",IF(G690&lt;&gt;"",G690,IFERROR(J690*1,0)))</f>
        <v>0</v>
      </c>
      <c r="N690" s="21">
        <f>IF(B690="","",ROUND(IF(F690="",1,F690)*M690,2))</f>
        <v>0</v>
      </c>
      <c r="O690" s="39">
        <f>IF(B690="","",IF(C690="","",IF(COUNTIFS($C$5:$C$804,C690)&gt;1,"Duplicate","OK")))</f>
        <v>0</v>
      </c>
      <c r="P690" s="31">
        <f>IF(OR(B690="",E690=""),"",COUNTIFS($B$5:B690,B690))</f>
        <v>0</v>
      </c>
      <c r="Q690" s="23">
        <f>IF(P690="","",B690&amp;"|"&amp;P690)</f>
        <v>0</v>
      </c>
      <c r="R690" s="39">
        <f>IF(B690="","",IF(O690="Duplicate","Duplicate - job billed twice",IF(M690=0,"Add - no price on this line",IF(AND(C690="",E690=""),"Add - what is this line for?","OK"))))</f>
        <v>0</v>
      </c>
    </row>
    <row r="691" spans="1:18">
      <c r="A691" s="43">
        <f>IF(B691="","","IL-"&amp;TEXT(ROW()-4,"0000"))</f>
        <v>0</v>
      </c>
      <c r="D691" s="18">
        <f>IF(C691="","",IFERROR(INDEX(Jobs!$B$5:$B$604,MATCH(C691,Jobs!$A$5:$A$604,0)),""))</f>
        <v>0</v>
      </c>
      <c r="J691" s="21">
        <f>IF(C691="","",IFERROR(INDEX(Jobs!$AJ$5:$AJ$604,MATCH(C691,Jobs!$A$5:$A$604,0)),"0"))</f>
        <v>0</v>
      </c>
      <c r="K691" s="23">
        <f>IF(C691="","",IFERROR(INDEX(Jobs!$M$5:$M$604,MATCH(C691,Jobs!$A$5:$A$604,0)),""))</f>
        <v>0</v>
      </c>
      <c r="L691" s="51">
        <f>IF(B691="","",IF(E691&lt;&gt;"",E691,IF(C691="","",K691&amp;" - "&amp;TEXT(D691,"d mmm yyyy"))))</f>
        <v>0</v>
      </c>
      <c r="M691" s="21">
        <f>IF(B691="","",IF(G691&lt;&gt;"",G691,IFERROR(J691*1,0)))</f>
        <v>0</v>
      </c>
      <c r="N691" s="21">
        <f>IF(B691="","",ROUND(IF(F691="",1,F691)*M691,2))</f>
        <v>0</v>
      </c>
      <c r="O691" s="39">
        <f>IF(B691="","",IF(C691="","",IF(COUNTIFS($C$5:$C$804,C691)&gt;1,"Duplicate","OK")))</f>
        <v>0</v>
      </c>
      <c r="P691" s="31">
        <f>IF(OR(B691="",E691=""),"",COUNTIFS($B$5:B691,B691))</f>
        <v>0</v>
      </c>
      <c r="Q691" s="23">
        <f>IF(P691="","",B691&amp;"|"&amp;P691)</f>
        <v>0</v>
      </c>
      <c r="R691" s="39">
        <f>IF(B691="","",IF(O691="Duplicate","Duplicate - job billed twice",IF(M691=0,"Add - no price on this line",IF(AND(C691="",E691=""),"Add - what is this line for?","OK"))))</f>
        <v>0</v>
      </c>
    </row>
    <row r="692" spans="1:18">
      <c r="A692" s="43">
        <f>IF(B692="","","IL-"&amp;TEXT(ROW()-4,"0000"))</f>
        <v>0</v>
      </c>
      <c r="D692" s="18">
        <f>IF(C692="","",IFERROR(INDEX(Jobs!$B$5:$B$604,MATCH(C692,Jobs!$A$5:$A$604,0)),""))</f>
        <v>0</v>
      </c>
      <c r="J692" s="21">
        <f>IF(C692="","",IFERROR(INDEX(Jobs!$AJ$5:$AJ$604,MATCH(C692,Jobs!$A$5:$A$604,0)),"0"))</f>
        <v>0</v>
      </c>
      <c r="K692" s="23">
        <f>IF(C692="","",IFERROR(INDEX(Jobs!$M$5:$M$604,MATCH(C692,Jobs!$A$5:$A$604,0)),""))</f>
        <v>0</v>
      </c>
      <c r="L692" s="51">
        <f>IF(B692="","",IF(E692&lt;&gt;"",E692,IF(C692="","",K692&amp;" - "&amp;TEXT(D692,"d mmm yyyy"))))</f>
        <v>0</v>
      </c>
      <c r="M692" s="21">
        <f>IF(B692="","",IF(G692&lt;&gt;"",G692,IFERROR(J692*1,0)))</f>
        <v>0</v>
      </c>
      <c r="N692" s="21">
        <f>IF(B692="","",ROUND(IF(F692="",1,F692)*M692,2))</f>
        <v>0</v>
      </c>
      <c r="O692" s="39">
        <f>IF(B692="","",IF(C692="","",IF(COUNTIFS($C$5:$C$804,C692)&gt;1,"Duplicate","OK")))</f>
        <v>0</v>
      </c>
      <c r="P692" s="31">
        <f>IF(OR(B692="",E692=""),"",COUNTIFS($B$5:B692,B692))</f>
        <v>0</v>
      </c>
      <c r="Q692" s="23">
        <f>IF(P692="","",B692&amp;"|"&amp;P692)</f>
        <v>0</v>
      </c>
      <c r="R692" s="39">
        <f>IF(B692="","",IF(O692="Duplicate","Duplicate - job billed twice",IF(M692=0,"Add - no price on this line",IF(AND(C692="",E692=""),"Add - what is this line for?","OK"))))</f>
        <v>0</v>
      </c>
    </row>
    <row r="693" spans="1:18">
      <c r="A693" s="43">
        <f>IF(B693="","","IL-"&amp;TEXT(ROW()-4,"0000"))</f>
        <v>0</v>
      </c>
      <c r="D693" s="18">
        <f>IF(C693="","",IFERROR(INDEX(Jobs!$B$5:$B$604,MATCH(C693,Jobs!$A$5:$A$604,0)),""))</f>
        <v>0</v>
      </c>
      <c r="J693" s="21">
        <f>IF(C693="","",IFERROR(INDEX(Jobs!$AJ$5:$AJ$604,MATCH(C693,Jobs!$A$5:$A$604,0)),"0"))</f>
        <v>0</v>
      </c>
      <c r="K693" s="23">
        <f>IF(C693="","",IFERROR(INDEX(Jobs!$M$5:$M$604,MATCH(C693,Jobs!$A$5:$A$604,0)),""))</f>
        <v>0</v>
      </c>
      <c r="L693" s="51">
        <f>IF(B693="","",IF(E693&lt;&gt;"",E693,IF(C693="","",K693&amp;" - "&amp;TEXT(D693,"d mmm yyyy"))))</f>
        <v>0</v>
      </c>
      <c r="M693" s="21">
        <f>IF(B693="","",IF(G693&lt;&gt;"",G693,IFERROR(J693*1,0)))</f>
        <v>0</v>
      </c>
      <c r="N693" s="21">
        <f>IF(B693="","",ROUND(IF(F693="",1,F693)*M693,2))</f>
        <v>0</v>
      </c>
      <c r="O693" s="39">
        <f>IF(B693="","",IF(C693="","",IF(COUNTIFS($C$5:$C$804,C693)&gt;1,"Duplicate","OK")))</f>
        <v>0</v>
      </c>
      <c r="P693" s="31">
        <f>IF(OR(B693="",E693=""),"",COUNTIFS($B$5:B693,B693))</f>
        <v>0</v>
      </c>
      <c r="Q693" s="23">
        <f>IF(P693="","",B693&amp;"|"&amp;P693)</f>
        <v>0</v>
      </c>
      <c r="R693" s="39">
        <f>IF(B693="","",IF(O693="Duplicate","Duplicate - job billed twice",IF(M693=0,"Add - no price on this line",IF(AND(C693="",E693=""),"Add - what is this line for?","OK"))))</f>
        <v>0</v>
      </c>
    </row>
    <row r="694" spans="1:18">
      <c r="A694" s="43">
        <f>IF(B694="","","IL-"&amp;TEXT(ROW()-4,"0000"))</f>
        <v>0</v>
      </c>
      <c r="D694" s="18">
        <f>IF(C694="","",IFERROR(INDEX(Jobs!$B$5:$B$604,MATCH(C694,Jobs!$A$5:$A$604,0)),""))</f>
        <v>0</v>
      </c>
      <c r="J694" s="21">
        <f>IF(C694="","",IFERROR(INDEX(Jobs!$AJ$5:$AJ$604,MATCH(C694,Jobs!$A$5:$A$604,0)),"0"))</f>
        <v>0</v>
      </c>
      <c r="K694" s="23">
        <f>IF(C694="","",IFERROR(INDEX(Jobs!$M$5:$M$604,MATCH(C694,Jobs!$A$5:$A$604,0)),""))</f>
        <v>0</v>
      </c>
      <c r="L694" s="51">
        <f>IF(B694="","",IF(E694&lt;&gt;"",E694,IF(C694="","",K694&amp;" - "&amp;TEXT(D694,"d mmm yyyy"))))</f>
        <v>0</v>
      </c>
      <c r="M694" s="21">
        <f>IF(B694="","",IF(G694&lt;&gt;"",G694,IFERROR(J694*1,0)))</f>
        <v>0</v>
      </c>
      <c r="N694" s="21">
        <f>IF(B694="","",ROUND(IF(F694="",1,F694)*M694,2))</f>
        <v>0</v>
      </c>
      <c r="O694" s="39">
        <f>IF(B694="","",IF(C694="","",IF(COUNTIFS($C$5:$C$804,C694)&gt;1,"Duplicate","OK")))</f>
        <v>0</v>
      </c>
      <c r="P694" s="31">
        <f>IF(OR(B694="",E694=""),"",COUNTIFS($B$5:B694,B694))</f>
        <v>0</v>
      </c>
      <c r="Q694" s="23">
        <f>IF(P694="","",B694&amp;"|"&amp;P694)</f>
        <v>0</v>
      </c>
      <c r="R694" s="39">
        <f>IF(B694="","",IF(O694="Duplicate","Duplicate - job billed twice",IF(M694=0,"Add - no price on this line",IF(AND(C694="",E694=""),"Add - what is this line for?","OK"))))</f>
        <v>0</v>
      </c>
    </row>
    <row r="695" spans="1:18">
      <c r="A695" s="43">
        <f>IF(B695="","","IL-"&amp;TEXT(ROW()-4,"0000"))</f>
        <v>0</v>
      </c>
      <c r="D695" s="18">
        <f>IF(C695="","",IFERROR(INDEX(Jobs!$B$5:$B$604,MATCH(C695,Jobs!$A$5:$A$604,0)),""))</f>
        <v>0</v>
      </c>
      <c r="J695" s="21">
        <f>IF(C695="","",IFERROR(INDEX(Jobs!$AJ$5:$AJ$604,MATCH(C695,Jobs!$A$5:$A$604,0)),"0"))</f>
        <v>0</v>
      </c>
      <c r="K695" s="23">
        <f>IF(C695="","",IFERROR(INDEX(Jobs!$M$5:$M$604,MATCH(C695,Jobs!$A$5:$A$604,0)),""))</f>
        <v>0</v>
      </c>
      <c r="L695" s="51">
        <f>IF(B695="","",IF(E695&lt;&gt;"",E695,IF(C695="","",K695&amp;" - "&amp;TEXT(D695,"d mmm yyyy"))))</f>
        <v>0</v>
      </c>
      <c r="M695" s="21">
        <f>IF(B695="","",IF(G695&lt;&gt;"",G695,IFERROR(J695*1,0)))</f>
        <v>0</v>
      </c>
      <c r="N695" s="21">
        <f>IF(B695="","",ROUND(IF(F695="",1,F695)*M695,2))</f>
        <v>0</v>
      </c>
      <c r="O695" s="39">
        <f>IF(B695="","",IF(C695="","",IF(COUNTIFS($C$5:$C$804,C695)&gt;1,"Duplicate","OK")))</f>
        <v>0</v>
      </c>
      <c r="P695" s="31">
        <f>IF(OR(B695="",E695=""),"",COUNTIFS($B$5:B695,B695))</f>
        <v>0</v>
      </c>
      <c r="Q695" s="23">
        <f>IF(P695="","",B695&amp;"|"&amp;P695)</f>
        <v>0</v>
      </c>
      <c r="R695" s="39">
        <f>IF(B695="","",IF(O695="Duplicate","Duplicate - job billed twice",IF(M695=0,"Add - no price on this line",IF(AND(C695="",E695=""),"Add - what is this line for?","OK"))))</f>
        <v>0</v>
      </c>
    </row>
    <row r="696" spans="1:18">
      <c r="A696" s="43">
        <f>IF(B696="","","IL-"&amp;TEXT(ROW()-4,"0000"))</f>
        <v>0</v>
      </c>
      <c r="D696" s="18">
        <f>IF(C696="","",IFERROR(INDEX(Jobs!$B$5:$B$604,MATCH(C696,Jobs!$A$5:$A$604,0)),""))</f>
        <v>0</v>
      </c>
      <c r="J696" s="21">
        <f>IF(C696="","",IFERROR(INDEX(Jobs!$AJ$5:$AJ$604,MATCH(C696,Jobs!$A$5:$A$604,0)),"0"))</f>
        <v>0</v>
      </c>
      <c r="K696" s="23">
        <f>IF(C696="","",IFERROR(INDEX(Jobs!$M$5:$M$604,MATCH(C696,Jobs!$A$5:$A$604,0)),""))</f>
        <v>0</v>
      </c>
      <c r="L696" s="51">
        <f>IF(B696="","",IF(E696&lt;&gt;"",E696,IF(C696="","",K696&amp;" - "&amp;TEXT(D696,"d mmm yyyy"))))</f>
        <v>0</v>
      </c>
      <c r="M696" s="21">
        <f>IF(B696="","",IF(G696&lt;&gt;"",G696,IFERROR(J696*1,0)))</f>
        <v>0</v>
      </c>
      <c r="N696" s="21">
        <f>IF(B696="","",ROUND(IF(F696="",1,F696)*M696,2))</f>
        <v>0</v>
      </c>
      <c r="O696" s="39">
        <f>IF(B696="","",IF(C696="","",IF(COUNTIFS($C$5:$C$804,C696)&gt;1,"Duplicate","OK")))</f>
        <v>0</v>
      </c>
      <c r="P696" s="31">
        <f>IF(OR(B696="",E696=""),"",COUNTIFS($B$5:B696,B696))</f>
        <v>0</v>
      </c>
      <c r="Q696" s="23">
        <f>IF(P696="","",B696&amp;"|"&amp;P696)</f>
        <v>0</v>
      </c>
      <c r="R696" s="39">
        <f>IF(B696="","",IF(O696="Duplicate","Duplicate - job billed twice",IF(M696=0,"Add - no price on this line",IF(AND(C696="",E696=""),"Add - what is this line for?","OK"))))</f>
        <v>0</v>
      </c>
    </row>
    <row r="697" spans="1:18">
      <c r="A697" s="43">
        <f>IF(B697="","","IL-"&amp;TEXT(ROW()-4,"0000"))</f>
        <v>0</v>
      </c>
      <c r="D697" s="18">
        <f>IF(C697="","",IFERROR(INDEX(Jobs!$B$5:$B$604,MATCH(C697,Jobs!$A$5:$A$604,0)),""))</f>
        <v>0</v>
      </c>
      <c r="J697" s="21">
        <f>IF(C697="","",IFERROR(INDEX(Jobs!$AJ$5:$AJ$604,MATCH(C697,Jobs!$A$5:$A$604,0)),"0"))</f>
        <v>0</v>
      </c>
      <c r="K697" s="23">
        <f>IF(C697="","",IFERROR(INDEX(Jobs!$M$5:$M$604,MATCH(C697,Jobs!$A$5:$A$604,0)),""))</f>
        <v>0</v>
      </c>
      <c r="L697" s="51">
        <f>IF(B697="","",IF(E697&lt;&gt;"",E697,IF(C697="","",K697&amp;" - "&amp;TEXT(D697,"d mmm yyyy"))))</f>
        <v>0</v>
      </c>
      <c r="M697" s="21">
        <f>IF(B697="","",IF(G697&lt;&gt;"",G697,IFERROR(J697*1,0)))</f>
        <v>0</v>
      </c>
      <c r="N697" s="21">
        <f>IF(B697="","",ROUND(IF(F697="",1,F697)*M697,2))</f>
        <v>0</v>
      </c>
      <c r="O697" s="39">
        <f>IF(B697="","",IF(C697="","",IF(COUNTIFS($C$5:$C$804,C697)&gt;1,"Duplicate","OK")))</f>
        <v>0</v>
      </c>
      <c r="P697" s="31">
        <f>IF(OR(B697="",E697=""),"",COUNTIFS($B$5:B697,B697))</f>
        <v>0</v>
      </c>
      <c r="Q697" s="23">
        <f>IF(P697="","",B697&amp;"|"&amp;P697)</f>
        <v>0</v>
      </c>
      <c r="R697" s="39">
        <f>IF(B697="","",IF(O697="Duplicate","Duplicate - job billed twice",IF(M697=0,"Add - no price on this line",IF(AND(C697="",E697=""),"Add - what is this line for?","OK"))))</f>
        <v>0</v>
      </c>
    </row>
    <row r="698" spans="1:18">
      <c r="A698" s="43">
        <f>IF(B698="","","IL-"&amp;TEXT(ROW()-4,"0000"))</f>
        <v>0</v>
      </c>
      <c r="D698" s="18">
        <f>IF(C698="","",IFERROR(INDEX(Jobs!$B$5:$B$604,MATCH(C698,Jobs!$A$5:$A$604,0)),""))</f>
        <v>0</v>
      </c>
      <c r="J698" s="21">
        <f>IF(C698="","",IFERROR(INDEX(Jobs!$AJ$5:$AJ$604,MATCH(C698,Jobs!$A$5:$A$604,0)),"0"))</f>
        <v>0</v>
      </c>
      <c r="K698" s="23">
        <f>IF(C698="","",IFERROR(INDEX(Jobs!$M$5:$M$604,MATCH(C698,Jobs!$A$5:$A$604,0)),""))</f>
        <v>0</v>
      </c>
      <c r="L698" s="51">
        <f>IF(B698="","",IF(E698&lt;&gt;"",E698,IF(C698="","",K698&amp;" - "&amp;TEXT(D698,"d mmm yyyy"))))</f>
        <v>0</v>
      </c>
      <c r="M698" s="21">
        <f>IF(B698="","",IF(G698&lt;&gt;"",G698,IFERROR(J698*1,0)))</f>
        <v>0</v>
      </c>
      <c r="N698" s="21">
        <f>IF(B698="","",ROUND(IF(F698="",1,F698)*M698,2))</f>
        <v>0</v>
      </c>
      <c r="O698" s="39">
        <f>IF(B698="","",IF(C698="","",IF(COUNTIFS($C$5:$C$804,C698)&gt;1,"Duplicate","OK")))</f>
        <v>0</v>
      </c>
      <c r="P698" s="31">
        <f>IF(OR(B698="",E698=""),"",COUNTIFS($B$5:B698,B698))</f>
        <v>0</v>
      </c>
      <c r="Q698" s="23">
        <f>IF(P698="","",B698&amp;"|"&amp;P698)</f>
        <v>0</v>
      </c>
      <c r="R698" s="39">
        <f>IF(B698="","",IF(O698="Duplicate","Duplicate - job billed twice",IF(M698=0,"Add - no price on this line",IF(AND(C698="",E698=""),"Add - what is this line for?","OK"))))</f>
        <v>0</v>
      </c>
    </row>
    <row r="699" spans="1:18">
      <c r="A699" s="43">
        <f>IF(B699="","","IL-"&amp;TEXT(ROW()-4,"0000"))</f>
        <v>0</v>
      </c>
      <c r="D699" s="18">
        <f>IF(C699="","",IFERROR(INDEX(Jobs!$B$5:$B$604,MATCH(C699,Jobs!$A$5:$A$604,0)),""))</f>
        <v>0</v>
      </c>
      <c r="J699" s="21">
        <f>IF(C699="","",IFERROR(INDEX(Jobs!$AJ$5:$AJ$604,MATCH(C699,Jobs!$A$5:$A$604,0)),"0"))</f>
        <v>0</v>
      </c>
      <c r="K699" s="23">
        <f>IF(C699="","",IFERROR(INDEX(Jobs!$M$5:$M$604,MATCH(C699,Jobs!$A$5:$A$604,0)),""))</f>
        <v>0</v>
      </c>
      <c r="L699" s="51">
        <f>IF(B699="","",IF(E699&lt;&gt;"",E699,IF(C699="","",K699&amp;" - "&amp;TEXT(D699,"d mmm yyyy"))))</f>
        <v>0</v>
      </c>
      <c r="M699" s="21">
        <f>IF(B699="","",IF(G699&lt;&gt;"",G699,IFERROR(J699*1,0)))</f>
        <v>0</v>
      </c>
      <c r="N699" s="21">
        <f>IF(B699="","",ROUND(IF(F699="",1,F699)*M699,2))</f>
        <v>0</v>
      </c>
      <c r="O699" s="39">
        <f>IF(B699="","",IF(C699="","",IF(COUNTIFS($C$5:$C$804,C699)&gt;1,"Duplicate","OK")))</f>
        <v>0</v>
      </c>
      <c r="P699" s="31">
        <f>IF(OR(B699="",E699=""),"",COUNTIFS($B$5:B699,B699))</f>
        <v>0</v>
      </c>
      <c r="Q699" s="23">
        <f>IF(P699="","",B699&amp;"|"&amp;P699)</f>
        <v>0</v>
      </c>
      <c r="R699" s="39">
        <f>IF(B699="","",IF(O699="Duplicate","Duplicate - job billed twice",IF(M699=0,"Add - no price on this line",IF(AND(C699="",E699=""),"Add - what is this line for?","OK"))))</f>
        <v>0</v>
      </c>
    </row>
    <row r="700" spans="1:18">
      <c r="A700" s="43">
        <f>IF(B700="","","IL-"&amp;TEXT(ROW()-4,"0000"))</f>
        <v>0</v>
      </c>
      <c r="D700" s="18">
        <f>IF(C700="","",IFERROR(INDEX(Jobs!$B$5:$B$604,MATCH(C700,Jobs!$A$5:$A$604,0)),""))</f>
        <v>0</v>
      </c>
      <c r="J700" s="21">
        <f>IF(C700="","",IFERROR(INDEX(Jobs!$AJ$5:$AJ$604,MATCH(C700,Jobs!$A$5:$A$604,0)),"0"))</f>
        <v>0</v>
      </c>
      <c r="K700" s="23">
        <f>IF(C700="","",IFERROR(INDEX(Jobs!$M$5:$M$604,MATCH(C700,Jobs!$A$5:$A$604,0)),""))</f>
        <v>0</v>
      </c>
      <c r="L700" s="51">
        <f>IF(B700="","",IF(E700&lt;&gt;"",E700,IF(C700="","",K700&amp;" - "&amp;TEXT(D700,"d mmm yyyy"))))</f>
        <v>0</v>
      </c>
      <c r="M700" s="21">
        <f>IF(B700="","",IF(G700&lt;&gt;"",G700,IFERROR(J700*1,0)))</f>
        <v>0</v>
      </c>
      <c r="N700" s="21">
        <f>IF(B700="","",ROUND(IF(F700="",1,F700)*M700,2))</f>
        <v>0</v>
      </c>
      <c r="O700" s="39">
        <f>IF(B700="","",IF(C700="","",IF(COUNTIFS($C$5:$C$804,C700)&gt;1,"Duplicate","OK")))</f>
        <v>0</v>
      </c>
      <c r="P700" s="31">
        <f>IF(OR(B700="",E700=""),"",COUNTIFS($B$5:B700,B700))</f>
        <v>0</v>
      </c>
      <c r="Q700" s="23">
        <f>IF(P700="","",B700&amp;"|"&amp;P700)</f>
        <v>0</v>
      </c>
      <c r="R700" s="39">
        <f>IF(B700="","",IF(O700="Duplicate","Duplicate - job billed twice",IF(M700=0,"Add - no price on this line",IF(AND(C700="",E700=""),"Add - what is this line for?","OK"))))</f>
        <v>0</v>
      </c>
    </row>
    <row r="701" spans="1:18">
      <c r="A701" s="43">
        <f>IF(B701="","","IL-"&amp;TEXT(ROW()-4,"0000"))</f>
        <v>0</v>
      </c>
      <c r="D701" s="18">
        <f>IF(C701="","",IFERROR(INDEX(Jobs!$B$5:$B$604,MATCH(C701,Jobs!$A$5:$A$604,0)),""))</f>
        <v>0</v>
      </c>
      <c r="J701" s="21">
        <f>IF(C701="","",IFERROR(INDEX(Jobs!$AJ$5:$AJ$604,MATCH(C701,Jobs!$A$5:$A$604,0)),"0"))</f>
        <v>0</v>
      </c>
      <c r="K701" s="23">
        <f>IF(C701="","",IFERROR(INDEX(Jobs!$M$5:$M$604,MATCH(C701,Jobs!$A$5:$A$604,0)),""))</f>
        <v>0</v>
      </c>
      <c r="L701" s="51">
        <f>IF(B701="","",IF(E701&lt;&gt;"",E701,IF(C701="","",K701&amp;" - "&amp;TEXT(D701,"d mmm yyyy"))))</f>
        <v>0</v>
      </c>
      <c r="M701" s="21">
        <f>IF(B701="","",IF(G701&lt;&gt;"",G701,IFERROR(J701*1,0)))</f>
        <v>0</v>
      </c>
      <c r="N701" s="21">
        <f>IF(B701="","",ROUND(IF(F701="",1,F701)*M701,2))</f>
        <v>0</v>
      </c>
      <c r="O701" s="39">
        <f>IF(B701="","",IF(C701="","",IF(COUNTIFS($C$5:$C$804,C701)&gt;1,"Duplicate","OK")))</f>
        <v>0</v>
      </c>
      <c r="P701" s="31">
        <f>IF(OR(B701="",E701=""),"",COUNTIFS($B$5:B701,B701))</f>
        <v>0</v>
      </c>
      <c r="Q701" s="23">
        <f>IF(P701="","",B701&amp;"|"&amp;P701)</f>
        <v>0</v>
      </c>
      <c r="R701" s="39">
        <f>IF(B701="","",IF(O701="Duplicate","Duplicate - job billed twice",IF(M701=0,"Add - no price on this line",IF(AND(C701="",E701=""),"Add - what is this line for?","OK"))))</f>
        <v>0</v>
      </c>
    </row>
    <row r="702" spans="1:18">
      <c r="A702" s="43">
        <f>IF(B702="","","IL-"&amp;TEXT(ROW()-4,"0000"))</f>
        <v>0</v>
      </c>
      <c r="D702" s="18">
        <f>IF(C702="","",IFERROR(INDEX(Jobs!$B$5:$B$604,MATCH(C702,Jobs!$A$5:$A$604,0)),""))</f>
        <v>0</v>
      </c>
      <c r="J702" s="21">
        <f>IF(C702="","",IFERROR(INDEX(Jobs!$AJ$5:$AJ$604,MATCH(C702,Jobs!$A$5:$A$604,0)),"0"))</f>
        <v>0</v>
      </c>
      <c r="K702" s="23">
        <f>IF(C702="","",IFERROR(INDEX(Jobs!$M$5:$M$604,MATCH(C702,Jobs!$A$5:$A$604,0)),""))</f>
        <v>0</v>
      </c>
      <c r="L702" s="51">
        <f>IF(B702="","",IF(E702&lt;&gt;"",E702,IF(C702="","",K702&amp;" - "&amp;TEXT(D702,"d mmm yyyy"))))</f>
        <v>0</v>
      </c>
      <c r="M702" s="21">
        <f>IF(B702="","",IF(G702&lt;&gt;"",G702,IFERROR(J702*1,0)))</f>
        <v>0</v>
      </c>
      <c r="N702" s="21">
        <f>IF(B702="","",ROUND(IF(F702="",1,F702)*M702,2))</f>
        <v>0</v>
      </c>
      <c r="O702" s="39">
        <f>IF(B702="","",IF(C702="","",IF(COUNTIFS($C$5:$C$804,C702)&gt;1,"Duplicate","OK")))</f>
        <v>0</v>
      </c>
      <c r="P702" s="31">
        <f>IF(OR(B702="",E702=""),"",COUNTIFS($B$5:B702,B702))</f>
        <v>0</v>
      </c>
      <c r="Q702" s="23">
        <f>IF(P702="","",B702&amp;"|"&amp;P702)</f>
        <v>0</v>
      </c>
      <c r="R702" s="39">
        <f>IF(B702="","",IF(O702="Duplicate","Duplicate - job billed twice",IF(M702=0,"Add - no price on this line",IF(AND(C702="",E702=""),"Add - what is this line for?","OK"))))</f>
        <v>0</v>
      </c>
    </row>
    <row r="703" spans="1:18">
      <c r="A703" s="43">
        <f>IF(B703="","","IL-"&amp;TEXT(ROW()-4,"0000"))</f>
        <v>0</v>
      </c>
      <c r="D703" s="18">
        <f>IF(C703="","",IFERROR(INDEX(Jobs!$B$5:$B$604,MATCH(C703,Jobs!$A$5:$A$604,0)),""))</f>
        <v>0</v>
      </c>
      <c r="J703" s="21">
        <f>IF(C703="","",IFERROR(INDEX(Jobs!$AJ$5:$AJ$604,MATCH(C703,Jobs!$A$5:$A$604,0)),"0"))</f>
        <v>0</v>
      </c>
      <c r="K703" s="23">
        <f>IF(C703="","",IFERROR(INDEX(Jobs!$M$5:$M$604,MATCH(C703,Jobs!$A$5:$A$604,0)),""))</f>
        <v>0</v>
      </c>
      <c r="L703" s="51">
        <f>IF(B703="","",IF(E703&lt;&gt;"",E703,IF(C703="","",K703&amp;" - "&amp;TEXT(D703,"d mmm yyyy"))))</f>
        <v>0</v>
      </c>
      <c r="M703" s="21">
        <f>IF(B703="","",IF(G703&lt;&gt;"",G703,IFERROR(J703*1,0)))</f>
        <v>0</v>
      </c>
      <c r="N703" s="21">
        <f>IF(B703="","",ROUND(IF(F703="",1,F703)*M703,2))</f>
        <v>0</v>
      </c>
      <c r="O703" s="39">
        <f>IF(B703="","",IF(C703="","",IF(COUNTIFS($C$5:$C$804,C703)&gt;1,"Duplicate","OK")))</f>
        <v>0</v>
      </c>
      <c r="P703" s="31">
        <f>IF(OR(B703="",E703=""),"",COUNTIFS($B$5:B703,B703))</f>
        <v>0</v>
      </c>
      <c r="Q703" s="23">
        <f>IF(P703="","",B703&amp;"|"&amp;P703)</f>
        <v>0</v>
      </c>
      <c r="R703" s="39">
        <f>IF(B703="","",IF(O703="Duplicate","Duplicate - job billed twice",IF(M703=0,"Add - no price on this line",IF(AND(C703="",E703=""),"Add - what is this line for?","OK"))))</f>
        <v>0</v>
      </c>
    </row>
    <row r="704" spans="1:18">
      <c r="A704" s="43">
        <f>IF(B704="","","IL-"&amp;TEXT(ROW()-4,"0000"))</f>
        <v>0</v>
      </c>
      <c r="D704" s="18">
        <f>IF(C704="","",IFERROR(INDEX(Jobs!$B$5:$B$604,MATCH(C704,Jobs!$A$5:$A$604,0)),""))</f>
        <v>0</v>
      </c>
      <c r="J704" s="21">
        <f>IF(C704="","",IFERROR(INDEX(Jobs!$AJ$5:$AJ$604,MATCH(C704,Jobs!$A$5:$A$604,0)),"0"))</f>
        <v>0</v>
      </c>
      <c r="K704" s="23">
        <f>IF(C704="","",IFERROR(INDEX(Jobs!$M$5:$M$604,MATCH(C704,Jobs!$A$5:$A$604,0)),""))</f>
        <v>0</v>
      </c>
      <c r="L704" s="51">
        <f>IF(B704="","",IF(E704&lt;&gt;"",E704,IF(C704="","",K704&amp;" - "&amp;TEXT(D704,"d mmm yyyy"))))</f>
        <v>0</v>
      </c>
      <c r="M704" s="21">
        <f>IF(B704="","",IF(G704&lt;&gt;"",G704,IFERROR(J704*1,0)))</f>
        <v>0</v>
      </c>
      <c r="N704" s="21">
        <f>IF(B704="","",ROUND(IF(F704="",1,F704)*M704,2))</f>
        <v>0</v>
      </c>
      <c r="O704" s="39">
        <f>IF(B704="","",IF(C704="","",IF(COUNTIFS($C$5:$C$804,C704)&gt;1,"Duplicate","OK")))</f>
        <v>0</v>
      </c>
      <c r="P704" s="31">
        <f>IF(OR(B704="",E704=""),"",COUNTIFS($B$5:B704,B704))</f>
        <v>0</v>
      </c>
      <c r="Q704" s="23">
        <f>IF(P704="","",B704&amp;"|"&amp;P704)</f>
        <v>0</v>
      </c>
      <c r="R704" s="39">
        <f>IF(B704="","",IF(O704="Duplicate","Duplicate - job billed twice",IF(M704=0,"Add - no price on this line",IF(AND(C704="",E704=""),"Add - what is this line for?","OK"))))</f>
        <v>0</v>
      </c>
    </row>
    <row r="705" spans="1:18">
      <c r="A705" s="43">
        <f>IF(B705="","","IL-"&amp;TEXT(ROW()-4,"0000"))</f>
        <v>0</v>
      </c>
      <c r="D705" s="18">
        <f>IF(C705="","",IFERROR(INDEX(Jobs!$B$5:$B$604,MATCH(C705,Jobs!$A$5:$A$604,0)),""))</f>
        <v>0</v>
      </c>
      <c r="J705" s="21">
        <f>IF(C705="","",IFERROR(INDEX(Jobs!$AJ$5:$AJ$604,MATCH(C705,Jobs!$A$5:$A$604,0)),"0"))</f>
        <v>0</v>
      </c>
      <c r="K705" s="23">
        <f>IF(C705="","",IFERROR(INDEX(Jobs!$M$5:$M$604,MATCH(C705,Jobs!$A$5:$A$604,0)),""))</f>
        <v>0</v>
      </c>
      <c r="L705" s="51">
        <f>IF(B705="","",IF(E705&lt;&gt;"",E705,IF(C705="","",K705&amp;" - "&amp;TEXT(D705,"d mmm yyyy"))))</f>
        <v>0</v>
      </c>
      <c r="M705" s="21">
        <f>IF(B705="","",IF(G705&lt;&gt;"",G705,IFERROR(J705*1,0)))</f>
        <v>0</v>
      </c>
      <c r="N705" s="21">
        <f>IF(B705="","",ROUND(IF(F705="",1,F705)*M705,2))</f>
        <v>0</v>
      </c>
      <c r="O705" s="39">
        <f>IF(B705="","",IF(C705="","",IF(COUNTIFS($C$5:$C$804,C705)&gt;1,"Duplicate","OK")))</f>
        <v>0</v>
      </c>
      <c r="P705" s="31">
        <f>IF(OR(B705="",E705=""),"",COUNTIFS($B$5:B705,B705))</f>
        <v>0</v>
      </c>
      <c r="Q705" s="23">
        <f>IF(P705="","",B705&amp;"|"&amp;P705)</f>
        <v>0</v>
      </c>
      <c r="R705" s="39">
        <f>IF(B705="","",IF(O705="Duplicate","Duplicate - job billed twice",IF(M705=0,"Add - no price on this line",IF(AND(C705="",E705=""),"Add - what is this line for?","OK"))))</f>
        <v>0</v>
      </c>
    </row>
    <row r="706" spans="1:18">
      <c r="A706" s="43">
        <f>IF(B706="","","IL-"&amp;TEXT(ROW()-4,"0000"))</f>
        <v>0</v>
      </c>
      <c r="D706" s="18">
        <f>IF(C706="","",IFERROR(INDEX(Jobs!$B$5:$B$604,MATCH(C706,Jobs!$A$5:$A$604,0)),""))</f>
        <v>0</v>
      </c>
      <c r="J706" s="21">
        <f>IF(C706="","",IFERROR(INDEX(Jobs!$AJ$5:$AJ$604,MATCH(C706,Jobs!$A$5:$A$604,0)),"0"))</f>
        <v>0</v>
      </c>
      <c r="K706" s="23">
        <f>IF(C706="","",IFERROR(INDEX(Jobs!$M$5:$M$604,MATCH(C706,Jobs!$A$5:$A$604,0)),""))</f>
        <v>0</v>
      </c>
      <c r="L706" s="51">
        <f>IF(B706="","",IF(E706&lt;&gt;"",E706,IF(C706="","",K706&amp;" - "&amp;TEXT(D706,"d mmm yyyy"))))</f>
        <v>0</v>
      </c>
      <c r="M706" s="21">
        <f>IF(B706="","",IF(G706&lt;&gt;"",G706,IFERROR(J706*1,0)))</f>
        <v>0</v>
      </c>
      <c r="N706" s="21">
        <f>IF(B706="","",ROUND(IF(F706="",1,F706)*M706,2))</f>
        <v>0</v>
      </c>
      <c r="O706" s="39">
        <f>IF(B706="","",IF(C706="","",IF(COUNTIFS($C$5:$C$804,C706)&gt;1,"Duplicate","OK")))</f>
        <v>0</v>
      </c>
      <c r="P706" s="31">
        <f>IF(OR(B706="",E706=""),"",COUNTIFS($B$5:B706,B706))</f>
        <v>0</v>
      </c>
      <c r="Q706" s="23">
        <f>IF(P706="","",B706&amp;"|"&amp;P706)</f>
        <v>0</v>
      </c>
      <c r="R706" s="39">
        <f>IF(B706="","",IF(O706="Duplicate","Duplicate - job billed twice",IF(M706=0,"Add - no price on this line",IF(AND(C706="",E706=""),"Add - what is this line for?","OK"))))</f>
        <v>0</v>
      </c>
    </row>
    <row r="707" spans="1:18">
      <c r="A707" s="43">
        <f>IF(B707="","","IL-"&amp;TEXT(ROW()-4,"0000"))</f>
        <v>0</v>
      </c>
      <c r="D707" s="18">
        <f>IF(C707="","",IFERROR(INDEX(Jobs!$B$5:$B$604,MATCH(C707,Jobs!$A$5:$A$604,0)),""))</f>
        <v>0</v>
      </c>
      <c r="J707" s="21">
        <f>IF(C707="","",IFERROR(INDEX(Jobs!$AJ$5:$AJ$604,MATCH(C707,Jobs!$A$5:$A$604,0)),"0"))</f>
        <v>0</v>
      </c>
      <c r="K707" s="23">
        <f>IF(C707="","",IFERROR(INDEX(Jobs!$M$5:$M$604,MATCH(C707,Jobs!$A$5:$A$604,0)),""))</f>
        <v>0</v>
      </c>
      <c r="L707" s="51">
        <f>IF(B707="","",IF(E707&lt;&gt;"",E707,IF(C707="","",K707&amp;" - "&amp;TEXT(D707,"d mmm yyyy"))))</f>
        <v>0</v>
      </c>
      <c r="M707" s="21">
        <f>IF(B707="","",IF(G707&lt;&gt;"",G707,IFERROR(J707*1,0)))</f>
        <v>0</v>
      </c>
      <c r="N707" s="21">
        <f>IF(B707="","",ROUND(IF(F707="",1,F707)*M707,2))</f>
        <v>0</v>
      </c>
      <c r="O707" s="39">
        <f>IF(B707="","",IF(C707="","",IF(COUNTIFS($C$5:$C$804,C707)&gt;1,"Duplicate","OK")))</f>
        <v>0</v>
      </c>
      <c r="P707" s="31">
        <f>IF(OR(B707="",E707=""),"",COUNTIFS($B$5:B707,B707))</f>
        <v>0</v>
      </c>
      <c r="Q707" s="23">
        <f>IF(P707="","",B707&amp;"|"&amp;P707)</f>
        <v>0</v>
      </c>
      <c r="R707" s="39">
        <f>IF(B707="","",IF(O707="Duplicate","Duplicate - job billed twice",IF(M707=0,"Add - no price on this line",IF(AND(C707="",E707=""),"Add - what is this line for?","OK"))))</f>
        <v>0</v>
      </c>
    </row>
    <row r="708" spans="1:18">
      <c r="A708" s="43">
        <f>IF(B708="","","IL-"&amp;TEXT(ROW()-4,"0000"))</f>
        <v>0</v>
      </c>
      <c r="D708" s="18">
        <f>IF(C708="","",IFERROR(INDEX(Jobs!$B$5:$B$604,MATCH(C708,Jobs!$A$5:$A$604,0)),""))</f>
        <v>0</v>
      </c>
      <c r="J708" s="21">
        <f>IF(C708="","",IFERROR(INDEX(Jobs!$AJ$5:$AJ$604,MATCH(C708,Jobs!$A$5:$A$604,0)),"0"))</f>
        <v>0</v>
      </c>
      <c r="K708" s="23">
        <f>IF(C708="","",IFERROR(INDEX(Jobs!$M$5:$M$604,MATCH(C708,Jobs!$A$5:$A$604,0)),""))</f>
        <v>0</v>
      </c>
      <c r="L708" s="51">
        <f>IF(B708="","",IF(E708&lt;&gt;"",E708,IF(C708="","",K708&amp;" - "&amp;TEXT(D708,"d mmm yyyy"))))</f>
        <v>0</v>
      </c>
      <c r="M708" s="21">
        <f>IF(B708="","",IF(G708&lt;&gt;"",G708,IFERROR(J708*1,0)))</f>
        <v>0</v>
      </c>
      <c r="N708" s="21">
        <f>IF(B708="","",ROUND(IF(F708="",1,F708)*M708,2))</f>
        <v>0</v>
      </c>
      <c r="O708" s="39">
        <f>IF(B708="","",IF(C708="","",IF(COUNTIFS($C$5:$C$804,C708)&gt;1,"Duplicate","OK")))</f>
        <v>0</v>
      </c>
      <c r="P708" s="31">
        <f>IF(OR(B708="",E708=""),"",COUNTIFS($B$5:B708,B708))</f>
        <v>0</v>
      </c>
      <c r="Q708" s="23">
        <f>IF(P708="","",B708&amp;"|"&amp;P708)</f>
        <v>0</v>
      </c>
      <c r="R708" s="39">
        <f>IF(B708="","",IF(O708="Duplicate","Duplicate - job billed twice",IF(M708=0,"Add - no price on this line",IF(AND(C708="",E708=""),"Add - what is this line for?","OK"))))</f>
        <v>0</v>
      </c>
    </row>
    <row r="709" spans="1:18">
      <c r="A709" s="43">
        <f>IF(B709="","","IL-"&amp;TEXT(ROW()-4,"0000"))</f>
        <v>0</v>
      </c>
      <c r="D709" s="18">
        <f>IF(C709="","",IFERROR(INDEX(Jobs!$B$5:$B$604,MATCH(C709,Jobs!$A$5:$A$604,0)),""))</f>
        <v>0</v>
      </c>
      <c r="J709" s="21">
        <f>IF(C709="","",IFERROR(INDEX(Jobs!$AJ$5:$AJ$604,MATCH(C709,Jobs!$A$5:$A$604,0)),"0"))</f>
        <v>0</v>
      </c>
      <c r="K709" s="23">
        <f>IF(C709="","",IFERROR(INDEX(Jobs!$M$5:$M$604,MATCH(C709,Jobs!$A$5:$A$604,0)),""))</f>
        <v>0</v>
      </c>
      <c r="L709" s="51">
        <f>IF(B709="","",IF(E709&lt;&gt;"",E709,IF(C709="","",K709&amp;" - "&amp;TEXT(D709,"d mmm yyyy"))))</f>
        <v>0</v>
      </c>
      <c r="M709" s="21">
        <f>IF(B709="","",IF(G709&lt;&gt;"",G709,IFERROR(J709*1,0)))</f>
        <v>0</v>
      </c>
      <c r="N709" s="21">
        <f>IF(B709="","",ROUND(IF(F709="",1,F709)*M709,2))</f>
        <v>0</v>
      </c>
      <c r="O709" s="39">
        <f>IF(B709="","",IF(C709="","",IF(COUNTIFS($C$5:$C$804,C709)&gt;1,"Duplicate","OK")))</f>
        <v>0</v>
      </c>
      <c r="P709" s="31">
        <f>IF(OR(B709="",E709=""),"",COUNTIFS($B$5:B709,B709))</f>
        <v>0</v>
      </c>
      <c r="Q709" s="23">
        <f>IF(P709="","",B709&amp;"|"&amp;P709)</f>
        <v>0</v>
      </c>
      <c r="R709" s="39">
        <f>IF(B709="","",IF(O709="Duplicate","Duplicate - job billed twice",IF(M709=0,"Add - no price on this line",IF(AND(C709="",E709=""),"Add - what is this line for?","OK"))))</f>
        <v>0</v>
      </c>
    </row>
    <row r="710" spans="1:18">
      <c r="A710" s="43">
        <f>IF(B710="","","IL-"&amp;TEXT(ROW()-4,"0000"))</f>
        <v>0</v>
      </c>
      <c r="D710" s="18">
        <f>IF(C710="","",IFERROR(INDEX(Jobs!$B$5:$B$604,MATCH(C710,Jobs!$A$5:$A$604,0)),""))</f>
        <v>0</v>
      </c>
      <c r="J710" s="21">
        <f>IF(C710="","",IFERROR(INDEX(Jobs!$AJ$5:$AJ$604,MATCH(C710,Jobs!$A$5:$A$604,0)),"0"))</f>
        <v>0</v>
      </c>
      <c r="K710" s="23">
        <f>IF(C710="","",IFERROR(INDEX(Jobs!$M$5:$M$604,MATCH(C710,Jobs!$A$5:$A$604,0)),""))</f>
        <v>0</v>
      </c>
      <c r="L710" s="51">
        <f>IF(B710="","",IF(E710&lt;&gt;"",E710,IF(C710="","",K710&amp;" - "&amp;TEXT(D710,"d mmm yyyy"))))</f>
        <v>0</v>
      </c>
      <c r="M710" s="21">
        <f>IF(B710="","",IF(G710&lt;&gt;"",G710,IFERROR(J710*1,0)))</f>
        <v>0</v>
      </c>
      <c r="N710" s="21">
        <f>IF(B710="","",ROUND(IF(F710="",1,F710)*M710,2))</f>
        <v>0</v>
      </c>
      <c r="O710" s="39">
        <f>IF(B710="","",IF(C710="","",IF(COUNTIFS($C$5:$C$804,C710)&gt;1,"Duplicate","OK")))</f>
        <v>0</v>
      </c>
      <c r="P710" s="31">
        <f>IF(OR(B710="",E710=""),"",COUNTIFS($B$5:B710,B710))</f>
        <v>0</v>
      </c>
      <c r="Q710" s="23">
        <f>IF(P710="","",B710&amp;"|"&amp;P710)</f>
        <v>0</v>
      </c>
      <c r="R710" s="39">
        <f>IF(B710="","",IF(O710="Duplicate","Duplicate - job billed twice",IF(M710=0,"Add - no price on this line",IF(AND(C710="",E710=""),"Add - what is this line for?","OK"))))</f>
        <v>0</v>
      </c>
    </row>
    <row r="711" spans="1:18">
      <c r="A711" s="43">
        <f>IF(B711="","","IL-"&amp;TEXT(ROW()-4,"0000"))</f>
        <v>0</v>
      </c>
      <c r="D711" s="18">
        <f>IF(C711="","",IFERROR(INDEX(Jobs!$B$5:$B$604,MATCH(C711,Jobs!$A$5:$A$604,0)),""))</f>
        <v>0</v>
      </c>
      <c r="J711" s="21">
        <f>IF(C711="","",IFERROR(INDEX(Jobs!$AJ$5:$AJ$604,MATCH(C711,Jobs!$A$5:$A$604,0)),"0"))</f>
        <v>0</v>
      </c>
      <c r="K711" s="23">
        <f>IF(C711="","",IFERROR(INDEX(Jobs!$M$5:$M$604,MATCH(C711,Jobs!$A$5:$A$604,0)),""))</f>
        <v>0</v>
      </c>
      <c r="L711" s="51">
        <f>IF(B711="","",IF(E711&lt;&gt;"",E711,IF(C711="","",K711&amp;" - "&amp;TEXT(D711,"d mmm yyyy"))))</f>
        <v>0</v>
      </c>
      <c r="M711" s="21">
        <f>IF(B711="","",IF(G711&lt;&gt;"",G711,IFERROR(J711*1,0)))</f>
        <v>0</v>
      </c>
      <c r="N711" s="21">
        <f>IF(B711="","",ROUND(IF(F711="",1,F711)*M711,2))</f>
        <v>0</v>
      </c>
      <c r="O711" s="39">
        <f>IF(B711="","",IF(C711="","",IF(COUNTIFS($C$5:$C$804,C711)&gt;1,"Duplicate","OK")))</f>
        <v>0</v>
      </c>
      <c r="P711" s="31">
        <f>IF(OR(B711="",E711=""),"",COUNTIFS($B$5:B711,B711))</f>
        <v>0</v>
      </c>
      <c r="Q711" s="23">
        <f>IF(P711="","",B711&amp;"|"&amp;P711)</f>
        <v>0</v>
      </c>
      <c r="R711" s="39">
        <f>IF(B711="","",IF(O711="Duplicate","Duplicate - job billed twice",IF(M711=0,"Add - no price on this line",IF(AND(C711="",E711=""),"Add - what is this line for?","OK"))))</f>
        <v>0</v>
      </c>
    </row>
    <row r="712" spans="1:18">
      <c r="A712" s="43">
        <f>IF(B712="","","IL-"&amp;TEXT(ROW()-4,"0000"))</f>
        <v>0</v>
      </c>
      <c r="D712" s="18">
        <f>IF(C712="","",IFERROR(INDEX(Jobs!$B$5:$B$604,MATCH(C712,Jobs!$A$5:$A$604,0)),""))</f>
        <v>0</v>
      </c>
      <c r="J712" s="21">
        <f>IF(C712="","",IFERROR(INDEX(Jobs!$AJ$5:$AJ$604,MATCH(C712,Jobs!$A$5:$A$604,0)),"0"))</f>
        <v>0</v>
      </c>
      <c r="K712" s="23">
        <f>IF(C712="","",IFERROR(INDEX(Jobs!$M$5:$M$604,MATCH(C712,Jobs!$A$5:$A$604,0)),""))</f>
        <v>0</v>
      </c>
      <c r="L712" s="51">
        <f>IF(B712="","",IF(E712&lt;&gt;"",E712,IF(C712="","",K712&amp;" - "&amp;TEXT(D712,"d mmm yyyy"))))</f>
        <v>0</v>
      </c>
      <c r="M712" s="21">
        <f>IF(B712="","",IF(G712&lt;&gt;"",G712,IFERROR(J712*1,0)))</f>
        <v>0</v>
      </c>
      <c r="N712" s="21">
        <f>IF(B712="","",ROUND(IF(F712="",1,F712)*M712,2))</f>
        <v>0</v>
      </c>
      <c r="O712" s="39">
        <f>IF(B712="","",IF(C712="","",IF(COUNTIFS($C$5:$C$804,C712)&gt;1,"Duplicate","OK")))</f>
        <v>0</v>
      </c>
      <c r="P712" s="31">
        <f>IF(OR(B712="",E712=""),"",COUNTIFS($B$5:B712,B712))</f>
        <v>0</v>
      </c>
      <c r="Q712" s="23">
        <f>IF(P712="","",B712&amp;"|"&amp;P712)</f>
        <v>0</v>
      </c>
      <c r="R712" s="39">
        <f>IF(B712="","",IF(O712="Duplicate","Duplicate - job billed twice",IF(M712=0,"Add - no price on this line",IF(AND(C712="",E712=""),"Add - what is this line for?","OK"))))</f>
        <v>0</v>
      </c>
    </row>
    <row r="713" spans="1:18">
      <c r="A713" s="43">
        <f>IF(B713="","","IL-"&amp;TEXT(ROW()-4,"0000"))</f>
        <v>0</v>
      </c>
      <c r="D713" s="18">
        <f>IF(C713="","",IFERROR(INDEX(Jobs!$B$5:$B$604,MATCH(C713,Jobs!$A$5:$A$604,0)),""))</f>
        <v>0</v>
      </c>
      <c r="J713" s="21">
        <f>IF(C713="","",IFERROR(INDEX(Jobs!$AJ$5:$AJ$604,MATCH(C713,Jobs!$A$5:$A$604,0)),"0"))</f>
        <v>0</v>
      </c>
      <c r="K713" s="23">
        <f>IF(C713="","",IFERROR(INDEX(Jobs!$M$5:$M$604,MATCH(C713,Jobs!$A$5:$A$604,0)),""))</f>
        <v>0</v>
      </c>
      <c r="L713" s="51">
        <f>IF(B713="","",IF(E713&lt;&gt;"",E713,IF(C713="","",K713&amp;" - "&amp;TEXT(D713,"d mmm yyyy"))))</f>
        <v>0</v>
      </c>
      <c r="M713" s="21">
        <f>IF(B713="","",IF(G713&lt;&gt;"",G713,IFERROR(J713*1,0)))</f>
        <v>0</v>
      </c>
      <c r="N713" s="21">
        <f>IF(B713="","",ROUND(IF(F713="",1,F713)*M713,2))</f>
        <v>0</v>
      </c>
      <c r="O713" s="39">
        <f>IF(B713="","",IF(C713="","",IF(COUNTIFS($C$5:$C$804,C713)&gt;1,"Duplicate","OK")))</f>
        <v>0</v>
      </c>
      <c r="P713" s="31">
        <f>IF(OR(B713="",E713=""),"",COUNTIFS($B$5:B713,B713))</f>
        <v>0</v>
      </c>
      <c r="Q713" s="23">
        <f>IF(P713="","",B713&amp;"|"&amp;P713)</f>
        <v>0</v>
      </c>
      <c r="R713" s="39">
        <f>IF(B713="","",IF(O713="Duplicate","Duplicate - job billed twice",IF(M713=0,"Add - no price on this line",IF(AND(C713="",E713=""),"Add - what is this line for?","OK"))))</f>
        <v>0</v>
      </c>
    </row>
    <row r="714" spans="1:18">
      <c r="A714" s="43">
        <f>IF(B714="","","IL-"&amp;TEXT(ROW()-4,"0000"))</f>
        <v>0</v>
      </c>
      <c r="D714" s="18">
        <f>IF(C714="","",IFERROR(INDEX(Jobs!$B$5:$B$604,MATCH(C714,Jobs!$A$5:$A$604,0)),""))</f>
        <v>0</v>
      </c>
      <c r="J714" s="21">
        <f>IF(C714="","",IFERROR(INDEX(Jobs!$AJ$5:$AJ$604,MATCH(C714,Jobs!$A$5:$A$604,0)),"0"))</f>
        <v>0</v>
      </c>
      <c r="K714" s="23">
        <f>IF(C714="","",IFERROR(INDEX(Jobs!$M$5:$M$604,MATCH(C714,Jobs!$A$5:$A$604,0)),""))</f>
        <v>0</v>
      </c>
      <c r="L714" s="51">
        <f>IF(B714="","",IF(E714&lt;&gt;"",E714,IF(C714="","",K714&amp;" - "&amp;TEXT(D714,"d mmm yyyy"))))</f>
        <v>0</v>
      </c>
      <c r="M714" s="21">
        <f>IF(B714="","",IF(G714&lt;&gt;"",G714,IFERROR(J714*1,0)))</f>
        <v>0</v>
      </c>
      <c r="N714" s="21">
        <f>IF(B714="","",ROUND(IF(F714="",1,F714)*M714,2))</f>
        <v>0</v>
      </c>
      <c r="O714" s="39">
        <f>IF(B714="","",IF(C714="","",IF(COUNTIFS($C$5:$C$804,C714)&gt;1,"Duplicate","OK")))</f>
        <v>0</v>
      </c>
      <c r="P714" s="31">
        <f>IF(OR(B714="",E714=""),"",COUNTIFS($B$5:B714,B714))</f>
        <v>0</v>
      </c>
      <c r="Q714" s="23">
        <f>IF(P714="","",B714&amp;"|"&amp;P714)</f>
        <v>0</v>
      </c>
      <c r="R714" s="39">
        <f>IF(B714="","",IF(O714="Duplicate","Duplicate - job billed twice",IF(M714=0,"Add - no price on this line",IF(AND(C714="",E714=""),"Add - what is this line for?","OK"))))</f>
        <v>0</v>
      </c>
    </row>
    <row r="715" spans="1:18">
      <c r="A715" s="43">
        <f>IF(B715="","","IL-"&amp;TEXT(ROW()-4,"0000"))</f>
        <v>0</v>
      </c>
      <c r="D715" s="18">
        <f>IF(C715="","",IFERROR(INDEX(Jobs!$B$5:$B$604,MATCH(C715,Jobs!$A$5:$A$604,0)),""))</f>
        <v>0</v>
      </c>
      <c r="J715" s="21">
        <f>IF(C715="","",IFERROR(INDEX(Jobs!$AJ$5:$AJ$604,MATCH(C715,Jobs!$A$5:$A$604,0)),"0"))</f>
        <v>0</v>
      </c>
      <c r="K715" s="23">
        <f>IF(C715="","",IFERROR(INDEX(Jobs!$M$5:$M$604,MATCH(C715,Jobs!$A$5:$A$604,0)),""))</f>
        <v>0</v>
      </c>
      <c r="L715" s="51">
        <f>IF(B715="","",IF(E715&lt;&gt;"",E715,IF(C715="","",K715&amp;" - "&amp;TEXT(D715,"d mmm yyyy"))))</f>
        <v>0</v>
      </c>
      <c r="M715" s="21">
        <f>IF(B715="","",IF(G715&lt;&gt;"",G715,IFERROR(J715*1,0)))</f>
        <v>0</v>
      </c>
      <c r="N715" s="21">
        <f>IF(B715="","",ROUND(IF(F715="",1,F715)*M715,2))</f>
        <v>0</v>
      </c>
      <c r="O715" s="39">
        <f>IF(B715="","",IF(C715="","",IF(COUNTIFS($C$5:$C$804,C715)&gt;1,"Duplicate","OK")))</f>
        <v>0</v>
      </c>
      <c r="P715" s="31">
        <f>IF(OR(B715="",E715=""),"",COUNTIFS($B$5:B715,B715))</f>
        <v>0</v>
      </c>
      <c r="Q715" s="23">
        <f>IF(P715="","",B715&amp;"|"&amp;P715)</f>
        <v>0</v>
      </c>
      <c r="R715" s="39">
        <f>IF(B715="","",IF(O715="Duplicate","Duplicate - job billed twice",IF(M715=0,"Add - no price on this line",IF(AND(C715="",E715=""),"Add - what is this line for?","OK"))))</f>
        <v>0</v>
      </c>
    </row>
    <row r="716" spans="1:18">
      <c r="A716" s="43">
        <f>IF(B716="","","IL-"&amp;TEXT(ROW()-4,"0000"))</f>
        <v>0</v>
      </c>
      <c r="D716" s="18">
        <f>IF(C716="","",IFERROR(INDEX(Jobs!$B$5:$B$604,MATCH(C716,Jobs!$A$5:$A$604,0)),""))</f>
        <v>0</v>
      </c>
      <c r="J716" s="21">
        <f>IF(C716="","",IFERROR(INDEX(Jobs!$AJ$5:$AJ$604,MATCH(C716,Jobs!$A$5:$A$604,0)),"0"))</f>
        <v>0</v>
      </c>
      <c r="K716" s="23">
        <f>IF(C716="","",IFERROR(INDEX(Jobs!$M$5:$M$604,MATCH(C716,Jobs!$A$5:$A$604,0)),""))</f>
        <v>0</v>
      </c>
      <c r="L716" s="51">
        <f>IF(B716="","",IF(E716&lt;&gt;"",E716,IF(C716="","",K716&amp;" - "&amp;TEXT(D716,"d mmm yyyy"))))</f>
        <v>0</v>
      </c>
      <c r="M716" s="21">
        <f>IF(B716="","",IF(G716&lt;&gt;"",G716,IFERROR(J716*1,0)))</f>
        <v>0</v>
      </c>
      <c r="N716" s="21">
        <f>IF(B716="","",ROUND(IF(F716="",1,F716)*M716,2))</f>
        <v>0</v>
      </c>
      <c r="O716" s="39">
        <f>IF(B716="","",IF(C716="","",IF(COUNTIFS($C$5:$C$804,C716)&gt;1,"Duplicate","OK")))</f>
        <v>0</v>
      </c>
      <c r="P716" s="31">
        <f>IF(OR(B716="",E716=""),"",COUNTIFS($B$5:B716,B716))</f>
        <v>0</v>
      </c>
      <c r="Q716" s="23">
        <f>IF(P716="","",B716&amp;"|"&amp;P716)</f>
        <v>0</v>
      </c>
      <c r="R716" s="39">
        <f>IF(B716="","",IF(O716="Duplicate","Duplicate - job billed twice",IF(M716=0,"Add - no price on this line",IF(AND(C716="",E716=""),"Add - what is this line for?","OK"))))</f>
        <v>0</v>
      </c>
    </row>
    <row r="717" spans="1:18">
      <c r="A717" s="43">
        <f>IF(B717="","","IL-"&amp;TEXT(ROW()-4,"0000"))</f>
        <v>0</v>
      </c>
      <c r="D717" s="18">
        <f>IF(C717="","",IFERROR(INDEX(Jobs!$B$5:$B$604,MATCH(C717,Jobs!$A$5:$A$604,0)),""))</f>
        <v>0</v>
      </c>
      <c r="J717" s="21">
        <f>IF(C717="","",IFERROR(INDEX(Jobs!$AJ$5:$AJ$604,MATCH(C717,Jobs!$A$5:$A$604,0)),"0"))</f>
        <v>0</v>
      </c>
      <c r="K717" s="23">
        <f>IF(C717="","",IFERROR(INDEX(Jobs!$M$5:$M$604,MATCH(C717,Jobs!$A$5:$A$604,0)),""))</f>
        <v>0</v>
      </c>
      <c r="L717" s="51">
        <f>IF(B717="","",IF(E717&lt;&gt;"",E717,IF(C717="","",K717&amp;" - "&amp;TEXT(D717,"d mmm yyyy"))))</f>
        <v>0</v>
      </c>
      <c r="M717" s="21">
        <f>IF(B717="","",IF(G717&lt;&gt;"",G717,IFERROR(J717*1,0)))</f>
        <v>0</v>
      </c>
      <c r="N717" s="21">
        <f>IF(B717="","",ROUND(IF(F717="",1,F717)*M717,2))</f>
        <v>0</v>
      </c>
      <c r="O717" s="39">
        <f>IF(B717="","",IF(C717="","",IF(COUNTIFS($C$5:$C$804,C717)&gt;1,"Duplicate","OK")))</f>
        <v>0</v>
      </c>
      <c r="P717" s="31">
        <f>IF(OR(B717="",E717=""),"",COUNTIFS($B$5:B717,B717))</f>
        <v>0</v>
      </c>
      <c r="Q717" s="23">
        <f>IF(P717="","",B717&amp;"|"&amp;P717)</f>
        <v>0</v>
      </c>
      <c r="R717" s="39">
        <f>IF(B717="","",IF(O717="Duplicate","Duplicate - job billed twice",IF(M717=0,"Add - no price on this line",IF(AND(C717="",E717=""),"Add - what is this line for?","OK"))))</f>
        <v>0</v>
      </c>
    </row>
    <row r="718" spans="1:18">
      <c r="A718" s="43">
        <f>IF(B718="","","IL-"&amp;TEXT(ROW()-4,"0000"))</f>
        <v>0</v>
      </c>
      <c r="D718" s="18">
        <f>IF(C718="","",IFERROR(INDEX(Jobs!$B$5:$B$604,MATCH(C718,Jobs!$A$5:$A$604,0)),""))</f>
        <v>0</v>
      </c>
      <c r="J718" s="21">
        <f>IF(C718="","",IFERROR(INDEX(Jobs!$AJ$5:$AJ$604,MATCH(C718,Jobs!$A$5:$A$604,0)),"0"))</f>
        <v>0</v>
      </c>
      <c r="K718" s="23">
        <f>IF(C718="","",IFERROR(INDEX(Jobs!$M$5:$M$604,MATCH(C718,Jobs!$A$5:$A$604,0)),""))</f>
        <v>0</v>
      </c>
      <c r="L718" s="51">
        <f>IF(B718="","",IF(E718&lt;&gt;"",E718,IF(C718="","",K718&amp;" - "&amp;TEXT(D718,"d mmm yyyy"))))</f>
        <v>0</v>
      </c>
      <c r="M718" s="21">
        <f>IF(B718="","",IF(G718&lt;&gt;"",G718,IFERROR(J718*1,0)))</f>
        <v>0</v>
      </c>
      <c r="N718" s="21">
        <f>IF(B718="","",ROUND(IF(F718="",1,F718)*M718,2))</f>
        <v>0</v>
      </c>
      <c r="O718" s="39">
        <f>IF(B718="","",IF(C718="","",IF(COUNTIFS($C$5:$C$804,C718)&gt;1,"Duplicate","OK")))</f>
        <v>0</v>
      </c>
      <c r="P718" s="31">
        <f>IF(OR(B718="",E718=""),"",COUNTIFS($B$5:B718,B718))</f>
        <v>0</v>
      </c>
      <c r="Q718" s="23">
        <f>IF(P718="","",B718&amp;"|"&amp;P718)</f>
        <v>0</v>
      </c>
      <c r="R718" s="39">
        <f>IF(B718="","",IF(O718="Duplicate","Duplicate - job billed twice",IF(M718=0,"Add - no price on this line",IF(AND(C718="",E718=""),"Add - what is this line for?","OK"))))</f>
        <v>0</v>
      </c>
    </row>
    <row r="719" spans="1:18">
      <c r="A719" s="43">
        <f>IF(B719="","","IL-"&amp;TEXT(ROW()-4,"0000"))</f>
        <v>0</v>
      </c>
      <c r="D719" s="18">
        <f>IF(C719="","",IFERROR(INDEX(Jobs!$B$5:$B$604,MATCH(C719,Jobs!$A$5:$A$604,0)),""))</f>
        <v>0</v>
      </c>
      <c r="J719" s="21">
        <f>IF(C719="","",IFERROR(INDEX(Jobs!$AJ$5:$AJ$604,MATCH(C719,Jobs!$A$5:$A$604,0)),"0"))</f>
        <v>0</v>
      </c>
      <c r="K719" s="23">
        <f>IF(C719="","",IFERROR(INDEX(Jobs!$M$5:$M$604,MATCH(C719,Jobs!$A$5:$A$604,0)),""))</f>
        <v>0</v>
      </c>
      <c r="L719" s="51">
        <f>IF(B719="","",IF(E719&lt;&gt;"",E719,IF(C719="","",K719&amp;" - "&amp;TEXT(D719,"d mmm yyyy"))))</f>
        <v>0</v>
      </c>
      <c r="M719" s="21">
        <f>IF(B719="","",IF(G719&lt;&gt;"",G719,IFERROR(J719*1,0)))</f>
        <v>0</v>
      </c>
      <c r="N719" s="21">
        <f>IF(B719="","",ROUND(IF(F719="",1,F719)*M719,2))</f>
        <v>0</v>
      </c>
      <c r="O719" s="39">
        <f>IF(B719="","",IF(C719="","",IF(COUNTIFS($C$5:$C$804,C719)&gt;1,"Duplicate","OK")))</f>
        <v>0</v>
      </c>
      <c r="P719" s="31">
        <f>IF(OR(B719="",E719=""),"",COUNTIFS($B$5:B719,B719))</f>
        <v>0</v>
      </c>
      <c r="Q719" s="23">
        <f>IF(P719="","",B719&amp;"|"&amp;P719)</f>
        <v>0</v>
      </c>
      <c r="R719" s="39">
        <f>IF(B719="","",IF(O719="Duplicate","Duplicate - job billed twice",IF(M719=0,"Add - no price on this line",IF(AND(C719="",E719=""),"Add - what is this line for?","OK"))))</f>
        <v>0</v>
      </c>
    </row>
    <row r="720" spans="1:18">
      <c r="A720" s="43">
        <f>IF(B720="","","IL-"&amp;TEXT(ROW()-4,"0000"))</f>
        <v>0</v>
      </c>
      <c r="D720" s="18">
        <f>IF(C720="","",IFERROR(INDEX(Jobs!$B$5:$B$604,MATCH(C720,Jobs!$A$5:$A$604,0)),""))</f>
        <v>0</v>
      </c>
      <c r="J720" s="21">
        <f>IF(C720="","",IFERROR(INDEX(Jobs!$AJ$5:$AJ$604,MATCH(C720,Jobs!$A$5:$A$604,0)),"0"))</f>
        <v>0</v>
      </c>
      <c r="K720" s="23">
        <f>IF(C720="","",IFERROR(INDEX(Jobs!$M$5:$M$604,MATCH(C720,Jobs!$A$5:$A$604,0)),""))</f>
        <v>0</v>
      </c>
      <c r="L720" s="51">
        <f>IF(B720="","",IF(E720&lt;&gt;"",E720,IF(C720="","",K720&amp;" - "&amp;TEXT(D720,"d mmm yyyy"))))</f>
        <v>0</v>
      </c>
      <c r="M720" s="21">
        <f>IF(B720="","",IF(G720&lt;&gt;"",G720,IFERROR(J720*1,0)))</f>
        <v>0</v>
      </c>
      <c r="N720" s="21">
        <f>IF(B720="","",ROUND(IF(F720="",1,F720)*M720,2))</f>
        <v>0</v>
      </c>
      <c r="O720" s="39">
        <f>IF(B720="","",IF(C720="","",IF(COUNTIFS($C$5:$C$804,C720)&gt;1,"Duplicate","OK")))</f>
        <v>0</v>
      </c>
      <c r="P720" s="31">
        <f>IF(OR(B720="",E720=""),"",COUNTIFS($B$5:B720,B720))</f>
        <v>0</v>
      </c>
      <c r="Q720" s="23">
        <f>IF(P720="","",B720&amp;"|"&amp;P720)</f>
        <v>0</v>
      </c>
      <c r="R720" s="39">
        <f>IF(B720="","",IF(O720="Duplicate","Duplicate - job billed twice",IF(M720=0,"Add - no price on this line",IF(AND(C720="",E720=""),"Add - what is this line for?","OK"))))</f>
        <v>0</v>
      </c>
    </row>
    <row r="721" spans="1:18">
      <c r="A721" s="43">
        <f>IF(B721="","","IL-"&amp;TEXT(ROW()-4,"0000"))</f>
        <v>0</v>
      </c>
      <c r="D721" s="18">
        <f>IF(C721="","",IFERROR(INDEX(Jobs!$B$5:$B$604,MATCH(C721,Jobs!$A$5:$A$604,0)),""))</f>
        <v>0</v>
      </c>
      <c r="J721" s="21">
        <f>IF(C721="","",IFERROR(INDEX(Jobs!$AJ$5:$AJ$604,MATCH(C721,Jobs!$A$5:$A$604,0)),"0"))</f>
        <v>0</v>
      </c>
      <c r="K721" s="23">
        <f>IF(C721="","",IFERROR(INDEX(Jobs!$M$5:$M$604,MATCH(C721,Jobs!$A$5:$A$604,0)),""))</f>
        <v>0</v>
      </c>
      <c r="L721" s="51">
        <f>IF(B721="","",IF(E721&lt;&gt;"",E721,IF(C721="","",K721&amp;" - "&amp;TEXT(D721,"d mmm yyyy"))))</f>
        <v>0</v>
      </c>
      <c r="M721" s="21">
        <f>IF(B721="","",IF(G721&lt;&gt;"",G721,IFERROR(J721*1,0)))</f>
        <v>0</v>
      </c>
      <c r="N721" s="21">
        <f>IF(B721="","",ROUND(IF(F721="",1,F721)*M721,2))</f>
        <v>0</v>
      </c>
      <c r="O721" s="39">
        <f>IF(B721="","",IF(C721="","",IF(COUNTIFS($C$5:$C$804,C721)&gt;1,"Duplicate","OK")))</f>
        <v>0</v>
      </c>
      <c r="P721" s="31">
        <f>IF(OR(B721="",E721=""),"",COUNTIFS($B$5:B721,B721))</f>
        <v>0</v>
      </c>
      <c r="Q721" s="23">
        <f>IF(P721="","",B721&amp;"|"&amp;P721)</f>
        <v>0</v>
      </c>
      <c r="R721" s="39">
        <f>IF(B721="","",IF(O721="Duplicate","Duplicate - job billed twice",IF(M721=0,"Add - no price on this line",IF(AND(C721="",E721=""),"Add - what is this line for?","OK"))))</f>
        <v>0</v>
      </c>
    </row>
    <row r="722" spans="1:18">
      <c r="A722" s="43">
        <f>IF(B722="","","IL-"&amp;TEXT(ROW()-4,"0000"))</f>
        <v>0</v>
      </c>
      <c r="D722" s="18">
        <f>IF(C722="","",IFERROR(INDEX(Jobs!$B$5:$B$604,MATCH(C722,Jobs!$A$5:$A$604,0)),""))</f>
        <v>0</v>
      </c>
      <c r="J722" s="21">
        <f>IF(C722="","",IFERROR(INDEX(Jobs!$AJ$5:$AJ$604,MATCH(C722,Jobs!$A$5:$A$604,0)),"0"))</f>
        <v>0</v>
      </c>
      <c r="K722" s="23">
        <f>IF(C722="","",IFERROR(INDEX(Jobs!$M$5:$M$604,MATCH(C722,Jobs!$A$5:$A$604,0)),""))</f>
        <v>0</v>
      </c>
      <c r="L722" s="51">
        <f>IF(B722="","",IF(E722&lt;&gt;"",E722,IF(C722="","",K722&amp;" - "&amp;TEXT(D722,"d mmm yyyy"))))</f>
        <v>0</v>
      </c>
      <c r="M722" s="21">
        <f>IF(B722="","",IF(G722&lt;&gt;"",G722,IFERROR(J722*1,0)))</f>
        <v>0</v>
      </c>
      <c r="N722" s="21">
        <f>IF(B722="","",ROUND(IF(F722="",1,F722)*M722,2))</f>
        <v>0</v>
      </c>
      <c r="O722" s="39">
        <f>IF(B722="","",IF(C722="","",IF(COUNTIFS($C$5:$C$804,C722)&gt;1,"Duplicate","OK")))</f>
        <v>0</v>
      </c>
      <c r="P722" s="31">
        <f>IF(OR(B722="",E722=""),"",COUNTIFS($B$5:B722,B722))</f>
        <v>0</v>
      </c>
      <c r="Q722" s="23">
        <f>IF(P722="","",B722&amp;"|"&amp;P722)</f>
        <v>0</v>
      </c>
      <c r="R722" s="39">
        <f>IF(B722="","",IF(O722="Duplicate","Duplicate - job billed twice",IF(M722=0,"Add - no price on this line",IF(AND(C722="",E722=""),"Add - what is this line for?","OK"))))</f>
        <v>0</v>
      </c>
    </row>
    <row r="723" spans="1:18">
      <c r="A723" s="43">
        <f>IF(B723="","","IL-"&amp;TEXT(ROW()-4,"0000"))</f>
        <v>0</v>
      </c>
      <c r="D723" s="18">
        <f>IF(C723="","",IFERROR(INDEX(Jobs!$B$5:$B$604,MATCH(C723,Jobs!$A$5:$A$604,0)),""))</f>
        <v>0</v>
      </c>
      <c r="J723" s="21">
        <f>IF(C723="","",IFERROR(INDEX(Jobs!$AJ$5:$AJ$604,MATCH(C723,Jobs!$A$5:$A$604,0)),"0"))</f>
        <v>0</v>
      </c>
      <c r="K723" s="23">
        <f>IF(C723="","",IFERROR(INDEX(Jobs!$M$5:$M$604,MATCH(C723,Jobs!$A$5:$A$604,0)),""))</f>
        <v>0</v>
      </c>
      <c r="L723" s="51">
        <f>IF(B723="","",IF(E723&lt;&gt;"",E723,IF(C723="","",K723&amp;" - "&amp;TEXT(D723,"d mmm yyyy"))))</f>
        <v>0</v>
      </c>
      <c r="M723" s="21">
        <f>IF(B723="","",IF(G723&lt;&gt;"",G723,IFERROR(J723*1,0)))</f>
        <v>0</v>
      </c>
      <c r="N723" s="21">
        <f>IF(B723="","",ROUND(IF(F723="",1,F723)*M723,2))</f>
        <v>0</v>
      </c>
      <c r="O723" s="39">
        <f>IF(B723="","",IF(C723="","",IF(COUNTIFS($C$5:$C$804,C723)&gt;1,"Duplicate","OK")))</f>
        <v>0</v>
      </c>
      <c r="P723" s="31">
        <f>IF(OR(B723="",E723=""),"",COUNTIFS($B$5:B723,B723))</f>
        <v>0</v>
      </c>
      <c r="Q723" s="23">
        <f>IF(P723="","",B723&amp;"|"&amp;P723)</f>
        <v>0</v>
      </c>
      <c r="R723" s="39">
        <f>IF(B723="","",IF(O723="Duplicate","Duplicate - job billed twice",IF(M723=0,"Add - no price on this line",IF(AND(C723="",E723=""),"Add - what is this line for?","OK"))))</f>
        <v>0</v>
      </c>
    </row>
    <row r="724" spans="1:18">
      <c r="A724" s="43">
        <f>IF(B724="","","IL-"&amp;TEXT(ROW()-4,"0000"))</f>
        <v>0</v>
      </c>
      <c r="D724" s="18">
        <f>IF(C724="","",IFERROR(INDEX(Jobs!$B$5:$B$604,MATCH(C724,Jobs!$A$5:$A$604,0)),""))</f>
        <v>0</v>
      </c>
      <c r="J724" s="21">
        <f>IF(C724="","",IFERROR(INDEX(Jobs!$AJ$5:$AJ$604,MATCH(C724,Jobs!$A$5:$A$604,0)),"0"))</f>
        <v>0</v>
      </c>
      <c r="K724" s="23">
        <f>IF(C724="","",IFERROR(INDEX(Jobs!$M$5:$M$604,MATCH(C724,Jobs!$A$5:$A$604,0)),""))</f>
        <v>0</v>
      </c>
      <c r="L724" s="51">
        <f>IF(B724="","",IF(E724&lt;&gt;"",E724,IF(C724="","",K724&amp;" - "&amp;TEXT(D724,"d mmm yyyy"))))</f>
        <v>0</v>
      </c>
      <c r="M724" s="21">
        <f>IF(B724="","",IF(G724&lt;&gt;"",G724,IFERROR(J724*1,0)))</f>
        <v>0</v>
      </c>
      <c r="N724" s="21">
        <f>IF(B724="","",ROUND(IF(F724="",1,F724)*M724,2))</f>
        <v>0</v>
      </c>
      <c r="O724" s="39">
        <f>IF(B724="","",IF(C724="","",IF(COUNTIFS($C$5:$C$804,C724)&gt;1,"Duplicate","OK")))</f>
        <v>0</v>
      </c>
      <c r="P724" s="31">
        <f>IF(OR(B724="",E724=""),"",COUNTIFS($B$5:B724,B724))</f>
        <v>0</v>
      </c>
      <c r="Q724" s="23">
        <f>IF(P724="","",B724&amp;"|"&amp;P724)</f>
        <v>0</v>
      </c>
      <c r="R724" s="39">
        <f>IF(B724="","",IF(O724="Duplicate","Duplicate - job billed twice",IF(M724=0,"Add - no price on this line",IF(AND(C724="",E724=""),"Add - what is this line for?","OK"))))</f>
        <v>0</v>
      </c>
    </row>
    <row r="725" spans="1:18">
      <c r="A725" s="43">
        <f>IF(B725="","","IL-"&amp;TEXT(ROW()-4,"0000"))</f>
        <v>0</v>
      </c>
      <c r="D725" s="18">
        <f>IF(C725="","",IFERROR(INDEX(Jobs!$B$5:$B$604,MATCH(C725,Jobs!$A$5:$A$604,0)),""))</f>
        <v>0</v>
      </c>
      <c r="J725" s="21">
        <f>IF(C725="","",IFERROR(INDEX(Jobs!$AJ$5:$AJ$604,MATCH(C725,Jobs!$A$5:$A$604,0)),"0"))</f>
        <v>0</v>
      </c>
      <c r="K725" s="23">
        <f>IF(C725="","",IFERROR(INDEX(Jobs!$M$5:$M$604,MATCH(C725,Jobs!$A$5:$A$604,0)),""))</f>
        <v>0</v>
      </c>
      <c r="L725" s="51">
        <f>IF(B725="","",IF(E725&lt;&gt;"",E725,IF(C725="","",K725&amp;" - "&amp;TEXT(D725,"d mmm yyyy"))))</f>
        <v>0</v>
      </c>
      <c r="M725" s="21">
        <f>IF(B725="","",IF(G725&lt;&gt;"",G725,IFERROR(J725*1,0)))</f>
        <v>0</v>
      </c>
      <c r="N725" s="21">
        <f>IF(B725="","",ROUND(IF(F725="",1,F725)*M725,2))</f>
        <v>0</v>
      </c>
      <c r="O725" s="39">
        <f>IF(B725="","",IF(C725="","",IF(COUNTIFS($C$5:$C$804,C725)&gt;1,"Duplicate","OK")))</f>
        <v>0</v>
      </c>
      <c r="P725" s="31">
        <f>IF(OR(B725="",E725=""),"",COUNTIFS($B$5:B725,B725))</f>
        <v>0</v>
      </c>
      <c r="Q725" s="23">
        <f>IF(P725="","",B725&amp;"|"&amp;P725)</f>
        <v>0</v>
      </c>
      <c r="R725" s="39">
        <f>IF(B725="","",IF(O725="Duplicate","Duplicate - job billed twice",IF(M725=0,"Add - no price on this line",IF(AND(C725="",E725=""),"Add - what is this line for?","OK"))))</f>
        <v>0</v>
      </c>
    </row>
    <row r="726" spans="1:18">
      <c r="A726" s="43">
        <f>IF(B726="","","IL-"&amp;TEXT(ROW()-4,"0000"))</f>
        <v>0</v>
      </c>
      <c r="D726" s="18">
        <f>IF(C726="","",IFERROR(INDEX(Jobs!$B$5:$B$604,MATCH(C726,Jobs!$A$5:$A$604,0)),""))</f>
        <v>0</v>
      </c>
      <c r="J726" s="21">
        <f>IF(C726="","",IFERROR(INDEX(Jobs!$AJ$5:$AJ$604,MATCH(C726,Jobs!$A$5:$A$604,0)),"0"))</f>
        <v>0</v>
      </c>
      <c r="K726" s="23">
        <f>IF(C726="","",IFERROR(INDEX(Jobs!$M$5:$M$604,MATCH(C726,Jobs!$A$5:$A$604,0)),""))</f>
        <v>0</v>
      </c>
      <c r="L726" s="51">
        <f>IF(B726="","",IF(E726&lt;&gt;"",E726,IF(C726="","",K726&amp;" - "&amp;TEXT(D726,"d mmm yyyy"))))</f>
        <v>0</v>
      </c>
      <c r="M726" s="21">
        <f>IF(B726="","",IF(G726&lt;&gt;"",G726,IFERROR(J726*1,0)))</f>
        <v>0</v>
      </c>
      <c r="N726" s="21">
        <f>IF(B726="","",ROUND(IF(F726="",1,F726)*M726,2))</f>
        <v>0</v>
      </c>
      <c r="O726" s="39">
        <f>IF(B726="","",IF(C726="","",IF(COUNTIFS($C$5:$C$804,C726)&gt;1,"Duplicate","OK")))</f>
        <v>0</v>
      </c>
      <c r="P726" s="31">
        <f>IF(OR(B726="",E726=""),"",COUNTIFS($B$5:B726,B726))</f>
        <v>0</v>
      </c>
      <c r="Q726" s="23">
        <f>IF(P726="","",B726&amp;"|"&amp;P726)</f>
        <v>0</v>
      </c>
      <c r="R726" s="39">
        <f>IF(B726="","",IF(O726="Duplicate","Duplicate - job billed twice",IF(M726=0,"Add - no price on this line",IF(AND(C726="",E726=""),"Add - what is this line for?","OK"))))</f>
        <v>0</v>
      </c>
    </row>
    <row r="727" spans="1:18">
      <c r="A727" s="43">
        <f>IF(B727="","","IL-"&amp;TEXT(ROW()-4,"0000"))</f>
        <v>0</v>
      </c>
      <c r="D727" s="18">
        <f>IF(C727="","",IFERROR(INDEX(Jobs!$B$5:$B$604,MATCH(C727,Jobs!$A$5:$A$604,0)),""))</f>
        <v>0</v>
      </c>
      <c r="J727" s="21">
        <f>IF(C727="","",IFERROR(INDEX(Jobs!$AJ$5:$AJ$604,MATCH(C727,Jobs!$A$5:$A$604,0)),"0"))</f>
        <v>0</v>
      </c>
      <c r="K727" s="23">
        <f>IF(C727="","",IFERROR(INDEX(Jobs!$M$5:$M$604,MATCH(C727,Jobs!$A$5:$A$604,0)),""))</f>
        <v>0</v>
      </c>
      <c r="L727" s="51">
        <f>IF(B727="","",IF(E727&lt;&gt;"",E727,IF(C727="","",K727&amp;" - "&amp;TEXT(D727,"d mmm yyyy"))))</f>
        <v>0</v>
      </c>
      <c r="M727" s="21">
        <f>IF(B727="","",IF(G727&lt;&gt;"",G727,IFERROR(J727*1,0)))</f>
        <v>0</v>
      </c>
      <c r="N727" s="21">
        <f>IF(B727="","",ROUND(IF(F727="",1,F727)*M727,2))</f>
        <v>0</v>
      </c>
      <c r="O727" s="39">
        <f>IF(B727="","",IF(C727="","",IF(COUNTIFS($C$5:$C$804,C727)&gt;1,"Duplicate","OK")))</f>
        <v>0</v>
      </c>
      <c r="P727" s="31">
        <f>IF(OR(B727="",E727=""),"",COUNTIFS($B$5:B727,B727))</f>
        <v>0</v>
      </c>
      <c r="Q727" s="23">
        <f>IF(P727="","",B727&amp;"|"&amp;P727)</f>
        <v>0</v>
      </c>
      <c r="R727" s="39">
        <f>IF(B727="","",IF(O727="Duplicate","Duplicate - job billed twice",IF(M727=0,"Add - no price on this line",IF(AND(C727="",E727=""),"Add - what is this line for?","OK"))))</f>
        <v>0</v>
      </c>
    </row>
    <row r="728" spans="1:18">
      <c r="A728" s="43">
        <f>IF(B728="","","IL-"&amp;TEXT(ROW()-4,"0000"))</f>
        <v>0</v>
      </c>
      <c r="D728" s="18">
        <f>IF(C728="","",IFERROR(INDEX(Jobs!$B$5:$B$604,MATCH(C728,Jobs!$A$5:$A$604,0)),""))</f>
        <v>0</v>
      </c>
      <c r="J728" s="21">
        <f>IF(C728="","",IFERROR(INDEX(Jobs!$AJ$5:$AJ$604,MATCH(C728,Jobs!$A$5:$A$604,0)),"0"))</f>
        <v>0</v>
      </c>
      <c r="K728" s="23">
        <f>IF(C728="","",IFERROR(INDEX(Jobs!$M$5:$M$604,MATCH(C728,Jobs!$A$5:$A$604,0)),""))</f>
        <v>0</v>
      </c>
      <c r="L728" s="51">
        <f>IF(B728="","",IF(E728&lt;&gt;"",E728,IF(C728="","",K728&amp;" - "&amp;TEXT(D728,"d mmm yyyy"))))</f>
        <v>0</v>
      </c>
      <c r="M728" s="21">
        <f>IF(B728="","",IF(G728&lt;&gt;"",G728,IFERROR(J728*1,0)))</f>
        <v>0</v>
      </c>
      <c r="N728" s="21">
        <f>IF(B728="","",ROUND(IF(F728="",1,F728)*M728,2))</f>
        <v>0</v>
      </c>
      <c r="O728" s="39">
        <f>IF(B728="","",IF(C728="","",IF(COUNTIFS($C$5:$C$804,C728)&gt;1,"Duplicate","OK")))</f>
        <v>0</v>
      </c>
      <c r="P728" s="31">
        <f>IF(OR(B728="",E728=""),"",COUNTIFS($B$5:B728,B728))</f>
        <v>0</v>
      </c>
      <c r="Q728" s="23">
        <f>IF(P728="","",B728&amp;"|"&amp;P728)</f>
        <v>0</v>
      </c>
      <c r="R728" s="39">
        <f>IF(B728="","",IF(O728="Duplicate","Duplicate - job billed twice",IF(M728=0,"Add - no price on this line",IF(AND(C728="",E728=""),"Add - what is this line for?","OK"))))</f>
        <v>0</v>
      </c>
    </row>
    <row r="729" spans="1:18">
      <c r="A729" s="43">
        <f>IF(B729="","","IL-"&amp;TEXT(ROW()-4,"0000"))</f>
        <v>0</v>
      </c>
      <c r="D729" s="18">
        <f>IF(C729="","",IFERROR(INDEX(Jobs!$B$5:$B$604,MATCH(C729,Jobs!$A$5:$A$604,0)),""))</f>
        <v>0</v>
      </c>
      <c r="J729" s="21">
        <f>IF(C729="","",IFERROR(INDEX(Jobs!$AJ$5:$AJ$604,MATCH(C729,Jobs!$A$5:$A$604,0)),"0"))</f>
        <v>0</v>
      </c>
      <c r="K729" s="23">
        <f>IF(C729="","",IFERROR(INDEX(Jobs!$M$5:$M$604,MATCH(C729,Jobs!$A$5:$A$604,0)),""))</f>
        <v>0</v>
      </c>
      <c r="L729" s="51">
        <f>IF(B729="","",IF(E729&lt;&gt;"",E729,IF(C729="","",K729&amp;" - "&amp;TEXT(D729,"d mmm yyyy"))))</f>
        <v>0</v>
      </c>
      <c r="M729" s="21">
        <f>IF(B729="","",IF(G729&lt;&gt;"",G729,IFERROR(J729*1,0)))</f>
        <v>0</v>
      </c>
      <c r="N729" s="21">
        <f>IF(B729="","",ROUND(IF(F729="",1,F729)*M729,2))</f>
        <v>0</v>
      </c>
      <c r="O729" s="39">
        <f>IF(B729="","",IF(C729="","",IF(COUNTIFS($C$5:$C$804,C729)&gt;1,"Duplicate","OK")))</f>
        <v>0</v>
      </c>
      <c r="P729" s="31">
        <f>IF(OR(B729="",E729=""),"",COUNTIFS($B$5:B729,B729))</f>
        <v>0</v>
      </c>
      <c r="Q729" s="23">
        <f>IF(P729="","",B729&amp;"|"&amp;P729)</f>
        <v>0</v>
      </c>
      <c r="R729" s="39">
        <f>IF(B729="","",IF(O729="Duplicate","Duplicate - job billed twice",IF(M729=0,"Add - no price on this line",IF(AND(C729="",E729=""),"Add - what is this line for?","OK"))))</f>
        <v>0</v>
      </c>
    </row>
    <row r="730" spans="1:18">
      <c r="A730" s="43">
        <f>IF(B730="","","IL-"&amp;TEXT(ROW()-4,"0000"))</f>
        <v>0</v>
      </c>
      <c r="D730" s="18">
        <f>IF(C730="","",IFERROR(INDEX(Jobs!$B$5:$B$604,MATCH(C730,Jobs!$A$5:$A$604,0)),""))</f>
        <v>0</v>
      </c>
      <c r="J730" s="21">
        <f>IF(C730="","",IFERROR(INDEX(Jobs!$AJ$5:$AJ$604,MATCH(C730,Jobs!$A$5:$A$604,0)),"0"))</f>
        <v>0</v>
      </c>
      <c r="K730" s="23">
        <f>IF(C730="","",IFERROR(INDEX(Jobs!$M$5:$M$604,MATCH(C730,Jobs!$A$5:$A$604,0)),""))</f>
        <v>0</v>
      </c>
      <c r="L730" s="51">
        <f>IF(B730="","",IF(E730&lt;&gt;"",E730,IF(C730="","",K730&amp;" - "&amp;TEXT(D730,"d mmm yyyy"))))</f>
        <v>0</v>
      </c>
      <c r="M730" s="21">
        <f>IF(B730="","",IF(G730&lt;&gt;"",G730,IFERROR(J730*1,0)))</f>
        <v>0</v>
      </c>
      <c r="N730" s="21">
        <f>IF(B730="","",ROUND(IF(F730="",1,F730)*M730,2))</f>
        <v>0</v>
      </c>
      <c r="O730" s="39">
        <f>IF(B730="","",IF(C730="","",IF(COUNTIFS($C$5:$C$804,C730)&gt;1,"Duplicate","OK")))</f>
        <v>0</v>
      </c>
      <c r="P730" s="31">
        <f>IF(OR(B730="",E730=""),"",COUNTIFS($B$5:B730,B730))</f>
        <v>0</v>
      </c>
      <c r="Q730" s="23">
        <f>IF(P730="","",B730&amp;"|"&amp;P730)</f>
        <v>0</v>
      </c>
      <c r="R730" s="39">
        <f>IF(B730="","",IF(O730="Duplicate","Duplicate - job billed twice",IF(M730=0,"Add - no price on this line",IF(AND(C730="",E730=""),"Add - what is this line for?","OK"))))</f>
        <v>0</v>
      </c>
    </row>
    <row r="731" spans="1:18">
      <c r="A731" s="43">
        <f>IF(B731="","","IL-"&amp;TEXT(ROW()-4,"0000"))</f>
        <v>0</v>
      </c>
      <c r="D731" s="18">
        <f>IF(C731="","",IFERROR(INDEX(Jobs!$B$5:$B$604,MATCH(C731,Jobs!$A$5:$A$604,0)),""))</f>
        <v>0</v>
      </c>
      <c r="J731" s="21">
        <f>IF(C731="","",IFERROR(INDEX(Jobs!$AJ$5:$AJ$604,MATCH(C731,Jobs!$A$5:$A$604,0)),"0"))</f>
        <v>0</v>
      </c>
      <c r="K731" s="23">
        <f>IF(C731="","",IFERROR(INDEX(Jobs!$M$5:$M$604,MATCH(C731,Jobs!$A$5:$A$604,0)),""))</f>
        <v>0</v>
      </c>
      <c r="L731" s="51">
        <f>IF(B731="","",IF(E731&lt;&gt;"",E731,IF(C731="","",K731&amp;" - "&amp;TEXT(D731,"d mmm yyyy"))))</f>
        <v>0</v>
      </c>
      <c r="M731" s="21">
        <f>IF(B731="","",IF(G731&lt;&gt;"",G731,IFERROR(J731*1,0)))</f>
        <v>0</v>
      </c>
      <c r="N731" s="21">
        <f>IF(B731="","",ROUND(IF(F731="",1,F731)*M731,2))</f>
        <v>0</v>
      </c>
      <c r="O731" s="39">
        <f>IF(B731="","",IF(C731="","",IF(COUNTIFS($C$5:$C$804,C731)&gt;1,"Duplicate","OK")))</f>
        <v>0</v>
      </c>
      <c r="P731" s="31">
        <f>IF(OR(B731="",E731=""),"",COUNTIFS($B$5:B731,B731))</f>
        <v>0</v>
      </c>
      <c r="Q731" s="23">
        <f>IF(P731="","",B731&amp;"|"&amp;P731)</f>
        <v>0</v>
      </c>
      <c r="R731" s="39">
        <f>IF(B731="","",IF(O731="Duplicate","Duplicate - job billed twice",IF(M731=0,"Add - no price on this line",IF(AND(C731="",E731=""),"Add - what is this line for?","OK"))))</f>
        <v>0</v>
      </c>
    </row>
    <row r="732" spans="1:18">
      <c r="A732" s="43">
        <f>IF(B732="","","IL-"&amp;TEXT(ROW()-4,"0000"))</f>
        <v>0</v>
      </c>
      <c r="D732" s="18">
        <f>IF(C732="","",IFERROR(INDEX(Jobs!$B$5:$B$604,MATCH(C732,Jobs!$A$5:$A$604,0)),""))</f>
        <v>0</v>
      </c>
      <c r="J732" s="21">
        <f>IF(C732="","",IFERROR(INDEX(Jobs!$AJ$5:$AJ$604,MATCH(C732,Jobs!$A$5:$A$604,0)),"0"))</f>
        <v>0</v>
      </c>
      <c r="K732" s="23">
        <f>IF(C732="","",IFERROR(INDEX(Jobs!$M$5:$M$604,MATCH(C732,Jobs!$A$5:$A$604,0)),""))</f>
        <v>0</v>
      </c>
      <c r="L732" s="51">
        <f>IF(B732="","",IF(E732&lt;&gt;"",E732,IF(C732="","",K732&amp;" - "&amp;TEXT(D732,"d mmm yyyy"))))</f>
        <v>0</v>
      </c>
      <c r="M732" s="21">
        <f>IF(B732="","",IF(G732&lt;&gt;"",G732,IFERROR(J732*1,0)))</f>
        <v>0</v>
      </c>
      <c r="N732" s="21">
        <f>IF(B732="","",ROUND(IF(F732="",1,F732)*M732,2))</f>
        <v>0</v>
      </c>
      <c r="O732" s="39">
        <f>IF(B732="","",IF(C732="","",IF(COUNTIFS($C$5:$C$804,C732)&gt;1,"Duplicate","OK")))</f>
        <v>0</v>
      </c>
      <c r="P732" s="31">
        <f>IF(OR(B732="",E732=""),"",COUNTIFS($B$5:B732,B732))</f>
        <v>0</v>
      </c>
      <c r="Q732" s="23">
        <f>IF(P732="","",B732&amp;"|"&amp;P732)</f>
        <v>0</v>
      </c>
      <c r="R732" s="39">
        <f>IF(B732="","",IF(O732="Duplicate","Duplicate - job billed twice",IF(M732=0,"Add - no price on this line",IF(AND(C732="",E732=""),"Add - what is this line for?","OK"))))</f>
        <v>0</v>
      </c>
    </row>
    <row r="733" spans="1:18">
      <c r="A733" s="43">
        <f>IF(B733="","","IL-"&amp;TEXT(ROW()-4,"0000"))</f>
        <v>0</v>
      </c>
      <c r="D733" s="18">
        <f>IF(C733="","",IFERROR(INDEX(Jobs!$B$5:$B$604,MATCH(C733,Jobs!$A$5:$A$604,0)),""))</f>
        <v>0</v>
      </c>
      <c r="J733" s="21">
        <f>IF(C733="","",IFERROR(INDEX(Jobs!$AJ$5:$AJ$604,MATCH(C733,Jobs!$A$5:$A$604,0)),"0"))</f>
        <v>0</v>
      </c>
      <c r="K733" s="23">
        <f>IF(C733="","",IFERROR(INDEX(Jobs!$M$5:$M$604,MATCH(C733,Jobs!$A$5:$A$604,0)),""))</f>
        <v>0</v>
      </c>
      <c r="L733" s="51">
        <f>IF(B733="","",IF(E733&lt;&gt;"",E733,IF(C733="","",K733&amp;" - "&amp;TEXT(D733,"d mmm yyyy"))))</f>
        <v>0</v>
      </c>
      <c r="M733" s="21">
        <f>IF(B733="","",IF(G733&lt;&gt;"",G733,IFERROR(J733*1,0)))</f>
        <v>0</v>
      </c>
      <c r="N733" s="21">
        <f>IF(B733="","",ROUND(IF(F733="",1,F733)*M733,2))</f>
        <v>0</v>
      </c>
      <c r="O733" s="39">
        <f>IF(B733="","",IF(C733="","",IF(COUNTIFS($C$5:$C$804,C733)&gt;1,"Duplicate","OK")))</f>
        <v>0</v>
      </c>
      <c r="P733" s="31">
        <f>IF(OR(B733="",E733=""),"",COUNTIFS($B$5:B733,B733))</f>
        <v>0</v>
      </c>
      <c r="Q733" s="23">
        <f>IF(P733="","",B733&amp;"|"&amp;P733)</f>
        <v>0</v>
      </c>
      <c r="R733" s="39">
        <f>IF(B733="","",IF(O733="Duplicate","Duplicate - job billed twice",IF(M733=0,"Add - no price on this line",IF(AND(C733="",E733=""),"Add - what is this line for?","OK"))))</f>
        <v>0</v>
      </c>
    </row>
    <row r="734" spans="1:18">
      <c r="A734" s="43">
        <f>IF(B734="","","IL-"&amp;TEXT(ROW()-4,"0000"))</f>
        <v>0</v>
      </c>
      <c r="D734" s="18">
        <f>IF(C734="","",IFERROR(INDEX(Jobs!$B$5:$B$604,MATCH(C734,Jobs!$A$5:$A$604,0)),""))</f>
        <v>0</v>
      </c>
      <c r="J734" s="21">
        <f>IF(C734="","",IFERROR(INDEX(Jobs!$AJ$5:$AJ$604,MATCH(C734,Jobs!$A$5:$A$604,0)),"0"))</f>
        <v>0</v>
      </c>
      <c r="K734" s="23">
        <f>IF(C734="","",IFERROR(INDEX(Jobs!$M$5:$M$604,MATCH(C734,Jobs!$A$5:$A$604,0)),""))</f>
        <v>0</v>
      </c>
      <c r="L734" s="51">
        <f>IF(B734="","",IF(E734&lt;&gt;"",E734,IF(C734="","",K734&amp;" - "&amp;TEXT(D734,"d mmm yyyy"))))</f>
        <v>0</v>
      </c>
      <c r="M734" s="21">
        <f>IF(B734="","",IF(G734&lt;&gt;"",G734,IFERROR(J734*1,0)))</f>
        <v>0</v>
      </c>
      <c r="N734" s="21">
        <f>IF(B734="","",ROUND(IF(F734="",1,F734)*M734,2))</f>
        <v>0</v>
      </c>
      <c r="O734" s="39">
        <f>IF(B734="","",IF(C734="","",IF(COUNTIFS($C$5:$C$804,C734)&gt;1,"Duplicate","OK")))</f>
        <v>0</v>
      </c>
      <c r="P734" s="31">
        <f>IF(OR(B734="",E734=""),"",COUNTIFS($B$5:B734,B734))</f>
        <v>0</v>
      </c>
      <c r="Q734" s="23">
        <f>IF(P734="","",B734&amp;"|"&amp;P734)</f>
        <v>0</v>
      </c>
      <c r="R734" s="39">
        <f>IF(B734="","",IF(O734="Duplicate","Duplicate - job billed twice",IF(M734=0,"Add - no price on this line",IF(AND(C734="",E734=""),"Add - what is this line for?","OK"))))</f>
        <v>0</v>
      </c>
    </row>
    <row r="735" spans="1:18">
      <c r="A735" s="43">
        <f>IF(B735="","","IL-"&amp;TEXT(ROW()-4,"0000"))</f>
        <v>0</v>
      </c>
      <c r="D735" s="18">
        <f>IF(C735="","",IFERROR(INDEX(Jobs!$B$5:$B$604,MATCH(C735,Jobs!$A$5:$A$604,0)),""))</f>
        <v>0</v>
      </c>
      <c r="J735" s="21">
        <f>IF(C735="","",IFERROR(INDEX(Jobs!$AJ$5:$AJ$604,MATCH(C735,Jobs!$A$5:$A$604,0)),"0"))</f>
        <v>0</v>
      </c>
      <c r="K735" s="23">
        <f>IF(C735="","",IFERROR(INDEX(Jobs!$M$5:$M$604,MATCH(C735,Jobs!$A$5:$A$604,0)),""))</f>
        <v>0</v>
      </c>
      <c r="L735" s="51">
        <f>IF(B735="","",IF(E735&lt;&gt;"",E735,IF(C735="","",K735&amp;" - "&amp;TEXT(D735,"d mmm yyyy"))))</f>
        <v>0</v>
      </c>
      <c r="M735" s="21">
        <f>IF(B735="","",IF(G735&lt;&gt;"",G735,IFERROR(J735*1,0)))</f>
        <v>0</v>
      </c>
      <c r="N735" s="21">
        <f>IF(B735="","",ROUND(IF(F735="",1,F735)*M735,2))</f>
        <v>0</v>
      </c>
      <c r="O735" s="39">
        <f>IF(B735="","",IF(C735="","",IF(COUNTIFS($C$5:$C$804,C735)&gt;1,"Duplicate","OK")))</f>
        <v>0</v>
      </c>
      <c r="P735" s="31">
        <f>IF(OR(B735="",E735=""),"",COUNTIFS($B$5:B735,B735))</f>
        <v>0</v>
      </c>
      <c r="Q735" s="23">
        <f>IF(P735="","",B735&amp;"|"&amp;P735)</f>
        <v>0</v>
      </c>
      <c r="R735" s="39">
        <f>IF(B735="","",IF(O735="Duplicate","Duplicate - job billed twice",IF(M735=0,"Add - no price on this line",IF(AND(C735="",E735=""),"Add - what is this line for?","OK"))))</f>
        <v>0</v>
      </c>
    </row>
    <row r="736" spans="1:18">
      <c r="A736" s="43">
        <f>IF(B736="","","IL-"&amp;TEXT(ROW()-4,"0000"))</f>
        <v>0</v>
      </c>
      <c r="D736" s="18">
        <f>IF(C736="","",IFERROR(INDEX(Jobs!$B$5:$B$604,MATCH(C736,Jobs!$A$5:$A$604,0)),""))</f>
        <v>0</v>
      </c>
      <c r="J736" s="21">
        <f>IF(C736="","",IFERROR(INDEX(Jobs!$AJ$5:$AJ$604,MATCH(C736,Jobs!$A$5:$A$604,0)),"0"))</f>
        <v>0</v>
      </c>
      <c r="K736" s="23">
        <f>IF(C736="","",IFERROR(INDEX(Jobs!$M$5:$M$604,MATCH(C736,Jobs!$A$5:$A$604,0)),""))</f>
        <v>0</v>
      </c>
      <c r="L736" s="51">
        <f>IF(B736="","",IF(E736&lt;&gt;"",E736,IF(C736="","",K736&amp;" - "&amp;TEXT(D736,"d mmm yyyy"))))</f>
        <v>0</v>
      </c>
      <c r="M736" s="21">
        <f>IF(B736="","",IF(G736&lt;&gt;"",G736,IFERROR(J736*1,0)))</f>
        <v>0</v>
      </c>
      <c r="N736" s="21">
        <f>IF(B736="","",ROUND(IF(F736="",1,F736)*M736,2))</f>
        <v>0</v>
      </c>
      <c r="O736" s="39">
        <f>IF(B736="","",IF(C736="","",IF(COUNTIFS($C$5:$C$804,C736)&gt;1,"Duplicate","OK")))</f>
        <v>0</v>
      </c>
      <c r="P736" s="31">
        <f>IF(OR(B736="",E736=""),"",COUNTIFS($B$5:B736,B736))</f>
        <v>0</v>
      </c>
      <c r="Q736" s="23">
        <f>IF(P736="","",B736&amp;"|"&amp;P736)</f>
        <v>0</v>
      </c>
      <c r="R736" s="39">
        <f>IF(B736="","",IF(O736="Duplicate","Duplicate - job billed twice",IF(M736=0,"Add - no price on this line",IF(AND(C736="",E736=""),"Add - what is this line for?","OK"))))</f>
        <v>0</v>
      </c>
    </row>
    <row r="737" spans="1:18">
      <c r="A737" s="43">
        <f>IF(B737="","","IL-"&amp;TEXT(ROW()-4,"0000"))</f>
        <v>0</v>
      </c>
      <c r="D737" s="18">
        <f>IF(C737="","",IFERROR(INDEX(Jobs!$B$5:$B$604,MATCH(C737,Jobs!$A$5:$A$604,0)),""))</f>
        <v>0</v>
      </c>
      <c r="J737" s="21">
        <f>IF(C737="","",IFERROR(INDEX(Jobs!$AJ$5:$AJ$604,MATCH(C737,Jobs!$A$5:$A$604,0)),"0"))</f>
        <v>0</v>
      </c>
      <c r="K737" s="23">
        <f>IF(C737="","",IFERROR(INDEX(Jobs!$M$5:$M$604,MATCH(C737,Jobs!$A$5:$A$604,0)),""))</f>
        <v>0</v>
      </c>
      <c r="L737" s="51">
        <f>IF(B737="","",IF(E737&lt;&gt;"",E737,IF(C737="","",K737&amp;" - "&amp;TEXT(D737,"d mmm yyyy"))))</f>
        <v>0</v>
      </c>
      <c r="M737" s="21">
        <f>IF(B737="","",IF(G737&lt;&gt;"",G737,IFERROR(J737*1,0)))</f>
        <v>0</v>
      </c>
      <c r="N737" s="21">
        <f>IF(B737="","",ROUND(IF(F737="",1,F737)*M737,2))</f>
        <v>0</v>
      </c>
      <c r="O737" s="39">
        <f>IF(B737="","",IF(C737="","",IF(COUNTIFS($C$5:$C$804,C737)&gt;1,"Duplicate","OK")))</f>
        <v>0</v>
      </c>
      <c r="P737" s="31">
        <f>IF(OR(B737="",E737=""),"",COUNTIFS($B$5:B737,B737))</f>
        <v>0</v>
      </c>
      <c r="Q737" s="23">
        <f>IF(P737="","",B737&amp;"|"&amp;P737)</f>
        <v>0</v>
      </c>
      <c r="R737" s="39">
        <f>IF(B737="","",IF(O737="Duplicate","Duplicate - job billed twice",IF(M737=0,"Add - no price on this line",IF(AND(C737="",E737=""),"Add - what is this line for?","OK"))))</f>
        <v>0</v>
      </c>
    </row>
    <row r="738" spans="1:18">
      <c r="A738" s="43">
        <f>IF(B738="","","IL-"&amp;TEXT(ROW()-4,"0000"))</f>
        <v>0</v>
      </c>
      <c r="D738" s="18">
        <f>IF(C738="","",IFERROR(INDEX(Jobs!$B$5:$B$604,MATCH(C738,Jobs!$A$5:$A$604,0)),""))</f>
        <v>0</v>
      </c>
      <c r="J738" s="21">
        <f>IF(C738="","",IFERROR(INDEX(Jobs!$AJ$5:$AJ$604,MATCH(C738,Jobs!$A$5:$A$604,0)),"0"))</f>
        <v>0</v>
      </c>
      <c r="K738" s="23">
        <f>IF(C738="","",IFERROR(INDEX(Jobs!$M$5:$M$604,MATCH(C738,Jobs!$A$5:$A$604,0)),""))</f>
        <v>0</v>
      </c>
      <c r="L738" s="51">
        <f>IF(B738="","",IF(E738&lt;&gt;"",E738,IF(C738="","",K738&amp;" - "&amp;TEXT(D738,"d mmm yyyy"))))</f>
        <v>0</v>
      </c>
      <c r="M738" s="21">
        <f>IF(B738="","",IF(G738&lt;&gt;"",G738,IFERROR(J738*1,0)))</f>
        <v>0</v>
      </c>
      <c r="N738" s="21">
        <f>IF(B738="","",ROUND(IF(F738="",1,F738)*M738,2))</f>
        <v>0</v>
      </c>
      <c r="O738" s="39">
        <f>IF(B738="","",IF(C738="","",IF(COUNTIFS($C$5:$C$804,C738)&gt;1,"Duplicate","OK")))</f>
        <v>0</v>
      </c>
      <c r="P738" s="31">
        <f>IF(OR(B738="",E738=""),"",COUNTIFS($B$5:B738,B738))</f>
        <v>0</v>
      </c>
      <c r="Q738" s="23">
        <f>IF(P738="","",B738&amp;"|"&amp;P738)</f>
        <v>0</v>
      </c>
      <c r="R738" s="39">
        <f>IF(B738="","",IF(O738="Duplicate","Duplicate - job billed twice",IF(M738=0,"Add - no price on this line",IF(AND(C738="",E738=""),"Add - what is this line for?","OK"))))</f>
        <v>0</v>
      </c>
    </row>
    <row r="739" spans="1:18">
      <c r="A739" s="43">
        <f>IF(B739="","","IL-"&amp;TEXT(ROW()-4,"0000"))</f>
        <v>0</v>
      </c>
      <c r="D739" s="18">
        <f>IF(C739="","",IFERROR(INDEX(Jobs!$B$5:$B$604,MATCH(C739,Jobs!$A$5:$A$604,0)),""))</f>
        <v>0</v>
      </c>
      <c r="J739" s="21">
        <f>IF(C739="","",IFERROR(INDEX(Jobs!$AJ$5:$AJ$604,MATCH(C739,Jobs!$A$5:$A$604,0)),"0"))</f>
        <v>0</v>
      </c>
      <c r="K739" s="23">
        <f>IF(C739="","",IFERROR(INDEX(Jobs!$M$5:$M$604,MATCH(C739,Jobs!$A$5:$A$604,0)),""))</f>
        <v>0</v>
      </c>
      <c r="L739" s="51">
        <f>IF(B739="","",IF(E739&lt;&gt;"",E739,IF(C739="","",K739&amp;" - "&amp;TEXT(D739,"d mmm yyyy"))))</f>
        <v>0</v>
      </c>
      <c r="M739" s="21">
        <f>IF(B739="","",IF(G739&lt;&gt;"",G739,IFERROR(J739*1,0)))</f>
        <v>0</v>
      </c>
      <c r="N739" s="21">
        <f>IF(B739="","",ROUND(IF(F739="",1,F739)*M739,2))</f>
        <v>0</v>
      </c>
      <c r="O739" s="39">
        <f>IF(B739="","",IF(C739="","",IF(COUNTIFS($C$5:$C$804,C739)&gt;1,"Duplicate","OK")))</f>
        <v>0</v>
      </c>
      <c r="P739" s="31">
        <f>IF(OR(B739="",E739=""),"",COUNTIFS($B$5:B739,B739))</f>
        <v>0</v>
      </c>
      <c r="Q739" s="23">
        <f>IF(P739="","",B739&amp;"|"&amp;P739)</f>
        <v>0</v>
      </c>
      <c r="R739" s="39">
        <f>IF(B739="","",IF(O739="Duplicate","Duplicate - job billed twice",IF(M739=0,"Add - no price on this line",IF(AND(C739="",E739=""),"Add - what is this line for?","OK"))))</f>
        <v>0</v>
      </c>
    </row>
    <row r="740" spans="1:18">
      <c r="A740" s="43">
        <f>IF(B740="","","IL-"&amp;TEXT(ROW()-4,"0000"))</f>
        <v>0</v>
      </c>
      <c r="D740" s="18">
        <f>IF(C740="","",IFERROR(INDEX(Jobs!$B$5:$B$604,MATCH(C740,Jobs!$A$5:$A$604,0)),""))</f>
        <v>0</v>
      </c>
      <c r="J740" s="21">
        <f>IF(C740="","",IFERROR(INDEX(Jobs!$AJ$5:$AJ$604,MATCH(C740,Jobs!$A$5:$A$604,0)),"0"))</f>
        <v>0</v>
      </c>
      <c r="K740" s="23">
        <f>IF(C740="","",IFERROR(INDEX(Jobs!$M$5:$M$604,MATCH(C740,Jobs!$A$5:$A$604,0)),""))</f>
        <v>0</v>
      </c>
      <c r="L740" s="51">
        <f>IF(B740="","",IF(E740&lt;&gt;"",E740,IF(C740="","",K740&amp;" - "&amp;TEXT(D740,"d mmm yyyy"))))</f>
        <v>0</v>
      </c>
      <c r="M740" s="21">
        <f>IF(B740="","",IF(G740&lt;&gt;"",G740,IFERROR(J740*1,0)))</f>
        <v>0</v>
      </c>
      <c r="N740" s="21">
        <f>IF(B740="","",ROUND(IF(F740="",1,F740)*M740,2))</f>
        <v>0</v>
      </c>
      <c r="O740" s="39">
        <f>IF(B740="","",IF(C740="","",IF(COUNTIFS($C$5:$C$804,C740)&gt;1,"Duplicate","OK")))</f>
        <v>0</v>
      </c>
      <c r="P740" s="31">
        <f>IF(OR(B740="",E740=""),"",COUNTIFS($B$5:B740,B740))</f>
        <v>0</v>
      </c>
      <c r="Q740" s="23">
        <f>IF(P740="","",B740&amp;"|"&amp;P740)</f>
        <v>0</v>
      </c>
      <c r="R740" s="39">
        <f>IF(B740="","",IF(O740="Duplicate","Duplicate - job billed twice",IF(M740=0,"Add - no price on this line",IF(AND(C740="",E740=""),"Add - what is this line for?","OK"))))</f>
        <v>0</v>
      </c>
    </row>
    <row r="741" spans="1:18">
      <c r="A741" s="43">
        <f>IF(B741="","","IL-"&amp;TEXT(ROW()-4,"0000"))</f>
        <v>0</v>
      </c>
      <c r="D741" s="18">
        <f>IF(C741="","",IFERROR(INDEX(Jobs!$B$5:$B$604,MATCH(C741,Jobs!$A$5:$A$604,0)),""))</f>
        <v>0</v>
      </c>
      <c r="J741" s="21">
        <f>IF(C741="","",IFERROR(INDEX(Jobs!$AJ$5:$AJ$604,MATCH(C741,Jobs!$A$5:$A$604,0)),"0"))</f>
        <v>0</v>
      </c>
      <c r="K741" s="23">
        <f>IF(C741="","",IFERROR(INDEX(Jobs!$M$5:$M$604,MATCH(C741,Jobs!$A$5:$A$604,0)),""))</f>
        <v>0</v>
      </c>
      <c r="L741" s="51">
        <f>IF(B741="","",IF(E741&lt;&gt;"",E741,IF(C741="","",K741&amp;" - "&amp;TEXT(D741,"d mmm yyyy"))))</f>
        <v>0</v>
      </c>
      <c r="M741" s="21">
        <f>IF(B741="","",IF(G741&lt;&gt;"",G741,IFERROR(J741*1,0)))</f>
        <v>0</v>
      </c>
      <c r="N741" s="21">
        <f>IF(B741="","",ROUND(IF(F741="",1,F741)*M741,2))</f>
        <v>0</v>
      </c>
      <c r="O741" s="39">
        <f>IF(B741="","",IF(C741="","",IF(COUNTIFS($C$5:$C$804,C741)&gt;1,"Duplicate","OK")))</f>
        <v>0</v>
      </c>
      <c r="P741" s="31">
        <f>IF(OR(B741="",E741=""),"",COUNTIFS($B$5:B741,B741))</f>
        <v>0</v>
      </c>
      <c r="Q741" s="23">
        <f>IF(P741="","",B741&amp;"|"&amp;P741)</f>
        <v>0</v>
      </c>
      <c r="R741" s="39">
        <f>IF(B741="","",IF(O741="Duplicate","Duplicate - job billed twice",IF(M741=0,"Add - no price on this line",IF(AND(C741="",E741=""),"Add - what is this line for?","OK"))))</f>
        <v>0</v>
      </c>
    </row>
    <row r="742" spans="1:18">
      <c r="A742" s="43">
        <f>IF(B742="","","IL-"&amp;TEXT(ROW()-4,"0000"))</f>
        <v>0</v>
      </c>
      <c r="D742" s="18">
        <f>IF(C742="","",IFERROR(INDEX(Jobs!$B$5:$B$604,MATCH(C742,Jobs!$A$5:$A$604,0)),""))</f>
        <v>0</v>
      </c>
      <c r="J742" s="21">
        <f>IF(C742="","",IFERROR(INDEX(Jobs!$AJ$5:$AJ$604,MATCH(C742,Jobs!$A$5:$A$604,0)),"0"))</f>
        <v>0</v>
      </c>
      <c r="K742" s="23">
        <f>IF(C742="","",IFERROR(INDEX(Jobs!$M$5:$M$604,MATCH(C742,Jobs!$A$5:$A$604,0)),""))</f>
        <v>0</v>
      </c>
      <c r="L742" s="51">
        <f>IF(B742="","",IF(E742&lt;&gt;"",E742,IF(C742="","",K742&amp;" - "&amp;TEXT(D742,"d mmm yyyy"))))</f>
        <v>0</v>
      </c>
      <c r="M742" s="21">
        <f>IF(B742="","",IF(G742&lt;&gt;"",G742,IFERROR(J742*1,0)))</f>
        <v>0</v>
      </c>
      <c r="N742" s="21">
        <f>IF(B742="","",ROUND(IF(F742="",1,F742)*M742,2))</f>
        <v>0</v>
      </c>
      <c r="O742" s="39">
        <f>IF(B742="","",IF(C742="","",IF(COUNTIFS($C$5:$C$804,C742)&gt;1,"Duplicate","OK")))</f>
        <v>0</v>
      </c>
      <c r="P742" s="31">
        <f>IF(OR(B742="",E742=""),"",COUNTIFS($B$5:B742,B742))</f>
        <v>0</v>
      </c>
      <c r="Q742" s="23">
        <f>IF(P742="","",B742&amp;"|"&amp;P742)</f>
        <v>0</v>
      </c>
      <c r="R742" s="39">
        <f>IF(B742="","",IF(O742="Duplicate","Duplicate - job billed twice",IF(M742=0,"Add - no price on this line",IF(AND(C742="",E742=""),"Add - what is this line for?","OK"))))</f>
        <v>0</v>
      </c>
    </row>
    <row r="743" spans="1:18">
      <c r="A743" s="43">
        <f>IF(B743="","","IL-"&amp;TEXT(ROW()-4,"0000"))</f>
        <v>0</v>
      </c>
      <c r="D743" s="18">
        <f>IF(C743="","",IFERROR(INDEX(Jobs!$B$5:$B$604,MATCH(C743,Jobs!$A$5:$A$604,0)),""))</f>
        <v>0</v>
      </c>
      <c r="J743" s="21">
        <f>IF(C743="","",IFERROR(INDEX(Jobs!$AJ$5:$AJ$604,MATCH(C743,Jobs!$A$5:$A$604,0)),"0"))</f>
        <v>0</v>
      </c>
      <c r="K743" s="23">
        <f>IF(C743="","",IFERROR(INDEX(Jobs!$M$5:$M$604,MATCH(C743,Jobs!$A$5:$A$604,0)),""))</f>
        <v>0</v>
      </c>
      <c r="L743" s="51">
        <f>IF(B743="","",IF(E743&lt;&gt;"",E743,IF(C743="","",K743&amp;" - "&amp;TEXT(D743,"d mmm yyyy"))))</f>
        <v>0</v>
      </c>
      <c r="M743" s="21">
        <f>IF(B743="","",IF(G743&lt;&gt;"",G743,IFERROR(J743*1,0)))</f>
        <v>0</v>
      </c>
      <c r="N743" s="21">
        <f>IF(B743="","",ROUND(IF(F743="",1,F743)*M743,2))</f>
        <v>0</v>
      </c>
      <c r="O743" s="39">
        <f>IF(B743="","",IF(C743="","",IF(COUNTIFS($C$5:$C$804,C743)&gt;1,"Duplicate","OK")))</f>
        <v>0</v>
      </c>
      <c r="P743" s="31">
        <f>IF(OR(B743="",E743=""),"",COUNTIFS($B$5:B743,B743))</f>
        <v>0</v>
      </c>
      <c r="Q743" s="23">
        <f>IF(P743="","",B743&amp;"|"&amp;P743)</f>
        <v>0</v>
      </c>
      <c r="R743" s="39">
        <f>IF(B743="","",IF(O743="Duplicate","Duplicate - job billed twice",IF(M743=0,"Add - no price on this line",IF(AND(C743="",E743=""),"Add - what is this line for?","OK"))))</f>
        <v>0</v>
      </c>
    </row>
    <row r="744" spans="1:18">
      <c r="A744" s="43">
        <f>IF(B744="","","IL-"&amp;TEXT(ROW()-4,"0000"))</f>
        <v>0</v>
      </c>
      <c r="D744" s="18">
        <f>IF(C744="","",IFERROR(INDEX(Jobs!$B$5:$B$604,MATCH(C744,Jobs!$A$5:$A$604,0)),""))</f>
        <v>0</v>
      </c>
      <c r="J744" s="21">
        <f>IF(C744="","",IFERROR(INDEX(Jobs!$AJ$5:$AJ$604,MATCH(C744,Jobs!$A$5:$A$604,0)),"0"))</f>
        <v>0</v>
      </c>
      <c r="K744" s="23">
        <f>IF(C744="","",IFERROR(INDEX(Jobs!$M$5:$M$604,MATCH(C744,Jobs!$A$5:$A$604,0)),""))</f>
        <v>0</v>
      </c>
      <c r="L744" s="51">
        <f>IF(B744="","",IF(E744&lt;&gt;"",E744,IF(C744="","",K744&amp;" - "&amp;TEXT(D744,"d mmm yyyy"))))</f>
        <v>0</v>
      </c>
      <c r="M744" s="21">
        <f>IF(B744="","",IF(G744&lt;&gt;"",G744,IFERROR(J744*1,0)))</f>
        <v>0</v>
      </c>
      <c r="N744" s="21">
        <f>IF(B744="","",ROUND(IF(F744="",1,F744)*M744,2))</f>
        <v>0</v>
      </c>
      <c r="O744" s="39">
        <f>IF(B744="","",IF(C744="","",IF(COUNTIFS($C$5:$C$804,C744)&gt;1,"Duplicate","OK")))</f>
        <v>0</v>
      </c>
      <c r="P744" s="31">
        <f>IF(OR(B744="",E744=""),"",COUNTIFS($B$5:B744,B744))</f>
        <v>0</v>
      </c>
      <c r="Q744" s="23">
        <f>IF(P744="","",B744&amp;"|"&amp;P744)</f>
        <v>0</v>
      </c>
      <c r="R744" s="39">
        <f>IF(B744="","",IF(O744="Duplicate","Duplicate - job billed twice",IF(M744=0,"Add - no price on this line",IF(AND(C744="",E744=""),"Add - what is this line for?","OK"))))</f>
        <v>0</v>
      </c>
    </row>
    <row r="745" spans="1:18">
      <c r="A745" s="43">
        <f>IF(B745="","","IL-"&amp;TEXT(ROW()-4,"0000"))</f>
        <v>0</v>
      </c>
      <c r="D745" s="18">
        <f>IF(C745="","",IFERROR(INDEX(Jobs!$B$5:$B$604,MATCH(C745,Jobs!$A$5:$A$604,0)),""))</f>
        <v>0</v>
      </c>
      <c r="J745" s="21">
        <f>IF(C745="","",IFERROR(INDEX(Jobs!$AJ$5:$AJ$604,MATCH(C745,Jobs!$A$5:$A$604,0)),"0"))</f>
        <v>0</v>
      </c>
      <c r="K745" s="23">
        <f>IF(C745="","",IFERROR(INDEX(Jobs!$M$5:$M$604,MATCH(C745,Jobs!$A$5:$A$604,0)),""))</f>
        <v>0</v>
      </c>
      <c r="L745" s="51">
        <f>IF(B745="","",IF(E745&lt;&gt;"",E745,IF(C745="","",K745&amp;" - "&amp;TEXT(D745,"d mmm yyyy"))))</f>
        <v>0</v>
      </c>
      <c r="M745" s="21">
        <f>IF(B745="","",IF(G745&lt;&gt;"",G745,IFERROR(J745*1,0)))</f>
        <v>0</v>
      </c>
      <c r="N745" s="21">
        <f>IF(B745="","",ROUND(IF(F745="",1,F745)*M745,2))</f>
        <v>0</v>
      </c>
      <c r="O745" s="39">
        <f>IF(B745="","",IF(C745="","",IF(COUNTIFS($C$5:$C$804,C745)&gt;1,"Duplicate","OK")))</f>
        <v>0</v>
      </c>
      <c r="P745" s="31">
        <f>IF(OR(B745="",E745=""),"",COUNTIFS($B$5:B745,B745))</f>
        <v>0</v>
      </c>
      <c r="Q745" s="23">
        <f>IF(P745="","",B745&amp;"|"&amp;P745)</f>
        <v>0</v>
      </c>
      <c r="R745" s="39">
        <f>IF(B745="","",IF(O745="Duplicate","Duplicate - job billed twice",IF(M745=0,"Add - no price on this line",IF(AND(C745="",E745=""),"Add - what is this line for?","OK"))))</f>
        <v>0</v>
      </c>
    </row>
    <row r="746" spans="1:18">
      <c r="A746" s="43">
        <f>IF(B746="","","IL-"&amp;TEXT(ROW()-4,"0000"))</f>
        <v>0</v>
      </c>
      <c r="D746" s="18">
        <f>IF(C746="","",IFERROR(INDEX(Jobs!$B$5:$B$604,MATCH(C746,Jobs!$A$5:$A$604,0)),""))</f>
        <v>0</v>
      </c>
      <c r="J746" s="21">
        <f>IF(C746="","",IFERROR(INDEX(Jobs!$AJ$5:$AJ$604,MATCH(C746,Jobs!$A$5:$A$604,0)),"0"))</f>
        <v>0</v>
      </c>
      <c r="K746" s="23">
        <f>IF(C746="","",IFERROR(INDEX(Jobs!$M$5:$M$604,MATCH(C746,Jobs!$A$5:$A$604,0)),""))</f>
        <v>0</v>
      </c>
      <c r="L746" s="51">
        <f>IF(B746="","",IF(E746&lt;&gt;"",E746,IF(C746="","",K746&amp;" - "&amp;TEXT(D746,"d mmm yyyy"))))</f>
        <v>0</v>
      </c>
      <c r="M746" s="21">
        <f>IF(B746="","",IF(G746&lt;&gt;"",G746,IFERROR(J746*1,0)))</f>
        <v>0</v>
      </c>
      <c r="N746" s="21">
        <f>IF(B746="","",ROUND(IF(F746="",1,F746)*M746,2))</f>
        <v>0</v>
      </c>
      <c r="O746" s="39">
        <f>IF(B746="","",IF(C746="","",IF(COUNTIFS($C$5:$C$804,C746)&gt;1,"Duplicate","OK")))</f>
        <v>0</v>
      </c>
      <c r="P746" s="31">
        <f>IF(OR(B746="",E746=""),"",COUNTIFS($B$5:B746,B746))</f>
        <v>0</v>
      </c>
      <c r="Q746" s="23">
        <f>IF(P746="","",B746&amp;"|"&amp;P746)</f>
        <v>0</v>
      </c>
      <c r="R746" s="39">
        <f>IF(B746="","",IF(O746="Duplicate","Duplicate - job billed twice",IF(M746=0,"Add - no price on this line",IF(AND(C746="",E746=""),"Add - what is this line for?","OK"))))</f>
        <v>0</v>
      </c>
    </row>
    <row r="747" spans="1:18">
      <c r="A747" s="43">
        <f>IF(B747="","","IL-"&amp;TEXT(ROW()-4,"0000"))</f>
        <v>0</v>
      </c>
      <c r="D747" s="18">
        <f>IF(C747="","",IFERROR(INDEX(Jobs!$B$5:$B$604,MATCH(C747,Jobs!$A$5:$A$604,0)),""))</f>
        <v>0</v>
      </c>
      <c r="J747" s="21">
        <f>IF(C747="","",IFERROR(INDEX(Jobs!$AJ$5:$AJ$604,MATCH(C747,Jobs!$A$5:$A$604,0)),"0"))</f>
        <v>0</v>
      </c>
      <c r="K747" s="23">
        <f>IF(C747="","",IFERROR(INDEX(Jobs!$M$5:$M$604,MATCH(C747,Jobs!$A$5:$A$604,0)),""))</f>
        <v>0</v>
      </c>
      <c r="L747" s="51">
        <f>IF(B747="","",IF(E747&lt;&gt;"",E747,IF(C747="","",K747&amp;" - "&amp;TEXT(D747,"d mmm yyyy"))))</f>
        <v>0</v>
      </c>
      <c r="M747" s="21">
        <f>IF(B747="","",IF(G747&lt;&gt;"",G747,IFERROR(J747*1,0)))</f>
        <v>0</v>
      </c>
      <c r="N747" s="21">
        <f>IF(B747="","",ROUND(IF(F747="",1,F747)*M747,2))</f>
        <v>0</v>
      </c>
      <c r="O747" s="39">
        <f>IF(B747="","",IF(C747="","",IF(COUNTIFS($C$5:$C$804,C747)&gt;1,"Duplicate","OK")))</f>
        <v>0</v>
      </c>
      <c r="P747" s="31">
        <f>IF(OR(B747="",E747=""),"",COUNTIFS($B$5:B747,B747))</f>
        <v>0</v>
      </c>
      <c r="Q747" s="23">
        <f>IF(P747="","",B747&amp;"|"&amp;P747)</f>
        <v>0</v>
      </c>
      <c r="R747" s="39">
        <f>IF(B747="","",IF(O747="Duplicate","Duplicate - job billed twice",IF(M747=0,"Add - no price on this line",IF(AND(C747="",E747=""),"Add - what is this line for?","OK"))))</f>
        <v>0</v>
      </c>
    </row>
    <row r="748" spans="1:18">
      <c r="A748" s="43">
        <f>IF(B748="","","IL-"&amp;TEXT(ROW()-4,"0000"))</f>
        <v>0</v>
      </c>
      <c r="D748" s="18">
        <f>IF(C748="","",IFERROR(INDEX(Jobs!$B$5:$B$604,MATCH(C748,Jobs!$A$5:$A$604,0)),""))</f>
        <v>0</v>
      </c>
      <c r="J748" s="21">
        <f>IF(C748="","",IFERROR(INDEX(Jobs!$AJ$5:$AJ$604,MATCH(C748,Jobs!$A$5:$A$604,0)),"0"))</f>
        <v>0</v>
      </c>
      <c r="K748" s="23">
        <f>IF(C748="","",IFERROR(INDEX(Jobs!$M$5:$M$604,MATCH(C748,Jobs!$A$5:$A$604,0)),""))</f>
        <v>0</v>
      </c>
      <c r="L748" s="51">
        <f>IF(B748="","",IF(E748&lt;&gt;"",E748,IF(C748="","",K748&amp;" - "&amp;TEXT(D748,"d mmm yyyy"))))</f>
        <v>0</v>
      </c>
      <c r="M748" s="21">
        <f>IF(B748="","",IF(G748&lt;&gt;"",G748,IFERROR(J748*1,0)))</f>
        <v>0</v>
      </c>
      <c r="N748" s="21">
        <f>IF(B748="","",ROUND(IF(F748="",1,F748)*M748,2))</f>
        <v>0</v>
      </c>
      <c r="O748" s="39">
        <f>IF(B748="","",IF(C748="","",IF(COUNTIFS($C$5:$C$804,C748)&gt;1,"Duplicate","OK")))</f>
        <v>0</v>
      </c>
      <c r="P748" s="31">
        <f>IF(OR(B748="",E748=""),"",COUNTIFS($B$5:B748,B748))</f>
        <v>0</v>
      </c>
      <c r="Q748" s="23">
        <f>IF(P748="","",B748&amp;"|"&amp;P748)</f>
        <v>0</v>
      </c>
      <c r="R748" s="39">
        <f>IF(B748="","",IF(O748="Duplicate","Duplicate - job billed twice",IF(M748=0,"Add - no price on this line",IF(AND(C748="",E748=""),"Add - what is this line for?","OK"))))</f>
        <v>0</v>
      </c>
    </row>
    <row r="749" spans="1:18">
      <c r="A749" s="43">
        <f>IF(B749="","","IL-"&amp;TEXT(ROW()-4,"0000"))</f>
        <v>0</v>
      </c>
      <c r="D749" s="18">
        <f>IF(C749="","",IFERROR(INDEX(Jobs!$B$5:$B$604,MATCH(C749,Jobs!$A$5:$A$604,0)),""))</f>
        <v>0</v>
      </c>
      <c r="J749" s="21">
        <f>IF(C749="","",IFERROR(INDEX(Jobs!$AJ$5:$AJ$604,MATCH(C749,Jobs!$A$5:$A$604,0)),"0"))</f>
        <v>0</v>
      </c>
      <c r="K749" s="23">
        <f>IF(C749="","",IFERROR(INDEX(Jobs!$M$5:$M$604,MATCH(C749,Jobs!$A$5:$A$604,0)),""))</f>
        <v>0</v>
      </c>
      <c r="L749" s="51">
        <f>IF(B749="","",IF(E749&lt;&gt;"",E749,IF(C749="","",K749&amp;" - "&amp;TEXT(D749,"d mmm yyyy"))))</f>
        <v>0</v>
      </c>
      <c r="M749" s="21">
        <f>IF(B749="","",IF(G749&lt;&gt;"",G749,IFERROR(J749*1,0)))</f>
        <v>0</v>
      </c>
      <c r="N749" s="21">
        <f>IF(B749="","",ROUND(IF(F749="",1,F749)*M749,2))</f>
        <v>0</v>
      </c>
      <c r="O749" s="39">
        <f>IF(B749="","",IF(C749="","",IF(COUNTIFS($C$5:$C$804,C749)&gt;1,"Duplicate","OK")))</f>
        <v>0</v>
      </c>
      <c r="P749" s="31">
        <f>IF(OR(B749="",E749=""),"",COUNTIFS($B$5:B749,B749))</f>
        <v>0</v>
      </c>
      <c r="Q749" s="23">
        <f>IF(P749="","",B749&amp;"|"&amp;P749)</f>
        <v>0</v>
      </c>
      <c r="R749" s="39">
        <f>IF(B749="","",IF(O749="Duplicate","Duplicate - job billed twice",IF(M749=0,"Add - no price on this line",IF(AND(C749="",E749=""),"Add - what is this line for?","OK"))))</f>
        <v>0</v>
      </c>
    </row>
    <row r="750" spans="1:18">
      <c r="A750" s="43">
        <f>IF(B750="","","IL-"&amp;TEXT(ROW()-4,"0000"))</f>
        <v>0</v>
      </c>
      <c r="D750" s="18">
        <f>IF(C750="","",IFERROR(INDEX(Jobs!$B$5:$B$604,MATCH(C750,Jobs!$A$5:$A$604,0)),""))</f>
        <v>0</v>
      </c>
      <c r="J750" s="21">
        <f>IF(C750="","",IFERROR(INDEX(Jobs!$AJ$5:$AJ$604,MATCH(C750,Jobs!$A$5:$A$604,0)),"0"))</f>
        <v>0</v>
      </c>
      <c r="K750" s="23">
        <f>IF(C750="","",IFERROR(INDEX(Jobs!$M$5:$M$604,MATCH(C750,Jobs!$A$5:$A$604,0)),""))</f>
        <v>0</v>
      </c>
      <c r="L750" s="51">
        <f>IF(B750="","",IF(E750&lt;&gt;"",E750,IF(C750="","",K750&amp;" - "&amp;TEXT(D750,"d mmm yyyy"))))</f>
        <v>0</v>
      </c>
      <c r="M750" s="21">
        <f>IF(B750="","",IF(G750&lt;&gt;"",G750,IFERROR(J750*1,0)))</f>
        <v>0</v>
      </c>
      <c r="N750" s="21">
        <f>IF(B750="","",ROUND(IF(F750="",1,F750)*M750,2))</f>
        <v>0</v>
      </c>
      <c r="O750" s="39">
        <f>IF(B750="","",IF(C750="","",IF(COUNTIFS($C$5:$C$804,C750)&gt;1,"Duplicate","OK")))</f>
        <v>0</v>
      </c>
      <c r="P750" s="31">
        <f>IF(OR(B750="",E750=""),"",COUNTIFS($B$5:B750,B750))</f>
        <v>0</v>
      </c>
      <c r="Q750" s="23">
        <f>IF(P750="","",B750&amp;"|"&amp;P750)</f>
        <v>0</v>
      </c>
      <c r="R750" s="39">
        <f>IF(B750="","",IF(O750="Duplicate","Duplicate - job billed twice",IF(M750=0,"Add - no price on this line",IF(AND(C750="",E750=""),"Add - what is this line for?","OK"))))</f>
        <v>0</v>
      </c>
    </row>
    <row r="751" spans="1:18">
      <c r="A751" s="43">
        <f>IF(B751="","","IL-"&amp;TEXT(ROW()-4,"0000"))</f>
        <v>0</v>
      </c>
      <c r="D751" s="18">
        <f>IF(C751="","",IFERROR(INDEX(Jobs!$B$5:$B$604,MATCH(C751,Jobs!$A$5:$A$604,0)),""))</f>
        <v>0</v>
      </c>
      <c r="J751" s="21">
        <f>IF(C751="","",IFERROR(INDEX(Jobs!$AJ$5:$AJ$604,MATCH(C751,Jobs!$A$5:$A$604,0)),"0"))</f>
        <v>0</v>
      </c>
      <c r="K751" s="23">
        <f>IF(C751="","",IFERROR(INDEX(Jobs!$M$5:$M$604,MATCH(C751,Jobs!$A$5:$A$604,0)),""))</f>
        <v>0</v>
      </c>
      <c r="L751" s="51">
        <f>IF(B751="","",IF(E751&lt;&gt;"",E751,IF(C751="","",K751&amp;" - "&amp;TEXT(D751,"d mmm yyyy"))))</f>
        <v>0</v>
      </c>
      <c r="M751" s="21">
        <f>IF(B751="","",IF(G751&lt;&gt;"",G751,IFERROR(J751*1,0)))</f>
        <v>0</v>
      </c>
      <c r="N751" s="21">
        <f>IF(B751="","",ROUND(IF(F751="",1,F751)*M751,2))</f>
        <v>0</v>
      </c>
      <c r="O751" s="39">
        <f>IF(B751="","",IF(C751="","",IF(COUNTIFS($C$5:$C$804,C751)&gt;1,"Duplicate","OK")))</f>
        <v>0</v>
      </c>
      <c r="P751" s="31">
        <f>IF(OR(B751="",E751=""),"",COUNTIFS($B$5:B751,B751))</f>
        <v>0</v>
      </c>
      <c r="Q751" s="23">
        <f>IF(P751="","",B751&amp;"|"&amp;P751)</f>
        <v>0</v>
      </c>
      <c r="R751" s="39">
        <f>IF(B751="","",IF(O751="Duplicate","Duplicate - job billed twice",IF(M751=0,"Add - no price on this line",IF(AND(C751="",E751=""),"Add - what is this line for?","OK"))))</f>
        <v>0</v>
      </c>
    </row>
    <row r="752" spans="1:18">
      <c r="A752" s="43">
        <f>IF(B752="","","IL-"&amp;TEXT(ROW()-4,"0000"))</f>
        <v>0</v>
      </c>
      <c r="D752" s="18">
        <f>IF(C752="","",IFERROR(INDEX(Jobs!$B$5:$B$604,MATCH(C752,Jobs!$A$5:$A$604,0)),""))</f>
        <v>0</v>
      </c>
      <c r="J752" s="21">
        <f>IF(C752="","",IFERROR(INDEX(Jobs!$AJ$5:$AJ$604,MATCH(C752,Jobs!$A$5:$A$604,0)),"0"))</f>
        <v>0</v>
      </c>
      <c r="K752" s="23">
        <f>IF(C752="","",IFERROR(INDEX(Jobs!$M$5:$M$604,MATCH(C752,Jobs!$A$5:$A$604,0)),""))</f>
        <v>0</v>
      </c>
      <c r="L752" s="51">
        <f>IF(B752="","",IF(E752&lt;&gt;"",E752,IF(C752="","",K752&amp;" - "&amp;TEXT(D752,"d mmm yyyy"))))</f>
        <v>0</v>
      </c>
      <c r="M752" s="21">
        <f>IF(B752="","",IF(G752&lt;&gt;"",G752,IFERROR(J752*1,0)))</f>
        <v>0</v>
      </c>
      <c r="N752" s="21">
        <f>IF(B752="","",ROUND(IF(F752="",1,F752)*M752,2))</f>
        <v>0</v>
      </c>
      <c r="O752" s="39">
        <f>IF(B752="","",IF(C752="","",IF(COUNTIFS($C$5:$C$804,C752)&gt;1,"Duplicate","OK")))</f>
        <v>0</v>
      </c>
      <c r="P752" s="31">
        <f>IF(OR(B752="",E752=""),"",COUNTIFS($B$5:B752,B752))</f>
        <v>0</v>
      </c>
      <c r="Q752" s="23">
        <f>IF(P752="","",B752&amp;"|"&amp;P752)</f>
        <v>0</v>
      </c>
      <c r="R752" s="39">
        <f>IF(B752="","",IF(O752="Duplicate","Duplicate - job billed twice",IF(M752=0,"Add - no price on this line",IF(AND(C752="",E752=""),"Add - what is this line for?","OK"))))</f>
        <v>0</v>
      </c>
    </row>
    <row r="753" spans="1:18">
      <c r="A753" s="43">
        <f>IF(B753="","","IL-"&amp;TEXT(ROW()-4,"0000"))</f>
        <v>0</v>
      </c>
      <c r="D753" s="18">
        <f>IF(C753="","",IFERROR(INDEX(Jobs!$B$5:$B$604,MATCH(C753,Jobs!$A$5:$A$604,0)),""))</f>
        <v>0</v>
      </c>
      <c r="J753" s="21">
        <f>IF(C753="","",IFERROR(INDEX(Jobs!$AJ$5:$AJ$604,MATCH(C753,Jobs!$A$5:$A$604,0)),"0"))</f>
        <v>0</v>
      </c>
      <c r="K753" s="23">
        <f>IF(C753="","",IFERROR(INDEX(Jobs!$M$5:$M$604,MATCH(C753,Jobs!$A$5:$A$604,0)),""))</f>
        <v>0</v>
      </c>
      <c r="L753" s="51">
        <f>IF(B753="","",IF(E753&lt;&gt;"",E753,IF(C753="","",K753&amp;" - "&amp;TEXT(D753,"d mmm yyyy"))))</f>
        <v>0</v>
      </c>
      <c r="M753" s="21">
        <f>IF(B753="","",IF(G753&lt;&gt;"",G753,IFERROR(J753*1,0)))</f>
        <v>0</v>
      </c>
      <c r="N753" s="21">
        <f>IF(B753="","",ROUND(IF(F753="",1,F753)*M753,2))</f>
        <v>0</v>
      </c>
      <c r="O753" s="39">
        <f>IF(B753="","",IF(C753="","",IF(COUNTIFS($C$5:$C$804,C753)&gt;1,"Duplicate","OK")))</f>
        <v>0</v>
      </c>
      <c r="P753" s="31">
        <f>IF(OR(B753="",E753=""),"",COUNTIFS($B$5:B753,B753))</f>
        <v>0</v>
      </c>
      <c r="Q753" s="23">
        <f>IF(P753="","",B753&amp;"|"&amp;P753)</f>
        <v>0</v>
      </c>
      <c r="R753" s="39">
        <f>IF(B753="","",IF(O753="Duplicate","Duplicate - job billed twice",IF(M753=0,"Add - no price on this line",IF(AND(C753="",E753=""),"Add - what is this line for?","OK"))))</f>
        <v>0</v>
      </c>
    </row>
    <row r="754" spans="1:18">
      <c r="A754" s="43">
        <f>IF(B754="","","IL-"&amp;TEXT(ROW()-4,"0000"))</f>
        <v>0</v>
      </c>
      <c r="D754" s="18">
        <f>IF(C754="","",IFERROR(INDEX(Jobs!$B$5:$B$604,MATCH(C754,Jobs!$A$5:$A$604,0)),""))</f>
        <v>0</v>
      </c>
      <c r="J754" s="21">
        <f>IF(C754="","",IFERROR(INDEX(Jobs!$AJ$5:$AJ$604,MATCH(C754,Jobs!$A$5:$A$604,0)),"0"))</f>
        <v>0</v>
      </c>
      <c r="K754" s="23">
        <f>IF(C754="","",IFERROR(INDEX(Jobs!$M$5:$M$604,MATCH(C754,Jobs!$A$5:$A$604,0)),""))</f>
        <v>0</v>
      </c>
      <c r="L754" s="51">
        <f>IF(B754="","",IF(E754&lt;&gt;"",E754,IF(C754="","",K754&amp;" - "&amp;TEXT(D754,"d mmm yyyy"))))</f>
        <v>0</v>
      </c>
      <c r="M754" s="21">
        <f>IF(B754="","",IF(G754&lt;&gt;"",G754,IFERROR(J754*1,0)))</f>
        <v>0</v>
      </c>
      <c r="N754" s="21">
        <f>IF(B754="","",ROUND(IF(F754="",1,F754)*M754,2))</f>
        <v>0</v>
      </c>
      <c r="O754" s="39">
        <f>IF(B754="","",IF(C754="","",IF(COUNTIFS($C$5:$C$804,C754)&gt;1,"Duplicate","OK")))</f>
        <v>0</v>
      </c>
      <c r="P754" s="31">
        <f>IF(OR(B754="",E754=""),"",COUNTIFS($B$5:B754,B754))</f>
        <v>0</v>
      </c>
      <c r="Q754" s="23">
        <f>IF(P754="","",B754&amp;"|"&amp;P754)</f>
        <v>0</v>
      </c>
      <c r="R754" s="39">
        <f>IF(B754="","",IF(O754="Duplicate","Duplicate - job billed twice",IF(M754=0,"Add - no price on this line",IF(AND(C754="",E754=""),"Add - what is this line for?","OK"))))</f>
        <v>0</v>
      </c>
    </row>
    <row r="755" spans="1:18">
      <c r="A755" s="43">
        <f>IF(B755="","","IL-"&amp;TEXT(ROW()-4,"0000"))</f>
        <v>0</v>
      </c>
      <c r="D755" s="18">
        <f>IF(C755="","",IFERROR(INDEX(Jobs!$B$5:$B$604,MATCH(C755,Jobs!$A$5:$A$604,0)),""))</f>
        <v>0</v>
      </c>
      <c r="J755" s="21">
        <f>IF(C755="","",IFERROR(INDEX(Jobs!$AJ$5:$AJ$604,MATCH(C755,Jobs!$A$5:$A$604,0)),"0"))</f>
        <v>0</v>
      </c>
      <c r="K755" s="23">
        <f>IF(C755="","",IFERROR(INDEX(Jobs!$M$5:$M$604,MATCH(C755,Jobs!$A$5:$A$604,0)),""))</f>
        <v>0</v>
      </c>
      <c r="L755" s="51">
        <f>IF(B755="","",IF(E755&lt;&gt;"",E755,IF(C755="","",K755&amp;" - "&amp;TEXT(D755,"d mmm yyyy"))))</f>
        <v>0</v>
      </c>
      <c r="M755" s="21">
        <f>IF(B755="","",IF(G755&lt;&gt;"",G755,IFERROR(J755*1,0)))</f>
        <v>0</v>
      </c>
      <c r="N755" s="21">
        <f>IF(B755="","",ROUND(IF(F755="",1,F755)*M755,2))</f>
        <v>0</v>
      </c>
      <c r="O755" s="39">
        <f>IF(B755="","",IF(C755="","",IF(COUNTIFS($C$5:$C$804,C755)&gt;1,"Duplicate","OK")))</f>
        <v>0</v>
      </c>
      <c r="P755" s="31">
        <f>IF(OR(B755="",E755=""),"",COUNTIFS($B$5:B755,B755))</f>
        <v>0</v>
      </c>
      <c r="Q755" s="23">
        <f>IF(P755="","",B755&amp;"|"&amp;P755)</f>
        <v>0</v>
      </c>
      <c r="R755" s="39">
        <f>IF(B755="","",IF(O755="Duplicate","Duplicate - job billed twice",IF(M755=0,"Add - no price on this line",IF(AND(C755="",E755=""),"Add - what is this line for?","OK"))))</f>
        <v>0</v>
      </c>
    </row>
    <row r="756" spans="1:18">
      <c r="A756" s="43">
        <f>IF(B756="","","IL-"&amp;TEXT(ROW()-4,"0000"))</f>
        <v>0</v>
      </c>
      <c r="D756" s="18">
        <f>IF(C756="","",IFERROR(INDEX(Jobs!$B$5:$B$604,MATCH(C756,Jobs!$A$5:$A$604,0)),""))</f>
        <v>0</v>
      </c>
      <c r="J756" s="21">
        <f>IF(C756="","",IFERROR(INDEX(Jobs!$AJ$5:$AJ$604,MATCH(C756,Jobs!$A$5:$A$604,0)),"0"))</f>
        <v>0</v>
      </c>
      <c r="K756" s="23">
        <f>IF(C756="","",IFERROR(INDEX(Jobs!$M$5:$M$604,MATCH(C756,Jobs!$A$5:$A$604,0)),""))</f>
        <v>0</v>
      </c>
      <c r="L756" s="51">
        <f>IF(B756="","",IF(E756&lt;&gt;"",E756,IF(C756="","",K756&amp;" - "&amp;TEXT(D756,"d mmm yyyy"))))</f>
        <v>0</v>
      </c>
      <c r="M756" s="21">
        <f>IF(B756="","",IF(G756&lt;&gt;"",G756,IFERROR(J756*1,0)))</f>
        <v>0</v>
      </c>
      <c r="N756" s="21">
        <f>IF(B756="","",ROUND(IF(F756="",1,F756)*M756,2))</f>
        <v>0</v>
      </c>
      <c r="O756" s="39">
        <f>IF(B756="","",IF(C756="","",IF(COUNTIFS($C$5:$C$804,C756)&gt;1,"Duplicate","OK")))</f>
        <v>0</v>
      </c>
      <c r="P756" s="31">
        <f>IF(OR(B756="",E756=""),"",COUNTIFS($B$5:B756,B756))</f>
        <v>0</v>
      </c>
      <c r="Q756" s="23">
        <f>IF(P756="","",B756&amp;"|"&amp;P756)</f>
        <v>0</v>
      </c>
      <c r="R756" s="39">
        <f>IF(B756="","",IF(O756="Duplicate","Duplicate - job billed twice",IF(M756=0,"Add - no price on this line",IF(AND(C756="",E756=""),"Add - what is this line for?","OK"))))</f>
        <v>0</v>
      </c>
    </row>
    <row r="757" spans="1:18">
      <c r="A757" s="43">
        <f>IF(B757="","","IL-"&amp;TEXT(ROW()-4,"0000"))</f>
        <v>0</v>
      </c>
      <c r="D757" s="18">
        <f>IF(C757="","",IFERROR(INDEX(Jobs!$B$5:$B$604,MATCH(C757,Jobs!$A$5:$A$604,0)),""))</f>
        <v>0</v>
      </c>
      <c r="J757" s="21">
        <f>IF(C757="","",IFERROR(INDEX(Jobs!$AJ$5:$AJ$604,MATCH(C757,Jobs!$A$5:$A$604,0)),"0"))</f>
        <v>0</v>
      </c>
      <c r="K757" s="23">
        <f>IF(C757="","",IFERROR(INDEX(Jobs!$M$5:$M$604,MATCH(C757,Jobs!$A$5:$A$604,0)),""))</f>
        <v>0</v>
      </c>
      <c r="L757" s="51">
        <f>IF(B757="","",IF(E757&lt;&gt;"",E757,IF(C757="","",K757&amp;" - "&amp;TEXT(D757,"d mmm yyyy"))))</f>
        <v>0</v>
      </c>
      <c r="M757" s="21">
        <f>IF(B757="","",IF(G757&lt;&gt;"",G757,IFERROR(J757*1,0)))</f>
        <v>0</v>
      </c>
      <c r="N757" s="21">
        <f>IF(B757="","",ROUND(IF(F757="",1,F757)*M757,2))</f>
        <v>0</v>
      </c>
      <c r="O757" s="39">
        <f>IF(B757="","",IF(C757="","",IF(COUNTIFS($C$5:$C$804,C757)&gt;1,"Duplicate","OK")))</f>
        <v>0</v>
      </c>
      <c r="P757" s="31">
        <f>IF(OR(B757="",E757=""),"",COUNTIFS($B$5:B757,B757))</f>
        <v>0</v>
      </c>
      <c r="Q757" s="23">
        <f>IF(P757="","",B757&amp;"|"&amp;P757)</f>
        <v>0</v>
      </c>
      <c r="R757" s="39">
        <f>IF(B757="","",IF(O757="Duplicate","Duplicate - job billed twice",IF(M757=0,"Add - no price on this line",IF(AND(C757="",E757=""),"Add - what is this line for?","OK"))))</f>
        <v>0</v>
      </c>
    </row>
    <row r="758" spans="1:18">
      <c r="A758" s="43">
        <f>IF(B758="","","IL-"&amp;TEXT(ROW()-4,"0000"))</f>
        <v>0</v>
      </c>
      <c r="D758" s="18">
        <f>IF(C758="","",IFERROR(INDEX(Jobs!$B$5:$B$604,MATCH(C758,Jobs!$A$5:$A$604,0)),""))</f>
        <v>0</v>
      </c>
      <c r="J758" s="21">
        <f>IF(C758="","",IFERROR(INDEX(Jobs!$AJ$5:$AJ$604,MATCH(C758,Jobs!$A$5:$A$604,0)),"0"))</f>
        <v>0</v>
      </c>
      <c r="K758" s="23">
        <f>IF(C758="","",IFERROR(INDEX(Jobs!$M$5:$M$604,MATCH(C758,Jobs!$A$5:$A$604,0)),""))</f>
        <v>0</v>
      </c>
      <c r="L758" s="51">
        <f>IF(B758="","",IF(E758&lt;&gt;"",E758,IF(C758="","",K758&amp;" - "&amp;TEXT(D758,"d mmm yyyy"))))</f>
        <v>0</v>
      </c>
      <c r="M758" s="21">
        <f>IF(B758="","",IF(G758&lt;&gt;"",G758,IFERROR(J758*1,0)))</f>
        <v>0</v>
      </c>
      <c r="N758" s="21">
        <f>IF(B758="","",ROUND(IF(F758="",1,F758)*M758,2))</f>
        <v>0</v>
      </c>
      <c r="O758" s="39">
        <f>IF(B758="","",IF(C758="","",IF(COUNTIFS($C$5:$C$804,C758)&gt;1,"Duplicate","OK")))</f>
        <v>0</v>
      </c>
      <c r="P758" s="31">
        <f>IF(OR(B758="",E758=""),"",COUNTIFS($B$5:B758,B758))</f>
        <v>0</v>
      </c>
      <c r="Q758" s="23">
        <f>IF(P758="","",B758&amp;"|"&amp;P758)</f>
        <v>0</v>
      </c>
      <c r="R758" s="39">
        <f>IF(B758="","",IF(O758="Duplicate","Duplicate - job billed twice",IF(M758=0,"Add - no price on this line",IF(AND(C758="",E758=""),"Add - what is this line for?","OK"))))</f>
        <v>0</v>
      </c>
    </row>
    <row r="759" spans="1:18">
      <c r="A759" s="43">
        <f>IF(B759="","","IL-"&amp;TEXT(ROW()-4,"0000"))</f>
        <v>0</v>
      </c>
      <c r="D759" s="18">
        <f>IF(C759="","",IFERROR(INDEX(Jobs!$B$5:$B$604,MATCH(C759,Jobs!$A$5:$A$604,0)),""))</f>
        <v>0</v>
      </c>
      <c r="J759" s="21">
        <f>IF(C759="","",IFERROR(INDEX(Jobs!$AJ$5:$AJ$604,MATCH(C759,Jobs!$A$5:$A$604,0)),"0"))</f>
        <v>0</v>
      </c>
      <c r="K759" s="23">
        <f>IF(C759="","",IFERROR(INDEX(Jobs!$M$5:$M$604,MATCH(C759,Jobs!$A$5:$A$604,0)),""))</f>
        <v>0</v>
      </c>
      <c r="L759" s="51">
        <f>IF(B759="","",IF(E759&lt;&gt;"",E759,IF(C759="","",K759&amp;" - "&amp;TEXT(D759,"d mmm yyyy"))))</f>
        <v>0</v>
      </c>
      <c r="M759" s="21">
        <f>IF(B759="","",IF(G759&lt;&gt;"",G759,IFERROR(J759*1,0)))</f>
        <v>0</v>
      </c>
      <c r="N759" s="21">
        <f>IF(B759="","",ROUND(IF(F759="",1,F759)*M759,2))</f>
        <v>0</v>
      </c>
      <c r="O759" s="39">
        <f>IF(B759="","",IF(C759="","",IF(COUNTIFS($C$5:$C$804,C759)&gt;1,"Duplicate","OK")))</f>
        <v>0</v>
      </c>
      <c r="P759" s="31">
        <f>IF(OR(B759="",E759=""),"",COUNTIFS($B$5:B759,B759))</f>
        <v>0</v>
      </c>
      <c r="Q759" s="23">
        <f>IF(P759="","",B759&amp;"|"&amp;P759)</f>
        <v>0</v>
      </c>
      <c r="R759" s="39">
        <f>IF(B759="","",IF(O759="Duplicate","Duplicate - job billed twice",IF(M759=0,"Add - no price on this line",IF(AND(C759="",E759=""),"Add - what is this line for?","OK"))))</f>
        <v>0</v>
      </c>
    </row>
    <row r="760" spans="1:18">
      <c r="A760" s="43">
        <f>IF(B760="","","IL-"&amp;TEXT(ROW()-4,"0000"))</f>
        <v>0</v>
      </c>
      <c r="D760" s="18">
        <f>IF(C760="","",IFERROR(INDEX(Jobs!$B$5:$B$604,MATCH(C760,Jobs!$A$5:$A$604,0)),""))</f>
        <v>0</v>
      </c>
      <c r="J760" s="21">
        <f>IF(C760="","",IFERROR(INDEX(Jobs!$AJ$5:$AJ$604,MATCH(C760,Jobs!$A$5:$A$604,0)),"0"))</f>
        <v>0</v>
      </c>
      <c r="K760" s="23">
        <f>IF(C760="","",IFERROR(INDEX(Jobs!$M$5:$M$604,MATCH(C760,Jobs!$A$5:$A$604,0)),""))</f>
        <v>0</v>
      </c>
      <c r="L760" s="51">
        <f>IF(B760="","",IF(E760&lt;&gt;"",E760,IF(C760="","",K760&amp;" - "&amp;TEXT(D760,"d mmm yyyy"))))</f>
        <v>0</v>
      </c>
      <c r="M760" s="21">
        <f>IF(B760="","",IF(G760&lt;&gt;"",G760,IFERROR(J760*1,0)))</f>
        <v>0</v>
      </c>
      <c r="N760" s="21">
        <f>IF(B760="","",ROUND(IF(F760="",1,F760)*M760,2))</f>
        <v>0</v>
      </c>
      <c r="O760" s="39">
        <f>IF(B760="","",IF(C760="","",IF(COUNTIFS($C$5:$C$804,C760)&gt;1,"Duplicate","OK")))</f>
        <v>0</v>
      </c>
      <c r="P760" s="31">
        <f>IF(OR(B760="",E760=""),"",COUNTIFS($B$5:B760,B760))</f>
        <v>0</v>
      </c>
      <c r="Q760" s="23">
        <f>IF(P760="","",B760&amp;"|"&amp;P760)</f>
        <v>0</v>
      </c>
      <c r="R760" s="39">
        <f>IF(B760="","",IF(O760="Duplicate","Duplicate - job billed twice",IF(M760=0,"Add - no price on this line",IF(AND(C760="",E760=""),"Add - what is this line for?","OK"))))</f>
        <v>0</v>
      </c>
    </row>
    <row r="761" spans="1:18">
      <c r="A761" s="43">
        <f>IF(B761="","","IL-"&amp;TEXT(ROW()-4,"0000"))</f>
        <v>0</v>
      </c>
      <c r="D761" s="18">
        <f>IF(C761="","",IFERROR(INDEX(Jobs!$B$5:$B$604,MATCH(C761,Jobs!$A$5:$A$604,0)),""))</f>
        <v>0</v>
      </c>
      <c r="J761" s="21">
        <f>IF(C761="","",IFERROR(INDEX(Jobs!$AJ$5:$AJ$604,MATCH(C761,Jobs!$A$5:$A$604,0)),"0"))</f>
        <v>0</v>
      </c>
      <c r="K761" s="23">
        <f>IF(C761="","",IFERROR(INDEX(Jobs!$M$5:$M$604,MATCH(C761,Jobs!$A$5:$A$604,0)),""))</f>
        <v>0</v>
      </c>
      <c r="L761" s="51">
        <f>IF(B761="","",IF(E761&lt;&gt;"",E761,IF(C761="","",K761&amp;" - "&amp;TEXT(D761,"d mmm yyyy"))))</f>
        <v>0</v>
      </c>
      <c r="M761" s="21">
        <f>IF(B761="","",IF(G761&lt;&gt;"",G761,IFERROR(J761*1,0)))</f>
        <v>0</v>
      </c>
      <c r="N761" s="21">
        <f>IF(B761="","",ROUND(IF(F761="",1,F761)*M761,2))</f>
        <v>0</v>
      </c>
      <c r="O761" s="39">
        <f>IF(B761="","",IF(C761="","",IF(COUNTIFS($C$5:$C$804,C761)&gt;1,"Duplicate","OK")))</f>
        <v>0</v>
      </c>
      <c r="P761" s="31">
        <f>IF(OR(B761="",E761=""),"",COUNTIFS($B$5:B761,B761))</f>
        <v>0</v>
      </c>
      <c r="Q761" s="23">
        <f>IF(P761="","",B761&amp;"|"&amp;P761)</f>
        <v>0</v>
      </c>
      <c r="R761" s="39">
        <f>IF(B761="","",IF(O761="Duplicate","Duplicate - job billed twice",IF(M761=0,"Add - no price on this line",IF(AND(C761="",E761=""),"Add - what is this line for?","OK"))))</f>
        <v>0</v>
      </c>
    </row>
    <row r="762" spans="1:18">
      <c r="A762" s="43">
        <f>IF(B762="","","IL-"&amp;TEXT(ROW()-4,"0000"))</f>
        <v>0</v>
      </c>
      <c r="D762" s="18">
        <f>IF(C762="","",IFERROR(INDEX(Jobs!$B$5:$B$604,MATCH(C762,Jobs!$A$5:$A$604,0)),""))</f>
        <v>0</v>
      </c>
      <c r="J762" s="21">
        <f>IF(C762="","",IFERROR(INDEX(Jobs!$AJ$5:$AJ$604,MATCH(C762,Jobs!$A$5:$A$604,0)),"0"))</f>
        <v>0</v>
      </c>
      <c r="K762" s="23">
        <f>IF(C762="","",IFERROR(INDEX(Jobs!$M$5:$M$604,MATCH(C762,Jobs!$A$5:$A$604,0)),""))</f>
        <v>0</v>
      </c>
      <c r="L762" s="51">
        <f>IF(B762="","",IF(E762&lt;&gt;"",E762,IF(C762="","",K762&amp;" - "&amp;TEXT(D762,"d mmm yyyy"))))</f>
        <v>0</v>
      </c>
      <c r="M762" s="21">
        <f>IF(B762="","",IF(G762&lt;&gt;"",G762,IFERROR(J762*1,0)))</f>
        <v>0</v>
      </c>
      <c r="N762" s="21">
        <f>IF(B762="","",ROUND(IF(F762="",1,F762)*M762,2))</f>
        <v>0</v>
      </c>
      <c r="O762" s="39">
        <f>IF(B762="","",IF(C762="","",IF(COUNTIFS($C$5:$C$804,C762)&gt;1,"Duplicate","OK")))</f>
        <v>0</v>
      </c>
      <c r="P762" s="31">
        <f>IF(OR(B762="",E762=""),"",COUNTIFS($B$5:B762,B762))</f>
        <v>0</v>
      </c>
      <c r="Q762" s="23">
        <f>IF(P762="","",B762&amp;"|"&amp;P762)</f>
        <v>0</v>
      </c>
      <c r="R762" s="39">
        <f>IF(B762="","",IF(O762="Duplicate","Duplicate - job billed twice",IF(M762=0,"Add - no price on this line",IF(AND(C762="",E762=""),"Add - what is this line for?","OK"))))</f>
        <v>0</v>
      </c>
    </row>
    <row r="763" spans="1:18">
      <c r="A763" s="43">
        <f>IF(B763="","","IL-"&amp;TEXT(ROW()-4,"0000"))</f>
        <v>0</v>
      </c>
      <c r="D763" s="18">
        <f>IF(C763="","",IFERROR(INDEX(Jobs!$B$5:$B$604,MATCH(C763,Jobs!$A$5:$A$604,0)),""))</f>
        <v>0</v>
      </c>
      <c r="J763" s="21">
        <f>IF(C763="","",IFERROR(INDEX(Jobs!$AJ$5:$AJ$604,MATCH(C763,Jobs!$A$5:$A$604,0)),"0"))</f>
        <v>0</v>
      </c>
      <c r="K763" s="23">
        <f>IF(C763="","",IFERROR(INDEX(Jobs!$M$5:$M$604,MATCH(C763,Jobs!$A$5:$A$604,0)),""))</f>
        <v>0</v>
      </c>
      <c r="L763" s="51">
        <f>IF(B763="","",IF(E763&lt;&gt;"",E763,IF(C763="","",K763&amp;" - "&amp;TEXT(D763,"d mmm yyyy"))))</f>
        <v>0</v>
      </c>
      <c r="M763" s="21">
        <f>IF(B763="","",IF(G763&lt;&gt;"",G763,IFERROR(J763*1,0)))</f>
        <v>0</v>
      </c>
      <c r="N763" s="21">
        <f>IF(B763="","",ROUND(IF(F763="",1,F763)*M763,2))</f>
        <v>0</v>
      </c>
      <c r="O763" s="39">
        <f>IF(B763="","",IF(C763="","",IF(COUNTIFS($C$5:$C$804,C763)&gt;1,"Duplicate","OK")))</f>
        <v>0</v>
      </c>
      <c r="P763" s="31">
        <f>IF(OR(B763="",E763=""),"",COUNTIFS($B$5:B763,B763))</f>
        <v>0</v>
      </c>
      <c r="Q763" s="23">
        <f>IF(P763="","",B763&amp;"|"&amp;P763)</f>
        <v>0</v>
      </c>
      <c r="R763" s="39">
        <f>IF(B763="","",IF(O763="Duplicate","Duplicate - job billed twice",IF(M763=0,"Add - no price on this line",IF(AND(C763="",E763=""),"Add - what is this line for?","OK"))))</f>
        <v>0</v>
      </c>
    </row>
    <row r="764" spans="1:18">
      <c r="A764" s="43">
        <f>IF(B764="","","IL-"&amp;TEXT(ROW()-4,"0000"))</f>
        <v>0</v>
      </c>
      <c r="D764" s="18">
        <f>IF(C764="","",IFERROR(INDEX(Jobs!$B$5:$B$604,MATCH(C764,Jobs!$A$5:$A$604,0)),""))</f>
        <v>0</v>
      </c>
      <c r="J764" s="21">
        <f>IF(C764="","",IFERROR(INDEX(Jobs!$AJ$5:$AJ$604,MATCH(C764,Jobs!$A$5:$A$604,0)),"0"))</f>
        <v>0</v>
      </c>
      <c r="K764" s="23">
        <f>IF(C764="","",IFERROR(INDEX(Jobs!$M$5:$M$604,MATCH(C764,Jobs!$A$5:$A$604,0)),""))</f>
        <v>0</v>
      </c>
      <c r="L764" s="51">
        <f>IF(B764="","",IF(E764&lt;&gt;"",E764,IF(C764="","",K764&amp;" - "&amp;TEXT(D764,"d mmm yyyy"))))</f>
        <v>0</v>
      </c>
      <c r="M764" s="21">
        <f>IF(B764="","",IF(G764&lt;&gt;"",G764,IFERROR(J764*1,0)))</f>
        <v>0</v>
      </c>
      <c r="N764" s="21">
        <f>IF(B764="","",ROUND(IF(F764="",1,F764)*M764,2))</f>
        <v>0</v>
      </c>
      <c r="O764" s="39">
        <f>IF(B764="","",IF(C764="","",IF(COUNTIFS($C$5:$C$804,C764)&gt;1,"Duplicate","OK")))</f>
        <v>0</v>
      </c>
      <c r="P764" s="31">
        <f>IF(OR(B764="",E764=""),"",COUNTIFS($B$5:B764,B764))</f>
        <v>0</v>
      </c>
      <c r="Q764" s="23">
        <f>IF(P764="","",B764&amp;"|"&amp;P764)</f>
        <v>0</v>
      </c>
      <c r="R764" s="39">
        <f>IF(B764="","",IF(O764="Duplicate","Duplicate - job billed twice",IF(M764=0,"Add - no price on this line",IF(AND(C764="",E764=""),"Add - what is this line for?","OK"))))</f>
        <v>0</v>
      </c>
    </row>
    <row r="765" spans="1:18">
      <c r="A765" s="43">
        <f>IF(B765="","","IL-"&amp;TEXT(ROW()-4,"0000"))</f>
        <v>0</v>
      </c>
      <c r="D765" s="18">
        <f>IF(C765="","",IFERROR(INDEX(Jobs!$B$5:$B$604,MATCH(C765,Jobs!$A$5:$A$604,0)),""))</f>
        <v>0</v>
      </c>
      <c r="J765" s="21">
        <f>IF(C765="","",IFERROR(INDEX(Jobs!$AJ$5:$AJ$604,MATCH(C765,Jobs!$A$5:$A$604,0)),"0"))</f>
        <v>0</v>
      </c>
      <c r="K765" s="23">
        <f>IF(C765="","",IFERROR(INDEX(Jobs!$M$5:$M$604,MATCH(C765,Jobs!$A$5:$A$604,0)),""))</f>
        <v>0</v>
      </c>
      <c r="L765" s="51">
        <f>IF(B765="","",IF(E765&lt;&gt;"",E765,IF(C765="","",K765&amp;" - "&amp;TEXT(D765,"d mmm yyyy"))))</f>
        <v>0</v>
      </c>
      <c r="M765" s="21">
        <f>IF(B765="","",IF(G765&lt;&gt;"",G765,IFERROR(J765*1,0)))</f>
        <v>0</v>
      </c>
      <c r="N765" s="21">
        <f>IF(B765="","",ROUND(IF(F765="",1,F765)*M765,2))</f>
        <v>0</v>
      </c>
      <c r="O765" s="39">
        <f>IF(B765="","",IF(C765="","",IF(COUNTIFS($C$5:$C$804,C765)&gt;1,"Duplicate","OK")))</f>
        <v>0</v>
      </c>
      <c r="P765" s="31">
        <f>IF(OR(B765="",E765=""),"",COUNTIFS($B$5:B765,B765))</f>
        <v>0</v>
      </c>
      <c r="Q765" s="23">
        <f>IF(P765="","",B765&amp;"|"&amp;P765)</f>
        <v>0</v>
      </c>
      <c r="R765" s="39">
        <f>IF(B765="","",IF(O765="Duplicate","Duplicate - job billed twice",IF(M765=0,"Add - no price on this line",IF(AND(C765="",E765=""),"Add - what is this line for?","OK"))))</f>
        <v>0</v>
      </c>
    </row>
    <row r="766" spans="1:18">
      <c r="A766" s="43">
        <f>IF(B766="","","IL-"&amp;TEXT(ROW()-4,"0000"))</f>
        <v>0</v>
      </c>
      <c r="D766" s="18">
        <f>IF(C766="","",IFERROR(INDEX(Jobs!$B$5:$B$604,MATCH(C766,Jobs!$A$5:$A$604,0)),""))</f>
        <v>0</v>
      </c>
      <c r="J766" s="21">
        <f>IF(C766="","",IFERROR(INDEX(Jobs!$AJ$5:$AJ$604,MATCH(C766,Jobs!$A$5:$A$604,0)),"0"))</f>
        <v>0</v>
      </c>
      <c r="K766" s="23">
        <f>IF(C766="","",IFERROR(INDEX(Jobs!$M$5:$M$604,MATCH(C766,Jobs!$A$5:$A$604,0)),""))</f>
        <v>0</v>
      </c>
      <c r="L766" s="51">
        <f>IF(B766="","",IF(E766&lt;&gt;"",E766,IF(C766="","",K766&amp;" - "&amp;TEXT(D766,"d mmm yyyy"))))</f>
        <v>0</v>
      </c>
      <c r="M766" s="21">
        <f>IF(B766="","",IF(G766&lt;&gt;"",G766,IFERROR(J766*1,0)))</f>
        <v>0</v>
      </c>
      <c r="N766" s="21">
        <f>IF(B766="","",ROUND(IF(F766="",1,F766)*M766,2))</f>
        <v>0</v>
      </c>
      <c r="O766" s="39">
        <f>IF(B766="","",IF(C766="","",IF(COUNTIFS($C$5:$C$804,C766)&gt;1,"Duplicate","OK")))</f>
        <v>0</v>
      </c>
      <c r="P766" s="31">
        <f>IF(OR(B766="",E766=""),"",COUNTIFS($B$5:B766,B766))</f>
        <v>0</v>
      </c>
      <c r="Q766" s="23">
        <f>IF(P766="","",B766&amp;"|"&amp;P766)</f>
        <v>0</v>
      </c>
      <c r="R766" s="39">
        <f>IF(B766="","",IF(O766="Duplicate","Duplicate - job billed twice",IF(M766=0,"Add - no price on this line",IF(AND(C766="",E766=""),"Add - what is this line for?","OK"))))</f>
        <v>0</v>
      </c>
    </row>
    <row r="767" spans="1:18">
      <c r="A767" s="43">
        <f>IF(B767="","","IL-"&amp;TEXT(ROW()-4,"0000"))</f>
        <v>0</v>
      </c>
      <c r="D767" s="18">
        <f>IF(C767="","",IFERROR(INDEX(Jobs!$B$5:$B$604,MATCH(C767,Jobs!$A$5:$A$604,0)),""))</f>
        <v>0</v>
      </c>
      <c r="J767" s="21">
        <f>IF(C767="","",IFERROR(INDEX(Jobs!$AJ$5:$AJ$604,MATCH(C767,Jobs!$A$5:$A$604,0)),"0"))</f>
        <v>0</v>
      </c>
      <c r="K767" s="23">
        <f>IF(C767="","",IFERROR(INDEX(Jobs!$M$5:$M$604,MATCH(C767,Jobs!$A$5:$A$604,0)),""))</f>
        <v>0</v>
      </c>
      <c r="L767" s="51">
        <f>IF(B767="","",IF(E767&lt;&gt;"",E767,IF(C767="","",K767&amp;" - "&amp;TEXT(D767,"d mmm yyyy"))))</f>
        <v>0</v>
      </c>
      <c r="M767" s="21">
        <f>IF(B767="","",IF(G767&lt;&gt;"",G767,IFERROR(J767*1,0)))</f>
        <v>0</v>
      </c>
      <c r="N767" s="21">
        <f>IF(B767="","",ROUND(IF(F767="",1,F767)*M767,2))</f>
        <v>0</v>
      </c>
      <c r="O767" s="39">
        <f>IF(B767="","",IF(C767="","",IF(COUNTIFS($C$5:$C$804,C767)&gt;1,"Duplicate","OK")))</f>
        <v>0</v>
      </c>
      <c r="P767" s="31">
        <f>IF(OR(B767="",E767=""),"",COUNTIFS($B$5:B767,B767))</f>
        <v>0</v>
      </c>
      <c r="Q767" s="23">
        <f>IF(P767="","",B767&amp;"|"&amp;P767)</f>
        <v>0</v>
      </c>
      <c r="R767" s="39">
        <f>IF(B767="","",IF(O767="Duplicate","Duplicate - job billed twice",IF(M767=0,"Add - no price on this line",IF(AND(C767="",E767=""),"Add - what is this line for?","OK"))))</f>
        <v>0</v>
      </c>
    </row>
    <row r="768" spans="1:18">
      <c r="A768" s="43">
        <f>IF(B768="","","IL-"&amp;TEXT(ROW()-4,"0000"))</f>
        <v>0</v>
      </c>
      <c r="D768" s="18">
        <f>IF(C768="","",IFERROR(INDEX(Jobs!$B$5:$B$604,MATCH(C768,Jobs!$A$5:$A$604,0)),""))</f>
        <v>0</v>
      </c>
      <c r="J768" s="21">
        <f>IF(C768="","",IFERROR(INDEX(Jobs!$AJ$5:$AJ$604,MATCH(C768,Jobs!$A$5:$A$604,0)),"0"))</f>
        <v>0</v>
      </c>
      <c r="K768" s="23">
        <f>IF(C768="","",IFERROR(INDEX(Jobs!$M$5:$M$604,MATCH(C768,Jobs!$A$5:$A$604,0)),""))</f>
        <v>0</v>
      </c>
      <c r="L768" s="51">
        <f>IF(B768="","",IF(E768&lt;&gt;"",E768,IF(C768="","",K768&amp;" - "&amp;TEXT(D768,"d mmm yyyy"))))</f>
        <v>0</v>
      </c>
      <c r="M768" s="21">
        <f>IF(B768="","",IF(G768&lt;&gt;"",G768,IFERROR(J768*1,0)))</f>
        <v>0</v>
      </c>
      <c r="N768" s="21">
        <f>IF(B768="","",ROUND(IF(F768="",1,F768)*M768,2))</f>
        <v>0</v>
      </c>
      <c r="O768" s="39">
        <f>IF(B768="","",IF(C768="","",IF(COUNTIFS($C$5:$C$804,C768)&gt;1,"Duplicate","OK")))</f>
        <v>0</v>
      </c>
      <c r="P768" s="31">
        <f>IF(OR(B768="",E768=""),"",COUNTIFS($B$5:B768,B768))</f>
        <v>0</v>
      </c>
      <c r="Q768" s="23">
        <f>IF(P768="","",B768&amp;"|"&amp;P768)</f>
        <v>0</v>
      </c>
      <c r="R768" s="39">
        <f>IF(B768="","",IF(O768="Duplicate","Duplicate - job billed twice",IF(M768=0,"Add - no price on this line",IF(AND(C768="",E768=""),"Add - what is this line for?","OK"))))</f>
        <v>0</v>
      </c>
    </row>
    <row r="769" spans="1:18">
      <c r="A769" s="43">
        <f>IF(B769="","","IL-"&amp;TEXT(ROW()-4,"0000"))</f>
        <v>0</v>
      </c>
      <c r="D769" s="18">
        <f>IF(C769="","",IFERROR(INDEX(Jobs!$B$5:$B$604,MATCH(C769,Jobs!$A$5:$A$604,0)),""))</f>
        <v>0</v>
      </c>
      <c r="J769" s="21">
        <f>IF(C769="","",IFERROR(INDEX(Jobs!$AJ$5:$AJ$604,MATCH(C769,Jobs!$A$5:$A$604,0)),"0"))</f>
        <v>0</v>
      </c>
      <c r="K769" s="23">
        <f>IF(C769="","",IFERROR(INDEX(Jobs!$M$5:$M$604,MATCH(C769,Jobs!$A$5:$A$604,0)),""))</f>
        <v>0</v>
      </c>
      <c r="L769" s="51">
        <f>IF(B769="","",IF(E769&lt;&gt;"",E769,IF(C769="","",K769&amp;" - "&amp;TEXT(D769,"d mmm yyyy"))))</f>
        <v>0</v>
      </c>
      <c r="M769" s="21">
        <f>IF(B769="","",IF(G769&lt;&gt;"",G769,IFERROR(J769*1,0)))</f>
        <v>0</v>
      </c>
      <c r="N769" s="21">
        <f>IF(B769="","",ROUND(IF(F769="",1,F769)*M769,2))</f>
        <v>0</v>
      </c>
      <c r="O769" s="39">
        <f>IF(B769="","",IF(C769="","",IF(COUNTIFS($C$5:$C$804,C769)&gt;1,"Duplicate","OK")))</f>
        <v>0</v>
      </c>
      <c r="P769" s="31">
        <f>IF(OR(B769="",E769=""),"",COUNTIFS($B$5:B769,B769))</f>
        <v>0</v>
      </c>
      <c r="Q769" s="23">
        <f>IF(P769="","",B769&amp;"|"&amp;P769)</f>
        <v>0</v>
      </c>
      <c r="R769" s="39">
        <f>IF(B769="","",IF(O769="Duplicate","Duplicate - job billed twice",IF(M769=0,"Add - no price on this line",IF(AND(C769="",E769=""),"Add - what is this line for?","OK"))))</f>
        <v>0</v>
      </c>
    </row>
    <row r="770" spans="1:18">
      <c r="A770" s="43">
        <f>IF(B770="","","IL-"&amp;TEXT(ROW()-4,"0000"))</f>
        <v>0</v>
      </c>
      <c r="D770" s="18">
        <f>IF(C770="","",IFERROR(INDEX(Jobs!$B$5:$B$604,MATCH(C770,Jobs!$A$5:$A$604,0)),""))</f>
        <v>0</v>
      </c>
      <c r="J770" s="21">
        <f>IF(C770="","",IFERROR(INDEX(Jobs!$AJ$5:$AJ$604,MATCH(C770,Jobs!$A$5:$A$604,0)),"0"))</f>
        <v>0</v>
      </c>
      <c r="K770" s="23">
        <f>IF(C770="","",IFERROR(INDEX(Jobs!$M$5:$M$604,MATCH(C770,Jobs!$A$5:$A$604,0)),""))</f>
        <v>0</v>
      </c>
      <c r="L770" s="51">
        <f>IF(B770="","",IF(E770&lt;&gt;"",E770,IF(C770="","",K770&amp;" - "&amp;TEXT(D770,"d mmm yyyy"))))</f>
        <v>0</v>
      </c>
      <c r="M770" s="21">
        <f>IF(B770="","",IF(G770&lt;&gt;"",G770,IFERROR(J770*1,0)))</f>
        <v>0</v>
      </c>
      <c r="N770" s="21">
        <f>IF(B770="","",ROUND(IF(F770="",1,F770)*M770,2))</f>
        <v>0</v>
      </c>
      <c r="O770" s="39">
        <f>IF(B770="","",IF(C770="","",IF(COUNTIFS($C$5:$C$804,C770)&gt;1,"Duplicate","OK")))</f>
        <v>0</v>
      </c>
      <c r="P770" s="31">
        <f>IF(OR(B770="",E770=""),"",COUNTIFS($B$5:B770,B770))</f>
        <v>0</v>
      </c>
      <c r="Q770" s="23">
        <f>IF(P770="","",B770&amp;"|"&amp;P770)</f>
        <v>0</v>
      </c>
      <c r="R770" s="39">
        <f>IF(B770="","",IF(O770="Duplicate","Duplicate - job billed twice",IF(M770=0,"Add - no price on this line",IF(AND(C770="",E770=""),"Add - what is this line for?","OK"))))</f>
        <v>0</v>
      </c>
    </row>
    <row r="771" spans="1:18">
      <c r="A771" s="43">
        <f>IF(B771="","","IL-"&amp;TEXT(ROW()-4,"0000"))</f>
        <v>0</v>
      </c>
      <c r="D771" s="18">
        <f>IF(C771="","",IFERROR(INDEX(Jobs!$B$5:$B$604,MATCH(C771,Jobs!$A$5:$A$604,0)),""))</f>
        <v>0</v>
      </c>
      <c r="J771" s="21">
        <f>IF(C771="","",IFERROR(INDEX(Jobs!$AJ$5:$AJ$604,MATCH(C771,Jobs!$A$5:$A$604,0)),"0"))</f>
        <v>0</v>
      </c>
      <c r="K771" s="23">
        <f>IF(C771="","",IFERROR(INDEX(Jobs!$M$5:$M$604,MATCH(C771,Jobs!$A$5:$A$604,0)),""))</f>
        <v>0</v>
      </c>
      <c r="L771" s="51">
        <f>IF(B771="","",IF(E771&lt;&gt;"",E771,IF(C771="","",K771&amp;" - "&amp;TEXT(D771,"d mmm yyyy"))))</f>
        <v>0</v>
      </c>
      <c r="M771" s="21">
        <f>IF(B771="","",IF(G771&lt;&gt;"",G771,IFERROR(J771*1,0)))</f>
        <v>0</v>
      </c>
      <c r="N771" s="21">
        <f>IF(B771="","",ROUND(IF(F771="",1,F771)*M771,2))</f>
        <v>0</v>
      </c>
      <c r="O771" s="39">
        <f>IF(B771="","",IF(C771="","",IF(COUNTIFS($C$5:$C$804,C771)&gt;1,"Duplicate","OK")))</f>
        <v>0</v>
      </c>
      <c r="P771" s="31">
        <f>IF(OR(B771="",E771=""),"",COUNTIFS($B$5:B771,B771))</f>
        <v>0</v>
      </c>
      <c r="Q771" s="23">
        <f>IF(P771="","",B771&amp;"|"&amp;P771)</f>
        <v>0</v>
      </c>
      <c r="R771" s="39">
        <f>IF(B771="","",IF(O771="Duplicate","Duplicate - job billed twice",IF(M771=0,"Add - no price on this line",IF(AND(C771="",E771=""),"Add - what is this line for?","OK"))))</f>
        <v>0</v>
      </c>
    </row>
    <row r="772" spans="1:18">
      <c r="A772" s="43">
        <f>IF(B772="","","IL-"&amp;TEXT(ROW()-4,"0000"))</f>
        <v>0</v>
      </c>
      <c r="D772" s="18">
        <f>IF(C772="","",IFERROR(INDEX(Jobs!$B$5:$B$604,MATCH(C772,Jobs!$A$5:$A$604,0)),""))</f>
        <v>0</v>
      </c>
      <c r="J772" s="21">
        <f>IF(C772="","",IFERROR(INDEX(Jobs!$AJ$5:$AJ$604,MATCH(C772,Jobs!$A$5:$A$604,0)),"0"))</f>
        <v>0</v>
      </c>
      <c r="K772" s="23">
        <f>IF(C772="","",IFERROR(INDEX(Jobs!$M$5:$M$604,MATCH(C772,Jobs!$A$5:$A$604,0)),""))</f>
        <v>0</v>
      </c>
      <c r="L772" s="51">
        <f>IF(B772="","",IF(E772&lt;&gt;"",E772,IF(C772="","",K772&amp;" - "&amp;TEXT(D772,"d mmm yyyy"))))</f>
        <v>0</v>
      </c>
      <c r="M772" s="21">
        <f>IF(B772="","",IF(G772&lt;&gt;"",G772,IFERROR(J772*1,0)))</f>
        <v>0</v>
      </c>
      <c r="N772" s="21">
        <f>IF(B772="","",ROUND(IF(F772="",1,F772)*M772,2))</f>
        <v>0</v>
      </c>
      <c r="O772" s="39">
        <f>IF(B772="","",IF(C772="","",IF(COUNTIFS($C$5:$C$804,C772)&gt;1,"Duplicate","OK")))</f>
        <v>0</v>
      </c>
      <c r="P772" s="31">
        <f>IF(OR(B772="",E772=""),"",COUNTIFS($B$5:B772,B772))</f>
        <v>0</v>
      </c>
      <c r="Q772" s="23">
        <f>IF(P772="","",B772&amp;"|"&amp;P772)</f>
        <v>0</v>
      </c>
      <c r="R772" s="39">
        <f>IF(B772="","",IF(O772="Duplicate","Duplicate - job billed twice",IF(M772=0,"Add - no price on this line",IF(AND(C772="",E772=""),"Add - what is this line for?","OK"))))</f>
        <v>0</v>
      </c>
    </row>
    <row r="773" spans="1:18">
      <c r="A773" s="43">
        <f>IF(B773="","","IL-"&amp;TEXT(ROW()-4,"0000"))</f>
        <v>0</v>
      </c>
      <c r="D773" s="18">
        <f>IF(C773="","",IFERROR(INDEX(Jobs!$B$5:$B$604,MATCH(C773,Jobs!$A$5:$A$604,0)),""))</f>
        <v>0</v>
      </c>
      <c r="J773" s="21">
        <f>IF(C773="","",IFERROR(INDEX(Jobs!$AJ$5:$AJ$604,MATCH(C773,Jobs!$A$5:$A$604,0)),"0"))</f>
        <v>0</v>
      </c>
      <c r="K773" s="23">
        <f>IF(C773="","",IFERROR(INDEX(Jobs!$M$5:$M$604,MATCH(C773,Jobs!$A$5:$A$604,0)),""))</f>
        <v>0</v>
      </c>
      <c r="L773" s="51">
        <f>IF(B773="","",IF(E773&lt;&gt;"",E773,IF(C773="","",K773&amp;" - "&amp;TEXT(D773,"d mmm yyyy"))))</f>
        <v>0</v>
      </c>
      <c r="M773" s="21">
        <f>IF(B773="","",IF(G773&lt;&gt;"",G773,IFERROR(J773*1,0)))</f>
        <v>0</v>
      </c>
      <c r="N773" s="21">
        <f>IF(B773="","",ROUND(IF(F773="",1,F773)*M773,2))</f>
        <v>0</v>
      </c>
      <c r="O773" s="39">
        <f>IF(B773="","",IF(C773="","",IF(COUNTIFS($C$5:$C$804,C773)&gt;1,"Duplicate","OK")))</f>
        <v>0</v>
      </c>
      <c r="P773" s="31">
        <f>IF(OR(B773="",E773=""),"",COUNTIFS($B$5:B773,B773))</f>
        <v>0</v>
      </c>
      <c r="Q773" s="23">
        <f>IF(P773="","",B773&amp;"|"&amp;P773)</f>
        <v>0</v>
      </c>
      <c r="R773" s="39">
        <f>IF(B773="","",IF(O773="Duplicate","Duplicate - job billed twice",IF(M773=0,"Add - no price on this line",IF(AND(C773="",E773=""),"Add - what is this line for?","OK"))))</f>
        <v>0</v>
      </c>
    </row>
    <row r="774" spans="1:18">
      <c r="A774" s="43">
        <f>IF(B774="","","IL-"&amp;TEXT(ROW()-4,"0000"))</f>
        <v>0</v>
      </c>
      <c r="D774" s="18">
        <f>IF(C774="","",IFERROR(INDEX(Jobs!$B$5:$B$604,MATCH(C774,Jobs!$A$5:$A$604,0)),""))</f>
        <v>0</v>
      </c>
      <c r="J774" s="21">
        <f>IF(C774="","",IFERROR(INDEX(Jobs!$AJ$5:$AJ$604,MATCH(C774,Jobs!$A$5:$A$604,0)),"0"))</f>
        <v>0</v>
      </c>
      <c r="K774" s="23">
        <f>IF(C774="","",IFERROR(INDEX(Jobs!$M$5:$M$604,MATCH(C774,Jobs!$A$5:$A$604,0)),""))</f>
        <v>0</v>
      </c>
      <c r="L774" s="51">
        <f>IF(B774="","",IF(E774&lt;&gt;"",E774,IF(C774="","",K774&amp;" - "&amp;TEXT(D774,"d mmm yyyy"))))</f>
        <v>0</v>
      </c>
      <c r="M774" s="21">
        <f>IF(B774="","",IF(G774&lt;&gt;"",G774,IFERROR(J774*1,0)))</f>
        <v>0</v>
      </c>
      <c r="N774" s="21">
        <f>IF(B774="","",ROUND(IF(F774="",1,F774)*M774,2))</f>
        <v>0</v>
      </c>
      <c r="O774" s="39">
        <f>IF(B774="","",IF(C774="","",IF(COUNTIFS($C$5:$C$804,C774)&gt;1,"Duplicate","OK")))</f>
        <v>0</v>
      </c>
      <c r="P774" s="31">
        <f>IF(OR(B774="",E774=""),"",COUNTIFS($B$5:B774,B774))</f>
        <v>0</v>
      </c>
      <c r="Q774" s="23">
        <f>IF(P774="","",B774&amp;"|"&amp;P774)</f>
        <v>0</v>
      </c>
      <c r="R774" s="39">
        <f>IF(B774="","",IF(O774="Duplicate","Duplicate - job billed twice",IF(M774=0,"Add - no price on this line",IF(AND(C774="",E774=""),"Add - what is this line for?","OK"))))</f>
        <v>0</v>
      </c>
    </row>
    <row r="775" spans="1:18">
      <c r="A775" s="43">
        <f>IF(B775="","","IL-"&amp;TEXT(ROW()-4,"0000"))</f>
        <v>0</v>
      </c>
      <c r="D775" s="18">
        <f>IF(C775="","",IFERROR(INDEX(Jobs!$B$5:$B$604,MATCH(C775,Jobs!$A$5:$A$604,0)),""))</f>
        <v>0</v>
      </c>
      <c r="J775" s="21">
        <f>IF(C775="","",IFERROR(INDEX(Jobs!$AJ$5:$AJ$604,MATCH(C775,Jobs!$A$5:$A$604,0)),"0"))</f>
        <v>0</v>
      </c>
      <c r="K775" s="23">
        <f>IF(C775="","",IFERROR(INDEX(Jobs!$M$5:$M$604,MATCH(C775,Jobs!$A$5:$A$604,0)),""))</f>
        <v>0</v>
      </c>
      <c r="L775" s="51">
        <f>IF(B775="","",IF(E775&lt;&gt;"",E775,IF(C775="","",K775&amp;" - "&amp;TEXT(D775,"d mmm yyyy"))))</f>
        <v>0</v>
      </c>
      <c r="M775" s="21">
        <f>IF(B775="","",IF(G775&lt;&gt;"",G775,IFERROR(J775*1,0)))</f>
        <v>0</v>
      </c>
      <c r="N775" s="21">
        <f>IF(B775="","",ROUND(IF(F775="",1,F775)*M775,2))</f>
        <v>0</v>
      </c>
      <c r="O775" s="39">
        <f>IF(B775="","",IF(C775="","",IF(COUNTIFS($C$5:$C$804,C775)&gt;1,"Duplicate","OK")))</f>
        <v>0</v>
      </c>
      <c r="P775" s="31">
        <f>IF(OR(B775="",E775=""),"",COUNTIFS($B$5:B775,B775))</f>
        <v>0</v>
      </c>
      <c r="Q775" s="23">
        <f>IF(P775="","",B775&amp;"|"&amp;P775)</f>
        <v>0</v>
      </c>
      <c r="R775" s="39">
        <f>IF(B775="","",IF(O775="Duplicate","Duplicate - job billed twice",IF(M775=0,"Add - no price on this line",IF(AND(C775="",E775=""),"Add - what is this line for?","OK"))))</f>
        <v>0</v>
      </c>
    </row>
    <row r="776" spans="1:18">
      <c r="A776" s="43">
        <f>IF(B776="","","IL-"&amp;TEXT(ROW()-4,"0000"))</f>
        <v>0</v>
      </c>
      <c r="D776" s="18">
        <f>IF(C776="","",IFERROR(INDEX(Jobs!$B$5:$B$604,MATCH(C776,Jobs!$A$5:$A$604,0)),""))</f>
        <v>0</v>
      </c>
      <c r="J776" s="21">
        <f>IF(C776="","",IFERROR(INDEX(Jobs!$AJ$5:$AJ$604,MATCH(C776,Jobs!$A$5:$A$604,0)),"0"))</f>
        <v>0</v>
      </c>
      <c r="K776" s="23">
        <f>IF(C776="","",IFERROR(INDEX(Jobs!$M$5:$M$604,MATCH(C776,Jobs!$A$5:$A$604,0)),""))</f>
        <v>0</v>
      </c>
      <c r="L776" s="51">
        <f>IF(B776="","",IF(E776&lt;&gt;"",E776,IF(C776="","",K776&amp;" - "&amp;TEXT(D776,"d mmm yyyy"))))</f>
        <v>0</v>
      </c>
      <c r="M776" s="21">
        <f>IF(B776="","",IF(G776&lt;&gt;"",G776,IFERROR(J776*1,0)))</f>
        <v>0</v>
      </c>
      <c r="N776" s="21">
        <f>IF(B776="","",ROUND(IF(F776="",1,F776)*M776,2))</f>
        <v>0</v>
      </c>
      <c r="O776" s="39">
        <f>IF(B776="","",IF(C776="","",IF(COUNTIFS($C$5:$C$804,C776)&gt;1,"Duplicate","OK")))</f>
        <v>0</v>
      </c>
      <c r="P776" s="31">
        <f>IF(OR(B776="",E776=""),"",COUNTIFS($B$5:B776,B776))</f>
        <v>0</v>
      </c>
      <c r="Q776" s="23">
        <f>IF(P776="","",B776&amp;"|"&amp;P776)</f>
        <v>0</v>
      </c>
      <c r="R776" s="39">
        <f>IF(B776="","",IF(O776="Duplicate","Duplicate - job billed twice",IF(M776=0,"Add - no price on this line",IF(AND(C776="",E776=""),"Add - what is this line for?","OK"))))</f>
        <v>0</v>
      </c>
    </row>
    <row r="777" spans="1:18">
      <c r="A777" s="43">
        <f>IF(B777="","","IL-"&amp;TEXT(ROW()-4,"0000"))</f>
        <v>0</v>
      </c>
      <c r="D777" s="18">
        <f>IF(C777="","",IFERROR(INDEX(Jobs!$B$5:$B$604,MATCH(C777,Jobs!$A$5:$A$604,0)),""))</f>
        <v>0</v>
      </c>
      <c r="J777" s="21">
        <f>IF(C777="","",IFERROR(INDEX(Jobs!$AJ$5:$AJ$604,MATCH(C777,Jobs!$A$5:$A$604,0)),"0"))</f>
        <v>0</v>
      </c>
      <c r="K777" s="23">
        <f>IF(C777="","",IFERROR(INDEX(Jobs!$M$5:$M$604,MATCH(C777,Jobs!$A$5:$A$604,0)),""))</f>
        <v>0</v>
      </c>
      <c r="L777" s="51">
        <f>IF(B777="","",IF(E777&lt;&gt;"",E777,IF(C777="","",K777&amp;" - "&amp;TEXT(D777,"d mmm yyyy"))))</f>
        <v>0</v>
      </c>
      <c r="M777" s="21">
        <f>IF(B777="","",IF(G777&lt;&gt;"",G777,IFERROR(J777*1,0)))</f>
        <v>0</v>
      </c>
      <c r="N777" s="21">
        <f>IF(B777="","",ROUND(IF(F777="",1,F777)*M777,2))</f>
        <v>0</v>
      </c>
      <c r="O777" s="39">
        <f>IF(B777="","",IF(C777="","",IF(COUNTIFS($C$5:$C$804,C777)&gt;1,"Duplicate","OK")))</f>
        <v>0</v>
      </c>
      <c r="P777" s="31">
        <f>IF(OR(B777="",E777=""),"",COUNTIFS($B$5:B777,B777))</f>
        <v>0</v>
      </c>
      <c r="Q777" s="23">
        <f>IF(P777="","",B777&amp;"|"&amp;P777)</f>
        <v>0</v>
      </c>
      <c r="R777" s="39">
        <f>IF(B777="","",IF(O777="Duplicate","Duplicate - job billed twice",IF(M777=0,"Add - no price on this line",IF(AND(C777="",E777=""),"Add - what is this line for?","OK"))))</f>
        <v>0</v>
      </c>
    </row>
    <row r="778" spans="1:18">
      <c r="A778" s="43">
        <f>IF(B778="","","IL-"&amp;TEXT(ROW()-4,"0000"))</f>
        <v>0</v>
      </c>
      <c r="D778" s="18">
        <f>IF(C778="","",IFERROR(INDEX(Jobs!$B$5:$B$604,MATCH(C778,Jobs!$A$5:$A$604,0)),""))</f>
        <v>0</v>
      </c>
      <c r="J778" s="21">
        <f>IF(C778="","",IFERROR(INDEX(Jobs!$AJ$5:$AJ$604,MATCH(C778,Jobs!$A$5:$A$604,0)),"0"))</f>
        <v>0</v>
      </c>
      <c r="K778" s="23">
        <f>IF(C778="","",IFERROR(INDEX(Jobs!$M$5:$M$604,MATCH(C778,Jobs!$A$5:$A$604,0)),""))</f>
        <v>0</v>
      </c>
      <c r="L778" s="51">
        <f>IF(B778="","",IF(E778&lt;&gt;"",E778,IF(C778="","",K778&amp;" - "&amp;TEXT(D778,"d mmm yyyy"))))</f>
        <v>0</v>
      </c>
      <c r="M778" s="21">
        <f>IF(B778="","",IF(G778&lt;&gt;"",G778,IFERROR(J778*1,0)))</f>
        <v>0</v>
      </c>
      <c r="N778" s="21">
        <f>IF(B778="","",ROUND(IF(F778="",1,F778)*M778,2))</f>
        <v>0</v>
      </c>
      <c r="O778" s="39">
        <f>IF(B778="","",IF(C778="","",IF(COUNTIFS($C$5:$C$804,C778)&gt;1,"Duplicate","OK")))</f>
        <v>0</v>
      </c>
      <c r="P778" s="31">
        <f>IF(OR(B778="",E778=""),"",COUNTIFS($B$5:B778,B778))</f>
        <v>0</v>
      </c>
      <c r="Q778" s="23">
        <f>IF(P778="","",B778&amp;"|"&amp;P778)</f>
        <v>0</v>
      </c>
      <c r="R778" s="39">
        <f>IF(B778="","",IF(O778="Duplicate","Duplicate - job billed twice",IF(M778=0,"Add - no price on this line",IF(AND(C778="",E778=""),"Add - what is this line for?","OK"))))</f>
        <v>0</v>
      </c>
    </row>
    <row r="779" spans="1:18">
      <c r="A779" s="43">
        <f>IF(B779="","","IL-"&amp;TEXT(ROW()-4,"0000"))</f>
        <v>0</v>
      </c>
      <c r="D779" s="18">
        <f>IF(C779="","",IFERROR(INDEX(Jobs!$B$5:$B$604,MATCH(C779,Jobs!$A$5:$A$604,0)),""))</f>
        <v>0</v>
      </c>
      <c r="J779" s="21">
        <f>IF(C779="","",IFERROR(INDEX(Jobs!$AJ$5:$AJ$604,MATCH(C779,Jobs!$A$5:$A$604,0)),"0"))</f>
        <v>0</v>
      </c>
      <c r="K779" s="23">
        <f>IF(C779="","",IFERROR(INDEX(Jobs!$M$5:$M$604,MATCH(C779,Jobs!$A$5:$A$604,0)),""))</f>
        <v>0</v>
      </c>
      <c r="L779" s="51">
        <f>IF(B779="","",IF(E779&lt;&gt;"",E779,IF(C779="","",K779&amp;" - "&amp;TEXT(D779,"d mmm yyyy"))))</f>
        <v>0</v>
      </c>
      <c r="M779" s="21">
        <f>IF(B779="","",IF(G779&lt;&gt;"",G779,IFERROR(J779*1,0)))</f>
        <v>0</v>
      </c>
      <c r="N779" s="21">
        <f>IF(B779="","",ROUND(IF(F779="",1,F779)*M779,2))</f>
        <v>0</v>
      </c>
      <c r="O779" s="39">
        <f>IF(B779="","",IF(C779="","",IF(COUNTIFS($C$5:$C$804,C779)&gt;1,"Duplicate","OK")))</f>
        <v>0</v>
      </c>
      <c r="P779" s="31">
        <f>IF(OR(B779="",E779=""),"",COUNTIFS($B$5:B779,B779))</f>
        <v>0</v>
      </c>
      <c r="Q779" s="23">
        <f>IF(P779="","",B779&amp;"|"&amp;P779)</f>
        <v>0</v>
      </c>
      <c r="R779" s="39">
        <f>IF(B779="","",IF(O779="Duplicate","Duplicate - job billed twice",IF(M779=0,"Add - no price on this line",IF(AND(C779="",E779=""),"Add - what is this line for?","OK"))))</f>
        <v>0</v>
      </c>
    </row>
    <row r="780" spans="1:18">
      <c r="A780" s="43">
        <f>IF(B780="","","IL-"&amp;TEXT(ROW()-4,"0000"))</f>
        <v>0</v>
      </c>
      <c r="D780" s="18">
        <f>IF(C780="","",IFERROR(INDEX(Jobs!$B$5:$B$604,MATCH(C780,Jobs!$A$5:$A$604,0)),""))</f>
        <v>0</v>
      </c>
      <c r="J780" s="21">
        <f>IF(C780="","",IFERROR(INDEX(Jobs!$AJ$5:$AJ$604,MATCH(C780,Jobs!$A$5:$A$604,0)),"0"))</f>
        <v>0</v>
      </c>
      <c r="K780" s="23">
        <f>IF(C780="","",IFERROR(INDEX(Jobs!$M$5:$M$604,MATCH(C780,Jobs!$A$5:$A$604,0)),""))</f>
        <v>0</v>
      </c>
      <c r="L780" s="51">
        <f>IF(B780="","",IF(E780&lt;&gt;"",E780,IF(C780="","",K780&amp;" - "&amp;TEXT(D780,"d mmm yyyy"))))</f>
        <v>0</v>
      </c>
      <c r="M780" s="21">
        <f>IF(B780="","",IF(G780&lt;&gt;"",G780,IFERROR(J780*1,0)))</f>
        <v>0</v>
      </c>
      <c r="N780" s="21">
        <f>IF(B780="","",ROUND(IF(F780="",1,F780)*M780,2))</f>
        <v>0</v>
      </c>
      <c r="O780" s="39">
        <f>IF(B780="","",IF(C780="","",IF(COUNTIFS($C$5:$C$804,C780)&gt;1,"Duplicate","OK")))</f>
        <v>0</v>
      </c>
      <c r="P780" s="31">
        <f>IF(OR(B780="",E780=""),"",COUNTIFS($B$5:B780,B780))</f>
        <v>0</v>
      </c>
      <c r="Q780" s="23">
        <f>IF(P780="","",B780&amp;"|"&amp;P780)</f>
        <v>0</v>
      </c>
      <c r="R780" s="39">
        <f>IF(B780="","",IF(O780="Duplicate","Duplicate - job billed twice",IF(M780=0,"Add - no price on this line",IF(AND(C780="",E780=""),"Add - what is this line for?","OK"))))</f>
        <v>0</v>
      </c>
    </row>
    <row r="781" spans="1:18">
      <c r="A781" s="43">
        <f>IF(B781="","","IL-"&amp;TEXT(ROW()-4,"0000"))</f>
        <v>0</v>
      </c>
      <c r="D781" s="18">
        <f>IF(C781="","",IFERROR(INDEX(Jobs!$B$5:$B$604,MATCH(C781,Jobs!$A$5:$A$604,0)),""))</f>
        <v>0</v>
      </c>
      <c r="J781" s="21">
        <f>IF(C781="","",IFERROR(INDEX(Jobs!$AJ$5:$AJ$604,MATCH(C781,Jobs!$A$5:$A$604,0)),"0"))</f>
        <v>0</v>
      </c>
      <c r="K781" s="23">
        <f>IF(C781="","",IFERROR(INDEX(Jobs!$M$5:$M$604,MATCH(C781,Jobs!$A$5:$A$604,0)),""))</f>
        <v>0</v>
      </c>
      <c r="L781" s="51">
        <f>IF(B781="","",IF(E781&lt;&gt;"",E781,IF(C781="","",K781&amp;" - "&amp;TEXT(D781,"d mmm yyyy"))))</f>
        <v>0</v>
      </c>
      <c r="M781" s="21">
        <f>IF(B781="","",IF(G781&lt;&gt;"",G781,IFERROR(J781*1,0)))</f>
        <v>0</v>
      </c>
      <c r="N781" s="21">
        <f>IF(B781="","",ROUND(IF(F781="",1,F781)*M781,2))</f>
        <v>0</v>
      </c>
      <c r="O781" s="39">
        <f>IF(B781="","",IF(C781="","",IF(COUNTIFS($C$5:$C$804,C781)&gt;1,"Duplicate","OK")))</f>
        <v>0</v>
      </c>
      <c r="P781" s="31">
        <f>IF(OR(B781="",E781=""),"",COUNTIFS($B$5:B781,B781))</f>
        <v>0</v>
      </c>
      <c r="Q781" s="23">
        <f>IF(P781="","",B781&amp;"|"&amp;P781)</f>
        <v>0</v>
      </c>
      <c r="R781" s="39">
        <f>IF(B781="","",IF(O781="Duplicate","Duplicate - job billed twice",IF(M781=0,"Add - no price on this line",IF(AND(C781="",E781=""),"Add - what is this line for?","OK"))))</f>
        <v>0</v>
      </c>
    </row>
    <row r="782" spans="1:18">
      <c r="A782" s="43">
        <f>IF(B782="","","IL-"&amp;TEXT(ROW()-4,"0000"))</f>
        <v>0</v>
      </c>
      <c r="D782" s="18">
        <f>IF(C782="","",IFERROR(INDEX(Jobs!$B$5:$B$604,MATCH(C782,Jobs!$A$5:$A$604,0)),""))</f>
        <v>0</v>
      </c>
      <c r="J782" s="21">
        <f>IF(C782="","",IFERROR(INDEX(Jobs!$AJ$5:$AJ$604,MATCH(C782,Jobs!$A$5:$A$604,0)),"0"))</f>
        <v>0</v>
      </c>
      <c r="K782" s="23">
        <f>IF(C782="","",IFERROR(INDEX(Jobs!$M$5:$M$604,MATCH(C782,Jobs!$A$5:$A$604,0)),""))</f>
        <v>0</v>
      </c>
      <c r="L782" s="51">
        <f>IF(B782="","",IF(E782&lt;&gt;"",E782,IF(C782="","",K782&amp;" - "&amp;TEXT(D782,"d mmm yyyy"))))</f>
        <v>0</v>
      </c>
      <c r="M782" s="21">
        <f>IF(B782="","",IF(G782&lt;&gt;"",G782,IFERROR(J782*1,0)))</f>
        <v>0</v>
      </c>
      <c r="N782" s="21">
        <f>IF(B782="","",ROUND(IF(F782="",1,F782)*M782,2))</f>
        <v>0</v>
      </c>
      <c r="O782" s="39">
        <f>IF(B782="","",IF(C782="","",IF(COUNTIFS($C$5:$C$804,C782)&gt;1,"Duplicate","OK")))</f>
        <v>0</v>
      </c>
      <c r="P782" s="31">
        <f>IF(OR(B782="",E782=""),"",COUNTIFS($B$5:B782,B782))</f>
        <v>0</v>
      </c>
      <c r="Q782" s="23">
        <f>IF(P782="","",B782&amp;"|"&amp;P782)</f>
        <v>0</v>
      </c>
      <c r="R782" s="39">
        <f>IF(B782="","",IF(O782="Duplicate","Duplicate - job billed twice",IF(M782=0,"Add - no price on this line",IF(AND(C782="",E782=""),"Add - what is this line for?","OK"))))</f>
        <v>0</v>
      </c>
    </row>
    <row r="783" spans="1:18">
      <c r="A783" s="43">
        <f>IF(B783="","","IL-"&amp;TEXT(ROW()-4,"0000"))</f>
        <v>0</v>
      </c>
      <c r="D783" s="18">
        <f>IF(C783="","",IFERROR(INDEX(Jobs!$B$5:$B$604,MATCH(C783,Jobs!$A$5:$A$604,0)),""))</f>
        <v>0</v>
      </c>
      <c r="J783" s="21">
        <f>IF(C783="","",IFERROR(INDEX(Jobs!$AJ$5:$AJ$604,MATCH(C783,Jobs!$A$5:$A$604,0)),"0"))</f>
        <v>0</v>
      </c>
      <c r="K783" s="23">
        <f>IF(C783="","",IFERROR(INDEX(Jobs!$M$5:$M$604,MATCH(C783,Jobs!$A$5:$A$604,0)),""))</f>
        <v>0</v>
      </c>
      <c r="L783" s="51">
        <f>IF(B783="","",IF(E783&lt;&gt;"",E783,IF(C783="","",K783&amp;" - "&amp;TEXT(D783,"d mmm yyyy"))))</f>
        <v>0</v>
      </c>
      <c r="M783" s="21">
        <f>IF(B783="","",IF(G783&lt;&gt;"",G783,IFERROR(J783*1,0)))</f>
        <v>0</v>
      </c>
      <c r="N783" s="21">
        <f>IF(B783="","",ROUND(IF(F783="",1,F783)*M783,2))</f>
        <v>0</v>
      </c>
      <c r="O783" s="39">
        <f>IF(B783="","",IF(C783="","",IF(COUNTIFS($C$5:$C$804,C783)&gt;1,"Duplicate","OK")))</f>
        <v>0</v>
      </c>
      <c r="P783" s="31">
        <f>IF(OR(B783="",E783=""),"",COUNTIFS($B$5:B783,B783))</f>
        <v>0</v>
      </c>
      <c r="Q783" s="23">
        <f>IF(P783="","",B783&amp;"|"&amp;P783)</f>
        <v>0</v>
      </c>
      <c r="R783" s="39">
        <f>IF(B783="","",IF(O783="Duplicate","Duplicate - job billed twice",IF(M783=0,"Add - no price on this line",IF(AND(C783="",E783=""),"Add - what is this line for?","OK"))))</f>
        <v>0</v>
      </c>
    </row>
    <row r="784" spans="1:18">
      <c r="A784" s="43">
        <f>IF(B784="","","IL-"&amp;TEXT(ROW()-4,"0000"))</f>
        <v>0</v>
      </c>
      <c r="D784" s="18">
        <f>IF(C784="","",IFERROR(INDEX(Jobs!$B$5:$B$604,MATCH(C784,Jobs!$A$5:$A$604,0)),""))</f>
        <v>0</v>
      </c>
      <c r="J784" s="21">
        <f>IF(C784="","",IFERROR(INDEX(Jobs!$AJ$5:$AJ$604,MATCH(C784,Jobs!$A$5:$A$604,0)),"0"))</f>
        <v>0</v>
      </c>
      <c r="K784" s="23">
        <f>IF(C784="","",IFERROR(INDEX(Jobs!$M$5:$M$604,MATCH(C784,Jobs!$A$5:$A$604,0)),""))</f>
        <v>0</v>
      </c>
      <c r="L784" s="51">
        <f>IF(B784="","",IF(E784&lt;&gt;"",E784,IF(C784="","",K784&amp;" - "&amp;TEXT(D784,"d mmm yyyy"))))</f>
        <v>0</v>
      </c>
      <c r="M784" s="21">
        <f>IF(B784="","",IF(G784&lt;&gt;"",G784,IFERROR(J784*1,0)))</f>
        <v>0</v>
      </c>
      <c r="N784" s="21">
        <f>IF(B784="","",ROUND(IF(F784="",1,F784)*M784,2))</f>
        <v>0</v>
      </c>
      <c r="O784" s="39">
        <f>IF(B784="","",IF(C784="","",IF(COUNTIFS($C$5:$C$804,C784)&gt;1,"Duplicate","OK")))</f>
        <v>0</v>
      </c>
      <c r="P784" s="31">
        <f>IF(OR(B784="",E784=""),"",COUNTIFS($B$5:B784,B784))</f>
        <v>0</v>
      </c>
      <c r="Q784" s="23">
        <f>IF(P784="","",B784&amp;"|"&amp;P784)</f>
        <v>0</v>
      </c>
      <c r="R784" s="39">
        <f>IF(B784="","",IF(O784="Duplicate","Duplicate - job billed twice",IF(M784=0,"Add - no price on this line",IF(AND(C784="",E784=""),"Add - what is this line for?","OK"))))</f>
        <v>0</v>
      </c>
    </row>
    <row r="785" spans="1:18">
      <c r="A785" s="43">
        <f>IF(B785="","","IL-"&amp;TEXT(ROW()-4,"0000"))</f>
        <v>0</v>
      </c>
      <c r="D785" s="18">
        <f>IF(C785="","",IFERROR(INDEX(Jobs!$B$5:$B$604,MATCH(C785,Jobs!$A$5:$A$604,0)),""))</f>
        <v>0</v>
      </c>
      <c r="J785" s="21">
        <f>IF(C785="","",IFERROR(INDEX(Jobs!$AJ$5:$AJ$604,MATCH(C785,Jobs!$A$5:$A$604,0)),"0"))</f>
        <v>0</v>
      </c>
      <c r="K785" s="23">
        <f>IF(C785="","",IFERROR(INDEX(Jobs!$M$5:$M$604,MATCH(C785,Jobs!$A$5:$A$604,0)),""))</f>
        <v>0</v>
      </c>
      <c r="L785" s="51">
        <f>IF(B785="","",IF(E785&lt;&gt;"",E785,IF(C785="","",K785&amp;" - "&amp;TEXT(D785,"d mmm yyyy"))))</f>
        <v>0</v>
      </c>
      <c r="M785" s="21">
        <f>IF(B785="","",IF(G785&lt;&gt;"",G785,IFERROR(J785*1,0)))</f>
        <v>0</v>
      </c>
      <c r="N785" s="21">
        <f>IF(B785="","",ROUND(IF(F785="",1,F785)*M785,2))</f>
        <v>0</v>
      </c>
      <c r="O785" s="39">
        <f>IF(B785="","",IF(C785="","",IF(COUNTIFS($C$5:$C$804,C785)&gt;1,"Duplicate","OK")))</f>
        <v>0</v>
      </c>
      <c r="P785" s="31">
        <f>IF(OR(B785="",E785=""),"",COUNTIFS($B$5:B785,B785))</f>
        <v>0</v>
      </c>
      <c r="Q785" s="23">
        <f>IF(P785="","",B785&amp;"|"&amp;P785)</f>
        <v>0</v>
      </c>
      <c r="R785" s="39">
        <f>IF(B785="","",IF(O785="Duplicate","Duplicate - job billed twice",IF(M785=0,"Add - no price on this line",IF(AND(C785="",E785=""),"Add - what is this line for?","OK"))))</f>
        <v>0</v>
      </c>
    </row>
    <row r="786" spans="1:18">
      <c r="A786" s="43">
        <f>IF(B786="","","IL-"&amp;TEXT(ROW()-4,"0000"))</f>
        <v>0</v>
      </c>
      <c r="D786" s="18">
        <f>IF(C786="","",IFERROR(INDEX(Jobs!$B$5:$B$604,MATCH(C786,Jobs!$A$5:$A$604,0)),""))</f>
        <v>0</v>
      </c>
      <c r="J786" s="21">
        <f>IF(C786="","",IFERROR(INDEX(Jobs!$AJ$5:$AJ$604,MATCH(C786,Jobs!$A$5:$A$604,0)),"0"))</f>
        <v>0</v>
      </c>
      <c r="K786" s="23">
        <f>IF(C786="","",IFERROR(INDEX(Jobs!$M$5:$M$604,MATCH(C786,Jobs!$A$5:$A$604,0)),""))</f>
        <v>0</v>
      </c>
      <c r="L786" s="51">
        <f>IF(B786="","",IF(E786&lt;&gt;"",E786,IF(C786="","",K786&amp;" - "&amp;TEXT(D786,"d mmm yyyy"))))</f>
        <v>0</v>
      </c>
      <c r="M786" s="21">
        <f>IF(B786="","",IF(G786&lt;&gt;"",G786,IFERROR(J786*1,0)))</f>
        <v>0</v>
      </c>
      <c r="N786" s="21">
        <f>IF(B786="","",ROUND(IF(F786="",1,F786)*M786,2))</f>
        <v>0</v>
      </c>
      <c r="O786" s="39">
        <f>IF(B786="","",IF(C786="","",IF(COUNTIFS($C$5:$C$804,C786)&gt;1,"Duplicate","OK")))</f>
        <v>0</v>
      </c>
      <c r="P786" s="31">
        <f>IF(OR(B786="",E786=""),"",COUNTIFS($B$5:B786,B786))</f>
        <v>0</v>
      </c>
      <c r="Q786" s="23">
        <f>IF(P786="","",B786&amp;"|"&amp;P786)</f>
        <v>0</v>
      </c>
      <c r="R786" s="39">
        <f>IF(B786="","",IF(O786="Duplicate","Duplicate - job billed twice",IF(M786=0,"Add - no price on this line",IF(AND(C786="",E786=""),"Add - what is this line for?","OK"))))</f>
        <v>0</v>
      </c>
    </row>
    <row r="787" spans="1:18">
      <c r="A787" s="43">
        <f>IF(B787="","","IL-"&amp;TEXT(ROW()-4,"0000"))</f>
        <v>0</v>
      </c>
      <c r="D787" s="18">
        <f>IF(C787="","",IFERROR(INDEX(Jobs!$B$5:$B$604,MATCH(C787,Jobs!$A$5:$A$604,0)),""))</f>
        <v>0</v>
      </c>
      <c r="J787" s="21">
        <f>IF(C787="","",IFERROR(INDEX(Jobs!$AJ$5:$AJ$604,MATCH(C787,Jobs!$A$5:$A$604,0)),"0"))</f>
        <v>0</v>
      </c>
      <c r="K787" s="23">
        <f>IF(C787="","",IFERROR(INDEX(Jobs!$M$5:$M$604,MATCH(C787,Jobs!$A$5:$A$604,0)),""))</f>
        <v>0</v>
      </c>
      <c r="L787" s="51">
        <f>IF(B787="","",IF(E787&lt;&gt;"",E787,IF(C787="","",K787&amp;" - "&amp;TEXT(D787,"d mmm yyyy"))))</f>
        <v>0</v>
      </c>
      <c r="M787" s="21">
        <f>IF(B787="","",IF(G787&lt;&gt;"",G787,IFERROR(J787*1,0)))</f>
        <v>0</v>
      </c>
      <c r="N787" s="21">
        <f>IF(B787="","",ROUND(IF(F787="",1,F787)*M787,2))</f>
        <v>0</v>
      </c>
      <c r="O787" s="39">
        <f>IF(B787="","",IF(C787="","",IF(COUNTIFS($C$5:$C$804,C787)&gt;1,"Duplicate","OK")))</f>
        <v>0</v>
      </c>
      <c r="P787" s="31">
        <f>IF(OR(B787="",E787=""),"",COUNTIFS($B$5:B787,B787))</f>
        <v>0</v>
      </c>
      <c r="Q787" s="23">
        <f>IF(P787="","",B787&amp;"|"&amp;P787)</f>
        <v>0</v>
      </c>
      <c r="R787" s="39">
        <f>IF(B787="","",IF(O787="Duplicate","Duplicate - job billed twice",IF(M787=0,"Add - no price on this line",IF(AND(C787="",E787=""),"Add - what is this line for?","OK"))))</f>
        <v>0</v>
      </c>
    </row>
    <row r="788" spans="1:18">
      <c r="A788" s="43">
        <f>IF(B788="","","IL-"&amp;TEXT(ROW()-4,"0000"))</f>
        <v>0</v>
      </c>
      <c r="D788" s="18">
        <f>IF(C788="","",IFERROR(INDEX(Jobs!$B$5:$B$604,MATCH(C788,Jobs!$A$5:$A$604,0)),""))</f>
        <v>0</v>
      </c>
      <c r="J788" s="21">
        <f>IF(C788="","",IFERROR(INDEX(Jobs!$AJ$5:$AJ$604,MATCH(C788,Jobs!$A$5:$A$604,0)),"0"))</f>
        <v>0</v>
      </c>
      <c r="K788" s="23">
        <f>IF(C788="","",IFERROR(INDEX(Jobs!$M$5:$M$604,MATCH(C788,Jobs!$A$5:$A$604,0)),""))</f>
        <v>0</v>
      </c>
      <c r="L788" s="51">
        <f>IF(B788="","",IF(E788&lt;&gt;"",E788,IF(C788="","",K788&amp;" - "&amp;TEXT(D788,"d mmm yyyy"))))</f>
        <v>0</v>
      </c>
      <c r="M788" s="21">
        <f>IF(B788="","",IF(G788&lt;&gt;"",G788,IFERROR(J788*1,0)))</f>
        <v>0</v>
      </c>
      <c r="N788" s="21">
        <f>IF(B788="","",ROUND(IF(F788="",1,F788)*M788,2))</f>
        <v>0</v>
      </c>
      <c r="O788" s="39">
        <f>IF(B788="","",IF(C788="","",IF(COUNTIFS($C$5:$C$804,C788)&gt;1,"Duplicate","OK")))</f>
        <v>0</v>
      </c>
      <c r="P788" s="31">
        <f>IF(OR(B788="",E788=""),"",COUNTIFS($B$5:B788,B788))</f>
        <v>0</v>
      </c>
      <c r="Q788" s="23">
        <f>IF(P788="","",B788&amp;"|"&amp;P788)</f>
        <v>0</v>
      </c>
      <c r="R788" s="39">
        <f>IF(B788="","",IF(O788="Duplicate","Duplicate - job billed twice",IF(M788=0,"Add - no price on this line",IF(AND(C788="",E788=""),"Add - what is this line for?","OK"))))</f>
        <v>0</v>
      </c>
    </row>
    <row r="789" spans="1:18">
      <c r="A789" s="43">
        <f>IF(B789="","","IL-"&amp;TEXT(ROW()-4,"0000"))</f>
        <v>0</v>
      </c>
      <c r="D789" s="18">
        <f>IF(C789="","",IFERROR(INDEX(Jobs!$B$5:$B$604,MATCH(C789,Jobs!$A$5:$A$604,0)),""))</f>
        <v>0</v>
      </c>
      <c r="J789" s="21">
        <f>IF(C789="","",IFERROR(INDEX(Jobs!$AJ$5:$AJ$604,MATCH(C789,Jobs!$A$5:$A$604,0)),"0"))</f>
        <v>0</v>
      </c>
      <c r="K789" s="23">
        <f>IF(C789="","",IFERROR(INDEX(Jobs!$M$5:$M$604,MATCH(C789,Jobs!$A$5:$A$604,0)),""))</f>
        <v>0</v>
      </c>
      <c r="L789" s="51">
        <f>IF(B789="","",IF(E789&lt;&gt;"",E789,IF(C789="","",K789&amp;" - "&amp;TEXT(D789,"d mmm yyyy"))))</f>
        <v>0</v>
      </c>
      <c r="M789" s="21">
        <f>IF(B789="","",IF(G789&lt;&gt;"",G789,IFERROR(J789*1,0)))</f>
        <v>0</v>
      </c>
      <c r="N789" s="21">
        <f>IF(B789="","",ROUND(IF(F789="",1,F789)*M789,2))</f>
        <v>0</v>
      </c>
      <c r="O789" s="39">
        <f>IF(B789="","",IF(C789="","",IF(COUNTIFS($C$5:$C$804,C789)&gt;1,"Duplicate","OK")))</f>
        <v>0</v>
      </c>
      <c r="P789" s="31">
        <f>IF(OR(B789="",E789=""),"",COUNTIFS($B$5:B789,B789))</f>
        <v>0</v>
      </c>
      <c r="Q789" s="23">
        <f>IF(P789="","",B789&amp;"|"&amp;P789)</f>
        <v>0</v>
      </c>
      <c r="R789" s="39">
        <f>IF(B789="","",IF(O789="Duplicate","Duplicate - job billed twice",IF(M789=0,"Add - no price on this line",IF(AND(C789="",E789=""),"Add - what is this line for?","OK"))))</f>
        <v>0</v>
      </c>
    </row>
    <row r="790" spans="1:18">
      <c r="A790" s="43">
        <f>IF(B790="","","IL-"&amp;TEXT(ROW()-4,"0000"))</f>
        <v>0</v>
      </c>
      <c r="D790" s="18">
        <f>IF(C790="","",IFERROR(INDEX(Jobs!$B$5:$B$604,MATCH(C790,Jobs!$A$5:$A$604,0)),""))</f>
        <v>0</v>
      </c>
      <c r="J790" s="21">
        <f>IF(C790="","",IFERROR(INDEX(Jobs!$AJ$5:$AJ$604,MATCH(C790,Jobs!$A$5:$A$604,0)),"0"))</f>
        <v>0</v>
      </c>
      <c r="K790" s="23">
        <f>IF(C790="","",IFERROR(INDEX(Jobs!$M$5:$M$604,MATCH(C790,Jobs!$A$5:$A$604,0)),""))</f>
        <v>0</v>
      </c>
      <c r="L790" s="51">
        <f>IF(B790="","",IF(E790&lt;&gt;"",E790,IF(C790="","",K790&amp;" - "&amp;TEXT(D790,"d mmm yyyy"))))</f>
        <v>0</v>
      </c>
      <c r="M790" s="21">
        <f>IF(B790="","",IF(G790&lt;&gt;"",G790,IFERROR(J790*1,0)))</f>
        <v>0</v>
      </c>
      <c r="N790" s="21">
        <f>IF(B790="","",ROUND(IF(F790="",1,F790)*M790,2))</f>
        <v>0</v>
      </c>
      <c r="O790" s="39">
        <f>IF(B790="","",IF(C790="","",IF(COUNTIFS($C$5:$C$804,C790)&gt;1,"Duplicate","OK")))</f>
        <v>0</v>
      </c>
      <c r="P790" s="31">
        <f>IF(OR(B790="",E790=""),"",COUNTIFS($B$5:B790,B790))</f>
        <v>0</v>
      </c>
      <c r="Q790" s="23">
        <f>IF(P790="","",B790&amp;"|"&amp;P790)</f>
        <v>0</v>
      </c>
      <c r="R790" s="39">
        <f>IF(B790="","",IF(O790="Duplicate","Duplicate - job billed twice",IF(M790=0,"Add - no price on this line",IF(AND(C790="",E790=""),"Add - what is this line for?","OK"))))</f>
        <v>0</v>
      </c>
    </row>
    <row r="791" spans="1:18">
      <c r="A791" s="43">
        <f>IF(B791="","","IL-"&amp;TEXT(ROW()-4,"0000"))</f>
        <v>0</v>
      </c>
      <c r="D791" s="18">
        <f>IF(C791="","",IFERROR(INDEX(Jobs!$B$5:$B$604,MATCH(C791,Jobs!$A$5:$A$604,0)),""))</f>
        <v>0</v>
      </c>
      <c r="J791" s="21">
        <f>IF(C791="","",IFERROR(INDEX(Jobs!$AJ$5:$AJ$604,MATCH(C791,Jobs!$A$5:$A$604,0)),"0"))</f>
        <v>0</v>
      </c>
      <c r="K791" s="23">
        <f>IF(C791="","",IFERROR(INDEX(Jobs!$M$5:$M$604,MATCH(C791,Jobs!$A$5:$A$604,0)),""))</f>
        <v>0</v>
      </c>
      <c r="L791" s="51">
        <f>IF(B791="","",IF(E791&lt;&gt;"",E791,IF(C791="","",K791&amp;" - "&amp;TEXT(D791,"d mmm yyyy"))))</f>
        <v>0</v>
      </c>
      <c r="M791" s="21">
        <f>IF(B791="","",IF(G791&lt;&gt;"",G791,IFERROR(J791*1,0)))</f>
        <v>0</v>
      </c>
      <c r="N791" s="21">
        <f>IF(B791="","",ROUND(IF(F791="",1,F791)*M791,2))</f>
        <v>0</v>
      </c>
      <c r="O791" s="39">
        <f>IF(B791="","",IF(C791="","",IF(COUNTIFS($C$5:$C$804,C791)&gt;1,"Duplicate","OK")))</f>
        <v>0</v>
      </c>
      <c r="P791" s="31">
        <f>IF(OR(B791="",E791=""),"",COUNTIFS($B$5:B791,B791))</f>
        <v>0</v>
      </c>
      <c r="Q791" s="23">
        <f>IF(P791="","",B791&amp;"|"&amp;P791)</f>
        <v>0</v>
      </c>
      <c r="R791" s="39">
        <f>IF(B791="","",IF(O791="Duplicate","Duplicate - job billed twice",IF(M791=0,"Add - no price on this line",IF(AND(C791="",E791=""),"Add - what is this line for?","OK"))))</f>
        <v>0</v>
      </c>
    </row>
    <row r="792" spans="1:18">
      <c r="A792" s="43">
        <f>IF(B792="","","IL-"&amp;TEXT(ROW()-4,"0000"))</f>
        <v>0</v>
      </c>
      <c r="D792" s="18">
        <f>IF(C792="","",IFERROR(INDEX(Jobs!$B$5:$B$604,MATCH(C792,Jobs!$A$5:$A$604,0)),""))</f>
        <v>0</v>
      </c>
      <c r="J792" s="21">
        <f>IF(C792="","",IFERROR(INDEX(Jobs!$AJ$5:$AJ$604,MATCH(C792,Jobs!$A$5:$A$604,0)),"0"))</f>
        <v>0</v>
      </c>
      <c r="K792" s="23">
        <f>IF(C792="","",IFERROR(INDEX(Jobs!$M$5:$M$604,MATCH(C792,Jobs!$A$5:$A$604,0)),""))</f>
        <v>0</v>
      </c>
      <c r="L792" s="51">
        <f>IF(B792="","",IF(E792&lt;&gt;"",E792,IF(C792="","",K792&amp;" - "&amp;TEXT(D792,"d mmm yyyy"))))</f>
        <v>0</v>
      </c>
      <c r="M792" s="21">
        <f>IF(B792="","",IF(G792&lt;&gt;"",G792,IFERROR(J792*1,0)))</f>
        <v>0</v>
      </c>
      <c r="N792" s="21">
        <f>IF(B792="","",ROUND(IF(F792="",1,F792)*M792,2))</f>
        <v>0</v>
      </c>
      <c r="O792" s="39">
        <f>IF(B792="","",IF(C792="","",IF(COUNTIFS($C$5:$C$804,C792)&gt;1,"Duplicate","OK")))</f>
        <v>0</v>
      </c>
      <c r="P792" s="31">
        <f>IF(OR(B792="",E792=""),"",COUNTIFS($B$5:B792,B792))</f>
        <v>0</v>
      </c>
      <c r="Q792" s="23">
        <f>IF(P792="","",B792&amp;"|"&amp;P792)</f>
        <v>0</v>
      </c>
      <c r="R792" s="39">
        <f>IF(B792="","",IF(O792="Duplicate","Duplicate - job billed twice",IF(M792=0,"Add - no price on this line",IF(AND(C792="",E792=""),"Add - what is this line for?","OK"))))</f>
        <v>0</v>
      </c>
    </row>
    <row r="793" spans="1:18">
      <c r="A793" s="43">
        <f>IF(B793="","","IL-"&amp;TEXT(ROW()-4,"0000"))</f>
        <v>0</v>
      </c>
      <c r="D793" s="18">
        <f>IF(C793="","",IFERROR(INDEX(Jobs!$B$5:$B$604,MATCH(C793,Jobs!$A$5:$A$604,0)),""))</f>
        <v>0</v>
      </c>
      <c r="J793" s="21">
        <f>IF(C793="","",IFERROR(INDEX(Jobs!$AJ$5:$AJ$604,MATCH(C793,Jobs!$A$5:$A$604,0)),"0"))</f>
        <v>0</v>
      </c>
      <c r="K793" s="23">
        <f>IF(C793="","",IFERROR(INDEX(Jobs!$M$5:$M$604,MATCH(C793,Jobs!$A$5:$A$604,0)),""))</f>
        <v>0</v>
      </c>
      <c r="L793" s="51">
        <f>IF(B793="","",IF(E793&lt;&gt;"",E793,IF(C793="","",K793&amp;" - "&amp;TEXT(D793,"d mmm yyyy"))))</f>
        <v>0</v>
      </c>
      <c r="M793" s="21">
        <f>IF(B793="","",IF(G793&lt;&gt;"",G793,IFERROR(J793*1,0)))</f>
        <v>0</v>
      </c>
      <c r="N793" s="21">
        <f>IF(B793="","",ROUND(IF(F793="",1,F793)*M793,2))</f>
        <v>0</v>
      </c>
      <c r="O793" s="39">
        <f>IF(B793="","",IF(C793="","",IF(COUNTIFS($C$5:$C$804,C793)&gt;1,"Duplicate","OK")))</f>
        <v>0</v>
      </c>
      <c r="P793" s="31">
        <f>IF(OR(B793="",E793=""),"",COUNTIFS($B$5:B793,B793))</f>
        <v>0</v>
      </c>
      <c r="Q793" s="23">
        <f>IF(P793="","",B793&amp;"|"&amp;P793)</f>
        <v>0</v>
      </c>
      <c r="R793" s="39">
        <f>IF(B793="","",IF(O793="Duplicate","Duplicate - job billed twice",IF(M793=0,"Add - no price on this line",IF(AND(C793="",E793=""),"Add - what is this line for?","OK"))))</f>
        <v>0</v>
      </c>
    </row>
    <row r="794" spans="1:18">
      <c r="A794" s="43">
        <f>IF(B794="","","IL-"&amp;TEXT(ROW()-4,"0000"))</f>
        <v>0</v>
      </c>
      <c r="D794" s="18">
        <f>IF(C794="","",IFERROR(INDEX(Jobs!$B$5:$B$604,MATCH(C794,Jobs!$A$5:$A$604,0)),""))</f>
        <v>0</v>
      </c>
      <c r="J794" s="21">
        <f>IF(C794="","",IFERROR(INDEX(Jobs!$AJ$5:$AJ$604,MATCH(C794,Jobs!$A$5:$A$604,0)),"0"))</f>
        <v>0</v>
      </c>
      <c r="K794" s="23">
        <f>IF(C794="","",IFERROR(INDEX(Jobs!$M$5:$M$604,MATCH(C794,Jobs!$A$5:$A$604,0)),""))</f>
        <v>0</v>
      </c>
      <c r="L794" s="51">
        <f>IF(B794="","",IF(E794&lt;&gt;"",E794,IF(C794="","",K794&amp;" - "&amp;TEXT(D794,"d mmm yyyy"))))</f>
        <v>0</v>
      </c>
      <c r="M794" s="21">
        <f>IF(B794="","",IF(G794&lt;&gt;"",G794,IFERROR(J794*1,0)))</f>
        <v>0</v>
      </c>
      <c r="N794" s="21">
        <f>IF(B794="","",ROUND(IF(F794="",1,F794)*M794,2))</f>
        <v>0</v>
      </c>
      <c r="O794" s="39">
        <f>IF(B794="","",IF(C794="","",IF(COUNTIFS($C$5:$C$804,C794)&gt;1,"Duplicate","OK")))</f>
        <v>0</v>
      </c>
      <c r="P794" s="31">
        <f>IF(OR(B794="",E794=""),"",COUNTIFS($B$5:B794,B794))</f>
        <v>0</v>
      </c>
      <c r="Q794" s="23">
        <f>IF(P794="","",B794&amp;"|"&amp;P794)</f>
        <v>0</v>
      </c>
      <c r="R794" s="39">
        <f>IF(B794="","",IF(O794="Duplicate","Duplicate - job billed twice",IF(M794=0,"Add - no price on this line",IF(AND(C794="",E794=""),"Add - what is this line for?","OK"))))</f>
        <v>0</v>
      </c>
    </row>
    <row r="795" spans="1:18">
      <c r="A795" s="43">
        <f>IF(B795="","","IL-"&amp;TEXT(ROW()-4,"0000"))</f>
        <v>0</v>
      </c>
      <c r="D795" s="18">
        <f>IF(C795="","",IFERROR(INDEX(Jobs!$B$5:$B$604,MATCH(C795,Jobs!$A$5:$A$604,0)),""))</f>
        <v>0</v>
      </c>
      <c r="J795" s="21">
        <f>IF(C795="","",IFERROR(INDEX(Jobs!$AJ$5:$AJ$604,MATCH(C795,Jobs!$A$5:$A$604,0)),"0"))</f>
        <v>0</v>
      </c>
      <c r="K795" s="23">
        <f>IF(C795="","",IFERROR(INDEX(Jobs!$M$5:$M$604,MATCH(C795,Jobs!$A$5:$A$604,0)),""))</f>
        <v>0</v>
      </c>
      <c r="L795" s="51">
        <f>IF(B795="","",IF(E795&lt;&gt;"",E795,IF(C795="","",K795&amp;" - "&amp;TEXT(D795,"d mmm yyyy"))))</f>
        <v>0</v>
      </c>
      <c r="M795" s="21">
        <f>IF(B795="","",IF(G795&lt;&gt;"",G795,IFERROR(J795*1,0)))</f>
        <v>0</v>
      </c>
      <c r="N795" s="21">
        <f>IF(B795="","",ROUND(IF(F795="",1,F795)*M795,2))</f>
        <v>0</v>
      </c>
      <c r="O795" s="39">
        <f>IF(B795="","",IF(C795="","",IF(COUNTIFS($C$5:$C$804,C795)&gt;1,"Duplicate","OK")))</f>
        <v>0</v>
      </c>
      <c r="P795" s="31">
        <f>IF(OR(B795="",E795=""),"",COUNTIFS($B$5:B795,B795))</f>
        <v>0</v>
      </c>
      <c r="Q795" s="23">
        <f>IF(P795="","",B795&amp;"|"&amp;P795)</f>
        <v>0</v>
      </c>
      <c r="R795" s="39">
        <f>IF(B795="","",IF(O795="Duplicate","Duplicate - job billed twice",IF(M795=0,"Add - no price on this line",IF(AND(C795="",E795=""),"Add - what is this line for?","OK"))))</f>
        <v>0</v>
      </c>
    </row>
    <row r="796" spans="1:18">
      <c r="A796" s="43">
        <f>IF(B796="","","IL-"&amp;TEXT(ROW()-4,"0000"))</f>
        <v>0</v>
      </c>
      <c r="D796" s="18">
        <f>IF(C796="","",IFERROR(INDEX(Jobs!$B$5:$B$604,MATCH(C796,Jobs!$A$5:$A$604,0)),""))</f>
        <v>0</v>
      </c>
      <c r="J796" s="21">
        <f>IF(C796="","",IFERROR(INDEX(Jobs!$AJ$5:$AJ$604,MATCH(C796,Jobs!$A$5:$A$604,0)),"0"))</f>
        <v>0</v>
      </c>
      <c r="K796" s="23">
        <f>IF(C796="","",IFERROR(INDEX(Jobs!$M$5:$M$604,MATCH(C796,Jobs!$A$5:$A$604,0)),""))</f>
        <v>0</v>
      </c>
      <c r="L796" s="51">
        <f>IF(B796="","",IF(E796&lt;&gt;"",E796,IF(C796="","",K796&amp;" - "&amp;TEXT(D796,"d mmm yyyy"))))</f>
        <v>0</v>
      </c>
      <c r="M796" s="21">
        <f>IF(B796="","",IF(G796&lt;&gt;"",G796,IFERROR(J796*1,0)))</f>
        <v>0</v>
      </c>
      <c r="N796" s="21">
        <f>IF(B796="","",ROUND(IF(F796="",1,F796)*M796,2))</f>
        <v>0</v>
      </c>
      <c r="O796" s="39">
        <f>IF(B796="","",IF(C796="","",IF(COUNTIFS($C$5:$C$804,C796)&gt;1,"Duplicate","OK")))</f>
        <v>0</v>
      </c>
      <c r="P796" s="31">
        <f>IF(OR(B796="",E796=""),"",COUNTIFS($B$5:B796,B796))</f>
        <v>0</v>
      </c>
      <c r="Q796" s="23">
        <f>IF(P796="","",B796&amp;"|"&amp;P796)</f>
        <v>0</v>
      </c>
      <c r="R796" s="39">
        <f>IF(B796="","",IF(O796="Duplicate","Duplicate - job billed twice",IF(M796=0,"Add - no price on this line",IF(AND(C796="",E796=""),"Add - what is this line for?","OK"))))</f>
        <v>0</v>
      </c>
    </row>
    <row r="797" spans="1:18">
      <c r="A797" s="43">
        <f>IF(B797="","","IL-"&amp;TEXT(ROW()-4,"0000"))</f>
        <v>0</v>
      </c>
      <c r="D797" s="18">
        <f>IF(C797="","",IFERROR(INDEX(Jobs!$B$5:$B$604,MATCH(C797,Jobs!$A$5:$A$604,0)),""))</f>
        <v>0</v>
      </c>
      <c r="J797" s="21">
        <f>IF(C797="","",IFERROR(INDEX(Jobs!$AJ$5:$AJ$604,MATCH(C797,Jobs!$A$5:$A$604,0)),"0"))</f>
        <v>0</v>
      </c>
      <c r="K797" s="23">
        <f>IF(C797="","",IFERROR(INDEX(Jobs!$M$5:$M$604,MATCH(C797,Jobs!$A$5:$A$604,0)),""))</f>
        <v>0</v>
      </c>
      <c r="L797" s="51">
        <f>IF(B797="","",IF(E797&lt;&gt;"",E797,IF(C797="","",K797&amp;" - "&amp;TEXT(D797,"d mmm yyyy"))))</f>
        <v>0</v>
      </c>
      <c r="M797" s="21">
        <f>IF(B797="","",IF(G797&lt;&gt;"",G797,IFERROR(J797*1,0)))</f>
        <v>0</v>
      </c>
      <c r="N797" s="21">
        <f>IF(B797="","",ROUND(IF(F797="",1,F797)*M797,2))</f>
        <v>0</v>
      </c>
      <c r="O797" s="39">
        <f>IF(B797="","",IF(C797="","",IF(COUNTIFS($C$5:$C$804,C797)&gt;1,"Duplicate","OK")))</f>
        <v>0</v>
      </c>
      <c r="P797" s="31">
        <f>IF(OR(B797="",E797=""),"",COUNTIFS($B$5:B797,B797))</f>
        <v>0</v>
      </c>
      <c r="Q797" s="23">
        <f>IF(P797="","",B797&amp;"|"&amp;P797)</f>
        <v>0</v>
      </c>
      <c r="R797" s="39">
        <f>IF(B797="","",IF(O797="Duplicate","Duplicate - job billed twice",IF(M797=0,"Add - no price on this line",IF(AND(C797="",E797=""),"Add - what is this line for?","OK"))))</f>
        <v>0</v>
      </c>
    </row>
    <row r="798" spans="1:18">
      <c r="A798" s="43">
        <f>IF(B798="","","IL-"&amp;TEXT(ROW()-4,"0000"))</f>
        <v>0</v>
      </c>
      <c r="D798" s="18">
        <f>IF(C798="","",IFERROR(INDEX(Jobs!$B$5:$B$604,MATCH(C798,Jobs!$A$5:$A$604,0)),""))</f>
        <v>0</v>
      </c>
      <c r="J798" s="21">
        <f>IF(C798="","",IFERROR(INDEX(Jobs!$AJ$5:$AJ$604,MATCH(C798,Jobs!$A$5:$A$604,0)),"0"))</f>
        <v>0</v>
      </c>
      <c r="K798" s="23">
        <f>IF(C798="","",IFERROR(INDEX(Jobs!$M$5:$M$604,MATCH(C798,Jobs!$A$5:$A$604,0)),""))</f>
        <v>0</v>
      </c>
      <c r="L798" s="51">
        <f>IF(B798="","",IF(E798&lt;&gt;"",E798,IF(C798="","",K798&amp;" - "&amp;TEXT(D798,"d mmm yyyy"))))</f>
        <v>0</v>
      </c>
      <c r="M798" s="21">
        <f>IF(B798="","",IF(G798&lt;&gt;"",G798,IFERROR(J798*1,0)))</f>
        <v>0</v>
      </c>
      <c r="N798" s="21">
        <f>IF(B798="","",ROUND(IF(F798="",1,F798)*M798,2))</f>
        <v>0</v>
      </c>
      <c r="O798" s="39">
        <f>IF(B798="","",IF(C798="","",IF(COUNTIFS($C$5:$C$804,C798)&gt;1,"Duplicate","OK")))</f>
        <v>0</v>
      </c>
      <c r="P798" s="31">
        <f>IF(OR(B798="",E798=""),"",COUNTIFS($B$5:B798,B798))</f>
        <v>0</v>
      </c>
      <c r="Q798" s="23">
        <f>IF(P798="","",B798&amp;"|"&amp;P798)</f>
        <v>0</v>
      </c>
      <c r="R798" s="39">
        <f>IF(B798="","",IF(O798="Duplicate","Duplicate - job billed twice",IF(M798=0,"Add - no price on this line",IF(AND(C798="",E798=""),"Add - what is this line for?","OK"))))</f>
        <v>0</v>
      </c>
    </row>
    <row r="799" spans="1:18">
      <c r="A799" s="43">
        <f>IF(B799="","","IL-"&amp;TEXT(ROW()-4,"0000"))</f>
        <v>0</v>
      </c>
      <c r="D799" s="18">
        <f>IF(C799="","",IFERROR(INDEX(Jobs!$B$5:$B$604,MATCH(C799,Jobs!$A$5:$A$604,0)),""))</f>
        <v>0</v>
      </c>
      <c r="J799" s="21">
        <f>IF(C799="","",IFERROR(INDEX(Jobs!$AJ$5:$AJ$604,MATCH(C799,Jobs!$A$5:$A$604,0)),"0"))</f>
        <v>0</v>
      </c>
      <c r="K799" s="23">
        <f>IF(C799="","",IFERROR(INDEX(Jobs!$M$5:$M$604,MATCH(C799,Jobs!$A$5:$A$604,0)),""))</f>
        <v>0</v>
      </c>
      <c r="L799" s="51">
        <f>IF(B799="","",IF(E799&lt;&gt;"",E799,IF(C799="","",K799&amp;" - "&amp;TEXT(D799,"d mmm yyyy"))))</f>
        <v>0</v>
      </c>
      <c r="M799" s="21">
        <f>IF(B799="","",IF(G799&lt;&gt;"",G799,IFERROR(J799*1,0)))</f>
        <v>0</v>
      </c>
      <c r="N799" s="21">
        <f>IF(B799="","",ROUND(IF(F799="",1,F799)*M799,2))</f>
        <v>0</v>
      </c>
      <c r="O799" s="39">
        <f>IF(B799="","",IF(C799="","",IF(COUNTIFS($C$5:$C$804,C799)&gt;1,"Duplicate","OK")))</f>
        <v>0</v>
      </c>
      <c r="P799" s="31">
        <f>IF(OR(B799="",E799=""),"",COUNTIFS($B$5:B799,B799))</f>
        <v>0</v>
      </c>
      <c r="Q799" s="23">
        <f>IF(P799="","",B799&amp;"|"&amp;P799)</f>
        <v>0</v>
      </c>
      <c r="R799" s="39">
        <f>IF(B799="","",IF(O799="Duplicate","Duplicate - job billed twice",IF(M799=0,"Add - no price on this line",IF(AND(C799="",E799=""),"Add - what is this line for?","OK"))))</f>
        <v>0</v>
      </c>
    </row>
    <row r="800" spans="1:18">
      <c r="A800" s="43">
        <f>IF(B800="","","IL-"&amp;TEXT(ROW()-4,"0000"))</f>
        <v>0</v>
      </c>
      <c r="D800" s="18">
        <f>IF(C800="","",IFERROR(INDEX(Jobs!$B$5:$B$604,MATCH(C800,Jobs!$A$5:$A$604,0)),""))</f>
        <v>0</v>
      </c>
      <c r="J800" s="21">
        <f>IF(C800="","",IFERROR(INDEX(Jobs!$AJ$5:$AJ$604,MATCH(C800,Jobs!$A$5:$A$604,0)),"0"))</f>
        <v>0</v>
      </c>
      <c r="K800" s="23">
        <f>IF(C800="","",IFERROR(INDEX(Jobs!$M$5:$M$604,MATCH(C800,Jobs!$A$5:$A$604,0)),""))</f>
        <v>0</v>
      </c>
      <c r="L800" s="51">
        <f>IF(B800="","",IF(E800&lt;&gt;"",E800,IF(C800="","",K800&amp;" - "&amp;TEXT(D800,"d mmm yyyy"))))</f>
        <v>0</v>
      </c>
      <c r="M800" s="21">
        <f>IF(B800="","",IF(G800&lt;&gt;"",G800,IFERROR(J800*1,0)))</f>
        <v>0</v>
      </c>
      <c r="N800" s="21">
        <f>IF(B800="","",ROUND(IF(F800="",1,F800)*M800,2))</f>
        <v>0</v>
      </c>
      <c r="O800" s="39">
        <f>IF(B800="","",IF(C800="","",IF(COUNTIFS($C$5:$C$804,C800)&gt;1,"Duplicate","OK")))</f>
        <v>0</v>
      </c>
      <c r="P800" s="31">
        <f>IF(OR(B800="",E800=""),"",COUNTIFS($B$5:B800,B800))</f>
        <v>0</v>
      </c>
      <c r="Q800" s="23">
        <f>IF(P800="","",B800&amp;"|"&amp;P800)</f>
        <v>0</v>
      </c>
      <c r="R800" s="39">
        <f>IF(B800="","",IF(O800="Duplicate","Duplicate - job billed twice",IF(M800=0,"Add - no price on this line",IF(AND(C800="",E800=""),"Add - what is this line for?","OK"))))</f>
        <v>0</v>
      </c>
    </row>
    <row r="801" spans="1:18">
      <c r="A801" s="43">
        <f>IF(B801="","","IL-"&amp;TEXT(ROW()-4,"0000"))</f>
        <v>0</v>
      </c>
      <c r="D801" s="18">
        <f>IF(C801="","",IFERROR(INDEX(Jobs!$B$5:$B$604,MATCH(C801,Jobs!$A$5:$A$604,0)),""))</f>
        <v>0</v>
      </c>
      <c r="J801" s="21">
        <f>IF(C801="","",IFERROR(INDEX(Jobs!$AJ$5:$AJ$604,MATCH(C801,Jobs!$A$5:$A$604,0)),"0"))</f>
        <v>0</v>
      </c>
      <c r="K801" s="23">
        <f>IF(C801="","",IFERROR(INDEX(Jobs!$M$5:$M$604,MATCH(C801,Jobs!$A$5:$A$604,0)),""))</f>
        <v>0</v>
      </c>
      <c r="L801" s="51">
        <f>IF(B801="","",IF(E801&lt;&gt;"",E801,IF(C801="","",K801&amp;" - "&amp;TEXT(D801,"d mmm yyyy"))))</f>
        <v>0</v>
      </c>
      <c r="M801" s="21">
        <f>IF(B801="","",IF(G801&lt;&gt;"",G801,IFERROR(J801*1,0)))</f>
        <v>0</v>
      </c>
      <c r="N801" s="21">
        <f>IF(B801="","",ROUND(IF(F801="",1,F801)*M801,2))</f>
        <v>0</v>
      </c>
      <c r="O801" s="39">
        <f>IF(B801="","",IF(C801="","",IF(COUNTIFS($C$5:$C$804,C801)&gt;1,"Duplicate","OK")))</f>
        <v>0</v>
      </c>
      <c r="P801" s="31">
        <f>IF(OR(B801="",E801=""),"",COUNTIFS($B$5:B801,B801))</f>
        <v>0</v>
      </c>
      <c r="Q801" s="23">
        <f>IF(P801="","",B801&amp;"|"&amp;P801)</f>
        <v>0</v>
      </c>
      <c r="R801" s="39">
        <f>IF(B801="","",IF(O801="Duplicate","Duplicate - job billed twice",IF(M801=0,"Add - no price on this line",IF(AND(C801="",E801=""),"Add - what is this line for?","OK"))))</f>
        <v>0</v>
      </c>
    </row>
    <row r="802" spans="1:18">
      <c r="A802" s="43">
        <f>IF(B802="","","IL-"&amp;TEXT(ROW()-4,"0000"))</f>
        <v>0</v>
      </c>
      <c r="D802" s="18">
        <f>IF(C802="","",IFERROR(INDEX(Jobs!$B$5:$B$604,MATCH(C802,Jobs!$A$5:$A$604,0)),""))</f>
        <v>0</v>
      </c>
      <c r="J802" s="21">
        <f>IF(C802="","",IFERROR(INDEX(Jobs!$AJ$5:$AJ$604,MATCH(C802,Jobs!$A$5:$A$604,0)),"0"))</f>
        <v>0</v>
      </c>
      <c r="K802" s="23">
        <f>IF(C802="","",IFERROR(INDEX(Jobs!$M$5:$M$604,MATCH(C802,Jobs!$A$5:$A$604,0)),""))</f>
        <v>0</v>
      </c>
      <c r="L802" s="51">
        <f>IF(B802="","",IF(E802&lt;&gt;"",E802,IF(C802="","",K802&amp;" - "&amp;TEXT(D802,"d mmm yyyy"))))</f>
        <v>0</v>
      </c>
      <c r="M802" s="21">
        <f>IF(B802="","",IF(G802&lt;&gt;"",G802,IFERROR(J802*1,0)))</f>
        <v>0</v>
      </c>
      <c r="N802" s="21">
        <f>IF(B802="","",ROUND(IF(F802="",1,F802)*M802,2))</f>
        <v>0</v>
      </c>
      <c r="O802" s="39">
        <f>IF(B802="","",IF(C802="","",IF(COUNTIFS($C$5:$C$804,C802)&gt;1,"Duplicate","OK")))</f>
        <v>0</v>
      </c>
      <c r="P802" s="31">
        <f>IF(OR(B802="",E802=""),"",COUNTIFS($B$5:B802,B802))</f>
        <v>0</v>
      </c>
      <c r="Q802" s="23">
        <f>IF(P802="","",B802&amp;"|"&amp;P802)</f>
        <v>0</v>
      </c>
      <c r="R802" s="39">
        <f>IF(B802="","",IF(O802="Duplicate","Duplicate - job billed twice",IF(M802=0,"Add - no price on this line",IF(AND(C802="",E802=""),"Add - what is this line for?","OK"))))</f>
        <v>0</v>
      </c>
    </row>
    <row r="803" spans="1:18">
      <c r="A803" s="43">
        <f>IF(B803="","","IL-"&amp;TEXT(ROW()-4,"0000"))</f>
        <v>0</v>
      </c>
      <c r="D803" s="18">
        <f>IF(C803="","",IFERROR(INDEX(Jobs!$B$5:$B$604,MATCH(C803,Jobs!$A$5:$A$604,0)),""))</f>
        <v>0</v>
      </c>
      <c r="J803" s="21">
        <f>IF(C803="","",IFERROR(INDEX(Jobs!$AJ$5:$AJ$604,MATCH(C803,Jobs!$A$5:$A$604,0)),"0"))</f>
        <v>0</v>
      </c>
      <c r="K803" s="23">
        <f>IF(C803="","",IFERROR(INDEX(Jobs!$M$5:$M$604,MATCH(C803,Jobs!$A$5:$A$604,0)),""))</f>
        <v>0</v>
      </c>
      <c r="L803" s="51">
        <f>IF(B803="","",IF(E803&lt;&gt;"",E803,IF(C803="","",K803&amp;" - "&amp;TEXT(D803,"d mmm yyyy"))))</f>
        <v>0</v>
      </c>
      <c r="M803" s="21">
        <f>IF(B803="","",IF(G803&lt;&gt;"",G803,IFERROR(J803*1,0)))</f>
        <v>0</v>
      </c>
      <c r="N803" s="21">
        <f>IF(B803="","",ROUND(IF(F803="",1,F803)*M803,2))</f>
        <v>0</v>
      </c>
      <c r="O803" s="39">
        <f>IF(B803="","",IF(C803="","",IF(COUNTIFS($C$5:$C$804,C803)&gt;1,"Duplicate","OK")))</f>
        <v>0</v>
      </c>
      <c r="P803" s="31">
        <f>IF(OR(B803="",E803=""),"",COUNTIFS($B$5:B803,B803))</f>
        <v>0</v>
      </c>
      <c r="Q803" s="23">
        <f>IF(P803="","",B803&amp;"|"&amp;P803)</f>
        <v>0</v>
      </c>
      <c r="R803" s="39">
        <f>IF(B803="","",IF(O803="Duplicate","Duplicate - job billed twice",IF(M803=0,"Add - no price on this line",IF(AND(C803="",E803=""),"Add - what is this line for?","OK"))))</f>
        <v>0</v>
      </c>
    </row>
    <row r="804" spans="1:18">
      <c r="A804" s="43">
        <f>IF(B804="","","IL-"&amp;TEXT(ROW()-4,"0000"))</f>
        <v>0</v>
      </c>
      <c r="D804" s="18">
        <f>IF(C804="","",IFERROR(INDEX(Jobs!$B$5:$B$604,MATCH(C804,Jobs!$A$5:$A$604,0)),""))</f>
        <v>0</v>
      </c>
      <c r="J804" s="21">
        <f>IF(C804="","",IFERROR(INDEX(Jobs!$AJ$5:$AJ$604,MATCH(C804,Jobs!$A$5:$A$604,0)),"0"))</f>
        <v>0</v>
      </c>
      <c r="K804" s="23">
        <f>IF(C804="","",IFERROR(INDEX(Jobs!$M$5:$M$604,MATCH(C804,Jobs!$A$5:$A$604,0)),""))</f>
        <v>0</v>
      </c>
      <c r="L804" s="51">
        <f>IF(B804="","",IF(E804&lt;&gt;"",E804,IF(C804="","",K804&amp;" - "&amp;TEXT(D804,"d mmm yyyy"))))</f>
        <v>0</v>
      </c>
      <c r="M804" s="21">
        <f>IF(B804="","",IF(G804&lt;&gt;"",G804,IFERROR(J804*1,0)))</f>
        <v>0</v>
      </c>
      <c r="N804" s="21">
        <f>IF(B804="","",ROUND(IF(F804="",1,F804)*M804,2))</f>
        <v>0</v>
      </c>
      <c r="O804" s="39">
        <f>IF(B804="","",IF(C804="","",IF(COUNTIFS($C$5:$C$804,C804)&gt;1,"Duplicate","OK")))</f>
        <v>0</v>
      </c>
      <c r="P804" s="31">
        <f>IF(OR(B804="",E804=""),"",COUNTIFS($B$5:B804,B804))</f>
        <v>0</v>
      </c>
      <c r="Q804" s="23">
        <f>IF(P804="","",B804&amp;"|"&amp;P804)</f>
        <v>0</v>
      </c>
      <c r="R804" s="39">
        <f>IF(B804="","",IF(O804="Duplicate","Duplicate - job billed twice",IF(M804=0,"Add - no price on this line",IF(AND(C804="",E804=""),"Add - what is this line for?","OK"))))</f>
        <v>0</v>
      </c>
    </row>
  </sheetData>
  <sheetProtection password="EC7C" sheet="1" objects="1" scenarios="1" formatCells="0" formatColumns="0" formatRows="0" insertRows="0" insertHyperlinks="0" deleteRows="0" autoFilter="0"/>
  <autoFilter ref="A4:R804"/>
  <mergeCells count="12">
    <mergeCell ref="A1:O1"/>
    <mergeCell ref="P1:R1"/>
    <mergeCell ref="A2:R2"/>
    <mergeCell ref="A3:B3"/>
    <mergeCell ref="C3:D3"/>
    <mergeCell ref="E3:F3"/>
    <mergeCell ref="G3:H3"/>
    <mergeCell ref="I3:J3"/>
    <mergeCell ref="K3:L3"/>
    <mergeCell ref="M3:N3"/>
    <mergeCell ref="O3:P3"/>
    <mergeCell ref="Q3:R3"/>
  </mergeCells>
  <conditionalFormatting sqref="N5:N804">
    <cfRule type="dataBar" priority="1">
      <dataBar>
        <cfvo type="min" val="0"/>
        <cfvo type="max" val="0"/>
        <color rgb="FFE8A33D"/>
      </dataBar>
    </cfRule>
  </conditionalFormatting>
  <conditionalFormatting sqref="O5:O804">
    <cfRule type="beginsWith" dxfId="1" priority="2" operator="beginsWith" text="OK">
      <formula>LEFT(O5,2)="OK"</formula>
    </cfRule>
    <cfRule type="containsText" dxfId="2" priority="3" operator="containsText" text="Overdue">
      <formula>NOT(ISERROR(SEARCH("Overdue",O5)))</formula>
    </cfRule>
    <cfRule type="containsText" dxfId="2" priority="4" operator="containsText" text="Late">
      <formula>NOT(ISERROR(SEARCH("Late",O5)))</formula>
    </cfRule>
    <cfRule type="containsText" dxfId="2" priority="5" operator="containsText" text="Missing">
      <formula>NOT(ISERROR(SEARCH("Missing",O5)))</formula>
    </cfRule>
    <cfRule type="containsText" dxfId="2" priority="6" operator="containsText" text="Conflict">
      <formula>NOT(ISERROR(SEARCH("Conflict",O5)))</formula>
    </cfRule>
    <cfRule type="containsText" dxfId="2" priority="7" operator="containsText" text="Clash">
      <formula>NOT(ISERROR(SEARCH("Clash",O5)))</formula>
    </cfRule>
    <cfRule type="containsText" dxfId="2" priority="8" operator="containsText" text="Expired">
      <formula>NOT(ISERROR(SEARCH("Expired",O5)))</formula>
    </cfRule>
    <cfRule type="containsText" dxfId="2" priority="9" operator="containsText" text="Duplicate">
      <formula>NOT(ISERROR(SEARCH("Duplicate",O5)))</formula>
    </cfRule>
    <cfRule type="containsText" dxfId="2" priority="10" operator="containsText" text="Unpaid">
      <formula>NOT(ISERROR(SEARCH("Unpaid",O5)))</formula>
    </cfRule>
    <cfRule type="containsText" dxfId="2" priority="11" operator="containsText" text="Loss">
      <formula>NOT(ISERROR(SEARCH("Loss",O5)))</formula>
    </cfRule>
    <cfRule type="containsText" dxfId="2" priority="12" operator="containsText" text="Below">
      <formula>NOT(ISERROR(SEARCH("Below",O5)))</formula>
    </cfRule>
    <cfRule type="containsText" dxfId="0" priority="13" operator="containsText" text="Action">
      <formula>NOT(ISERROR(SEARCH("Action",O5)))</formula>
    </cfRule>
    <cfRule type="containsText" dxfId="0" priority="14" operator="containsText" text="Due">
      <formula>NOT(ISERROR(SEARCH("Due",O5)))</formula>
    </cfRule>
    <cfRule type="containsText" dxfId="0" priority="15" operator="containsText" text="Check">
      <formula>NOT(ISERROR(SEARCH("Check",O5)))</formula>
    </cfRule>
    <cfRule type="containsText" dxfId="0" priority="16" operator="containsText" text="Chase">
      <formula>NOT(ISERROR(SEARCH("Chase",O5)))</formula>
    </cfRule>
    <cfRule type="containsText" dxfId="0" priority="17" operator="containsText" text="Assign">
      <formula>NOT(ISERROR(SEARCH("Assign",O5)))</formula>
    </cfRule>
    <cfRule type="containsText" dxfId="0" priority="18" operator="containsText" text="Confirm">
      <formula>NOT(ISERROR(SEARCH("Confirm",O5)))</formula>
    </cfRule>
    <cfRule type="containsText" dxfId="0" priority="19" operator="containsText" text="Order">
      <formula>NOT(ISERROR(SEARCH("Order",O5)))</formula>
    </cfRule>
    <cfRule type="containsText" dxfId="3" priority="20" operator="containsText" text="Today">
      <formula>NOT(ISERROR(SEARCH("Today",O5)))</formula>
    </cfRule>
    <cfRule type="containsText" dxfId="3" priority="21" operator="containsText" text="Upcoming">
      <formula>NOT(ISERROR(SEARCH("Upcoming",O5)))</formula>
    </cfRule>
    <cfRule type="containsText" dxfId="3" priority="22" operator="containsText" text="Tomorrow">
      <formula>NOT(ISERROR(SEARCH("Tomorrow",O5)))</formula>
    </cfRule>
  </conditionalFormatting>
  <conditionalFormatting sqref="R5:R804">
    <cfRule type="beginsWith" dxfId="1" priority="23" operator="beginsWith" text="OK">
      <formula>LEFT(R5,2)="OK"</formula>
    </cfRule>
    <cfRule type="containsText" dxfId="2" priority="24" operator="containsText" text="Overdue">
      <formula>NOT(ISERROR(SEARCH("Overdue",R5)))</formula>
    </cfRule>
    <cfRule type="containsText" dxfId="2" priority="25" operator="containsText" text="Late">
      <formula>NOT(ISERROR(SEARCH("Late",R5)))</formula>
    </cfRule>
    <cfRule type="containsText" dxfId="2" priority="26" operator="containsText" text="Missing">
      <formula>NOT(ISERROR(SEARCH("Missing",R5)))</formula>
    </cfRule>
    <cfRule type="containsText" dxfId="2" priority="27" operator="containsText" text="Conflict">
      <formula>NOT(ISERROR(SEARCH("Conflict",R5)))</formula>
    </cfRule>
    <cfRule type="containsText" dxfId="2" priority="28" operator="containsText" text="Clash">
      <formula>NOT(ISERROR(SEARCH("Clash",R5)))</formula>
    </cfRule>
    <cfRule type="containsText" dxfId="2" priority="29" operator="containsText" text="Expired">
      <formula>NOT(ISERROR(SEARCH("Expired",R5)))</formula>
    </cfRule>
    <cfRule type="containsText" dxfId="2" priority="30" operator="containsText" text="Duplicate">
      <formula>NOT(ISERROR(SEARCH("Duplicate",R5)))</formula>
    </cfRule>
    <cfRule type="containsText" dxfId="2" priority="31" operator="containsText" text="Unpaid">
      <formula>NOT(ISERROR(SEARCH("Unpaid",R5)))</formula>
    </cfRule>
    <cfRule type="containsText" dxfId="2" priority="32" operator="containsText" text="Loss">
      <formula>NOT(ISERROR(SEARCH("Loss",R5)))</formula>
    </cfRule>
    <cfRule type="containsText" dxfId="2" priority="33" operator="containsText" text="Below">
      <formula>NOT(ISERROR(SEARCH("Below",R5)))</formula>
    </cfRule>
    <cfRule type="containsText" dxfId="0" priority="34" operator="containsText" text="Action">
      <formula>NOT(ISERROR(SEARCH("Action",R5)))</formula>
    </cfRule>
    <cfRule type="containsText" dxfId="0" priority="35" operator="containsText" text="Due">
      <formula>NOT(ISERROR(SEARCH("Due",R5)))</formula>
    </cfRule>
    <cfRule type="containsText" dxfId="0" priority="36" operator="containsText" text="Check">
      <formula>NOT(ISERROR(SEARCH("Check",R5)))</formula>
    </cfRule>
    <cfRule type="containsText" dxfId="0" priority="37" operator="containsText" text="Chase">
      <formula>NOT(ISERROR(SEARCH("Chase",R5)))</formula>
    </cfRule>
    <cfRule type="containsText" dxfId="0" priority="38" operator="containsText" text="Assign">
      <formula>NOT(ISERROR(SEARCH("Assign",R5)))</formula>
    </cfRule>
    <cfRule type="containsText" dxfId="0" priority="39" operator="containsText" text="Confirm">
      <formula>NOT(ISERROR(SEARCH("Confirm",R5)))</formula>
    </cfRule>
    <cfRule type="containsText" dxfId="0" priority="40" operator="containsText" text="Order">
      <formula>NOT(ISERROR(SEARCH("Order",R5)))</formula>
    </cfRule>
    <cfRule type="containsText" dxfId="3" priority="41" operator="containsText" text="Today">
      <formula>NOT(ISERROR(SEARCH("Today",R5)))</formula>
    </cfRule>
    <cfRule type="containsText" dxfId="3" priority="42" operator="containsText" text="Upcoming">
      <formula>NOT(ISERROR(SEARCH("Upcoming",R5)))</formula>
    </cfRule>
    <cfRule type="containsText" dxfId="3" priority="43" operator="containsText" text="Tomorrow">
      <formula>NOT(ISERROR(SEARCH("Tomorrow",R5)))</formula>
    </cfRule>
  </conditionalFormatting>
  <dataValidations count="5">
    <dataValidation type="list" allowBlank="1" showInputMessage="1" showErrorMessage="1" promptTitle="Invoice ID" prompt="Which invoice this line belongs to." sqref="B5:B804">
      <formula1>InvoiceIDs</formula1>
    </dataValidation>
    <dataValidation type="list" allowBlank="1" showInputMessage="1" showErrorMessage="1" promptTitle="Job ID" prompt="Link the visit you are billing. Leave blank for a line that is not a job - a late fee, materials, a deposit." sqref="C5:C804">
      <formula1>JobIDs</formula1>
    </dataValidation>
    <dataValidation type="decimal" allowBlank="1" showInputMessage="1" showErrorMessage="1" errorTitle="Check the value" error="Enter a number between 0 and 100000." promptTitle="Quantity" prompt="Blank counts as one." sqref="F5:F804">
      <formula1>0</formula1>
      <formula2>100000</formula2>
    </dataValidation>
    <dataValidation type="decimal" allowBlank="1" showInputMessage="1" showErrorMessage="1" errorTitle="Check the value" error="Enter a number between 0 and 1000000." promptTitle="Price each (override)" prompt="Blank uses the price on the job." sqref="G5:G804">
      <formula1>0</formula1>
      <formula2>1000000</formula2>
    </dataValidation>
    <dataValidation type="list" allowBlank="1" showInputMessage="1" showErrorMessage="1" promptTitle="Taxable?" prompt="Only matters if you charge tax. The invoice total applies the rate from Settings to the whole net amount." sqref="H5:H804">
      <formula1>YesNoList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&amp;L&amp;"Calibri,Bold"&amp;12&amp;C&amp;"Calibri,Bold"&amp;11Invoice Lines&amp;R&amp;"Calibri,Italic"&amp;9Cleaning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21.xml><?xml version="1.0" encoding="utf-8"?>
<worksheet xmlns="http://schemas.openxmlformats.org/spreadsheetml/2006/main" xmlns:r="http://schemas.openxmlformats.org/officeDocument/2006/relationships">
  <sheetPr>
    <tabColor rgb="FF14616B"/>
    <pageSetUpPr fitToPage="1"/>
  </sheetPr>
  <dimension ref="A1:R4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3" customWidth="1"/>
    <col min="2" max="2" width="12.7109375" style="46" customWidth="1"/>
    <col min="3" max="3" width="10.7109375" style="23" customWidth="1"/>
    <col min="4" max="4" width="11.7109375" style="49" customWidth="1"/>
    <col min="5" max="5" width="11.7109375" style="43" customWidth="1"/>
    <col min="6" max="6" width="22.7109375" style="23" customWidth="1"/>
    <col min="7" max="7" width="12.7109375" style="19" customWidth="1"/>
    <col min="8" max="8" width="10.7109375" style="19" customWidth="1"/>
    <col min="9" max="9" width="15.7109375" style="15" customWidth="1"/>
    <col min="10" max="10" width="18.7109375" style="15" customWidth="1"/>
    <col min="11" max="11" width="10.7109375" style="47" customWidth="1"/>
    <col min="12" max="12" width="9.7109375" style="47" customWidth="1"/>
    <col min="13" max="13" width="28.7109375" style="44" customWidth="1"/>
    <col min="14" max="14" width="11.7109375" style="21" customWidth="1"/>
    <col min="15" max="15" width="11.7109375" style="21" hidden="1" customWidth="1"/>
    <col min="16" max="16" width="11.7109375" style="21" hidden="1" customWidth="1"/>
    <col min="17" max="17" width="12.7109375" style="21" customWidth="1"/>
    <col min="18" max="18" width="26.7109375" style="39" customWidth="1"/>
  </cols>
  <sheetData>
    <row r="1" spans="1:18" ht="34" customHeight="1">
      <c r="A1" s="2" t="s">
        <v>1646</v>
      </c>
      <c r="B1" s="2"/>
      <c r="C1" s="2"/>
      <c r="D1" s="2"/>
      <c r="E1" s="2"/>
      <c r="F1" s="2"/>
      <c r="G1" s="2"/>
      <c r="H1" s="2"/>
      <c r="I1" s="2"/>
      <c r="J1" s="2"/>
      <c r="K1" s="2"/>
      <c r="L1" s="2"/>
      <c r="M1" s="2"/>
      <c r="N1" s="2"/>
      <c r="O1" s="2"/>
      <c r="P1" s="3" t="s">
        <v>1</v>
      </c>
      <c r="Q1" s="3"/>
      <c r="R1" s="3"/>
    </row>
    <row r="2" spans="1:18" ht="18" customHeight="1">
      <c r="A2" s="4" t="s">
        <v>1647</v>
      </c>
      <c r="B2" s="4"/>
      <c r="C2" s="4"/>
      <c r="D2" s="4"/>
      <c r="E2" s="4"/>
      <c r="F2" s="4"/>
      <c r="G2" s="4"/>
      <c r="H2" s="4"/>
      <c r="I2" s="4"/>
      <c r="J2" s="4"/>
      <c r="K2" s="4"/>
      <c r="L2" s="4"/>
      <c r="M2" s="4"/>
      <c r="N2" s="4"/>
      <c r="O2" s="4"/>
      <c r="P2" s="4"/>
      <c r="Q2" s="4"/>
      <c r="R2" s="4"/>
    </row>
    <row r="3" spans="1:18" ht="16" customHeight="1">
      <c r="A3" s="5" t="s">
        <v>3</v>
      </c>
      <c r="B3" s="5"/>
      <c r="C3" s="5" t="s">
        <v>4</v>
      </c>
      <c r="D3" s="5"/>
      <c r="E3" s="5" t="s">
        <v>5</v>
      </c>
      <c r="F3" s="5"/>
      <c r="G3" s="5" t="s">
        <v>6</v>
      </c>
      <c r="H3" s="5"/>
      <c r="I3" s="5" t="s">
        <v>7</v>
      </c>
      <c r="J3" s="5"/>
      <c r="K3" s="5" t="s">
        <v>338</v>
      </c>
      <c r="L3" s="5"/>
      <c r="M3" s="5" t="s">
        <v>541</v>
      </c>
      <c r="N3" s="5"/>
      <c r="O3" s="5" t="s">
        <v>542</v>
      </c>
      <c r="P3" s="5"/>
      <c r="Q3" s="5" t="s">
        <v>543</v>
      </c>
      <c r="R3" s="5"/>
    </row>
    <row r="4" spans="1:18" ht="30" customHeight="1">
      <c r="A4" s="8" t="s">
        <v>545</v>
      </c>
      <c r="B4" s="8" t="s">
        <v>1648</v>
      </c>
      <c r="C4" s="9" t="s">
        <v>340</v>
      </c>
      <c r="D4" s="9" t="s">
        <v>1615</v>
      </c>
      <c r="E4" s="9" t="s">
        <v>719</v>
      </c>
      <c r="F4" s="9" t="s">
        <v>403</v>
      </c>
      <c r="G4" s="9" t="s">
        <v>1649</v>
      </c>
      <c r="H4" s="9" t="s">
        <v>1650</v>
      </c>
      <c r="I4" s="9" t="s">
        <v>1651</v>
      </c>
      <c r="J4" s="9" t="s">
        <v>1652</v>
      </c>
      <c r="K4" s="9" t="s">
        <v>1653</v>
      </c>
      <c r="L4" s="9" t="s">
        <v>1654</v>
      </c>
      <c r="M4" s="9" t="s">
        <v>421</v>
      </c>
      <c r="N4" s="9" t="s">
        <v>1655</v>
      </c>
      <c r="O4" s="9" t="s">
        <v>1656</v>
      </c>
      <c r="P4" s="9" t="s">
        <v>1657</v>
      </c>
      <c r="Q4" s="9" t="s">
        <v>1658</v>
      </c>
      <c r="R4" s="9" t="s">
        <v>970</v>
      </c>
    </row>
    <row r="5" spans="1:18">
      <c r="A5" s="43">
        <f>IF(B5="","",PaymentPrefix&amp;TEXT(ROW()-4,"0000"))</f>
        <v>0</v>
      </c>
      <c r="B5" s="46">
        <v>46301</v>
      </c>
      <c r="C5" s="23">
        <f>IF(B5="","",TEXT(B5,"yyyy-mm"))</f>
        <v>0</v>
      </c>
      <c r="D5" s="49" t="s">
        <v>1621</v>
      </c>
      <c r="E5" s="43">
        <f>IF(D5="","",IFERROR(INDEX(Invoices!$D$5:$D$404,MATCH(D5,Invoices!$A$5:$A$404,0)),""))</f>
        <v>0</v>
      </c>
      <c r="F5" s="23">
        <f>IF(D5="","",IFERROR(INDEX(Invoices!$E$5:$E$404,MATCH(D5,Invoices!$A$5:$A$404,0)),""))</f>
        <v>0</v>
      </c>
      <c r="G5" s="19">
        <v>459</v>
      </c>
      <c r="H5" s="19">
        <v>8.03</v>
      </c>
      <c r="I5" s="15" t="s">
        <v>1590</v>
      </c>
      <c r="J5" s="15" t="s">
        <v>1659</v>
      </c>
      <c r="K5" s="47" t="s">
        <v>457</v>
      </c>
      <c r="L5" s="47" t="s">
        <v>454</v>
      </c>
      <c r="M5" s="44" t="s">
        <v>172</v>
      </c>
      <c r="N5" s="21">
        <f>IF(B5="","",IF(G5="",0,G5)-IF(H5="",0,H5))</f>
        <v>0</v>
      </c>
      <c r="O5" s="21">
        <f>IF(D5="","",IFERROR(INDEX(Invoices!$V$5:$V$404,MATCH(D5,Invoices!$A$5:$A$404,0)),""))</f>
        <v>0</v>
      </c>
      <c r="P5" s="21">
        <f>IF(D5="","",IFERROR(INDEX(Invoices!$W$5:$W$404,MATCH(D5,Invoices!$A$5:$A$404,0)),""))</f>
        <v>0</v>
      </c>
      <c r="Q5" s="21">
        <f>IF(OR(D5="",O5=""),"",ROUND(O5-P5,2))</f>
        <v>0</v>
      </c>
      <c r="R5" s="39">
        <f>IF(B5="","",IF(D5="","Add - which invoice?",IF(OR(G5="",G5=0),"Add - how much came in?",IF(Q5&lt;-0.004,"Check - overpaid",IF(L5="No","Due - not banked yet",IF(Q5&gt;0.004,"Part paid","OK"))))))</f>
        <v>0</v>
      </c>
    </row>
    <row r="6" spans="1:18">
      <c r="A6" s="43">
        <f>IF(B6="","",PaymentPrefix&amp;TEXT(ROW()-4,"0000"))</f>
        <v>0</v>
      </c>
      <c r="B6" s="46">
        <v>46295</v>
      </c>
      <c r="C6" s="23">
        <f>IF(B6="","",TEXT(B6,"yyyy-mm"))</f>
        <v>0</v>
      </c>
      <c r="D6" s="49" t="s">
        <v>1622</v>
      </c>
      <c r="E6" s="43">
        <f>IF(D6="","",IFERROR(INDEX(Invoices!$D$5:$D$404,MATCH(D6,Invoices!$A$5:$A$404,0)),""))</f>
        <v>0</v>
      </c>
      <c r="F6" s="23">
        <f>IF(D6="","",IFERROR(INDEX(Invoices!$E$5:$E$404,MATCH(D6,Invoices!$A$5:$A$404,0)),""))</f>
        <v>0</v>
      </c>
      <c r="G6" s="19">
        <v>283.5</v>
      </c>
      <c r="H6" s="19">
        <v>4.96</v>
      </c>
      <c r="I6" s="15" t="s">
        <v>1590</v>
      </c>
      <c r="J6" s="15" t="s">
        <v>1660</v>
      </c>
      <c r="K6" s="47" t="s">
        <v>457</v>
      </c>
      <c r="L6" s="47" t="s">
        <v>454</v>
      </c>
      <c r="M6" s="44" t="s">
        <v>172</v>
      </c>
      <c r="N6" s="21">
        <f>IF(B6="","",IF(G6="",0,G6)-IF(H6="",0,H6))</f>
        <v>0</v>
      </c>
      <c r="O6" s="21">
        <f>IF(D6="","",IFERROR(INDEX(Invoices!$V$5:$V$404,MATCH(D6,Invoices!$A$5:$A$404,0)),""))</f>
        <v>0</v>
      </c>
      <c r="P6" s="21">
        <f>IF(D6="","",IFERROR(INDEX(Invoices!$W$5:$W$404,MATCH(D6,Invoices!$A$5:$A$404,0)),""))</f>
        <v>0</v>
      </c>
      <c r="Q6" s="21">
        <f>IF(OR(D6="",O6=""),"",ROUND(O6-P6,2))</f>
        <v>0</v>
      </c>
      <c r="R6" s="39">
        <f>IF(B6="","",IF(D6="","Add - which invoice?",IF(OR(G6="",G6=0),"Add - how much came in?",IF(Q6&lt;-0.004,"Check - overpaid",IF(L6="No","Due - not banked yet",IF(Q6&gt;0.004,"Part paid","OK"))))))</f>
        <v>0</v>
      </c>
    </row>
    <row r="7" spans="1:18">
      <c r="A7" s="43">
        <f>IF(B7="","",PaymentPrefix&amp;TEXT(ROW()-4,"0000"))</f>
        <v>0</v>
      </c>
      <c r="B7" s="46">
        <v>46303</v>
      </c>
      <c r="C7" s="23">
        <f>IF(B7="","",TEXT(B7,"yyyy-mm"))</f>
        <v>0</v>
      </c>
      <c r="D7" s="49" t="s">
        <v>1624</v>
      </c>
      <c r="E7" s="43">
        <f>IF(D7="","",IFERROR(INDEX(Invoices!$D$5:$D$404,MATCH(D7,Invoices!$A$5:$A$404,0)),""))</f>
        <v>0</v>
      </c>
      <c r="F7" s="23">
        <f>IF(D7="","",IFERROR(INDEX(Invoices!$E$5:$E$404,MATCH(D7,Invoices!$A$5:$A$404,0)),""))</f>
        <v>0</v>
      </c>
      <c r="G7" s="19">
        <v>630</v>
      </c>
      <c r="I7" s="15" t="s">
        <v>1592</v>
      </c>
      <c r="J7" s="15" t="s">
        <v>1661</v>
      </c>
      <c r="K7" s="47" t="s">
        <v>457</v>
      </c>
      <c r="L7" s="47" t="s">
        <v>454</v>
      </c>
      <c r="M7" s="44" t="s">
        <v>172</v>
      </c>
      <c r="N7" s="21">
        <f>IF(B7="","",IF(G7="",0,G7)-IF(H7="",0,H7))</f>
        <v>0</v>
      </c>
      <c r="O7" s="21">
        <f>IF(D7="","",IFERROR(INDEX(Invoices!$V$5:$V$404,MATCH(D7,Invoices!$A$5:$A$404,0)),""))</f>
        <v>0</v>
      </c>
      <c r="P7" s="21">
        <f>IF(D7="","",IFERROR(INDEX(Invoices!$W$5:$W$404,MATCH(D7,Invoices!$A$5:$A$404,0)),""))</f>
        <v>0</v>
      </c>
      <c r="Q7" s="21">
        <f>IF(OR(D7="",O7=""),"",ROUND(O7-P7,2))</f>
        <v>0</v>
      </c>
      <c r="R7" s="39">
        <f>IF(B7="","",IF(D7="","Add - which invoice?",IF(OR(G7="",G7=0),"Add - how much came in?",IF(Q7&lt;-0.004,"Check - overpaid",IF(L7="No","Due - not banked yet",IF(Q7&gt;0.004,"Part paid","OK"))))))</f>
        <v>0</v>
      </c>
    </row>
    <row r="8" spans="1:18">
      <c r="A8" s="43">
        <f>IF(B8="","",PaymentPrefix&amp;TEXT(ROW()-4,"0000"))</f>
        <v>0</v>
      </c>
      <c r="B8" s="46">
        <v>46296</v>
      </c>
      <c r="C8" s="23">
        <f>IF(B8="","",TEXT(B8,"yyyy-mm"))</f>
        <v>0</v>
      </c>
      <c r="D8" s="49" t="s">
        <v>1625</v>
      </c>
      <c r="E8" s="43">
        <f>IF(D8="","",IFERROR(INDEX(Invoices!$D$5:$D$404,MATCH(D8,Invoices!$A$5:$A$404,0)),""))</f>
        <v>0</v>
      </c>
      <c r="F8" s="23">
        <f>IF(D8="","",IFERROR(INDEX(Invoices!$E$5:$E$404,MATCH(D8,Invoices!$A$5:$A$404,0)),""))</f>
        <v>0</v>
      </c>
      <c r="G8" s="19">
        <v>318.75</v>
      </c>
      <c r="I8" s="15" t="s">
        <v>1592</v>
      </c>
      <c r="J8" s="15" t="s">
        <v>1662</v>
      </c>
      <c r="K8" s="47" t="s">
        <v>457</v>
      </c>
      <c r="L8" s="47" t="s">
        <v>454</v>
      </c>
      <c r="M8" s="44" t="s">
        <v>172</v>
      </c>
      <c r="N8" s="21">
        <f>IF(B8="","",IF(G8="",0,G8)-IF(H8="",0,H8))</f>
        <v>0</v>
      </c>
      <c r="O8" s="21">
        <f>IF(D8="","",IFERROR(INDEX(Invoices!$V$5:$V$404,MATCH(D8,Invoices!$A$5:$A$404,0)),""))</f>
        <v>0</v>
      </c>
      <c r="P8" s="21">
        <f>IF(D8="","",IFERROR(INDEX(Invoices!$W$5:$W$404,MATCH(D8,Invoices!$A$5:$A$404,0)),""))</f>
        <v>0</v>
      </c>
      <c r="Q8" s="21">
        <f>IF(OR(D8="",O8=""),"",ROUND(O8-P8,2))</f>
        <v>0</v>
      </c>
      <c r="R8" s="39">
        <f>IF(B8="","",IF(D8="","Add - which invoice?",IF(OR(G8="",G8=0),"Add - how much came in?",IF(Q8&lt;-0.004,"Check - overpaid",IF(L8="No","Due - not banked yet",IF(Q8&gt;0.004,"Part paid","OK"))))))</f>
        <v>0</v>
      </c>
    </row>
    <row r="9" spans="1:18">
      <c r="A9" s="43">
        <f>IF(B9="","",PaymentPrefix&amp;TEXT(ROW()-4,"0000"))</f>
        <v>0</v>
      </c>
      <c r="B9" s="46">
        <v>46280</v>
      </c>
      <c r="C9" s="23">
        <f>IF(B9="","",TEXT(B9,"yyyy-mm"))</f>
        <v>0</v>
      </c>
      <c r="D9" s="49" t="s">
        <v>1627</v>
      </c>
      <c r="E9" s="43">
        <f>IF(D9="","",IFERROR(INDEX(Invoices!$D$5:$D$404,MATCH(D9,Invoices!$A$5:$A$404,0)),""))</f>
        <v>0</v>
      </c>
      <c r="F9" s="23">
        <f>IF(D9="","",IFERROR(INDEX(Invoices!$E$5:$E$404,MATCH(D9,Invoices!$A$5:$A$404,0)),""))</f>
        <v>0</v>
      </c>
      <c r="G9" s="19">
        <v>157.5</v>
      </c>
      <c r="H9" s="19">
        <v>2.76</v>
      </c>
      <c r="I9" s="15" t="s">
        <v>1590</v>
      </c>
      <c r="J9" s="15" t="s">
        <v>1663</v>
      </c>
      <c r="K9" s="47" t="s">
        <v>457</v>
      </c>
      <c r="L9" s="47" t="s">
        <v>454</v>
      </c>
      <c r="M9" s="44" t="s">
        <v>172</v>
      </c>
      <c r="N9" s="21">
        <f>IF(B9="","",IF(G9="",0,G9)-IF(H9="",0,H9))</f>
        <v>0</v>
      </c>
      <c r="O9" s="21">
        <f>IF(D9="","",IFERROR(INDEX(Invoices!$V$5:$V$404,MATCH(D9,Invoices!$A$5:$A$404,0)),""))</f>
        <v>0</v>
      </c>
      <c r="P9" s="21">
        <f>IF(D9="","",IFERROR(INDEX(Invoices!$W$5:$W$404,MATCH(D9,Invoices!$A$5:$A$404,0)),""))</f>
        <v>0</v>
      </c>
      <c r="Q9" s="21">
        <f>IF(OR(D9="",O9=""),"",ROUND(O9-P9,2))</f>
        <v>0</v>
      </c>
      <c r="R9" s="39">
        <f>IF(B9="","",IF(D9="","Add - which invoice?",IF(OR(G9="",G9=0),"Add - how much came in?",IF(Q9&lt;-0.004,"Check - overpaid",IF(L9="No","Due - not banked yet",IF(Q9&gt;0.004,"Part paid","OK"))))))</f>
        <v>0</v>
      </c>
    </row>
    <row r="10" spans="1:18">
      <c r="A10" s="43">
        <f>IF(B10="","",PaymentPrefix&amp;TEXT(ROW()-4,"0000"))</f>
        <v>0</v>
      </c>
      <c r="B10" s="46">
        <v>46307</v>
      </c>
      <c r="C10" s="23">
        <f>IF(B10="","",TEXT(B10,"yyyy-mm"))</f>
        <v>0</v>
      </c>
      <c r="D10" s="49" t="s">
        <v>1628</v>
      </c>
      <c r="E10" s="43">
        <f>IF(D10="","",IFERROR(INDEX(Invoices!$D$5:$D$404,MATCH(D10,Invoices!$A$5:$A$404,0)),""))</f>
        <v>0</v>
      </c>
      <c r="F10" s="23">
        <f>IF(D10="","",IFERROR(INDEX(Invoices!$E$5:$E$404,MATCH(D10,Invoices!$A$5:$A$404,0)),""))</f>
        <v>0</v>
      </c>
      <c r="G10" s="19">
        <v>630</v>
      </c>
      <c r="I10" s="15" t="s">
        <v>1592</v>
      </c>
      <c r="J10" s="15" t="s">
        <v>1664</v>
      </c>
      <c r="K10" s="47" t="s">
        <v>457</v>
      </c>
      <c r="L10" s="47" t="s">
        <v>454</v>
      </c>
      <c r="M10" s="44" t="s">
        <v>172</v>
      </c>
      <c r="N10" s="21">
        <f>IF(B10="","",IF(G10="",0,G10)-IF(H10="",0,H10))</f>
        <v>0</v>
      </c>
      <c r="O10" s="21">
        <f>IF(D10="","",IFERROR(INDEX(Invoices!$V$5:$V$404,MATCH(D10,Invoices!$A$5:$A$404,0)),""))</f>
        <v>0</v>
      </c>
      <c r="P10" s="21">
        <f>IF(D10="","",IFERROR(INDEX(Invoices!$W$5:$W$404,MATCH(D10,Invoices!$A$5:$A$404,0)),""))</f>
        <v>0</v>
      </c>
      <c r="Q10" s="21">
        <f>IF(OR(D10="",O10=""),"",ROUND(O10-P10,2))</f>
        <v>0</v>
      </c>
      <c r="R10" s="39">
        <f>IF(B10="","",IF(D10="","Add - which invoice?",IF(OR(G10="",G10=0),"Add - how much came in?",IF(Q10&lt;-0.004,"Check - overpaid",IF(L10="No","Due - not banked yet",IF(Q10&gt;0.004,"Part paid","OK"))))))</f>
        <v>0</v>
      </c>
    </row>
    <row r="11" spans="1:18">
      <c r="A11" s="43">
        <f>IF(B11="","",PaymentPrefix&amp;TEXT(ROW()-4,"0000"))</f>
        <v>0</v>
      </c>
      <c r="B11" s="46">
        <v>46297</v>
      </c>
      <c r="C11" s="23">
        <f>IF(B11="","",TEXT(B11,"yyyy-mm"))</f>
        <v>0</v>
      </c>
      <c r="D11" s="49" t="s">
        <v>1629</v>
      </c>
      <c r="E11" s="43">
        <f>IF(D11="","",IFERROR(INDEX(Invoices!$D$5:$D$404,MATCH(D11,Invoices!$A$5:$A$404,0)),""))</f>
        <v>0</v>
      </c>
      <c r="F11" s="23">
        <f>IF(D11="","",IFERROR(INDEX(Invoices!$E$5:$E$404,MATCH(D11,Invoices!$A$5:$A$404,0)),""))</f>
        <v>0</v>
      </c>
      <c r="G11" s="19">
        <v>324</v>
      </c>
      <c r="I11" s="15" t="s">
        <v>1592</v>
      </c>
      <c r="J11" s="15" t="s">
        <v>1665</v>
      </c>
      <c r="K11" s="47" t="s">
        <v>457</v>
      </c>
      <c r="L11" s="47" t="s">
        <v>454</v>
      </c>
      <c r="M11" s="44" t="s">
        <v>1666</v>
      </c>
      <c r="N11" s="21">
        <f>IF(B11="","",IF(G11="",0,G11)-IF(H11="",0,H11))</f>
        <v>0</v>
      </c>
      <c r="O11" s="21">
        <f>IF(D11="","",IFERROR(INDEX(Invoices!$V$5:$V$404,MATCH(D11,Invoices!$A$5:$A$404,0)),""))</f>
        <v>0</v>
      </c>
      <c r="P11" s="21">
        <f>IF(D11="","",IFERROR(INDEX(Invoices!$W$5:$W$404,MATCH(D11,Invoices!$A$5:$A$404,0)),""))</f>
        <v>0</v>
      </c>
      <c r="Q11" s="21">
        <f>IF(OR(D11="",O11=""),"",ROUND(O11-P11,2))</f>
        <v>0</v>
      </c>
      <c r="R11" s="39">
        <f>IF(B11="","",IF(D11="","Add - which invoice?",IF(OR(G11="",G11=0),"Add - how much came in?",IF(Q11&lt;-0.004,"Check - overpaid",IF(L11="No","Due - not banked yet",IF(Q11&gt;0.004,"Part paid","OK"))))))</f>
        <v>0</v>
      </c>
    </row>
    <row r="12" spans="1:18">
      <c r="A12" s="43">
        <f>IF(B12="","",PaymentPrefix&amp;TEXT(ROW()-4,"0000"))</f>
        <v>0</v>
      </c>
      <c r="B12" s="46">
        <v>46304</v>
      </c>
      <c r="C12" s="23">
        <f>IF(B12="","",TEXT(B12,"yyyy-mm"))</f>
        <v>0</v>
      </c>
      <c r="D12" s="49" t="s">
        <v>1630</v>
      </c>
      <c r="E12" s="43">
        <f>IF(D12="","",IFERROR(INDEX(Invoices!$D$5:$D$404,MATCH(D12,Invoices!$A$5:$A$404,0)),""))</f>
        <v>0</v>
      </c>
      <c r="F12" s="23">
        <f>IF(D12="","",IFERROR(INDEX(Invoices!$E$5:$E$404,MATCH(D12,Invoices!$A$5:$A$404,0)),""))</f>
        <v>0</v>
      </c>
      <c r="G12" s="19">
        <v>180</v>
      </c>
      <c r="I12" s="15" t="s">
        <v>1592</v>
      </c>
      <c r="J12" s="15" t="s">
        <v>1667</v>
      </c>
      <c r="K12" s="47" t="s">
        <v>457</v>
      </c>
      <c r="L12" s="47" t="s">
        <v>454</v>
      </c>
      <c r="M12" s="44" t="s">
        <v>172</v>
      </c>
      <c r="N12" s="21">
        <f>IF(B12="","",IF(G12="",0,G12)-IF(H12="",0,H12))</f>
        <v>0</v>
      </c>
      <c r="O12" s="21">
        <f>IF(D12="","",IFERROR(INDEX(Invoices!$V$5:$V$404,MATCH(D12,Invoices!$A$5:$A$404,0)),""))</f>
        <v>0</v>
      </c>
      <c r="P12" s="21">
        <f>IF(D12="","",IFERROR(INDEX(Invoices!$W$5:$W$404,MATCH(D12,Invoices!$A$5:$A$404,0)),""))</f>
        <v>0</v>
      </c>
      <c r="Q12" s="21">
        <f>IF(OR(D12="",O12=""),"",ROUND(O12-P12,2))</f>
        <v>0</v>
      </c>
      <c r="R12" s="39">
        <f>IF(B12="","",IF(D12="","Add - which invoice?",IF(OR(G12="",G12=0),"Add - how much came in?",IF(Q12&lt;-0.004,"Check - overpaid",IF(L12="No","Due - not banked yet",IF(Q12&gt;0.004,"Part paid","OK"))))))</f>
        <v>0</v>
      </c>
    </row>
    <row r="13" spans="1:18">
      <c r="A13" s="43">
        <f>IF(B13="","",PaymentPrefix&amp;TEXT(ROW()-4,"0000"))</f>
        <v>0</v>
      </c>
      <c r="B13" s="46">
        <v>46301</v>
      </c>
      <c r="C13" s="23">
        <f>IF(B13="","",TEXT(B13,"yyyy-mm"))</f>
        <v>0</v>
      </c>
      <c r="D13" s="49" t="s">
        <v>1631</v>
      </c>
      <c r="E13" s="43">
        <f>IF(D13="","",IFERROR(INDEX(Invoices!$D$5:$D$404,MATCH(D13,Invoices!$A$5:$A$404,0)),""))</f>
        <v>0</v>
      </c>
      <c r="F13" s="23">
        <f>IF(D13="","",IFERROR(INDEX(Invoices!$E$5:$E$404,MATCH(D13,Invoices!$A$5:$A$404,0)),""))</f>
        <v>0</v>
      </c>
      <c r="G13" s="19">
        <v>513</v>
      </c>
      <c r="H13" s="19">
        <v>8.98</v>
      </c>
      <c r="I13" s="15" t="s">
        <v>1590</v>
      </c>
      <c r="J13" s="15" t="s">
        <v>1668</v>
      </c>
      <c r="K13" s="47" t="s">
        <v>457</v>
      </c>
      <c r="L13" s="47" t="s">
        <v>454</v>
      </c>
      <c r="M13" s="44" t="s">
        <v>172</v>
      </c>
      <c r="N13" s="21">
        <f>IF(B13="","",IF(G13="",0,G13)-IF(H13="",0,H13))</f>
        <v>0</v>
      </c>
      <c r="O13" s="21">
        <f>IF(D13="","",IFERROR(INDEX(Invoices!$V$5:$V$404,MATCH(D13,Invoices!$A$5:$A$404,0)),""))</f>
        <v>0</v>
      </c>
      <c r="P13" s="21">
        <f>IF(D13="","",IFERROR(INDEX(Invoices!$W$5:$W$404,MATCH(D13,Invoices!$A$5:$A$404,0)),""))</f>
        <v>0</v>
      </c>
      <c r="Q13" s="21">
        <f>IF(OR(D13="",O13=""),"",ROUND(O13-P13,2))</f>
        <v>0</v>
      </c>
      <c r="R13" s="39">
        <f>IF(B13="","",IF(D13="","Add - which invoice?",IF(OR(G13="",G13=0),"Add - how much came in?",IF(Q13&lt;-0.004,"Check - overpaid",IF(L13="No","Due - not banked yet",IF(Q13&gt;0.004,"Part paid","OK"))))))</f>
        <v>0</v>
      </c>
    </row>
    <row r="14" spans="1:18">
      <c r="A14" s="43">
        <f>IF(B14="","",PaymentPrefix&amp;TEXT(ROW()-4,"0000"))</f>
        <v>0</v>
      </c>
      <c r="B14" s="46">
        <v>46304</v>
      </c>
      <c r="C14" s="23">
        <f>IF(B14="","",TEXT(B14,"yyyy-mm"))</f>
        <v>0</v>
      </c>
      <c r="D14" s="49" t="s">
        <v>1632</v>
      </c>
      <c r="E14" s="43">
        <f>IF(D14="","",IFERROR(INDEX(Invoices!$D$5:$D$404,MATCH(D14,Invoices!$A$5:$A$404,0)),""))</f>
        <v>0</v>
      </c>
      <c r="F14" s="23">
        <f>IF(D14="","",IFERROR(INDEX(Invoices!$E$5:$E$404,MATCH(D14,Invoices!$A$5:$A$404,0)),""))</f>
        <v>0</v>
      </c>
      <c r="G14" s="19">
        <v>280.5</v>
      </c>
      <c r="I14" s="15" t="s">
        <v>1592</v>
      </c>
      <c r="J14" s="15" t="s">
        <v>1669</v>
      </c>
      <c r="K14" s="47" t="s">
        <v>457</v>
      </c>
      <c r="L14" s="47" t="s">
        <v>454</v>
      </c>
      <c r="M14" s="44" t="s">
        <v>172</v>
      </c>
      <c r="N14" s="21">
        <f>IF(B14="","",IF(G14="",0,G14)-IF(H14="",0,H14))</f>
        <v>0</v>
      </c>
      <c r="O14" s="21">
        <f>IF(D14="","",IFERROR(INDEX(Invoices!$V$5:$V$404,MATCH(D14,Invoices!$A$5:$A$404,0)),""))</f>
        <v>0</v>
      </c>
      <c r="P14" s="21">
        <f>IF(D14="","",IFERROR(INDEX(Invoices!$W$5:$W$404,MATCH(D14,Invoices!$A$5:$A$404,0)),""))</f>
        <v>0</v>
      </c>
      <c r="Q14" s="21">
        <f>IF(OR(D14="",O14=""),"",ROUND(O14-P14,2))</f>
        <v>0</v>
      </c>
      <c r="R14" s="39">
        <f>IF(B14="","",IF(D14="","Add - which invoice?",IF(OR(G14="",G14=0),"Add - how much came in?",IF(Q14&lt;-0.004,"Check - overpaid",IF(L14="No","Due - not banked yet",IF(Q14&gt;0.004,"Part paid","OK"))))))</f>
        <v>0</v>
      </c>
    </row>
    <row r="15" spans="1:18">
      <c r="A15" s="43">
        <f>IF(B15="","",PaymentPrefix&amp;TEXT(ROW()-4,"0000"))</f>
        <v>0</v>
      </c>
      <c r="B15" s="46">
        <v>46311</v>
      </c>
      <c r="C15" s="23">
        <f>IF(B15="","",TEXT(B15,"yyyy-mm"))</f>
        <v>0</v>
      </c>
      <c r="D15" s="49" t="s">
        <v>1634</v>
      </c>
      <c r="E15" s="43">
        <f>IF(D15="","",IFERROR(INDEX(Invoices!$D$5:$D$404,MATCH(D15,Invoices!$A$5:$A$404,0)),""))</f>
        <v>0</v>
      </c>
      <c r="F15" s="23">
        <f>IF(D15="","",IFERROR(INDEX(Invoices!$E$5:$E$404,MATCH(D15,Invoices!$A$5:$A$404,0)),""))</f>
        <v>0</v>
      </c>
      <c r="G15" s="19">
        <v>141.75</v>
      </c>
      <c r="H15" s="19">
        <v>2.48</v>
      </c>
      <c r="I15" s="15" t="s">
        <v>1590</v>
      </c>
      <c r="J15" s="15" t="s">
        <v>1670</v>
      </c>
      <c r="K15" s="47" t="s">
        <v>457</v>
      </c>
      <c r="L15" s="47" t="s">
        <v>454</v>
      </c>
      <c r="M15" s="44" t="s">
        <v>172</v>
      </c>
      <c r="N15" s="21">
        <f>IF(B15="","",IF(G15="",0,G15)-IF(H15="",0,H15))</f>
        <v>0</v>
      </c>
      <c r="O15" s="21">
        <f>IF(D15="","",IFERROR(INDEX(Invoices!$V$5:$V$404,MATCH(D15,Invoices!$A$5:$A$404,0)),""))</f>
        <v>0</v>
      </c>
      <c r="P15" s="21">
        <f>IF(D15="","",IFERROR(INDEX(Invoices!$W$5:$W$404,MATCH(D15,Invoices!$A$5:$A$404,0)),""))</f>
        <v>0</v>
      </c>
      <c r="Q15" s="21">
        <f>IF(OR(D15="",O15=""),"",ROUND(O15-P15,2))</f>
        <v>0</v>
      </c>
      <c r="R15" s="39">
        <f>IF(B15="","",IF(D15="","Add - which invoice?",IF(OR(G15="",G15=0),"Add - how much came in?",IF(Q15&lt;-0.004,"Check - overpaid",IF(L15="No","Due - not banked yet",IF(Q15&gt;0.004,"Part paid","OK"))))))</f>
        <v>0</v>
      </c>
    </row>
    <row r="16" spans="1:18">
      <c r="A16" s="43">
        <f>IF(B16="","",PaymentPrefix&amp;TEXT(ROW()-4,"0000"))</f>
        <v>0</v>
      </c>
      <c r="B16" s="46">
        <v>46310</v>
      </c>
      <c r="C16" s="23">
        <f>IF(B16="","",TEXT(B16,"yyyy-mm"))</f>
        <v>0</v>
      </c>
      <c r="D16" s="49" t="s">
        <v>1640</v>
      </c>
      <c r="E16" s="43">
        <f>IF(D16="","",IFERROR(INDEX(Invoices!$D$5:$D$404,MATCH(D16,Invoices!$A$5:$A$404,0)),""))</f>
        <v>0</v>
      </c>
      <c r="F16" s="23">
        <f>IF(D16="","",IFERROR(INDEX(Invoices!$E$5:$E$404,MATCH(D16,Invoices!$A$5:$A$404,0)),""))</f>
        <v>0</v>
      </c>
      <c r="G16" s="19">
        <v>157.5</v>
      </c>
      <c r="H16" s="19">
        <v>2.76</v>
      </c>
      <c r="I16" s="15" t="s">
        <v>1590</v>
      </c>
      <c r="J16" s="15" t="s">
        <v>1671</v>
      </c>
      <c r="K16" s="47" t="s">
        <v>457</v>
      </c>
      <c r="L16" s="47" t="s">
        <v>454</v>
      </c>
      <c r="M16" s="44" t="s">
        <v>172</v>
      </c>
      <c r="N16" s="21">
        <f>IF(B16="","",IF(G16="",0,G16)-IF(H16="",0,H16))</f>
        <v>0</v>
      </c>
      <c r="O16" s="21">
        <f>IF(D16="","",IFERROR(INDEX(Invoices!$V$5:$V$404,MATCH(D16,Invoices!$A$5:$A$404,0)),""))</f>
        <v>0</v>
      </c>
      <c r="P16" s="21">
        <f>IF(D16="","",IFERROR(INDEX(Invoices!$W$5:$W$404,MATCH(D16,Invoices!$A$5:$A$404,0)),""))</f>
        <v>0</v>
      </c>
      <c r="Q16" s="21">
        <f>IF(OR(D16="",O16=""),"",ROUND(O16-P16,2))</f>
        <v>0</v>
      </c>
      <c r="R16" s="39">
        <f>IF(B16="","",IF(D16="","Add - which invoice?",IF(OR(G16="",G16=0),"Add - how much came in?",IF(Q16&lt;-0.004,"Check - overpaid",IF(L16="No","Due - not banked yet",IF(Q16&gt;0.004,"Part paid","OK"))))))</f>
        <v>0</v>
      </c>
    </row>
    <row r="17" spans="1:18">
      <c r="A17" s="43">
        <f>IF(B17="","",PaymentPrefix&amp;TEXT(ROW()-4,"0000"))</f>
        <v>0</v>
      </c>
      <c r="B17" s="46">
        <v>46313</v>
      </c>
      <c r="C17" s="23">
        <f>IF(B17="","",TEXT(B17,"yyyy-mm"))</f>
        <v>0</v>
      </c>
      <c r="D17" s="49" t="s">
        <v>1642</v>
      </c>
      <c r="E17" s="43">
        <f>IF(D17="","",IFERROR(INDEX(Invoices!$D$5:$D$404,MATCH(D17,Invoices!$A$5:$A$404,0)),""))</f>
        <v>0</v>
      </c>
      <c r="F17" s="23">
        <f>IF(D17="","",IFERROR(INDEX(Invoices!$E$5:$E$404,MATCH(D17,Invoices!$A$5:$A$404,0)),""))</f>
        <v>0</v>
      </c>
      <c r="G17" s="19">
        <v>360</v>
      </c>
      <c r="I17" s="15" t="s">
        <v>1592</v>
      </c>
      <c r="J17" s="15" t="s">
        <v>1672</v>
      </c>
      <c r="K17" s="47" t="s">
        <v>457</v>
      </c>
      <c r="L17" s="47" t="s">
        <v>454</v>
      </c>
      <c r="M17" s="44" t="s">
        <v>172</v>
      </c>
      <c r="N17" s="21">
        <f>IF(B17="","",IF(G17="",0,G17)-IF(H17="",0,H17))</f>
        <v>0</v>
      </c>
      <c r="O17" s="21">
        <f>IF(D17="","",IFERROR(INDEX(Invoices!$V$5:$V$404,MATCH(D17,Invoices!$A$5:$A$404,0)),""))</f>
        <v>0</v>
      </c>
      <c r="P17" s="21">
        <f>IF(D17="","",IFERROR(INDEX(Invoices!$W$5:$W$404,MATCH(D17,Invoices!$A$5:$A$404,0)),""))</f>
        <v>0</v>
      </c>
      <c r="Q17" s="21">
        <f>IF(OR(D17="",O17=""),"",ROUND(O17-P17,2))</f>
        <v>0</v>
      </c>
      <c r="R17" s="39">
        <f>IF(B17="","",IF(D17="","Add - which invoice?",IF(OR(G17="",G17=0),"Add - how much came in?",IF(Q17&lt;-0.004,"Check - overpaid",IF(L17="No","Due - not banked yet",IF(Q17&gt;0.004,"Part paid","OK"))))))</f>
        <v>0</v>
      </c>
    </row>
    <row r="18" spans="1:18">
      <c r="A18" s="43">
        <f>IF(B18="","",PaymentPrefix&amp;TEXT(ROW()-4,"0000"))</f>
        <v>0</v>
      </c>
      <c r="B18" s="46">
        <v>46308</v>
      </c>
      <c r="C18" s="23">
        <f>IF(B18="","",TEXT(B18,"yyyy-mm"))</f>
        <v>0</v>
      </c>
      <c r="D18" s="49" t="s">
        <v>1644</v>
      </c>
      <c r="E18" s="43">
        <f>IF(D18="","",IFERROR(INDEX(Invoices!$D$5:$D$404,MATCH(D18,Invoices!$A$5:$A$404,0)),""))</f>
        <v>0</v>
      </c>
      <c r="F18" s="23">
        <f>IF(D18="","",IFERROR(INDEX(Invoices!$E$5:$E$404,MATCH(D18,Invoices!$A$5:$A$404,0)),""))</f>
        <v>0</v>
      </c>
      <c r="G18" s="19">
        <v>121.5</v>
      </c>
      <c r="H18" s="19">
        <v>2.13</v>
      </c>
      <c r="I18" s="15" t="s">
        <v>1590</v>
      </c>
      <c r="J18" s="15" t="s">
        <v>1673</v>
      </c>
      <c r="K18" s="47" t="s">
        <v>457</v>
      </c>
      <c r="L18" s="47" t="s">
        <v>454</v>
      </c>
      <c r="M18" s="44" t="s">
        <v>172</v>
      </c>
      <c r="N18" s="21">
        <f>IF(B18="","",IF(G18="",0,G18)-IF(H18="",0,H18))</f>
        <v>0</v>
      </c>
      <c r="O18" s="21">
        <f>IF(D18="","",IFERROR(INDEX(Invoices!$V$5:$V$404,MATCH(D18,Invoices!$A$5:$A$404,0)),""))</f>
        <v>0</v>
      </c>
      <c r="P18" s="21">
        <f>IF(D18="","",IFERROR(INDEX(Invoices!$W$5:$W$404,MATCH(D18,Invoices!$A$5:$A$404,0)),""))</f>
        <v>0</v>
      </c>
      <c r="Q18" s="21">
        <f>IF(OR(D18="",O18=""),"",ROUND(O18-P18,2))</f>
        <v>0</v>
      </c>
      <c r="R18" s="39">
        <f>IF(B18="","",IF(D18="","Add - which invoice?",IF(OR(G18="",G18=0),"Add - how much came in?",IF(Q18&lt;-0.004,"Check - overpaid",IF(L18="No","Due - not banked yet",IF(Q18&gt;0.004,"Part paid","OK"))))))</f>
        <v>0</v>
      </c>
    </row>
    <row r="19" spans="1:18">
      <c r="A19" s="43">
        <f>IF(B19="","",PaymentPrefix&amp;TEXT(ROW()-4,"0000"))</f>
        <v>0</v>
      </c>
      <c r="B19" s="46">
        <v>46301</v>
      </c>
      <c r="C19" s="23">
        <f>IF(B19="","",TEXT(B19,"yyyy-mm"))</f>
        <v>0</v>
      </c>
      <c r="D19" s="49" t="s">
        <v>172</v>
      </c>
      <c r="E19" s="43">
        <f>IF(D19="","",IFERROR(INDEX(Invoices!$D$5:$D$404,MATCH(D19,Invoices!$A$5:$A$404,0)),""))</f>
        <v>0</v>
      </c>
      <c r="F19" s="23">
        <f>IF(D19="","",IFERROR(INDEX(Invoices!$E$5:$E$404,MATCH(D19,Invoices!$A$5:$A$404,0)),""))</f>
        <v>0</v>
      </c>
      <c r="G19" s="19">
        <v>100</v>
      </c>
      <c r="H19" s="19">
        <v>1.75</v>
      </c>
      <c r="I19" s="15" t="s">
        <v>1590</v>
      </c>
      <c r="J19" s="15" t="s">
        <v>1674</v>
      </c>
      <c r="K19" s="47" t="s">
        <v>454</v>
      </c>
      <c r="L19" s="47" t="s">
        <v>454</v>
      </c>
      <c r="M19" s="44" t="s">
        <v>1675</v>
      </c>
      <c r="N19" s="21">
        <f>IF(B19="","",IF(G19="",0,G19)-IF(H19="",0,H19))</f>
        <v>0</v>
      </c>
      <c r="O19" s="21">
        <f>IF(D19="","",IFERROR(INDEX(Invoices!$V$5:$V$404,MATCH(D19,Invoices!$A$5:$A$404,0)),""))</f>
        <v>0</v>
      </c>
      <c r="P19" s="21">
        <f>IF(D19="","",IFERROR(INDEX(Invoices!$W$5:$W$404,MATCH(D19,Invoices!$A$5:$A$404,0)),""))</f>
        <v>0</v>
      </c>
      <c r="Q19" s="21">
        <f>IF(OR(D19="",O19=""),"",ROUND(O19-P19,2))</f>
        <v>0</v>
      </c>
      <c r="R19" s="39">
        <f>IF(B19="","",IF(D19="","Add - which invoice?",IF(OR(G19="",G19=0),"Add - how much came in?",IF(Q19&lt;-0.004,"Check - overpaid",IF(L19="No","Due - not banked yet",IF(Q19&gt;0.004,"Part paid","OK"))))))</f>
        <v>0</v>
      </c>
    </row>
    <row r="20" spans="1:18">
      <c r="A20" s="43">
        <f>IF(B20="","",PaymentPrefix&amp;TEXT(ROW()-4,"0000"))</f>
        <v>0</v>
      </c>
      <c r="C20" s="23">
        <f>IF(B20="","",TEXT(B20,"yyyy-mm"))</f>
        <v>0</v>
      </c>
      <c r="E20" s="43">
        <f>IF(D20="","",IFERROR(INDEX(Invoices!$D$5:$D$404,MATCH(D20,Invoices!$A$5:$A$404,0)),""))</f>
        <v>0</v>
      </c>
      <c r="F20" s="23">
        <f>IF(D20="","",IFERROR(INDEX(Invoices!$E$5:$E$404,MATCH(D20,Invoices!$A$5:$A$404,0)),""))</f>
        <v>0</v>
      </c>
      <c r="N20" s="21">
        <f>IF(B20="","",IF(G20="",0,G20)-IF(H20="",0,H20))</f>
        <v>0</v>
      </c>
      <c r="O20" s="21">
        <f>IF(D20="","",IFERROR(INDEX(Invoices!$V$5:$V$404,MATCH(D20,Invoices!$A$5:$A$404,0)),""))</f>
        <v>0</v>
      </c>
      <c r="P20" s="21">
        <f>IF(D20="","",IFERROR(INDEX(Invoices!$W$5:$W$404,MATCH(D20,Invoices!$A$5:$A$404,0)),""))</f>
        <v>0</v>
      </c>
      <c r="Q20" s="21">
        <f>IF(OR(D20="",O20=""),"",ROUND(O20-P20,2))</f>
        <v>0</v>
      </c>
      <c r="R20" s="39">
        <f>IF(B20="","",IF(D20="","Add - which invoice?",IF(OR(G20="",G20=0),"Add - how much came in?",IF(Q20&lt;-0.004,"Check - overpaid",IF(L20="No","Due - not banked yet",IF(Q20&gt;0.004,"Part paid","OK"))))))</f>
        <v>0</v>
      </c>
    </row>
    <row r="21" spans="1:18">
      <c r="A21" s="43">
        <f>IF(B21="","",PaymentPrefix&amp;TEXT(ROW()-4,"0000"))</f>
        <v>0</v>
      </c>
      <c r="C21" s="23">
        <f>IF(B21="","",TEXT(B21,"yyyy-mm"))</f>
        <v>0</v>
      </c>
      <c r="E21" s="43">
        <f>IF(D21="","",IFERROR(INDEX(Invoices!$D$5:$D$404,MATCH(D21,Invoices!$A$5:$A$404,0)),""))</f>
        <v>0</v>
      </c>
      <c r="F21" s="23">
        <f>IF(D21="","",IFERROR(INDEX(Invoices!$E$5:$E$404,MATCH(D21,Invoices!$A$5:$A$404,0)),""))</f>
        <v>0</v>
      </c>
      <c r="N21" s="21">
        <f>IF(B21="","",IF(G21="",0,G21)-IF(H21="",0,H21))</f>
        <v>0</v>
      </c>
      <c r="O21" s="21">
        <f>IF(D21="","",IFERROR(INDEX(Invoices!$V$5:$V$404,MATCH(D21,Invoices!$A$5:$A$404,0)),""))</f>
        <v>0</v>
      </c>
      <c r="P21" s="21">
        <f>IF(D21="","",IFERROR(INDEX(Invoices!$W$5:$W$404,MATCH(D21,Invoices!$A$5:$A$404,0)),""))</f>
        <v>0</v>
      </c>
      <c r="Q21" s="21">
        <f>IF(OR(D21="",O21=""),"",ROUND(O21-P21,2))</f>
        <v>0</v>
      </c>
      <c r="R21" s="39">
        <f>IF(B21="","",IF(D21="","Add - which invoice?",IF(OR(G21="",G21=0),"Add - how much came in?",IF(Q21&lt;-0.004,"Check - overpaid",IF(L21="No","Due - not banked yet",IF(Q21&gt;0.004,"Part paid","OK"))))))</f>
        <v>0</v>
      </c>
    </row>
    <row r="22" spans="1:18">
      <c r="A22" s="43">
        <f>IF(B22="","",PaymentPrefix&amp;TEXT(ROW()-4,"0000"))</f>
        <v>0</v>
      </c>
      <c r="C22" s="23">
        <f>IF(B22="","",TEXT(B22,"yyyy-mm"))</f>
        <v>0</v>
      </c>
      <c r="E22" s="43">
        <f>IF(D22="","",IFERROR(INDEX(Invoices!$D$5:$D$404,MATCH(D22,Invoices!$A$5:$A$404,0)),""))</f>
        <v>0</v>
      </c>
      <c r="F22" s="23">
        <f>IF(D22="","",IFERROR(INDEX(Invoices!$E$5:$E$404,MATCH(D22,Invoices!$A$5:$A$404,0)),""))</f>
        <v>0</v>
      </c>
      <c r="N22" s="21">
        <f>IF(B22="","",IF(G22="",0,G22)-IF(H22="",0,H22))</f>
        <v>0</v>
      </c>
      <c r="O22" s="21">
        <f>IF(D22="","",IFERROR(INDEX(Invoices!$V$5:$V$404,MATCH(D22,Invoices!$A$5:$A$404,0)),""))</f>
        <v>0</v>
      </c>
      <c r="P22" s="21">
        <f>IF(D22="","",IFERROR(INDEX(Invoices!$W$5:$W$404,MATCH(D22,Invoices!$A$5:$A$404,0)),""))</f>
        <v>0</v>
      </c>
      <c r="Q22" s="21">
        <f>IF(OR(D22="",O22=""),"",ROUND(O22-P22,2))</f>
        <v>0</v>
      </c>
      <c r="R22" s="39">
        <f>IF(B22="","",IF(D22="","Add - which invoice?",IF(OR(G22="",G22=0),"Add - how much came in?",IF(Q22&lt;-0.004,"Check - overpaid",IF(L22="No","Due - not banked yet",IF(Q22&gt;0.004,"Part paid","OK"))))))</f>
        <v>0</v>
      </c>
    </row>
    <row r="23" spans="1:18">
      <c r="A23" s="43">
        <f>IF(B23="","",PaymentPrefix&amp;TEXT(ROW()-4,"0000"))</f>
        <v>0</v>
      </c>
      <c r="C23" s="23">
        <f>IF(B23="","",TEXT(B23,"yyyy-mm"))</f>
        <v>0</v>
      </c>
      <c r="E23" s="43">
        <f>IF(D23="","",IFERROR(INDEX(Invoices!$D$5:$D$404,MATCH(D23,Invoices!$A$5:$A$404,0)),""))</f>
        <v>0</v>
      </c>
      <c r="F23" s="23">
        <f>IF(D23="","",IFERROR(INDEX(Invoices!$E$5:$E$404,MATCH(D23,Invoices!$A$5:$A$404,0)),""))</f>
        <v>0</v>
      </c>
      <c r="N23" s="21">
        <f>IF(B23="","",IF(G23="",0,G23)-IF(H23="",0,H23))</f>
        <v>0</v>
      </c>
      <c r="O23" s="21">
        <f>IF(D23="","",IFERROR(INDEX(Invoices!$V$5:$V$404,MATCH(D23,Invoices!$A$5:$A$404,0)),""))</f>
        <v>0</v>
      </c>
      <c r="P23" s="21">
        <f>IF(D23="","",IFERROR(INDEX(Invoices!$W$5:$W$404,MATCH(D23,Invoices!$A$5:$A$404,0)),""))</f>
        <v>0</v>
      </c>
      <c r="Q23" s="21">
        <f>IF(OR(D23="",O23=""),"",ROUND(O23-P23,2))</f>
        <v>0</v>
      </c>
      <c r="R23" s="39">
        <f>IF(B23="","",IF(D23="","Add - which invoice?",IF(OR(G23="",G23=0),"Add - how much came in?",IF(Q23&lt;-0.004,"Check - overpaid",IF(L23="No","Due - not banked yet",IF(Q23&gt;0.004,"Part paid","OK"))))))</f>
        <v>0</v>
      </c>
    </row>
    <row r="24" spans="1:18">
      <c r="A24" s="43">
        <f>IF(B24="","",PaymentPrefix&amp;TEXT(ROW()-4,"0000"))</f>
        <v>0</v>
      </c>
      <c r="C24" s="23">
        <f>IF(B24="","",TEXT(B24,"yyyy-mm"))</f>
        <v>0</v>
      </c>
      <c r="E24" s="43">
        <f>IF(D24="","",IFERROR(INDEX(Invoices!$D$5:$D$404,MATCH(D24,Invoices!$A$5:$A$404,0)),""))</f>
        <v>0</v>
      </c>
      <c r="F24" s="23">
        <f>IF(D24="","",IFERROR(INDEX(Invoices!$E$5:$E$404,MATCH(D24,Invoices!$A$5:$A$404,0)),""))</f>
        <v>0</v>
      </c>
      <c r="N24" s="21">
        <f>IF(B24="","",IF(G24="",0,G24)-IF(H24="",0,H24))</f>
        <v>0</v>
      </c>
      <c r="O24" s="21">
        <f>IF(D24="","",IFERROR(INDEX(Invoices!$V$5:$V$404,MATCH(D24,Invoices!$A$5:$A$404,0)),""))</f>
        <v>0</v>
      </c>
      <c r="P24" s="21">
        <f>IF(D24="","",IFERROR(INDEX(Invoices!$W$5:$W$404,MATCH(D24,Invoices!$A$5:$A$404,0)),""))</f>
        <v>0</v>
      </c>
      <c r="Q24" s="21">
        <f>IF(OR(D24="",O24=""),"",ROUND(O24-P24,2))</f>
        <v>0</v>
      </c>
      <c r="R24" s="39">
        <f>IF(B24="","",IF(D24="","Add - which invoice?",IF(OR(G24="",G24=0),"Add - how much came in?",IF(Q24&lt;-0.004,"Check - overpaid",IF(L24="No","Due - not banked yet",IF(Q24&gt;0.004,"Part paid","OK"))))))</f>
        <v>0</v>
      </c>
    </row>
    <row r="25" spans="1:18">
      <c r="A25" s="43">
        <f>IF(B25="","",PaymentPrefix&amp;TEXT(ROW()-4,"0000"))</f>
        <v>0</v>
      </c>
      <c r="C25" s="23">
        <f>IF(B25="","",TEXT(B25,"yyyy-mm"))</f>
        <v>0</v>
      </c>
      <c r="E25" s="43">
        <f>IF(D25="","",IFERROR(INDEX(Invoices!$D$5:$D$404,MATCH(D25,Invoices!$A$5:$A$404,0)),""))</f>
        <v>0</v>
      </c>
      <c r="F25" s="23">
        <f>IF(D25="","",IFERROR(INDEX(Invoices!$E$5:$E$404,MATCH(D25,Invoices!$A$5:$A$404,0)),""))</f>
        <v>0</v>
      </c>
      <c r="N25" s="21">
        <f>IF(B25="","",IF(G25="",0,G25)-IF(H25="",0,H25))</f>
        <v>0</v>
      </c>
      <c r="O25" s="21">
        <f>IF(D25="","",IFERROR(INDEX(Invoices!$V$5:$V$404,MATCH(D25,Invoices!$A$5:$A$404,0)),""))</f>
        <v>0</v>
      </c>
      <c r="P25" s="21">
        <f>IF(D25="","",IFERROR(INDEX(Invoices!$W$5:$W$404,MATCH(D25,Invoices!$A$5:$A$404,0)),""))</f>
        <v>0</v>
      </c>
      <c r="Q25" s="21">
        <f>IF(OR(D25="",O25=""),"",ROUND(O25-P25,2))</f>
        <v>0</v>
      </c>
      <c r="R25" s="39">
        <f>IF(B25="","",IF(D25="","Add - which invoice?",IF(OR(G25="",G25=0),"Add - how much came in?",IF(Q25&lt;-0.004,"Check - overpaid",IF(L25="No","Due - not banked yet",IF(Q25&gt;0.004,"Part paid","OK"))))))</f>
        <v>0</v>
      </c>
    </row>
    <row r="26" spans="1:18">
      <c r="A26" s="43">
        <f>IF(B26="","",PaymentPrefix&amp;TEXT(ROW()-4,"0000"))</f>
        <v>0</v>
      </c>
      <c r="C26" s="23">
        <f>IF(B26="","",TEXT(B26,"yyyy-mm"))</f>
        <v>0</v>
      </c>
      <c r="E26" s="43">
        <f>IF(D26="","",IFERROR(INDEX(Invoices!$D$5:$D$404,MATCH(D26,Invoices!$A$5:$A$404,0)),""))</f>
        <v>0</v>
      </c>
      <c r="F26" s="23">
        <f>IF(D26="","",IFERROR(INDEX(Invoices!$E$5:$E$404,MATCH(D26,Invoices!$A$5:$A$404,0)),""))</f>
        <v>0</v>
      </c>
      <c r="N26" s="21">
        <f>IF(B26="","",IF(G26="",0,G26)-IF(H26="",0,H26))</f>
        <v>0</v>
      </c>
      <c r="O26" s="21">
        <f>IF(D26="","",IFERROR(INDEX(Invoices!$V$5:$V$404,MATCH(D26,Invoices!$A$5:$A$404,0)),""))</f>
        <v>0</v>
      </c>
      <c r="P26" s="21">
        <f>IF(D26="","",IFERROR(INDEX(Invoices!$W$5:$W$404,MATCH(D26,Invoices!$A$5:$A$404,0)),""))</f>
        <v>0</v>
      </c>
      <c r="Q26" s="21">
        <f>IF(OR(D26="",O26=""),"",ROUND(O26-P26,2))</f>
        <v>0</v>
      </c>
      <c r="R26" s="39">
        <f>IF(B26="","",IF(D26="","Add - which invoice?",IF(OR(G26="",G26=0),"Add - how much came in?",IF(Q26&lt;-0.004,"Check - overpaid",IF(L26="No","Due - not banked yet",IF(Q26&gt;0.004,"Part paid","OK"))))))</f>
        <v>0</v>
      </c>
    </row>
    <row r="27" spans="1:18">
      <c r="A27" s="43">
        <f>IF(B27="","",PaymentPrefix&amp;TEXT(ROW()-4,"0000"))</f>
        <v>0</v>
      </c>
      <c r="C27" s="23">
        <f>IF(B27="","",TEXT(B27,"yyyy-mm"))</f>
        <v>0</v>
      </c>
      <c r="E27" s="43">
        <f>IF(D27="","",IFERROR(INDEX(Invoices!$D$5:$D$404,MATCH(D27,Invoices!$A$5:$A$404,0)),""))</f>
        <v>0</v>
      </c>
      <c r="F27" s="23">
        <f>IF(D27="","",IFERROR(INDEX(Invoices!$E$5:$E$404,MATCH(D27,Invoices!$A$5:$A$404,0)),""))</f>
        <v>0</v>
      </c>
      <c r="N27" s="21">
        <f>IF(B27="","",IF(G27="",0,G27)-IF(H27="",0,H27))</f>
        <v>0</v>
      </c>
      <c r="O27" s="21">
        <f>IF(D27="","",IFERROR(INDEX(Invoices!$V$5:$V$404,MATCH(D27,Invoices!$A$5:$A$404,0)),""))</f>
        <v>0</v>
      </c>
      <c r="P27" s="21">
        <f>IF(D27="","",IFERROR(INDEX(Invoices!$W$5:$W$404,MATCH(D27,Invoices!$A$5:$A$404,0)),""))</f>
        <v>0</v>
      </c>
      <c r="Q27" s="21">
        <f>IF(OR(D27="",O27=""),"",ROUND(O27-P27,2))</f>
        <v>0</v>
      </c>
      <c r="R27" s="39">
        <f>IF(B27="","",IF(D27="","Add - which invoice?",IF(OR(G27="",G27=0),"Add - how much came in?",IF(Q27&lt;-0.004,"Check - overpaid",IF(L27="No","Due - not banked yet",IF(Q27&gt;0.004,"Part paid","OK"))))))</f>
        <v>0</v>
      </c>
    </row>
    <row r="28" spans="1:18">
      <c r="A28" s="43">
        <f>IF(B28="","",PaymentPrefix&amp;TEXT(ROW()-4,"0000"))</f>
        <v>0</v>
      </c>
      <c r="C28" s="23">
        <f>IF(B28="","",TEXT(B28,"yyyy-mm"))</f>
        <v>0</v>
      </c>
      <c r="E28" s="43">
        <f>IF(D28="","",IFERROR(INDEX(Invoices!$D$5:$D$404,MATCH(D28,Invoices!$A$5:$A$404,0)),""))</f>
        <v>0</v>
      </c>
      <c r="F28" s="23">
        <f>IF(D28="","",IFERROR(INDEX(Invoices!$E$5:$E$404,MATCH(D28,Invoices!$A$5:$A$404,0)),""))</f>
        <v>0</v>
      </c>
      <c r="N28" s="21">
        <f>IF(B28="","",IF(G28="",0,G28)-IF(H28="",0,H28))</f>
        <v>0</v>
      </c>
      <c r="O28" s="21">
        <f>IF(D28="","",IFERROR(INDEX(Invoices!$V$5:$V$404,MATCH(D28,Invoices!$A$5:$A$404,0)),""))</f>
        <v>0</v>
      </c>
      <c r="P28" s="21">
        <f>IF(D28="","",IFERROR(INDEX(Invoices!$W$5:$W$404,MATCH(D28,Invoices!$A$5:$A$404,0)),""))</f>
        <v>0</v>
      </c>
      <c r="Q28" s="21">
        <f>IF(OR(D28="",O28=""),"",ROUND(O28-P28,2))</f>
        <v>0</v>
      </c>
      <c r="R28" s="39">
        <f>IF(B28="","",IF(D28="","Add - which invoice?",IF(OR(G28="",G28=0),"Add - how much came in?",IF(Q28&lt;-0.004,"Check - overpaid",IF(L28="No","Due - not banked yet",IF(Q28&gt;0.004,"Part paid","OK"))))))</f>
        <v>0</v>
      </c>
    </row>
    <row r="29" spans="1:18">
      <c r="A29" s="43">
        <f>IF(B29="","",PaymentPrefix&amp;TEXT(ROW()-4,"0000"))</f>
        <v>0</v>
      </c>
      <c r="C29" s="23">
        <f>IF(B29="","",TEXT(B29,"yyyy-mm"))</f>
        <v>0</v>
      </c>
      <c r="E29" s="43">
        <f>IF(D29="","",IFERROR(INDEX(Invoices!$D$5:$D$404,MATCH(D29,Invoices!$A$5:$A$404,0)),""))</f>
        <v>0</v>
      </c>
      <c r="F29" s="23">
        <f>IF(D29="","",IFERROR(INDEX(Invoices!$E$5:$E$404,MATCH(D29,Invoices!$A$5:$A$404,0)),""))</f>
        <v>0</v>
      </c>
      <c r="N29" s="21">
        <f>IF(B29="","",IF(G29="",0,G29)-IF(H29="",0,H29))</f>
        <v>0</v>
      </c>
      <c r="O29" s="21">
        <f>IF(D29="","",IFERROR(INDEX(Invoices!$V$5:$V$404,MATCH(D29,Invoices!$A$5:$A$404,0)),""))</f>
        <v>0</v>
      </c>
      <c r="P29" s="21">
        <f>IF(D29="","",IFERROR(INDEX(Invoices!$W$5:$W$404,MATCH(D29,Invoices!$A$5:$A$404,0)),""))</f>
        <v>0</v>
      </c>
      <c r="Q29" s="21">
        <f>IF(OR(D29="",O29=""),"",ROUND(O29-P29,2))</f>
        <v>0</v>
      </c>
      <c r="R29" s="39">
        <f>IF(B29="","",IF(D29="","Add - which invoice?",IF(OR(G29="",G29=0),"Add - how much came in?",IF(Q29&lt;-0.004,"Check - overpaid",IF(L29="No","Due - not banked yet",IF(Q29&gt;0.004,"Part paid","OK"))))))</f>
        <v>0</v>
      </c>
    </row>
    <row r="30" spans="1:18">
      <c r="A30" s="43">
        <f>IF(B30="","",PaymentPrefix&amp;TEXT(ROW()-4,"0000"))</f>
        <v>0</v>
      </c>
      <c r="C30" s="23">
        <f>IF(B30="","",TEXT(B30,"yyyy-mm"))</f>
        <v>0</v>
      </c>
      <c r="E30" s="43">
        <f>IF(D30="","",IFERROR(INDEX(Invoices!$D$5:$D$404,MATCH(D30,Invoices!$A$5:$A$404,0)),""))</f>
        <v>0</v>
      </c>
      <c r="F30" s="23">
        <f>IF(D30="","",IFERROR(INDEX(Invoices!$E$5:$E$404,MATCH(D30,Invoices!$A$5:$A$404,0)),""))</f>
        <v>0</v>
      </c>
      <c r="N30" s="21">
        <f>IF(B30="","",IF(G30="",0,G30)-IF(H30="",0,H30))</f>
        <v>0</v>
      </c>
      <c r="O30" s="21">
        <f>IF(D30="","",IFERROR(INDEX(Invoices!$V$5:$V$404,MATCH(D30,Invoices!$A$5:$A$404,0)),""))</f>
        <v>0</v>
      </c>
      <c r="P30" s="21">
        <f>IF(D30="","",IFERROR(INDEX(Invoices!$W$5:$W$404,MATCH(D30,Invoices!$A$5:$A$404,0)),""))</f>
        <v>0</v>
      </c>
      <c r="Q30" s="21">
        <f>IF(OR(D30="",O30=""),"",ROUND(O30-P30,2))</f>
        <v>0</v>
      </c>
      <c r="R30" s="39">
        <f>IF(B30="","",IF(D30="","Add - which invoice?",IF(OR(G30="",G30=0),"Add - how much came in?",IF(Q30&lt;-0.004,"Check - overpaid",IF(L30="No","Due - not banked yet",IF(Q30&gt;0.004,"Part paid","OK"))))))</f>
        <v>0</v>
      </c>
    </row>
    <row r="31" spans="1:18">
      <c r="A31" s="43">
        <f>IF(B31="","",PaymentPrefix&amp;TEXT(ROW()-4,"0000"))</f>
        <v>0</v>
      </c>
      <c r="C31" s="23">
        <f>IF(B31="","",TEXT(B31,"yyyy-mm"))</f>
        <v>0</v>
      </c>
      <c r="E31" s="43">
        <f>IF(D31="","",IFERROR(INDEX(Invoices!$D$5:$D$404,MATCH(D31,Invoices!$A$5:$A$404,0)),""))</f>
        <v>0</v>
      </c>
      <c r="F31" s="23">
        <f>IF(D31="","",IFERROR(INDEX(Invoices!$E$5:$E$404,MATCH(D31,Invoices!$A$5:$A$404,0)),""))</f>
        <v>0</v>
      </c>
      <c r="N31" s="21">
        <f>IF(B31="","",IF(G31="",0,G31)-IF(H31="",0,H31))</f>
        <v>0</v>
      </c>
      <c r="O31" s="21">
        <f>IF(D31="","",IFERROR(INDEX(Invoices!$V$5:$V$404,MATCH(D31,Invoices!$A$5:$A$404,0)),""))</f>
        <v>0</v>
      </c>
      <c r="P31" s="21">
        <f>IF(D31="","",IFERROR(INDEX(Invoices!$W$5:$W$404,MATCH(D31,Invoices!$A$5:$A$404,0)),""))</f>
        <v>0</v>
      </c>
      <c r="Q31" s="21">
        <f>IF(OR(D31="",O31=""),"",ROUND(O31-P31,2))</f>
        <v>0</v>
      </c>
      <c r="R31" s="39">
        <f>IF(B31="","",IF(D31="","Add - which invoice?",IF(OR(G31="",G31=0),"Add - how much came in?",IF(Q31&lt;-0.004,"Check - overpaid",IF(L31="No","Due - not banked yet",IF(Q31&gt;0.004,"Part paid","OK"))))))</f>
        <v>0</v>
      </c>
    </row>
    <row r="32" spans="1:18">
      <c r="A32" s="43">
        <f>IF(B32="","",PaymentPrefix&amp;TEXT(ROW()-4,"0000"))</f>
        <v>0</v>
      </c>
      <c r="C32" s="23">
        <f>IF(B32="","",TEXT(B32,"yyyy-mm"))</f>
        <v>0</v>
      </c>
      <c r="E32" s="43">
        <f>IF(D32="","",IFERROR(INDEX(Invoices!$D$5:$D$404,MATCH(D32,Invoices!$A$5:$A$404,0)),""))</f>
        <v>0</v>
      </c>
      <c r="F32" s="23">
        <f>IF(D32="","",IFERROR(INDEX(Invoices!$E$5:$E$404,MATCH(D32,Invoices!$A$5:$A$404,0)),""))</f>
        <v>0</v>
      </c>
      <c r="N32" s="21">
        <f>IF(B32="","",IF(G32="",0,G32)-IF(H32="",0,H32))</f>
        <v>0</v>
      </c>
      <c r="O32" s="21">
        <f>IF(D32="","",IFERROR(INDEX(Invoices!$V$5:$V$404,MATCH(D32,Invoices!$A$5:$A$404,0)),""))</f>
        <v>0</v>
      </c>
      <c r="P32" s="21">
        <f>IF(D32="","",IFERROR(INDEX(Invoices!$W$5:$W$404,MATCH(D32,Invoices!$A$5:$A$404,0)),""))</f>
        <v>0</v>
      </c>
      <c r="Q32" s="21">
        <f>IF(OR(D32="",O32=""),"",ROUND(O32-P32,2))</f>
        <v>0</v>
      </c>
      <c r="R32" s="39">
        <f>IF(B32="","",IF(D32="","Add - which invoice?",IF(OR(G32="",G32=0),"Add - how much came in?",IF(Q32&lt;-0.004,"Check - overpaid",IF(L32="No","Due - not banked yet",IF(Q32&gt;0.004,"Part paid","OK"))))))</f>
        <v>0</v>
      </c>
    </row>
    <row r="33" spans="1:18">
      <c r="A33" s="43">
        <f>IF(B33="","",PaymentPrefix&amp;TEXT(ROW()-4,"0000"))</f>
        <v>0</v>
      </c>
      <c r="C33" s="23">
        <f>IF(B33="","",TEXT(B33,"yyyy-mm"))</f>
        <v>0</v>
      </c>
      <c r="E33" s="43">
        <f>IF(D33="","",IFERROR(INDEX(Invoices!$D$5:$D$404,MATCH(D33,Invoices!$A$5:$A$404,0)),""))</f>
        <v>0</v>
      </c>
      <c r="F33" s="23">
        <f>IF(D33="","",IFERROR(INDEX(Invoices!$E$5:$E$404,MATCH(D33,Invoices!$A$5:$A$404,0)),""))</f>
        <v>0</v>
      </c>
      <c r="N33" s="21">
        <f>IF(B33="","",IF(G33="",0,G33)-IF(H33="",0,H33))</f>
        <v>0</v>
      </c>
      <c r="O33" s="21">
        <f>IF(D33="","",IFERROR(INDEX(Invoices!$V$5:$V$404,MATCH(D33,Invoices!$A$5:$A$404,0)),""))</f>
        <v>0</v>
      </c>
      <c r="P33" s="21">
        <f>IF(D33="","",IFERROR(INDEX(Invoices!$W$5:$W$404,MATCH(D33,Invoices!$A$5:$A$404,0)),""))</f>
        <v>0</v>
      </c>
      <c r="Q33" s="21">
        <f>IF(OR(D33="",O33=""),"",ROUND(O33-P33,2))</f>
        <v>0</v>
      </c>
      <c r="R33" s="39">
        <f>IF(B33="","",IF(D33="","Add - which invoice?",IF(OR(G33="",G33=0),"Add - how much came in?",IF(Q33&lt;-0.004,"Check - overpaid",IF(L33="No","Due - not banked yet",IF(Q33&gt;0.004,"Part paid","OK"))))))</f>
        <v>0</v>
      </c>
    </row>
    <row r="34" spans="1:18">
      <c r="A34" s="43">
        <f>IF(B34="","",PaymentPrefix&amp;TEXT(ROW()-4,"0000"))</f>
        <v>0</v>
      </c>
      <c r="C34" s="23">
        <f>IF(B34="","",TEXT(B34,"yyyy-mm"))</f>
        <v>0</v>
      </c>
      <c r="E34" s="43">
        <f>IF(D34="","",IFERROR(INDEX(Invoices!$D$5:$D$404,MATCH(D34,Invoices!$A$5:$A$404,0)),""))</f>
        <v>0</v>
      </c>
      <c r="F34" s="23">
        <f>IF(D34="","",IFERROR(INDEX(Invoices!$E$5:$E$404,MATCH(D34,Invoices!$A$5:$A$404,0)),""))</f>
        <v>0</v>
      </c>
      <c r="N34" s="21">
        <f>IF(B34="","",IF(G34="",0,G34)-IF(H34="",0,H34))</f>
        <v>0</v>
      </c>
      <c r="O34" s="21">
        <f>IF(D34="","",IFERROR(INDEX(Invoices!$V$5:$V$404,MATCH(D34,Invoices!$A$5:$A$404,0)),""))</f>
        <v>0</v>
      </c>
      <c r="P34" s="21">
        <f>IF(D34="","",IFERROR(INDEX(Invoices!$W$5:$W$404,MATCH(D34,Invoices!$A$5:$A$404,0)),""))</f>
        <v>0</v>
      </c>
      <c r="Q34" s="21">
        <f>IF(OR(D34="",O34=""),"",ROUND(O34-P34,2))</f>
        <v>0</v>
      </c>
      <c r="R34" s="39">
        <f>IF(B34="","",IF(D34="","Add - which invoice?",IF(OR(G34="",G34=0),"Add - how much came in?",IF(Q34&lt;-0.004,"Check - overpaid",IF(L34="No","Due - not banked yet",IF(Q34&gt;0.004,"Part paid","OK"))))))</f>
        <v>0</v>
      </c>
    </row>
    <row r="35" spans="1:18">
      <c r="A35" s="43">
        <f>IF(B35="","",PaymentPrefix&amp;TEXT(ROW()-4,"0000"))</f>
        <v>0</v>
      </c>
      <c r="C35" s="23">
        <f>IF(B35="","",TEXT(B35,"yyyy-mm"))</f>
        <v>0</v>
      </c>
      <c r="E35" s="43">
        <f>IF(D35="","",IFERROR(INDEX(Invoices!$D$5:$D$404,MATCH(D35,Invoices!$A$5:$A$404,0)),""))</f>
        <v>0</v>
      </c>
      <c r="F35" s="23">
        <f>IF(D35="","",IFERROR(INDEX(Invoices!$E$5:$E$404,MATCH(D35,Invoices!$A$5:$A$404,0)),""))</f>
        <v>0</v>
      </c>
      <c r="N35" s="21">
        <f>IF(B35="","",IF(G35="",0,G35)-IF(H35="",0,H35))</f>
        <v>0</v>
      </c>
      <c r="O35" s="21">
        <f>IF(D35="","",IFERROR(INDEX(Invoices!$V$5:$V$404,MATCH(D35,Invoices!$A$5:$A$404,0)),""))</f>
        <v>0</v>
      </c>
      <c r="P35" s="21">
        <f>IF(D35="","",IFERROR(INDEX(Invoices!$W$5:$W$404,MATCH(D35,Invoices!$A$5:$A$404,0)),""))</f>
        <v>0</v>
      </c>
      <c r="Q35" s="21">
        <f>IF(OR(D35="",O35=""),"",ROUND(O35-P35,2))</f>
        <v>0</v>
      </c>
      <c r="R35" s="39">
        <f>IF(B35="","",IF(D35="","Add - which invoice?",IF(OR(G35="",G35=0),"Add - how much came in?",IF(Q35&lt;-0.004,"Check - overpaid",IF(L35="No","Due - not banked yet",IF(Q35&gt;0.004,"Part paid","OK"))))))</f>
        <v>0</v>
      </c>
    </row>
    <row r="36" spans="1:18">
      <c r="A36" s="43">
        <f>IF(B36="","",PaymentPrefix&amp;TEXT(ROW()-4,"0000"))</f>
        <v>0</v>
      </c>
      <c r="C36" s="23">
        <f>IF(B36="","",TEXT(B36,"yyyy-mm"))</f>
        <v>0</v>
      </c>
      <c r="E36" s="43">
        <f>IF(D36="","",IFERROR(INDEX(Invoices!$D$5:$D$404,MATCH(D36,Invoices!$A$5:$A$404,0)),""))</f>
        <v>0</v>
      </c>
      <c r="F36" s="23">
        <f>IF(D36="","",IFERROR(INDEX(Invoices!$E$5:$E$404,MATCH(D36,Invoices!$A$5:$A$404,0)),""))</f>
        <v>0</v>
      </c>
      <c r="N36" s="21">
        <f>IF(B36="","",IF(G36="",0,G36)-IF(H36="",0,H36))</f>
        <v>0</v>
      </c>
      <c r="O36" s="21">
        <f>IF(D36="","",IFERROR(INDEX(Invoices!$V$5:$V$404,MATCH(D36,Invoices!$A$5:$A$404,0)),""))</f>
        <v>0</v>
      </c>
      <c r="P36" s="21">
        <f>IF(D36="","",IFERROR(INDEX(Invoices!$W$5:$W$404,MATCH(D36,Invoices!$A$5:$A$404,0)),""))</f>
        <v>0</v>
      </c>
      <c r="Q36" s="21">
        <f>IF(OR(D36="",O36=""),"",ROUND(O36-P36,2))</f>
        <v>0</v>
      </c>
      <c r="R36" s="39">
        <f>IF(B36="","",IF(D36="","Add - which invoice?",IF(OR(G36="",G36=0),"Add - how much came in?",IF(Q36&lt;-0.004,"Check - overpaid",IF(L36="No","Due - not banked yet",IF(Q36&gt;0.004,"Part paid","OK"))))))</f>
        <v>0</v>
      </c>
    </row>
    <row r="37" spans="1:18">
      <c r="A37" s="43">
        <f>IF(B37="","",PaymentPrefix&amp;TEXT(ROW()-4,"0000"))</f>
        <v>0</v>
      </c>
      <c r="C37" s="23">
        <f>IF(B37="","",TEXT(B37,"yyyy-mm"))</f>
        <v>0</v>
      </c>
      <c r="E37" s="43">
        <f>IF(D37="","",IFERROR(INDEX(Invoices!$D$5:$D$404,MATCH(D37,Invoices!$A$5:$A$404,0)),""))</f>
        <v>0</v>
      </c>
      <c r="F37" s="23">
        <f>IF(D37="","",IFERROR(INDEX(Invoices!$E$5:$E$404,MATCH(D37,Invoices!$A$5:$A$404,0)),""))</f>
        <v>0</v>
      </c>
      <c r="N37" s="21">
        <f>IF(B37="","",IF(G37="",0,G37)-IF(H37="",0,H37))</f>
        <v>0</v>
      </c>
      <c r="O37" s="21">
        <f>IF(D37="","",IFERROR(INDEX(Invoices!$V$5:$V$404,MATCH(D37,Invoices!$A$5:$A$404,0)),""))</f>
        <v>0</v>
      </c>
      <c r="P37" s="21">
        <f>IF(D37="","",IFERROR(INDEX(Invoices!$W$5:$W$404,MATCH(D37,Invoices!$A$5:$A$404,0)),""))</f>
        <v>0</v>
      </c>
      <c r="Q37" s="21">
        <f>IF(OR(D37="",O37=""),"",ROUND(O37-P37,2))</f>
        <v>0</v>
      </c>
      <c r="R37" s="39">
        <f>IF(B37="","",IF(D37="","Add - which invoice?",IF(OR(G37="",G37=0),"Add - how much came in?",IF(Q37&lt;-0.004,"Check - overpaid",IF(L37="No","Due - not banked yet",IF(Q37&gt;0.004,"Part paid","OK"))))))</f>
        <v>0</v>
      </c>
    </row>
    <row r="38" spans="1:18">
      <c r="A38" s="43">
        <f>IF(B38="","",PaymentPrefix&amp;TEXT(ROW()-4,"0000"))</f>
        <v>0</v>
      </c>
      <c r="C38" s="23">
        <f>IF(B38="","",TEXT(B38,"yyyy-mm"))</f>
        <v>0</v>
      </c>
      <c r="E38" s="43">
        <f>IF(D38="","",IFERROR(INDEX(Invoices!$D$5:$D$404,MATCH(D38,Invoices!$A$5:$A$404,0)),""))</f>
        <v>0</v>
      </c>
      <c r="F38" s="23">
        <f>IF(D38="","",IFERROR(INDEX(Invoices!$E$5:$E$404,MATCH(D38,Invoices!$A$5:$A$404,0)),""))</f>
        <v>0</v>
      </c>
      <c r="N38" s="21">
        <f>IF(B38="","",IF(G38="",0,G38)-IF(H38="",0,H38))</f>
        <v>0</v>
      </c>
      <c r="O38" s="21">
        <f>IF(D38="","",IFERROR(INDEX(Invoices!$V$5:$V$404,MATCH(D38,Invoices!$A$5:$A$404,0)),""))</f>
        <v>0</v>
      </c>
      <c r="P38" s="21">
        <f>IF(D38="","",IFERROR(INDEX(Invoices!$W$5:$W$404,MATCH(D38,Invoices!$A$5:$A$404,0)),""))</f>
        <v>0</v>
      </c>
      <c r="Q38" s="21">
        <f>IF(OR(D38="",O38=""),"",ROUND(O38-P38,2))</f>
        <v>0</v>
      </c>
      <c r="R38" s="39">
        <f>IF(B38="","",IF(D38="","Add - which invoice?",IF(OR(G38="",G38=0),"Add - how much came in?",IF(Q38&lt;-0.004,"Check - overpaid",IF(L38="No","Due - not banked yet",IF(Q38&gt;0.004,"Part paid","OK"))))))</f>
        <v>0</v>
      </c>
    </row>
    <row r="39" spans="1:18">
      <c r="A39" s="43">
        <f>IF(B39="","",PaymentPrefix&amp;TEXT(ROW()-4,"0000"))</f>
        <v>0</v>
      </c>
      <c r="C39" s="23">
        <f>IF(B39="","",TEXT(B39,"yyyy-mm"))</f>
        <v>0</v>
      </c>
      <c r="E39" s="43">
        <f>IF(D39="","",IFERROR(INDEX(Invoices!$D$5:$D$404,MATCH(D39,Invoices!$A$5:$A$404,0)),""))</f>
        <v>0</v>
      </c>
      <c r="F39" s="23">
        <f>IF(D39="","",IFERROR(INDEX(Invoices!$E$5:$E$404,MATCH(D39,Invoices!$A$5:$A$404,0)),""))</f>
        <v>0</v>
      </c>
      <c r="N39" s="21">
        <f>IF(B39="","",IF(G39="",0,G39)-IF(H39="",0,H39))</f>
        <v>0</v>
      </c>
      <c r="O39" s="21">
        <f>IF(D39="","",IFERROR(INDEX(Invoices!$V$5:$V$404,MATCH(D39,Invoices!$A$5:$A$404,0)),""))</f>
        <v>0</v>
      </c>
      <c r="P39" s="21">
        <f>IF(D39="","",IFERROR(INDEX(Invoices!$W$5:$W$404,MATCH(D39,Invoices!$A$5:$A$404,0)),""))</f>
        <v>0</v>
      </c>
      <c r="Q39" s="21">
        <f>IF(OR(D39="",O39=""),"",ROUND(O39-P39,2))</f>
        <v>0</v>
      </c>
      <c r="R39" s="39">
        <f>IF(B39="","",IF(D39="","Add - which invoice?",IF(OR(G39="",G39=0),"Add - how much came in?",IF(Q39&lt;-0.004,"Check - overpaid",IF(L39="No","Due - not banked yet",IF(Q39&gt;0.004,"Part paid","OK"))))))</f>
        <v>0</v>
      </c>
    </row>
    <row r="40" spans="1:18">
      <c r="A40" s="43">
        <f>IF(B40="","",PaymentPrefix&amp;TEXT(ROW()-4,"0000"))</f>
        <v>0</v>
      </c>
      <c r="C40" s="23">
        <f>IF(B40="","",TEXT(B40,"yyyy-mm"))</f>
        <v>0</v>
      </c>
      <c r="E40" s="43">
        <f>IF(D40="","",IFERROR(INDEX(Invoices!$D$5:$D$404,MATCH(D40,Invoices!$A$5:$A$404,0)),""))</f>
        <v>0</v>
      </c>
      <c r="F40" s="23">
        <f>IF(D40="","",IFERROR(INDEX(Invoices!$E$5:$E$404,MATCH(D40,Invoices!$A$5:$A$404,0)),""))</f>
        <v>0</v>
      </c>
      <c r="N40" s="21">
        <f>IF(B40="","",IF(G40="",0,G40)-IF(H40="",0,H40))</f>
        <v>0</v>
      </c>
      <c r="O40" s="21">
        <f>IF(D40="","",IFERROR(INDEX(Invoices!$V$5:$V$404,MATCH(D40,Invoices!$A$5:$A$404,0)),""))</f>
        <v>0</v>
      </c>
      <c r="P40" s="21">
        <f>IF(D40="","",IFERROR(INDEX(Invoices!$W$5:$W$404,MATCH(D40,Invoices!$A$5:$A$404,0)),""))</f>
        <v>0</v>
      </c>
      <c r="Q40" s="21">
        <f>IF(OR(D40="",O40=""),"",ROUND(O40-P40,2))</f>
        <v>0</v>
      </c>
      <c r="R40" s="39">
        <f>IF(B40="","",IF(D40="","Add - which invoice?",IF(OR(G40="",G40=0),"Add - how much came in?",IF(Q40&lt;-0.004,"Check - overpaid",IF(L40="No","Due - not banked yet",IF(Q40&gt;0.004,"Part paid","OK"))))))</f>
        <v>0</v>
      </c>
    </row>
    <row r="41" spans="1:18">
      <c r="A41" s="43">
        <f>IF(B41="","",PaymentPrefix&amp;TEXT(ROW()-4,"0000"))</f>
        <v>0</v>
      </c>
      <c r="C41" s="23">
        <f>IF(B41="","",TEXT(B41,"yyyy-mm"))</f>
        <v>0</v>
      </c>
      <c r="E41" s="43">
        <f>IF(D41="","",IFERROR(INDEX(Invoices!$D$5:$D$404,MATCH(D41,Invoices!$A$5:$A$404,0)),""))</f>
        <v>0</v>
      </c>
      <c r="F41" s="23">
        <f>IF(D41="","",IFERROR(INDEX(Invoices!$E$5:$E$404,MATCH(D41,Invoices!$A$5:$A$404,0)),""))</f>
        <v>0</v>
      </c>
      <c r="N41" s="21">
        <f>IF(B41="","",IF(G41="",0,G41)-IF(H41="",0,H41))</f>
        <v>0</v>
      </c>
      <c r="O41" s="21">
        <f>IF(D41="","",IFERROR(INDEX(Invoices!$V$5:$V$404,MATCH(D41,Invoices!$A$5:$A$404,0)),""))</f>
        <v>0</v>
      </c>
      <c r="P41" s="21">
        <f>IF(D41="","",IFERROR(INDEX(Invoices!$W$5:$W$404,MATCH(D41,Invoices!$A$5:$A$404,0)),""))</f>
        <v>0</v>
      </c>
      <c r="Q41" s="21">
        <f>IF(OR(D41="",O41=""),"",ROUND(O41-P41,2))</f>
        <v>0</v>
      </c>
      <c r="R41" s="39">
        <f>IF(B41="","",IF(D41="","Add - which invoice?",IF(OR(G41="",G41=0),"Add - how much came in?",IF(Q41&lt;-0.004,"Check - overpaid",IF(L41="No","Due - not banked yet",IF(Q41&gt;0.004,"Part paid","OK"))))))</f>
        <v>0</v>
      </c>
    </row>
    <row r="42" spans="1:18">
      <c r="A42" s="43">
        <f>IF(B42="","",PaymentPrefix&amp;TEXT(ROW()-4,"0000"))</f>
        <v>0</v>
      </c>
      <c r="C42" s="23">
        <f>IF(B42="","",TEXT(B42,"yyyy-mm"))</f>
        <v>0</v>
      </c>
      <c r="E42" s="43">
        <f>IF(D42="","",IFERROR(INDEX(Invoices!$D$5:$D$404,MATCH(D42,Invoices!$A$5:$A$404,0)),""))</f>
        <v>0</v>
      </c>
      <c r="F42" s="23">
        <f>IF(D42="","",IFERROR(INDEX(Invoices!$E$5:$E$404,MATCH(D42,Invoices!$A$5:$A$404,0)),""))</f>
        <v>0</v>
      </c>
      <c r="N42" s="21">
        <f>IF(B42="","",IF(G42="",0,G42)-IF(H42="",0,H42))</f>
        <v>0</v>
      </c>
      <c r="O42" s="21">
        <f>IF(D42="","",IFERROR(INDEX(Invoices!$V$5:$V$404,MATCH(D42,Invoices!$A$5:$A$404,0)),""))</f>
        <v>0</v>
      </c>
      <c r="P42" s="21">
        <f>IF(D42="","",IFERROR(INDEX(Invoices!$W$5:$W$404,MATCH(D42,Invoices!$A$5:$A$404,0)),""))</f>
        <v>0</v>
      </c>
      <c r="Q42" s="21">
        <f>IF(OR(D42="",O42=""),"",ROUND(O42-P42,2))</f>
        <v>0</v>
      </c>
      <c r="R42" s="39">
        <f>IF(B42="","",IF(D42="","Add - which invoice?",IF(OR(G42="",G42=0),"Add - how much came in?",IF(Q42&lt;-0.004,"Check - overpaid",IF(L42="No","Due - not banked yet",IF(Q42&gt;0.004,"Part paid","OK"))))))</f>
        <v>0</v>
      </c>
    </row>
    <row r="43" spans="1:18">
      <c r="A43" s="43">
        <f>IF(B43="","",PaymentPrefix&amp;TEXT(ROW()-4,"0000"))</f>
        <v>0</v>
      </c>
      <c r="C43" s="23">
        <f>IF(B43="","",TEXT(B43,"yyyy-mm"))</f>
        <v>0</v>
      </c>
      <c r="E43" s="43">
        <f>IF(D43="","",IFERROR(INDEX(Invoices!$D$5:$D$404,MATCH(D43,Invoices!$A$5:$A$404,0)),""))</f>
        <v>0</v>
      </c>
      <c r="F43" s="23">
        <f>IF(D43="","",IFERROR(INDEX(Invoices!$E$5:$E$404,MATCH(D43,Invoices!$A$5:$A$404,0)),""))</f>
        <v>0</v>
      </c>
      <c r="N43" s="21">
        <f>IF(B43="","",IF(G43="",0,G43)-IF(H43="",0,H43))</f>
        <v>0</v>
      </c>
      <c r="O43" s="21">
        <f>IF(D43="","",IFERROR(INDEX(Invoices!$V$5:$V$404,MATCH(D43,Invoices!$A$5:$A$404,0)),""))</f>
        <v>0</v>
      </c>
      <c r="P43" s="21">
        <f>IF(D43="","",IFERROR(INDEX(Invoices!$W$5:$W$404,MATCH(D43,Invoices!$A$5:$A$404,0)),""))</f>
        <v>0</v>
      </c>
      <c r="Q43" s="21">
        <f>IF(OR(D43="",O43=""),"",ROUND(O43-P43,2))</f>
        <v>0</v>
      </c>
      <c r="R43" s="39">
        <f>IF(B43="","",IF(D43="","Add - which invoice?",IF(OR(G43="",G43=0),"Add - how much came in?",IF(Q43&lt;-0.004,"Check - overpaid",IF(L43="No","Due - not banked yet",IF(Q43&gt;0.004,"Part paid","OK"))))))</f>
        <v>0</v>
      </c>
    </row>
    <row r="44" spans="1:18">
      <c r="A44" s="43">
        <f>IF(B44="","",PaymentPrefix&amp;TEXT(ROW()-4,"0000"))</f>
        <v>0</v>
      </c>
      <c r="C44" s="23">
        <f>IF(B44="","",TEXT(B44,"yyyy-mm"))</f>
        <v>0</v>
      </c>
      <c r="E44" s="43">
        <f>IF(D44="","",IFERROR(INDEX(Invoices!$D$5:$D$404,MATCH(D44,Invoices!$A$5:$A$404,0)),""))</f>
        <v>0</v>
      </c>
      <c r="F44" s="23">
        <f>IF(D44="","",IFERROR(INDEX(Invoices!$E$5:$E$404,MATCH(D44,Invoices!$A$5:$A$404,0)),""))</f>
        <v>0</v>
      </c>
      <c r="N44" s="21">
        <f>IF(B44="","",IF(G44="",0,G44)-IF(H44="",0,H44))</f>
        <v>0</v>
      </c>
      <c r="O44" s="21">
        <f>IF(D44="","",IFERROR(INDEX(Invoices!$V$5:$V$404,MATCH(D44,Invoices!$A$5:$A$404,0)),""))</f>
        <v>0</v>
      </c>
      <c r="P44" s="21">
        <f>IF(D44="","",IFERROR(INDEX(Invoices!$W$5:$W$404,MATCH(D44,Invoices!$A$5:$A$404,0)),""))</f>
        <v>0</v>
      </c>
      <c r="Q44" s="21">
        <f>IF(OR(D44="",O44=""),"",ROUND(O44-P44,2))</f>
        <v>0</v>
      </c>
      <c r="R44" s="39">
        <f>IF(B44="","",IF(D44="","Add - which invoice?",IF(OR(G44="",G44=0),"Add - how much came in?",IF(Q44&lt;-0.004,"Check - overpaid",IF(L44="No","Due - not banked yet",IF(Q44&gt;0.004,"Part paid","OK"))))))</f>
        <v>0</v>
      </c>
    </row>
    <row r="45" spans="1:18">
      <c r="A45" s="43">
        <f>IF(B45="","",PaymentPrefix&amp;TEXT(ROW()-4,"0000"))</f>
        <v>0</v>
      </c>
      <c r="C45" s="23">
        <f>IF(B45="","",TEXT(B45,"yyyy-mm"))</f>
        <v>0</v>
      </c>
      <c r="E45" s="43">
        <f>IF(D45="","",IFERROR(INDEX(Invoices!$D$5:$D$404,MATCH(D45,Invoices!$A$5:$A$404,0)),""))</f>
        <v>0</v>
      </c>
      <c r="F45" s="23">
        <f>IF(D45="","",IFERROR(INDEX(Invoices!$E$5:$E$404,MATCH(D45,Invoices!$A$5:$A$404,0)),""))</f>
        <v>0</v>
      </c>
      <c r="N45" s="21">
        <f>IF(B45="","",IF(G45="",0,G45)-IF(H45="",0,H45))</f>
        <v>0</v>
      </c>
      <c r="O45" s="21">
        <f>IF(D45="","",IFERROR(INDEX(Invoices!$V$5:$V$404,MATCH(D45,Invoices!$A$5:$A$404,0)),""))</f>
        <v>0</v>
      </c>
      <c r="P45" s="21">
        <f>IF(D45="","",IFERROR(INDEX(Invoices!$W$5:$W$404,MATCH(D45,Invoices!$A$5:$A$404,0)),""))</f>
        <v>0</v>
      </c>
      <c r="Q45" s="21">
        <f>IF(OR(D45="",O45=""),"",ROUND(O45-P45,2))</f>
        <v>0</v>
      </c>
      <c r="R45" s="39">
        <f>IF(B45="","",IF(D45="","Add - which invoice?",IF(OR(G45="",G45=0),"Add - how much came in?",IF(Q45&lt;-0.004,"Check - overpaid",IF(L45="No","Due - not banked yet",IF(Q45&gt;0.004,"Part paid","OK"))))))</f>
        <v>0</v>
      </c>
    </row>
    <row r="46" spans="1:18">
      <c r="A46" s="43">
        <f>IF(B46="","",PaymentPrefix&amp;TEXT(ROW()-4,"0000"))</f>
        <v>0</v>
      </c>
      <c r="C46" s="23">
        <f>IF(B46="","",TEXT(B46,"yyyy-mm"))</f>
        <v>0</v>
      </c>
      <c r="E46" s="43">
        <f>IF(D46="","",IFERROR(INDEX(Invoices!$D$5:$D$404,MATCH(D46,Invoices!$A$5:$A$404,0)),""))</f>
        <v>0</v>
      </c>
      <c r="F46" s="23">
        <f>IF(D46="","",IFERROR(INDEX(Invoices!$E$5:$E$404,MATCH(D46,Invoices!$A$5:$A$404,0)),""))</f>
        <v>0</v>
      </c>
      <c r="N46" s="21">
        <f>IF(B46="","",IF(G46="",0,G46)-IF(H46="",0,H46))</f>
        <v>0</v>
      </c>
      <c r="O46" s="21">
        <f>IF(D46="","",IFERROR(INDEX(Invoices!$V$5:$V$404,MATCH(D46,Invoices!$A$5:$A$404,0)),""))</f>
        <v>0</v>
      </c>
      <c r="P46" s="21">
        <f>IF(D46="","",IFERROR(INDEX(Invoices!$W$5:$W$404,MATCH(D46,Invoices!$A$5:$A$404,0)),""))</f>
        <v>0</v>
      </c>
      <c r="Q46" s="21">
        <f>IF(OR(D46="",O46=""),"",ROUND(O46-P46,2))</f>
        <v>0</v>
      </c>
      <c r="R46" s="39">
        <f>IF(B46="","",IF(D46="","Add - which invoice?",IF(OR(G46="",G46=0),"Add - how much came in?",IF(Q46&lt;-0.004,"Check - overpaid",IF(L46="No","Due - not banked yet",IF(Q46&gt;0.004,"Part paid","OK"))))))</f>
        <v>0</v>
      </c>
    </row>
    <row r="47" spans="1:18">
      <c r="A47" s="43">
        <f>IF(B47="","",PaymentPrefix&amp;TEXT(ROW()-4,"0000"))</f>
        <v>0</v>
      </c>
      <c r="C47" s="23">
        <f>IF(B47="","",TEXT(B47,"yyyy-mm"))</f>
        <v>0</v>
      </c>
      <c r="E47" s="43">
        <f>IF(D47="","",IFERROR(INDEX(Invoices!$D$5:$D$404,MATCH(D47,Invoices!$A$5:$A$404,0)),""))</f>
        <v>0</v>
      </c>
      <c r="F47" s="23">
        <f>IF(D47="","",IFERROR(INDEX(Invoices!$E$5:$E$404,MATCH(D47,Invoices!$A$5:$A$404,0)),""))</f>
        <v>0</v>
      </c>
      <c r="N47" s="21">
        <f>IF(B47="","",IF(G47="",0,G47)-IF(H47="",0,H47))</f>
        <v>0</v>
      </c>
      <c r="O47" s="21">
        <f>IF(D47="","",IFERROR(INDEX(Invoices!$V$5:$V$404,MATCH(D47,Invoices!$A$5:$A$404,0)),""))</f>
        <v>0</v>
      </c>
      <c r="P47" s="21">
        <f>IF(D47="","",IFERROR(INDEX(Invoices!$W$5:$W$404,MATCH(D47,Invoices!$A$5:$A$404,0)),""))</f>
        <v>0</v>
      </c>
      <c r="Q47" s="21">
        <f>IF(OR(D47="",O47=""),"",ROUND(O47-P47,2))</f>
        <v>0</v>
      </c>
      <c r="R47" s="39">
        <f>IF(B47="","",IF(D47="","Add - which invoice?",IF(OR(G47="",G47=0),"Add - how much came in?",IF(Q47&lt;-0.004,"Check - overpaid",IF(L47="No","Due - not banked yet",IF(Q47&gt;0.004,"Part paid","OK"))))))</f>
        <v>0</v>
      </c>
    </row>
    <row r="48" spans="1:18">
      <c r="A48" s="43">
        <f>IF(B48="","",PaymentPrefix&amp;TEXT(ROW()-4,"0000"))</f>
        <v>0</v>
      </c>
      <c r="C48" s="23">
        <f>IF(B48="","",TEXT(B48,"yyyy-mm"))</f>
        <v>0</v>
      </c>
      <c r="E48" s="43">
        <f>IF(D48="","",IFERROR(INDEX(Invoices!$D$5:$D$404,MATCH(D48,Invoices!$A$5:$A$404,0)),""))</f>
        <v>0</v>
      </c>
      <c r="F48" s="23">
        <f>IF(D48="","",IFERROR(INDEX(Invoices!$E$5:$E$404,MATCH(D48,Invoices!$A$5:$A$404,0)),""))</f>
        <v>0</v>
      </c>
      <c r="N48" s="21">
        <f>IF(B48="","",IF(G48="",0,G48)-IF(H48="",0,H48))</f>
        <v>0</v>
      </c>
      <c r="O48" s="21">
        <f>IF(D48="","",IFERROR(INDEX(Invoices!$V$5:$V$404,MATCH(D48,Invoices!$A$5:$A$404,0)),""))</f>
        <v>0</v>
      </c>
      <c r="P48" s="21">
        <f>IF(D48="","",IFERROR(INDEX(Invoices!$W$5:$W$404,MATCH(D48,Invoices!$A$5:$A$404,0)),""))</f>
        <v>0</v>
      </c>
      <c r="Q48" s="21">
        <f>IF(OR(D48="",O48=""),"",ROUND(O48-P48,2))</f>
        <v>0</v>
      </c>
      <c r="R48" s="39">
        <f>IF(B48="","",IF(D48="","Add - which invoice?",IF(OR(G48="",G48=0),"Add - how much came in?",IF(Q48&lt;-0.004,"Check - overpaid",IF(L48="No","Due - not banked yet",IF(Q48&gt;0.004,"Part paid","OK"))))))</f>
        <v>0</v>
      </c>
    </row>
    <row r="49" spans="1:18">
      <c r="A49" s="43">
        <f>IF(B49="","",PaymentPrefix&amp;TEXT(ROW()-4,"0000"))</f>
        <v>0</v>
      </c>
      <c r="C49" s="23">
        <f>IF(B49="","",TEXT(B49,"yyyy-mm"))</f>
        <v>0</v>
      </c>
      <c r="E49" s="43">
        <f>IF(D49="","",IFERROR(INDEX(Invoices!$D$5:$D$404,MATCH(D49,Invoices!$A$5:$A$404,0)),""))</f>
        <v>0</v>
      </c>
      <c r="F49" s="23">
        <f>IF(D49="","",IFERROR(INDEX(Invoices!$E$5:$E$404,MATCH(D49,Invoices!$A$5:$A$404,0)),""))</f>
        <v>0</v>
      </c>
      <c r="N49" s="21">
        <f>IF(B49="","",IF(G49="",0,G49)-IF(H49="",0,H49))</f>
        <v>0</v>
      </c>
      <c r="O49" s="21">
        <f>IF(D49="","",IFERROR(INDEX(Invoices!$V$5:$V$404,MATCH(D49,Invoices!$A$5:$A$404,0)),""))</f>
        <v>0</v>
      </c>
      <c r="P49" s="21">
        <f>IF(D49="","",IFERROR(INDEX(Invoices!$W$5:$W$404,MATCH(D49,Invoices!$A$5:$A$404,0)),""))</f>
        <v>0</v>
      </c>
      <c r="Q49" s="21">
        <f>IF(OR(D49="",O49=""),"",ROUND(O49-P49,2))</f>
        <v>0</v>
      </c>
      <c r="R49" s="39">
        <f>IF(B49="","",IF(D49="","Add - which invoice?",IF(OR(G49="",G49=0),"Add - how much came in?",IF(Q49&lt;-0.004,"Check - overpaid",IF(L49="No","Due - not banked yet",IF(Q49&gt;0.004,"Part paid","OK"))))))</f>
        <v>0</v>
      </c>
    </row>
    <row r="50" spans="1:18">
      <c r="A50" s="43">
        <f>IF(B50="","",PaymentPrefix&amp;TEXT(ROW()-4,"0000"))</f>
        <v>0</v>
      </c>
      <c r="C50" s="23">
        <f>IF(B50="","",TEXT(B50,"yyyy-mm"))</f>
        <v>0</v>
      </c>
      <c r="E50" s="43">
        <f>IF(D50="","",IFERROR(INDEX(Invoices!$D$5:$D$404,MATCH(D50,Invoices!$A$5:$A$404,0)),""))</f>
        <v>0</v>
      </c>
      <c r="F50" s="23">
        <f>IF(D50="","",IFERROR(INDEX(Invoices!$E$5:$E$404,MATCH(D50,Invoices!$A$5:$A$404,0)),""))</f>
        <v>0</v>
      </c>
      <c r="N50" s="21">
        <f>IF(B50="","",IF(G50="",0,G50)-IF(H50="",0,H50))</f>
        <v>0</v>
      </c>
      <c r="O50" s="21">
        <f>IF(D50="","",IFERROR(INDEX(Invoices!$V$5:$V$404,MATCH(D50,Invoices!$A$5:$A$404,0)),""))</f>
        <v>0</v>
      </c>
      <c r="P50" s="21">
        <f>IF(D50="","",IFERROR(INDEX(Invoices!$W$5:$W$404,MATCH(D50,Invoices!$A$5:$A$404,0)),""))</f>
        <v>0</v>
      </c>
      <c r="Q50" s="21">
        <f>IF(OR(D50="",O50=""),"",ROUND(O50-P50,2))</f>
        <v>0</v>
      </c>
      <c r="R50" s="39">
        <f>IF(B50="","",IF(D50="","Add - which invoice?",IF(OR(G50="",G50=0),"Add - how much came in?",IF(Q50&lt;-0.004,"Check - overpaid",IF(L50="No","Due - not banked yet",IF(Q50&gt;0.004,"Part paid","OK"))))))</f>
        <v>0</v>
      </c>
    </row>
    <row r="51" spans="1:18">
      <c r="A51" s="43">
        <f>IF(B51="","",PaymentPrefix&amp;TEXT(ROW()-4,"0000"))</f>
        <v>0</v>
      </c>
      <c r="C51" s="23">
        <f>IF(B51="","",TEXT(B51,"yyyy-mm"))</f>
        <v>0</v>
      </c>
      <c r="E51" s="43">
        <f>IF(D51="","",IFERROR(INDEX(Invoices!$D$5:$D$404,MATCH(D51,Invoices!$A$5:$A$404,0)),""))</f>
        <v>0</v>
      </c>
      <c r="F51" s="23">
        <f>IF(D51="","",IFERROR(INDEX(Invoices!$E$5:$E$404,MATCH(D51,Invoices!$A$5:$A$404,0)),""))</f>
        <v>0</v>
      </c>
      <c r="N51" s="21">
        <f>IF(B51="","",IF(G51="",0,G51)-IF(H51="",0,H51))</f>
        <v>0</v>
      </c>
      <c r="O51" s="21">
        <f>IF(D51="","",IFERROR(INDEX(Invoices!$V$5:$V$404,MATCH(D51,Invoices!$A$5:$A$404,0)),""))</f>
        <v>0</v>
      </c>
      <c r="P51" s="21">
        <f>IF(D51="","",IFERROR(INDEX(Invoices!$W$5:$W$404,MATCH(D51,Invoices!$A$5:$A$404,0)),""))</f>
        <v>0</v>
      </c>
      <c r="Q51" s="21">
        <f>IF(OR(D51="",O51=""),"",ROUND(O51-P51,2))</f>
        <v>0</v>
      </c>
      <c r="R51" s="39">
        <f>IF(B51="","",IF(D51="","Add - which invoice?",IF(OR(G51="",G51=0),"Add - how much came in?",IF(Q51&lt;-0.004,"Check - overpaid",IF(L51="No","Due - not banked yet",IF(Q51&gt;0.004,"Part paid","OK"))))))</f>
        <v>0</v>
      </c>
    </row>
    <row r="52" spans="1:18">
      <c r="A52" s="43">
        <f>IF(B52="","",PaymentPrefix&amp;TEXT(ROW()-4,"0000"))</f>
        <v>0</v>
      </c>
      <c r="C52" s="23">
        <f>IF(B52="","",TEXT(B52,"yyyy-mm"))</f>
        <v>0</v>
      </c>
      <c r="E52" s="43">
        <f>IF(D52="","",IFERROR(INDEX(Invoices!$D$5:$D$404,MATCH(D52,Invoices!$A$5:$A$404,0)),""))</f>
        <v>0</v>
      </c>
      <c r="F52" s="23">
        <f>IF(D52="","",IFERROR(INDEX(Invoices!$E$5:$E$404,MATCH(D52,Invoices!$A$5:$A$404,0)),""))</f>
        <v>0</v>
      </c>
      <c r="N52" s="21">
        <f>IF(B52="","",IF(G52="",0,G52)-IF(H52="",0,H52))</f>
        <v>0</v>
      </c>
      <c r="O52" s="21">
        <f>IF(D52="","",IFERROR(INDEX(Invoices!$V$5:$V$404,MATCH(D52,Invoices!$A$5:$A$404,0)),""))</f>
        <v>0</v>
      </c>
      <c r="P52" s="21">
        <f>IF(D52="","",IFERROR(INDEX(Invoices!$W$5:$W$404,MATCH(D52,Invoices!$A$5:$A$404,0)),""))</f>
        <v>0</v>
      </c>
      <c r="Q52" s="21">
        <f>IF(OR(D52="",O52=""),"",ROUND(O52-P52,2))</f>
        <v>0</v>
      </c>
      <c r="R52" s="39">
        <f>IF(B52="","",IF(D52="","Add - which invoice?",IF(OR(G52="",G52=0),"Add - how much came in?",IF(Q52&lt;-0.004,"Check - overpaid",IF(L52="No","Due - not banked yet",IF(Q52&gt;0.004,"Part paid","OK"))))))</f>
        <v>0</v>
      </c>
    </row>
    <row r="53" spans="1:18">
      <c r="A53" s="43">
        <f>IF(B53="","",PaymentPrefix&amp;TEXT(ROW()-4,"0000"))</f>
        <v>0</v>
      </c>
      <c r="C53" s="23">
        <f>IF(B53="","",TEXT(B53,"yyyy-mm"))</f>
        <v>0</v>
      </c>
      <c r="E53" s="43">
        <f>IF(D53="","",IFERROR(INDEX(Invoices!$D$5:$D$404,MATCH(D53,Invoices!$A$5:$A$404,0)),""))</f>
        <v>0</v>
      </c>
      <c r="F53" s="23">
        <f>IF(D53="","",IFERROR(INDEX(Invoices!$E$5:$E$404,MATCH(D53,Invoices!$A$5:$A$404,0)),""))</f>
        <v>0</v>
      </c>
      <c r="N53" s="21">
        <f>IF(B53="","",IF(G53="",0,G53)-IF(H53="",0,H53))</f>
        <v>0</v>
      </c>
      <c r="O53" s="21">
        <f>IF(D53="","",IFERROR(INDEX(Invoices!$V$5:$V$404,MATCH(D53,Invoices!$A$5:$A$404,0)),""))</f>
        <v>0</v>
      </c>
      <c r="P53" s="21">
        <f>IF(D53="","",IFERROR(INDEX(Invoices!$W$5:$W$404,MATCH(D53,Invoices!$A$5:$A$404,0)),""))</f>
        <v>0</v>
      </c>
      <c r="Q53" s="21">
        <f>IF(OR(D53="",O53=""),"",ROUND(O53-P53,2))</f>
        <v>0</v>
      </c>
      <c r="R53" s="39">
        <f>IF(B53="","",IF(D53="","Add - which invoice?",IF(OR(G53="",G53=0),"Add - how much came in?",IF(Q53&lt;-0.004,"Check - overpaid",IF(L53="No","Due - not banked yet",IF(Q53&gt;0.004,"Part paid","OK"))))))</f>
        <v>0</v>
      </c>
    </row>
    <row r="54" spans="1:18">
      <c r="A54" s="43">
        <f>IF(B54="","",PaymentPrefix&amp;TEXT(ROW()-4,"0000"))</f>
        <v>0</v>
      </c>
      <c r="C54" s="23">
        <f>IF(B54="","",TEXT(B54,"yyyy-mm"))</f>
        <v>0</v>
      </c>
      <c r="E54" s="43">
        <f>IF(D54="","",IFERROR(INDEX(Invoices!$D$5:$D$404,MATCH(D54,Invoices!$A$5:$A$404,0)),""))</f>
        <v>0</v>
      </c>
      <c r="F54" s="23">
        <f>IF(D54="","",IFERROR(INDEX(Invoices!$E$5:$E$404,MATCH(D54,Invoices!$A$5:$A$404,0)),""))</f>
        <v>0</v>
      </c>
      <c r="N54" s="21">
        <f>IF(B54="","",IF(G54="",0,G54)-IF(H54="",0,H54))</f>
        <v>0</v>
      </c>
      <c r="O54" s="21">
        <f>IF(D54="","",IFERROR(INDEX(Invoices!$V$5:$V$404,MATCH(D54,Invoices!$A$5:$A$404,0)),""))</f>
        <v>0</v>
      </c>
      <c r="P54" s="21">
        <f>IF(D54="","",IFERROR(INDEX(Invoices!$W$5:$W$404,MATCH(D54,Invoices!$A$5:$A$404,0)),""))</f>
        <v>0</v>
      </c>
      <c r="Q54" s="21">
        <f>IF(OR(D54="",O54=""),"",ROUND(O54-P54,2))</f>
        <v>0</v>
      </c>
      <c r="R54" s="39">
        <f>IF(B54="","",IF(D54="","Add - which invoice?",IF(OR(G54="",G54=0),"Add - how much came in?",IF(Q54&lt;-0.004,"Check - overpaid",IF(L54="No","Due - not banked yet",IF(Q54&gt;0.004,"Part paid","OK"))))))</f>
        <v>0</v>
      </c>
    </row>
    <row r="55" spans="1:18">
      <c r="A55" s="43">
        <f>IF(B55="","",PaymentPrefix&amp;TEXT(ROW()-4,"0000"))</f>
        <v>0</v>
      </c>
      <c r="C55" s="23">
        <f>IF(B55="","",TEXT(B55,"yyyy-mm"))</f>
        <v>0</v>
      </c>
      <c r="E55" s="43">
        <f>IF(D55="","",IFERROR(INDEX(Invoices!$D$5:$D$404,MATCH(D55,Invoices!$A$5:$A$404,0)),""))</f>
        <v>0</v>
      </c>
      <c r="F55" s="23">
        <f>IF(D55="","",IFERROR(INDEX(Invoices!$E$5:$E$404,MATCH(D55,Invoices!$A$5:$A$404,0)),""))</f>
        <v>0</v>
      </c>
      <c r="N55" s="21">
        <f>IF(B55="","",IF(G55="",0,G55)-IF(H55="",0,H55))</f>
        <v>0</v>
      </c>
      <c r="O55" s="21">
        <f>IF(D55="","",IFERROR(INDEX(Invoices!$V$5:$V$404,MATCH(D55,Invoices!$A$5:$A$404,0)),""))</f>
        <v>0</v>
      </c>
      <c r="P55" s="21">
        <f>IF(D55="","",IFERROR(INDEX(Invoices!$W$5:$W$404,MATCH(D55,Invoices!$A$5:$A$404,0)),""))</f>
        <v>0</v>
      </c>
      <c r="Q55" s="21">
        <f>IF(OR(D55="",O55=""),"",ROUND(O55-P55,2))</f>
        <v>0</v>
      </c>
      <c r="R55" s="39">
        <f>IF(B55="","",IF(D55="","Add - which invoice?",IF(OR(G55="",G55=0),"Add - how much came in?",IF(Q55&lt;-0.004,"Check - overpaid",IF(L55="No","Due - not banked yet",IF(Q55&gt;0.004,"Part paid","OK"))))))</f>
        <v>0</v>
      </c>
    </row>
    <row r="56" spans="1:18">
      <c r="A56" s="43">
        <f>IF(B56="","",PaymentPrefix&amp;TEXT(ROW()-4,"0000"))</f>
        <v>0</v>
      </c>
      <c r="C56" s="23">
        <f>IF(B56="","",TEXT(B56,"yyyy-mm"))</f>
        <v>0</v>
      </c>
      <c r="E56" s="43">
        <f>IF(D56="","",IFERROR(INDEX(Invoices!$D$5:$D$404,MATCH(D56,Invoices!$A$5:$A$404,0)),""))</f>
        <v>0</v>
      </c>
      <c r="F56" s="23">
        <f>IF(D56="","",IFERROR(INDEX(Invoices!$E$5:$E$404,MATCH(D56,Invoices!$A$5:$A$404,0)),""))</f>
        <v>0</v>
      </c>
      <c r="N56" s="21">
        <f>IF(B56="","",IF(G56="",0,G56)-IF(H56="",0,H56))</f>
        <v>0</v>
      </c>
      <c r="O56" s="21">
        <f>IF(D56="","",IFERROR(INDEX(Invoices!$V$5:$V$404,MATCH(D56,Invoices!$A$5:$A$404,0)),""))</f>
        <v>0</v>
      </c>
      <c r="P56" s="21">
        <f>IF(D56="","",IFERROR(INDEX(Invoices!$W$5:$W$404,MATCH(D56,Invoices!$A$5:$A$404,0)),""))</f>
        <v>0</v>
      </c>
      <c r="Q56" s="21">
        <f>IF(OR(D56="",O56=""),"",ROUND(O56-P56,2))</f>
        <v>0</v>
      </c>
      <c r="R56" s="39">
        <f>IF(B56="","",IF(D56="","Add - which invoice?",IF(OR(G56="",G56=0),"Add - how much came in?",IF(Q56&lt;-0.004,"Check - overpaid",IF(L56="No","Due - not banked yet",IF(Q56&gt;0.004,"Part paid","OK"))))))</f>
        <v>0</v>
      </c>
    </row>
    <row r="57" spans="1:18">
      <c r="A57" s="43">
        <f>IF(B57="","",PaymentPrefix&amp;TEXT(ROW()-4,"0000"))</f>
        <v>0</v>
      </c>
      <c r="C57" s="23">
        <f>IF(B57="","",TEXT(B57,"yyyy-mm"))</f>
        <v>0</v>
      </c>
      <c r="E57" s="43">
        <f>IF(D57="","",IFERROR(INDEX(Invoices!$D$5:$D$404,MATCH(D57,Invoices!$A$5:$A$404,0)),""))</f>
        <v>0</v>
      </c>
      <c r="F57" s="23">
        <f>IF(D57="","",IFERROR(INDEX(Invoices!$E$5:$E$404,MATCH(D57,Invoices!$A$5:$A$404,0)),""))</f>
        <v>0</v>
      </c>
      <c r="N57" s="21">
        <f>IF(B57="","",IF(G57="",0,G57)-IF(H57="",0,H57))</f>
        <v>0</v>
      </c>
      <c r="O57" s="21">
        <f>IF(D57="","",IFERROR(INDEX(Invoices!$V$5:$V$404,MATCH(D57,Invoices!$A$5:$A$404,0)),""))</f>
        <v>0</v>
      </c>
      <c r="P57" s="21">
        <f>IF(D57="","",IFERROR(INDEX(Invoices!$W$5:$W$404,MATCH(D57,Invoices!$A$5:$A$404,0)),""))</f>
        <v>0</v>
      </c>
      <c r="Q57" s="21">
        <f>IF(OR(D57="",O57=""),"",ROUND(O57-P57,2))</f>
        <v>0</v>
      </c>
      <c r="R57" s="39">
        <f>IF(B57="","",IF(D57="","Add - which invoice?",IF(OR(G57="",G57=0),"Add - how much came in?",IF(Q57&lt;-0.004,"Check - overpaid",IF(L57="No","Due - not banked yet",IF(Q57&gt;0.004,"Part paid","OK"))))))</f>
        <v>0</v>
      </c>
    </row>
    <row r="58" spans="1:18">
      <c r="A58" s="43">
        <f>IF(B58="","",PaymentPrefix&amp;TEXT(ROW()-4,"0000"))</f>
        <v>0</v>
      </c>
      <c r="C58" s="23">
        <f>IF(B58="","",TEXT(B58,"yyyy-mm"))</f>
        <v>0</v>
      </c>
      <c r="E58" s="43">
        <f>IF(D58="","",IFERROR(INDEX(Invoices!$D$5:$D$404,MATCH(D58,Invoices!$A$5:$A$404,0)),""))</f>
        <v>0</v>
      </c>
      <c r="F58" s="23">
        <f>IF(D58="","",IFERROR(INDEX(Invoices!$E$5:$E$404,MATCH(D58,Invoices!$A$5:$A$404,0)),""))</f>
        <v>0</v>
      </c>
      <c r="N58" s="21">
        <f>IF(B58="","",IF(G58="",0,G58)-IF(H58="",0,H58))</f>
        <v>0</v>
      </c>
      <c r="O58" s="21">
        <f>IF(D58="","",IFERROR(INDEX(Invoices!$V$5:$V$404,MATCH(D58,Invoices!$A$5:$A$404,0)),""))</f>
        <v>0</v>
      </c>
      <c r="P58" s="21">
        <f>IF(D58="","",IFERROR(INDEX(Invoices!$W$5:$W$404,MATCH(D58,Invoices!$A$5:$A$404,0)),""))</f>
        <v>0</v>
      </c>
      <c r="Q58" s="21">
        <f>IF(OR(D58="",O58=""),"",ROUND(O58-P58,2))</f>
        <v>0</v>
      </c>
      <c r="R58" s="39">
        <f>IF(B58="","",IF(D58="","Add - which invoice?",IF(OR(G58="",G58=0),"Add - how much came in?",IF(Q58&lt;-0.004,"Check - overpaid",IF(L58="No","Due - not banked yet",IF(Q58&gt;0.004,"Part paid","OK"))))))</f>
        <v>0</v>
      </c>
    </row>
    <row r="59" spans="1:18">
      <c r="A59" s="43">
        <f>IF(B59="","",PaymentPrefix&amp;TEXT(ROW()-4,"0000"))</f>
        <v>0</v>
      </c>
      <c r="C59" s="23">
        <f>IF(B59="","",TEXT(B59,"yyyy-mm"))</f>
        <v>0</v>
      </c>
      <c r="E59" s="43">
        <f>IF(D59="","",IFERROR(INDEX(Invoices!$D$5:$D$404,MATCH(D59,Invoices!$A$5:$A$404,0)),""))</f>
        <v>0</v>
      </c>
      <c r="F59" s="23">
        <f>IF(D59="","",IFERROR(INDEX(Invoices!$E$5:$E$404,MATCH(D59,Invoices!$A$5:$A$404,0)),""))</f>
        <v>0</v>
      </c>
      <c r="N59" s="21">
        <f>IF(B59="","",IF(G59="",0,G59)-IF(H59="",0,H59))</f>
        <v>0</v>
      </c>
      <c r="O59" s="21">
        <f>IF(D59="","",IFERROR(INDEX(Invoices!$V$5:$V$404,MATCH(D59,Invoices!$A$5:$A$404,0)),""))</f>
        <v>0</v>
      </c>
      <c r="P59" s="21">
        <f>IF(D59="","",IFERROR(INDEX(Invoices!$W$5:$W$404,MATCH(D59,Invoices!$A$5:$A$404,0)),""))</f>
        <v>0</v>
      </c>
      <c r="Q59" s="21">
        <f>IF(OR(D59="",O59=""),"",ROUND(O59-P59,2))</f>
        <v>0</v>
      </c>
      <c r="R59" s="39">
        <f>IF(B59="","",IF(D59="","Add - which invoice?",IF(OR(G59="",G59=0),"Add - how much came in?",IF(Q59&lt;-0.004,"Check - overpaid",IF(L59="No","Due - not banked yet",IF(Q59&gt;0.004,"Part paid","OK"))))))</f>
        <v>0</v>
      </c>
    </row>
    <row r="60" spans="1:18">
      <c r="A60" s="43">
        <f>IF(B60="","",PaymentPrefix&amp;TEXT(ROW()-4,"0000"))</f>
        <v>0</v>
      </c>
      <c r="C60" s="23">
        <f>IF(B60="","",TEXT(B60,"yyyy-mm"))</f>
        <v>0</v>
      </c>
      <c r="E60" s="43">
        <f>IF(D60="","",IFERROR(INDEX(Invoices!$D$5:$D$404,MATCH(D60,Invoices!$A$5:$A$404,0)),""))</f>
        <v>0</v>
      </c>
      <c r="F60" s="23">
        <f>IF(D60="","",IFERROR(INDEX(Invoices!$E$5:$E$404,MATCH(D60,Invoices!$A$5:$A$404,0)),""))</f>
        <v>0</v>
      </c>
      <c r="N60" s="21">
        <f>IF(B60="","",IF(G60="",0,G60)-IF(H60="",0,H60))</f>
        <v>0</v>
      </c>
      <c r="O60" s="21">
        <f>IF(D60="","",IFERROR(INDEX(Invoices!$V$5:$V$404,MATCH(D60,Invoices!$A$5:$A$404,0)),""))</f>
        <v>0</v>
      </c>
      <c r="P60" s="21">
        <f>IF(D60="","",IFERROR(INDEX(Invoices!$W$5:$W$404,MATCH(D60,Invoices!$A$5:$A$404,0)),""))</f>
        <v>0</v>
      </c>
      <c r="Q60" s="21">
        <f>IF(OR(D60="",O60=""),"",ROUND(O60-P60,2))</f>
        <v>0</v>
      </c>
      <c r="R60" s="39">
        <f>IF(B60="","",IF(D60="","Add - which invoice?",IF(OR(G60="",G60=0),"Add - how much came in?",IF(Q60&lt;-0.004,"Check - overpaid",IF(L60="No","Due - not banked yet",IF(Q60&gt;0.004,"Part paid","OK"))))))</f>
        <v>0</v>
      </c>
    </row>
    <row r="61" spans="1:18">
      <c r="A61" s="43">
        <f>IF(B61="","",PaymentPrefix&amp;TEXT(ROW()-4,"0000"))</f>
        <v>0</v>
      </c>
      <c r="C61" s="23">
        <f>IF(B61="","",TEXT(B61,"yyyy-mm"))</f>
        <v>0</v>
      </c>
      <c r="E61" s="43">
        <f>IF(D61="","",IFERROR(INDEX(Invoices!$D$5:$D$404,MATCH(D61,Invoices!$A$5:$A$404,0)),""))</f>
        <v>0</v>
      </c>
      <c r="F61" s="23">
        <f>IF(D61="","",IFERROR(INDEX(Invoices!$E$5:$E$404,MATCH(D61,Invoices!$A$5:$A$404,0)),""))</f>
        <v>0</v>
      </c>
      <c r="N61" s="21">
        <f>IF(B61="","",IF(G61="",0,G61)-IF(H61="",0,H61))</f>
        <v>0</v>
      </c>
      <c r="O61" s="21">
        <f>IF(D61="","",IFERROR(INDEX(Invoices!$V$5:$V$404,MATCH(D61,Invoices!$A$5:$A$404,0)),""))</f>
        <v>0</v>
      </c>
      <c r="P61" s="21">
        <f>IF(D61="","",IFERROR(INDEX(Invoices!$W$5:$W$404,MATCH(D61,Invoices!$A$5:$A$404,0)),""))</f>
        <v>0</v>
      </c>
      <c r="Q61" s="21">
        <f>IF(OR(D61="",O61=""),"",ROUND(O61-P61,2))</f>
        <v>0</v>
      </c>
      <c r="R61" s="39">
        <f>IF(B61="","",IF(D61="","Add - which invoice?",IF(OR(G61="",G61=0),"Add - how much came in?",IF(Q61&lt;-0.004,"Check - overpaid",IF(L61="No","Due - not banked yet",IF(Q61&gt;0.004,"Part paid","OK"))))))</f>
        <v>0</v>
      </c>
    </row>
    <row r="62" spans="1:18">
      <c r="A62" s="43">
        <f>IF(B62="","",PaymentPrefix&amp;TEXT(ROW()-4,"0000"))</f>
        <v>0</v>
      </c>
      <c r="C62" s="23">
        <f>IF(B62="","",TEXT(B62,"yyyy-mm"))</f>
        <v>0</v>
      </c>
      <c r="E62" s="43">
        <f>IF(D62="","",IFERROR(INDEX(Invoices!$D$5:$D$404,MATCH(D62,Invoices!$A$5:$A$404,0)),""))</f>
        <v>0</v>
      </c>
      <c r="F62" s="23">
        <f>IF(D62="","",IFERROR(INDEX(Invoices!$E$5:$E$404,MATCH(D62,Invoices!$A$5:$A$404,0)),""))</f>
        <v>0</v>
      </c>
      <c r="N62" s="21">
        <f>IF(B62="","",IF(G62="",0,G62)-IF(H62="",0,H62))</f>
        <v>0</v>
      </c>
      <c r="O62" s="21">
        <f>IF(D62="","",IFERROR(INDEX(Invoices!$V$5:$V$404,MATCH(D62,Invoices!$A$5:$A$404,0)),""))</f>
        <v>0</v>
      </c>
      <c r="P62" s="21">
        <f>IF(D62="","",IFERROR(INDEX(Invoices!$W$5:$W$404,MATCH(D62,Invoices!$A$5:$A$404,0)),""))</f>
        <v>0</v>
      </c>
      <c r="Q62" s="21">
        <f>IF(OR(D62="",O62=""),"",ROUND(O62-P62,2))</f>
        <v>0</v>
      </c>
      <c r="R62" s="39">
        <f>IF(B62="","",IF(D62="","Add - which invoice?",IF(OR(G62="",G62=0),"Add - how much came in?",IF(Q62&lt;-0.004,"Check - overpaid",IF(L62="No","Due - not banked yet",IF(Q62&gt;0.004,"Part paid","OK"))))))</f>
        <v>0</v>
      </c>
    </row>
    <row r="63" spans="1:18">
      <c r="A63" s="43">
        <f>IF(B63="","",PaymentPrefix&amp;TEXT(ROW()-4,"0000"))</f>
        <v>0</v>
      </c>
      <c r="C63" s="23">
        <f>IF(B63="","",TEXT(B63,"yyyy-mm"))</f>
        <v>0</v>
      </c>
      <c r="E63" s="43">
        <f>IF(D63="","",IFERROR(INDEX(Invoices!$D$5:$D$404,MATCH(D63,Invoices!$A$5:$A$404,0)),""))</f>
        <v>0</v>
      </c>
      <c r="F63" s="23">
        <f>IF(D63="","",IFERROR(INDEX(Invoices!$E$5:$E$404,MATCH(D63,Invoices!$A$5:$A$404,0)),""))</f>
        <v>0</v>
      </c>
      <c r="N63" s="21">
        <f>IF(B63="","",IF(G63="",0,G63)-IF(H63="",0,H63))</f>
        <v>0</v>
      </c>
      <c r="O63" s="21">
        <f>IF(D63="","",IFERROR(INDEX(Invoices!$V$5:$V$404,MATCH(D63,Invoices!$A$5:$A$404,0)),""))</f>
        <v>0</v>
      </c>
      <c r="P63" s="21">
        <f>IF(D63="","",IFERROR(INDEX(Invoices!$W$5:$W$404,MATCH(D63,Invoices!$A$5:$A$404,0)),""))</f>
        <v>0</v>
      </c>
      <c r="Q63" s="21">
        <f>IF(OR(D63="",O63=""),"",ROUND(O63-P63,2))</f>
        <v>0</v>
      </c>
      <c r="R63" s="39">
        <f>IF(B63="","",IF(D63="","Add - which invoice?",IF(OR(G63="",G63=0),"Add - how much came in?",IF(Q63&lt;-0.004,"Check - overpaid",IF(L63="No","Due - not banked yet",IF(Q63&gt;0.004,"Part paid","OK"))))))</f>
        <v>0</v>
      </c>
    </row>
    <row r="64" spans="1:18">
      <c r="A64" s="43">
        <f>IF(B64="","",PaymentPrefix&amp;TEXT(ROW()-4,"0000"))</f>
        <v>0</v>
      </c>
      <c r="C64" s="23">
        <f>IF(B64="","",TEXT(B64,"yyyy-mm"))</f>
        <v>0</v>
      </c>
      <c r="E64" s="43">
        <f>IF(D64="","",IFERROR(INDEX(Invoices!$D$5:$D$404,MATCH(D64,Invoices!$A$5:$A$404,0)),""))</f>
        <v>0</v>
      </c>
      <c r="F64" s="23">
        <f>IF(D64="","",IFERROR(INDEX(Invoices!$E$5:$E$404,MATCH(D64,Invoices!$A$5:$A$404,0)),""))</f>
        <v>0</v>
      </c>
      <c r="N64" s="21">
        <f>IF(B64="","",IF(G64="",0,G64)-IF(H64="",0,H64))</f>
        <v>0</v>
      </c>
      <c r="O64" s="21">
        <f>IF(D64="","",IFERROR(INDEX(Invoices!$V$5:$V$404,MATCH(D64,Invoices!$A$5:$A$404,0)),""))</f>
        <v>0</v>
      </c>
      <c r="P64" s="21">
        <f>IF(D64="","",IFERROR(INDEX(Invoices!$W$5:$W$404,MATCH(D64,Invoices!$A$5:$A$404,0)),""))</f>
        <v>0</v>
      </c>
      <c r="Q64" s="21">
        <f>IF(OR(D64="",O64=""),"",ROUND(O64-P64,2))</f>
        <v>0</v>
      </c>
      <c r="R64" s="39">
        <f>IF(B64="","",IF(D64="","Add - which invoice?",IF(OR(G64="",G64=0),"Add - how much came in?",IF(Q64&lt;-0.004,"Check - overpaid",IF(L64="No","Due - not banked yet",IF(Q64&gt;0.004,"Part paid","OK"))))))</f>
        <v>0</v>
      </c>
    </row>
    <row r="65" spans="1:18">
      <c r="A65" s="43">
        <f>IF(B65="","",PaymentPrefix&amp;TEXT(ROW()-4,"0000"))</f>
        <v>0</v>
      </c>
      <c r="C65" s="23">
        <f>IF(B65="","",TEXT(B65,"yyyy-mm"))</f>
        <v>0</v>
      </c>
      <c r="E65" s="43">
        <f>IF(D65="","",IFERROR(INDEX(Invoices!$D$5:$D$404,MATCH(D65,Invoices!$A$5:$A$404,0)),""))</f>
        <v>0</v>
      </c>
      <c r="F65" s="23">
        <f>IF(D65="","",IFERROR(INDEX(Invoices!$E$5:$E$404,MATCH(D65,Invoices!$A$5:$A$404,0)),""))</f>
        <v>0</v>
      </c>
      <c r="N65" s="21">
        <f>IF(B65="","",IF(G65="",0,G65)-IF(H65="",0,H65))</f>
        <v>0</v>
      </c>
      <c r="O65" s="21">
        <f>IF(D65="","",IFERROR(INDEX(Invoices!$V$5:$V$404,MATCH(D65,Invoices!$A$5:$A$404,0)),""))</f>
        <v>0</v>
      </c>
      <c r="P65" s="21">
        <f>IF(D65="","",IFERROR(INDEX(Invoices!$W$5:$W$404,MATCH(D65,Invoices!$A$5:$A$404,0)),""))</f>
        <v>0</v>
      </c>
      <c r="Q65" s="21">
        <f>IF(OR(D65="",O65=""),"",ROUND(O65-P65,2))</f>
        <v>0</v>
      </c>
      <c r="R65" s="39">
        <f>IF(B65="","",IF(D65="","Add - which invoice?",IF(OR(G65="",G65=0),"Add - how much came in?",IF(Q65&lt;-0.004,"Check - overpaid",IF(L65="No","Due - not banked yet",IF(Q65&gt;0.004,"Part paid","OK"))))))</f>
        <v>0</v>
      </c>
    </row>
    <row r="66" spans="1:18">
      <c r="A66" s="43">
        <f>IF(B66="","",PaymentPrefix&amp;TEXT(ROW()-4,"0000"))</f>
        <v>0</v>
      </c>
      <c r="C66" s="23">
        <f>IF(B66="","",TEXT(B66,"yyyy-mm"))</f>
        <v>0</v>
      </c>
      <c r="E66" s="43">
        <f>IF(D66="","",IFERROR(INDEX(Invoices!$D$5:$D$404,MATCH(D66,Invoices!$A$5:$A$404,0)),""))</f>
        <v>0</v>
      </c>
      <c r="F66" s="23">
        <f>IF(D66="","",IFERROR(INDEX(Invoices!$E$5:$E$404,MATCH(D66,Invoices!$A$5:$A$404,0)),""))</f>
        <v>0</v>
      </c>
      <c r="N66" s="21">
        <f>IF(B66="","",IF(G66="",0,G66)-IF(H66="",0,H66))</f>
        <v>0</v>
      </c>
      <c r="O66" s="21">
        <f>IF(D66="","",IFERROR(INDEX(Invoices!$V$5:$V$404,MATCH(D66,Invoices!$A$5:$A$404,0)),""))</f>
        <v>0</v>
      </c>
      <c r="P66" s="21">
        <f>IF(D66="","",IFERROR(INDEX(Invoices!$W$5:$W$404,MATCH(D66,Invoices!$A$5:$A$404,0)),""))</f>
        <v>0</v>
      </c>
      <c r="Q66" s="21">
        <f>IF(OR(D66="",O66=""),"",ROUND(O66-P66,2))</f>
        <v>0</v>
      </c>
      <c r="R66" s="39">
        <f>IF(B66="","",IF(D66="","Add - which invoice?",IF(OR(G66="",G66=0),"Add - how much came in?",IF(Q66&lt;-0.004,"Check - overpaid",IF(L66="No","Due - not banked yet",IF(Q66&gt;0.004,"Part paid","OK"))))))</f>
        <v>0</v>
      </c>
    </row>
    <row r="67" spans="1:18">
      <c r="A67" s="43">
        <f>IF(B67="","",PaymentPrefix&amp;TEXT(ROW()-4,"0000"))</f>
        <v>0</v>
      </c>
      <c r="C67" s="23">
        <f>IF(B67="","",TEXT(B67,"yyyy-mm"))</f>
        <v>0</v>
      </c>
      <c r="E67" s="43">
        <f>IF(D67="","",IFERROR(INDEX(Invoices!$D$5:$D$404,MATCH(D67,Invoices!$A$5:$A$404,0)),""))</f>
        <v>0</v>
      </c>
      <c r="F67" s="23">
        <f>IF(D67="","",IFERROR(INDEX(Invoices!$E$5:$E$404,MATCH(D67,Invoices!$A$5:$A$404,0)),""))</f>
        <v>0</v>
      </c>
      <c r="N67" s="21">
        <f>IF(B67="","",IF(G67="",0,G67)-IF(H67="",0,H67))</f>
        <v>0</v>
      </c>
      <c r="O67" s="21">
        <f>IF(D67="","",IFERROR(INDEX(Invoices!$V$5:$V$404,MATCH(D67,Invoices!$A$5:$A$404,0)),""))</f>
        <v>0</v>
      </c>
      <c r="P67" s="21">
        <f>IF(D67="","",IFERROR(INDEX(Invoices!$W$5:$W$404,MATCH(D67,Invoices!$A$5:$A$404,0)),""))</f>
        <v>0</v>
      </c>
      <c r="Q67" s="21">
        <f>IF(OR(D67="",O67=""),"",ROUND(O67-P67,2))</f>
        <v>0</v>
      </c>
      <c r="R67" s="39">
        <f>IF(B67="","",IF(D67="","Add - which invoice?",IF(OR(G67="",G67=0),"Add - how much came in?",IF(Q67&lt;-0.004,"Check - overpaid",IF(L67="No","Due - not banked yet",IF(Q67&gt;0.004,"Part paid","OK"))))))</f>
        <v>0</v>
      </c>
    </row>
    <row r="68" spans="1:18">
      <c r="A68" s="43">
        <f>IF(B68="","",PaymentPrefix&amp;TEXT(ROW()-4,"0000"))</f>
        <v>0</v>
      </c>
      <c r="C68" s="23">
        <f>IF(B68="","",TEXT(B68,"yyyy-mm"))</f>
        <v>0</v>
      </c>
      <c r="E68" s="43">
        <f>IF(D68="","",IFERROR(INDEX(Invoices!$D$5:$D$404,MATCH(D68,Invoices!$A$5:$A$404,0)),""))</f>
        <v>0</v>
      </c>
      <c r="F68" s="23">
        <f>IF(D68="","",IFERROR(INDEX(Invoices!$E$5:$E$404,MATCH(D68,Invoices!$A$5:$A$404,0)),""))</f>
        <v>0</v>
      </c>
      <c r="N68" s="21">
        <f>IF(B68="","",IF(G68="",0,G68)-IF(H68="",0,H68))</f>
        <v>0</v>
      </c>
      <c r="O68" s="21">
        <f>IF(D68="","",IFERROR(INDEX(Invoices!$V$5:$V$404,MATCH(D68,Invoices!$A$5:$A$404,0)),""))</f>
        <v>0</v>
      </c>
      <c r="P68" s="21">
        <f>IF(D68="","",IFERROR(INDEX(Invoices!$W$5:$W$404,MATCH(D68,Invoices!$A$5:$A$404,0)),""))</f>
        <v>0</v>
      </c>
      <c r="Q68" s="21">
        <f>IF(OR(D68="",O68=""),"",ROUND(O68-P68,2))</f>
        <v>0</v>
      </c>
      <c r="R68" s="39">
        <f>IF(B68="","",IF(D68="","Add - which invoice?",IF(OR(G68="",G68=0),"Add - how much came in?",IF(Q68&lt;-0.004,"Check - overpaid",IF(L68="No","Due - not banked yet",IF(Q68&gt;0.004,"Part paid","OK"))))))</f>
        <v>0</v>
      </c>
    </row>
    <row r="69" spans="1:18">
      <c r="A69" s="43">
        <f>IF(B69="","",PaymentPrefix&amp;TEXT(ROW()-4,"0000"))</f>
        <v>0</v>
      </c>
      <c r="C69" s="23">
        <f>IF(B69="","",TEXT(B69,"yyyy-mm"))</f>
        <v>0</v>
      </c>
      <c r="E69" s="43">
        <f>IF(D69="","",IFERROR(INDEX(Invoices!$D$5:$D$404,MATCH(D69,Invoices!$A$5:$A$404,0)),""))</f>
        <v>0</v>
      </c>
      <c r="F69" s="23">
        <f>IF(D69="","",IFERROR(INDEX(Invoices!$E$5:$E$404,MATCH(D69,Invoices!$A$5:$A$404,0)),""))</f>
        <v>0</v>
      </c>
      <c r="N69" s="21">
        <f>IF(B69="","",IF(G69="",0,G69)-IF(H69="",0,H69))</f>
        <v>0</v>
      </c>
      <c r="O69" s="21">
        <f>IF(D69="","",IFERROR(INDEX(Invoices!$V$5:$V$404,MATCH(D69,Invoices!$A$5:$A$404,0)),""))</f>
        <v>0</v>
      </c>
      <c r="P69" s="21">
        <f>IF(D69="","",IFERROR(INDEX(Invoices!$W$5:$W$404,MATCH(D69,Invoices!$A$5:$A$404,0)),""))</f>
        <v>0</v>
      </c>
      <c r="Q69" s="21">
        <f>IF(OR(D69="",O69=""),"",ROUND(O69-P69,2))</f>
        <v>0</v>
      </c>
      <c r="R69" s="39">
        <f>IF(B69="","",IF(D69="","Add - which invoice?",IF(OR(G69="",G69=0),"Add - how much came in?",IF(Q69&lt;-0.004,"Check - overpaid",IF(L69="No","Due - not banked yet",IF(Q69&gt;0.004,"Part paid","OK"))))))</f>
        <v>0</v>
      </c>
    </row>
    <row r="70" spans="1:18">
      <c r="A70" s="43">
        <f>IF(B70="","",PaymentPrefix&amp;TEXT(ROW()-4,"0000"))</f>
        <v>0</v>
      </c>
      <c r="C70" s="23">
        <f>IF(B70="","",TEXT(B70,"yyyy-mm"))</f>
        <v>0</v>
      </c>
      <c r="E70" s="43">
        <f>IF(D70="","",IFERROR(INDEX(Invoices!$D$5:$D$404,MATCH(D70,Invoices!$A$5:$A$404,0)),""))</f>
        <v>0</v>
      </c>
      <c r="F70" s="23">
        <f>IF(D70="","",IFERROR(INDEX(Invoices!$E$5:$E$404,MATCH(D70,Invoices!$A$5:$A$404,0)),""))</f>
        <v>0</v>
      </c>
      <c r="N70" s="21">
        <f>IF(B70="","",IF(G70="",0,G70)-IF(H70="",0,H70))</f>
        <v>0</v>
      </c>
      <c r="O70" s="21">
        <f>IF(D70="","",IFERROR(INDEX(Invoices!$V$5:$V$404,MATCH(D70,Invoices!$A$5:$A$404,0)),""))</f>
        <v>0</v>
      </c>
      <c r="P70" s="21">
        <f>IF(D70="","",IFERROR(INDEX(Invoices!$W$5:$W$404,MATCH(D70,Invoices!$A$5:$A$404,0)),""))</f>
        <v>0</v>
      </c>
      <c r="Q70" s="21">
        <f>IF(OR(D70="",O70=""),"",ROUND(O70-P70,2))</f>
        <v>0</v>
      </c>
      <c r="R70" s="39">
        <f>IF(B70="","",IF(D70="","Add - which invoice?",IF(OR(G70="",G70=0),"Add - how much came in?",IF(Q70&lt;-0.004,"Check - overpaid",IF(L70="No","Due - not banked yet",IF(Q70&gt;0.004,"Part paid","OK"))))))</f>
        <v>0</v>
      </c>
    </row>
    <row r="71" spans="1:18">
      <c r="A71" s="43">
        <f>IF(B71="","",PaymentPrefix&amp;TEXT(ROW()-4,"0000"))</f>
        <v>0</v>
      </c>
      <c r="C71" s="23">
        <f>IF(B71="","",TEXT(B71,"yyyy-mm"))</f>
        <v>0</v>
      </c>
      <c r="E71" s="43">
        <f>IF(D71="","",IFERROR(INDEX(Invoices!$D$5:$D$404,MATCH(D71,Invoices!$A$5:$A$404,0)),""))</f>
        <v>0</v>
      </c>
      <c r="F71" s="23">
        <f>IF(D71="","",IFERROR(INDEX(Invoices!$E$5:$E$404,MATCH(D71,Invoices!$A$5:$A$404,0)),""))</f>
        <v>0</v>
      </c>
      <c r="N71" s="21">
        <f>IF(B71="","",IF(G71="",0,G71)-IF(H71="",0,H71))</f>
        <v>0</v>
      </c>
      <c r="O71" s="21">
        <f>IF(D71="","",IFERROR(INDEX(Invoices!$V$5:$V$404,MATCH(D71,Invoices!$A$5:$A$404,0)),""))</f>
        <v>0</v>
      </c>
      <c r="P71" s="21">
        <f>IF(D71="","",IFERROR(INDEX(Invoices!$W$5:$W$404,MATCH(D71,Invoices!$A$5:$A$404,0)),""))</f>
        <v>0</v>
      </c>
      <c r="Q71" s="21">
        <f>IF(OR(D71="",O71=""),"",ROUND(O71-P71,2))</f>
        <v>0</v>
      </c>
      <c r="R71" s="39">
        <f>IF(B71="","",IF(D71="","Add - which invoice?",IF(OR(G71="",G71=0),"Add - how much came in?",IF(Q71&lt;-0.004,"Check - overpaid",IF(L71="No","Due - not banked yet",IF(Q71&gt;0.004,"Part paid","OK"))))))</f>
        <v>0</v>
      </c>
    </row>
    <row r="72" spans="1:18">
      <c r="A72" s="43">
        <f>IF(B72="","",PaymentPrefix&amp;TEXT(ROW()-4,"0000"))</f>
        <v>0</v>
      </c>
      <c r="C72" s="23">
        <f>IF(B72="","",TEXT(B72,"yyyy-mm"))</f>
        <v>0</v>
      </c>
      <c r="E72" s="43">
        <f>IF(D72="","",IFERROR(INDEX(Invoices!$D$5:$D$404,MATCH(D72,Invoices!$A$5:$A$404,0)),""))</f>
        <v>0</v>
      </c>
      <c r="F72" s="23">
        <f>IF(D72="","",IFERROR(INDEX(Invoices!$E$5:$E$404,MATCH(D72,Invoices!$A$5:$A$404,0)),""))</f>
        <v>0</v>
      </c>
      <c r="N72" s="21">
        <f>IF(B72="","",IF(G72="",0,G72)-IF(H72="",0,H72))</f>
        <v>0</v>
      </c>
      <c r="O72" s="21">
        <f>IF(D72="","",IFERROR(INDEX(Invoices!$V$5:$V$404,MATCH(D72,Invoices!$A$5:$A$404,0)),""))</f>
        <v>0</v>
      </c>
      <c r="P72" s="21">
        <f>IF(D72="","",IFERROR(INDEX(Invoices!$W$5:$W$404,MATCH(D72,Invoices!$A$5:$A$404,0)),""))</f>
        <v>0</v>
      </c>
      <c r="Q72" s="21">
        <f>IF(OR(D72="",O72=""),"",ROUND(O72-P72,2))</f>
        <v>0</v>
      </c>
      <c r="R72" s="39">
        <f>IF(B72="","",IF(D72="","Add - which invoice?",IF(OR(G72="",G72=0),"Add - how much came in?",IF(Q72&lt;-0.004,"Check - overpaid",IF(L72="No","Due - not banked yet",IF(Q72&gt;0.004,"Part paid","OK"))))))</f>
        <v>0</v>
      </c>
    </row>
    <row r="73" spans="1:18">
      <c r="A73" s="43">
        <f>IF(B73="","",PaymentPrefix&amp;TEXT(ROW()-4,"0000"))</f>
        <v>0</v>
      </c>
      <c r="C73" s="23">
        <f>IF(B73="","",TEXT(B73,"yyyy-mm"))</f>
        <v>0</v>
      </c>
      <c r="E73" s="43">
        <f>IF(D73="","",IFERROR(INDEX(Invoices!$D$5:$D$404,MATCH(D73,Invoices!$A$5:$A$404,0)),""))</f>
        <v>0</v>
      </c>
      <c r="F73" s="23">
        <f>IF(D73="","",IFERROR(INDEX(Invoices!$E$5:$E$404,MATCH(D73,Invoices!$A$5:$A$404,0)),""))</f>
        <v>0</v>
      </c>
      <c r="N73" s="21">
        <f>IF(B73="","",IF(G73="",0,G73)-IF(H73="",0,H73))</f>
        <v>0</v>
      </c>
      <c r="O73" s="21">
        <f>IF(D73="","",IFERROR(INDEX(Invoices!$V$5:$V$404,MATCH(D73,Invoices!$A$5:$A$404,0)),""))</f>
        <v>0</v>
      </c>
      <c r="P73" s="21">
        <f>IF(D73="","",IFERROR(INDEX(Invoices!$W$5:$W$404,MATCH(D73,Invoices!$A$5:$A$404,0)),""))</f>
        <v>0</v>
      </c>
      <c r="Q73" s="21">
        <f>IF(OR(D73="",O73=""),"",ROUND(O73-P73,2))</f>
        <v>0</v>
      </c>
      <c r="R73" s="39">
        <f>IF(B73="","",IF(D73="","Add - which invoice?",IF(OR(G73="",G73=0),"Add - how much came in?",IF(Q73&lt;-0.004,"Check - overpaid",IF(L73="No","Due - not banked yet",IF(Q73&gt;0.004,"Part paid","OK"))))))</f>
        <v>0</v>
      </c>
    </row>
    <row r="74" spans="1:18">
      <c r="A74" s="43">
        <f>IF(B74="","",PaymentPrefix&amp;TEXT(ROW()-4,"0000"))</f>
        <v>0</v>
      </c>
      <c r="C74" s="23">
        <f>IF(B74="","",TEXT(B74,"yyyy-mm"))</f>
        <v>0</v>
      </c>
      <c r="E74" s="43">
        <f>IF(D74="","",IFERROR(INDEX(Invoices!$D$5:$D$404,MATCH(D74,Invoices!$A$5:$A$404,0)),""))</f>
        <v>0</v>
      </c>
      <c r="F74" s="23">
        <f>IF(D74="","",IFERROR(INDEX(Invoices!$E$5:$E$404,MATCH(D74,Invoices!$A$5:$A$404,0)),""))</f>
        <v>0</v>
      </c>
      <c r="N74" s="21">
        <f>IF(B74="","",IF(G74="",0,G74)-IF(H74="",0,H74))</f>
        <v>0</v>
      </c>
      <c r="O74" s="21">
        <f>IF(D74="","",IFERROR(INDEX(Invoices!$V$5:$V$404,MATCH(D74,Invoices!$A$5:$A$404,0)),""))</f>
        <v>0</v>
      </c>
      <c r="P74" s="21">
        <f>IF(D74="","",IFERROR(INDEX(Invoices!$W$5:$W$404,MATCH(D74,Invoices!$A$5:$A$404,0)),""))</f>
        <v>0</v>
      </c>
      <c r="Q74" s="21">
        <f>IF(OR(D74="",O74=""),"",ROUND(O74-P74,2))</f>
        <v>0</v>
      </c>
      <c r="R74" s="39">
        <f>IF(B74="","",IF(D74="","Add - which invoice?",IF(OR(G74="",G74=0),"Add - how much came in?",IF(Q74&lt;-0.004,"Check - overpaid",IF(L74="No","Due - not banked yet",IF(Q74&gt;0.004,"Part paid","OK"))))))</f>
        <v>0</v>
      </c>
    </row>
    <row r="75" spans="1:18">
      <c r="A75" s="43">
        <f>IF(B75="","",PaymentPrefix&amp;TEXT(ROW()-4,"0000"))</f>
        <v>0</v>
      </c>
      <c r="C75" s="23">
        <f>IF(B75="","",TEXT(B75,"yyyy-mm"))</f>
        <v>0</v>
      </c>
      <c r="E75" s="43">
        <f>IF(D75="","",IFERROR(INDEX(Invoices!$D$5:$D$404,MATCH(D75,Invoices!$A$5:$A$404,0)),""))</f>
        <v>0</v>
      </c>
      <c r="F75" s="23">
        <f>IF(D75="","",IFERROR(INDEX(Invoices!$E$5:$E$404,MATCH(D75,Invoices!$A$5:$A$404,0)),""))</f>
        <v>0</v>
      </c>
      <c r="N75" s="21">
        <f>IF(B75="","",IF(G75="",0,G75)-IF(H75="",0,H75))</f>
        <v>0</v>
      </c>
      <c r="O75" s="21">
        <f>IF(D75="","",IFERROR(INDEX(Invoices!$V$5:$V$404,MATCH(D75,Invoices!$A$5:$A$404,0)),""))</f>
        <v>0</v>
      </c>
      <c r="P75" s="21">
        <f>IF(D75="","",IFERROR(INDEX(Invoices!$W$5:$W$404,MATCH(D75,Invoices!$A$5:$A$404,0)),""))</f>
        <v>0</v>
      </c>
      <c r="Q75" s="21">
        <f>IF(OR(D75="",O75=""),"",ROUND(O75-P75,2))</f>
        <v>0</v>
      </c>
      <c r="R75" s="39">
        <f>IF(B75="","",IF(D75="","Add - which invoice?",IF(OR(G75="",G75=0),"Add - how much came in?",IF(Q75&lt;-0.004,"Check - overpaid",IF(L75="No","Due - not banked yet",IF(Q75&gt;0.004,"Part paid","OK"))))))</f>
        <v>0</v>
      </c>
    </row>
    <row r="76" spans="1:18">
      <c r="A76" s="43">
        <f>IF(B76="","",PaymentPrefix&amp;TEXT(ROW()-4,"0000"))</f>
        <v>0</v>
      </c>
      <c r="C76" s="23">
        <f>IF(B76="","",TEXT(B76,"yyyy-mm"))</f>
        <v>0</v>
      </c>
      <c r="E76" s="43">
        <f>IF(D76="","",IFERROR(INDEX(Invoices!$D$5:$D$404,MATCH(D76,Invoices!$A$5:$A$404,0)),""))</f>
        <v>0</v>
      </c>
      <c r="F76" s="23">
        <f>IF(D76="","",IFERROR(INDEX(Invoices!$E$5:$E$404,MATCH(D76,Invoices!$A$5:$A$404,0)),""))</f>
        <v>0</v>
      </c>
      <c r="N76" s="21">
        <f>IF(B76="","",IF(G76="",0,G76)-IF(H76="",0,H76))</f>
        <v>0</v>
      </c>
      <c r="O76" s="21">
        <f>IF(D76="","",IFERROR(INDEX(Invoices!$V$5:$V$404,MATCH(D76,Invoices!$A$5:$A$404,0)),""))</f>
        <v>0</v>
      </c>
      <c r="P76" s="21">
        <f>IF(D76="","",IFERROR(INDEX(Invoices!$W$5:$W$404,MATCH(D76,Invoices!$A$5:$A$404,0)),""))</f>
        <v>0</v>
      </c>
      <c r="Q76" s="21">
        <f>IF(OR(D76="",O76=""),"",ROUND(O76-P76,2))</f>
        <v>0</v>
      </c>
      <c r="R76" s="39">
        <f>IF(B76="","",IF(D76="","Add - which invoice?",IF(OR(G76="",G76=0),"Add - how much came in?",IF(Q76&lt;-0.004,"Check - overpaid",IF(L76="No","Due - not banked yet",IF(Q76&gt;0.004,"Part paid","OK"))))))</f>
        <v>0</v>
      </c>
    </row>
    <row r="77" spans="1:18">
      <c r="A77" s="43">
        <f>IF(B77="","",PaymentPrefix&amp;TEXT(ROW()-4,"0000"))</f>
        <v>0</v>
      </c>
      <c r="C77" s="23">
        <f>IF(B77="","",TEXT(B77,"yyyy-mm"))</f>
        <v>0</v>
      </c>
      <c r="E77" s="43">
        <f>IF(D77="","",IFERROR(INDEX(Invoices!$D$5:$D$404,MATCH(D77,Invoices!$A$5:$A$404,0)),""))</f>
        <v>0</v>
      </c>
      <c r="F77" s="23">
        <f>IF(D77="","",IFERROR(INDEX(Invoices!$E$5:$E$404,MATCH(D77,Invoices!$A$5:$A$404,0)),""))</f>
        <v>0</v>
      </c>
      <c r="N77" s="21">
        <f>IF(B77="","",IF(G77="",0,G77)-IF(H77="",0,H77))</f>
        <v>0</v>
      </c>
      <c r="O77" s="21">
        <f>IF(D77="","",IFERROR(INDEX(Invoices!$V$5:$V$404,MATCH(D77,Invoices!$A$5:$A$404,0)),""))</f>
        <v>0</v>
      </c>
      <c r="P77" s="21">
        <f>IF(D77="","",IFERROR(INDEX(Invoices!$W$5:$W$404,MATCH(D77,Invoices!$A$5:$A$404,0)),""))</f>
        <v>0</v>
      </c>
      <c r="Q77" s="21">
        <f>IF(OR(D77="",O77=""),"",ROUND(O77-P77,2))</f>
        <v>0</v>
      </c>
      <c r="R77" s="39">
        <f>IF(B77="","",IF(D77="","Add - which invoice?",IF(OR(G77="",G77=0),"Add - how much came in?",IF(Q77&lt;-0.004,"Check - overpaid",IF(L77="No","Due - not banked yet",IF(Q77&gt;0.004,"Part paid","OK"))))))</f>
        <v>0</v>
      </c>
    </row>
    <row r="78" spans="1:18">
      <c r="A78" s="43">
        <f>IF(B78="","",PaymentPrefix&amp;TEXT(ROW()-4,"0000"))</f>
        <v>0</v>
      </c>
      <c r="C78" s="23">
        <f>IF(B78="","",TEXT(B78,"yyyy-mm"))</f>
        <v>0</v>
      </c>
      <c r="E78" s="43">
        <f>IF(D78="","",IFERROR(INDEX(Invoices!$D$5:$D$404,MATCH(D78,Invoices!$A$5:$A$404,0)),""))</f>
        <v>0</v>
      </c>
      <c r="F78" s="23">
        <f>IF(D78="","",IFERROR(INDEX(Invoices!$E$5:$E$404,MATCH(D78,Invoices!$A$5:$A$404,0)),""))</f>
        <v>0</v>
      </c>
      <c r="N78" s="21">
        <f>IF(B78="","",IF(G78="",0,G78)-IF(H78="",0,H78))</f>
        <v>0</v>
      </c>
      <c r="O78" s="21">
        <f>IF(D78="","",IFERROR(INDEX(Invoices!$V$5:$V$404,MATCH(D78,Invoices!$A$5:$A$404,0)),""))</f>
        <v>0</v>
      </c>
      <c r="P78" s="21">
        <f>IF(D78="","",IFERROR(INDEX(Invoices!$W$5:$W$404,MATCH(D78,Invoices!$A$5:$A$404,0)),""))</f>
        <v>0</v>
      </c>
      <c r="Q78" s="21">
        <f>IF(OR(D78="",O78=""),"",ROUND(O78-P78,2))</f>
        <v>0</v>
      </c>
      <c r="R78" s="39">
        <f>IF(B78="","",IF(D78="","Add - which invoice?",IF(OR(G78="",G78=0),"Add - how much came in?",IF(Q78&lt;-0.004,"Check - overpaid",IF(L78="No","Due - not banked yet",IF(Q78&gt;0.004,"Part paid","OK"))))))</f>
        <v>0</v>
      </c>
    </row>
    <row r="79" spans="1:18">
      <c r="A79" s="43">
        <f>IF(B79="","",PaymentPrefix&amp;TEXT(ROW()-4,"0000"))</f>
        <v>0</v>
      </c>
      <c r="C79" s="23">
        <f>IF(B79="","",TEXT(B79,"yyyy-mm"))</f>
        <v>0</v>
      </c>
      <c r="E79" s="43">
        <f>IF(D79="","",IFERROR(INDEX(Invoices!$D$5:$D$404,MATCH(D79,Invoices!$A$5:$A$404,0)),""))</f>
        <v>0</v>
      </c>
      <c r="F79" s="23">
        <f>IF(D79="","",IFERROR(INDEX(Invoices!$E$5:$E$404,MATCH(D79,Invoices!$A$5:$A$404,0)),""))</f>
        <v>0</v>
      </c>
      <c r="N79" s="21">
        <f>IF(B79="","",IF(G79="",0,G79)-IF(H79="",0,H79))</f>
        <v>0</v>
      </c>
      <c r="O79" s="21">
        <f>IF(D79="","",IFERROR(INDEX(Invoices!$V$5:$V$404,MATCH(D79,Invoices!$A$5:$A$404,0)),""))</f>
        <v>0</v>
      </c>
      <c r="P79" s="21">
        <f>IF(D79="","",IFERROR(INDEX(Invoices!$W$5:$W$404,MATCH(D79,Invoices!$A$5:$A$404,0)),""))</f>
        <v>0</v>
      </c>
      <c r="Q79" s="21">
        <f>IF(OR(D79="",O79=""),"",ROUND(O79-P79,2))</f>
        <v>0</v>
      </c>
      <c r="R79" s="39">
        <f>IF(B79="","",IF(D79="","Add - which invoice?",IF(OR(G79="",G79=0),"Add - how much came in?",IF(Q79&lt;-0.004,"Check - overpaid",IF(L79="No","Due - not banked yet",IF(Q79&gt;0.004,"Part paid","OK"))))))</f>
        <v>0</v>
      </c>
    </row>
    <row r="80" spans="1:18">
      <c r="A80" s="43">
        <f>IF(B80="","",PaymentPrefix&amp;TEXT(ROW()-4,"0000"))</f>
        <v>0</v>
      </c>
      <c r="C80" s="23">
        <f>IF(B80="","",TEXT(B80,"yyyy-mm"))</f>
        <v>0</v>
      </c>
      <c r="E80" s="43">
        <f>IF(D80="","",IFERROR(INDEX(Invoices!$D$5:$D$404,MATCH(D80,Invoices!$A$5:$A$404,0)),""))</f>
        <v>0</v>
      </c>
      <c r="F80" s="23">
        <f>IF(D80="","",IFERROR(INDEX(Invoices!$E$5:$E$404,MATCH(D80,Invoices!$A$5:$A$404,0)),""))</f>
        <v>0</v>
      </c>
      <c r="N80" s="21">
        <f>IF(B80="","",IF(G80="",0,G80)-IF(H80="",0,H80))</f>
        <v>0</v>
      </c>
      <c r="O80" s="21">
        <f>IF(D80="","",IFERROR(INDEX(Invoices!$V$5:$V$404,MATCH(D80,Invoices!$A$5:$A$404,0)),""))</f>
        <v>0</v>
      </c>
      <c r="P80" s="21">
        <f>IF(D80="","",IFERROR(INDEX(Invoices!$W$5:$W$404,MATCH(D80,Invoices!$A$5:$A$404,0)),""))</f>
        <v>0</v>
      </c>
      <c r="Q80" s="21">
        <f>IF(OR(D80="",O80=""),"",ROUND(O80-P80,2))</f>
        <v>0</v>
      </c>
      <c r="R80" s="39">
        <f>IF(B80="","",IF(D80="","Add - which invoice?",IF(OR(G80="",G80=0),"Add - how much came in?",IF(Q80&lt;-0.004,"Check - overpaid",IF(L80="No","Due - not banked yet",IF(Q80&gt;0.004,"Part paid","OK"))))))</f>
        <v>0</v>
      </c>
    </row>
    <row r="81" spans="1:18">
      <c r="A81" s="43">
        <f>IF(B81="","",PaymentPrefix&amp;TEXT(ROW()-4,"0000"))</f>
        <v>0</v>
      </c>
      <c r="C81" s="23">
        <f>IF(B81="","",TEXT(B81,"yyyy-mm"))</f>
        <v>0</v>
      </c>
      <c r="E81" s="43">
        <f>IF(D81="","",IFERROR(INDEX(Invoices!$D$5:$D$404,MATCH(D81,Invoices!$A$5:$A$404,0)),""))</f>
        <v>0</v>
      </c>
      <c r="F81" s="23">
        <f>IF(D81="","",IFERROR(INDEX(Invoices!$E$5:$E$404,MATCH(D81,Invoices!$A$5:$A$404,0)),""))</f>
        <v>0</v>
      </c>
      <c r="N81" s="21">
        <f>IF(B81="","",IF(G81="",0,G81)-IF(H81="",0,H81))</f>
        <v>0</v>
      </c>
      <c r="O81" s="21">
        <f>IF(D81="","",IFERROR(INDEX(Invoices!$V$5:$V$404,MATCH(D81,Invoices!$A$5:$A$404,0)),""))</f>
        <v>0</v>
      </c>
      <c r="P81" s="21">
        <f>IF(D81="","",IFERROR(INDEX(Invoices!$W$5:$W$404,MATCH(D81,Invoices!$A$5:$A$404,0)),""))</f>
        <v>0</v>
      </c>
      <c r="Q81" s="21">
        <f>IF(OR(D81="",O81=""),"",ROUND(O81-P81,2))</f>
        <v>0</v>
      </c>
      <c r="R81" s="39">
        <f>IF(B81="","",IF(D81="","Add - which invoice?",IF(OR(G81="",G81=0),"Add - how much came in?",IF(Q81&lt;-0.004,"Check - overpaid",IF(L81="No","Due - not banked yet",IF(Q81&gt;0.004,"Part paid","OK"))))))</f>
        <v>0</v>
      </c>
    </row>
    <row r="82" spans="1:18">
      <c r="A82" s="43">
        <f>IF(B82="","",PaymentPrefix&amp;TEXT(ROW()-4,"0000"))</f>
        <v>0</v>
      </c>
      <c r="C82" s="23">
        <f>IF(B82="","",TEXT(B82,"yyyy-mm"))</f>
        <v>0</v>
      </c>
      <c r="E82" s="43">
        <f>IF(D82="","",IFERROR(INDEX(Invoices!$D$5:$D$404,MATCH(D82,Invoices!$A$5:$A$404,0)),""))</f>
        <v>0</v>
      </c>
      <c r="F82" s="23">
        <f>IF(D82="","",IFERROR(INDEX(Invoices!$E$5:$E$404,MATCH(D82,Invoices!$A$5:$A$404,0)),""))</f>
        <v>0</v>
      </c>
      <c r="N82" s="21">
        <f>IF(B82="","",IF(G82="",0,G82)-IF(H82="",0,H82))</f>
        <v>0</v>
      </c>
      <c r="O82" s="21">
        <f>IF(D82="","",IFERROR(INDEX(Invoices!$V$5:$V$404,MATCH(D82,Invoices!$A$5:$A$404,0)),""))</f>
        <v>0</v>
      </c>
      <c r="P82" s="21">
        <f>IF(D82="","",IFERROR(INDEX(Invoices!$W$5:$W$404,MATCH(D82,Invoices!$A$5:$A$404,0)),""))</f>
        <v>0</v>
      </c>
      <c r="Q82" s="21">
        <f>IF(OR(D82="",O82=""),"",ROUND(O82-P82,2))</f>
        <v>0</v>
      </c>
      <c r="R82" s="39">
        <f>IF(B82="","",IF(D82="","Add - which invoice?",IF(OR(G82="",G82=0),"Add - how much came in?",IF(Q82&lt;-0.004,"Check - overpaid",IF(L82="No","Due - not banked yet",IF(Q82&gt;0.004,"Part paid","OK"))))))</f>
        <v>0</v>
      </c>
    </row>
    <row r="83" spans="1:18">
      <c r="A83" s="43">
        <f>IF(B83="","",PaymentPrefix&amp;TEXT(ROW()-4,"0000"))</f>
        <v>0</v>
      </c>
      <c r="C83" s="23">
        <f>IF(B83="","",TEXT(B83,"yyyy-mm"))</f>
        <v>0</v>
      </c>
      <c r="E83" s="43">
        <f>IF(D83="","",IFERROR(INDEX(Invoices!$D$5:$D$404,MATCH(D83,Invoices!$A$5:$A$404,0)),""))</f>
        <v>0</v>
      </c>
      <c r="F83" s="23">
        <f>IF(D83="","",IFERROR(INDEX(Invoices!$E$5:$E$404,MATCH(D83,Invoices!$A$5:$A$404,0)),""))</f>
        <v>0</v>
      </c>
      <c r="N83" s="21">
        <f>IF(B83="","",IF(G83="",0,G83)-IF(H83="",0,H83))</f>
        <v>0</v>
      </c>
      <c r="O83" s="21">
        <f>IF(D83="","",IFERROR(INDEX(Invoices!$V$5:$V$404,MATCH(D83,Invoices!$A$5:$A$404,0)),""))</f>
        <v>0</v>
      </c>
      <c r="P83" s="21">
        <f>IF(D83="","",IFERROR(INDEX(Invoices!$W$5:$W$404,MATCH(D83,Invoices!$A$5:$A$404,0)),""))</f>
        <v>0</v>
      </c>
      <c r="Q83" s="21">
        <f>IF(OR(D83="",O83=""),"",ROUND(O83-P83,2))</f>
        <v>0</v>
      </c>
      <c r="R83" s="39">
        <f>IF(B83="","",IF(D83="","Add - which invoice?",IF(OR(G83="",G83=0),"Add - how much came in?",IF(Q83&lt;-0.004,"Check - overpaid",IF(L83="No","Due - not banked yet",IF(Q83&gt;0.004,"Part paid","OK"))))))</f>
        <v>0</v>
      </c>
    </row>
    <row r="84" spans="1:18">
      <c r="A84" s="43">
        <f>IF(B84="","",PaymentPrefix&amp;TEXT(ROW()-4,"0000"))</f>
        <v>0</v>
      </c>
      <c r="C84" s="23">
        <f>IF(B84="","",TEXT(B84,"yyyy-mm"))</f>
        <v>0</v>
      </c>
      <c r="E84" s="43">
        <f>IF(D84="","",IFERROR(INDEX(Invoices!$D$5:$D$404,MATCH(D84,Invoices!$A$5:$A$404,0)),""))</f>
        <v>0</v>
      </c>
      <c r="F84" s="23">
        <f>IF(D84="","",IFERROR(INDEX(Invoices!$E$5:$E$404,MATCH(D84,Invoices!$A$5:$A$404,0)),""))</f>
        <v>0</v>
      </c>
      <c r="N84" s="21">
        <f>IF(B84="","",IF(G84="",0,G84)-IF(H84="",0,H84))</f>
        <v>0</v>
      </c>
      <c r="O84" s="21">
        <f>IF(D84="","",IFERROR(INDEX(Invoices!$V$5:$V$404,MATCH(D84,Invoices!$A$5:$A$404,0)),""))</f>
        <v>0</v>
      </c>
      <c r="P84" s="21">
        <f>IF(D84="","",IFERROR(INDEX(Invoices!$W$5:$W$404,MATCH(D84,Invoices!$A$5:$A$404,0)),""))</f>
        <v>0</v>
      </c>
      <c r="Q84" s="21">
        <f>IF(OR(D84="",O84=""),"",ROUND(O84-P84,2))</f>
        <v>0</v>
      </c>
      <c r="R84" s="39">
        <f>IF(B84="","",IF(D84="","Add - which invoice?",IF(OR(G84="",G84=0),"Add - how much came in?",IF(Q84&lt;-0.004,"Check - overpaid",IF(L84="No","Due - not banked yet",IF(Q84&gt;0.004,"Part paid","OK"))))))</f>
        <v>0</v>
      </c>
    </row>
    <row r="85" spans="1:18">
      <c r="A85" s="43">
        <f>IF(B85="","",PaymentPrefix&amp;TEXT(ROW()-4,"0000"))</f>
        <v>0</v>
      </c>
      <c r="C85" s="23">
        <f>IF(B85="","",TEXT(B85,"yyyy-mm"))</f>
        <v>0</v>
      </c>
      <c r="E85" s="43">
        <f>IF(D85="","",IFERROR(INDEX(Invoices!$D$5:$D$404,MATCH(D85,Invoices!$A$5:$A$404,0)),""))</f>
        <v>0</v>
      </c>
      <c r="F85" s="23">
        <f>IF(D85="","",IFERROR(INDEX(Invoices!$E$5:$E$404,MATCH(D85,Invoices!$A$5:$A$404,0)),""))</f>
        <v>0</v>
      </c>
      <c r="N85" s="21">
        <f>IF(B85="","",IF(G85="",0,G85)-IF(H85="",0,H85))</f>
        <v>0</v>
      </c>
      <c r="O85" s="21">
        <f>IF(D85="","",IFERROR(INDEX(Invoices!$V$5:$V$404,MATCH(D85,Invoices!$A$5:$A$404,0)),""))</f>
        <v>0</v>
      </c>
      <c r="P85" s="21">
        <f>IF(D85="","",IFERROR(INDEX(Invoices!$W$5:$W$404,MATCH(D85,Invoices!$A$5:$A$404,0)),""))</f>
        <v>0</v>
      </c>
      <c r="Q85" s="21">
        <f>IF(OR(D85="",O85=""),"",ROUND(O85-P85,2))</f>
        <v>0</v>
      </c>
      <c r="R85" s="39">
        <f>IF(B85="","",IF(D85="","Add - which invoice?",IF(OR(G85="",G85=0),"Add - how much came in?",IF(Q85&lt;-0.004,"Check - overpaid",IF(L85="No","Due - not banked yet",IF(Q85&gt;0.004,"Part paid","OK"))))))</f>
        <v>0</v>
      </c>
    </row>
    <row r="86" spans="1:18">
      <c r="A86" s="43">
        <f>IF(B86="","",PaymentPrefix&amp;TEXT(ROW()-4,"0000"))</f>
        <v>0</v>
      </c>
      <c r="C86" s="23">
        <f>IF(B86="","",TEXT(B86,"yyyy-mm"))</f>
        <v>0</v>
      </c>
      <c r="E86" s="43">
        <f>IF(D86="","",IFERROR(INDEX(Invoices!$D$5:$D$404,MATCH(D86,Invoices!$A$5:$A$404,0)),""))</f>
        <v>0</v>
      </c>
      <c r="F86" s="23">
        <f>IF(D86="","",IFERROR(INDEX(Invoices!$E$5:$E$404,MATCH(D86,Invoices!$A$5:$A$404,0)),""))</f>
        <v>0</v>
      </c>
      <c r="N86" s="21">
        <f>IF(B86="","",IF(G86="",0,G86)-IF(H86="",0,H86))</f>
        <v>0</v>
      </c>
      <c r="O86" s="21">
        <f>IF(D86="","",IFERROR(INDEX(Invoices!$V$5:$V$404,MATCH(D86,Invoices!$A$5:$A$404,0)),""))</f>
        <v>0</v>
      </c>
      <c r="P86" s="21">
        <f>IF(D86="","",IFERROR(INDEX(Invoices!$W$5:$W$404,MATCH(D86,Invoices!$A$5:$A$404,0)),""))</f>
        <v>0</v>
      </c>
      <c r="Q86" s="21">
        <f>IF(OR(D86="",O86=""),"",ROUND(O86-P86,2))</f>
        <v>0</v>
      </c>
      <c r="R86" s="39">
        <f>IF(B86="","",IF(D86="","Add - which invoice?",IF(OR(G86="",G86=0),"Add - how much came in?",IF(Q86&lt;-0.004,"Check - overpaid",IF(L86="No","Due - not banked yet",IF(Q86&gt;0.004,"Part paid","OK"))))))</f>
        <v>0</v>
      </c>
    </row>
    <row r="87" spans="1:18">
      <c r="A87" s="43">
        <f>IF(B87="","",PaymentPrefix&amp;TEXT(ROW()-4,"0000"))</f>
        <v>0</v>
      </c>
      <c r="C87" s="23">
        <f>IF(B87="","",TEXT(B87,"yyyy-mm"))</f>
        <v>0</v>
      </c>
      <c r="E87" s="43">
        <f>IF(D87="","",IFERROR(INDEX(Invoices!$D$5:$D$404,MATCH(D87,Invoices!$A$5:$A$404,0)),""))</f>
        <v>0</v>
      </c>
      <c r="F87" s="23">
        <f>IF(D87="","",IFERROR(INDEX(Invoices!$E$5:$E$404,MATCH(D87,Invoices!$A$5:$A$404,0)),""))</f>
        <v>0</v>
      </c>
      <c r="N87" s="21">
        <f>IF(B87="","",IF(G87="",0,G87)-IF(H87="",0,H87))</f>
        <v>0</v>
      </c>
      <c r="O87" s="21">
        <f>IF(D87="","",IFERROR(INDEX(Invoices!$V$5:$V$404,MATCH(D87,Invoices!$A$5:$A$404,0)),""))</f>
        <v>0</v>
      </c>
      <c r="P87" s="21">
        <f>IF(D87="","",IFERROR(INDEX(Invoices!$W$5:$W$404,MATCH(D87,Invoices!$A$5:$A$404,0)),""))</f>
        <v>0</v>
      </c>
      <c r="Q87" s="21">
        <f>IF(OR(D87="",O87=""),"",ROUND(O87-P87,2))</f>
        <v>0</v>
      </c>
      <c r="R87" s="39">
        <f>IF(B87="","",IF(D87="","Add - which invoice?",IF(OR(G87="",G87=0),"Add - how much came in?",IF(Q87&lt;-0.004,"Check - overpaid",IF(L87="No","Due - not banked yet",IF(Q87&gt;0.004,"Part paid","OK"))))))</f>
        <v>0</v>
      </c>
    </row>
    <row r="88" spans="1:18">
      <c r="A88" s="43">
        <f>IF(B88="","",PaymentPrefix&amp;TEXT(ROW()-4,"0000"))</f>
        <v>0</v>
      </c>
      <c r="C88" s="23">
        <f>IF(B88="","",TEXT(B88,"yyyy-mm"))</f>
        <v>0</v>
      </c>
      <c r="E88" s="43">
        <f>IF(D88="","",IFERROR(INDEX(Invoices!$D$5:$D$404,MATCH(D88,Invoices!$A$5:$A$404,0)),""))</f>
        <v>0</v>
      </c>
      <c r="F88" s="23">
        <f>IF(D88="","",IFERROR(INDEX(Invoices!$E$5:$E$404,MATCH(D88,Invoices!$A$5:$A$404,0)),""))</f>
        <v>0</v>
      </c>
      <c r="N88" s="21">
        <f>IF(B88="","",IF(G88="",0,G88)-IF(H88="",0,H88))</f>
        <v>0</v>
      </c>
      <c r="O88" s="21">
        <f>IF(D88="","",IFERROR(INDEX(Invoices!$V$5:$V$404,MATCH(D88,Invoices!$A$5:$A$404,0)),""))</f>
        <v>0</v>
      </c>
      <c r="P88" s="21">
        <f>IF(D88="","",IFERROR(INDEX(Invoices!$W$5:$W$404,MATCH(D88,Invoices!$A$5:$A$404,0)),""))</f>
        <v>0</v>
      </c>
      <c r="Q88" s="21">
        <f>IF(OR(D88="",O88=""),"",ROUND(O88-P88,2))</f>
        <v>0</v>
      </c>
      <c r="R88" s="39">
        <f>IF(B88="","",IF(D88="","Add - which invoice?",IF(OR(G88="",G88=0),"Add - how much came in?",IF(Q88&lt;-0.004,"Check - overpaid",IF(L88="No","Due - not banked yet",IF(Q88&gt;0.004,"Part paid","OK"))))))</f>
        <v>0</v>
      </c>
    </row>
    <row r="89" spans="1:18">
      <c r="A89" s="43">
        <f>IF(B89="","",PaymentPrefix&amp;TEXT(ROW()-4,"0000"))</f>
        <v>0</v>
      </c>
      <c r="C89" s="23">
        <f>IF(B89="","",TEXT(B89,"yyyy-mm"))</f>
        <v>0</v>
      </c>
      <c r="E89" s="43">
        <f>IF(D89="","",IFERROR(INDEX(Invoices!$D$5:$D$404,MATCH(D89,Invoices!$A$5:$A$404,0)),""))</f>
        <v>0</v>
      </c>
      <c r="F89" s="23">
        <f>IF(D89="","",IFERROR(INDEX(Invoices!$E$5:$E$404,MATCH(D89,Invoices!$A$5:$A$404,0)),""))</f>
        <v>0</v>
      </c>
      <c r="N89" s="21">
        <f>IF(B89="","",IF(G89="",0,G89)-IF(H89="",0,H89))</f>
        <v>0</v>
      </c>
      <c r="O89" s="21">
        <f>IF(D89="","",IFERROR(INDEX(Invoices!$V$5:$V$404,MATCH(D89,Invoices!$A$5:$A$404,0)),""))</f>
        <v>0</v>
      </c>
      <c r="P89" s="21">
        <f>IF(D89="","",IFERROR(INDEX(Invoices!$W$5:$W$404,MATCH(D89,Invoices!$A$5:$A$404,0)),""))</f>
        <v>0</v>
      </c>
      <c r="Q89" s="21">
        <f>IF(OR(D89="",O89=""),"",ROUND(O89-P89,2))</f>
        <v>0</v>
      </c>
      <c r="R89" s="39">
        <f>IF(B89="","",IF(D89="","Add - which invoice?",IF(OR(G89="",G89=0),"Add - how much came in?",IF(Q89&lt;-0.004,"Check - overpaid",IF(L89="No","Due - not banked yet",IF(Q89&gt;0.004,"Part paid","OK"))))))</f>
        <v>0</v>
      </c>
    </row>
    <row r="90" spans="1:18">
      <c r="A90" s="43">
        <f>IF(B90="","",PaymentPrefix&amp;TEXT(ROW()-4,"0000"))</f>
        <v>0</v>
      </c>
      <c r="C90" s="23">
        <f>IF(B90="","",TEXT(B90,"yyyy-mm"))</f>
        <v>0</v>
      </c>
      <c r="E90" s="43">
        <f>IF(D90="","",IFERROR(INDEX(Invoices!$D$5:$D$404,MATCH(D90,Invoices!$A$5:$A$404,0)),""))</f>
        <v>0</v>
      </c>
      <c r="F90" s="23">
        <f>IF(D90="","",IFERROR(INDEX(Invoices!$E$5:$E$404,MATCH(D90,Invoices!$A$5:$A$404,0)),""))</f>
        <v>0</v>
      </c>
      <c r="N90" s="21">
        <f>IF(B90="","",IF(G90="",0,G90)-IF(H90="",0,H90))</f>
        <v>0</v>
      </c>
      <c r="O90" s="21">
        <f>IF(D90="","",IFERROR(INDEX(Invoices!$V$5:$V$404,MATCH(D90,Invoices!$A$5:$A$404,0)),""))</f>
        <v>0</v>
      </c>
      <c r="P90" s="21">
        <f>IF(D90="","",IFERROR(INDEX(Invoices!$W$5:$W$404,MATCH(D90,Invoices!$A$5:$A$404,0)),""))</f>
        <v>0</v>
      </c>
      <c r="Q90" s="21">
        <f>IF(OR(D90="",O90=""),"",ROUND(O90-P90,2))</f>
        <v>0</v>
      </c>
      <c r="R90" s="39">
        <f>IF(B90="","",IF(D90="","Add - which invoice?",IF(OR(G90="",G90=0),"Add - how much came in?",IF(Q90&lt;-0.004,"Check - overpaid",IF(L90="No","Due - not banked yet",IF(Q90&gt;0.004,"Part paid","OK"))))))</f>
        <v>0</v>
      </c>
    </row>
    <row r="91" spans="1:18">
      <c r="A91" s="43">
        <f>IF(B91="","",PaymentPrefix&amp;TEXT(ROW()-4,"0000"))</f>
        <v>0</v>
      </c>
      <c r="C91" s="23">
        <f>IF(B91="","",TEXT(B91,"yyyy-mm"))</f>
        <v>0</v>
      </c>
      <c r="E91" s="43">
        <f>IF(D91="","",IFERROR(INDEX(Invoices!$D$5:$D$404,MATCH(D91,Invoices!$A$5:$A$404,0)),""))</f>
        <v>0</v>
      </c>
      <c r="F91" s="23">
        <f>IF(D91="","",IFERROR(INDEX(Invoices!$E$5:$E$404,MATCH(D91,Invoices!$A$5:$A$404,0)),""))</f>
        <v>0</v>
      </c>
      <c r="N91" s="21">
        <f>IF(B91="","",IF(G91="",0,G91)-IF(H91="",0,H91))</f>
        <v>0</v>
      </c>
      <c r="O91" s="21">
        <f>IF(D91="","",IFERROR(INDEX(Invoices!$V$5:$V$404,MATCH(D91,Invoices!$A$5:$A$404,0)),""))</f>
        <v>0</v>
      </c>
      <c r="P91" s="21">
        <f>IF(D91="","",IFERROR(INDEX(Invoices!$W$5:$W$404,MATCH(D91,Invoices!$A$5:$A$404,0)),""))</f>
        <v>0</v>
      </c>
      <c r="Q91" s="21">
        <f>IF(OR(D91="",O91=""),"",ROUND(O91-P91,2))</f>
        <v>0</v>
      </c>
      <c r="R91" s="39">
        <f>IF(B91="","",IF(D91="","Add - which invoice?",IF(OR(G91="",G91=0),"Add - how much came in?",IF(Q91&lt;-0.004,"Check - overpaid",IF(L91="No","Due - not banked yet",IF(Q91&gt;0.004,"Part paid","OK"))))))</f>
        <v>0</v>
      </c>
    </row>
    <row r="92" spans="1:18">
      <c r="A92" s="43">
        <f>IF(B92="","",PaymentPrefix&amp;TEXT(ROW()-4,"0000"))</f>
        <v>0</v>
      </c>
      <c r="C92" s="23">
        <f>IF(B92="","",TEXT(B92,"yyyy-mm"))</f>
        <v>0</v>
      </c>
      <c r="E92" s="43">
        <f>IF(D92="","",IFERROR(INDEX(Invoices!$D$5:$D$404,MATCH(D92,Invoices!$A$5:$A$404,0)),""))</f>
        <v>0</v>
      </c>
      <c r="F92" s="23">
        <f>IF(D92="","",IFERROR(INDEX(Invoices!$E$5:$E$404,MATCH(D92,Invoices!$A$5:$A$404,0)),""))</f>
        <v>0</v>
      </c>
      <c r="N92" s="21">
        <f>IF(B92="","",IF(G92="",0,G92)-IF(H92="",0,H92))</f>
        <v>0</v>
      </c>
      <c r="O92" s="21">
        <f>IF(D92="","",IFERROR(INDEX(Invoices!$V$5:$V$404,MATCH(D92,Invoices!$A$5:$A$404,0)),""))</f>
        <v>0</v>
      </c>
      <c r="P92" s="21">
        <f>IF(D92="","",IFERROR(INDEX(Invoices!$W$5:$W$404,MATCH(D92,Invoices!$A$5:$A$404,0)),""))</f>
        <v>0</v>
      </c>
      <c r="Q92" s="21">
        <f>IF(OR(D92="",O92=""),"",ROUND(O92-P92,2))</f>
        <v>0</v>
      </c>
      <c r="R92" s="39">
        <f>IF(B92="","",IF(D92="","Add - which invoice?",IF(OR(G92="",G92=0),"Add - how much came in?",IF(Q92&lt;-0.004,"Check - overpaid",IF(L92="No","Due - not banked yet",IF(Q92&gt;0.004,"Part paid","OK"))))))</f>
        <v>0</v>
      </c>
    </row>
    <row r="93" spans="1:18">
      <c r="A93" s="43">
        <f>IF(B93="","",PaymentPrefix&amp;TEXT(ROW()-4,"0000"))</f>
        <v>0</v>
      </c>
      <c r="C93" s="23">
        <f>IF(B93="","",TEXT(B93,"yyyy-mm"))</f>
        <v>0</v>
      </c>
      <c r="E93" s="43">
        <f>IF(D93="","",IFERROR(INDEX(Invoices!$D$5:$D$404,MATCH(D93,Invoices!$A$5:$A$404,0)),""))</f>
        <v>0</v>
      </c>
      <c r="F93" s="23">
        <f>IF(D93="","",IFERROR(INDEX(Invoices!$E$5:$E$404,MATCH(D93,Invoices!$A$5:$A$404,0)),""))</f>
        <v>0</v>
      </c>
      <c r="N93" s="21">
        <f>IF(B93="","",IF(G93="",0,G93)-IF(H93="",0,H93))</f>
        <v>0</v>
      </c>
      <c r="O93" s="21">
        <f>IF(D93="","",IFERROR(INDEX(Invoices!$V$5:$V$404,MATCH(D93,Invoices!$A$5:$A$404,0)),""))</f>
        <v>0</v>
      </c>
      <c r="P93" s="21">
        <f>IF(D93="","",IFERROR(INDEX(Invoices!$W$5:$W$404,MATCH(D93,Invoices!$A$5:$A$404,0)),""))</f>
        <v>0</v>
      </c>
      <c r="Q93" s="21">
        <f>IF(OR(D93="",O93=""),"",ROUND(O93-P93,2))</f>
        <v>0</v>
      </c>
      <c r="R93" s="39">
        <f>IF(B93="","",IF(D93="","Add - which invoice?",IF(OR(G93="",G93=0),"Add - how much came in?",IF(Q93&lt;-0.004,"Check - overpaid",IF(L93="No","Due - not banked yet",IF(Q93&gt;0.004,"Part paid","OK"))))))</f>
        <v>0</v>
      </c>
    </row>
    <row r="94" spans="1:18">
      <c r="A94" s="43">
        <f>IF(B94="","",PaymentPrefix&amp;TEXT(ROW()-4,"0000"))</f>
        <v>0</v>
      </c>
      <c r="C94" s="23">
        <f>IF(B94="","",TEXT(B94,"yyyy-mm"))</f>
        <v>0</v>
      </c>
      <c r="E94" s="43">
        <f>IF(D94="","",IFERROR(INDEX(Invoices!$D$5:$D$404,MATCH(D94,Invoices!$A$5:$A$404,0)),""))</f>
        <v>0</v>
      </c>
      <c r="F94" s="23">
        <f>IF(D94="","",IFERROR(INDEX(Invoices!$E$5:$E$404,MATCH(D94,Invoices!$A$5:$A$404,0)),""))</f>
        <v>0</v>
      </c>
      <c r="N94" s="21">
        <f>IF(B94="","",IF(G94="",0,G94)-IF(H94="",0,H94))</f>
        <v>0</v>
      </c>
      <c r="O94" s="21">
        <f>IF(D94="","",IFERROR(INDEX(Invoices!$V$5:$V$404,MATCH(D94,Invoices!$A$5:$A$404,0)),""))</f>
        <v>0</v>
      </c>
      <c r="P94" s="21">
        <f>IF(D94="","",IFERROR(INDEX(Invoices!$W$5:$W$404,MATCH(D94,Invoices!$A$5:$A$404,0)),""))</f>
        <v>0</v>
      </c>
      <c r="Q94" s="21">
        <f>IF(OR(D94="",O94=""),"",ROUND(O94-P94,2))</f>
        <v>0</v>
      </c>
      <c r="R94" s="39">
        <f>IF(B94="","",IF(D94="","Add - which invoice?",IF(OR(G94="",G94=0),"Add - how much came in?",IF(Q94&lt;-0.004,"Check - overpaid",IF(L94="No","Due - not banked yet",IF(Q94&gt;0.004,"Part paid","OK"))))))</f>
        <v>0</v>
      </c>
    </row>
    <row r="95" spans="1:18">
      <c r="A95" s="43">
        <f>IF(B95="","",PaymentPrefix&amp;TEXT(ROW()-4,"0000"))</f>
        <v>0</v>
      </c>
      <c r="C95" s="23">
        <f>IF(B95="","",TEXT(B95,"yyyy-mm"))</f>
        <v>0</v>
      </c>
      <c r="E95" s="43">
        <f>IF(D95="","",IFERROR(INDEX(Invoices!$D$5:$D$404,MATCH(D95,Invoices!$A$5:$A$404,0)),""))</f>
        <v>0</v>
      </c>
      <c r="F95" s="23">
        <f>IF(D95="","",IFERROR(INDEX(Invoices!$E$5:$E$404,MATCH(D95,Invoices!$A$5:$A$404,0)),""))</f>
        <v>0</v>
      </c>
      <c r="N95" s="21">
        <f>IF(B95="","",IF(G95="",0,G95)-IF(H95="",0,H95))</f>
        <v>0</v>
      </c>
      <c r="O95" s="21">
        <f>IF(D95="","",IFERROR(INDEX(Invoices!$V$5:$V$404,MATCH(D95,Invoices!$A$5:$A$404,0)),""))</f>
        <v>0</v>
      </c>
      <c r="P95" s="21">
        <f>IF(D95="","",IFERROR(INDEX(Invoices!$W$5:$W$404,MATCH(D95,Invoices!$A$5:$A$404,0)),""))</f>
        <v>0</v>
      </c>
      <c r="Q95" s="21">
        <f>IF(OR(D95="",O95=""),"",ROUND(O95-P95,2))</f>
        <v>0</v>
      </c>
      <c r="R95" s="39">
        <f>IF(B95="","",IF(D95="","Add - which invoice?",IF(OR(G95="",G95=0),"Add - how much came in?",IF(Q95&lt;-0.004,"Check - overpaid",IF(L95="No","Due - not banked yet",IF(Q95&gt;0.004,"Part paid","OK"))))))</f>
        <v>0</v>
      </c>
    </row>
    <row r="96" spans="1:18">
      <c r="A96" s="43">
        <f>IF(B96="","",PaymentPrefix&amp;TEXT(ROW()-4,"0000"))</f>
        <v>0</v>
      </c>
      <c r="C96" s="23">
        <f>IF(B96="","",TEXT(B96,"yyyy-mm"))</f>
        <v>0</v>
      </c>
      <c r="E96" s="43">
        <f>IF(D96="","",IFERROR(INDEX(Invoices!$D$5:$D$404,MATCH(D96,Invoices!$A$5:$A$404,0)),""))</f>
        <v>0</v>
      </c>
      <c r="F96" s="23">
        <f>IF(D96="","",IFERROR(INDEX(Invoices!$E$5:$E$404,MATCH(D96,Invoices!$A$5:$A$404,0)),""))</f>
        <v>0</v>
      </c>
      <c r="N96" s="21">
        <f>IF(B96="","",IF(G96="",0,G96)-IF(H96="",0,H96))</f>
        <v>0</v>
      </c>
      <c r="O96" s="21">
        <f>IF(D96="","",IFERROR(INDEX(Invoices!$V$5:$V$404,MATCH(D96,Invoices!$A$5:$A$404,0)),""))</f>
        <v>0</v>
      </c>
      <c r="P96" s="21">
        <f>IF(D96="","",IFERROR(INDEX(Invoices!$W$5:$W$404,MATCH(D96,Invoices!$A$5:$A$404,0)),""))</f>
        <v>0</v>
      </c>
      <c r="Q96" s="21">
        <f>IF(OR(D96="",O96=""),"",ROUND(O96-P96,2))</f>
        <v>0</v>
      </c>
      <c r="R96" s="39">
        <f>IF(B96="","",IF(D96="","Add - which invoice?",IF(OR(G96="",G96=0),"Add - how much came in?",IF(Q96&lt;-0.004,"Check - overpaid",IF(L96="No","Due - not banked yet",IF(Q96&gt;0.004,"Part paid","OK"))))))</f>
        <v>0</v>
      </c>
    </row>
    <row r="97" spans="1:18">
      <c r="A97" s="43">
        <f>IF(B97="","",PaymentPrefix&amp;TEXT(ROW()-4,"0000"))</f>
        <v>0</v>
      </c>
      <c r="C97" s="23">
        <f>IF(B97="","",TEXT(B97,"yyyy-mm"))</f>
        <v>0</v>
      </c>
      <c r="E97" s="43">
        <f>IF(D97="","",IFERROR(INDEX(Invoices!$D$5:$D$404,MATCH(D97,Invoices!$A$5:$A$404,0)),""))</f>
        <v>0</v>
      </c>
      <c r="F97" s="23">
        <f>IF(D97="","",IFERROR(INDEX(Invoices!$E$5:$E$404,MATCH(D97,Invoices!$A$5:$A$404,0)),""))</f>
        <v>0</v>
      </c>
      <c r="N97" s="21">
        <f>IF(B97="","",IF(G97="",0,G97)-IF(H97="",0,H97))</f>
        <v>0</v>
      </c>
      <c r="O97" s="21">
        <f>IF(D97="","",IFERROR(INDEX(Invoices!$V$5:$V$404,MATCH(D97,Invoices!$A$5:$A$404,0)),""))</f>
        <v>0</v>
      </c>
      <c r="P97" s="21">
        <f>IF(D97="","",IFERROR(INDEX(Invoices!$W$5:$W$404,MATCH(D97,Invoices!$A$5:$A$404,0)),""))</f>
        <v>0</v>
      </c>
      <c r="Q97" s="21">
        <f>IF(OR(D97="",O97=""),"",ROUND(O97-P97,2))</f>
        <v>0</v>
      </c>
      <c r="R97" s="39">
        <f>IF(B97="","",IF(D97="","Add - which invoice?",IF(OR(G97="",G97=0),"Add - how much came in?",IF(Q97&lt;-0.004,"Check - overpaid",IF(L97="No","Due - not banked yet",IF(Q97&gt;0.004,"Part paid","OK"))))))</f>
        <v>0</v>
      </c>
    </row>
    <row r="98" spans="1:18">
      <c r="A98" s="43">
        <f>IF(B98="","",PaymentPrefix&amp;TEXT(ROW()-4,"0000"))</f>
        <v>0</v>
      </c>
      <c r="C98" s="23">
        <f>IF(B98="","",TEXT(B98,"yyyy-mm"))</f>
        <v>0</v>
      </c>
      <c r="E98" s="43">
        <f>IF(D98="","",IFERROR(INDEX(Invoices!$D$5:$D$404,MATCH(D98,Invoices!$A$5:$A$404,0)),""))</f>
        <v>0</v>
      </c>
      <c r="F98" s="23">
        <f>IF(D98="","",IFERROR(INDEX(Invoices!$E$5:$E$404,MATCH(D98,Invoices!$A$5:$A$404,0)),""))</f>
        <v>0</v>
      </c>
      <c r="N98" s="21">
        <f>IF(B98="","",IF(G98="",0,G98)-IF(H98="",0,H98))</f>
        <v>0</v>
      </c>
      <c r="O98" s="21">
        <f>IF(D98="","",IFERROR(INDEX(Invoices!$V$5:$V$404,MATCH(D98,Invoices!$A$5:$A$404,0)),""))</f>
        <v>0</v>
      </c>
      <c r="P98" s="21">
        <f>IF(D98="","",IFERROR(INDEX(Invoices!$W$5:$W$404,MATCH(D98,Invoices!$A$5:$A$404,0)),""))</f>
        <v>0</v>
      </c>
      <c r="Q98" s="21">
        <f>IF(OR(D98="",O98=""),"",ROUND(O98-P98,2))</f>
        <v>0</v>
      </c>
      <c r="R98" s="39">
        <f>IF(B98="","",IF(D98="","Add - which invoice?",IF(OR(G98="",G98=0),"Add - how much came in?",IF(Q98&lt;-0.004,"Check - overpaid",IF(L98="No","Due - not banked yet",IF(Q98&gt;0.004,"Part paid","OK"))))))</f>
        <v>0</v>
      </c>
    </row>
    <row r="99" spans="1:18">
      <c r="A99" s="43">
        <f>IF(B99="","",PaymentPrefix&amp;TEXT(ROW()-4,"0000"))</f>
        <v>0</v>
      </c>
      <c r="C99" s="23">
        <f>IF(B99="","",TEXT(B99,"yyyy-mm"))</f>
        <v>0</v>
      </c>
      <c r="E99" s="43">
        <f>IF(D99="","",IFERROR(INDEX(Invoices!$D$5:$D$404,MATCH(D99,Invoices!$A$5:$A$404,0)),""))</f>
        <v>0</v>
      </c>
      <c r="F99" s="23">
        <f>IF(D99="","",IFERROR(INDEX(Invoices!$E$5:$E$404,MATCH(D99,Invoices!$A$5:$A$404,0)),""))</f>
        <v>0</v>
      </c>
      <c r="N99" s="21">
        <f>IF(B99="","",IF(G99="",0,G99)-IF(H99="",0,H99))</f>
        <v>0</v>
      </c>
      <c r="O99" s="21">
        <f>IF(D99="","",IFERROR(INDEX(Invoices!$V$5:$V$404,MATCH(D99,Invoices!$A$5:$A$404,0)),""))</f>
        <v>0</v>
      </c>
      <c r="P99" s="21">
        <f>IF(D99="","",IFERROR(INDEX(Invoices!$W$5:$W$404,MATCH(D99,Invoices!$A$5:$A$404,0)),""))</f>
        <v>0</v>
      </c>
      <c r="Q99" s="21">
        <f>IF(OR(D99="",O99=""),"",ROUND(O99-P99,2))</f>
        <v>0</v>
      </c>
      <c r="R99" s="39">
        <f>IF(B99="","",IF(D99="","Add - which invoice?",IF(OR(G99="",G99=0),"Add - how much came in?",IF(Q99&lt;-0.004,"Check - overpaid",IF(L99="No","Due - not banked yet",IF(Q99&gt;0.004,"Part paid","OK"))))))</f>
        <v>0</v>
      </c>
    </row>
    <row r="100" spans="1:18">
      <c r="A100" s="43">
        <f>IF(B100="","",PaymentPrefix&amp;TEXT(ROW()-4,"0000"))</f>
        <v>0</v>
      </c>
      <c r="C100" s="23">
        <f>IF(B100="","",TEXT(B100,"yyyy-mm"))</f>
        <v>0</v>
      </c>
      <c r="E100" s="43">
        <f>IF(D100="","",IFERROR(INDEX(Invoices!$D$5:$D$404,MATCH(D100,Invoices!$A$5:$A$404,0)),""))</f>
        <v>0</v>
      </c>
      <c r="F100" s="23">
        <f>IF(D100="","",IFERROR(INDEX(Invoices!$E$5:$E$404,MATCH(D100,Invoices!$A$5:$A$404,0)),""))</f>
        <v>0</v>
      </c>
      <c r="N100" s="21">
        <f>IF(B100="","",IF(G100="",0,G100)-IF(H100="",0,H100))</f>
        <v>0</v>
      </c>
      <c r="O100" s="21">
        <f>IF(D100="","",IFERROR(INDEX(Invoices!$V$5:$V$404,MATCH(D100,Invoices!$A$5:$A$404,0)),""))</f>
        <v>0</v>
      </c>
      <c r="P100" s="21">
        <f>IF(D100="","",IFERROR(INDEX(Invoices!$W$5:$W$404,MATCH(D100,Invoices!$A$5:$A$404,0)),""))</f>
        <v>0</v>
      </c>
      <c r="Q100" s="21">
        <f>IF(OR(D100="",O100=""),"",ROUND(O100-P100,2))</f>
        <v>0</v>
      </c>
      <c r="R100" s="39">
        <f>IF(B100="","",IF(D100="","Add - which invoice?",IF(OR(G100="",G100=0),"Add - how much came in?",IF(Q100&lt;-0.004,"Check - overpaid",IF(L100="No","Due - not banked yet",IF(Q100&gt;0.004,"Part paid","OK"))))))</f>
        <v>0</v>
      </c>
    </row>
    <row r="101" spans="1:18">
      <c r="A101" s="43">
        <f>IF(B101="","",PaymentPrefix&amp;TEXT(ROW()-4,"0000"))</f>
        <v>0</v>
      </c>
      <c r="C101" s="23">
        <f>IF(B101="","",TEXT(B101,"yyyy-mm"))</f>
        <v>0</v>
      </c>
      <c r="E101" s="43">
        <f>IF(D101="","",IFERROR(INDEX(Invoices!$D$5:$D$404,MATCH(D101,Invoices!$A$5:$A$404,0)),""))</f>
        <v>0</v>
      </c>
      <c r="F101" s="23">
        <f>IF(D101="","",IFERROR(INDEX(Invoices!$E$5:$E$404,MATCH(D101,Invoices!$A$5:$A$404,0)),""))</f>
        <v>0</v>
      </c>
      <c r="N101" s="21">
        <f>IF(B101="","",IF(G101="",0,G101)-IF(H101="",0,H101))</f>
        <v>0</v>
      </c>
      <c r="O101" s="21">
        <f>IF(D101="","",IFERROR(INDEX(Invoices!$V$5:$V$404,MATCH(D101,Invoices!$A$5:$A$404,0)),""))</f>
        <v>0</v>
      </c>
      <c r="P101" s="21">
        <f>IF(D101="","",IFERROR(INDEX(Invoices!$W$5:$W$404,MATCH(D101,Invoices!$A$5:$A$404,0)),""))</f>
        <v>0</v>
      </c>
      <c r="Q101" s="21">
        <f>IF(OR(D101="",O101=""),"",ROUND(O101-P101,2))</f>
        <v>0</v>
      </c>
      <c r="R101" s="39">
        <f>IF(B101="","",IF(D101="","Add - which invoice?",IF(OR(G101="",G101=0),"Add - how much came in?",IF(Q101&lt;-0.004,"Check - overpaid",IF(L101="No","Due - not banked yet",IF(Q101&gt;0.004,"Part paid","OK"))))))</f>
        <v>0</v>
      </c>
    </row>
    <row r="102" spans="1:18">
      <c r="A102" s="43">
        <f>IF(B102="","",PaymentPrefix&amp;TEXT(ROW()-4,"0000"))</f>
        <v>0</v>
      </c>
      <c r="C102" s="23">
        <f>IF(B102="","",TEXT(B102,"yyyy-mm"))</f>
        <v>0</v>
      </c>
      <c r="E102" s="43">
        <f>IF(D102="","",IFERROR(INDEX(Invoices!$D$5:$D$404,MATCH(D102,Invoices!$A$5:$A$404,0)),""))</f>
        <v>0</v>
      </c>
      <c r="F102" s="23">
        <f>IF(D102="","",IFERROR(INDEX(Invoices!$E$5:$E$404,MATCH(D102,Invoices!$A$5:$A$404,0)),""))</f>
        <v>0</v>
      </c>
      <c r="N102" s="21">
        <f>IF(B102="","",IF(G102="",0,G102)-IF(H102="",0,H102))</f>
        <v>0</v>
      </c>
      <c r="O102" s="21">
        <f>IF(D102="","",IFERROR(INDEX(Invoices!$V$5:$V$404,MATCH(D102,Invoices!$A$5:$A$404,0)),""))</f>
        <v>0</v>
      </c>
      <c r="P102" s="21">
        <f>IF(D102="","",IFERROR(INDEX(Invoices!$W$5:$W$404,MATCH(D102,Invoices!$A$5:$A$404,0)),""))</f>
        <v>0</v>
      </c>
      <c r="Q102" s="21">
        <f>IF(OR(D102="",O102=""),"",ROUND(O102-P102,2))</f>
        <v>0</v>
      </c>
      <c r="R102" s="39">
        <f>IF(B102="","",IF(D102="","Add - which invoice?",IF(OR(G102="",G102=0),"Add - how much came in?",IF(Q102&lt;-0.004,"Check - overpaid",IF(L102="No","Due - not banked yet",IF(Q102&gt;0.004,"Part paid","OK"))))))</f>
        <v>0</v>
      </c>
    </row>
    <row r="103" spans="1:18">
      <c r="A103" s="43">
        <f>IF(B103="","",PaymentPrefix&amp;TEXT(ROW()-4,"0000"))</f>
        <v>0</v>
      </c>
      <c r="C103" s="23">
        <f>IF(B103="","",TEXT(B103,"yyyy-mm"))</f>
        <v>0</v>
      </c>
      <c r="E103" s="43">
        <f>IF(D103="","",IFERROR(INDEX(Invoices!$D$5:$D$404,MATCH(D103,Invoices!$A$5:$A$404,0)),""))</f>
        <v>0</v>
      </c>
      <c r="F103" s="23">
        <f>IF(D103="","",IFERROR(INDEX(Invoices!$E$5:$E$404,MATCH(D103,Invoices!$A$5:$A$404,0)),""))</f>
        <v>0</v>
      </c>
      <c r="N103" s="21">
        <f>IF(B103="","",IF(G103="",0,G103)-IF(H103="",0,H103))</f>
        <v>0</v>
      </c>
      <c r="O103" s="21">
        <f>IF(D103="","",IFERROR(INDEX(Invoices!$V$5:$V$404,MATCH(D103,Invoices!$A$5:$A$404,0)),""))</f>
        <v>0</v>
      </c>
      <c r="P103" s="21">
        <f>IF(D103="","",IFERROR(INDEX(Invoices!$W$5:$W$404,MATCH(D103,Invoices!$A$5:$A$404,0)),""))</f>
        <v>0</v>
      </c>
      <c r="Q103" s="21">
        <f>IF(OR(D103="",O103=""),"",ROUND(O103-P103,2))</f>
        <v>0</v>
      </c>
      <c r="R103" s="39">
        <f>IF(B103="","",IF(D103="","Add - which invoice?",IF(OR(G103="",G103=0),"Add - how much came in?",IF(Q103&lt;-0.004,"Check - overpaid",IF(L103="No","Due - not banked yet",IF(Q103&gt;0.004,"Part paid","OK"))))))</f>
        <v>0</v>
      </c>
    </row>
    <row r="104" spans="1:18">
      <c r="A104" s="43">
        <f>IF(B104="","",PaymentPrefix&amp;TEXT(ROW()-4,"0000"))</f>
        <v>0</v>
      </c>
      <c r="C104" s="23">
        <f>IF(B104="","",TEXT(B104,"yyyy-mm"))</f>
        <v>0</v>
      </c>
      <c r="E104" s="43">
        <f>IF(D104="","",IFERROR(INDEX(Invoices!$D$5:$D$404,MATCH(D104,Invoices!$A$5:$A$404,0)),""))</f>
        <v>0</v>
      </c>
      <c r="F104" s="23">
        <f>IF(D104="","",IFERROR(INDEX(Invoices!$E$5:$E$404,MATCH(D104,Invoices!$A$5:$A$404,0)),""))</f>
        <v>0</v>
      </c>
      <c r="N104" s="21">
        <f>IF(B104="","",IF(G104="",0,G104)-IF(H104="",0,H104))</f>
        <v>0</v>
      </c>
      <c r="O104" s="21">
        <f>IF(D104="","",IFERROR(INDEX(Invoices!$V$5:$V$404,MATCH(D104,Invoices!$A$5:$A$404,0)),""))</f>
        <v>0</v>
      </c>
      <c r="P104" s="21">
        <f>IF(D104="","",IFERROR(INDEX(Invoices!$W$5:$W$404,MATCH(D104,Invoices!$A$5:$A$404,0)),""))</f>
        <v>0</v>
      </c>
      <c r="Q104" s="21">
        <f>IF(OR(D104="",O104=""),"",ROUND(O104-P104,2))</f>
        <v>0</v>
      </c>
      <c r="R104" s="39">
        <f>IF(B104="","",IF(D104="","Add - which invoice?",IF(OR(G104="",G104=0),"Add - how much came in?",IF(Q104&lt;-0.004,"Check - overpaid",IF(L104="No","Due - not banked yet",IF(Q104&gt;0.004,"Part paid","OK"))))))</f>
        <v>0</v>
      </c>
    </row>
    <row r="105" spans="1:18">
      <c r="A105" s="43">
        <f>IF(B105="","",PaymentPrefix&amp;TEXT(ROW()-4,"0000"))</f>
        <v>0</v>
      </c>
      <c r="C105" s="23">
        <f>IF(B105="","",TEXT(B105,"yyyy-mm"))</f>
        <v>0</v>
      </c>
      <c r="E105" s="43">
        <f>IF(D105="","",IFERROR(INDEX(Invoices!$D$5:$D$404,MATCH(D105,Invoices!$A$5:$A$404,0)),""))</f>
        <v>0</v>
      </c>
      <c r="F105" s="23">
        <f>IF(D105="","",IFERROR(INDEX(Invoices!$E$5:$E$404,MATCH(D105,Invoices!$A$5:$A$404,0)),""))</f>
        <v>0</v>
      </c>
      <c r="N105" s="21">
        <f>IF(B105="","",IF(G105="",0,G105)-IF(H105="",0,H105))</f>
        <v>0</v>
      </c>
      <c r="O105" s="21">
        <f>IF(D105="","",IFERROR(INDEX(Invoices!$V$5:$V$404,MATCH(D105,Invoices!$A$5:$A$404,0)),""))</f>
        <v>0</v>
      </c>
      <c r="P105" s="21">
        <f>IF(D105="","",IFERROR(INDEX(Invoices!$W$5:$W$404,MATCH(D105,Invoices!$A$5:$A$404,0)),""))</f>
        <v>0</v>
      </c>
      <c r="Q105" s="21">
        <f>IF(OR(D105="",O105=""),"",ROUND(O105-P105,2))</f>
        <v>0</v>
      </c>
      <c r="R105" s="39">
        <f>IF(B105="","",IF(D105="","Add - which invoice?",IF(OR(G105="",G105=0),"Add - how much came in?",IF(Q105&lt;-0.004,"Check - overpaid",IF(L105="No","Due - not banked yet",IF(Q105&gt;0.004,"Part paid","OK"))))))</f>
        <v>0</v>
      </c>
    </row>
    <row r="106" spans="1:18">
      <c r="A106" s="43">
        <f>IF(B106="","",PaymentPrefix&amp;TEXT(ROW()-4,"0000"))</f>
        <v>0</v>
      </c>
      <c r="C106" s="23">
        <f>IF(B106="","",TEXT(B106,"yyyy-mm"))</f>
        <v>0</v>
      </c>
      <c r="E106" s="43">
        <f>IF(D106="","",IFERROR(INDEX(Invoices!$D$5:$D$404,MATCH(D106,Invoices!$A$5:$A$404,0)),""))</f>
        <v>0</v>
      </c>
      <c r="F106" s="23">
        <f>IF(D106="","",IFERROR(INDEX(Invoices!$E$5:$E$404,MATCH(D106,Invoices!$A$5:$A$404,0)),""))</f>
        <v>0</v>
      </c>
      <c r="N106" s="21">
        <f>IF(B106="","",IF(G106="",0,G106)-IF(H106="",0,H106))</f>
        <v>0</v>
      </c>
      <c r="O106" s="21">
        <f>IF(D106="","",IFERROR(INDEX(Invoices!$V$5:$V$404,MATCH(D106,Invoices!$A$5:$A$404,0)),""))</f>
        <v>0</v>
      </c>
      <c r="P106" s="21">
        <f>IF(D106="","",IFERROR(INDEX(Invoices!$W$5:$W$404,MATCH(D106,Invoices!$A$5:$A$404,0)),""))</f>
        <v>0</v>
      </c>
      <c r="Q106" s="21">
        <f>IF(OR(D106="",O106=""),"",ROUND(O106-P106,2))</f>
        <v>0</v>
      </c>
      <c r="R106" s="39">
        <f>IF(B106="","",IF(D106="","Add - which invoice?",IF(OR(G106="",G106=0),"Add - how much came in?",IF(Q106&lt;-0.004,"Check - overpaid",IF(L106="No","Due - not banked yet",IF(Q106&gt;0.004,"Part paid","OK"))))))</f>
        <v>0</v>
      </c>
    </row>
    <row r="107" spans="1:18">
      <c r="A107" s="43">
        <f>IF(B107="","",PaymentPrefix&amp;TEXT(ROW()-4,"0000"))</f>
        <v>0</v>
      </c>
      <c r="C107" s="23">
        <f>IF(B107="","",TEXT(B107,"yyyy-mm"))</f>
        <v>0</v>
      </c>
      <c r="E107" s="43">
        <f>IF(D107="","",IFERROR(INDEX(Invoices!$D$5:$D$404,MATCH(D107,Invoices!$A$5:$A$404,0)),""))</f>
        <v>0</v>
      </c>
      <c r="F107" s="23">
        <f>IF(D107="","",IFERROR(INDEX(Invoices!$E$5:$E$404,MATCH(D107,Invoices!$A$5:$A$404,0)),""))</f>
        <v>0</v>
      </c>
      <c r="N107" s="21">
        <f>IF(B107="","",IF(G107="",0,G107)-IF(H107="",0,H107))</f>
        <v>0</v>
      </c>
      <c r="O107" s="21">
        <f>IF(D107="","",IFERROR(INDEX(Invoices!$V$5:$V$404,MATCH(D107,Invoices!$A$5:$A$404,0)),""))</f>
        <v>0</v>
      </c>
      <c r="P107" s="21">
        <f>IF(D107="","",IFERROR(INDEX(Invoices!$W$5:$W$404,MATCH(D107,Invoices!$A$5:$A$404,0)),""))</f>
        <v>0</v>
      </c>
      <c r="Q107" s="21">
        <f>IF(OR(D107="",O107=""),"",ROUND(O107-P107,2))</f>
        <v>0</v>
      </c>
      <c r="R107" s="39">
        <f>IF(B107="","",IF(D107="","Add - which invoice?",IF(OR(G107="",G107=0),"Add - how much came in?",IF(Q107&lt;-0.004,"Check - overpaid",IF(L107="No","Due - not banked yet",IF(Q107&gt;0.004,"Part paid","OK"))))))</f>
        <v>0</v>
      </c>
    </row>
    <row r="108" spans="1:18">
      <c r="A108" s="43">
        <f>IF(B108="","",PaymentPrefix&amp;TEXT(ROW()-4,"0000"))</f>
        <v>0</v>
      </c>
      <c r="C108" s="23">
        <f>IF(B108="","",TEXT(B108,"yyyy-mm"))</f>
        <v>0</v>
      </c>
      <c r="E108" s="43">
        <f>IF(D108="","",IFERROR(INDEX(Invoices!$D$5:$D$404,MATCH(D108,Invoices!$A$5:$A$404,0)),""))</f>
        <v>0</v>
      </c>
      <c r="F108" s="23">
        <f>IF(D108="","",IFERROR(INDEX(Invoices!$E$5:$E$404,MATCH(D108,Invoices!$A$5:$A$404,0)),""))</f>
        <v>0</v>
      </c>
      <c r="N108" s="21">
        <f>IF(B108="","",IF(G108="",0,G108)-IF(H108="",0,H108))</f>
        <v>0</v>
      </c>
      <c r="O108" s="21">
        <f>IF(D108="","",IFERROR(INDEX(Invoices!$V$5:$V$404,MATCH(D108,Invoices!$A$5:$A$404,0)),""))</f>
        <v>0</v>
      </c>
      <c r="P108" s="21">
        <f>IF(D108="","",IFERROR(INDEX(Invoices!$W$5:$W$404,MATCH(D108,Invoices!$A$5:$A$404,0)),""))</f>
        <v>0</v>
      </c>
      <c r="Q108" s="21">
        <f>IF(OR(D108="",O108=""),"",ROUND(O108-P108,2))</f>
        <v>0</v>
      </c>
      <c r="R108" s="39">
        <f>IF(B108="","",IF(D108="","Add - which invoice?",IF(OR(G108="",G108=0),"Add - how much came in?",IF(Q108&lt;-0.004,"Check - overpaid",IF(L108="No","Due - not banked yet",IF(Q108&gt;0.004,"Part paid","OK"))))))</f>
        <v>0</v>
      </c>
    </row>
    <row r="109" spans="1:18">
      <c r="A109" s="43">
        <f>IF(B109="","",PaymentPrefix&amp;TEXT(ROW()-4,"0000"))</f>
        <v>0</v>
      </c>
      <c r="C109" s="23">
        <f>IF(B109="","",TEXT(B109,"yyyy-mm"))</f>
        <v>0</v>
      </c>
      <c r="E109" s="43">
        <f>IF(D109="","",IFERROR(INDEX(Invoices!$D$5:$D$404,MATCH(D109,Invoices!$A$5:$A$404,0)),""))</f>
        <v>0</v>
      </c>
      <c r="F109" s="23">
        <f>IF(D109="","",IFERROR(INDEX(Invoices!$E$5:$E$404,MATCH(D109,Invoices!$A$5:$A$404,0)),""))</f>
        <v>0</v>
      </c>
      <c r="N109" s="21">
        <f>IF(B109="","",IF(G109="",0,G109)-IF(H109="",0,H109))</f>
        <v>0</v>
      </c>
      <c r="O109" s="21">
        <f>IF(D109="","",IFERROR(INDEX(Invoices!$V$5:$V$404,MATCH(D109,Invoices!$A$5:$A$404,0)),""))</f>
        <v>0</v>
      </c>
      <c r="P109" s="21">
        <f>IF(D109="","",IFERROR(INDEX(Invoices!$W$5:$W$404,MATCH(D109,Invoices!$A$5:$A$404,0)),""))</f>
        <v>0</v>
      </c>
      <c r="Q109" s="21">
        <f>IF(OR(D109="",O109=""),"",ROUND(O109-P109,2))</f>
        <v>0</v>
      </c>
      <c r="R109" s="39">
        <f>IF(B109="","",IF(D109="","Add - which invoice?",IF(OR(G109="",G109=0),"Add - how much came in?",IF(Q109&lt;-0.004,"Check - overpaid",IF(L109="No","Due - not banked yet",IF(Q109&gt;0.004,"Part paid","OK"))))))</f>
        <v>0</v>
      </c>
    </row>
    <row r="110" spans="1:18">
      <c r="A110" s="43">
        <f>IF(B110="","",PaymentPrefix&amp;TEXT(ROW()-4,"0000"))</f>
        <v>0</v>
      </c>
      <c r="C110" s="23">
        <f>IF(B110="","",TEXT(B110,"yyyy-mm"))</f>
        <v>0</v>
      </c>
      <c r="E110" s="43">
        <f>IF(D110="","",IFERROR(INDEX(Invoices!$D$5:$D$404,MATCH(D110,Invoices!$A$5:$A$404,0)),""))</f>
        <v>0</v>
      </c>
      <c r="F110" s="23">
        <f>IF(D110="","",IFERROR(INDEX(Invoices!$E$5:$E$404,MATCH(D110,Invoices!$A$5:$A$404,0)),""))</f>
        <v>0</v>
      </c>
      <c r="N110" s="21">
        <f>IF(B110="","",IF(G110="",0,G110)-IF(H110="",0,H110))</f>
        <v>0</v>
      </c>
      <c r="O110" s="21">
        <f>IF(D110="","",IFERROR(INDEX(Invoices!$V$5:$V$404,MATCH(D110,Invoices!$A$5:$A$404,0)),""))</f>
        <v>0</v>
      </c>
      <c r="P110" s="21">
        <f>IF(D110="","",IFERROR(INDEX(Invoices!$W$5:$W$404,MATCH(D110,Invoices!$A$5:$A$404,0)),""))</f>
        <v>0</v>
      </c>
      <c r="Q110" s="21">
        <f>IF(OR(D110="",O110=""),"",ROUND(O110-P110,2))</f>
        <v>0</v>
      </c>
      <c r="R110" s="39">
        <f>IF(B110="","",IF(D110="","Add - which invoice?",IF(OR(G110="",G110=0),"Add - how much came in?",IF(Q110&lt;-0.004,"Check - overpaid",IF(L110="No","Due - not banked yet",IF(Q110&gt;0.004,"Part paid","OK"))))))</f>
        <v>0</v>
      </c>
    </row>
    <row r="111" spans="1:18">
      <c r="A111" s="43">
        <f>IF(B111="","",PaymentPrefix&amp;TEXT(ROW()-4,"0000"))</f>
        <v>0</v>
      </c>
      <c r="C111" s="23">
        <f>IF(B111="","",TEXT(B111,"yyyy-mm"))</f>
        <v>0</v>
      </c>
      <c r="E111" s="43">
        <f>IF(D111="","",IFERROR(INDEX(Invoices!$D$5:$D$404,MATCH(D111,Invoices!$A$5:$A$404,0)),""))</f>
        <v>0</v>
      </c>
      <c r="F111" s="23">
        <f>IF(D111="","",IFERROR(INDEX(Invoices!$E$5:$E$404,MATCH(D111,Invoices!$A$5:$A$404,0)),""))</f>
        <v>0</v>
      </c>
      <c r="N111" s="21">
        <f>IF(B111="","",IF(G111="",0,G111)-IF(H111="",0,H111))</f>
        <v>0</v>
      </c>
      <c r="O111" s="21">
        <f>IF(D111="","",IFERROR(INDEX(Invoices!$V$5:$V$404,MATCH(D111,Invoices!$A$5:$A$404,0)),""))</f>
        <v>0</v>
      </c>
      <c r="P111" s="21">
        <f>IF(D111="","",IFERROR(INDEX(Invoices!$W$5:$W$404,MATCH(D111,Invoices!$A$5:$A$404,0)),""))</f>
        <v>0</v>
      </c>
      <c r="Q111" s="21">
        <f>IF(OR(D111="",O111=""),"",ROUND(O111-P111,2))</f>
        <v>0</v>
      </c>
      <c r="R111" s="39">
        <f>IF(B111="","",IF(D111="","Add - which invoice?",IF(OR(G111="",G111=0),"Add - how much came in?",IF(Q111&lt;-0.004,"Check - overpaid",IF(L111="No","Due - not banked yet",IF(Q111&gt;0.004,"Part paid","OK"))))))</f>
        <v>0</v>
      </c>
    </row>
    <row r="112" spans="1:18">
      <c r="A112" s="43">
        <f>IF(B112="","",PaymentPrefix&amp;TEXT(ROW()-4,"0000"))</f>
        <v>0</v>
      </c>
      <c r="C112" s="23">
        <f>IF(B112="","",TEXT(B112,"yyyy-mm"))</f>
        <v>0</v>
      </c>
      <c r="E112" s="43">
        <f>IF(D112="","",IFERROR(INDEX(Invoices!$D$5:$D$404,MATCH(D112,Invoices!$A$5:$A$404,0)),""))</f>
        <v>0</v>
      </c>
      <c r="F112" s="23">
        <f>IF(D112="","",IFERROR(INDEX(Invoices!$E$5:$E$404,MATCH(D112,Invoices!$A$5:$A$404,0)),""))</f>
        <v>0</v>
      </c>
      <c r="N112" s="21">
        <f>IF(B112="","",IF(G112="",0,G112)-IF(H112="",0,H112))</f>
        <v>0</v>
      </c>
      <c r="O112" s="21">
        <f>IF(D112="","",IFERROR(INDEX(Invoices!$V$5:$V$404,MATCH(D112,Invoices!$A$5:$A$404,0)),""))</f>
        <v>0</v>
      </c>
      <c r="P112" s="21">
        <f>IF(D112="","",IFERROR(INDEX(Invoices!$W$5:$W$404,MATCH(D112,Invoices!$A$5:$A$404,0)),""))</f>
        <v>0</v>
      </c>
      <c r="Q112" s="21">
        <f>IF(OR(D112="",O112=""),"",ROUND(O112-P112,2))</f>
        <v>0</v>
      </c>
      <c r="R112" s="39">
        <f>IF(B112="","",IF(D112="","Add - which invoice?",IF(OR(G112="",G112=0),"Add - how much came in?",IF(Q112&lt;-0.004,"Check - overpaid",IF(L112="No","Due - not banked yet",IF(Q112&gt;0.004,"Part paid","OK"))))))</f>
        <v>0</v>
      </c>
    </row>
    <row r="113" spans="1:18">
      <c r="A113" s="43">
        <f>IF(B113="","",PaymentPrefix&amp;TEXT(ROW()-4,"0000"))</f>
        <v>0</v>
      </c>
      <c r="C113" s="23">
        <f>IF(B113="","",TEXT(B113,"yyyy-mm"))</f>
        <v>0</v>
      </c>
      <c r="E113" s="43">
        <f>IF(D113="","",IFERROR(INDEX(Invoices!$D$5:$D$404,MATCH(D113,Invoices!$A$5:$A$404,0)),""))</f>
        <v>0</v>
      </c>
      <c r="F113" s="23">
        <f>IF(D113="","",IFERROR(INDEX(Invoices!$E$5:$E$404,MATCH(D113,Invoices!$A$5:$A$404,0)),""))</f>
        <v>0</v>
      </c>
      <c r="N113" s="21">
        <f>IF(B113="","",IF(G113="",0,G113)-IF(H113="",0,H113))</f>
        <v>0</v>
      </c>
      <c r="O113" s="21">
        <f>IF(D113="","",IFERROR(INDEX(Invoices!$V$5:$V$404,MATCH(D113,Invoices!$A$5:$A$404,0)),""))</f>
        <v>0</v>
      </c>
      <c r="P113" s="21">
        <f>IF(D113="","",IFERROR(INDEX(Invoices!$W$5:$W$404,MATCH(D113,Invoices!$A$5:$A$404,0)),""))</f>
        <v>0</v>
      </c>
      <c r="Q113" s="21">
        <f>IF(OR(D113="",O113=""),"",ROUND(O113-P113,2))</f>
        <v>0</v>
      </c>
      <c r="R113" s="39">
        <f>IF(B113="","",IF(D113="","Add - which invoice?",IF(OR(G113="",G113=0),"Add - how much came in?",IF(Q113&lt;-0.004,"Check - overpaid",IF(L113="No","Due - not banked yet",IF(Q113&gt;0.004,"Part paid","OK"))))))</f>
        <v>0</v>
      </c>
    </row>
    <row r="114" spans="1:18">
      <c r="A114" s="43">
        <f>IF(B114="","",PaymentPrefix&amp;TEXT(ROW()-4,"0000"))</f>
        <v>0</v>
      </c>
      <c r="C114" s="23">
        <f>IF(B114="","",TEXT(B114,"yyyy-mm"))</f>
        <v>0</v>
      </c>
      <c r="E114" s="43">
        <f>IF(D114="","",IFERROR(INDEX(Invoices!$D$5:$D$404,MATCH(D114,Invoices!$A$5:$A$404,0)),""))</f>
        <v>0</v>
      </c>
      <c r="F114" s="23">
        <f>IF(D114="","",IFERROR(INDEX(Invoices!$E$5:$E$404,MATCH(D114,Invoices!$A$5:$A$404,0)),""))</f>
        <v>0</v>
      </c>
      <c r="N114" s="21">
        <f>IF(B114="","",IF(G114="",0,G114)-IF(H114="",0,H114))</f>
        <v>0</v>
      </c>
      <c r="O114" s="21">
        <f>IF(D114="","",IFERROR(INDEX(Invoices!$V$5:$V$404,MATCH(D114,Invoices!$A$5:$A$404,0)),""))</f>
        <v>0</v>
      </c>
      <c r="P114" s="21">
        <f>IF(D114="","",IFERROR(INDEX(Invoices!$W$5:$W$404,MATCH(D114,Invoices!$A$5:$A$404,0)),""))</f>
        <v>0</v>
      </c>
      <c r="Q114" s="21">
        <f>IF(OR(D114="",O114=""),"",ROUND(O114-P114,2))</f>
        <v>0</v>
      </c>
      <c r="R114" s="39">
        <f>IF(B114="","",IF(D114="","Add - which invoice?",IF(OR(G114="",G114=0),"Add - how much came in?",IF(Q114&lt;-0.004,"Check - overpaid",IF(L114="No","Due - not banked yet",IF(Q114&gt;0.004,"Part paid","OK"))))))</f>
        <v>0</v>
      </c>
    </row>
    <row r="115" spans="1:18">
      <c r="A115" s="43">
        <f>IF(B115="","",PaymentPrefix&amp;TEXT(ROW()-4,"0000"))</f>
        <v>0</v>
      </c>
      <c r="C115" s="23">
        <f>IF(B115="","",TEXT(B115,"yyyy-mm"))</f>
        <v>0</v>
      </c>
      <c r="E115" s="43">
        <f>IF(D115="","",IFERROR(INDEX(Invoices!$D$5:$D$404,MATCH(D115,Invoices!$A$5:$A$404,0)),""))</f>
        <v>0</v>
      </c>
      <c r="F115" s="23">
        <f>IF(D115="","",IFERROR(INDEX(Invoices!$E$5:$E$404,MATCH(D115,Invoices!$A$5:$A$404,0)),""))</f>
        <v>0</v>
      </c>
      <c r="N115" s="21">
        <f>IF(B115="","",IF(G115="",0,G115)-IF(H115="",0,H115))</f>
        <v>0</v>
      </c>
      <c r="O115" s="21">
        <f>IF(D115="","",IFERROR(INDEX(Invoices!$V$5:$V$404,MATCH(D115,Invoices!$A$5:$A$404,0)),""))</f>
        <v>0</v>
      </c>
      <c r="P115" s="21">
        <f>IF(D115="","",IFERROR(INDEX(Invoices!$W$5:$W$404,MATCH(D115,Invoices!$A$5:$A$404,0)),""))</f>
        <v>0</v>
      </c>
      <c r="Q115" s="21">
        <f>IF(OR(D115="",O115=""),"",ROUND(O115-P115,2))</f>
        <v>0</v>
      </c>
      <c r="R115" s="39">
        <f>IF(B115="","",IF(D115="","Add - which invoice?",IF(OR(G115="",G115=0),"Add - how much came in?",IF(Q115&lt;-0.004,"Check - overpaid",IF(L115="No","Due - not banked yet",IF(Q115&gt;0.004,"Part paid","OK"))))))</f>
        <v>0</v>
      </c>
    </row>
    <row r="116" spans="1:18">
      <c r="A116" s="43">
        <f>IF(B116="","",PaymentPrefix&amp;TEXT(ROW()-4,"0000"))</f>
        <v>0</v>
      </c>
      <c r="C116" s="23">
        <f>IF(B116="","",TEXT(B116,"yyyy-mm"))</f>
        <v>0</v>
      </c>
      <c r="E116" s="43">
        <f>IF(D116="","",IFERROR(INDEX(Invoices!$D$5:$D$404,MATCH(D116,Invoices!$A$5:$A$404,0)),""))</f>
        <v>0</v>
      </c>
      <c r="F116" s="23">
        <f>IF(D116="","",IFERROR(INDEX(Invoices!$E$5:$E$404,MATCH(D116,Invoices!$A$5:$A$404,0)),""))</f>
        <v>0</v>
      </c>
      <c r="N116" s="21">
        <f>IF(B116="","",IF(G116="",0,G116)-IF(H116="",0,H116))</f>
        <v>0</v>
      </c>
      <c r="O116" s="21">
        <f>IF(D116="","",IFERROR(INDEX(Invoices!$V$5:$V$404,MATCH(D116,Invoices!$A$5:$A$404,0)),""))</f>
        <v>0</v>
      </c>
      <c r="P116" s="21">
        <f>IF(D116="","",IFERROR(INDEX(Invoices!$W$5:$W$404,MATCH(D116,Invoices!$A$5:$A$404,0)),""))</f>
        <v>0</v>
      </c>
      <c r="Q116" s="21">
        <f>IF(OR(D116="",O116=""),"",ROUND(O116-P116,2))</f>
        <v>0</v>
      </c>
      <c r="R116" s="39">
        <f>IF(B116="","",IF(D116="","Add - which invoice?",IF(OR(G116="",G116=0),"Add - how much came in?",IF(Q116&lt;-0.004,"Check - overpaid",IF(L116="No","Due - not banked yet",IF(Q116&gt;0.004,"Part paid","OK"))))))</f>
        <v>0</v>
      </c>
    </row>
    <row r="117" spans="1:18">
      <c r="A117" s="43">
        <f>IF(B117="","",PaymentPrefix&amp;TEXT(ROW()-4,"0000"))</f>
        <v>0</v>
      </c>
      <c r="C117" s="23">
        <f>IF(B117="","",TEXT(B117,"yyyy-mm"))</f>
        <v>0</v>
      </c>
      <c r="E117" s="43">
        <f>IF(D117="","",IFERROR(INDEX(Invoices!$D$5:$D$404,MATCH(D117,Invoices!$A$5:$A$404,0)),""))</f>
        <v>0</v>
      </c>
      <c r="F117" s="23">
        <f>IF(D117="","",IFERROR(INDEX(Invoices!$E$5:$E$404,MATCH(D117,Invoices!$A$5:$A$404,0)),""))</f>
        <v>0</v>
      </c>
      <c r="N117" s="21">
        <f>IF(B117="","",IF(G117="",0,G117)-IF(H117="",0,H117))</f>
        <v>0</v>
      </c>
      <c r="O117" s="21">
        <f>IF(D117="","",IFERROR(INDEX(Invoices!$V$5:$V$404,MATCH(D117,Invoices!$A$5:$A$404,0)),""))</f>
        <v>0</v>
      </c>
      <c r="P117" s="21">
        <f>IF(D117="","",IFERROR(INDEX(Invoices!$W$5:$W$404,MATCH(D117,Invoices!$A$5:$A$404,0)),""))</f>
        <v>0</v>
      </c>
      <c r="Q117" s="21">
        <f>IF(OR(D117="",O117=""),"",ROUND(O117-P117,2))</f>
        <v>0</v>
      </c>
      <c r="R117" s="39">
        <f>IF(B117="","",IF(D117="","Add - which invoice?",IF(OR(G117="",G117=0),"Add - how much came in?",IF(Q117&lt;-0.004,"Check - overpaid",IF(L117="No","Due - not banked yet",IF(Q117&gt;0.004,"Part paid","OK"))))))</f>
        <v>0</v>
      </c>
    </row>
    <row r="118" spans="1:18">
      <c r="A118" s="43">
        <f>IF(B118="","",PaymentPrefix&amp;TEXT(ROW()-4,"0000"))</f>
        <v>0</v>
      </c>
      <c r="C118" s="23">
        <f>IF(B118="","",TEXT(B118,"yyyy-mm"))</f>
        <v>0</v>
      </c>
      <c r="E118" s="43">
        <f>IF(D118="","",IFERROR(INDEX(Invoices!$D$5:$D$404,MATCH(D118,Invoices!$A$5:$A$404,0)),""))</f>
        <v>0</v>
      </c>
      <c r="F118" s="23">
        <f>IF(D118="","",IFERROR(INDEX(Invoices!$E$5:$E$404,MATCH(D118,Invoices!$A$5:$A$404,0)),""))</f>
        <v>0</v>
      </c>
      <c r="N118" s="21">
        <f>IF(B118="","",IF(G118="",0,G118)-IF(H118="",0,H118))</f>
        <v>0</v>
      </c>
      <c r="O118" s="21">
        <f>IF(D118="","",IFERROR(INDEX(Invoices!$V$5:$V$404,MATCH(D118,Invoices!$A$5:$A$404,0)),""))</f>
        <v>0</v>
      </c>
      <c r="P118" s="21">
        <f>IF(D118="","",IFERROR(INDEX(Invoices!$W$5:$W$404,MATCH(D118,Invoices!$A$5:$A$404,0)),""))</f>
        <v>0</v>
      </c>
      <c r="Q118" s="21">
        <f>IF(OR(D118="",O118=""),"",ROUND(O118-P118,2))</f>
        <v>0</v>
      </c>
      <c r="R118" s="39">
        <f>IF(B118="","",IF(D118="","Add - which invoice?",IF(OR(G118="",G118=0),"Add - how much came in?",IF(Q118&lt;-0.004,"Check - overpaid",IF(L118="No","Due - not banked yet",IF(Q118&gt;0.004,"Part paid","OK"))))))</f>
        <v>0</v>
      </c>
    </row>
    <row r="119" spans="1:18">
      <c r="A119" s="43">
        <f>IF(B119="","",PaymentPrefix&amp;TEXT(ROW()-4,"0000"))</f>
        <v>0</v>
      </c>
      <c r="C119" s="23">
        <f>IF(B119="","",TEXT(B119,"yyyy-mm"))</f>
        <v>0</v>
      </c>
      <c r="E119" s="43">
        <f>IF(D119="","",IFERROR(INDEX(Invoices!$D$5:$D$404,MATCH(D119,Invoices!$A$5:$A$404,0)),""))</f>
        <v>0</v>
      </c>
      <c r="F119" s="23">
        <f>IF(D119="","",IFERROR(INDEX(Invoices!$E$5:$E$404,MATCH(D119,Invoices!$A$5:$A$404,0)),""))</f>
        <v>0</v>
      </c>
      <c r="N119" s="21">
        <f>IF(B119="","",IF(G119="",0,G119)-IF(H119="",0,H119))</f>
        <v>0</v>
      </c>
      <c r="O119" s="21">
        <f>IF(D119="","",IFERROR(INDEX(Invoices!$V$5:$V$404,MATCH(D119,Invoices!$A$5:$A$404,0)),""))</f>
        <v>0</v>
      </c>
      <c r="P119" s="21">
        <f>IF(D119="","",IFERROR(INDEX(Invoices!$W$5:$W$404,MATCH(D119,Invoices!$A$5:$A$404,0)),""))</f>
        <v>0</v>
      </c>
      <c r="Q119" s="21">
        <f>IF(OR(D119="",O119=""),"",ROUND(O119-P119,2))</f>
        <v>0</v>
      </c>
      <c r="R119" s="39">
        <f>IF(B119="","",IF(D119="","Add - which invoice?",IF(OR(G119="",G119=0),"Add - how much came in?",IF(Q119&lt;-0.004,"Check - overpaid",IF(L119="No","Due - not banked yet",IF(Q119&gt;0.004,"Part paid","OK"))))))</f>
        <v>0</v>
      </c>
    </row>
    <row r="120" spans="1:18">
      <c r="A120" s="43">
        <f>IF(B120="","",PaymentPrefix&amp;TEXT(ROW()-4,"0000"))</f>
        <v>0</v>
      </c>
      <c r="C120" s="23">
        <f>IF(B120="","",TEXT(B120,"yyyy-mm"))</f>
        <v>0</v>
      </c>
      <c r="E120" s="43">
        <f>IF(D120="","",IFERROR(INDEX(Invoices!$D$5:$D$404,MATCH(D120,Invoices!$A$5:$A$404,0)),""))</f>
        <v>0</v>
      </c>
      <c r="F120" s="23">
        <f>IF(D120="","",IFERROR(INDEX(Invoices!$E$5:$E$404,MATCH(D120,Invoices!$A$5:$A$404,0)),""))</f>
        <v>0</v>
      </c>
      <c r="N120" s="21">
        <f>IF(B120="","",IF(G120="",0,G120)-IF(H120="",0,H120))</f>
        <v>0</v>
      </c>
      <c r="O120" s="21">
        <f>IF(D120="","",IFERROR(INDEX(Invoices!$V$5:$V$404,MATCH(D120,Invoices!$A$5:$A$404,0)),""))</f>
        <v>0</v>
      </c>
      <c r="P120" s="21">
        <f>IF(D120="","",IFERROR(INDEX(Invoices!$W$5:$W$404,MATCH(D120,Invoices!$A$5:$A$404,0)),""))</f>
        <v>0</v>
      </c>
      <c r="Q120" s="21">
        <f>IF(OR(D120="",O120=""),"",ROUND(O120-P120,2))</f>
        <v>0</v>
      </c>
      <c r="R120" s="39">
        <f>IF(B120="","",IF(D120="","Add - which invoice?",IF(OR(G120="",G120=0),"Add - how much came in?",IF(Q120&lt;-0.004,"Check - overpaid",IF(L120="No","Due - not banked yet",IF(Q120&gt;0.004,"Part paid","OK"))))))</f>
        <v>0</v>
      </c>
    </row>
    <row r="121" spans="1:18">
      <c r="A121" s="43">
        <f>IF(B121="","",PaymentPrefix&amp;TEXT(ROW()-4,"0000"))</f>
        <v>0</v>
      </c>
      <c r="C121" s="23">
        <f>IF(B121="","",TEXT(B121,"yyyy-mm"))</f>
        <v>0</v>
      </c>
      <c r="E121" s="43">
        <f>IF(D121="","",IFERROR(INDEX(Invoices!$D$5:$D$404,MATCH(D121,Invoices!$A$5:$A$404,0)),""))</f>
        <v>0</v>
      </c>
      <c r="F121" s="23">
        <f>IF(D121="","",IFERROR(INDEX(Invoices!$E$5:$E$404,MATCH(D121,Invoices!$A$5:$A$404,0)),""))</f>
        <v>0</v>
      </c>
      <c r="N121" s="21">
        <f>IF(B121="","",IF(G121="",0,G121)-IF(H121="",0,H121))</f>
        <v>0</v>
      </c>
      <c r="O121" s="21">
        <f>IF(D121="","",IFERROR(INDEX(Invoices!$V$5:$V$404,MATCH(D121,Invoices!$A$5:$A$404,0)),""))</f>
        <v>0</v>
      </c>
      <c r="P121" s="21">
        <f>IF(D121="","",IFERROR(INDEX(Invoices!$W$5:$W$404,MATCH(D121,Invoices!$A$5:$A$404,0)),""))</f>
        <v>0</v>
      </c>
      <c r="Q121" s="21">
        <f>IF(OR(D121="",O121=""),"",ROUND(O121-P121,2))</f>
        <v>0</v>
      </c>
      <c r="R121" s="39">
        <f>IF(B121="","",IF(D121="","Add - which invoice?",IF(OR(G121="",G121=0),"Add - how much came in?",IF(Q121&lt;-0.004,"Check - overpaid",IF(L121="No","Due - not banked yet",IF(Q121&gt;0.004,"Part paid","OK"))))))</f>
        <v>0</v>
      </c>
    </row>
    <row r="122" spans="1:18">
      <c r="A122" s="43">
        <f>IF(B122="","",PaymentPrefix&amp;TEXT(ROW()-4,"0000"))</f>
        <v>0</v>
      </c>
      <c r="C122" s="23">
        <f>IF(B122="","",TEXT(B122,"yyyy-mm"))</f>
        <v>0</v>
      </c>
      <c r="E122" s="43">
        <f>IF(D122="","",IFERROR(INDEX(Invoices!$D$5:$D$404,MATCH(D122,Invoices!$A$5:$A$404,0)),""))</f>
        <v>0</v>
      </c>
      <c r="F122" s="23">
        <f>IF(D122="","",IFERROR(INDEX(Invoices!$E$5:$E$404,MATCH(D122,Invoices!$A$5:$A$404,0)),""))</f>
        <v>0</v>
      </c>
      <c r="N122" s="21">
        <f>IF(B122="","",IF(G122="",0,G122)-IF(H122="",0,H122))</f>
        <v>0</v>
      </c>
      <c r="O122" s="21">
        <f>IF(D122="","",IFERROR(INDEX(Invoices!$V$5:$V$404,MATCH(D122,Invoices!$A$5:$A$404,0)),""))</f>
        <v>0</v>
      </c>
      <c r="P122" s="21">
        <f>IF(D122="","",IFERROR(INDEX(Invoices!$W$5:$W$404,MATCH(D122,Invoices!$A$5:$A$404,0)),""))</f>
        <v>0</v>
      </c>
      <c r="Q122" s="21">
        <f>IF(OR(D122="",O122=""),"",ROUND(O122-P122,2))</f>
        <v>0</v>
      </c>
      <c r="R122" s="39">
        <f>IF(B122="","",IF(D122="","Add - which invoice?",IF(OR(G122="",G122=0),"Add - how much came in?",IF(Q122&lt;-0.004,"Check - overpaid",IF(L122="No","Due - not banked yet",IF(Q122&gt;0.004,"Part paid","OK"))))))</f>
        <v>0</v>
      </c>
    </row>
    <row r="123" spans="1:18">
      <c r="A123" s="43">
        <f>IF(B123="","",PaymentPrefix&amp;TEXT(ROW()-4,"0000"))</f>
        <v>0</v>
      </c>
      <c r="C123" s="23">
        <f>IF(B123="","",TEXT(B123,"yyyy-mm"))</f>
        <v>0</v>
      </c>
      <c r="E123" s="43">
        <f>IF(D123="","",IFERROR(INDEX(Invoices!$D$5:$D$404,MATCH(D123,Invoices!$A$5:$A$404,0)),""))</f>
        <v>0</v>
      </c>
      <c r="F123" s="23">
        <f>IF(D123="","",IFERROR(INDEX(Invoices!$E$5:$E$404,MATCH(D123,Invoices!$A$5:$A$404,0)),""))</f>
        <v>0</v>
      </c>
      <c r="N123" s="21">
        <f>IF(B123="","",IF(G123="",0,G123)-IF(H123="",0,H123))</f>
        <v>0</v>
      </c>
      <c r="O123" s="21">
        <f>IF(D123="","",IFERROR(INDEX(Invoices!$V$5:$V$404,MATCH(D123,Invoices!$A$5:$A$404,0)),""))</f>
        <v>0</v>
      </c>
      <c r="P123" s="21">
        <f>IF(D123="","",IFERROR(INDEX(Invoices!$W$5:$W$404,MATCH(D123,Invoices!$A$5:$A$404,0)),""))</f>
        <v>0</v>
      </c>
      <c r="Q123" s="21">
        <f>IF(OR(D123="",O123=""),"",ROUND(O123-P123,2))</f>
        <v>0</v>
      </c>
      <c r="R123" s="39">
        <f>IF(B123="","",IF(D123="","Add - which invoice?",IF(OR(G123="",G123=0),"Add - how much came in?",IF(Q123&lt;-0.004,"Check - overpaid",IF(L123="No","Due - not banked yet",IF(Q123&gt;0.004,"Part paid","OK"))))))</f>
        <v>0</v>
      </c>
    </row>
    <row r="124" spans="1:18">
      <c r="A124" s="43">
        <f>IF(B124="","",PaymentPrefix&amp;TEXT(ROW()-4,"0000"))</f>
        <v>0</v>
      </c>
      <c r="C124" s="23">
        <f>IF(B124="","",TEXT(B124,"yyyy-mm"))</f>
        <v>0</v>
      </c>
      <c r="E124" s="43">
        <f>IF(D124="","",IFERROR(INDEX(Invoices!$D$5:$D$404,MATCH(D124,Invoices!$A$5:$A$404,0)),""))</f>
        <v>0</v>
      </c>
      <c r="F124" s="23">
        <f>IF(D124="","",IFERROR(INDEX(Invoices!$E$5:$E$404,MATCH(D124,Invoices!$A$5:$A$404,0)),""))</f>
        <v>0</v>
      </c>
      <c r="N124" s="21">
        <f>IF(B124="","",IF(G124="",0,G124)-IF(H124="",0,H124))</f>
        <v>0</v>
      </c>
      <c r="O124" s="21">
        <f>IF(D124="","",IFERROR(INDEX(Invoices!$V$5:$V$404,MATCH(D124,Invoices!$A$5:$A$404,0)),""))</f>
        <v>0</v>
      </c>
      <c r="P124" s="21">
        <f>IF(D124="","",IFERROR(INDEX(Invoices!$W$5:$W$404,MATCH(D124,Invoices!$A$5:$A$404,0)),""))</f>
        <v>0</v>
      </c>
      <c r="Q124" s="21">
        <f>IF(OR(D124="",O124=""),"",ROUND(O124-P124,2))</f>
        <v>0</v>
      </c>
      <c r="R124" s="39">
        <f>IF(B124="","",IF(D124="","Add - which invoice?",IF(OR(G124="",G124=0),"Add - how much came in?",IF(Q124&lt;-0.004,"Check - overpaid",IF(L124="No","Due - not banked yet",IF(Q124&gt;0.004,"Part paid","OK"))))))</f>
        <v>0</v>
      </c>
    </row>
    <row r="125" spans="1:18">
      <c r="A125" s="43">
        <f>IF(B125="","",PaymentPrefix&amp;TEXT(ROW()-4,"0000"))</f>
        <v>0</v>
      </c>
      <c r="C125" s="23">
        <f>IF(B125="","",TEXT(B125,"yyyy-mm"))</f>
        <v>0</v>
      </c>
      <c r="E125" s="43">
        <f>IF(D125="","",IFERROR(INDEX(Invoices!$D$5:$D$404,MATCH(D125,Invoices!$A$5:$A$404,0)),""))</f>
        <v>0</v>
      </c>
      <c r="F125" s="23">
        <f>IF(D125="","",IFERROR(INDEX(Invoices!$E$5:$E$404,MATCH(D125,Invoices!$A$5:$A$404,0)),""))</f>
        <v>0</v>
      </c>
      <c r="N125" s="21">
        <f>IF(B125="","",IF(G125="",0,G125)-IF(H125="",0,H125))</f>
        <v>0</v>
      </c>
      <c r="O125" s="21">
        <f>IF(D125="","",IFERROR(INDEX(Invoices!$V$5:$V$404,MATCH(D125,Invoices!$A$5:$A$404,0)),""))</f>
        <v>0</v>
      </c>
      <c r="P125" s="21">
        <f>IF(D125="","",IFERROR(INDEX(Invoices!$W$5:$W$404,MATCH(D125,Invoices!$A$5:$A$404,0)),""))</f>
        <v>0</v>
      </c>
      <c r="Q125" s="21">
        <f>IF(OR(D125="",O125=""),"",ROUND(O125-P125,2))</f>
        <v>0</v>
      </c>
      <c r="R125" s="39">
        <f>IF(B125="","",IF(D125="","Add - which invoice?",IF(OR(G125="",G125=0),"Add - how much came in?",IF(Q125&lt;-0.004,"Check - overpaid",IF(L125="No","Due - not banked yet",IF(Q125&gt;0.004,"Part paid","OK"))))))</f>
        <v>0</v>
      </c>
    </row>
    <row r="126" spans="1:18">
      <c r="A126" s="43">
        <f>IF(B126="","",PaymentPrefix&amp;TEXT(ROW()-4,"0000"))</f>
        <v>0</v>
      </c>
      <c r="C126" s="23">
        <f>IF(B126="","",TEXT(B126,"yyyy-mm"))</f>
        <v>0</v>
      </c>
      <c r="E126" s="43">
        <f>IF(D126="","",IFERROR(INDEX(Invoices!$D$5:$D$404,MATCH(D126,Invoices!$A$5:$A$404,0)),""))</f>
        <v>0</v>
      </c>
      <c r="F126" s="23">
        <f>IF(D126="","",IFERROR(INDEX(Invoices!$E$5:$E$404,MATCH(D126,Invoices!$A$5:$A$404,0)),""))</f>
        <v>0</v>
      </c>
      <c r="N126" s="21">
        <f>IF(B126="","",IF(G126="",0,G126)-IF(H126="",0,H126))</f>
        <v>0</v>
      </c>
      <c r="O126" s="21">
        <f>IF(D126="","",IFERROR(INDEX(Invoices!$V$5:$V$404,MATCH(D126,Invoices!$A$5:$A$404,0)),""))</f>
        <v>0</v>
      </c>
      <c r="P126" s="21">
        <f>IF(D126="","",IFERROR(INDEX(Invoices!$W$5:$W$404,MATCH(D126,Invoices!$A$5:$A$404,0)),""))</f>
        <v>0</v>
      </c>
      <c r="Q126" s="21">
        <f>IF(OR(D126="",O126=""),"",ROUND(O126-P126,2))</f>
        <v>0</v>
      </c>
      <c r="R126" s="39">
        <f>IF(B126="","",IF(D126="","Add - which invoice?",IF(OR(G126="",G126=0),"Add - how much came in?",IF(Q126&lt;-0.004,"Check - overpaid",IF(L126="No","Due - not banked yet",IF(Q126&gt;0.004,"Part paid","OK"))))))</f>
        <v>0</v>
      </c>
    </row>
    <row r="127" spans="1:18">
      <c r="A127" s="43">
        <f>IF(B127="","",PaymentPrefix&amp;TEXT(ROW()-4,"0000"))</f>
        <v>0</v>
      </c>
      <c r="C127" s="23">
        <f>IF(B127="","",TEXT(B127,"yyyy-mm"))</f>
        <v>0</v>
      </c>
      <c r="E127" s="43">
        <f>IF(D127="","",IFERROR(INDEX(Invoices!$D$5:$D$404,MATCH(D127,Invoices!$A$5:$A$404,0)),""))</f>
        <v>0</v>
      </c>
      <c r="F127" s="23">
        <f>IF(D127="","",IFERROR(INDEX(Invoices!$E$5:$E$404,MATCH(D127,Invoices!$A$5:$A$404,0)),""))</f>
        <v>0</v>
      </c>
      <c r="N127" s="21">
        <f>IF(B127="","",IF(G127="",0,G127)-IF(H127="",0,H127))</f>
        <v>0</v>
      </c>
      <c r="O127" s="21">
        <f>IF(D127="","",IFERROR(INDEX(Invoices!$V$5:$V$404,MATCH(D127,Invoices!$A$5:$A$404,0)),""))</f>
        <v>0</v>
      </c>
      <c r="P127" s="21">
        <f>IF(D127="","",IFERROR(INDEX(Invoices!$W$5:$W$404,MATCH(D127,Invoices!$A$5:$A$404,0)),""))</f>
        <v>0</v>
      </c>
      <c r="Q127" s="21">
        <f>IF(OR(D127="",O127=""),"",ROUND(O127-P127,2))</f>
        <v>0</v>
      </c>
      <c r="R127" s="39">
        <f>IF(B127="","",IF(D127="","Add - which invoice?",IF(OR(G127="",G127=0),"Add - how much came in?",IF(Q127&lt;-0.004,"Check - overpaid",IF(L127="No","Due - not banked yet",IF(Q127&gt;0.004,"Part paid","OK"))))))</f>
        <v>0</v>
      </c>
    </row>
    <row r="128" spans="1:18">
      <c r="A128" s="43">
        <f>IF(B128="","",PaymentPrefix&amp;TEXT(ROW()-4,"0000"))</f>
        <v>0</v>
      </c>
      <c r="C128" s="23">
        <f>IF(B128="","",TEXT(B128,"yyyy-mm"))</f>
        <v>0</v>
      </c>
      <c r="E128" s="43">
        <f>IF(D128="","",IFERROR(INDEX(Invoices!$D$5:$D$404,MATCH(D128,Invoices!$A$5:$A$404,0)),""))</f>
        <v>0</v>
      </c>
      <c r="F128" s="23">
        <f>IF(D128="","",IFERROR(INDEX(Invoices!$E$5:$E$404,MATCH(D128,Invoices!$A$5:$A$404,0)),""))</f>
        <v>0</v>
      </c>
      <c r="N128" s="21">
        <f>IF(B128="","",IF(G128="",0,G128)-IF(H128="",0,H128))</f>
        <v>0</v>
      </c>
      <c r="O128" s="21">
        <f>IF(D128="","",IFERROR(INDEX(Invoices!$V$5:$V$404,MATCH(D128,Invoices!$A$5:$A$404,0)),""))</f>
        <v>0</v>
      </c>
      <c r="P128" s="21">
        <f>IF(D128="","",IFERROR(INDEX(Invoices!$W$5:$W$404,MATCH(D128,Invoices!$A$5:$A$404,0)),""))</f>
        <v>0</v>
      </c>
      <c r="Q128" s="21">
        <f>IF(OR(D128="",O128=""),"",ROUND(O128-P128,2))</f>
        <v>0</v>
      </c>
      <c r="R128" s="39">
        <f>IF(B128="","",IF(D128="","Add - which invoice?",IF(OR(G128="",G128=0),"Add - how much came in?",IF(Q128&lt;-0.004,"Check - overpaid",IF(L128="No","Due - not banked yet",IF(Q128&gt;0.004,"Part paid","OK"))))))</f>
        <v>0</v>
      </c>
    </row>
    <row r="129" spans="1:18">
      <c r="A129" s="43">
        <f>IF(B129="","",PaymentPrefix&amp;TEXT(ROW()-4,"0000"))</f>
        <v>0</v>
      </c>
      <c r="C129" s="23">
        <f>IF(B129="","",TEXT(B129,"yyyy-mm"))</f>
        <v>0</v>
      </c>
      <c r="E129" s="43">
        <f>IF(D129="","",IFERROR(INDEX(Invoices!$D$5:$D$404,MATCH(D129,Invoices!$A$5:$A$404,0)),""))</f>
        <v>0</v>
      </c>
      <c r="F129" s="23">
        <f>IF(D129="","",IFERROR(INDEX(Invoices!$E$5:$E$404,MATCH(D129,Invoices!$A$5:$A$404,0)),""))</f>
        <v>0</v>
      </c>
      <c r="N129" s="21">
        <f>IF(B129="","",IF(G129="",0,G129)-IF(H129="",0,H129))</f>
        <v>0</v>
      </c>
      <c r="O129" s="21">
        <f>IF(D129="","",IFERROR(INDEX(Invoices!$V$5:$V$404,MATCH(D129,Invoices!$A$5:$A$404,0)),""))</f>
        <v>0</v>
      </c>
      <c r="P129" s="21">
        <f>IF(D129="","",IFERROR(INDEX(Invoices!$W$5:$W$404,MATCH(D129,Invoices!$A$5:$A$404,0)),""))</f>
        <v>0</v>
      </c>
      <c r="Q129" s="21">
        <f>IF(OR(D129="",O129=""),"",ROUND(O129-P129,2))</f>
        <v>0</v>
      </c>
      <c r="R129" s="39">
        <f>IF(B129="","",IF(D129="","Add - which invoice?",IF(OR(G129="",G129=0),"Add - how much came in?",IF(Q129&lt;-0.004,"Check - overpaid",IF(L129="No","Due - not banked yet",IF(Q129&gt;0.004,"Part paid","OK"))))))</f>
        <v>0</v>
      </c>
    </row>
    <row r="130" spans="1:18">
      <c r="A130" s="43">
        <f>IF(B130="","",PaymentPrefix&amp;TEXT(ROW()-4,"0000"))</f>
        <v>0</v>
      </c>
      <c r="C130" s="23">
        <f>IF(B130="","",TEXT(B130,"yyyy-mm"))</f>
        <v>0</v>
      </c>
      <c r="E130" s="43">
        <f>IF(D130="","",IFERROR(INDEX(Invoices!$D$5:$D$404,MATCH(D130,Invoices!$A$5:$A$404,0)),""))</f>
        <v>0</v>
      </c>
      <c r="F130" s="23">
        <f>IF(D130="","",IFERROR(INDEX(Invoices!$E$5:$E$404,MATCH(D130,Invoices!$A$5:$A$404,0)),""))</f>
        <v>0</v>
      </c>
      <c r="N130" s="21">
        <f>IF(B130="","",IF(G130="",0,G130)-IF(H130="",0,H130))</f>
        <v>0</v>
      </c>
      <c r="O130" s="21">
        <f>IF(D130="","",IFERROR(INDEX(Invoices!$V$5:$V$404,MATCH(D130,Invoices!$A$5:$A$404,0)),""))</f>
        <v>0</v>
      </c>
      <c r="P130" s="21">
        <f>IF(D130="","",IFERROR(INDEX(Invoices!$W$5:$W$404,MATCH(D130,Invoices!$A$5:$A$404,0)),""))</f>
        <v>0</v>
      </c>
      <c r="Q130" s="21">
        <f>IF(OR(D130="",O130=""),"",ROUND(O130-P130,2))</f>
        <v>0</v>
      </c>
      <c r="R130" s="39">
        <f>IF(B130="","",IF(D130="","Add - which invoice?",IF(OR(G130="",G130=0),"Add - how much came in?",IF(Q130&lt;-0.004,"Check - overpaid",IF(L130="No","Due - not banked yet",IF(Q130&gt;0.004,"Part paid","OK"))))))</f>
        <v>0</v>
      </c>
    </row>
    <row r="131" spans="1:18">
      <c r="A131" s="43">
        <f>IF(B131="","",PaymentPrefix&amp;TEXT(ROW()-4,"0000"))</f>
        <v>0</v>
      </c>
      <c r="C131" s="23">
        <f>IF(B131="","",TEXT(B131,"yyyy-mm"))</f>
        <v>0</v>
      </c>
      <c r="E131" s="43">
        <f>IF(D131="","",IFERROR(INDEX(Invoices!$D$5:$D$404,MATCH(D131,Invoices!$A$5:$A$404,0)),""))</f>
        <v>0</v>
      </c>
      <c r="F131" s="23">
        <f>IF(D131="","",IFERROR(INDEX(Invoices!$E$5:$E$404,MATCH(D131,Invoices!$A$5:$A$404,0)),""))</f>
        <v>0</v>
      </c>
      <c r="N131" s="21">
        <f>IF(B131="","",IF(G131="",0,G131)-IF(H131="",0,H131))</f>
        <v>0</v>
      </c>
      <c r="O131" s="21">
        <f>IF(D131="","",IFERROR(INDEX(Invoices!$V$5:$V$404,MATCH(D131,Invoices!$A$5:$A$404,0)),""))</f>
        <v>0</v>
      </c>
      <c r="P131" s="21">
        <f>IF(D131="","",IFERROR(INDEX(Invoices!$W$5:$W$404,MATCH(D131,Invoices!$A$5:$A$404,0)),""))</f>
        <v>0</v>
      </c>
      <c r="Q131" s="21">
        <f>IF(OR(D131="",O131=""),"",ROUND(O131-P131,2))</f>
        <v>0</v>
      </c>
      <c r="R131" s="39">
        <f>IF(B131="","",IF(D131="","Add - which invoice?",IF(OR(G131="",G131=0),"Add - how much came in?",IF(Q131&lt;-0.004,"Check - overpaid",IF(L131="No","Due - not banked yet",IF(Q131&gt;0.004,"Part paid","OK"))))))</f>
        <v>0</v>
      </c>
    </row>
    <row r="132" spans="1:18">
      <c r="A132" s="43">
        <f>IF(B132="","",PaymentPrefix&amp;TEXT(ROW()-4,"0000"))</f>
        <v>0</v>
      </c>
      <c r="C132" s="23">
        <f>IF(B132="","",TEXT(B132,"yyyy-mm"))</f>
        <v>0</v>
      </c>
      <c r="E132" s="43">
        <f>IF(D132="","",IFERROR(INDEX(Invoices!$D$5:$D$404,MATCH(D132,Invoices!$A$5:$A$404,0)),""))</f>
        <v>0</v>
      </c>
      <c r="F132" s="23">
        <f>IF(D132="","",IFERROR(INDEX(Invoices!$E$5:$E$404,MATCH(D132,Invoices!$A$5:$A$404,0)),""))</f>
        <v>0</v>
      </c>
      <c r="N132" s="21">
        <f>IF(B132="","",IF(G132="",0,G132)-IF(H132="",0,H132))</f>
        <v>0</v>
      </c>
      <c r="O132" s="21">
        <f>IF(D132="","",IFERROR(INDEX(Invoices!$V$5:$V$404,MATCH(D132,Invoices!$A$5:$A$404,0)),""))</f>
        <v>0</v>
      </c>
      <c r="P132" s="21">
        <f>IF(D132="","",IFERROR(INDEX(Invoices!$W$5:$W$404,MATCH(D132,Invoices!$A$5:$A$404,0)),""))</f>
        <v>0</v>
      </c>
      <c r="Q132" s="21">
        <f>IF(OR(D132="",O132=""),"",ROUND(O132-P132,2))</f>
        <v>0</v>
      </c>
      <c r="R132" s="39">
        <f>IF(B132="","",IF(D132="","Add - which invoice?",IF(OR(G132="",G132=0),"Add - how much came in?",IF(Q132&lt;-0.004,"Check - overpaid",IF(L132="No","Due - not banked yet",IF(Q132&gt;0.004,"Part paid","OK"))))))</f>
        <v>0</v>
      </c>
    </row>
    <row r="133" spans="1:18">
      <c r="A133" s="43">
        <f>IF(B133="","",PaymentPrefix&amp;TEXT(ROW()-4,"0000"))</f>
        <v>0</v>
      </c>
      <c r="C133" s="23">
        <f>IF(B133="","",TEXT(B133,"yyyy-mm"))</f>
        <v>0</v>
      </c>
      <c r="E133" s="43">
        <f>IF(D133="","",IFERROR(INDEX(Invoices!$D$5:$D$404,MATCH(D133,Invoices!$A$5:$A$404,0)),""))</f>
        <v>0</v>
      </c>
      <c r="F133" s="23">
        <f>IF(D133="","",IFERROR(INDEX(Invoices!$E$5:$E$404,MATCH(D133,Invoices!$A$5:$A$404,0)),""))</f>
        <v>0</v>
      </c>
      <c r="N133" s="21">
        <f>IF(B133="","",IF(G133="",0,G133)-IF(H133="",0,H133))</f>
        <v>0</v>
      </c>
      <c r="O133" s="21">
        <f>IF(D133="","",IFERROR(INDEX(Invoices!$V$5:$V$404,MATCH(D133,Invoices!$A$5:$A$404,0)),""))</f>
        <v>0</v>
      </c>
      <c r="P133" s="21">
        <f>IF(D133="","",IFERROR(INDEX(Invoices!$W$5:$W$404,MATCH(D133,Invoices!$A$5:$A$404,0)),""))</f>
        <v>0</v>
      </c>
      <c r="Q133" s="21">
        <f>IF(OR(D133="",O133=""),"",ROUND(O133-P133,2))</f>
        <v>0</v>
      </c>
      <c r="R133" s="39">
        <f>IF(B133="","",IF(D133="","Add - which invoice?",IF(OR(G133="",G133=0),"Add - how much came in?",IF(Q133&lt;-0.004,"Check - overpaid",IF(L133="No","Due - not banked yet",IF(Q133&gt;0.004,"Part paid","OK"))))))</f>
        <v>0</v>
      </c>
    </row>
    <row r="134" spans="1:18">
      <c r="A134" s="43">
        <f>IF(B134="","",PaymentPrefix&amp;TEXT(ROW()-4,"0000"))</f>
        <v>0</v>
      </c>
      <c r="C134" s="23">
        <f>IF(B134="","",TEXT(B134,"yyyy-mm"))</f>
        <v>0</v>
      </c>
      <c r="E134" s="43">
        <f>IF(D134="","",IFERROR(INDEX(Invoices!$D$5:$D$404,MATCH(D134,Invoices!$A$5:$A$404,0)),""))</f>
        <v>0</v>
      </c>
      <c r="F134" s="23">
        <f>IF(D134="","",IFERROR(INDEX(Invoices!$E$5:$E$404,MATCH(D134,Invoices!$A$5:$A$404,0)),""))</f>
        <v>0</v>
      </c>
      <c r="N134" s="21">
        <f>IF(B134="","",IF(G134="",0,G134)-IF(H134="",0,H134))</f>
        <v>0</v>
      </c>
      <c r="O134" s="21">
        <f>IF(D134="","",IFERROR(INDEX(Invoices!$V$5:$V$404,MATCH(D134,Invoices!$A$5:$A$404,0)),""))</f>
        <v>0</v>
      </c>
      <c r="P134" s="21">
        <f>IF(D134="","",IFERROR(INDEX(Invoices!$W$5:$W$404,MATCH(D134,Invoices!$A$5:$A$404,0)),""))</f>
        <v>0</v>
      </c>
      <c r="Q134" s="21">
        <f>IF(OR(D134="",O134=""),"",ROUND(O134-P134,2))</f>
        <v>0</v>
      </c>
      <c r="R134" s="39">
        <f>IF(B134="","",IF(D134="","Add - which invoice?",IF(OR(G134="",G134=0),"Add - how much came in?",IF(Q134&lt;-0.004,"Check - overpaid",IF(L134="No","Due - not banked yet",IF(Q134&gt;0.004,"Part paid","OK"))))))</f>
        <v>0</v>
      </c>
    </row>
    <row r="135" spans="1:18">
      <c r="A135" s="43">
        <f>IF(B135="","",PaymentPrefix&amp;TEXT(ROW()-4,"0000"))</f>
        <v>0</v>
      </c>
      <c r="C135" s="23">
        <f>IF(B135="","",TEXT(B135,"yyyy-mm"))</f>
        <v>0</v>
      </c>
      <c r="E135" s="43">
        <f>IF(D135="","",IFERROR(INDEX(Invoices!$D$5:$D$404,MATCH(D135,Invoices!$A$5:$A$404,0)),""))</f>
        <v>0</v>
      </c>
      <c r="F135" s="23">
        <f>IF(D135="","",IFERROR(INDEX(Invoices!$E$5:$E$404,MATCH(D135,Invoices!$A$5:$A$404,0)),""))</f>
        <v>0</v>
      </c>
      <c r="N135" s="21">
        <f>IF(B135="","",IF(G135="",0,G135)-IF(H135="",0,H135))</f>
        <v>0</v>
      </c>
      <c r="O135" s="21">
        <f>IF(D135="","",IFERROR(INDEX(Invoices!$V$5:$V$404,MATCH(D135,Invoices!$A$5:$A$404,0)),""))</f>
        <v>0</v>
      </c>
      <c r="P135" s="21">
        <f>IF(D135="","",IFERROR(INDEX(Invoices!$W$5:$W$404,MATCH(D135,Invoices!$A$5:$A$404,0)),""))</f>
        <v>0</v>
      </c>
      <c r="Q135" s="21">
        <f>IF(OR(D135="",O135=""),"",ROUND(O135-P135,2))</f>
        <v>0</v>
      </c>
      <c r="R135" s="39">
        <f>IF(B135="","",IF(D135="","Add - which invoice?",IF(OR(G135="",G135=0),"Add - how much came in?",IF(Q135&lt;-0.004,"Check - overpaid",IF(L135="No","Due - not banked yet",IF(Q135&gt;0.004,"Part paid","OK"))))))</f>
        <v>0</v>
      </c>
    </row>
    <row r="136" spans="1:18">
      <c r="A136" s="43">
        <f>IF(B136="","",PaymentPrefix&amp;TEXT(ROW()-4,"0000"))</f>
        <v>0</v>
      </c>
      <c r="C136" s="23">
        <f>IF(B136="","",TEXT(B136,"yyyy-mm"))</f>
        <v>0</v>
      </c>
      <c r="E136" s="43">
        <f>IF(D136="","",IFERROR(INDEX(Invoices!$D$5:$D$404,MATCH(D136,Invoices!$A$5:$A$404,0)),""))</f>
        <v>0</v>
      </c>
      <c r="F136" s="23">
        <f>IF(D136="","",IFERROR(INDEX(Invoices!$E$5:$E$404,MATCH(D136,Invoices!$A$5:$A$404,0)),""))</f>
        <v>0</v>
      </c>
      <c r="N136" s="21">
        <f>IF(B136="","",IF(G136="",0,G136)-IF(H136="",0,H136))</f>
        <v>0</v>
      </c>
      <c r="O136" s="21">
        <f>IF(D136="","",IFERROR(INDEX(Invoices!$V$5:$V$404,MATCH(D136,Invoices!$A$5:$A$404,0)),""))</f>
        <v>0</v>
      </c>
      <c r="P136" s="21">
        <f>IF(D136="","",IFERROR(INDEX(Invoices!$W$5:$W$404,MATCH(D136,Invoices!$A$5:$A$404,0)),""))</f>
        <v>0</v>
      </c>
      <c r="Q136" s="21">
        <f>IF(OR(D136="",O136=""),"",ROUND(O136-P136,2))</f>
        <v>0</v>
      </c>
      <c r="R136" s="39">
        <f>IF(B136="","",IF(D136="","Add - which invoice?",IF(OR(G136="",G136=0),"Add - how much came in?",IF(Q136&lt;-0.004,"Check - overpaid",IF(L136="No","Due - not banked yet",IF(Q136&gt;0.004,"Part paid","OK"))))))</f>
        <v>0</v>
      </c>
    </row>
    <row r="137" spans="1:18">
      <c r="A137" s="43">
        <f>IF(B137="","",PaymentPrefix&amp;TEXT(ROW()-4,"0000"))</f>
        <v>0</v>
      </c>
      <c r="C137" s="23">
        <f>IF(B137="","",TEXT(B137,"yyyy-mm"))</f>
        <v>0</v>
      </c>
      <c r="E137" s="43">
        <f>IF(D137="","",IFERROR(INDEX(Invoices!$D$5:$D$404,MATCH(D137,Invoices!$A$5:$A$404,0)),""))</f>
        <v>0</v>
      </c>
      <c r="F137" s="23">
        <f>IF(D137="","",IFERROR(INDEX(Invoices!$E$5:$E$404,MATCH(D137,Invoices!$A$5:$A$404,0)),""))</f>
        <v>0</v>
      </c>
      <c r="N137" s="21">
        <f>IF(B137="","",IF(G137="",0,G137)-IF(H137="",0,H137))</f>
        <v>0</v>
      </c>
      <c r="O137" s="21">
        <f>IF(D137="","",IFERROR(INDEX(Invoices!$V$5:$V$404,MATCH(D137,Invoices!$A$5:$A$404,0)),""))</f>
        <v>0</v>
      </c>
      <c r="P137" s="21">
        <f>IF(D137="","",IFERROR(INDEX(Invoices!$W$5:$W$404,MATCH(D137,Invoices!$A$5:$A$404,0)),""))</f>
        <v>0</v>
      </c>
      <c r="Q137" s="21">
        <f>IF(OR(D137="",O137=""),"",ROUND(O137-P137,2))</f>
        <v>0</v>
      </c>
      <c r="R137" s="39">
        <f>IF(B137="","",IF(D137="","Add - which invoice?",IF(OR(G137="",G137=0),"Add - how much came in?",IF(Q137&lt;-0.004,"Check - overpaid",IF(L137="No","Due - not banked yet",IF(Q137&gt;0.004,"Part paid","OK"))))))</f>
        <v>0</v>
      </c>
    </row>
    <row r="138" spans="1:18">
      <c r="A138" s="43">
        <f>IF(B138="","",PaymentPrefix&amp;TEXT(ROW()-4,"0000"))</f>
        <v>0</v>
      </c>
      <c r="C138" s="23">
        <f>IF(B138="","",TEXT(B138,"yyyy-mm"))</f>
        <v>0</v>
      </c>
      <c r="E138" s="43">
        <f>IF(D138="","",IFERROR(INDEX(Invoices!$D$5:$D$404,MATCH(D138,Invoices!$A$5:$A$404,0)),""))</f>
        <v>0</v>
      </c>
      <c r="F138" s="23">
        <f>IF(D138="","",IFERROR(INDEX(Invoices!$E$5:$E$404,MATCH(D138,Invoices!$A$5:$A$404,0)),""))</f>
        <v>0</v>
      </c>
      <c r="N138" s="21">
        <f>IF(B138="","",IF(G138="",0,G138)-IF(H138="",0,H138))</f>
        <v>0</v>
      </c>
      <c r="O138" s="21">
        <f>IF(D138="","",IFERROR(INDEX(Invoices!$V$5:$V$404,MATCH(D138,Invoices!$A$5:$A$404,0)),""))</f>
        <v>0</v>
      </c>
      <c r="P138" s="21">
        <f>IF(D138="","",IFERROR(INDEX(Invoices!$W$5:$W$404,MATCH(D138,Invoices!$A$5:$A$404,0)),""))</f>
        <v>0</v>
      </c>
      <c r="Q138" s="21">
        <f>IF(OR(D138="",O138=""),"",ROUND(O138-P138,2))</f>
        <v>0</v>
      </c>
      <c r="R138" s="39">
        <f>IF(B138="","",IF(D138="","Add - which invoice?",IF(OR(G138="",G138=0),"Add - how much came in?",IF(Q138&lt;-0.004,"Check - overpaid",IF(L138="No","Due - not banked yet",IF(Q138&gt;0.004,"Part paid","OK"))))))</f>
        <v>0</v>
      </c>
    </row>
    <row r="139" spans="1:18">
      <c r="A139" s="43">
        <f>IF(B139="","",PaymentPrefix&amp;TEXT(ROW()-4,"0000"))</f>
        <v>0</v>
      </c>
      <c r="C139" s="23">
        <f>IF(B139="","",TEXT(B139,"yyyy-mm"))</f>
        <v>0</v>
      </c>
      <c r="E139" s="43">
        <f>IF(D139="","",IFERROR(INDEX(Invoices!$D$5:$D$404,MATCH(D139,Invoices!$A$5:$A$404,0)),""))</f>
        <v>0</v>
      </c>
      <c r="F139" s="23">
        <f>IF(D139="","",IFERROR(INDEX(Invoices!$E$5:$E$404,MATCH(D139,Invoices!$A$5:$A$404,0)),""))</f>
        <v>0</v>
      </c>
      <c r="N139" s="21">
        <f>IF(B139="","",IF(G139="",0,G139)-IF(H139="",0,H139))</f>
        <v>0</v>
      </c>
      <c r="O139" s="21">
        <f>IF(D139="","",IFERROR(INDEX(Invoices!$V$5:$V$404,MATCH(D139,Invoices!$A$5:$A$404,0)),""))</f>
        <v>0</v>
      </c>
      <c r="P139" s="21">
        <f>IF(D139="","",IFERROR(INDEX(Invoices!$W$5:$W$404,MATCH(D139,Invoices!$A$5:$A$404,0)),""))</f>
        <v>0</v>
      </c>
      <c r="Q139" s="21">
        <f>IF(OR(D139="",O139=""),"",ROUND(O139-P139,2))</f>
        <v>0</v>
      </c>
      <c r="R139" s="39">
        <f>IF(B139="","",IF(D139="","Add - which invoice?",IF(OR(G139="",G139=0),"Add - how much came in?",IF(Q139&lt;-0.004,"Check - overpaid",IF(L139="No","Due - not banked yet",IF(Q139&gt;0.004,"Part paid","OK"))))))</f>
        <v>0</v>
      </c>
    </row>
    <row r="140" spans="1:18">
      <c r="A140" s="43">
        <f>IF(B140="","",PaymentPrefix&amp;TEXT(ROW()-4,"0000"))</f>
        <v>0</v>
      </c>
      <c r="C140" s="23">
        <f>IF(B140="","",TEXT(B140,"yyyy-mm"))</f>
        <v>0</v>
      </c>
      <c r="E140" s="43">
        <f>IF(D140="","",IFERROR(INDEX(Invoices!$D$5:$D$404,MATCH(D140,Invoices!$A$5:$A$404,0)),""))</f>
        <v>0</v>
      </c>
      <c r="F140" s="23">
        <f>IF(D140="","",IFERROR(INDEX(Invoices!$E$5:$E$404,MATCH(D140,Invoices!$A$5:$A$404,0)),""))</f>
        <v>0</v>
      </c>
      <c r="N140" s="21">
        <f>IF(B140="","",IF(G140="",0,G140)-IF(H140="",0,H140))</f>
        <v>0</v>
      </c>
      <c r="O140" s="21">
        <f>IF(D140="","",IFERROR(INDEX(Invoices!$V$5:$V$404,MATCH(D140,Invoices!$A$5:$A$404,0)),""))</f>
        <v>0</v>
      </c>
      <c r="P140" s="21">
        <f>IF(D140="","",IFERROR(INDEX(Invoices!$W$5:$W$404,MATCH(D140,Invoices!$A$5:$A$404,0)),""))</f>
        <v>0</v>
      </c>
      <c r="Q140" s="21">
        <f>IF(OR(D140="",O140=""),"",ROUND(O140-P140,2))</f>
        <v>0</v>
      </c>
      <c r="R140" s="39">
        <f>IF(B140="","",IF(D140="","Add - which invoice?",IF(OR(G140="",G140=0),"Add - how much came in?",IF(Q140&lt;-0.004,"Check - overpaid",IF(L140="No","Due - not banked yet",IF(Q140&gt;0.004,"Part paid","OK"))))))</f>
        <v>0</v>
      </c>
    </row>
    <row r="141" spans="1:18">
      <c r="A141" s="43">
        <f>IF(B141="","",PaymentPrefix&amp;TEXT(ROW()-4,"0000"))</f>
        <v>0</v>
      </c>
      <c r="C141" s="23">
        <f>IF(B141="","",TEXT(B141,"yyyy-mm"))</f>
        <v>0</v>
      </c>
      <c r="E141" s="43">
        <f>IF(D141="","",IFERROR(INDEX(Invoices!$D$5:$D$404,MATCH(D141,Invoices!$A$5:$A$404,0)),""))</f>
        <v>0</v>
      </c>
      <c r="F141" s="23">
        <f>IF(D141="","",IFERROR(INDEX(Invoices!$E$5:$E$404,MATCH(D141,Invoices!$A$5:$A$404,0)),""))</f>
        <v>0</v>
      </c>
      <c r="N141" s="21">
        <f>IF(B141="","",IF(G141="",0,G141)-IF(H141="",0,H141))</f>
        <v>0</v>
      </c>
      <c r="O141" s="21">
        <f>IF(D141="","",IFERROR(INDEX(Invoices!$V$5:$V$404,MATCH(D141,Invoices!$A$5:$A$404,0)),""))</f>
        <v>0</v>
      </c>
      <c r="P141" s="21">
        <f>IF(D141="","",IFERROR(INDEX(Invoices!$W$5:$W$404,MATCH(D141,Invoices!$A$5:$A$404,0)),""))</f>
        <v>0</v>
      </c>
      <c r="Q141" s="21">
        <f>IF(OR(D141="",O141=""),"",ROUND(O141-P141,2))</f>
        <v>0</v>
      </c>
      <c r="R141" s="39">
        <f>IF(B141="","",IF(D141="","Add - which invoice?",IF(OR(G141="",G141=0),"Add - how much came in?",IF(Q141&lt;-0.004,"Check - overpaid",IF(L141="No","Due - not banked yet",IF(Q141&gt;0.004,"Part paid","OK"))))))</f>
        <v>0</v>
      </c>
    </row>
    <row r="142" spans="1:18">
      <c r="A142" s="43">
        <f>IF(B142="","",PaymentPrefix&amp;TEXT(ROW()-4,"0000"))</f>
        <v>0</v>
      </c>
      <c r="C142" s="23">
        <f>IF(B142="","",TEXT(B142,"yyyy-mm"))</f>
        <v>0</v>
      </c>
      <c r="E142" s="43">
        <f>IF(D142="","",IFERROR(INDEX(Invoices!$D$5:$D$404,MATCH(D142,Invoices!$A$5:$A$404,0)),""))</f>
        <v>0</v>
      </c>
      <c r="F142" s="23">
        <f>IF(D142="","",IFERROR(INDEX(Invoices!$E$5:$E$404,MATCH(D142,Invoices!$A$5:$A$404,0)),""))</f>
        <v>0</v>
      </c>
      <c r="N142" s="21">
        <f>IF(B142="","",IF(G142="",0,G142)-IF(H142="",0,H142))</f>
        <v>0</v>
      </c>
      <c r="O142" s="21">
        <f>IF(D142="","",IFERROR(INDEX(Invoices!$V$5:$V$404,MATCH(D142,Invoices!$A$5:$A$404,0)),""))</f>
        <v>0</v>
      </c>
      <c r="P142" s="21">
        <f>IF(D142="","",IFERROR(INDEX(Invoices!$W$5:$W$404,MATCH(D142,Invoices!$A$5:$A$404,0)),""))</f>
        <v>0</v>
      </c>
      <c r="Q142" s="21">
        <f>IF(OR(D142="",O142=""),"",ROUND(O142-P142,2))</f>
        <v>0</v>
      </c>
      <c r="R142" s="39">
        <f>IF(B142="","",IF(D142="","Add - which invoice?",IF(OR(G142="",G142=0),"Add - how much came in?",IF(Q142&lt;-0.004,"Check - overpaid",IF(L142="No","Due - not banked yet",IF(Q142&gt;0.004,"Part paid","OK"))))))</f>
        <v>0</v>
      </c>
    </row>
    <row r="143" spans="1:18">
      <c r="A143" s="43">
        <f>IF(B143="","",PaymentPrefix&amp;TEXT(ROW()-4,"0000"))</f>
        <v>0</v>
      </c>
      <c r="C143" s="23">
        <f>IF(B143="","",TEXT(B143,"yyyy-mm"))</f>
        <v>0</v>
      </c>
      <c r="E143" s="43">
        <f>IF(D143="","",IFERROR(INDEX(Invoices!$D$5:$D$404,MATCH(D143,Invoices!$A$5:$A$404,0)),""))</f>
        <v>0</v>
      </c>
      <c r="F143" s="23">
        <f>IF(D143="","",IFERROR(INDEX(Invoices!$E$5:$E$404,MATCH(D143,Invoices!$A$5:$A$404,0)),""))</f>
        <v>0</v>
      </c>
      <c r="N143" s="21">
        <f>IF(B143="","",IF(G143="",0,G143)-IF(H143="",0,H143))</f>
        <v>0</v>
      </c>
      <c r="O143" s="21">
        <f>IF(D143="","",IFERROR(INDEX(Invoices!$V$5:$V$404,MATCH(D143,Invoices!$A$5:$A$404,0)),""))</f>
        <v>0</v>
      </c>
      <c r="P143" s="21">
        <f>IF(D143="","",IFERROR(INDEX(Invoices!$W$5:$W$404,MATCH(D143,Invoices!$A$5:$A$404,0)),""))</f>
        <v>0</v>
      </c>
      <c r="Q143" s="21">
        <f>IF(OR(D143="",O143=""),"",ROUND(O143-P143,2))</f>
        <v>0</v>
      </c>
      <c r="R143" s="39">
        <f>IF(B143="","",IF(D143="","Add - which invoice?",IF(OR(G143="",G143=0),"Add - how much came in?",IF(Q143&lt;-0.004,"Check - overpaid",IF(L143="No","Due - not banked yet",IF(Q143&gt;0.004,"Part paid","OK"))))))</f>
        <v>0</v>
      </c>
    </row>
    <row r="144" spans="1:18">
      <c r="A144" s="43">
        <f>IF(B144="","",PaymentPrefix&amp;TEXT(ROW()-4,"0000"))</f>
        <v>0</v>
      </c>
      <c r="C144" s="23">
        <f>IF(B144="","",TEXT(B144,"yyyy-mm"))</f>
        <v>0</v>
      </c>
      <c r="E144" s="43">
        <f>IF(D144="","",IFERROR(INDEX(Invoices!$D$5:$D$404,MATCH(D144,Invoices!$A$5:$A$404,0)),""))</f>
        <v>0</v>
      </c>
      <c r="F144" s="23">
        <f>IF(D144="","",IFERROR(INDEX(Invoices!$E$5:$E$404,MATCH(D144,Invoices!$A$5:$A$404,0)),""))</f>
        <v>0</v>
      </c>
      <c r="N144" s="21">
        <f>IF(B144="","",IF(G144="",0,G144)-IF(H144="",0,H144))</f>
        <v>0</v>
      </c>
      <c r="O144" s="21">
        <f>IF(D144="","",IFERROR(INDEX(Invoices!$V$5:$V$404,MATCH(D144,Invoices!$A$5:$A$404,0)),""))</f>
        <v>0</v>
      </c>
      <c r="P144" s="21">
        <f>IF(D144="","",IFERROR(INDEX(Invoices!$W$5:$W$404,MATCH(D144,Invoices!$A$5:$A$404,0)),""))</f>
        <v>0</v>
      </c>
      <c r="Q144" s="21">
        <f>IF(OR(D144="",O144=""),"",ROUND(O144-P144,2))</f>
        <v>0</v>
      </c>
      <c r="R144" s="39">
        <f>IF(B144="","",IF(D144="","Add - which invoice?",IF(OR(G144="",G144=0),"Add - how much came in?",IF(Q144&lt;-0.004,"Check - overpaid",IF(L144="No","Due - not banked yet",IF(Q144&gt;0.004,"Part paid","OK"))))))</f>
        <v>0</v>
      </c>
    </row>
    <row r="145" spans="1:18">
      <c r="A145" s="43">
        <f>IF(B145="","",PaymentPrefix&amp;TEXT(ROW()-4,"0000"))</f>
        <v>0</v>
      </c>
      <c r="C145" s="23">
        <f>IF(B145="","",TEXT(B145,"yyyy-mm"))</f>
        <v>0</v>
      </c>
      <c r="E145" s="43">
        <f>IF(D145="","",IFERROR(INDEX(Invoices!$D$5:$D$404,MATCH(D145,Invoices!$A$5:$A$404,0)),""))</f>
        <v>0</v>
      </c>
      <c r="F145" s="23">
        <f>IF(D145="","",IFERROR(INDEX(Invoices!$E$5:$E$404,MATCH(D145,Invoices!$A$5:$A$404,0)),""))</f>
        <v>0</v>
      </c>
      <c r="N145" s="21">
        <f>IF(B145="","",IF(G145="",0,G145)-IF(H145="",0,H145))</f>
        <v>0</v>
      </c>
      <c r="O145" s="21">
        <f>IF(D145="","",IFERROR(INDEX(Invoices!$V$5:$V$404,MATCH(D145,Invoices!$A$5:$A$404,0)),""))</f>
        <v>0</v>
      </c>
      <c r="P145" s="21">
        <f>IF(D145="","",IFERROR(INDEX(Invoices!$W$5:$W$404,MATCH(D145,Invoices!$A$5:$A$404,0)),""))</f>
        <v>0</v>
      </c>
      <c r="Q145" s="21">
        <f>IF(OR(D145="",O145=""),"",ROUND(O145-P145,2))</f>
        <v>0</v>
      </c>
      <c r="R145" s="39">
        <f>IF(B145="","",IF(D145="","Add - which invoice?",IF(OR(G145="",G145=0),"Add - how much came in?",IF(Q145&lt;-0.004,"Check - overpaid",IF(L145="No","Due - not banked yet",IF(Q145&gt;0.004,"Part paid","OK"))))))</f>
        <v>0</v>
      </c>
    </row>
    <row r="146" spans="1:18">
      <c r="A146" s="43">
        <f>IF(B146="","",PaymentPrefix&amp;TEXT(ROW()-4,"0000"))</f>
        <v>0</v>
      </c>
      <c r="C146" s="23">
        <f>IF(B146="","",TEXT(B146,"yyyy-mm"))</f>
        <v>0</v>
      </c>
      <c r="E146" s="43">
        <f>IF(D146="","",IFERROR(INDEX(Invoices!$D$5:$D$404,MATCH(D146,Invoices!$A$5:$A$404,0)),""))</f>
        <v>0</v>
      </c>
      <c r="F146" s="23">
        <f>IF(D146="","",IFERROR(INDEX(Invoices!$E$5:$E$404,MATCH(D146,Invoices!$A$5:$A$404,0)),""))</f>
        <v>0</v>
      </c>
      <c r="N146" s="21">
        <f>IF(B146="","",IF(G146="",0,G146)-IF(H146="",0,H146))</f>
        <v>0</v>
      </c>
      <c r="O146" s="21">
        <f>IF(D146="","",IFERROR(INDEX(Invoices!$V$5:$V$404,MATCH(D146,Invoices!$A$5:$A$404,0)),""))</f>
        <v>0</v>
      </c>
      <c r="P146" s="21">
        <f>IF(D146="","",IFERROR(INDEX(Invoices!$W$5:$W$404,MATCH(D146,Invoices!$A$5:$A$404,0)),""))</f>
        <v>0</v>
      </c>
      <c r="Q146" s="21">
        <f>IF(OR(D146="",O146=""),"",ROUND(O146-P146,2))</f>
        <v>0</v>
      </c>
      <c r="R146" s="39">
        <f>IF(B146="","",IF(D146="","Add - which invoice?",IF(OR(G146="",G146=0),"Add - how much came in?",IF(Q146&lt;-0.004,"Check - overpaid",IF(L146="No","Due - not banked yet",IF(Q146&gt;0.004,"Part paid","OK"))))))</f>
        <v>0</v>
      </c>
    </row>
    <row r="147" spans="1:18">
      <c r="A147" s="43">
        <f>IF(B147="","",PaymentPrefix&amp;TEXT(ROW()-4,"0000"))</f>
        <v>0</v>
      </c>
      <c r="C147" s="23">
        <f>IF(B147="","",TEXT(B147,"yyyy-mm"))</f>
        <v>0</v>
      </c>
      <c r="E147" s="43">
        <f>IF(D147="","",IFERROR(INDEX(Invoices!$D$5:$D$404,MATCH(D147,Invoices!$A$5:$A$404,0)),""))</f>
        <v>0</v>
      </c>
      <c r="F147" s="23">
        <f>IF(D147="","",IFERROR(INDEX(Invoices!$E$5:$E$404,MATCH(D147,Invoices!$A$5:$A$404,0)),""))</f>
        <v>0</v>
      </c>
      <c r="N147" s="21">
        <f>IF(B147="","",IF(G147="",0,G147)-IF(H147="",0,H147))</f>
        <v>0</v>
      </c>
      <c r="O147" s="21">
        <f>IF(D147="","",IFERROR(INDEX(Invoices!$V$5:$V$404,MATCH(D147,Invoices!$A$5:$A$404,0)),""))</f>
        <v>0</v>
      </c>
      <c r="P147" s="21">
        <f>IF(D147="","",IFERROR(INDEX(Invoices!$W$5:$W$404,MATCH(D147,Invoices!$A$5:$A$404,0)),""))</f>
        <v>0</v>
      </c>
      <c r="Q147" s="21">
        <f>IF(OR(D147="",O147=""),"",ROUND(O147-P147,2))</f>
        <v>0</v>
      </c>
      <c r="R147" s="39">
        <f>IF(B147="","",IF(D147="","Add - which invoice?",IF(OR(G147="",G147=0),"Add - how much came in?",IF(Q147&lt;-0.004,"Check - overpaid",IF(L147="No","Due - not banked yet",IF(Q147&gt;0.004,"Part paid","OK"))))))</f>
        <v>0</v>
      </c>
    </row>
    <row r="148" spans="1:18">
      <c r="A148" s="43">
        <f>IF(B148="","",PaymentPrefix&amp;TEXT(ROW()-4,"0000"))</f>
        <v>0</v>
      </c>
      <c r="C148" s="23">
        <f>IF(B148="","",TEXT(B148,"yyyy-mm"))</f>
        <v>0</v>
      </c>
      <c r="E148" s="43">
        <f>IF(D148="","",IFERROR(INDEX(Invoices!$D$5:$D$404,MATCH(D148,Invoices!$A$5:$A$404,0)),""))</f>
        <v>0</v>
      </c>
      <c r="F148" s="23">
        <f>IF(D148="","",IFERROR(INDEX(Invoices!$E$5:$E$404,MATCH(D148,Invoices!$A$5:$A$404,0)),""))</f>
        <v>0</v>
      </c>
      <c r="N148" s="21">
        <f>IF(B148="","",IF(G148="",0,G148)-IF(H148="",0,H148))</f>
        <v>0</v>
      </c>
      <c r="O148" s="21">
        <f>IF(D148="","",IFERROR(INDEX(Invoices!$V$5:$V$404,MATCH(D148,Invoices!$A$5:$A$404,0)),""))</f>
        <v>0</v>
      </c>
      <c r="P148" s="21">
        <f>IF(D148="","",IFERROR(INDEX(Invoices!$W$5:$W$404,MATCH(D148,Invoices!$A$5:$A$404,0)),""))</f>
        <v>0</v>
      </c>
      <c r="Q148" s="21">
        <f>IF(OR(D148="",O148=""),"",ROUND(O148-P148,2))</f>
        <v>0</v>
      </c>
      <c r="R148" s="39">
        <f>IF(B148="","",IF(D148="","Add - which invoice?",IF(OR(G148="",G148=0),"Add - how much came in?",IF(Q148&lt;-0.004,"Check - overpaid",IF(L148="No","Due - not banked yet",IF(Q148&gt;0.004,"Part paid","OK"))))))</f>
        <v>0</v>
      </c>
    </row>
    <row r="149" spans="1:18">
      <c r="A149" s="43">
        <f>IF(B149="","",PaymentPrefix&amp;TEXT(ROW()-4,"0000"))</f>
        <v>0</v>
      </c>
      <c r="C149" s="23">
        <f>IF(B149="","",TEXT(B149,"yyyy-mm"))</f>
        <v>0</v>
      </c>
      <c r="E149" s="43">
        <f>IF(D149="","",IFERROR(INDEX(Invoices!$D$5:$D$404,MATCH(D149,Invoices!$A$5:$A$404,0)),""))</f>
        <v>0</v>
      </c>
      <c r="F149" s="23">
        <f>IF(D149="","",IFERROR(INDEX(Invoices!$E$5:$E$404,MATCH(D149,Invoices!$A$5:$A$404,0)),""))</f>
        <v>0</v>
      </c>
      <c r="N149" s="21">
        <f>IF(B149="","",IF(G149="",0,G149)-IF(H149="",0,H149))</f>
        <v>0</v>
      </c>
      <c r="O149" s="21">
        <f>IF(D149="","",IFERROR(INDEX(Invoices!$V$5:$V$404,MATCH(D149,Invoices!$A$5:$A$404,0)),""))</f>
        <v>0</v>
      </c>
      <c r="P149" s="21">
        <f>IF(D149="","",IFERROR(INDEX(Invoices!$W$5:$W$404,MATCH(D149,Invoices!$A$5:$A$404,0)),""))</f>
        <v>0</v>
      </c>
      <c r="Q149" s="21">
        <f>IF(OR(D149="",O149=""),"",ROUND(O149-P149,2))</f>
        <v>0</v>
      </c>
      <c r="R149" s="39">
        <f>IF(B149="","",IF(D149="","Add - which invoice?",IF(OR(G149="",G149=0),"Add - how much came in?",IF(Q149&lt;-0.004,"Check - overpaid",IF(L149="No","Due - not banked yet",IF(Q149&gt;0.004,"Part paid","OK"))))))</f>
        <v>0</v>
      </c>
    </row>
    <row r="150" spans="1:18">
      <c r="A150" s="43">
        <f>IF(B150="","",PaymentPrefix&amp;TEXT(ROW()-4,"0000"))</f>
        <v>0</v>
      </c>
      <c r="C150" s="23">
        <f>IF(B150="","",TEXT(B150,"yyyy-mm"))</f>
        <v>0</v>
      </c>
      <c r="E150" s="43">
        <f>IF(D150="","",IFERROR(INDEX(Invoices!$D$5:$D$404,MATCH(D150,Invoices!$A$5:$A$404,0)),""))</f>
        <v>0</v>
      </c>
      <c r="F150" s="23">
        <f>IF(D150="","",IFERROR(INDEX(Invoices!$E$5:$E$404,MATCH(D150,Invoices!$A$5:$A$404,0)),""))</f>
        <v>0</v>
      </c>
      <c r="N150" s="21">
        <f>IF(B150="","",IF(G150="",0,G150)-IF(H150="",0,H150))</f>
        <v>0</v>
      </c>
      <c r="O150" s="21">
        <f>IF(D150="","",IFERROR(INDEX(Invoices!$V$5:$V$404,MATCH(D150,Invoices!$A$5:$A$404,0)),""))</f>
        <v>0</v>
      </c>
      <c r="P150" s="21">
        <f>IF(D150="","",IFERROR(INDEX(Invoices!$W$5:$W$404,MATCH(D150,Invoices!$A$5:$A$404,0)),""))</f>
        <v>0</v>
      </c>
      <c r="Q150" s="21">
        <f>IF(OR(D150="",O150=""),"",ROUND(O150-P150,2))</f>
        <v>0</v>
      </c>
      <c r="R150" s="39">
        <f>IF(B150="","",IF(D150="","Add - which invoice?",IF(OR(G150="",G150=0),"Add - how much came in?",IF(Q150&lt;-0.004,"Check - overpaid",IF(L150="No","Due - not banked yet",IF(Q150&gt;0.004,"Part paid","OK"))))))</f>
        <v>0</v>
      </c>
    </row>
    <row r="151" spans="1:18">
      <c r="A151" s="43">
        <f>IF(B151="","",PaymentPrefix&amp;TEXT(ROW()-4,"0000"))</f>
        <v>0</v>
      </c>
      <c r="C151" s="23">
        <f>IF(B151="","",TEXT(B151,"yyyy-mm"))</f>
        <v>0</v>
      </c>
      <c r="E151" s="43">
        <f>IF(D151="","",IFERROR(INDEX(Invoices!$D$5:$D$404,MATCH(D151,Invoices!$A$5:$A$404,0)),""))</f>
        <v>0</v>
      </c>
      <c r="F151" s="23">
        <f>IF(D151="","",IFERROR(INDEX(Invoices!$E$5:$E$404,MATCH(D151,Invoices!$A$5:$A$404,0)),""))</f>
        <v>0</v>
      </c>
      <c r="N151" s="21">
        <f>IF(B151="","",IF(G151="",0,G151)-IF(H151="",0,H151))</f>
        <v>0</v>
      </c>
      <c r="O151" s="21">
        <f>IF(D151="","",IFERROR(INDEX(Invoices!$V$5:$V$404,MATCH(D151,Invoices!$A$5:$A$404,0)),""))</f>
        <v>0</v>
      </c>
      <c r="P151" s="21">
        <f>IF(D151="","",IFERROR(INDEX(Invoices!$W$5:$W$404,MATCH(D151,Invoices!$A$5:$A$404,0)),""))</f>
        <v>0</v>
      </c>
      <c r="Q151" s="21">
        <f>IF(OR(D151="",O151=""),"",ROUND(O151-P151,2))</f>
        <v>0</v>
      </c>
      <c r="R151" s="39">
        <f>IF(B151="","",IF(D151="","Add - which invoice?",IF(OR(G151="",G151=0),"Add - how much came in?",IF(Q151&lt;-0.004,"Check - overpaid",IF(L151="No","Due - not banked yet",IF(Q151&gt;0.004,"Part paid","OK"))))))</f>
        <v>0</v>
      </c>
    </row>
    <row r="152" spans="1:18">
      <c r="A152" s="43">
        <f>IF(B152="","",PaymentPrefix&amp;TEXT(ROW()-4,"0000"))</f>
        <v>0</v>
      </c>
      <c r="C152" s="23">
        <f>IF(B152="","",TEXT(B152,"yyyy-mm"))</f>
        <v>0</v>
      </c>
      <c r="E152" s="43">
        <f>IF(D152="","",IFERROR(INDEX(Invoices!$D$5:$D$404,MATCH(D152,Invoices!$A$5:$A$404,0)),""))</f>
        <v>0</v>
      </c>
      <c r="F152" s="23">
        <f>IF(D152="","",IFERROR(INDEX(Invoices!$E$5:$E$404,MATCH(D152,Invoices!$A$5:$A$404,0)),""))</f>
        <v>0</v>
      </c>
      <c r="N152" s="21">
        <f>IF(B152="","",IF(G152="",0,G152)-IF(H152="",0,H152))</f>
        <v>0</v>
      </c>
      <c r="O152" s="21">
        <f>IF(D152="","",IFERROR(INDEX(Invoices!$V$5:$V$404,MATCH(D152,Invoices!$A$5:$A$404,0)),""))</f>
        <v>0</v>
      </c>
      <c r="P152" s="21">
        <f>IF(D152="","",IFERROR(INDEX(Invoices!$W$5:$W$404,MATCH(D152,Invoices!$A$5:$A$404,0)),""))</f>
        <v>0</v>
      </c>
      <c r="Q152" s="21">
        <f>IF(OR(D152="",O152=""),"",ROUND(O152-P152,2))</f>
        <v>0</v>
      </c>
      <c r="R152" s="39">
        <f>IF(B152="","",IF(D152="","Add - which invoice?",IF(OR(G152="",G152=0),"Add - how much came in?",IF(Q152&lt;-0.004,"Check - overpaid",IF(L152="No","Due - not banked yet",IF(Q152&gt;0.004,"Part paid","OK"))))))</f>
        <v>0</v>
      </c>
    </row>
    <row r="153" spans="1:18">
      <c r="A153" s="43">
        <f>IF(B153="","",PaymentPrefix&amp;TEXT(ROW()-4,"0000"))</f>
        <v>0</v>
      </c>
      <c r="C153" s="23">
        <f>IF(B153="","",TEXT(B153,"yyyy-mm"))</f>
        <v>0</v>
      </c>
      <c r="E153" s="43">
        <f>IF(D153="","",IFERROR(INDEX(Invoices!$D$5:$D$404,MATCH(D153,Invoices!$A$5:$A$404,0)),""))</f>
        <v>0</v>
      </c>
      <c r="F153" s="23">
        <f>IF(D153="","",IFERROR(INDEX(Invoices!$E$5:$E$404,MATCH(D153,Invoices!$A$5:$A$404,0)),""))</f>
        <v>0</v>
      </c>
      <c r="N153" s="21">
        <f>IF(B153="","",IF(G153="",0,G153)-IF(H153="",0,H153))</f>
        <v>0</v>
      </c>
      <c r="O153" s="21">
        <f>IF(D153="","",IFERROR(INDEX(Invoices!$V$5:$V$404,MATCH(D153,Invoices!$A$5:$A$404,0)),""))</f>
        <v>0</v>
      </c>
      <c r="P153" s="21">
        <f>IF(D153="","",IFERROR(INDEX(Invoices!$W$5:$W$404,MATCH(D153,Invoices!$A$5:$A$404,0)),""))</f>
        <v>0</v>
      </c>
      <c r="Q153" s="21">
        <f>IF(OR(D153="",O153=""),"",ROUND(O153-P153,2))</f>
        <v>0</v>
      </c>
      <c r="R153" s="39">
        <f>IF(B153="","",IF(D153="","Add - which invoice?",IF(OR(G153="",G153=0),"Add - how much came in?",IF(Q153&lt;-0.004,"Check - overpaid",IF(L153="No","Due - not banked yet",IF(Q153&gt;0.004,"Part paid","OK"))))))</f>
        <v>0</v>
      </c>
    </row>
    <row r="154" spans="1:18">
      <c r="A154" s="43">
        <f>IF(B154="","",PaymentPrefix&amp;TEXT(ROW()-4,"0000"))</f>
        <v>0</v>
      </c>
      <c r="C154" s="23">
        <f>IF(B154="","",TEXT(B154,"yyyy-mm"))</f>
        <v>0</v>
      </c>
      <c r="E154" s="43">
        <f>IF(D154="","",IFERROR(INDEX(Invoices!$D$5:$D$404,MATCH(D154,Invoices!$A$5:$A$404,0)),""))</f>
        <v>0</v>
      </c>
      <c r="F154" s="23">
        <f>IF(D154="","",IFERROR(INDEX(Invoices!$E$5:$E$404,MATCH(D154,Invoices!$A$5:$A$404,0)),""))</f>
        <v>0</v>
      </c>
      <c r="N154" s="21">
        <f>IF(B154="","",IF(G154="",0,G154)-IF(H154="",0,H154))</f>
        <v>0</v>
      </c>
      <c r="O154" s="21">
        <f>IF(D154="","",IFERROR(INDEX(Invoices!$V$5:$V$404,MATCH(D154,Invoices!$A$5:$A$404,0)),""))</f>
        <v>0</v>
      </c>
      <c r="P154" s="21">
        <f>IF(D154="","",IFERROR(INDEX(Invoices!$W$5:$W$404,MATCH(D154,Invoices!$A$5:$A$404,0)),""))</f>
        <v>0</v>
      </c>
      <c r="Q154" s="21">
        <f>IF(OR(D154="",O154=""),"",ROUND(O154-P154,2))</f>
        <v>0</v>
      </c>
      <c r="R154" s="39">
        <f>IF(B154="","",IF(D154="","Add - which invoice?",IF(OR(G154="",G154=0),"Add - how much came in?",IF(Q154&lt;-0.004,"Check - overpaid",IF(L154="No","Due - not banked yet",IF(Q154&gt;0.004,"Part paid","OK"))))))</f>
        <v>0</v>
      </c>
    </row>
    <row r="155" spans="1:18">
      <c r="A155" s="43">
        <f>IF(B155="","",PaymentPrefix&amp;TEXT(ROW()-4,"0000"))</f>
        <v>0</v>
      </c>
      <c r="C155" s="23">
        <f>IF(B155="","",TEXT(B155,"yyyy-mm"))</f>
        <v>0</v>
      </c>
      <c r="E155" s="43">
        <f>IF(D155="","",IFERROR(INDEX(Invoices!$D$5:$D$404,MATCH(D155,Invoices!$A$5:$A$404,0)),""))</f>
        <v>0</v>
      </c>
      <c r="F155" s="23">
        <f>IF(D155="","",IFERROR(INDEX(Invoices!$E$5:$E$404,MATCH(D155,Invoices!$A$5:$A$404,0)),""))</f>
        <v>0</v>
      </c>
      <c r="N155" s="21">
        <f>IF(B155="","",IF(G155="",0,G155)-IF(H155="",0,H155))</f>
        <v>0</v>
      </c>
      <c r="O155" s="21">
        <f>IF(D155="","",IFERROR(INDEX(Invoices!$V$5:$V$404,MATCH(D155,Invoices!$A$5:$A$404,0)),""))</f>
        <v>0</v>
      </c>
      <c r="P155" s="21">
        <f>IF(D155="","",IFERROR(INDEX(Invoices!$W$5:$W$404,MATCH(D155,Invoices!$A$5:$A$404,0)),""))</f>
        <v>0</v>
      </c>
      <c r="Q155" s="21">
        <f>IF(OR(D155="",O155=""),"",ROUND(O155-P155,2))</f>
        <v>0</v>
      </c>
      <c r="R155" s="39">
        <f>IF(B155="","",IF(D155="","Add - which invoice?",IF(OR(G155="",G155=0),"Add - how much came in?",IF(Q155&lt;-0.004,"Check - overpaid",IF(L155="No","Due - not banked yet",IF(Q155&gt;0.004,"Part paid","OK"))))))</f>
        <v>0</v>
      </c>
    </row>
    <row r="156" spans="1:18">
      <c r="A156" s="43">
        <f>IF(B156="","",PaymentPrefix&amp;TEXT(ROW()-4,"0000"))</f>
        <v>0</v>
      </c>
      <c r="C156" s="23">
        <f>IF(B156="","",TEXT(B156,"yyyy-mm"))</f>
        <v>0</v>
      </c>
      <c r="E156" s="43">
        <f>IF(D156="","",IFERROR(INDEX(Invoices!$D$5:$D$404,MATCH(D156,Invoices!$A$5:$A$404,0)),""))</f>
        <v>0</v>
      </c>
      <c r="F156" s="23">
        <f>IF(D156="","",IFERROR(INDEX(Invoices!$E$5:$E$404,MATCH(D156,Invoices!$A$5:$A$404,0)),""))</f>
        <v>0</v>
      </c>
      <c r="N156" s="21">
        <f>IF(B156="","",IF(G156="",0,G156)-IF(H156="",0,H156))</f>
        <v>0</v>
      </c>
      <c r="O156" s="21">
        <f>IF(D156="","",IFERROR(INDEX(Invoices!$V$5:$V$404,MATCH(D156,Invoices!$A$5:$A$404,0)),""))</f>
        <v>0</v>
      </c>
      <c r="P156" s="21">
        <f>IF(D156="","",IFERROR(INDEX(Invoices!$W$5:$W$404,MATCH(D156,Invoices!$A$5:$A$404,0)),""))</f>
        <v>0</v>
      </c>
      <c r="Q156" s="21">
        <f>IF(OR(D156="",O156=""),"",ROUND(O156-P156,2))</f>
        <v>0</v>
      </c>
      <c r="R156" s="39">
        <f>IF(B156="","",IF(D156="","Add - which invoice?",IF(OR(G156="",G156=0),"Add - how much came in?",IF(Q156&lt;-0.004,"Check - overpaid",IF(L156="No","Due - not banked yet",IF(Q156&gt;0.004,"Part paid","OK"))))))</f>
        <v>0</v>
      </c>
    </row>
    <row r="157" spans="1:18">
      <c r="A157" s="43">
        <f>IF(B157="","",PaymentPrefix&amp;TEXT(ROW()-4,"0000"))</f>
        <v>0</v>
      </c>
      <c r="C157" s="23">
        <f>IF(B157="","",TEXT(B157,"yyyy-mm"))</f>
        <v>0</v>
      </c>
      <c r="E157" s="43">
        <f>IF(D157="","",IFERROR(INDEX(Invoices!$D$5:$D$404,MATCH(D157,Invoices!$A$5:$A$404,0)),""))</f>
        <v>0</v>
      </c>
      <c r="F157" s="23">
        <f>IF(D157="","",IFERROR(INDEX(Invoices!$E$5:$E$404,MATCH(D157,Invoices!$A$5:$A$404,0)),""))</f>
        <v>0</v>
      </c>
      <c r="N157" s="21">
        <f>IF(B157="","",IF(G157="",0,G157)-IF(H157="",0,H157))</f>
        <v>0</v>
      </c>
      <c r="O157" s="21">
        <f>IF(D157="","",IFERROR(INDEX(Invoices!$V$5:$V$404,MATCH(D157,Invoices!$A$5:$A$404,0)),""))</f>
        <v>0</v>
      </c>
      <c r="P157" s="21">
        <f>IF(D157="","",IFERROR(INDEX(Invoices!$W$5:$W$404,MATCH(D157,Invoices!$A$5:$A$404,0)),""))</f>
        <v>0</v>
      </c>
      <c r="Q157" s="21">
        <f>IF(OR(D157="",O157=""),"",ROUND(O157-P157,2))</f>
        <v>0</v>
      </c>
      <c r="R157" s="39">
        <f>IF(B157="","",IF(D157="","Add - which invoice?",IF(OR(G157="",G157=0),"Add - how much came in?",IF(Q157&lt;-0.004,"Check - overpaid",IF(L157="No","Due - not banked yet",IF(Q157&gt;0.004,"Part paid","OK"))))))</f>
        <v>0</v>
      </c>
    </row>
    <row r="158" spans="1:18">
      <c r="A158" s="43">
        <f>IF(B158="","",PaymentPrefix&amp;TEXT(ROW()-4,"0000"))</f>
        <v>0</v>
      </c>
      <c r="C158" s="23">
        <f>IF(B158="","",TEXT(B158,"yyyy-mm"))</f>
        <v>0</v>
      </c>
      <c r="E158" s="43">
        <f>IF(D158="","",IFERROR(INDEX(Invoices!$D$5:$D$404,MATCH(D158,Invoices!$A$5:$A$404,0)),""))</f>
        <v>0</v>
      </c>
      <c r="F158" s="23">
        <f>IF(D158="","",IFERROR(INDEX(Invoices!$E$5:$E$404,MATCH(D158,Invoices!$A$5:$A$404,0)),""))</f>
        <v>0</v>
      </c>
      <c r="N158" s="21">
        <f>IF(B158="","",IF(G158="",0,G158)-IF(H158="",0,H158))</f>
        <v>0</v>
      </c>
      <c r="O158" s="21">
        <f>IF(D158="","",IFERROR(INDEX(Invoices!$V$5:$V$404,MATCH(D158,Invoices!$A$5:$A$404,0)),""))</f>
        <v>0</v>
      </c>
      <c r="P158" s="21">
        <f>IF(D158="","",IFERROR(INDEX(Invoices!$W$5:$W$404,MATCH(D158,Invoices!$A$5:$A$404,0)),""))</f>
        <v>0</v>
      </c>
      <c r="Q158" s="21">
        <f>IF(OR(D158="",O158=""),"",ROUND(O158-P158,2))</f>
        <v>0</v>
      </c>
      <c r="R158" s="39">
        <f>IF(B158="","",IF(D158="","Add - which invoice?",IF(OR(G158="",G158=0),"Add - how much came in?",IF(Q158&lt;-0.004,"Check - overpaid",IF(L158="No","Due - not banked yet",IF(Q158&gt;0.004,"Part paid","OK"))))))</f>
        <v>0</v>
      </c>
    </row>
    <row r="159" spans="1:18">
      <c r="A159" s="43">
        <f>IF(B159="","",PaymentPrefix&amp;TEXT(ROW()-4,"0000"))</f>
        <v>0</v>
      </c>
      <c r="C159" s="23">
        <f>IF(B159="","",TEXT(B159,"yyyy-mm"))</f>
        <v>0</v>
      </c>
      <c r="E159" s="43">
        <f>IF(D159="","",IFERROR(INDEX(Invoices!$D$5:$D$404,MATCH(D159,Invoices!$A$5:$A$404,0)),""))</f>
        <v>0</v>
      </c>
      <c r="F159" s="23">
        <f>IF(D159="","",IFERROR(INDEX(Invoices!$E$5:$E$404,MATCH(D159,Invoices!$A$5:$A$404,0)),""))</f>
        <v>0</v>
      </c>
      <c r="N159" s="21">
        <f>IF(B159="","",IF(G159="",0,G159)-IF(H159="",0,H159))</f>
        <v>0</v>
      </c>
      <c r="O159" s="21">
        <f>IF(D159="","",IFERROR(INDEX(Invoices!$V$5:$V$404,MATCH(D159,Invoices!$A$5:$A$404,0)),""))</f>
        <v>0</v>
      </c>
      <c r="P159" s="21">
        <f>IF(D159="","",IFERROR(INDEX(Invoices!$W$5:$W$404,MATCH(D159,Invoices!$A$5:$A$404,0)),""))</f>
        <v>0</v>
      </c>
      <c r="Q159" s="21">
        <f>IF(OR(D159="",O159=""),"",ROUND(O159-P159,2))</f>
        <v>0</v>
      </c>
      <c r="R159" s="39">
        <f>IF(B159="","",IF(D159="","Add - which invoice?",IF(OR(G159="",G159=0),"Add - how much came in?",IF(Q159&lt;-0.004,"Check - overpaid",IF(L159="No","Due - not banked yet",IF(Q159&gt;0.004,"Part paid","OK"))))))</f>
        <v>0</v>
      </c>
    </row>
    <row r="160" spans="1:18">
      <c r="A160" s="43">
        <f>IF(B160="","",PaymentPrefix&amp;TEXT(ROW()-4,"0000"))</f>
        <v>0</v>
      </c>
      <c r="C160" s="23">
        <f>IF(B160="","",TEXT(B160,"yyyy-mm"))</f>
        <v>0</v>
      </c>
      <c r="E160" s="43">
        <f>IF(D160="","",IFERROR(INDEX(Invoices!$D$5:$D$404,MATCH(D160,Invoices!$A$5:$A$404,0)),""))</f>
        <v>0</v>
      </c>
      <c r="F160" s="23">
        <f>IF(D160="","",IFERROR(INDEX(Invoices!$E$5:$E$404,MATCH(D160,Invoices!$A$5:$A$404,0)),""))</f>
        <v>0</v>
      </c>
      <c r="N160" s="21">
        <f>IF(B160="","",IF(G160="",0,G160)-IF(H160="",0,H160))</f>
        <v>0</v>
      </c>
      <c r="O160" s="21">
        <f>IF(D160="","",IFERROR(INDEX(Invoices!$V$5:$V$404,MATCH(D160,Invoices!$A$5:$A$404,0)),""))</f>
        <v>0</v>
      </c>
      <c r="P160" s="21">
        <f>IF(D160="","",IFERROR(INDEX(Invoices!$W$5:$W$404,MATCH(D160,Invoices!$A$5:$A$404,0)),""))</f>
        <v>0</v>
      </c>
      <c r="Q160" s="21">
        <f>IF(OR(D160="",O160=""),"",ROUND(O160-P160,2))</f>
        <v>0</v>
      </c>
      <c r="R160" s="39">
        <f>IF(B160="","",IF(D160="","Add - which invoice?",IF(OR(G160="",G160=0),"Add - how much came in?",IF(Q160&lt;-0.004,"Check - overpaid",IF(L160="No","Due - not banked yet",IF(Q160&gt;0.004,"Part paid","OK"))))))</f>
        <v>0</v>
      </c>
    </row>
    <row r="161" spans="1:18">
      <c r="A161" s="43">
        <f>IF(B161="","",PaymentPrefix&amp;TEXT(ROW()-4,"0000"))</f>
        <v>0</v>
      </c>
      <c r="C161" s="23">
        <f>IF(B161="","",TEXT(B161,"yyyy-mm"))</f>
        <v>0</v>
      </c>
      <c r="E161" s="43">
        <f>IF(D161="","",IFERROR(INDEX(Invoices!$D$5:$D$404,MATCH(D161,Invoices!$A$5:$A$404,0)),""))</f>
        <v>0</v>
      </c>
      <c r="F161" s="23">
        <f>IF(D161="","",IFERROR(INDEX(Invoices!$E$5:$E$404,MATCH(D161,Invoices!$A$5:$A$404,0)),""))</f>
        <v>0</v>
      </c>
      <c r="N161" s="21">
        <f>IF(B161="","",IF(G161="",0,G161)-IF(H161="",0,H161))</f>
        <v>0</v>
      </c>
      <c r="O161" s="21">
        <f>IF(D161="","",IFERROR(INDEX(Invoices!$V$5:$V$404,MATCH(D161,Invoices!$A$5:$A$404,0)),""))</f>
        <v>0</v>
      </c>
      <c r="P161" s="21">
        <f>IF(D161="","",IFERROR(INDEX(Invoices!$W$5:$W$404,MATCH(D161,Invoices!$A$5:$A$404,0)),""))</f>
        <v>0</v>
      </c>
      <c r="Q161" s="21">
        <f>IF(OR(D161="",O161=""),"",ROUND(O161-P161,2))</f>
        <v>0</v>
      </c>
      <c r="R161" s="39">
        <f>IF(B161="","",IF(D161="","Add - which invoice?",IF(OR(G161="",G161=0),"Add - how much came in?",IF(Q161&lt;-0.004,"Check - overpaid",IF(L161="No","Due - not banked yet",IF(Q161&gt;0.004,"Part paid","OK"))))))</f>
        <v>0</v>
      </c>
    </row>
    <row r="162" spans="1:18">
      <c r="A162" s="43">
        <f>IF(B162="","",PaymentPrefix&amp;TEXT(ROW()-4,"0000"))</f>
        <v>0</v>
      </c>
      <c r="C162" s="23">
        <f>IF(B162="","",TEXT(B162,"yyyy-mm"))</f>
        <v>0</v>
      </c>
      <c r="E162" s="43">
        <f>IF(D162="","",IFERROR(INDEX(Invoices!$D$5:$D$404,MATCH(D162,Invoices!$A$5:$A$404,0)),""))</f>
        <v>0</v>
      </c>
      <c r="F162" s="23">
        <f>IF(D162="","",IFERROR(INDEX(Invoices!$E$5:$E$404,MATCH(D162,Invoices!$A$5:$A$404,0)),""))</f>
        <v>0</v>
      </c>
      <c r="N162" s="21">
        <f>IF(B162="","",IF(G162="",0,G162)-IF(H162="",0,H162))</f>
        <v>0</v>
      </c>
      <c r="O162" s="21">
        <f>IF(D162="","",IFERROR(INDEX(Invoices!$V$5:$V$404,MATCH(D162,Invoices!$A$5:$A$404,0)),""))</f>
        <v>0</v>
      </c>
      <c r="P162" s="21">
        <f>IF(D162="","",IFERROR(INDEX(Invoices!$W$5:$W$404,MATCH(D162,Invoices!$A$5:$A$404,0)),""))</f>
        <v>0</v>
      </c>
      <c r="Q162" s="21">
        <f>IF(OR(D162="",O162=""),"",ROUND(O162-P162,2))</f>
        <v>0</v>
      </c>
      <c r="R162" s="39">
        <f>IF(B162="","",IF(D162="","Add - which invoice?",IF(OR(G162="",G162=0),"Add - how much came in?",IF(Q162&lt;-0.004,"Check - overpaid",IF(L162="No","Due - not banked yet",IF(Q162&gt;0.004,"Part paid","OK"))))))</f>
        <v>0</v>
      </c>
    </row>
    <row r="163" spans="1:18">
      <c r="A163" s="43">
        <f>IF(B163="","",PaymentPrefix&amp;TEXT(ROW()-4,"0000"))</f>
        <v>0</v>
      </c>
      <c r="C163" s="23">
        <f>IF(B163="","",TEXT(B163,"yyyy-mm"))</f>
        <v>0</v>
      </c>
      <c r="E163" s="43">
        <f>IF(D163="","",IFERROR(INDEX(Invoices!$D$5:$D$404,MATCH(D163,Invoices!$A$5:$A$404,0)),""))</f>
        <v>0</v>
      </c>
      <c r="F163" s="23">
        <f>IF(D163="","",IFERROR(INDEX(Invoices!$E$5:$E$404,MATCH(D163,Invoices!$A$5:$A$404,0)),""))</f>
        <v>0</v>
      </c>
      <c r="N163" s="21">
        <f>IF(B163="","",IF(G163="",0,G163)-IF(H163="",0,H163))</f>
        <v>0</v>
      </c>
      <c r="O163" s="21">
        <f>IF(D163="","",IFERROR(INDEX(Invoices!$V$5:$V$404,MATCH(D163,Invoices!$A$5:$A$404,0)),""))</f>
        <v>0</v>
      </c>
      <c r="P163" s="21">
        <f>IF(D163="","",IFERROR(INDEX(Invoices!$W$5:$W$404,MATCH(D163,Invoices!$A$5:$A$404,0)),""))</f>
        <v>0</v>
      </c>
      <c r="Q163" s="21">
        <f>IF(OR(D163="",O163=""),"",ROUND(O163-P163,2))</f>
        <v>0</v>
      </c>
      <c r="R163" s="39">
        <f>IF(B163="","",IF(D163="","Add - which invoice?",IF(OR(G163="",G163=0),"Add - how much came in?",IF(Q163&lt;-0.004,"Check - overpaid",IF(L163="No","Due - not banked yet",IF(Q163&gt;0.004,"Part paid","OK"))))))</f>
        <v>0</v>
      </c>
    </row>
    <row r="164" spans="1:18">
      <c r="A164" s="43">
        <f>IF(B164="","",PaymentPrefix&amp;TEXT(ROW()-4,"0000"))</f>
        <v>0</v>
      </c>
      <c r="C164" s="23">
        <f>IF(B164="","",TEXT(B164,"yyyy-mm"))</f>
        <v>0</v>
      </c>
      <c r="E164" s="43">
        <f>IF(D164="","",IFERROR(INDEX(Invoices!$D$5:$D$404,MATCH(D164,Invoices!$A$5:$A$404,0)),""))</f>
        <v>0</v>
      </c>
      <c r="F164" s="23">
        <f>IF(D164="","",IFERROR(INDEX(Invoices!$E$5:$E$404,MATCH(D164,Invoices!$A$5:$A$404,0)),""))</f>
        <v>0</v>
      </c>
      <c r="N164" s="21">
        <f>IF(B164="","",IF(G164="",0,G164)-IF(H164="",0,H164))</f>
        <v>0</v>
      </c>
      <c r="O164" s="21">
        <f>IF(D164="","",IFERROR(INDEX(Invoices!$V$5:$V$404,MATCH(D164,Invoices!$A$5:$A$404,0)),""))</f>
        <v>0</v>
      </c>
      <c r="P164" s="21">
        <f>IF(D164="","",IFERROR(INDEX(Invoices!$W$5:$W$404,MATCH(D164,Invoices!$A$5:$A$404,0)),""))</f>
        <v>0</v>
      </c>
      <c r="Q164" s="21">
        <f>IF(OR(D164="",O164=""),"",ROUND(O164-P164,2))</f>
        <v>0</v>
      </c>
      <c r="R164" s="39">
        <f>IF(B164="","",IF(D164="","Add - which invoice?",IF(OR(G164="",G164=0),"Add - how much came in?",IF(Q164&lt;-0.004,"Check - overpaid",IF(L164="No","Due - not banked yet",IF(Q164&gt;0.004,"Part paid","OK"))))))</f>
        <v>0</v>
      </c>
    </row>
    <row r="165" spans="1:18">
      <c r="A165" s="43">
        <f>IF(B165="","",PaymentPrefix&amp;TEXT(ROW()-4,"0000"))</f>
        <v>0</v>
      </c>
      <c r="C165" s="23">
        <f>IF(B165="","",TEXT(B165,"yyyy-mm"))</f>
        <v>0</v>
      </c>
      <c r="E165" s="43">
        <f>IF(D165="","",IFERROR(INDEX(Invoices!$D$5:$D$404,MATCH(D165,Invoices!$A$5:$A$404,0)),""))</f>
        <v>0</v>
      </c>
      <c r="F165" s="23">
        <f>IF(D165="","",IFERROR(INDEX(Invoices!$E$5:$E$404,MATCH(D165,Invoices!$A$5:$A$404,0)),""))</f>
        <v>0</v>
      </c>
      <c r="N165" s="21">
        <f>IF(B165="","",IF(G165="",0,G165)-IF(H165="",0,H165))</f>
        <v>0</v>
      </c>
      <c r="O165" s="21">
        <f>IF(D165="","",IFERROR(INDEX(Invoices!$V$5:$V$404,MATCH(D165,Invoices!$A$5:$A$404,0)),""))</f>
        <v>0</v>
      </c>
      <c r="P165" s="21">
        <f>IF(D165="","",IFERROR(INDEX(Invoices!$W$5:$W$404,MATCH(D165,Invoices!$A$5:$A$404,0)),""))</f>
        <v>0</v>
      </c>
      <c r="Q165" s="21">
        <f>IF(OR(D165="",O165=""),"",ROUND(O165-P165,2))</f>
        <v>0</v>
      </c>
      <c r="R165" s="39">
        <f>IF(B165="","",IF(D165="","Add - which invoice?",IF(OR(G165="",G165=0),"Add - how much came in?",IF(Q165&lt;-0.004,"Check - overpaid",IF(L165="No","Due - not banked yet",IF(Q165&gt;0.004,"Part paid","OK"))))))</f>
        <v>0</v>
      </c>
    </row>
    <row r="166" spans="1:18">
      <c r="A166" s="43">
        <f>IF(B166="","",PaymentPrefix&amp;TEXT(ROW()-4,"0000"))</f>
        <v>0</v>
      </c>
      <c r="C166" s="23">
        <f>IF(B166="","",TEXT(B166,"yyyy-mm"))</f>
        <v>0</v>
      </c>
      <c r="E166" s="43">
        <f>IF(D166="","",IFERROR(INDEX(Invoices!$D$5:$D$404,MATCH(D166,Invoices!$A$5:$A$404,0)),""))</f>
        <v>0</v>
      </c>
      <c r="F166" s="23">
        <f>IF(D166="","",IFERROR(INDEX(Invoices!$E$5:$E$404,MATCH(D166,Invoices!$A$5:$A$404,0)),""))</f>
        <v>0</v>
      </c>
      <c r="N166" s="21">
        <f>IF(B166="","",IF(G166="",0,G166)-IF(H166="",0,H166))</f>
        <v>0</v>
      </c>
      <c r="O166" s="21">
        <f>IF(D166="","",IFERROR(INDEX(Invoices!$V$5:$V$404,MATCH(D166,Invoices!$A$5:$A$404,0)),""))</f>
        <v>0</v>
      </c>
      <c r="P166" s="21">
        <f>IF(D166="","",IFERROR(INDEX(Invoices!$W$5:$W$404,MATCH(D166,Invoices!$A$5:$A$404,0)),""))</f>
        <v>0</v>
      </c>
      <c r="Q166" s="21">
        <f>IF(OR(D166="",O166=""),"",ROUND(O166-P166,2))</f>
        <v>0</v>
      </c>
      <c r="R166" s="39">
        <f>IF(B166="","",IF(D166="","Add - which invoice?",IF(OR(G166="",G166=0),"Add - how much came in?",IF(Q166&lt;-0.004,"Check - overpaid",IF(L166="No","Due - not banked yet",IF(Q166&gt;0.004,"Part paid","OK"))))))</f>
        <v>0</v>
      </c>
    </row>
    <row r="167" spans="1:18">
      <c r="A167" s="43">
        <f>IF(B167="","",PaymentPrefix&amp;TEXT(ROW()-4,"0000"))</f>
        <v>0</v>
      </c>
      <c r="C167" s="23">
        <f>IF(B167="","",TEXT(B167,"yyyy-mm"))</f>
        <v>0</v>
      </c>
      <c r="E167" s="43">
        <f>IF(D167="","",IFERROR(INDEX(Invoices!$D$5:$D$404,MATCH(D167,Invoices!$A$5:$A$404,0)),""))</f>
        <v>0</v>
      </c>
      <c r="F167" s="23">
        <f>IF(D167="","",IFERROR(INDEX(Invoices!$E$5:$E$404,MATCH(D167,Invoices!$A$5:$A$404,0)),""))</f>
        <v>0</v>
      </c>
      <c r="N167" s="21">
        <f>IF(B167="","",IF(G167="",0,G167)-IF(H167="",0,H167))</f>
        <v>0</v>
      </c>
      <c r="O167" s="21">
        <f>IF(D167="","",IFERROR(INDEX(Invoices!$V$5:$V$404,MATCH(D167,Invoices!$A$5:$A$404,0)),""))</f>
        <v>0</v>
      </c>
      <c r="P167" s="21">
        <f>IF(D167="","",IFERROR(INDEX(Invoices!$W$5:$W$404,MATCH(D167,Invoices!$A$5:$A$404,0)),""))</f>
        <v>0</v>
      </c>
      <c r="Q167" s="21">
        <f>IF(OR(D167="",O167=""),"",ROUND(O167-P167,2))</f>
        <v>0</v>
      </c>
      <c r="R167" s="39">
        <f>IF(B167="","",IF(D167="","Add - which invoice?",IF(OR(G167="",G167=0),"Add - how much came in?",IF(Q167&lt;-0.004,"Check - overpaid",IF(L167="No","Due - not banked yet",IF(Q167&gt;0.004,"Part paid","OK"))))))</f>
        <v>0</v>
      </c>
    </row>
    <row r="168" spans="1:18">
      <c r="A168" s="43">
        <f>IF(B168="","",PaymentPrefix&amp;TEXT(ROW()-4,"0000"))</f>
        <v>0</v>
      </c>
      <c r="C168" s="23">
        <f>IF(B168="","",TEXT(B168,"yyyy-mm"))</f>
        <v>0</v>
      </c>
      <c r="E168" s="43">
        <f>IF(D168="","",IFERROR(INDEX(Invoices!$D$5:$D$404,MATCH(D168,Invoices!$A$5:$A$404,0)),""))</f>
        <v>0</v>
      </c>
      <c r="F168" s="23">
        <f>IF(D168="","",IFERROR(INDEX(Invoices!$E$5:$E$404,MATCH(D168,Invoices!$A$5:$A$404,0)),""))</f>
        <v>0</v>
      </c>
      <c r="N168" s="21">
        <f>IF(B168="","",IF(G168="",0,G168)-IF(H168="",0,H168))</f>
        <v>0</v>
      </c>
      <c r="O168" s="21">
        <f>IF(D168="","",IFERROR(INDEX(Invoices!$V$5:$V$404,MATCH(D168,Invoices!$A$5:$A$404,0)),""))</f>
        <v>0</v>
      </c>
      <c r="P168" s="21">
        <f>IF(D168="","",IFERROR(INDEX(Invoices!$W$5:$W$404,MATCH(D168,Invoices!$A$5:$A$404,0)),""))</f>
        <v>0</v>
      </c>
      <c r="Q168" s="21">
        <f>IF(OR(D168="",O168=""),"",ROUND(O168-P168,2))</f>
        <v>0</v>
      </c>
      <c r="R168" s="39">
        <f>IF(B168="","",IF(D168="","Add - which invoice?",IF(OR(G168="",G168=0),"Add - how much came in?",IF(Q168&lt;-0.004,"Check - overpaid",IF(L168="No","Due - not banked yet",IF(Q168&gt;0.004,"Part paid","OK"))))))</f>
        <v>0</v>
      </c>
    </row>
    <row r="169" spans="1:18">
      <c r="A169" s="43">
        <f>IF(B169="","",PaymentPrefix&amp;TEXT(ROW()-4,"0000"))</f>
        <v>0</v>
      </c>
      <c r="C169" s="23">
        <f>IF(B169="","",TEXT(B169,"yyyy-mm"))</f>
        <v>0</v>
      </c>
      <c r="E169" s="43">
        <f>IF(D169="","",IFERROR(INDEX(Invoices!$D$5:$D$404,MATCH(D169,Invoices!$A$5:$A$404,0)),""))</f>
        <v>0</v>
      </c>
      <c r="F169" s="23">
        <f>IF(D169="","",IFERROR(INDEX(Invoices!$E$5:$E$404,MATCH(D169,Invoices!$A$5:$A$404,0)),""))</f>
        <v>0</v>
      </c>
      <c r="N169" s="21">
        <f>IF(B169="","",IF(G169="",0,G169)-IF(H169="",0,H169))</f>
        <v>0</v>
      </c>
      <c r="O169" s="21">
        <f>IF(D169="","",IFERROR(INDEX(Invoices!$V$5:$V$404,MATCH(D169,Invoices!$A$5:$A$404,0)),""))</f>
        <v>0</v>
      </c>
      <c r="P169" s="21">
        <f>IF(D169="","",IFERROR(INDEX(Invoices!$W$5:$W$404,MATCH(D169,Invoices!$A$5:$A$404,0)),""))</f>
        <v>0</v>
      </c>
      <c r="Q169" s="21">
        <f>IF(OR(D169="",O169=""),"",ROUND(O169-P169,2))</f>
        <v>0</v>
      </c>
      <c r="R169" s="39">
        <f>IF(B169="","",IF(D169="","Add - which invoice?",IF(OR(G169="",G169=0),"Add - how much came in?",IF(Q169&lt;-0.004,"Check - overpaid",IF(L169="No","Due - not banked yet",IF(Q169&gt;0.004,"Part paid","OK"))))))</f>
        <v>0</v>
      </c>
    </row>
    <row r="170" spans="1:18">
      <c r="A170" s="43">
        <f>IF(B170="","",PaymentPrefix&amp;TEXT(ROW()-4,"0000"))</f>
        <v>0</v>
      </c>
      <c r="C170" s="23">
        <f>IF(B170="","",TEXT(B170,"yyyy-mm"))</f>
        <v>0</v>
      </c>
      <c r="E170" s="43">
        <f>IF(D170="","",IFERROR(INDEX(Invoices!$D$5:$D$404,MATCH(D170,Invoices!$A$5:$A$404,0)),""))</f>
        <v>0</v>
      </c>
      <c r="F170" s="23">
        <f>IF(D170="","",IFERROR(INDEX(Invoices!$E$5:$E$404,MATCH(D170,Invoices!$A$5:$A$404,0)),""))</f>
        <v>0</v>
      </c>
      <c r="N170" s="21">
        <f>IF(B170="","",IF(G170="",0,G170)-IF(H170="",0,H170))</f>
        <v>0</v>
      </c>
      <c r="O170" s="21">
        <f>IF(D170="","",IFERROR(INDEX(Invoices!$V$5:$V$404,MATCH(D170,Invoices!$A$5:$A$404,0)),""))</f>
        <v>0</v>
      </c>
      <c r="P170" s="21">
        <f>IF(D170="","",IFERROR(INDEX(Invoices!$W$5:$W$404,MATCH(D170,Invoices!$A$5:$A$404,0)),""))</f>
        <v>0</v>
      </c>
      <c r="Q170" s="21">
        <f>IF(OR(D170="",O170=""),"",ROUND(O170-P170,2))</f>
        <v>0</v>
      </c>
      <c r="R170" s="39">
        <f>IF(B170="","",IF(D170="","Add - which invoice?",IF(OR(G170="",G170=0),"Add - how much came in?",IF(Q170&lt;-0.004,"Check - overpaid",IF(L170="No","Due - not banked yet",IF(Q170&gt;0.004,"Part paid","OK"))))))</f>
        <v>0</v>
      </c>
    </row>
    <row r="171" spans="1:18">
      <c r="A171" s="43">
        <f>IF(B171="","",PaymentPrefix&amp;TEXT(ROW()-4,"0000"))</f>
        <v>0</v>
      </c>
      <c r="C171" s="23">
        <f>IF(B171="","",TEXT(B171,"yyyy-mm"))</f>
        <v>0</v>
      </c>
      <c r="E171" s="43">
        <f>IF(D171="","",IFERROR(INDEX(Invoices!$D$5:$D$404,MATCH(D171,Invoices!$A$5:$A$404,0)),""))</f>
        <v>0</v>
      </c>
      <c r="F171" s="23">
        <f>IF(D171="","",IFERROR(INDEX(Invoices!$E$5:$E$404,MATCH(D171,Invoices!$A$5:$A$404,0)),""))</f>
        <v>0</v>
      </c>
      <c r="N171" s="21">
        <f>IF(B171="","",IF(G171="",0,G171)-IF(H171="",0,H171))</f>
        <v>0</v>
      </c>
      <c r="O171" s="21">
        <f>IF(D171="","",IFERROR(INDEX(Invoices!$V$5:$V$404,MATCH(D171,Invoices!$A$5:$A$404,0)),""))</f>
        <v>0</v>
      </c>
      <c r="P171" s="21">
        <f>IF(D171="","",IFERROR(INDEX(Invoices!$W$5:$W$404,MATCH(D171,Invoices!$A$5:$A$404,0)),""))</f>
        <v>0</v>
      </c>
      <c r="Q171" s="21">
        <f>IF(OR(D171="",O171=""),"",ROUND(O171-P171,2))</f>
        <v>0</v>
      </c>
      <c r="R171" s="39">
        <f>IF(B171="","",IF(D171="","Add - which invoice?",IF(OR(G171="",G171=0),"Add - how much came in?",IF(Q171&lt;-0.004,"Check - overpaid",IF(L171="No","Due - not banked yet",IF(Q171&gt;0.004,"Part paid","OK"))))))</f>
        <v>0</v>
      </c>
    </row>
    <row r="172" spans="1:18">
      <c r="A172" s="43">
        <f>IF(B172="","",PaymentPrefix&amp;TEXT(ROW()-4,"0000"))</f>
        <v>0</v>
      </c>
      <c r="C172" s="23">
        <f>IF(B172="","",TEXT(B172,"yyyy-mm"))</f>
        <v>0</v>
      </c>
      <c r="E172" s="43">
        <f>IF(D172="","",IFERROR(INDEX(Invoices!$D$5:$D$404,MATCH(D172,Invoices!$A$5:$A$404,0)),""))</f>
        <v>0</v>
      </c>
      <c r="F172" s="23">
        <f>IF(D172="","",IFERROR(INDEX(Invoices!$E$5:$E$404,MATCH(D172,Invoices!$A$5:$A$404,0)),""))</f>
        <v>0</v>
      </c>
      <c r="N172" s="21">
        <f>IF(B172="","",IF(G172="",0,G172)-IF(H172="",0,H172))</f>
        <v>0</v>
      </c>
      <c r="O172" s="21">
        <f>IF(D172="","",IFERROR(INDEX(Invoices!$V$5:$V$404,MATCH(D172,Invoices!$A$5:$A$404,0)),""))</f>
        <v>0</v>
      </c>
      <c r="P172" s="21">
        <f>IF(D172="","",IFERROR(INDEX(Invoices!$W$5:$W$404,MATCH(D172,Invoices!$A$5:$A$404,0)),""))</f>
        <v>0</v>
      </c>
      <c r="Q172" s="21">
        <f>IF(OR(D172="",O172=""),"",ROUND(O172-P172,2))</f>
        <v>0</v>
      </c>
      <c r="R172" s="39">
        <f>IF(B172="","",IF(D172="","Add - which invoice?",IF(OR(G172="",G172=0),"Add - how much came in?",IF(Q172&lt;-0.004,"Check - overpaid",IF(L172="No","Due - not banked yet",IF(Q172&gt;0.004,"Part paid","OK"))))))</f>
        <v>0</v>
      </c>
    </row>
    <row r="173" spans="1:18">
      <c r="A173" s="43">
        <f>IF(B173="","",PaymentPrefix&amp;TEXT(ROW()-4,"0000"))</f>
        <v>0</v>
      </c>
      <c r="C173" s="23">
        <f>IF(B173="","",TEXT(B173,"yyyy-mm"))</f>
        <v>0</v>
      </c>
      <c r="E173" s="43">
        <f>IF(D173="","",IFERROR(INDEX(Invoices!$D$5:$D$404,MATCH(D173,Invoices!$A$5:$A$404,0)),""))</f>
        <v>0</v>
      </c>
      <c r="F173" s="23">
        <f>IF(D173="","",IFERROR(INDEX(Invoices!$E$5:$E$404,MATCH(D173,Invoices!$A$5:$A$404,0)),""))</f>
        <v>0</v>
      </c>
      <c r="N173" s="21">
        <f>IF(B173="","",IF(G173="",0,G173)-IF(H173="",0,H173))</f>
        <v>0</v>
      </c>
      <c r="O173" s="21">
        <f>IF(D173="","",IFERROR(INDEX(Invoices!$V$5:$V$404,MATCH(D173,Invoices!$A$5:$A$404,0)),""))</f>
        <v>0</v>
      </c>
      <c r="P173" s="21">
        <f>IF(D173="","",IFERROR(INDEX(Invoices!$W$5:$W$404,MATCH(D173,Invoices!$A$5:$A$404,0)),""))</f>
        <v>0</v>
      </c>
      <c r="Q173" s="21">
        <f>IF(OR(D173="",O173=""),"",ROUND(O173-P173,2))</f>
        <v>0</v>
      </c>
      <c r="R173" s="39">
        <f>IF(B173="","",IF(D173="","Add - which invoice?",IF(OR(G173="",G173=0),"Add - how much came in?",IF(Q173&lt;-0.004,"Check - overpaid",IF(L173="No","Due - not banked yet",IF(Q173&gt;0.004,"Part paid","OK"))))))</f>
        <v>0</v>
      </c>
    </row>
    <row r="174" spans="1:18">
      <c r="A174" s="43">
        <f>IF(B174="","",PaymentPrefix&amp;TEXT(ROW()-4,"0000"))</f>
        <v>0</v>
      </c>
      <c r="C174" s="23">
        <f>IF(B174="","",TEXT(B174,"yyyy-mm"))</f>
        <v>0</v>
      </c>
      <c r="E174" s="43">
        <f>IF(D174="","",IFERROR(INDEX(Invoices!$D$5:$D$404,MATCH(D174,Invoices!$A$5:$A$404,0)),""))</f>
        <v>0</v>
      </c>
      <c r="F174" s="23">
        <f>IF(D174="","",IFERROR(INDEX(Invoices!$E$5:$E$404,MATCH(D174,Invoices!$A$5:$A$404,0)),""))</f>
        <v>0</v>
      </c>
      <c r="N174" s="21">
        <f>IF(B174="","",IF(G174="",0,G174)-IF(H174="",0,H174))</f>
        <v>0</v>
      </c>
      <c r="O174" s="21">
        <f>IF(D174="","",IFERROR(INDEX(Invoices!$V$5:$V$404,MATCH(D174,Invoices!$A$5:$A$404,0)),""))</f>
        <v>0</v>
      </c>
      <c r="P174" s="21">
        <f>IF(D174="","",IFERROR(INDEX(Invoices!$W$5:$W$404,MATCH(D174,Invoices!$A$5:$A$404,0)),""))</f>
        <v>0</v>
      </c>
      <c r="Q174" s="21">
        <f>IF(OR(D174="",O174=""),"",ROUND(O174-P174,2))</f>
        <v>0</v>
      </c>
      <c r="R174" s="39">
        <f>IF(B174="","",IF(D174="","Add - which invoice?",IF(OR(G174="",G174=0),"Add - how much came in?",IF(Q174&lt;-0.004,"Check - overpaid",IF(L174="No","Due - not banked yet",IF(Q174&gt;0.004,"Part paid","OK"))))))</f>
        <v>0</v>
      </c>
    </row>
    <row r="175" spans="1:18">
      <c r="A175" s="43">
        <f>IF(B175="","",PaymentPrefix&amp;TEXT(ROW()-4,"0000"))</f>
        <v>0</v>
      </c>
      <c r="C175" s="23">
        <f>IF(B175="","",TEXT(B175,"yyyy-mm"))</f>
        <v>0</v>
      </c>
      <c r="E175" s="43">
        <f>IF(D175="","",IFERROR(INDEX(Invoices!$D$5:$D$404,MATCH(D175,Invoices!$A$5:$A$404,0)),""))</f>
        <v>0</v>
      </c>
      <c r="F175" s="23">
        <f>IF(D175="","",IFERROR(INDEX(Invoices!$E$5:$E$404,MATCH(D175,Invoices!$A$5:$A$404,0)),""))</f>
        <v>0</v>
      </c>
      <c r="N175" s="21">
        <f>IF(B175="","",IF(G175="",0,G175)-IF(H175="",0,H175))</f>
        <v>0</v>
      </c>
      <c r="O175" s="21">
        <f>IF(D175="","",IFERROR(INDEX(Invoices!$V$5:$V$404,MATCH(D175,Invoices!$A$5:$A$404,0)),""))</f>
        <v>0</v>
      </c>
      <c r="P175" s="21">
        <f>IF(D175="","",IFERROR(INDEX(Invoices!$W$5:$W$404,MATCH(D175,Invoices!$A$5:$A$404,0)),""))</f>
        <v>0</v>
      </c>
      <c r="Q175" s="21">
        <f>IF(OR(D175="",O175=""),"",ROUND(O175-P175,2))</f>
        <v>0</v>
      </c>
      <c r="R175" s="39">
        <f>IF(B175="","",IF(D175="","Add - which invoice?",IF(OR(G175="",G175=0),"Add - how much came in?",IF(Q175&lt;-0.004,"Check - overpaid",IF(L175="No","Due - not banked yet",IF(Q175&gt;0.004,"Part paid","OK"))))))</f>
        <v>0</v>
      </c>
    </row>
    <row r="176" spans="1:18">
      <c r="A176" s="43">
        <f>IF(B176="","",PaymentPrefix&amp;TEXT(ROW()-4,"0000"))</f>
        <v>0</v>
      </c>
      <c r="C176" s="23">
        <f>IF(B176="","",TEXT(B176,"yyyy-mm"))</f>
        <v>0</v>
      </c>
      <c r="E176" s="43">
        <f>IF(D176="","",IFERROR(INDEX(Invoices!$D$5:$D$404,MATCH(D176,Invoices!$A$5:$A$404,0)),""))</f>
        <v>0</v>
      </c>
      <c r="F176" s="23">
        <f>IF(D176="","",IFERROR(INDEX(Invoices!$E$5:$E$404,MATCH(D176,Invoices!$A$5:$A$404,0)),""))</f>
        <v>0</v>
      </c>
      <c r="N176" s="21">
        <f>IF(B176="","",IF(G176="",0,G176)-IF(H176="",0,H176))</f>
        <v>0</v>
      </c>
      <c r="O176" s="21">
        <f>IF(D176="","",IFERROR(INDEX(Invoices!$V$5:$V$404,MATCH(D176,Invoices!$A$5:$A$404,0)),""))</f>
        <v>0</v>
      </c>
      <c r="P176" s="21">
        <f>IF(D176="","",IFERROR(INDEX(Invoices!$W$5:$W$404,MATCH(D176,Invoices!$A$5:$A$404,0)),""))</f>
        <v>0</v>
      </c>
      <c r="Q176" s="21">
        <f>IF(OR(D176="",O176=""),"",ROUND(O176-P176,2))</f>
        <v>0</v>
      </c>
      <c r="R176" s="39">
        <f>IF(B176="","",IF(D176="","Add - which invoice?",IF(OR(G176="",G176=0),"Add - how much came in?",IF(Q176&lt;-0.004,"Check - overpaid",IF(L176="No","Due - not banked yet",IF(Q176&gt;0.004,"Part paid","OK"))))))</f>
        <v>0</v>
      </c>
    </row>
    <row r="177" spans="1:18">
      <c r="A177" s="43">
        <f>IF(B177="","",PaymentPrefix&amp;TEXT(ROW()-4,"0000"))</f>
        <v>0</v>
      </c>
      <c r="C177" s="23">
        <f>IF(B177="","",TEXT(B177,"yyyy-mm"))</f>
        <v>0</v>
      </c>
      <c r="E177" s="43">
        <f>IF(D177="","",IFERROR(INDEX(Invoices!$D$5:$D$404,MATCH(D177,Invoices!$A$5:$A$404,0)),""))</f>
        <v>0</v>
      </c>
      <c r="F177" s="23">
        <f>IF(D177="","",IFERROR(INDEX(Invoices!$E$5:$E$404,MATCH(D177,Invoices!$A$5:$A$404,0)),""))</f>
        <v>0</v>
      </c>
      <c r="N177" s="21">
        <f>IF(B177="","",IF(G177="",0,G177)-IF(H177="",0,H177))</f>
        <v>0</v>
      </c>
      <c r="O177" s="21">
        <f>IF(D177="","",IFERROR(INDEX(Invoices!$V$5:$V$404,MATCH(D177,Invoices!$A$5:$A$404,0)),""))</f>
        <v>0</v>
      </c>
      <c r="P177" s="21">
        <f>IF(D177="","",IFERROR(INDEX(Invoices!$W$5:$W$404,MATCH(D177,Invoices!$A$5:$A$404,0)),""))</f>
        <v>0</v>
      </c>
      <c r="Q177" s="21">
        <f>IF(OR(D177="",O177=""),"",ROUND(O177-P177,2))</f>
        <v>0</v>
      </c>
      <c r="R177" s="39">
        <f>IF(B177="","",IF(D177="","Add - which invoice?",IF(OR(G177="",G177=0),"Add - how much came in?",IF(Q177&lt;-0.004,"Check - overpaid",IF(L177="No","Due - not banked yet",IF(Q177&gt;0.004,"Part paid","OK"))))))</f>
        <v>0</v>
      </c>
    </row>
    <row r="178" spans="1:18">
      <c r="A178" s="43">
        <f>IF(B178="","",PaymentPrefix&amp;TEXT(ROW()-4,"0000"))</f>
        <v>0</v>
      </c>
      <c r="C178" s="23">
        <f>IF(B178="","",TEXT(B178,"yyyy-mm"))</f>
        <v>0</v>
      </c>
      <c r="E178" s="43">
        <f>IF(D178="","",IFERROR(INDEX(Invoices!$D$5:$D$404,MATCH(D178,Invoices!$A$5:$A$404,0)),""))</f>
        <v>0</v>
      </c>
      <c r="F178" s="23">
        <f>IF(D178="","",IFERROR(INDEX(Invoices!$E$5:$E$404,MATCH(D178,Invoices!$A$5:$A$404,0)),""))</f>
        <v>0</v>
      </c>
      <c r="N178" s="21">
        <f>IF(B178="","",IF(G178="",0,G178)-IF(H178="",0,H178))</f>
        <v>0</v>
      </c>
      <c r="O178" s="21">
        <f>IF(D178="","",IFERROR(INDEX(Invoices!$V$5:$V$404,MATCH(D178,Invoices!$A$5:$A$404,0)),""))</f>
        <v>0</v>
      </c>
      <c r="P178" s="21">
        <f>IF(D178="","",IFERROR(INDEX(Invoices!$W$5:$W$404,MATCH(D178,Invoices!$A$5:$A$404,0)),""))</f>
        <v>0</v>
      </c>
      <c r="Q178" s="21">
        <f>IF(OR(D178="",O178=""),"",ROUND(O178-P178,2))</f>
        <v>0</v>
      </c>
      <c r="R178" s="39">
        <f>IF(B178="","",IF(D178="","Add - which invoice?",IF(OR(G178="",G178=0),"Add - how much came in?",IF(Q178&lt;-0.004,"Check - overpaid",IF(L178="No","Due - not banked yet",IF(Q178&gt;0.004,"Part paid","OK"))))))</f>
        <v>0</v>
      </c>
    </row>
    <row r="179" spans="1:18">
      <c r="A179" s="43">
        <f>IF(B179="","",PaymentPrefix&amp;TEXT(ROW()-4,"0000"))</f>
        <v>0</v>
      </c>
      <c r="C179" s="23">
        <f>IF(B179="","",TEXT(B179,"yyyy-mm"))</f>
        <v>0</v>
      </c>
      <c r="E179" s="43">
        <f>IF(D179="","",IFERROR(INDEX(Invoices!$D$5:$D$404,MATCH(D179,Invoices!$A$5:$A$404,0)),""))</f>
        <v>0</v>
      </c>
      <c r="F179" s="23">
        <f>IF(D179="","",IFERROR(INDEX(Invoices!$E$5:$E$404,MATCH(D179,Invoices!$A$5:$A$404,0)),""))</f>
        <v>0</v>
      </c>
      <c r="N179" s="21">
        <f>IF(B179="","",IF(G179="",0,G179)-IF(H179="",0,H179))</f>
        <v>0</v>
      </c>
      <c r="O179" s="21">
        <f>IF(D179="","",IFERROR(INDEX(Invoices!$V$5:$V$404,MATCH(D179,Invoices!$A$5:$A$404,0)),""))</f>
        <v>0</v>
      </c>
      <c r="P179" s="21">
        <f>IF(D179="","",IFERROR(INDEX(Invoices!$W$5:$W$404,MATCH(D179,Invoices!$A$5:$A$404,0)),""))</f>
        <v>0</v>
      </c>
      <c r="Q179" s="21">
        <f>IF(OR(D179="",O179=""),"",ROUND(O179-P179,2))</f>
        <v>0</v>
      </c>
      <c r="R179" s="39">
        <f>IF(B179="","",IF(D179="","Add - which invoice?",IF(OR(G179="",G179=0),"Add - how much came in?",IF(Q179&lt;-0.004,"Check - overpaid",IF(L179="No","Due - not banked yet",IF(Q179&gt;0.004,"Part paid","OK"))))))</f>
        <v>0</v>
      </c>
    </row>
    <row r="180" spans="1:18">
      <c r="A180" s="43">
        <f>IF(B180="","",PaymentPrefix&amp;TEXT(ROW()-4,"0000"))</f>
        <v>0</v>
      </c>
      <c r="C180" s="23">
        <f>IF(B180="","",TEXT(B180,"yyyy-mm"))</f>
        <v>0</v>
      </c>
      <c r="E180" s="43">
        <f>IF(D180="","",IFERROR(INDEX(Invoices!$D$5:$D$404,MATCH(D180,Invoices!$A$5:$A$404,0)),""))</f>
        <v>0</v>
      </c>
      <c r="F180" s="23">
        <f>IF(D180="","",IFERROR(INDEX(Invoices!$E$5:$E$404,MATCH(D180,Invoices!$A$5:$A$404,0)),""))</f>
        <v>0</v>
      </c>
      <c r="N180" s="21">
        <f>IF(B180="","",IF(G180="",0,G180)-IF(H180="",0,H180))</f>
        <v>0</v>
      </c>
      <c r="O180" s="21">
        <f>IF(D180="","",IFERROR(INDEX(Invoices!$V$5:$V$404,MATCH(D180,Invoices!$A$5:$A$404,0)),""))</f>
        <v>0</v>
      </c>
      <c r="P180" s="21">
        <f>IF(D180="","",IFERROR(INDEX(Invoices!$W$5:$W$404,MATCH(D180,Invoices!$A$5:$A$404,0)),""))</f>
        <v>0</v>
      </c>
      <c r="Q180" s="21">
        <f>IF(OR(D180="",O180=""),"",ROUND(O180-P180,2))</f>
        <v>0</v>
      </c>
      <c r="R180" s="39">
        <f>IF(B180="","",IF(D180="","Add - which invoice?",IF(OR(G180="",G180=0),"Add - how much came in?",IF(Q180&lt;-0.004,"Check - overpaid",IF(L180="No","Due - not banked yet",IF(Q180&gt;0.004,"Part paid","OK"))))))</f>
        <v>0</v>
      </c>
    </row>
    <row r="181" spans="1:18">
      <c r="A181" s="43">
        <f>IF(B181="","",PaymentPrefix&amp;TEXT(ROW()-4,"0000"))</f>
        <v>0</v>
      </c>
      <c r="C181" s="23">
        <f>IF(B181="","",TEXT(B181,"yyyy-mm"))</f>
        <v>0</v>
      </c>
      <c r="E181" s="43">
        <f>IF(D181="","",IFERROR(INDEX(Invoices!$D$5:$D$404,MATCH(D181,Invoices!$A$5:$A$404,0)),""))</f>
        <v>0</v>
      </c>
      <c r="F181" s="23">
        <f>IF(D181="","",IFERROR(INDEX(Invoices!$E$5:$E$404,MATCH(D181,Invoices!$A$5:$A$404,0)),""))</f>
        <v>0</v>
      </c>
      <c r="N181" s="21">
        <f>IF(B181="","",IF(G181="",0,G181)-IF(H181="",0,H181))</f>
        <v>0</v>
      </c>
      <c r="O181" s="21">
        <f>IF(D181="","",IFERROR(INDEX(Invoices!$V$5:$V$404,MATCH(D181,Invoices!$A$5:$A$404,0)),""))</f>
        <v>0</v>
      </c>
      <c r="P181" s="21">
        <f>IF(D181="","",IFERROR(INDEX(Invoices!$W$5:$W$404,MATCH(D181,Invoices!$A$5:$A$404,0)),""))</f>
        <v>0</v>
      </c>
      <c r="Q181" s="21">
        <f>IF(OR(D181="",O181=""),"",ROUND(O181-P181,2))</f>
        <v>0</v>
      </c>
      <c r="R181" s="39">
        <f>IF(B181="","",IF(D181="","Add - which invoice?",IF(OR(G181="",G181=0),"Add - how much came in?",IF(Q181&lt;-0.004,"Check - overpaid",IF(L181="No","Due - not banked yet",IF(Q181&gt;0.004,"Part paid","OK"))))))</f>
        <v>0</v>
      </c>
    </row>
    <row r="182" spans="1:18">
      <c r="A182" s="43">
        <f>IF(B182="","",PaymentPrefix&amp;TEXT(ROW()-4,"0000"))</f>
        <v>0</v>
      </c>
      <c r="C182" s="23">
        <f>IF(B182="","",TEXT(B182,"yyyy-mm"))</f>
        <v>0</v>
      </c>
      <c r="E182" s="43">
        <f>IF(D182="","",IFERROR(INDEX(Invoices!$D$5:$D$404,MATCH(D182,Invoices!$A$5:$A$404,0)),""))</f>
        <v>0</v>
      </c>
      <c r="F182" s="23">
        <f>IF(D182="","",IFERROR(INDEX(Invoices!$E$5:$E$404,MATCH(D182,Invoices!$A$5:$A$404,0)),""))</f>
        <v>0</v>
      </c>
      <c r="N182" s="21">
        <f>IF(B182="","",IF(G182="",0,G182)-IF(H182="",0,H182))</f>
        <v>0</v>
      </c>
      <c r="O182" s="21">
        <f>IF(D182="","",IFERROR(INDEX(Invoices!$V$5:$V$404,MATCH(D182,Invoices!$A$5:$A$404,0)),""))</f>
        <v>0</v>
      </c>
      <c r="P182" s="21">
        <f>IF(D182="","",IFERROR(INDEX(Invoices!$W$5:$W$404,MATCH(D182,Invoices!$A$5:$A$404,0)),""))</f>
        <v>0</v>
      </c>
      <c r="Q182" s="21">
        <f>IF(OR(D182="",O182=""),"",ROUND(O182-P182,2))</f>
        <v>0</v>
      </c>
      <c r="R182" s="39">
        <f>IF(B182="","",IF(D182="","Add - which invoice?",IF(OR(G182="",G182=0),"Add - how much came in?",IF(Q182&lt;-0.004,"Check - overpaid",IF(L182="No","Due - not banked yet",IF(Q182&gt;0.004,"Part paid","OK"))))))</f>
        <v>0</v>
      </c>
    </row>
    <row r="183" spans="1:18">
      <c r="A183" s="43">
        <f>IF(B183="","",PaymentPrefix&amp;TEXT(ROW()-4,"0000"))</f>
        <v>0</v>
      </c>
      <c r="C183" s="23">
        <f>IF(B183="","",TEXT(B183,"yyyy-mm"))</f>
        <v>0</v>
      </c>
      <c r="E183" s="43">
        <f>IF(D183="","",IFERROR(INDEX(Invoices!$D$5:$D$404,MATCH(D183,Invoices!$A$5:$A$404,0)),""))</f>
        <v>0</v>
      </c>
      <c r="F183" s="23">
        <f>IF(D183="","",IFERROR(INDEX(Invoices!$E$5:$E$404,MATCH(D183,Invoices!$A$5:$A$404,0)),""))</f>
        <v>0</v>
      </c>
      <c r="N183" s="21">
        <f>IF(B183="","",IF(G183="",0,G183)-IF(H183="",0,H183))</f>
        <v>0</v>
      </c>
      <c r="O183" s="21">
        <f>IF(D183="","",IFERROR(INDEX(Invoices!$V$5:$V$404,MATCH(D183,Invoices!$A$5:$A$404,0)),""))</f>
        <v>0</v>
      </c>
      <c r="P183" s="21">
        <f>IF(D183="","",IFERROR(INDEX(Invoices!$W$5:$W$404,MATCH(D183,Invoices!$A$5:$A$404,0)),""))</f>
        <v>0</v>
      </c>
      <c r="Q183" s="21">
        <f>IF(OR(D183="",O183=""),"",ROUND(O183-P183,2))</f>
        <v>0</v>
      </c>
      <c r="R183" s="39">
        <f>IF(B183="","",IF(D183="","Add - which invoice?",IF(OR(G183="",G183=0),"Add - how much came in?",IF(Q183&lt;-0.004,"Check - overpaid",IF(L183="No","Due - not banked yet",IF(Q183&gt;0.004,"Part paid","OK"))))))</f>
        <v>0</v>
      </c>
    </row>
    <row r="184" spans="1:18">
      <c r="A184" s="43">
        <f>IF(B184="","",PaymentPrefix&amp;TEXT(ROW()-4,"0000"))</f>
        <v>0</v>
      </c>
      <c r="C184" s="23">
        <f>IF(B184="","",TEXT(B184,"yyyy-mm"))</f>
        <v>0</v>
      </c>
      <c r="E184" s="43">
        <f>IF(D184="","",IFERROR(INDEX(Invoices!$D$5:$D$404,MATCH(D184,Invoices!$A$5:$A$404,0)),""))</f>
        <v>0</v>
      </c>
      <c r="F184" s="23">
        <f>IF(D184="","",IFERROR(INDEX(Invoices!$E$5:$E$404,MATCH(D184,Invoices!$A$5:$A$404,0)),""))</f>
        <v>0</v>
      </c>
      <c r="N184" s="21">
        <f>IF(B184="","",IF(G184="",0,G184)-IF(H184="",0,H184))</f>
        <v>0</v>
      </c>
      <c r="O184" s="21">
        <f>IF(D184="","",IFERROR(INDEX(Invoices!$V$5:$V$404,MATCH(D184,Invoices!$A$5:$A$404,0)),""))</f>
        <v>0</v>
      </c>
      <c r="P184" s="21">
        <f>IF(D184="","",IFERROR(INDEX(Invoices!$W$5:$W$404,MATCH(D184,Invoices!$A$5:$A$404,0)),""))</f>
        <v>0</v>
      </c>
      <c r="Q184" s="21">
        <f>IF(OR(D184="",O184=""),"",ROUND(O184-P184,2))</f>
        <v>0</v>
      </c>
      <c r="R184" s="39">
        <f>IF(B184="","",IF(D184="","Add - which invoice?",IF(OR(G184="",G184=0),"Add - how much came in?",IF(Q184&lt;-0.004,"Check - overpaid",IF(L184="No","Due - not banked yet",IF(Q184&gt;0.004,"Part paid","OK"))))))</f>
        <v>0</v>
      </c>
    </row>
    <row r="185" spans="1:18">
      <c r="A185" s="43">
        <f>IF(B185="","",PaymentPrefix&amp;TEXT(ROW()-4,"0000"))</f>
        <v>0</v>
      </c>
      <c r="C185" s="23">
        <f>IF(B185="","",TEXT(B185,"yyyy-mm"))</f>
        <v>0</v>
      </c>
      <c r="E185" s="43">
        <f>IF(D185="","",IFERROR(INDEX(Invoices!$D$5:$D$404,MATCH(D185,Invoices!$A$5:$A$404,0)),""))</f>
        <v>0</v>
      </c>
      <c r="F185" s="23">
        <f>IF(D185="","",IFERROR(INDEX(Invoices!$E$5:$E$404,MATCH(D185,Invoices!$A$5:$A$404,0)),""))</f>
        <v>0</v>
      </c>
      <c r="N185" s="21">
        <f>IF(B185="","",IF(G185="",0,G185)-IF(H185="",0,H185))</f>
        <v>0</v>
      </c>
      <c r="O185" s="21">
        <f>IF(D185="","",IFERROR(INDEX(Invoices!$V$5:$V$404,MATCH(D185,Invoices!$A$5:$A$404,0)),""))</f>
        <v>0</v>
      </c>
      <c r="P185" s="21">
        <f>IF(D185="","",IFERROR(INDEX(Invoices!$W$5:$W$404,MATCH(D185,Invoices!$A$5:$A$404,0)),""))</f>
        <v>0</v>
      </c>
      <c r="Q185" s="21">
        <f>IF(OR(D185="",O185=""),"",ROUND(O185-P185,2))</f>
        <v>0</v>
      </c>
      <c r="R185" s="39">
        <f>IF(B185="","",IF(D185="","Add - which invoice?",IF(OR(G185="",G185=0),"Add - how much came in?",IF(Q185&lt;-0.004,"Check - overpaid",IF(L185="No","Due - not banked yet",IF(Q185&gt;0.004,"Part paid","OK"))))))</f>
        <v>0</v>
      </c>
    </row>
    <row r="186" spans="1:18">
      <c r="A186" s="43">
        <f>IF(B186="","",PaymentPrefix&amp;TEXT(ROW()-4,"0000"))</f>
        <v>0</v>
      </c>
      <c r="C186" s="23">
        <f>IF(B186="","",TEXT(B186,"yyyy-mm"))</f>
        <v>0</v>
      </c>
      <c r="E186" s="43">
        <f>IF(D186="","",IFERROR(INDEX(Invoices!$D$5:$D$404,MATCH(D186,Invoices!$A$5:$A$404,0)),""))</f>
        <v>0</v>
      </c>
      <c r="F186" s="23">
        <f>IF(D186="","",IFERROR(INDEX(Invoices!$E$5:$E$404,MATCH(D186,Invoices!$A$5:$A$404,0)),""))</f>
        <v>0</v>
      </c>
      <c r="N186" s="21">
        <f>IF(B186="","",IF(G186="",0,G186)-IF(H186="",0,H186))</f>
        <v>0</v>
      </c>
      <c r="O186" s="21">
        <f>IF(D186="","",IFERROR(INDEX(Invoices!$V$5:$V$404,MATCH(D186,Invoices!$A$5:$A$404,0)),""))</f>
        <v>0</v>
      </c>
      <c r="P186" s="21">
        <f>IF(D186="","",IFERROR(INDEX(Invoices!$W$5:$W$404,MATCH(D186,Invoices!$A$5:$A$404,0)),""))</f>
        <v>0</v>
      </c>
      <c r="Q186" s="21">
        <f>IF(OR(D186="",O186=""),"",ROUND(O186-P186,2))</f>
        <v>0</v>
      </c>
      <c r="R186" s="39">
        <f>IF(B186="","",IF(D186="","Add - which invoice?",IF(OR(G186="",G186=0),"Add - how much came in?",IF(Q186&lt;-0.004,"Check - overpaid",IF(L186="No","Due - not banked yet",IF(Q186&gt;0.004,"Part paid","OK"))))))</f>
        <v>0</v>
      </c>
    </row>
    <row r="187" spans="1:18">
      <c r="A187" s="43">
        <f>IF(B187="","",PaymentPrefix&amp;TEXT(ROW()-4,"0000"))</f>
        <v>0</v>
      </c>
      <c r="C187" s="23">
        <f>IF(B187="","",TEXT(B187,"yyyy-mm"))</f>
        <v>0</v>
      </c>
      <c r="E187" s="43">
        <f>IF(D187="","",IFERROR(INDEX(Invoices!$D$5:$D$404,MATCH(D187,Invoices!$A$5:$A$404,0)),""))</f>
        <v>0</v>
      </c>
      <c r="F187" s="23">
        <f>IF(D187="","",IFERROR(INDEX(Invoices!$E$5:$E$404,MATCH(D187,Invoices!$A$5:$A$404,0)),""))</f>
        <v>0</v>
      </c>
      <c r="N187" s="21">
        <f>IF(B187="","",IF(G187="",0,G187)-IF(H187="",0,H187))</f>
        <v>0</v>
      </c>
      <c r="O187" s="21">
        <f>IF(D187="","",IFERROR(INDEX(Invoices!$V$5:$V$404,MATCH(D187,Invoices!$A$5:$A$404,0)),""))</f>
        <v>0</v>
      </c>
      <c r="P187" s="21">
        <f>IF(D187="","",IFERROR(INDEX(Invoices!$W$5:$W$404,MATCH(D187,Invoices!$A$5:$A$404,0)),""))</f>
        <v>0</v>
      </c>
      <c r="Q187" s="21">
        <f>IF(OR(D187="",O187=""),"",ROUND(O187-P187,2))</f>
        <v>0</v>
      </c>
      <c r="R187" s="39">
        <f>IF(B187="","",IF(D187="","Add - which invoice?",IF(OR(G187="",G187=0),"Add - how much came in?",IF(Q187&lt;-0.004,"Check - overpaid",IF(L187="No","Due - not banked yet",IF(Q187&gt;0.004,"Part paid","OK"))))))</f>
        <v>0</v>
      </c>
    </row>
    <row r="188" spans="1:18">
      <c r="A188" s="43">
        <f>IF(B188="","",PaymentPrefix&amp;TEXT(ROW()-4,"0000"))</f>
        <v>0</v>
      </c>
      <c r="C188" s="23">
        <f>IF(B188="","",TEXT(B188,"yyyy-mm"))</f>
        <v>0</v>
      </c>
      <c r="E188" s="43">
        <f>IF(D188="","",IFERROR(INDEX(Invoices!$D$5:$D$404,MATCH(D188,Invoices!$A$5:$A$404,0)),""))</f>
        <v>0</v>
      </c>
      <c r="F188" s="23">
        <f>IF(D188="","",IFERROR(INDEX(Invoices!$E$5:$E$404,MATCH(D188,Invoices!$A$5:$A$404,0)),""))</f>
        <v>0</v>
      </c>
      <c r="N188" s="21">
        <f>IF(B188="","",IF(G188="",0,G188)-IF(H188="",0,H188))</f>
        <v>0</v>
      </c>
      <c r="O188" s="21">
        <f>IF(D188="","",IFERROR(INDEX(Invoices!$V$5:$V$404,MATCH(D188,Invoices!$A$5:$A$404,0)),""))</f>
        <v>0</v>
      </c>
      <c r="P188" s="21">
        <f>IF(D188="","",IFERROR(INDEX(Invoices!$W$5:$W$404,MATCH(D188,Invoices!$A$5:$A$404,0)),""))</f>
        <v>0</v>
      </c>
      <c r="Q188" s="21">
        <f>IF(OR(D188="",O188=""),"",ROUND(O188-P188,2))</f>
        <v>0</v>
      </c>
      <c r="R188" s="39">
        <f>IF(B188="","",IF(D188="","Add - which invoice?",IF(OR(G188="",G188=0),"Add - how much came in?",IF(Q188&lt;-0.004,"Check - overpaid",IF(L188="No","Due - not banked yet",IF(Q188&gt;0.004,"Part paid","OK"))))))</f>
        <v>0</v>
      </c>
    </row>
    <row r="189" spans="1:18">
      <c r="A189" s="43">
        <f>IF(B189="","",PaymentPrefix&amp;TEXT(ROW()-4,"0000"))</f>
        <v>0</v>
      </c>
      <c r="C189" s="23">
        <f>IF(B189="","",TEXT(B189,"yyyy-mm"))</f>
        <v>0</v>
      </c>
      <c r="E189" s="43">
        <f>IF(D189="","",IFERROR(INDEX(Invoices!$D$5:$D$404,MATCH(D189,Invoices!$A$5:$A$404,0)),""))</f>
        <v>0</v>
      </c>
      <c r="F189" s="23">
        <f>IF(D189="","",IFERROR(INDEX(Invoices!$E$5:$E$404,MATCH(D189,Invoices!$A$5:$A$404,0)),""))</f>
        <v>0</v>
      </c>
      <c r="N189" s="21">
        <f>IF(B189="","",IF(G189="",0,G189)-IF(H189="",0,H189))</f>
        <v>0</v>
      </c>
      <c r="O189" s="21">
        <f>IF(D189="","",IFERROR(INDEX(Invoices!$V$5:$V$404,MATCH(D189,Invoices!$A$5:$A$404,0)),""))</f>
        <v>0</v>
      </c>
      <c r="P189" s="21">
        <f>IF(D189="","",IFERROR(INDEX(Invoices!$W$5:$W$404,MATCH(D189,Invoices!$A$5:$A$404,0)),""))</f>
        <v>0</v>
      </c>
      <c r="Q189" s="21">
        <f>IF(OR(D189="",O189=""),"",ROUND(O189-P189,2))</f>
        <v>0</v>
      </c>
      <c r="R189" s="39">
        <f>IF(B189="","",IF(D189="","Add - which invoice?",IF(OR(G189="",G189=0),"Add - how much came in?",IF(Q189&lt;-0.004,"Check - overpaid",IF(L189="No","Due - not banked yet",IF(Q189&gt;0.004,"Part paid","OK"))))))</f>
        <v>0</v>
      </c>
    </row>
    <row r="190" spans="1:18">
      <c r="A190" s="43">
        <f>IF(B190="","",PaymentPrefix&amp;TEXT(ROW()-4,"0000"))</f>
        <v>0</v>
      </c>
      <c r="C190" s="23">
        <f>IF(B190="","",TEXT(B190,"yyyy-mm"))</f>
        <v>0</v>
      </c>
      <c r="E190" s="43">
        <f>IF(D190="","",IFERROR(INDEX(Invoices!$D$5:$D$404,MATCH(D190,Invoices!$A$5:$A$404,0)),""))</f>
        <v>0</v>
      </c>
      <c r="F190" s="23">
        <f>IF(D190="","",IFERROR(INDEX(Invoices!$E$5:$E$404,MATCH(D190,Invoices!$A$5:$A$404,0)),""))</f>
        <v>0</v>
      </c>
      <c r="N190" s="21">
        <f>IF(B190="","",IF(G190="",0,G190)-IF(H190="",0,H190))</f>
        <v>0</v>
      </c>
      <c r="O190" s="21">
        <f>IF(D190="","",IFERROR(INDEX(Invoices!$V$5:$V$404,MATCH(D190,Invoices!$A$5:$A$404,0)),""))</f>
        <v>0</v>
      </c>
      <c r="P190" s="21">
        <f>IF(D190="","",IFERROR(INDEX(Invoices!$W$5:$W$404,MATCH(D190,Invoices!$A$5:$A$404,0)),""))</f>
        <v>0</v>
      </c>
      <c r="Q190" s="21">
        <f>IF(OR(D190="",O190=""),"",ROUND(O190-P190,2))</f>
        <v>0</v>
      </c>
      <c r="R190" s="39">
        <f>IF(B190="","",IF(D190="","Add - which invoice?",IF(OR(G190="",G190=0),"Add - how much came in?",IF(Q190&lt;-0.004,"Check - overpaid",IF(L190="No","Due - not banked yet",IF(Q190&gt;0.004,"Part paid","OK"))))))</f>
        <v>0</v>
      </c>
    </row>
    <row r="191" spans="1:18">
      <c r="A191" s="43">
        <f>IF(B191="","",PaymentPrefix&amp;TEXT(ROW()-4,"0000"))</f>
        <v>0</v>
      </c>
      <c r="C191" s="23">
        <f>IF(B191="","",TEXT(B191,"yyyy-mm"))</f>
        <v>0</v>
      </c>
      <c r="E191" s="43">
        <f>IF(D191="","",IFERROR(INDEX(Invoices!$D$5:$D$404,MATCH(D191,Invoices!$A$5:$A$404,0)),""))</f>
        <v>0</v>
      </c>
      <c r="F191" s="23">
        <f>IF(D191="","",IFERROR(INDEX(Invoices!$E$5:$E$404,MATCH(D191,Invoices!$A$5:$A$404,0)),""))</f>
        <v>0</v>
      </c>
      <c r="N191" s="21">
        <f>IF(B191="","",IF(G191="",0,G191)-IF(H191="",0,H191))</f>
        <v>0</v>
      </c>
      <c r="O191" s="21">
        <f>IF(D191="","",IFERROR(INDEX(Invoices!$V$5:$V$404,MATCH(D191,Invoices!$A$5:$A$404,0)),""))</f>
        <v>0</v>
      </c>
      <c r="P191" s="21">
        <f>IF(D191="","",IFERROR(INDEX(Invoices!$W$5:$W$404,MATCH(D191,Invoices!$A$5:$A$404,0)),""))</f>
        <v>0</v>
      </c>
      <c r="Q191" s="21">
        <f>IF(OR(D191="",O191=""),"",ROUND(O191-P191,2))</f>
        <v>0</v>
      </c>
      <c r="R191" s="39">
        <f>IF(B191="","",IF(D191="","Add - which invoice?",IF(OR(G191="",G191=0),"Add - how much came in?",IF(Q191&lt;-0.004,"Check - overpaid",IF(L191="No","Due - not banked yet",IF(Q191&gt;0.004,"Part paid","OK"))))))</f>
        <v>0</v>
      </c>
    </row>
    <row r="192" spans="1:18">
      <c r="A192" s="43">
        <f>IF(B192="","",PaymentPrefix&amp;TEXT(ROW()-4,"0000"))</f>
        <v>0</v>
      </c>
      <c r="C192" s="23">
        <f>IF(B192="","",TEXT(B192,"yyyy-mm"))</f>
        <v>0</v>
      </c>
      <c r="E192" s="43">
        <f>IF(D192="","",IFERROR(INDEX(Invoices!$D$5:$D$404,MATCH(D192,Invoices!$A$5:$A$404,0)),""))</f>
        <v>0</v>
      </c>
      <c r="F192" s="23">
        <f>IF(D192="","",IFERROR(INDEX(Invoices!$E$5:$E$404,MATCH(D192,Invoices!$A$5:$A$404,0)),""))</f>
        <v>0</v>
      </c>
      <c r="N192" s="21">
        <f>IF(B192="","",IF(G192="",0,G192)-IF(H192="",0,H192))</f>
        <v>0</v>
      </c>
      <c r="O192" s="21">
        <f>IF(D192="","",IFERROR(INDEX(Invoices!$V$5:$V$404,MATCH(D192,Invoices!$A$5:$A$404,0)),""))</f>
        <v>0</v>
      </c>
      <c r="P192" s="21">
        <f>IF(D192="","",IFERROR(INDEX(Invoices!$W$5:$W$404,MATCH(D192,Invoices!$A$5:$A$404,0)),""))</f>
        <v>0</v>
      </c>
      <c r="Q192" s="21">
        <f>IF(OR(D192="",O192=""),"",ROUND(O192-P192,2))</f>
        <v>0</v>
      </c>
      <c r="R192" s="39">
        <f>IF(B192="","",IF(D192="","Add - which invoice?",IF(OR(G192="",G192=0),"Add - how much came in?",IF(Q192&lt;-0.004,"Check - overpaid",IF(L192="No","Due - not banked yet",IF(Q192&gt;0.004,"Part paid","OK"))))))</f>
        <v>0</v>
      </c>
    </row>
    <row r="193" spans="1:18">
      <c r="A193" s="43">
        <f>IF(B193="","",PaymentPrefix&amp;TEXT(ROW()-4,"0000"))</f>
        <v>0</v>
      </c>
      <c r="C193" s="23">
        <f>IF(B193="","",TEXT(B193,"yyyy-mm"))</f>
        <v>0</v>
      </c>
      <c r="E193" s="43">
        <f>IF(D193="","",IFERROR(INDEX(Invoices!$D$5:$D$404,MATCH(D193,Invoices!$A$5:$A$404,0)),""))</f>
        <v>0</v>
      </c>
      <c r="F193" s="23">
        <f>IF(D193="","",IFERROR(INDEX(Invoices!$E$5:$E$404,MATCH(D193,Invoices!$A$5:$A$404,0)),""))</f>
        <v>0</v>
      </c>
      <c r="N193" s="21">
        <f>IF(B193="","",IF(G193="",0,G193)-IF(H193="",0,H193))</f>
        <v>0</v>
      </c>
      <c r="O193" s="21">
        <f>IF(D193="","",IFERROR(INDEX(Invoices!$V$5:$V$404,MATCH(D193,Invoices!$A$5:$A$404,0)),""))</f>
        <v>0</v>
      </c>
      <c r="P193" s="21">
        <f>IF(D193="","",IFERROR(INDEX(Invoices!$W$5:$W$404,MATCH(D193,Invoices!$A$5:$A$404,0)),""))</f>
        <v>0</v>
      </c>
      <c r="Q193" s="21">
        <f>IF(OR(D193="",O193=""),"",ROUND(O193-P193,2))</f>
        <v>0</v>
      </c>
      <c r="R193" s="39">
        <f>IF(B193="","",IF(D193="","Add - which invoice?",IF(OR(G193="",G193=0),"Add - how much came in?",IF(Q193&lt;-0.004,"Check - overpaid",IF(L193="No","Due - not banked yet",IF(Q193&gt;0.004,"Part paid","OK"))))))</f>
        <v>0</v>
      </c>
    </row>
    <row r="194" spans="1:18">
      <c r="A194" s="43">
        <f>IF(B194="","",PaymentPrefix&amp;TEXT(ROW()-4,"0000"))</f>
        <v>0</v>
      </c>
      <c r="C194" s="23">
        <f>IF(B194="","",TEXT(B194,"yyyy-mm"))</f>
        <v>0</v>
      </c>
      <c r="E194" s="43">
        <f>IF(D194="","",IFERROR(INDEX(Invoices!$D$5:$D$404,MATCH(D194,Invoices!$A$5:$A$404,0)),""))</f>
        <v>0</v>
      </c>
      <c r="F194" s="23">
        <f>IF(D194="","",IFERROR(INDEX(Invoices!$E$5:$E$404,MATCH(D194,Invoices!$A$5:$A$404,0)),""))</f>
        <v>0</v>
      </c>
      <c r="N194" s="21">
        <f>IF(B194="","",IF(G194="",0,G194)-IF(H194="",0,H194))</f>
        <v>0</v>
      </c>
      <c r="O194" s="21">
        <f>IF(D194="","",IFERROR(INDEX(Invoices!$V$5:$V$404,MATCH(D194,Invoices!$A$5:$A$404,0)),""))</f>
        <v>0</v>
      </c>
      <c r="P194" s="21">
        <f>IF(D194="","",IFERROR(INDEX(Invoices!$W$5:$W$404,MATCH(D194,Invoices!$A$5:$A$404,0)),""))</f>
        <v>0</v>
      </c>
      <c r="Q194" s="21">
        <f>IF(OR(D194="",O194=""),"",ROUND(O194-P194,2))</f>
        <v>0</v>
      </c>
      <c r="R194" s="39">
        <f>IF(B194="","",IF(D194="","Add - which invoice?",IF(OR(G194="",G194=0),"Add - how much came in?",IF(Q194&lt;-0.004,"Check - overpaid",IF(L194="No","Due - not banked yet",IF(Q194&gt;0.004,"Part paid","OK"))))))</f>
        <v>0</v>
      </c>
    </row>
    <row r="195" spans="1:18">
      <c r="A195" s="43">
        <f>IF(B195="","",PaymentPrefix&amp;TEXT(ROW()-4,"0000"))</f>
        <v>0</v>
      </c>
      <c r="C195" s="23">
        <f>IF(B195="","",TEXT(B195,"yyyy-mm"))</f>
        <v>0</v>
      </c>
      <c r="E195" s="43">
        <f>IF(D195="","",IFERROR(INDEX(Invoices!$D$5:$D$404,MATCH(D195,Invoices!$A$5:$A$404,0)),""))</f>
        <v>0</v>
      </c>
      <c r="F195" s="23">
        <f>IF(D195="","",IFERROR(INDEX(Invoices!$E$5:$E$404,MATCH(D195,Invoices!$A$5:$A$404,0)),""))</f>
        <v>0</v>
      </c>
      <c r="N195" s="21">
        <f>IF(B195="","",IF(G195="",0,G195)-IF(H195="",0,H195))</f>
        <v>0</v>
      </c>
      <c r="O195" s="21">
        <f>IF(D195="","",IFERROR(INDEX(Invoices!$V$5:$V$404,MATCH(D195,Invoices!$A$5:$A$404,0)),""))</f>
        <v>0</v>
      </c>
      <c r="P195" s="21">
        <f>IF(D195="","",IFERROR(INDEX(Invoices!$W$5:$W$404,MATCH(D195,Invoices!$A$5:$A$404,0)),""))</f>
        <v>0</v>
      </c>
      <c r="Q195" s="21">
        <f>IF(OR(D195="",O195=""),"",ROUND(O195-P195,2))</f>
        <v>0</v>
      </c>
      <c r="R195" s="39">
        <f>IF(B195="","",IF(D195="","Add - which invoice?",IF(OR(G195="",G195=0),"Add - how much came in?",IF(Q195&lt;-0.004,"Check - overpaid",IF(L195="No","Due - not banked yet",IF(Q195&gt;0.004,"Part paid","OK"))))))</f>
        <v>0</v>
      </c>
    </row>
    <row r="196" spans="1:18">
      <c r="A196" s="43">
        <f>IF(B196="","",PaymentPrefix&amp;TEXT(ROW()-4,"0000"))</f>
        <v>0</v>
      </c>
      <c r="C196" s="23">
        <f>IF(B196="","",TEXT(B196,"yyyy-mm"))</f>
        <v>0</v>
      </c>
      <c r="E196" s="43">
        <f>IF(D196="","",IFERROR(INDEX(Invoices!$D$5:$D$404,MATCH(D196,Invoices!$A$5:$A$404,0)),""))</f>
        <v>0</v>
      </c>
      <c r="F196" s="23">
        <f>IF(D196="","",IFERROR(INDEX(Invoices!$E$5:$E$404,MATCH(D196,Invoices!$A$5:$A$404,0)),""))</f>
        <v>0</v>
      </c>
      <c r="N196" s="21">
        <f>IF(B196="","",IF(G196="",0,G196)-IF(H196="",0,H196))</f>
        <v>0</v>
      </c>
      <c r="O196" s="21">
        <f>IF(D196="","",IFERROR(INDEX(Invoices!$V$5:$V$404,MATCH(D196,Invoices!$A$5:$A$404,0)),""))</f>
        <v>0</v>
      </c>
      <c r="P196" s="21">
        <f>IF(D196="","",IFERROR(INDEX(Invoices!$W$5:$W$404,MATCH(D196,Invoices!$A$5:$A$404,0)),""))</f>
        <v>0</v>
      </c>
      <c r="Q196" s="21">
        <f>IF(OR(D196="",O196=""),"",ROUND(O196-P196,2))</f>
        <v>0</v>
      </c>
      <c r="R196" s="39">
        <f>IF(B196="","",IF(D196="","Add - which invoice?",IF(OR(G196="",G196=0),"Add - how much came in?",IF(Q196&lt;-0.004,"Check - overpaid",IF(L196="No","Due - not banked yet",IF(Q196&gt;0.004,"Part paid","OK"))))))</f>
        <v>0</v>
      </c>
    </row>
    <row r="197" spans="1:18">
      <c r="A197" s="43">
        <f>IF(B197="","",PaymentPrefix&amp;TEXT(ROW()-4,"0000"))</f>
        <v>0</v>
      </c>
      <c r="C197" s="23">
        <f>IF(B197="","",TEXT(B197,"yyyy-mm"))</f>
        <v>0</v>
      </c>
      <c r="E197" s="43">
        <f>IF(D197="","",IFERROR(INDEX(Invoices!$D$5:$D$404,MATCH(D197,Invoices!$A$5:$A$404,0)),""))</f>
        <v>0</v>
      </c>
      <c r="F197" s="23">
        <f>IF(D197="","",IFERROR(INDEX(Invoices!$E$5:$E$404,MATCH(D197,Invoices!$A$5:$A$404,0)),""))</f>
        <v>0</v>
      </c>
      <c r="N197" s="21">
        <f>IF(B197="","",IF(G197="",0,G197)-IF(H197="",0,H197))</f>
        <v>0</v>
      </c>
      <c r="O197" s="21">
        <f>IF(D197="","",IFERROR(INDEX(Invoices!$V$5:$V$404,MATCH(D197,Invoices!$A$5:$A$404,0)),""))</f>
        <v>0</v>
      </c>
      <c r="P197" s="21">
        <f>IF(D197="","",IFERROR(INDEX(Invoices!$W$5:$W$404,MATCH(D197,Invoices!$A$5:$A$404,0)),""))</f>
        <v>0</v>
      </c>
      <c r="Q197" s="21">
        <f>IF(OR(D197="",O197=""),"",ROUND(O197-P197,2))</f>
        <v>0</v>
      </c>
      <c r="R197" s="39">
        <f>IF(B197="","",IF(D197="","Add - which invoice?",IF(OR(G197="",G197=0),"Add - how much came in?",IF(Q197&lt;-0.004,"Check - overpaid",IF(L197="No","Due - not banked yet",IF(Q197&gt;0.004,"Part paid","OK"))))))</f>
        <v>0</v>
      </c>
    </row>
    <row r="198" spans="1:18">
      <c r="A198" s="43">
        <f>IF(B198="","",PaymentPrefix&amp;TEXT(ROW()-4,"0000"))</f>
        <v>0</v>
      </c>
      <c r="C198" s="23">
        <f>IF(B198="","",TEXT(B198,"yyyy-mm"))</f>
        <v>0</v>
      </c>
      <c r="E198" s="43">
        <f>IF(D198="","",IFERROR(INDEX(Invoices!$D$5:$D$404,MATCH(D198,Invoices!$A$5:$A$404,0)),""))</f>
        <v>0</v>
      </c>
      <c r="F198" s="23">
        <f>IF(D198="","",IFERROR(INDEX(Invoices!$E$5:$E$404,MATCH(D198,Invoices!$A$5:$A$404,0)),""))</f>
        <v>0</v>
      </c>
      <c r="N198" s="21">
        <f>IF(B198="","",IF(G198="",0,G198)-IF(H198="",0,H198))</f>
        <v>0</v>
      </c>
      <c r="O198" s="21">
        <f>IF(D198="","",IFERROR(INDEX(Invoices!$V$5:$V$404,MATCH(D198,Invoices!$A$5:$A$404,0)),""))</f>
        <v>0</v>
      </c>
      <c r="P198" s="21">
        <f>IF(D198="","",IFERROR(INDEX(Invoices!$W$5:$W$404,MATCH(D198,Invoices!$A$5:$A$404,0)),""))</f>
        <v>0</v>
      </c>
      <c r="Q198" s="21">
        <f>IF(OR(D198="",O198=""),"",ROUND(O198-P198,2))</f>
        <v>0</v>
      </c>
      <c r="R198" s="39">
        <f>IF(B198="","",IF(D198="","Add - which invoice?",IF(OR(G198="",G198=0),"Add - how much came in?",IF(Q198&lt;-0.004,"Check - overpaid",IF(L198="No","Due - not banked yet",IF(Q198&gt;0.004,"Part paid","OK"))))))</f>
        <v>0</v>
      </c>
    </row>
    <row r="199" spans="1:18">
      <c r="A199" s="43">
        <f>IF(B199="","",PaymentPrefix&amp;TEXT(ROW()-4,"0000"))</f>
        <v>0</v>
      </c>
      <c r="C199" s="23">
        <f>IF(B199="","",TEXT(B199,"yyyy-mm"))</f>
        <v>0</v>
      </c>
      <c r="E199" s="43">
        <f>IF(D199="","",IFERROR(INDEX(Invoices!$D$5:$D$404,MATCH(D199,Invoices!$A$5:$A$404,0)),""))</f>
        <v>0</v>
      </c>
      <c r="F199" s="23">
        <f>IF(D199="","",IFERROR(INDEX(Invoices!$E$5:$E$404,MATCH(D199,Invoices!$A$5:$A$404,0)),""))</f>
        <v>0</v>
      </c>
      <c r="N199" s="21">
        <f>IF(B199="","",IF(G199="",0,G199)-IF(H199="",0,H199))</f>
        <v>0</v>
      </c>
      <c r="O199" s="21">
        <f>IF(D199="","",IFERROR(INDEX(Invoices!$V$5:$V$404,MATCH(D199,Invoices!$A$5:$A$404,0)),""))</f>
        <v>0</v>
      </c>
      <c r="P199" s="21">
        <f>IF(D199="","",IFERROR(INDEX(Invoices!$W$5:$W$404,MATCH(D199,Invoices!$A$5:$A$404,0)),""))</f>
        <v>0</v>
      </c>
      <c r="Q199" s="21">
        <f>IF(OR(D199="",O199=""),"",ROUND(O199-P199,2))</f>
        <v>0</v>
      </c>
      <c r="R199" s="39">
        <f>IF(B199="","",IF(D199="","Add - which invoice?",IF(OR(G199="",G199=0),"Add - how much came in?",IF(Q199&lt;-0.004,"Check - overpaid",IF(L199="No","Due - not banked yet",IF(Q199&gt;0.004,"Part paid","OK"))))))</f>
        <v>0</v>
      </c>
    </row>
    <row r="200" spans="1:18">
      <c r="A200" s="43">
        <f>IF(B200="","",PaymentPrefix&amp;TEXT(ROW()-4,"0000"))</f>
        <v>0</v>
      </c>
      <c r="C200" s="23">
        <f>IF(B200="","",TEXT(B200,"yyyy-mm"))</f>
        <v>0</v>
      </c>
      <c r="E200" s="43">
        <f>IF(D200="","",IFERROR(INDEX(Invoices!$D$5:$D$404,MATCH(D200,Invoices!$A$5:$A$404,0)),""))</f>
        <v>0</v>
      </c>
      <c r="F200" s="23">
        <f>IF(D200="","",IFERROR(INDEX(Invoices!$E$5:$E$404,MATCH(D200,Invoices!$A$5:$A$404,0)),""))</f>
        <v>0</v>
      </c>
      <c r="N200" s="21">
        <f>IF(B200="","",IF(G200="",0,G200)-IF(H200="",0,H200))</f>
        <v>0</v>
      </c>
      <c r="O200" s="21">
        <f>IF(D200="","",IFERROR(INDEX(Invoices!$V$5:$V$404,MATCH(D200,Invoices!$A$5:$A$404,0)),""))</f>
        <v>0</v>
      </c>
      <c r="P200" s="21">
        <f>IF(D200="","",IFERROR(INDEX(Invoices!$W$5:$W$404,MATCH(D200,Invoices!$A$5:$A$404,0)),""))</f>
        <v>0</v>
      </c>
      <c r="Q200" s="21">
        <f>IF(OR(D200="",O200=""),"",ROUND(O200-P200,2))</f>
        <v>0</v>
      </c>
      <c r="R200" s="39">
        <f>IF(B200="","",IF(D200="","Add - which invoice?",IF(OR(G200="",G200=0),"Add - how much came in?",IF(Q200&lt;-0.004,"Check - overpaid",IF(L200="No","Due - not banked yet",IF(Q200&gt;0.004,"Part paid","OK"))))))</f>
        <v>0</v>
      </c>
    </row>
    <row r="201" spans="1:18">
      <c r="A201" s="43">
        <f>IF(B201="","",PaymentPrefix&amp;TEXT(ROW()-4,"0000"))</f>
        <v>0</v>
      </c>
      <c r="C201" s="23">
        <f>IF(B201="","",TEXT(B201,"yyyy-mm"))</f>
        <v>0</v>
      </c>
      <c r="E201" s="43">
        <f>IF(D201="","",IFERROR(INDEX(Invoices!$D$5:$D$404,MATCH(D201,Invoices!$A$5:$A$404,0)),""))</f>
        <v>0</v>
      </c>
      <c r="F201" s="23">
        <f>IF(D201="","",IFERROR(INDEX(Invoices!$E$5:$E$404,MATCH(D201,Invoices!$A$5:$A$404,0)),""))</f>
        <v>0</v>
      </c>
      <c r="N201" s="21">
        <f>IF(B201="","",IF(G201="",0,G201)-IF(H201="",0,H201))</f>
        <v>0</v>
      </c>
      <c r="O201" s="21">
        <f>IF(D201="","",IFERROR(INDEX(Invoices!$V$5:$V$404,MATCH(D201,Invoices!$A$5:$A$404,0)),""))</f>
        <v>0</v>
      </c>
      <c r="P201" s="21">
        <f>IF(D201="","",IFERROR(INDEX(Invoices!$W$5:$W$404,MATCH(D201,Invoices!$A$5:$A$404,0)),""))</f>
        <v>0</v>
      </c>
      <c r="Q201" s="21">
        <f>IF(OR(D201="",O201=""),"",ROUND(O201-P201,2))</f>
        <v>0</v>
      </c>
      <c r="R201" s="39">
        <f>IF(B201="","",IF(D201="","Add - which invoice?",IF(OR(G201="",G201=0),"Add - how much came in?",IF(Q201&lt;-0.004,"Check - overpaid",IF(L201="No","Due - not banked yet",IF(Q201&gt;0.004,"Part paid","OK"))))))</f>
        <v>0</v>
      </c>
    </row>
    <row r="202" spans="1:18">
      <c r="A202" s="43">
        <f>IF(B202="","",PaymentPrefix&amp;TEXT(ROW()-4,"0000"))</f>
        <v>0</v>
      </c>
      <c r="C202" s="23">
        <f>IF(B202="","",TEXT(B202,"yyyy-mm"))</f>
        <v>0</v>
      </c>
      <c r="E202" s="43">
        <f>IF(D202="","",IFERROR(INDEX(Invoices!$D$5:$D$404,MATCH(D202,Invoices!$A$5:$A$404,0)),""))</f>
        <v>0</v>
      </c>
      <c r="F202" s="23">
        <f>IF(D202="","",IFERROR(INDEX(Invoices!$E$5:$E$404,MATCH(D202,Invoices!$A$5:$A$404,0)),""))</f>
        <v>0</v>
      </c>
      <c r="N202" s="21">
        <f>IF(B202="","",IF(G202="",0,G202)-IF(H202="",0,H202))</f>
        <v>0</v>
      </c>
      <c r="O202" s="21">
        <f>IF(D202="","",IFERROR(INDEX(Invoices!$V$5:$V$404,MATCH(D202,Invoices!$A$5:$A$404,0)),""))</f>
        <v>0</v>
      </c>
      <c r="P202" s="21">
        <f>IF(D202="","",IFERROR(INDEX(Invoices!$W$5:$W$404,MATCH(D202,Invoices!$A$5:$A$404,0)),""))</f>
        <v>0</v>
      </c>
      <c r="Q202" s="21">
        <f>IF(OR(D202="",O202=""),"",ROUND(O202-P202,2))</f>
        <v>0</v>
      </c>
      <c r="R202" s="39">
        <f>IF(B202="","",IF(D202="","Add - which invoice?",IF(OR(G202="",G202=0),"Add - how much came in?",IF(Q202&lt;-0.004,"Check - overpaid",IF(L202="No","Due - not banked yet",IF(Q202&gt;0.004,"Part paid","OK"))))))</f>
        <v>0</v>
      </c>
    </row>
    <row r="203" spans="1:18">
      <c r="A203" s="43">
        <f>IF(B203="","",PaymentPrefix&amp;TEXT(ROW()-4,"0000"))</f>
        <v>0</v>
      </c>
      <c r="C203" s="23">
        <f>IF(B203="","",TEXT(B203,"yyyy-mm"))</f>
        <v>0</v>
      </c>
      <c r="E203" s="43">
        <f>IF(D203="","",IFERROR(INDEX(Invoices!$D$5:$D$404,MATCH(D203,Invoices!$A$5:$A$404,0)),""))</f>
        <v>0</v>
      </c>
      <c r="F203" s="23">
        <f>IF(D203="","",IFERROR(INDEX(Invoices!$E$5:$E$404,MATCH(D203,Invoices!$A$5:$A$404,0)),""))</f>
        <v>0</v>
      </c>
      <c r="N203" s="21">
        <f>IF(B203="","",IF(G203="",0,G203)-IF(H203="",0,H203))</f>
        <v>0</v>
      </c>
      <c r="O203" s="21">
        <f>IF(D203="","",IFERROR(INDEX(Invoices!$V$5:$V$404,MATCH(D203,Invoices!$A$5:$A$404,0)),""))</f>
        <v>0</v>
      </c>
      <c r="P203" s="21">
        <f>IF(D203="","",IFERROR(INDEX(Invoices!$W$5:$W$404,MATCH(D203,Invoices!$A$5:$A$404,0)),""))</f>
        <v>0</v>
      </c>
      <c r="Q203" s="21">
        <f>IF(OR(D203="",O203=""),"",ROUND(O203-P203,2))</f>
        <v>0</v>
      </c>
      <c r="R203" s="39">
        <f>IF(B203="","",IF(D203="","Add - which invoice?",IF(OR(G203="",G203=0),"Add - how much came in?",IF(Q203&lt;-0.004,"Check - overpaid",IF(L203="No","Due - not banked yet",IF(Q203&gt;0.004,"Part paid","OK"))))))</f>
        <v>0</v>
      </c>
    </row>
    <row r="204" spans="1:18">
      <c r="A204" s="43">
        <f>IF(B204="","",PaymentPrefix&amp;TEXT(ROW()-4,"0000"))</f>
        <v>0</v>
      </c>
      <c r="C204" s="23">
        <f>IF(B204="","",TEXT(B204,"yyyy-mm"))</f>
        <v>0</v>
      </c>
      <c r="E204" s="43">
        <f>IF(D204="","",IFERROR(INDEX(Invoices!$D$5:$D$404,MATCH(D204,Invoices!$A$5:$A$404,0)),""))</f>
        <v>0</v>
      </c>
      <c r="F204" s="23">
        <f>IF(D204="","",IFERROR(INDEX(Invoices!$E$5:$E$404,MATCH(D204,Invoices!$A$5:$A$404,0)),""))</f>
        <v>0</v>
      </c>
      <c r="N204" s="21">
        <f>IF(B204="","",IF(G204="",0,G204)-IF(H204="",0,H204))</f>
        <v>0</v>
      </c>
      <c r="O204" s="21">
        <f>IF(D204="","",IFERROR(INDEX(Invoices!$V$5:$V$404,MATCH(D204,Invoices!$A$5:$A$404,0)),""))</f>
        <v>0</v>
      </c>
      <c r="P204" s="21">
        <f>IF(D204="","",IFERROR(INDEX(Invoices!$W$5:$W$404,MATCH(D204,Invoices!$A$5:$A$404,0)),""))</f>
        <v>0</v>
      </c>
      <c r="Q204" s="21">
        <f>IF(OR(D204="",O204=""),"",ROUND(O204-P204,2))</f>
        <v>0</v>
      </c>
      <c r="R204" s="39">
        <f>IF(B204="","",IF(D204="","Add - which invoice?",IF(OR(G204="",G204=0),"Add - how much came in?",IF(Q204&lt;-0.004,"Check - overpaid",IF(L204="No","Due - not banked yet",IF(Q204&gt;0.004,"Part paid","OK"))))))</f>
        <v>0</v>
      </c>
    </row>
    <row r="205" spans="1:18">
      <c r="A205" s="43">
        <f>IF(B205="","",PaymentPrefix&amp;TEXT(ROW()-4,"0000"))</f>
        <v>0</v>
      </c>
      <c r="C205" s="23">
        <f>IF(B205="","",TEXT(B205,"yyyy-mm"))</f>
        <v>0</v>
      </c>
      <c r="E205" s="43">
        <f>IF(D205="","",IFERROR(INDEX(Invoices!$D$5:$D$404,MATCH(D205,Invoices!$A$5:$A$404,0)),""))</f>
        <v>0</v>
      </c>
      <c r="F205" s="23">
        <f>IF(D205="","",IFERROR(INDEX(Invoices!$E$5:$E$404,MATCH(D205,Invoices!$A$5:$A$404,0)),""))</f>
        <v>0</v>
      </c>
      <c r="N205" s="21">
        <f>IF(B205="","",IF(G205="",0,G205)-IF(H205="",0,H205))</f>
        <v>0</v>
      </c>
      <c r="O205" s="21">
        <f>IF(D205="","",IFERROR(INDEX(Invoices!$V$5:$V$404,MATCH(D205,Invoices!$A$5:$A$404,0)),""))</f>
        <v>0</v>
      </c>
      <c r="P205" s="21">
        <f>IF(D205="","",IFERROR(INDEX(Invoices!$W$5:$W$404,MATCH(D205,Invoices!$A$5:$A$404,0)),""))</f>
        <v>0</v>
      </c>
      <c r="Q205" s="21">
        <f>IF(OR(D205="",O205=""),"",ROUND(O205-P205,2))</f>
        <v>0</v>
      </c>
      <c r="R205" s="39">
        <f>IF(B205="","",IF(D205="","Add - which invoice?",IF(OR(G205="",G205=0),"Add - how much came in?",IF(Q205&lt;-0.004,"Check - overpaid",IF(L205="No","Due - not banked yet",IF(Q205&gt;0.004,"Part paid","OK"))))))</f>
        <v>0</v>
      </c>
    </row>
    <row r="206" spans="1:18">
      <c r="A206" s="43">
        <f>IF(B206="","",PaymentPrefix&amp;TEXT(ROW()-4,"0000"))</f>
        <v>0</v>
      </c>
      <c r="C206" s="23">
        <f>IF(B206="","",TEXT(B206,"yyyy-mm"))</f>
        <v>0</v>
      </c>
      <c r="E206" s="43">
        <f>IF(D206="","",IFERROR(INDEX(Invoices!$D$5:$D$404,MATCH(D206,Invoices!$A$5:$A$404,0)),""))</f>
        <v>0</v>
      </c>
      <c r="F206" s="23">
        <f>IF(D206="","",IFERROR(INDEX(Invoices!$E$5:$E$404,MATCH(D206,Invoices!$A$5:$A$404,0)),""))</f>
        <v>0</v>
      </c>
      <c r="N206" s="21">
        <f>IF(B206="","",IF(G206="",0,G206)-IF(H206="",0,H206))</f>
        <v>0</v>
      </c>
      <c r="O206" s="21">
        <f>IF(D206="","",IFERROR(INDEX(Invoices!$V$5:$V$404,MATCH(D206,Invoices!$A$5:$A$404,0)),""))</f>
        <v>0</v>
      </c>
      <c r="P206" s="21">
        <f>IF(D206="","",IFERROR(INDEX(Invoices!$W$5:$W$404,MATCH(D206,Invoices!$A$5:$A$404,0)),""))</f>
        <v>0</v>
      </c>
      <c r="Q206" s="21">
        <f>IF(OR(D206="",O206=""),"",ROUND(O206-P206,2))</f>
        <v>0</v>
      </c>
      <c r="R206" s="39">
        <f>IF(B206="","",IF(D206="","Add - which invoice?",IF(OR(G206="",G206=0),"Add - how much came in?",IF(Q206&lt;-0.004,"Check - overpaid",IF(L206="No","Due - not banked yet",IF(Q206&gt;0.004,"Part paid","OK"))))))</f>
        <v>0</v>
      </c>
    </row>
    <row r="207" spans="1:18">
      <c r="A207" s="43">
        <f>IF(B207="","",PaymentPrefix&amp;TEXT(ROW()-4,"0000"))</f>
        <v>0</v>
      </c>
      <c r="C207" s="23">
        <f>IF(B207="","",TEXT(B207,"yyyy-mm"))</f>
        <v>0</v>
      </c>
      <c r="E207" s="43">
        <f>IF(D207="","",IFERROR(INDEX(Invoices!$D$5:$D$404,MATCH(D207,Invoices!$A$5:$A$404,0)),""))</f>
        <v>0</v>
      </c>
      <c r="F207" s="23">
        <f>IF(D207="","",IFERROR(INDEX(Invoices!$E$5:$E$404,MATCH(D207,Invoices!$A$5:$A$404,0)),""))</f>
        <v>0</v>
      </c>
      <c r="N207" s="21">
        <f>IF(B207="","",IF(G207="",0,G207)-IF(H207="",0,H207))</f>
        <v>0</v>
      </c>
      <c r="O207" s="21">
        <f>IF(D207="","",IFERROR(INDEX(Invoices!$V$5:$V$404,MATCH(D207,Invoices!$A$5:$A$404,0)),""))</f>
        <v>0</v>
      </c>
      <c r="P207" s="21">
        <f>IF(D207="","",IFERROR(INDEX(Invoices!$W$5:$W$404,MATCH(D207,Invoices!$A$5:$A$404,0)),""))</f>
        <v>0</v>
      </c>
      <c r="Q207" s="21">
        <f>IF(OR(D207="",O207=""),"",ROUND(O207-P207,2))</f>
        <v>0</v>
      </c>
      <c r="R207" s="39">
        <f>IF(B207="","",IF(D207="","Add - which invoice?",IF(OR(G207="",G207=0),"Add - how much came in?",IF(Q207&lt;-0.004,"Check - overpaid",IF(L207="No","Due - not banked yet",IF(Q207&gt;0.004,"Part paid","OK"))))))</f>
        <v>0</v>
      </c>
    </row>
    <row r="208" spans="1:18">
      <c r="A208" s="43">
        <f>IF(B208="","",PaymentPrefix&amp;TEXT(ROW()-4,"0000"))</f>
        <v>0</v>
      </c>
      <c r="C208" s="23">
        <f>IF(B208="","",TEXT(B208,"yyyy-mm"))</f>
        <v>0</v>
      </c>
      <c r="E208" s="43">
        <f>IF(D208="","",IFERROR(INDEX(Invoices!$D$5:$D$404,MATCH(D208,Invoices!$A$5:$A$404,0)),""))</f>
        <v>0</v>
      </c>
      <c r="F208" s="23">
        <f>IF(D208="","",IFERROR(INDEX(Invoices!$E$5:$E$404,MATCH(D208,Invoices!$A$5:$A$404,0)),""))</f>
        <v>0</v>
      </c>
      <c r="N208" s="21">
        <f>IF(B208="","",IF(G208="",0,G208)-IF(H208="",0,H208))</f>
        <v>0</v>
      </c>
      <c r="O208" s="21">
        <f>IF(D208="","",IFERROR(INDEX(Invoices!$V$5:$V$404,MATCH(D208,Invoices!$A$5:$A$404,0)),""))</f>
        <v>0</v>
      </c>
      <c r="P208" s="21">
        <f>IF(D208="","",IFERROR(INDEX(Invoices!$W$5:$W$404,MATCH(D208,Invoices!$A$5:$A$404,0)),""))</f>
        <v>0</v>
      </c>
      <c r="Q208" s="21">
        <f>IF(OR(D208="",O208=""),"",ROUND(O208-P208,2))</f>
        <v>0</v>
      </c>
      <c r="R208" s="39">
        <f>IF(B208="","",IF(D208="","Add - which invoice?",IF(OR(G208="",G208=0),"Add - how much came in?",IF(Q208&lt;-0.004,"Check - overpaid",IF(L208="No","Due - not banked yet",IF(Q208&gt;0.004,"Part paid","OK"))))))</f>
        <v>0</v>
      </c>
    </row>
    <row r="209" spans="1:18">
      <c r="A209" s="43">
        <f>IF(B209="","",PaymentPrefix&amp;TEXT(ROW()-4,"0000"))</f>
        <v>0</v>
      </c>
      <c r="C209" s="23">
        <f>IF(B209="","",TEXT(B209,"yyyy-mm"))</f>
        <v>0</v>
      </c>
      <c r="E209" s="43">
        <f>IF(D209="","",IFERROR(INDEX(Invoices!$D$5:$D$404,MATCH(D209,Invoices!$A$5:$A$404,0)),""))</f>
        <v>0</v>
      </c>
      <c r="F209" s="23">
        <f>IF(D209="","",IFERROR(INDEX(Invoices!$E$5:$E$404,MATCH(D209,Invoices!$A$5:$A$404,0)),""))</f>
        <v>0</v>
      </c>
      <c r="N209" s="21">
        <f>IF(B209="","",IF(G209="",0,G209)-IF(H209="",0,H209))</f>
        <v>0</v>
      </c>
      <c r="O209" s="21">
        <f>IF(D209="","",IFERROR(INDEX(Invoices!$V$5:$V$404,MATCH(D209,Invoices!$A$5:$A$404,0)),""))</f>
        <v>0</v>
      </c>
      <c r="P209" s="21">
        <f>IF(D209="","",IFERROR(INDEX(Invoices!$W$5:$W$404,MATCH(D209,Invoices!$A$5:$A$404,0)),""))</f>
        <v>0</v>
      </c>
      <c r="Q209" s="21">
        <f>IF(OR(D209="",O209=""),"",ROUND(O209-P209,2))</f>
        <v>0</v>
      </c>
      <c r="R209" s="39">
        <f>IF(B209="","",IF(D209="","Add - which invoice?",IF(OR(G209="",G209=0),"Add - how much came in?",IF(Q209&lt;-0.004,"Check - overpaid",IF(L209="No","Due - not banked yet",IF(Q209&gt;0.004,"Part paid","OK"))))))</f>
        <v>0</v>
      </c>
    </row>
    <row r="210" spans="1:18">
      <c r="A210" s="43">
        <f>IF(B210="","",PaymentPrefix&amp;TEXT(ROW()-4,"0000"))</f>
        <v>0</v>
      </c>
      <c r="C210" s="23">
        <f>IF(B210="","",TEXT(B210,"yyyy-mm"))</f>
        <v>0</v>
      </c>
      <c r="E210" s="43">
        <f>IF(D210="","",IFERROR(INDEX(Invoices!$D$5:$D$404,MATCH(D210,Invoices!$A$5:$A$404,0)),""))</f>
        <v>0</v>
      </c>
      <c r="F210" s="23">
        <f>IF(D210="","",IFERROR(INDEX(Invoices!$E$5:$E$404,MATCH(D210,Invoices!$A$5:$A$404,0)),""))</f>
        <v>0</v>
      </c>
      <c r="N210" s="21">
        <f>IF(B210="","",IF(G210="",0,G210)-IF(H210="",0,H210))</f>
        <v>0</v>
      </c>
      <c r="O210" s="21">
        <f>IF(D210="","",IFERROR(INDEX(Invoices!$V$5:$V$404,MATCH(D210,Invoices!$A$5:$A$404,0)),""))</f>
        <v>0</v>
      </c>
      <c r="P210" s="21">
        <f>IF(D210="","",IFERROR(INDEX(Invoices!$W$5:$W$404,MATCH(D210,Invoices!$A$5:$A$404,0)),""))</f>
        <v>0</v>
      </c>
      <c r="Q210" s="21">
        <f>IF(OR(D210="",O210=""),"",ROUND(O210-P210,2))</f>
        <v>0</v>
      </c>
      <c r="R210" s="39">
        <f>IF(B210="","",IF(D210="","Add - which invoice?",IF(OR(G210="",G210=0),"Add - how much came in?",IF(Q210&lt;-0.004,"Check - overpaid",IF(L210="No","Due - not banked yet",IF(Q210&gt;0.004,"Part paid","OK"))))))</f>
        <v>0</v>
      </c>
    </row>
    <row r="211" spans="1:18">
      <c r="A211" s="43">
        <f>IF(B211="","",PaymentPrefix&amp;TEXT(ROW()-4,"0000"))</f>
        <v>0</v>
      </c>
      <c r="C211" s="23">
        <f>IF(B211="","",TEXT(B211,"yyyy-mm"))</f>
        <v>0</v>
      </c>
      <c r="E211" s="43">
        <f>IF(D211="","",IFERROR(INDEX(Invoices!$D$5:$D$404,MATCH(D211,Invoices!$A$5:$A$404,0)),""))</f>
        <v>0</v>
      </c>
      <c r="F211" s="23">
        <f>IF(D211="","",IFERROR(INDEX(Invoices!$E$5:$E$404,MATCH(D211,Invoices!$A$5:$A$404,0)),""))</f>
        <v>0</v>
      </c>
      <c r="N211" s="21">
        <f>IF(B211="","",IF(G211="",0,G211)-IF(H211="",0,H211))</f>
        <v>0</v>
      </c>
      <c r="O211" s="21">
        <f>IF(D211="","",IFERROR(INDEX(Invoices!$V$5:$V$404,MATCH(D211,Invoices!$A$5:$A$404,0)),""))</f>
        <v>0</v>
      </c>
      <c r="P211" s="21">
        <f>IF(D211="","",IFERROR(INDEX(Invoices!$W$5:$W$404,MATCH(D211,Invoices!$A$5:$A$404,0)),""))</f>
        <v>0</v>
      </c>
      <c r="Q211" s="21">
        <f>IF(OR(D211="",O211=""),"",ROUND(O211-P211,2))</f>
        <v>0</v>
      </c>
      <c r="R211" s="39">
        <f>IF(B211="","",IF(D211="","Add - which invoice?",IF(OR(G211="",G211=0),"Add - how much came in?",IF(Q211&lt;-0.004,"Check - overpaid",IF(L211="No","Due - not banked yet",IF(Q211&gt;0.004,"Part paid","OK"))))))</f>
        <v>0</v>
      </c>
    </row>
    <row r="212" spans="1:18">
      <c r="A212" s="43">
        <f>IF(B212="","",PaymentPrefix&amp;TEXT(ROW()-4,"0000"))</f>
        <v>0</v>
      </c>
      <c r="C212" s="23">
        <f>IF(B212="","",TEXT(B212,"yyyy-mm"))</f>
        <v>0</v>
      </c>
      <c r="E212" s="43">
        <f>IF(D212="","",IFERROR(INDEX(Invoices!$D$5:$D$404,MATCH(D212,Invoices!$A$5:$A$404,0)),""))</f>
        <v>0</v>
      </c>
      <c r="F212" s="23">
        <f>IF(D212="","",IFERROR(INDEX(Invoices!$E$5:$E$404,MATCH(D212,Invoices!$A$5:$A$404,0)),""))</f>
        <v>0</v>
      </c>
      <c r="N212" s="21">
        <f>IF(B212="","",IF(G212="",0,G212)-IF(H212="",0,H212))</f>
        <v>0</v>
      </c>
      <c r="O212" s="21">
        <f>IF(D212="","",IFERROR(INDEX(Invoices!$V$5:$V$404,MATCH(D212,Invoices!$A$5:$A$404,0)),""))</f>
        <v>0</v>
      </c>
      <c r="P212" s="21">
        <f>IF(D212="","",IFERROR(INDEX(Invoices!$W$5:$W$404,MATCH(D212,Invoices!$A$5:$A$404,0)),""))</f>
        <v>0</v>
      </c>
      <c r="Q212" s="21">
        <f>IF(OR(D212="",O212=""),"",ROUND(O212-P212,2))</f>
        <v>0</v>
      </c>
      <c r="R212" s="39">
        <f>IF(B212="","",IF(D212="","Add - which invoice?",IF(OR(G212="",G212=0),"Add - how much came in?",IF(Q212&lt;-0.004,"Check - overpaid",IF(L212="No","Due - not banked yet",IF(Q212&gt;0.004,"Part paid","OK"))))))</f>
        <v>0</v>
      </c>
    </row>
    <row r="213" spans="1:18">
      <c r="A213" s="43">
        <f>IF(B213="","",PaymentPrefix&amp;TEXT(ROW()-4,"0000"))</f>
        <v>0</v>
      </c>
      <c r="C213" s="23">
        <f>IF(B213="","",TEXT(B213,"yyyy-mm"))</f>
        <v>0</v>
      </c>
      <c r="E213" s="43">
        <f>IF(D213="","",IFERROR(INDEX(Invoices!$D$5:$D$404,MATCH(D213,Invoices!$A$5:$A$404,0)),""))</f>
        <v>0</v>
      </c>
      <c r="F213" s="23">
        <f>IF(D213="","",IFERROR(INDEX(Invoices!$E$5:$E$404,MATCH(D213,Invoices!$A$5:$A$404,0)),""))</f>
        <v>0</v>
      </c>
      <c r="N213" s="21">
        <f>IF(B213="","",IF(G213="",0,G213)-IF(H213="",0,H213))</f>
        <v>0</v>
      </c>
      <c r="O213" s="21">
        <f>IF(D213="","",IFERROR(INDEX(Invoices!$V$5:$V$404,MATCH(D213,Invoices!$A$5:$A$404,0)),""))</f>
        <v>0</v>
      </c>
      <c r="P213" s="21">
        <f>IF(D213="","",IFERROR(INDEX(Invoices!$W$5:$W$404,MATCH(D213,Invoices!$A$5:$A$404,0)),""))</f>
        <v>0</v>
      </c>
      <c r="Q213" s="21">
        <f>IF(OR(D213="",O213=""),"",ROUND(O213-P213,2))</f>
        <v>0</v>
      </c>
      <c r="R213" s="39">
        <f>IF(B213="","",IF(D213="","Add - which invoice?",IF(OR(G213="",G213=0),"Add - how much came in?",IF(Q213&lt;-0.004,"Check - overpaid",IF(L213="No","Due - not banked yet",IF(Q213&gt;0.004,"Part paid","OK"))))))</f>
        <v>0</v>
      </c>
    </row>
    <row r="214" spans="1:18">
      <c r="A214" s="43">
        <f>IF(B214="","",PaymentPrefix&amp;TEXT(ROW()-4,"0000"))</f>
        <v>0</v>
      </c>
      <c r="C214" s="23">
        <f>IF(B214="","",TEXT(B214,"yyyy-mm"))</f>
        <v>0</v>
      </c>
      <c r="E214" s="43">
        <f>IF(D214="","",IFERROR(INDEX(Invoices!$D$5:$D$404,MATCH(D214,Invoices!$A$5:$A$404,0)),""))</f>
        <v>0</v>
      </c>
      <c r="F214" s="23">
        <f>IF(D214="","",IFERROR(INDEX(Invoices!$E$5:$E$404,MATCH(D214,Invoices!$A$5:$A$404,0)),""))</f>
        <v>0</v>
      </c>
      <c r="N214" s="21">
        <f>IF(B214="","",IF(G214="",0,G214)-IF(H214="",0,H214))</f>
        <v>0</v>
      </c>
      <c r="O214" s="21">
        <f>IF(D214="","",IFERROR(INDEX(Invoices!$V$5:$V$404,MATCH(D214,Invoices!$A$5:$A$404,0)),""))</f>
        <v>0</v>
      </c>
      <c r="P214" s="21">
        <f>IF(D214="","",IFERROR(INDEX(Invoices!$W$5:$W$404,MATCH(D214,Invoices!$A$5:$A$404,0)),""))</f>
        <v>0</v>
      </c>
      <c r="Q214" s="21">
        <f>IF(OR(D214="",O214=""),"",ROUND(O214-P214,2))</f>
        <v>0</v>
      </c>
      <c r="R214" s="39">
        <f>IF(B214="","",IF(D214="","Add - which invoice?",IF(OR(G214="",G214=0),"Add - how much came in?",IF(Q214&lt;-0.004,"Check - overpaid",IF(L214="No","Due - not banked yet",IF(Q214&gt;0.004,"Part paid","OK"))))))</f>
        <v>0</v>
      </c>
    </row>
    <row r="215" spans="1:18">
      <c r="A215" s="43">
        <f>IF(B215="","",PaymentPrefix&amp;TEXT(ROW()-4,"0000"))</f>
        <v>0</v>
      </c>
      <c r="C215" s="23">
        <f>IF(B215="","",TEXT(B215,"yyyy-mm"))</f>
        <v>0</v>
      </c>
      <c r="E215" s="43">
        <f>IF(D215="","",IFERROR(INDEX(Invoices!$D$5:$D$404,MATCH(D215,Invoices!$A$5:$A$404,0)),""))</f>
        <v>0</v>
      </c>
      <c r="F215" s="23">
        <f>IF(D215="","",IFERROR(INDEX(Invoices!$E$5:$E$404,MATCH(D215,Invoices!$A$5:$A$404,0)),""))</f>
        <v>0</v>
      </c>
      <c r="N215" s="21">
        <f>IF(B215="","",IF(G215="",0,G215)-IF(H215="",0,H215))</f>
        <v>0</v>
      </c>
      <c r="O215" s="21">
        <f>IF(D215="","",IFERROR(INDEX(Invoices!$V$5:$V$404,MATCH(D215,Invoices!$A$5:$A$404,0)),""))</f>
        <v>0</v>
      </c>
      <c r="P215" s="21">
        <f>IF(D215="","",IFERROR(INDEX(Invoices!$W$5:$W$404,MATCH(D215,Invoices!$A$5:$A$404,0)),""))</f>
        <v>0</v>
      </c>
      <c r="Q215" s="21">
        <f>IF(OR(D215="",O215=""),"",ROUND(O215-P215,2))</f>
        <v>0</v>
      </c>
      <c r="R215" s="39">
        <f>IF(B215="","",IF(D215="","Add - which invoice?",IF(OR(G215="",G215=0),"Add - how much came in?",IF(Q215&lt;-0.004,"Check - overpaid",IF(L215="No","Due - not banked yet",IF(Q215&gt;0.004,"Part paid","OK"))))))</f>
        <v>0</v>
      </c>
    </row>
    <row r="216" spans="1:18">
      <c r="A216" s="43">
        <f>IF(B216="","",PaymentPrefix&amp;TEXT(ROW()-4,"0000"))</f>
        <v>0</v>
      </c>
      <c r="C216" s="23">
        <f>IF(B216="","",TEXT(B216,"yyyy-mm"))</f>
        <v>0</v>
      </c>
      <c r="E216" s="43">
        <f>IF(D216="","",IFERROR(INDEX(Invoices!$D$5:$D$404,MATCH(D216,Invoices!$A$5:$A$404,0)),""))</f>
        <v>0</v>
      </c>
      <c r="F216" s="23">
        <f>IF(D216="","",IFERROR(INDEX(Invoices!$E$5:$E$404,MATCH(D216,Invoices!$A$5:$A$404,0)),""))</f>
        <v>0</v>
      </c>
      <c r="N216" s="21">
        <f>IF(B216="","",IF(G216="",0,G216)-IF(H216="",0,H216))</f>
        <v>0</v>
      </c>
      <c r="O216" s="21">
        <f>IF(D216="","",IFERROR(INDEX(Invoices!$V$5:$V$404,MATCH(D216,Invoices!$A$5:$A$404,0)),""))</f>
        <v>0</v>
      </c>
      <c r="P216" s="21">
        <f>IF(D216="","",IFERROR(INDEX(Invoices!$W$5:$W$404,MATCH(D216,Invoices!$A$5:$A$404,0)),""))</f>
        <v>0</v>
      </c>
      <c r="Q216" s="21">
        <f>IF(OR(D216="",O216=""),"",ROUND(O216-P216,2))</f>
        <v>0</v>
      </c>
      <c r="R216" s="39">
        <f>IF(B216="","",IF(D216="","Add - which invoice?",IF(OR(G216="",G216=0),"Add - how much came in?",IF(Q216&lt;-0.004,"Check - overpaid",IF(L216="No","Due - not banked yet",IF(Q216&gt;0.004,"Part paid","OK"))))))</f>
        <v>0</v>
      </c>
    </row>
    <row r="217" spans="1:18">
      <c r="A217" s="43">
        <f>IF(B217="","",PaymentPrefix&amp;TEXT(ROW()-4,"0000"))</f>
        <v>0</v>
      </c>
      <c r="C217" s="23">
        <f>IF(B217="","",TEXT(B217,"yyyy-mm"))</f>
        <v>0</v>
      </c>
      <c r="E217" s="43">
        <f>IF(D217="","",IFERROR(INDEX(Invoices!$D$5:$D$404,MATCH(D217,Invoices!$A$5:$A$404,0)),""))</f>
        <v>0</v>
      </c>
      <c r="F217" s="23">
        <f>IF(D217="","",IFERROR(INDEX(Invoices!$E$5:$E$404,MATCH(D217,Invoices!$A$5:$A$404,0)),""))</f>
        <v>0</v>
      </c>
      <c r="N217" s="21">
        <f>IF(B217="","",IF(G217="",0,G217)-IF(H217="",0,H217))</f>
        <v>0</v>
      </c>
      <c r="O217" s="21">
        <f>IF(D217="","",IFERROR(INDEX(Invoices!$V$5:$V$404,MATCH(D217,Invoices!$A$5:$A$404,0)),""))</f>
        <v>0</v>
      </c>
      <c r="P217" s="21">
        <f>IF(D217="","",IFERROR(INDEX(Invoices!$W$5:$W$404,MATCH(D217,Invoices!$A$5:$A$404,0)),""))</f>
        <v>0</v>
      </c>
      <c r="Q217" s="21">
        <f>IF(OR(D217="",O217=""),"",ROUND(O217-P217,2))</f>
        <v>0</v>
      </c>
      <c r="R217" s="39">
        <f>IF(B217="","",IF(D217="","Add - which invoice?",IF(OR(G217="",G217=0),"Add - how much came in?",IF(Q217&lt;-0.004,"Check - overpaid",IF(L217="No","Due - not banked yet",IF(Q217&gt;0.004,"Part paid","OK"))))))</f>
        <v>0</v>
      </c>
    </row>
    <row r="218" spans="1:18">
      <c r="A218" s="43">
        <f>IF(B218="","",PaymentPrefix&amp;TEXT(ROW()-4,"0000"))</f>
        <v>0</v>
      </c>
      <c r="C218" s="23">
        <f>IF(B218="","",TEXT(B218,"yyyy-mm"))</f>
        <v>0</v>
      </c>
      <c r="E218" s="43">
        <f>IF(D218="","",IFERROR(INDEX(Invoices!$D$5:$D$404,MATCH(D218,Invoices!$A$5:$A$404,0)),""))</f>
        <v>0</v>
      </c>
      <c r="F218" s="23">
        <f>IF(D218="","",IFERROR(INDEX(Invoices!$E$5:$E$404,MATCH(D218,Invoices!$A$5:$A$404,0)),""))</f>
        <v>0</v>
      </c>
      <c r="N218" s="21">
        <f>IF(B218="","",IF(G218="",0,G218)-IF(H218="",0,H218))</f>
        <v>0</v>
      </c>
      <c r="O218" s="21">
        <f>IF(D218="","",IFERROR(INDEX(Invoices!$V$5:$V$404,MATCH(D218,Invoices!$A$5:$A$404,0)),""))</f>
        <v>0</v>
      </c>
      <c r="P218" s="21">
        <f>IF(D218="","",IFERROR(INDEX(Invoices!$W$5:$W$404,MATCH(D218,Invoices!$A$5:$A$404,0)),""))</f>
        <v>0</v>
      </c>
      <c r="Q218" s="21">
        <f>IF(OR(D218="",O218=""),"",ROUND(O218-P218,2))</f>
        <v>0</v>
      </c>
      <c r="R218" s="39">
        <f>IF(B218="","",IF(D218="","Add - which invoice?",IF(OR(G218="",G218=0),"Add - how much came in?",IF(Q218&lt;-0.004,"Check - overpaid",IF(L218="No","Due - not banked yet",IF(Q218&gt;0.004,"Part paid","OK"))))))</f>
        <v>0</v>
      </c>
    </row>
    <row r="219" spans="1:18">
      <c r="A219" s="43">
        <f>IF(B219="","",PaymentPrefix&amp;TEXT(ROW()-4,"0000"))</f>
        <v>0</v>
      </c>
      <c r="C219" s="23">
        <f>IF(B219="","",TEXT(B219,"yyyy-mm"))</f>
        <v>0</v>
      </c>
      <c r="E219" s="43">
        <f>IF(D219="","",IFERROR(INDEX(Invoices!$D$5:$D$404,MATCH(D219,Invoices!$A$5:$A$404,0)),""))</f>
        <v>0</v>
      </c>
      <c r="F219" s="23">
        <f>IF(D219="","",IFERROR(INDEX(Invoices!$E$5:$E$404,MATCH(D219,Invoices!$A$5:$A$404,0)),""))</f>
        <v>0</v>
      </c>
      <c r="N219" s="21">
        <f>IF(B219="","",IF(G219="",0,G219)-IF(H219="",0,H219))</f>
        <v>0</v>
      </c>
      <c r="O219" s="21">
        <f>IF(D219="","",IFERROR(INDEX(Invoices!$V$5:$V$404,MATCH(D219,Invoices!$A$5:$A$404,0)),""))</f>
        <v>0</v>
      </c>
      <c r="P219" s="21">
        <f>IF(D219="","",IFERROR(INDEX(Invoices!$W$5:$W$404,MATCH(D219,Invoices!$A$5:$A$404,0)),""))</f>
        <v>0</v>
      </c>
      <c r="Q219" s="21">
        <f>IF(OR(D219="",O219=""),"",ROUND(O219-P219,2))</f>
        <v>0</v>
      </c>
      <c r="R219" s="39">
        <f>IF(B219="","",IF(D219="","Add - which invoice?",IF(OR(G219="",G219=0),"Add - how much came in?",IF(Q219&lt;-0.004,"Check - overpaid",IF(L219="No","Due - not banked yet",IF(Q219&gt;0.004,"Part paid","OK"))))))</f>
        <v>0</v>
      </c>
    </row>
    <row r="220" spans="1:18">
      <c r="A220" s="43">
        <f>IF(B220="","",PaymentPrefix&amp;TEXT(ROW()-4,"0000"))</f>
        <v>0</v>
      </c>
      <c r="C220" s="23">
        <f>IF(B220="","",TEXT(B220,"yyyy-mm"))</f>
        <v>0</v>
      </c>
      <c r="E220" s="43">
        <f>IF(D220="","",IFERROR(INDEX(Invoices!$D$5:$D$404,MATCH(D220,Invoices!$A$5:$A$404,0)),""))</f>
        <v>0</v>
      </c>
      <c r="F220" s="23">
        <f>IF(D220="","",IFERROR(INDEX(Invoices!$E$5:$E$404,MATCH(D220,Invoices!$A$5:$A$404,0)),""))</f>
        <v>0</v>
      </c>
      <c r="N220" s="21">
        <f>IF(B220="","",IF(G220="",0,G220)-IF(H220="",0,H220))</f>
        <v>0</v>
      </c>
      <c r="O220" s="21">
        <f>IF(D220="","",IFERROR(INDEX(Invoices!$V$5:$V$404,MATCH(D220,Invoices!$A$5:$A$404,0)),""))</f>
        <v>0</v>
      </c>
      <c r="P220" s="21">
        <f>IF(D220="","",IFERROR(INDEX(Invoices!$W$5:$W$404,MATCH(D220,Invoices!$A$5:$A$404,0)),""))</f>
        <v>0</v>
      </c>
      <c r="Q220" s="21">
        <f>IF(OR(D220="",O220=""),"",ROUND(O220-P220,2))</f>
        <v>0</v>
      </c>
      <c r="R220" s="39">
        <f>IF(B220="","",IF(D220="","Add - which invoice?",IF(OR(G220="",G220=0),"Add - how much came in?",IF(Q220&lt;-0.004,"Check - overpaid",IF(L220="No","Due - not banked yet",IF(Q220&gt;0.004,"Part paid","OK"))))))</f>
        <v>0</v>
      </c>
    </row>
    <row r="221" spans="1:18">
      <c r="A221" s="43">
        <f>IF(B221="","",PaymentPrefix&amp;TEXT(ROW()-4,"0000"))</f>
        <v>0</v>
      </c>
      <c r="C221" s="23">
        <f>IF(B221="","",TEXT(B221,"yyyy-mm"))</f>
        <v>0</v>
      </c>
      <c r="E221" s="43">
        <f>IF(D221="","",IFERROR(INDEX(Invoices!$D$5:$D$404,MATCH(D221,Invoices!$A$5:$A$404,0)),""))</f>
        <v>0</v>
      </c>
      <c r="F221" s="23">
        <f>IF(D221="","",IFERROR(INDEX(Invoices!$E$5:$E$404,MATCH(D221,Invoices!$A$5:$A$404,0)),""))</f>
        <v>0</v>
      </c>
      <c r="N221" s="21">
        <f>IF(B221="","",IF(G221="",0,G221)-IF(H221="",0,H221))</f>
        <v>0</v>
      </c>
      <c r="O221" s="21">
        <f>IF(D221="","",IFERROR(INDEX(Invoices!$V$5:$V$404,MATCH(D221,Invoices!$A$5:$A$404,0)),""))</f>
        <v>0</v>
      </c>
      <c r="P221" s="21">
        <f>IF(D221="","",IFERROR(INDEX(Invoices!$W$5:$W$404,MATCH(D221,Invoices!$A$5:$A$404,0)),""))</f>
        <v>0</v>
      </c>
      <c r="Q221" s="21">
        <f>IF(OR(D221="",O221=""),"",ROUND(O221-P221,2))</f>
        <v>0</v>
      </c>
      <c r="R221" s="39">
        <f>IF(B221="","",IF(D221="","Add - which invoice?",IF(OR(G221="",G221=0),"Add - how much came in?",IF(Q221&lt;-0.004,"Check - overpaid",IF(L221="No","Due - not banked yet",IF(Q221&gt;0.004,"Part paid","OK"))))))</f>
        <v>0</v>
      </c>
    </row>
    <row r="222" spans="1:18">
      <c r="A222" s="43">
        <f>IF(B222="","",PaymentPrefix&amp;TEXT(ROW()-4,"0000"))</f>
        <v>0</v>
      </c>
      <c r="C222" s="23">
        <f>IF(B222="","",TEXT(B222,"yyyy-mm"))</f>
        <v>0</v>
      </c>
      <c r="E222" s="43">
        <f>IF(D222="","",IFERROR(INDEX(Invoices!$D$5:$D$404,MATCH(D222,Invoices!$A$5:$A$404,0)),""))</f>
        <v>0</v>
      </c>
      <c r="F222" s="23">
        <f>IF(D222="","",IFERROR(INDEX(Invoices!$E$5:$E$404,MATCH(D222,Invoices!$A$5:$A$404,0)),""))</f>
        <v>0</v>
      </c>
      <c r="N222" s="21">
        <f>IF(B222="","",IF(G222="",0,G222)-IF(H222="",0,H222))</f>
        <v>0</v>
      </c>
      <c r="O222" s="21">
        <f>IF(D222="","",IFERROR(INDEX(Invoices!$V$5:$V$404,MATCH(D222,Invoices!$A$5:$A$404,0)),""))</f>
        <v>0</v>
      </c>
      <c r="P222" s="21">
        <f>IF(D222="","",IFERROR(INDEX(Invoices!$W$5:$W$404,MATCH(D222,Invoices!$A$5:$A$404,0)),""))</f>
        <v>0</v>
      </c>
      <c r="Q222" s="21">
        <f>IF(OR(D222="",O222=""),"",ROUND(O222-P222,2))</f>
        <v>0</v>
      </c>
      <c r="R222" s="39">
        <f>IF(B222="","",IF(D222="","Add - which invoice?",IF(OR(G222="",G222=0),"Add - how much came in?",IF(Q222&lt;-0.004,"Check - overpaid",IF(L222="No","Due - not banked yet",IF(Q222&gt;0.004,"Part paid","OK"))))))</f>
        <v>0</v>
      </c>
    </row>
    <row r="223" spans="1:18">
      <c r="A223" s="43">
        <f>IF(B223="","",PaymentPrefix&amp;TEXT(ROW()-4,"0000"))</f>
        <v>0</v>
      </c>
      <c r="C223" s="23">
        <f>IF(B223="","",TEXT(B223,"yyyy-mm"))</f>
        <v>0</v>
      </c>
      <c r="E223" s="43">
        <f>IF(D223="","",IFERROR(INDEX(Invoices!$D$5:$D$404,MATCH(D223,Invoices!$A$5:$A$404,0)),""))</f>
        <v>0</v>
      </c>
      <c r="F223" s="23">
        <f>IF(D223="","",IFERROR(INDEX(Invoices!$E$5:$E$404,MATCH(D223,Invoices!$A$5:$A$404,0)),""))</f>
        <v>0</v>
      </c>
      <c r="N223" s="21">
        <f>IF(B223="","",IF(G223="",0,G223)-IF(H223="",0,H223))</f>
        <v>0</v>
      </c>
      <c r="O223" s="21">
        <f>IF(D223="","",IFERROR(INDEX(Invoices!$V$5:$V$404,MATCH(D223,Invoices!$A$5:$A$404,0)),""))</f>
        <v>0</v>
      </c>
      <c r="P223" s="21">
        <f>IF(D223="","",IFERROR(INDEX(Invoices!$W$5:$W$404,MATCH(D223,Invoices!$A$5:$A$404,0)),""))</f>
        <v>0</v>
      </c>
      <c r="Q223" s="21">
        <f>IF(OR(D223="",O223=""),"",ROUND(O223-P223,2))</f>
        <v>0</v>
      </c>
      <c r="R223" s="39">
        <f>IF(B223="","",IF(D223="","Add - which invoice?",IF(OR(G223="",G223=0),"Add - how much came in?",IF(Q223&lt;-0.004,"Check - overpaid",IF(L223="No","Due - not banked yet",IF(Q223&gt;0.004,"Part paid","OK"))))))</f>
        <v>0</v>
      </c>
    </row>
    <row r="224" spans="1:18">
      <c r="A224" s="43">
        <f>IF(B224="","",PaymentPrefix&amp;TEXT(ROW()-4,"0000"))</f>
        <v>0</v>
      </c>
      <c r="C224" s="23">
        <f>IF(B224="","",TEXT(B224,"yyyy-mm"))</f>
        <v>0</v>
      </c>
      <c r="E224" s="43">
        <f>IF(D224="","",IFERROR(INDEX(Invoices!$D$5:$D$404,MATCH(D224,Invoices!$A$5:$A$404,0)),""))</f>
        <v>0</v>
      </c>
      <c r="F224" s="23">
        <f>IF(D224="","",IFERROR(INDEX(Invoices!$E$5:$E$404,MATCH(D224,Invoices!$A$5:$A$404,0)),""))</f>
        <v>0</v>
      </c>
      <c r="N224" s="21">
        <f>IF(B224="","",IF(G224="",0,G224)-IF(H224="",0,H224))</f>
        <v>0</v>
      </c>
      <c r="O224" s="21">
        <f>IF(D224="","",IFERROR(INDEX(Invoices!$V$5:$V$404,MATCH(D224,Invoices!$A$5:$A$404,0)),""))</f>
        <v>0</v>
      </c>
      <c r="P224" s="21">
        <f>IF(D224="","",IFERROR(INDEX(Invoices!$W$5:$W$404,MATCH(D224,Invoices!$A$5:$A$404,0)),""))</f>
        <v>0</v>
      </c>
      <c r="Q224" s="21">
        <f>IF(OR(D224="",O224=""),"",ROUND(O224-P224,2))</f>
        <v>0</v>
      </c>
      <c r="R224" s="39">
        <f>IF(B224="","",IF(D224="","Add - which invoice?",IF(OR(G224="",G224=0),"Add - how much came in?",IF(Q224&lt;-0.004,"Check - overpaid",IF(L224="No","Due - not banked yet",IF(Q224&gt;0.004,"Part paid","OK"))))))</f>
        <v>0</v>
      </c>
    </row>
    <row r="225" spans="1:18">
      <c r="A225" s="43">
        <f>IF(B225="","",PaymentPrefix&amp;TEXT(ROW()-4,"0000"))</f>
        <v>0</v>
      </c>
      <c r="C225" s="23">
        <f>IF(B225="","",TEXT(B225,"yyyy-mm"))</f>
        <v>0</v>
      </c>
      <c r="E225" s="43">
        <f>IF(D225="","",IFERROR(INDEX(Invoices!$D$5:$D$404,MATCH(D225,Invoices!$A$5:$A$404,0)),""))</f>
        <v>0</v>
      </c>
      <c r="F225" s="23">
        <f>IF(D225="","",IFERROR(INDEX(Invoices!$E$5:$E$404,MATCH(D225,Invoices!$A$5:$A$404,0)),""))</f>
        <v>0</v>
      </c>
      <c r="N225" s="21">
        <f>IF(B225="","",IF(G225="",0,G225)-IF(H225="",0,H225))</f>
        <v>0</v>
      </c>
      <c r="O225" s="21">
        <f>IF(D225="","",IFERROR(INDEX(Invoices!$V$5:$V$404,MATCH(D225,Invoices!$A$5:$A$404,0)),""))</f>
        <v>0</v>
      </c>
      <c r="P225" s="21">
        <f>IF(D225="","",IFERROR(INDEX(Invoices!$W$5:$W$404,MATCH(D225,Invoices!$A$5:$A$404,0)),""))</f>
        <v>0</v>
      </c>
      <c r="Q225" s="21">
        <f>IF(OR(D225="",O225=""),"",ROUND(O225-P225,2))</f>
        <v>0</v>
      </c>
      <c r="R225" s="39">
        <f>IF(B225="","",IF(D225="","Add - which invoice?",IF(OR(G225="",G225=0),"Add - how much came in?",IF(Q225&lt;-0.004,"Check - overpaid",IF(L225="No","Due - not banked yet",IF(Q225&gt;0.004,"Part paid","OK"))))))</f>
        <v>0</v>
      </c>
    </row>
    <row r="226" spans="1:18">
      <c r="A226" s="43">
        <f>IF(B226="","",PaymentPrefix&amp;TEXT(ROW()-4,"0000"))</f>
        <v>0</v>
      </c>
      <c r="C226" s="23">
        <f>IF(B226="","",TEXT(B226,"yyyy-mm"))</f>
        <v>0</v>
      </c>
      <c r="E226" s="43">
        <f>IF(D226="","",IFERROR(INDEX(Invoices!$D$5:$D$404,MATCH(D226,Invoices!$A$5:$A$404,0)),""))</f>
        <v>0</v>
      </c>
      <c r="F226" s="23">
        <f>IF(D226="","",IFERROR(INDEX(Invoices!$E$5:$E$404,MATCH(D226,Invoices!$A$5:$A$404,0)),""))</f>
        <v>0</v>
      </c>
      <c r="N226" s="21">
        <f>IF(B226="","",IF(G226="",0,G226)-IF(H226="",0,H226))</f>
        <v>0</v>
      </c>
      <c r="O226" s="21">
        <f>IF(D226="","",IFERROR(INDEX(Invoices!$V$5:$V$404,MATCH(D226,Invoices!$A$5:$A$404,0)),""))</f>
        <v>0</v>
      </c>
      <c r="P226" s="21">
        <f>IF(D226="","",IFERROR(INDEX(Invoices!$W$5:$W$404,MATCH(D226,Invoices!$A$5:$A$404,0)),""))</f>
        <v>0</v>
      </c>
      <c r="Q226" s="21">
        <f>IF(OR(D226="",O226=""),"",ROUND(O226-P226,2))</f>
        <v>0</v>
      </c>
      <c r="R226" s="39">
        <f>IF(B226="","",IF(D226="","Add - which invoice?",IF(OR(G226="",G226=0),"Add - how much came in?",IF(Q226&lt;-0.004,"Check - overpaid",IF(L226="No","Due - not banked yet",IF(Q226&gt;0.004,"Part paid","OK"))))))</f>
        <v>0</v>
      </c>
    </row>
    <row r="227" spans="1:18">
      <c r="A227" s="43">
        <f>IF(B227="","",PaymentPrefix&amp;TEXT(ROW()-4,"0000"))</f>
        <v>0</v>
      </c>
      <c r="C227" s="23">
        <f>IF(B227="","",TEXT(B227,"yyyy-mm"))</f>
        <v>0</v>
      </c>
      <c r="E227" s="43">
        <f>IF(D227="","",IFERROR(INDEX(Invoices!$D$5:$D$404,MATCH(D227,Invoices!$A$5:$A$404,0)),""))</f>
        <v>0</v>
      </c>
      <c r="F227" s="23">
        <f>IF(D227="","",IFERROR(INDEX(Invoices!$E$5:$E$404,MATCH(D227,Invoices!$A$5:$A$404,0)),""))</f>
        <v>0</v>
      </c>
      <c r="N227" s="21">
        <f>IF(B227="","",IF(G227="",0,G227)-IF(H227="",0,H227))</f>
        <v>0</v>
      </c>
      <c r="O227" s="21">
        <f>IF(D227="","",IFERROR(INDEX(Invoices!$V$5:$V$404,MATCH(D227,Invoices!$A$5:$A$404,0)),""))</f>
        <v>0</v>
      </c>
      <c r="P227" s="21">
        <f>IF(D227="","",IFERROR(INDEX(Invoices!$W$5:$W$404,MATCH(D227,Invoices!$A$5:$A$404,0)),""))</f>
        <v>0</v>
      </c>
      <c r="Q227" s="21">
        <f>IF(OR(D227="",O227=""),"",ROUND(O227-P227,2))</f>
        <v>0</v>
      </c>
      <c r="R227" s="39">
        <f>IF(B227="","",IF(D227="","Add - which invoice?",IF(OR(G227="",G227=0),"Add - how much came in?",IF(Q227&lt;-0.004,"Check - overpaid",IF(L227="No","Due - not banked yet",IF(Q227&gt;0.004,"Part paid","OK"))))))</f>
        <v>0</v>
      </c>
    </row>
    <row r="228" spans="1:18">
      <c r="A228" s="43">
        <f>IF(B228="","",PaymentPrefix&amp;TEXT(ROW()-4,"0000"))</f>
        <v>0</v>
      </c>
      <c r="C228" s="23">
        <f>IF(B228="","",TEXT(B228,"yyyy-mm"))</f>
        <v>0</v>
      </c>
      <c r="E228" s="43">
        <f>IF(D228="","",IFERROR(INDEX(Invoices!$D$5:$D$404,MATCH(D228,Invoices!$A$5:$A$404,0)),""))</f>
        <v>0</v>
      </c>
      <c r="F228" s="23">
        <f>IF(D228="","",IFERROR(INDEX(Invoices!$E$5:$E$404,MATCH(D228,Invoices!$A$5:$A$404,0)),""))</f>
        <v>0</v>
      </c>
      <c r="N228" s="21">
        <f>IF(B228="","",IF(G228="",0,G228)-IF(H228="",0,H228))</f>
        <v>0</v>
      </c>
      <c r="O228" s="21">
        <f>IF(D228="","",IFERROR(INDEX(Invoices!$V$5:$V$404,MATCH(D228,Invoices!$A$5:$A$404,0)),""))</f>
        <v>0</v>
      </c>
      <c r="P228" s="21">
        <f>IF(D228="","",IFERROR(INDEX(Invoices!$W$5:$W$404,MATCH(D228,Invoices!$A$5:$A$404,0)),""))</f>
        <v>0</v>
      </c>
      <c r="Q228" s="21">
        <f>IF(OR(D228="",O228=""),"",ROUND(O228-P228,2))</f>
        <v>0</v>
      </c>
      <c r="R228" s="39">
        <f>IF(B228="","",IF(D228="","Add - which invoice?",IF(OR(G228="",G228=0),"Add - how much came in?",IF(Q228&lt;-0.004,"Check - overpaid",IF(L228="No","Due - not banked yet",IF(Q228&gt;0.004,"Part paid","OK"))))))</f>
        <v>0</v>
      </c>
    </row>
    <row r="229" spans="1:18">
      <c r="A229" s="43">
        <f>IF(B229="","",PaymentPrefix&amp;TEXT(ROW()-4,"0000"))</f>
        <v>0</v>
      </c>
      <c r="C229" s="23">
        <f>IF(B229="","",TEXT(B229,"yyyy-mm"))</f>
        <v>0</v>
      </c>
      <c r="E229" s="43">
        <f>IF(D229="","",IFERROR(INDEX(Invoices!$D$5:$D$404,MATCH(D229,Invoices!$A$5:$A$404,0)),""))</f>
        <v>0</v>
      </c>
      <c r="F229" s="23">
        <f>IF(D229="","",IFERROR(INDEX(Invoices!$E$5:$E$404,MATCH(D229,Invoices!$A$5:$A$404,0)),""))</f>
        <v>0</v>
      </c>
      <c r="N229" s="21">
        <f>IF(B229="","",IF(G229="",0,G229)-IF(H229="",0,H229))</f>
        <v>0</v>
      </c>
      <c r="O229" s="21">
        <f>IF(D229="","",IFERROR(INDEX(Invoices!$V$5:$V$404,MATCH(D229,Invoices!$A$5:$A$404,0)),""))</f>
        <v>0</v>
      </c>
      <c r="P229" s="21">
        <f>IF(D229="","",IFERROR(INDEX(Invoices!$W$5:$W$404,MATCH(D229,Invoices!$A$5:$A$404,0)),""))</f>
        <v>0</v>
      </c>
      <c r="Q229" s="21">
        <f>IF(OR(D229="",O229=""),"",ROUND(O229-P229,2))</f>
        <v>0</v>
      </c>
      <c r="R229" s="39">
        <f>IF(B229="","",IF(D229="","Add - which invoice?",IF(OR(G229="",G229=0),"Add - how much came in?",IF(Q229&lt;-0.004,"Check - overpaid",IF(L229="No","Due - not banked yet",IF(Q229&gt;0.004,"Part paid","OK"))))))</f>
        <v>0</v>
      </c>
    </row>
    <row r="230" spans="1:18">
      <c r="A230" s="43">
        <f>IF(B230="","",PaymentPrefix&amp;TEXT(ROW()-4,"0000"))</f>
        <v>0</v>
      </c>
      <c r="C230" s="23">
        <f>IF(B230="","",TEXT(B230,"yyyy-mm"))</f>
        <v>0</v>
      </c>
      <c r="E230" s="43">
        <f>IF(D230="","",IFERROR(INDEX(Invoices!$D$5:$D$404,MATCH(D230,Invoices!$A$5:$A$404,0)),""))</f>
        <v>0</v>
      </c>
      <c r="F230" s="23">
        <f>IF(D230="","",IFERROR(INDEX(Invoices!$E$5:$E$404,MATCH(D230,Invoices!$A$5:$A$404,0)),""))</f>
        <v>0</v>
      </c>
      <c r="N230" s="21">
        <f>IF(B230="","",IF(G230="",0,G230)-IF(H230="",0,H230))</f>
        <v>0</v>
      </c>
      <c r="O230" s="21">
        <f>IF(D230="","",IFERROR(INDEX(Invoices!$V$5:$V$404,MATCH(D230,Invoices!$A$5:$A$404,0)),""))</f>
        <v>0</v>
      </c>
      <c r="P230" s="21">
        <f>IF(D230="","",IFERROR(INDEX(Invoices!$W$5:$W$404,MATCH(D230,Invoices!$A$5:$A$404,0)),""))</f>
        <v>0</v>
      </c>
      <c r="Q230" s="21">
        <f>IF(OR(D230="",O230=""),"",ROUND(O230-P230,2))</f>
        <v>0</v>
      </c>
      <c r="R230" s="39">
        <f>IF(B230="","",IF(D230="","Add - which invoice?",IF(OR(G230="",G230=0),"Add - how much came in?",IF(Q230&lt;-0.004,"Check - overpaid",IF(L230="No","Due - not banked yet",IF(Q230&gt;0.004,"Part paid","OK"))))))</f>
        <v>0</v>
      </c>
    </row>
    <row r="231" spans="1:18">
      <c r="A231" s="43">
        <f>IF(B231="","",PaymentPrefix&amp;TEXT(ROW()-4,"0000"))</f>
        <v>0</v>
      </c>
      <c r="C231" s="23">
        <f>IF(B231="","",TEXT(B231,"yyyy-mm"))</f>
        <v>0</v>
      </c>
      <c r="E231" s="43">
        <f>IF(D231="","",IFERROR(INDEX(Invoices!$D$5:$D$404,MATCH(D231,Invoices!$A$5:$A$404,0)),""))</f>
        <v>0</v>
      </c>
      <c r="F231" s="23">
        <f>IF(D231="","",IFERROR(INDEX(Invoices!$E$5:$E$404,MATCH(D231,Invoices!$A$5:$A$404,0)),""))</f>
        <v>0</v>
      </c>
      <c r="N231" s="21">
        <f>IF(B231="","",IF(G231="",0,G231)-IF(H231="",0,H231))</f>
        <v>0</v>
      </c>
      <c r="O231" s="21">
        <f>IF(D231="","",IFERROR(INDEX(Invoices!$V$5:$V$404,MATCH(D231,Invoices!$A$5:$A$404,0)),""))</f>
        <v>0</v>
      </c>
      <c r="P231" s="21">
        <f>IF(D231="","",IFERROR(INDEX(Invoices!$W$5:$W$404,MATCH(D231,Invoices!$A$5:$A$404,0)),""))</f>
        <v>0</v>
      </c>
      <c r="Q231" s="21">
        <f>IF(OR(D231="",O231=""),"",ROUND(O231-P231,2))</f>
        <v>0</v>
      </c>
      <c r="R231" s="39">
        <f>IF(B231="","",IF(D231="","Add - which invoice?",IF(OR(G231="",G231=0),"Add - how much came in?",IF(Q231&lt;-0.004,"Check - overpaid",IF(L231="No","Due - not banked yet",IF(Q231&gt;0.004,"Part paid","OK"))))))</f>
        <v>0</v>
      </c>
    </row>
    <row r="232" spans="1:18">
      <c r="A232" s="43">
        <f>IF(B232="","",PaymentPrefix&amp;TEXT(ROW()-4,"0000"))</f>
        <v>0</v>
      </c>
      <c r="C232" s="23">
        <f>IF(B232="","",TEXT(B232,"yyyy-mm"))</f>
        <v>0</v>
      </c>
      <c r="E232" s="43">
        <f>IF(D232="","",IFERROR(INDEX(Invoices!$D$5:$D$404,MATCH(D232,Invoices!$A$5:$A$404,0)),""))</f>
        <v>0</v>
      </c>
      <c r="F232" s="23">
        <f>IF(D232="","",IFERROR(INDEX(Invoices!$E$5:$E$404,MATCH(D232,Invoices!$A$5:$A$404,0)),""))</f>
        <v>0</v>
      </c>
      <c r="N232" s="21">
        <f>IF(B232="","",IF(G232="",0,G232)-IF(H232="",0,H232))</f>
        <v>0</v>
      </c>
      <c r="O232" s="21">
        <f>IF(D232="","",IFERROR(INDEX(Invoices!$V$5:$V$404,MATCH(D232,Invoices!$A$5:$A$404,0)),""))</f>
        <v>0</v>
      </c>
      <c r="P232" s="21">
        <f>IF(D232="","",IFERROR(INDEX(Invoices!$W$5:$W$404,MATCH(D232,Invoices!$A$5:$A$404,0)),""))</f>
        <v>0</v>
      </c>
      <c r="Q232" s="21">
        <f>IF(OR(D232="",O232=""),"",ROUND(O232-P232,2))</f>
        <v>0</v>
      </c>
      <c r="R232" s="39">
        <f>IF(B232="","",IF(D232="","Add - which invoice?",IF(OR(G232="",G232=0),"Add - how much came in?",IF(Q232&lt;-0.004,"Check - overpaid",IF(L232="No","Due - not banked yet",IF(Q232&gt;0.004,"Part paid","OK"))))))</f>
        <v>0</v>
      </c>
    </row>
    <row r="233" spans="1:18">
      <c r="A233" s="43">
        <f>IF(B233="","",PaymentPrefix&amp;TEXT(ROW()-4,"0000"))</f>
        <v>0</v>
      </c>
      <c r="C233" s="23">
        <f>IF(B233="","",TEXT(B233,"yyyy-mm"))</f>
        <v>0</v>
      </c>
      <c r="E233" s="43">
        <f>IF(D233="","",IFERROR(INDEX(Invoices!$D$5:$D$404,MATCH(D233,Invoices!$A$5:$A$404,0)),""))</f>
        <v>0</v>
      </c>
      <c r="F233" s="23">
        <f>IF(D233="","",IFERROR(INDEX(Invoices!$E$5:$E$404,MATCH(D233,Invoices!$A$5:$A$404,0)),""))</f>
        <v>0</v>
      </c>
      <c r="N233" s="21">
        <f>IF(B233="","",IF(G233="",0,G233)-IF(H233="",0,H233))</f>
        <v>0</v>
      </c>
      <c r="O233" s="21">
        <f>IF(D233="","",IFERROR(INDEX(Invoices!$V$5:$V$404,MATCH(D233,Invoices!$A$5:$A$404,0)),""))</f>
        <v>0</v>
      </c>
      <c r="P233" s="21">
        <f>IF(D233="","",IFERROR(INDEX(Invoices!$W$5:$W$404,MATCH(D233,Invoices!$A$5:$A$404,0)),""))</f>
        <v>0</v>
      </c>
      <c r="Q233" s="21">
        <f>IF(OR(D233="",O233=""),"",ROUND(O233-P233,2))</f>
        <v>0</v>
      </c>
      <c r="R233" s="39">
        <f>IF(B233="","",IF(D233="","Add - which invoice?",IF(OR(G233="",G233=0),"Add - how much came in?",IF(Q233&lt;-0.004,"Check - overpaid",IF(L233="No","Due - not banked yet",IF(Q233&gt;0.004,"Part paid","OK"))))))</f>
        <v>0</v>
      </c>
    </row>
    <row r="234" spans="1:18">
      <c r="A234" s="43">
        <f>IF(B234="","",PaymentPrefix&amp;TEXT(ROW()-4,"0000"))</f>
        <v>0</v>
      </c>
      <c r="C234" s="23">
        <f>IF(B234="","",TEXT(B234,"yyyy-mm"))</f>
        <v>0</v>
      </c>
      <c r="E234" s="43">
        <f>IF(D234="","",IFERROR(INDEX(Invoices!$D$5:$D$404,MATCH(D234,Invoices!$A$5:$A$404,0)),""))</f>
        <v>0</v>
      </c>
      <c r="F234" s="23">
        <f>IF(D234="","",IFERROR(INDEX(Invoices!$E$5:$E$404,MATCH(D234,Invoices!$A$5:$A$404,0)),""))</f>
        <v>0</v>
      </c>
      <c r="N234" s="21">
        <f>IF(B234="","",IF(G234="",0,G234)-IF(H234="",0,H234))</f>
        <v>0</v>
      </c>
      <c r="O234" s="21">
        <f>IF(D234="","",IFERROR(INDEX(Invoices!$V$5:$V$404,MATCH(D234,Invoices!$A$5:$A$404,0)),""))</f>
        <v>0</v>
      </c>
      <c r="P234" s="21">
        <f>IF(D234="","",IFERROR(INDEX(Invoices!$W$5:$W$404,MATCH(D234,Invoices!$A$5:$A$404,0)),""))</f>
        <v>0</v>
      </c>
      <c r="Q234" s="21">
        <f>IF(OR(D234="",O234=""),"",ROUND(O234-P234,2))</f>
        <v>0</v>
      </c>
      <c r="R234" s="39">
        <f>IF(B234="","",IF(D234="","Add - which invoice?",IF(OR(G234="",G234=0),"Add - how much came in?",IF(Q234&lt;-0.004,"Check - overpaid",IF(L234="No","Due - not banked yet",IF(Q234&gt;0.004,"Part paid","OK"))))))</f>
        <v>0</v>
      </c>
    </row>
    <row r="235" spans="1:18">
      <c r="A235" s="43">
        <f>IF(B235="","",PaymentPrefix&amp;TEXT(ROW()-4,"0000"))</f>
        <v>0</v>
      </c>
      <c r="C235" s="23">
        <f>IF(B235="","",TEXT(B235,"yyyy-mm"))</f>
        <v>0</v>
      </c>
      <c r="E235" s="43">
        <f>IF(D235="","",IFERROR(INDEX(Invoices!$D$5:$D$404,MATCH(D235,Invoices!$A$5:$A$404,0)),""))</f>
        <v>0</v>
      </c>
      <c r="F235" s="23">
        <f>IF(D235="","",IFERROR(INDEX(Invoices!$E$5:$E$404,MATCH(D235,Invoices!$A$5:$A$404,0)),""))</f>
        <v>0</v>
      </c>
      <c r="N235" s="21">
        <f>IF(B235="","",IF(G235="",0,G235)-IF(H235="",0,H235))</f>
        <v>0</v>
      </c>
      <c r="O235" s="21">
        <f>IF(D235="","",IFERROR(INDEX(Invoices!$V$5:$V$404,MATCH(D235,Invoices!$A$5:$A$404,0)),""))</f>
        <v>0</v>
      </c>
      <c r="P235" s="21">
        <f>IF(D235="","",IFERROR(INDEX(Invoices!$W$5:$W$404,MATCH(D235,Invoices!$A$5:$A$404,0)),""))</f>
        <v>0</v>
      </c>
      <c r="Q235" s="21">
        <f>IF(OR(D235="",O235=""),"",ROUND(O235-P235,2))</f>
        <v>0</v>
      </c>
      <c r="R235" s="39">
        <f>IF(B235="","",IF(D235="","Add - which invoice?",IF(OR(G235="",G235=0),"Add - how much came in?",IF(Q235&lt;-0.004,"Check - overpaid",IF(L235="No","Due - not banked yet",IF(Q235&gt;0.004,"Part paid","OK"))))))</f>
        <v>0</v>
      </c>
    </row>
    <row r="236" spans="1:18">
      <c r="A236" s="43">
        <f>IF(B236="","",PaymentPrefix&amp;TEXT(ROW()-4,"0000"))</f>
        <v>0</v>
      </c>
      <c r="C236" s="23">
        <f>IF(B236="","",TEXT(B236,"yyyy-mm"))</f>
        <v>0</v>
      </c>
      <c r="E236" s="43">
        <f>IF(D236="","",IFERROR(INDEX(Invoices!$D$5:$D$404,MATCH(D236,Invoices!$A$5:$A$404,0)),""))</f>
        <v>0</v>
      </c>
      <c r="F236" s="23">
        <f>IF(D236="","",IFERROR(INDEX(Invoices!$E$5:$E$404,MATCH(D236,Invoices!$A$5:$A$404,0)),""))</f>
        <v>0</v>
      </c>
      <c r="N236" s="21">
        <f>IF(B236="","",IF(G236="",0,G236)-IF(H236="",0,H236))</f>
        <v>0</v>
      </c>
      <c r="O236" s="21">
        <f>IF(D236="","",IFERROR(INDEX(Invoices!$V$5:$V$404,MATCH(D236,Invoices!$A$5:$A$404,0)),""))</f>
        <v>0</v>
      </c>
      <c r="P236" s="21">
        <f>IF(D236="","",IFERROR(INDEX(Invoices!$W$5:$W$404,MATCH(D236,Invoices!$A$5:$A$404,0)),""))</f>
        <v>0</v>
      </c>
      <c r="Q236" s="21">
        <f>IF(OR(D236="",O236=""),"",ROUND(O236-P236,2))</f>
        <v>0</v>
      </c>
      <c r="R236" s="39">
        <f>IF(B236="","",IF(D236="","Add - which invoice?",IF(OR(G236="",G236=0),"Add - how much came in?",IF(Q236&lt;-0.004,"Check - overpaid",IF(L236="No","Due - not banked yet",IF(Q236&gt;0.004,"Part paid","OK"))))))</f>
        <v>0</v>
      </c>
    </row>
    <row r="237" spans="1:18">
      <c r="A237" s="43">
        <f>IF(B237="","",PaymentPrefix&amp;TEXT(ROW()-4,"0000"))</f>
        <v>0</v>
      </c>
      <c r="C237" s="23">
        <f>IF(B237="","",TEXT(B237,"yyyy-mm"))</f>
        <v>0</v>
      </c>
      <c r="E237" s="43">
        <f>IF(D237="","",IFERROR(INDEX(Invoices!$D$5:$D$404,MATCH(D237,Invoices!$A$5:$A$404,0)),""))</f>
        <v>0</v>
      </c>
      <c r="F237" s="23">
        <f>IF(D237="","",IFERROR(INDEX(Invoices!$E$5:$E$404,MATCH(D237,Invoices!$A$5:$A$404,0)),""))</f>
        <v>0</v>
      </c>
      <c r="N237" s="21">
        <f>IF(B237="","",IF(G237="",0,G237)-IF(H237="",0,H237))</f>
        <v>0</v>
      </c>
      <c r="O237" s="21">
        <f>IF(D237="","",IFERROR(INDEX(Invoices!$V$5:$V$404,MATCH(D237,Invoices!$A$5:$A$404,0)),""))</f>
        <v>0</v>
      </c>
      <c r="P237" s="21">
        <f>IF(D237="","",IFERROR(INDEX(Invoices!$W$5:$W$404,MATCH(D237,Invoices!$A$5:$A$404,0)),""))</f>
        <v>0</v>
      </c>
      <c r="Q237" s="21">
        <f>IF(OR(D237="",O237=""),"",ROUND(O237-P237,2))</f>
        <v>0</v>
      </c>
      <c r="R237" s="39">
        <f>IF(B237="","",IF(D237="","Add - which invoice?",IF(OR(G237="",G237=0),"Add - how much came in?",IF(Q237&lt;-0.004,"Check - overpaid",IF(L237="No","Due - not banked yet",IF(Q237&gt;0.004,"Part paid","OK"))))))</f>
        <v>0</v>
      </c>
    </row>
    <row r="238" spans="1:18">
      <c r="A238" s="43">
        <f>IF(B238="","",PaymentPrefix&amp;TEXT(ROW()-4,"0000"))</f>
        <v>0</v>
      </c>
      <c r="C238" s="23">
        <f>IF(B238="","",TEXT(B238,"yyyy-mm"))</f>
        <v>0</v>
      </c>
      <c r="E238" s="43">
        <f>IF(D238="","",IFERROR(INDEX(Invoices!$D$5:$D$404,MATCH(D238,Invoices!$A$5:$A$404,0)),""))</f>
        <v>0</v>
      </c>
      <c r="F238" s="23">
        <f>IF(D238="","",IFERROR(INDEX(Invoices!$E$5:$E$404,MATCH(D238,Invoices!$A$5:$A$404,0)),""))</f>
        <v>0</v>
      </c>
      <c r="N238" s="21">
        <f>IF(B238="","",IF(G238="",0,G238)-IF(H238="",0,H238))</f>
        <v>0</v>
      </c>
      <c r="O238" s="21">
        <f>IF(D238="","",IFERROR(INDEX(Invoices!$V$5:$V$404,MATCH(D238,Invoices!$A$5:$A$404,0)),""))</f>
        <v>0</v>
      </c>
      <c r="P238" s="21">
        <f>IF(D238="","",IFERROR(INDEX(Invoices!$W$5:$W$404,MATCH(D238,Invoices!$A$5:$A$404,0)),""))</f>
        <v>0</v>
      </c>
      <c r="Q238" s="21">
        <f>IF(OR(D238="",O238=""),"",ROUND(O238-P238,2))</f>
        <v>0</v>
      </c>
      <c r="R238" s="39">
        <f>IF(B238="","",IF(D238="","Add - which invoice?",IF(OR(G238="",G238=0),"Add - how much came in?",IF(Q238&lt;-0.004,"Check - overpaid",IF(L238="No","Due - not banked yet",IF(Q238&gt;0.004,"Part paid","OK"))))))</f>
        <v>0</v>
      </c>
    </row>
    <row r="239" spans="1:18">
      <c r="A239" s="43">
        <f>IF(B239="","",PaymentPrefix&amp;TEXT(ROW()-4,"0000"))</f>
        <v>0</v>
      </c>
      <c r="C239" s="23">
        <f>IF(B239="","",TEXT(B239,"yyyy-mm"))</f>
        <v>0</v>
      </c>
      <c r="E239" s="43">
        <f>IF(D239="","",IFERROR(INDEX(Invoices!$D$5:$D$404,MATCH(D239,Invoices!$A$5:$A$404,0)),""))</f>
        <v>0</v>
      </c>
      <c r="F239" s="23">
        <f>IF(D239="","",IFERROR(INDEX(Invoices!$E$5:$E$404,MATCH(D239,Invoices!$A$5:$A$404,0)),""))</f>
        <v>0</v>
      </c>
      <c r="N239" s="21">
        <f>IF(B239="","",IF(G239="",0,G239)-IF(H239="",0,H239))</f>
        <v>0</v>
      </c>
      <c r="O239" s="21">
        <f>IF(D239="","",IFERROR(INDEX(Invoices!$V$5:$V$404,MATCH(D239,Invoices!$A$5:$A$404,0)),""))</f>
        <v>0</v>
      </c>
      <c r="P239" s="21">
        <f>IF(D239="","",IFERROR(INDEX(Invoices!$W$5:$W$404,MATCH(D239,Invoices!$A$5:$A$404,0)),""))</f>
        <v>0</v>
      </c>
      <c r="Q239" s="21">
        <f>IF(OR(D239="",O239=""),"",ROUND(O239-P239,2))</f>
        <v>0</v>
      </c>
      <c r="R239" s="39">
        <f>IF(B239="","",IF(D239="","Add - which invoice?",IF(OR(G239="",G239=0),"Add - how much came in?",IF(Q239&lt;-0.004,"Check - overpaid",IF(L239="No","Due - not banked yet",IF(Q239&gt;0.004,"Part paid","OK"))))))</f>
        <v>0</v>
      </c>
    </row>
    <row r="240" spans="1:18">
      <c r="A240" s="43">
        <f>IF(B240="","",PaymentPrefix&amp;TEXT(ROW()-4,"0000"))</f>
        <v>0</v>
      </c>
      <c r="C240" s="23">
        <f>IF(B240="","",TEXT(B240,"yyyy-mm"))</f>
        <v>0</v>
      </c>
      <c r="E240" s="43">
        <f>IF(D240="","",IFERROR(INDEX(Invoices!$D$5:$D$404,MATCH(D240,Invoices!$A$5:$A$404,0)),""))</f>
        <v>0</v>
      </c>
      <c r="F240" s="23">
        <f>IF(D240="","",IFERROR(INDEX(Invoices!$E$5:$E$404,MATCH(D240,Invoices!$A$5:$A$404,0)),""))</f>
        <v>0</v>
      </c>
      <c r="N240" s="21">
        <f>IF(B240="","",IF(G240="",0,G240)-IF(H240="",0,H240))</f>
        <v>0</v>
      </c>
      <c r="O240" s="21">
        <f>IF(D240="","",IFERROR(INDEX(Invoices!$V$5:$V$404,MATCH(D240,Invoices!$A$5:$A$404,0)),""))</f>
        <v>0</v>
      </c>
      <c r="P240" s="21">
        <f>IF(D240="","",IFERROR(INDEX(Invoices!$W$5:$W$404,MATCH(D240,Invoices!$A$5:$A$404,0)),""))</f>
        <v>0</v>
      </c>
      <c r="Q240" s="21">
        <f>IF(OR(D240="",O240=""),"",ROUND(O240-P240,2))</f>
        <v>0</v>
      </c>
      <c r="R240" s="39">
        <f>IF(B240="","",IF(D240="","Add - which invoice?",IF(OR(G240="",G240=0),"Add - how much came in?",IF(Q240&lt;-0.004,"Check - overpaid",IF(L240="No","Due - not banked yet",IF(Q240&gt;0.004,"Part paid","OK"))))))</f>
        <v>0</v>
      </c>
    </row>
    <row r="241" spans="1:18">
      <c r="A241" s="43">
        <f>IF(B241="","",PaymentPrefix&amp;TEXT(ROW()-4,"0000"))</f>
        <v>0</v>
      </c>
      <c r="C241" s="23">
        <f>IF(B241="","",TEXT(B241,"yyyy-mm"))</f>
        <v>0</v>
      </c>
      <c r="E241" s="43">
        <f>IF(D241="","",IFERROR(INDEX(Invoices!$D$5:$D$404,MATCH(D241,Invoices!$A$5:$A$404,0)),""))</f>
        <v>0</v>
      </c>
      <c r="F241" s="23">
        <f>IF(D241="","",IFERROR(INDEX(Invoices!$E$5:$E$404,MATCH(D241,Invoices!$A$5:$A$404,0)),""))</f>
        <v>0</v>
      </c>
      <c r="N241" s="21">
        <f>IF(B241="","",IF(G241="",0,G241)-IF(H241="",0,H241))</f>
        <v>0</v>
      </c>
      <c r="O241" s="21">
        <f>IF(D241="","",IFERROR(INDEX(Invoices!$V$5:$V$404,MATCH(D241,Invoices!$A$5:$A$404,0)),""))</f>
        <v>0</v>
      </c>
      <c r="P241" s="21">
        <f>IF(D241="","",IFERROR(INDEX(Invoices!$W$5:$W$404,MATCH(D241,Invoices!$A$5:$A$404,0)),""))</f>
        <v>0</v>
      </c>
      <c r="Q241" s="21">
        <f>IF(OR(D241="",O241=""),"",ROUND(O241-P241,2))</f>
        <v>0</v>
      </c>
      <c r="R241" s="39">
        <f>IF(B241="","",IF(D241="","Add - which invoice?",IF(OR(G241="",G241=0),"Add - how much came in?",IF(Q241&lt;-0.004,"Check - overpaid",IF(L241="No","Due - not banked yet",IF(Q241&gt;0.004,"Part paid","OK"))))))</f>
        <v>0</v>
      </c>
    </row>
    <row r="242" spans="1:18">
      <c r="A242" s="43">
        <f>IF(B242="","",PaymentPrefix&amp;TEXT(ROW()-4,"0000"))</f>
        <v>0</v>
      </c>
      <c r="C242" s="23">
        <f>IF(B242="","",TEXT(B242,"yyyy-mm"))</f>
        <v>0</v>
      </c>
      <c r="E242" s="43">
        <f>IF(D242="","",IFERROR(INDEX(Invoices!$D$5:$D$404,MATCH(D242,Invoices!$A$5:$A$404,0)),""))</f>
        <v>0</v>
      </c>
      <c r="F242" s="23">
        <f>IF(D242="","",IFERROR(INDEX(Invoices!$E$5:$E$404,MATCH(D242,Invoices!$A$5:$A$404,0)),""))</f>
        <v>0</v>
      </c>
      <c r="N242" s="21">
        <f>IF(B242="","",IF(G242="",0,G242)-IF(H242="",0,H242))</f>
        <v>0</v>
      </c>
      <c r="O242" s="21">
        <f>IF(D242="","",IFERROR(INDEX(Invoices!$V$5:$V$404,MATCH(D242,Invoices!$A$5:$A$404,0)),""))</f>
        <v>0</v>
      </c>
      <c r="P242" s="21">
        <f>IF(D242="","",IFERROR(INDEX(Invoices!$W$5:$W$404,MATCH(D242,Invoices!$A$5:$A$404,0)),""))</f>
        <v>0</v>
      </c>
      <c r="Q242" s="21">
        <f>IF(OR(D242="",O242=""),"",ROUND(O242-P242,2))</f>
        <v>0</v>
      </c>
      <c r="R242" s="39">
        <f>IF(B242="","",IF(D242="","Add - which invoice?",IF(OR(G242="",G242=0),"Add - how much came in?",IF(Q242&lt;-0.004,"Check - overpaid",IF(L242="No","Due - not banked yet",IF(Q242&gt;0.004,"Part paid","OK"))))))</f>
        <v>0</v>
      </c>
    </row>
    <row r="243" spans="1:18">
      <c r="A243" s="43">
        <f>IF(B243="","",PaymentPrefix&amp;TEXT(ROW()-4,"0000"))</f>
        <v>0</v>
      </c>
      <c r="C243" s="23">
        <f>IF(B243="","",TEXT(B243,"yyyy-mm"))</f>
        <v>0</v>
      </c>
      <c r="E243" s="43">
        <f>IF(D243="","",IFERROR(INDEX(Invoices!$D$5:$D$404,MATCH(D243,Invoices!$A$5:$A$404,0)),""))</f>
        <v>0</v>
      </c>
      <c r="F243" s="23">
        <f>IF(D243="","",IFERROR(INDEX(Invoices!$E$5:$E$404,MATCH(D243,Invoices!$A$5:$A$404,0)),""))</f>
        <v>0</v>
      </c>
      <c r="N243" s="21">
        <f>IF(B243="","",IF(G243="",0,G243)-IF(H243="",0,H243))</f>
        <v>0</v>
      </c>
      <c r="O243" s="21">
        <f>IF(D243="","",IFERROR(INDEX(Invoices!$V$5:$V$404,MATCH(D243,Invoices!$A$5:$A$404,0)),""))</f>
        <v>0</v>
      </c>
      <c r="P243" s="21">
        <f>IF(D243="","",IFERROR(INDEX(Invoices!$W$5:$W$404,MATCH(D243,Invoices!$A$5:$A$404,0)),""))</f>
        <v>0</v>
      </c>
      <c r="Q243" s="21">
        <f>IF(OR(D243="",O243=""),"",ROUND(O243-P243,2))</f>
        <v>0</v>
      </c>
      <c r="R243" s="39">
        <f>IF(B243="","",IF(D243="","Add - which invoice?",IF(OR(G243="",G243=0),"Add - how much came in?",IF(Q243&lt;-0.004,"Check - overpaid",IF(L243="No","Due - not banked yet",IF(Q243&gt;0.004,"Part paid","OK"))))))</f>
        <v>0</v>
      </c>
    </row>
    <row r="244" spans="1:18">
      <c r="A244" s="43">
        <f>IF(B244="","",PaymentPrefix&amp;TEXT(ROW()-4,"0000"))</f>
        <v>0</v>
      </c>
      <c r="C244" s="23">
        <f>IF(B244="","",TEXT(B244,"yyyy-mm"))</f>
        <v>0</v>
      </c>
      <c r="E244" s="43">
        <f>IF(D244="","",IFERROR(INDEX(Invoices!$D$5:$D$404,MATCH(D244,Invoices!$A$5:$A$404,0)),""))</f>
        <v>0</v>
      </c>
      <c r="F244" s="23">
        <f>IF(D244="","",IFERROR(INDEX(Invoices!$E$5:$E$404,MATCH(D244,Invoices!$A$5:$A$404,0)),""))</f>
        <v>0</v>
      </c>
      <c r="N244" s="21">
        <f>IF(B244="","",IF(G244="",0,G244)-IF(H244="",0,H244))</f>
        <v>0</v>
      </c>
      <c r="O244" s="21">
        <f>IF(D244="","",IFERROR(INDEX(Invoices!$V$5:$V$404,MATCH(D244,Invoices!$A$5:$A$404,0)),""))</f>
        <v>0</v>
      </c>
      <c r="P244" s="21">
        <f>IF(D244="","",IFERROR(INDEX(Invoices!$W$5:$W$404,MATCH(D244,Invoices!$A$5:$A$404,0)),""))</f>
        <v>0</v>
      </c>
      <c r="Q244" s="21">
        <f>IF(OR(D244="",O244=""),"",ROUND(O244-P244,2))</f>
        <v>0</v>
      </c>
      <c r="R244" s="39">
        <f>IF(B244="","",IF(D244="","Add - which invoice?",IF(OR(G244="",G244=0),"Add - how much came in?",IF(Q244&lt;-0.004,"Check - overpaid",IF(L244="No","Due - not banked yet",IF(Q244&gt;0.004,"Part paid","OK"))))))</f>
        <v>0</v>
      </c>
    </row>
    <row r="245" spans="1:18">
      <c r="A245" s="43">
        <f>IF(B245="","",PaymentPrefix&amp;TEXT(ROW()-4,"0000"))</f>
        <v>0</v>
      </c>
      <c r="C245" s="23">
        <f>IF(B245="","",TEXT(B245,"yyyy-mm"))</f>
        <v>0</v>
      </c>
      <c r="E245" s="43">
        <f>IF(D245="","",IFERROR(INDEX(Invoices!$D$5:$D$404,MATCH(D245,Invoices!$A$5:$A$404,0)),""))</f>
        <v>0</v>
      </c>
      <c r="F245" s="23">
        <f>IF(D245="","",IFERROR(INDEX(Invoices!$E$5:$E$404,MATCH(D245,Invoices!$A$5:$A$404,0)),""))</f>
        <v>0</v>
      </c>
      <c r="N245" s="21">
        <f>IF(B245="","",IF(G245="",0,G245)-IF(H245="",0,H245))</f>
        <v>0</v>
      </c>
      <c r="O245" s="21">
        <f>IF(D245="","",IFERROR(INDEX(Invoices!$V$5:$V$404,MATCH(D245,Invoices!$A$5:$A$404,0)),""))</f>
        <v>0</v>
      </c>
      <c r="P245" s="21">
        <f>IF(D245="","",IFERROR(INDEX(Invoices!$W$5:$W$404,MATCH(D245,Invoices!$A$5:$A$404,0)),""))</f>
        <v>0</v>
      </c>
      <c r="Q245" s="21">
        <f>IF(OR(D245="",O245=""),"",ROUND(O245-P245,2))</f>
        <v>0</v>
      </c>
      <c r="R245" s="39">
        <f>IF(B245="","",IF(D245="","Add - which invoice?",IF(OR(G245="",G245=0),"Add - how much came in?",IF(Q245&lt;-0.004,"Check - overpaid",IF(L245="No","Due - not banked yet",IF(Q245&gt;0.004,"Part paid","OK"))))))</f>
        <v>0</v>
      </c>
    </row>
    <row r="246" spans="1:18">
      <c r="A246" s="43">
        <f>IF(B246="","",PaymentPrefix&amp;TEXT(ROW()-4,"0000"))</f>
        <v>0</v>
      </c>
      <c r="C246" s="23">
        <f>IF(B246="","",TEXT(B246,"yyyy-mm"))</f>
        <v>0</v>
      </c>
      <c r="E246" s="43">
        <f>IF(D246="","",IFERROR(INDEX(Invoices!$D$5:$D$404,MATCH(D246,Invoices!$A$5:$A$404,0)),""))</f>
        <v>0</v>
      </c>
      <c r="F246" s="23">
        <f>IF(D246="","",IFERROR(INDEX(Invoices!$E$5:$E$404,MATCH(D246,Invoices!$A$5:$A$404,0)),""))</f>
        <v>0</v>
      </c>
      <c r="N246" s="21">
        <f>IF(B246="","",IF(G246="",0,G246)-IF(H246="",0,H246))</f>
        <v>0</v>
      </c>
      <c r="O246" s="21">
        <f>IF(D246="","",IFERROR(INDEX(Invoices!$V$5:$V$404,MATCH(D246,Invoices!$A$5:$A$404,0)),""))</f>
        <v>0</v>
      </c>
      <c r="P246" s="21">
        <f>IF(D246="","",IFERROR(INDEX(Invoices!$W$5:$W$404,MATCH(D246,Invoices!$A$5:$A$404,0)),""))</f>
        <v>0</v>
      </c>
      <c r="Q246" s="21">
        <f>IF(OR(D246="",O246=""),"",ROUND(O246-P246,2))</f>
        <v>0</v>
      </c>
      <c r="R246" s="39">
        <f>IF(B246="","",IF(D246="","Add - which invoice?",IF(OR(G246="",G246=0),"Add - how much came in?",IF(Q246&lt;-0.004,"Check - overpaid",IF(L246="No","Due - not banked yet",IF(Q246&gt;0.004,"Part paid","OK"))))))</f>
        <v>0</v>
      </c>
    </row>
    <row r="247" spans="1:18">
      <c r="A247" s="43">
        <f>IF(B247="","",PaymentPrefix&amp;TEXT(ROW()-4,"0000"))</f>
        <v>0</v>
      </c>
      <c r="C247" s="23">
        <f>IF(B247="","",TEXT(B247,"yyyy-mm"))</f>
        <v>0</v>
      </c>
      <c r="E247" s="43">
        <f>IF(D247="","",IFERROR(INDEX(Invoices!$D$5:$D$404,MATCH(D247,Invoices!$A$5:$A$404,0)),""))</f>
        <v>0</v>
      </c>
      <c r="F247" s="23">
        <f>IF(D247="","",IFERROR(INDEX(Invoices!$E$5:$E$404,MATCH(D247,Invoices!$A$5:$A$404,0)),""))</f>
        <v>0</v>
      </c>
      <c r="N247" s="21">
        <f>IF(B247="","",IF(G247="",0,G247)-IF(H247="",0,H247))</f>
        <v>0</v>
      </c>
      <c r="O247" s="21">
        <f>IF(D247="","",IFERROR(INDEX(Invoices!$V$5:$V$404,MATCH(D247,Invoices!$A$5:$A$404,0)),""))</f>
        <v>0</v>
      </c>
      <c r="P247" s="21">
        <f>IF(D247="","",IFERROR(INDEX(Invoices!$W$5:$W$404,MATCH(D247,Invoices!$A$5:$A$404,0)),""))</f>
        <v>0</v>
      </c>
      <c r="Q247" s="21">
        <f>IF(OR(D247="",O247=""),"",ROUND(O247-P247,2))</f>
        <v>0</v>
      </c>
      <c r="R247" s="39">
        <f>IF(B247="","",IF(D247="","Add - which invoice?",IF(OR(G247="",G247=0),"Add - how much came in?",IF(Q247&lt;-0.004,"Check - overpaid",IF(L247="No","Due - not banked yet",IF(Q247&gt;0.004,"Part paid","OK"))))))</f>
        <v>0</v>
      </c>
    </row>
    <row r="248" spans="1:18">
      <c r="A248" s="43">
        <f>IF(B248="","",PaymentPrefix&amp;TEXT(ROW()-4,"0000"))</f>
        <v>0</v>
      </c>
      <c r="C248" s="23">
        <f>IF(B248="","",TEXT(B248,"yyyy-mm"))</f>
        <v>0</v>
      </c>
      <c r="E248" s="43">
        <f>IF(D248="","",IFERROR(INDEX(Invoices!$D$5:$D$404,MATCH(D248,Invoices!$A$5:$A$404,0)),""))</f>
        <v>0</v>
      </c>
      <c r="F248" s="23">
        <f>IF(D248="","",IFERROR(INDEX(Invoices!$E$5:$E$404,MATCH(D248,Invoices!$A$5:$A$404,0)),""))</f>
        <v>0</v>
      </c>
      <c r="N248" s="21">
        <f>IF(B248="","",IF(G248="",0,G248)-IF(H248="",0,H248))</f>
        <v>0</v>
      </c>
      <c r="O248" s="21">
        <f>IF(D248="","",IFERROR(INDEX(Invoices!$V$5:$V$404,MATCH(D248,Invoices!$A$5:$A$404,0)),""))</f>
        <v>0</v>
      </c>
      <c r="P248" s="21">
        <f>IF(D248="","",IFERROR(INDEX(Invoices!$W$5:$W$404,MATCH(D248,Invoices!$A$5:$A$404,0)),""))</f>
        <v>0</v>
      </c>
      <c r="Q248" s="21">
        <f>IF(OR(D248="",O248=""),"",ROUND(O248-P248,2))</f>
        <v>0</v>
      </c>
      <c r="R248" s="39">
        <f>IF(B248="","",IF(D248="","Add - which invoice?",IF(OR(G248="",G248=0),"Add - how much came in?",IF(Q248&lt;-0.004,"Check - overpaid",IF(L248="No","Due - not banked yet",IF(Q248&gt;0.004,"Part paid","OK"))))))</f>
        <v>0</v>
      </c>
    </row>
    <row r="249" spans="1:18">
      <c r="A249" s="43">
        <f>IF(B249="","",PaymentPrefix&amp;TEXT(ROW()-4,"0000"))</f>
        <v>0</v>
      </c>
      <c r="C249" s="23">
        <f>IF(B249="","",TEXT(B249,"yyyy-mm"))</f>
        <v>0</v>
      </c>
      <c r="E249" s="43">
        <f>IF(D249="","",IFERROR(INDEX(Invoices!$D$5:$D$404,MATCH(D249,Invoices!$A$5:$A$404,0)),""))</f>
        <v>0</v>
      </c>
      <c r="F249" s="23">
        <f>IF(D249="","",IFERROR(INDEX(Invoices!$E$5:$E$404,MATCH(D249,Invoices!$A$5:$A$404,0)),""))</f>
        <v>0</v>
      </c>
      <c r="N249" s="21">
        <f>IF(B249="","",IF(G249="",0,G249)-IF(H249="",0,H249))</f>
        <v>0</v>
      </c>
      <c r="O249" s="21">
        <f>IF(D249="","",IFERROR(INDEX(Invoices!$V$5:$V$404,MATCH(D249,Invoices!$A$5:$A$404,0)),""))</f>
        <v>0</v>
      </c>
      <c r="P249" s="21">
        <f>IF(D249="","",IFERROR(INDEX(Invoices!$W$5:$W$404,MATCH(D249,Invoices!$A$5:$A$404,0)),""))</f>
        <v>0</v>
      </c>
      <c r="Q249" s="21">
        <f>IF(OR(D249="",O249=""),"",ROUND(O249-P249,2))</f>
        <v>0</v>
      </c>
      <c r="R249" s="39">
        <f>IF(B249="","",IF(D249="","Add - which invoice?",IF(OR(G249="",G249=0),"Add - how much came in?",IF(Q249&lt;-0.004,"Check - overpaid",IF(L249="No","Due - not banked yet",IF(Q249&gt;0.004,"Part paid","OK"))))))</f>
        <v>0</v>
      </c>
    </row>
    <row r="250" spans="1:18">
      <c r="A250" s="43">
        <f>IF(B250="","",PaymentPrefix&amp;TEXT(ROW()-4,"0000"))</f>
        <v>0</v>
      </c>
      <c r="C250" s="23">
        <f>IF(B250="","",TEXT(B250,"yyyy-mm"))</f>
        <v>0</v>
      </c>
      <c r="E250" s="43">
        <f>IF(D250="","",IFERROR(INDEX(Invoices!$D$5:$D$404,MATCH(D250,Invoices!$A$5:$A$404,0)),""))</f>
        <v>0</v>
      </c>
      <c r="F250" s="23">
        <f>IF(D250="","",IFERROR(INDEX(Invoices!$E$5:$E$404,MATCH(D250,Invoices!$A$5:$A$404,0)),""))</f>
        <v>0</v>
      </c>
      <c r="N250" s="21">
        <f>IF(B250="","",IF(G250="",0,G250)-IF(H250="",0,H250))</f>
        <v>0</v>
      </c>
      <c r="O250" s="21">
        <f>IF(D250="","",IFERROR(INDEX(Invoices!$V$5:$V$404,MATCH(D250,Invoices!$A$5:$A$404,0)),""))</f>
        <v>0</v>
      </c>
      <c r="P250" s="21">
        <f>IF(D250="","",IFERROR(INDEX(Invoices!$W$5:$W$404,MATCH(D250,Invoices!$A$5:$A$404,0)),""))</f>
        <v>0</v>
      </c>
      <c r="Q250" s="21">
        <f>IF(OR(D250="",O250=""),"",ROUND(O250-P250,2))</f>
        <v>0</v>
      </c>
      <c r="R250" s="39">
        <f>IF(B250="","",IF(D250="","Add - which invoice?",IF(OR(G250="",G250=0),"Add - how much came in?",IF(Q250&lt;-0.004,"Check - overpaid",IF(L250="No","Due - not banked yet",IF(Q250&gt;0.004,"Part paid","OK"))))))</f>
        <v>0</v>
      </c>
    </row>
    <row r="251" spans="1:18">
      <c r="A251" s="43">
        <f>IF(B251="","",PaymentPrefix&amp;TEXT(ROW()-4,"0000"))</f>
        <v>0</v>
      </c>
      <c r="C251" s="23">
        <f>IF(B251="","",TEXT(B251,"yyyy-mm"))</f>
        <v>0</v>
      </c>
      <c r="E251" s="43">
        <f>IF(D251="","",IFERROR(INDEX(Invoices!$D$5:$D$404,MATCH(D251,Invoices!$A$5:$A$404,0)),""))</f>
        <v>0</v>
      </c>
      <c r="F251" s="23">
        <f>IF(D251="","",IFERROR(INDEX(Invoices!$E$5:$E$404,MATCH(D251,Invoices!$A$5:$A$404,0)),""))</f>
        <v>0</v>
      </c>
      <c r="N251" s="21">
        <f>IF(B251="","",IF(G251="",0,G251)-IF(H251="",0,H251))</f>
        <v>0</v>
      </c>
      <c r="O251" s="21">
        <f>IF(D251="","",IFERROR(INDEX(Invoices!$V$5:$V$404,MATCH(D251,Invoices!$A$5:$A$404,0)),""))</f>
        <v>0</v>
      </c>
      <c r="P251" s="21">
        <f>IF(D251="","",IFERROR(INDEX(Invoices!$W$5:$W$404,MATCH(D251,Invoices!$A$5:$A$404,0)),""))</f>
        <v>0</v>
      </c>
      <c r="Q251" s="21">
        <f>IF(OR(D251="",O251=""),"",ROUND(O251-P251,2))</f>
        <v>0</v>
      </c>
      <c r="R251" s="39">
        <f>IF(B251="","",IF(D251="","Add - which invoice?",IF(OR(G251="",G251=0),"Add - how much came in?",IF(Q251&lt;-0.004,"Check - overpaid",IF(L251="No","Due - not banked yet",IF(Q251&gt;0.004,"Part paid","OK"))))))</f>
        <v>0</v>
      </c>
    </row>
    <row r="252" spans="1:18">
      <c r="A252" s="43">
        <f>IF(B252="","",PaymentPrefix&amp;TEXT(ROW()-4,"0000"))</f>
        <v>0</v>
      </c>
      <c r="C252" s="23">
        <f>IF(B252="","",TEXT(B252,"yyyy-mm"))</f>
        <v>0</v>
      </c>
      <c r="E252" s="43">
        <f>IF(D252="","",IFERROR(INDEX(Invoices!$D$5:$D$404,MATCH(D252,Invoices!$A$5:$A$404,0)),""))</f>
        <v>0</v>
      </c>
      <c r="F252" s="23">
        <f>IF(D252="","",IFERROR(INDEX(Invoices!$E$5:$E$404,MATCH(D252,Invoices!$A$5:$A$404,0)),""))</f>
        <v>0</v>
      </c>
      <c r="N252" s="21">
        <f>IF(B252="","",IF(G252="",0,G252)-IF(H252="",0,H252))</f>
        <v>0</v>
      </c>
      <c r="O252" s="21">
        <f>IF(D252="","",IFERROR(INDEX(Invoices!$V$5:$V$404,MATCH(D252,Invoices!$A$5:$A$404,0)),""))</f>
        <v>0</v>
      </c>
      <c r="P252" s="21">
        <f>IF(D252="","",IFERROR(INDEX(Invoices!$W$5:$W$404,MATCH(D252,Invoices!$A$5:$A$404,0)),""))</f>
        <v>0</v>
      </c>
      <c r="Q252" s="21">
        <f>IF(OR(D252="",O252=""),"",ROUND(O252-P252,2))</f>
        <v>0</v>
      </c>
      <c r="R252" s="39">
        <f>IF(B252="","",IF(D252="","Add - which invoice?",IF(OR(G252="",G252=0),"Add - how much came in?",IF(Q252&lt;-0.004,"Check - overpaid",IF(L252="No","Due - not banked yet",IF(Q252&gt;0.004,"Part paid","OK"))))))</f>
        <v>0</v>
      </c>
    </row>
    <row r="253" spans="1:18">
      <c r="A253" s="43">
        <f>IF(B253="","",PaymentPrefix&amp;TEXT(ROW()-4,"0000"))</f>
        <v>0</v>
      </c>
      <c r="C253" s="23">
        <f>IF(B253="","",TEXT(B253,"yyyy-mm"))</f>
        <v>0</v>
      </c>
      <c r="E253" s="43">
        <f>IF(D253="","",IFERROR(INDEX(Invoices!$D$5:$D$404,MATCH(D253,Invoices!$A$5:$A$404,0)),""))</f>
        <v>0</v>
      </c>
      <c r="F253" s="23">
        <f>IF(D253="","",IFERROR(INDEX(Invoices!$E$5:$E$404,MATCH(D253,Invoices!$A$5:$A$404,0)),""))</f>
        <v>0</v>
      </c>
      <c r="N253" s="21">
        <f>IF(B253="","",IF(G253="",0,G253)-IF(H253="",0,H253))</f>
        <v>0</v>
      </c>
      <c r="O253" s="21">
        <f>IF(D253="","",IFERROR(INDEX(Invoices!$V$5:$V$404,MATCH(D253,Invoices!$A$5:$A$404,0)),""))</f>
        <v>0</v>
      </c>
      <c r="P253" s="21">
        <f>IF(D253="","",IFERROR(INDEX(Invoices!$W$5:$W$404,MATCH(D253,Invoices!$A$5:$A$404,0)),""))</f>
        <v>0</v>
      </c>
      <c r="Q253" s="21">
        <f>IF(OR(D253="",O253=""),"",ROUND(O253-P253,2))</f>
        <v>0</v>
      </c>
      <c r="R253" s="39">
        <f>IF(B253="","",IF(D253="","Add - which invoice?",IF(OR(G253="",G253=0),"Add - how much came in?",IF(Q253&lt;-0.004,"Check - overpaid",IF(L253="No","Due - not banked yet",IF(Q253&gt;0.004,"Part paid","OK"))))))</f>
        <v>0</v>
      </c>
    </row>
    <row r="254" spans="1:18">
      <c r="A254" s="43">
        <f>IF(B254="","",PaymentPrefix&amp;TEXT(ROW()-4,"0000"))</f>
        <v>0</v>
      </c>
      <c r="C254" s="23">
        <f>IF(B254="","",TEXT(B254,"yyyy-mm"))</f>
        <v>0</v>
      </c>
      <c r="E254" s="43">
        <f>IF(D254="","",IFERROR(INDEX(Invoices!$D$5:$D$404,MATCH(D254,Invoices!$A$5:$A$404,0)),""))</f>
        <v>0</v>
      </c>
      <c r="F254" s="23">
        <f>IF(D254="","",IFERROR(INDEX(Invoices!$E$5:$E$404,MATCH(D254,Invoices!$A$5:$A$404,0)),""))</f>
        <v>0</v>
      </c>
      <c r="N254" s="21">
        <f>IF(B254="","",IF(G254="",0,G254)-IF(H254="",0,H254))</f>
        <v>0</v>
      </c>
      <c r="O254" s="21">
        <f>IF(D254="","",IFERROR(INDEX(Invoices!$V$5:$V$404,MATCH(D254,Invoices!$A$5:$A$404,0)),""))</f>
        <v>0</v>
      </c>
      <c r="P254" s="21">
        <f>IF(D254="","",IFERROR(INDEX(Invoices!$W$5:$W$404,MATCH(D254,Invoices!$A$5:$A$404,0)),""))</f>
        <v>0</v>
      </c>
      <c r="Q254" s="21">
        <f>IF(OR(D254="",O254=""),"",ROUND(O254-P254,2))</f>
        <v>0</v>
      </c>
      <c r="R254" s="39">
        <f>IF(B254="","",IF(D254="","Add - which invoice?",IF(OR(G254="",G254=0),"Add - how much came in?",IF(Q254&lt;-0.004,"Check - overpaid",IF(L254="No","Due - not banked yet",IF(Q254&gt;0.004,"Part paid","OK"))))))</f>
        <v>0</v>
      </c>
    </row>
    <row r="255" spans="1:18">
      <c r="A255" s="43">
        <f>IF(B255="","",PaymentPrefix&amp;TEXT(ROW()-4,"0000"))</f>
        <v>0</v>
      </c>
      <c r="C255" s="23">
        <f>IF(B255="","",TEXT(B255,"yyyy-mm"))</f>
        <v>0</v>
      </c>
      <c r="E255" s="43">
        <f>IF(D255="","",IFERROR(INDEX(Invoices!$D$5:$D$404,MATCH(D255,Invoices!$A$5:$A$404,0)),""))</f>
        <v>0</v>
      </c>
      <c r="F255" s="23">
        <f>IF(D255="","",IFERROR(INDEX(Invoices!$E$5:$E$404,MATCH(D255,Invoices!$A$5:$A$404,0)),""))</f>
        <v>0</v>
      </c>
      <c r="N255" s="21">
        <f>IF(B255="","",IF(G255="",0,G255)-IF(H255="",0,H255))</f>
        <v>0</v>
      </c>
      <c r="O255" s="21">
        <f>IF(D255="","",IFERROR(INDEX(Invoices!$V$5:$V$404,MATCH(D255,Invoices!$A$5:$A$404,0)),""))</f>
        <v>0</v>
      </c>
      <c r="P255" s="21">
        <f>IF(D255="","",IFERROR(INDEX(Invoices!$W$5:$W$404,MATCH(D255,Invoices!$A$5:$A$404,0)),""))</f>
        <v>0</v>
      </c>
      <c r="Q255" s="21">
        <f>IF(OR(D255="",O255=""),"",ROUND(O255-P255,2))</f>
        <v>0</v>
      </c>
      <c r="R255" s="39">
        <f>IF(B255="","",IF(D255="","Add - which invoice?",IF(OR(G255="",G255=0),"Add - how much came in?",IF(Q255&lt;-0.004,"Check - overpaid",IF(L255="No","Due - not banked yet",IF(Q255&gt;0.004,"Part paid","OK"))))))</f>
        <v>0</v>
      </c>
    </row>
    <row r="256" spans="1:18">
      <c r="A256" s="43">
        <f>IF(B256="","",PaymentPrefix&amp;TEXT(ROW()-4,"0000"))</f>
        <v>0</v>
      </c>
      <c r="C256" s="23">
        <f>IF(B256="","",TEXT(B256,"yyyy-mm"))</f>
        <v>0</v>
      </c>
      <c r="E256" s="43">
        <f>IF(D256="","",IFERROR(INDEX(Invoices!$D$5:$D$404,MATCH(D256,Invoices!$A$5:$A$404,0)),""))</f>
        <v>0</v>
      </c>
      <c r="F256" s="23">
        <f>IF(D256="","",IFERROR(INDEX(Invoices!$E$5:$E$404,MATCH(D256,Invoices!$A$5:$A$404,0)),""))</f>
        <v>0</v>
      </c>
      <c r="N256" s="21">
        <f>IF(B256="","",IF(G256="",0,G256)-IF(H256="",0,H256))</f>
        <v>0</v>
      </c>
      <c r="O256" s="21">
        <f>IF(D256="","",IFERROR(INDEX(Invoices!$V$5:$V$404,MATCH(D256,Invoices!$A$5:$A$404,0)),""))</f>
        <v>0</v>
      </c>
      <c r="P256" s="21">
        <f>IF(D256="","",IFERROR(INDEX(Invoices!$W$5:$W$404,MATCH(D256,Invoices!$A$5:$A$404,0)),""))</f>
        <v>0</v>
      </c>
      <c r="Q256" s="21">
        <f>IF(OR(D256="",O256=""),"",ROUND(O256-P256,2))</f>
        <v>0</v>
      </c>
      <c r="R256" s="39">
        <f>IF(B256="","",IF(D256="","Add - which invoice?",IF(OR(G256="",G256=0),"Add - how much came in?",IF(Q256&lt;-0.004,"Check - overpaid",IF(L256="No","Due - not banked yet",IF(Q256&gt;0.004,"Part paid","OK"))))))</f>
        <v>0</v>
      </c>
    </row>
    <row r="257" spans="1:18">
      <c r="A257" s="43">
        <f>IF(B257="","",PaymentPrefix&amp;TEXT(ROW()-4,"0000"))</f>
        <v>0</v>
      </c>
      <c r="C257" s="23">
        <f>IF(B257="","",TEXT(B257,"yyyy-mm"))</f>
        <v>0</v>
      </c>
      <c r="E257" s="43">
        <f>IF(D257="","",IFERROR(INDEX(Invoices!$D$5:$D$404,MATCH(D257,Invoices!$A$5:$A$404,0)),""))</f>
        <v>0</v>
      </c>
      <c r="F257" s="23">
        <f>IF(D257="","",IFERROR(INDEX(Invoices!$E$5:$E$404,MATCH(D257,Invoices!$A$5:$A$404,0)),""))</f>
        <v>0</v>
      </c>
      <c r="N257" s="21">
        <f>IF(B257="","",IF(G257="",0,G257)-IF(H257="",0,H257))</f>
        <v>0</v>
      </c>
      <c r="O257" s="21">
        <f>IF(D257="","",IFERROR(INDEX(Invoices!$V$5:$V$404,MATCH(D257,Invoices!$A$5:$A$404,0)),""))</f>
        <v>0</v>
      </c>
      <c r="P257" s="21">
        <f>IF(D257="","",IFERROR(INDEX(Invoices!$W$5:$W$404,MATCH(D257,Invoices!$A$5:$A$404,0)),""))</f>
        <v>0</v>
      </c>
      <c r="Q257" s="21">
        <f>IF(OR(D257="",O257=""),"",ROUND(O257-P257,2))</f>
        <v>0</v>
      </c>
      <c r="R257" s="39">
        <f>IF(B257="","",IF(D257="","Add - which invoice?",IF(OR(G257="",G257=0),"Add - how much came in?",IF(Q257&lt;-0.004,"Check - overpaid",IF(L257="No","Due - not banked yet",IF(Q257&gt;0.004,"Part paid","OK"))))))</f>
        <v>0</v>
      </c>
    </row>
    <row r="258" spans="1:18">
      <c r="A258" s="43">
        <f>IF(B258="","",PaymentPrefix&amp;TEXT(ROW()-4,"0000"))</f>
        <v>0</v>
      </c>
      <c r="C258" s="23">
        <f>IF(B258="","",TEXT(B258,"yyyy-mm"))</f>
        <v>0</v>
      </c>
      <c r="E258" s="43">
        <f>IF(D258="","",IFERROR(INDEX(Invoices!$D$5:$D$404,MATCH(D258,Invoices!$A$5:$A$404,0)),""))</f>
        <v>0</v>
      </c>
      <c r="F258" s="23">
        <f>IF(D258="","",IFERROR(INDEX(Invoices!$E$5:$E$404,MATCH(D258,Invoices!$A$5:$A$404,0)),""))</f>
        <v>0</v>
      </c>
      <c r="N258" s="21">
        <f>IF(B258="","",IF(G258="",0,G258)-IF(H258="",0,H258))</f>
        <v>0</v>
      </c>
      <c r="O258" s="21">
        <f>IF(D258="","",IFERROR(INDEX(Invoices!$V$5:$V$404,MATCH(D258,Invoices!$A$5:$A$404,0)),""))</f>
        <v>0</v>
      </c>
      <c r="P258" s="21">
        <f>IF(D258="","",IFERROR(INDEX(Invoices!$W$5:$W$404,MATCH(D258,Invoices!$A$5:$A$404,0)),""))</f>
        <v>0</v>
      </c>
      <c r="Q258" s="21">
        <f>IF(OR(D258="",O258=""),"",ROUND(O258-P258,2))</f>
        <v>0</v>
      </c>
      <c r="R258" s="39">
        <f>IF(B258="","",IF(D258="","Add - which invoice?",IF(OR(G258="",G258=0),"Add - how much came in?",IF(Q258&lt;-0.004,"Check - overpaid",IF(L258="No","Due - not banked yet",IF(Q258&gt;0.004,"Part paid","OK"))))))</f>
        <v>0</v>
      </c>
    </row>
    <row r="259" spans="1:18">
      <c r="A259" s="43">
        <f>IF(B259="","",PaymentPrefix&amp;TEXT(ROW()-4,"0000"))</f>
        <v>0</v>
      </c>
      <c r="C259" s="23">
        <f>IF(B259="","",TEXT(B259,"yyyy-mm"))</f>
        <v>0</v>
      </c>
      <c r="E259" s="43">
        <f>IF(D259="","",IFERROR(INDEX(Invoices!$D$5:$D$404,MATCH(D259,Invoices!$A$5:$A$404,0)),""))</f>
        <v>0</v>
      </c>
      <c r="F259" s="23">
        <f>IF(D259="","",IFERROR(INDEX(Invoices!$E$5:$E$404,MATCH(D259,Invoices!$A$5:$A$404,0)),""))</f>
        <v>0</v>
      </c>
      <c r="N259" s="21">
        <f>IF(B259="","",IF(G259="",0,G259)-IF(H259="",0,H259))</f>
        <v>0</v>
      </c>
      <c r="O259" s="21">
        <f>IF(D259="","",IFERROR(INDEX(Invoices!$V$5:$V$404,MATCH(D259,Invoices!$A$5:$A$404,0)),""))</f>
        <v>0</v>
      </c>
      <c r="P259" s="21">
        <f>IF(D259="","",IFERROR(INDEX(Invoices!$W$5:$W$404,MATCH(D259,Invoices!$A$5:$A$404,0)),""))</f>
        <v>0</v>
      </c>
      <c r="Q259" s="21">
        <f>IF(OR(D259="",O259=""),"",ROUND(O259-P259,2))</f>
        <v>0</v>
      </c>
      <c r="R259" s="39">
        <f>IF(B259="","",IF(D259="","Add - which invoice?",IF(OR(G259="",G259=0),"Add - how much came in?",IF(Q259&lt;-0.004,"Check - overpaid",IF(L259="No","Due - not banked yet",IF(Q259&gt;0.004,"Part paid","OK"))))))</f>
        <v>0</v>
      </c>
    </row>
    <row r="260" spans="1:18">
      <c r="A260" s="43">
        <f>IF(B260="","",PaymentPrefix&amp;TEXT(ROW()-4,"0000"))</f>
        <v>0</v>
      </c>
      <c r="C260" s="23">
        <f>IF(B260="","",TEXT(B260,"yyyy-mm"))</f>
        <v>0</v>
      </c>
      <c r="E260" s="43">
        <f>IF(D260="","",IFERROR(INDEX(Invoices!$D$5:$D$404,MATCH(D260,Invoices!$A$5:$A$404,0)),""))</f>
        <v>0</v>
      </c>
      <c r="F260" s="23">
        <f>IF(D260="","",IFERROR(INDEX(Invoices!$E$5:$E$404,MATCH(D260,Invoices!$A$5:$A$404,0)),""))</f>
        <v>0</v>
      </c>
      <c r="N260" s="21">
        <f>IF(B260="","",IF(G260="",0,G260)-IF(H260="",0,H260))</f>
        <v>0</v>
      </c>
      <c r="O260" s="21">
        <f>IF(D260="","",IFERROR(INDEX(Invoices!$V$5:$V$404,MATCH(D260,Invoices!$A$5:$A$404,0)),""))</f>
        <v>0</v>
      </c>
      <c r="P260" s="21">
        <f>IF(D260="","",IFERROR(INDEX(Invoices!$W$5:$W$404,MATCH(D260,Invoices!$A$5:$A$404,0)),""))</f>
        <v>0</v>
      </c>
      <c r="Q260" s="21">
        <f>IF(OR(D260="",O260=""),"",ROUND(O260-P260,2))</f>
        <v>0</v>
      </c>
      <c r="R260" s="39">
        <f>IF(B260="","",IF(D260="","Add - which invoice?",IF(OR(G260="",G260=0),"Add - how much came in?",IF(Q260&lt;-0.004,"Check - overpaid",IF(L260="No","Due - not banked yet",IF(Q260&gt;0.004,"Part paid","OK"))))))</f>
        <v>0</v>
      </c>
    </row>
    <row r="261" spans="1:18">
      <c r="A261" s="43">
        <f>IF(B261="","",PaymentPrefix&amp;TEXT(ROW()-4,"0000"))</f>
        <v>0</v>
      </c>
      <c r="C261" s="23">
        <f>IF(B261="","",TEXT(B261,"yyyy-mm"))</f>
        <v>0</v>
      </c>
      <c r="E261" s="43">
        <f>IF(D261="","",IFERROR(INDEX(Invoices!$D$5:$D$404,MATCH(D261,Invoices!$A$5:$A$404,0)),""))</f>
        <v>0</v>
      </c>
      <c r="F261" s="23">
        <f>IF(D261="","",IFERROR(INDEX(Invoices!$E$5:$E$404,MATCH(D261,Invoices!$A$5:$A$404,0)),""))</f>
        <v>0</v>
      </c>
      <c r="N261" s="21">
        <f>IF(B261="","",IF(G261="",0,G261)-IF(H261="",0,H261))</f>
        <v>0</v>
      </c>
      <c r="O261" s="21">
        <f>IF(D261="","",IFERROR(INDEX(Invoices!$V$5:$V$404,MATCH(D261,Invoices!$A$5:$A$404,0)),""))</f>
        <v>0</v>
      </c>
      <c r="P261" s="21">
        <f>IF(D261="","",IFERROR(INDEX(Invoices!$W$5:$W$404,MATCH(D261,Invoices!$A$5:$A$404,0)),""))</f>
        <v>0</v>
      </c>
      <c r="Q261" s="21">
        <f>IF(OR(D261="",O261=""),"",ROUND(O261-P261,2))</f>
        <v>0</v>
      </c>
      <c r="R261" s="39">
        <f>IF(B261="","",IF(D261="","Add - which invoice?",IF(OR(G261="",G261=0),"Add - how much came in?",IF(Q261&lt;-0.004,"Check - overpaid",IF(L261="No","Due - not banked yet",IF(Q261&gt;0.004,"Part paid","OK"))))))</f>
        <v>0</v>
      </c>
    </row>
    <row r="262" spans="1:18">
      <c r="A262" s="43">
        <f>IF(B262="","",PaymentPrefix&amp;TEXT(ROW()-4,"0000"))</f>
        <v>0</v>
      </c>
      <c r="C262" s="23">
        <f>IF(B262="","",TEXT(B262,"yyyy-mm"))</f>
        <v>0</v>
      </c>
      <c r="E262" s="43">
        <f>IF(D262="","",IFERROR(INDEX(Invoices!$D$5:$D$404,MATCH(D262,Invoices!$A$5:$A$404,0)),""))</f>
        <v>0</v>
      </c>
      <c r="F262" s="23">
        <f>IF(D262="","",IFERROR(INDEX(Invoices!$E$5:$E$404,MATCH(D262,Invoices!$A$5:$A$404,0)),""))</f>
        <v>0</v>
      </c>
      <c r="N262" s="21">
        <f>IF(B262="","",IF(G262="",0,G262)-IF(H262="",0,H262))</f>
        <v>0</v>
      </c>
      <c r="O262" s="21">
        <f>IF(D262="","",IFERROR(INDEX(Invoices!$V$5:$V$404,MATCH(D262,Invoices!$A$5:$A$404,0)),""))</f>
        <v>0</v>
      </c>
      <c r="P262" s="21">
        <f>IF(D262="","",IFERROR(INDEX(Invoices!$W$5:$W$404,MATCH(D262,Invoices!$A$5:$A$404,0)),""))</f>
        <v>0</v>
      </c>
      <c r="Q262" s="21">
        <f>IF(OR(D262="",O262=""),"",ROUND(O262-P262,2))</f>
        <v>0</v>
      </c>
      <c r="R262" s="39">
        <f>IF(B262="","",IF(D262="","Add - which invoice?",IF(OR(G262="",G262=0),"Add - how much came in?",IF(Q262&lt;-0.004,"Check - overpaid",IF(L262="No","Due - not banked yet",IF(Q262&gt;0.004,"Part paid","OK"))))))</f>
        <v>0</v>
      </c>
    </row>
    <row r="263" spans="1:18">
      <c r="A263" s="43">
        <f>IF(B263="","",PaymentPrefix&amp;TEXT(ROW()-4,"0000"))</f>
        <v>0</v>
      </c>
      <c r="C263" s="23">
        <f>IF(B263="","",TEXT(B263,"yyyy-mm"))</f>
        <v>0</v>
      </c>
      <c r="E263" s="43">
        <f>IF(D263="","",IFERROR(INDEX(Invoices!$D$5:$D$404,MATCH(D263,Invoices!$A$5:$A$404,0)),""))</f>
        <v>0</v>
      </c>
      <c r="F263" s="23">
        <f>IF(D263="","",IFERROR(INDEX(Invoices!$E$5:$E$404,MATCH(D263,Invoices!$A$5:$A$404,0)),""))</f>
        <v>0</v>
      </c>
      <c r="N263" s="21">
        <f>IF(B263="","",IF(G263="",0,G263)-IF(H263="",0,H263))</f>
        <v>0</v>
      </c>
      <c r="O263" s="21">
        <f>IF(D263="","",IFERROR(INDEX(Invoices!$V$5:$V$404,MATCH(D263,Invoices!$A$5:$A$404,0)),""))</f>
        <v>0</v>
      </c>
      <c r="P263" s="21">
        <f>IF(D263="","",IFERROR(INDEX(Invoices!$W$5:$W$404,MATCH(D263,Invoices!$A$5:$A$404,0)),""))</f>
        <v>0</v>
      </c>
      <c r="Q263" s="21">
        <f>IF(OR(D263="",O263=""),"",ROUND(O263-P263,2))</f>
        <v>0</v>
      </c>
      <c r="R263" s="39">
        <f>IF(B263="","",IF(D263="","Add - which invoice?",IF(OR(G263="",G263=0),"Add - how much came in?",IF(Q263&lt;-0.004,"Check - overpaid",IF(L263="No","Due - not banked yet",IF(Q263&gt;0.004,"Part paid","OK"))))))</f>
        <v>0</v>
      </c>
    </row>
    <row r="264" spans="1:18">
      <c r="A264" s="43">
        <f>IF(B264="","",PaymentPrefix&amp;TEXT(ROW()-4,"0000"))</f>
        <v>0</v>
      </c>
      <c r="C264" s="23">
        <f>IF(B264="","",TEXT(B264,"yyyy-mm"))</f>
        <v>0</v>
      </c>
      <c r="E264" s="43">
        <f>IF(D264="","",IFERROR(INDEX(Invoices!$D$5:$D$404,MATCH(D264,Invoices!$A$5:$A$404,0)),""))</f>
        <v>0</v>
      </c>
      <c r="F264" s="23">
        <f>IF(D264="","",IFERROR(INDEX(Invoices!$E$5:$E$404,MATCH(D264,Invoices!$A$5:$A$404,0)),""))</f>
        <v>0</v>
      </c>
      <c r="N264" s="21">
        <f>IF(B264="","",IF(G264="",0,G264)-IF(H264="",0,H264))</f>
        <v>0</v>
      </c>
      <c r="O264" s="21">
        <f>IF(D264="","",IFERROR(INDEX(Invoices!$V$5:$V$404,MATCH(D264,Invoices!$A$5:$A$404,0)),""))</f>
        <v>0</v>
      </c>
      <c r="P264" s="21">
        <f>IF(D264="","",IFERROR(INDEX(Invoices!$W$5:$W$404,MATCH(D264,Invoices!$A$5:$A$404,0)),""))</f>
        <v>0</v>
      </c>
      <c r="Q264" s="21">
        <f>IF(OR(D264="",O264=""),"",ROUND(O264-P264,2))</f>
        <v>0</v>
      </c>
      <c r="R264" s="39">
        <f>IF(B264="","",IF(D264="","Add - which invoice?",IF(OR(G264="",G264=0),"Add - how much came in?",IF(Q264&lt;-0.004,"Check - overpaid",IF(L264="No","Due - not banked yet",IF(Q264&gt;0.004,"Part paid","OK"))))))</f>
        <v>0</v>
      </c>
    </row>
    <row r="265" spans="1:18">
      <c r="A265" s="43">
        <f>IF(B265="","",PaymentPrefix&amp;TEXT(ROW()-4,"0000"))</f>
        <v>0</v>
      </c>
      <c r="C265" s="23">
        <f>IF(B265="","",TEXT(B265,"yyyy-mm"))</f>
        <v>0</v>
      </c>
      <c r="E265" s="43">
        <f>IF(D265="","",IFERROR(INDEX(Invoices!$D$5:$D$404,MATCH(D265,Invoices!$A$5:$A$404,0)),""))</f>
        <v>0</v>
      </c>
      <c r="F265" s="23">
        <f>IF(D265="","",IFERROR(INDEX(Invoices!$E$5:$E$404,MATCH(D265,Invoices!$A$5:$A$404,0)),""))</f>
        <v>0</v>
      </c>
      <c r="N265" s="21">
        <f>IF(B265="","",IF(G265="",0,G265)-IF(H265="",0,H265))</f>
        <v>0</v>
      </c>
      <c r="O265" s="21">
        <f>IF(D265="","",IFERROR(INDEX(Invoices!$V$5:$V$404,MATCH(D265,Invoices!$A$5:$A$404,0)),""))</f>
        <v>0</v>
      </c>
      <c r="P265" s="21">
        <f>IF(D265="","",IFERROR(INDEX(Invoices!$W$5:$W$404,MATCH(D265,Invoices!$A$5:$A$404,0)),""))</f>
        <v>0</v>
      </c>
      <c r="Q265" s="21">
        <f>IF(OR(D265="",O265=""),"",ROUND(O265-P265,2))</f>
        <v>0</v>
      </c>
      <c r="R265" s="39">
        <f>IF(B265="","",IF(D265="","Add - which invoice?",IF(OR(G265="",G265=0),"Add - how much came in?",IF(Q265&lt;-0.004,"Check - overpaid",IF(L265="No","Due - not banked yet",IF(Q265&gt;0.004,"Part paid","OK"))))))</f>
        <v>0</v>
      </c>
    </row>
    <row r="266" spans="1:18">
      <c r="A266" s="43">
        <f>IF(B266="","",PaymentPrefix&amp;TEXT(ROW()-4,"0000"))</f>
        <v>0</v>
      </c>
      <c r="C266" s="23">
        <f>IF(B266="","",TEXT(B266,"yyyy-mm"))</f>
        <v>0</v>
      </c>
      <c r="E266" s="43">
        <f>IF(D266="","",IFERROR(INDEX(Invoices!$D$5:$D$404,MATCH(D266,Invoices!$A$5:$A$404,0)),""))</f>
        <v>0</v>
      </c>
      <c r="F266" s="23">
        <f>IF(D266="","",IFERROR(INDEX(Invoices!$E$5:$E$404,MATCH(D266,Invoices!$A$5:$A$404,0)),""))</f>
        <v>0</v>
      </c>
      <c r="N266" s="21">
        <f>IF(B266="","",IF(G266="",0,G266)-IF(H266="",0,H266))</f>
        <v>0</v>
      </c>
      <c r="O266" s="21">
        <f>IF(D266="","",IFERROR(INDEX(Invoices!$V$5:$V$404,MATCH(D266,Invoices!$A$5:$A$404,0)),""))</f>
        <v>0</v>
      </c>
      <c r="P266" s="21">
        <f>IF(D266="","",IFERROR(INDEX(Invoices!$W$5:$W$404,MATCH(D266,Invoices!$A$5:$A$404,0)),""))</f>
        <v>0</v>
      </c>
      <c r="Q266" s="21">
        <f>IF(OR(D266="",O266=""),"",ROUND(O266-P266,2))</f>
        <v>0</v>
      </c>
      <c r="R266" s="39">
        <f>IF(B266="","",IF(D266="","Add - which invoice?",IF(OR(G266="",G266=0),"Add - how much came in?",IF(Q266&lt;-0.004,"Check - overpaid",IF(L266="No","Due - not banked yet",IF(Q266&gt;0.004,"Part paid","OK"))))))</f>
        <v>0</v>
      </c>
    </row>
    <row r="267" spans="1:18">
      <c r="A267" s="43">
        <f>IF(B267="","",PaymentPrefix&amp;TEXT(ROW()-4,"0000"))</f>
        <v>0</v>
      </c>
      <c r="C267" s="23">
        <f>IF(B267="","",TEXT(B267,"yyyy-mm"))</f>
        <v>0</v>
      </c>
      <c r="E267" s="43">
        <f>IF(D267="","",IFERROR(INDEX(Invoices!$D$5:$D$404,MATCH(D267,Invoices!$A$5:$A$404,0)),""))</f>
        <v>0</v>
      </c>
      <c r="F267" s="23">
        <f>IF(D267="","",IFERROR(INDEX(Invoices!$E$5:$E$404,MATCH(D267,Invoices!$A$5:$A$404,0)),""))</f>
        <v>0</v>
      </c>
      <c r="N267" s="21">
        <f>IF(B267="","",IF(G267="",0,G267)-IF(H267="",0,H267))</f>
        <v>0</v>
      </c>
      <c r="O267" s="21">
        <f>IF(D267="","",IFERROR(INDEX(Invoices!$V$5:$V$404,MATCH(D267,Invoices!$A$5:$A$404,0)),""))</f>
        <v>0</v>
      </c>
      <c r="P267" s="21">
        <f>IF(D267="","",IFERROR(INDEX(Invoices!$W$5:$W$404,MATCH(D267,Invoices!$A$5:$A$404,0)),""))</f>
        <v>0</v>
      </c>
      <c r="Q267" s="21">
        <f>IF(OR(D267="",O267=""),"",ROUND(O267-P267,2))</f>
        <v>0</v>
      </c>
      <c r="R267" s="39">
        <f>IF(B267="","",IF(D267="","Add - which invoice?",IF(OR(G267="",G267=0),"Add - how much came in?",IF(Q267&lt;-0.004,"Check - overpaid",IF(L267="No","Due - not banked yet",IF(Q267&gt;0.004,"Part paid","OK"))))))</f>
        <v>0</v>
      </c>
    </row>
    <row r="268" spans="1:18">
      <c r="A268" s="43">
        <f>IF(B268="","",PaymentPrefix&amp;TEXT(ROW()-4,"0000"))</f>
        <v>0</v>
      </c>
      <c r="C268" s="23">
        <f>IF(B268="","",TEXT(B268,"yyyy-mm"))</f>
        <v>0</v>
      </c>
      <c r="E268" s="43">
        <f>IF(D268="","",IFERROR(INDEX(Invoices!$D$5:$D$404,MATCH(D268,Invoices!$A$5:$A$404,0)),""))</f>
        <v>0</v>
      </c>
      <c r="F268" s="23">
        <f>IF(D268="","",IFERROR(INDEX(Invoices!$E$5:$E$404,MATCH(D268,Invoices!$A$5:$A$404,0)),""))</f>
        <v>0</v>
      </c>
      <c r="N268" s="21">
        <f>IF(B268="","",IF(G268="",0,G268)-IF(H268="",0,H268))</f>
        <v>0</v>
      </c>
      <c r="O268" s="21">
        <f>IF(D268="","",IFERROR(INDEX(Invoices!$V$5:$V$404,MATCH(D268,Invoices!$A$5:$A$404,0)),""))</f>
        <v>0</v>
      </c>
      <c r="P268" s="21">
        <f>IF(D268="","",IFERROR(INDEX(Invoices!$W$5:$W$404,MATCH(D268,Invoices!$A$5:$A$404,0)),""))</f>
        <v>0</v>
      </c>
      <c r="Q268" s="21">
        <f>IF(OR(D268="",O268=""),"",ROUND(O268-P268,2))</f>
        <v>0</v>
      </c>
      <c r="R268" s="39">
        <f>IF(B268="","",IF(D268="","Add - which invoice?",IF(OR(G268="",G268=0),"Add - how much came in?",IF(Q268&lt;-0.004,"Check - overpaid",IF(L268="No","Due - not banked yet",IF(Q268&gt;0.004,"Part paid","OK"))))))</f>
        <v>0</v>
      </c>
    </row>
    <row r="269" spans="1:18">
      <c r="A269" s="43">
        <f>IF(B269="","",PaymentPrefix&amp;TEXT(ROW()-4,"0000"))</f>
        <v>0</v>
      </c>
      <c r="C269" s="23">
        <f>IF(B269="","",TEXT(B269,"yyyy-mm"))</f>
        <v>0</v>
      </c>
      <c r="E269" s="43">
        <f>IF(D269="","",IFERROR(INDEX(Invoices!$D$5:$D$404,MATCH(D269,Invoices!$A$5:$A$404,0)),""))</f>
        <v>0</v>
      </c>
      <c r="F269" s="23">
        <f>IF(D269="","",IFERROR(INDEX(Invoices!$E$5:$E$404,MATCH(D269,Invoices!$A$5:$A$404,0)),""))</f>
        <v>0</v>
      </c>
      <c r="N269" s="21">
        <f>IF(B269="","",IF(G269="",0,G269)-IF(H269="",0,H269))</f>
        <v>0</v>
      </c>
      <c r="O269" s="21">
        <f>IF(D269="","",IFERROR(INDEX(Invoices!$V$5:$V$404,MATCH(D269,Invoices!$A$5:$A$404,0)),""))</f>
        <v>0</v>
      </c>
      <c r="P269" s="21">
        <f>IF(D269="","",IFERROR(INDEX(Invoices!$W$5:$W$404,MATCH(D269,Invoices!$A$5:$A$404,0)),""))</f>
        <v>0</v>
      </c>
      <c r="Q269" s="21">
        <f>IF(OR(D269="",O269=""),"",ROUND(O269-P269,2))</f>
        <v>0</v>
      </c>
      <c r="R269" s="39">
        <f>IF(B269="","",IF(D269="","Add - which invoice?",IF(OR(G269="",G269=0),"Add - how much came in?",IF(Q269&lt;-0.004,"Check - overpaid",IF(L269="No","Due - not banked yet",IF(Q269&gt;0.004,"Part paid","OK"))))))</f>
        <v>0</v>
      </c>
    </row>
    <row r="270" spans="1:18">
      <c r="A270" s="43">
        <f>IF(B270="","",PaymentPrefix&amp;TEXT(ROW()-4,"0000"))</f>
        <v>0</v>
      </c>
      <c r="C270" s="23">
        <f>IF(B270="","",TEXT(B270,"yyyy-mm"))</f>
        <v>0</v>
      </c>
      <c r="E270" s="43">
        <f>IF(D270="","",IFERROR(INDEX(Invoices!$D$5:$D$404,MATCH(D270,Invoices!$A$5:$A$404,0)),""))</f>
        <v>0</v>
      </c>
      <c r="F270" s="23">
        <f>IF(D270="","",IFERROR(INDEX(Invoices!$E$5:$E$404,MATCH(D270,Invoices!$A$5:$A$404,0)),""))</f>
        <v>0</v>
      </c>
      <c r="N270" s="21">
        <f>IF(B270="","",IF(G270="",0,G270)-IF(H270="",0,H270))</f>
        <v>0</v>
      </c>
      <c r="O270" s="21">
        <f>IF(D270="","",IFERROR(INDEX(Invoices!$V$5:$V$404,MATCH(D270,Invoices!$A$5:$A$404,0)),""))</f>
        <v>0</v>
      </c>
      <c r="P270" s="21">
        <f>IF(D270="","",IFERROR(INDEX(Invoices!$W$5:$W$404,MATCH(D270,Invoices!$A$5:$A$404,0)),""))</f>
        <v>0</v>
      </c>
      <c r="Q270" s="21">
        <f>IF(OR(D270="",O270=""),"",ROUND(O270-P270,2))</f>
        <v>0</v>
      </c>
      <c r="R270" s="39">
        <f>IF(B270="","",IF(D270="","Add - which invoice?",IF(OR(G270="",G270=0),"Add - how much came in?",IF(Q270&lt;-0.004,"Check - overpaid",IF(L270="No","Due - not banked yet",IF(Q270&gt;0.004,"Part paid","OK"))))))</f>
        <v>0</v>
      </c>
    </row>
    <row r="271" spans="1:18">
      <c r="A271" s="43">
        <f>IF(B271="","",PaymentPrefix&amp;TEXT(ROW()-4,"0000"))</f>
        <v>0</v>
      </c>
      <c r="C271" s="23">
        <f>IF(B271="","",TEXT(B271,"yyyy-mm"))</f>
        <v>0</v>
      </c>
      <c r="E271" s="43">
        <f>IF(D271="","",IFERROR(INDEX(Invoices!$D$5:$D$404,MATCH(D271,Invoices!$A$5:$A$404,0)),""))</f>
        <v>0</v>
      </c>
      <c r="F271" s="23">
        <f>IF(D271="","",IFERROR(INDEX(Invoices!$E$5:$E$404,MATCH(D271,Invoices!$A$5:$A$404,0)),""))</f>
        <v>0</v>
      </c>
      <c r="N271" s="21">
        <f>IF(B271="","",IF(G271="",0,G271)-IF(H271="",0,H271))</f>
        <v>0</v>
      </c>
      <c r="O271" s="21">
        <f>IF(D271="","",IFERROR(INDEX(Invoices!$V$5:$V$404,MATCH(D271,Invoices!$A$5:$A$404,0)),""))</f>
        <v>0</v>
      </c>
      <c r="P271" s="21">
        <f>IF(D271="","",IFERROR(INDEX(Invoices!$W$5:$W$404,MATCH(D271,Invoices!$A$5:$A$404,0)),""))</f>
        <v>0</v>
      </c>
      <c r="Q271" s="21">
        <f>IF(OR(D271="",O271=""),"",ROUND(O271-P271,2))</f>
        <v>0</v>
      </c>
      <c r="R271" s="39">
        <f>IF(B271="","",IF(D271="","Add - which invoice?",IF(OR(G271="",G271=0),"Add - how much came in?",IF(Q271&lt;-0.004,"Check - overpaid",IF(L271="No","Due - not banked yet",IF(Q271&gt;0.004,"Part paid","OK"))))))</f>
        <v>0</v>
      </c>
    </row>
    <row r="272" spans="1:18">
      <c r="A272" s="43">
        <f>IF(B272="","",PaymentPrefix&amp;TEXT(ROW()-4,"0000"))</f>
        <v>0</v>
      </c>
      <c r="C272" s="23">
        <f>IF(B272="","",TEXT(B272,"yyyy-mm"))</f>
        <v>0</v>
      </c>
      <c r="E272" s="43">
        <f>IF(D272="","",IFERROR(INDEX(Invoices!$D$5:$D$404,MATCH(D272,Invoices!$A$5:$A$404,0)),""))</f>
        <v>0</v>
      </c>
      <c r="F272" s="23">
        <f>IF(D272="","",IFERROR(INDEX(Invoices!$E$5:$E$404,MATCH(D272,Invoices!$A$5:$A$404,0)),""))</f>
        <v>0</v>
      </c>
      <c r="N272" s="21">
        <f>IF(B272="","",IF(G272="",0,G272)-IF(H272="",0,H272))</f>
        <v>0</v>
      </c>
      <c r="O272" s="21">
        <f>IF(D272="","",IFERROR(INDEX(Invoices!$V$5:$V$404,MATCH(D272,Invoices!$A$5:$A$404,0)),""))</f>
        <v>0</v>
      </c>
      <c r="P272" s="21">
        <f>IF(D272="","",IFERROR(INDEX(Invoices!$W$5:$W$404,MATCH(D272,Invoices!$A$5:$A$404,0)),""))</f>
        <v>0</v>
      </c>
      <c r="Q272" s="21">
        <f>IF(OR(D272="",O272=""),"",ROUND(O272-P272,2))</f>
        <v>0</v>
      </c>
      <c r="R272" s="39">
        <f>IF(B272="","",IF(D272="","Add - which invoice?",IF(OR(G272="",G272=0),"Add - how much came in?",IF(Q272&lt;-0.004,"Check - overpaid",IF(L272="No","Due - not banked yet",IF(Q272&gt;0.004,"Part paid","OK"))))))</f>
        <v>0</v>
      </c>
    </row>
    <row r="273" spans="1:18">
      <c r="A273" s="43">
        <f>IF(B273="","",PaymentPrefix&amp;TEXT(ROW()-4,"0000"))</f>
        <v>0</v>
      </c>
      <c r="C273" s="23">
        <f>IF(B273="","",TEXT(B273,"yyyy-mm"))</f>
        <v>0</v>
      </c>
      <c r="E273" s="43">
        <f>IF(D273="","",IFERROR(INDEX(Invoices!$D$5:$D$404,MATCH(D273,Invoices!$A$5:$A$404,0)),""))</f>
        <v>0</v>
      </c>
      <c r="F273" s="23">
        <f>IF(D273="","",IFERROR(INDEX(Invoices!$E$5:$E$404,MATCH(D273,Invoices!$A$5:$A$404,0)),""))</f>
        <v>0</v>
      </c>
      <c r="N273" s="21">
        <f>IF(B273="","",IF(G273="",0,G273)-IF(H273="",0,H273))</f>
        <v>0</v>
      </c>
      <c r="O273" s="21">
        <f>IF(D273="","",IFERROR(INDEX(Invoices!$V$5:$V$404,MATCH(D273,Invoices!$A$5:$A$404,0)),""))</f>
        <v>0</v>
      </c>
      <c r="P273" s="21">
        <f>IF(D273="","",IFERROR(INDEX(Invoices!$W$5:$W$404,MATCH(D273,Invoices!$A$5:$A$404,0)),""))</f>
        <v>0</v>
      </c>
      <c r="Q273" s="21">
        <f>IF(OR(D273="",O273=""),"",ROUND(O273-P273,2))</f>
        <v>0</v>
      </c>
      <c r="R273" s="39">
        <f>IF(B273="","",IF(D273="","Add - which invoice?",IF(OR(G273="",G273=0),"Add - how much came in?",IF(Q273&lt;-0.004,"Check - overpaid",IF(L273="No","Due - not banked yet",IF(Q273&gt;0.004,"Part paid","OK"))))))</f>
        <v>0</v>
      </c>
    </row>
    <row r="274" spans="1:18">
      <c r="A274" s="43">
        <f>IF(B274="","",PaymentPrefix&amp;TEXT(ROW()-4,"0000"))</f>
        <v>0</v>
      </c>
      <c r="C274" s="23">
        <f>IF(B274="","",TEXT(B274,"yyyy-mm"))</f>
        <v>0</v>
      </c>
      <c r="E274" s="43">
        <f>IF(D274="","",IFERROR(INDEX(Invoices!$D$5:$D$404,MATCH(D274,Invoices!$A$5:$A$404,0)),""))</f>
        <v>0</v>
      </c>
      <c r="F274" s="23">
        <f>IF(D274="","",IFERROR(INDEX(Invoices!$E$5:$E$404,MATCH(D274,Invoices!$A$5:$A$404,0)),""))</f>
        <v>0</v>
      </c>
      <c r="N274" s="21">
        <f>IF(B274="","",IF(G274="",0,G274)-IF(H274="",0,H274))</f>
        <v>0</v>
      </c>
      <c r="O274" s="21">
        <f>IF(D274="","",IFERROR(INDEX(Invoices!$V$5:$V$404,MATCH(D274,Invoices!$A$5:$A$404,0)),""))</f>
        <v>0</v>
      </c>
      <c r="P274" s="21">
        <f>IF(D274="","",IFERROR(INDEX(Invoices!$W$5:$W$404,MATCH(D274,Invoices!$A$5:$A$404,0)),""))</f>
        <v>0</v>
      </c>
      <c r="Q274" s="21">
        <f>IF(OR(D274="",O274=""),"",ROUND(O274-P274,2))</f>
        <v>0</v>
      </c>
      <c r="R274" s="39">
        <f>IF(B274="","",IF(D274="","Add - which invoice?",IF(OR(G274="",G274=0),"Add - how much came in?",IF(Q274&lt;-0.004,"Check - overpaid",IF(L274="No","Due - not banked yet",IF(Q274&gt;0.004,"Part paid","OK"))))))</f>
        <v>0</v>
      </c>
    </row>
    <row r="275" spans="1:18">
      <c r="A275" s="43">
        <f>IF(B275="","",PaymentPrefix&amp;TEXT(ROW()-4,"0000"))</f>
        <v>0</v>
      </c>
      <c r="C275" s="23">
        <f>IF(B275="","",TEXT(B275,"yyyy-mm"))</f>
        <v>0</v>
      </c>
      <c r="E275" s="43">
        <f>IF(D275="","",IFERROR(INDEX(Invoices!$D$5:$D$404,MATCH(D275,Invoices!$A$5:$A$404,0)),""))</f>
        <v>0</v>
      </c>
      <c r="F275" s="23">
        <f>IF(D275="","",IFERROR(INDEX(Invoices!$E$5:$E$404,MATCH(D275,Invoices!$A$5:$A$404,0)),""))</f>
        <v>0</v>
      </c>
      <c r="N275" s="21">
        <f>IF(B275="","",IF(G275="",0,G275)-IF(H275="",0,H275))</f>
        <v>0</v>
      </c>
      <c r="O275" s="21">
        <f>IF(D275="","",IFERROR(INDEX(Invoices!$V$5:$V$404,MATCH(D275,Invoices!$A$5:$A$404,0)),""))</f>
        <v>0</v>
      </c>
      <c r="P275" s="21">
        <f>IF(D275="","",IFERROR(INDEX(Invoices!$W$5:$W$404,MATCH(D275,Invoices!$A$5:$A$404,0)),""))</f>
        <v>0</v>
      </c>
      <c r="Q275" s="21">
        <f>IF(OR(D275="",O275=""),"",ROUND(O275-P275,2))</f>
        <v>0</v>
      </c>
      <c r="R275" s="39">
        <f>IF(B275="","",IF(D275="","Add - which invoice?",IF(OR(G275="",G275=0),"Add - how much came in?",IF(Q275&lt;-0.004,"Check - overpaid",IF(L275="No","Due - not banked yet",IF(Q275&gt;0.004,"Part paid","OK"))))))</f>
        <v>0</v>
      </c>
    </row>
    <row r="276" spans="1:18">
      <c r="A276" s="43">
        <f>IF(B276="","",PaymentPrefix&amp;TEXT(ROW()-4,"0000"))</f>
        <v>0</v>
      </c>
      <c r="C276" s="23">
        <f>IF(B276="","",TEXT(B276,"yyyy-mm"))</f>
        <v>0</v>
      </c>
      <c r="E276" s="43">
        <f>IF(D276="","",IFERROR(INDEX(Invoices!$D$5:$D$404,MATCH(D276,Invoices!$A$5:$A$404,0)),""))</f>
        <v>0</v>
      </c>
      <c r="F276" s="23">
        <f>IF(D276="","",IFERROR(INDEX(Invoices!$E$5:$E$404,MATCH(D276,Invoices!$A$5:$A$404,0)),""))</f>
        <v>0</v>
      </c>
      <c r="N276" s="21">
        <f>IF(B276="","",IF(G276="",0,G276)-IF(H276="",0,H276))</f>
        <v>0</v>
      </c>
      <c r="O276" s="21">
        <f>IF(D276="","",IFERROR(INDEX(Invoices!$V$5:$V$404,MATCH(D276,Invoices!$A$5:$A$404,0)),""))</f>
        <v>0</v>
      </c>
      <c r="P276" s="21">
        <f>IF(D276="","",IFERROR(INDEX(Invoices!$W$5:$W$404,MATCH(D276,Invoices!$A$5:$A$404,0)),""))</f>
        <v>0</v>
      </c>
      <c r="Q276" s="21">
        <f>IF(OR(D276="",O276=""),"",ROUND(O276-P276,2))</f>
        <v>0</v>
      </c>
      <c r="R276" s="39">
        <f>IF(B276="","",IF(D276="","Add - which invoice?",IF(OR(G276="",G276=0),"Add - how much came in?",IF(Q276&lt;-0.004,"Check - overpaid",IF(L276="No","Due - not banked yet",IF(Q276&gt;0.004,"Part paid","OK"))))))</f>
        <v>0</v>
      </c>
    </row>
    <row r="277" spans="1:18">
      <c r="A277" s="43">
        <f>IF(B277="","",PaymentPrefix&amp;TEXT(ROW()-4,"0000"))</f>
        <v>0</v>
      </c>
      <c r="C277" s="23">
        <f>IF(B277="","",TEXT(B277,"yyyy-mm"))</f>
        <v>0</v>
      </c>
      <c r="E277" s="43">
        <f>IF(D277="","",IFERROR(INDEX(Invoices!$D$5:$D$404,MATCH(D277,Invoices!$A$5:$A$404,0)),""))</f>
        <v>0</v>
      </c>
      <c r="F277" s="23">
        <f>IF(D277="","",IFERROR(INDEX(Invoices!$E$5:$E$404,MATCH(D277,Invoices!$A$5:$A$404,0)),""))</f>
        <v>0</v>
      </c>
      <c r="N277" s="21">
        <f>IF(B277="","",IF(G277="",0,G277)-IF(H277="",0,H277))</f>
        <v>0</v>
      </c>
      <c r="O277" s="21">
        <f>IF(D277="","",IFERROR(INDEX(Invoices!$V$5:$V$404,MATCH(D277,Invoices!$A$5:$A$404,0)),""))</f>
        <v>0</v>
      </c>
      <c r="P277" s="21">
        <f>IF(D277="","",IFERROR(INDEX(Invoices!$W$5:$W$404,MATCH(D277,Invoices!$A$5:$A$404,0)),""))</f>
        <v>0</v>
      </c>
      <c r="Q277" s="21">
        <f>IF(OR(D277="",O277=""),"",ROUND(O277-P277,2))</f>
        <v>0</v>
      </c>
      <c r="R277" s="39">
        <f>IF(B277="","",IF(D277="","Add - which invoice?",IF(OR(G277="",G277=0),"Add - how much came in?",IF(Q277&lt;-0.004,"Check - overpaid",IF(L277="No","Due - not banked yet",IF(Q277&gt;0.004,"Part paid","OK"))))))</f>
        <v>0</v>
      </c>
    </row>
    <row r="278" spans="1:18">
      <c r="A278" s="43">
        <f>IF(B278="","",PaymentPrefix&amp;TEXT(ROW()-4,"0000"))</f>
        <v>0</v>
      </c>
      <c r="C278" s="23">
        <f>IF(B278="","",TEXT(B278,"yyyy-mm"))</f>
        <v>0</v>
      </c>
      <c r="E278" s="43">
        <f>IF(D278="","",IFERROR(INDEX(Invoices!$D$5:$D$404,MATCH(D278,Invoices!$A$5:$A$404,0)),""))</f>
        <v>0</v>
      </c>
      <c r="F278" s="23">
        <f>IF(D278="","",IFERROR(INDEX(Invoices!$E$5:$E$404,MATCH(D278,Invoices!$A$5:$A$404,0)),""))</f>
        <v>0</v>
      </c>
      <c r="N278" s="21">
        <f>IF(B278="","",IF(G278="",0,G278)-IF(H278="",0,H278))</f>
        <v>0</v>
      </c>
      <c r="O278" s="21">
        <f>IF(D278="","",IFERROR(INDEX(Invoices!$V$5:$V$404,MATCH(D278,Invoices!$A$5:$A$404,0)),""))</f>
        <v>0</v>
      </c>
      <c r="P278" s="21">
        <f>IF(D278="","",IFERROR(INDEX(Invoices!$W$5:$W$404,MATCH(D278,Invoices!$A$5:$A$404,0)),""))</f>
        <v>0</v>
      </c>
      <c r="Q278" s="21">
        <f>IF(OR(D278="",O278=""),"",ROUND(O278-P278,2))</f>
        <v>0</v>
      </c>
      <c r="R278" s="39">
        <f>IF(B278="","",IF(D278="","Add - which invoice?",IF(OR(G278="",G278=0),"Add - how much came in?",IF(Q278&lt;-0.004,"Check - overpaid",IF(L278="No","Due - not banked yet",IF(Q278&gt;0.004,"Part paid","OK"))))))</f>
        <v>0</v>
      </c>
    </row>
    <row r="279" spans="1:18">
      <c r="A279" s="43">
        <f>IF(B279="","",PaymentPrefix&amp;TEXT(ROW()-4,"0000"))</f>
        <v>0</v>
      </c>
      <c r="C279" s="23">
        <f>IF(B279="","",TEXT(B279,"yyyy-mm"))</f>
        <v>0</v>
      </c>
      <c r="E279" s="43">
        <f>IF(D279="","",IFERROR(INDEX(Invoices!$D$5:$D$404,MATCH(D279,Invoices!$A$5:$A$404,0)),""))</f>
        <v>0</v>
      </c>
      <c r="F279" s="23">
        <f>IF(D279="","",IFERROR(INDEX(Invoices!$E$5:$E$404,MATCH(D279,Invoices!$A$5:$A$404,0)),""))</f>
        <v>0</v>
      </c>
      <c r="N279" s="21">
        <f>IF(B279="","",IF(G279="",0,G279)-IF(H279="",0,H279))</f>
        <v>0</v>
      </c>
      <c r="O279" s="21">
        <f>IF(D279="","",IFERROR(INDEX(Invoices!$V$5:$V$404,MATCH(D279,Invoices!$A$5:$A$404,0)),""))</f>
        <v>0</v>
      </c>
      <c r="P279" s="21">
        <f>IF(D279="","",IFERROR(INDEX(Invoices!$W$5:$W$404,MATCH(D279,Invoices!$A$5:$A$404,0)),""))</f>
        <v>0</v>
      </c>
      <c r="Q279" s="21">
        <f>IF(OR(D279="",O279=""),"",ROUND(O279-P279,2))</f>
        <v>0</v>
      </c>
      <c r="R279" s="39">
        <f>IF(B279="","",IF(D279="","Add - which invoice?",IF(OR(G279="",G279=0),"Add - how much came in?",IF(Q279&lt;-0.004,"Check - overpaid",IF(L279="No","Due - not banked yet",IF(Q279&gt;0.004,"Part paid","OK"))))))</f>
        <v>0</v>
      </c>
    </row>
    <row r="280" spans="1:18">
      <c r="A280" s="43">
        <f>IF(B280="","",PaymentPrefix&amp;TEXT(ROW()-4,"0000"))</f>
        <v>0</v>
      </c>
      <c r="C280" s="23">
        <f>IF(B280="","",TEXT(B280,"yyyy-mm"))</f>
        <v>0</v>
      </c>
      <c r="E280" s="43">
        <f>IF(D280="","",IFERROR(INDEX(Invoices!$D$5:$D$404,MATCH(D280,Invoices!$A$5:$A$404,0)),""))</f>
        <v>0</v>
      </c>
      <c r="F280" s="23">
        <f>IF(D280="","",IFERROR(INDEX(Invoices!$E$5:$E$404,MATCH(D280,Invoices!$A$5:$A$404,0)),""))</f>
        <v>0</v>
      </c>
      <c r="N280" s="21">
        <f>IF(B280="","",IF(G280="",0,G280)-IF(H280="",0,H280))</f>
        <v>0</v>
      </c>
      <c r="O280" s="21">
        <f>IF(D280="","",IFERROR(INDEX(Invoices!$V$5:$V$404,MATCH(D280,Invoices!$A$5:$A$404,0)),""))</f>
        <v>0</v>
      </c>
      <c r="P280" s="21">
        <f>IF(D280="","",IFERROR(INDEX(Invoices!$W$5:$W$404,MATCH(D280,Invoices!$A$5:$A$404,0)),""))</f>
        <v>0</v>
      </c>
      <c r="Q280" s="21">
        <f>IF(OR(D280="",O280=""),"",ROUND(O280-P280,2))</f>
        <v>0</v>
      </c>
      <c r="R280" s="39">
        <f>IF(B280="","",IF(D280="","Add - which invoice?",IF(OR(G280="",G280=0),"Add - how much came in?",IF(Q280&lt;-0.004,"Check - overpaid",IF(L280="No","Due - not banked yet",IF(Q280&gt;0.004,"Part paid","OK"))))))</f>
        <v>0</v>
      </c>
    </row>
    <row r="281" spans="1:18">
      <c r="A281" s="43">
        <f>IF(B281="","",PaymentPrefix&amp;TEXT(ROW()-4,"0000"))</f>
        <v>0</v>
      </c>
      <c r="C281" s="23">
        <f>IF(B281="","",TEXT(B281,"yyyy-mm"))</f>
        <v>0</v>
      </c>
      <c r="E281" s="43">
        <f>IF(D281="","",IFERROR(INDEX(Invoices!$D$5:$D$404,MATCH(D281,Invoices!$A$5:$A$404,0)),""))</f>
        <v>0</v>
      </c>
      <c r="F281" s="23">
        <f>IF(D281="","",IFERROR(INDEX(Invoices!$E$5:$E$404,MATCH(D281,Invoices!$A$5:$A$404,0)),""))</f>
        <v>0</v>
      </c>
      <c r="N281" s="21">
        <f>IF(B281="","",IF(G281="",0,G281)-IF(H281="",0,H281))</f>
        <v>0</v>
      </c>
      <c r="O281" s="21">
        <f>IF(D281="","",IFERROR(INDEX(Invoices!$V$5:$V$404,MATCH(D281,Invoices!$A$5:$A$404,0)),""))</f>
        <v>0</v>
      </c>
      <c r="P281" s="21">
        <f>IF(D281="","",IFERROR(INDEX(Invoices!$W$5:$W$404,MATCH(D281,Invoices!$A$5:$A$404,0)),""))</f>
        <v>0</v>
      </c>
      <c r="Q281" s="21">
        <f>IF(OR(D281="",O281=""),"",ROUND(O281-P281,2))</f>
        <v>0</v>
      </c>
      <c r="R281" s="39">
        <f>IF(B281="","",IF(D281="","Add - which invoice?",IF(OR(G281="",G281=0),"Add - how much came in?",IF(Q281&lt;-0.004,"Check - overpaid",IF(L281="No","Due - not banked yet",IF(Q281&gt;0.004,"Part paid","OK"))))))</f>
        <v>0</v>
      </c>
    </row>
    <row r="282" spans="1:18">
      <c r="A282" s="43">
        <f>IF(B282="","",PaymentPrefix&amp;TEXT(ROW()-4,"0000"))</f>
        <v>0</v>
      </c>
      <c r="C282" s="23">
        <f>IF(B282="","",TEXT(B282,"yyyy-mm"))</f>
        <v>0</v>
      </c>
      <c r="E282" s="43">
        <f>IF(D282="","",IFERROR(INDEX(Invoices!$D$5:$D$404,MATCH(D282,Invoices!$A$5:$A$404,0)),""))</f>
        <v>0</v>
      </c>
      <c r="F282" s="23">
        <f>IF(D282="","",IFERROR(INDEX(Invoices!$E$5:$E$404,MATCH(D282,Invoices!$A$5:$A$404,0)),""))</f>
        <v>0</v>
      </c>
      <c r="N282" s="21">
        <f>IF(B282="","",IF(G282="",0,G282)-IF(H282="",0,H282))</f>
        <v>0</v>
      </c>
      <c r="O282" s="21">
        <f>IF(D282="","",IFERROR(INDEX(Invoices!$V$5:$V$404,MATCH(D282,Invoices!$A$5:$A$404,0)),""))</f>
        <v>0</v>
      </c>
      <c r="P282" s="21">
        <f>IF(D282="","",IFERROR(INDEX(Invoices!$W$5:$W$404,MATCH(D282,Invoices!$A$5:$A$404,0)),""))</f>
        <v>0</v>
      </c>
      <c r="Q282" s="21">
        <f>IF(OR(D282="",O282=""),"",ROUND(O282-P282,2))</f>
        <v>0</v>
      </c>
      <c r="R282" s="39">
        <f>IF(B282="","",IF(D282="","Add - which invoice?",IF(OR(G282="",G282=0),"Add - how much came in?",IF(Q282&lt;-0.004,"Check - overpaid",IF(L282="No","Due - not banked yet",IF(Q282&gt;0.004,"Part paid","OK"))))))</f>
        <v>0</v>
      </c>
    </row>
    <row r="283" spans="1:18">
      <c r="A283" s="43">
        <f>IF(B283="","",PaymentPrefix&amp;TEXT(ROW()-4,"0000"))</f>
        <v>0</v>
      </c>
      <c r="C283" s="23">
        <f>IF(B283="","",TEXT(B283,"yyyy-mm"))</f>
        <v>0</v>
      </c>
      <c r="E283" s="43">
        <f>IF(D283="","",IFERROR(INDEX(Invoices!$D$5:$D$404,MATCH(D283,Invoices!$A$5:$A$404,0)),""))</f>
        <v>0</v>
      </c>
      <c r="F283" s="23">
        <f>IF(D283="","",IFERROR(INDEX(Invoices!$E$5:$E$404,MATCH(D283,Invoices!$A$5:$A$404,0)),""))</f>
        <v>0</v>
      </c>
      <c r="N283" s="21">
        <f>IF(B283="","",IF(G283="",0,G283)-IF(H283="",0,H283))</f>
        <v>0</v>
      </c>
      <c r="O283" s="21">
        <f>IF(D283="","",IFERROR(INDEX(Invoices!$V$5:$V$404,MATCH(D283,Invoices!$A$5:$A$404,0)),""))</f>
        <v>0</v>
      </c>
      <c r="P283" s="21">
        <f>IF(D283="","",IFERROR(INDEX(Invoices!$W$5:$W$404,MATCH(D283,Invoices!$A$5:$A$404,0)),""))</f>
        <v>0</v>
      </c>
      <c r="Q283" s="21">
        <f>IF(OR(D283="",O283=""),"",ROUND(O283-P283,2))</f>
        <v>0</v>
      </c>
      <c r="R283" s="39">
        <f>IF(B283="","",IF(D283="","Add - which invoice?",IF(OR(G283="",G283=0),"Add - how much came in?",IF(Q283&lt;-0.004,"Check - overpaid",IF(L283="No","Due - not banked yet",IF(Q283&gt;0.004,"Part paid","OK"))))))</f>
        <v>0</v>
      </c>
    </row>
    <row r="284" spans="1:18">
      <c r="A284" s="43">
        <f>IF(B284="","",PaymentPrefix&amp;TEXT(ROW()-4,"0000"))</f>
        <v>0</v>
      </c>
      <c r="C284" s="23">
        <f>IF(B284="","",TEXT(B284,"yyyy-mm"))</f>
        <v>0</v>
      </c>
      <c r="E284" s="43">
        <f>IF(D284="","",IFERROR(INDEX(Invoices!$D$5:$D$404,MATCH(D284,Invoices!$A$5:$A$404,0)),""))</f>
        <v>0</v>
      </c>
      <c r="F284" s="23">
        <f>IF(D284="","",IFERROR(INDEX(Invoices!$E$5:$E$404,MATCH(D284,Invoices!$A$5:$A$404,0)),""))</f>
        <v>0</v>
      </c>
      <c r="N284" s="21">
        <f>IF(B284="","",IF(G284="",0,G284)-IF(H284="",0,H284))</f>
        <v>0</v>
      </c>
      <c r="O284" s="21">
        <f>IF(D284="","",IFERROR(INDEX(Invoices!$V$5:$V$404,MATCH(D284,Invoices!$A$5:$A$404,0)),""))</f>
        <v>0</v>
      </c>
      <c r="P284" s="21">
        <f>IF(D284="","",IFERROR(INDEX(Invoices!$W$5:$W$404,MATCH(D284,Invoices!$A$5:$A$404,0)),""))</f>
        <v>0</v>
      </c>
      <c r="Q284" s="21">
        <f>IF(OR(D284="",O284=""),"",ROUND(O284-P284,2))</f>
        <v>0</v>
      </c>
      <c r="R284" s="39">
        <f>IF(B284="","",IF(D284="","Add - which invoice?",IF(OR(G284="",G284=0),"Add - how much came in?",IF(Q284&lt;-0.004,"Check - overpaid",IF(L284="No","Due - not banked yet",IF(Q284&gt;0.004,"Part paid","OK"))))))</f>
        <v>0</v>
      </c>
    </row>
    <row r="285" spans="1:18">
      <c r="A285" s="43">
        <f>IF(B285="","",PaymentPrefix&amp;TEXT(ROW()-4,"0000"))</f>
        <v>0</v>
      </c>
      <c r="C285" s="23">
        <f>IF(B285="","",TEXT(B285,"yyyy-mm"))</f>
        <v>0</v>
      </c>
      <c r="E285" s="43">
        <f>IF(D285="","",IFERROR(INDEX(Invoices!$D$5:$D$404,MATCH(D285,Invoices!$A$5:$A$404,0)),""))</f>
        <v>0</v>
      </c>
      <c r="F285" s="23">
        <f>IF(D285="","",IFERROR(INDEX(Invoices!$E$5:$E$404,MATCH(D285,Invoices!$A$5:$A$404,0)),""))</f>
        <v>0</v>
      </c>
      <c r="N285" s="21">
        <f>IF(B285="","",IF(G285="",0,G285)-IF(H285="",0,H285))</f>
        <v>0</v>
      </c>
      <c r="O285" s="21">
        <f>IF(D285="","",IFERROR(INDEX(Invoices!$V$5:$V$404,MATCH(D285,Invoices!$A$5:$A$404,0)),""))</f>
        <v>0</v>
      </c>
      <c r="P285" s="21">
        <f>IF(D285="","",IFERROR(INDEX(Invoices!$W$5:$W$404,MATCH(D285,Invoices!$A$5:$A$404,0)),""))</f>
        <v>0</v>
      </c>
      <c r="Q285" s="21">
        <f>IF(OR(D285="",O285=""),"",ROUND(O285-P285,2))</f>
        <v>0</v>
      </c>
      <c r="R285" s="39">
        <f>IF(B285="","",IF(D285="","Add - which invoice?",IF(OR(G285="",G285=0),"Add - how much came in?",IF(Q285&lt;-0.004,"Check - overpaid",IF(L285="No","Due - not banked yet",IF(Q285&gt;0.004,"Part paid","OK"))))))</f>
        <v>0</v>
      </c>
    </row>
    <row r="286" spans="1:18">
      <c r="A286" s="43">
        <f>IF(B286="","",PaymentPrefix&amp;TEXT(ROW()-4,"0000"))</f>
        <v>0</v>
      </c>
      <c r="C286" s="23">
        <f>IF(B286="","",TEXT(B286,"yyyy-mm"))</f>
        <v>0</v>
      </c>
      <c r="E286" s="43">
        <f>IF(D286="","",IFERROR(INDEX(Invoices!$D$5:$D$404,MATCH(D286,Invoices!$A$5:$A$404,0)),""))</f>
        <v>0</v>
      </c>
      <c r="F286" s="23">
        <f>IF(D286="","",IFERROR(INDEX(Invoices!$E$5:$E$404,MATCH(D286,Invoices!$A$5:$A$404,0)),""))</f>
        <v>0</v>
      </c>
      <c r="N286" s="21">
        <f>IF(B286="","",IF(G286="",0,G286)-IF(H286="",0,H286))</f>
        <v>0</v>
      </c>
      <c r="O286" s="21">
        <f>IF(D286="","",IFERROR(INDEX(Invoices!$V$5:$V$404,MATCH(D286,Invoices!$A$5:$A$404,0)),""))</f>
        <v>0</v>
      </c>
      <c r="P286" s="21">
        <f>IF(D286="","",IFERROR(INDEX(Invoices!$W$5:$W$404,MATCH(D286,Invoices!$A$5:$A$404,0)),""))</f>
        <v>0</v>
      </c>
      <c r="Q286" s="21">
        <f>IF(OR(D286="",O286=""),"",ROUND(O286-P286,2))</f>
        <v>0</v>
      </c>
      <c r="R286" s="39">
        <f>IF(B286="","",IF(D286="","Add - which invoice?",IF(OR(G286="",G286=0),"Add - how much came in?",IF(Q286&lt;-0.004,"Check - overpaid",IF(L286="No","Due - not banked yet",IF(Q286&gt;0.004,"Part paid","OK"))))))</f>
        <v>0</v>
      </c>
    </row>
    <row r="287" spans="1:18">
      <c r="A287" s="43">
        <f>IF(B287="","",PaymentPrefix&amp;TEXT(ROW()-4,"0000"))</f>
        <v>0</v>
      </c>
      <c r="C287" s="23">
        <f>IF(B287="","",TEXT(B287,"yyyy-mm"))</f>
        <v>0</v>
      </c>
      <c r="E287" s="43">
        <f>IF(D287="","",IFERROR(INDEX(Invoices!$D$5:$D$404,MATCH(D287,Invoices!$A$5:$A$404,0)),""))</f>
        <v>0</v>
      </c>
      <c r="F287" s="23">
        <f>IF(D287="","",IFERROR(INDEX(Invoices!$E$5:$E$404,MATCH(D287,Invoices!$A$5:$A$404,0)),""))</f>
        <v>0</v>
      </c>
      <c r="N287" s="21">
        <f>IF(B287="","",IF(G287="",0,G287)-IF(H287="",0,H287))</f>
        <v>0</v>
      </c>
      <c r="O287" s="21">
        <f>IF(D287="","",IFERROR(INDEX(Invoices!$V$5:$V$404,MATCH(D287,Invoices!$A$5:$A$404,0)),""))</f>
        <v>0</v>
      </c>
      <c r="P287" s="21">
        <f>IF(D287="","",IFERROR(INDEX(Invoices!$W$5:$W$404,MATCH(D287,Invoices!$A$5:$A$404,0)),""))</f>
        <v>0</v>
      </c>
      <c r="Q287" s="21">
        <f>IF(OR(D287="",O287=""),"",ROUND(O287-P287,2))</f>
        <v>0</v>
      </c>
      <c r="R287" s="39">
        <f>IF(B287="","",IF(D287="","Add - which invoice?",IF(OR(G287="",G287=0),"Add - how much came in?",IF(Q287&lt;-0.004,"Check - overpaid",IF(L287="No","Due - not banked yet",IF(Q287&gt;0.004,"Part paid","OK"))))))</f>
        <v>0</v>
      </c>
    </row>
    <row r="288" spans="1:18">
      <c r="A288" s="43">
        <f>IF(B288="","",PaymentPrefix&amp;TEXT(ROW()-4,"0000"))</f>
        <v>0</v>
      </c>
      <c r="C288" s="23">
        <f>IF(B288="","",TEXT(B288,"yyyy-mm"))</f>
        <v>0</v>
      </c>
      <c r="E288" s="43">
        <f>IF(D288="","",IFERROR(INDEX(Invoices!$D$5:$D$404,MATCH(D288,Invoices!$A$5:$A$404,0)),""))</f>
        <v>0</v>
      </c>
      <c r="F288" s="23">
        <f>IF(D288="","",IFERROR(INDEX(Invoices!$E$5:$E$404,MATCH(D288,Invoices!$A$5:$A$404,0)),""))</f>
        <v>0</v>
      </c>
      <c r="N288" s="21">
        <f>IF(B288="","",IF(G288="",0,G288)-IF(H288="",0,H288))</f>
        <v>0</v>
      </c>
      <c r="O288" s="21">
        <f>IF(D288="","",IFERROR(INDEX(Invoices!$V$5:$V$404,MATCH(D288,Invoices!$A$5:$A$404,0)),""))</f>
        <v>0</v>
      </c>
      <c r="P288" s="21">
        <f>IF(D288="","",IFERROR(INDEX(Invoices!$W$5:$W$404,MATCH(D288,Invoices!$A$5:$A$404,0)),""))</f>
        <v>0</v>
      </c>
      <c r="Q288" s="21">
        <f>IF(OR(D288="",O288=""),"",ROUND(O288-P288,2))</f>
        <v>0</v>
      </c>
      <c r="R288" s="39">
        <f>IF(B288="","",IF(D288="","Add - which invoice?",IF(OR(G288="",G288=0),"Add - how much came in?",IF(Q288&lt;-0.004,"Check - overpaid",IF(L288="No","Due - not banked yet",IF(Q288&gt;0.004,"Part paid","OK"))))))</f>
        <v>0</v>
      </c>
    </row>
    <row r="289" spans="1:18">
      <c r="A289" s="43">
        <f>IF(B289="","",PaymentPrefix&amp;TEXT(ROW()-4,"0000"))</f>
        <v>0</v>
      </c>
      <c r="C289" s="23">
        <f>IF(B289="","",TEXT(B289,"yyyy-mm"))</f>
        <v>0</v>
      </c>
      <c r="E289" s="43">
        <f>IF(D289="","",IFERROR(INDEX(Invoices!$D$5:$D$404,MATCH(D289,Invoices!$A$5:$A$404,0)),""))</f>
        <v>0</v>
      </c>
      <c r="F289" s="23">
        <f>IF(D289="","",IFERROR(INDEX(Invoices!$E$5:$E$404,MATCH(D289,Invoices!$A$5:$A$404,0)),""))</f>
        <v>0</v>
      </c>
      <c r="N289" s="21">
        <f>IF(B289="","",IF(G289="",0,G289)-IF(H289="",0,H289))</f>
        <v>0</v>
      </c>
      <c r="O289" s="21">
        <f>IF(D289="","",IFERROR(INDEX(Invoices!$V$5:$V$404,MATCH(D289,Invoices!$A$5:$A$404,0)),""))</f>
        <v>0</v>
      </c>
      <c r="P289" s="21">
        <f>IF(D289="","",IFERROR(INDEX(Invoices!$W$5:$W$404,MATCH(D289,Invoices!$A$5:$A$404,0)),""))</f>
        <v>0</v>
      </c>
      <c r="Q289" s="21">
        <f>IF(OR(D289="",O289=""),"",ROUND(O289-P289,2))</f>
        <v>0</v>
      </c>
      <c r="R289" s="39">
        <f>IF(B289="","",IF(D289="","Add - which invoice?",IF(OR(G289="",G289=0),"Add - how much came in?",IF(Q289&lt;-0.004,"Check - overpaid",IF(L289="No","Due - not banked yet",IF(Q289&gt;0.004,"Part paid","OK"))))))</f>
        <v>0</v>
      </c>
    </row>
    <row r="290" spans="1:18">
      <c r="A290" s="43">
        <f>IF(B290="","",PaymentPrefix&amp;TEXT(ROW()-4,"0000"))</f>
        <v>0</v>
      </c>
      <c r="C290" s="23">
        <f>IF(B290="","",TEXT(B290,"yyyy-mm"))</f>
        <v>0</v>
      </c>
      <c r="E290" s="43">
        <f>IF(D290="","",IFERROR(INDEX(Invoices!$D$5:$D$404,MATCH(D290,Invoices!$A$5:$A$404,0)),""))</f>
        <v>0</v>
      </c>
      <c r="F290" s="23">
        <f>IF(D290="","",IFERROR(INDEX(Invoices!$E$5:$E$404,MATCH(D290,Invoices!$A$5:$A$404,0)),""))</f>
        <v>0</v>
      </c>
      <c r="N290" s="21">
        <f>IF(B290="","",IF(G290="",0,G290)-IF(H290="",0,H290))</f>
        <v>0</v>
      </c>
      <c r="O290" s="21">
        <f>IF(D290="","",IFERROR(INDEX(Invoices!$V$5:$V$404,MATCH(D290,Invoices!$A$5:$A$404,0)),""))</f>
        <v>0</v>
      </c>
      <c r="P290" s="21">
        <f>IF(D290="","",IFERROR(INDEX(Invoices!$W$5:$W$404,MATCH(D290,Invoices!$A$5:$A$404,0)),""))</f>
        <v>0</v>
      </c>
      <c r="Q290" s="21">
        <f>IF(OR(D290="",O290=""),"",ROUND(O290-P290,2))</f>
        <v>0</v>
      </c>
      <c r="R290" s="39">
        <f>IF(B290="","",IF(D290="","Add - which invoice?",IF(OR(G290="",G290=0),"Add - how much came in?",IF(Q290&lt;-0.004,"Check - overpaid",IF(L290="No","Due - not banked yet",IF(Q290&gt;0.004,"Part paid","OK"))))))</f>
        <v>0</v>
      </c>
    </row>
    <row r="291" spans="1:18">
      <c r="A291" s="43">
        <f>IF(B291="","",PaymentPrefix&amp;TEXT(ROW()-4,"0000"))</f>
        <v>0</v>
      </c>
      <c r="C291" s="23">
        <f>IF(B291="","",TEXT(B291,"yyyy-mm"))</f>
        <v>0</v>
      </c>
      <c r="E291" s="43">
        <f>IF(D291="","",IFERROR(INDEX(Invoices!$D$5:$D$404,MATCH(D291,Invoices!$A$5:$A$404,0)),""))</f>
        <v>0</v>
      </c>
      <c r="F291" s="23">
        <f>IF(D291="","",IFERROR(INDEX(Invoices!$E$5:$E$404,MATCH(D291,Invoices!$A$5:$A$404,0)),""))</f>
        <v>0</v>
      </c>
      <c r="N291" s="21">
        <f>IF(B291="","",IF(G291="",0,G291)-IF(H291="",0,H291))</f>
        <v>0</v>
      </c>
      <c r="O291" s="21">
        <f>IF(D291="","",IFERROR(INDEX(Invoices!$V$5:$V$404,MATCH(D291,Invoices!$A$5:$A$404,0)),""))</f>
        <v>0</v>
      </c>
      <c r="P291" s="21">
        <f>IF(D291="","",IFERROR(INDEX(Invoices!$W$5:$W$404,MATCH(D291,Invoices!$A$5:$A$404,0)),""))</f>
        <v>0</v>
      </c>
      <c r="Q291" s="21">
        <f>IF(OR(D291="",O291=""),"",ROUND(O291-P291,2))</f>
        <v>0</v>
      </c>
      <c r="R291" s="39">
        <f>IF(B291="","",IF(D291="","Add - which invoice?",IF(OR(G291="",G291=0),"Add - how much came in?",IF(Q291&lt;-0.004,"Check - overpaid",IF(L291="No","Due - not banked yet",IF(Q291&gt;0.004,"Part paid","OK"))))))</f>
        <v>0</v>
      </c>
    </row>
    <row r="292" spans="1:18">
      <c r="A292" s="43">
        <f>IF(B292="","",PaymentPrefix&amp;TEXT(ROW()-4,"0000"))</f>
        <v>0</v>
      </c>
      <c r="C292" s="23">
        <f>IF(B292="","",TEXT(B292,"yyyy-mm"))</f>
        <v>0</v>
      </c>
      <c r="E292" s="43">
        <f>IF(D292="","",IFERROR(INDEX(Invoices!$D$5:$D$404,MATCH(D292,Invoices!$A$5:$A$404,0)),""))</f>
        <v>0</v>
      </c>
      <c r="F292" s="23">
        <f>IF(D292="","",IFERROR(INDEX(Invoices!$E$5:$E$404,MATCH(D292,Invoices!$A$5:$A$404,0)),""))</f>
        <v>0</v>
      </c>
      <c r="N292" s="21">
        <f>IF(B292="","",IF(G292="",0,G292)-IF(H292="",0,H292))</f>
        <v>0</v>
      </c>
      <c r="O292" s="21">
        <f>IF(D292="","",IFERROR(INDEX(Invoices!$V$5:$V$404,MATCH(D292,Invoices!$A$5:$A$404,0)),""))</f>
        <v>0</v>
      </c>
      <c r="P292" s="21">
        <f>IF(D292="","",IFERROR(INDEX(Invoices!$W$5:$W$404,MATCH(D292,Invoices!$A$5:$A$404,0)),""))</f>
        <v>0</v>
      </c>
      <c r="Q292" s="21">
        <f>IF(OR(D292="",O292=""),"",ROUND(O292-P292,2))</f>
        <v>0</v>
      </c>
      <c r="R292" s="39">
        <f>IF(B292="","",IF(D292="","Add - which invoice?",IF(OR(G292="",G292=0),"Add - how much came in?",IF(Q292&lt;-0.004,"Check - overpaid",IF(L292="No","Due - not banked yet",IF(Q292&gt;0.004,"Part paid","OK"))))))</f>
        <v>0</v>
      </c>
    </row>
    <row r="293" spans="1:18">
      <c r="A293" s="43">
        <f>IF(B293="","",PaymentPrefix&amp;TEXT(ROW()-4,"0000"))</f>
        <v>0</v>
      </c>
      <c r="C293" s="23">
        <f>IF(B293="","",TEXT(B293,"yyyy-mm"))</f>
        <v>0</v>
      </c>
      <c r="E293" s="43">
        <f>IF(D293="","",IFERROR(INDEX(Invoices!$D$5:$D$404,MATCH(D293,Invoices!$A$5:$A$404,0)),""))</f>
        <v>0</v>
      </c>
      <c r="F293" s="23">
        <f>IF(D293="","",IFERROR(INDEX(Invoices!$E$5:$E$404,MATCH(D293,Invoices!$A$5:$A$404,0)),""))</f>
        <v>0</v>
      </c>
      <c r="N293" s="21">
        <f>IF(B293="","",IF(G293="",0,G293)-IF(H293="",0,H293))</f>
        <v>0</v>
      </c>
      <c r="O293" s="21">
        <f>IF(D293="","",IFERROR(INDEX(Invoices!$V$5:$V$404,MATCH(D293,Invoices!$A$5:$A$404,0)),""))</f>
        <v>0</v>
      </c>
      <c r="P293" s="21">
        <f>IF(D293="","",IFERROR(INDEX(Invoices!$W$5:$W$404,MATCH(D293,Invoices!$A$5:$A$404,0)),""))</f>
        <v>0</v>
      </c>
      <c r="Q293" s="21">
        <f>IF(OR(D293="",O293=""),"",ROUND(O293-P293,2))</f>
        <v>0</v>
      </c>
      <c r="R293" s="39">
        <f>IF(B293="","",IF(D293="","Add - which invoice?",IF(OR(G293="",G293=0),"Add - how much came in?",IF(Q293&lt;-0.004,"Check - overpaid",IF(L293="No","Due - not banked yet",IF(Q293&gt;0.004,"Part paid","OK"))))))</f>
        <v>0</v>
      </c>
    </row>
    <row r="294" spans="1:18">
      <c r="A294" s="43">
        <f>IF(B294="","",PaymentPrefix&amp;TEXT(ROW()-4,"0000"))</f>
        <v>0</v>
      </c>
      <c r="C294" s="23">
        <f>IF(B294="","",TEXT(B294,"yyyy-mm"))</f>
        <v>0</v>
      </c>
      <c r="E294" s="43">
        <f>IF(D294="","",IFERROR(INDEX(Invoices!$D$5:$D$404,MATCH(D294,Invoices!$A$5:$A$404,0)),""))</f>
        <v>0</v>
      </c>
      <c r="F294" s="23">
        <f>IF(D294="","",IFERROR(INDEX(Invoices!$E$5:$E$404,MATCH(D294,Invoices!$A$5:$A$404,0)),""))</f>
        <v>0</v>
      </c>
      <c r="N294" s="21">
        <f>IF(B294="","",IF(G294="",0,G294)-IF(H294="",0,H294))</f>
        <v>0</v>
      </c>
      <c r="O294" s="21">
        <f>IF(D294="","",IFERROR(INDEX(Invoices!$V$5:$V$404,MATCH(D294,Invoices!$A$5:$A$404,0)),""))</f>
        <v>0</v>
      </c>
      <c r="P294" s="21">
        <f>IF(D294="","",IFERROR(INDEX(Invoices!$W$5:$W$404,MATCH(D294,Invoices!$A$5:$A$404,0)),""))</f>
        <v>0</v>
      </c>
      <c r="Q294" s="21">
        <f>IF(OR(D294="",O294=""),"",ROUND(O294-P294,2))</f>
        <v>0</v>
      </c>
      <c r="R294" s="39">
        <f>IF(B294="","",IF(D294="","Add - which invoice?",IF(OR(G294="",G294=0),"Add - how much came in?",IF(Q294&lt;-0.004,"Check - overpaid",IF(L294="No","Due - not banked yet",IF(Q294&gt;0.004,"Part paid","OK"))))))</f>
        <v>0</v>
      </c>
    </row>
    <row r="295" spans="1:18">
      <c r="A295" s="43">
        <f>IF(B295="","",PaymentPrefix&amp;TEXT(ROW()-4,"0000"))</f>
        <v>0</v>
      </c>
      <c r="C295" s="23">
        <f>IF(B295="","",TEXT(B295,"yyyy-mm"))</f>
        <v>0</v>
      </c>
      <c r="E295" s="43">
        <f>IF(D295="","",IFERROR(INDEX(Invoices!$D$5:$D$404,MATCH(D295,Invoices!$A$5:$A$404,0)),""))</f>
        <v>0</v>
      </c>
      <c r="F295" s="23">
        <f>IF(D295="","",IFERROR(INDEX(Invoices!$E$5:$E$404,MATCH(D295,Invoices!$A$5:$A$404,0)),""))</f>
        <v>0</v>
      </c>
      <c r="N295" s="21">
        <f>IF(B295="","",IF(G295="",0,G295)-IF(H295="",0,H295))</f>
        <v>0</v>
      </c>
      <c r="O295" s="21">
        <f>IF(D295="","",IFERROR(INDEX(Invoices!$V$5:$V$404,MATCH(D295,Invoices!$A$5:$A$404,0)),""))</f>
        <v>0</v>
      </c>
      <c r="P295" s="21">
        <f>IF(D295="","",IFERROR(INDEX(Invoices!$W$5:$W$404,MATCH(D295,Invoices!$A$5:$A$404,0)),""))</f>
        <v>0</v>
      </c>
      <c r="Q295" s="21">
        <f>IF(OR(D295="",O295=""),"",ROUND(O295-P295,2))</f>
        <v>0</v>
      </c>
      <c r="R295" s="39">
        <f>IF(B295="","",IF(D295="","Add - which invoice?",IF(OR(G295="",G295=0),"Add - how much came in?",IF(Q295&lt;-0.004,"Check - overpaid",IF(L295="No","Due - not banked yet",IF(Q295&gt;0.004,"Part paid","OK"))))))</f>
        <v>0</v>
      </c>
    </row>
    <row r="296" spans="1:18">
      <c r="A296" s="43">
        <f>IF(B296="","",PaymentPrefix&amp;TEXT(ROW()-4,"0000"))</f>
        <v>0</v>
      </c>
      <c r="C296" s="23">
        <f>IF(B296="","",TEXT(B296,"yyyy-mm"))</f>
        <v>0</v>
      </c>
      <c r="E296" s="43">
        <f>IF(D296="","",IFERROR(INDEX(Invoices!$D$5:$D$404,MATCH(D296,Invoices!$A$5:$A$404,0)),""))</f>
        <v>0</v>
      </c>
      <c r="F296" s="23">
        <f>IF(D296="","",IFERROR(INDEX(Invoices!$E$5:$E$404,MATCH(D296,Invoices!$A$5:$A$404,0)),""))</f>
        <v>0</v>
      </c>
      <c r="N296" s="21">
        <f>IF(B296="","",IF(G296="",0,G296)-IF(H296="",0,H296))</f>
        <v>0</v>
      </c>
      <c r="O296" s="21">
        <f>IF(D296="","",IFERROR(INDEX(Invoices!$V$5:$V$404,MATCH(D296,Invoices!$A$5:$A$404,0)),""))</f>
        <v>0</v>
      </c>
      <c r="P296" s="21">
        <f>IF(D296="","",IFERROR(INDEX(Invoices!$W$5:$W$404,MATCH(D296,Invoices!$A$5:$A$404,0)),""))</f>
        <v>0</v>
      </c>
      <c r="Q296" s="21">
        <f>IF(OR(D296="",O296=""),"",ROUND(O296-P296,2))</f>
        <v>0</v>
      </c>
      <c r="R296" s="39">
        <f>IF(B296="","",IF(D296="","Add - which invoice?",IF(OR(G296="",G296=0),"Add - how much came in?",IF(Q296&lt;-0.004,"Check - overpaid",IF(L296="No","Due - not banked yet",IF(Q296&gt;0.004,"Part paid","OK"))))))</f>
        <v>0</v>
      </c>
    </row>
    <row r="297" spans="1:18">
      <c r="A297" s="43">
        <f>IF(B297="","",PaymentPrefix&amp;TEXT(ROW()-4,"0000"))</f>
        <v>0</v>
      </c>
      <c r="C297" s="23">
        <f>IF(B297="","",TEXT(B297,"yyyy-mm"))</f>
        <v>0</v>
      </c>
      <c r="E297" s="43">
        <f>IF(D297="","",IFERROR(INDEX(Invoices!$D$5:$D$404,MATCH(D297,Invoices!$A$5:$A$404,0)),""))</f>
        <v>0</v>
      </c>
      <c r="F297" s="23">
        <f>IF(D297="","",IFERROR(INDEX(Invoices!$E$5:$E$404,MATCH(D297,Invoices!$A$5:$A$404,0)),""))</f>
        <v>0</v>
      </c>
      <c r="N297" s="21">
        <f>IF(B297="","",IF(G297="",0,G297)-IF(H297="",0,H297))</f>
        <v>0</v>
      </c>
      <c r="O297" s="21">
        <f>IF(D297="","",IFERROR(INDEX(Invoices!$V$5:$V$404,MATCH(D297,Invoices!$A$5:$A$404,0)),""))</f>
        <v>0</v>
      </c>
      <c r="P297" s="21">
        <f>IF(D297="","",IFERROR(INDEX(Invoices!$W$5:$W$404,MATCH(D297,Invoices!$A$5:$A$404,0)),""))</f>
        <v>0</v>
      </c>
      <c r="Q297" s="21">
        <f>IF(OR(D297="",O297=""),"",ROUND(O297-P297,2))</f>
        <v>0</v>
      </c>
      <c r="R297" s="39">
        <f>IF(B297="","",IF(D297="","Add - which invoice?",IF(OR(G297="",G297=0),"Add - how much came in?",IF(Q297&lt;-0.004,"Check - overpaid",IF(L297="No","Due - not banked yet",IF(Q297&gt;0.004,"Part paid","OK"))))))</f>
        <v>0</v>
      </c>
    </row>
    <row r="298" spans="1:18">
      <c r="A298" s="43">
        <f>IF(B298="","",PaymentPrefix&amp;TEXT(ROW()-4,"0000"))</f>
        <v>0</v>
      </c>
      <c r="C298" s="23">
        <f>IF(B298="","",TEXT(B298,"yyyy-mm"))</f>
        <v>0</v>
      </c>
      <c r="E298" s="43">
        <f>IF(D298="","",IFERROR(INDEX(Invoices!$D$5:$D$404,MATCH(D298,Invoices!$A$5:$A$404,0)),""))</f>
        <v>0</v>
      </c>
      <c r="F298" s="23">
        <f>IF(D298="","",IFERROR(INDEX(Invoices!$E$5:$E$404,MATCH(D298,Invoices!$A$5:$A$404,0)),""))</f>
        <v>0</v>
      </c>
      <c r="N298" s="21">
        <f>IF(B298="","",IF(G298="",0,G298)-IF(H298="",0,H298))</f>
        <v>0</v>
      </c>
      <c r="O298" s="21">
        <f>IF(D298="","",IFERROR(INDEX(Invoices!$V$5:$V$404,MATCH(D298,Invoices!$A$5:$A$404,0)),""))</f>
        <v>0</v>
      </c>
      <c r="P298" s="21">
        <f>IF(D298="","",IFERROR(INDEX(Invoices!$W$5:$W$404,MATCH(D298,Invoices!$A$5:$A$404,0)),""))</f>
        <v>0</v>
      </c>
      <c r="Q298" s="21">
        <f>IF(OR(D298="",O298=""),"",ROUND(O298-P298,2))</f>
        <v>0</v>
      </c>
      <c r="R298" s="39">
        <f>IF(B298="","",IF(D298="","Add - which invoice?",IF(OR(G298="",G298=0),"Add - how much came in?",IF(Q298&lt;-0.004,"Check - overpaid",IF(L298="No","Due - not banked yet",IF(Q298&gt;0.004,"Part paid","OK"))))))</f>
        <v>0</v>
      </c>
    </row>
    <row r="299" spans="1:18">
      <c r="A299" s="43">
        <f>IF(B299="","",PaymentPrefix&amp;TEXT(ROW()-4,"0000"))</f>
        <v>0</v>
      </c>
      <c r="C299" s="23">
        <f>IF(B299="","",TEXT(B299,"yyyy-mm"))</f>
        <v>0</v>
      </c>
      <c r="E299" s="43">
        <f>IF(D299="","",IFERROR(INDEX(Invoices!$D$5:$D$404,MATCH(D299,Invoices!$A$5:$A$404,0)),""))</f>
        <v>0</v>
      </c>
      <c r="F299" s="23">
        <f>IF(D299="","",IFERROR(INDEX(Invoices!$E$5:$E$404,MATCH(D299,Invoices!$A$5:$A$404,0)),""))</f>
        <v>0</v>
      </c>
      <c r="N299" s="21">
        <f>IF(B299="","",IF(G299="",0,G299)-IF(H299="",0,H299))</f>
        <v>0</v>
      </c>
      <c r="O299" s="21">
        <f>IF(D299="","",IFERROR(INDEX(Invoices!$V$5:$V$404,MATCH(D299,Invoices!$A$5:$A$404,0)),""))</f>
        <v>0</v>
      </c>
      <c r="P299" s="21">
        <f>IF(D299="","",IFERROR(INDEX(Invoices!$W$5:$W$404,MATCH(D299,Invoices!$A$5:$A$404,0)),""))</f>
        <v>0</v>
      </c>
      <c r="Q299" s="21">
        <f>IF(OR(D299="",O299=""),"",ROUND(O299-P299,2))</f>
        <v>0</v>
      </c>
      <c r="R299" s="39">
        <f>IF(B299="","",IF(D299="","Add - which invoice?",IF(OR(G299="",G299=0),"Add - how much came in?",IF(Q299&lt;-0.004,"Check - overpaid",IF(L299="No","Due - not banked yet",IF(Q299&gt;0.004,"Part paid","OK"))))))</f>
        <v>0</v>
      </c>
    </row>
    <row r="300" spans="1:18">
      <c r="A300" s="43">
        <f>IF(B300="","",PaymentPrefix&amp;TEXT(ROW()-4,"0000"))</f>
        <v>0</v>
      </c>
      <c r="C300" s="23">
        <f>IF(B300="","",TEXT(B300,"yyyy-mm"))</f>
        <v>0</v>
      </c>
      <c r="E300" s="43">
        <f>IF(D300="","",IFERROR(INDEX(Invoices!$D$5:$D$404,MATCH(D300,Invoices!$A$5:$A$404,0)),""))</f>
        <v>0</v>
      </c>
      <c r="F300" s="23">
        <f>IF(D300="","",IFERROR(INDEX(Invoices!$E$5:$E$404,MATCH(D300,Invoices!$A$5:$A$404,0)),""))</f>
        <v>0</v>
      </c>
      <c r="N300" s="21">
        <f>IF(B300="","",IF(G300="",0,G300)-IF(H300="",0,H300))</f>
        <v>0</v>
      </c>
      <c r="O300" s="21">
        <f>IF(D300="","",IFERROR(INDEX(Invoices!$V$5:$V$404,MATCH(D300,Invoices!$A$5:$A$404,0)),""))</f>
        <v>0</v>
      </c>
      <c r="P300" s="21">
        <f>IF(D300="","",IFERROR(INDEX(Invoices!$W$5:$W$404,MATCH(D300,Invoices!$A$5:$A$404,0)),""))</f>
        <v>0</v>
      </c>
      <c r="Q300" s="21">
        <f>IF(OR(D300="",O300=""),"",ROUND(O300-P300,2))</f>
        <v>0</v>
      </c>
      <c r="R300" s="39">
        <f>IF(B300="","",IF(D300="","Add - which invoice?",IF(OR(G300="",G300=0),"Add - how much came in?",IF(Q300&lt;-0.004,"Check - overpaid",IF(L300="No","Due - not banked yet",IF(Q300&gt;0.004,"Part paid","OK"))))))</f>
        <v>0</v>
      </c>
    </row>
    <row r="301" spans="1:18">
      <c r="A301" s="43">
        <f>IF(B301="","",PaymentPrefix&amp;TEXT(ROW()-4,"0000"))</f>
        <v>0</v>
      </c>
      <c r="C301" s="23">
        <f>IF(B301="","",TEXT(B301,"yyyy-mm"))</f>
        <v>0</v>
      </c>
      <c r="E301" s="43">
        <f>IF(D301="","",IFERROR(INDEX(Invoices!$D$5:$D$404,MATCH(D301,Invoices!$A$5:$A$404,0)),""))</f>
        <v>0</v>
      </c>
      <c r="F301" s="23">
        <f>IF(D301="","",IFERROR(INDEX(Invoices!$E$5:$E$404,MATCH(D301,Invoices!$A$5:$A$404,0)),""))</f>
        <v>0</v>
      </c>
      <c r="N301" s="21">
        <f>IF(B301="","",IF(G301="",0,G301)-IF(H301="",0,H301))</f>
        <v>0</v>
      </c>
      <c r="O301" s="21">
        <f>IF(D301="","",IFERROR(INDEX(Invoices!$V$5:$V$404,MATCH(D301,Invoices!$A$5:$A$404,0)),""))</f>
        <v>0</v>
      </c>
      <c r="P301" s="21">
        <f>IF(D301="","",IFERROR(INDEX(Invoices!$W$5:$W$404,MATCH(D301,Invoices!$A$5:$A$404,0)),""))</f>
        <v>0</v>
      </c>
      <c r="Q301" s="21">
        <f>IF(OR(D301="",O301=""),"",ROUND(O301-P301,2))</f>
        <v>0</v>
      </c>
      <c r="R301" s="39">
        <f>IF(B301="","",IF(D301="","Add - which invoice?",IF(OR(G301="",G301=0),"Add - how much came in?",IF(Q301&lt;-0.004,"Check - overpaid",IF(L301="No","Due - not banked yet",IF(Q301&gt;0.004,"Part paid","OK"))))))</f>
        <v>0</v>
      </c>
    </row>
    <row r="302" spans="1:18">
      <c r="A302" s="43">
        <f>IF(B302="","",PaymentPrefix&amp;TEXT(ROW()-4,"0000"))</f>
        <v>0</v>
      </c>
      <c r="C302" s="23">
        <f>IF(B302="","",TEXT(B302,"yyyy-mm"))</f>
        <v>0</v>
      </c>
      <c r="E302" s="43">
        <f>IF(D302="","",IFERROR(INDEX(Invoices!$D$5:$D$404,MATCH(D302,Invoices!$A$5:$A$404,0)),""))</f>
        <v>0</v>
      </c>
      <c r="F302" s="23">
        <f>IF(D302="","",IFERROR(INDEX(Invoices!$E$5:$E$404,MATCH(D302,Invoices!$A$5:$A$404,0)),""))</f>
        <v>0</v>
      </c>
      <c r="N302" s="21">
        <f>IF(B302="","",IF(G302="",0,G302)-IF(H302="",0,H302))</f>
        <v>0</v>
      </c>
      <c r="O302" s="21">
        <f>IF(D302="","",IFERROR(INDEX(Invoices!$V$5:$V$404,MATCH(D302,Invoices!$A$5:$A$404,0)),""))</f>
        <v>0</v>
      </c>
      <c r="P302" s="21">
        <f>IF(D302="","",IFERROR(INDEX(Invoices!$W$5:$W$404,MATCH(D302,Invoices!$A$5:$A$404,0)),""))</f>
        <v>0</v>
      </c>
      <c r="Q302" s="21">
        <f>IF(OR(D302="",O302=""),"",ROUND(O302-P302,2))</f>
        <v>0</v>
      </c>
      <c r="R302" s="39">
        <f>IF(B302="","",IF(D302="","Add - which invoice?",IF(OR(G302="",G302=0),"Add - how much came in?",IF(Q302&lt;-0.004,"Check - overpaid",IF(L302="No","Due - not banked yet",IF(Q302&gt;0.004,"Part paid","OK"))))))</f>
        <v>0</v>
      </c>
    </row>
    <row r="303" spans="1:18">
      <c r="A303" s="43">
        <f>IF(B303="","",PaymentPrefix&amp;TEXT(ROW()-4,"0000"))</f>
        <v>0</v>
      </c>
      <c r="C303" s="23">
        <f>IF(B303="","",TEXT(B303,"yyyy-mm"))</f>
        <v>0</v>
      </c>
      <c r="E303" s="43">
        <f>IF(D303="","",IFERROR(INDEX(Invoices!$D$5:$D$404,MATCH(D303,Invoices!$A$5:$A$404,0)),""))</f>
        <v>0</v>
      </c>
      <c r="F303" s="23">
        <f>IF(D303="","",IFERROR(INDEX(Invoices!$E$5:$E$404,MATCH(D303,Invoices!$A$5:$A$404,0)),""))</f>
        <v>0</v>
      </c>
      <c r="N303" s="21">
        <f>IF(B303="","",IF(G303="",0,G303)-IF(H303="",0,H303))</f>
        <v>0</v>
      </c>
      <c r="O303" s="21">
        <f>IF(D303="","",IFERROR(INDEX(Invoices!$V$5:$V$404,MATCH(D303,Invoices!$A$5:$A$404,0)),""))</f>
        <v>0</v>
      </c>
      <c r="P303" s="21">
        <f>IF(D303="","",IFERROR(INDEX(Invoices!$W$5:$W$404,MATCH(D303,Invoices!$A$5:$A$404,0)),""))</f>
        <v>0</v>
      </c>
      <c r="Q303" s="21">
        <f>IF(OR(D303="",O303=""),"",ROUND(O303-P303,2))</f>
        <v>0</v>
      </c>
      <c r="R303" s="39">
        <f>IF(B303="","",IF(D303="","Add - which invoice?",IF(OR(G303="",G303=0),"Add - how much came in?",IF(Q303&lt;-0.004,"Check - overpaid",IF(L303="No","Due - not banked yet",IF(Q303&gt;0.004,"Part paid","OK"))))))</f>
        <v>0</v>
      </c>
    </row>
    <row r="304" spans="1:18">
      <c r="A304" s="43">
        <f>IF(B304="","",PaymentPrefix&amp;TEXT(ROW()-4,"0000"))</f>
        <v>0</v>
      </c>
      <c r="C304" s="23">
        <f>IF(B304="","",TEXT(B304,"yyyy-mm"))</f>
        <v>0</v>
      </c>
      <c r="E304" s="43">
        <f>IF(D304="","",IFERROR(INDEX(Invoices!$D$5:$D$404,MATCH(D304,Invoices!$A$5:$A$404,0)),""))</f>
        <v>0</v>
      </c>
      <c r="F304" s="23">
        <f>IF(D304="","",IFERROR(INDEX(Invoices!$E$5:$E$404,MATCH(D304,Invoices!$A$5:$A$404,0)),""))</f>
        <v>0</v>
      </c>
      <c r="N304" s="21">
        <f>IF(B304="","",IF(G304="",0,G304)-IF(H304="",0,H304))</f>
        <v>0</v>
      </c>
      <c r="O304" s="21">
        <f>IF(D304="","",IFERROR(INDEX(Invoices!$V$5:$V$404,MATCH(D304,Invoices!$A$5:$A$404,0)),""))</f>
        <v>0</v>
      </c>
      <c r="P304" s="21">
        <f>IF(D304="","",IFERROR(INDEX(Invoices!$W$5:$W$404,MATCH(D304,Invoices!$A$5:$A$404,0)),""))</f>
        <v>0</v>
      </c>
      <c r="Q304" s="21">
        <f>IF(OR(D304="",O304=""),"",ROUND(O304-P304,2))</f>
        <v>0</v>
      </c>
      <c r="R304" s="39">
        <f>IF(B304="","",IF(D304="","Add - which invoice?",IF(OR(G304="",G304=0),"Add - how much came in?",IF(Q304&lt;-0.004,"Check - overpaid",IF(L304="No","Due - not banked yet",IF(Q304&gt;0.004,"Part paid","OK"))))))</f>
        <v>0</v>
      </c>
    </row>
    <row r="305" spans="1:18">
      <c r="A305" s="43">
        <f>IF(B305="","",PaymentPrefix&amp;TEXT(ROW()-4,"0000"))</f>
        <v>0</v>
      </c>
      <c r="C305" s="23">
        <f>IF(B305="","",TEXT(B305,"yyyy-mm"))</f>
        <v>0</v>
      </c>
      <c r="E305" s="43">
        <f>IF(D305="","",IFERROR(INDEX(Invoices!$D$5:$D$404,MATCH(D305,Invoices!$A$5:$A$404,0)),""))</f>
        <v>0</v>
      </c>
      <c r="F305" s="23">
        <f>IF(D305="","",IFERROR(INDEX(Invoices!$E$5:$E$404,MATCH(D305,Invoices!$A$5:$A$404,0)),""))</f>
        <v>0</v>
      </c>
      <c r="N305" s="21">
        <f>IF(B305="","",IF(G305="",0,G305)-IF(H305="",0,H305))</f>
        <v>0</v>
      </c>
      <c r="O305" s="21">
        <f>IF(D305="","",IFERROR(INDEX(Invoices!$V$5:$V$404,MATCH(D305,Invoices!$A$5:$A$404,0)),""))</f>
        <v>0</v>
      </c>
      <c r="P305" s="21">
        <f>IF(D305="","",IFERROR(INDEX(Invoices!$W$5:$W$404,MATCH(D305,Invoices!$A$5:$A$404,0)),""))</f>
        <v>0</v>
      </c>
      <c r="Q305" s="21">
        <f>IF(OR(D305="",O305=""),"",ROUND(O305-P305,2))</f>
        <v>0</v>
      </c>
      <c r="R305" s="39">
        <f>IF(B305="","",IF(D305="","Add - which invoice?",IF(OR(G305="",G305=0),"Add - how much came in?",IF(Q305&lt;-0.004,"Check - overpaid",IF(L305="No","Due - not banked yet",IF(Q305&gt;0.004,"Part paid","OK"))))))</f>
        <v>0</v>
      </c>
    </row>
    <row r="306" spans="1:18">
      <c r="A306" s="43">
        <f>IF(B306="","",PaymentPrefix&amp;TEXT(ROW()-4,"0000"))</f>
        <v>0</v>
      </c>
      <c r="C306" s="23">
        <f>IF(B306="","",TEXT(B306,"yyyy-mm"))</f>
        <v>0</v>
      </c>
      <c r="E306" s="43">
        <f>IF(D306="","",IFERROR(INDEX(Invoices!$D$5:$D$404,MATCH(D306,Invoices!$A$5:$A$404,0)),""))</f>
        <v>0</v>
      </c>
      <c r="F306" s="23">
        <f>IF(D306="","",IFERROR(INDEX(Invoices!$E$5:$E$404,MATCH(D306,Invoices!$A$5:$A$404,0)),""))</f>
        <v>0</v>
      </c>
      <c r="N306" s="21">
        <f>IF(B306="","",IF(G306="",0,G306)-IF(H306="",0,H306))</f>
        <v>0</v>
      </c>
      <c r="O306" s="21">
        <f>IF(D306="","",IFERROR(INDEX(Invoices!$V$5:$V$404,MATCH(D306,Invoices!$A$5:$A$404,0)),""))</f>
        <v>0</v>
      </c>
      <c r="P306" s="21">
        <f>IF(D306="","",IFERROR(INDEX(Invoices!$W$5:$W$404,MATCH(D306,Invoices!$A$5:$A$404,0)),""))</f>
        <v>0</v>
      </c>
      <c r="Q306" s="21">
        <f>IF(OR(D306="",O306=""),"",ROUND(O306-P306,2))</f>
        <v>0</v>
      </c>
      <c r="R306" s="39">
        <f>IF(B306="","",IF(D306="","Add - which invoice?",IF(OR(G306="",G306=0),"Add - how much came in?",IF(Q306&lt;-0.004,"Check - overpaid",IF(L306="No","Due - not banked yet",IF(Q306&gt;0.004,"Part paid","OK"))))))</f>
        <v>0</v>
      </c>
    </row>
    <row r="307" spans="1:18">
      <c r="A307" s="43">
        <f>IF(B307="","",PaymentPrefix&amp;TEXT(ROW()-4,"0000"))</f>
        <v>0</v>
      </c>
      <c r="C307" s="23">
        <f>IF(B307="","",TEXT(B307,"yyyy-mm"))</f>
        <v>0</v>
      </c>
      <c r="E307" s="43">
        <f>IF(D307="","",IFERROR(INDEX(Invoices!$D$5:$D$404,MATCH(D307,Invoices!$A$5:$A$404,0)),""))</f>
        <v>0</v>
      </c>
      <c r="F307" s="23">
        <f>IF(D307="","",IFERROR(INDEX(Invoices!$E$5:$E$404,MATCH(D307,Invoices!$A$5:$A$404,0)),""))</f>
        <v>0</v>
      </c>
      <c r="N307" s="21">
        <f>IF(B307="","",IF(G307="",0,G307)-IF(H307="",0,H307))</f>
        <v>0</v>
      </c>
      <c r="O307" s="21">
        <f>IF(D307="","",IFERROR(INDEX(Invoices!$V$5:$V$404,MATCH(D307,Invoices!$A$5:$A$404,0)),""))</f>
        <v>0</v>
      </c>
      <c r="P307" s="21">
        <f>IF(D307="","",IFERROR(INDEX(Invoices!$W$5:$W$404,MATCH(D307,Invoices!$A$5:$A$404,0)),""))</f>
        <v>0</v>
      </c>
      <c r="Q307" s="21">
        <f>IF(OR(D307="",O307=""),"",ROUND(O307-P307,2))</f>
        <v>0</v>
      </c>
      <c r="R307" s="39">
        <f>IF(B307="","",IF(D307="","Add - which invoice?",IF(OR(G307="",G307=0),"Add - how much came in?",IF(Q307&lt;-0.004,"Check - overpaid",IF(L307="No","Due - not banked yet",IF(Q307&gt;0.004,"Part paid","OK"))))))</f>
        <v>0</v>
      </c>
    </row>
    <row r="308" spans="1:18">
      <c r="A308" s="43">
        <f>IF(B308="","",PaymentPrefix&amp;TEXT(ROW()-4,"0000"))</f>
        <v>0</v>
      </c>
      <c r="C308" s="23">
        <f>IF(B308="","",TEXT(B308,"yyyy-mm"))</f>
        <v>0</v>
      </c>
      <c r="E308" s="43">
        <f>IF(D308="","",IFERROR(INDEX(Invoices!$D$5:$D$404,MATCH(D308,Invoices!$A$5:$A$404,0)),""))</f>
        <v>0</v>
      </c>
      <c r="F308" s="23">
        <f>IF(D308="","",IFERROR(INDEX(Invoices!$E$5:$E$404,MATCH(D308,Invoices!$A$5:$A$404,0)),""))</f>
        <v>0</v>
      </c>
      <c r="N308" s="21">
        <f>IF(B308="","",IF(G308="",0,G308)-IF(H308="",0,H308))</f>
        <v>0</v>
      </c>
      <c r="O308" s="21">
        <f>IF(D308="","",IFERROR(INDEX(Invoices!$V$5:$V$404,MATCH(D308,Invoices!$A$5:$A$404,0)),""))</f>
        <v>0</v>
      </c>
      <c r="P308" s="21">
        <f>IF(D308="","",IFERROR(INDEX(Invoices!$W$5:$W$404,MATCH(D308,Invoices!$A$5:$A$404,0)),""))</f>
        <v>0</v>
      </c>
      <c r="Q308" s="21">
        <f>IF(OR(D308="",O308=""),"",ROUND(O308-P308,2))</f>
        <v>0</v>
      </c>
      <c r="R308" s="39">
        <f>IF(B308="","",IF(D308="","Add - which invoice?",IF(OR(G308="",G308=0),"Add - how much came in?",IF(Q308&lt;-0.004,"Check - overpaid",IF(L308="No","Due - not banked yet",IF(Q308&gt;0.004,"Part paid","OK"))))))</f>
        <v>0</v>
      </c>
    </row>
    <row r="309" spans="1:18">
      <c r="A309" s="43">
        <f>IF(B309="","",PaymentPrefix&amp;TEXT(ROW()-4,"0000"))</f>
        <v>0</v>
      </c>
      <c r="C309" s="23">
        <f>IF(B309="","",TEXT(B309,"yyyy-mm"))</f>
        <v>0</v>
      </c>
      <c r="E309" s="43">
        <f>IF(D309="","",IFERROR(INDEX(Invoices!$D$5:$D$404,MATCH(D309,Invoices!$A$5:$A$404,0)),""))</f>
        <v>0</v>
      </c>
      <c r="F309" s="23">
        <f>IF(D309="","",IFERROR(INDEX(Invoices!$E$5:$E$404,MATCH(D309,Invoices!$A$5:$A$404,0)),""))</f>
        <v>0</v>
      </c>
      <c r="N309" s="21">
        <f>IF(B309="","",IF(G309="",0,G309)-IF(H309="",0,H309))</f>
        <v>0</v>
      </c>
      <c r="O309" s="21">
        <f>IF(D309="","",IFERROR(INDEX(Invoices!$V$5:$V$404,MATCH(D309,Invoices!$A$5:$A$404,0)),""))</f>
        <v>0</v>
      </c>
      <c r="P309" s="21">
        <f>IF(D309="","",IFERROR(INDEX(Invoices!$W$5:$W$404,MATCH(D309,Invoices!$A$5:$A$404,0)),""))</f>
        <v>0</v>
      </c>
      <c r="Q309" s="21">
        <f>IF(OR(D309="",O309=""),"",ROUND(O309-P309,2))</f>
        <v>0</v>
      </c>
      <c r="R309" s="39">
        <f>IF(B309="","",IF(D309="","Add - which invoice?",IF(OR(G309="",G309=0),"Add - how much came in?",IF(Q309&lt;-0.004,"Check - overpaid",IF(L309="No","Due - not banked yet",IF(Q309&gt;0.004,"Part paid","OK"))))))</f>
        <v>0</v>
      </c>
    </row>
    <row r="310" spans="1:18">
      <c r="A310" s="43">
        <f>IF(B310="","",PaymentPrefix&amp;TEXT(ROW()-4,"0000"))</f>
        <v>0</v>
      </c>
      <c r="C310" s="23">
        <f>IF(B310="","",TEXT(B310,"yyyy-mm"))</f>
        <v>0</v>
      </c>
      <c r="E310" s="43">
        <f>IF(D310="","",IFERROR(INDEX(Invoices!$D$5:$D$404,MATCH(D310,Invoices!$A$5:$A$404,0)),""))</f>
        <v>0</v>
      </c>
      <c r="F310" s="23">
        <f>IF(D310="","",IFERROR(INDEX(Invoices!$E$5:$E$404,MATCH(D310,Invoices!$A$5:$A$404,0)),""))</f>
        <v>0</v>
      </c>
      <c r="N310" s="21">
        <f>IF(B310="","",IF(G310="",0,G310)-IF(H310="",0,H310))</f>
        <v>0</v>
      </c>
      <c r="O310" s="21">
        <f>IF(D310="","",IFERROR(INDEX(Invoices!$V$5:$V$404,MATCH(D310,Invoices!$A$5:$A$404,0)),""))</f>
        <v>0</v>
      </c>
      <c r="P310" s="21">
        <f>IF(D310="","",IFERROR(INDEX(Invoices!$W$5:$W$404,MATCH(D310,Invoices!$A$5:$A$404,0)),""))</f>
        <v>0</v>
      </c>
      <c r="Q310" s="21">
        <f>IF(OR(D310="",O310=""),"",ROUND(O310-P310,2))</f>
        <v>0</v>
      </c>
      <c r="R310" s="39">
        <f>IF(B310="","",IF(D310="","Add - which invoice?",IF(OR(G310="",G310=0),"Add - how much came in?",IF(Q310&lt;-0.004,"Check - overpaid",IF(L310="No","Due - not banked yet",IF(Q310&gt;0.004,"Part paid","OK"))))))</f>
        <v>0</v>
      </c>
    </row>
    <row r="311" spans="1:18">
      <c r="A311" s="43">
        <f>IF(B311="","",PaymentPrefix&amp;TEXT(ROW()-4,"0000"))</f>
        <v>0</v>
      </c>
      <c r="C311" s="23">
        <f>IF(B311="","",TEXT(B311,"yyyy-mm"))</f>
        <v>0</v>
      </c>
      <c r="E311" s="43">
        <f>IF(D311="","",IFERROR(INDEX(Invoices!$D$5:$D$404,MATCH(D311,Invoices!$A$5:$A$404,0)),""))</f>
        <v>0</v>
      </c>
      <c r="F311" s="23">
        <f>IF(D311="","",IFERROR(INDEX(Invoices!$E$5:$E$404,MATCH(D311,Invoices!$A$5:$A$404,0)),""))</f>
        <v>0</v>
      </c>
      <c r="N311" s="21">
        <f>IF(B311="","",IF(G311="",0,G311)-IF(H311="",0,H311))</f>
        <v>0</v>
      </c>
      <c r="O311" s="21">
        <f>IF(D311="","",IFERROR(INDEX(Invoices!$V$5:$V$404,MATCH(D311,Invoices!$A$5:$A$404,0)),""))</f>
        <v>0</v>
      </c>
      <c r="P311" s="21">
        <f>IF(D311="","",IFERROR(INDEX(Invoices!$W$5:$W$404,MATCH(D311,Invoices!$A$5:$A$404,0)),""))</f>
        <v>0</v>
      </c>
      <c r="Q311" s="21">
        <f>IF(OR(D311="",O311=""),"",ROUND(O311-P311,2))</f>
        <v>0</v>
      </c>
      <c r="R311" s="39">
        <f>IF(B311="","",IF(D311="","Add - which invoice?",IF(OR(G311="",G311=0),"Add - how much came in?",IF(Q311&lt;-0.004,"Check - overpaid",IF(L311="No","Due - not banked yet",IF(Q311&gt;0.004,"Part paid","OK"))))))</f>
        <v>0</v>
      </c>
    </row>
    <row r="312" spans="1:18">
      <c r="A312" s="43">
        <f>IF(B312="","",PaymentPrefix&amp;TEXT(ROW()-4,"0000"))</f>
        <v>0</v>
      </c>
      <c r="C312" s="23">
        <f>IF(B312="","",TEXT(B312,"yyyy-mm"))</f>
        <v>0</v>
      </c>
      <c r="E312" s="43">
        <f>IF(D312="","",IFERROR(INDEX(Invoices!$D$5:$D$404,MATCH(D312,Invoices!$A$5:$A$404,0)),""))</f>
        <v>0</v>
      </c>
      <c r="F312" s="23">
        <f>IF(D312="","",IFERROR(INDEX(Invoices!$E$5:$E$404,MATCH(D312,Invoices!$A$5:$A$404,0)),""))</f>
        <v>0</v>
      </c>
      <c r="N312" s="21">
        <f>IF(B312="","",IF(G312="",0,G312)-IF(H312="",0,H312))</f>
        <v>0</v>
      </c>
      <c r="O312" s="21">
        <f>IF(D312="","",IFERROR(INDEX(Invoices!$V$5:$V$404,MATCH(D312,Invoices!$A$5:$A$404,0)),""))</f>
        <v>0</v>
      </c>
      <c r="P312" s="21">
        <f>IF(D312="","",IFERROR(INDEX(Invoices!$W$5:$W$404,MATCH(D312,Invoices!$A$5:$A$404,0)),""))</f>
        <v>0</v>
      </c>
      <c r="Q312" s="21">
        <f>IF(OR(D312="",O312=""),"",ROUND(O312-P312,2))</f>
        <v>0</v>
      </c>
      <c r="R312" s="39">
        <f>IF(B312="","",IF(D312="","Add - which invoice?",IF(OR(G312="",G312=0),"Add - how much came in?",IF(Q312&lt;-0.004,"Check - overpaid",IF(L312="No","Due - not banked yet",IF(Q312&gt;0.004,"Part paid","OK"))))))</f>
        <v>0</v>
      </c>
    </row>
    <row r="313" spans="1:18">
      <c r="A313" s="43">
        <f>IF(B313="","",PaymentPrefix&amp;TEXT(ROW()-4,"0000"))</f>
        <v>0</v>
      </c>
      <c r="C313" s="23">
        <f>IF(B313="","",TEXT(B313,"yyyy-mm"))</f>
        <v>0</v>
      </c>
      <c r="E313" s="43">
        <f>IF(D313="","",IFERROR(INDEX(Invoices!$D$5:$D$404,MATCH(D313,Invoices!$A$5:$A$404,0)),""))</f>
        <v>0</v>
      </c>
      <c r="F313" s="23">
        <f>IF(D313="","",IFERROR(INDEX(Invoices!$E$5:$E$404,MATCH(D313,Invoices!$A$5:$A$404,0)),""))</f>
        <v>0</v>
      </c>
      <c r="N313" s="21">
        <f>IF(B313="","",IF(G313="",0,G313)-IF(H313="",0,H313))</f>
        <v>0</v>
      </c>
      <c r="O313" s="21">
        <f>IF(D313="","",IFERROR(INDEX(Invoices!$V$5:$V$404,MATCH(D313,Invoices!$A$5:$A$404,0)),""))</f>
        <v>0</v>
      </c>
      <c r="P313" s="21">
        <f>IF(D313="","",IFERROR(INDEX(Invoices!$W$5:$W$404,MATCH(D313,Invoices!$A$5:$A$404,0)),""))</f>
        <v>0</v>
      </c>
      <c r="Q313" s="21">
        <f>IF(OR(D313="",O313=""),"",ROUND(O313-P313,2))</f>
        <v>0</v>
      </c>
      <c r="R313" s="39">
        <f>IF(B313="","",IF(D313="","Add - which invoice?",IF(OR(G313="",G313=0),"Add - how much came in?",IF(Q313&lt;-0.004,"Check - overpaid",IF(L313="No","Due - not banked yet",IF(Q313&gt;0.004,"Part paid","OK"))))))</f>
        <v>0</v>
      </c>
    </row>
    <row r="314" spans="1:18">
      <c r="A314" s="43">
        <f>IF(B314="","",PaymentPrefix&amp;TEXT(ROW()-4,"0000"))</f>
        <v>0</v>
      </c>
      <c r="C314" s="23">
        <f>IF(B314="","",TEXT(B314,"yyyy-mm"))</f>
        <v>0</v>
      </c>
      <c r="E314" s="43">
        <f>IF(D314="","",IFERROR(INDEX(Invoices!$D$5:$D$404,MATCH(D314,Invoices!$A$5:$A$404,0)),""))</f>
        <v>0</v>
      </c>
      <c r="F314" s="23">
        <f>IF(D314="","",IFERROR(INDEX(Invoices!$E$5:$E$404,MATCH(D314,Invoices!$A$5:$A$404,0)),""))</f>
        <v>0</v>
      </c>
      <c r="N314" s="21">
        <f>IF(B314="","",IF(G314="",0,G314)-IF(H314="",0,H314))</f>
        <v>0</v>
      </c>
      <c r="O314" s="21">
        <f>IF(D314="","",IFERROR(INDEX(Invoices!$V$5:$V$404,MATCH(D314,Invoices!$A$5:$A$404,0)),""))</f>
        <v>0</v>
      </c>
      <c r="P314" s="21">
        <f>IF(D314="","",IFERROR(INDEX(Invoices!$W$5:$W$404,MATCH(D314,Invoices!$A$5:$A$404,0)),""))</f>
        <v>0</v>
      </c>
      <c r="Q314" s="21">
        <f>IF(OR(D314="",O314=""),"",ROUND(O314-P314,2))</f>
        <v>0</v>
      </c>
      <c r="R314" s="39">
        <f>IF(B314="","",IF(D314="","Add - which invoice?",IF(OR(G314="",G314=0),"Add - how much came in?",IF(Q314&lt;-0.004,"Check - overpaid",IF(L314="No","Due - not banked yet",IF(Q314&gt;0.004,"Part paid","OK"))))))</f>
        <v>0</v>
      </c>
    </row>
    <row r="315" spans="1:18">
      <c r="A315" s="43">
        <f>IF(B315="","",PaymentPrefix&amp;TEXT(ROW()-4,"0000"))</f>
        <v>0</v>
      </c>
      <c r="C315" s="23">
        <f>IF(B315="","",TEXT(B315,"yyyy-mm"))</f>
        <v>0</v>
      </c>
      <c r="E315" s="43">
        <f>IF(D315="","",IFERROR(INDEX(Invoices!$D$5:$D$404,MATCH(D315,Invoices!$A$5:$A$404,0)),""))</f>
        <v>0</v>
      </c>
      <c r="F315" s="23">
        <f>IF(D315="","",IFERROR(INDEX(Invoices!$E$5:$E$404,MATCH(D315,Invoices!$A$5:$A$404,0)),""))</f>
        <v>0</v>
      </c>
      <c r="N315" s="21">
        <f>IF(B315="","",IF(G315="",0,G315)-IF(H315="",0,H315))</f>
        <v>0</v>
      </c>
      <c r="O315" s="21">
        <f>IF(D315="","",IFERROR(INDEX(Invoices!$V$5:$V$404,MATCH(D315,Invoices!$A$5:$A$404,0)),""))</f>
        <v>0</v>
      </c>
      <c r="P315" s="21">
        <f>IF(D315="","",IFERROR(INDEX(Invoices!$W$5:$W$404,MATCH(D315,Invoices!$A$5:$A$404,0)),""))</f>
        <v>0</v>
      </c>
      <c r="Q315" s="21">
        <f>IF(OR(D315="",O315=""),"",ROUND(O315-P315,2))</f>
        <v>0</v>
      </c>
      <c r="R315" s="39">
        <f>IF(B315="","",IF(D315="","Add - which invoice?",IF(OR(G315="",G315=0),"Add - how much came in?",IF(Q315&lt;-0.004,"Check - overpaid",IF(L315="No","Due - not banked yet",IF(Q315&gt;0.004,"Part paid","OK"))))))</f>
        <v>0</v>
      </c>
    </row>
    <row r="316" spans="1:18">
      <c r="A316" s="43">
        <f>IF(B316="","",PaymentPrefix&amp;TEXT(ROW()-4,"0000"))</f>
        <v>0</v>
      </c>
      <c r="C316" s="23">
        <f>IF(B316="","",TEXT(B316,"yyyy-mm"))</f>
        <v>0</v>
      </c>
      <c r="E316" s="43">
        <f>IF(D316="","",IFERROR(INDEX(Invoices!$D$5:$D$404,MATCH(D316,Invoices!$A$5:$A$404,0)),""))</f>
        <v>0</v>
      </c>
      <c r="F316" s="23">
        <f>IF(D316="","",IFERROR(INDEX(Invoices!$E$5:$E$404,MATCH(D316,Invoices!$A$5:$A$404,0)),""))</f>
        <v>0</v>
      </c>
      <c r="N316" s="21">
        <f>IF(B316="","",IF(G316="",0,G316)-IF(H316="",0,H316))</f>
        <v>0</v>
      </c>
      <c r="O316" s="21">
        <f>IF(D316="","",IFERROR(INDEX(Invoices!$V$5:$V$404,MATCH(D316,Invoices!$A$5:$A$404,0)),""))</f>
        <v>0</v>
      </c>
      <c r="P316" s="21">
        <f>IF(D316="","",IFERROR(INDEX(Invoices!$W$5:$W$404,MATCH(D316,Invoices!$A$5:$A$404,0)),""))</f>
        <v>0</v>
      </c>
      <c r="Q316" s="21">
        <f>IF(OR(D316="",O316=""),"",ROUND(O316-P316,2))</f>
        <v>0</v>
      </c>
      <c r="R316" s="39">
        <f>IF(B316="","",IF(D316="","Add - which invoice?",IF(OR(G316="",G316=0),"Add - how much came in?",IF(Q316&lt;-0.004,"Check - overpaid",IF(L316="No","Due - not banked yet",IF(Q316&gt;0.004,"Part paid","OK"))))))</f>
        <v>0</v>
      </c>
    </row>
    <row r="317" spans="1:18">
      <c r="A317" s="43">
        <f>IF(B317="","",PaymentPrefix&amp;TEXT(ROW()-4,"0000"))</f>
        <v>0</v>
      </c>
      <c r="C317" s="23">
        <f>IF(B317="","",TEXT(B317,"yyyy-mm"))</f>
        <v>0</v>
      </c>
      <c r="E317" s="43">
        <f>IF(D317="","",IFERROR(INDEX(Invoices!$D$5:$D$404,MATCH(D317,Invoices!$A$5:$A$404,0)),""))</f>
        <v>0</v>
      </c>
      <c r="F317" s="23">
        <f>IF(D317="","",IFERROR(INDEX(Invoices!$E$5:$E$404,MATCH(D317,Invoices!$A$5:$A$404,0)),""))</f>
        <v>0</v>
      </c>
      <c r="N317" s="21">
        <f>IF(B317="","",IF(G317="",0,G317)-IF(H317="",0,H317))</f>
        <v>0</v>
      </c>
      <c r="O317" s="21">
        <f>IF(D317="","",IFERROR(INDEX(Invoices!$V$5:$V$404,MATCH(D317,Invoices!$A$5:$A$404,0)),""))</f>
        <v>0</v>
      </c>
      <c r="P317" s="21">
        <f>IF(D317="","",IFERROR(INDEX(Invoices!$W$5:$W$404,MATCH(D317,Invoices!$A$5:$A$404,0)),""))</f>
        <v>0</v>
      </c>
      <c r="Q317" s="21">
        <f>IF(OR(D317="",O317=""),"",ROUND(O317-P317,2))</f>
        <v>0</v>
      </c>
      <c r="R317" s="39">
        <f>IF(B317="","",IF(D317="","Add - which invoice?",IF(OR(G317="",G317=0),"Add - how much came in?",IF(Q317&lt;-0.004,"Check - overpaid",IF(L317="No","Due - not banked yet",IF(Q317&gt;0.004,"Part paid","OK"))))))</f>
        <v>0</v>
      </c>
    </row>
    <row r="318" spans="1:18">
      <c r="A318" s="43">
        <f>IF(B318="","",PaymentPrefix&amp;TEXT(ROW()-4,"0000"))</f>
        <v>0</v>
      </c>
      <c r="C318" s="23">
        <f>IF(B318="","",TEXT(B318,"yyyy-mm"))</f>
        <v>0</v>
      </c>
      <c r="E318" s="43">
        <f>IF(D318="","",IFERROR(INDEX(Invoices!$D$5:$D$404,MATCH(D318,Invoices!$A$5:$A$404,0)),""))</f>
        <v>0</v>
      </c>
      <c r="F318" s="23">
        <f>IF(D318="","",IFERROR(INDEX(Invoices!$E$5:$E$404,MATCH(D318,Invoices!$A$5:$A$404,0)),""))</f>
        <v>0</v>
      </c>
      <c r="N318" s="21">
        <f>IF(B318="","",IF(G318="",0,G318)-IF(H318="",0,H318))</f>
        <v>0</v>
      </c>
      <c r="O318" s="21">
        <f>IF(D318="","",IFERROR(INDEX(Invoices!$V$5:$V$404,MATCH(D318,Invoices!$A$5:$A$404,0)),""))</f>
        <v>0</v>
      </c>
      <c r="P318" s="21">
        <f>IF(D318="","",IFERROR(INDEX(Invoices!$W$5:$W$404,MATCH(D318,Invoices!$A$5:$A$404,0)),""))</f>
        <v>0</v>
      </c>
      <c r="Q318" s="21">
        <f>IF(OR(D318="",O318=""),"",ROUND(O318-P318,2))</f>
        <v>0</v>
      </c>
      <c r="R318" s="39">
        <f>IF(B318="","",IF(D318="","Add - which invoice?",IF(OR(G318="",G318=0),"Add - how much came in?",IF(Q318&lt;-0.004,"Check - overpaid",IF(L318="No","Due - not banked yet",IF(Q318&gt;0.004,"Part paid","OK"))))))</f>
        <v>0</v>
      </c>
    </row>
    <row r="319" spans="1:18">
      <c r="A319" s="43">
        <f>IF(B319="","",PaymentPrefix&amp;TEXT(ROW()-4,"0000"))</f>
        <v>0</v>
      </c>
      <c r="C319" s="23">
        <f>IF(B319="","",TEXT(B319,"yyyy-mm"))</f>
        <v>0</v>
      </c>
      <c r="E319" s="43">
        <f>IF(D319="","",IFERROR(INDEX(Invoices!$D$5:$D$404,MATCH(D319,Invoices!$A$5:$A$404,0)),""))</f>
        <v>0</v>
      </c>
      <c r="F319" s="23">
        <f>IF(D319="","",IFERROR(INDEX(Invoices!$E$5:$E$404,MATCH(D319,Invoices!$A$5:$A$404,0)),""))</f>
        <v>0</v>
      </c>
      <c r="N319" s="21">
        <f>IF(B319="","",IF(G319="",0,G319)-IF(H319="",0,H319))</f>
        <v>0</v>
      </c>
      <c r="O319" s="21">
        <f>IF(D319="","",IFERROR(INDEX(Invoices!$V$5:$V$404,MATCH(D319,Invoices!$A$5:$A$404,0)),""))</f>
        <v>0</v>
      </c>
      <c r="P319" s="21">
        <f>IF(D319="","",IFERROR(INDEX(Invoices!$W$5:$W$404,MATCH(D319,Invoices!$A$5:$A$404,0)),""))</f>
        <v>0</v>
      </c>
      <c r="Q319" s="21">
        <f>IF(OR(D319="",O319=""),"",ROUND(O319-P319,2))</f>
        <v>0</v>
      </c>
      <c r="R319" s="39">
        <f>IF(B319="","",IF(D319="","Add - which invoice?",IF(OR(G319="",G319=0),"Add - how much came in?",IF(Q319&lt;-0.004,"Check - overpaid",IF(L319="No","Due - not banked yet",IF(Q319&gt;0.004,"Part paid","OK"))))))</f>
        <v>0</v>
      </c>
    </row>
    <row r="320" spans="1:18">
      <c r="A320" s="43">
        <f>IF(B320="","",PaymentPrefix&amp;TEXT(ROW()-4,"0000"))</f>
        <v>0</v>
      </c>
      <c r="C320" s="23">
        <f>IF(B320="","",TEXT(B320,"yyyy-mm"))</f>
        <v>0</v>
      </c>
      <c r="E320" s="43">
        <f>IF(D320="","",IFERROR(INDEX(Invoices!$D$5:$D$404,MATCH(D320,Invoices!$A$5:$A$404,0)),""))</f>
        <v>0</v>
      </c>
      <c r="F320" s="23">
        <f>IF(D320="","",IFERROR(INDEX(Invoices!$E$5:$E$404,MATCH(D320,Invoices!$A$5:$A$404,0)),""))</f>
        <v>0</v>
      </c>
      <c r="N320" s="21">
        <f>IF(B320="","",IF(G320="",0,G320)-IF(H320="",0,H320))</f>
        <v>0</v>
      </c>
      <c r="O320" s="21">
        <f>IF(D320="","",IFERROR(INDEX(Invoices!$V$5:$V$404,MATCH(D320,Invoices!$A$5:$A$404,0)),""))</f>
        <v>0</v>
      </c>
      <c r="P320" s="21">
        <f>IF(D320="","",IFERROR(INDEX(Invoices!$W$5:$W$404,MATCH(D320,Invoices!$A$5:$A$404,0)),""))</f>
        <v>0</v>
      </c>
      <c r="Q320" s="21">
        <f>IF(OR(D320="",O320=""),"",ROUND(O320-P320,2))</f>
        <v>0</v>
      </c>
      <c r="R320" s="39">
        <f>IF(B320="","",IF(D320="","Add - which invoice?",IF(OR(G320="",G320=0),"Add - how much came in?",IF(Q320&lt;-0.004,"Check - overpaid",IF(L320="No","Due - not banked yet",IF(Q320&gt;0.004,"Part paid","OK"))))))</f>
        <v>0</v>
      </c>
    </row>
    <row r="321" spans="1:18">
      <c r="A321" s="43">
        <f>IF(B321="","",PaymentPrefix&amp;TEXT(ROW()-4,"0000"))</f>
        <v>0</v>
      </c>
      <c r="C321" s="23">
        <f>IF(B321="","",TEXT(B321,"yyyy-mm"))</f>
        <v>0</v>
      </c>
      <c r="E321" s="43">
        <f>IF(D321="","",IFERROR(INDEX(Invoices!$D$5:$D$404,MATCH(D321,Invoices!$A$5:$A$404,0)),""))</f>
        <v>0</v>
      </c>
      <c r="F321" s="23">
        <f>IF(D321="","",IFERROR(INDEX(Invoices!$E$5:$E$404,MATCH(D321,Invoices!$A$5:$A$404,0)),""))</f>
        <v>0</v>
      </c>
      <c r="N321" s="21">
        <f>IF(B321="","",IF(G321="",0,G321)-IF(H321="",0,H321))</f>
        <v>0</v>
      </c>
      <c r="O321" s="21">
        <f>IF(D321="","",IFERROR(INDEX(Invoices!$V$5:$V$404,MATCH(D321,Invoices!$A$5:$A$404,0)),""))</f>
        <v>0</v>
      </c>
      <c r="P321" s="21">
        <f>IF(D321="","",IFERROR(INDEX(Invoices!$W$5:$W$404,MATCH(D321,Invoices!$A$5:$A$404,0)),""))</f>
        <v>0</v>
      </c>
      <c r="Q321" s="21">
        <f>IF(OR(D321="",O321=""),"",ROUND(O321-P321,2))</f>
        <v>0</v>
      </c>
      <c r="R321" s="39">
        <f>IF(B321="","",IF(D321="","Add - which invoice?",IF(OR(G321="",G321=0),"Add - how much came in?",IF(Q321&lt;-0.004,"Check - overpaid",IF(L321="No","Due - not banked yet",IF(Q321&gt;0.004,"Part paid","OK"))))))</f>
        <v>0</v>
      </c>
    </row>
    <row r="322" spans="1:18">
      <c r="A322" s="43">
        <f>IF(B322="","",PaymentPrefix&amp;TEXT(ROW()-4,"0000"))</f>
        <v>0</v>
      </c>
      <c r="C322" s="23">
        <f>IF(B322="","",TEXT(B322,"yyyy-mm"))</f>
        <v>0</v>
      </c>
      <c r="E322" s="43">
        <f>IF(D322="","",IFERROR(INDEX(Invoices!$D$5:$D$404,MATCH(D322,Invoices!$A$5:$A$404,0)),""))</f>
        <v>0</v>
      </c>
      <c r="F322" s="23">
        <f>IF(D322="","",IFERROR(INDEX(Invoices!$E$5:$E$404,MATCH(D322,Invoices!$A$5:$A$404,0)),""))</f>
        <v>0</v>
      </c>
      <c r="N322" s="21">
        <f>IF(B322="","",IF(G322="",0,G322)-IF(H322="",0,H322))</f>
        <v>0</v>
      </c>
      <c r="O322" s="21">
        <f>IF(D322="","",IFERROR(INDEX(Invoices!$V$5:$V$404,MATCH(D322,Invoices!$A$5:$A$404,0)),""))</f>
        <v>0</v>
      </c>
      <c r="P322" s="21">
        <f>IF(D322="","",IFERROR(INDEX(Invoices!$W$5:$W$404,MATCH(D322,Invoices!$A$5:$A$404,0)),""))</f>
        <v>0</v>
      </c>
      <c r="Q322" s="21">
        <f>IF(OR(D322="",O322=""),"",ROUND(O322-P322,2))</f>
        <v>0</v>
      </c>
      <c r="R322" s="39">
        <f>IF(B322="","",IF(D322="","Add - which invoice?",IF(OR(G322="",G322=0),"Add - how much came in?",IF(Q322&lt;-0.004,"Check - overpaid",IF(L322="No","Due - not banked yet",IF(Q322&gt;0.004,"Part paid","OK"))))))</f>
        <v>0</v>
      </c>
    </row>
    <row r="323" spans="1:18">
      <c r="A323" s="43">
        <f>IF(B323="","",PaymentPrefix&amp;TEXT(ROW()-4,"0000"))</f>
        <v>0</v>
      </c>
      <c r="C323" s="23">
        <f>IF(B323="","",TEXT(B323,"yyyy-mm"))</f>
        <v>0</v>
      </c>
      <c r="E323" s="43">
        <f>IF(D323="","",IFERROR(INDEX(Invoices!$D$5:$D$404,MATCH(D323,Invoices!$A$5:$A$404,0)),""))</f>
        <v>0</v>
      </c>
      <c r="F323" s="23">
        <f>IF(D323="","",IFERROR(INDEX(Invoices!$E$5:$E$404,MATCH(D323,Invoices!$A$5:$A$404,0)),""))</f>
        <v>0</v>
      </c>
      <c r="N323" s="21">
        <f>IF(B323="","",IF(G323="",0,G323)-IF(H323="",0,H323))</f>
        <v>0</v>
      </c>
      <c r="O323" s="21">
        <f>IF(D323="","",IFERROR(INDEX(Invoices!$V$5:$V$404,MATCH(D323,Invoices!$A$5:$A$404,0)),""))</f>
        <v>0</v>
      </c>
      <c r="P323" s="21">
        <f>IF(D323="","",IFERROR(INDEX(Invoices!$W$5:$W$404,MATCH(D323,Invoices!$A$5:$A$404,0)),""))</f>
        <v>0</v>
      </c>
      <c r="Q323" s="21">
        <f>IF(OR(D323="",O323=""),"",ROUND(O323-P323,2))</f>
        <v>0</v>
      </c>
      <c r="R323" s="39">
        <f>IF(B323="","",IF(D323="","Add - which invoice?",IF(OR(G323="",G323=0),"Add - how much came in?",IF(Q323&lt;-0.004,"Check - overpaid",IF(L323="No","Due - not banked yet",IF(Q323&gt;0.004,"Part paid","OK"))))))</f>
        <v>0</v>
      </c>
    </row>
    <row r="324" spans="1:18">
      <c r="A324" s="43">
        <f>IF(B324="","",PaymentPrefix&amp;TEXT(ROW()-4,"0000"))</f>
        <v>0</v>
      </c>
      <c r="C324" s="23">
        <f>IF(B324="","",TEXT(B324,"yyyy-mm"))</f>
        <v>0</v>
      </c>
      <c r="E324" s="43">
        <f>IF(D324="","",IFERROR(INDEX(Invoices!$D$5:$D$404,MATCH(D324,Invoices!$A$5:$A$404,0)),""))</f>
        <v>0</v>
      </c>
      <c r="F324" s="23">
        <f>IF(D324="","",IFERROR(INDEX(Invoices!$E$5:$E$404,MATCH(D324,Invoices!$A$5:$A$404,0)),""))</f>
        <v>0</v>
      </c>
      <c r="N324" s="21">
        <f>IF(B324="","",IF(G324="",0,G324)-IF(H324="",0,H324))</f>
        <v>0</v>
      </c>
      <c r="O324" s="21">
        <f>IF(D324="","",IFERROR(INDEX(Invoices!$V$5:$V$404,MATCH(D324,Invoices!$A$5:$A$404,0)),""))</f>
        <v>0</v>
      </c>
      <c r="P324" s="21">
        <f>IF(D324="","",IFERROR(INDEX(Invoices!$W$5:$W$404,MATCH(D324,Invoices!$A$5:$A$404,0)),""))</f>
        <v>0</v>
      </c>
      <c r="Q324" s="21">
        <f>IF(OR(D324="",O324=""),"",ROUND(O324-P324,2))</f>
        <v>0</v>
      </c>
      <c r="R324" s="39">
        <f>IF(B324="","",IF(D324="","Add - which invoice?",IF(OR(G324="",G324=0),"Add - how much came in?",IF(Q324&lt;-0.004,"Check - overpaid",IF(L324="No","Due - not banked yet",IF(Q324&gt;0.004,"Part paid","OK"))))))</f>
        <v>0</v>
      </c>
    </row>
    <row r="325" spans="1:18">
      <c r="A325" s="43">
        <f>IF(B325="","",PaymentPrefix&amp;TEXT(ROW()-4,"0000"))</f>
        <v>0</v>
      </c>
      <c r="C325" s="23">
        <f>IF(B325="","",TEXT(B325,"yyyy-mm"))</f>
        <v>0</v>
      </c>
      <c r="E325" s="43">
        <f>IF(D325="","",IFERROR(INDEX(Invoices!$D$5:$D$404,MATCH(D325,Invoices!$A$5:$A$404,0)),""))</f>
        <v>0</v>
      </c>
      <c r="F325" s="23">
        <f>IF(D325="","",IFERROR(INDEX(Invoices!$E$5:$E$404,MATCH(D325,Invoices!$A$5:$A$404,0)),""))</f>
        <v>0</v>
      </c>
      <c r="N325" s="21">
        <f>IF(B325="","",IF(G325="",0,G325)-IF(H325="",0,H325))</f>
        <v>0</v>
      </c>
      <c r="O325" s="21">
        <f>IF(D325="","",IFERROR(INDEX(Invoices!$V$5:$V$404,MATCH(D325,Invoices!$A$5:$A$404,0)),""))</f>
        <v>0</v>
      </c>
      <c r="P325" s="21">
        <f>IF(D325="","",IFERROR(INDEX(Invoices!$W$5:$W$404,MATCH(D325,Invoices!$A$5:$A$404,0)),""))</f>
        <v>0</v>
      </c>
      <c r="Q325" s="21">
        <f>IF(OR(D325="",O325=""),"",ROUND(O325-P325,2))</f>
        <v>0</v>
      </c>
      <c r="R325" s="39">
        <f>IF(B325="","",IF(D325="","Add - which invoice?",IF(OR(G325="",G325=0),"Add - how much came in?",IF(Q325&lt;-0.004,"Check - overpaid",IF(L325="No","Due - not banked yet",IF(Q325&gt;0.004,"Part paid","OK"))))))</f>
        <v>0</v>
      </c>
    </row>
    <row r="326" spans="1:18">
      <c r="A326" s="43">
        <f>IF(B326="","",PaymentPrefix&amp;TEXT(ROW()-4,"0000"))</f>
        <v>0</v>
      </c>
      <c r="C326" s="23">
        <f>IF(B326="","",TEXT(B326,"yyyy-mm"))</f>
        <v>0</v>
      </c>
      <c r="E326" s="43">
        <f>IF(D326="","",IFERROR(INDEX(Invoices!$D$5:$D$404,MATCH(D326,Invoices!$A$5:$A$404,0)),""))</f>
        <v>0</v>
      </c>
      <c r="F326" s="23">
        <f>IF(D326="","",IFERROR(INDEX(Invoices!$E$5:$E$404,MATCH(D326,Invoices!$A$5:$A$404,0)),""))</f>
        <v>0</v>
      </c>
      <c r="N326" s="21">
        <f>IF(B326="","",IF(G326="",0,G326)-IF(H326="",0,H326))</f>
        <v>0</v>
      </c>
      <c r="O326" s="21">
        <f>IF(D326="","",IFERROR(INDEX(Invoices!$V$5:$V$404,MATCH(D326,Invoices!$A$5:$A$404,0)),""))</f>
        <v>0</v>
      </c>
      <c r="P326" s="21">
        <f>IF(D326="","",IFERROR(INDEX(Invoices!$W$5:$W$404,MATCH(D326,Invoices!$A$5:$A$404,0)),""))</f>
        <v>0</v>
      </c>
      <c r="Q326" s="21">
        <f>IF(OR(D326="",O326=""),"",ROUND(O326-P326,2))</f>
        <v>0</v>
      </c>
      <c r="R326" s="39">
        <f>IF(B326="","",IF(D326="","Add - which invoice?",IF(OR(G326="",G326=0),"Add - how much came in?",IF(Q326&lt;-0.004,"Check - overpaid",IF(L326="No","Due - not banked yet",IF(Q326&gt;0.004,"Part paid","OK"))))))</f>
        <v>0</v>
      </c>
    </row>
    <row r="327" spans="1:18">
      <c r="A327" s="43">
        <f>IF(B327="","",PaymentPrefix&amp;TEXT(ROW()-4,"0000"))</f>
        <v>0</v>
      </c>
      <c r="C327" s="23">
        <f>IF(B327="","",TEXT(B327,"yyyy-mm"))</f>
        <v>0</v>
      </c>
      <c r="E327" s="43">
        <f>IF(D327="","",IFERROR(INDEX(Invoices!$D$5:$D$404,MATCH(D327,Invoices!$A$5:$A$404,0)),""))</f>
        <v>0</v>
      </c>
      <c r="F327" s="23">
        <f>IF(D327="","",IFERROR(INDEX(Invoices!$E$5:$E$404,MATCH(D327,Invoices!$A$5:$A$404,0)),""))</f>
        <v>0</v>
      </c>
      <c r="N327" s="21">
        <f>IF(B327="","",IF(G327="",0,G327)-IF(H327="",0,H327))</f>
        <v>0</v>
      </c>
      <c r="O327" s="21">
        <f>IF(D327="","",IFERROR(INDEX(Invoices!$V$5:$V$404,MATCH(D327,Invoices!$A$5:$A$404,0)),""))</f>
        <v>0</v>
      </c>
      <c r="P327" s="21">
        <f>IF(D327="","",IFERROR(INDEX(Invoices!$W$5:$W$404,MATCH(D327,Invoices!$A$5:$A$404,0)),""))</f>
        <v>0</v>
      </c>
      <c r="Q327" s="21">
        <f>IF(OR(D327="",O327=""),"",ROUND(O327-P327,2))</f>
        <v>0</v>
      </c>
      <c r="R327" s="39">
        <f>IF(B327="","",IF(D327="","Add - which invoice?",IF(OR(G327="",G327=0),"Add - how much came in?",IF(Q327&lt;-0.004,"Check - overpaid",IF(L327="No","Due - not banked yet",IF(Q327&gt;0.004,"Part paid","OK"))))))</f>
        <v>0</v>
      </c>
    </row>
    <row r="328" spans="1:18">
      <c r="A328" s="43">
        <f>IF(B328="","",PaymentPrefix&amp;TEXT(ROW()-4,"0000"))</f>
        <v>0</v>
      </c>
      <c r="C328" s="23">
        <f>IF(B328="","",TEXT(B328,"yyyy-mm"))</f>
        <v>0</v>
      </c>
      <c r="E328" s="43">
        <f>IF(D328="","",IFERROR(INDEX(Invoices!$D$5:$D$404,MATCH(D328,Invoices!$A$5:$A$404,0)),""))</f>
        <v>0</v>
      </c>
      <c r="F328" s="23">
        <f>IF(D328="","",IFERROR(INDEX(Invoices!$E$5:$E$404,MATCH(D328,Invoices!$A$5:$A$404,0)),""))</f>
        <v>0</v>
      </c>
      <c r="N328" s="21">
        <f>IF(B328="","",IF(G328="",0,G328)-IF(H328="",0,H328))</f>
        <v>0</v>
      </c>
      <c r="O328" s="21">
        <f>IF(D328="","",IFERROR(INDEX(Invoices!$V$5:$V$404,MATCH(D328,Invoices!$A$5:$A$404,0)),""))</f>
        <v>0</v>
      </c>
      <c r="P328" s="21">
        <f>IF(D328="","",IFERROR(INDEX(Invoices!$W$5:$W$404,MATCH(D328,Invoices!$A$5:$A$404,0)),""))</f>
        <v>0</v>
      </c>
      <c r="Q328" s="21">
        <f>IF(OR(D328="",O328=""),"",ROUND(O328-P328,2))</f>
        <v>0</v>
      </c>
      <c r="R328" s="39">
        <f>IF(B328="","",IF(D328="","Add - which invoice?",IF(OR(G328="",G328=0),"Add - how much came in?",IF(Q328&lt;-0.004,"Check - overpaid",IF(L328="No","Due - not banked yet",IF(Q328&gt;0.004,"Part paid","OK"))))))</f>
        <v>0</v>
      </c>
    </row>
    <row r="329" spans="1:18">
      <c r="A329" s="43">
        <f>IF(B329="","",PaymentPrefix&amp;TEXT(ROW()-4,"0000"))</f>
        <v>0</v>
      </c>
      <c r="C329" s="23">
        <f>IF(B329="","",TEXT(B329,"yyyy-mm"))</f>
        <v>0</v>
      </c>
      <c r="E329" s="43">
        <f>IF(D329="","",IFERROR(INDEX(Invoices!$D$5:$D$404,MATCH(D329,Invoices!$A$5:$A$404,0)),""))</f>
        <v>0</v>
      </c>
      <c r="F329" s="23">
        <f>IF(D329="","",IFERROR(INDEX(Invoices!$E$5:$E$404,MATCH(D329,Invoices!$A$5:$A$404,0)),""))</f>
        <v>0</v>
      </c>
      <c r="N329" s="21">
        <f>IF(B329="","",IF(G329="",0,G329)-IF(H329="",0,H329))</f>
        <v>0</v>
      </c>
      <c r="O329" s="21">
        <f>IF(D329="","",IFERROR(INDEX(Invoices!$V$5:$V$404,MATCH(D329,Invoices!$A$5:$A$404,0)),""))</f>
        <v>0</v>
      </c>
      <c r="P329" s="21">
        <f>IF(D329="","",IFERROR(INDEX(Invoices!$W$5:$W$404,MATCH(D329,Invoices!$A$5:$A$404,0)),""))</f>
        <v>0</v>
      </c>
      <c r="Q329" s="21">
        <f>IF(OR(D329="",O329=""),"",ROUND(O329-P329,2))</f>
        <v>0</v>
      </c>
      <c r="R329" s="39">
        <f>IF(B329="","",IF(D329="","Add - which invoice?",IF(OR(G329="",G329=0),"Add - how much came in?",IF(Q329&lt;-0.004,"Check - overpaid",IF(L329="No","Due - not banked yet",IF(Q329&gt;0.004,"Part paid","OK"))))))</f>
        <v>0</v>
      </c>
    </row>
    <row r="330" spans="1:18">
      <c r="A330" s="43">
        <f>IF(B330="","",PaymentPrefix&amp;TEXT(ROW()-4,"0000"))</f>
        <v>0</v>
      </c>
      <c r="C330" s="23">
        <f>IF(B330="","",TEXT(B330,"yyyy-mm"))</f>
        <v>0</v>
      </c>
      <c r="E330" s="43">
        <f>IF(D330="","",IFERROR(INDEX(Invoices!$D$5:$D$404,MATCH(D330,Invoices!$A$5:$A$404,0)),""))</f>
        <v>0</v>
      </c>
      <c r="F330" s="23">
        <f>IF(D330="","",IFERROR(INDEX(Invoices!$E$5:$E$404,MATCH(D330,Invoices!$A$5:$A$404,0)),""))</f>
        <v>0</v>
      </c>
      <c r="N330" s="21">
        <f>IF(B330="","",IF(G330="",0,G330)-IF(H330="",0,H330))</f>
        <v>0</v>
      </c>
      <c r="O330" s="21">
        <f>IF(D330="","",IFERROR(INDEX(Invoices!$V$5:$V$404,MATCH(D330,Invoices!$A$5:$A$404,0)),""))</f>
        <v>0</v>
      </c>
      <c r="P330" s="21">
        <f>IF(D330="","",IFERROR(INDEX(Invoices!$W$5:$W$404,MATCH(D330,Invoices!$A$5:$A$404,0)),""))</f>
        <v>0</v>
      </c>
      <c r="Q330" s="21">
        <f>IF(OR(D330="",O330=""),"",ROUND(O330-P330,2))</f>
        <v>0</v>
      </c>
      <c r="R330" s="39">
        <f>IF(B330="","",IF(D330="","Add - which invoice?",IF(OR(G330="",G330=0),"Add - how much came in?",IF(Q330&lt;-0.004,"Check - overpaid",IF(L330="No","Due - not banked yet",IF(Q330&gt;0.004,"Part paid","OK"))))))</f>
        <v>0</v>
      </c>
    </row>
    <row r="331" spans="1:18">
      <c r="A331" s="43">
        <f>IF(B331="","",PaymentPrefix&amp;TEXT(ROW()-4,"0000"))</f>
        <v>0</v>
      </c>
      <c r="C331" s="23">
        <f>IF(B331="","",TEXT(B331,"yyyy-mm"))</f>
        <v>0</v>
      </c>
      <c r="E331" s="43">
        <f>IF(D331="","",IFERROR(INDEX(Invoices!$D$5:$D$404,MATCH(D331,Invoices!$A$5:$A$404,0)),""))</f>
        <v>0</v>
      </c>
      <c r="F331" s="23">
        <f>IF(D331="","",IFERROR(INDEX(Invoices!$E$5:$E$404,MATCH(D331,Invoices!$A$5:$A$404,0)),""))</f>
        <v>0</v>
      </c>
      <c r="N331" s="21">
        <f>IF(B331="","",IF(G331="",0,G331)-IF(H331="",0,H331))</f>
        <v>0</v>
      </c>
      <c r="O331" s="21">
        <f>IF(D331="","",IFERROR(INDEX(Invoices!$V$5:$V$404,MATCH(D331,Invoices!$A$5:$A$404,0)),""))</f>
        <v>0</v>
      </c>
      <c r="P331" s="21">
        <f>IF(D331="","",IFERROR(INDEX(Invoices!$W$5:$W$404,MATCH(D331,Invoices!$A$5:$A$404,0)),""))</f>
        <v>0</v>
      </c>
      <c r="Q331" s="21">
        <f>IF(OR(D331="",O331=""),"",ROUND(O331-P331,2))</f>
        <v>0</v>
      </c>
      <c r="R331" s="39">
        <f>IF(B331="","",IF(D331="","Add - which invoice?",IF(OR(G331="",G331=0),"Add - how much came in?",IF(Q331&lt;-0.004,"Check - overpaid",IF(L331="No","Due - not banked yet",IF(Q331&gt;0.004,"Part paid","OK"))))))</f>
        <v>0</v>
      </c>
    </row>
    <row r="332" spans="1:18">
      <c r="A332" s="43">
        <f>IF(B332="","",PaymentPrefix&amp;TEXT(ROW()-4,"0000"))</f>
        <v>0</v>
      </c>
      <c r="C332" s="23">
        <f>IF(B332="","",TEXT(B332,"yyyy-mm"))</f>
        <v>0</v>
      </c>
      <c r="E332" s="43">
        <f>IF(D332="","",IFERROR(INDEX(Invoices!$D$5:$D$404,MATCH(D332,Invoices!$A$5:$A$404,0)),""))</f>
        <v>0</v>
      </c>
      <c r="F332" s="23">
        <f>IF(D332="","",IFERROR(INDEX(Invoices!$E$5:$E$404,MATCH(D332,Invoices!$A$5:$A$404,0)),""))</f>
        <v>0</v>
      </c>
      <c r="N332" s="21">
        <f>IF(B332="","",IF(G332="",0,G332)-IF(H332="",0,H332))</f>
        <v>0</v>
      </c>
      <c r="O332" s="21">
        <f>IF(D332="","",IFERROR(INDEX(Invoices!$V$5:$V$404,MATCH(D332,Invoices!$A$5:$A$404,0)),""))</f>
        <v>0</v>
      </c>
      <c r="P332" s="21">
        <f>IF(D332="","",IFERROR(INDEX(Invoices!$W$5:$W$404,MATCH(D332,Invoices!$A$5:$A$404,0)),""))</f>
        <v>0</v>
      </c>
      <c r="Q332" s="21">
        <f>IF(OR(D332="",O332=""),"",ROUND(O332-P332,2))</f>
        <v>0</v>
      </c>
      <c r="R332" s="39">
        <f>IF(B332="","",IF(D332="","Add - which invoice?",IF(OR(G332="",G332=0),"Add - how much came in?",IF(Q332&lt;-0.004,"Check - overpaid",IF(L332="No","Due - not banked yet",IF(Q332&gt;0.004,"Part paid","OK"))))))</f>
        <v>0</v>
      </c>
    </row>
    <row r="333" spans="1:18">
      <c r="A333" s="43">
        <f>IF(B333="","",PaymentPrefix&amp;TEXT(ROW()-4,"0000"))</f>
        <v>0</v>
      </c>
      <c r="C333" s="23">
        <f>IF(B333="","",TEXT(B333,"yyyy-mm"))</f>
        <v>0</v>
      </c>
      <c r="E333" s="43">
        <f>IF(D333="","",IFERROR(INDEX(Invoices!$D$5:$D$404,MATCH(D333,Invoices!$A$5:$A$404,0)),""))</f>
        <v>0</v>
      </c>
      <c r="F333" s="23">
        <f>IF(D333="","",IFERROR(INDEX(Invoices!$E$5:$E$404,MATCH(D333,Invoices!$A$5:$A$404,0)),""))</f>
        <v>0</v>
      </c>
      <c r="N333" s="21">
        <f>IF(B333="","",IF(G333="",0,G333)-IF(H333="",0,H333))</f>
        <v>0</v>
      </c>
      <c r="O333" s="21">
        <f>IF(D333="","",IFERROR(INDEX(Invoices!$V$5:$V$404,MATCH(D333,Invoices!$A$5:$A$404,0)),""))</f>
        <v>0</v>
      </c>
      <c r="P333" s="21">
        <f>IF(D333="","",IFERROR(INDEX(Invoices!$W$5:$W$404,MATCH(D333,Invoices!$A$5:$A$404,0)),""))</f>
        <v>0</v>
      </c>
      <c r="Q333" s="21">
        <f>IF(OR(D333="",O333=""),"",ROUND(O333-P333,2))</f>
        <v>0</v>
      </c>
      <c r="R333" s="39">
        <f>IF(B333="","",IF(D333="","Add - which invoice?",IF(OR(G333="",G333=0),"Add - how much came in?",IF(Q333&lt;-0.004,"Check - overpaid",IF(L333="No","Due - not banked yet",IF(Q333&gt;0.004,"Part paid","OK"))))))</f>
        <v>0</v>
      </c>
    </row>
    <row r="334" spans="1:18">
      <c r="A334" s="43">
        <f>IF(B334="","",PaymentPrefix&amp;TEXT(ROW()-4,"0000"))</f>
        <v>0</v>
      </c>
      <c r="C334" s="23">
        <f>IF(B334="","",TEXT(B334,"yyyy-mm"))</f>
        <v>0</v>
      </c>
      <c r="E334" s="43">
        <f>IF(D334="","",IFERROR(INDEX(Invoices!$D$5:$D$404,MATCH(D334,Invoices!$A$5:$A$404,0)),""))</f>
        <v>0</v>
      </c>
      <c r="F334" s="23">
        <f>IF(D334="","",IFERROR(INDEX(Invoices!$E$5:$E$404,MATCH(D334,Invoices!$A$5:$A$404,0)),""))</f>
        <v>0</v>
      </c>
      <c r="N334" s="21">
        <f>IF(B334="","",IF(G334="",0,G334)-IF(H334="",0,H334))</f>
        <v>0</v>
      </c>
      <c r="O334" s="21">
        <f>IF(D334="","",IFERROR(INDEX(Invoices!$V$5:$V$404,MATCH(D334,Invoices!$A$5:$A$404,0)),""))</f>
        <v>0</v>
      </c>
      <c r="P334" s="21">
        <f>IF(D334="","",IFERROR(INDEX(Invoices!$W$5:$W$404,MATCH(D334,Invoices!$A$5:$A$404,0)),""))</f>
        <v>0</v>
      </c>
      <c r="Q334" s="21">
        <f>IF(OR(D334="",O334=""),"",ROUND(O334-P334,2))</f>
        <v>0</v>
      </c>
      <c r="R334" s="39">
        <f>IF(B334="","",IF(D334="","Add - which invoice?",IF(OR(G334="",G334=0),"Add - how much came in?",IF(Q334&lt;-0.004,"Check - overpaid",IF(L334="No","Due - not banked yet",IF(Q334&gt;0.004,"Part paid","OK"))))))</f>
        <v>0</v>
      </c>
    </row>
    <row r="335" spans="1:18">
      <c r="A335" s="43">
        <f>IF(B335="","",PaymentPrefix&amp;TEXT(ROW()-4,"0000"))</f>
        <v>0</v>
      </c>
      <c r="C335" s="23">
        <f>IF(B335="","",TEXT(B335,"yyyy-mm"))</f>
        <v>0</v>
      </c>
      <c r="E335" s="43">
        <f>IF(D335="","",IFERROR(INDEX(Invoices!$D$5:$D$404,MATCH(D335,Invoices!$A$5:$A$404,0)),""))</f>
        <v>0</v>
      </c>
      <c r="F335" s="23">
        <f>IF(D335="","",IFERROR(INDEX(Invoices!$E$5:$E$404,MATCH(D335,Invoices!$A$5:$A$404,0)),""))</f>
        <v>0</v>
      </c>
      <c r="N335" s="21">
        <f>IF(B335="","",IF(G335="",0,G335)-IF(H335="",0,H335))</f>
        <v>0</v>
      </c>
      <c r="O335" s="21">
        <f>IF(D335="","",IFERROR(INDEX(Invoices!$V$5:$V$404,MATCH(D335,Invoices!$A$5:$A$404,0)),""))</f>
        <v>0</v>
      </c>
      <c r="P335" s="21">
        <f>IF(D335="","",IFERROR(INDEX(Invoices!$W$5:$W$404,MATCH(D335,Invoices!$A$5:$A$404,0)),""))</f>
        <v>0</v>
      </c>
      <c r="Q335" s="21">
        <f>IF(OR(D335="",O335=""),"",ROUND(O335-P335,2))</f>
        <v>0</v>
      </c>
      <c r="R335" s="39">
        <f>IF(B335="","",IF(D335="","Add - which invoice?",IF(OR(G335="",G335=0),"Add - how much came in?",IF(Q335&lt;-0.004,"Check - overpaid",IF(L335="No","Due - not banked yet",IF(Q335&gt;0.004,"Part paid","OK"))))))</f>
        <v>0</v>
      </c>
    </row>
    <row r="336" spans="1:18">
      <c r="A336" s="43">
        <f>IF(B336="","",PaymentPrefix&amp;TEXT(ROW()-4,"0000"))</f>
        <v>0</v>
      </c>
      <c r="C336" s="23">
        <f>IF(B336="","",TEXT(B336,"yyyy-mm"))</f>
        <v>0</v>
      </c>
      <c r="E336" s="43">
        <f>IF(D336="","",IFERROR(INDEX(Invoices!$D$5:$D$404,MATCH(D336,Invoices!$A$5:$A$404,0)),""))</f>
        <v>0</v>
      </c>
      <c r="F336" s="23">
        <f>IF(D336="","",IFERROR(INDEX(Invoices!$E$5:$E$404,MATCH(D336,Invoices!$A$5:$A$404,0)),""))</f>
        <v>0</v>
      </c>
      <c r="N336" s="21">
        <f>IF(B336="","",IF(G336="",0,G336)-IF(H336="",0,H336))</f>
        <v>0</v>
      </c>
      <c r="O336" s="21">
        <f>IF(D336="","",IFERROR(INDEX(Invoices!$V$5:$V$404,MATCH(D336,Invoices!$A$5:$A$404,0)),""))</f>
        <v>0</v>
      </c>
      <c r="P336" s="21">
        <f>IF(D336="","",IFERROR(INDEX(Invoices!$W$5:$W$404,MATCH(D336,Invoices!$A$5:$A$404,0)),""))</f>
        <v>0</v>
      </c>
      <c r="Q336" s="21">
        <f>IF(OR(D336="",O336=""),"",ROUND(O336-P336,2))</f>
        <v>0</v>
      </c>
      <c r="R336" s="39">
        <f>IF(B336="","",IF(D336="","Add - which invoice?",IF(OR(G336="",G336=0),"Add - how much came in?",IF(Q336&lt;-0.004,"Check - overpaid",IF(L336="No","Due - not banked yet",IF(Q336&gt;0.004,"Part paid","OK"))))))</f>
        <v>0</v>
      </c>
    </row>
    <row r="337" spans="1:18">
      <c r="A337" s="43">
        <f>IF(B337="","",PaymentPrefix&amp;TEXT(ROW()-4,"0000"))</f>
        <v>0</v>
      </c>
      <c r="C337" s="23">
        <f>IF(B337="","",TEXT(B337,"yyyy-mm"))</f>
        <v>0</v>
      </c>
      <c r="E337" s="43">
        <f>IF(D337="","",IFERROR(INDEX(Invoices!$D$5:$D$404,MATCH(D337,Invoices!$A$5:$A$404,0)),""))</f>
        <v>0</v>
      </c>
      <c r="F337" s="23">
        <f>IF(D337="","",IFERROR(INDEX(Invoices!$E$5:$E$404,MATCH(D337,Invoices!$A$5:$A$404,0)),""))</f>
        <v>0</v>
      </c>
      <c r="N337" s="21">
        <f>IF(B337="","",IF(G337="",0,G337)-IF(H337="",0,H337))</f>
        <v>0</v>
      </c>
      <c r="O337" s="21">
        <f>IF(D337="","",IFERROR(INDEX(Invoices!$V$5:$V$404,MATCH(D337,Invoices!$A$5:$A$404,0)),""))</f>
        <v>0</v>
      </c>
      <c r="P337" s="21">
        <f>IF(D337="","",IFERROR(INDEX(Invoices!$W$5:$W$404,MATCH(D337,Invoices!$A$5:$A$404,0)),""))</f>
        <v>0</v>
      </c>
      <c r="Q337" s="21">
        <f>IF(OR(D337="",O337=""),"",ROUND(O337-P337,2))</f>
        <v>0</v>
      </c>
      <c r="R337" s="39">
        <f>IF(B337="","",IF(D337="","Add - which invoice?",IF(OR(G337="",G337=0),"Add - how much came in?",IF(Q337&lt;-0.004,"Check - overpaid",IF(L337="No","Due - not banked yet",IF(Q337&gt;0.004,"Part paid","OK"))))))</f>
        <v>0</v>
      </c>
    </row>
    <row r="338" spans="1:18">
      <c r="A338" s="43">
        <f>IF(B338="","",PaymentPrefix&amp;TEXT(ROW()-4,"0000"))</f>
        <v>0</v>
      </c>
      <c r="C338" s="23">
        <f>IF(B338="","",TEXT(B338,"yyyy-mm"))</f>
        <v>0</v>
      </c>
      <c r="E338" s="43">
        <f>IF(D338="","",IFERROR(INDEX(Invoices!$D$5:$D$404,MATCH(D338,Invoices!$A$5:$A$404,0)),""))</f>
        <v>0</v>
      </c>
      <c r="F338" s="23">
        <f>IF(D338="","",IFERROR(INDEX(Invoices!$E$5:$E$404,MATCH(D338,Invoices!$A$5:$A$404,0)),""))</f>
        <v>0</v>
      </c>
      <c r="N338" s="21">
        <f>IF(B338="","",IF(G338="",0,G338)-IF(H338="",0,H338))</f>
        <v>0</v>
      </c>
      <c r="O338" s="21">
        <f>IF(D338="","",IFERROR(INDEX(Invoices!$V$5:$V$404,MATCH(D338,Invoices!$A$5:$A$404,0)),""))</f>
        <v>0</v>
      </c>
      <c r="P338" s="21">
        <f>IF(D338="","",IFERROR(INDEX(Invoices!$W$5:$W$404,MATCH(D338,Invoices!$A$5:$A$404,0)),""))</f>
        <v>0</v>
      </c>
      <c r="Q338" s="21">
        <f>IF(OR(D338="",O338=""),"",ROUND(O338-P338,2))</f>
        <v>0</v>
      </c>
      <c r="R338" s="39">
        <f>IF(B338="","",IF(D338="","Add - which invoice?",IF(OR(G338="",G338=0),"Add - how much came in?",IF(Q338&lt;-0.004,"Check - overpaid",IF(L338="No","Due - not banked yet",IF(Q338&gt;0.004,"Part paid","OK"))))))</f>
        <v>0</v>
      </c>
    </row>
    <row r="339" spans="1:18">
      <c r="A339" s="43">
        <f>IF(B339="","",PaymentPrefix&amp;TEXT(ROW()-4,"0000"))</f>
        <v>0</v>
      </c>
      <c r="C339" s="23">
        <f>IF(B339="","",TEXT(B339,"yyyy-mm"))</f>
        <v>0</v>
      </c>
      <c r="E339" s="43">
        <f>IF(D339="","",IFERROR(INDEX(Invoices!$D$5:$D$404,MATCH(D339,Invoices!$A$5:$A$404,0)),""))</f>
        <v>0</v>
      </c>
      <c r="F339" s="23">
        <f>IF(D339="","",IFERROR(INDEX(Invoices!$E$5:$E$404,MATCH(D339,Invoices!$A$5:$A$404,0)),""))</f>
        <v>0</v>
      </c>
      <c r="N339" s="21">
        <f>IF(B339="","",IF(G339="",0,G339)-IF(H339="",0,H339))</f>
        <v>0</v>
      </c>
      <c r="O339" s="21">
        <f>IF(D339="","",IFERROR(INDEX(Invoices!$V$5:$V$404,MATCH(D339,Invoices!$A$5:$A$404,0)),""))</f>
        <v>0</v>
      </c>
      <c r="P339" s="21">
        <f>IF(D339="","",IFERROR(INDEX(Invoices!$W$5:$W$404,MATCH(D339,Invoices!$A$5:$A$404,0)),""))</f>
        <v>0</v>
      </c>
      <c r="Q339" s="21">
        <f>IF(OR(D339="",O339=""),"",ROUND(O339-P339,2))</f>
        <v>0</v>
      </c>
      <c r="R339" s="39">
        <f>IF(B339="","",IF(D339="","Add - which invoice?",IF(OR(G339="",G339=0),"Add - how much came in?",IF(Q339&lt;-0.004,"Check - overpaid",IF(L339="No","Due - not banked yet",IF(Q339&gt;0.004,"Part paid","OK"))))))</f>
        <v>0</v>
      </c>
    </row>
    <row r="340" spans="1:18">
      <c r="A340" s="43">
        <f>IF(B340="","",PaymentPrefix&amp;TEXT(ROW()-4,"0000"))</f>
        <v>0</v>
      </c>
      <c r="C340" s="23">
        <f>IF(B340="","",TEXT(B340,"yyyy-mm"))</f>
        <v>0</v>
      </c>
      <c r="E340" s="43">
        <f>IF(D340="","",IFERROR(INDEX(Invoices!$D$5:$D$404,MATCH(D340,Invoices!$A$5:$A$404,0)),""))</f>
        <v>0</v>
      </c>
      <c r="F340" s="23">
        <f>IF(D340="","",IFERROR(INDEX(Invoices!$E$5:$E$404,MATCH(D340,Invoices!$A$5:$A$404,0)),""))</f>
        <v>0</v>
      </c>
      <c r="N340" s="21">
        <f>IF(B340="","",IF(G340="",0,G340)-IF(H340="",0,H340))</f>
        <v>0</v>
      </c>
      <c r="O340" s="21">
        <f>IF(D340="","",IFERROR(INDEX(Invoices!$V$5:$V$404,MATCH(D340,Invoices!$A$5:$A$404,0)),""))</f>
        <v>0</v>
      </c>
      <c r="P340" s="21">
        <f>IF(D340="","",IFERROR(INDEX(Invoices!$W$5:$W$404,MATCH(D340,Invoices!$A$5:$A$404,0)),""))</f>
        <v>0</v>
      </c>
      <c r="Q340" s="21">
        <f>IF(OR(D340="",O340=""),"",ROUND(O340-P340,2))</f>
        <v>0</v>
      </c>
      <c r="R340" s="39">
        <f>IF(B340="","",IF(D340="","Add - which invoice?",IF(OR(G340="",G340=0),"Add - how much came in?",IF(Q340&lt;-0.004,"Check - overpaid",IF(L340="No","Due - not banked yet",IF(Q340&gt;0.004,"Part paid","OK"))))))</f>
        <v>0</v>
      </c>
    </row>
    <row r="341" spans="1:18">
      <c r="A341" s="43">
        <f>IF(B341="","",PaymentPrefix&amp;TEXT(ROW()-4,"0000"))</f>
        <v>0</v>
      </c>
      <c r="C341" s="23">
        <f>IF(B341="","",TEXT(B341,"yyyy-mm"))</f>
        <v>0</v>
      </c>
      <c r="E341" s="43">
        <f>IF(D341="","",IFERROR(INDEX(Invoices!$D$5:$D$404,MATCH(D341,Invoices!$A$5:$A$404,0)),""))</f>
        <v>0</v>
      </c>
      <c r="F341" s="23">
        <f>IF(D341="","",IFERROR(INDEX(Invoices!$E$5:$E$404,MATCH(D341,Invoices!$A$5:$A$404,0)),""))</f>
        <v>0</v>
      </c>
      <c r="N341" s="21">
        <f>IF(B341="","",IF(G341="",0,G341)-IF(H341="",0,H341))</f>
        <v>0</v>
      </c>
      <c r="O341" s="21">
        <f>IF(D341="","",IFERROR(INDEX(Invoices!$V$5:$V$404,MATCH(D341,Invoices!$A$5:$A$404,0)),""))</f>
        <v>0</v>
      </c>
      <c r="P341" s="21">
        <f>IF(D341="","",IFERROR(INDEX(Invoices!$W$5:$W$404,MATCH(D341,Invoices!$A$5:$A$404,0)),""))</f>
        <v>0</v>
      </c>
      <c r="Q341" s="21">
        <f>IF(OR(D341="",O341=""),"",ROUND(O341-P341,2))</f>
        <v>0</v>
      </c>
      <c r="R341" s="39">
        <f>IF(B341="","",IF(D341="","Add - which invoice?",IF(OR(G341="",G341=0),"Add - how much came in?",IF(Q341&lt;-0.004,"Check - overpaid",IF(L341="No","Due - not banked yet",IF(Q341&gt;0.004,"Part paid","OK"))))))</f>
        <v>0</v>
      </c>
    </row>
    <row r="342" spans="1:18">
      <c r="A342" s="43">
        <f>IF(B342="","",PaymentPrefix&amp;TEXT(ROW()-4,"0000"))</f>
        <v>0</v>
      </c>
      <c r="C342" s="23">
        <f>IF(B342="","",TEXT(B342,"yyyy-mm"))</f>
        <v>0</v>
      </c>
      <c r="E342" s="43">
        <f>IF(D342="","",IFERROR(INDEX(Invoices!$D$5:$D$404,MATCH(D342,Invoices!$A$5:$A$404,0)),""))</f>
        <v>0</v>
      </c>
      <c r="F342" s="23">
        <f>IF(D342="","",IFERROR(INDEX(Invoices!$E$5:$E$404,MATCH(D342,Invoices!$A$5:$A$404,0)),""))</f>
        <v>0</v>
      </c>
      <c r="N342" s="21">
        <f>IF(B342="","",IF(G342="",0,G342)-IF(H342="",0,H342))</f>
        <v>0</v>
      </c>
      <c r="O342" s="21">
        <f>IF(D342="","",IFERROR(INDEX(Invoices!$V$5:$V$404,MATCH(D342,Invoices!$A$5:$A$404,0)),""))</f>
        <v>0</v>
      </c>
      <c r="P342" s="21">
        <f>IF(D342="","",IFERROR(INDEX(Invoices!$W$5:$W$404,MATCH(D342,Invoices!$A$5:$A$404,0)),""))</f>
        <v>0</v>
      </c>
      <c r="Q342" s="21">
        <f>IF(OR(D342="",O342=""),"",ROUND(O342-P342,2))</f>
        <v>0</v>
      </c>
      <c r="R342" s="39">
        <f>IF(B342="","",IF(D342="","Add - which invoice?",IF(OR(G342="",G342=0),"Add - how much came in?",IF(Q342&lt;-0.004,"Check - overpaid",IF(L342="No","Due - not banked yet",IF(Q342&gt;0.004,"Part paid","OK"))))))</f>
        <v>0</v>
      </c>
    </row>
    <row r="343" spans="1:18">
      <c r="A343" s="43">
        <f>IF(B343="","",PaymentPrefix&amp;TEXT(ROW()-4,"0000"))</f>
        <v>0</v>
      </c>
      <c r="C343" s="23">
        <f>IF(B343="","",TEXT(B343,"yyyy-mm"))</f>
        <v>0</v>
      </c>
      <c r="E343" s="43">
        <f>IF(D343="","",IFERROR(INDEX(Invoices!$D$5:$D$404,MATCH(D343,Invoices!$A$5:$A$404,0)),""))</f>
        <v>0</v>
      </c>
      <c r="F343" s="23">
        <f>IF(D343="","",IFERROR(INDEX(Invoices!$E$5:$E$404,MATCH(D343,Invoices!$A$5:$A$404,0)),""))</f>
        <v>0</v>
      </c>
      <c r="N343" s="21">
        <f>IF(B343="","",IF(G343="",0,G343)-IF(H343="",0,H343))</f>
        <v>0</v>
      </c>
      <c r="O343" s="21">
        <f>IF(D343="","",IFERROR(INDEX(Invoices!$V$5:$V$404,MATCH(D343,Invoices!$A$5:$A$404,0)),""))</f>
        <v>0</v>
      </c>
      <c r="P343" s="21">
        <f>IF(D343="","",IFERROR(INDEX(Invoices!$W$5:$W$404,MATCH(D343,Invoices!$A$5:$A$404,0)),""))</f>
        <v>0</v>
      </c>
      <c r="Q343" s="21">
        <f>IF(OR(D343="",O343=""),"",ROUND(O343-P343,2))</f>
        <v>0</v>
      </c>
      <c r="R343" s="39">
        <f>IF(B343="","",IF(D343="","Add - which invoice?",IF(OR(G343="",G343=0),"Add - how much came in?",IF(Q343&lt;-0.004,"Check - overpaid",IF(L343="No","Due - not banked yet",IF(Q343&gt;0.004,"Part paid","OK"))))))</f>
        <v>0</v>
      </c>
    </row>
    <row r="344" spans="1:18">
      <c r="A344" s="43">
        <f>IF(B344="","",PaymentPrefix&amp;TEXT(ROW()-4,"0000"))</f>
        <v>0</v>
      </c>
      <c r="C344" s="23">
        <f>IF(B344="","",TEXT(B344,"yyyy-mm"))</f>
        <v>0</v>
      </c>
      <c r="E344" s="43">
        <f>IF(D344="","",IFERROR(INDEX(Invoices!$D$5:$D$404,MATCH(D344,Invoices!$A$5:$A$404,0)),""))</f>
        <v>0</v>
      </c>
      <c r="F344" s="23">
        <f>IF(D344="","",IFERROR(INDEX(Invoices!$E$5:$E$404,MATCH(D344,Invoices!$A$5:$A$404,0)),""))</f>
        <v>0</v>
      </c>
      <c r="N344" s="21">
        <f>IF(B344="","",IF(G344="",0,G344)-IF(H344="",0,H344))</f>
        <v>0</v>
      </c>
      <c r="O344" s="21">
        <f>IF(D344="","",IFERROR(INDEX(Invoices!$V$5:$V$404,MATCH(D344,Invoices!$A$5:$A$404,0)),""))</f>
        <v>0</v>
      </c>
      <c r="P344" s="21">
        <f>IF(D344="","",IFERROR(INDEX(Invoices!$W$5:$W$404,MATCH(D344,Invoices!$A$5:$A$404,0)),""))</f>
        <v>0</v>
      </c>
      <c r="Q344" s="21">
        <f>IF(OR(D344="",O344=""),"",ROUND(O344-P344,2))</f>
        <v>0</v>
      </c>
      <c r="R344" s="39">
        <f>IF(B344="","",IF(D344="","Add - which invoice?",IF(OR(G344="",G344=0),"Add - how much came in?",IF(Q344&lt;-0.004,"Check - overpaid",IF(L344="No","Due - not banked yet",IF(Q344&gt;0.004,"Part paid","OK"))))))</f>
        <v>0</v>
      </c>
    </row>
    <row r="345" spans="1:18">
      <c r="A345" s="43">
        <f>IF(B345="","",PaymentPrefix&amp;TEXT(ROW()-4,"0000"))</f>
        <v>0</v>
      </c>
      <c r="C345" s="23">
        <f>IF(B345="","",TEXT(B345,"yyyy-mm"))</f>
        <v>0</v>
      </c>
      <c r="E345" s="43">
        <f>IF(D345="","",IFERROR(INDEX(Invoices!$D$5:$D$404,MATCH(D345,Invoices!$A$5:$A$404,0)),""))</f>
        <v>0</v>
      </c>
      <c r="F345" s="23">
        <f>IF(D345="","",IFERROR(INDEX(Invoices!$E$5:$E$404,MATCH(D345,Invoices!$A$5:$A$404,0)),""))</f>
        <v>0</v>
      </c>
      <c r="N345" s="21">
        <f>IF(B345="","",IF(G345="",0,G345)-IF(H345="",0,H345))</f>
        <v>0</v>
      </c>
      <c r="O345" s="21">
        <f>IF(D345="","",IFERROR(INDEX(Invoices!$V$5:$V$404,MATCH(D345,Invoices!$A$5:$A$404,0)),""))</f>
        <v>0</v>
      </c>
      <c r="P345" s="21">
        <f>IF(D345="","",IFERROR(INDEX(Invoices!$W$5:$W$404,MATCH(D345,Invoices!$A$5:$A$404,0)),""))</f>
        <v>0</v>
      </c>
      <c r="Q345" s="21">
        <f>IF(OR(D345="",O345=""),"",ROUND(O345-P345,2))</f>
        <v>0</v>
      </c>
      <c r="R345" s="39">
        <f>IF(B345="","",IF(D345="","Add - which invoice?",IF(OR(G345="",G345=0),"Add - how much came in?",IF(Q345&lt;-0.004,"Check - overpaid",IF(L345="No","Due - not banked yet",IF(Q345&gt;0.004,"Part paid","OK"))))))</f>
        <v>0</v>
      </c>
    </row>
    <row r="346" spans="1:18">
      <c r="A346" s="43">
        <f>IF(B346="","",PaymentPrefix&amp;TEXT(ROW()-4,"0000"))</f>
        <v>0</v>
      </c>
      <c r="C346" s="23">
        <f>IF(B346="","",TEXT(B346,"yyyy-mm"))</f>
        <v>0</v>
      </c>
      <c r="E346" s="43">
        <f>IF(D346="","",IFERROR(INDEX(Invoices!$D$5:$D$404,MATCH(D346,Invoices!$A$5:$A$404,0)),""))</f>
        <v>0</v>
      </c>
      <c r="F346" s="23">
        <f>IF(D346="","",IFERROR(INDEX(Invoices!$E$5:$E$404,MATCH(D346,Invoices!$A$5:$A$404,0)),""))</f>
        <v>0</v>
      </c>
      <c r="N346" s="21">
        <f>IF(B346="","",IF(G346="",0,G346)-IF(H346="",0,H346))</f>
        <v>0</v>
      </c>
      <c r="O346" s="21">
        <f>IF(D346="","",IFERROR(INDEX(Invoices!$V$5:$V$404,MATCH(D346,Invoices!$A$5:$A$404,0)),""))</f>
        <v>0</v>
      </c>
      <c r="P346" s="21">
        <f>IF(D346="","",IFERROR(INDEX(Invoices!$W$5:$W$404,MATCH(D346,Invoices!$A$5:$A$404,0)),""))</f>
        <v>0</v>
      </c>
      <c r="Q346" s="21">
        <f>IF(OR(D346="",O346=""),"",ROUND(O346-P346,2))</f>
        <v>0</v>
      </c>
      <c r="R346" s="39">
        <f>IF(B346="","",IF(D346="","Add - which invoice?",IF(OR(G346="",G346=0),"Add - how much came in?",IF(Q346&lt;-0.004,"Check - overpaid",IF(L346="No","Due - not banked yet",IF(Q346&gt;0.004,"Part paid","OK"))))))</f>
        <v>0</v>
      </c>
    </row>
    <row r="347" spans="1:18">
      <c r="A347" s="43">
        <f>IF(B347="","",PaymentPrefix&amp;TEXT(ROW()-4,"0000"))</f>
        <v>0</v>
      </c>
      <c r="C347" s="23">
        <f>IF(B347="","",TEXT(B347,"yyyy-mm"))</f>
        <v>0</v>
      </c>
      <c r="E347" s="43">
        <f>IF(D347="","",IFERROR(INDEX(Invoices!$D$5:$D$404,MATCH(D347,Invoices!$A$5:$A$404,0)),""))</f>
        <v>0</v>
      </c>
      <c r="F347" s="23">
        <f>IF(D347="","",IFERROR(INDEX(Invoices!$E$5:$E$404,MATCH(D347,Invoices!$A$5:$A$404,0)),""))</f>
        <v>0</v>
      </c>
      <c r="N347" s="21">
        <f>IF(B347="","",IF(G347="",0,G347)-IF(H347="",0,H347))</f>
        <v>0</v>
      </c>
      <c r="O347" s="21">
        <f>IF(D347="","",IFERROR(INDEX(Invoices!$V$5:$V$404,MATCH(D347,Invoices!$A$5:$A$404,0)),""))</f>
        <v>0</v>
      </c>
      <c r="P347" s="21">
        <f>IF(D347="","",IFERROR(INDEX(Invoices!$W$5:$W$404,MATCH(D347,Invoices!$A$5:$A$404,0)),""))</f>
        <v>0</v>
      </c>
      <c r="Q347" s="21">
        <f>IF(OR(D347="",O347=""),"",ROUND(O347-P347,2))</f>
        <v>0</v>
      </c>
      <c r="R347" s="39">
        <f>IF(B347="","",IF(D347="","Add - which invoice?",IF(OR(G347="",G347=0),"Add - how much came in?",IF(Q347&lt;-0.004,"Check - overpaid",IF(L347="No","Due - not banked yet",IF(Q347&gt;0.004,"Part paid","OK"))))))</f>
        <v>0</v>
      </c>
    </row>
    <row r="348" spans="1:18">
      <c r="A348" s="43">
        <f>IF(B348="","",PaymentPrefix&amp;TEXT(ROW()-4,"0000"))</f>
        <v>0</v>
      </c>
      <c r="C348" s="23">
        <f>IF(B348="","",TEXT(B348,"yyyy-mm"))</f>
        <v>0</v>
      </c>
      <c r="E348" s="43">
        <f>IF(D348="","",IFERROR(INDEX(Invoices!$D$5:$D$404,MATCH(D348,Invoices!$A$5:$A$404,0)),""))</f>
        <v>0</v>
      </c>
      <c r="F348" s="23">
        <f>IF(D348="","",IFERROR(INDEX(Invoices!$E$5:$E$404,MATCH(D348,Invoices!$A$5:$A$404,0)),""))</f>
        <v>0</v>
      </c>
      <c r="N348" s="21">
        <f>IF(B348="","",IF(G348="",0,G348)-IF(H348="",0,H348))</f>
        <v>0</v>
      </c>
      <c r="O348" s="21">
        <f>IF(D348="","",IFERROR(INDEX(Invoices!$V$5:$V$404,MATCH(D348,Invoices!$A$5:$A$404,0)),""))</f>
        <v>0</v>
      </c>
      <c r="P348" s="21">
        <f>IF(D348="","",IFERROR(INDEX(Invoices!$W$5:$W$404,MATCH(D348,Invoices!$A$5:$A$404,0)),""))</f>
        <v>0</v>
      </c>
      <c r="Q348" s="21">
        <f>IF(OR(D348="",O348=""),"",ROUND(O348-P348,2))</f>
        <v>0</v>
      </c>
      <c r="R348" s="39">
        <f>IF(B348="","",IF(D348="","Add - which invoice?",IF(OR(G348="",G348=0),"Add - how much came in?",IF(Q348&lt;-0.004,"Check - overpaid",IF(L348="No","Due - not banked yet",IF(Q348&gt;0.004,"Part paid","OK"))))))</f>
        <v>0</v>
      </c>
    </row>
    <row r="349" spans="1:18">
      <c r="A349" s="43">
        <f>IF(B349="","",PaymentPrefix&amp;TEXT(ROW()-4,"0000"))</f>
        <v>0</v>
      </c>
      <c r="C349" s="23">
        <f>IF(B349="","",TEXT(B349,"yyyy-mm"))</f>
        <v>0</v>
      </c>
      <c r="E349" s="43">
        <f>IF(D349="","",IFERROR(INDEX(Invoices!$D$5:$D$404,MATCH(D349,Invoices!$A$5:$A$404,0)),""))</f>
        <v>0</v>
      </c>
      <c r="F349" s="23">
        <f>IF(D349="","",IFERROR(INDEX(Invoices!$E$5:$E$404,MATCH(D349,Invoices!$A$5:$A$404,0)),""))</f>
        <v>0</v>
      </c>
      <c r="N349" s="21">
        <f>IF(B349="","",IF(G349="",0,G349)-IF(H349="",0,H349))</f>
        <v>0</v>
      </c>
      <c r="O349" s="21">
        <f>IF(D349="","",IFERROR(INDEX(Invoices!$V$5:$V$404,MATCH(D349,Invoices!$A$5:$A$404,0)),""))</f>
        <v>0</v>
      </c>
      <c r="P349" s="21">
        <f>IF(D349="","",IFERROR(INDEX(Invoices!$W$5:$W$404,MATCH(D349,Invoices!$A$5:$A$404,0)),""))</f>
        <v>0</v>
      </c>
      <c r="Q349" s="21">
        <f>IF(OR(D349="",O349=""),"",ROUND(O349-P349,2))</f>
        <v>0</v>
      </c>
      <c r="R349" s="39">
        <f>IF(B349="","",IF(D349="","Add - which invoice?",IF(OR(G349="",G349=0),"Add - how much came in?",IF(Q349&lt;-0.004,"Check - overpaid",IF(L349="No","Due - not banked yet",IF(Q349&gt;0.004,"Part paid","OK"))))))</f>
        <v>0</v>
      </c>
    </row>
    <row r="350" spans="1:18">
      <c r="A350" s="43">
        <f>IF(B350="","",PaymentPrefix&amp;TEXT(ROW()-4,"0000"))</f>
        <v>0</v>
      </c>
      <c r="C350" s="23">
        <f>IF(B350="","",TEXT(B350,"yyyy-mm"))</f>
        <v>0</v>
      </c>
      <c r="E350" s="43">
        <f>IF(D350="","",IFERROR(INDEX(Invoices!$D$5:$D$404,MATCH(D350,Invoices!$A$5:$A$404,0)),""))</f>
        <v>0</v>
      </c>
      <c r="F350" s="23">
        <f>IF(D350="","",IFERROR(INDEX(Invoices!$E$5:$E$404,MATCH(D350,Invoices!$A$5:$A$404,0)),""))</f>
        <v>0</v>
      </c>
      <c r="N350" s="21">
        <f>IF(B350="","",IF(G350="",0,G350)-IF(H350="",0,H350))</f>
        <v>0</v>
      </c>
      <c r="O350" s="21">
        <f>IF(D350="","",IFERROR(INDEX(Invoices!$V$5:$V$404,MATCH(D350,Invoices!$A$5:$A$404,0)),""))</f>
        <v>0</v>
      </c>
      <c r="P350" s="21">
        <f>IF(D350="","",IFERROR(INDEX(Invoices!$W$5:$W$404,MATCH(D350,Invoices!$A$5:$A$404,0)),""))</f>
        <v>0</v>
      </c>
      <c r="Q350" s="21">
        <f>IF(OR(D350="",O350=""),"",ROUND(O350-P350,2))</f>
        <v>0</v>
      </c>
      <c r="R350" s="39">
        <f>IF(B350="","",IF(D350="","Add - which invoice?",IF(OR(G350="",G350=0),"Add - how much came in?",IF(Q350&lt;-0.004,"Check - overpaid",IF(L350="No","Due - not banked yet",IF(Q350&gt;0.004,"Part paid","OK"))))))</f>
        <v>0</v>
      </c>
    </row>
    <row r="351" spans="1:18">
      <c r="A351" s="43">
        <f>IF(B351="","",PaymentPrefix&amp;TEXT(ROW()-4,"0000"))</f>
        <v>0</v>
      </c>
      <c r="C351" s="23">
        <f>IF(B351="","",TEXT(B351,"yyyy-mm"))</f>
        <v>0</v>
      </c>
      <c r="E351" s="43">
        <f>IF(D351="","",IFERROR(INDEX(Invoices!$D$5:$D$404,MATCH(D351,Invoices!$A$5:$A$404,0)),""))</f>
        <v>0</v>
      </c>
      <c r="F351" s="23">
        <f>IF(D351="","",IFERROR(INDEX(Invoices!$E$5:$E$404,MATCH(D351,Invoices!$A$5:$A$404,0)),""))</f>
        <v>0</v>
      </c>
      <c r="N351" s="21">
        <f>IF(B351="","",IF(G351="",0,G351)-IF(H351="",0,H351))</f>
        <v>0</v>
      </c>
      <c r="O351" s="21">
        <f>IF(D351="","",IFERROR(INDEX(Invoices!$V$5:$V$404,MATCH(D351,Invoices!$A$5:$A$404,0)),""))</f>
        <v>0</v>
      </c>
      <c r="P351" s="21">
        <f>IF(D351="","",IFERROR(INDEX(Invoices!$W$5:$W$404,MATCH(D351,Invoices!$A$5:$A$404,0)),""))</f>
        <v>0</v>
      </c>
      <c r="Q351" s="21">
        <f>IF(OR(D351="",O351=""),"",ROUND(O351-P351,2))</f>
        <v>0</v>
      </c>
      <c r="R351" s="39">
        <f>IF(B351="","",IF(D351="","Add - which invoice?",IF(OR(G351="",G351=0),"Add - how much came in?",IF(Q351&lt;-0.004,"Check - overpaid",IF(L351="No","Due - not banked yet",IF(Q351&gt;0.004,"Part paid","OK"))))))</f>
        <v>0</v>
      </c>
    </row>
    <row r="352" spans="1:18">
      <c r="A352" s="43">
        <f>IF(B352="","",PaymentPrefix&amp;TEXT(ROW()-4,"0000"))</f>
        <v>0</v>
      </c>
      <c r="C352" s="23">
        <f>IF(B352="","",TEXT(B352,"yyyy-mm"))</f>
        <v>0</v>
      </c>
      <c r="E352" s="43">
        <f>IF(D352="","",IFERROR(INDEX(Invoices!$D$5:$D$404,MATCH(D352,Invoices!$A$5:$A$404,0)),""))</f>
        <v>0</v>
      </c>
      <c r="F352" s="23">
        <f>IF(D352="","",IFERROR(INDEX(Invoices!$E$5:$E$404,MATCH(D352,Invoices!$A$5:$A$404,0)),""))</f>
        <v>0</v>
      </c>
      <c r="N352" s="21">
        <f>IF(B352="","",IF(G352="",0,G352)-IF(H352="",0,H352))</f>
        <v>0</v>
      </c>
      <c r="O352" s="21">
        <f>IF(D352="","",IFERROR(INDEX(Invoices!$V$5:$V$404,MATCH(D352,Invoices!$A$5:$A$404,0)),""))</f>
        <v>0</v>
      </c>
      <c r="P352" s="21">
        <f>IF(D352="","",IFERROR(INDEX(Invoices!$W$5:$W$404,MATCH(D352,Invoices!$A$5:$A$404,0)),""))</f>
        <v>0</v>
      </c>
      <c r="Q352" s="21">
        <f>IF(OR(D352="",O352=""),"",ROUND(O352-P352,2))</f>
        <v>0</v>
      </c>
      <c r="R352" s="39">
        <f>IF(B352="","",IF(D352="","Add - which invoice?",IF(OR(G352="",G352=0),"Add - how much came in?",IF(Q352&lt;-0.004,"Check - overpaid",IF(L352="No","Due - not banked yet",IF(Q352&gt;0.004,"Part paid","OK"))))))</f>
        <v>0</v>
      </c>
    </row>
    <row r="353" spans="1:18">
      <c r="A353" s="43">
        <f>IF(B353="","",PaymentPrefix&amp;TEXT(ROW()-4,"0000"))</f>
        <v>0</v>
      </c>
      <c r="C353" s="23">
        <f>IF(B353="","",TEXT(B353,"yyyy-mm"))</f>
        <v>0</v>
      </c>
      <c r="E353" s="43">
        <f>IF(D353="","",IFERROR(INDEX(Invoices!$D$5:$D$404,MATCH(D353,Invoices!$A$5:$A$404,0)),""))</f>
        <v>0</v>
      </c>
      <c r="F353" s="23">
        <f>IF(D353="","",IFERROR(INDEX(Invoices!$E$5:$E$404,MATCH(D353,Invoices!$A$5:$A$404,0)),""))</f>
        <v>0</v>
      </c>
      <c r="N353" s="21">
        <f>IF(B353="","",IF(G353="",0,G353)-IF(H353="",0,H353))</f>
        <v>0</v>
      </c>
      <c r="O353" s="21">
        <f>IF(D353="","",IFERROR(INDEX(Invoices!$V$5:$V$404,MATCH(D353,Invoices!$A$5:$A$404,0)),""))</f>
        <v>0</v>
      </c>
      <c r="P353" s="21">
        <f>IF(D353="","",IFERROR(INDEX(Invoices!$W$5:$W$404,MATCH(D353,Invoices!$A$5:$A$404,0)),""))</f>
        <v>0</v>
      </c>
      <c r="Q353" s="21">
        <f>IF(OR(D353="",O353=""),"",ROUND(O353-P353,2))</f>
        <v>0</v>
      </c>
      <c r="R353" s="39">
        <f>IF(B353="","",IF(D353="","Add - which invoice?",IF(OR(G353="",G353=0),"Add - how much came in?",IF(Q353&lt;-0.004,"Check - overpaid",IF(L353="No","Due - not banked yet",IF(Q353&gt;0.004,"Part paid","OK"))))))</f>
        <v>0</v>
      </c>
    </row>
    <row r="354" spans="1:18">
      <c r="A354" s="43">
        <f>IF(B354="","",PaymentPrefix&amp;TEXT(ROW()-4,"0000"))</f>
        <v>0</v>
      </c>
      <c r="C354" s="23">
        <f>IF(B354="","",TEXT(B354,"yyyy-mm"))</f>
        <v>0</v>
      </c>
      <c r="E354" s="43">
        <f>IF(D354="","",IFERROR(INDEX(Invoices!$D$5:$D$404,MATCH(D354,Invoices!$A$5:$A$404,0)),""))</f>
        <v>0</v>
      </c>
      <c r="F354" s="23">
        <f>IF(D354="","",IFERROR(INDEX(Invoices!$E$5:$E$404,MATCH(D354,Invoices!$A$5:$A$404,0)),""))</f>
        <v>0</v>
      </c>
      <c r="N354" s="21">
        <f>IF(B354="","",IF(G354="",0,G354)-IF(H354="",0,H354))</f>
        <v>0</v>
      </c>
      <c r="O354" s="21">
        <f>IF(D354="","",IFERROR(INDEX(Invoices!$V$5:$V$404,MATCH(D354,Invoices!$A$5:$A$404,0)),""))</f>
        <v>0</v>
      </c>
      <c r="P354" s="21">
        <f>IF(D354="","",IFERROR(INDEX(Invoices!$W$5:$W$404,MATCH(D354,Invoices!$A$5:$A$404,0)),""))</f>
        <v>0</v>
      </c>
      <c r="Q354" s="21">
        <f>IF(OR(D354="",O354=""),"",ROUND(O354-P354,2))</f>
        <v>0</v>
      </c>
      <c r="R354" s="39">
        <f>IF(B354="","",IF(D354="","Add - which invoice?",IF(OR(G354="",G354=0),"Add - how much came in?",IF(Q354&lt;-0.004,"Check - overpaid",IF(L354="No","Due - not banked yet",IF(Q354&gt;0.004,"Part paid","OK"))))))</f>
        <v>0</v>
      </c>
    </row>
    <row r="355" spans="1:18">
      <c r="A355" s="43">
        <f>IF(B355="","",PaymentPrefix&amp;TEXT(ROW()-4,"0000"))</f>
        <v>0</v>
      </c>
      <c r="C355" s="23">
        <f>IF(B355="","",TEXT(B355,"yyyy-mm"))</f>
        <v>0</v>
      </c>
      <c r="E355" s="43">
        <f>IF(D355="","",IFERROR(INDEX(Invoices!$D$5:$D$404,MATCH(D355,Invoices!$A$5:$A$404,0)),""))</f>
        <v>0</v>
      </c>
      <c r="F355" s="23">
        <f>IF(D355="","",IFERROR(INDEX(Invoices!$E$5:$E$404,MATCH(D355,Invoices!$A$5:$A$404,0)),""))</f>
        <v>0</v>
      </c>
      <c r="N355" s="21">
        <f>IF(B355="","",IF(G355="",0,G355)-IF(H355="",0,H355))</f>
        <v>0</v>
      </c>
      <c r="O355" s="21">
        <f>IF(D355="","",IFERROR(INDEX(Invoices!$V$5:$V$404,MATCH(D355,Invoices!$A$5:$A$404,0)),""))</f>
        <v>0</v>
      </c>
      <c r="P355" s="21">
        <f>IF(D355="","",IFERROR(INDEX(Invoices!$W$5:$W$404,MATCH(D355,Invoices!$A$5:$A$404,0)),""))</f>
        <v>0</v>
      </c>
      <c r="Q355" s="21">
        <f>IF(OR(D355="",O355=""),"",ROUND(O355-P355,2))</f>
        <v>0</v>
      </c>
      <c r="R355" s="39">
        <f>IF(B355="","",IF(D355="","Add - which invoice?",IF(OR(G355="",G355=0),"Add - how much came in?",IF(Q355&lt;-0.004,"Check - overpaid",IF(L355="No","Due - not banked yet",IF(Q355&gt;0.004,"Part paid","OK"))))))</f>
        <v>0</v>
      </c>
    </row>
    <row r="356" spans="1:18">
      <c r="A356" s="43">
        <f>IF(B356="","",PaymentPrefix&amp;TEXT(ROW()-4,"0000"))</f>
        <v>0</v>
      </c>
      <c r="C356" s="23">
        <f>IF(B356="","",TEXT(B356,"yyyy-mm"))</f>
        <v>0</v>
      </c>
      <c r="E356" s="43">
        <f>IF(D356="","",IFERROR(INDEX(Invoices!$D$5:$D$404,MATCH(D356,Invoices!$A$5:$A$404,0)),""))</f>
        <v>0</v>
      </c>
      <c r="F356" s="23">
        <f>IF(D356="","",IFERROR(INDEX(Invoices!$E$5:$E$404,MATCH(D356,Invoices!$A$5:$A$404,0)),""))</f>
        <v>0</v>
      </c>
      <c r="N356" s="21">
        <f>IF(B356="","",IF(G356="",0,G356)-IF(H356="",0,H356))</f>
        <v>0</v>
      </c>
      <c r="O356" s="21">
        <f>IF(D356="","",IFERROR(INDEX(Invoices!$V$5:$V$404,MATCH(D356,Invoices!$A$5:$A$404,0)),""))</f>
        <v>0</v>
      </c>
      <c r="P356" s="21">
        <f>IF(D356="","",IFERROR(INDEX(Invoices!$W$5:$W$404,MATCH(D356,Invoices!$A$5:$A$404,0)),""))</f>
        <v>0</v>
      </c>
      <c r="Q356" s="21">
        <f>IF(OR(D356="",O356=""),"",ROUND(O356-P356,2))</f>
        <v>0</v>
      </c>
      <c r="R356" s="39">
        <f>IF(B356="","",IF(D356="","Add - which invoice?",IF(OR(G356="",G356=0),"Add - how much came in?",IF(Q356&lt;-0.004,"Check - overpaid",IF(L356="No","Due - not banked yet",IF(Q356&gt;0.004,"Part paid","OK"))))))</f>
        <v>0</v>
      </c>
    </row>
    <row r="357" spans="1:18">
      <c r="A357" s="43">
        <f>IF(B357="","",PaymentPrefix&amp;TEXT(ROW()-4,"0000"))</f>
        <v>0</v>
      </c>
      <c r="C357" s="23">
        <f>IF(B357="","",TEXT(B357,"yyyy-mm"))</f>
        <v>0</v>
      </c>
      <c r="E357" s="43">
        <f>IF(D357="","",IFERROR(INDEX(Invoices!$D$5:$D$404,MATCH(D357,Invoices!$A$5:$A$404,0)),""))</f>
        <v>0</v>
      </c>
      <c r="F357" s="23">
        <f>IF(D357="","",IFERROR(INDEX(Invoices!$E$5:$E$404,MATCH(D357,Invoices!$A$5:$A$404,0)),""))</f>
        <v>0</v>
      </c>
      <c r="N357" s="21">
        <f>IF(B357="","",IF(G357="",0,G357)-IF(H357="",0,H357))</f>
        <v>0</v>
      </c>
      <c r="O357" s="21">
        <f>IF(D357="","",IFERROR(INDEX(Invoices!$V$5:$V$404,MATCH(D357,Invoices!$A$5:$A$404,0)),""))</f>
        <v>0</v>
      </c>
      <c r="P357" s="21">
        <f>IF(D357="","",IFERROR(INDEX(Invoices!$W$5:$W$404,MATCH(D357,Invoices!$A$5:$A$404,0)),""))</f>
        <v>0</v>
      </c>
      <c r="Q357" s="21">
        <f>IF(OR(D357="",O357=""),"",ROUND(O357-P357,2))</f>
        <v>0</v>
      </c>
      <c r="R357" s="39">
        <f>IF(B357="","",IF(D357="","Add - which invoice?",IF(OR(G357="",G357=0),"Add - how much came in?",IF(Q357&lt;-0.004,"Check - overpaid",IF(L357="No","Due - not banked yet",IF(Q357&gt;0.004,"Part paid","OK"))))))</f>
        <v>0</v>
      </c>
    </row>
    <row r="358" spans="1:18">
      <c r="A358" s="43">
        <f>IF(B358="","",PaymentPrefix&amp;TEXT(ROW()-4,"0000"))</f>
        <v>0</v>
      </c>
      <c r="C358" s="23">
        <f>IF(B358="","",TEXT(B358,"yyyy-mm"))</f>
        <v>0</v>
      </c>
      <c r="E358" s="43">
        <f>IF(D358="","",IFERROR(INDEX(Invoices!$D$5:$D$404,MATCH(D358,Invoices!$A$5:$A$404,0)),""))</f>
        <v>0</v>
      </c>
      <c r="F358" s="23">
        <f>IF(D358="","",IFERROR(INDEX(Invoices!$E$5:$E$404,MATCH(D358,Invoices!$A$5:$A$404,0)),""))</f>
        <v>0</v>
      </c>
      <c r="N358" s="21">
        <f>IF(B358="","",IF(G358="",0,G358)-IF(H358="",0,H358))</f>
        <v>0</v>
      </c>
      <c r="O358" s="21">
        <f>IF(D358="","",IFERROR(INDEX(Invoices!$V$5:$V$404,MATCH(D358,Invoices!$A$5:$A$404,0)),""))</f>
        <v>0</v>
      </c>
      <c r="P358" s="21">
        <f>IF(D358="","",IFERROR(INDEX(Invoices!$W$5:$W$404,MATCH(D358,Invoices!$A$5:$A$404,0)),""))</f>
        <v>0</v>
      </c>
      <c r="Q358" s="21">
        <f>IF(OR(D358="",O358=""),"",ROUND(O358-P358,2))</f>
        <v>0</v>
      </c>
      <c r="R358" s="39">
        <f>IF(B358="","",IF(D358="","Add - which invoice?",IF(OR(G358="",G358=0),"Add - how much came in?",IF(Q358&lt;-0.004,"Check - overpaid",IF(L358="No","Due - not banked yet",IF(Q358&gt;0.004,"Part paid","OK"))))))</f>
        <v>0</v>
      </c>
    </row>
    <row r="359" spans="1:18">
      <c r="A359" s="43">
        <f>IF(B359="","",PaymentPrefix&amp;TEXT(ROW()-4,"0000"))</f>
        <v>0</v>
      </c>
      <c r="C359" s="23">
        <f>IF(B359="","",TEXT(B359,"yyyy-mm"))</f>
        <v>0</v>
      </c>
      <c r="E359" s="43">
        <f>IF(D359="","",IFERROR(INDEX(Invoices!$D$5:$D$404,MATCH(D359,Invoices!$A$5:$A$404,0)),""))</f>
        <v>0</v>
      </c>
      <c r="F359" s="23">
        <f>IF(D359="","",IFERROR(INDEX(Invoices!$E$5:$E$404,MATCH(D359,Invoices!$A$5:$A$404,0)),""))</f>
        <v>0</v>
      </c>
      <c r="N359" s="21">
        <f>IF(B359="","",IF(G359="",0,G359)-IF(H359="",0,H359))</f>
        <v>0</v>
      </c>
      <c r="O359" s="21">
        <f>IF(D359="","",IFERROR(INDEX(Invoices!$V$5:$V$404,MATCH(D359,Invoices!$A$5:$A$404,0)),""))</f>
        <v>0</v>
      </c>
      <c r="P359" s="21">
        <f>IF(D359="","",IFERROR(INDEX(Invoices!$W$5:$W$404,MATCH(D359,Invoices!$A$5:$A$404,0)),""))</f>
        <v>0</v>
      </c>
      <c r="Q359" s="21">
        <f>IF(OR(D359="",O359=""),"",ROUND(O359-P359,2))</f>
        <v>0</v>
      </c>
      <c r="R359" s="39">
        <f>IF(B359="","",IF(D359="","Add - which invoice?",IF(OR(G359="",G359=0),"Add - how much came in?",IF(Q359&lt;-0.004,"Check - overpaid",IF(L359="No","Due - not banked yet",IF(Q359&gt;0.004,"Part paid","OK"))))))</f>
        <v>0</v>
      </c>
    </row>
    <row r="360" spans="1:18">
      <c r="A360" s="43">
        <f>IF(B360="","",PaymentPrefix&amp;TEXT(ROW()-4,"0000"))</f>
        <v>0</v>
      </c>
      <c r="C360" s="23">
        <f>IF(B360="","",TEXT(B360,"yyyy-mm"))</f>
        <v>0</v>
      </c>
      <c r="E360" s="43">
        <f>IF(D360="","",IFERROR(INDEX(Invoices!$D$5:$D$404,MATCH(D360,Invoices!$A$5:$A$404,0)),""))</f>
        <v>0</v>
      </c>
      <c r="F360" s="23">
        <f>IF(D360="","",IFERROR(INDEX(Invoices!$E$5:$E$404,MATCH(D360,Invoices!$A$5:$A$404,0)),""))</f>
        <v>0</v>
      </c>
      <c r="N360" s="21">
        <f>IF(B360="","",IF(G360="",0,G360)-IF(H360="",0,H360))</f>
        <v>0</v>
      </c>
      <c r="O360" s="21">
        <f>IF(D360="","",IFERROR(INDEX(Invoices!$V$5:$V$404,MATCH(D360,Invoices!$A$5:$A$404,0)),""))</f>
        <v>0</v>
      </c>
      <c r="P360" s="21">
        <f>IF(D360="","",IFERROR(INDEX(Invoices!$W$5:$W$404,MATCH(D360,Invoices!$A$5:$A$404,0)),""))</f>
        <v>0</v>
      </c>
      <c r="Q360" s="21">
        <f>IF(OR(D360="",O360=""),"",ROUND(O360-P360,2))</f>
        <v>0</v>
      </c>
      <c r="R360" s="39">
        <f>IF(B360="","",IF(D360="","Add - which invoice?",IF(OR(G360="",G360=0),"Add - how much came in?",IF(Q360&lt;-0.004,"Check - overpaid",IF(L360="No","Due - not banked yet",IF(Q360&gt;0.004,"Part paid","OK"))))))</f>
        <v>0</v>
      </c>
    </row>
    <row r="361" spans="1:18">
      <c r="A361" s="43">
        <f>IF(B361="","",PaymentPrefix&amp;TEXT(ROW()-4,"0000"))</f>
        <v>0</v>
      </c>
      <c r="C361" s="23">
        <f>IF(B361="","",TEXT(B361,"yyyy-mm"))</f>
        <v>0</v>
      </c>
      <c r="E361" s="43">
        <f>IF(D361="","",IFERROR(INDEX(Invoices!$D$5:$D$404,MATCH(D361,Invoices!$A$5:$A$404,0)),""))</f>
        <v>0</v>
      </c>
      <c r="F361" s="23">
        <f>IF(D361="","",IFERROR(INDEX(Invoices!$E$5:$E$404,MATCH(D361,Invoices!$A$5:$A$404,0)),""))</f>
        <v>0</v>
      </c>
      <c r="N361" s="21">
        <f>IF(B361="","",IF(G361="",0,G361)-IF(H361="",0,H361))</f>
        <v>0</v>
      </c>
      <c r="O361" s="21">
        <f>IF(D361="","",IFERROR(INDEX(Invoices!$V$5:$V$404,MATCH(D361,Invoices!$A$5:$A$404,0)),""))</f>
        <v>0</v>
      </c>
      <c r="P361" s="21">
        <f>IF(D361="","",IFERROR(INDEX(Invoices!$W$5:$W$404,MATCH(D361,Invoices!$A$5:$A$404,0)),""))</f>
        <v>0</v>
      </c>
      <c r="Q361" s="21">
        <f>IF(OR(D361="",O361=""),"",ROUND(O361-P361,2))</f>
        <v>0</v>
      </c>
      <c r="R361" s="39">
        <f>IF(B361="","",IF(D361="","Add - which invoice?",IF(OR(G361="",G361=0),"Add - how much came in?",IF(Q361&lt;-0.004,"Check - overpaid",IF(L361="No","Due - not banked yet",IF(Q361&gt;0.004,"Part paid","OK"))))))</f>
        <v>0</v>
      </c>
    </row>
    <row r="362" spans="1:18">
      <c r="A362" s="43">
        <f>IF(B362="","",PaymentPrefix&amp;TEXT(ROW()-4,"0000"))</f>
        <v>0</v>
      </c>
      <c r="C362" s="23">
        <f>IF(B362="","",TEXT(B362,"yyyy-mm"))</f>
        <v>0</v>
      </c>
      <c r="E362" s="43">
        <f>IF(D362="","",IFERROR(INDEX(Invoices!$D$5:$D$404,MATCH(D362,Invoices!$A$5:$A$404,0)),""))</f>
        <v>0</v>
      </c>
      <c r="F362" s="23">
        <f>IF(D362="","",IFERROR(INDEX(Invoices!$E$5:$E$404,MATCH(D362,Invoices!$A$5:$A$404,0)),""))</f>
        <v>0</v>
      </c>
      <c r="N362" s="21">
        <f>IF(B362="","",IF(G362="",0,G362)-IF(H362="",0,H362))</f>
        <v>0</v>
      </c>
      <c r="O362" s="21">
        <f>IF(D362="","",IFERROR(INDEX(Invoices!$V$5:$V$404,MATCH(D362,Invoices!$A$5:$A$404,0)),""))</f>
        <v>0</v>
      </c>
      <c r="P362" s="21">
        <f>IF(D362="","",IFERROR(INDEX(Invoices!$W$5:$W$404,MATCH(D362,Invoices!$A$5:$A$404,0)),""))</f>
        <v>0</v>
      </c>
      <c r="Q362" s="21">
        <f>IF(OR(D362="",O362=""),"",ROUND(O362-P362,2))</f>
        <v>0</v>
      </c>
      <c r="R362" s="39">
        <f>IF(B362="","",IF(D362="","Add - which invoice?",IF(OR(G362="",G362=0),"Add - how much came in?",IF(Q362&lt;-0.004,"Check - overpaid",IF(L362="No","Due - not banked yet",IF(Q362&gt;0.004,"Part paid","OK"))))))</f>
        <v>0</v>
      </c>
    </row>
    <row r="363" spans="1:18">
      <c r="A363" s="43">
        <f>IF(B363="","",PaymentPrefix&amp;TEXT(ROW()-4,"0000"))</f>
        <v>0</v>
      </c>
      <c r="C363" s="23">
        <f>IF(B363="","",TEXT(B363,"yyyy-mm"))</f>
        <v>0</v>
      </c>
      <c r="E363" s="43">
        <f>IF(D363="","",IFERROR(INDEX(Invoices!$D$5:$D$404,MATCH(D363,Invoices!$A$5:$A$404,0)),""))</f>
        <v>0</v>
      </c>
      <c r="F363" s="23">
        <f>IF(D363="","",IFERROR(INDEX(Invoices!$E$5:$E$404,MATCH(D363,Invoices!$A$5:$A$404,0)),""))</f>
        <v>0</v>
      </c>
      <c r="N363" s="21">
        <f>IF(B363="","",IF(G363="",0,G363)-IF(H363="",0,H363))</f>
        <v>0</v>
      </c>
      <c r="O363" s="21">
        <f>IF(D363="","",IFERROR(INDEX(Invoices!$V$5:$V$404,MATCH(D363,Invoices!$A$5:$A$404,0)),""))</f>
        <v>0</v>
      </c>
      <c r="P363" s="21">
        <f>IF(D363="","",IFERROR(INDEX(Invoices!$W$5:$W$404,MATCH(D363,Invoices!$A$5:$A$404,0)),""))</f>
        <v>0</v>
      </c>
      <c r="Q363" s="21">
        <f>IF(OR(D363="",O363=""),"",ROUND(O363-P363,2))</f>
        <v>0</v>
      </c>
      <c r="R363" s="39">
        <f>IF(B363="","",IF(D363="","Add - which invoice?",IF(OR(G363="",G363=0),"Add - how much came in?",IF(Q363&lt;-0.004,"Check - overpaid",IF(L363="No","Due - not banked yet",IF(Q363&gt;0.004,"Part paid","OK"))))))</f>
        <v>0</v>
      </c>
    </row>
    <row r="364" spans="1:18">
      <c r="A364" s="43">
        <f>IF(B364="","",PaymentPrefix&amp;TEXT(ROW()-4,"0000"))</f>
        <v>0</v>
      </c>
      <c r="C364" s="23">
        <f>IF(B364="","",TEXT(B364,"yyyy-mm"))</f>
        <v>0</v>
      </c>
      <c r="E364" s="43">
        <f>IF(D364="","",IFERROR(INDEX(Invoices!$D$5:$D$404,MATCH(D364,Invoices!$A$5:$A$404,0)),""))</f>
        <v>0</v>
      </c>
      <c r="F364" s="23">
        <f>IF(D364="","",IFERROR(INDEX(Invoices!$E$5:$E$404,MATCH(D364,Invoices!$A$5:$A$404,0)),""))</f>
        <v>0</v>
      </c>
      <c r="N364" s="21">
        <f>IF(B364="","",IF(G364="",0,G364)-IF(H364="",0,H364))</f>
        <v>0</v>
      </c>
      <c r="O364" s="21">
        <f>IF(D364="","",IFERROR(INDEX(Invoices!$V$5:$V$404,MATCH(D364,Invoices!$A$5:$A$404,0)),""))</f>
        <v>0</v>
      </c>
      <c r="P364" s="21">
        <f>IF(D364="","",IFERROR(INDEX(Invoices!$W$5:$W$404,MATCH(D364,Invoices!$A$5:$A$404,0)),""))</f>
        <v>0</v>
      </c>
      <c r="Q364" s="21">
        <f>IF(OR(D364="",O364=""),"",ROUND(O364-P364,2))</f>
        <v>0</v>
      </c>
      <c r="R364" s="39">
        <f>IF(B364="","",IF(D364="","Add - which invoice?",IF(OR(G364="",G364=0),"Add - how much came in?",IF(Q364&lt;-0.004,"Check - overpaid",IF(L364="No","Due - not banked yet",IF(Q364&gt;0.004,"Part paid","OK"))))))</f>
        <v>0</v>
      </c>
    </row>
    <row r="365" spans="1:18">
      <c r="A365" s="43">
        <f>IF(B365="","",PaymentPrefix&amp;TEXT(ROW()-4,"0000"))</f>
        <v>0</v>
      </c>
      <c r="C365" s="23">
        <f>IF(B365="","",TEXT(B365,"yyyy-mm"))</f>
        <v>0</v>
      </c>
      <c r="E365" s="43">
        <f>IF(D365="","",IFERROR(INDEX(Invoices!$D$5:$D$404,MATCH(D365,Invoices!$A$5:$A$404,0)),""))</f>
        <v>0</v>
      </c>
      <c r="F365" s="23">
        <f>IF(D365="","",IFERROR(INDEX(Invoices!$E$5:$E$404,MATCH(D365,Invoices!$A$5:$A$404,0)),""))</f>
        <v>0</v>
      </c>
      <c r="N365" s="21">
        <f>IF(B365="","",IF(G365="",0,G365)-IF(H365="",0,H365))</f>
        <v>0</v>
      </c>
      <c r="O365" s="21">
        <f>IF(D365="","",IFERROR(INDEX(Invoices!$V$5:$V$404,MATCH(D365,Invoices!$A$5:$A$404,0)),""))</f>
        <v>0</v>
      </c>
      <c r="P365" s="21">
        <f>IF(D365="","",IFERROR(INDEX(Invoices!$W$5:$W$404,MATCH(D365,Invoices!$A$5:$A$404,0)),""))</f>
        <v>0</v>
      </c>
      <c r="Q365" s="21">
        <f>IF(OR(D365="",O365=""),"",ROUND(O365-P365,2))</f>
        <v>0</v>
      </c>
      <c r="R365" s="39">
        <f>IF(B365="","",IF(D365="","Add - which invoice?",IF(OR(G365="",G365=0),"Add - how much came in?",IF(Q365&lt;-0.004,"Check - overpaid",IF(L365="No","Due - not banked yet",IF(Q365&gt;0.004,"Part paid","OK"))))))</f>
        <v>0</v>
      </c>
    </row>
    <row r="366" spans="1:18">
      <c r="A366" s="43">
        <f>IF(B366="","",PaymentPrefix&amp;TEXT(ROW()-4,"0000"))</f>
        <v>0</v>
      </c>
      <c r="C366" s="23">
        <f>IF(B366="","",TEXT(B366,"yyyy-mm"))</f>
        <v>0</v>
      </c>
      <c r="E366" s="43">
        <f>IF(D366="","",IFERROR(INDEX(Invoices!$D$5:$D$404,MATCH(D366,Invoices!$A$5:$A$404,0)),""))</f>
        <v>0</v>
      </c>
      <c r="F366" s="23">
        <f>IF(D366="","",IFERROR(INDEX(Invoices!$E$5:$E$404,MATCH(D366,Invoices!$A$5:$A$404,0)),""))</f>
        <v>0</v>
      </c>
      <c r="N366" s="21">
        <f>IF(B366="","",IF(G366="",0,G366)-IF(H366="",0,H366))</f>
        <v>0</v>
      </c>
      <c r="O366" s="21">
        <f>IF(D366="","",IFERROR(INDEX(Invoices!$V$5:$V$404,MATCH(D366,Invoices!$A$5:$A$404,0)),""))</f>
        <v>0</v>
      </c>
      <c r="P366" s="21">
        <f>IF(D366="","",IFERROR(INDEX(Invoices!$W$5:$W$404,MATCH(D366,Invoices!$A$5:$A$404,0)),""))</f>
        <v>0</v>
      </c>
      <c r="Q366" s="21">
        <f>IF(OR(D366="",O366=""),"",ROUND(O366-P366,2))</f>
        <v>0</v>
      </c>
      <c r="R366" s="39">
        <f>IF(B366="","",IF(D366="","Add - which invoice?",IF(OR(G366="",G366=0),"Add - how much came in?",IF(Q366&lt;-0.004,"Check - overpaid",IF(L366="No","Due - not banked yet",IF(Q366&gt;0.004,"Part paid","OK"))))))</f>
        <v>0</v>
      </c>
    </row>
    <row r="367" spans="1:18">
      <c r="A367" s="43">
        <f>IF(B367="","",PaymentPrefix&amp;TEXT(ROW()-4,"0000"))</f>
        <v>0</v>
      </c>
      <c r="C367" s="23">
        <f>IF(B367="","",TEXT(B367,"yyyy-mm"))</f>
        <v>0</v>
      </c>
      <c r="E367" s="43">
        <f>IF(D367="","",IFERROR(INDEX(Invoices!$D$5:$D$404,MATCH(D367,Invoices!$A$5:$A$404,0)),""))</f>
        <v>0</v>
      </c>
      <c r="F367" s="23">
        <f>IF(D367="","",IFERROR(INDEX(Invoices!$E$5:$E$404,MATCH(D367,Invoices!$A$5:$A$404,0)),""))</f>
        <v>0</v>
      </c>
      <c r="N367" s="21">
        <f>IF(B367="","",IF(G367="",0,G367)-IF(H367="",0,H367))</f>
        <v>0</v>
      </c>
      <c r="O367" s="21">
        <f>IF(D367="","",IFERROR(INDEX(Invoices!$V$5:$V$404,MATCH(D367,Invoices!$A$5:$A$404,0)),""))</f>
        <v>0</v>
      </c>
      <c r="P367" s="21">
        <f>IF(D367="","",IFERROR(INDEX(Invoices!$W$5:$W$404,MATCH(D367,Invoices!$A$5:$A$404,0)),""))</f>
        <v>0</v>
      </c>
      <c r="Q367" s="21">
        <f>IF(OR(D367="",O367=""),"",ROUND(O367-P367,2))</f>
        <v>0</v>
      </c>
      <c r="R367" s="39">
        <f>IF(B367="","",IF(D367="","Add - which invoice?",IF(OR(G367="",G367=0),"Add - how much came in?",IF(Q367&lt;-0.004,"Check - overpaid",IF(L367="No","Due - not banked yet",IF(Q367&gt;0.004,"Part paid","OK"))))))</f>
        <v>0</v>
      </c>
    </row>
    <row r="368" spans="1:18">
      <c r="A368" s="43">
        <f>IF(B368="","",PaymentPrefix&amp;TEXT(ROW()-4,"0000"))</f>
        <v>0</v>
      </c>
      <c r="C368" s="23">
        <f>IF(B368="","",TEXT(B368,"yyyy-mm"))</f>
        <v>0</v>
      </c>
      <c r="E368" s="43">
        <f>IF(D368="","",IFERROR(INDEX(Invoices!$D$5:$D$404,MATCH(D368,Invoices!$A$5:$A$404,0)),""))</f>
        <v>0</v>
      </c>
      <c r="F368" s="23">
        <f>IF(D368="","",IFERROR(INDEX(Invoices!$E$5:$E$404,MATCH(D368,Invoices!$A$5:$A$404,0)),""))</f>
        <v>0</v>
      </c>
      <c r="N368" s="21">
        <f>IF(B368="","",IF(G368="",0,G368)-IF(H368="",0,H368))</f>
        <v>0</v>
      </c>
      <c r="O368" s="21">
        <f>IF(D368="","",IFERROR(INDEX(Invoices!$V$5:$V$404,MATCH(D368,Invoices!$A$5:$A$404,0)),""))</f>
        <v>0</v>
      </c>
      <c r="P368" s="21">
        <f>IF(D368="","",IFERROR(INDEX(Invoices!$W$5:$W$404,MATCH(D368,Invoices!$A$5:$A$404,0)),""))</f>
        <v>0</v>
      </c>
      <c r="Q368" s="21">
        <f>IF(OR(D368="",O368=""),"",ROUND(O368-P368,2))</f>
        <v>0</v>
      </c>
      <c r="R368" s="39">
        <f>IF(B368="","",IF(D368="","Add - which invoice?",IF(OR(G368="",G368=0),"Add - how much came in?",IF(Q368&lt;-0.004,"Check - overpaid",IF(L368="No","Due - not banked yet",IF(Q368&gt;0.004,"Part paid","OK"))))))</f>
        <v>0</v>
      </c>
    </row>
    <row r="369" spans="1:18">
      <c r="A369" s="43">
        <f>IF(B369="","",PaymentPrefix&amp;TEXT(ROW()-4,"0000"))</f>
        <v>0</v>
      </c>
      <c r="C369" s="23">
        <f>IF(B369="","",TEXT(B369,"yyyy-mm"))</f>
        <v>0</v>
      </c>
      <c r="E369" s="43">
        <f>IF(D369="","",IFERROR(INDEX(Invoices!$D$5:$D$404,MATCH(D369,Invoices!$A$5:$A$404,0)),""))</f>
        <v>0</v>
      </c>
      <c r="F369" s="23">
        <f>IF(D369="","",IFERROR(INDEX(Invoices!$E$5:$E$404,MATCH(D369,Invoices!$A$5:$A$404,0)),""))</f>
        <v>0</v>
      </c>
      <c r="N369" s="21">
        <f>IF(B369="","",IF(G369="",0,G369)-IF(H369="",0,H369))</f>
        <v>0</v>
      </c>
      <c r="O369" s="21">
        <f>IF(D369="","",IFERROR(INDEX(Invoices!$V$5:$V$404,MATCH(D369,Invoices!$A$5:$A$404,0)),""))</f>
        <v>0</v>
      </c>
      <c r="P369" s="21">
        <f>IF(D369="","",IFERROR(INDEX(Invoices!$W$5:$W$404,MATCH(D369,Invoices!$A$5:$A$404,0)),""))</f>
        <v>0</v>
      </c>
      <c r="Q369" s="21">
        <f>IF(OR(D369="",O369=""),"",ROUND(O369-P369,2))</f>
        <v>0</v>
      </c>
      <c r="R369" s="39">
        <f>IF(B369="","",IF(D369="","Add - which invoice?",IF(OR(G369="",G369=0),"Add - how much came in?",IF(Q369&lt;-0.004,"Check - overpaid",IF(L369="No","Due - not banked yet",IF(Q369&gt;0.004,"Part paid","OK"))))))</f>
        <v>0</v>
      </c>
    </row>
    <row r="370" spans="1:18">
      <c r="A370" s="43">
        <f>IF(B370="","",PaymentPrefix&amp;TEXT(ROW()-4,"0000"))</f>
        <v>0</v>
      </c>
      <c r="C370" s="23">
        <f>IF(B370="","",TEXT(B370,"yyyy-mm"))</f>
        <v>0</v>
      </c>
      <c r="E370" s="43">
        <f>IF(D370="","",IFERROR(INDEX(Invoices!$D$5:$D$404,MATCH(D370,Invoices!$A$5:$A$404,0)),""))</f>
        <v>0</v>
      </c>
      <c r="F370" s="23">
        <f>IF(D370="","",IFERROR(INDEX(Invoices!$E$5:$E$404,MATCH(D370,Invoices!$A$5:$A$404,0)),""))</f>
        <v>0</v>
      </c>
      <c r="N370" s="21">
        <f>IF(B370="","",IF(G370="",0,G370)-IF(H370="",0,H370))</f>
        <v>0</v>
      </c>
      <c r="O370" s="21">
        <f>IF(D370="","",IFERROR(INDEX(Invoices!$V$5:$V$404,MATCH(D370,Invoices!$A$5:$A$404,0)),""))</f>
        <v>0</v>
      </c>
      <c r="P370" s="21">
        <f>IF(D370="","",IFERROR(INDEX(Invoices!$W$5:$W$404,MATCH(D370,Invoices!$A$5:$A$404,0)),""))</f>
        <v>0</v>
      </c>
      <c r="Q370" s="21">
        <f>IF(OR(D370="",O370=""),"",ROUND(O370-P370,2))</f>
        <v>0</v>
      </c>
      <c r="R370" s="39">
        <f>IF(B370="","",IF(D370="","Add - which invoice?",IF(OR(G370="",G370=0),"Add - how much came in?",IF(Q370&lt;-0.004,"Check - overpaid",IF(L370="No","Due - not banked yet",IF(Q370&gt;0.004,"Part paid","OK"))))))</f>
        <v>0</v>
      </c>
    </row>
    <row r="371" spans="1:18">
      <c r="A371" s="43">
        <f>IF(B371="","",PaymentPrefix&amp;TEXT(ROW()-4,"0000"))</f>
        <v>0</v>
      </c>
      <c r="C371" s="23">
        <f>IF(B371="","",TEXT(B371,"yyyy-mm"))</f>
        <v>0</v>
      </c>
      <c r="E371" s="43">
        <f>IF(D371="","",IFERROR(INDEX(Invoices!$D$5:$D$404,MATCH(D371,Invoices!$A$5:$A$404,0)),""))</f>
        <v>0</v>
      </c>
      <c r="F371" s="23">
        <f>IF(D371="","",IFERROR(INDEX(Invoices!$E$5:$E$404,MATCH(D371,Invoices!$A$5:$A$404,0)),""))</f>
        <v>0</v>
      </c>
      <c r="N371" s="21">
        <f>IF(B371="","",IF(G371="",0,G371)-IF(H371="",0,H371))</f>
        <v>0</v>
      </c>
      <c r="O371" s="21">
        <f>IF(D371="","",IFERROR(INDEX(Invoices!$V$5:$V$404,MATCH(D371,Invoices!$A$5:$A$404,0)),""))</f>
        <v>0</v>
      </c>
      <c r="P371" s="21">
        <f>IF(D371="","",IFERROR(INDEX(Invoices!$W$5:$W$404,MATCH(D371,Invoices!$A$5:$A$404,0)),""))</f>
        <v>0</v>
      </c>
      <c r="Q371" s="21">
        <f>IF(OR(D371="",O371=""),"",ROUND(O371-P371,2))</f>
        <v>0</v>
      </c>
      <c r="R371" s="39">
        <f>IF(B371="","",IF(D371="","Add - which invoice?",IF(OR(G371="",G371=0),"Add - how much came in?",IF(Q371&lt;-0.004,"Check - overpaid",IF(L371="No","Due - not banked yet",IF(Q371&gt;0.004,"Part paid","OK"))))))</f>
        <v>0</v>
      </c>
    </row>
    <row r="372" spans="1:18">
      <c r="A372" s="43">
        <f>IF(B372="","",PaymentPrefix&amp;TEXT(ROW()-4,"0000"))</f>
        <v>0</v>
      </c>
      <c r="C372" s="23">
        <f>IF(B372="","",TEXT(B372,"yyyy-mm"))</f>
        <v>0</v>
      </c>
      <c r="E372" s="43">
        <f>IF(D372="","",IFERROR(INDEX(Invoices!$D$5:$D$404,MATCH(D372,Invoices!$A$5:$A$404,0)),""))</f>
        <v>0</v>
      </c>
      <c r="F372" s="23">
        <f>IF(D372="","",IFERROR(INDEX(Invoices!$E$5:$E$404,MATCH(D372,Invoices!$A$5:$A$404,0)),""))</f>
        <v>0</v>
      </c>
      <c r="N372" s="21">
        <f>IF(B372="","",IF(G372="",0,G372)-IF(H372="",0,H372))</f>
        <v>0</v>
      </c>
      <c r="O372" s="21">
        <f>IF(D372="","",IFERROR(INDEX(Invoices!$V$5:$V$404,MATCH(D372,Invoices!$A$5:$A$404,0)),""))</f>
        <v>0</v>
      </c>
      <c r="P372" s="21">
        <f>IF(D372="","",IFERROR(INDEX(Invoices!$W$5:$W$404,MATCH(D372,Invoices!$A$5:$A$404,0)),""))</f>
        <v>0</v>
      </c>
      <c r="Q372" s="21">
        <f>IF(OR(D372="",O372=""),"",ROUND(O372-P372,2))</f>
        <v>0</v>
      </c>
      <c r="R372" s="39">
        <f>IF(B372="","",IF(D372="","Add - which invoice?",IF(OR(G372="",G372=0),"Add - how much came in?",IF(Q372&lt;-0.004,"Check - overpaid",IF(L372="No","Due - not banked yet",IF(Q372&gt;0.004,"Part paid","OK"))))))</f>
        <v>0</v>
      </c>
    </row>
    <row r="373" spans="1:18">
      <c r="A373" s="43">
        <f>IF(B373="","",PaymentPrefix&amp;TEXT(ROW()-4,"0000"))</f>
        <v>0</v>
      </c>
      <c r="C373" s="23">
        <f>IF(B373="","",TEXT(B373,"yyyy-mm"))</f>
        <v>0</v>
      </c>
      <c r="E373" s="43">
        <f>IF(D373="","",IFERROR(INDEX(Invoices!$D$5:$D$404,MATCH(D373,Invoices!$A$5:$A$404,0)),""))</f>
        <v>0</v>
      </c>
      <c r="F373" s="23">
        <f>IF(D373="","",IFERROR(INDEX(Invoices!$E$5:$E$404,MATCH(D373,Invoices!$A$5:$A$404,0)),""))</f>
        <v>0</v>
      </c>
      <c r="N373" s="21">
        <f>IF(B373="","",IF(G373="",0,G373)-IF(H373="",0,H373))</f>
        <v>0</v>
      </c>
      <c r="O373" s="21">
        <f>IF(D373="","",IFERROR(INDEX(Invoices!$V$5:$V$404,MATCH(D373,Invoices!$A$5:$A$404,0)),""))</f>
        <v>0</v>
      </c>
      <c r="P373" s="21">
        <f>IF(D373="","",IFERROR(INDEX(Invoices!$W$5:$W$404,MATCH(D373,Invoices!$A$5:$A$404,0)),""))</f>
        <v>0</v>
      </c>
      <c r="Q373" s="21">
        <f>IF(OR(D373="",O373=""),"",ROUND(O373-P373,2))</f>
        <v>0</v>
      </c>
      <c r="R373" s="39">
        <f>IF(B373="","",IF(D373="","Add - which invoice?",IF(OR(G373="",G373=0),"Add - how much came in?",IF(Q373&lt;-0.004,"Check - overpaid",IF(L373="No","Due - not banked yet",IF(Q373&gt;0.004,"Part paid","OK"))))))</f>
        <v>0</v>
      </c>
    </row>
    <row r="374" spans="1:18">
      <c r="A374" s="43">
        <f>IF(B374="","",PaymentPrefix&amp;TEXT(ROW()-4,"0000"))</f>
        <v>0</v>
      </c>
      <c r="C374" s="23">
        <f>IF(B374="","",TEXT(B374,"yyyy-mm"))</f>
        <v>0</v>
      </c>
      <c r="E374" s="43">
        <f>IF(D374="","",IFERROR(INDEX(Invoices!$D$5:$D$404,MATCH(D374,Invoices!$A$5:$A$404,0)),""))</f>
        <v>0</v>
      </c>
      <c r="F374" s="23">
        <f>IF(D374="","",IFERROR(INDEX(Invoices!$E$5:$E$404,MATCH(D374,Invoices!$A$5:$A$404,0)),""))</f>
        <v>0</v>
      </c>
      <c r="N374" s="21">
        <f>IF(B374="","",IF(G374="",0,G374)-IF(H374="",0,H374))</f>
        <v>0</v>
      </c>
      <c r="O374" s="21">
        <f>IF(D374="","",IFERROR(INDEX(Invoices!$V$5:$V$404,MATCH(D374,Invoices!$A$5:$A$404,0)),""))</f>
        <v>0</v>
      </c>
      <c r="P374" s="21">
        <f>IF(D374="","",IFERROR(INDEX(Invoices!$W$5:$W$404,MATCH(D374,Invoices!$A$5:$A$404,0)),""))</f>
        <v>0</v>
      </c>
      <c r="Q374" s="21">
        <f>IF(OR(D374="",O374=""),"",ROUND(O374-P374,2))</f>
        <v>0</v>
      </c>
      <c r="R374" s="39">
        <f>IF(B374="","",IF(D374="","Add - which invoice?",IF(OR(G374="",G374=0),"Add - how much came in?",IF(Q374&lt;-0.004,"Check - overpaid",IF(L374="No","Due - not banked yet",IF(Q374&gt;0.004,"Part paid","OK"))))))</f>
        <v>0</v>
      </c>
    </row>
    <row r="375" spans="1:18">
      <c r="A375" s="43">
        <f>IF(B375="","",PaymentPrefix&amp;TEXT(ROW()-4,"0000"))</f>
        <v>0</v>
      </c>
      <c r="C375" s="23">
        <f>IF(B375="","",TEXT(B375,"yyyy-mm"))</f>
        <v>0</v>
      </c>
      <c r="E375" s="43">
        <f>IF(D375="","",IFERROR(INDEX(Invoices!$D$5:$D$404,MATCH(D375,Invoices!$A$5:$A$404,0)),""))</f>
        <v>0</v>
      </c>
      <c r="F375" s="23">
        <f>IF(D375="","",IFERROR(INDEX(Invoices!$E$5:$E$404,MATCH(D375,Invoices!$A$5:$A$404,0)),""))</f>
        <v>0</v>
      </c>
      <c r="N375" s="21">
        <f>IF(B375="","",IF(G375="",0,G375)-IF(H375="",0,H375))</f>
        <v>0</v>
      </c>
      <c r="O375" s="21">
        <f>IF(D375="","",IFERROR(INDEX(Invoices!$V$5:$V$404,MATCH(D375,Invoices!$A$5:$A$404,0)),""))</f>
        <v>0</v>
      </c>
      <c r="P375" s="21">
        <f>IF(D375="","",IFERROR(INDEX(Invoices!$W$5:$W$404,MATCH(D375,Invoices!$A$5:$A$404,0)),""))</f>
        <v>0</v>
      </c>
      <c r="Q375" s="21">
        <f>IF(OR(D375="",O375=""),"",ROUND(O375-P375,2))</f>
        <v>0</v>
      </c>
      <c r="R375" s="39">
        <f>IF(B375="","",IF(D375="","Add - which invoice?",IF(OR(G375="",G375=0),"Add - how much came in?",IF(Q375&lt;-0.004,"Check - overpaid",IF(L375="No","Due - not banked yet",IF(Q375&gt;0.004,"Part paid","OK"))))))</f>
        <v>0</v>
      </c>
    </row>
    <row r="376" spans="1:18">
      <c r="A376" s="43">
        <f>IF(B376="","",PaymentPrefix&amp;TEXT(ROW()-4,"0000"))</f>
        <v>0</v>
      </c>
      <c r="C376" s="23">
        <f>IF(B376="","",TEXT(B376,"yyyy-mm"))</f>
        <v>0</v>
      </c>
      <c r="E376" s="43">
        <f>IF(D376="","",IFERROR(INDEX(Invoices!$D$5:$D$404,MATCH(D376,Invoices!$A$5:$A$404,0)),""))</f>
        <v>0</v>
      </c>
      <c r="F376" s="23">
        <f>IF(D376="","",IFERROR(INDEX(Invoices!$E$5:$E$404,MATCH(D376,Invoices!$A$5:$A$404,0)),""))</f>
        <v>0</v>
      </c>
      <c r="N376" s="21">
        <f>IF(B376="","",IF(G376="",0,G376)-IF(H376="",0,H376))</f>
        <v>0</v>
      </c>
      <c r="O376" s="21">
        <f>IF(D376="","",IFERROR(INDEX(Invoices!$V$5:$V$404,MATCH(D376,Invoices!$A$5:$A$404,0)),""))</f>
        <v>0</v>
      </c>
      <c r="P376" s="21">
        <f>IF(D376="","",IFERROR(INDEX(Invoices!$W$5:$W$404,MATCH(D376,Invoices!$A$5:$A$404,0)),""))</f>
        <v>0</v>
      </c>
      <c r="Q376" s="21">
        <f>IF(OR(D376="",O376=""),"",ROUND(O376-P376,2))</f>
        <v>0</v>
      </c>
      <c r="R376" s="39">
        <f>IF(B376="","",IF(D376="","Add - which invoice?",IF(OR(G376="",G376=0),"Add - how much came in?",IF(Q376&lt;-0.004,"Check - overpaid",IF(L376="No","Due - not banked yet",IF(Q376&gt;0.004,"Part paid","OK"))))))</f>
        <v>0</v>
      </c>
    </row>
    <row r="377" spans="1:18">
      <c r="A377" s="43">
        <f>IF(B377="","",PaymentPrefix&amp;TEXT(ROW()-4,"0000"))</f>
        <v>0</v>
      </c>
      <c r="C377" s="23">
        <f>IF(B377="","",TEXT(B377,"yyyy-mm"))</f>
        <v>0</v>
      </c>
      <c r="E377" s="43">
        <f>IF(D377="","",IFERROR(INDEX(Invoices!$D$5:$D$404,MATCH(D377,Invoices!$A$5:$A$404,0)),""))</f>
        <v>0</v>
      </c>
      <c r="F377" s="23">
        <f>IF(D377="","",IFERROR(INDEX(Invoices!$E$5:$E$404,MATCH(D377,Invoices!$A$5:$A$404,0)),""))</f>
        <v>0</v>
      </c>
      <c r="N377" s="21">
        <f>IF(B377="","",IF(G377="",0,G377)-IF(H377="",0,H377))</f>
        <v>0</v>
      </c>
      <c r="O377" s="21">
        <f>IF(D377="","",IFERROR(INDEX(Invoices!$V$5:$V$404,MATCH(D377,Invoices!$A$5:$A$404,0)),""))</f>
        <v>0</v>
      </c>
      <c r="P377" s="21">
        <f>IF(D377="","",IFERROR(INDEX(Invoices!$W$5:$W$404,MATCH(D377,Invoices!$A$5:$A$404,0)),""))</f>
        <v>0</v>
      </c>
      <c r="Q377" s="21">
        <f>IF(OR(D377="",O377=""),"",ROUND(O377-P377,2))</f>
        <v>0</v>
      </c>
      <c r="R377" s="39">
        <f>IF(B377="","",IF(D377="","Add - which invoice?",IF(OR(G377="",G377=0),"Add - how much came in?",IF(Q377&lt;-0.004,"Check - overpaid",IF(L377="No","Due - not banked yet",IF(Q377&gt;0.004,"Part paid","OK"))))))</f>
        <v>0</v>
      </c>
    </row>
    <row r="378" spans="1:18">
      <c r="A378" s="43">
        <f>IF(B378="","",PaymentPrefix&amp;TEXT(ROW()-4,"0000"))</f>
        <v>0</v>
      </c>
      <c r="C378" s="23">
        <f>IF(B378="","",TEXT(B378,"yyyy-mm"))</f>
        <v>0</v>
      </c>
      <c r="E378" s="43">
        <f>IF(D378="","",IFERROR(INDEX(Invoices!$D$5:$D$404,MATCH(D378,Invoices!$A$5:$A$404,0)),""))</f>
        <v>0</v>
      </c>
      <c r="F378" s="23">
        <f>IF(D378="","",IFERROR(INDEX(Invoices!$E$5:$E$404,MATCH(D378,Invoices!$A$5:$A$404,0)),""))</f>
        <v>0</v>
      </c>
      <c r="N378" s="21">
        <f>IF(B378="","",IF(G378="",0,G378)-IF(H378="",0,H378))</f>
        <v>0</v>
      </c>
      <c r="O378" s="21">
        <f>IF(D378="","",IFERROR(INDEX(Invoices!$V$5:$V$404,MATCH(D378,Invoices!$A$5:$A$404,0)),""))</f>
        <v>0</v>
      </c>
      <c r="P378" s="21">
        <f>IF(D378="","",IFERROR(INDEX(Invoices!$W$5:$W$404,MATCH(D378,Invoices!$A$5:$A$404,0)),""))</f>
        <v>0</v>
      </c>
      <c r="Q378" s="21">
        <f>IF(OR(D378="",O378=""),"",ROUND(O378-P378,2))</f>
        <v>0</v>
      </c>
      <c r="R378" s="39">
        <f>IF(B378="","",IF(D378="","Add - which invoice?",IF(OR(G378="",G378=0),"Add - how much came in?",IF(Q378&lt;-0.004,"Check - overpaid",IF(L378="No","Due - not banked yet",IF(Q378&gt;0.004,"Part paid","OK"))))))</f>
        <v>0</v>
      </c>
    </row>
    <row r="379" spans="1:18">
      <c r="A379" s="43">
        <f>IF(B379="","",PaymentPrefix&amp;TEXT(ROW()-4,"0000"))</f>
        <v>0</v>
      </c>
      <c r="C379" s="23">
        <f>IF(B379="","",TEXT(B379,"yyyy-mm"))</f>
        <v>0</v>
      </c>
      <c r="E379" s="43">
        <f>IF(D379="","",IFERROR(INDEX(Invoices!$D$5:$D$404,MATCH(D379,Invoices!$A$5:$A$404,0)),""))</f>
        <v>0</v>
      </c>
      <c r="F379" s="23">
        <f>IF(D379="","",IFERROR(INDEX(Invoices!$E$5:$E$404,MATCH(D379,Invoices!$A$5:$A$404,0)),""))</f>
        <v>0</v>
      </c>
      <c r="N379" s="21">
        <f>IF(B379="","",IF(G379="",0,G379)-IF(H379="",0,H379))</f>
        <v>0</v>
      </c>
      <c r="O379" s="21">
        <f>IF(D379="","",IFERROR(INDEX(Invoices!$V$5:$V$404,MATCH(D379,Invoices!$A$5:$A$404,0)),""))</f>
        <v>0</v>
      </c>
      <c r="P379" s="21">
        <f>IF(D379="","",IFERROR(INDEX(Invoices!$W$5:$W$404,MATCH(D379,Invoices!$A$5:$A$404,0)),""))</f>
        <v>0</v>
      </c>
      <c r="Q379" s="21">
        <f>IF(OR(D379="",O379=""),"",ROUND(O379-P379,2))</f>
        <v>0</v>
      </c>
      <c r="R379" s="39">
        <f>IF(B379="","",IF(D379="","Add - which invoice?",IF(OR(G379="",G379=0),"Add - how much came in?",IF(Q379&lt;-0.004,"Check - overpaid",IF(L379="No","Due - not banked yet",IF(Q379&gt;0.004,"Part paid","OK"))))))</f>
        <v>0</v>
      </c>
    </row>
    <row r="380" spans="1:18">
      <c r="A380" s="43">
        <f>IF(B380="","",PaymentPrefix&amp;TEXT(ROW()-4,"0000"))</f>
        <v>0</v>
      </c>
      <c r="C380" s="23">
        <f>IF(B380="","",TEXT(B380,"yyyy-mm"))</f>
        <v>0</v>
      </c>
      <c r="E380" s="43">
        <f>IF(D380="","",IFERROR(INDEX(Invoices!$D$5:$D$404,MATCH(D380,Invoices!$A$5:$A$404,0)),""))</f>
        <v>0</v>
      </c>
      <c r="F380" s="23">
        <f>IF(D380="","",IFERROR(INDEX(Invoices!$E$5:$E$404,MATCH(D380,Invoices!$A$5:$A$404,0)),""))</f>
        <v>0</v>
      </c>
      <c r="N380" s="21">
        <f>IF(B380="","",IF(G380="",0,G380)-IF(H380="",0,H380))</f>
        <v>0</v>
      </c>
      <c r="O380" s="21">
        <f>IF(D380="","",IFERROR(INDEX(Invoices!$V$5:$V$404,MATCH(D380,Invoices!$A$5:$A$404,0)),""))</f>
        <v>0</v>
      </c>
      <c r="P380" s="21">
        <f>IF(D380="","",IFERROR(INDEX(Invoices!$W$5:$W$404,MATCH(D380,Invoices!$A$5:$A$404,0)),""))</f>
        <v>0</v>
      </c>
      <c r="Q380" s="21">
        <f>IF(OR(D380="",O380=""),"",ROUND(O380-P380,2))</f>
        <v>0</v>
      </c>
      <c r="R380" s="39">
        <f>IF(B380="","",IF(D380="","Add - which invoice?",IF(OR(G380="",G380=0),"Add - how much came in?",IF(Q380&lt;-0.004,"Check - overpaid",IF(L380="No","Due - not banked yet",IF(Q380&gt;0.004,"Part paid","OK"))))))</f>
        <v>0</v>
      </c>
    </row>
    <row r="381" spans="1:18">
      <c r="A381" s="43">
        <f>IF(B381="","",PaymentPrefix&amp;TEXT(ROW()-4,"0000"))</f>
        <v>0</v>
      </c>
      <c r="C381" s="23">
        <f>IF(B381="","",TEXT(B381,"yyyy-mm"))</f>
        <v>0</v>
      </c>
      <c r="E381" s="43">
        <f>IF(D381="","",IFERROR(INDEX(Invoices!$D$5:$D$404,MATCH(D381,Invoices!$A$5:$A$404,0)),""))</f>
        <v>0</v>
      </c>
      <c r="F381" s="23">
        <f>IF(D381="","",IFERROR(INDEX(Invoices!$E$5:$E$404,MATCH(D381,Invoices!$A$5:$A$404,0)),""))</f>
        <v>0</v>
      </c>
      <c r="N381" s="21">
        <f>IF(B381="","",IF(G381="",0,G381)-IF(H381="",0,H381))</f>
        <v>0</v>
      </c>
      <c r="O381" s="21">
        <f>IF(D381="","",IFERROR(INDEX(Invoices!$V$5:$V$404,MATCH(D381,Invoices!$A$5:$A$404,0)),""))</f>
        <v>0</v>
      </c>
      <c r="P381" s="21">
        <f>IF(D381="","",IFERROR(INDEX(Invoices!$W$5:$W$404,MATCH(D381,Invoices!$A$5:$A$404,0)),""))</f>
        <v>0</v>
      </c>
      <c r="Q381" s="21">
        <f>IF(OR(D381="",O381=""),"",ROUND(O381-P381,2))</f>
        <v>0</v>
      </c>
      <c r="R381" s="39">
        <f>IF(B381="","",IF(D381="","Add - which invoice?",IF(OR(G381="",G381=0),"Add - how much came in?",IF(Q381&lt;-0.004,"Check - overpaid",IF(L381="No","Due - not banked yet",IF(Q381&gt;0.004,"Part paid","OK"))))))</f>
        <v>0</v>
      </c>
    </row>
    <row r="382" spans="1:18">
      <c r="A382" s="43">
        <f>IF(B382="","",PaymentPrefix&amp;TEXT(ROW()-4,"0000"))</f>
        <v>0</v>
      </c>
      <c r="C382" s="23">
        <f>IF(B382="","",TEXT(B382,"yyyy-mm"))</f>
        <v>0</v>
      </c>
      <c r="E382" s="43">
        <f>IF(D382="","",IFERROR(INDEX(Invoices!$D$5:$D$404,MATCH(D382,Invoices!$A$5:$A$404,0)),""))</f>
        <v>0</v>
      </c>
      <c r="F382" s="23">
        <f>IF(D382="","",IFERROR(INDEX(Invoices!$E$5:$E$404,MATCH(D382,Invoices!$A$5:$A$404,0)),""))</f>
        <v>0</v>
      </c>
      <c r="N382" s="21">
        <f>IF(B382="","",IF(G382="",0,G382)-IF(H382="",0,H382))</f>
        <v>0</v>
      </c>
      <c r="O382" s="21">
        <f>IF(D382="","",IFERROR(INDEX(Invoices!$V$5:$V$404,MATCH(D382,Invoices!$A$5:$A$404,0)),""))</f>
        <v>0</v>
      </c>
      <c r="P382" s="21">
        <f>IF(D382="","",IFERROR(INDEX(Invoices!$W$5:$W$404,MATCH(D382,Invoices!$A$5:$A$404,0)),""))</f>
        <v>0</v>
      </c>
      <c r="Q382" s="21">
        <f>IF(OR(D382="",O382=""),"",ROUND(O382-P382,2))</f>
        <v>0</v>
      </c>
      <c r="R382" s="39">
        <f>IF(B382="","",IF(D382="","Add - which invoice?",IF(OR(G382="",G382=0),"Add - how much came in?",IF(Q382&lt;-0.004,"Check - overpaid",IF(L382="No","Due - not banked yet",IF(Q382&gt;0.004,"Part paid","OK"))))))</f>
        <v>0</v>
      </c>
    </row>
    <row r="383" spans="1:18">
      <c r="A383" s="43">
        <f>IF(B383="","",PaymentPrefix&amp;TEXT(ROW()-4,"0000"))</f>
        <v>0</v>
      </c>
      <c r="C383" s="23">
        <f>IF(B383="","",TEXT(B383,"yyyy-mm"))</f>
        <v>0</v>
      </c>
      <c r="E383" s="43">
        <f>IF(D383="","",IFERROR(INDEX(Invoices!$D$5:$D$404,MATCH(D383,Invoices!$A$5:$A$404,0)),""))</f>
        <v>0</v>
      </c>
      <c r="F383" s="23">
        <f>IF(D383="","",IFERROR(INDEX(Invoices!$E$5:$E$404,MATCH(D383,Invoices!$A$5:$A$404,0)),""))</f>
        <v>0</v>
      </c>
      <c r="N383" s="21">
        <f>IF(B383="","",IF(G383="",0,G383)-IF(H383="",0,H383))</f>
        <v>0</v>
      </c>
      <c r="O383" s="21">
        <f>IF(D383="","",IFERROR(INDEX(Invoices!$V$5:$V$404,MATCH(D383,Invoices!$A$5:$A$404,0)),""))</f>
        <v>0</v>
      </c>
      <c r="P383" s="21">
        <f>IF(D383="","",IFERROR(INDEX(Invoices!$W$5:$W$404,MATCH(D383,Invoices!$A$5:$A$404,0)),""))</f>
        <v>0</v>
      </c>
      <c r="Q383" s="21">
        <f>IF(OR(D383="",O383=""),"",ROUND(O383-P383,2))</f>
        <v>0</v>
      </c>
      <c r="R383" s="39">
        <f>IF(B383="","",IF(D383="","Add - which invoice?",IF(OR(G383="",G383=0),"Add - how much came in?",IF(Q383&lt;-0.004,"Check - overpaid",IF(L383="No","Due - not banked yet",IF(Q383&gt;0.004,"Part paid","OK"))))))</f>
        <v>0</v>
      </c>
    </row>
    <row r="384" spans="1:18">
      <c r="A384" s="43">
        <f>IF(B384="","",PaymentPrefix&amp;TEXT(ROW()-4,"0000"))</f>
        <v>0</v>
      </c>
      <c r="C384" s="23">
        <f>IF(B384="","",TEXT(B384,"yyyy-mm"))</f>
        <v>0</v>
      </c>
      <c r="E384" s="43">
        <f>IF(D384="","",IFERROR(INDEX(Invoices!$D$5:$D$404,MATCH(D384,Invoices!$A$5:$A$404,0)),""))</f>
        <v>0</v>
      </c>
      <c r="F384" s="23">
        <f>IF(D384="","",IFERROR(INDEX(Invoices!$E$5:$E$404,MATCH(D384,Invoices!$A$5:$A$404,0)),""))</f>
        <v>0</v>
      </c>
      <c r="N384" s="21">
        <f>IF(B384="","",IF(G384="",0,G384)-IF(H384="",0,H384))</f>
        <v>0</v>
      </c>
      <c r="O384" s="21">
        <f>IF(D384="","",IFERROR(INDEX(Invoices!$V$5:$V$404,MATCH(D384,Invoices!$A$5:$A$404,0)),""))</f>
        <v>0</v>
      </c>
      <c r="P384" s="21">
        <f>IF(D384="","",IFERROR(INDEX(Invoices!$W$5:$W$404,MATCH(D384,Invoices!$A$5:$A$404,0)),""))</f>
        <v>0</v>
      </c>
      <c r="Q384" s="21">
        <f>IF(OR(D384="",O384=""),"",ROUND(O384-P384,2))</f>
        <v>0</v>
      </c>
      <c r="R384" s="39">
        <f>IF(B384="","",IF(D384="","Add - which invoice?",IF(OR(G384="",G384=0),"Add - how much came in?",IF(Q384&lt;-0.004,"Check - overpaid",IF(L384="No","Due - not banked yet",IF(Q384&gt;0.004,"Part paid","OK"))))))</f>
        <v>0</v>
      </c>
    </row>
    <row r="385" spans="1:18">
      <c r="A385" s="43">
        <f>IF(B385="","",PaymentPrefix&amp;TEXT(ROW()-4,"0000"))</f>
        <v>0</v>
      </c>
      <c r="C385" s="23">
        <f>IF(B385="","",TEXT(B385,"yyyy-mm"))</f>
        <v>0</v>
      </c>
      <c r="E385" s="43">
        <f>IF(D385="","",IFERROR(INDEX(Invoices!$D$5:$D$404,MATCH(D385,Invoices!$A$5:$A$404,0)),""))</f>
        <v>0</v>
      </c>
      <c r="F385" s="23">
        <f>IF(D385="","",IFERROR(INDEX(Invoices!$E$5:$E$404,MATCH(D385,Invoices!$A$5:$A$404,0)),""))</f>
        <v>0</v>
      </c>
      <c r="N385" s="21">
        <f>IF(B385="","",IF(G385="",0,G385)-IF(H385="",0,H385))</f>
        <v>0</v>
      </c>
      <c r="O385" s="21">
        <f>IF(D385="","",IFERROR(INDEX(Invoices!$V$5:$V$404,MATCH(D385,Invoices!$A$5:$A$404,0)),""))</f>
        <v>0</v>
      </c>
      <c r="P385" s="21">
        <f>IF(D385="","",IFERROR(INDEX(Invoices!$W$5:$W$404,MATCH(D385,Invoices!$A$5:$A$404,0)),""))</f>
        <v>0</v>
      </c>
      <c r="Q385" s="21">
        <f>IF(OR(D385="",O385=""),"",ROUND(O385-P385,2))</f>
        <v>0</v>
      </c>
      <c r="R385" s="39">
        <f>IF(B385="","",IF(D385="","Add - which invoice?",IF(OR(G385="",G385=0),"Add - how much came in?",IF(Q385&lt;-0.004,"Check - overpaid",IF(L385="No","Due - not banked yet",IF(Q385&gt;0.004,"Part paid","OK"))))))</f>
        <v>0</v>
      </c>
    </row>
    <row r="386" spans="1:18">
      <c r="A386" s="43">
        <f>IF(B386="","",PaymentPrefix&amp;TEXT(ROW()-4,"0000"))</f>
        <v>0</v>
      </c>
      <c r="C386" s="23">
        <f>IF(B386="","",TEXT(B386,"yyyy-mm"))</f>
        <v>0</v>
      </c>
      <c r="E386" s="43">
        <f>IF(D386="","",IFERROR(INDEX(Invoices!$D$5:$D$404,MATCH(D386,Invoices!$A$5:$A$404,0)),""))</f>
        <v>0</v>
      </c>
      <c r="F386" s="23">
        <f>IF(D386="","",IFERROR(INDEX(Invoices!$E$5:$E$404,MATCH(D386,Invoices!$A$5:$A$404,0)),""))</f>
        <v>0</v>
      </c>
      <c r="N386" s="21">
        <f>IF(B386="","",IF(G386="",0,G386)-IF(H386="",0,H386))</f>
        <v>0</v>
      </c>
      <c r="O386" s="21">
        <f>IF(D386="","",IFERROR(INDEX(Invoices!$V$5:$V$404,MATCH(D386,Invoices!$A$5:$A$404,0)),""))</f>
        <v>0</v>
      </c>
      <c r="P386" s="21">
        <f>IF(D386="","",IFERROR(INDEX(Invoices!$W$5:$W$404,MATCH(D386,Invoices!$A$5:$A$404,0)),""))</f>
        <v>0</v>
      </c>
      <c r="Q386" s="21">
        <f>IF(OR(D386="",O386=""),"",ROUND(O386-P386,2))</f>
        <v>0</v>
      </c>
      <c r="R386" s="39">
        <f>IF(B386="","",IF(D386="","Add - which invoice?",IF(OR(G386="",G386=0),"Add - how much came in?",IF(Q386&lt;-0.004,"Check - overpaid",IF(L386="No","Due - not banked yet",IF(Q386&gt;0.004,"Part paid","OK"))))))</f>
        <v>0</v>
      </c>
    </row>
    <row r="387" spans="1:18">
      <c r="A387" s="43">
        <f>IF(B387="","",PaymentPrefix&amp;TEXT(ROW()-4,"0000"))</f>
        <v>0</v>
      </c>
      <c r="C387" s="23">
        <f>IF(B387="","",TEXT(B387,"yyyy-mm"))</f>
        <v>0</v>
      </c>
      <c r="E387" s="43">
        <f>IF(D387="","",IFERROR(INDEX(Invoices!$D$5:$D$404,MATCH(D387,Invoices!$A$5:$A$404,0)),""))</f>
        <v>0</v>
      </c>
      <c r="F387" s="23">
        <f>IF(D387="","",IFERROR(INDEX(Invoices!$E$5:$E$404,MATCH(D387,Invoices!$A$5:$A$404,0)),""))</f>
        <v>0</v>
      </c>
      <c r="N387" s="21">
        <f>IF(B387="","",IF(G387="",0,G387)-IF(H387="",0,H387))</f>
        <v>0</v>
      </c>
      <c r="O387" s="21">
        <f>IF(D387="","",IFERROR(INDEX(Invoices!$V$5:$V$404,MATCH(D387,Invoices!$A$5:$A$404,0)),""))</f>
        <v>0</v>
      </c>
      <c r="P387" s="21">
        <f>IF(D387="","",IFERROR(INDEX(Invoices!$W$5:$W$404,MATCH(D387,Invoices!$A$5:$A$404,0)),""))</f>
        <v>0</v>
      </c>
      <c r="Q387" s="21">
        <f>IF(OR(D387="",O387=""),"",ROUND(O387-P387,2))</f>
        <v>0</v>
      </c>
      <c r="R387" s="39">
        <f>IF(B387="","",IF(D387="","Add - which invoice?",IF(OR(G387="",G387=0),"Add - how much came in?",IF(Q387&lt;-0.004,"Check - overpaid",IF(L387="No","Due - not banked yet",IF(Q387&gt;0.004,"Part paid","OK"))))))</f>
        <v>0</v>
      </c>
    </row>
    <row r="388" spans="1:18">
      <c r="A388" s="43">
        <f>IF(B388="","",PaymentPrefix&amp;TEXT(ROW()-4,"0000"))</f>
        <v>0</v>
      </c>
      <c r="C388" s="23">
        <f>IF(B388="","",TEXT(B388,"yyyy-mm"))</f>
        <v>0</v>
      </c>
      <c r="E388" s="43">
        <f>IF(D388="","",IFERROR(INDEX(Invoices!$D$5:$D$404,MATCH(D388,Invoices!$A$5:$A$404,0)),""))</f>
        <v>0</v>
      </c>
      <c r="F388" s="23">
        <f>IF(D388="","",IFERROR(INDEX(Invoices!$E$5:$E$404,MATCH(D388,Invoices!$A$5:$A$404,0)),""))</f>
        <v>0</v>
      </c>
      <c r="N388" s="21">
        <f>IF(B388="","",IF(G388="",0,G388)-IF(H388="",0,H388))</f>
        <v>0</v>
      </c>
      <c r="O388" s="21">
        <f>IF(D388="","",IFERROR(INDEX(Invoices!$V$5:$V$404,MATCH(D388,Invoices!$A$5:$A$404,0)),""))</f>
        <v>0</v>
      </c>
      <c r="P388" s="21">
        <f>IF(D388="","",IFERROR(INDEX(Invoices!$W$5:$W$404,MATCH(D388,Invoices!$A$5:$A$404,0)),""))</f>
        <v>0</v>
      </c>
      <c r="Q388" s="21">
        <f>IF(OR(D388="",O388=""),"",ROUND(O388-P388,2))</f>
        <v>0</v>
      </c>
      <c r="R388" s="39">
        <f>IF(B388="","",IF(D388="","Add - which invoice?",IF(OR(G388="",G388=0),"Add - how much came in?",IF(Q388&lt;-0.004,"Check - overpaid",IF(L388="No","Due - not banked yet",IF(Q388&gt;0.004,"Part paid","OK"))))))</f>
        <v>0</v>
      </c>
    </row>
    <row r="389" spans="1:18">
      <c r="A389" s="43">
        <f>IF(B389="","",PaymentPrefix&amp;TEXT(ROW()-4,"0000"))</f>
        <v>0</v>
      </c>
      <c r="C389" s="23">
        <f>IF(B389="","",TEXT(B389,"yyyy-mm"))</f>
        <v>0</v>
      </c>
      <c r="E389" s="43">
        <f>IF(D389="","",IFERROR(INDEX(Invoices!$D$5:$D$404,MATCH(D389,Invoices!$A$5:$A$404,0)),""))</f>
        <v>0</v>
      </c>
      <c r="F389" s="23">
        <f>IF(D389="","",IFERROR(INDEX(Invoices!$E$5:$E$404,MATCH(D389,Invoices!$A$5:$A$404,0)),""))</f>
        <v>0</v>
      </c>
      <c r="N389" s="21">
        <f>IF(B389="","",IF(G389="",0,G389)-IF(H389="",0,H389))</f>
        <v>0</v>
      </c>
      <c r="O389" s="21">
        <f>IF(D389="","",IFERROR(INDEX(Invoices!$V$5:$V$404,MATCH(D389,Invoices!$A$5:$A$404,0)),""))</f>
        <v>0</v>
      </c>
      <c r="P389" s="21">
        <f>IF(D389="","",IFERROR(INDEX(Invoices!$W$5:$W$404,MATCH(D389,Invoices!$A$5:$A$404,0)),""))</f>
        <v>0</v>
      </c>
      <c r="Q389" s="21">
        <f>IF(OR(D389="",O389=""),"",ROUND(O389-P389,2))</f>
        <v>0</v>
      </c>
      <c r="R389" s="39">
        <f>IF(B389="","",IF(D389="","Add - which invoice?",IF(OR(G389="",G389=0),"Add - how much came in?",IF(Q389&lt;-0.004,"Check - overpaid",IF(L389="No","Due - not banked yet",IF(Q389&gt;0.004,"Part paid","OK"))))))</f>
        <v>0</v>
      </c>
    </row>
    <row r="390" spans="1:18">
      <c r="A390" s="43">
        <f>IF(B390="","",PaymentPrefix&amp;TEXT(ROW()-4,"0000"))</f>
        <v>0</v>
      </c>
      <c r="C390" s="23">
        <f>IF(B390="","",TEXT(B390,"yyyy-mm"))</f>
        <v>0</v>
      </c>
      <c r="E390" s="43">
        <f>IF(D390="","",IFERROR(INDEX(Invoices!$D$5:$D$404,MATCH(D390,Invoices!$A$5:$A$404,0)),""))</f>
        <v>0</v>
      </c>
      <c r="F390" s="23">
        <f>IF(D390="","",IFERROR(INDEX(Invoices!$E$5:$E$404,MATCH(D390,Invoices!$A$5:$A$404,0)),""))</f>
        <v>0</v>
      </c>
      <c r="N390" s="21">
        <f>IF(B390="","",IF(G390="",0,G390)-IF(H390="",0,H390))</f>
        <v>0</v>
      </c>
      <c r="O390" s="21">
        <f>IF(D390="","",IFERROR(INDEX(Invoices!$V$5:$V$404,MATCH(D390,Invoices!$A$5:$A$404,0)),""))</f>
        <v>0</v>
      </c>
      <c r="P390" s="21">
        <f>IF(D390="","",IFERROR(INDEX(Invoices!$W$5:$W$404,MATCH(D390,Invoices!$A$5:$A$404,0)),""))</f>
        <v>0</v>
      </c>
      <c r="Q390" s="21">
        <f>IF(OR(D390="",O390=""),"",ROUND(O390-P390,2))</f>
        <v>0</v>
      </c>
      <c r="R390" s="39">
        <f>IF(B390="","",IF(D390="","Add - which invoice?",IF(OR(G390="",G390=0),"Add - how much came in?",IF(Q390&lt;-0.004,"Check - overpaid",IF(L390="No","Due - not banked yet",IF(Q390&gt;0.004,"Part paid","OK"))))))</f>
        <v>0</v>
      </c>
    </row>
    <row r="391" spans="1:18">
      <c r="A391" s="43">
        <f>IF(B391="","",PaymentPrefix&amp;TEXT(ROW()-4,"0000"))</f>
        <v>0</v>
      </c>
      <c r="C391" s="23">
        <f>IF(B391="","",TEXT(B391,"yyyy-mm"))</f>
        <v>0</v>
      </c>
      <c r="E391" s="43">
        <f>IF(D391="","",IFERROR(INDEX(Invoices!$D$5:$D$404,MATCH(D391,Invoices!$A$5:$A$404,0)),""))</f>
        <v>0</v>
      </c>
      <c r="F391" s="23">
        <f>IF(D391="","",IFERROR(INDEX(Invoices!$E$5:$E$404,MATCH(D391,Invoices!$A$5:$A$404,0)),""))</f>
        <v>0</v>
      </c>
      <c r="N391" s="21">
        <f>IF(B391="","",IF(G391="",0,G391)-IF(H391="",0,H391))</f>
        <v>0</v>
      </c>
      <c r="O391" s="21">
        <f>IF(D391="","",IFERROR(INDEX(Invoices!$V$5:$V$404,MATCH(D391,Invoices!$A$5:$A$404,0)),""))</f>
        <v>0</v>
      </c>
      <c r="P391" s="21">
        <f>IF(D391="","",IFERROR(INDEX(Invoices!$W$5:$W$404,MATCH(D391,Invoices!$A$5:$A$404,0)),""))</f>
        <v>0</v>
      </c>
      <c r="Q391" s="21">
        <f>IF(OR(D391="",O391=""),"",ROUND(O391-P391,2))</f>
        <v>0</v>
      </c>
      <c r="R391" s="39">
        <f>IF(B391="","",IF(D391="","Add - which invoice?",IF(OR(G391="",G391=0),"Add - how much came in?",IF(Q391&lt;-0.004,"Check - overpaid",IF(L391="No","Due - not banked yet",IF(Q391&gt;0.004,"Part paid","OK"))))))</f>
        <v>0</v>
      </c>
    </row>
    <row r="392" spans="1:18">
      <c r="A392" s="43">
        <f>IF(B392="","",PaymentPrefix&amp;TEXT(ROW()-4,"0000"))</f>
        <v>0</v>
      </c>
      <c r="C392" s="23">
        <f>IF(B392="","",TEXT(B392,"yyyy-mm"))</f>
        <v>0</v>
      </c>
      <c r="E392" s="43">
        <f>IF(D392="","",IFERROR(INDEX(Invoices!$D$5:$D$404,MATCH(D392,Invoices!$A$5:$A$404,0)),""))</f>
        <v>0</v>
      </c>
      <c r="F392" s="23">
        <f>IF(D392="","",IFERROR(INDEX(Invoices!$E$5:$E$404,MATCH(D392,Invoices!$A$5:$A$404,0)),""))</f>
        <v>0</v>
      </c>
      <c r="N392" s="21">
        <f>IF(B392="","",IF(G392="",0,G392)-IF(H392="",0,H392))</f>
        <v>0</v>
      </c>
      <c r="O392" s="21">
        <f>IF(D392="","",IFERROR(INDEX(Invoices!$V$5:$V$404,MATCH(D392,Invoices!$A$5:$A$404,0)),""))</f>
        <v>0</v>
      </c>
      <c r="P392" s="21">
        <f>IF(D392="","",IFERROR(INDEX(Invoices!$W$5:$W$404,MATCH(D392,Invoices!$A$5:$A$404,0)),""))</f>
        <v>0</v>
      </c>
      <c r="Q392" s="21">
        <f>IF(OR(D392="",O392=""),"",ROUND(O392-P392,2))</f>
        <v>0</v>
      </c>
      <c r="R392" s="39">
        <f>IF(B392="","",IF(D392="","Add - which invoice?",IF(OR(G392="",G392=0),"Add - how much came in?",IF(Q392&lt;-0.004,"Check - overpaid",IF(L392="No","Due - not banked yet",IF(Q392&gt;0.004,"Part paid","OK"))))))</f>
        <v>0</v>
      </c>
    </row>
    <row r="393" spans="1:18">
      <c r="A393" s="43">
        <f>IF(B393="","",PaymentPrefix&amp;TEXT(ROW()-4,"0000"))</f>
        <v>0</v>
      </c>
      <c r="C393" s="23">
        <f>IF(B393="","",TEXT(B393,"yyyy-mm"))</f>
        <v>0</v>
      </c>
      <c r="E393" s="43">
        <f>IF(D393="","",IFERROR(INDEX(Invoices!$D$5:$D$404,MATCH(D393,Invoices!$A$5:$A$404,0)),""))</f>
        <v>0</v>
      </c>
      <c r="F393" s="23">
        <f>IF(D393="","",IFERROR(INDEX(Invoices!$E$5:$E$404,MATCH(D393,Invoices!$A$5:$A$404,0)),""))</f>
        <v>0</v>
      </c>
      <c r="N393" s="21">
        <f>IF(B393="","",IF(G393="",0,G393)-IF(H393="",0,H393))</f>
        <v>0</v>
      </c>
      <c r="O393" s="21">
        <f>IF(D393="","",IFERROR(INDEX(Invoices!$V$5:$V$404,MATCH(D393,Invoices!$A$5:$A$404,0)),""))</f>
        <v>0</v>
      </c>
      <c r="P393" s="21">
        <f>IF(D393="","",IFERROR(INDEX(Invoices!$W$5:$W$404,MATCH(D393,Invoices!$A$5:$A$404,0)),""))</f>
        <v>0</v>
      </c>
      <c r="Q393" s="21">
        <f>IF(OR(D393="",O393=""),"",ROUND(O393-P393,2))</f>
        <v>0</v>
      </c>
      <c r="R393" s="39">
        <f>IF(B393="","",IF(D393="","Add - which invoice?",IF(OR(G393="",G393=0),"Add - how much came in?",IF(Q393&lt;-0.004,"Check - overpaid",IF(L393="No","Due - not banked yet",IF(Q393&gt;0.004,"Part paid","OK"))))))</f>
        <v>0</v>
      </c>
    </row>
    <row r="394" spans="1:18">
      <c r="A394" s="43">
        <f>IF(B394="","",PaymentPrefix&amp;TEXT(ROW()-4,"0000"))</f>
        <v>0</v>
      </c>
      <c r="C394" s="23">
        <f>IF(B394="","",TEXT(B394,"yyyy-mm"))</f>
        <v>0</v>
      </c>
      <c r="E394" s="43">
        <f>IF(D394="","",IFERROR(INDEX(Invoices!$D$5:$D$404,MATCH(D394,Invoices!$A$5:$A$404,0)),""))</f>
        <v>0</v>
      </c>
      <c r="F394" s="23">
        <f>IF(D394="","",IFERROR(INDEX(Invoices!$E$5:$E$404,MATCH(D394,Invoices!$A$5:$A$404,0)),""))</f>
        <v>0</v>
      </c>
      <c r="N394" s="21">
        <f>IF(B394="","",IF(G394="",0,G394)-IF(H394="",0,H394))</f>
        <v>0</v>
      </c>
      <c r="O394" s="21">
        <f>IF(D394="","",IFERROR(INDEX(Invoices!$V$5:$V$404,MATCH(D394,Invoices!$A$5:$A$404,0)),""))</f>
        <v>0</v>
      </c>
      <c r="P394" s="21">
        <f>IF(D394="","",IFERROR(INDEX(Invoices!$W$5:$W$404,MATCH(D394,Invoices!$A$5:$A$404,0)),""))</f>
        <v>0</v>
      </c>
      <c r="Q394" s="21">
        <f>IF(OR(D394="",O394=""),"",ROUND(O394-P394,2))</f>
        <v>0</v>
      </c>
      <c r="R394" s="39">
        <f>IF(B394="","",IF(D394="","Add - which invoice?",IF(OR(G394="",G394=0),"Add - how much came in?",IF(Q394&lt;-0.004,"Check - overpaid",IF(L394="No","Due - not banked yet",IF(Q394&gt;0.004,"Part paid","OK"))))))</f>
        <v>0</v>
      </c>
    </row>
    <row r="395" spans="1:18">
      <c r="A395" s="43">
        <f>IF(B395="","",PaymentPrefix&amp;TEXT(ROW()-4,"0000"))</f>
        <v>0</v>
      </c>
      <c r="C395" s="23">
        <f>IF(B395="","",TEXT(B395,"yyyy-mm"))</f>
        <v>0</v>
      </c>
      <c r="E395" s="43">
        <f>IF(D395="","",IFERROR(INDEX(Invoices!$D$5:$D$404,MATCH(D395,Invoices!$A$5:$A$404,0)),""))</f>
        <v>0</v>
      </c>
      <c r="F395" s="23">
        <f>IF(D395="","",IFERROR(INDEX(Invoices!$E$5:$E$404,MATCH(D395,Invoices!$A$5:$A$404,0)),""))</f>
        <v>0</v>
      </c>
      <c r="N395" s="21">
        <f>IF(B395="","",IF(G395="",0,G395)-IF(H395="",0,H395))</f>
        <v>0</v>
      </c>
      <c r="O395" s="21">
        <f>IF(D395="","",IFERROR(INDEX(Invoices!$V$5:$V$404,MATCH(D395,Invoices!$A$5:$A$404,0)),""))</f>
        <v>0</v>
      </c>
      <c r="P395" s="21">
        <f>IF(D395="","",IFERROR(INDEX(Invoices!$W$5:$W$404,MATCH(D395,Invoices!$A$5:$A$404,0)),""))</f>
        <v>0</v>
      </c>
      <c r="Q395" s="21">
        <f>IF(OR(D395="",O395=""),"",ROUND(O395-P395,2))</f>
        <v>0</v>
      </c>
      <c r="R395" s="39">
        <f>IF(B395="","",IF(D395="","Add - which invoice?",IF(OR(G395="",G395=0),"Add - how much came in?",IF(Q395&lt;-0.004,"Check - overpaid",IF(L395="No","Due - not banked yet",IF(Q395&gt;0.004,"Part paid","OK"))))))</f>
        <v>0</v>
      </c>
    </row>
    <row r="396" spans="1:18">
      <c r="A396" s="43">
        <f>IF(B396="","",PaymentPrefix&amp;TEXT(ROW()-4,"0000"))</f>
        <v>0</v>
      </c>
      <c r="C396" s="23">
        <f>IF(B396="","",TEXT(B396,"yyyy-mm"))</f>
        <v>0</v>
      </c>
      <c r="E396" s="43">
        <f>IF(D396="","",IFERROR(INDEX(Invoices!$D$5:$D$404,MATCH(D396,Invoices!$A$5:$A$404,0)),""))</f>
        <v>0</v>
      </c>
      <c r="F396" s="23">
        <f>IF(D396="","",IFERROR(INDEX(Invoices!$E$5:$E$404,MATCH(D396,Invoices!$A$5:$A$404,0)),""))</f>
        <v>0</v>
      </c>
      <c r="N396" s="21">
        <f>IF(B396="","",IF(G396="",0,G396)-IF(H396="",0,H396))</f>
        <v>0</v>
      </c>
      <c r="O396" s="21">
        <f>IF(D396="","",IFERROR(INDEX(Invoices!$V$5:$V$404,MATCH(D396,Invoices!$A$5:$A$404,0)),""))</f>
        <v>0</v>
      </c>
      <c r="P396" s="21">
        <f>IF(D396="","",IFERROR(INDEX(Invoices!$W$5:$W$404,MATCH(D396,Invoices!$A$5:$A$404,0)),""))</f>
        <v>0</v>
      </c>
      <c r="Q396" s="21">
        <f>IF(OR(D396="",O396=""),"",ROUND(O396-P396,2))</f>
        <v>0</v>
      </c>
      <c r="R396" s="39">
        <f>IF(B396="","",IF(D396="","Add - which invoice?",IF(OR(G396="",G396=0),"Add - how much came in?",IF(Q396&lt;-0.004,"Check - overpaid",IF(L396="No","Due - not banked yet",IF(Q396&gt;0.004,"Part paid","OK"))))))</f>
        <v>0</v>
      </c>
    </row>
    <row r="397" spans="1:18">
      <c r="A397" s="43">
        <f>IF(B397="","",PaymentPrefix&amp;TEXT(ROW()-4,"0000"))</f>
        <v>0</v>
      </c>
      <c r="C397" s="23">
        <f>IF(B397="","",TEXT(B397,"yyyy-mm"))</f>
        <v>0</v>
      </c>
      <c r="E397" s="43">
        <f>IF(D397="","",IFERROR(INDEX(Invoices!$D$5:$D$404,MATCH(D397,Invoices!$A$5:$A$404,0)),""))</f>
        <v>0</v>
      </c>
      <c r="F397" s="23">
        <f>IF(D397="","",IFERROR(INDEX(Invoices!$E$5:$E$404,MATCH(D397,Invoices!$A$5:$A$404,0)),""))</f>
        <v>0</v>
      </c>
      <c r="N397" s="21">
        <f>IF(B397="","",IF(G397="",0,G397)-IF(H397="",0,H397))</f>
        <v>0</v>
      </c>
      <c r="O397" s="21">
        <f>IF(D397="","",IFERROR(INDEX(Invoices!$V$5:$V$404,MATCH(D397,Invoices!$A$5:$A$404,0)),""))</f>
        <v>0</v>
      </c>
      <c r="P397" s="21">
        <f>IF(D397="","",IFERROR(INDEX(Invoices!$W$5:$W$404,MATCH(D397,Invoices!$A$5:$A$404,0)),""))</f>
        <v>0</v>
      </c>
      <c r="Q397" s="21">
        <f>IF(OR(D397="",O397=""),"",ROUND(O397-P397,2))</f>
        <v>0</v>
      </c>
      <c r="R397" s="39">
        <f>IF(B397="","",IF(D397="","Add - which invoice?",IF(OR(G397="",G397=0),"Add - how much came in?",IF(Q397&lt;-0.004,"Check - overpaid",IF(L397="No","Due - not banked yet",IF(Q397&gt;0.004,"Part paid","OK"))))))</f>
        <v>0</v>
      </c>
    </row>
    <row r="398" spans="1:18">
      <c r="A398" s="43">
        <f>IF(B398="","",PaymentPrefix&amp;TEXT(ROW()-4,"0000"))</f>
        <v>0</v>
      </c>
      <c r="C398" s="23">
        <f>IF(B398="","",TEXT(B398,"yyyy-mm"))</f>
        <v>0</v>
      </c>
      <c r="E398" s="43">
        <f>IF(D398="","",IFERROR(INDEX(Invoices!$D$5:$D$404,MATCH(D398,Invoices!$A$5:$A$404,0)),""))</f>
        <v>0</v>
      </c>
      <c r="F398" s="23">
        <f>IF(D398="","",IFERROR(INDEX(Invoices!$E$5:$E$404,MATCH(D398,Invoices!$A$5:$A$404,0)),""))</f>
        <v>0</v>
      </c>
      <c r="N398" s="21">
        <f>IF(B398="","",IF(G398="",0,G398)-IF(H398="",0,H398))</f>
        <v>0</v>
      </c>
      <c r="O398" s="21">
        <f>IF(D398="","",IFERROR(INDEX(Invoices!$V$5:$V$404,MATCH(D398,Invoices!$A$5:$A$404,0)),""))</f>
        <v>0</v>
      </c>
      <c r="P398" s="21">
        <f>IF(D398="","",IFERROR(INDEX(Invoices!$W$5:$W$404,MATCH(D398,Invoices!$A$5:$A$404,0)),""))</f>
        <v>0</v>
      </c>
      <c r="Q398" s="21">
        <f>IF(OR(D398="",O398=""),"",ROUND(O398-P398,2))</f>
        <v>0</v>
      </c>
      <c r="R398" s="39">
        <f>IF(B398="","",IF(D398="","Add - which invoice?",IF(OR(G398="",G398=0),"Add - how much came in?",IF(Q398&lt;-0.004,"Check - overpaid",IF(L398="No","Due - not banked yet",IF(Q398&gt;0.004,"Part paid","OK"))))))</f>
        <v>0</v>
      </c>
    </row>
    <row r="399" spans="1:18">
      <c r="A399" s="43">
        <f>IF(B399="","",PaymentPrefix&amp;TEXT(ROW()-4,"0000"))</f>
        <v>0</v>
      </c>
      <c r="C399" s="23">
        <f>IF(B399="","",TEXT(B399,"yyyy-mm"))</f>
        <v>0</v>
      </c>
      <c r="E399" s="43">
        <f>IF(D399="","",IFERROR(INDEX(Invoices!$D$5:$D$404,MATCH(D399,Invoices!$A$5:$A$404,0)),""))</f>
        <v>0</v>
      </c>
      <c r="F399" s="23">
        <f>IF(D399="","",IFERROR(INDEX(Invoices!$E$5:$E$404,MATCH(D399,Invoices!$A$5:$A$404,0)),""))</f>
        <v>0</v>
      </c>
      <c r="N399" s="21">
        <f>IF(B399="","",IF(G399="",0,G399)-IF(H399="",0,H399))</f>
        <v>0</v>
      </c>
      <c r="O399" s="21">
        <f>IF(D399="","",IFERROR(INDEX(Invoices!$V$5:$V$404,MATCH(D399,Invoices!$A$5:$A$404,0)),""))</f>
        <v>0</v>
      </c>
      <c r="P399" s="21">
        <f>IF(D399="","",IFERROR(INDEX(Invoices!$W$5:$W$404,MATCH(D399,Invoices!$A$5:$A$404,0)),""))</f>
        <v>0</v>
      </c>
      <c r="Q399" s="21">
        <f>IF(OR(D399="",O399=""),"",ROUND(O399-P399,2))</f>
        <v>0</v>
      </c>
      <c r="R399" s="39">
        <f>IF(B399="","",IF(D399="","Add - which invoice?",IF(OR(G399="",G399=0),"Add - how much came in?",IF(Q399&lt;-0.004,"Check - overpaid",IF(L399="No","Due - not banked yet",IF(Q399&gt;0.004,"Part paid","OK"))))))</f>
        <v>0</v>
      </c>
    </row>
    <row r="400" spans="1:18">
      <c r="A400" s="43">
        <f>IF(B400="","",PaymentPrefix&amp;TEXT(ROW()-4,"0000"))</f>
        <v>0</v>
      </c>
      <c r="C400" s="23">
        <f>IF(B400="","",TEXT(B400,"yyyy-mm"))</f>
        <v>0</v>
      </c>
      <c r="E400" s="43">
        <f>IF(D400="","",IFERROR(INDEX(Invoices!$D$5:$D$404,MATCH(D400,Invoices!$A$5:$A$404,0)),""))</f>
        <v>0</v>
      </c>
      <c r="F400" s="23">
        <f>IF(D400="","",IFERROR(INDEX(Invoices!$E$5:$E$404,MATCH(D400,Invoices!$A$5:$A$404,0)),""))</f>
        <v>0</v>
      </c>
      <c r="N400" s="21">
        <f>IF(B400="","",IF(G400="",0,G400)-IF(H400="",0,H400))</f>
        <v>0</v>
      </c>
      <c r="O400" s="21">
        <f>IF(D400="","",IFERROR(INDEX(Invoices!$V$5:$V$404,MATCH(D400,Invoices!$A$5:$A$404,0)),""))</f>
        <v>0</v>
      </c>
      <c r="P400" s="21">
        <f>IF(D400="","",IFERROR(INDEX(Invoices!$W$5:$W$404,MATCH(D400,Invoices!$A$5:$A$404,0)),""))</f>
        <v>0</v>
      </c>
      <c r="Q400" s="21">
        <f>IF(OR(D400="",O400=""),"",ROUND(O400-P400,2))</f>
        <v>0</v>
      </c>
      <c r="R400" s="39">
        <f>IF(B400="","",IF(D400="","Add - which invoice?",IF(OR(G400="",G400=0),"Add - how much came in?",IF(Q400&lt;-0.004,"Check - overpaid",IF(L400="No","Due - not banked yet",IF(Q400&gt;0.004,"Part paid","OK"))))))</f>
        <v>0</v>
      </c>
    </row>
    <row r="401" spans="1:18">
      <c r="A401" s="43">
        <f>IF(B401="","",PaymentPrefix&amp;TEXT(ROW()-4,"0000"))</f>
        <v>0</v>
      </c>
      <c r="C401" s="23">
        <f>IF(B401="","",TEXT(B401,"yyyy-mm"))</f>
        <v>0</v>
      </c>
      <c r="E401" s="43">
        <f>IF(D401="","",IFERROR(INDEX(Invoices!$D$5:$D$404,MATCH(D401,Invoices!$A$5:$A$404,0)),""))</f>
        <v>0</v>
      </c>
      <c r="F401" s="23">
        <f>IF(D401="","",IFERROR(INDEX(Invoices!$E$5:$E$404,MATCH(D401,Invoices!$A$5:$A$404,0)),""))</f>
        <v>0</v>
      </c>
      <c r="N401" s="21">
        <f>IF(B401="","",IF(G401="",0,G401)-IF(H401="",0,H401))</f>
        <v>0</v>
      </c>
      <c r="O401" s="21">
        <f>IF(D401="","",IFERROR(INDEX(Invoices!$V$5:$V$404,MATCH(D401,Invoices!$A$5:$A$404,0)),""))</f>
        <v>0</v>
      </c>
      <c r="P401" s="21">
        <f>IF(D401="","",IFERROR(INDEX(Invoices!$W$5:$W$404,MATCH(D401,Invoices!$A$5:$A$404,0)),""))</f>
        <v>0</v>
      </c>
      <c r="Q401" s="21">
        <f>IF(OR(D401="",O401=""),"",ROUND(O401-P401,2))</f>
        <v>0</v>
      </c>
      <c r="R401" s="39">
        <f>IF(B401="","",IF(D401="","Add - which invoice?",IF(OR(G401="",G401=0),"Add - how much came in?",IF(Q401&lt;-0.004,"Check - overpaid",IF(L401="No","Due - not banked yet",IF(Q401&gt;0.004,"Part paid","OK"))))))</f>
        <v>0</v>
      </c>
    </row>
    <row r="402" spans="1:18">
      <c r="A402" s="43">
        <f>IF(B402="","",PaymentPrefix&amp;TEXT(ROW()-4,"0000"))</f>
        <v>0</v>
      </c>
      <c r="C402" s="23">
        <f>IF(B402="","",TEXT(B402,"yyyy-mm"))</f>
        <v>0</v>
      </c>
      <c r="E402" s="43">
        <f>IF(D402="","",IFERROR(INDEX(Invoices!$D$5:$D$404,MATCH(D402,Invoices!$A$5:$A$404,0)),""))</f>
        <v>0</v>
      </c>
      <c r="F402" s="23">
        <f>IF(D402="","",IFERROR(INDEX(Invoices!$E$5:$E$404,MATCH(D402,Invoices!$A$5:$A$404,0)),""))</f>
        <v>0</v>
      </c>
      <c r="N402" s="21">
        <f>IF(B402="","",IF(G402="",0,G402)-IF(H402="",0,H402))</f>
        <v>0</v>
      </c>
      <c r="O402" s="21">
        <f>IF(D402="","",IFERROR(INDEX(Invoices!$V$5:$V$404,MATCH(D402,Invoices!$A$5:$A$404,0)),""))</f>
        <v>0</v>
      </c>
      <c r="P402" s="21">
        <f>IF(D402="","",IFERROR(INDEX(Invoices!$W$5:$W$404,MATCH(D402,Invoices!$A$5:$A$404,0)),""))</f>
        <v>0</v>
      </c>
      <c r="Q402" s="21">
        <f>IF(OR(D402="",O402=""),"",ROUND(O402-P402,2))</f>
        <v>0</v>
      </c>
      <c r="R402" s="39">
        <f>IF(B402="","",IF(D402="","Add - which invoice?",IF(OR(G402="",G402=0),"Add - how much came in?",IF(Q402&lt;-0.004,"Check - overpaid",IF(L402="No","Due - not banked yet",IF(Q402&gt;0.004,"Part paid","OK"))))))</f>
        <v>0</v>
      </c>
    </row>
    <row r="403" spans="1:18">
      <c r="A403" s="43">
        <f>IF(B403="","",PaymentPrefix&amp;TEXT(ROW()-4,"0000"))</f>
        <v>0</v>
      </c>
      <c r="C403" s="23">
        <f>IF(B403="","",TEXT(B403,"yyyy-mm"))</f>
        <v>0</v>
      </c>
      <c r="E403" s="43">
        <f>IF(D403="","",IFERROR(INDEX(Invoices!$D$5:$D$404,MATCH(D403,Invoices!$A$5:$A$404,0)),""))</f>
        <v>0</v>
      </c>
      <c r="F403" s="23">
        <f>IF(D403="","",IFERROR(INDEX(Invoices!$E$5:$E$404,MATCH(D403,Invoices!$A$5:$A$404,0)),""))</f>
        <v>0</v>
      </c>
      <c r="N403" s="21">
        <f>IF(B403="","",IF(G403="",0,G403)-IF(H403="",0,H403))</f>
        <v>0</v>
      </c>
      <c r="O403" s="21">
        <f>IF(D403="","",IFERROR(INDEX(Invoices!$V$5:$V$404,MATCH(D403,Invoices!$A$5:$A$404,0)),""))</f>
        <v>0</v>
      </c>
      <c r="P403" s="21">
        <f>IF(D403="","",IFERROR(INDEX(Invoices!$W$5:$W$404,MATCH(D403,Invoices!$A$5:$A$404,0)),""))</f>
        <v>0</v>
      </c>
      <c r="Q403" s="21">
        <f>IF(OR(D403="",O403=""),"",ROUND(O403-P403,2))</f>
        <v>0</v>
      </c>
      <c r="R403" s="39">
        <f>IF(B403="","",IF(D403="","Add - which invoice?",IF(OR(G403="",G403=0),"Add - how much came in?",IF(Q403&lt;-0.004,"Check - overpaid",IF(L403="No","Due - not banked yet",IF(Q403&gt;0.004,"Part paid","OK"))))))</f>
        <v>0</v>
      </c>
    </row>
    <row r="404" spans="1:18">
      <c r="A404" s="43">
        <f>IF(B404="","",PaymentPrefix&amp;TEXT(ROW()-4,"0000"))</f>
        <v>0</v>
      </c>
      <c r="C404" s="23">
        <f>IF(B404="","",TEXT(B404,"yyyy-mm"))</f>
        <v>0</v>
      </c>
      <c r="E404" s="43">
        <f>IF(D404="","",IFERROR(INDEX(Invoices!$D$5:$D$404,MATCH(D404,Invoices!$A$5:$A$404,0)),""))</f>
        <v>0</v>
      </c>
      <c r="F404" s="23">
        <f>IF(D404="","",IFERROR(INDEX(Invoices!$E$5:$E$404,MATCH(D404,Invoices!$A$5:$A$404,0)),""))</f>
        <v>0</v>
      </c>
      <c r="N404" s="21">
        <f>IF(B404="","",IF(G404="",0,G404)-IF(H404="",0,H404))</f>
        <v>0</v>
      </c>
      <c r="O404" s="21">
        <f>IF(D404="","",IFERROR(INDEX(Invoices!$V$5:$V$404,MATCH(D404,Invoices!$A$5:$A$404,0)),""))</f>
        <v>0</v>
      </c>
      <c r="P404" s="21">
        <f>IF(D404="","",IFERROR(INDEX(Invoices!$W$5:$W$404,MATCH(D404,Invoices!$A$5:$A$404,0)),""))</f>
        <v>0</v>
      </c>
      <c r="Q404" s="21">
        <f>IF(OR(D404="",O404=""),"",ROUND(O404-P404,2))</f>
        <v>0</v>
      </c>
      <c r="R404" s="39">
        <f>IF(B404="","",IF(D404="","Add - which invoice?",IF(OR(G404="",G404=0),"Add - how much came in?",IF(Q404&lt;-0.004,"Check - overpaid",IF(L404="No","Due - not banked yet",IF(Q404&gt;0.004,"Part paid","OK"))))))</f>
        <v>0</v>
      </c>
    </row>
  </sheetData>
  <sheetProtection password="EC7C" sheet="1" objects="1" scenarios="1" formatCells="0" formatColumns="0" formatRows="0" insertRows="0" insertHyperlinks="0" deleteRows="0" autoFilter="0"/>
  <autoFilter ref="A4:R404"/>
  <mergeCells count="12">
    <mergeCell ref="A1:O1"/>
    <mergeCell ref="P1:R1"/>
    <mergeCell ref="A2:R2"/>
    <mergeCell ref="A3:B3"/>
    <mergeCell ref="C3:D3"/>
    <mergeCell ref="E3:F3"/>
    <mergeCell ref="G3:H3"/>
    <mergeCell ref="I3:J3"/>
    <mergeCell ref="K3:L3"/>
    <mergeCell ref="M3:N3"/>
    <mergeCell ref="O3:P3"/>
    <mergeCell ref="Q3:R3"/>
  </mergeCells>
  <conditionalFormatting sqref="K5:K404">
    <cfRule type="containsText" dxfId="0" priority="1" operator="containsText" text="No">
      <formula>NOT(ISERROR(SEARCH("No",K5)))</formula>
    </cfRule>
    <cfRule type="containsText" dxfId="1" priority="2" operator="containsText" text="Yes">
      <formula>NOT(ISERROR(SEARCH("Yes",K5)))</formula>
    </cfRule>
  </conditionalFormatting>
  <conditionalFormatting sqref="L5:L404">
    <cfRule type="containsText" dxfId="0" priority="3" operator="containsText" text="No">
      <formula>NOT(ISERROR(SEARCH("No",L5)))</formula>
    </cfRule>
    <cfRule type="containsText" dxfId="1" priority="4" operator="containsText" text="Yes">
      <formula>NOT(ISERROR(SEARCH("Yes",L5)))</formula>
    </cfRule>
  </conditionalFormatting>
  <conditionalFormatting sqref="Q5:Q404">
    <cfRule type="cellIs" dxfId="0" priority="5" operator="greaterThan">
      <formula>0.004</formula>
    </cfRule>
    <cfRule type="cellIs" dxfId="2" priority="6" operator="lessThan">
      <formula>-0.004</formula>
    </cfRule>
  </conditionalFormatting>
  <conditionalFormatting sqref="R5:R404">
    <cfRule type="beginsWith" dxfId="1" priority="7" operator="beginsWith" text="OK">
      <formula>LEFT(R5,2)="OK"</formula>
    </cfRule>
    <cfRule type="containsText" dxfId="2" priority="8" operator="containsText" text="Overdue">
      <formula>NOT(ISERROR(SEARCH("Overdue",R5)))</formula>
    </cfRule>
    <cfRule type="containsText" dxfId="2" priority="9" operator="containsText" text="Late">
      <formula>NOT(ISERROR(SEARCH("Late",R5)))</formula>
    </cfRule>
    <cfRule type="containsText" dxfId="2" priority="10" operator="containsText" text="Missing">
      <formula>NOT(ISERROR(SEARCH("Missing",R5)))</formula>
    </cfRule>
    <cfRule type="containsText" dxfId="2" priority="11" operator="containsText" text="Conflict">
      <formula>NOT(ISERROR(SEARCH("Conflict",R5)))</formula>
    </cfRule>
    <cfRule type="containsText" dxfId="2" priority="12" operator="containsText" text="Clash">
      <formula>NOT(ISERROR(SEARCH("Clash",R5)))</formula>
    </cfRule>
    <cfRule type="containsText" dxfId="2" priority="13" operator="containsText" text="Expired">
      <formula>NOT(ISERROR(SEARCH("Expired",R5)))</formula>
    </cfRule>
    <cfRule type="containsText" dxfId="2" priority="14" operator="containsText" text="Duplicate">
      <formula>NOT(ISERROR(SEARCH("Duplicate",R5)))</formula>
    </cfRule>
    <cfRule type="containsText" dxfId="2" priority="15" operator="containsText" text="Unpaid">
      <formula>NOT(ISERROR(SEARCH("Unpaid",R5)))</formula>
    </cfRule>
    <cfRule type="containsText" dxfId="2" priority="16" operator="containsText" text="Loss">
      <formula>NOT(ISERROR(SEARCH("Loss",R5)))</formula>
    </cfRule>
    <cfRule type="containsText" dxfId="2" priority="17" operator="containsText" text="Below">
      <formula>NOT(ISERROR(SEARCH("Below",R5)))</formula>
    </cfRule>
    <cfRule type="containsText" dxfId="0" priority="18" operator="containsText" text="Action">
      <formula>NOT(ISERROR(SEARCH("Action",R5)))</formula>
    </cfRule>
    <cfRule type="containsText" dxfId="0" priority="19" operator="containsText" text="Due">
      <formula>NOT(ISERROR(SEARCH("Due",R5)))</formula>
    </cfRule>
    <cfRule type="containsText" dxfId="0" priority="20" operator="containsText" text="Check">
      <formula>NOT(ISERROR(SEARCH("Check",R5)))</formula>
    </cfRule>
    <cfRule type="containsText" dxfId="0" priority="21" operator="containsText" text="Chase">
      <formula>NOT(ISERROR(SEARCH("Chase",R5)))</formula>
    </cfRule>
    <cfRule type="containsText" dxfId="0" priority="22" operator="containsText" text="Assign">
      <formula>NOT(ISERROR(SEARCH("Assign",R5)))</formula>
    </cfRule>
    <cfRule type="containsText" dxfId="0" priority="23" operator="containsText" text="Confirm">
      <formula>NOT(ISERROR(SEARCH("Confirm",R5)))</formula>
    </cfRule>
    <cfRule type="containsText" dxfId="0" priority="24" operator="containsText" text="Order">
      <formula>NOT(ISERROR(SEARCH("Order",R5)))</formula>
    </cfRule>
    <cfRule type="containsText" dxfId="3" priority="25" operator="containsText" text="Today">
      <formula>NOT(ISERROR(SEARCH("Today",R5)))</formula>
    </cfRule>
    <cfRule type="containsText" dxfId="3" priority="26" operator="containsText" text="Upcoming">
      <formula>NOT(ISERROR(SEARCH("Upcoming",R5)))</formula>
    </cfRule>
    <cfRule type="containsText" dxfId="3" priority="27" operator="containsText" text="Tomorrow">
      <formula>NOT(ISERROR(SEARCH("Tomorrow",R5)))</formula>
    </cfRule>
  </conditionalFormatting>
  <dataValidations count="7">
    <dataValidation type="date" allowBlank="1" showInputMessage="1" showErrorMessage="1" errorTitle="Check the date" error="Enter a real date between 2000 and 2100." promptTitle="Date received" prompt="The day the money landed, not the day you invoiced." sqref="B5:B404">
      <formula1>36526</formula1>
      <formula2>73415</formula2>
    </dataValidation>
    <dataValidation type="list" allowBlank="1" showInputMessage="1" showErrorMessage="1" promptTitle="Invoice ID" prompt="Which invoice this pays. Part payments get their own row against the same invoice." sqref="D5:D404">
      <formula1>InvoiceIDs</formula1>
    </dataValidation>
    <dataValidation type="decimal" allowBlank="1" showInputMessage="1" showErrorMessage="1" errorTitle="Check the value" error="Enter a number between 0 and 10000000." promptTitle="Amount" prompt="What arrived in the bank. If a card processor took a fee, put the fee in the next column and this stays the gross amount." sqref="G5:G404">
      <formula1>0</formula1>
      <formula2>10000000</formula2>
    </dataValidation>
    <dataValidation type="decimal" allowBlank="1" showInputMessage="1" showErrorMessage="1" errorTitle="Check the value" error="Enter a number between 0 and 100000." promptTitle="Processing fee" prompt="Card or platform fee. It is a real cost - the Expenses tab has a category for it too." sqref="H5:H404">
      <formula1>0</formula1>
      <formula2>100000</formula2>
    </dataValidation>
    <dataValidation type="list" allowBlank="1" showInputMessage="1" showErrorMessage="1" sqref="I5:I404">
      <formula1>PaymentMethodList</formula1>
    </dataValidation>
    <dataValidation type="list" allowBlank="1" showInputMessage="1" showErrorMessage="1" sqref="K5:K404">
      <formula1>YesNoList</formula1>
    </dataValidation>
    <dataValidation type="list" allowBlank="1" showInputMessage="1" showErrorMessage="1" promptTitle="Banked?" prompt="Cash in a jacket pocket is not banked. This column is how you find it again." sqref="L5:L404">
      <formula1>YesNoList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&amp;L&amp;"Calibri,Bold"&amp;12&amp;C&amp;"Calibri,Bold"&amp;11Payments&amp;R&amp;"Calibri,Italic"&amp;9Cleaning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22.xml><?xml version="1.0" encoding="utf-8"?>
<worksheet xmlns="http://schemas.openxmlformats.org/spreadsheetml/2006/main" xmlns:r="http://schemas.openxmlformats.org/officeDocument/2006/relationships">
  <sheetPr>
    <tabColor rgb="FF2F8F9D"/>
    <pageSetUpPr fitToPage="1"/>
  </sheetPr>
  <dimension ref="A1:Z15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26.7109375" style="15" customWidth="1"/>
    <col min="3" max="3" width="20.7109375" style="15" customWidth="1"/>
    <col min="4" max="4" width="18.7109375" style="15" customWidth="1"/>
    <col min="5" max="5" width="11.7109375" style="15" customWidth="1"/>
    <col min="6" max="6" width="10.7109375" style="17" customWidth="1"/>
    <col min="7" max="7" width="11.7109375" style="19" customWidth="1"/>
    <col min="8" max="8" width="11.7109375" style="17" customWidth="1"/>
    <col min="9" max="9" width="11.7109375" style="46" customWidth="1"/>
    <col min="10" max="10" width="10.7109375" style="17" customWidth="1"/>
    <col min="11" max="11" width="10.7109375" style="17" customWidth="1"/>
    <col min="12" max="12" width="11.7109375" style="46" customWidth="1"/>
    <col min="13" max="13" width="10.7109375" style="47" customWidth="1"/>
    <col min="14" max="14" width="10.7109375" style="47" customWidth="1"/>
    <col min="15" max="15" width="28.7109375" style="44" customWidth="1"/>
    <col min="16" max="16" width="10.7109375" style="21" customWidth="1"/>
    <col min="17" max="17" width="11.7109375" style="34" customWidth="1"/>
    <col min="18" max="18" width="11.7109375" style="34" hidden="1" customWidth="1"/>
    <col min="19" max="19" width="10.7109375" style="34" customWidth="1"/>
    <col min="20" max="20" width="10.7109375" style="34" hidden="1" customWidth="1"/>
    <col min="21" max="21" width="9.7109375" style="34" hidden="1" customWidth="1"/>
    <col min="22" max="22" width="10.7109375" style="31" customWidth="1"/>
    <col min="23" max="23" width="11.7109375" style="21" customWidth="1"/>
    <col min="24" max="24" width="11.7109375" style="21" customWidth="1"/>
    <col min="25" max="25" width="13.7109375" style="39" customWidth="1"/>
    <col min="26" max="26" width="26.7109375" style="39" customWidth="1"/>
  </cols>
  <sheetData>
    <row r="1" spans="1:26" ht="34" customHeight="1">
      <c r="A1" s="2" t="s">
        <v>1676</v>
      </c>
      <c r="B1" s="2"/>
      <c r="C1" s="2"/>
      <c r="D1" s="2"/>
      <c r="E1" s="2"/>
      <c r="F1" s="2"/>
      <c r="G1" s="2"/>
      <c r="H1" s="2"/>
      <c r="I1" s="2"/>
      <c r="J1" s="2"/>
      <c r="K1" s="2"/>
      <c r="L1" s="2"/>
      <c r="M1" s="2"/>
      <c r="N1" s="2"/>
      <c r="O1" s="2"/>
      <c r="P1" s="2"/>
      <c r="Q1" s="2"/>
      <c r="R1" s="2"/>
      <c r="S1" s="2"/>
      <c r="T1" s="2"/>
      <c r="U1" s="2"/>
      <c r="V1" s="2"/>
      <c r="W1" s="2"/>
      <c r="X1" s="3" t="s">
        <v>1</v>
      </c>
      <c r="Y1" s="3"/>
      <c r="Z1" s="3"/>
    </row>
    <row r="2" spans="1:26" ht="18" customHeight="1">
      <c r="A2" s="4" t="s">
        <v>1677</v>
      </c>
      <c r="B2" s="4"/>
      <c r="C2" s="4"/>
      <c r="D2" s="4"/>
      <c r="E2" s="4"/>
      <c r="F2" s="4"/>
      <c r="G2" s="4"/>
      <c r="H2" s="4"/>
      <c r="I2" s="4"/>
      <c r="J2" s="4"/>
      <c r="K2" s="4"/>
      <c r="L2" s="4"/>
      <c r="M2" s="4"/>
      <c r="N2" s="4"/>
      <c r="O2" s="4"/>
      <c r="P2" s="4"/>
      <c r="Q2" s="4"/>
      <c r="R2" s="4"/>
      <c r="S2" s="4"/>
      <c r="T2" s="4"/>
      <c r="U2" s="4"/>
      <c r="V2" s="4"/>
      <c r="W2" s="4"/>
      <c r="X2" s="4"/>
      <c r="Y2" s="4"/>
      <c r="Z2" s="4"/>
    </row>
    <row r="3" spans="1:26"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1678</v>
      </c>
      <c r="T3" s="48"/>
      <c r="U3" s="48"/>
      <c r="V3" s="48"/>
      <c r="W3" s="48"/>
      <c r="X3" s="48"/>
      <c r="Y3" s="48"/>
      <c r="Z3" s="48"/>
    </row>
    <row r="4" spans="1:26" ht="30" customHeight="1">
      <c r="A4" s="8" t="s">
        <v>545</v>
      </c>
      <c r="B4" s="8" t="s">
        <v>1679</v>
      </c>
      <c r="C4" s="9" t="s">
        <v>950</v>
      </c>
      <c r="D4" s="9" t="s">
        <v>1680</v>
      </c>
      <c r="E4" s="9" t="s">
        <v>952</v>
      </c>
      <c r="F4" s="9" t="s">
        <v>1681</v>
      </c>
      <c r="G4" s="9" t="s">
        <v>1682</v>
      </c>
      <c r="H4" s="9" t="s">
        <v>1683</v>
      </c>
      <c r="I4" s="9" t="s">
        <v>1684</v>
      </c>
      <c r="J4" s="9" t="s">
        <v>1685</v>
      </c>
      <c r="K4" s="9" t="s">
        <v>1686</v>
      </c>
      <c r="L4" s="9" t="s">
        <v>1687</v>
      </c>
      <c r="M4" s="9" t="s">
        <v>1688</v>
      </c>
      <c r="N4" s="9" t="s">
        <v>1689</v>
      </c>
      <c r="O4" s="9" t="s">
        <v>421</v>
      </c>
      <c r="P4" s="9" t="s">
        <v>1690</v>
      </c>
      <c r="Q4" s="9" t="s">
        <v>1691</v>
      </c>
      <c r="R4" s="9" t="s">
        <v>1692</v>
      </c>
      <c r="S4" s="9" t="s">
        <v>1693</v>
      </c>
      <c r="T4" s="9" t="s">
        <v>1694</v>
      </c>
      <c r="U4" s="9" t="s">
        <v>1695</v>
      </c>
      <c r="V4" s="9" t="s">
        <v>1696</v>
      </c>
      <c r="W4" s="9" t="s">
        <v>1697</v>
      </c>
      <c r="X4" s="9" t="s">
        <v>1698</v>
      </c>
      <c r="Y4" s="9" t="s">
        <v>1699</v>
      </c>
      <c r="Z4" s="9" t="s">
        <v>574</v>
      </c>
    </row>
    <row r="5" spans="1:26">
      <c r="A5" s="43">
        <f>IF(B5="","",SupplyPrefix&amp;TEXT(ROW()-4,"0000"))</f>
        <v>0</v>
      </c>
      <c r="B5" s="15" t="s">
        <v>1700</v>
      </c>
      <c r="C5" s="15" t="s">
        <v>1701</v>
      </c>
      <c r="D5" s="15" t="s">
        <v>1702</v>
      </c>
      <c r="E5" s="15" t="s">
        <v>1703</v>
      </c>
      <c r="F5" s="17">
        <v>5</v>
      </c>
      <c r="G5" s="19">
        <v>18.4</v>
      </c>
      <c r="H5" s="17">
        <v>6</v>
      </c>
      <c r="I5" s="46">
        <v>46299</v>
      </c>
      <c r="J5" s="17">
        <v>3</v>
      </c>
      <c r="K5" s="17">
        <v>6</v>
      </c>
      <c r="L5" s="46">
        <v>46301</v>
      </c>
      <c r="M5" s="47" t="s">
        <v>454</v>
      </c>
      <c r="N5" s="47" t="s">
        <v>454</v>
      </c>
      <c r="O5" s="44" t="s">
        <v>1704</v>
      </c>
      <c r="P5" s="21">
        <f>IF(OR(B5="",G5="",F5="",F5=0),"",ROUND(G5/F5,4))</f>
        <v>0</v>
      </c>
      <c r="Q5" s="34">
        <f>IF(B5="","",SUMIFS('Supply Usage'!$E$5:$E$304,'Supply Usage'!$D$5:$D$304,B5))</f>
        <v>0</v>
      </c>
      <c r="R5" s="34">
        <f>IF(OR(B5="",I5=""),"",SUMIFS('Supply Usage'!$E$5:$E$304,'Supply Usage'!$D$5:$D$304,B5,'Supply Usage'!$B$5:$B$304,"&gt;"&amp;I5))</f>
        <v>0</v>
      </c>
      <c r="S5" s="34">
        <f>IF(B5="","",IF(H5="","",H5-IF(R5="",0,R5)))</f>
        <v>0</v>
      </c>
      <c r="T5" s="34">
        <f>IF(B5="","",SUMIFS('Supply Usage'!$E$5:$E$304,'Supply Usage'!$D$5:$D$304,B5,'Supply Usage'!$B$5:$B$304,"&gt;="&amp;TodayDate-28))</f>
        <v>0</v>
      </c>
      <c r="U5" s="34">
        <f>IF(B5="","",ROUND(T5/28,3))</f>
        <v>0</v>
      </c>
      <c r="V5" s="31">
        <f>IF(OR(B5="",S5="",U5=0),"",ROUND(S5/U5,0))</f>
        <v>0</v>
      </c>
      <c r="W5" s="21">
        <f>IF(OR(B5="",S5="",P5=""),"",ROUND(S5*P5,2))</f>
        <v>0</v>
      </c>
      <c r="X5" s="21">
        <f>IF(B5="","",SUMIFS('Supply Usage'!$L$5:$L$304,'Supply Usage'!$D$5:$D$304,B5))</f>
        <v>0</v>
      </c>
      <c r="Y5" s="39">
        <f>IF(B5="","",IF(S5="","Not counted",IF(S5&lt;=0,"Out of stock",IF(AND(J5&lt;&gt;"",S5&lt;=J5),"Low stock",IF(AND(V5&lt;&gt;"",V5&lt;LowStockDays),"Low stock","In stock")))))</f>
        <v>0</v>
      </c>
      <c r="Z5" s="39">
        <f>IF(B5="","",IF(Y5="Out of stock","Order - none left",IF(Y5="Low stock","Order - running low",IF(Y5="Not counted","Add - count the stock",IF(AND(N5="No",C5="Chemicals &amp; detergents"),"Action - no safety data sheet","OK")))))</f>
        <v>0</v>
      </c>
    </row>
    <row r="6" spans="1:26">
      <c r="A6" s="43">
        <f>IF(B6="","",SupplyPrefix&amp;TEXT(ROW()-4,"0000"))</f>
        <v>0</v>
      </c>
      <c r="B6" s="15" t="s">
        <v>1705</v>
      </c>
      <c r="C6" s="15" t="s">
        <v>1701</v>
      </c>
      <c r="D6" s="15" t="s">
        <v>1702</v>
      </c>
      <c r="E6" s="15" t="s">
        <v>1703</v>
      </c>
      <c r="F6" s="17">
        <v>5</v>
      </c>
      <c r="G6" s="19">
        <v>22.8</v>
      </c>
      <c r="H6" s="17">
        <v>3</v>
      </c>
      <c r="I6" s="46">
        <v>46299</v>
      </c>
      <c r="J6" s="17">
        <v>2</v>
      </c>
      <c r="K6" s="17">
        <v>4</v>
      </c>
      <c r="L6" s="46">
        <v>46301</v>
      </c>
      <c r="M6" s="47" t="s">
        <v>457</v>
      </c>
      <c r="N6" s="47" t="s">
        <v>454</v>
      </c>
      <c r="O6" s="44" t="s">
        <v>1706</v>
      </c>
      <c r="P6" s="21">
        <f>IF(OR(B6="",G6="",F6="",F6=0),"",ROUND(G6/F6,4))</f>
        <v>0</v>
      </c>
      <c r="Q6" s="34">
        <f>IF(B6="","",SUMIFS('Supply Usage'!$E$5:$E$304,'Supply Usage'!$D$5:$D$304,B6))</f>
        <v>0</v>
      </c>
      <c r="R6" s="34">
        <f>IF(OR(B6="",I6=""),"",SUMIFS('Supply Usage'!$E$5:$E$304,'Supply Usage'!$D$5:$D$304,B6,'Supply Usage'!$B$5:$B$304,"&gt;"&amp;I6))</f>
        <v>0</v>
      </c>
      <c r="S6" s="34">
        <f>IF(B6="","",IF(H6="","",H6-IF(R6="",0,R6)))</f>
        <v>0</v>
      </c>
      <c r="T6" s="34">
        <f>IF(B6="","",SUMIFS('Supply Usage'!$E$5:$E$304,'Supply Usage'!$D$5:$D$304,B6,'Supply Usage'!$B$5:$B$304,"&gt;="&amp;TodayDate-28))</f>
        <v>0</v>
      </c>
      <c r="U6" s="34">
        <f>IF(B6="","",ROUND(T6/28,3))</f>
        <v>0</v>
      </c>
      <c r="V6" s="31">
        <f>IF(OR(B6="",S6="",U6=0),"",ROUND(S6/U6,0))</f>
        <v>0</v>
      </c>
      <c r="W6" s="21">
        <f>IF(OR(B6="",S6="",P6=""),"",ROUND(S6*P6,2))</f>
        <v>0</v>
      </c>
      <c r="X6" s="21">
        <f>IF(B6="","",SUMIFS('Supply Usage'!$L$5:$L$304,'Supply Usage'!$D$5:$D$304,B6))</f>
        <v>0</v>
      </c>
      <c r="Y6" s="39">
        <f>IF(B6="","",IF(S6="","Not counted",IF(S6&lt;=0,"Out of stock",IF(AND(J6&lt;&gt;"",S6&lt;=J6),"Low stock",IF(AND(V6&lt;&gt;"",V6&lt;LowStockDays),"Low stock","In stock")))))</f>
        <v>0</v>
      </c>
      <c r="Z6" s="39">
        <f>IF(B6="","",IF(Y6="Out of stock","Order - none left",IF(Y6="Low stock","Order - running low",IF(Y6="Not counted","Add - count the stock",IF(AND(N6="No",C6="Chemicals &amp; detergents"),"Action - no safety data sheet","OK")))))</f>
        <v>0</v>
      </c>
    </row>
    <row r="7" spans="1:26">
      <c r="A7" s="43">
        <f>IF(B7="","",SupplyPrefix&amp;TEXT(ROW()-4,"0000"))</f>
        <v>0</v>
      </c>
      <c r="B7" s="15" t="s">
        <v>1707</v>
      </c>
      <c r="C7" s="15" t="s">
        <v>1701</v>
      </c>
      <c r="D7" s="15" t="s">
        <v>1702</v>
      </c>
      <c r="E7" s="15" t="s">
        <v>1703</v>
      </c>
      <c r="F7" s="17">
        <v>5</v>
      </c>
      <c r="G7" s="19">
        <v>24.5</v>
      </c>
      <c r="H7" s="17">
        <v>2</v>
      </c>
      <c r="I7" s="46">
        <v>46299</v>
      </c>
      <c r="J7" s="17">
        <v>2</v>
      </c>
      <c r="K7" s="17">
        <v>4</v>
      </c>
      <c r="L7" s="46">
        <v>46287</v>
      </c>
      <c r="M7" s="47" t="s">
        <v>457</v>
      </c>
      <c r="N7" s="47" t="s">
        <v>454</v>
      </c>
      <c r="O7" s="44" t="s">
        <v>1708</v>
      </c>
      <c r="P7" s="21">
        <f>IF(OR(B7="",G7="",F7="",F7=0),"",ROUND(G7/F7,4))</f>
        <v>0</v>
      </c>
      <c r="Q7" s="34">
        <f>IF(B7="","",SUMIFS('Supply Usage'!$E$5:$E$304,'Supply Usage'!$D$5:$D$304,B7))</f>
        <v>0</v>
      </c>
      <c r="R7" s="34">
        <f>IF(OR(B7="",I7=""),"",SUMIFS('Supply Usage'!$E$5:$E$304,'Supply Usage'!$D$5:$D$304,B7,'Supply Usage'!$B$5:$B$304,"&gt;"&amp;I7))</f>
        <v>0</v>
      </c>
      <c r="S7" s="34">
        <f>IF(B7="","",IF(H7="","",H7-IF(R7="",0,R7)))</f>
        <v>0</v>
      </c>
      <c r="T7" s="34">
        <f>IF(B7="","",SUMIFS('Supply Usage'!$E$5:$E$304,'Supply Usage'!$D$5:$D$304,B7,'Supply Usage'!$B$5:$B$304,"&gt;="&amp;TodayDate-28))</f>
        <v>0</v>
      </c>
      <c r="U7" s="34">
        <f>IF(B7="","",ROUND(T7/28,3))</f>
        <v>0</v>
      </c>
      <c r="V7" s="31">
        <f>IF(OR(B7="",S7="",U7=0),"",ROUND(S7/U7,0))</f>
        <v>0</v>
      </c>
      <c r="W7" s="21">
        <f>IF(OR(B7="",S7="",P7=""),"",ROUND(S7*P7,2))</f>
        <v>0</v>
      </c>
      <c r="X7" s="21">
        <f>IF(B7="","",SUMIFS('Supply Usage'!$L$5:$L$304,'Supply Usage'!$D$5:$D$304,B7))</f>
        <v>0</v>
      </c>
      <c r="Y7" s="39">
        <f>IF(B7="","",IF(S7="","Not counted",IF(S7&lt;=0,"Out of stock",IF(AND(J7&lt;&gt;"",S7&lt;=J7),"Low stock",IF(AND(V7&lt;&gt;"",V7&lt;LowStockDays),"Low stock","In stock")))))</f>
        <v>0</v>
      </c>
      <c r="Z7" s="39">
        <f>IF(B7="","",IF(Y7="Out of stock","Order - none left",IF(Y7="Low stock","Order - running low",IF(Y7="Not counted","Add - count the stock",IF(AND(N7="No",C7="Chemicals &amp; detergents"),"Action - no safety data sheet","OK")))))</f>
        <v>0</v>
      </c>
    </row>
    <row r="8" spans="1:26">
      <c r="A8" s="43">
        <f>IF(B8="","",SupplyPrefix&amp;TEXT(ROW()-4,"0000"))</f>
        <v>0</v>
      </c>
      <c r="B8" s="15" t="s">
        <v>1709</v>
      </c>
      <c r="C8" s="15" t="s">
        <v>1701</v>
      </c>
      <c r="D8" s="15" t="s">
        <v>1702</v>
      </c>
      <c r="E8" s="15" t="s">
        <v>1710</v>
      </c>
      <c r="F8" s="17">
        <v>1</v>
      </c>
      <c r="G8" s="19">
        <v>3.1</v>
      </c>
      <c r="H8" s="17">
        <v>14</v>
      </c>
      <c r="I8" s="46">
        <v>46299</v>
      </c>
      <c r="J8" s="17">
        <v>6</v>
      </c>
      <c r="K8" s="17">
        <v>12</v>
      </c>
      <c r="L8" s="46">
        <v>46301</v>
      </c>
      <c r="M8" s="47" t="s">
        <v>454</v>
      </c>
      <c r="N8" s="47" t="s">
        <v>457</v>
      </c>
      <c r="O8" s="44" t="s">
        <v>1711</v>
      </c>
      <c r="P8" s="21">
        <f>IF(OR(B8="",G8="",F8="",F8=0),"",ROUND(G8/F8,4))</f>
        <v>0</v>
      </c>
      <c r="Q8" s="34">
        <f>IF(B8="","",SUMIFS('Supply Usage'!$E$5:$E$304,'Supply Usage'!$D$5:$D$304,B8))</f>
        <v>0</v>
      </c>
      <c r="R8" s="34">
        <f>IF(OR(B8="",I8=""),"",SUMIFS('Supply Usage'!$E$5:$E$304,'Supply Usage'!$D$5:$D$304,B8,'Supply Usage'!$B$5:$B$304,"&gt;"&amp;I8))</f>
        <v>0</v>
      </c>
      <c r="S8" s="34">
        <f>IF(B8="","",IF(H8="","",H8-IF(R8="",0,R8)))</f>
        <v>0</v>
      </c>
      <c r="T8" s="34">
        <f>IF(B8="","",SUMIFS('Supply Usage'!$E$5:$E$304,'Supply Usage'!$D$5:$D$304,B8,'Supply Usage'!$B$5:$B$304,"&gt;="&amp;TodayDate-28))</f>
        <v>0</v>
      </c>
      <c r="U8" s="34">
        <f>IF(B8="","",ROUND(T8/28,3))</f>
        <v>0</v>
      </c>
      <c r="V8" s="31">
        <f>IF(OR(B8="",S8="",U8=0),"",ROUND(S8/U8,0))</f>
        <v>0</v>
      </c>
      <c r="W8" s="21">
        <f>IF(OR(B8="",S8="",P8=""),"",ROUND(S8*P8,2))</f>
        <v>0</v>
      </c>
      <c r="X8" s="21">
        <f>IF(B8="","",SUMIFS('Supply Usage'!$L$5:$L$304,'Supply Usage'!$D$5:$D$304,B8))</f>
        <v>0</v>
      </c>
      <c r="Y8" s="39">
        <f>IF(B8="","",IF(S8="","Not counted",IF(S8&lt;=0,"Out of stock",IF(AND(J8&lt;&gt;"",S8&lt;=J8),"Low stock",IF(AND(V8&lt;&gt;"",V8&lt;LowStockDays),"Low stock","In stock")))))</f>
        <v>0</v>
      </c>
      <c r="Z8" s="39">
        <f>IF(B8="","",IF(Y8="Out of stock","Order - none left",IF(Y8="Low stock","Order - running low",IF(Y8="Not counted","Add - count the stock",IF(AND(N8="No",C8="Chemicals &amp; detergents"),"Action - no safety data sheet","OK")))))</f>
        <v>0</v>
      </c>
    </row>
    <row r="9" spans="1:26">
      <c r="A9" s="43">
        <f>IF(B9="","",SupplyPrefix&amp;TEXT(ROW()-4,"0000"))</f>
        <v>0</v>
      </c>
      <c r="B9" s="15" t="s">
        <v>1712</v>
      </c>
      <c r="C9" s="15" t="s">
        <v>1701</v>
      </c>
      <c r="D9" s="15" t="s">
        <v>1713</v>
      </c>
      <c r="E9" s="15" t="s">
        <v>1710</v>
      </c>
      <c r="F9" s="17">
        <v>1</v>
      </c>
      <c r="G9" s="19">
        <v>2.4</v>
      </c>
      <c r="H9" s="17">
        <v>11</v>
      </c>
      <c r="I9" s="46">
        <v>46299</v>
      </c>
      <c r="J9" s="17">
        <v>6</v>
      </c>
      <c r="K9" s="17">
        <v>12</v>
      </c>
      <c r="L9" s="46">
        <v>46294</v>
      </c>
      <c r="M9" s="47" t="s">
        <v>457</v>
      </c>
      <c r="N9" s="47" t="s">
        <v>454</v>
      </c>
      <c r="O9" s="44" t="s">
        <v>172</v>
      </c>
      <c r="P9" s="21">
        <f>IF(OR(B9="",G9="",F9="",F9=0),"",ROUND(G9/F9,4))</f>
        <v>0</v>
      </c>
      <c r="Q9" s="34">
        <f>IF(B9="","",SUMIFS('Supply Usage'!$E$5:$E$304,'Supply Usage'!$D$5:$D$304,B9))</f>
        <v>0</v>
      </c>
      <c r="R9" s="34">
        <f>IF(OR(B9="",I9=""),"",SUMIFS('Supply Usage'!$E$5:$E$304,'Supply Usage'!$D$5:$D$304,B9,'Supply Usage'!$B$5:$B$304,"&gt;"&amp;I9))</f>
        <v>0</v>
      </c>
      <c r="S9" s="34">
        <f>IF(B9="","",IF(H9="","",H9-IF(R9="",0,R9)))</f>
        <v>0</v>
      </c>
      <c r="T9" s="34">
        <f>IF(B9="","",SUMIFS('Supply Usage'!$E$5:$E$304,'Supply Usage'!$D$5:$D$304,B9,'Supply Usage'!$B$5:$B$304,"&gt;="&amp;TodayDate-28))</f>
        <v>0</v>
      </c>
      <c r="U9" s="34">
        <f>IF(B9="","",ROUND(T9/28,3))</f>
        <v>0</v>
      </c>
      <c r="V9" s="31">
        <f>IF(OR(B9="",S9="",U9=0),"",ROUND(S9/U9,0))</f>
        <v>0</v>
      </c>
      <c r="W9" s="21">
        <f>IF(OR(B9="",S9="",P9=""),"",ROUND(S9*P9,2))</f>
        <v>0</v>
      </c>
      <c r="X9" s="21">
        <f>IF(B9="","",SUMIFS('Supply Usage'!$L$5:$L$304,'Supply Usage'!$D$5:$D$304,B9))</f>
        <v>0</v>
      </c>
      <c r="Y9" s="39">
        <f>IF(B9="","",IF(S9="","Not counted",IF(S9&lt;=0,"Out of stock",IF(AND(J9&lt;&gt;"",S9&lt;=J9),"Low stock",IF(AND(V9&lt;&gt;"",V9&lt;LowStockDays),"Low stock","In stock")))))</f>
        <v>0</v>
      </c>
      <c r="Z9" s="39">
        <f>IF(B9="","",IF(Y9="Out of stock","Order - none left",IF(Y9="Low stock","Order - running low",IF(Y9="Not counted","Add - count the stock",IF(AND(N9="No",C9="Chemicals &amp; detergents"),"Action - no safety data sheet","OK")))))</f>
        <v>0</v>
      </c>
    </row>
    <row r="10" spans="1:26">
      <c r="A10" s="43">
        <f>IF(B10="","",SupplyPrefix&amp;TEXT(ROW()-4,"0000"))</f>
        <v>0</v>
      </c>
      <c r="B10" s="15" t="s">
        <v>1714</v>
      </c>
      <c r="C10" s="15" t="s">
        <v>1715</v>
      </c>
      <c r="D10" s="15" t="s">
        <v>1716</v>
      </c>
      <c r="E10" s="15" t="s">
        <v>1703</v>
      </c>
      <c r="F10" s="17">
        <v>5</v>
      </c>
      <c r="G10" s="19">
        <v>31</v>
      </c>
      <c r="H10" s="17">
        <v>2</v>
      </c>
      <c r="I10" s="46">
        <v>46299</v>
      </c>
      <c r="J10" s="17">
        <v>1</v>
      </c>
      <c r="K10" s="17">
        <v>2</v>
      </c>
      <c r="L10" s="46">
        <v>46280</v>
      </c>
      <c r="M10" s="47" t="s">
        <v>454</v>
      </c>
      <c r="N10" s="47" t="s">
        <v>454</v>
      </c>
      <c r="O10" s="44" t="s">
        <v>1717</v>
      </c>
      <c r="P10" s="21">
        <f>IF(OR(B10="",G10="",F10="",F10=0),"",ROUND(G10/F10,4))</f>
        <v>0</v>
      </c>
      <c r="Q10" s="34">
        <f>IF(B10="","",SUMIFS('Supply Usage'!$E$5:$E$304,'Supply Usage'!$D$5:$D$304,B10))</f>
        <v>0</v>
      </c>
      <c r="R10" s="34">
        <f>IF(OR(B10="",I10=""),"",SUMIFS('Supply Usage'!$E$5:$E$304,'Supply Usage'!$D$5:$D$304,B10,'Supply Usage'!$B$5:$B$304,"&gt;"&amp;I10))</f>
        <v>0</v>
      </c>
      <c r="S10" s="34">
        <f>IF(B10="","",IF(H10="","",H10-IF(R10="",0,R10)))</f>
        <v>0</v>
      </c>
      <c r="T10" s="34">
        <f>IF(B10="","",SUMIFS('Supply Usage'!$E$5:$E$304,'Supply Usage'!$D$5:$D$304,B10,'Supply Usage'!$B$5:$B$304,"&gt;="&amp;TodayDate-28))</f>
        <v>0</v>
      </c>
      <c r="U10" s="34">
        <f>IF(B10="","",ROUND(T10/28,3))</f>
        <v>0</v>
      </c>
      <c r="V10" s="31">
        <f>IF(OR(B10="",S10="",U10=0),"",ROUND(S10/U10,0))</f>
        <v>0</v>
      </c>
      <c r="W10" s="21">
        <f>IF(OR(B10="",S10="",P10=""),"",ROUND(S10*P10,2))</f>
        <v>0</v>
      </c>
      <c r="X10" s="21">
        <f>IF(B10="","",SUMIFS('Supply Usage'!$L$5:$L$304,'Supply Usage'!$D$5:$D$304,B10))</f>
        <v>0</v>
      </c>
      <c r="Y10" s="39">
        <f>IF(B10="","",IF(S10="","Not counted",IF(S10&lt;=0,"Out of stock",IF(AND(J10&lt;&gt;"",S10&lt;=J10),"Low stock",IF(AND(V10&lt;&gt;"",V10&lt;LowStockDays),"Low stock","In stock")))))</f>
        <v>0</v>
      </c>
      <c r="Z10" s="39">
        <f>IF(B10="","",IF(Y10="Out of stock","Order - none left",IF(Y10="Low stock","Order - running low",IF(Y10="Not counted","Add - count the stock",IF(AND(N10="No",C10="Chemicals &amp; detergents"),"Action - no safety data sheet","OK")))))</f>
        <v>0</v>
      </c>
    </row>
    <row r="11" spans="1:26">
      <c r="A11" s="43">
        <f>IF(B11="","",SupplyPrefix&amp;TEXT(ROW()-4,"0000"))</f>
        <v>0</v>
      </c>
      <c r="B11" s="15" t="s">
        <v>1718</v>
      </c>
      <c r="C11" s="15" t="s">
        <v>1719</v>
      </c>
      <c r="D11" s="15" t="s">
        <v>1713</v>
      </c>
      <c r="E11" s="15" t="s">
        <v>1720</v>
      </c>
      <c r="F11" s="17">
        <v>10</v>
      </c>
      <c r="G11" s="19">
        <v>9.9</v>
      </c>
      <c r="H11" s="17">
        <v>9</v>
      </c>
      <c r="I11" s="46">
        <v>46299</v>
      </c>
      <c r="J11" s="17">
        <v>4</v>
      </c>
      <c r="K11" s="17">
        <v>8</v>
      </c>
      <c r="L11" s="46">
        <v>46280</v>
      </c>
      <c r="M11" s="47" t="s">
        <v>454</v>
      </c>
      <c r="N11" s="47" t="s">
        <v>457</v>
      </c>
      <c r="O11" s="44" t="s">
        <v>1721</v>
      </c>
      <c r="P11" s="21">
        <f>IF(OR(B11="",G11="",F11="",F11=0),"",ROUND(G11/F11,4))</f>
        <v>0</v>
      </c>
      <c r="Q11" s="34">
        <f>IF(B11="","",SUMIFS('Supply Usage'!$E$5:$E$304,'Supply Usage'!$D$5:$D$304,B11))</f>
        <v>0</v>
      </c>
      <c r="R11" s="34">
        <f>IF(OR(B11="",I11=""),"",SUMIFS('Supply Usage'!$E$5:$E$304,'Supply Usage'!$D$5:$D$304,B11,'Supply Usage'!$B$5:$B$304,"&gt;"&amp;I11))</f>
        <v>0</v>
      </c>
      <c r="S11" s="34">
        <f>IF(B11="","",IF(H11="","",H11-IF(R11="",0,R11)))</f>
        <v>0</v>
      </c>
      <c r="T11" s="34">
        <f>IF(B11="","",SUMIFS('Supply Usage'!$E$5:$E$304,'Supply Usage'!$D$5:$D$304,B11,'Supply Usage'!$B$5:$B$304,"&gt;="&amp;TodayDate-28))</f>
        <v>0</v>
      </c>
      <c r="U11" s="34">
        <f>IF(B11="","",ROUND(T11/28,3))</f>
        <v>0</v>
      </c>
      <c r="V11" s="31">
        <f>IF(OR(B11="",S11="",U11=0),"",ROUND(S11/U11,0))</f>
        <v>0</v>
      </c>
      <c r="W11" s="21">
        <f>IF(OR(B11="",S11="",P11=""),"",ROUND(S11*P11,2))</f>
        <v>0</v>
      </c>
      <c r="X11" s="21">
        <f>IF(B11="","",SUMIFS('Supply Usage'!$L$5:$L$304,'Supply Usage'!$D$5:$D$304,B11))</f>
        <v>0</v>
      </c>
      <c r="Y11" s="39">
        <f>IF(B11="","",IF(S11="","Not counted",IF(S11&lt;=0,"Out of stock",IF(AND(J11&lt;&gt;"",S11&lt;=J11),"Low stock",IF(AND(V11&lt;&gt;"",V11&lt;LowStockDays),"Low stock","In stock")))))</f>
        <v>0</v>
      </c>
      <c r="Z11" s="39">
        <f>IF(B11="","",IF(Y11="Out of stock","Order - none left",IF(Y11="Low stock","Order - running low",IF(Y11="Not counted","Add - count the stock",IF(AND(N11="No",C11="Chemicals &amp; detergents"),"Action - no safety data sheet","OK")))))</f>
        <v>0</v>
      </c>
    </row>
    <row r="12" spans="1:26">
      <c r="A12" s="43">
        <f>IF(B12="","",SupplyPrefix&amp;TEXT(ROW()-4,"0000"))</f>
        <v>0</v>
      </c>
      <c r="B12" s="15" t="s">
        <v>1722</v>
      </c>
      <c r="C12" s="15" t="s">
        <v>1719</v>
      </c>
      <c r="D12" s="15" t="s">
        <v>1713</v>
      </c>
      <c r="E12" s="15" t="s">
        <v>1720</v>
      </c>
      <c r="F12" s="17">
        <v>10</v>
      </c>
      <c r="G12" s="19">
        <v>4.2</v>
      </c>
      <c r="H12" s="17">
        <v>7</v>
      </c>
      <c r="I12" s="46">
        <v>46299</v>
      </c>
      <c r="J12" s="17">
        <v>3</v>
      </c>
      <c r="K12" s="17">
        <v>6</v>
      </c>
      <c r="L12" s="46">
        <v>46280</v>
      </c>
      <c r="M12" s="47" t="s">
        <v>457</v>
      </c>
      <c r="N12" s="47" t="s">
        <v>457</v>
      </c>
      <c r="O12" s="44" t="s">
        <v>172</v>
      </c>
      <c r="P12" s="21">
        <f>IF(OR(B12="",G12="",F12="",F12=0),"",ROUND(G12/F12,4))</f>
        <v>0</v>
      </c>
      <c r="Q12" s="34">
        <f>IF(B12="","",SUMIFS('Supply Usage'!$E$5:$E$304,'Supply Usage'!$D$5:$D$304,B12))</f>
        <v>0</v>
      </c>
      <c r="R12" s="34">
        <f>IF(OR(B12="",I12=""),"",SUMIFS('Supply Usage'!$E$5:$E$304,'Supply Usage'!$D$5:$D$304,B12,'Supply Usage'!$B$5:$B$304,"&gt;"&amp;I12))</f>
        <v>0</v>
      </c>
      <c r="S12" s="34">
        <f>IF(B12="","",IF(H12="","",H12-IF(R12="",0,R12)))</f>
        <v>0</v>
      </c>
      <c r="T12" s="34">
        <f>IF(B12="","",SUMIFS('Supply Usage'!$E$5:$E$304,'Supply Usage'!$D$5:$D$304,B12,'Supply Usage'!$B$5:$B$304,"&gt;="&amp;TodayDate-28))</f>
        <v>0</v>
      </c>
      <c r="U12" s="34">
        <f>IF(B12="","",ROUND(T12/28,3))</f>
        <v>0</v>
      </c>
      <c r="V12" s="31">
        <f>IF(OR(B12="",S12="",U12=0),"",ROUND(S12/U12,0))</f>
        <v>0</v>
      </c>
      <c r="W12" s="21">
        <f>IF(OR(B12="",S12="",P12=""),"",ROUND(S12*P12,2))</f>
        <v>0</v>
      </c>
      <c r="X12" s="21">
        <f>IF(B12="","",SUMIFS('Supply Usage'!$L$5:$L$304,'Supply Usage'!$D$5:$D$304,B12))</f>
        <v>0</v>
      </c>
      <c r="Y12" s="39">
        <f>IF(B12="","",IF(S12="","Not counted",IF(S12&lt;=0,"Out of stock",IF(AND(J12&lt;&gt;"",S12&lt;=J12),"Low stock",IF(AND(V12&lt;&gt;"",V12&lt;LowStockDays),"Low stock","In stock")))))</f>
        <v>0</v>
      </c>
      <c r="Z12" s="39">
        <f>IF(B12="","",IF(Y12="Out of stock","Order - none left",IF(Y12="Low stock","Order - running low",IF(Y12="Not counted","Add - count the stock",IF(AND(N12="No",C12="Chemicals &amp; detergents"),"Action - no safety data sheet","OK")))))</f>
        <v>0</v>
      </c>
    </row>
    <row r="13" spans="1:26">
      <c r="A13" s="43">
        <f>IF(B13="","",SupplyPrefix&amp;TEXT(ROW()-4,"0000"))</f>
        <v>0</v>
      </c>
      <c r="B13" s="15" t="s">
        <v>1723</v>
      </c>
      <c r="C13" s="15" t="s">
        <v>1724</v>
      </c>
      <c r="D13" s="15" t="s">
        <v>1702</v>
      </c>
      <c r="E13" s="15" t="s">
        <v>470</v>
      </c>
      <c r="F13" s="17">
        <v>1</v>
      </c>
      <c r="G13" s="19">
        <v>6.5</v>
      </c>
      <c r="H13" s="17">
        <v>5</v>
      </c>
      <c r="I13" s="46">
        <v>46299</v>
      </c>
      <c r="J13" s="17">
        <v>4</v>
      </c>
      <c r="K13" s="17">
        <v>8</v>
      </c>
      <c r="L13" s="46">
        <v>46287</v>
      </c>
      <c r="M13" s="47" t="s">
        <v>457</v>
      </c>
      <c r="N13" s="47" t="s">
        <v>457</v>
      </c>
      <c r="O13" s="44" t="s">
        <v>1725</v>
      </c>
      <c r="P13" s="21">
        <f>IF(OR(B13="",G13="",F13="",F13=0),"",ROUND(G13/F13,4))</f>
        <v>0</v>
      </c>
      <c r="Q13" s="34">
        <f>IF(B13="","",SUMIFS('Supply Usage'!$E$5:$E$304,'Supply Usage'!$D$5:$D$304,B13))</f>
        <v>0</v>
      </c>
      <c r="R13" s="34">
        <f>IF(OR(B13="",I13=""),"",SUMIFS('Supply Usage'!$E$5:$E$304,'Supply Usage'!$D$5:$D$304,B13,'Supply Usage'!$B$5:$B$304,"&gt;"&amp;I13))</f>
        <v>0</v>
      </c>
      <c r="S13" s="34">
        <f>IF(B13="","",IF(H13="","",H13-IF(R13="",0,R13)))</f>
        <v>0</v>
      </c>
      <c r="T13" s="34">
        <f>IF(B13="","",SUMIFS('Supply Usage'!$E$5:$E$304,'Supply Usage'!$D$5:$D$304,B13,'Supply Usage'!$B$5:$B$304,"&gt;="&amp;TodayDate-28))</f>
        <v>0</v>
      </c>
      <c r="U13" s="34">
        <f>IF(B13="","",ROUND(T13/28,3))</f>
        <v>0</v>
      </c>
      <c r="V13" s="31">
        <f>IF(OR(B13="",S13="",U13=0),"",ROUND(S13/U13,0))</f>
        <v>0</v>
      </c>
      <c r="W13" s="21">
        <f>IF(OR(B13="",S13="",P13=""),"",ROUND(S13*P13,2))</f>
        <v>0</v>
      </c>
      <c r="X13" s="21">
        <f>IF(B13="","",SUMIFS('Supply Usage'!$L$5:$L$304,'Supply Usage'!$D$5:$D$304,B13))</f>
        <v>0</v>
      </c>
      <c r="Y13" s="39">
        <f>IF(B13="","",IF(S13="","Not counted",IF(S13&lt;=0,"Out of stock",IF(AND(J13&lt;&gt;"",S13&lt;=J13),"Low stock",IF(AND(V13&lt;&gt;"",V13&lt;LowStockDays),"Low stock","In stock")))))</f>
        <v>0</v>
      </c>
      <c r="Z13" s="39">
        <f>IF(B13="","",IF(Y13="Out of stock","Order - none left",IF(Y13="Low stock","Order - running low",IF(Y13="Not counted","Add - count the stock",IF(AND(N13="No",C13="Chemicals &amp; detergents"),"Action - no safety data sheet","OK")))))</f>
        <v>0</v>
      </c>
    </row>
    <row r="14" spans="1:26">
      <c r="A14" s="43">
        <f>IF(B14="","",SupplyPrefix&amp;TEXT(ROW()-4,"0000"))</f>
        <v>0</v>
      </c>
      <c r="B14" s="15" t="s">
        <v>1726</v>
      </c>
      <c r="C14" s="15" t="s">
        <v>1727</v>
      </c>
      <c r="D14" s="15" t="s">
        <v>1713</v>
      </c>
      <c r="E14" s="15" t="s">
        <v>1728</v>
      </c>
      <c r="F14" s="17">
        <v>50</v>
      </c>
      <c r="G14" s="19">
        <v>7.8</v>
      </c>
      <c r="H14" s="17">
        <v>8</v>
      </c>
      <c r="I14" s="46">
        <v>46299</v>
      </c>
      <c r="J14" s="17">
        <v>4</v>
      </c>
      <c r="K14" s="17">
        <v>10</v>
      </c>
      <c r="L14" s="46">
        <v>46280</v>
      </c>
      <c r="M14" s="47" t="s">
        <v>457</v>
      </c>
      <c r="N14" s="47" t="s">
        <v>457</v>
      </c>
      <c r="O14" s="44" t="s">
        <v>172</v>
      </c>
      <c r="P14" s="21">
        <f>IF(OR(B14="",G14="",F14="",F14=0),"",ROUND(G14/F14,4))</f>
        <v>0</v>
      </c>
      <c r="Q14" s="34">
        <f>IF(B14="","",SUMIFS('Supply Usage'!$E$5:$E$304,'Supply Usage'!$D$5:$D$304,B14))</f>
        <v>0</v>
      </c>
      <c r="R14" s="34">
        <f>IF(OR(B14="",I14=""),"",SUMIFS('Supply Usage'!$E$5:$E$304,'Supply Usage'!$D$5:$D$304,B14,'Supply Usage'!$B$5:$B$304,"&gt;"&amp;I14))</f>
        <v>0</v>
      </c>
      <c r="S14" s="34">
        <f>IF(B14="","",IF(H14="","",H14-IF(R14="",0,R14)))</f>
        <v>0</v>
      </c>
      <c r="T14" s="34">
        <f>IF(B14="","",SUMIFS('Supply Usage'!$E$5:$E$304,'Supply Usage'!$D$5:$D$304,B14,'Supply Usage'!$B$5:$B$304,"&gt;="&amp;TodayDate-28))</f>
        <v>0</v>
      </c>
      <c r="U14" s="34">
        <f>IF(B14="","",ROUND(T14/28,3))</f>
        <v>0</v>
      </c>
      <c r="V14" s="31">
        <f>IF(OR(B14="",S14="",U14=0),"",ROUND(S14/U14,0))</f>
        <v>0</v>
      </c>
      <c r="W14" s="21">
        <f>IF(OR(B14="",S14="",P14=""),"",ROUND(S14*P14,2))</f>
        <v>0</v>
      </c>
      <c r="X14" s="21">
        <f>IF(B14="","",SUMIFS('Supply Usage'!$L$5:$L$304,'Supply Usage'!$D$5:$D$304,B14))</f>
        <v>0</v>
      </c>
      <c r="Y14" s="39">
        <f>IF(B14="","",IF(S14="","Not counted",IF(S14&lt;=0,"Out of stock",IF(AND(J14&lt;&gt;"",S14&lt;=J14),"Low stock",IF(AND(V14&lt;&gt;"",V14&lt;LowStockDays),"Low stock","In stock")))))</f>
        <v>0</v>
      </c>
      <c r="Z14" s="39">
        <f>IF(B14="","",IF(Y14="Out of stock","Order - none left",IF(Y14="Low stock","Order - running low",IF(Y14="Not counted","Add - count the stock",IF(AND(N14="No",C14="Chemicals &amp; detergents"),"Action - no safety data sheet","OK")))))</f>
        <v>0</v>
      </c>
    </row>
    <row r="15" spans="1:26">
      <c r="A15" s="43">
        <f>IF(B15="","",SupplyPrefix&amp;TEXT(ROW()-4,"0000"))</f>
        <v>0</v>
      </c>
      <c r="B15" s="15" t="s">
        <v>1729</v>
      </c>
      <c r="C15" s="15" t="s">
        <v>1730</v>
      </c>
      <c r="D15" s="15" t="s">
        <v>1716</v>
      </c>
      <c r="E15" s="15" t="s">
        <v>1731</v>
      </c>
      <c r="F15" s="17">
        <v>100</v>
      </c>
      <c r="G15" s="19">
        <v>11.5</v>
      </c>
      <c r="H15" s="17">
        <v>4</v>
      </c>
      <c r="I15" s="46">
        <v>46299</v>
      </c>
      <c r="J15" s="17">
        <v>3</v>
      </c>
      <c r="K15" s="17">
        <v>6</v>
      </c>
      <c r="L15" s="46">
        <v>46294</v>
      </c>
      <c r="M15" s="47" t="s">
        <v>457</v>
      </c>
      <c r="N15" s="47" t="s">
        <v>457</v>
      </c>
      <c r="O15" s="44" t="s">
        <v>1732</v>
      </c>
      <c r="P15" s="21">
        <f>IF(OR(B15="",G15="",F15="",F15=0),"",ROUND(G15/F15,4))</f>
        <v>0</v>
      </c>
      <c r="Q15" s="34">
        <f>IF(B15="","",SUMIFS('Supply Usage'!$E$5:$E$304,'Supply Usage'!$D$5:$D$304,B15))</f>
        <v>0</v>
      </c>
      <c r="R15" s="34">
        <f>IF(OR(B15="",I15=""),"",SUMIFS('Supply Usage'!$E$5:$E$304,'Supply Usage'!$D$5:$D$304,B15,'Supply Usage'!$B$5:$B$304,"&gt;"&amp;I15))</f>
        <v>0</v>
      </c>
      <c r="S15" s="34">
        <f>IF(B15="","",IF(H15="","",H15-IF(R15="",0,R15)))</f>
        <v>0</v>
      </c>
      <c r="T15" s="34">
        <f>IF(B15="","",SUMIFS('Supply Usage'!$E$5:$E$304,'Supply Usage'!$D$5:$D$304,B15,'Supply Usage'!$B$5:$B$304,"&gt;="&amp;TodayDate-28))</f>
        <v>0</v>
      </c>
      <c r="U15" s="34">
        <f>IF(B15="","",ROUND(T15/28,3))</f>
        <v>0</v>
      </c>
      <c r="V15" s="31">
        <f>IF(OR(B15="",S15="",U15=0),"",ROUND(S15/U15,0))</f>
        <v>0</v>
      </c>
      <c r="W15" s="21">
        <f>IF(OR(B15="",S15="",P15=""),"",ROUND(S15*P15,2))</f>
        <v>0</v>
      </c>
      <c r="X15" s="21">
        <f>IF(B15="","",SUMIFS('Supply Usage'!$L$5:$L$304,'Supply Usage'!$D$5:$D$304,B15))</f>
        <v>0</v>
      </c>
      <c r="Y15" s="39">
        <f>IF(B15="","",IF(S15="","Not counted",IF(S15&lt;=0,"Out of stock",IF(AND(J15&lt;&gt;"",S15&lt;=J15),"Low stock",IF(AND(V15&lt;&gt;"",V15&lt;LowStockDays),"Low stock","In stock")))))</f>
        <v>0</v>
      </c>
      <c r="Z15" s="39">
        <f>IF(B15="","",IF(Y15="Out of stock","Order - none left",IF(Y15="Low stock","Order - running low",IF(Y15="Not counted","Add - count the stock",IF(AND(N15="No",C15="Chemicals &amp; detergents"),"Action - no safety data sheet","OK")))))</f>
        <v>0</v>
      </c>
    </row>
    <row r="16" spans="1:26">
      <c r="A16" s="43">
        <f>IF(B16="","",SupplyPrefix&amp;TEXT(ROW()-4,"0000"))</f>
        <v>0</v>
      </c>
      <c r="B16" s="15" t="s">
        <v>1733</v>
      </c>
      <c r="C16" s="15" t="s">
        <v>1734</v>
      </c>
      <c r="D16" s="15" t="s">
        <v>1713</v>
      </c>
      <c r="E16" s="15" t="s">
        <v>1735</v>
      </c>
      <c r="F16" s="17">
        <v>36</v>
      </c>
      <c r="G16" s="19">
        <v>28</v>
      </c>
      <c r="H16" s="17">
        <v>2</v>
      </c>
      <c r="I16" s="46">
        <v>46299</v>
      </c>
      <c r="J16" s="17">
        <v>2</v>
      </c>
      <c r="K16" s="17">
        <v>4</v>
      </c>
      <c r="L16" s="46">
        <v>46294</v>
      </c>
      <c r="M16" s="47" t="s">
        <v>454</v>
      </c>
      <c r="N16" s="47" t="s">
        <v>457</v>
      </c>
      <c r="O16" s="44" t="s">
        <v>1736</v>
      </c>
      <c r="P16" s="21">
        <f>IF(OR(B16="",G16="",F16="",F16=0),"",ROUND(G16/F16,4))</f>
        <v>0</v>
      </c>
      <c r="Q16" s="34">
        <f>IF(B16="","",SUMIFS('Supply Usage'!$E$5:$E$304,'Supply Usage'!$D$5:$D$304,B16))</f>
        <v>0</v>
      </c>
      <c r="R16" s="34">
        <f>IF(OR(B16="",I16=""),"",SUMIFS('Supply Usage'!$E$5:$E$304,'Supply Usage'!$D$5:$D$304,B16,'Supply Usage'!$B$5:$B$304,"&gt;"&amp;I16))</f>
        <v>0</v>
      </c>
      <c r="S16" s="34">
        <f>IF(B16="","",IF(H16="","",H16-IF(R16="",0,R16)))</f>
        <v>0</v>
      </c>
      <c r="T16" s="34">
        <f>IF(B16="","",SUMIFS('Supply Usage'!$E$5:$E$304,'Supply Usage'!$D$5:$D$304,B16,'Supply Usage'!$B$5:$B$304,"&gt;="&amp;TodayDate-28))</f>
        <v>0</v>
      </c>
      <c r="U16" s="34">
        <f>IF(B16="","",ROUND(T16/28,3))</f>
        <v>0</v>
      </c>
      <c r="V16" s="31">
        <f>IF(OR(B16="",S16="",U16=0),"",ROUND(S16/U16,0))</f>
        <v>0</v>
      </c>
      <c r="W16" s="21">
        <f>IF(OR(B16="",S16="",P16=""),"",ROUND(S16*P16,2))</f>
        <v>0</v>
      </c>
      <c r="X16" s="21">
        <f>IF(B16="","",SUMIFS('Supply Usage'!$L$5:$L$304,'Supply Usage'!$D$5:$D$304,B16))</f>
        <v>0</v>
      </c>
      <c r="Y16" s="39">
        <f>IF(B16="","",IF(S16="","Not counted",IF(S16&lt;=0,"Out of stock",IF(AND(J16&lt;&gt;"",S16&lt;=J16),"Low stock",IF(AND(V16&lt;&gt;"",V16&lt;LowStockDays),"Low stock","In stock")))))</f>
        <v>0</v>
      </c>
      <c r="Z16" s="39">
        <f>IF(B16="","",IF(Y16="Out of stock","Order - none left",IF(Y16="Low stock","Order - running low",IF(Y16="Not counted","Add - count the stock",IF(AND(N16="No",C16="Chemicals &amp; detergents"),"Action - no safety data sheet","OK")))))</f>
        <v>0</v>
      </c>
    </row>
    <row r="17" spans="1:26">
      <c r="A17" s="43">
        <f>IF(B17="","",SupplyPrefix&amp;TEXT(ROW()-4,"0000"))</f>
        <v>0</v>
      </c>
      <c r="B17" s="15" t="s">
        <v>1737</v>
      </c>
      <c r="C17" s="15" t="s">
        <v>1734</v>
      </c>
      <c r="D17" s="15" t="s">
        <v>1713</v>
      </c>
      <c r="E17" s="15" t="s">
        <v>1738</v>
      </c>
      <c r="F17" s="17">
        <v>1</v>
      </c>
      <c r="G17" s="19">
        <v>4.6</v>
      </c>
      <c r="H17" s="17">
        <v>6</v>
      </c>
      <c r="I17" s="46">
        <v>46299</v>
      </c>
      <c r="J17" s="17">
        <v>3</v>
      </c>
      <c r="K17" s="17">
        <v>6</v>
      </c>
      <c r="L17" s="46">
        <v>46294</v>
      </c>
      <c r="M17" s="47" t="s">
        <v>454</v>
      </c>
      <c r="N17" s="47" t="s">
        <v>457</v>
      </c>
      <c r="O17" s="44" t="s">
        <v>172</v>
      </c>
      <c r="P17" s="21">
        <f>IF(OR(B17="",G17="",F17="",F17=0),"",ROUND(G17/F17,4))</f>
        <v>0</v>
      </c>
      <c r="Q17" s="34">
        <f>IF(B17="","",SUMIFS('Supply Usage'!$E$5:$E$304,'Supply Usage'!$D$5:$D$304,B17))</f>
        <v>0</v>
      </c>
      <c r="R17" s="34">
        <f>IF(OR(B17="",I17=""),"",SUMIFS('Supply Usage'!$E$5:$E$304,'Supply Usage'!$D$5:$D$304,B17,'Supply Usage'!$B$5:$B$304,"&gt;"&amp;I17))</f>
        <v>0</v>
      </c>
      <c r="S17" s="34">
        <f>IF(B17="","",IF(H17="","",H17-IF(R17="",0,R17)))</f>
        <v>0</v>
      </c>
      <c r="T17" s="34">
        <f>IF(B17="","",SUMIFS('Supply Usage'!$E$5:$E$304,'Supply Usage'!$D$5:$D$304,B17,'Supply Usage'!$B$5:$B$304,"&gt;="&amp;TodayDate-28))</f>
        <v>0</v>
      </c>
      <c r="U17" s="34">
        <f>IF(B17="","",ROUND(T17/28,3))</f>
        <v>0</v>
      </c>
      <c r="V17" s="31">
        <f>IF(OR(B17="",S17="",U17=0),"",ROUND(S17/U17,0))</f>
        <v>0</v>
      </c>
      <c r="W17" s="21">
        <f>IF(OR(B17="",S17="",P17=""),"",ROUND(S17*P17,2))</f>
        <v>0</v>
      </c>
      <c r="X17" s="21">
        <f>IF(B17="","",SUMIFS('Supply Usage'!$L$5:$L$304,'Supply Usage'!$D$5:$D$304,B17))</f>
        <v>0</v>
      </c>
      <c r="Y17" s="39">
        <f>IF(B17="","",IF(S17="","Not counted",IF(S17&lt;=0,"Out of stock",IF(AND(J17&lt;&gt;"",S17&lt;=J17),"Low stock",IF(AND(V17&lt;&gt;"",V17&lt;LowStockDays),"Low stock","In stock")))))</f>
        <v>0</v>
      </c>
      <c r="Z17" s="39">
        <f>IF(B17="","",IF(Y17="Out of stock","Order - none left",IF(Y17="Low stock","Order - running low",IF(Y17="Not counted","Add - count the stock",IF(AND(N17="No",C17="Chemicals &amp; detergents"),"Action - no safety data sheet","OK")))))</f>
        <v>0</v>
      </c>
    </row>
    <row r="18" spans="1:26">
      <c r="A18" s="43">
        <f>IF(B18="","",SupplyPrefix&amp;TEXT(ROW()-4,"0000"))</f>
        <v>0</v>
      </c>
      <c r="B18" s="15" t="s">
        <v>1739</v>
      </c>
      <c r="C18" s="15" t="s">
        <v>1740</v>
      </c>
      <c r="D18" s="15" t="s">
        <v>1741</v>
      </c>
      <c r="E18" s="15" t="s">
        <v>1720</v>
      </c>
      <c r="F18" s="17">
        <v>10</v>
      </c>
      <c r="G18" s="19">
        <v>12.4</v>
      </c>
      <c r="H18" s="17">
        <v>3</v>
      </c>
      <c r="I18" s="46">
        <v>46299</v>
      </c>
      <c r="J18" s="17">
        <v>2</v>
      </c>
      <c r="K18" s="17">
        <v>4</v>
      </c>
      <c r="L18" s="46">
        <v>46301</v>
      </c>
      <c r="M18" s="47" t="s">
        <v>457</v>
      </c>
      <c r="N18" s="47" t="s">
        <v>457</v>
      </c>
      <c r="O18" s="44" t="s">
        <v>1742</v>
      </c>
      <c r="P18" s="21">
        <f>IF(OR(B18="",G18="",F18="",F18=0),"",ROUND(G18/F18,4))</f>
        <v>0</v>
      </c>
      <c r="Q18" s="34">
        <f>IF(B18="","",SUMIFS('Supply Usage'!$E$5:$E$304,'Supply Usage'!$D$5:$D$304,B18))</f>
        <v>0</v>
      </c>
      <c r="R18" s="34">
        <f>IF(OR(B18="",I18=""),"",SUMIFS('Supply Usage'!$E$5:$E$304,'Supply Usage'!$D$5:$D$304,B18,'Supply Usage'!$B$5:$B$304,"&gt;"&amp;I18))</f>
        <v>0</v>
      </c>
      <c r="S18" s="34">
        <f>IF(B18="","",IF(H18="","",H18-IF(R18="",0,R18)))</f>
        <v>0</v>
      </c>
      <c r="T18" s="34">
        <f>IF(B18="","",SUMIFS('Supply Usage'!$E$5:$E$304,'Supply Usage'!$D$5:$D$304,B18,'Supply Usage'!$B$5:$B$304,"&gt;="&amp;TodayDate-28))</f>
        <v>0</v>
      </c>
      <c r="U18" s="34">
        <f>IF(B18="","",ROUND(T18/28,3))</f>
        <v>0</v>
      </c>
      <c r="V18" s="31">
        <f>IF(OR(B18="",S18="",U18=0),"",ROUND(S18/U18,0))</f>
        <v>0</v>
      </c>
      <c r="W18" s="21">
        <f>IF(OR(B18="",S18="",P18=""),"",ROUND(S18*P18,2))</f>
        <v>0</v>
      </c>
      <c r="X18" s="21">
        <f>IF(B18="","",SUMIFS('Supply Usage'!$L$5:$L$304,'Supply Usage'!$D$5:$D$304,B18))</f>
        <v>0</v>
      </c>
      <c r="Y18" s="39">
        <f>IF(B18="","",IF(S18="","Not counted",IF(S18&lt;=0,"Out of stock",IF(AND(J18&lt;&gt;"",S18&lt;=J18),"Low stock",IF(AND(V18&lt;&gt;"",V18&lt;LowStockDays),"Low stock","In stock")))))</f>
        <v>0</v>
      </c>
      <c r="Z18" s="39">
        <f>IF(B18="","",IF(Y18="Out of stock","Order - none left",IF(Y18="Low stock","Order - running low",IF(Y18="Not counted","Add - count the stock",IF(AND(N18="No",C18="Chemicals &amp; detergents"),"Action - no safety data sheet","OK")))))</f>
        <v>0</v>
      </c>
    </row>
    <row r="19" spans="1:26">
      <c r="A19" s="43">
        <f>IF(B19="","",SupplyPrefix&amp;TEXT(ROW()-4,"0000"))</f>
        <v>0</v>
      </c>
      <c r="B19" s="15" t="s">
        <v>1743</v>
      </c>
      <c r="C19" s="15" t="s">
        <v>1744</v>
      </c>
      <c r="D19" s="15" t="s">
        <v>1713</v>
      </c>
      <c r="E19" s="15" t="s">
        <v>1703</v>
      </c>
      <c r="F19" s="17">
        <v>5</v>
      </c>
      <c r="G19" s="19">
        <v>14.2</v>
      </c>
      <c r="H19" s="17">
        <v>2</v>
      </c>
      <c r="I19" s="46">
        <v>46299</v>
      </c>
      <c r="J19" s="17">
        <v>1</v>
      </c>
      <c r="K19" s="17">
        <v>2</v>
      </c>
      <c r="L19" s="46">
        <v>46280</v>
      </c>
      <c r="M19" s="47" t="s">
        <v>454</v>
      </c>
      <c r="N19" s="47" t="s">
        <v>457</v>
      </c>
      <c r="O19" s="44" t="s">
        <v>1745</v>
      </c>
      <c r="P19" s="21">
        <f>IF(OR(B19="",G19="",F19="",F19=0),"",ROUND(G19/F19,4))</f>
        <v>0</v>
      </c>
      <c r="Q19" s="34">
        <f>IF(B19="","",SUMIFS('Supply Usage'!$E$5:$E$304,'Supply Usage'!$D$5:$D$304,B19))</f>
        <v>0</v>
      </c>
      <c r="R19" s="34">
        <f>IF(OR(B19="",I19=""),"",SUMIFS('Supply Usage'!$E$5:$E$304,'Supply Usage'!$D$5:$D$304,B19,'Supply Usage'!$B$5:$B$304,"&gt;"&amp;I19))</f>
        <v>0</v>
      </c>
      <c r="S19" s="34">
        <f>IF(B19="","",IF(H19="","",H19-IF(R19="",0,R19)))</f>
        <v>0</v>
      </c>
      <c r="T19" s="34">
        <f>IF(B19="","",SUMIFS('Supply Usage'!$E$5:$E$304,'Supply Usage'!$D$5:$D$304,B19,'Supply Usage'!$B$5:$B$304,"&gt;="&amp;TodayDate-28))</f>
        <v>0</v>
      </c>
      <c r="U19" s="34">
        <f>IF(B19="","",ROUND(T19/28,3))</f>
        <v>0</v>
      </c>
      <c r="V19" s="31">
        <f>IF(OR(B19="",S19="",U19=0),"",ROUND(S19/U19,0))</f>
        <v>0</v>
      </c>
      <c r="W19" s="21">
        <f>IF(OR(B19="",S19="",P19=""),"",ROUND(S19*P19,2))</f>
        <v>0</v>
      </c>
      <c r="X19" s="21">
        <f>IF(B19="","",SUMIFS('Supply Usage'!$L$5:$L$304,'Supply Usage'!$D$5:$D$304,B19))</f>
        <v>0</v>
      </c>
      <c r="Y19" s="39">
        <f>IF(B19="","",IF(S19="","Not counted",IF(S19&lt;=0,"Out of stock",IF(AND(J19&lt;&gt;"",S19&lt;=J19),"Low stock",IF(AND(V19&lt;&gt;"",V19&lt;LowStockDays),"Low stock","In stock")))))</f>
        <v>0</v>
      </c>
      <c r="Z19" s="39">
        <f>IF(B19="","",IF(Y19="Out of stock","Order - none left",IF(Y19="Low stock","Order - running low",IF(Y19="Not counted","Add - count the stock",IF(AND(N19="No",C19="Chemicals &amp; detergents"),"Action - no safety data sheet","OK")))))</f>
        <v>0</v>
      </c>
    </row>
    <row r="20" spans="1:26">
      <c r="A20" s="43">
        <f>IF(B20="","",SupplyPrefix&amp;TEXT(ROW()-4,"0000"))</f>
        <v>0</v>
      </c>
      <c r="B20" s="15" t="s">
        <v>1746</v>
      </c>
      <c r="C20" s="15" t="s">
        <v>1715</v>
      </c>
      <c r="D20" s="15" t="s">
        <v>1747</v>
      </c>
      <c r="E20" s="15" t="s">
        <v>1710</v>
      </c>
      <c r="F20" s="17">
        <v>1</v>
      </c>
      <c r="G20" s="19">
        <v>16.9</v>
      </c>
      <c r="H20" s="17">
        <v>3</v>
      </c>
      <c r="I20" s="46">
        <v>46299</v>
      </c>
      <c r="J20" s="17">
        <v>2</v>
      </c>
      <c r="K20" s="17">
        <v>4</v>
      </c>
      <c r="L20" s="46">
        <v>46280</v>
      </c>
      <c r="M20" s="47" t="s">
        <v>457</v>
      </c>
      <c r="N20" s="47" t="s">
        <v>454</v>
      </c>
      <c r="O20" s="44" t="s">
        <v>1748</v>
      </c>
      <c r="P20" s="21">
        <f>IF(OR(B20="",G20="",F20="",F20=0),"",ROUND(G20/F20,4))</f>
        <v>0</v>
      </c>
      <c r="Q20" s="34">
        <f>IF(B20="","",SUMIFS('Supply Usage'!$E$5:$E$304,'Supply Usage'!$D$5:$D$304,B20))</f>
        <v>0</v>
      </c>
      <c r="R20" s="34">
        <f>IF(OR(B20="",I20=""),"",SUMIFS('Supply Usage'!$E$5:$E$304,'Supply Usage'!$D$5:$D$304,B20,'Supply Usage'!$B$5:$B$304,"&gt;"&amp;I20))</f>
        <v>0</v>
      </c>
      <c r="S20" s="34">
        <f>IF(B20="","",IF(H20="","",H20-IF(R20="",0,R20)))</f>
        <v>0</v>
      </c>
      <c r="T20" s="34">
        <f>IF(B20="","",SUMIFS('Supply Usage'!$E$5:$E$304,'Supply Usage'!$D$5:$D$304,B20,'Supply Usage'!$B$5:$B$304,"&gt;="&amp;TodayDate-28))</f>
        <v>0</v>
      </c>
      <c r="U20" s="34">
        <f>IF(B20="","",ROUND(T20/28,3))</f>
        <v>0</v>
      </c>
      <c r="V20" s="31">
        <f>IF(OR(B20="",S20="",U20=0),"",ROUND(S20/U20,0))</f>
        <v>0</v>
      </c>
      <c r="W20" s="21">
        <f>IF(OR(B20="",S20="",P20=""),"",ROUND(S20*P20,2))</f>
        <v>0</v>
      </c>
      <c r="X20" s="21">
        <f>IF(B20="","",SUMIFS('Supply Usage'!$L$5:$L$304,'Supply Usage'!$D$5:$D$304,B20))</f>
        <v>0</v>
      </c>
      <c r="Y20" s="39">
        <f>IF(B20="","",IF(S20="","Not counted",IF(S20&lt;=0,"Out of stock",IF(AND(J20&lt;&gt;"",S20&lt;=J20),"Low stock",IF(AND(V20&lt;&gt;"",V20&lt;LowStockDays),"Low stock","In stock")))))</f>
        <v>0</v>
      </c>
      <c r="Z20" s="39">
        <f>IF(B20="","",IF(Y20="Out of stock","Order - none left",IF(Y20="Low stock","Order - running low",IF(Y20="Not counted","Add - count the stock",IF(AND(N20="No",C20="Chemicals &amp; detergents"),"Action - no safety data sheet","OK")))))</f>
        <v>0</v>
      </c>
    </row>
    <row r="21" spans="1:26">
      <c r="A21" s="43">
        <f>IF(B21="","",SupplyPrefix&amp;TEXT(ROW()-4,"0000"))</f>
        <v>0</v>
      </c>
      <c r="P21" s="21">
        <f>IF(OR(B21="",G21="",F21="",F21=0),"",ROUND(G21/F21,4))</f>
        <v>0</v>
      </c>
      <c r="Q21" s="34">
        <f>IF(B21="","",SUMIFS('Supply Usage'!$E$5:$E$304,'Supply Usage'!$D$5:$D$304,B21))</f>
        <v>0</v>
      </c>
      <c r="R21" s="34">
        <f>IF(OR(B21="",I21=""),"",SUMIFS('Supply Usage'!$E$5:$E$304,'Supply Usage'!$D$5:$D$304,B21,'Supply Usage'!$B$5:$B$304,"&gt;"&amp;I21))</f>
        <v>0</v>
      </c>
      <c r="S21" s="34">
        <f>IF(B21="","",IF(H21="","",H21-IF(R21="",0,R21)))</f>
        <v>0</v>
      </c>
      <c r="T21" s="34">
        <f>IF(B21="","",SUMIFS('Supply Usage'!$E$5:$E$304,'Supply Usage'!$D$5:$D$304,B21,'Supply Usage'!$B$5:$B$304,"&gt;="&amp;TodayDate-28))</f>
        <v>0</v>
      </c>
      <c r="U21" s="34">
        <f>IF(B21="","",ROUND(T21/28,3))</f>
        <v>0</v>
      </c>
      <c r="V21" s="31">
        <f>IF(OR(B21="",S21="",U21=0),"",ROUND(S21/U21,0))</f>
        <v>0</v>
      </c>
      <c r="W21" s="21">
        <f>IF(OR(B21="",S21="",P21=""),"",ROUND(S21*P21,2))</f>
        <v>0</v>
      </c>
      <c r="X21" s="21">
        <f>IF(B21="","",SUMIFS('Supply Usage'!$L$5:$L$304,'Supply Usage'!$D$5:$D$304,B21))</f>
        <v>0</v>
      </c>
      <c r="Y21" s="39">
        <f>IF(B21="","",IF(S21="","Not counted",IF(S21&lt;=0,"Out of stock",IF(AND(J21&lt;&gt;"",S21&lt;=J21),"Low stock",IF(AND(V21&lt;&gt;"",V21&lt;LowStockDays),"Low stock","In stock")))))</f>
        <v>0</v>
      </c>
      <c r="Z21" s="39">
        <f>IF(B21="","",IF(Y21="Out of stock","Order - none left",IF(Y21="Low stock","Order - running low",IF(Y21="Not counted","Add - count the stock",IF(AND(N21="No",C21="Chemicals &amp; detergents"),"Action - no safety data sheet","OK")))))</f>
        <v>0</v>
      </c>
    </row>
    <row r="22" spans="1:26">
      <c r="A22" s="43">
        <f>IF(B22="","",SupplyPrefix&amp;TEXT(ROW()-4,"0000"))</f>
        <v>0</v>
      </c>
      <c r="P22" s="21">
        <f>IF(OR(B22="",G22="",F22="",F22=0),"",ROUND(G22/F22,4))</f>
        <v>0</v>
      </c>
      <c r="Q22" s="34">
        <f>IF(B22="","",SUMIFS('Supply Usage'!$E$5:$E$304,'Supply Usage'!$D$5:$D$304,B22))</f>
        <v>0</v>
      </c>
      <c r="R22" s="34">
        <f>IF(OR(B22="",I22=""),"",SUMIFS('Supply Usage'!$E$5:$E$304,'Supply Usage'!$D$5:$D$304,B22,'Supply Usage'!$B$5:$B$304,"&gt;"&amp;I22))</f>
        <v>0</v>
      </c>
      <c r="S22" s="34">
        <f>IF(B22="","",IF(H22="","",H22-IF(R22="",0,R22)))</f>
        <v>0</v>
      </c>
      <c r="T22" s="34">
        <f>IF(B22="","",SUMIFS('Supply Usage'!$E$5:$E$304,'Supply Usage'!$D$5:$D$304,B22,'Supply Usage'!$B$5:$B$304,"&gt;="&amp;TodayDate-28))</f>
        <v>0</v>
      </c>
      <c r="U22" s="34">
        <f>IF(B22="","",ROUND(T22/28,3))</f>
        <v>0</v>
      </c>
      <c r="V22" s="31">
        <f>IF(OR(B22="",S22="",U22=0),"",ROUND(S22/U22,0))</f>
        <v>0</v>
      </c>
      <c r="W22" s="21">
        <f>IF(OR(B22="",S22="",P22=""),"",ROUND(S22*P22,2))</f>
        <v>0</v>
      </c>
      <c r="X22" s="21">
        <f>IF(B22="","",SUMIFS('Supply Usage'!$L$5:$L$304,'Supply Usage'!$D$5:$D$304,B22))</f>
        <v>0</v>
      </c>
      <c r="Y22" s="39">
        <f>IF(B22="","",IF(S22="","Not counted",IF(S22&lt;=0,"Out of stock",IF(AND(J22&lt;&gt;"",S22&lt;=J22),"Low stock",IF(AND(V22&lt;&gt;"",V22&lt;LowStockDays),"Low stock","In stock")))))</f>
        <v>0</v>
      </c>
      <c r="Z22" s="39">
        <f>IF(B22="","",IF(Y22="Out of stock","Order - none left",IF(Y22="Low stock","Order - running low",IF(Y22="Not counted","Add - count the stock",IF(AND(N22="No",C22="Chemicals &amp; detergents"),"Action - no safety data sheet","OK")))))</f>
        <v>0</v>
      </c>
    </row>
    <row r="23" spans="1:26">
      <c r="A23" s="43">
        <f>IF(B23="","",SupplyPrefix&amp;TEXT(ROW()-4,"0000"))</f>
        <v>0</v>
      </c>
      <c r="P23" s="21">
        <f>IF(OR(B23="",G23="",F23="",F23=0),"",ROUND(G23/F23,4))</f>
        <v>0</v>
      </c>
      <c r="Q23" s="34">
        <f>IF(B23="","",SUMIFS('Supply Usage'!$E$5:$E$304,'Supply Usage'!$D$5:$D$304,B23))</f>
        <v>0</v>
      </c>
      <c r="R23" s="34">
        <f>IF(OR(B23="",I23=""),"",SUMIFS('Supply Usage'!$E$5:$E$304,'Supply Usage'!$D$5:$D$304,B23,'Supply Usage'!$B$5:$B$304,"&gt;"&amp;I23))</f>
        <v>0</v>
      </c>
      <c r="S23" s="34">
        <f>IF(B23="","",IF(H23="","",H23-IF(R23="",0,R23)))</f>
        <v>0</v>
      </c>
      <c r="T23" s="34">
        <f>IF(B23="","",SUMIFS('Supply Usage'!$E$5:$E$304,'Supply Usage'!$D$5:$D$304,B23,'Supply Usage'!$B$5:$B$304,"&gt;="&amp;TodayDate-28))</f>
        <v>0</v>
      </c>
      <c r="U23" s="34">
        <f>IF(B23="","",ROUND(T23/28,3))</f>
        <v>0</v>
      </c>
      <c r="V23" s="31">
        <f>IF(OR(B23="",S23="",U23=0),"",ROUND(S23/U23,0))</f>
        <v>0</v>
      </c>
      <c r="W23" s="21">
        <f>IF(OR(B23="",S23="",P23=""),"",ROUND(S23*P23,2))</f>
        <v>0</v>
      </c>
      <c r="X23" s="21">
        <f>IF(B23="","",SUMIFS('Supply Usage'!$L$5:$L$304,'Supply Usage'!$D$5:$D$304,B23))</f>
        <v>0</v>
      </c>
      <c r="Y23" s="39">
        <f>IF(B23="","",IF(S23="","Not counted",IF(S23&lt;=0,"Out of stock",IF(AND(J23&lt;&gt;"",S23&lt;=J23),"Low stock",IF(AND(V23&lt;&gt;"",V23&lt;LowStockDays),"Low stock","In stock")))))</f>
        <v>0</v>
      </c>
      <c r="Z23" s="39">
        <f>IF(B23="","",IF(Y23="Out of stock","Order - none left",IF(Y23="Low stock","Order - running low",IF(Y23="Not counted","Add - count the stock",IF(AND(N23="No",C23="Chemicals &amp; detergents"),"Action - no safety data sheet","OK")))))</f>
        <v>0</v>
      </c>
    </row>
    <row r="24" spans="1:26">
      <c r="A24" s="43">
        <f>IF(B24="","",SupplyPrefix&amp;TEXT(ROW()-4,"0000"))</f>
        <v>0</v>
      </c>
      <c r="P24" s="21">
        <f>IF(OR(B24="",G24="",F24="",F24=0),"",ROUND(G24/F24,4))</f>
        <v>0</v>
      </c>
      <c r="Q24" s="34">
        <f>IF(B24="","",SUMIFS('Supply Usage'!$E$5:$E$304,'Supply Usage'!$D$5:$D$304,B24))</f>
        <v>0</v>
      </c>
      <c r="R24" s="34">
        <f>IF(OR(B24="",I24=""),"",SUMIFS('Supply Usage'!$E$5:$E$304,'Supply Usage'!$D$5:$D$304,B24,'Supply Usage'!$B$5:$B$304,"&gt;"&amp;I24))</f>
        <v>0</v>
      </c>
      <c r="S24" s="34">
        <f>IF(B24="","",IF(H24="","",H24-IF(R24="",0,R24)))</f>
        <v>0</v>
      </c>
      <c r="T24" s="34">
        <f>IF(B24="","",SUMIFS('Supply Usage'!$E$5:$E$304,'Supply Usage'!$D$5:$D$304,B24,'Supply Usage'!$B$5:$B$304,"&gt;="&amp;TodayDate-28))</f>
        <v>0</v>
      </c>
      <c r="U24" s="34">
        <f>IF(B24="","",ROUND(T24/28,3))</f>
        <v>0</v>
      </c>
      <c r="V24" s="31">
        <f>IF(OR(B24="",S24="",U24=0),"",ROUND(S24/U24,0))</f>
        <v>0</v>
      </c>
      <c r="W24" s="21">
        <f>IF(OR(B24="",S24="",P24=""),"",ROUND(S24*P24,2))</f>
        <v>0</v>
      </c>
      <c r="X24" s="21">
        <f>IF(B24="","",SUMIFS('Supply Usage'!$L$5:$L$304,'Supply Usage'!$D$5:$D$304,B24))</f>
        <v>0</v>
      </c>
      <c r="Y24" s="39">
        <f>IF(B24="","",IF(S24="","Not counted",IF(S24&lt;=0,"Out of stock",IF(AND(J24&lt;&gt;"",S24&lt;=J24),"Low stock",IF(AND(V24&lt;&gt;"",V24&lt;LowStockDays),"Low stock","In stock")))))</f>
        <v>0</v>
      </c>
      <c r="Z24" s="39">
        <f>IF(B24="","",IF(Y24="Out of stock","Order - none left",IF(Y24="Low stock","Order - running low",IF(Y24="Not counted","Add - count the stock",IF(AND(N24="No",C24="Chemicals &amp; detergents"),"Action - no safety data sheet","OK")))))</f>
        <v>0</v>
      </c>
    </row>
    <row r="25" spans="1:26">
      <c r="A25" s="43">
        <f>IF(B25="","",SupplyPrefix&amp;TEXT(ROW()-4,"0000"))</f>
        <v>0</v>
      </c>
      <c r="P25" s="21">
        <f>IF(OR(B25="",G25="",F25="",F25=0),"",ROUND(G25/F25,4))</f>
        <v>0</v>
      </c>
      <c r="Q25" s="34">
        <f>IF(B25="","",SUMIFS('Supply Usage'!$E$5:$E$304,'Supply Usage'!$D$5:$D$304,B25))</f>
        <v>0</v>
      </c>
      <c r="R25" s="34">
        <f>IF(OR(B25="",I25=""),"",SUMIFS('Supply Usage'!$E$5:$E$304,'Supply Usage'!$D$5:$D$304,B25,'Supply Usage'!$B$5:$B$304,"&gt;"&amp;I25))</f>
        <v>0</v>
      </c>
      <c r="S25" s="34">
        <f>IF(B25="","",IF(H25="","",H25-IF(R25="",0,R25)))</f>
        <v>0</v>
      </c>
      <c r="T25" s="34">
        <f>IF(B25="","",SUMIFS('Supply Usage'!$E$5:$E$304,'Supply Usage'!$D$5:$D$304,B25,'Supply Usage'!$B$5:$B$304,"&gt;="&amp;TodayDate-28))</f>
        <v>0</v>
      </c>
      <c r="U25" s="34">
        <f>IF(B25="","",ROUND(T25/28,3))</f>
        <v>0</v>
      </c>
      <c r="V25" s="31">
        <f>IF(OR(B25="",S25="",U25=0),"",ROUND(S25/U25,0))</f>
        <v>0</v>
      </c>
      <c r="W25" s="21">
        <f>IF(OR(B25="",S25="",P25=""),"",ROUND(S25*P25,2))</f>
        <v>0</v>
      </c>
      <c r="X25" s="21">
        <f>IF(B25="","",SUMIFS('Supply Usage'!$L$5:$L$304,'Supply Usage'!$D$5:$D$304,B25))</f>
        <v>0</v>
      </c>
      <c r="Y25" s="39">
        <f>IF(B25="","",IF(S25="","Not counted",IF(S25&lt;=0,"Out of stock",IF(AND(J25&lt;&gt;"",S25&lt;=J25),"Low stock",IF(AND(V25&lt;&gt;"",V25&lt;LowStockDays),"Low stock","In stock")))))</f>
        <v>0</v>
      </c>
      <c r="Z25" s="39">
        <f>IF(B25="","",IF(Y25="Out of stock","Order - none left",IF(Y25="Low stock","Order - running low",IF(Y25="Not counted","Add - count the stock",IF(AND(N25="No",C25="Chemicals &amp; detergents"),"Action - no safety data sheet","OK")))))</f>
        <v>0</v>
      </c>
    </row>
    <row r="26" spans="1:26">
      <c r="A26" s="43">
        <f>IF(B26="","",SupplyPrefix&amp;TEXT(ROW()-4,"0000"))</f>
        <v>0</v>
      </c>
      <c r="P26" s="21">
        <f>IF(OR(B26="",G26="",F26="",F26=0),"",ROUND(G26/F26,4))</f>
        <v>0</v>
      </c>
      <c r="Q26" s="34">
        <f>IF(B26="","",SUMIFS('Supply Usage'!$E$5:$E$304,'Supply Usage'!$D$5:$D$304,B26))</f>
        <v>0</v>
      </c>
      <c r="R26" s="34">
        <f>IF(OR(B26="",I26=""),"",SUMIFS('Supply Usage'!$E$5:$E$304,'Supply Usage'!$D$5:$D$304,B26,'Supply Usage'!$B$5:$B$304,"&gt;"&amp;I26))</f>
        <v>0</v>
      </c>
      <c r="S26" s="34">
        <f>IF(B26="","",IF(H26="","",H26-IF(R26="",0,R26)))</f>
        <v>0</v>
      </c>
      <c r="T26" s="34">
        <f>IF(B26="","",SUMIFS('Supply Usage'!$E$5:$E$304,'Supply Usage'!$D$5:$D$304,B26,'Supply Usage'!$B$5:$B$304,"&gt;="&amp;TodayDate-28))</f>
        <v>0</v>
      </c>
      <c r="U26" s="34">
        <f>IF(B26="","",ROUND(T26/28,3))</f>
        <v>0</v>
      </c>
      <c r="V26" s="31">
        <f>IF(OR(B26="",S26="",U26=0),"",ROUND(S26/U26,0))</f>
        <v>0</v>
      </c>
      <c r="W26" s="21">
        <f>IF(OR(B26="",S26="",P26=""),"",ROUND(S26*P26,2))</f>
        <v>0</v>
      </c>
      <c r="X26" s="21">
        <f>IF(B26="","",SUMIFS('Supply Usage'!$L$5:$L$304,'Supply Usage'!$D$5:$D$304,B26))</f>
        <v>0</v>
      </c>
      <c r="Y26" s="39">
        <f>IF(B26="","",IF(S26="","Not counted",IF(S26&lt;=0,"Out of stock",IF(AND(J26&lt;&gt;"",S26&lt;=J26),"Low stock",IF(AND(V26&lt;&gt;"",V26&lt;LowStockDays),"Low stock","In stock")))))</f>
        <v>0</v>
      </c>
      <c r="Z26" s="39">
        <f>IF(B26="","",IF(Y26="Out of stock","Order - none left",IF(Y26="Low stock","Order - running low",IF(Y26="Not counted","Add - count the stock",IF(AND(N26="No",C26="Chemicals &amp; detergents"),"Action - no safety data sheet","OK")))))</f>
        <v>0</v>
      </c>
    </row>
    <row r="27" spans="1:26">
      <c r="A27" s="43">
        <f>IF(B27="","",SupplyPrefix&amp;TEXT(ROW()-4,"0000"))</f>
        <v>0</v>
      </c>
      <c r="P27" s="21">
        <f>IF(OR(B27="",G27="",F27="",F27=0),"",ROUND(G27/F27,4))</f>
        <v>0</v>
      </c>
      <c r="Q27" s="34">
        <f>IF(B27="","",SUMIFS('Supply Usage'!$E$5:$E$304,'Supply Usage'!$D$5:$D$304,B27))</f>
        <v>0</v>
      </c>
      <c r="R27" s="34">
        <f>IF(OR(B27="",I27=""),"",SUMIFS('Supply Usage'!$E$5:$E$304,'Supply Usage'!$D$5:$D$304,B27,'Supply Usage'!$B$5:$B$304,"&gt;"&amp;I27))</f>
        <v>0</v>
      </c>
      <c r="S27" s="34">
        <f>IF(B27="","",IF(H27="","",H27-IF(R27="",0,R27)))</f>
        <v>0</v>
      </c>
      <c r="T27" s="34">
        <f>IF(B27="","",SUMIFS('Supply Usage'!$E$5:$E$304,'Supply Usage'!$D$5:$D$304,B27,'Supply Usage'!$B$5:$B$304,"&gt;="&amp;TodayDate-28))</f>
        <v>0</v>
      </c>
      <c r="U27" s="34">
        <f>IF(B27="","",ROUND(T27/28,3))</f>
        <v>0</v>
      </c>
      <c r="V27" s="31">
        <f>IF(OR(B27="",S27="",U27=0),"",ROUND(S27/U27,0))</f>
        <v>0</v>
      </c>
      <c r="W27" s="21">
        <f>IF(OR(B27="",S27="",P27=""),"",ROUND(S27*P27,2))</f>
        <v>0</v>
      </c>
      <c r="X27" s="21">
        <f>IF(B27="","",SUMIFS('Supply Usage'!$L$5:$L$304,'Supply Usage'!$D$5:$D$304,B27))</f>
        <v>0</v>
      </c>
      <c r="Y27" s="39">
        <f>IF(B27="","",IF(S27="","Not counted",IF(S27&lt;=0,"Out of stock",IF(AND(J27&lt;&gt;"",S27&lt;=J27),"Low stock",IF(AND(V27&lt;&gt;"",V27&lt;LowStockDays),"Low stock","In stock")))))</f>
        <v>0</v>
      </c>
      <c r="Z27" s="39">
        <f>IF(B27="","",IF(Y27="Out of stock","Order - none left",IF(Y27="Low stock","Order - running low",IF(Y27="Not counted","Add - count the stock",IF(AND(N27="No",C27="Chemicals &amp; detergents"),"Action - no safety data sheet","OK")))))</f>
        <v>0</v>
      </c>
    </row>
    <row r="28" spans="1:26">
      <c r="A28" s="43">
        <f>IF(B28="","",SupplyPrefix&amp;TEXT(ROW()-4,"0000"))</f>
        <v>0</v>
      </c>
      <c r="P28" s="21">
        <f>IF(OR(B28="",G28="",F28="",F28=0),"",ROUND(G28/F28,4))</f>
        <v>0</v>
      </c>
      <c r="Q28" s="34">
        <f>IF(B28="","",SUMIFS('Supply Usage'!$E$5:$E$304,'Supply Usage'!$D$5:$D$304,B28))</f>
        <v>0</v>
      </c>
      <c r="R28" s="34">
        <f>IF(OR(B28="",I28=""),"",SUMIFS('Supply Usage'!$E$5:$E$304,'Supply Usage'!$D$5:$D$304,B28,'Supply Usage'!$B$5:$B$304,"&gt;"&amp;I28))</f>
        <v>0</v>
      </c>
      <c r="S28" s="34">
        <f>IF(B28="","",IF(H28="","",H28-IF(R28="",0,R28)))</f>
        <v>0</v>
      </c>
      <c r="T28" s="34">
        <f>IF(B28="","",SUMIFS('Supply Usage'!$E$5:$E$304,'Supply Usage'!$D$5:$D$304,B28,'Supply Usage'!$B$5:$B$304,"&gt;="&amp;TodayDate-28))</f>
        <v>0</v>
      </c>
      <c r="U28" s="34">
        <f>IF(B28="","",ROUND(T28/28,3))</f>
        <v>0</v>
      </c>
      <c r="V28" s="31">
        <f>IF(OR(B28="",S28="",U28=0),"",ROUND(S28/U28,0))</f>
        <v>0</v>
      </c>
      <c r="W28" s="21">
        <f>IF(OR(B28="",S28="",P28=""),"",ROUND(S28*P28,2))</f>
        <v>0</v>
      </c>
      <c r="X28" s="21">
        <f>IF(B28="","",SUMIFS('Supply Usage'!$L$5:$L$304,'Supply Usage'!$D$5:$D$304,B28))</f>
        <v>0</v>
      </c>
      <c r="Y28" s="39">
        <f>IF(B28="","",IF(S28="","Not counted",IF(S28&lt;=0,"Out of stock",IF(AND(J28&lt;&gt;"",S28&lt;=J28),"Low stock",IF(AND(V28&lt;&gt;"",V28&lt;LowStockDays),"Low stock","In stock")))))</f>
        <v>0</v>
      </c>
      <c r="Z28" s="39">
        <f>IF(B28="","",IF(Y28="Out of stock","Order - none left",IF(Y28="Low stock","Order - running low",IF(Y28="Not counted","Add - count the stock",IF(AND(N28="No",C28="Chemicals &amp; detergents"),"Action - no safety data sheet","OK")))))</f>
        <v>0</v>
      </c>
    </row>
    <row r="29" spans="1:26">
      <c r="A29" s="43">
        <f>IF(B29="","",SupplyPrefix&amp;TEXT(ROW()-4,"0000"))</f>
        <v>0</v>
      </c>
      <c r="P29" s="21">
        <f>IF(OR(B29="",G29="",F29="",F29=0),"",ROUND(G29/F29,4))</f>
        <v>0</v>
      </c>
      <c r="Q29" s="34">
        <f>IF(B29="","",SUMIFS('Supply Usage'!$E$5:$E$304,'Supply Usage'!$D$5:$D$304,B29))</f>
        <v>0</v>
      </c>
      <c r="R29" s="34">
        <f>IF(OR(B29="",I29=""),"",SUMIFS('Supply Usage'!$E$5:$E$304,'Supply Usage'!$D$5:$D$304,B29,'Supply Usage'!$B$5:$B$304,"&gt;"&amp;I29))</f>
        <v>0</v>
      </c>
      <c r="S29" s="34">
        <f>IF(B29="","",IF(H29="","",H29-IF(R29="",0,R29)))</f>
        <v>0</v>
      </c>
      <c r="T29" s="34">
        <f>IF(B29="","",SUMIFS('Supply Usage'!$E$5:$E$304,'Supply Usage'!$D$5:$D$304,B29,'Supply Usage'!$B$5:$B$304,"&gt;="&amp;TodayDate-28))</f>
        <v>0</v>
      </c>
      <c r="U29" s="34">
        <f>IF(B29="","",ROUND(T29/28,3))</f>
        <v>0</v>
      </c>
      <c r="V29" s="31">
        <f>IF(OR(B29="",S29="",U29=0),"",ROUND(S29/U29,0))</f>
        <v>0</v>
      </c>
      <c r="W29" s="21">
        <f>IF(OR(B29="",S29="",P29=""),"",ROUND(S29*P29,2))</f>
        <v>0</v>
      </c>
      <c r="X29" s="21">
        <f>IF(B29="","",SUMIFS('Supply Usage'!$L$5:$L$304,'Supply Usage'!$D$5:$D$304,B29))</f>
        <v>0</v>
      </c>
      <c r="Y29" s="39">
        <f>IF(B29="","",IF(S29="","Not counted",IF(S29&lt;=0,"Out of stock",IF(AND(J29&lt;&gt;"",S29&lt;=J29),"Low stock",IF(AND(V29&lt;&gt;"",V29&lt;LowStockDays),"Low stock","In stock")))))</f>
        <v>0</v>
      </c>
      <c r="Z29" s="39">
        <f>IF(B29="","",IF(Y29="Out of stock","Order - none left",IF(Y29="Low stock","Order - running low",IF(Y29="Not counted","Add - count the stock",IF(AND(N29="No",C29="Chemicals &amp; detergents"),"Action - no safety data sheet","OK")))))</f>
        <v>0</v>
      </c>
    </row>
    <row r="30" spans="1:26">
      <c r="A30" s="43">
        <f>IF(B30="","",SupplyPrefix&amp;TEXT(ROW()-4,"0000"))</f>
        <v>0</v>
      </c>
      <c r="P30" s="21">
        <f>IF(OR(B30="",G30="",F30="",F30=0),"",ROUND(G30/F30,4))</f>
        <v>0</v>
      </c>
      <c r="Q30" s="34">
        <f>IF(B30="","",SUMIFS('Supply Usage'!$E$5:$E$304,'Supply Usage'!$D$5:$D$304,B30))</f>
        <v>0</v>
      </c>
      <c r="R30" s="34">
        <f>IF(OR(B30="",I30=""),"",SUMIFS('Supply Usage'!$E$5:$E$304,'Supply Usage'!$D$5:$D$304,B30,'Supply Usage'!$B$5:$B$304,"&gt;"&amp;I30))</f>
        <v>0</v>
      </c>
      <c r="S30" s="34">
        <f>IF(B30="","",IF(H30="","",H30-IF(R30="",0,R30)))</f>
        <v>0</v>
      </c>
      <c r="T30" s="34">
        <f>IF(B30="","",SUMIFS('Supply Usage'!$E$5:$E$304,'Supply Usage'!$D$5:$D$304,B30,'Supply Usage'!$B$5:$B$304,"&gt;="&amp;TodayDate-28))</f>
        <v>0</v>
      </c>
      <c r="U30" s="34">
        <f>IF(B30="","",ROUND(T30/28,3))</f>
        <v>0</v>
      </c>
      <c r="V30" s="31">
        <f>IF(OR(B30="",S30="",U30=0),"",ROUND(S30/U30,0))</f>
        <v>0</v>
      </c>
      <c r="W30" s="21">
        <f>IF(OR(B30="",S30="",P30=""),"",ROUND(S30*P30,2))</f>
        <v>0</v>
      </c>
      <c r="X30" s="21">
        <f>IF(B30="","",SUMIFS('Supply Usage'!$L$5:$L$304,'Supply Usage'!$D$5:$D$304,B30))</f>
        <v>0</v>
      </c>
      <c r="Y30" s="39">
        <f>IF(B30="","",IF(S30="","Not counted",IF(S30&lt;=0,"Out of stock",IF(AND(J30&lt;&gt;"",S30&lt;=J30),"Low stock",IF(AND(V30&lt;&gt;"",V30&lt;LowStockDays),"Low stock","In stock")))))</f>
        <v>0</v>
      </c>
      <c r="Z30" s="39">
        <f>IF(B30="","",IF(Y30="Out of stock","Order - none left",IF(Y30="Low stock","Order - running low",IF(Y30="Not counted","Add - count the stock",IF(AND(N30="No",C30="Chemicals &amp; detergents"),"Action - no safety data sheet","OK")))))</f>
        <v>0</v>
      </c>
    </row>
    <row r="31" spans="1:26">
      <c r="A31" s="43">
        <f>IF(B31="","",SupplyPrefix&amp;TEXT(ROW()-4,"0000"))</f>
        <v>0</v>
      </c>
      <c r="P31" s="21">
        <f>IF(OR(B31="",G31="",F31="",F31=0),"",ROUND(G31/F31,4))</f>
        <v>0</v>
      </c>
      <c r="Q31" s="34">
        <f>IF(B31="","",SUMIFS('Supply Usage'!$E$5:$E$304,'Supply Usage'!$D$5:$D$304,B31))</f>
        <v>0</v>
      </c>
      <c r="R31" s="34">
        <f>IF(OR(B31="",I31=""),"",SUMIFS('Supply Usage'!$E$5:$E$304,'Supply Usage'!$D$5:$D$304,B31,'Supply Usage'!$B$5:$B$304,"&gt;"&amp;I31))</f>
        <v>0</v>
      </c>
      <c r="S31" s="34">
        <f>IF(B31="","",IF(H31="","",H31-IF(R31="",0,R31)))</f>
        <v>0</v>
      </c>
      <c r="T31" s="34">
        <f>IF(B31="","",SUMIFS('Supply Usage'!$E$5:$E$304,'Supply Usage'!$D$5:$D$304,B31,'Supply Usage'!$B$5:$B$304,"&gt;="&amp;TodayDate-28))</f>
        <v>0</v>
      </c>
      <c r="U31" s="34">
        <f>IF(B31="","",ROUND(T31/28,3))</f>
        <v>0</v>
      </c>
      <c r="V31" s="31">
        <f>IF(OR(B31="",S31="",U31=0),"",ROUND(S31/U31,0))</f>
        <v>0</v>
      </c>
      <c r="W31" s="21">
        <f>IF(OR(B31="",S31="",P31=""),"",ROUND(S31*P31,2))</f>
        <v>0</v>
      </c>
      <c r="X31" s="21">
        <f>IF(B31="","",SUMIFS('Supply Usage'!$L$5:$L$304,'Supply Usage'!$D$5:$D$304,B31))</f>
        <v>0</v>
      </c>
      <c r="Y31" s="39">
        <f>IF(B31="","",IF(S31="","Not counted",IF(S31&lt;=0,"Out of stock",IF(AND(J31&lt;&gt;"",S31&lt;=J31),"Low stock",IF(AND(V31&lt;&gt;"",V31&lt;LowStockDays),"Low stock","In stock")))))</f>
        <v>0</v>
      </c>
      <c r="Z31" s="39">
        <f>IF(B31="","",IF(Y31="Out of stock","Order - none left",IF(Y31="Low stock","Order - running low",IF(Y31="Not counted","Add - count the stock",IF(AND(N31="No",C31="Chemicals &amp; detergents"),"Action - no safety data sheet","OK")))))</f>
        <v>0</v>
      </c>
    </row>
    <row r="32" spans="1:26">
      <c r="A32" s="43">
        <f>IF(B32="","",SupplyPrefix&amp;TEXT(ROW()-4,"0000"))</f>
        <v>0</v>
      </c>
      <c r="P32" s="21">
        <f>IF(OR(B32="",G32="",F32="",F32=0),"",ROUND(G32/F32,4))</f>
        <v>0</v>
      </c>
      <c r="Q32" s="34">
        <f>IF(B32="","",SUMIFS('Supply Usage'!$E$5:$E$304,'Supply Usage'!$D$5:$D$304,B32))</f>
        <v>0</v>
      </c>
      <c r="R32" s="34">
        <f>IF(OR(B32="",I32=""),"",SUMIFS('Supply Usage'!$E$5:$E$304,'Supply Usage'!$D$5:$D$304,B32,'Supply Usage'!$B$5:$B$304,"&gt;"&amp;I32))</f>
        <v>0</v>
      </c>
      <c r="S32" s="34">
        <f>IF(B32="","",IF(H32="","",H32-IF(R32="",0,R32)))</f>
        <v>0</v>
      </c>
      <c r="T32" s="34">
        <f>IF(B32="","",SUMIFS('Supply Usage'!$E$5:$E$304,'Supply Usage'!$D$5:$D$304,B32,'Supply Usage'!$B$5:$B$304,"&gt;="&amp;TodayDate-28))</f>
        <v>0</v>
      </c>
      <c r="U32" s="34">
        <f>IF(B32="","",ROUND(T32/28,3))</f>
        <v>0</v>
      </c>
      <c r="V32" s="31">
        <f>IF(OR(B32="",S32="",U32=0),"",ROUND(S32/U32,0))</f>
        <v>0</v>
      </c>
      <c r="W32" s="21">
        <f>IF(OR(B32="",S32="",P32=""),"",ROUND(S32*P32,2))</f>
        <v>0</v>
      </c>
      <c r="X32" s="21">
        <f>IF(B32="","",SUMIFS('Supply Usage'!$L$5:$L$304,'Supply Usage'!$D$5:$D$304,B32))</f>
        <v>0</v>
      </c>
      <c r="Y32" s="39">
        <f>IF(B32="","",IF(S32="","Not counted",IF(S32&lt;=0,"Out of stock",IF(AND(J32&lt;&gt;"",S32&lt;=J32),"Low stock",IF(AND(V32&lt;&gt;"",V32&lt;LowStockDays),"Low stock","In stock")))))</f>
        <v>0</v>
      </c>
      <c r="Z32" s="39">
        <f>IF(B32="","",IF(Y32="Out of stock","Order - none left",IF(Y32="Low stock","Order - running low",IF(Y32="Not counted","Add - count the stock",IF(AND(N32="No",C32="Chemicals &amp; detergents"),"Action - no safety data sheet","OK")))))</f>
        <v>0</v>
      </c>
    </row>
    <row r="33" spans="1:26">
      <c r="A33" s="43">
        <f>IF(B33="","",SupplyPrefix&amp;TEXT(ROW()-4,"0000"))</f>
        <v>0</v>
      </c>
      <c r="P33" s="21">
        <f>IF(OR(B33="",G33="",F33="",F33=0),"",ROUND(G33/F33,4))</f>
        <v>0</v>
      </c>
      <c r="Q33" s="34">
        <f>IF(B33="","",SUMIFS('Supply Usage'!$E$5:$E$304,'Supply Usage'!$D$5:$D$304,B33))</f>
        <v>0</v>
      </c>
      <c r="R33" s="34">
        <f>IF(OR(B33="",I33=""),"",SUMIFS('Supply Usage'!$E$5:$E$304,'Supply Usage'!$D$5:$D$304,B33,'Supply Usage'!$B$5:$B$304,"&gt;"&amp;I33))</f>
        <v>0</v>
      </c>
      <c r="S33" s="34">
        <f>IF(B33="","",IF(H33="","",H33-IF(R33="",0,R33)))</f>
        <v>0</v>
      </c>
      <c r="T33" s="34">
        <f>IF(B33="","",SUMIFS('Supply Usage'!$E$5:$E$304,'Supply Usage'!$D$5:$D$304,B33,'Supply Usage'!$B$5:$B$304,"&gt;="&amp;TodayDate-28))</f>
        <v>0</v>
      </c>
      <c r="U33" s="34">
        <f>IF(B33="","",ROUND(T33/28,3))</f>
        <v>0</v>
      </c>
      <c r="V33" s="31">
        <f>IF(OR(B33="",S33="",U33=0),"",ROUND(S33/U33,0))</f>
        <v>0</v>
      </c>
      <c r="W33" s="21">
        <f>IF(OR(B33="",S33="",P33=""),"",ROUND(S33*P33,2))</f>
        <v>0</v>
      </c>
      <c r="X33" s="21">
        <f>IF(B33="","",SUMIFS('Supply Usage'!$L$5:$L$304,'Supply Usage'!$D$5:$D$304,B33))</f>
        <v>0</v>
      </c>
      <c r="Y33" s="39">
        <f>IF(B33="","",IF(S33="","Not counted",IF(S33&lt;=0,"Out of stock",IF(AND(J33&lt;&gt;"",S33&lt;=J33),"Low stock",IF(AND(V33&lt;&gt;"",V33&lt;LowStockDays),"Low stock","In stock")))))</f>
        <v>0</v>
      </c>
      <c r="Z33" s="39">
        <f>IF(B33="","",IF(Y33="Out of stock","Order - none left",IF(Y33="Low stock","Order - running low",IF(Y33="Not counted","Add - count the stock",IF(AND(N33="No",C33="Chemicals &amp; detergents"),"Action - no safety data sheet","OK")))))</f>
        <v>0</v>
      </c>
    </row>
    <row r="34" spans="1:26">
      <c r="A34" s="43">
        <f>IF(B34="","",SupplyPrefix&amp;TEXT(ROW()-4,"0000"))</f>
        <v>0</v>
      </c>
      <c r="P34" s="21">
        <f>IF(OR(B34="",G34="",F34="",F34=0),"",ROUND(G34/F34,4))</f>
        <v>0</v>
      </c>
      <c r="Q34" s="34">
        <f>IF(B34="","",SUMIFS('Supply Usage'!$E$5:$E$304,'Supply Usage'!$D$5:$D$304,B34))</f>
        <v>0</v>
      </c>
      <c r="R34" s="34">
        <f>IF(OR(B34="",I34=""),"",SUMIFS('Supply Usage'!$E$5:$E$304,'Supply Usage'!$D$5:$D$304,B34,'Supply Usage'!$B$5:$B$304,"&gt;"&amp;I34))</f>
        <v>0</v>
      </c>
      <c r="S34" s="34">
        <f>IF(B34="","",IF(H34="","",H34-IF(R34="",0,R34)))</f>
        <v>0</v>
      </c>
      <c r="T34" s="34">
        <f>IF(B34="","",SUMIFS('Supply Usage'!$E$5:$E$304,'Supply Usage'!$D$5:$D$304,B34,'Supply Usage'!$B$5:$B$304,"&gt;="&amp;TodayDate-28))</f>
        <v>0</v>
      </c>
      <c r="U34" s="34">
        <f>IF(B34="","",ROUND(T34/28,3))</f>
        <v>0</v>
      </c>
      <c r="V34" s="31">
        <f>IF(OR(B34="",S34="",U34=0),"",ROUND(S34/U34,0))</f>
        <v>0</v>
      </c>
      <c r="W34" s="21">
        <f>IF(OR(B34="",S34="",P34=""),"",ROUND(S34*P34,2))</f>
        <v>0</v>
      </c>
      <c r="X34" s="21">
        <f>IF(B34="","",SUMIFS('Supply Usage'!$L$5:$L$304,'Supply Usage'!$D$5:$D$304,B34))</f>
        <v>0</v>
      </c>
      <c r="Y34" s="39">
        <f>IF(B34="","",IF(S34="","Not counted",IF(S34&lt;=0,"Out of stock",IF(AND(J34&lt;&gt;"",S34&lt;=J34),"Low stock",IF(AND(V34&lt;&gt;"",V34&lt;LowStockDays),"Low stock","In stock")))))</f>
        <v>0</v>
      </c>
      <c r="Z34" s="39">
        <f>IF(B34="","",IF(Y34="Out of stock","Order - none left",IF(Y34="Low stock","Order - running low",IF(Y34="Not counted","Add - count the stock",IF(AND(N34="No",C34="Chemicals &amp; detergents"),"Action - no safety data sheet","OK")))))</f>
        <v>0</v>
      </c>
    </row>
    <row r="35" spans="1:26">
      <c r="A35" s="43">
        <f>IF(B35="","",SupplyPrefix&amp;TEXT(ROW()-4,"0000"))</f>
        <v>0</v>
      </c>
      <c r="P35" s="21">
        <f>IF(OR(B35="",G35="",F35="",F35=0),"",ROUND(G35/F35,4))</f>
        <v>0</v>
      </c>
      <c r="Q35" s="34">
        <f>IF(B35="","",SUMIFS('Supply Usage'!$E$5:$E$304,'Supply Usage'!$D$5:$D$304,B35))</f>
        <v>0</v>
      </c>
      <c r="R35" s="34">
        <f>IF(OR(B35="",I35=""),"",SUMIFS('Supply Usage'!$E$5:$E$304,'Supply Usage'!$D$5:$D$304,B35,'Supply Usage'!$B$5:$B$304,"&gt;"&amp;I35))</f>
        <v>0</v>
      </c>
      <c r="S35" s="34">
        <f>IF(B35="","",IF(H35="","",H35-IF(R35="",0,R35)))</f>
        <v>0</v>
      </c>
      <c r="T35" s="34">
        <f>IF(B35="","",SUMIFS('Supply Usage'!$E$5:$E$304,'Supply Usage'!$D$5:$D$304,B35,'Supply Usage'!$B$5:$B$304,"&gt;="&amp;TodayDate-28))</f>
        <v>0</v>
      </c>
      <c r="U35" s="34">
        <f>IF(B35="","",ROUND(T35/28,3))</f>
        <v>0</v>
      </c>
      <c r="V35" s="31">
        <f>IF(OR(B35="",S35="",U35=0),"",ROUND(S35/U35,0))</f>
        <v>0</v>
      </c>
      <c r="W35" s="21">
        <f>IF(OR(B35="",S35="",P35=""),"",ROUND(S35*P35,2))</f>
        <v>0</v>
      </c>
      <c r="X35" s="21">
        <f>IF(B35="","",SUMIFS('Supply Usage'!$L$5:$L$304,'Supply Usage'!$D$5:$D$304,B35))</f>
        <v>0</v>
      </c>
      <c r="Y35" s="39">
        <f>IF(B35="","",IF(S35="","Not counted",IF(S35&lt;=0,"Out of stock",IF(AND(J35&lt;&gt;"",S35&lt;=J35),"Low stock",IF(AND(V35&lt;&gt;"",V35&lt;LowStockDays),"Low stock","In stock")))))</f>
        <v>0</v>
      </c>
      <c r="Z35" s="39">
        <f>IF(B35="","",IF(Y35="Out of stock","Order - none left",IF(Y35="Low stock","Order - running low",IF(Y35="Not counted","Add - count the stock",IF(AND(N35="No",C35="Chemicals &amp; detergents"),"Action - no safety data sheet","OK")))))</f>
        <v>0</v>
      </c>
    </row>
    <row r="36" spans="1:26">
      <c r="A36" s="43">
        <f>IF(B36="","",SupplyPrefix&amp;TEXT(ROW()-4,"0000"))</f>
        <v>0</v>
      </c>
      <c r="P36" s="21">
        <f>IF(OR(B36="",G36="",F36="",F36=0),"",ROUND(G36/F36,4))</f>
        <v>0</v>
      </c>
      <c r="Q36" s="34">
        <f>IF(B36="","",SUMIFS('Supply Usage'!$E$5:$E$304,'Supply Usage'!$D$5:$D$304,B36))</f>
        <v>0</v>
      </c>
      <c r="R36" s="34">
        <f>IF(OR(B36="",I36=""),"",SUMIFS('Supply Usage'!$E$5:$E$304,'Supply Usage'!$D$5:$D$304,B36,'Supply Usage'!$B$5:$B$304,"&gt;"&amp;I36))</f>
        <v>0</v>
      </c>
      <c r="S36" s="34">
        <f>IF(B36="","",IF(H36="","",H36-IF(R36="",0,R36)))</f>
        <v>0</v>
      </c>
      <c r="T36" s="34">
        <f>IF(B36="","",SUMIFS('Supply Usage'!$E$5:$E$304,'Supply Usage'!$D$5:$D$304,B36,'Supply Usage'!$B$5:$B$304,"&gt;="&amp;TodayDate-28))</f>
        <v>0</v>
      </c>
      <c r="U36" s="34">
        <f>IF(B36="","",ROUND(T36/28,3))</f>
        <v>0</v>
      </c>
      <c r="V36" s="31">
        <f>IF(OR(B36="",S36="",U36=0),"",ROUND(S36/U36,0))</f>
        <v>0</v>
      </c>
      <c r="W36" s="21">
        <f>IF(OR(B36="",S36="",P36=""),"",ROUND(S36*P36,2))</f>
        <v>0</v>
      </c>
      <c r="X36" s="21">
        <f>IF(B36="","",SUMIFS('Supply Usage'!$L$5:$L$304,'Supply Usage'!$D$5:$D$304,B36))</f>
        <v>0</v>
      </c>
      <c r="Y36" s="39">
        <f>IF(B36="","",IF(S36="","Not counted",IF(S36&lt;=0,"Out of stock",IF(AND(J36&lt;&gt;"",S36&lt;=J36),"Low stock",IF(AND(V36&lt;&gt;"",V36&lt;LowStockDays),"Low stock","In stock")))))</f>
        <v>0</v>
      </c>
      <c r="Z36" s="39">
        <f>IF(B36="","",IF(Y36="Out of stock","Order - none left",IF(Y36="Low stock","Order - running low",IF(Y36="Not counted","Add - count the stock",IF(AND(N36="No",C36="Chemicals &amp; detergents"),"Action - no safety data sheet","OK")))))</f>
        <v>0</v>
      </c>
    </row>
    <row r="37" spans="1:26">
      <c r="A37" s="43">
        <f>IF(B37="","",SupplyPrefix&amp;TEXT(ROW()-4,"0000"))</f>
        <v>0</v>
      </c>
      <c r="P37" s="21">
        <f>IF(OR(B37="",G37="",F37="",F37=0),"",ROUND(G37/F37,4))</f>
        <v>0</v>
      </c>
      <c r="Q37" s="34">
        <f>IF(B37="","",SUMIFS('Supply Usage'!$E$5:$E$304,'Supply Usage'!$D$5:$D$304,B37))</f>
        <v>0</v>
      </c>
      <c r="R37" s="34">
        <f>IF(OR(B37="",I37=""),"",SUMIFS('Supply Usage'!$E$5:$E$304,'Supply Usage'!$D$5:$D$304,B37,'Supply Usage'!$B$5:$B$304,"&gt;"&amp;I37))</f>
        <v>0</v>
      </c>
      <c r="S37" s="34">
        <f>IF(B37="","",IF(H37="","",H37-IF(R37="",0,R37)))</f>
        <v>0</v>
      </c>
      <c r="T37" s="34">
        <f>IF(B37="","",SUMIFS('Supply Usage'!$E$5:$E$304,'Supply Usage'!$D$5:$D$304,B37,'Supply Usage'!$B$5:$B$304,"&gt;="&amp;TodayDate-28))</f>
        <v>0</v>
      </c>
      <c r="U37" s="34">
        <f>IF(B37="","",ROUND(T37/28,3))</f>
        <v>0</v>
      </c>
      <c r="V37" s="31">
        <f>IF(OR(B37="",S37="",U37=0),"",ROUND(S37/U37,0))</f>
        <v>0</v>
      </c>
      <c r="W37" s="21">
        <f>IF(OR(B37="",S37="",P37=""),"",ROUND(S37*P37,2))</f>
        <v>0</v>
      </c>
      <c r="X37" s="21">
        <f>IF(B37="","",SUMIFS('Supply Usage'!$L$5:$L$304,'Supply Usage'!$D$5:$D$304,B37))</f>
        <v>0</v>
      </c>
      <c r="Y37" s="39">
        <f>IF(B37="","",IF(S37="","Not counted",IF(S37&lt;=0,"Out of stock",IF(AND(J37&lt;&gt;"",S37&lt;=J37),"Low stock",IF(AND(V37&lt;&gt;"",V37&lt;LowStockDays),"Low stock","In stock")))))</f>
        <v>0</v>
      </c>
      <c r="Z37" s="39">
        <f>IF(B37="","",IF(Y37="Out of stock","Order - none left",IF(Y37="Low stock","Order - running low",IF(Y37="Not counted","Add - count the stock",IF(AND(N37="No",C37="Chemicals &amp; detergents"),"Action - no safety data sheet","OK")))))</f>
        <v>0</v>
      </c>
    </row>
    <row r="38" spans="1:26">
      <c r="A38" s="43">
        <f>IF(B38="","",SupplyPrefix&amp;TEXT(ROW()-4,"0000"))</f>
        <v>0</v>
      </c>
      <c r="P38" s="21">
        <f>IF(OR(B38="",G38="",F38="",F38=0),"",ROUND(G38/F38,4))</f>
        <v>0</v>
      </c>
      <c r="Q38" s="34">
        <f>IF(B38="","",SUMIFS('Supply Usage'!$E$5:$E$304,'Supply Usage'!$D$5:$D$304,B38))</f>
        <v>0</v>
      </c>
      <c r="R38" s="34">
        <f>IF(OR(B38="",I38=""),"",SUMIFS('Supply Usage'!$E$5:$E$304,'Supply Usage'!$D$5:$D$304,B38,'Supply Usage'!$B$5:$B$304,"&gt;"&amp;I38))</f>
        <v>0</v>
      </c>
      <c r="S38" s="34">
        <f>IF(B38="","",IF(H38="","",H38-IF(R38="",0,R38)))</f>
        <v>0</v>
      </c>
      <c r="T38" s="34">
        <f>IF(B38="","",SUMIFS('Supply Usage'!$E$5:$E$304,'Supply Usage'!$D$5:$D$304,B38,'Supply Usage'!$B$5:$B$304,"&gt;="&amp;TodayDate-28))</f>
        <v>0</v>
      </c>
      <c r="U38" s="34">
        <f>IF(B38="","",ROUND(T38/28,3))</f>
        <v>0</v>
      </c>
      <c r="V38" s="31">
        <f>IF(OR(B38="",S38="",U38=0),"",ROUND(S38/U38,0))</f>
        <v>0</v>
      </c>
      <c r="W38" s="21">
        <f>IF(OR(B38="",S38="",P38=""),"",ROUND(S38*P38,2))</f>
        <v>0</v>
      </c>
      <c r="X38" s="21">
        <f>IF(B38="","",SUMIFS('Supply Usage'!$L$5:$L$304,'Supply Usage'!$D$5:$D$304,B38))</f>
        <v>0</v>
      </c>
      <c r="Y38" s="39">
        <f>IF(B38="","",IF(S38="","Not counted",IF(S38&lt;=0,"Out of stock",IF(AND(J38&lt;&gt;"",S38&lt;=J38),"Low stock",IF(AND(V38&lt;&gt;"",V38&lt;LowStockDays),"Low stock","In stock")))))</f>
        <v>0</v>
      </c>
      <c r="Z38" s="39">
        <f>IF(B38="","",IF(Y38="Out of stock","Order - none left",IF(Y38="Low stock","Order - running low",IF(Y38="Not counted","Add - count the stock",IF(AND(N38="No",C38="Chemicals &amp; detergents"),"Action - no safety data sheet","OK")))))</f>
        <v>0</v>
      </c>
    </row>
    <row r="39" spans="1:26">
      <c r="A39" s="43">
        <f>IF(B39="","",SupplyPrefix&amp;TEXT(ROW()-4,"0000"))</f>
        <v>0</v>
      </c>
      <c r="P39" s="21">
        <f>IF(OR(B39="",G39="",F39="",F39=0),"",ROUND(G39/F39,4))</f>
        <v>0</v>
      </c>
      <c r="Q39" s="34">
        <f>IF(B39="","",SUMIFS('Supply Usage'!$E$5:$E$304,'Supply Usage'!$D$5:$D$304,B39))</f>
        <v>0</v>
      </c>
      <c r="R39" s="34">
        <f>IF(OR(B39="",I39=""),"",SUMIFS('Supply Usage'!$E$5:$E$304,'Supply Usage'!$D$5:$D$304,B39,'Supply Usage'!$B$5:$B$304,"&gt;"&amp;I39))</f>
        <v>0</v>
      </c>
      <c r="S39" s="34">
        <f>IF(B39="","",IF(H39="","",H39-IF(R39="",0,R39)))</f>
        <v>0</v>
      </c>
      <c r="T39" s="34">
        <f>IF(B39="","",SUMIFS('Supply Usage'!$E$5:$E$304,'Supply Usage'!$D$5:$D$304,B39,'Supply Usage'!$B$5:$B$304,"&gt;="&amp;TodayDate-28))</f>
        <v>0</v>
      </c>
      <c r="U39" s="34">
        <f>IF(B39="","",ROUND(T39/28,3))</f>
        <v>0</v>
      </c>
      <c r="V39" s="31">
        <f>IF(OR(B39="",S39="",U39=0),"",ROUND(S39/U39,0))</f>
        <v>0</v>
      </c>
      <c r="W39" s="21">
        <f>IF(OR(B39="",S39="",P39=""),"",ROUND(S39*P39,2))</f>
        <v>0</v>
      </c>
      <c r="X39" s="21">
        <f>IF(B39="","",SUMIFS('Supply Usage'!$L$5:$L$304,'Supply Usage'!$D$5:$D$304,B39))</f>
        <v>0</v>
      </c>
      <c r="Y39" s="39">
        <f>IF(B39="","",IF(S39="","Not counted",IF(S39&lt;=0,"Out of stock",IF(AND(J39&lt;&gt;"",S39&lt;=J39),"Low stock",IF(AND(V39&lt;&gt;"",V39&lt;LowStockDays),"Low stock","In stock")))))</f>
        <v>0</v>
      </c>
      <c r="Z39" s="39">
        <f>IF(B39="","",IF(Y39="Out of stock","Order - none left",IF(Y39="Low stock","Order - running low",IF(Y39="Not counted","Add - count the stock",IF(AND(N39="No",C39="Chemicals &amp; detergents"),"Action - no safety data sheet","OK")))))</f>
        <v>0</v>
      </c>
    </row>
    <row r="40" spans="1:26">
      <c r="A40" s="43">
        <f>IF(B40="","",SupplyPrefix&amp;TEXT(ROW()-4,"0000"))</f>
        <v>0</v>
      </c>
      <c r="P40" s="21">
        <f>IF(OR(B40="",G40="",F40="",F40=0),"",ROUND(G40/F40,4))</f>
        <v>0</v>
      </c>
      <c r="Q40" s="34">
        <f>IF(B40="","",SUMIFS('Supply Usage'!$E$5:$E$304,'Supply Usage'!$D$5:$D$304,B40))</f>
        <v>0</v>
      </c>
      <c r="R40" s="34">
        <f>IF(OR(B40="",I40=""),"",SUMIFS('Supply Usage'!$E$5:$E$304,'Supply Usage'!$D$5:$D$304,B40,'Supply Usage'!$B$5:$B$304,"&gt;"&amp;I40))</f>
        <v>0</v>
      </c>
      <c r="S40" s="34">
        <f>IF(B40="","",IF(H40="","",H40-IF(R40="",0,R40)))</f>
        <v>0</v>
      </c>
      <c r="T40" s="34">
        <f>IF(B40="","",SUMIFS('Supply Usage'!$E$5:$E$304,'Supply Usage'!$D$5:$D$304,B40,'Supply Usage'!$B$5:$B$304,"&gt;="&amp;TodayDate-28))</f>
        <v>0</v>
      </c>
      <c r="U40" s="34">
        <f>IF(B40="","",ROUND(T40/28,3))</f>
        <v>0</v>
      </c>
      <c r="V40" s="31">
        <f>IF(OR(B40="",S40="",U40=0),"",ROUND(S40/U40,0))</f>
        <v>0</v>
      </c>
      <c r="W40" s="21">
        <f>IF(OR(B40="",S40="",P40=""),"",ROUND(S40*P40,2))</f>
        <v>0</v>
      </c>
      <c r="X40" s="21">
        <f>IF(B40="","",SUMIFS('Supply Usage'!$L$5:$L$304,'Supply Usage'!$D$5:$D$304,B40))</f>
        <v>0</v>
      </c>
      <c r="Y40" s="39">
        <f>IF(B40="","",IF(S40="","Not counted",IF(S40&lt;=0,"Out of stock",IF(AND(J40&lt;&gt;"",S40&lt;=J40),"Low stock",IF(AND(V40&lt;&gt;"",V40&lt;LowStockDays),"Low stock","In stock")))))</f>
        <v>0</v>
      </c>
      <c r="Z40" s="39">
        <f>IF(B40="","",IF(Y40="Out of stock","Order - none left",IF(Y40="Low stock","Order - running low",IF(Y40="Not counted","Add - count the stock",IF(AND(N40="No",C40="Chemicals &amp; detergents"),"Action - no safety data sheet","OK")))))</f>
        <v>0</v>
      </c>
    </row>
    <row r="41" spans="1:26">
      <c r="A41" s="43">
        <f>IF(B41="","",SupplyPrefix&amp;TEXT(ROW()-4,"0000"))</f>
        <v>0</v>
      </c>
      <c r="P41" s="21">
        <f>IF(OR(B41="",G41="",F41="",F41=0),"",ROUND(G41/F41,4))</f>
        <v>0</v>
      </c>
      <c r="Q41" s="34">
        <f>IF(B41="","",SUMIFS('Supply Usage'!$E$5:$E$304,'Supply Usage'!$D$5:$D$304,B41))</f>
        <v>0</v>
      </c>
      <c r="R41" s="34">
        <f>IF(OR(B41="",I41=""),"",SUMIFS('Supply Usage'!$E$5:$E$304,'Supply Usage'!$D$5:$D$304,B41,'Supply Usage'!$B$5:$B$304,"&gt;"&amp;I41))</f>
        <v>0</v>
      </c>
      <c r="S41" s="34">
        <f>IF(B41="","",IF(H41="","",H41-IF(R41="",0,R41)))</f>
        <v>0</v>
      </c>
      <c r="T41" s="34">
        <f>IF(B41="","",SUMIFS('Supply Usage'!$E$5:$E$304,'Supply Usage'!$D$5:$D$304,B41,'Supply Usage'!$B$5:$B$304,"&gt;="&amp;TodayDate-28))</f>
        <v>0</v>
      </c>
      <c r="U41" s="34">
        <f>IF(B41="","",ROUND(T41/28,3))</f>
        <v>0</v>
      </c>
      <c r="V41" s="31">
        <f>IF(OR(B41="",S41="",U41=0),"",ROUND(S41/U41,0))</f>
        <v>0</v>
      </c>
      <c r="W41" s="21">
        <f>IF(OR(B41="",S41="",P41=""),"",ROUND(S41*P41,2))</f>
        <v>0</v>
      </c>
      <c r="X41" s="21">
        <f>IF(B41="","",SUMIFS('Supply Usage'!$L$5:$L$304,'Supply Usage'!$D$5:$D$304,B41))</f>
        <v>0</v>
      </c>
      <c r="Y41" s="39">
        <f>IF(B41="","",IF(S41="","Not counted",IF(S41&lt;=0,"Out of stock",IF(AND(J41&lt;&gt;"",S41&lt;=J41),"Low stock",IF(AND(V41&lt;&gt;"",V41&lt;LowStockDays),"Low stock","In stock")))))</f>
        <v>0</v>
      </c>
      <c r="Z41" s="39">
        <f>IF(B41="","",IF(Y41="Out of stock","Order - none left",IF(Y41="Low stock","Order - running low",IF(Y41="Not counted","Add - count the stock",IF(AND(N41="No",C41="Chemicals &amp; detergents"),"Action - no safety data sheet","OK")))))</f>
        <v>0</v>
      </c>
    </row>
    <row r="42" spans="1:26">
      <c r="A42" s="43">
        <f>IF(B42="","",SupplyPrefix&amp;TEXT(ROW()-4,"0000"))</f>
        <v>0</v>
      </c>
      <c r="P42" s="21">
        <f>IF(OR(B42="",G42="",F42="",F42=0),"",ROUND(G42/F42,4))</f>
        <v>0</v>
      </c>
      <c r="Q42" s="34">
        <f>IF(B42="","",SUMIFS('Supply Usage'!$E$5:$E$304,'Supply Usage'!$D$5:$D$304,B42))</f>
        <v>0</v>
      </c>
      <c r="R42" s="34">
        <f>IF(OR(B42="",I42=""),"",SUMIFS('Supply Usage'!$E$5:$E$304,'Supply Usage'!$D$5:$D$304,B42,'Supply Usage'!$B$5:$B$304,"&gt;"&amp;I42))</f>
        <v>0</v>
      </c>
      <c r="S42" s="34">
        <f>IF(B42="","",IF(H42="","",H42-IF(R42="",0,R42)))</f>
        <v>0</v>
      </c>
      <c r="T42" s="34">
        <f>IF(B42="","",SUMIFS('Supply Usage'!$E$5:$E$304,'Supply Usage'!$D$5:$D$304,B42,'Supply Usage'!$B$5:$B$304,"&gt;="&amp;TodayDate-28))</f>
        <v>0</v>
      </c>
      <c r="U42" s="34">
        <f>IF(B42="","",ROUND(T42/28,3))</f>
        <v>0</v>
      </c>
      <c r="V42" s="31">
        <f>IF(OR(B42="",S42="",U42=0),"",ROUND(S42/U42,0))</f>
        <v>0</v>
      </c>
      <c r="W42" s="21">
        <f>IF(OR(B42="",S42="",P42=""),"",ROUND(S42*P42,2))</f>
        <v>0</v>
      </c>
      <c r="X42" s="21">
        <f>IF(B42="","",SUMIFS('Supply Usage'!$L$5:$L$304,'Supply Usage'!$D$5:$D$304,B42))</f>
        <v>0</v>
      </c>
      <c r="Y42" s="39">
        <f>IF(B42="","",IF(S42="","Not counted",IF(S42&lt;=0,"Out of stock",IF(AND(J42&lt;&gt;"",S42&lt;=J42),"Low stock",IF(AND(V42&lt;&gt;"",V42&lt;LowStockDays),"Low stock","In stock")))))</f>
        <v>0</v>
      </c>
      <c r="Z42" s="39">
        <f>IF(B42="","",IF(Y42="Out of stock","Order - none left",IF(Y42="Low stock","Order - running low",IF(Y42="Not counted","Add - count the stock",IF(AND(N42="No",C42="Chemicals &amp; detergents"),"Action - no safety data sheet","OK")))))</f>
        <v>0</v>
      </c>
    </row>
    <row r="43" spans="1:26">
      <c r="A43" s="43">
        <f>IF(B43="","",SupplyPrefix&amp;TEXT(ROW()-4,"0000"))</f>
        <v>0</v>
      </c>
      <c r="P43" s="21">
        <f>IF(OR(B43="",G43="",F43="",F43=0),"",ROUND(G43/F43,4))</f>
        <v>0</v>
      </c>
      <c r="Q43" s="34">
        <f>IF(B43="","",SUMIFS('Supply Usage'!$E$5:$E$304,'Supply Usage'!$D$5:$D$304,B43))</f>
        <v>0</v>
      </c>
      <c r="R43" s="34">
        <f>IF(OR(B43="",I43=""),"",SUMIFS('Supply Usage'!$E$5:$E$304,'Supply Usage'!$D$5:$D$304,B43,'Supply Usage'!$B$5:$B$304,"&gt;"&amp;I43))</f>
        <v>0</v>
      </c>
      <c r="S43" s="34">
        <f>IF(B43="","",IF(H43="","",H43-IF(R43="",0,R43)))</f>
        <v>0</v>
      </c>
      <c r="T43" s="34">
        <f>IF(B43="","",SUMIFS('Supply Usage'!$E$5:$E$304,'Supply Usage'!$D$5:$D$304,B43,'Supply Usage'!$B$5:$B$304,"&gt;="&amp;TodayDate-28))</f>
        <v>0</v>
      </c>
      <c r="U43" s="34">
        <f>IF(B43="","",ROUND(T43/28,3))</f>
        <v>0</v>
      </c>
      <c r="V43" s="31">
        <f>IF(OR(B43="",S43="",U43=0),"",ROUND(S43/U43,0))</f>
        <v>0</v>
      </c>
      <c r="W43" s="21">
        <f>IF(OR(B43="",S43="",P43=""),"",ROUND(S43*P43,2))</f>
        <v>0</v>
      </c>
      <c r="X43" s="21">
        <f>IF(B43="","",SUMIFS('Supply Usage'!$L$5:$L$304,'Supply Usage'!$D$5:$D$304,B43))</f>
        <v>0</v>
      </c>
      <c r="Y43" s="39">
        <f>IF(B43="","",IF(S43="","Not counted",IF(S43&lt;=0,"Out of stock",IF(AND(J43&lt;&gt;"",S43&lt;=J43),"Low stock",IF(AND(V43&lt;&gt;"",V43&lt;LowStockDays),"Low stock","In stock")))))</f>
        <v>0</v>
      </c>
      <c r="Z43" s="39">
        <f>IF(B43="","",IF(Y43="Out of stock","Order - none left",IF(Y43="Low stock","Order - running low",IF(Y43="Not counted","Add - count the stock",IF(AND(N43="No",C43="Chemicals &amp; detergents"),"Action - no safety data sheet","OK")))))</f>
        <v>0</v>
      </c>
    </row>
    <row r="44" spans="1:26">
      <c r="A44" s="43">
        <f>IF(B44="","",SupplyPrefix&amp;TEXT(ROW()-4,"0000"))</f>
        <v>0</v>
      </c>
      <c r="P44" s="21">
        <f>IF(OR(B44="",G44="",F44="",F44=0),"",ROUND(G44/F44,4))</f>
        <v>0</v>
      </c>
      <c r="Q44" s="34">
        <f>IF(B44="","",SUMIFS('Supply Usage'!$E$5:$E$304,'Supply Usage'!$D$5:$D$304,B44))</f>
        <v>0</v>
      </c>
      <c r="R44" s="34">
        <f>IF(OR(B44="",I44=""),"",SUMIFS('Supply Usage'!$E$5:$E$304,'Supply Usage'!$D$5:$D$304,B44,'Supply Usage'!$B$5:$B$304,"&gt;"&amp;I44))</f>
        <v>0</v>
      </c>
      <c r="S44" s="34">
        <f>IF(B44="","",IF(H44="","",H44-IF(R44="",0,R44)))</f>
        <v>0</v>
      </c>
      <c r="T44" s="34">
        <f>IF(B44="","",SUMIFS('Supply Usage'!$E$5:$E$304,'Supply Usage'!$D$5:$D$304,B44,'Supply Usage'!$B$5:$B$304,"&gt;="&amp;TodayDate-28))</f>
        <v>0</v>
      </c>
      <c r="U44" s="34">
        <f>IF(B44="","",ROUND(T44/28,3))</f>
        <v>0</v>
      </c>
      <c r="V44" s="31">
        <f>IF(OR(B44="",S44="",U44=0),"",ROUND(S44/U44,0))</f>
        <v>0</v>
      </c>
      <c r="W44" s="21">
        <f>IF(OR(B44="",S44="",P44=""),"",ROUND(S44*P44,2))</f>
        <v>0</v>
      </c>
      <c r="X44" s="21">
        <f>IF(B44="","",SUMIFS('Supply Usage'!$L$5:$L$304,'Supply Usage'!$D$5:$D$304,B44))</f>
        <v>0</v>
      </c>
      <c r="Y44" s="39">
        <f>IF(B44="","",IF(S44="","Not counted",IF(S44&lt;=0,"Out of stock",IF(AND(J44&lt;&gt;"",S44&lt;=J44),"Low stock",IF(AND(V44&lt;&gt;"",V44&lt;LowStockDays),"Low stock","In stock")))))</f>
        <v>0</v>
      </c>
      <c r="Z44" s="39">
        <f>IF(B44="","",IF(Y44="Out of stock","Order - none left",IF(Y44="Low stock","Order - running low",IF(Y44="Not counted","Add - count the stock",IF(AND(N44="No",C44="Chemicals &amp; detergents"),"Action - no safety data sheet","OK")))))</f>
        <v>0</v>
      </c>
    </row>
    <row r="45" spans="1:26">
      <c r="A45" s="43">
        <f>IF(B45="","",SupplyPrefix&amp;TEXT(ROW()-4,"0000"))</f>
        <v>0</v>
      </c>
      <c r="P45" s="21">
        <f>IF(OR(B45="",G45="",F45="",F45=0),"",ROUND(G45/F45,4))</f>
        <v>0</v>
      </c>
      <c r="Q45" s="34">
        <f>IF(B45="","",SUMIFS('Supply Usage'!$E$5:$E$304,'Supply Usage'!$D$5:$D$304,B45))</f>
        <v>0</v>
      </c>
      <c r="R45" s="34">
        <f>IF(OR(B45="",I45=""),"",SUMIFS('Supply Usage'!$E$5:$E$304,'Supply Usage'!$D$5:$D$304,B45,'Supply Usage'!$B$5:$B$304,"&gt;"&amp;I45))</f>
        <v>0</v>
      </c>
      <c r="S45" s="34">
        <f>IF(B45="","",IF(H45="","",H45-IF(R45="",0,R45)))</f>
        <v>0</v>
      </c>
      <c r="T45" s="34">
        <f>IF(B45="","",SUMIFS('Supply Usage'!$E$5:$E$304,'Supply Usage'!$D$5:$D$304,B45,'Supply Usage'!$B$5:$B$304,"&gt;="&amp;TodayDate-28))</f>
        <v>0</v>
      </c>
      <c r="U45" s="34">
        <f>IF(B45="","",ROUND(T45/28,3))</f>
        <v>0</v>
      </c>
      <c r="V45" s="31">
        <f>IF(OR(B45="",S45="",U45=0),"",ROUND(S45/U45,0))</f>
        <v>0</v>
      </c>
      <c r="W45" s="21">
        <f>IF(OR(B45="",S45="",P45=""),"",ROUND(S45*P45,2))</f>
        <v>0</v>
      </c>
      <c r="X45" s="21">
        <f>IF(B45="","",SUMIFS('Supply Usage'!$L$5:$L$304,'Supply Usage'!$D$5:$D$304,B45))</f>
        <v>0</v>
      </c>
      <c r="Y45" s="39">
        <f>IF(B45="","",IF(S45="","Not counted",IF(S45&lt;=0,"Out of stock",IF(AND(J45&lt;&gt;"",S45&lt;=J45),"Low stock",IF(AND(V45&lt;&gt;"",V45&lt;LowStockDays),"Low stock","In stock")))))</f>
        <v>0</v>
      </c>
      <c r="Z45" s="39">
        <f>IF(B45="","",IF(Y45="Out of stock","Order - none left",IF(Y45="Low stock","Order - running low",IF(Y45="Not counted","Add - count the stock",IF(AND(N45="No",C45="Chemicals &amp; detergents"),"Action - no safety data sheet","OK")))))</f>
        <v>0</v>
      </c>
    </row>
    <row r="46" spans="1:26">
      <c r="A46" s="43">
        <f>IF(B46="","",SupplyPrefix&amp;TEXT(ROW()-4,"0000"))</f>
        <v>0</v>
      </c>
      <c r="P46" s="21">
        <f>IF(OR(B46="",G46="",F46="",F46=0),"",ROUND(G46/F46,4))</f>
        <v>0</v>
      </c>
      <c r="Q46" s="34">
        <f>IF(B46="","",SUMIFS('Supply Usage'!$E$5:$E$304,'Supply Usage'!$D$5:$D$304,B46))</f>
        <v>0</v>
      </c>
      <c r="R46" s="34">
        <f>IF(OR(B46="",I46=""),"",SUMIFS('Supply Usage'!$E$5:$E$304,'Supply Usage'!$D$5:$D$304,B46,'Supply Usage'!$B$5:$B$304,"&gt;"&amp;I46))</f>
        <v>0</v>
      </c>
      <c r="S46" s="34">
        <f>IF(B46="","",IF(H46="","",H46-IF(R46="",0,R46)))</f>
        <v>0</v>
      </c>
      <c r="T46" s="34">
        <f>IF(B46="","",SUMIFS('Supply Usage'!$E$5:$E$304,'Supply Usage'!$D$5:$D$304,B46,'Supply Usage'!$B$5:$B$304,"&gt;="&amp;TodayDate-28))</f>
        <v>0</v>
      </c>
      <c r="U46" s="34">
        <f>IF(B46="","",ROUND(T46/28,3))</f>
        <v>0</v>
      </c>
      <c r="V46" s="31">
        <f>IF(OR(B46="",S46="",U46=0),"",ROUND(S46/U46,0))</f>
        <v>0</v>
      </c>
      <c r="W46" s="21">
        <f>IF(OR(B46="",S46="",P46=""),"",ROUND(S46*P46,2))</f>
        <v>0</v>
      </c>
      <c r="X46" s="21">
        <f>IF(B46="","",SUMIFS('Supply Usage'!$L$5:$L$304,'Supply Usage'!$D$5:$D$304,B46))</f>
        <v>0</v>
      </c>
      <c r="Y46" s="39">
        <f>IF(B46="","",IF(S46="","Not counted",IF(S46&lt;=0,"Out of stock",IF(AND(J46&lt;&gt;"",S46&lt;=J46),"Low stock",IF(AND(V46&lt;&gt;"",V46&lt;LowStockDays),"Low stock","In stock")))))</f>
        <v>0</v>
      </c>
      <c r="Z46" s="39">
        <f>IF(B46="","",IF(Y46="Out of stock","Order - none left",IF(Y46="Low stock","Order - running low",IF(Y46="Not counted","Add - count the stock",IF(AND(N46="No",C46="Chemicals &amp; detergents"),"Action - no safety data sheet","OK")))))</f>
        <v>0</v>
      </c>
    </row>
    <row r="47" spans="1:26">
      <c r="A47" s="43">
        <f>IF(B47="","",SupplyPrefix&amp;TEXT(ROW()-4,"0000"))</f>
        <v>0</v>
      </c>
      <c r="P47" s="21">
        <f>IF(OR(B47="",G47="",F47="",F47=0),"",ROUND(G47/F47,4))</f>
        <v>0</v>
      </c>
      <c r="Q47" s="34">
        <f>IF(B47="","",SUMIFS('Supply Usage'!$E$5:$E$304,'Supply Usage'!$D$5:$D$304,B47))</f>
        <v>0</v>
      </c>
      <c r="R47" s="34">
        <f>IF(OR(B47="",I47=""),"",SUMIFS('Supply Usage'!$E$5:$E$304,'Supply Usage'!$D$5:$D$304,B47,'Supply Usage'!$B$5:$B$304,"&gt;"&amp;I47))</f>
        <v>0</v>
      </c>
      <c r="S47" s="34">
        <f>IF(B47="","",IF(H47="","",H47-IF(R47="",0,R47)))</f>
        <v>0</v>
      </c>
      <c r="T47" s="34">
        <f>IF(B47="","",SUMIFS('Supply Usage'!$E$5:$E$304,'Supply Usage'!$D$5:$D$304,B47,'Supply Usage'!$B$5:$B$304,"&gt;="&amp;TodayDate-28))</f>
        <v>0</v>
      </c>
      <c r="U47" s="34">
        <f>IF(B47="","",ROUND(T47/28,3))</f>
        <v>0</v>
      </c>
      <c r="V47" s="31">
        <f>IF(OR(B47="",S47="",U47=0),"",ROUND(S47/U47,0))</f>
        <v>0</v>
      </c>
      <c r="W47" s="21">
        <f>IF(OR(B47="",S47="",P47=""),"",ROUND(S47*P47,2))</f>
        <v>0</v>
      </c>
      <c r="X47" s="21">
        <f>IF(B47="","",SUMIFS('Supply Usage'!$L$5:$L$304,'Supply Usage'!$D$5:$D$304,B47))</f>
        <v>0</v>
      </c>
      <c r="Y47" s="39">
        <f>IF(B47="","",IF(S47="","Not counted",IF(S47&lt;=0,"Out of stock",IF(AND(J47&lt;&gt;"",S47&lt;=J47),"Low stock",IF(AND(V47&lt;&gt;"",V47&lt;LowStockDays),"Low stock","In stock")))))</f>
        <v>0</v>
      </c>
      <c r="Z47" s="39">
        <f>IF(B47="","",IF(Y47="Out of stock","Order - none left",IF(Y47="Low stock","Order - running low",IF(Y47="Not counted","Add - count the stock",IF(AND(N47="No",C47="Chemicals &amp; detergents"),"Action - no safety data sheet","OK")))))</f>
        <v>0</v>
      </c>
    </row>
    <row r="48" spans="1:26">
      <c r="A48" s="43">
        <f>IF(B48="","",SupplyPrefix&amp;TEXT(ROW()-4,"0000"))</f>
        <v>0</v>
      </c>
      <c r="P48" s="21">
        <f>IF(OR(B48="",G48="",F48="",F48=0),"",ROUND(G48/F48,4))</f>
        <v>0</v>
      </c>
      <c r="Q48" s="34">
        <f>IF(B48="","",SUMIFS('Supply Usage'!$E$5:$E$304,'Supply Usage'!$D$5:$D$304,B48))</f>
        <v>0</v>
      </c>
      <c r="R48" s="34">
        <f>IF(OR(B48="",I48=""),"",SUMIFS('Supply Usage'!$E$5:$E$304,'Supply Usage'!$D$5:$D$304,B48,'Supply Usage'!$B$5:$B$304,"&gt;"&amp;I48))</f>
        <v>0</v>
      </c>
      <c r="S48" s="34">
        <f>IF(B48="","",IF(H48="","",H48-IF(R48="",0,R48)))</f>
        <v>0</v>
      </c>
      <c r="T48" s="34">
        <f>IF(B48="","",SUMIFS('Supply Usage'!$E$5:$E$304,'Supply Usage'!$D$5:$D$304,B48,'Supply Usage'!$B$5:$B$304,"&gt;="&amp;TodayDate-28))</f>
        <v>0</v>
      </c>
      <c r="U48" s="34">
        <f>IF(B48="","",ROUND(T48/28,3))</f>
        <v>0</v>
      </c>
      <c r="V48" s="31">
        <f>IF(OR(B48="",S48="",U48=0),"",ROUND(S48/U48,0))</f>
        <v>0</v>
      </c>
      <c r="W48" s="21">
        <f>IF(OR(B48="",S48="",P48=""),"",ROUND(S48*P48,2))</f>
        <v>0</v>
      </c>
      <c r="X48" s="21">
        <f>IF(B48="","",SUMIFS('Supply Usage'!$L$5:$L$304,'Supply Usage'!$D$5:$D$304,B48))</f>
        <v>0</v>
      </c>
      <c r="Y48" s="39">
        <f>IF(B48="","",IF(S48="","Not counted",IF(S48&lt;=0,"Out of stock",IF(AND(J48&lt;&gt;"",S48&lt;=J48),"Low stock",IF(AND(V48&lt;&gt;"",V48&lt;LowStockDays),"Low stock","In stock")))))</f>
        <v>0</v>
      </c>
      <c r="Z48" s="39">
        <f>IF(B48="","",IF(Y48="Out of stock","Order - none left",IF(Y48="Low stock","Order - running low",IF(Y48="Not counted","Add - count the stock",IF(AND(N48="No",C48="Chemicals &amp; detergents"),"Action - no safety data sheet","OK")))))</f>
        <v>0</v>
      </c>
    </row>
    <row r="49" spans="1:26">
      <c r="A49" s="43">
        <f>IF(B49="","",SupplyPrefix&amp;TEXT(ROW()-4,"0000"))</f>
        <v>0</v>
      </c>
      <c r="P49" s="21">
        <f>IF(OR(B49="",G49="",F49="",F49=0),"",ROUND(G49/F49,4))</f>
        <v>0</v>
      </c>
      <c r="Q49" s="34">
        <f>IF(B49="","",SUMIFS('Supply Usage'!$E$5:$E$304,'Supply Usage'!$D$5:$D$304,B49))</f>
        <v>0</v>
      </c>
      <c r="R49" s="34">
        <f>IF(OR(B49="",I49=""),"",SUMIFS('Supply Usage'!$E$5:$E$304,'Supply Usage'!$D$5:$D$304,B49,'Supply Usage'!$B$5:$B$304,"&gt;"&amp;I49))</f>
        <v>0</v>
      </c>
      <c r="S49" s="34">
        <f>IF(B49="","",IF(H49="","",H49-IF(R49="",0,R49)))</f>
        <v>0</v>
      </c>
      <c r="T49" s="34">
        <f>IF(B49="","",SUMIFS('Supply Usage'!$E$5:$E$304,'Supply Usage'!$D$5:$D$304,B49,'Supply Usage'!$B$5:$B$304,"&gt;="&amp;TodayDate-28))</f>
        <v>0</v>
      </c>
      <c r="U49" s="34">
        <f>IF(B49="","",ROUND(T49/28,3))</f>
        <v>0</v>
      </c>
      <c r="V49" s="31">
        <f>IF(OR(B49="",S49="",U49=0),"",ROUND(S49/U49,0))</f>
        <v>0</v>
      </c>
      <c r="W49" s="21">
        <f>IF(OR(B49="",S49="",P49=""),"",ROUND(S49*P49,2))</f>
        <v>0</v>
      </c>
      <c r="X49" s="21">
        <f>IF(B49="","",SUMIFS('Supply Usage'!$L$5:$L$304,'Supply Usage'!$D$5:$D$304,B49))</f>
        <v>0</v>
      </c>
      <c r="Y49" s="39">
        <f>IF(B49="","",IF(S49="","Not counted",IF(S49&lt;=0,"Out of stock",IF(AND(J49&lt;&gt;"",S49&lt;=J49),"Low stock",IF(AND(V49&lt;&gt;"",V49&lt;LowStockDays),"Low stock","In stock")))))</f>
        <v>0</v>
      </c>
      <c r="Z49" s="39">
        <f>IF(B49="","",IF(Y49="Out of stock","Order - none left",IF(Y49="Low stock","Order - running low",IF(Y49="Not counted","Add - count the stock",IF(AND(N49="No",C49="Chemicals &amp; detergents"),"Action - no safety data sheet","OK")))))</f>
        <v>0</v>
      </c>
    </row>
    <row r="50" spans="1:26">
      <c r="A50" s="43">
        <f>IF(B50="","",SupplyPrefix&amp;TEXT(ROW()-4,"0000"))</f>
        <v>0</v>
      </c>
      <c r="P50" s="21">
        <f>IF(OR(B50="",G50="",F50="",F50=0),"",ROUND(G50/F50,4))</f>
        <v>0</v>
      </c>
      <c r="Q50" s="34">
        <f>IF(B50="","",SUMIFS('Supply Usage'!$E$5:$E$304,'Supply Usage'!$D$5:$D$304,B50))</f>
        <v>0</v>
      </c>
      <c r="R50" s="34">
        <f>IF(OR(B50="",I50=""),"",SUMIFS('Supply Usage'!$E$5:$E$304,'Supply Usage'!$D$5:$D$304,B50,'Supply Usage'!$B$5:$B$304,"&gt;"&amp;I50))</f>
        <v>0</v>
      </c>
      <c r="S50" s="34">
        <f>IF(B50="","",IF(H50="","",H50-IF(R50="",0,R50)))</f>
        <v>0</v>
      </c>
      <c r="T50" s="34">
        <f>IF(B50="","",SUMIFS('Supply Usage'!$E$5:$E$304,'Supply Usage'!$D$5:$D$304,B50,'Supply Usage'!$B$5:$B$304,"&gt;="&amp;TodayDate-28))</f>
        <v>0</v>
      </c>
      <c r="U50" s="34">
        <f>IF(B50="","",ROUND(T50/28,3))</f>
        <v>0</v>
      </c>
      <c r="V50" s="31">
        <f>IF(OR(B50="",S50="",U50=0),"",ROUND(S50/U50,0))</f>
        <v>0</v>
      </c>
      <c r="W50" s="21">
        <f>IF(OR(B50="",S50="",P50=""),"",ROUND(S50*P50,2))</f>
        <v>0</v>
      </c>
      <c r="X50" s="21">
        <f>IF(B50="","",SUMIFS('Supply Usage'!$L$5:$L$304,'Supply Usage'!$D$5:$D$304,B50))</f>
        <v>0</v>
      </c>
      <c r="Y50" s="39">
        <f>IF(B50="","",IF(S50="","Not counted",IF(S50&lt;=0,"Out of stock",IF(AND(J50&lt;&gt;"",S50&lt;=J50),"Low stock",IF(AND(V50&lt;&gt;"",V50&lt;LowStockDays),"Low stock","In stock")))))</f>
        <v>0</v>
      </c>
      <c r="Z50" s="39">
        <f>IF(B50="","",IF(Y50="Out of stock","Order - none left",IF(Y50="Low stock","Order - running low",IF(Y50="Not counted","Add - count the stock",IF(AND(N50="No",C50="Chemicals &amp; detergents"),"Action - no safety data sheet","OK")))))</f>
        <v>0</v>
      </c>
    </row>
    <row r="51" spans="1:26">
      <c r="A51" s="43">
        <f>IF(B51="","",SupplyPrefix&amp;TEXT(ROW()-4,"0000"))</f>
        <v>0</v>
      </c>
      <c r="P51" s="21">
        <f>IF(OR(B51="",G51="",F51="",F51=0),"",ROUND(G51/F51,4))</f>
        <v>0</v>
      </c>
      <c r="Q51" s="34">
        <f>IF(B51="","",SUMIFS('Supply Usage'!$E$5:$E$304,'Supply Usage'!$D$5:$D$304,B51))</f>
        <v>0</v>
      </c>
      <c r="R51" s="34">
        <f>IF(OR(B51="",I51=""),"",SUMIFS('Supply Usage'!$E$5:$E$304,'Supply Usage'!$D$5:$D$304,B51,'Supply Usage'!$B$5:$B$304,"&gt;"&amp;I51))</f>
        <v>0</v>
      </c>
      <c r="S51" s="34">
        <f>IF(B51="","",IF(H51="","",H51-IF(R51="",0,R51)))</f>
        <v>0</v>
      </c>
      <c r="T51" s="34">
        <f>IF(B51="","",SUMIFS('Supply Usage'!$E$5:$E$304,'Supply Usage'!$D$5:$D$304,B51,'Supply Usage'!$B$5:$B$304,"&gt;="&amp;TodayDate-28))</f>
        <v>0</v>
      </c>
      <c r="U51" s="34">
        <f>IF(B51="","",ROUND(T51/28,3))</f>
        <v>0</v>
      </c>
      <c r="V51" s="31">
        <f>IF(OR(B51="",S51="",U51=0),"",ROUND(S51/U51,0))</f>
        <v>0</v>
      </c>
      <c r="W51" s="21">
        <f>IF(OR(B51="",S51="",P51=""),"",ROUND(S51*P51,2))</f>
        <v>0</v>
      </c>
      <c r="X51" s="21">
        <f>IF(B51="","",SUMIFS('Supply Usage'!$L$5:$L$304,'Supply Usage'!$D$5:$D$304,B51))</f>
        <v>0</v>
      </c>
      <c r="Y51" s="39">
        <f>IF(B51="","",IF(S51="","Not counted",IF(S51&lt;=0,"Out of stock",IF(AND(J51&lt;&gt;"",S51&lt;=J51),"Low stock",IF(AND(V51&lt;&gt;"",V51&lt;LowStockDays),"Low stock","In stock")))))</f>
        <v>0</v>
      </c>
      <c r="Z51" s="39">
        <f>IF(B51="","",IF(Y51="Out of stock","Order - none left",IF(Y51="Low stock","Order - running low",IF(Y51="Not counted","Add - count the stock",IF(AND(N51="No",C51="Chemicals &amp; detergents"),"Action - no safety data sheet","OK")))))</f>
        <v>0</v>
      </c>
    </row>
    <row r="52" spans="1:26">
      <c r="A52" s="43">
        <f>IF(B52="","",SupplyPrefix&amp;TEXT(ROW()-4,"0000"))</f>
        <v>0</v>
      </c>
      <c r="P52" s="21">
        <f>IF(OR(B52="",G52="",F52="",F52=0),"",ROUND(G52/F52,4))</f>
        <v>0</v>
      </c>
      <c r="Q52" s="34">
        <f>IF(B52="","",SUMIFS('Supply Usage'!$E$5:$E$304,'Supply Usage'!$D$5:$D$304,B52))</f>
        <v>0</v>
      </c>
      <c r="R52" s="34">
        <f>IF(OR(B52="",I52=""),"",SUMIFS('Supply Usage'!$E$5:$E$304,'Supply Usage'!$D$5:$D$304,B52,'Supply Usage'!$B$5:$B$304,"&gt;"&amp;I52))</f>
        <v>0</v>
      </c>
      <c r="S52" s="34">
        <f>IF(B52="","",IF(H52="","",H52-IF(R52="",0,R52)))</f>
        <v>0</v>
      </c>
      <c r="T52" s="34">
        <f>IF(B52="","",SUMIFS('Supply Usage'!$E$5:$E$304,'Supply Usage'!$D$5:$D$304,B52,'Supply Usage'!$B$5:$B$304,"&gt;="&amp;TodayDate-28))</f>
        <v>0</v>
      </c>
      <c r="U52" s="34">
        <f>IF(B52="","",ROUND(T52/28,3))</f>
        <v>0</v>
      </c>
      <c r="V52" s="31">
        <f>IF(OR(B52="",S52="",U52=0),"",ROUND(S52/U52,0))</f>
        <v>0</v>
      </c>
      <c r="W52" s="21">
        <f>IF(OR(B52="",S52="",P52=""),"",ROUND(S52*P52,2))</f>
        <v>0</v>
      </c>
      <c r="X52" s="21">
        <f>IF(B52="","",SUMIFS('Supply Usage'!$L$5:$L$304,'Supply Usage'!$D$5:$D$304,B52))</f>
        <v>0</v>
      </c>
      <c r="Y52" s="39">
        <f>IF(B52="","",IF(S52="","Not counted",IF(S52&lt;=0,"Out of stock",IF(AND(J52&lt;&gt;"",S52&lt;=J52),"Low stock",IF(AND(V52&lt;&gt;"",V52&lt;LowStockDays),"Low stock","In stock")))))</f>
        <v>0</v>
      </c>
      <c r="Z52" s="39">
        <f>IF(B52="","",IF(Y52="Out of stock","Order - none left",IF(Y52="Low stock","Order - running low",IF(Y52="Not counted","Add - count the stock",IF(AND(N52="No",C52="Chemicals &amp; detergents"),"Action - no safety data sheet","OK")))))</f>
        <v>0</v>
      </c>
    </row>
    <row r="53" spans="1:26">
      <c r="A53" s="43">
        <f>IF(B53="","",SupplyPrefix&amp;TEXT(ROW()-4,"0000"))</f>
        <v>0</v>
      </c>
      <c r="P53" s="21">
        <f>IF(OR(B53="",G53="",F53="",F53=0),"",ROUND(G53/F53,4))</f>
        <v>0</v>
      </c>
      <c r="Q53" s="34">
        <f>IF(B53="","",SUMIFS('Supply Usage'!$E$5:$E$304,'Supply Usage'!$D$5:$D$304,B53))</f>
        <v>0</v>
      </c>
      <c r="R53" s="34">
        <f>IF(OR(B53="",I53=""),"",SUMIFS('Supply Usage'!$E$5:$E$304,'Supply Usage'!$D$5:$D$304,B53,'Supply Usage'!$B$5:$B$304,"&gt;"&amp;I53))</f>
        <v>0</v>
      </c>
      <c r="S53" s="34">
        <f>IF(B53="","",IF(H53="","",H53-IF(R53="",0,R53)))</f>
        <v>0</v>
      </c>
      <c r="T53" s="34">
        <f>IF(B53="","",SUMIFS('Supply Usage'!$E$5:$E$304,'Supply Usage'!$D$5:$D$304,B53,'Supply Usage'!$B$5:$B$304,"&gt;="&amp;TodayDate-28))</f>
        <v>0</v>
      </c>
      <c r="U53" s="34">
        <f>IF(B53="","",ROUND(T53/28,3))</f>
        <v>0</v>
      </c>
      <c r="V53" s="31">
        <f>IF(OR(B53="",S53="",U53=0),"",ROUND(S53/U53,0))</f>
        <v>0</v>
      </c>
      <c r="W53" s="21">
        <f>IF(OR(B53="",S53="",P53=""),"",ROUND(S53*P53,2))</f>
        <v>0</v>
      </c>
      <c r="X53" s="21">
        <f>IF(B53="","",SUMIFS('Supply Usage'!$L$5:$L$304,'Supply Usage'!$D$5:$D$304,B53))</f>
        <v>0</v>
      </c>
      <c r="Y53" s="39">
        <f>IF(B53="","",IF(S53="","Not counted",IF(S53&lt;=0,"Out of stock",IF(AND(J53&lt;&gt;"",S53&lt;=J53),"Low stock",IF(AND(V53&lt;&gt;"",V53&lt;LowStockDays),"Low stock","In stock")))))</f>
        <v>0</v>
      </c>
      <c r="Z53" s="39">
        <f>IF(B53="","",IF(Y53="Out of stock","Order - none left",IF(Y53="Low stock","Order - running low",IF(Y53="Not counted","Add - count the stock",IF(AND(N53="No",C53="Chemicals &amp; detergents"),"Action - no safety data sheet","OK")))))</f>
        <v>0</v>
      </c>
    </row>
    <row r="54" spans="1:26">
      <c r="A54" s="43">
        <f>IF(B54="","",SupplyPrefix&amp;TEXT(ROW()-4,"0000"))</f>
        <v>0</v>
      </c>
      <c r="P54" s="21">
        <f>IF(OR(B54="",G54="",F54="",F54=0),"",ROUND(G54/F54,4))</f>
        <v>0</v>
      </c>
      <c r="Q54" s="34">
        <f>IF(B54="","",SUMIFS('Supply Usage'!$E$5:$E$304,'Supply Usage'!$D$5:$D$304,B54))</f>
        <v>0</v>
      </c>
      <c r="R54" s="34">
        <f>IF(OR(B54="",I54=""),"",SUMIFS('Supply Usage'!$E$5:$E$304,'Supply Usage'!$D$5:$D$304,B54,'Supply Usage'!$B$5:$B$304,"&gt;"&amp;I54))</f>
        <v>0</v>
      </c>
      <c r="S54" s="34">
        <f>IF(B54="","",IF(H54="","",H54-IF(R54="",0,R54)))</f>
        <v>0</v>
      </c>
      <c r="T54" s="34">
        <f>IF(B54="","",SUMIFS('Supply Usage'!$E$5:$E$304,'Supply Usage'!$D$5:$D$304,B54,'Supply Usage'!$B$5:$B$304,"&gt;="&amp;TodayDate-28))</f>
        <v>0</v>
      </c>
      <c r="U54" s="34">
        <f>IF(B54="","",ROUND(T54/28,3))</f>
        <v>0</v>
      </c>
      <c r="V54" s="31">
        <f>IF(OR(B54="",S54="",U54=0),"",ROUND(S54/U54,0))</f>
        <v>0</v>
      </c>
      <c r="W54" s="21">
        <f>IF(OR(B54="",S54="",P54=""),"",ROUND(S54*P54,2))</f>
        <v>0</v>
      </c>
      <c r="X54" s="21">
        <f>IF(B54="","",SUMIFS('Supply Usage'!$L$5:$L$304,'Supply Usage'!$D$5:$D$304,B54))</f>
        <v>0</v>
      </c>
      <c r="Y54" s="39">
        <f>IF(B54="","",IF(S54="","Not counted",IF(S54&lt;=0,"Out of stock",IF(AND(J54&lt;&gt;"",S54&lt;=J54),"Low stock",IF(AND(V54&lt;&gt;"",V54&lt;LowStockDays),"Low stock","In stock")))))</f>
        <v>0</v>
      </c>
      <c r="Z54" s="39">
        <f>IF(B54="","",IF(Y54="Out of stock","Order - none left",IF(Y54="Low stock","Order - running low",IF(Y54="Not counted","Add - count the stock",IF(AND(N54="No",C54="Chemicals &amp; detergents"),"Action - no safety data sheet","OK")))))</f>
        <v>0</v>
      </c>
    </row>
    <row r="55" spans="1:26">
      <c r="A55" s="43">
        <f>IF(B55="","",SupplyPrefix&amp;TEXT(ROW()-4,"0000"))</f>
        <v>0</v>
      </c>
      <c r="P55" s="21">
        <f>IF(OR(B55="",G55="",F55="",F55=0),"",ROUND(G55/F55,4))</f>
        <v>0</v>
      </c>
      <c r="Q55" s="34">
        <f>IF(B55="","",SUMIFS('Supply Usage'!$E$5:$E$304,'Supply Usage'!$D$5:$D$304,B55))</f>
        <v>0</v>
      </c>
      <c r="R55" s="34">
        <f>IF(OR(B55="",I55=""),"",SUMIFS('Supply Usage'!$E$5:$E$304,'Supply Usage'!$D$5:$D$304,B55,'Supply Usage'!$B$5:$B$304,"&gt;"&amp;I55))</f>
        <v>0</v>
      </c>
      <c r="S55" s="34">
        <f>IF(B55="","",IF(H55="","",H55-IF(R55="",0,R55)))</f>
        <v>0</v>
      </c>
      <c r="T55" s="34">
        <f>IF(B55="","",SUMIFS('Supply Usage'!$E$5:$E$304,'Supply Usage'!$D$5:$D$304,B55,'Supply Usage'!$B$5:$B$304,"&gt;="&amp;TodayDate-28))</f>
        <v>0</v>
      </c>
      <c r="U55" s="34">
        <f>IF(B55="","",ROUND(T55/28,3))</f>
        <v>0</v>
      </c>
      <c r="V55" s="31">
        <f>IF(OR(B55="",S55="",U55=0),"",ROUND(S55/U55,0))</f>
        <v>0</v>
      </c>
      <c r="W55" s="21">
        <f>IF(OR(B55="",S55="",P55=""),"",ROUND(S55*P55,2))</f>
        <v>0</v>
      </c>
      <c r="X55" s="21">
        <f>IF(B55="","",SUMIFS('Supply Usage'!$L$5:$L$304,'Supply Usage'!$D$5:$D$304,B55))</f>
        <v>0</v>
      </c>
      <c r="Y55" s="39">
        <f>IF(B55="","",IF(S55="","Not counted",IF(S55&lt;=0,"Out of stock",IF(AND(J55&lt;&gt;"",S55&lt;=J55),"Low stock",IF(AND(V55&lt;&gt;"",V55&lt;LowStockDays),"Low stock","In stock")))))</f>
        <v>0</v>
      </c>
      <c r="Z55" s="39">
        <f>IF(B55="","",IF(Y55="Out of stock","Order - none left",IF(Y55="Low stock","Order - running low",IF(Y55="Not counted","Add - count the stock",IF(AND(N55="No",C55="Chemicals &amp; detergents"),"Action - no safety data sheet","OK")))))</f>
        <v>0</v>
      </c>
    </row>
    <row r="56" spans="1:26">
      <c r="A56" s="43">
        <f>IF(B56="","",SupplyPrefix&amp;TEXT(ROW()-4,"0000"))</f>
        <v>0</v>
      </c>
      <c r="P56" s="21">
        <f>IF(OR(B56="",G56="",F56="",F56=0),"",ROUND(G56/F56,4))</f>
        <v>0</v>
      </c>
      <c r="Q56" s="34">
        <f>IF(B56="","",SUMIFS('Supply Usage'!$E$5:$E$304,'Supply Usage'!$D$5:$D$304,B56))</f>
        <v>0</v>
      </c>
      <c r="R56" s="34">
        <f>IF(OR(B56="",I56=""),"",SUMIFS('Supply Usage'!$E$5:$E$304,'Supply Usage'!$D$5:$D$304,B56,'Supply Usage'!$B$5:$B$304,"&gt;"&amp;I56))</f>
        <v>0</v>
      </c>
      <c r="S56" s="34">
        <f>IF(B56="","",IF(H56="","",H56-IF(R56="",0,R56)))</f>
        <v>0</v>
      </c>
      <c r="T56" s="34">
        <f>IF(B56="","",SUMIFS('Supply Usage'!$E$5:$E$304,'Supply Usage'!$D$5:$D$304,B56,'Supply Usage'!$B$5:$B$304,"&gt;="&amp;TodayDate-28))</f>
        <v>0</v>
      </c>
      <c r="U56" s="34">
        <f>IF(B56="","",ROUND(T56/28,3))</f>
        <v>0</v>
      </c>
      <c r="V56" s="31">
        <f>IF(OR(B56="",S56="",U56=0),"",ROUND(S56/U56,0))</f>
        <v>0</v>
      </c>
      <c r="W56" s="21">
        <f>IF(OR(B56="",S56="",P56=""),"",ROUND(S56*P56,2))</f>
        <v>0</v>
      </c>
      <c r="X56" s="21">
        <f>IF(B56="","",SUMIFS('Supply Usage'!$L$5:$L$304,'Supply Usage'!$D$5:$D$304,B56))</f>
        <v>0</v>
      </c>
      <c r="Y56" s="39">
        <f>IF(B56="","",IF(S56="","Not counted",IF(S56&lt;=0,"Out of stock",IF(AND(J56&lt;&gt;"",S56&lt;=J56),"Low stock",IF(AND(V56&lt;&gt;"",V56&lt;LowStockDays),"Low stock","In stock")))))</f>
        <v>0</v>
      </c>
      <c r="Z56" s="39">
        <f>IF(B56="","",IF(Y56="Out of stock","Order - none left",IF(Y56="Low stock","Order - running low",IF(Y56="Not counted","Add - count the stock",IF(AND(N56="No",C56="Chemicals &amp; detergents"),"Action - no safety data sheet","OK")))))</f>
        <v>0</v>
      </c>
    </row>
    <row r="57" spans="1:26">
      <c r="A57" s="43">
        <f>IF(B57="","",SupplyPrefix&amp;TEXT(ROW()-4,"0000"))</f>
        <v>0</v>
      </c>
      <c r="P57" s="21">
        <f>IF(OR(B57="",G57="",F57="",F57=0),"",ROUND(G57/F57,4))</f>
        <v>0</v>
      </c>
      <c r="Q57" s="34">
        <f>IF(B57="","",SUMIFS('Supply Usage'!$E$5:$E$304,'Supply Usage'!$D$5:$D$304,B57))</f>
        <v>0</v>
      </c>
      <c r="R57" s="34">
        <f>IF(OR(B57="",I57=""),"",SUMIFS('Supply Usage'!$E$5:$E$304,'Supply Usage'!$D$5:$D$304,B57,'Supply Usage'!$B$5:$B$304,"&gt;"&amp;I57))</f>
        <v>0</v>
      </c>
      <c r="S57" s="34">
        <f>IF(B57="","",IF(H57="","",H57-IF(R57="",0,R57)))</f>
        <v>0</v>
      </c>
      <c r="T57" s="34">
        <f>IF(B57="","",SUMIFS('Supply Usage'!$E$5:$E$304,'Supply Usage'!$D$5:$D$304,B57,'Supply Usage'!$B$5:$B$304,"&gt;="&amp;TodayDate-28))</f>
        <v>0</v>
      </c>
      <c r="U57" s="34">
        <f>IF(B57="","",ROUND(T57/28,3))</f>
        <v>0</v>
      </c>
      <c r="V57" s="31">
        <f>IF(OR(B57="",S57="",U57=0),"",ROUND(S57/U57,0))</f>
        <v>0</v>
      </c>
      <c r="W57" s="21">
        <f>IF(OR(B57="",S57="",P57=""),"",ROUND(S57*P57,2))</f>
        <v>0</v>
      </c>
      <c r="X57" s="21">
        <f>IF(B57="","",SUMIFS('Supply Usage'!$L$5:$L$304,'Supply Usage'!$D$5:$D$304,B57))</f>
        <v>0</v>
      </c>
      <c r="Y57" s="39">
        <f>IF(B57="","",IF(S57="","Not counted",IF(S57&lt;=0,"Out of stock",IF(AND(J57&lt;&gt;"",S57&lt;=J57),"Low stock",IF(AND(V57&lt;&gt;"",V57&lt;LowStockDays),"Low stock","In stock")))))</f>
        <v>0</v>
      </c>
      <c r="Z57" s="39">
        <f>IF(B57="","",IF(Y57="Out of stock","Order - none left",IF(Y57="Low stock","Order - running low",IF(Y57="Not counted","Add - count the stock",IF(AND(N57="No",C57="Chemicals &amp; detergents"),"Action - no safety data sheet","OK")))))</f>
        <v>0</v>
      </c>
    </row>
    <row r="58" spans="1:26">
      <c r="A58" s="43">
        <f>IF(B58="","",SupplyPrefix&amp;TEXT(ROW()-4,"0000"))</f>
        <v>0</v>
      </c>
      <c r="P58" s="21">
        <f>IF(OR(B58="",G58="",F58="",F58=0),"",ROUND(G58/F58,4))</f>
        <v>0</v>
      </c>
      <c r="Q58" s="34">
        <f>IF(B58="","",SUMIFS('Supply Usage'!$E$5:$E$304,'Supply Usage'!$D$5:$D$304,B58))</f>
        <v>0</v>
      </c>
      <c r="R58" s="34">
        <f>IF(OR(B58="",I58=""),"",SUMIFS('Supply Usage'!$E$5:$E$304,'Supply Usage'!$D$5:$D$304,B58,'Supply Usage'!$B$5:$B$304,"&gt;"&amp;I58))</f>
        <v>0</v>
      </c>
      <c r="S58" s="34">
        <f>IF(B58="","",IF(H58="","",H58-IF(R58="",0,R58)))</f>
        <v>0</v>
      </c>
      <c r="T58" s="34">
        <f>IF(B58="","",SUMIFS('Supply Usage'!$E$5:$E$304,'Supply Usage'!$D$5:$D$304,B58,'Supply Usage'!$B$5:$B$304,"&gt;="&amp;TodayDate-28))</f>
        <v>0</v>
      </c>
      <c r="U58" s="34">
        <f>IF(B58="","",ROUND(T58/28,3))</f>
        <v>0</v>
      </c>
      <c r="V58" s="31">
        <f>IF(OR(B58="",S58="",U58=0),"",ROUND(S58/U58,0))</f>
        <v>0</v>
      </c>
      <c r="W58" s="21">
        <f>IF(OR(B58="",S58="",P58=""),"",ROUND(S58*P58,2))</f>
        <v>0</v>
      </c>
      <c r="X58" s="21">
        <f>IF(B58="","",SUMIFS('Supply Usage'!$L$5:$L$304,'Supply Usage'!$D$5:$D$304,B58))</f>
        <v>0</v>
      </c>
      <c r="Y58" s="39">
        <f>IF(B58="","",IF(S58="","Not counted",IF(S58&lt;=0,"Out of stock",IF(AND(J58&lt;&gt;"",S58&lt;=J58),"Low stock",IF(AND(V58&lt;&gt;"",V58&lt;LowStockDays),"Low stock","In stock")))))</f>
        <v>0</v>
      </c>
      <c r="Z58" s="39">
        <f>IF(B58="","",IF(Y58="Out of stock","Order - none left",IF(Y58="Low stock","Order - running low",IF(Y58="Not counted","Add - count the stock",IF(AND(N58="No",C58="Chemicals &amp; detergents"),"Action - no safety data sheet","OK")))))</f>
        <v>0</v>
      </c>
    </row>
    <row r="59" spans="1:26">
      <c r="A59" s="43">
        <f>IF(B59="","",SupplyPrefix&amp;TEXT(ROW()-4,"0000"))</f>
        <v>0</v>
      </c>
      <c r="P59" s="21">
        <f>IF(OR(B59="",G59="",F59="",F59=0),"",ROUND(G59/F59,4))</f>
        <v>0</v>
      </c>
      <c r="Q59" s="34">
        <f>IF(B59="","",SUMIFS('Supply Usage'!$E$5:$E$304,'Supply Usage'!$D$5:$D$304,B59))</f>
        <v>0</v>
      </c>
      <c r="R59" s="34">
        <f>IF(OR(B59="",I59=""),"",SUMIFS('Supply Usage'!$E$5:$E$304,'Supply Usage'!$D$5:$D$304,B59,'Supply Usage'!$B$5:$B$304,"&gt;"&amp;I59))</f>
        <v>0</v>
      </c>
      <c r="S59" s="34">
        <f>IF(B59="","",IF(H59="","",H59-IF(R59="",0,R59)))</f>
        <v>0</v>
      </c>
      <c r="T59" s="34">
        <f>IF(B59="","",SUMIFS('Supply Usage'!$E$5:$E$304,'Supply Usage'!$D$5:$D$304,B59,'Supply Usage'!$B$5:$B$304,"&gt;="&amp;TodayDate-28))</f>
        <v>0</v>
      </c>
      <c r="U59" s="34">
        <f>IF(B59="","",ROUND(T59/28,3))</f>
        <v>0</v>
      </c>
      <c r="V59" s="31">
        <f>IF(OR(B59="",S59="",U59=0),"",ROUND(S59/U59,0))</f>
        <v>0</v>
      </c>
      <c r="W59" s="21">
        <f>IF(OR(B59="",S59="",P59=""),"",ROUND(S59*P59,2))</f>
        <v>0</v>
      </c>
      <c r="X59" s="21">
        <f>IF(B59="","",SUMIFS('Supply Usage'!$L$5:$L$304,'Supply Usage'!$D$5:$D$304,B59))</f>
        <v>0</v>
      </c>
      <c r="Y59" s="39">
        <f>IF(B59="","",IF(S59="","Not counted",IF(S59&lt;=0,"Out of stock",IF(AND(J59&lt;&gt;"",S59&lt;=J59),"Low stock",IF(AND(V59&lt;&gt;"",V59&lt;LowStockDays),"Low stock","In stock")))))</f>
        <v>0</v>
      </c>
      <c r="Z59" s="39">
        <f>IF(B59="","",IF(Y59="Out of stock","Order - none left",IF(Y59="Low stock","Order - running low",IF(Y59="Not counted","Add - count the stock",IF(AND(N59="No",C59="Chemicals &amp; detergents"),"Action - no safety data sheet","OK")))))</f>
        <v>0</v>
      </c>
    </row>
    <row r="60" spans="1:26">
      <c r="A60" s="43">
        <f>IF(B60="","",SupplyPrefix&amp;TEXT(ROW()-4,"0000"))</f>
        <v>0</v>
      </c>
      <c r="P60" s="21">
        <f>IF(OR(B60="",G60="",F60="",F60=0),"",ROUND(G60/F60,4))</f>
        <v>0</v>
      </c>
      <c r="Q60" s="34">
        <f>IF(B60="","",SUMIFS('Supply Usage'!$E$5:$E$304,'Supply Usage'!$D$5:$D$304,B60))</f>
        <v>0</v>
      </c>
      <c r="R60" s="34">
        <f>IF(OR(B60="",I60=""),"",SUMIFS('Supply Usage'!$E$5:$E$304,'Supply Usage'!$D$5:$D$304,B60,'Supply Usage'!$B$5:$B$304,"&gt;"&amp;I60))</f>
        <v>0</v>
      </c>
      <c r="S60" s="34">
        <f>IF(B60="","",IF(H60="","",H60-IF(R60="",0,R60)))</f>
        <v>0</v>
      </c>
      <c r="T60" s="34">
        <f>IF(B60="","",SUMIFS('Supply Usage'!$E$5:$E$304,'Supply Usage'!$D$5:$D$304,B60,'Supply Usage'!$B$5:$B$304,"&gt;="&amp;TodayDate-28))</f>
        <v>0</v>
      </c>
      <c r="U60" s="34">
        <f>IF(B60="","",ROUND(T60/28,3))</f>
        <v>0</v>
      </c>
      <c r="V60" s="31">
        <f>IF(OR(B60="",S60="",U60=0),"",ROUND(S60/U60,0))</f>
        <v>0</v>
      </c>
      <c r="W60" s="21">
        <f>IF(OR(B60="",S60="",P60=""),"",ROUND(S60*P60,2))</f>
        <v>0</v>
      </c>
      <c r="X60" s="21">
        <f>IF(B60="","",SUMIFS('Supply Usage'!$L$5:$L$304,'Supply Usage'!$D$5:$D$304,B60))</f>
        <v>0</v>
      </c>
      <c r="Y60" s="39">
        <f>IF(B60="","",IF(S60="","Not counted",IF(S60&lt;=0,"Out of stock",IF(AND(J60&lt;&gt;"",S60&lt;=J60),"Low stock",IF(AND(V60&lt;&gt;"",V60&lt;LowStockDays),"Low stock","In stock")))))</f>
        <v>0</v>
      </c>
      <c r="Z60" s="39">
        <f>IF(B60="","",IF(Y60="Out of stock","Order - none left",IF(Y60="Low stock","Order - running low",IF(Y60="Not counted","Add - count the stock",IF(AND(N60="No",C60="Chemicals &amp; detergents"),"Action - no safety data sheet","OK")))))</f>
        <v>0</v>
      </c>
    </row>
    <row r="61" spans="1:26">
      <c r="A61" s="43">
        <f>IF(B61="","",SupplyPrefix&amp;TEXT(ROW()-4,"0000"))</f>
        <v>0</v>
      </c>
      <c r="P61" s="21">
        <f>IF(OR(B61="",G61="",F61="",F61=0),"",ROUND(G61/F61,4))</f>
        <v>0</v>
      </c>
      <c r="Q61" s="34">
        <f>IF(B61="","",SUMIFS('Supply Usage'!$E$5:$E$304,'Supply Usage'!$D$5:$D$304,B61))</f>
        <v>0</v>
      </c>
      <c r="R61" s="34">
        <f>IF(OR(B61="",I61=""),"",SUMIFS('Supply Usage'!$E$5:$E$304,'Supply Usage'!$D$5:$D$304,B61,'Supply Usage'!$B$5:$B$304,"&gt;"&amp;I61))</f>
        <v>0</v>
      </c>
      <c r="S61" s="34">
        <f>IF(B61="","",IF(H61="","",H61-IF(R61="",0,R61)))</f>
        <v>0</v>
      </c>
      <c r="T61" s="34">
        <f>IF(B61="","",SUMIFS('Supply Usage'!$E$5:$E$304,'Supply Usage'!$D$5:$D$304,B61,'Supply Usage'!$B$5:$B$304,"&gt;="&amp;TodayDate-28))</f>
        <v>0</v>
      </c>
      <c r="U61" s="34">
        <f>IF(B61="","",ROUND(T61/28,3))</f>
        <v>0</v>
      </c>
      <c r="V61" s="31">
        <f>IF(OR(B61="",S61="",U61=0),"",ROUND(S61/U61,0))</f>
        <v>0</v>
      </c>
      <c r="W61" s="21">
        <f>IF(OR(B61="",S61="",P61=""),"",ROUND(S61*P61,2))</f>
        <v>0</v>
      </c>
      <c r="X61" s="21">
        <f>IF(B61="","",SUMIFS('Supply Usage'!$L$5:$L$304,'Supply Usage'!$D$5:$D$304,B61))</f>
        <v>0</v>
      </c>
      <c r="Y61" s="39">
        <f>IF(B61="","",IF(S61="","Not counted",IF(S61&lt;=0,"Out of stock",IF(AND(J61&lt;&gt;"",S61&lt;=J61),"Low stock",IF(AND(V61&lt;&gt;"",V61&lt;LowStockDays),"Low stock","In stock")))))</f>
        <v>0</v>
      </c>
      <c r="Z61" s="39">
        <f>IF(B61="","",IF(Y61="Out of stock","Order - none left",IF(Y61="Low stock","Order - running low",IF(Y61="Not counted","Add - count the stock",IF(AND(N61="No",C61="Chemicals &amp; detergents"),"Action - no safety data sheet","OK")))))</f>
        <v>0</v>
      </c>
    </row>
    <row r="62" spans="1:26">
      <c r="A62" s="43">
        <f>IF(B62="","",SupplyPrefix&amp;TEXT(ROW()-4,"0000"))</f>
        <v>0</v>
      </c>
      <c r="P62" s="21">
        <f>IF(OR(B62="",G62="",F62="",F62=0),"",ROUND(G62/F62,4))</f>
        <v>0</v>
      </c>
      <c r="Q62" s="34">
        <f>IF(B62="","",SUMIFS('Supply Usage'!$E$5:$E$304,'Supply Usage'!$D$5:$D$304,B62))</f>
        <v>0</v>
      </c>
      <c r="R62" s="34">
        <f>IF(OR(B62="",I62=""),"",SUMIFS('Supply Usage'!$E$5:$E$304,'Supply Usage'!$D$5:$D$304,B62,'Supply Usage'!$B$5:$B$304,"&gt;"&amp;I62))</f>
        <v>0</v>
      </c>
      <c r="S62" s="34">
        <f>IF(B62="","",IF(H62="","",H62-IF(R62="",0,R62)))</f>
        <v>0</v>
      </c>
      <c r="T62" s="34">
        <f>IF(B62="","",SUMIFS('Supply Usage'!$E$5:$E$304,'Supply Usage'!$D$5:$D$304,B62,'Supply Usage'!$B$5:$B$304,"&gt;="&amp;TodayDate-28))</f>
        <v>0</v>
      </c>
      <c r="U62" s="34">
        <f>IF(B62="","",ROUND(T62/28,3))</f>
        <v>0</v>
      </c>
      <c r="V62" s="31">
        <f>IF(OR(B62="",S62="",U62=0),"",ROUND(S62/U62,0))</f>
        <v>0</v>
      </c>
      <c r="W62" s="21">
        <f>IF(OR(B62="",S62="",P62=""),"",ROUND(S62*P62,2))</f>
        <v>0</v>
      </c>
      <c r="X62" s="21">
        <f>IF(B62="","",SUMIFS('Supply Usage'!$L$5:$L$304,'Supply Usage'!$D$5:$D$304,B62))</f>
        <v>0</v>
      </c>
      <c r="Y62" s="39">
        <f>IF(B62="","",IF(S62="","Not counted",IF(S62&lt;=0,"Out of stock",IF(AND(J62&lt;&gt;"",S62&lt;=J62),"Low stock",IF(AND(V62&lt;&gt;"",V62&lt;LowStockDays),"Low stock","In stock")))))</f>
        <v>0</v>
      </c>
      <c r="Z62" s="39">
        <f>IF(B62="","",IF(Y62="Out of stock","Order - none left",IF(Y62="Low stock","Order - running low",IF(Y62="Not counted","Add - count the stock",IF(AND(N62="No",C62="Chemicals &amp; detergents"),"Action - no safety data sheet","OK")))))</f>
        <v>0</v>
      </c>
    </row>
    <row r="63" spans="1:26">
      <c r="A63" s="43">
        <f>IF(B63="","",SupplyPrefix&amp;TEXT(ROW()-4,"0000"))</f>
        <v>0</v>
      </c>
      <c r="P63" s="21">
        <f>IF(OR(B63="",G63="",F63="",F63=0),"",ROUND(G63/F63,4))</f>
        <v>0</v>
      </c>
      <c r="Q63" s="34">
        <f>IF(B63="","",SUMIFS('Supply Usage'!$E$5:$E$304,'Supply Usage'!$D$5:$D$304,B63))</f>
        <v>0</v>
      </c>
      <c r="R63" s="34">
        <f>IF(OR(B63="",I63=""),"",SUMIFS('Supply Usage'!$E$5:$E$304,'Supply Usage'!$D$5:$D$304,B63,'Supply Usage'!$B$5:$B$304,"&gt;"&amp;I63))</f>
        <v>0</v>
      </c>
      <c r="S63" s="34">
        <f>IF(B63="","",IF(H63="","",H63-IF(R63="",0,R63)))</f>
        <v>0</v>
      </c>
      <c r="T63" s="34">
        <f>IF(B63="","",SUMIFS('Supply Usage'!$E$5:$E$304,'Supply Usage'!$D$5:$D$304,B63,'Supply Usage'!$B$5:$B$304,"&gt;="&amp;TodayDate-28))</f>
        <v>0</v>
      </c>
      <c r="U63" s="34">
        <f>IF(B63="","",ROUND(T63/28,3))</f>
        <v>0</v>
      </c>
      <c r="V63" s="31">
        <f>IF(OR(B63="",S63="",U63=0),"",ROUND(S63/U63,0))</f>
        <v>0</v>
      </c>
      <c r="W63" s="21">
        <f>IF(OR(B63="",S63="",P63=""),"",ROUND(S63*P63,2))</f>
        <v>0</v>
      </c>
      <c r="X63" s="21">
        <f>IF(B63="","",SUMIFS('Supply Usage'!$L$5:$L$304,'Supply Usage'!$D$5:$D$304,B63))</f>
        <v>0</v>
      </c>
      <c r="Y63" s="39">
        <f>IF(B63="","",IF(S63="","Not counted",IF(S63&lt;=0,"Out of stock",IF(AND(J63&lt;&gt;"",S63&lt;=J63),"Low stock",IF(AND(V63&lt;&gt;"",V63&lt;LowStockDays),"Low stock","In stock")))))</f>
        <v>0</v>
      </c>
      <c r="Z63" s="39">
        <f>IF(B63="","",IF(Y63="Out of stock","Order - none left",IF(Y63="Low stock","Order - running low",IF(Y63="Not counted","Add - count the stock",IF(AND(N63="No",C63="Chemicals &amp; detergents"),"Action - no safety data sheet","OK")))))</f>
        <v>0</v>
      </c>
    </row>
    <row r="64" spans="1:26">
      <c r="A64" s="43">
        <f>IF(B64="","",SupplyPrefix&amp;TEXT(ROW()-4,"0000"))</f>
        <v>0</v>
      </c>
      <c r="P64" s="21">
        <f>IF(OR(B64="",G64="",F64="",F64=0),"",ROUND(G64/F64,4))</f>
        <v>0</v>
      </c>
      <c r="Q64" s="34">
        <f>IF(B64="","",SUMIFS('Supply Usage'!$E$5:$E$304,'Supply Usage'!$D$5:$D$304,B64))</f>
        <v>0</v>
      </c>
      <c r="R64" s="34">
        <f>IF(OR(B64="",I64=""),"",SUMIFS('Supply Usage'!$E$5:$E$304,'Supply Usage'!$D$5:$D$304,B64,'Supply Usage'!$B$5:$B$304,"&gt;"&amp;I64))</f>
        <v>0</v>
      </c>
      <c r="S64" s="34">
        <f>IF(B64="","",IF(H64="","",H64-IF(R64="",0,R64)))</f>
        <v>0</v>
      </c>
      <c r="T64" s="34">
        <f>IF(B64="","",SUMIFS('Supply Usage'!$E$5:$E$304,'Supply Usage'!$D$5:$D$304,B64,'Supply Usage'!$B$5:$B$304,"&gt;="&amp;TodayDate-28))</f>
        <v>0</v>
      </c>
      <c r="U64" s="34">
        <f>IF(B64="","",ROUND(T64/28,3))</f>
        <v>0</v>
      </c>
      <c r="V64" s="31">
        <f>IF(OR(B64="",S64="",U64=0),"",ROUND(S64/U64,0))</f>
        <v>0</v>
      </c>
      <c r="W64" s="21">
        <f>IF(OR(B64="",S64="",P64=""),"",ROUND(S64*P64,2))</f>
        <v>0</v>
      </c>
      <c r="X64" s="21">
        <f>IF(B64="","",SUMIFS('Supply Usage'!$L$5:$L$304,'Supply Usage'!$D$5:$D$304,B64))</f>
        <v>0</v>
      </c>
      <c r="Y64" s="39">
        <f>IF(B64="","",IF(S64="","Not counted",IF(S64&lt;=0,"Out of stock",IF(AND(J64&lt;&gt;"",S64&lt;=J64),"Low stock",IF(AND(V64&lt;&gt;"",V64&lt;LowStockDays),"Low stock","In stock")))))</f>
        <v>0</v>
      </c>
      <c r="Z64" s="39">
        <f>IF(B64="","",IF(Y64="Out of stock","Order - none left",IF(Y64="Low stock","Order - running low",IF(Y64="Not counted","Add - count the stock",IF(AND(N64="No",C64="Chemicals &amp; detergents"),"Action - no safety data sheet","OK")))))</f>
        <v>0</v>
      </c>
    </row>
    <row r="65" spans="1:26">
      <c r="A65" s="43">
        <f>IF(B65="","",SupplyPrefix&amp;TEXT(ROW()-4,"0000"))</f>
        <v>0</v>
      </c>
      <c r="P65" s="21">
        <f>IF(OR(B65="",G65="",F65="",F65=0),"",ROUND(G65/F65,4))</f>
        <v>0</v>
      </c>
      <c r="Q65" s="34">
        <f>IF(B65="","",SUMIFS('Supply Usage'!$E$5:$E$304,'Supply Usage'!$D$5:$D$304,B65))</f>
        <v>0</v>
      </c>
      <c r="R65" s="34">
        <f>IF(OR(B65="",I65=""),"",SUMIFS('Supply Usage'!$E$5:$E$304,'Supply Usage'!$D$5:$D$304,B65,'Supply Usage'!$B$5:$B$304,"&gt;"&amp;I65))</f>
        <v>0</v>
      </c>
      <c r="S65" s="34">
        <f>IF(B65="","",IF(H65="","",H65-IF(R65="",0,R65)))</f>
        <v>0</v>
      </c>
      <c r="T65" s="34">
        <f>IF(B65="","",SUMIFS('Supply Usage'!$E$5:$E$304,'Supply Usage'!$D$5:$D$304,B65,'Supply Usage'!$B$5:$B$304,"&gt;="&amp;TodayDate-28))</f>
        <v>0</v>
      </c>
      <c r="U65" s="34">
        <f>IF(B65="","",ROUND(T65/28,3))</f>
        <v>0</v>
      </c>
      <c r="V65" s="31">
        <f>IF(OR(B65="",S65="",U65=0),"",ROUND(S65/U65,0))</f>
        <v>0</v>
      </c>
      <c r="W65" s="21">
        <f>IF(OR(B65="",S65="",P65=""),"",ROUND(S65*P65,2))</f>
        <v>0</v>
      </c>
      <c r="X65" s="21">
        <f>IF(B65="","",SUMIFS('Supply Usage'!$L$5:$L$304,'Supply Usage'!$D$5:$D$304,B65))</f>
        <v>0</v>
      </c>
      <c r="Y65" s="39">
        <f>IF(B65="","",IF(S65="","Not counted",IF(S65&lt;=0,"Out of stock",IF(AND(J65&lt;&gt;"",S65&lt;=J65),"Low stock",IF(AND(V65&lt;&gt;"",V65&lt;LowStockDays),"Low stock","In stock")))))</f>
        <v>0</v>
      </c>
      <c r="Z65" s="39">
        <f>IF(B65="","",IF(Y65="Out of stock","Order - none left",IF(Y65="Low stock","Order - running low",IF(Y65="Not counted","Add - count the stock",IF(AND(N65="No",C65="Chemicals &amp; detergents"),"Action - no safety data sheet","OK")))))</f>
        <v>0</v>
      </c>
    </row>
    <row r="66" spans="1:26">
      <c r="A66" s="43">
        <f>IF(B66="","",SupplyPrefix&amp;TEXT(ROW()-4,"0000"))</f>
        <v>0</v>
      </c>
      <c r="P66" s="21">
        <f>IF(OR(B66="",G66="",F66="",F66=0),"",ROUND(G66/F66,4))</f>
        <v>0</v>
      </c>
      <c r="Q66" s="34">
        <f>IF(B66="","",SUMIFS('Supply Usage'!$E$5:$E$304,'Supply Usage'!$D$5:$D$304,B66))</f>
        <v>0</v>
      </c>
      <c r="R66" s="34">
        <f>IF(OR(B66="",I66=""),"",SUMIFS('Supply Usage'!$E$5:$E$304,'Supply Usage'!$D$5:$D$304,B66,'Supply Usage'!$B$5:$B$304,"&gt;"&amp;I66))</f>
        <v>0</v>
      </c>
      <c r="S66" s="34">
        <f>IF(B66="","",IF(H66="","",H66-IF(R66="",0,R66)))</f>
        <v>0</v>
      </c>
      <c r="T66" s="34">
        <f>IF(B66="","",SUMIFS('Supply Usage'!$E$5:$E$304,'Supply Usage'!$D$5:$D$304,B66,'Supply Usage'!$B$5:$B$304,"&gt;="&amp;TodayDate-28))</f>
        <v>0</v>
      </c>
      <c r="U66" s="34">
        <f>IF(B66="","",ROUND(T66/28,3))</f>
        <v>0</v>
      </c>
      <c r="V66" s="31">
        <f>IF(OR(B66="",S66="",U66=0),"",ROUND(S66/U66,0))</f>
        <v>0</v>
      </c>
      <c r="W66" s="21">
        <f>IF(OR(B66="",S66="",P66=""),"",ROUND(S66*P66,2))</f>
        <v>0</v>
      </c>
      <c r="X66" s="21">
        <f>IF(B66="","",SUMIFS('Supply Usage'!$L$5:$L$304,'Supply Usage'!$D$5:$D$304,B66))</f>
        <v>0</v>
      </c>
      <c r="Y66" s="39">
        <f>IF(B66="","",IF(S66="","Not counted",IF(S66&lt;=0,"Out of stock",IF(AND(J66&lt;&gt;"",S66&lt;=J66),"Low stock",IF(AND(V66&lt;&gt;"",V66&lt;LowStockDays),"Low stock","In stock")))))</f>
        <v>0</v>
      </c>
      <c r="Z66" s="39">
        <f>IF(B66="","",IF(Y66="Out of stock","Order - none left",IF(Y66="Low stock","Order - running low",IF(Y66="Not counted","Add - count the stock",IF(AND(N66="No",C66="Chemicals &amp; detergents"),"Action - no safety data sheet","OK")))))</f>
        <v>0</v>
      </c>
    </row>
    <row r="67" spans="1:26">
      <c r="A67" s="43">
        <f>IF(B67="","",SupplyPrefix&amp;TEXT(ROW()-4,"0000"))</f>
        <v>0</v>
      </c>
      <c r="P67" s="21">
        <f>IF(OR(B67="",G67="",F67="",F67=0),"",ROUND(G67/F67,4))</f>
        <v>0</v>
      </c>
      <c r="Q67" s="34">
        <f>IF(B67="","",SUMIFS('Supply Usage'!$E$5:$E$304,'Supply Usage'!$D$5:$D$304,B67))</f>
        <v>0</v>
      </c>
      <c r="R67" s="34">
        <f>IF(OR(B67="",I67=""),"",SUMIFS('Supply Usage'!$E$5:$E$304,'Supply Usage'!$D$5:$D$304,B67,'Supply Usage'!$B$5:$B$304,"&gt;"&amp;I67))</f>
        <v>0</v>
      </c>
      <c r="S67" s="34">
        <f>IF(B67="","",IF(H67="","",H67-IF(R67="",0,R67)))</f>
        <v>0</v>
      </c>
      <c r="T67" s="34">
        <f>IF(B67="","",SUMIFS('Supply Usage'!$E$5:$E$304,'Supply Usage'!$D$5:$D$304,B67,'Supply Usage'!$B$5:$B$304,"&gt;="&amp;TodayDate-28))</f>
        <v>0</v>
      </c>
      <c r="U67" s="34">
        <f>IF(B67="","",ROUND(T67/28,3))</f>
        <v>0</v>
      </c>
      <c r="V67" s="31">
        <f>IF(OR(B67="",S67="",U67=0),"",ROUND(S67/U67,0))</f>
        <v>0</v>
      </c>
      <c r="W67" s="21">
        <f>IF(OR(B67="",S67="",P67=""),"",ROUND(S67*P67,2))</f>
        <v>0</v>
      </c>
      <c r="X67" s="21">
        <f>IF(B67="","",SUMIFS('Supply Usage'!$L$5:$L$304,'Supply Usage'!$D$5:$D$304,B67))</f>
        <v>0</v>
      </c>
      <c r="Y67" s="39">
        <f>IF(B67="","",IF(S67="","Not counted",IF(S67&lt;=0,"Out of stock",IF(AND(J67&lt;&gt;"",S67&lt;=J67),"Low stock",IF(AND(V67&lt;&gt;"",V67&lt;LowStockDays),"Low stock","In stock")))))</f>
        <v>0</v>
      </c>
      <c r="Z67" s="39">
        <f>IF(B67="","",IF(Y67="Out of stock","Order - none left",IF(Y67="Low stock","Order - running low",IF(Y67="Not counted","Add - count the stock",IF(AND(N67="No",C67="Chemicals &amp; detergents"),"Action - no safety data sheet","OK")))))</f>
        <v>0</v>
      </c>
    </row>
    <row r="68" spans="1:26">
      <c r="A68" s="43">
        <f>IF(B68="","",SupplyPrefix&amp;TEXT(ROW()-4,"0000"))</f>
        <v>0</v>
      </c>
      <c r="P68" s="21">
        <f>IF(OR(B68="",G68="",F68="",F68=0),"",ROUND(G68/F68,4))</f>
        <v>0</v>
      </c>
      <c r="Q68" s="34">
        <f>IF(B68="","",SUMIFS('Supply Usage'!$E$5:$E$304,'Supply Usage'!$D$5:$D$304,B68))</f>
        <v>0</v>
      </c>
      <c r="R68" s="34">
        <f>IF(OR(B68="",I68=""),"",SUMIFS('Supply Usage'!$E$5:$E$304,'Supply Usage'!$D$5:$D$304,B68,'Supply Usage'!$B$5:$B$304,"&gt;"&amp;I68))</f>
        <v>0</v>
      </c>
      <c r="S68" s="34">
        <f>IF(B68="","",IF(H68="","",H68-IF(R68="",0,R68)))</f>
        <v>0</v>
      </c>
      <c r="T68" s="34">
        <f>IF(B68="","",SUMIFS('Supply Usage'!$E$5:$E$304,'Supply Usage'!$D$5:$D$304,B68,'Supply Usage'!$B$5:$B$304,"&gt;="&amp;TodayDate-28))</f>
        <v>0</v>
      </c>
      <c r="U68" s="34">
        <f>IF(B68="","",ROUND(T68/28,3))</f>
        <v>0</v>
      </c>
      <c r="V68" s="31">
        <f>IF(OR(B68="",S68="",U68=0),"",ROUND(S68/U68,0))</f>
        <v>0</v>
      </c>
      <c r="W68" s="21">
        <f>IF(OR(B68="",S68="",P68=""),"",ROUND(S68*P68,2))</f>
        <v>0</v>
      </c>
      <c r="X68" s="21">
        <f>IF(B68="","",SUMIFS('Supply Usage'!$L$5:$L$304,'Supply Usage'!$D$5:$D$304,B68))</f>
        <v>0</v>
      </c>
      <c r="Y68" s="39">
        <f>IF(B68="","",IF(S68="","Not counted",IF(S68&lt;=0,"Out of stock",IF(AND(J68&lt;&gt;"",S68&lt;=J68),"Low stock",IF(AND(V68&lt;&gt;"",V68&lt;LowStockDays),"Low stock","In stock")))))</f>
        <v>0</v>
      </c>
      <c r="Z68" s="39">
        <f>IF(B68="","",IF(Y68="Out of stock","Order - none left",IF(Y68="Low stock","Order - running low",IF(Y68="Not counted","Add - count the stock",IF(AND(N68="No",C68="Chemicals &amp; detergents"),"Action - no safety data sheet","OK")))))</f>
        <v>0</v>
      </c>
    </row>
    <row r="69" spans="1:26">
      <c r="A69" s="43">
        <f>IF(B69="","",SupplyPrefix&amp;TEXT(ROW()-4,"0000"))</f>
        <v>0</v>
      </c>
      <c r="P69" s="21">
        <f>IF(OR(B69="",G69="",F69="",F69=0),"",ROUND(G69/F69,4))</f>
        <v>0</v>
      </c>
      <c r="Q69" s="34">
        <f>IF(B69="","",SUMIFS('Supply Usage'!$E$5:$E$304,'Supply Usage'!$D$5:$D$304,B69))</f>
        <v>0</v>
      </c>
      <c r="R69" s="34">
        <f>IF(OR(B69="",I69=""),"",SUMIFS('Supply Usage'!$E$5:$E$304,'Supply Usage'!$D$5:$D$304,B69,'Supply Usage'!$B$5:$B$304,"&gt;"&amp;I69))</f>
        <v>0</v>
      </c>
      <c r="S69" s="34">
        <f>IF(B69="","",IF(H69="","",H69-IF(R69="",0,R69)))</f>
        <v>0</v>
      </c>
      <c r="T69" s="34">
        <f>IF(B69="","",SUMIFS('Supply Usage'!$E$5:$E$304,'Supply Usage'!$D$5:$D$304,B69,'Supply Usage'!$B$5:$B$304,"&gt;="&amp;TodayDate-28))</f>
        <v>0</v>
      </c>
      <c r="U69" s="34">
        <f>IF(B69="","",ROUND(T69/28,3))</f>
        <v>0</v>
      </c>
      <c r="V69" s="31">
        <f>IF(OR(B69="",S69="",U69=0),"",ROUND(S69/U69,0))</f>
        <v>0</v>
      </c>
      <c r="W69" s="21">
        <f>IF(OR(B69="",S69="",P69=""),"",ROUND(S69*P69,2))</f>
        <v>0</v>
      </c>
      <c r="X69" s="21">
        <f>IF(B69="","",SUMIFS('Supply Usage'!$L$5:$L$304,'Supply Usage'!$D$5:$D$304,B69))</f>
        <v>0</v>
      </c>
      <c r="Y69" s="39">
        <f>IF(B69="","",IF(S69="","Not counted",IF(S69&lt;=0,"Out of stock",IF(AND(J69&lt;&gt;"",S69&lt;=J69),"Low stock",IF(AND(V69&lt;&gt;"",V69&lt;LowStockDays),"Low stock","In stock")))))</f>
        <v>0</v>
      </c>
      <c r="Z69" s="39">
        <f>IF(B69="","",IF(Y69="Out of stock","Order - none left",IF(Y69="Low stock","Order - running low",IF(Y69="Not counted","Add - count the stock",IF(AND(N69="No",C69="Chemicals &amp; detergents"),"Action - no safety data sheet","OK")))))</f>
        <v>0</v>
      </c>
    </row>
    <row r="70" spans="1:26">
      <c r="A70" s="43">
        <f>IF(B70="","",SupplyPrefix&amp;TEXT(ROW()-4,"0000"))</f>
        <v>0</v>
      </c>
      <c r="P70" s="21">
        <f>IF(OR(B70="",G70="",F70="",F70=0),"",ROUND(G70/F70,4))</f>
        <v>0</v>
      </c>
      <c r="Q70" s="34">
        <f>IF(B70="","",SUMIFS('Supply Usage'!$E$5:$E$304,'Supply Usage'!$D$5:$D$304,B70))</f>
        <v>0</v>
      </c>
      <c r="R70" s="34">
        <f>IF(OR(B70="",I70=""),"",SUMIFS('Supply Usage'!$E$5:$E$304,'Supply Usage'!$D$5:$D$304,B70,'Supply Usage'!$B$5:$B$304,"&gt;"&amp;I70))</f>
        <v>0</v>
      </c>
      <c r="S70" s="34">
        <f>IF(B70="","",IF(H70="","",H70-IF(R70="",0,R70)))</f>
        <v>0</v>
      </c>
      <c r="T70" s="34">
        <f>IF(B70="","",SUMIFS('Supply Usage'!$E$5:$E$304,'Supply Usage'!$D$5:$D$304,B70,'Supply Usage'!$B$5:$B$304,"&gt;="&amp;TodayDate-28))</f>
        <v>0</v>
      </c>
      <c r="U70" s="34">
        <f>IF(B70="","",ROUND(T70/28,3))</f>
        <v>0</v>
      </c>
      <c r="V70" s="31">
        <f>IF(OR(B70="",S70="",U70=0),"",ROUND(S70/U70,0))</f>
        <v>0</v>
      </c>
      <c r="W70" s="21">
        <f>IF(OR(B70="",S70="",P70=""),"",ROUND(S70*P70,2))</f>
        <v>0</v>
      </c>
      <c r="X70" s="21">
        <f>IF(B70="","",SUMIFS('Supply Usage'!$L$5:$L$304,'Supply Usage'!$D$5:$D$304,B70))</f>
        <v>0</v>
      </c>
      <c r="Y70" s="39">
        <f>IF(B70="","",IF(S70="","Not counted",IF(S70&lt;=0,"Out of stock",IF(AND(J70&lt;&gt;"",S70&lt;=J70),"Low stock",IF(AND(V70&lt;&gt;"",V70&lt;LowStockDays),"Low stock","In stock")))))</f>
        <v>0</v>
      </c>
      <c r="Z70" s="39">
        <f>IF(B70="","",IF(Y70="Out of stock","Order - none left",IF(Y70="Low stock","Order - running low",IF(Y70="Not counted","Add - count the stock",IF(AND(N70="No",C70="Chemicals &amp; detergents"),"Action - no safety data sheet","OK")))))</f>
        <v>0</v>
      </c>
    </row>
    <row r="71" spans="1:26">
      <c r="A71" s="43">
        <f>IF(B71="","",SupplyPrefix&amp;TEXT(ROW()-4,"0000"))</f>
        <v>0</v>
      </c>
      <c r="P71" s="21">
        <f>IF(OR(B71="",G71="",F71="",F71=0),"",ROUND(G71/F71,4))</f>
        <v>0</v>
      </c>
      <c r="Q71" s="34">
        <f>IF(B71="","",SUMIFS('Supply Usage'!$E$5:$E$304,'Supply Usage'!$D$5:$D$304,B71))</f>
        <v>0</v>
      </c>
      <c r="R71" s="34">
        <f>IF(OR(B71="",I71=""),"",SUMIFS('Supply Usage'!$E$5:$E$304,'Supply Usage'!$D$5:$D$304,B71,'Supply Usage'!$B$5:$B$304,"&gt;"&amp;I71))</f>
        <v>0</v>
      </c>
      <c r="S71" s="34">
        <f>IF(B71="","",IF(H71="","",H71-IF(R71="",0,R71)))</f>
        <v>0</v>
      </c>
      <c r="T71" s="34">
        <f>IF(B71="","",SUMIFS('Supply Usage'!$E$5:$E$304,'Supply Usage'!$D$5:$D$304,B71,'Supply Usage'!$B$5:$B$304,"&gt;="&amp;TodayDate-28))</f>
        <v>0</v>
      </c>
      <c r="U71" s="34">
        <f>IF(B71="","",ROUND(T71/28,3))</f>
        <v>0</v>
      </c>
      <c r="V71" s="31">
        <f>IF(OR(B71="",S71="",U71=0),"",ROUND(S71/U71,0))</f>
        <v>0</v>
      </c>
      <c r="W71" s="21">
        <f>IF(OR(B71="",S71="",P71=""),"",ROUND(S71*P71,2))</f>
        <v>0</v>
      </c>
      <c r="X71" s="21">
        <f>IF(B71="","",SUMIFS('Supply Usage'!$L$5:$L$304,'Supply Usage'!$D$5:$D$304,B71))</f>
        <v>0</v>
      </c>
      <c r="Y71" s="39">
        <f>IF(B71="","",IF(S71="","Not counted",IF(S71&lt;=0,"Out of stock",IF(AND(J71&lt;&gt;"",S71&lt;=J71),"Low stock",IF(AND(V71&lt;&gt;"",V71&lt;LowStockDays),"Low stock","In stock")))))</f>
        <v>0</v>
      </c>
      <c r="Z71" s="39">
        <f>IF(B71="","",IF(Y71="Out of stock","Order - none left",IF(Y71="Low stock","Order - running low",IF(Y71="Not counted","Add - count the stock",IF(AND(N71="No",C71="Chemicals &amp; detergents"),"Action - no safety data sheet","OK")))))</f>
        <v>0</v>
      </c>
    </row>
    <row r="72" spans="1:26">
      <c r="A72" s="43">
        <f>IF(B72="","",SupplyPrefix&amp;TEXT(ROW()-4,"0000"))</f>
        <v>0</v>
      </c>
      <c r="P72" s="21">
        <f>IF(OR(B72="",G72="",F72="",F72=0),"",ROUND(G72/F72,4))</f>
        <v>0</v>
      </c>
      <c r="Q72" s="34">
        <f>IF(B72="","",SUMIFS('Supply Usage'!$E$5:$E$304,'Supply Usage'!$D$5:$D$304,B72))</f>
        <v>0</v>
      </c>
      <c r="R72" s="34">
        <f>IF(OR(B72="",I72=""),"",SUMIFS('Supply Usage'!$E$5:$E$304,'Supply Usage'!$D$5:$D$304,B72,'Supply Usage'!$B$5:$B$304,"&gt;"&amp;I72))</f>
        <v>0</v>
      </c>
      <c r="S72" s="34">
        <f>IF(B72="","",IF(H72="","",H72-IF(R72="",0,R72)))</f>
        <v>0</v>
      </c>
      <c r="T72" s="34">
        <f>IF(B72="","",SUMIFS('Supply Usage'!$E$5:$E$304,'Supply Usage'!$D$5:$D$304,B72,'Supply Usage'!$B$5:$B$304,"&gt;="&amp;TodayDate-28))</f>
        <v>0</v>
      </c>
      <c r="U72" s="34">
        <f>IF(B72="","",ROUND(T72/28,3))</f>
        <v>0</v>
      </c>
      <c r="V72" s="31">
        <f>IF(OR(B72="",S72="",U72=0),"",ROUND(S72/U72,0))</f>
        <v>0</v>
      </c>
      <c r="W72" s="21">
        <f>IF(OR(B72="",S72="",P72=""),"",ROUND(S72*P72,2))</f>
        <v>0</v>
      </c>
      <c r="X72" s="21">
        <f>IF(B72="","",SUMIFS('Supply Usage'!$L$5:$L$304,'Supply Usage'!$D$5:$D$304,B72))</f>
        <v>0</v>
      </c>
      <c r="Y72" s="39">
        <f>IF(B72="","",IF(S72="","Not counted",IF(S72&lt;=0,"Out of stock",IF(AND(J72&lt;&gt;"",S72&lt;=J72),"Low stock",IF(AND(V72&lt;&gt;"",V72&lt;LowStockDays),"Low stock","In stock")))))</f>
        <v>0</v>
      </c>
      <c r="Z72" s="39">
        <f>IF(B72="","",IF(Y72="Out of stock","Order - none left",IF(Y72="Low stock","Order - running low",IF(Y72="Not counted","Add - count the stock",IF(AND(N72="No",C72="Chemicals &amp; detergents"),"Action - no safety data sheet","OK")))))</f>
        <v>0</v>
      </c>
    </row>
    <row r="73" spans="1:26">
      <c r="A73" s="43">
        <f>IF(B73="","",SupplyPrefix&amp;TEXT(ROW()-4,"0000"))</f>
        <v>0</v>
      </c>
      <c r="P73" s="21">
        <f>IF(OR(B73="",G73="",F73="",F73=0),"",ROUND(G73/F73,4))</f>
        <v>0</v>
      </c>
      <c r="Q73" s="34">
        <f>IF(B73="","",SUMIFS('Supply Usage'!$E$5:$E$304,'Supply Usage'!$D$5:$D$304,B73))</f>
        <v>0</v>
      </c>
      <c r="R73" s="34">
        <f>IF(OR(B73="",I73=""),"",SUMIFS('Supply Usage'!$E$5:$E$304,'Supply Usage'!$D$5:$D$304,B73,'Supply Usage'!$B$5:$B$304,"&gt;"&amp;I73))</f>
        <v>0</v>
      </c>
      <c r="S73" s="34">
        <f>IF(B73="","",IF(H73="","",H73-IF(R73="",0,R73)))</f>
        <v>0</v>
      </c>
      <c r="T73" s="34">
        <f>IF(B73="","",SUMIFS('Supply Usage'!$E$5:$E$304,'Supply Usage'!$D$5:$D$304,B73,'Supply Usage'!$B$5:$B$304,"&gt;="&amp;TodayDate-28))</f>
        <v>0</v>
      </c>
      <c r="U73" s="34">
        <f>IF(B73="","",ROUND(T73/28,3))</f>
        <v>0</v>
      </c>
      <c r="V73" s="31">
        <f>IF(OR(B73="",S73="",U73=0),"",ROUND(S73/U73,0))</f>
        <v>0</v>
      </c>
      <c r="W73" s="21">
        <f>IF(OR(B73="",S73="",P73=""),"",ROUND(S73*P73,2))</f>
        <v>0</v>
      </c>
      <c r="X73" s="21">
        <f>IF(B73="","",SUMIFS('Supply Usage'!$L$5:$L$304,'Supply Usage'!$D$5:$D$304,B73))</f>
        <v>0</v>
      </c>
      <c r="Y73" s="39">
        <f>IF(B73="","",IF(S73="","Not counted",IF(S73&lt;=0,"Out of stock",IF(AND(J73&lt;&gt;"",S73&lt;=J73),"Low stock",IF(AND(V73&lt;&gt;"",V73&lt;LowStockDays),"Low stock","In stock")))))</f>
        <v>0</v>
      </c>
      <c r="Z73" s="39">
        <f>IF(B73="","",IF(Y73="Out of stock","Order - none left",IF(Y73="Low stock","Order - running low",IF(Y73="Not counted","Add - count the stock",IF(AND(N73="No",C73="Chemicals &amp; detergents"),"Action - no safety data sheet","OK")))))</f>
        <v>0</v>
      </c>
    </row>
    <row r="74" spans="1:26">
      <c r="A74" s="43">
        <f>IF(B74="","",SupplyPrefix&amp;TEXT(ROW()-4,"0000"))</f>
        <v>0</v>
      </c>
      <c r="P74" s="21">
        <f>IF(OR(B74="",G74="",F74="",F74=0),"",ROUND(G74/F74,4))</f>
        <v>0</v>
      </c>
      <c r="Q74" s="34">
        <f>IF(B74="","",SUMIFS('Supply Usage'!$E$5:$E$304,'Supply Usage'!$D$5:$D$304,B74))</f>
        <v>0</v>
      </c>
      <c r="R74" s="34">
        <f>IF(OR(B74="",I74=""),"",SUMIFS('Supply Usage'!$E$5:$E$304,'Supply Usage'!$D$5:$D$304,B74,'Supply Usage'!$B$5:$B$304,"&gt;"&amp;I74))</f>
        <v>0</v>
      </c>
      <c r="S74" s="34">
        <f>IF(B74="","",IF(H74="","",H74-IF(R74="",0,R74)))</f>
        <v>0</v>
      </c>
      <c r="T74" s="34">
        <f>IF(B74="","",SUMIFS('Supply Usage'!$E$5:$E$304,'Supply Usage'!$D$5:$D$304,B74,'Supply Usage'!$B$5:$B$304,"&gt;="&amp;TodayDate-28))</f>
        <v>0</v>
      </c>
      <c r="U74" s="34">
        <f>IF(B74="","",ROUND(T74/28,3))</f>
        <v>0</v>
      </c>
      <c r="V74" s="31">
        <f>IF(OR(B74="",S74="",U74=0),"",ROUND(S74/U74,0))</f>
        <v>0</v>
      </c>
      <c r="W74" s="21">
        <f>IF(OR(B74="",S74="",P74=""),"",ROUND(S74*P74,2))</f>
        <v>0</v>
      </c>
      <c r="X74" s="21">
        <f>IF(B74="","",SUMIFS('Supply Usage'!$L$5:$L$304,'Supply Usage'!$D$5:$D$304,B74))</f>
        <v>0</v>
      </c>
      <c r="Y74" s="39">
        <f>IF(B74="","",IF(S74="","Not counted",IF(S74&lt;=0,"Out of stock",IF(AND(J74&lt;&gt;"",S74&lt;=J74),"Low stock",IF(AND(V74&lt;&gt;"",V74&lt;LowStockDays),"Low stock","In stock")))))</f>
        <v>0</v>
      </c>
      <c r="Z74" s="39">
        <f>IF(B74="","",IF(Y74="Out of stock","Order - none left",IF(Y74="Low stock","Order - running low",IF(Y74="Not counted","Add - count the stock",IF(AND(N74="No",C74="Chemicals &amp; detergents"),"Action - no safety data sheet","OK")))))</f>
        <v>0</v>
      </c>
    </row>
    <row r="75" spans="1:26">
      <c r="A75" s="43">
        <f>IF(B75="","",SupplyPrefix&amp;TEXT(ROW()-4,"0000"))</f>
        <v>0</v>
      </c>
      <c r="P75" s="21">
        <f>IF(OR(B75="",G75="",F75="",F75=0),"",ROUND(G75/F75,4))</f>
        <v>0</v>
      </c>
      <c r="Q75" s="34">
        <f>IF(B75="","",SUMIFS('Supply Usage'!$E$5:$E$304,'Supply Usage'!$D$5:$D$304,B75))</f>
        <v>0</v>
      </c>
      <c r="R75" s="34">
        <f>IF(OR(B75="",I75=""),"",SUMIFS('Supply Usage'!$E$5:$E$304,'Supply Usage'!$D$5:$D$304,B75,'Supply Usage'!$B$5:$B$304,"&gt;"&amp;I75))</f>
        <v>0</v>
      </c>
      <c r="S75" s="34">
        <f>IF(B75="","",IF(H75="","",H75-IF(R75="",0,R75)))</f>
        <v>0</v>
      </c>
      <c r="T75" s="34">
        <f>IF(B75="","",SUMIFS('Supply Usage'!$E$5:$E$304,'Supply Usage'!$D$5:$D$304,B75,'Supply Usage'!$B$5:$B$304,"&gt;="&amp;TodayDate-28))</f>
        <v>0</v>
      </c>
      <c r="U75" s="34">
        <f>IF(B75="","",ROUND(T75/28,3))</f>
        <v>0</v>
      </c>
      <c r="V75" s="31">
        <f>IF(OR(B75="",S75="",U75=0),"",ROUND(S75/U75,0))</f>
        <v>0</v>
      </c>
      <c r="W75" s="21">
        <f>IF(OR(B75="",S75="",P75=""),"",ROUND(S75*P75,2))</f>
        <v>0</v>
      </c>
      <c r="X75" s="21">
        <f>IF(B75="","",SUMIFS('Supply Usage'!$L$5:$L$304,'Supply Usage'!$D$5:$D$304,B75))</f>
        <v>0</v>
      </c>
      <c r="Y75" s="39">
        <f>IF(B75="","",IF(S75="","Not counted",IF(S75&lt;=0,"Out of stock",IF(AND(J75&lt;&gt;"",S75&lt;=J75),"Low stock",IF(AND(V75&lt;&gt;"",V75&lt;LowStockDays),"Low stock","In stock")))))</f>
        <v>0</v>
      </c>
      <c r="Z75" s="39">
        <f>IF(B75="","",IF(Y75="Out of stock","Order - none left",IF(Y75="Low stock","Order - running low",IF(Y75="Not counted","Add - count the stock",IF(AND(N75="No",C75="Chemicals &amp; detergents"),"Action - no safety data sheet","OK")))))</f>
        <v>0</v>
      </c>
    </row>
    <row r="76" spans="1:26">
      <c r="A76" s="43">
        <f>IF(B76="","",SupplyPrefix&amp;TEXT(ROW()-4,"0000"))</f>
        <v>0</v>
      </c>
      <c r="P76" s="21">
        <f>IF(OR(B76="",G76="",F76="",F76=0),"",ROUND(G76/F76,4))</f>
        <v>0</v>
      </c>
      <c r="Q76" s="34">
        <f>IF(B76="","",SUMIFS('Supply Usage'!$E$5:$E$304,'Supply Usage'!$D$5:$D$304,B76))</f>
        <v>0</v>
      </c>
      <c r="R76" s="34">
        <f>IF(OR(B76="",I76=""),"",SUMIFS('Supply Usage'!$E$5:$E$304,'Supply Usage'!$D$5:$D$304,B76,'Supply Usage'!$B$5:$B$304,"&gt;"&amp;I76))</f>
        <v>0</v>
      </c>
      <c r="S76" s="34">
        <f>IF(B76="","",IF(H76="","",H76-IF(R76="",0,R76)))</f>
        <v>0</v>
      </c>
      <c r="T76" s="34">
        <f>IF(B76="","",SUMIFS('Supply Usage'!$E$5:$E$304,'Supply Usage'!$D$5:$D$304,B76,'Supply Usage'!$B$5:$B$304,"&gt;="&amp;TodayDate-28))</f>
        <v>0</v>
      </c>
      <c r="U76" s="34">
        <f>IF(B76="","",ROUND(T76/28,3))</f>
        <v>0</v>
      </c>
      <c r="V76" s="31">
        <f>IF(OR(B76="",S76="",U76=0),"",ROUND(S76/U76,0))</f>
        <v>0</v>
      </c>
      <c r="W76" s="21">
        <f>IF(OR(B76="",S76="",P76=""),"",ROUND(S76*P76,2))</f>
        <v>0</v>
      </c>
      <c r="X76" s="21">
        <f>IF(B76="","",SUMIFS('Supply Usage'!$L$5:$L$304,'Supply Usage'!$D$5:$D$304,B76))</f>
        <v>0</v>
      </c>
      <c r="Y76" s="39">
        <f>IF(B76="","",IF(S76="","Not counted",IF(S76&lt;=0,"Out of stock",IF(AND(J76&lt;&gt;"",S76&lt;=J76),"Low stock",IF(AND(V76&lt;&gt;"",V76&lt;LowStockDays),"Low stock","In stock")))))</f>
        <v>0</v>
      </c>
      <c r="Z76" s="39">
        <f>IF(B76="","",IF(Y76="Out of stock","Order - none left",IF(Y76="Low stock","Order - running low",IF(Y76="Not counted","Add - count the stock",IF(AND(N76="No",C76="Chemicals &amp; detergents"),"Action - no safety data sheet","OK")))))</f>
        <v>0</v>
      </c>
    </row>
    <row r="77" spans="1:26">
      <c r="A77" s="43">
        <f>IF(B77="","",SupplyPrefix&amp;TEXT(ROW()-4,"0000"))</f>
        <v>0</v>
      </c>
      <c r="P77" s="21">
        <f>IF(OR(B77="",G77="",F77="",F77=0),"",ROUND(G77/F77,4))</f>
        <v>0</v>
      </c>
      <c r="Q77" s="34">
        <f>IF(B77="","",SUMIFS('Supply Usage'!$E$5:$E$304,'Supply Usage'!$D$5:$D$304,B77))</f>
        <v>0</v>
      </c>
      <c r="R77" s="34">
        <f>IF(OR(B77="",I77=""),"",SUMIFS('Supply Usage'!$E$5:$E$304,'Supply Usage'!$D$5:$D$304,B77,'Supply Usage'!$B$5:$B$304,"&gt;"&amp;I77))</f>
        <v>0</v>
      </c>
      <c r="S77" s="34">
        <f>IF(B77="","",IF(H77="","",H77-IF(R77="",0,R77)))</f>
        <v>0</v>
      </c>
      <c r="T77" s="34">
        <f>IF(B77="","",SUMIFS('Supply Usage'!$E$5:$E$304,'Supply Usage'!$D$5:$D$304,B77,'Supply Usage'!$B$5:$B$304,"&gt;="&amp;TodayDate-28))</f>
        <v>0</v>
      </c>
      <c r="U77" s="34">
        <f>IF(B77="","",ROUND(T77/28,3))</f>
        <v>0</v>
      </c>
      <c r="V77" s="31">
        <f>IF(OR(B77="",S77="",U77=0),"",ROUND(S77/U77,0))</f>
        <v>0</v>
      </c>
      <c r="W77" s="21">
        <f>IF(OR(B77="",S77="",P77=""),"",ROUND(S77*P77,2))</f>
        <v>0</v>
      </c>
      <c r="X77" s="21">
        <f>IF(B77="","",SUMIFS('Supply Usage'!$L$5:$L$304,'Supply Usage'!$D$5:$D$304,B77))</f>
        <v>0</v>
      </c>
      <c r="Y77" s="39">
        <f>IF(B77="","",IF(S77="","Not counted",IF(S77&lt;=0,"Out of stock",IF(AND(J77&lt;&gt;"",S77&lt;=J77),"Low stock",IF(AND(V77&lt;&gt;"",V77&lt;LowStockDays),"Low stock","In stock")))))</f>
        <v>0</v>
      </c>
      <c r="Z77" s="39">
        <f>IF(B77="","",IF(Y77="Out of stock","Order - none left",IF(Y77="Low stock","Order - running low",IF(Y77="Not counted","Add - count the stock",IF(AND(N77="No",C77="Chemicals &amp; detergents"),"Action - no safety data sheet","OK")))))</f>
        <v>0</v>
      </c>
    </row>
    <row r="78" spans="1:26">
      <c r="A78" s="43">
        <f>IF(B78="","",SupplyPrefix&amp;TEXT(ROW()-4,"0000"))</f>
        <v>0</v>
      </c>
      <c r="P78" s="21">
        <f>IF(OR(B78="",G78="",F78="",F78=0),"",ROUND(G78/F78,4))</f>
        <v>0</v>
      </c>
      <c r="Q78" s="34">
        <f>IF(B78="","",SUMIFS('Supply Usage'!$E$5:$E$304,'Supply Usage'!$D$5:$D$304,B78))</f>
        <v>0</v>
      </c>
      <c r="R78" s="34">
        <f>IF(OR(B78="",I78=""),"",SUMIFS('Supply Usage'!$E$5:$E$304,'Supply Usage'!$D$5:$D$304,B78,'Supply Usage'!$B$5:$B$304,"&gt;"&amp;I78))</f>
        <v>0</v>
      </c>
      <c r="S78" s="34">
        <f>IF(B78="","",IF(H78="","",H78-IF(R78="",0,R78)))</f>
        <v>0</v>
      </c>
      <c r="T78" s="34">
        <f>IF(B78="","",SUMIFS('Supply Usage'!$E$5:$E$304,'Supply Usage'!$D$5:$D$304,B78,'Supply Usage'!$B$5:$B$304,"&gt;="&amp;TodayDate-28))</f>
        <v>0</v>
      </c>
      <c r="U78" s="34">
        <f>IF(B78="","",ROUND(T78/28,3))</f>
        <v>0</v>
      </c>
      <c r="V78" s="31">
        <f>IF(OR(B78="",S78="",U78=0),"",ROUND(S78/U78,0))</f>
        <v>0</v>
      </c>
      <c r="W78" s="21">
        <f>IF(OR(B78="",S78="",P78=""),"",ROUND(S78*P78,2))</f>
        <v>0</v>
      </c>
      <c r="X78" s="21">
        <f>IF(B78="","",SUMIFS('Supply Usage'!$L$5:$L$304,'Supply Usage'!$D$5:$D$304,B78))</f>
        <v>0</v>
      </c>
      <c r="Y78" s="39">
        <f>IF(B78="","",IF(S78="","Not counted",IF(S78&lt;=0,"Out of stock",IF(AND(J78&lt;&gt;"",S78&lt;=J78),"Low stock",IF(AND(V78&lt;&gt;"",V78&lt;LowStockDays),"Low stock","In stock")))))</f>
        <v>0</v>
      </c>
      <c r="Z78" s="39">
        <f>IF(B78="","",IF(Y78="Out of stock","Order - none left",IF(Y78="Low stock","Order - running low",IF(Y78="Not counted","Add - count the stock",IF(AND(N78="No",C78="Chemicals &amp; detergents"),"Action - no safety data sheet","OK")))))</f>
        <v>0</v>
      </c>
    </row>
    <row r="79" spans="1:26">
      <c r="A79" s="43">
        <f>IF(B79="","",SupplyPrefix&amp;TEXT(ROW()-4,"0000"))</f>
        <v>0</v>
      </c>
      <c r="P79" s="21">
        <f>IF(OR(B79="",G79="",F79="",F79=0),"",ROUND(G79/F79,4))</f>
        <v>0</v>
      </c>
      <c r="Q79" s="34">
        <f>IF(B79="","",SUMIFS('Supply Usage'!$E$5:$E$304,'Supply Usage'!$D$5:$D$304,B79))</f>
        <v>0</v>
      </c>
      <c r="R79" s="34">
        <f>IF(OR(B79="",I79=""),"",SUMIFS('Supply Usage'!$E$5:$E$304,'Supply Usage'!$D$5:$D$304,B79,'Supply Usage'!$B$5:$B$304,"&gt;"&amp;I79))</f>
        <v>0</v>
      </c>
      <c r="S79" s="34">
        <f>IF(B79="","",IF(H79="","",H79-IF(R79="",0,R79)))</f>
        <v>0</v>
      </c>
      <c r="T79" s="34">
        <f>IF(B79="","",SUMIFS('Supply Usage'!$E$5:$E$304,'Supply Usage'!$D$5:$D$304,B79,'Supply Usage'!$B$5:$B$304,"&gt;="&amp;TodayDate-28))</f>
        <v>0</v>
      </c>
      <c r="U79" s="34">
        <f>IF(B79="","",ROUND(T79/28,3))</f>
        <v>0</v>
      </c>
      <c r="V79" s="31">
        <f>IF(OR(B79="",S79="",U79=0),"",ROUND(S79/U79,0))</f>
        <v>0</v>
      </c>
      <c r="W79" s="21">
        <f>IF(OR(B79="",S79="",P79=""),"",ROUND(S79*P79,2))</f>
        <v>0</v>
      </c>
      <c r="X79" s="21">
        <f>IF(B79="","",SUMIFS('Supply Usage'!$L$5:$L$304,'Supply Usage'!$D$5:$D$304,B79))</f>
        <v>0</v>
      </c>
      <c r="Y79" s="39">
        <f>IF(B79="","",IF(S79="","Not counted",IF(S79&lt;=0,"Out of stock",IF(AND(J79&lt;&gt;"",S79&lt;=J79),"Low stock",IF(AND(V79&lt;&gt;"",V79&lt;LowStockDays),"Low stock","In stock")))))</f>
        <v>0</v>
      </c>
      <c r="Z79" s="39">
        <f>IF(B79="","",IF(Y79="Out of stock","Order - none left",IF(Y79="Low stock","Order - running low",IF(Y79="Not counted","Add - count the stock",IF(AND(N79="No",C79="Chemicals &amp; detergents"),"Action - no safety data sheet","OK")))))</f>
        <v>0</v>
      </c>
    </row>
    <row r="80" spans="1:26">
      <c r="A80" s="43">
        <f>IF(B80="","",SupplyPrefix&amp;TEXT(ROW()-4,"0000"))</f>
        <v>0</v>
      </c>
      <c r="P80" s="21">
        <f>IF(OR(B80="",G80="",F80="",F80=0),"",ROUND(G80/F80,4))</f>
        <v>0</v>
      </c>
      <c r="Q80" s="34">
        <f>IF(B80="","",SUMIFS('Supply Usage'!$E$5:$E$304,'Supply Usage'!$D$5:$D$304,B80))</f>
        <v>0</v>
      </c>
      <c r="R80" s="34">
        <f>IF(OR(B80="",I80=""),"",SUMIFS('Supply Usage'!$E$5:$E$304,'Supply Usage'!$D$5:$D$304,B80,'Supply Usage'!$B$5:$B$304,"&gt;"&amp;I80))</f>
        <v>0</v>
      </c>
      <c r="S80" s="34">
        <f>IF(B80="","",IF(H80="","",H80-IF(R80="",0,R80)))</f>
        <v>0</v>
      </c>
      <c r="T80" s="34">
        <f>IF(B80="","",SUMIFS('Supply Usage'!$E$5:$E$304,'Supply Usage'!$D$5:$D$304,B80,'Supply Usage'!$B$5:$B$304,"&gt;="&amp;TodayDate-28))</f>
        <v>0</v>
      </c>
      <c r="U80" s="34">
        <f>IF(B80="","",ROUND(T80/28,3))</f>
        <v>0</v>
      </c>
      <c r="V80" s="31">
        <f>IF(OR(B80="",S80="",U80=0),"",ROUND(S80/U80,0))</f>
        <v>0</v>
      </c>
      <c r="W80" s="21">
        <f>IF(OR(B80="",S80="",P80=""),"",ROUND(S80*P80,2))</f>
        <v>0</v>
      </c>
      <c r="X80" s="21">
        <f>IF(B80="","",SUMIFS('Supply Usage'!$L$5:$L$304,'Supply Usage'!$D$5:$D$304,B80))</f>
        <v>0</v>
      </c>
      <c r="Y80" s="39">
        <f>IF(B80="","",IF(S80="","Not counted",IF(S80&lt;=0,"Out of stock",IF(AND(J80&lt;&gt;"",S80&lt;=J80),"Low stock",IF(AND(V80&lt;&gt;"",V80&lt;LowStockDays),"Low stock","In stock")))))</f>
        <v>0</v>
      </c>
      <c r="Z80" s="39">
        <f>IF(B80="","",IF(Y80="Out of stock","Order - none left",IF(Y80="Low stock","Order - running low",IF(Y80="Not counted","Add - count the stock",IF(AND(N80="No",C80="Chemicals &amp; detergents"),"Action - no safety data sheet","OK")))))</f>
        <v>0</v>
      </c>
    </row>
    <row r="81" spans="1:26">
      <c r="A81" s="43">
        <f>IF(B81="","",SupplyPrefix&amp;TEXT(ROW()-4,"0000"))</f>
        <v>0</v>
      </c>
      <c r="P81" s="21">
        <f>IF(OR(B81="",G81="",F81="",F81=0),"",ROUND(G81/F81,4))</f>
        <v>0</v>
      </c>
      <c r="Q81" s="34">
        <f>IF(B81="","",SUMIFS('Supply Usage'!$E$5:$E$304,'Supply Usage'!$D$5:$D$304,B81))</f>
        <v>0</v>
      </c>
      <c r="R81" s="34">
        <f>IF(OR(B81="",I81=""),"",SUMIFS('Supply Usage'!$E$5:$E$304,'Supply Usage'!$D$5:$D$304,B81,'Supply Usage'!$B$5:$B$304,"&gt;"&amp;I81))</f>
        <v>0</v>
      </c>
      <c r="S81" s="34">
        <f>IF(B81="","",IF(H81="","",H81-IF(R81="",0,R81)))</f>
        <v>0</v>
      </c>
      <c r="T81" s="34">
        <f>IF(B81="","",SUMIFS('Supply Usage'!$E$5:$E$304,'Supply Usage'!$D$5:$D$304,B81,'Supply Usage'!$B$5:$B$304,"&gt;="&amp;TodayDate-28))</f>
        <v>0</v>
      </c>
      <c r="U81" s="34">
        <f>IF(B81="","",ROUND(T81/28,3))</f>
        <v>0</v>
      </c>
      <c r="V81" s="31">
        <f>IF(OR(B81="",S81="",U81=0),"",ROUND(S81/U81,0))</f>
        <v>0</v>
      </c>
      <c r="W81" s="21">
        <f>IF(OR(B81="",S81="",P81=""),"",ROUND(S81*P81,2))</f>
        <v>0</v>
      </c>
      <c r="X81" s="21">
        <f>IF(B81="","",SUMIFS('Supply Usage'!$L$5:$L$304,'Supply Usage'!$D$5:$D$304,B81))</f>
        <v>0</v>
      </c>
      <c r="Y81" s="39">
        <f>IF(B81="","",IF(S81="","Not counted",IF(S81&lt;=0,"Out of stock",IF(AND(J81&lt;&gt;"",S81&lt;=J81),"Low stock",IF(AND(V81&lt;&gt;"",V81&lt;LowStockDays),"Low stock","In stock")))))</f>
        <v>0</v>
      </c>
      <c r="Z81" s="39">
        <f>IF(B81="","",IF(Y81="Out of stock","Order - none left",IF(Y81="Low stock","Order - running low",IF(Y81="Not counted","Add - count the stock",IF(AND(N81="No",C81="Chemicals &amp; detergents"),"Action - no safety data sheet","OK")))))</f>
        <v>0</v>
      </c>
    </row>
    <row r="82" spans="1:26">
      <c r="A82" s="43">
        <f>IF(B82="","",SupplyPrefix&amp;TEXT(ROW()-4,"0000"))</f>
        <v>0</v>
      </c>
      <c r="P82" s="21">
        <f>IF(OR(B82="",G82="",F82="",F82=0),"",ROUND(G82/F82,4))</f>
        <v>0</v>
      </c>
      <c r="Q82" s="34">
        <f>IF(B82="","",SUMIFS('Supply Usage'!$E$5:$E$304,'Supply Usage'!$D$5:$D$304,B82))</f>
        <v>0</v>
      </c>
      <c r="R82" s="34">
        <f>IF(OR(B82="",I82=""),"",SUMIFS('Supply Usage'!$E$5:$E$304,'Supply Usage'!$D$5:$D$304,B82,'Supply Usage'!$B$5:$B$304,"&gt;"&amp;I82))</f>
        <v>0</v>
      </c>
      <c r="S82" s="34">
        <f>IF(B82="","",IF(H82="","",H82-IF(R82="",0,R82)))</f>
        <v>0</v>
      </c>
      <c r="T82" s="34">
        <f>IF(B82="","",SUMIFS('Supply Usage'!$E$5:$E$304,'Supply Usage'!$D$5:$D$304,B82,'Supply Usage'!$B$5:$B$304,"&gt;="&amp;TodayDate-28))</f>
        <v>0</v>
      </c>
      <c r="U82" s="34">
        <f>IF(B82="","",ROUND(T82/28,3))</f>
        <v>0</v>
      </c>
      <c r="V82" s="31">
        <f>IF(OR(B82="",S82="",U82=0),"",ROUND(S82/U82,0))</f>
        <v>0</v>
      </c>
      <c r="W82" s="21">
        <f>IF(OR(B82="",S82="",P82=""),"",ROUND(S82*P82,2))</f>
        <v>0</v>
      </c>
      <c r="X82" s="21">
        <f>IF(B82="","",SUMIFS('Supply Usage'!$L$5:$L$304,'Supply Usage'!$D$5:$D$304,B82))</f>
        <v>0</v>
      </c>
      <c r="Y82" s="39">
        <f>IF(B82="","",IF(S82="","Not counted",IF(S82&lt;=0,"Out of stock",IF(AND(J82&lt;&gt;"",S82&lt;=J82),"Low stock",IF(AND(V82&lt;&gt;"",V82&lt;LowStockDays),"Low stock","In stock")))))</f>
        <v>0</v>
      </c>
      <c r="Z82" s="39">
        <f>IF(B82="","",IF(Y82="Out of stock","Order - none left",IF(Y82="Low stock","Order - running low",IF(Y82="Not counted","Add - count the stock",IF(AND(N82="No",C82="Chemicals &amp; detergents"),"Action - no safety data sheet","OK")))))</f>
        <v>0</v>
      </c>
    </row>
    <row r="83" spans="1:26">
      <c r="A83" s="43">
        <f>IF(B83="","",SupplyPrefix&amp;TEXT(ROW()-4,"0000"))</f>
        <v>0</v>
      </c>
      <c r="P83" s="21">
        <f>IF(OR(B83="",G83="",F83="",F83=0),"",ROUND(G83/F83,4))</f>
        <v>0</v>
      </c>
      <c r="Q83" s="34">
        <f>IF(B83="","",SUMIFS('Supply Usage'!$E$5:$E$304,'Supply Usage'!$D$5:$D$304,B83))</f>
        <v>0</v>
      </c>
      <c r="R83" s="34">
        <f>IF(OR(B83="",I83=""),"",SUMIFS('Supply Usage'!$E$5:$E$304,'Supply Usage'!$D$5:$D$304,B83,'Supply Usage'!$B$5:$B$304,"&gt;"&amp;I83))</f>
        <v>0</v>
      </c>
      <c r="S83" s="34">
        <f>IF(B83="","",IF(H83="","",H83-IF(R83="",0,R83)))</f>
        <v>0</v>
      </c>
      <c r="T83" s="34">
        <f>IF(B83="","",SUMIFS('Supply Usage'!$E$5:$E$304,'Supply Usage'!$D$5:$D$304,B83,'Supply Usage'!$B$5:$B$304,"&gt;="&amp;TodayDate-28))</f>
        <v>0</v>
      </c>
      <c r="U83" s="34">
        <f>IF(B83="","",ROUND(T83/28,3))</f>
        <v>0</v>
      </c>
      <c r="V83" s="31">
        <f>IF(OR(B83="",S83="",U83=0),"",ROUND(S83/U83,0))</f>
        <v>0</v>
      </c>
      <c r="W83" s="21">
        <f>IF(OR(B83="",S83="",P83=""),"",ROUND(S83*P83,2))</f>
        <v>0</v>
      </c>
      <c r="X83" s="21">
        <f>IF(B83="","",SUMIFS('Supply Usage'!$L$5:$L$304,'Supply Usage'!$D$5:$D$304,B83))</f>
        <v>0</v>
      </c>
      <c r="Y83" s="39">
        <f>IF(B83="","",IF(S83="","Not counted",IF(S83&lt;=0,"Out of stock",IF(AND(J83&lt;&gt;"",S83&lt;=J83),"Low stock",IF(AND(V83&lt;&gt;"",V83&lt;LowStockDays),"Low stock","In stock")))))</f>
        <v>0</v>
      </c>
      <c r="Z83" s="39">
        <f>IF(B83="","",IF(Y83="Out of stock","Order - none left",IF(Y83="Low stock","Order - running low",IF(Y83="Not counted","Add - count the stock",IF(AND(N83="No",C83="Chemicals &amp; detergents"),"Action - no safety data sheet","OK")))))</f>
        <v>0</v>
      </c>
    </row>
    <row r="84" spans="1:26">
      <c r="A84" s="43">
        <f>IF(B84="","",SupplyPrefix&amp;TEXT(ROW()-4,"0000"))</f>
        <v>0</v>
      </c>
      <c r="P84" s="21">
        <f>IF(OR(B84="",G84="",F84="",F84=0),"",ROUND(G84/F84,4))</f>
        <v>0</v>
      </c>
      <c r="Q84" s="34">
        <f>IF(B84="","",SUMIFS('Supply Usage'!$E$5:$E$304,'Supply Usage'!$D$5:$D$304,B84))</f>
        <v>0</v>
      </c>
      <c r="R84" s="34">
        <f>IF(OR(B84="",I84=""),"",SUMIFS('Supply Usage'!$E$5:$E$304,'Supply Usage'!$D$5:$D$304,B84,'Supply Usage'!$B$5:$B$304,"&gt;"&amp;I84))</f>
        <v>0</v>
      </c>
      <c r="S84" s="34">
        <f>IF(B84="","",IF(H84="","",H84-IF(R84="",0,R84)))</f>
        <v>0</v>
      </c>
      <c r="T84" s="34">
        <f>IF(B84="","",SUMIFS('Supply Usage'!$E$5:$E$304,'Supply Usage'!$D$5:$D$304,B84,'Supply Usage'!$B$5:$B$304,"&gt;="&amp;TodayDate-28))</f>
        <v>0</v>
      </c>
      <c r="U84" s="34">
        <f>IF(B84="","",ROUND(T84/28,3))</f>
        <v>0</v>
      </c>
      <c r="V84" s="31">
        <f>IF(OR(B84="",S84="",U84=0),"",ROUND(S84/U84,0))</f>
        <v>0</v>
      </c>
      <c r="W84" s="21">
        <f>IF(OR(B84="",S84="",P84=""),"",ROUND(S84*P84,2))</f>
        <v>0</v>
      </c>
      <c r="X84" s="21">
        <f>IF(B84="","",SUMIFS('Supply Usage'!$L$5:$L$304,'Supply Usage'!$D$5:$D$304,B84))</f>
        <v>0</v>
      </c>
      <c r="Y84" s="39">
        <f>IF(B84="","",IF(S84="","Not counted",IF(S84&lt;=0,"Out of stock",IF(AND(J84&lt;&gt;"",S84&lt;=J84),"Low stock",IF(AND(V84&lt;&gt;"",V84&lt;LowStockDays),"Low stock","In stock")))))</f>
        <v>0</v>
      </c>
      <c r="Z84" s="39">
        <f>IF(B84="","",IF(Y84="Out of stock","Order - none left",IF(Y84="Low stock","Order - running low",IF(Y84="Not counted","Add - count the stock",IF(AND(N84="No",C84="Chemicals &amp; detergents"),"Action - no safety data sheet","OK")))))</f>
        <v>0</v>
      </c>
    </row>
    <row r="85" spans="1:26">
      <c r="A85" s="43">
        <f>IF(B85="","",SupplyPrefix&amp;TEXT(ROW()-4,"0000"))</f>
        <v>0</v>
      </c>
      <c r="P85" s="21">
        <f>IF(OR(B85="",G85="",F85="",F85=0),"",ROUND(G85/F85,4))</f>
        <v>0</v>
      </c>
      <c r="Q85" s="34">
        <f>IF(B85="","",SUMIFS('Supply Usage'!$E$5:$E$304,'Supply Usage'!$D$5:$D$304,B85))</f>
        <v>0</v>
      </c>
      <c r="R85" s="34">
        <f>IF(OR(B85="",I85=""),"",SUMIFS('Supply Usage'!$E$5:$E$304,'Supply Usage'!$D$5:$D$304,B85,'Supply Usage'!$B$5:$B$304,"&gt;"&amp;I85))</f>
        <v>0</v>
      </c>
      <c r="S85" s="34">
        <f>IF(B85="","",IF(H85="","",H85-IF(R85="",0,R85)))</f>
        <v>0</v>
      </c>
      <c r="T85" s="34">
        <f>IF(B85="","",SUMIFS('Supply Usage'!$E$5:$E$304,'Supply Usage'!$D$5:$D$304,B85,'Supply Usage'!$B$5:$B$304,"&gt;="&amp;TodayDate-28))</f>
        <v>0</v>
      </c>
      <c r="U85" s="34">
        <f>IF(B85="","",ROUND(T85/28,3))</f>
        <v>0</v>
      </c>
      <c r="V85" s="31">
        <f>IF(OR(B85="",S85="",U85=0),"",ROUND(S85/U85,0))</f>
        <v>0</v>
      </c>
      <c r="W85" s="21">
        <f>IF(OR(B85="",S85="",P85=""),"",ROUND(S85*P85,2))</f>
        <v>0</v>
      </c>
      <c r="X85" s="21">
        <f>IF(B85="","",SUMIFS('Supply Usage'!$L$5:$L$304,'Supply Usage'!$D$5:$D$304,B85))</f>
        <v>0</v>
      </c>
      <c r="Y85" s="39">
        <f>IF(B85="","",IF(S85="","Not counted",IF(S85&lt;=0,"Out of stock",IF(AND(J85&lt;&gt;"",S85&lt;=J85),"Low stock",IF(AND(V85&lt;&gt;"",V85&lt;LowStockDays),"Low stock","In stock")))))</f>
        <v>0</v>
      </c>
      <c r="Z85" s="39">
        <f>IF(B85="","",IF(Y85="Out of stock","Order - none left",IF(Y85="Low stock","Order - running low",IF(Y85="Not counted","Add - count the stock",IF(AND(N85="No",C85="Chemicals &amp; detergents"),"Action - no safety data sheet","OK")))))</f>
        <v>0</v>
      </c>
    </row>
    <row r="86" spans="1:26">
      <c r="A86" s="43">
        <f>IF(B86="","",SupplyPrefix&amp;TEXT(ROW()-4,"0000"))</f>
        <v>0</v>
      </c>
      <c r="P86" s="21">
        <f>IF(OR(B86="",G86="",F86="",F86=0),"",ROUND(G86/F86,4))</f>
        <v>0</v>
      </c>
      <c r="Q86" s="34">
        <f>IF(B86="","",SUMIFS('Supply Usage'!$E$5:$E$304,'Supply Usage'!$D$5:$D$304,B86))</f>
        <v>0</v>
      </c>
      <c r="R86" s="34">
        <f>IF(OR(B86="",I86=""),"",SUMIFS('Supply Usage'!$E$5:$E$304,'Supply Usage'!$D$5:$D$304,B86,'Supply Usage'!$B$5:$B$304,"&gt;"&amp;I86))</f>
        <v>0</v>
      </c>
      <c r="S86" s="34">
        <f>IF(B86="","",IF(H86="","",H86-IF(R86="",0,R86)))</f>
        <v>0</v>
      </c>
      <c r="T86" s="34">
        <f>IF(B86="","",SUMIFS('Supply Usage'!$E$5:$E$304,'Supply Usage'!$D$5:$D$304,B86,'Supply Usage'!$B$5:$B$304,"&gt;="&amp;TodayDate-28))</f>
        <v>0</v>
      </c>
      <c r="U86" s="34">
        <f>IF(B86="","",ROUND(T86/28,3))</f>
        <v>0</v>
      </c>
      <c r="V86" s="31">
        <f>IF(OR(B86="",S86="",U86=0),"",ROUND(S86/U86,0))</f>
        <v>0</v>
      </c>
      <c r="W86" s="21">
        <f>IF(OR(B86="",S86="",P86=""),"",ROUND(S86*P86,2))</f>
        <v>0</v>
      </c>
      <c r="X86" s="21">
        <f>IF(B86="","",SUMIFS('Supply Usage'!$L$5:$L$304,'Supply Usage'!$D$5:$D$304,B86))</f>
        <v>0</v>
      </c>
      <c r="Y86" s="39">
        <f>IF(B86="","",IF(S86="","Not counted",IF(S86&lt;=0,"Out of stock",IF(AND(J86&lt;&gt;"",S86&lt;=J86),"Low stock",IF(AND(V86&lt;&gt;"",V86&lt;LowStockDays),"Low stock","In stock")))))</f>
        <v>0</v>
      </c>
      <c r="Z86" s="39">
        <f>IF(B86="","",IF(Y86="Out of stock","Order - none left",IF(Y86="Low stock","Order - running low",IF(Y86="Not counted","Add - count the stock",IF(AND(N86="No",C86="Chemicals &amp; detergents"),"Action - no safety data sheet","OK")))))</f>
        <v>0</v>
      </c>
    </row>
    <row r="87" spans="1:26">
      <c r="A87" s="43">
        <f>IF(B87="","",SupplyPrefix&amp;TEXT(ROW()-4,"0000"))</f>
        <v>0</v>
      </c>
      <c r="P87" s="21">
        <f>IF(OR(B87="",G87="",F87="",F87=0),"",ROUND(G87/F87,4))</f>
        <v>0</v>
      </c>
      <c r="Q87" s="34">
        <f>IF(B87="","",SUMIFS('Supply Usage'!$E$5:$E$304,'Supply Usage'!$D$5:$D$304,B87))</f>
        <v>0</v>
      </c>
      <c r="R87" s="34">
        <f>IF(OR(B87="",I87=""),"",SUMIFS('Supply Usage'!$E$5:$E$304,'Supply Usage'!$D$5:$D$304,B87,'Supply Usage'!$B$5:$B$304,"&gt;"&amp;I87))</f>
        <v>0</v>
      </c>
      <c r="S87" s="34">
        <f>IF(B87="","",IF(H87="","",H87-IF(R87="",0,R87)))</f>
        <v>0</v>
      </c>
      <c r="T87" s="34">
        <f>IF(B87="","",SUMIFS('Supply Usage'!$E$5:$E$304,'Supply Usage'!$D$5:$D$304,B87,'Supply Usage'!$B$5:$B$304,"&gt;="&amp;TodayDate-28))</f>
        <v>0</v>
      </c>
      <c r="U87" s="34">
        <f>IF(B87="","",ROUND(T87/28,3))</f>
        <v>0</v>
      </c>
      <c r="V87" s="31">
        <f>IF(OR(B87="",S87="",U87=0),"",ROUND(S87/U87,0))</f>
        <v>0</v>
      </c>
      <c r="W87" s="21">
        <f>IF(OR(B87="",S87="",P87=""),"",ROUND(S87*P87,2))</f>
        <v>0</v>
      </c>
      <c r="X87" s="21">
        <f>IF(B87="","",SUMIFS('Supply Usage'!$L$5:$L$304,'Supply Usage'!$D$5:$D$304,B87))</f>
        <v>0</v>
      </c>
      <c r="Y87" s="39">
        <f>IF(B87="","",IF(S87="","Not counted",IF(S87&lt;=0,"Out of stock",IF(AND(J87&lt;&gt;"",S87&lt;=J87),"Low stock",IF(AND(V87&lt;&gt;"",V87&lt;LowStockDays),"Low stock","In stock")))))</f>
        <v>0</v>
      </c>
      <c r="Z87" s="39">
        <f>IF(B87="","",IF(Y87="Out of stock","Order - none left",IF(Y87="Low stock","Order - running low",IF(Y87="Not counted","Add - count the stock",IF(AND(N87="No",C87="Chemicals &amp; detergents"),"Action - no safety data sheet","OK")))))</f>
        <v>0</v>
      </c>
    </row>
    <row r="88" spans="1:26">
      <c r="A88" s="43">
        <f>IF(B88="","",SupplyPrefix&amp;TEXT(ROW()-4,"0000"))</f>
        <v>0</v>
      </c>
      <c r="P88" s="21">
        <f>IF(OR(B88="",G88="",F88="",F88=0),"",ROUND(G88/F88,4))</f>
        <v>0</v>
      </c>
      <c r="Q88" s="34">
        <f>IF(B88="","",SUMIFS('Supply Usage'!$E$5:$E$304,'Supply Usage'!$D$5:$D$304,B88))</f>
        <v>0</v>
      </c>
      <c r="R88" s="34">
        <f>IF(OR(B88="",I88=""),"",SUMIFS('Supply Usage'!$E$5:$E$304,'Supply Usage'!$D$5:$D$304,B88,'Supply Usage'!$B$5:$B$304,"&gt;"&amp;I88))</f>
        <v>0</v>
      </c>
      <c r="S88" s="34">
        <f>IF(B88="","",IF(H88="","",H88-IF(R88="",0,R88)))</f>
        <v>0</v>
      </c>
      <c r="T88" s="34">
        <f>IF(B88="","",SUMIFS('Supply Usage'!$E$5:$E$304,'Supply Usage'!$D$5:$D$304,B88,'Supply Usage'!$B$5:$B$304,"&gt;="&amp;TodayDate-28))</f>
        <v>0</v>
      </c>
      <c r="U88" s="34">
        <f>IF(B88="","",ROUND(T88/28,3))</f>
        <v>0</v>
      </c>
      <c r="V88" s="31">
        <f>IF(OR(B88="",S88="",U88=0),"",ROUND(S88/U88,0))</f>
        <v>0</v>
      </c>
      <c r="W88" s="21">
        <f>IF(OR(B88="",S88="",P88=""),"",ROUND(S88*P88,2))</f>
        <v>0</v>
      </c>
      <c r="X88" s="21">
        <f>IF(B88="","",SUMIFS('Supply Usage'!$L$5:$L$304,'Supply Usage'!$D$5:$D$304,B88))</f>
        <v>0</v>
      </c>
      <c r="Y88" s="39">
        <f>IF(B88="","",IF(S88="","Not counted",IF(S88&lt;=0,"Out of stock",IF(AND(J88&lt;&gt;"",S88&lt;=J88),"Low stock",IF(AND(V88&lt;&gt;"",V88&lt;LowStockDays),"Low stock","In stock")))))</f>
        <v>0</v>
      </c>
      <c r="Z88" s="39">
        <f>IF(B88="","",IF(Y88="Out of stock","Order - none left",IF(Y88="Low stock","Order - running low",IF(Y88="Not counted","Add - count the stock",IF(AND(N88="No",C88="Chemicals &amp; detergents"),"Action - no safety data sheet","OK")))))</f>
        <v>0</v>
      </c>
    </row>
    <row r="89" spans="1:26">
      <c r="A89" s="43">
        <f>IF(B89="","",SupplyPrefix&amp;TEXT(ROW()-4,"0000"))</f>
        <v>0</v>
      </c>
      <c r="P89" s="21">
        <f>IF(OR(B89="",G89="",F89="",F89=0),"",ROUND(G89/F89,4))</f>
        <v>0</v>
      </c>
      <c r="Q89" s="34">
        <f>IF(B89="","",SUMIFS('Supply Usage'!$E$5:$E$304,'Supply Usage'!$D$5:$D$304,B89))</f>
        <v>0</v>
      </c>
      <c r="R89" s="34">
        <f>IF(OR(B89="",I89=""),"",SUMIFS('Supply Usage'!$E$5:$E$304,'Supply Usage'!$D$5:$D$304,B89,'Supply Usage'!$B$5:$B$304,"&gt;"&amp;I89))</f>
        <v>0</v>
      </c>
      <c r="S89" s="34">
        <f>IF(B89="","",IF(H89="","",H89-IF(R89="",0,R89)))</f>
        <v>0</v>
      </c>
      <c r="T89" s="34">
        <f>IF(B89="","",SUMIFS('Supply Usage'!$E$5:$E$304,'Supply Usage'!$D$5:$D$304,B89,'Supply Usage'!$B$5:$B$304,"&gt;="&amp;TodayDate-28))</f>
        <v>0</v>
      </c>
      <c r="U89" s="34">
        <f>IF(B89="","",ROUND(T89/28,3))</f>
        <v>0</v>
      </c>
      <c r="V89" s="31">
        <f>IF(OR(B89="",S89="",U89=0),"",ROUND(S89/U89,0))</f>
        <v>0</v>
      </c>
      <c r="W89" s="21">
        <f>IF(OR(B89="",S89="",P89=""),"",ROUND(S89*P89,2))</f>
        <v>0</v>
      </c>
      <c r="X89" s="21">
        <f>IF(B89="","",SUMIFS('Supply Usage'!$L$5:$L$304,'Supply Usage'!$D$5:$D$304,B89))</f>
        <v>0</v>
      </c>
      <c r="Y89" s="39">
        <f>IF(B89="","",IF(S89="","Not counted",IF(S89&lt;=0,"Out of stock",IF(AND(J89&lt;&gt;"",S89&lt;=J89),"Low stock",IF(AND(V89&lt;&gt;"",V89&lt;LowStockDays),"Low stock","In stock")))))</f>
        <v>0</v>
      </c>
      <c r="Z89" s="39">
        <f>IF(B89="","",IF(Y89="Out of stock","Order - none left",IF(Y89="Low stock","Order - running low",IF(Y89="Not counted","Add - count the stock",IF(AND(N89="No",C89="Chemicals &amp; detergents"),"Action - no safety data sheet","OK")))))</f>
        <v>0</v>
      </c>
    </row>
    <row r="90" spans="1:26">
      <c r="A90" s="43">
        <f>IF(B90="","",SupplyPrefix&amp;TEXT(ROW()-4,"0000"))</f>
        <v>0</v>
      </c>
      <c r="P90" s="21">
        <f>IF(OR(B90="",G90="",F90="",F90=0),"",ROUND(G90/F90,4))</f>
        <v>0</v>
      </c>
      <c r="Q90" s="34">
        <f>IF(B90="","",SUMIFS('Supply Usage'!$E$5:$E$304,'Supply Usage'!$D$5:$D$304,B90))</f>
        <v>0</v>
      </c>
      <c r="R90" s="34">
        <f>IF(OR(B90="",I90=""),"",SUMIFS('Supply Usage'!$E$5:$E$304,'Supply Usage'!$D$5:$D$304,B90,'Supply Usage'!$B$5:$B$304,"&gt;"&amp;I90))</f>
        <v>0</v>
      </c>
      <c r="S90" s="34">
        <f>IF(B90="","",IF(H90="","",H90-IF(R90="",0,R90)))</f>
        <v>0</v>
      </c>
      <c r="T90" s="34">
        <f>IF(B90="","",SUMIFS('Supply Usage'!$E$5:$E$304,'Supply Usage'!$D$5:$D$304,B90,'Supply Usage'!$B$5:$B$304,"&gt;="&amp;TodayDate-28))</f>
        <v>0</v>
      </c>
      <c r="U90" s="34">
        <f>IF(B90="","",ROUND(T90/28,3))</f>
        <v>0</v>
      </c>
      <c r="V90" s="31">
        <f>IF(OR(B90="",S90="",U90=0),"",ROUND(S90/U90,0))</f>
        <v>0</v>
      </c>
      <c r="W90" s="21">
        <f>IF(OR(B90="",S90="",P90=""),"",ROUND(S90*P90,2))</f>
        <v>0</v>
      </c>
      <c r="X90" s="21">
        <f>IF(B90="","",SUMIFS('Supply Usage'!$L$5:$L$304,'Supply Usage'!$D$5:$D$304,B90))</f>
        <v>0</v>
      </c>
      <c r="Y90" s="39">
        <f>IF(B90="","",IF(S90="","Not counted",IF(S90&lt;=0,"Out of stock",IF(AND(J90&lt;&gt;"",S90&lt;=J90),"Low stock",IF(AND(V90&lt;&gt;"",V90&lt;LowStockDays),"Low stock","In stock")))))</f>
        <v>0</v>
      </c>
      <c r="Z90" s="39">
        <f>IF(B90="","",IF(Y90="Out of stock","Order - none left",IF(Y90="Low stock","Order - running low",IF(Y90="Not counted","Add - count the stock",IF(AND(N90="No",C90="Chemicals &amp; detergents"),"Action - no safety data sheet","OK")))))</f>
        <v>0</v>
      </c>
    </row>
    <row r="91" spans="1:26">
      <c r="A91" s="43">
        <f>IF(B91="","",SupplyPrefix&amp;TEXT(ROW()-4,"0000"))</f>
        <v>0</v>
      </c>
      <c r="P91" s="21">
        <f>IF(OR(B91="",G91="",F91="",F91=0),"",ROUND(G91/F91,4))</f>
        <v>0</v>
      </c>
      <c r="Q91" s="34">
        <f>IF(B91="","",SUMIFS('Supply Usage'!$E$5:$E$304,'Supply Usage'!$D$5:$D$304,B91))</f>
        <v>0</v>
      </c>
      <c r="R91" s="34">
        <f>IF(OR(B91="",I91=""),"",SUMIFS('Supply Usage'!$E$5:$E$304,'Supply Usage'!$D$5:$D$304,B91,'Supply Usage'!$B$5:$B$304,"&gt;"&amp;I91))</f>
        <v>0</v>
      </c>
      <c r="S91" s="34">
        <f>IF(B91="","",IF(H91="","",H91-IF(R91="",0,R91)))</f>
        <v>0</v>
      </c>
      <c r="T91" s="34">
        <f>IF(B91="","",SUMIFS('Supply Usage'!$E$5:$E$304,'Supply Usage'!$D$5:$D$304,B91,'Supply Usage'!$B$5:$B$304,"&gt;="&amp;TodayDate-28))</f>
        <v>0</v>
      </c>
      <c r="U91" s="34">
        <f>IF(B91="","",ROUND(T91/28,3))</f>
        <v>0</v>
      </c>
      <c r="V91" s="31">
        <f>IF(OR(B91="",S91="",U91=0),"",ROUND(S91/U91,0))</f>
        <v>0</v>
      </c>
      <c r="W91" s="21">
        <f>IF(OR(B91="",S91="",P91=""),"",ROUND(S91*P91,2))</f>
        <v>0</v>
      </c>
      <c r="X91" s="21">
        <f>IF(B91="","",SUMIFS('Supply Usage'!$L$5:$L$304,'Supply Usage'!$D$5:$D$304,B91))</f>
        <v>0</v>
      </c>
      <c r="Y91" s="39">
        <f>IF(B91="","",IF(S91="","Not counted",IF(S91&lt;=0,"Out of stock",IF(AND(J91&lt;&gt;"",S91&lt;=J91),"Low stock",IF(AND(V91&lt;&gt;"",V91&lt;LowStockDays),"Low stock","In stock")))))</f>
        <v>0</v>
      </c>
      <c r="Z91" s="39">
        <f>IF(B91="","",IF(Y91="Out of stock","Order - none left",IF(Y91="Low stock","Order - running low",IF(Y91="Not counted","Add - count the stock",IF(AND(N91="No",C91="Chemicals &amp; detergents"),"Action - no safety data sheet","OK")))))</f>
        <v>0</v>
      </c>
    </row>
    <row r="92" spans="1:26">
      <c r="A92" s="43">
        <f>IF(B92="","",SupplyPrefix&amp;TEXT(ROW()-4,"0000"))</f>
        <v>0</v>
      </c>
      <c r="P92" s="21">
        <f>IF(OR(B92="",G92="",F92="",F92=0),"",ROUND(G92/F92,4))</f>
        <v>0</v>
      </c>
      <c r="Q92" s="34">
        <f>IF(B92="","",SUMIFS('Supply Usage'!$E$5:$E$304,'Supply Usage'!$D$5:$D$304,B92))</f>
        <v>0</v>
      </c>
      <c r="R92" s="34">
        <f>IF(OR(B92="",I92=""),"",SUMIFS('Supply Usage'!$E$5:$E$304,'Supply Usage'!$D$5:$D$304,B92,'Supply Usage'!$B$5:$B$304,"&gt;"&amp;I92))</f>
        <v>0</v>
      </c>
      <c r="S92" s="34">
        <f>IF(B92="","",IF(H92="","",H92-IF(R92="",0,R92)))</f>
        <v>0</v>
      </c>
      <c r="T92" s="34">
        <f>IF(B92="","",SUMIFS('Supply Usage'!$E$5:$E$304,'Supply Usage'!$D$5:$D$304,B92,'Supply Usage'!$B$5:$B$304,"&gt;="&amp;TodayDate-28))</f>
        <v>0</v>
      </c>
      <c r="U92" s="34">
        <f>IF(B92="","",ROUND(T92/28,3))</f>
        <v>0</v>
      </c>
      <c r="V92" s="31">
        <f>IF(OR(B92="",S92="",U92=0),"",ROUND(S92/U92,0))</f>
        <v>0</v>
      </c>
      <c r="W92" s="21">
        <f>IF(OR(B92="",S92="",P92=""),"",ROUND(S92*P92,2))</f>
        <v>0</v>
      </c>
      <c r="X92" s="21">
        <f>IF(B92="","",SUMIFS('Supply Usage'!$L$5:$L$304,'Supply Usage'!$D$5:$D$304,B92))</f>
        <v>0</v>
      </c>
      <c r="Y92" s="39">
        <f>IF(B92="","",IF(S92="","Not counted",IF(S92&lt;=0,"Out of stock",IF(AND(J92&lt;&gt;"",S92&lt;=J92),"Low stock",IF(AND(V92&lt;&gt;"",V92&lt;LowStockDays),"Low stock","In stock")))))</f>
        <v>0</v>
      </c>
      <c r="Z92" s="39">
        <f>IF(B92="","",IF(Y92="Out of stock","Order - none left",IF(Y92="Low stock","Order - running low",IF(Y92="Not counted","Add - count the stock",IF(AND(N92="No",C92="Chemicals &amp; detergents"),"Action - no safety data sheet","OK")))))</f>
        <v>0</v>
      </c>
    </row>
    <row r="93" spans="1:26">
      <c r="A93" s="43">
        <f>IF(B93="","",SupplyPrefix&amp;TEXT(ROW()-4,"0000"))</f>
        <v>0</v>
      </c>
      <c r="P93" s="21">
        <f>IF(OR(B93="",G93="",F93="",F93=0),"",ROUND(G93/F93,4))</f>
        <v>0</v>
      </c>
      <c r="Q93" s="34">
        <f>IF(B93="","",SUMIFS('Supply Usage'!$E$5:$E$304,'Supply Usage'!$D$5:$D$304,B93))</f>
        <v>0</v>
      </c>
      <c r="R93" s="34">
        <f>IF(OR(B93="",I93=""),"",SUMIFS('Supply Usage'!$E$5:$E$304,'Supply Usage'!$D$5:$D$304,B93,'Supply Usage'!$B$5:$B$304,"&gt;"&amp;I93))</f>
        <v>0</v>
      </c>
      <c r="S93" s="34">
        <f>IF(B93="","",IF(H93="","",H93-IF(R93="",0,R93)))</f>
        <v>0</v>
      </c>
      <c r="T93" s="34">
        <f>IF(B93="","",SUMIFS('Supply Usage'!$E$5:$E$304,'Supply Usage'!$D$5:$D$304,B93,'Supply Usage'!$B$5:$B$304,"&gt;="&amp;TodayDate-28))</f>
        <v>0</v>
      </c>
      <c r="U93" s="34">
        <f>IF(B93="","",ROUND(T93/28,3))</f>
        <v>0</v>
      </c>
      <c r="V93" s="31">
        <f>IF(OR(B93="",S93="",U93=0),"",ROUND(S93/U93,0))</f>
        <v>0</v>
      </c>
      <c r="W93" s="21">
        <f>IF(OR(B93="",S93="",P93=""),"",ROUND(S93*P93,2))</f>
        <v>0</v>
      </c>
      <c r="X93" s="21">
        <f>IF(B93="","",SUMIFS('Supply Usage'!$L$5:$L$304,'Supply Usage'!$D$5:$D$304,B93))</f>
        <v>0</v>
      </c>
      <c r="Y93" s="39">
        <f>IF(B93="","",IF(S93="","Not counted",IF(S93&lt;=0,"Out of stock",IF(AND(J93&lt;&gt;"",S93&lt;=J93),"Low stock",IF(AND(V93&lt;&gt;"",V93&lt;LowStockDays),"Low stock","In stock")))))</f>
        <v>0</v>
      </c>
      <c r="Z93" s="39">
        <f>IF(B93="","",IF(Y93="Out of stock","Order - none left",IF(Y93="Low stock","Order - running low",IF(Y93="Not counted","Add - count the stock",IF(AND(N93="No",C93="Chemicals &amp; detergents"),"Action - no safety data sheet","OK")))))</f>
        <v>0</v>
      </c>
    </row>
    <row r="94" spans="1:26">
      <c r="A94" s="43">
        <f>IF(B94="","",SupplyPrefix&amp;TEXT(ROW()-4,"0000"))</f>
        <v>0</v>
      </c>
      <c r="P94" s="21">
        <f>IF(OR(B94="",G94="",F94="",F94=0),"",ROUND(G94/F94,4))</f>
        <v>0</v>
      </c>
      <c r="Q94" s="34">
        <f>IF(B94="","",SUMIFS('Supply Usage'!$E$5:$E$304,'Supply Usage'!$D$5:$D$304,B94))</f>
        <v>0</v>
      </c>
      <c r="R94" s="34">
        <f>IF(OR(B94="",I94=""),"",SUMIFS('Supply Usage'!$E$5:$E$304,'Supply Usage'!$D$5:$D$304,B94,'Supply Usage'!$B$5:$B$304,"&gt;"&amp;I94))</f>
        <v>0</v>
      </c>
      <c r="S94" s="34">
        <f>IF(B94="","",IF(H94="","",H94-IF(R94="",0,R94)))</f>
        <v>0</v>
      </c>
      <c r="T94" s="34">
        <f>IF(B94="","",SUMIFS('Supply Usage'!$E$5:$E$304,'Supply Usage'!$D$5:$D$304,B94,'Supply Usage'!$B$5:$B$304,"&gt;="&amp;TodayDate-28))</f>
        <v>0</v>
      </c>
      <c r="U94" s="34">
        <f>IF(B94="","",ROUND(T94/28,3))</f>
        <v>0</v>
      </c>
      <c r="V94" s="31">
        <f>IF(OR(B94="",S94="",U94=0),"",ROUND(S94/U94,0))</f>
        <v>0</v>
      </c>
      <c r="W94" s="21">
        <f>IF(OR(B94="",S94="",P94=""),"",ROUND(S94*P94,2))</f>
        <v>0</v>
      </c>
      <c r="X94" s="21">
        <f>IF(B94="","",SUMIFS('Supply Usage'!$L$5:$L$304,'Supply Usage'!$D$5:$D$304,B94))</f>
        <v>0</v>
      </c>
      <c r="Y94" s="39">
        <f>IF(B94="","",IF(S94="","Not counted",IF(S94&lt;=0,"Out of stock",IF(AND(J94&lt;&gt;"",S94&lt;=J94),"Low stock",IF(AND(V94&lt;&gt;"",V94&lt;LowStockDays),"Low stock","In stock")))))</f>
        <v>0</v>
      </c>
      <c r="Z94" s="39">
        <f>IF(B94="","",IF(Y94="Out of stock","Order - none left",IF(Y94="Low stock","Order - running low",IF(Y94="Not counted","Add - count the stock",IF(AND(N94="No",C94="Chemicals &amp; detergents"),"Action - no safety data sheet","OK")))))</f>
        <v>0</v>
      </c>
    </row>
    <row r="95" spans="1:26">
      <c r="A95" s="43">
        <f>IF(B95="","",SupplyPrefix&amp;TEXT(ROW()-4,"0000"))</f>
        <v>0</v>
      </c>
      <c r="P95" s="21">
        <f>IF(OR(B95="",G95="",F95="",F95=0),"",ROUND(G95/F95,4))</f>
        <v>0</v>
      </c>
      <c r="Q95" s="34">
        <f>IF(B95="","",SUMIFS('Supply Usage'!$E$5:$E$304,'Supply Usage'!$D$5:$D$304,B95))</f>
        <v>0</v>
      </c>
      <c r="R95" s="34">
        <f>IF(OR(B95="",I95=""),"",SUMIFS('Supply Usage'!$E$5:$E$304,'Supply Usage'!$D$5:$D$304,B95,'Supply Usage'!$B$5:$B$304,"&gt;"&amp;I95))</f>
        <v>0</v>
      </c>
      <c r="S95" s="34">
        <f>IF(B95="","",IF(H95="","",H95-IF(R95="",0,R95)))</f>
        <v>0</v>
      </c>
      <c r="T95" s="34">
        <f>IF(B95="","",SUMIFS('Supply Usage'!$E$5:$E$304,'Supply Usage'!$D$5:$D$304,B95,'Supply Usage'!$B$5:$B$304,"&gt;="&amp;TodayDate-28))</f>
        <v>0</v>
      </c>
      <c r="U95" s="34">
        <f>IF(B95="","",ROUND(T95/28,3))</f>
        <v>0</v>
      </c>
      <c r="V95" s="31">
        <f>IF(OR(B95="",S95="",U95=0),"",ROUND(S95/U95,0))</f>
        <v>0</v>
      </c>
      <c r="W95" s="21">
        <f>IF(OR(B95="",S95="",P95=""),"",ROUND(S95*P95,2))</f>
        <v>0</v>
      </c>
      <c r="X95" s="21">
        <f>IF(B95="","",SUMIFS('Supply Usage'!$L$5:$L$304,'Supply Usage'!$D$5:$D$304,B95))</f>
        <v>0</v>
      </c>
      <c r="Y95" s="39">
        <f>IF(B95="","",IF(S95="","Not counted",IF(S95&lt;=0,"Out of stock",IF(AND(J95&lt;&gt;"",S95&lt;=J95),"Low stock",IF(AND(V95&lt;&gt;"",V95&lt;LowStockDays),"Low stock","In stock")))))</f>
        <v>0</v>
      </c>
      <c r="Z95" s="39">
        <f>IF(B95="","",IF(Y95="Out of stock","Order - none left",IF(Y95="Low stock","Order - running low",IF(Y95="Not counted","Add - count the stock",IF(AND(N95="No",C95="Chemicals &amp; detergents"),"Action - no safety data sheet","OK")))))</f>
        <v>0</v>
      </c>
    </row>
    <row r="96" spans="1:26">
      <c r="A96" s="43">
        <f>IF(B96="","",SupplyPrefix&amp;TEXT(ROW()-4,"0000"))</f>
        <v>0</v>
      </c>
      <c r="P96" s="21">
        <f>IF(OR(B96="",G96="",F96="",F96=0),"",ROUND(G96/F96,4))</f>
        <v>0</v>
      </c>
      <c r="Q96" s="34">
        <f>IF(B96="","",SUMIFS('Supply Usage'!$E$5:$E$304,'Supply Usage'!$D$5:$D$304,B96))</f>
        <v>0</v>
      </c>
      <c r="R96" s="34">
        <f>IF(OR(B96="",I96=""),"",SUMIFS('Supply Usage'!$E$5:$E$304,'Supply Usage'!$D$5:$D$304,B96,'Supply Usage'!$B$5:$B$304,"&gt;"&amp;I96))</f>
        <v>0</v>
      </c>
      <c r="S96" s="34">
        <f>IF(B96="","",IF(H96="","",H96-IF(R96="",0,R96)))</f>
        <v>0</v>
      </c>
      <c r="T96" s="34">
        <f>IF(B96="","",SUMIFS('Supply Usage'!$E$5:$E$304,'Supply Usage'!$D$5:$D$304,B96,'Supply Usage'!$B$5:$B$304,"&gt;="&amp;TodayDate-28))</f>
        <v>0</v>
      </c>
      <c r="U96" s="34">
        <f>IF(B96="","",ROUND(T96/28,3))</f>
        <v>0</v>
      </c>
      <c r="V96" s="31">
        <f>IF(OR(B96="",S96="",U96=0),"",ROUND(S96/U96,0))</f>
        <v>0</v>
      </c>
      <c r="W96" s="21">
        <f>IF(OR(B96="",S96="",P96=""),"",ROUND(S96*P96,2))</f>
        <v>0</v>
      </c>
      <c r="X96" s="21">
        <f>IF(B96="","",SUMIFS('Supply Usage'!$L$5:$L$304,'Supply Usage'!$D$5:$D$304,B96))</f>
        <v>0</v>
      </c>
      <c r="Y96" s="39">
        <f>IF(B96="","",IF(S96="","Not counted",IF(S96&lt;=0,"Out of stock",IF(AND(J96&lt;&gt;"",S96&lt;=J96),"Low stock",IF(AND(V96&lt;&gt;"",V96&lt;LowStockDays),"Low stock","In stock")))))</f>
        <v>0</v>
      </c>
      <c r="Z96" s="39">
        <f>IF(B96="","",IF(Y96="Out of stock","Order - none left",IF(Y96="Low stock","Order - running low",IF(Y96="Not counted","Add - count the stock",IF(AND(N96="No",C96="Chemicals &amp; detergents"),"Action - no safety data sheet","OK")))))</f>
        <v>0</v>
      </c>
    </row>
    <row r="97" spans="1:26">
      <c r="A97" s="43">
        <f>IF(B97="","",SupplyPrefix&amp;TEXT(ROW()-4,"0000"))</f>
        <v>0</v>
      </c>
      <c r="P97" s="21">
        <f>IF(OR(B97="",G97="",F97="",F97=0),"",ROUND(G97/F97,4))</f>
        <v>0</v>
      </c>
      <c r="Q97" s="34">
        <f>IF(B97="","",SUMIFS('Supply Usage'!$E$5:$E$304,'Supply Usage'!$D$5:$D$304,B97))</f>
        <v>0</v>
      </c>
      <c r="R97" s="34">
        <f>IF(OR(B97="",I97=""),"",SUMIFS('Supply Usage'!$E$5:$E$304,'Supply Usage'!$D$5:$D$304,B97,'Supply Usage'!$B$5:$B$304,"&gt;"&amp;I97))</f>
        <v>0</v>
      </c>
      <c r="S97" s="34">
        <f>IF(B97="","",IF(H97="","",H97-IF(R97="",0,R97)))</f>
        <v>0</v>
      </c>
      <c r="T97" s="34">
        <f>IF(B97="","",SUMIFS('Supply Usage'!$E$5:$E$304,'Supply Usage'!$D$5:$D$304,B97,'Supply Usage'!$B$5:$B$304,"&gt;="&amp;TodayDate-28))</f>
        <v>0</v>
      </c>
      <c r="U97" s="34">
        <f>IF(B97="","",ROUND(T97/28,3))</f>
        <v>0</v>
      </c>
      <c r="V97" s="31">
        <f>IF(OR(B97="",S97="",U97=0),"",ROUND(S97/U97,0))</f>
        <v>0</v>
      </c>
      <c r="W97" s="21">
        <f>IF(OR(B97="",S97="",P97=""),"",ROUND(S97*P97,2))</f>
        <v>0</v>
      </c>
      <c r="X97" s="21">
        <f>IF(B97="","",SUMIFS('Supply Usage'!$L$5:$L$304,'Supply Usage'!$D$5:$D$304,B97))</f>
        <v>0</v>
      </c>
      <c r="Y97" s="39">
        <f>IF(B97="","",IF(S97="","Not counted",IF(S97&lt;=0,"Out of stock",IF(AND(J97&lt;&gt;"",S97&lt;=J97),"Low stock",IF(AND(V97&lt;&gt;"",V97&lt;LowStockDays),"Low stock","In stock")))))</f>
        <v>0</v>
      </c>
      <c r="Z97" s="39">
        <f>IF(B97="","",IF(Y97="Out of stock","Order - none left",IF(Y97="Low stock","Order - running low",IF(Y97="Not counted","Add - count the stock",IF(AND(N97="No",C97="Chemicals &amp; detergents"),"Action - no safety data sheet","OK")))))</f>
        <v>0</v>
      </c>
    </row>
    <row r="98" spans="1:26">
      <c r="A98" s="43">
        <f>IF(B98="","",SupplyPrefix&amp;TEXT(ROW()-4,"0000"))</f>
        <v>0</v>
      </c>
      <c r="P98" s="21">
        <f>IF(OR(B98="",G98="",F98="",F98=0),"",ROUND(G98/F98,4))</f>
        <v>0</v>
      </c>
      <c r="Q98" s="34">
        <f>IF(B98="","",SUMIFS('Supply Usage'!$E$5:$E$304,'Supply Usage'!$D$5:$D$304,B98))</f>
        <v>0</v>
      </c>
      <c r="R98" s="34">
        <f>IF(OR(B98="",I98=""),"",SUMIFS('Supply Usage'!$E$5:$E$304,'Supply Usage'!$D$5:$D$304,B98,'Supply Usage'!$B$5:$B$304,"&gt;"&amp;I98))</f>
        <v>0</v>
      </c>
      <c r="S98" s="34">
        <f>IF(B98="","",IF(H98="","",H98-IF(R98="",0,R98)))</f>
        <v>0</v>
      </c>
      <c r="T98" s="34">
        <f>IF(B98="","",SUMIFS('Supply Usage'!$E$5:$E$304,'Supply Usage'!$D$5:$D$304,B98,'Supply Usage'!$B$5:$B$304,"&gt;="&amp;TodayDate-28))</f>
        <v>0</v>
      </c>
      <c r="U98" s="34">
        <f>IF(B98="","",ROUND(T98/28,3))</f>
        <v>0</v>
      </c>
      <c r="V98" s="31">
        <f>IF(OR(B98="",S98="",U98=0),"",ROUND(S98/U98,0))</f>
        <v>0</v>
      </c>
      <c r="W98" s="21">
        <f>IF(OR(B98="",S98="",P98=""),"",ROUND(S98*P98,2))</f>
        <v>0</v>
      </c>
      <c r="X98" s="21">
        <f>IF(B98="","",SUMIFS('Supply Usage'!$L$5:$L$304,'Supply Usage'!$D$5:$D$304,B98))</f>
        <v>0</v>
      </c>
      <c r="Y98" s="39">
        <f>IF(B98="","",IF(S98="","Not counted",IF(S98&lt;=0,"Out of stock",IF(AND(J98&lt;&gt;"",S98&lt;=J98),"Low stock",IF(AND(V98&lt;&gt;"",V98&lt;LowStockDays),"Low stock","In stock")))))</f>
        <v>0</v>
      </c>
      <c r="Z98" s="39">
        <f>IF(B98="","",IF(Y98="Out of stock","Order - none left",IF(Y98="Low stock","Order - running low",IF(Y98="Not counted","Add - count the stock",IF(AND(N98="No",C98="Chemicals &amp; detergents"),"Action - no safety data sheet","OK")))))</f>
        <v>0</v>
      </c>
    </row>
    <row r="99" spans="1:26">
      <c r="A99" s="43">
        <f>IF(B99="","",SupplyPrefix&amp;TEXT(ROW()-4,"0000"))</f>
        <v>0</v>
      </c>
      <c r="P99" s="21">
        <f>IF(OR(B99="",G99="",F99="",F99=0),"",ROUND(G99/F99,4))</f>
        <v>0</v>
      </c>
      <c r="Q99" s="34">
        <f>IF(B99="","",SUMIFS('Supply Usage'!$E$5:$E$304,'Supply Usage'!$D$5:$D$304,B99))</f>
        <v>0</v>
      </c>
      <c r="R99" s="34">
        <f>IF(OR(B99="",I99=""),"",SUMIFS('Supply Usage'!$E$5:$E$304,'Supply Usage'!$D$5:$D$304,B99,'Supply Usage'!$B$5:$B$304,"&gt;"&amp;I99))</f>
        <v>0</v>
      </c>
      <c r="S99" s="34">
        <f>IF(B99="","",IF(H99="","",H99-IF(R99="",0,R99)))</f>
        <v>0</v>
      </c>
      <c r="T99" s="34">
        <f>IF(B99="","",SUMIFS('Supply Usage'!$E$5:$E$304,'Supply Usage'!$D$5:$D$304,B99,'Supply Usage'!$B$5:$B$304,"&gt;="&amp;TodayDate-28))</f>
        <v>0</v>
      </c>
      <c r="U99" s="34">
        <f>IF(B99="","",ROUND(T99/28,3))</f>
        <v>0</v>
      </c>
      <c r="V99" s="31">
        <f>IF(OR(B99="",S99="",U99=0),"",ROUND(S99/U99,0))</f>
        <v>0</v>
      </c>
      <c r="W99" s="21">
        <f>IF(OR(B99="",S99="",P99=""),"",ROUND(S99*P99,2))</f>
        <v>0</v>
      </c>
      <c r="X99" s="21">
        <f>IF(B99="","",SUMIFS('Supply Usage'!$L$5:$L$304,'Supply Usage'!$D$5:$D$304,B99))</f>
        <v>0</v>
      </c>
      <c r="Y99" s="39">
        <f>IF(B99="","",IF(S99="","Not counted",IF(S99&lt;=0,"Out of stock",IF(AND(J99&lt;&gt;"",S99&lt;=J99),"Low stock",IF(AND(V99&lt;&gt;"",V99&lt;LowStockDays),"Low stock","In stock")))))</f>
        <v>0</v>
      </c>
      <c r="Z99" s="39">
        <f>IF(B99="","",IF(Y99="Out of stock","Order - none left",IF(Y99="Low stock","Order - running low",IF(Y99="Not counted","Add - count the stock",IF(AND(N99="No",C99="Chemicals &amp; detergents"),"Action - no safety data sheet","OK")))))</f>
        <v>0</v>
      </c>
    </row>
    <row r="100" spans="1:26">
      <c r="A100" s="43">
        <f>IF(B100="","",SupplyPrefix&amp;TEXT(ROW()-4,"0000"))</f>
        <v>0</v>
      </c>
      <c r="P100" s="21">
        <f>IF(OR(B100="",G100="",F100="",F100=0),"",ROUND(G100/F100,4))</f>
        <v>0</v>
      </c>
      <c r="Q100" s="34">
        <f>IF(B100="","",SUMIFS('Supply Usage'!$E$5:$E$304,'Supply Usage'!$D$5:$D$304,B100))</f>
        <v>0</v>
      </c>
      <c r="R100" s="34">
        <f>IF(OR(B100="",I100=""),"",SUMIFS('Supply Usage'!$E$5:$E$304,'Supply Usage'!$D$5:$D$304,B100,'Supply Usage'!$B$5:$B$304,"&gt;"&amp;I100))</f>
        <v>0</v>
      </c>
      <c r="S100" s="34">
        <f>IF(B100="","",IF(H100="","",H100-IF(R100="",0,R100)))</f>
        <v>0</v>
      </c>
      <c r="T100" s="34">
        <f>IF(B100="","",SUMIFS('Supply Usage'!$E$5:$E$304,'Supply Usage'!$D$5:$D$304,B100,'Supply Usage'!$B$5:$B$304,"&gt;="&amp;TodayDate-28))</f>
        <v>0</v>
      </c>
      <c r="U100" s="34">
        <f>IF(B100="","",ROUND(T100/28,3))</f>
        <v>0</v>
      </c>
      <c r="V100" s="31">
        <f>IF(OR(B100="",S100="",U100=0),"",ROUND(S100/U100,0))</f>
        <v>0</v>
      </c>
      <c r="W100" s="21">
        <f>IF(OR(B100="",S100="",P100=""),"",ROUND(S100*P100,2))</f>
        <v>0</v>
      </c>
      <c r="X100" s="21">
        <f>IF(B100="","",SUMIFS('Supply Usage'!$L$5:$L$304,'Supply Usage'!$D$5:$D$304,B100))</f>
        <v>0</v>
      </c>
      <c r="Y100" s="39">
        <f>IF(B100="","",IF(S100="","Not counted",IF(S100&lt;=0,"Out of stock",IF(AND(J100&lt;&gt;"",S100&lt;=J100),"Low stock",IF(AND(V100&lt;&gt;"",V100&lt;LowStockDays),"Low stock","In stock")))))</f>
        <v>0</v>
      </c>
      <c r="Z100" s="39">
        <f>IF(B100="","",IF(Y100="Out of stock","Order - none left",IF(Y100="Low stock","Order - running low",IF(Y100="Not counted","Add - count the stock",IF(AND(N100="No",C100="Chemicals &amp; detergents"),"Action - no safety data sheet","OK")))))</f>
        <v>0</v>
      </c>
    </row>
    <row r="101" spans="1:26">
      <c r="A101" s="43">
        <f>IF(B101="","",SupplyPrefix&amp;TEXT(ROW()-4,"0000"))</f>
        <v>0</v>
      </c>
      <c r="P101" s="21">
        <f>IF(OR(B101="",G101="",F101="",F101=0),"",ROUND(G101/F101,4))</f>
        <v>0</v>
      </c>
      <c r="Q101" s="34">
        <f>IF(B101="","",SUMIFS('Supply Usage'!$E$5:$E$304,'Supply Usage'!$D$5:$D$304,B101))</f>
        <v>0</v>
      </c>
      <c r="R101" s="34">
        <f>IF(OR(B101="",I101=""),"",SUMIFS('Supply Usage'!$E$5:$E$304,'Supply Usage'!$D$5:$D$304,B101,'Supply Usage'!$B$5:$B$304,"&gt;"&amp;I101))</f>
        <v>0</v>
      </c>
      <c r="S101" s="34">
        <f>IF(B101="","",IF(H101="","",H101-IF(R101="",0,R101)))</f>
        <v>0</v>
      </c>
      <c r="T101" s="34">
        <f>IF(B101="","",SUMIFS('Supply Usage'!$E$5:$E$304,'Supply Usage'!$D$5:$D$304,B101,'Supply Usage'!$B$5:$B$304,"&gt;="&amp;TodayDate-28))</f>
        <v>0</v>
      </c>
      <c r="U101" s="34">
        <f>IF(B101="","",ROUND(T101/28,3))</f>
        <v>0</v>
      </c>
      <c r="V101" s="31">
        <f>IF(OR(B101="",S101="",U101=0),"",ROUND(S101/U101,0))</f>
        <v>0</v>
      </c>
      <c r="W101" s="21">
        <f>IF(OR(B101="",S101="",P101=""),"",ROUND(S101*P101,2))</f>
        <v>0</v>
      </c>
      <c r="X101" s="21">
        <f>IF(B101="","",SUMIFS('Supply Usage'!$L$5:$L$304,'Supply Usage'!$D$5:$D$304,B101))</f>
        <v>0</v>
      </c>
      <c r="Y101" s="39">
        <f>IF(B101="","",IF(S101="","Not counted",IF(S101&lt;=0,"Out of stock",IF(AND(J101&lt;&gt;"",S101&lt;=J101),"Low stock",IF(AND(V101&lt;&gt;"",V101&lt;LowStockDays),"Low stock","In stock")))))</f>
        <v>0</v>
      </c>
      <c r="Z101" s="39">
        <f>IF(B101="","",IF(Y101="Out of stock","Order - none left",IF(Y101="Low stock","Order - running low",IF(Y101="Not counted","Add - count the stock",IF(AND(N101="No",C101="Chemicals &amp; detergents"),"Action - no safety data sheet","OK")))))</f>
        <v>0</v>
      </c>
    </row>
    <row r="102" spans="1:26">
      <c r="A102" s="43">
        <f>IF(B102="","",SupplyPrefix&amp;TEXT(ROW()-4,"0000"))</f>
        <v>0</v>
      </c>
      <c r="P102" s="21">
        <f>IF(OR(B102="",G102="",F102="",F102=0),"",ROUND(G102/F102,4))</f>
        <v>0</v>
      </c>
      <c r="Q102" s="34">
        <f>IF(B102="","",SUMIFS('Supply Usage'!$E$5:$E$304,'Supply Usage'!$D$5:$D$304,B102))</f>
        <v>0</v>
      </c>
      <c r="R102" s="34">
        <f>IF(OR(B102="",I102=""),"",SUMIFS('Supply Usage'!$E$5:$E$304,'Supply Usage'!$D$5:$D$304,B102,'Supply Usage'!$B$5:$B$304,"&gt;"&amp;I102))</f>
        <v>0</v>
      </c>
      <c r="S102" s="34">
        <f>IF(B102="","",IF(H102="","",H102-IF(R102="",0,R102)))</f>
        <v>0</v>
      </c>
      <c r="T102" s="34">
        <f>IF(B102="","",SUMIFS('Supply Usage'!$E$5:$E$304,'Supply Usage'!$D$5:$D$304,B102,'Supply Usage'!$B$5:$B$304,"&gt;="&amp;TodayDate-28))</f>
        <v>0</v>
      </c>
      <c r="U102" s="34">
        <f>IF(B102="","",ROUND(T102/28,3))</f>
        <v>0</v>
      </c>
      <c r="V102" s="31">
        <f>IF(OR(B102="",S102="",U102=0),"",ROUND(S102/U102,0))</f>
        <v>0</v>
      </c>
      <c r="W102" s="21">
        <f>IF(OR(B102="",S102="",P102=""),"",ROUND(S102*P102,2))</f>
        <v>0</v>
      </c>
      <c r="X102" s="21">
        <f>IF(B102="","",SUMIFS('Supply Usage'!$L$5:$L$304,'Supply Usage'!$D$5:$D$304,B102))</f>
        <v>0</v>
      </c>
      <c r="Y102" s="39">
        <f>IF(B102="","",IF(S102="","Not counted",IF(S102&lt;=0,"Out of stock",IF(AND(J102&lt;&gt;"",S102&lt;=J102),"Low stock",IF(AND(V102&lt;&gt;"",V102&lt;LowStockDays),"Low stock","In stock")))))</f>
        <v>0</v>
      </c>
      <c r="Z102" s="39">
        <f>IF(B102="","",IF(Y102="Out of stock","Order - none left",IF(Y102="Low stock","Order - running low",IF(Y102="Not counted","Add - count the stock",IF(AND(N102="No",C102="Chemicals &amp; detergents"),"Action - no safety data sheet","OK")))))</f>
        <v>0</v>
      </c>
    </row>
    <row r="103" spans="1:26">
      <c r="A103" s="43">
        <f>IF(B103="","",SupplyPrefix&amp;TEXT(ROW()-4,"0000"))</f>
        <v>0</v>
      </c>
      <c r="P103" s="21">
        <f>IF(OR(B103="",G103="",F103="",F103=0),"",ROUND(G103/F103,4))</f>
        <v>0</v>
      </c>
      <c r="Q103" s="34">
        <f>IF(B103="","",SUMIFS('Supply Usage'!$E$5:$E$304,'Supply Usage'!$D$5:$D$304,B103))</f>
        <v>0</v>
      </c>
      <c r="R103" s="34">
        <f>IF(OR(B103="",I103=""),"",SUMIFS('Supply Usage'!$E$5:$E$304,'Supply Usage'!$D$5:$D$304,B103,'Supply Usage'!$B$5:$B$304,"&gt;"&amp;I103))</f>
        <v>0</v>
      </c>
      <c r="S103" s="34">
        <f>IF(B103="","",IF(H103="","",H103-IF(R103="",0,R103)))</f>
        <v>0</v>
      </c>
      <c r="T103" s="34">
        <f>IF(B103="","",SUMIFS('Supply Usage'!$E$5:$E$304,'Supply Usage'!$D$5:$D$304,B103,'Supply Usage'!$B$5:$B$304,"&gt;="&amp;TodayDate-28))</f>
        <v>0</v>
      </c>
      <c r="U103" s="34">
        <f>IF(B103="","",ROUND(T103/28,3))</f>
        <v>0</v>
      </c>
      <c r="V103" s="31">
        <f>IF(OR(B103="",S103="",U103=0),"",ROUND(S103/U103,0))</f>
        <v>0</v>
      </c>
      <c r="W103" s="21">
        <f>IF(OR(B103="",S103="",P103=""),"",ROUND(S103*P103,2))</f>
        <v>0</v>
      </c>
      <c r="X103" s="21">
        <f>IF(B103="","",SUMIFS('Supply Usage'!$L$5:$L$304,'Supply Usage'!$D$5:$D$304,B103))</f>
        <v>0</v>
      </c>
      <c r="Y103" s="39">
        <f>IF(B103="","",IF(S103="","Not counted",IF(S103&lt;=0,"Out of stock",IF(AND(J103&lt;&gt;"",S103&lt;=J103),"Low stock",IF(AND(V103&lt;&gt;"",V103&lt;LowStockDays),"Low stock","In stock")))))</f>
        <v>0</v>
      </c>
      <c r="Z103" s="39">
        <f>IF(B103="","",IF(Y103="Out of stock","Order - none left",IF(Y103="Low stock","Order - running low",IF(Y103="Not counted","Add - count the stock",IF(AND(N103="No",C103="Chemicals &amp; detergents"),"Action - no safety data sheet","OK")))))</f>
        <v>0</v>
      </c>
    </row>
    <row r="104" spans="1:26">
      <c r="A104" s="43">
        <f>IF(B104="","",SupplyPrefix&amp;TEXT(ROW()-4,"0000"))</f>
        <v>0</v>
      </c>
      <c r="P104" s="21">
        <f>IF(OR(B104="",G104="",F104="",F104=0),"",ROUND(G104/F104,4))</f>
        <v>0</v>
      </c>
      <c r="Q104" s="34">
        <f>IF(B104="","",SUMIFS('Supply Usage'!$E$5:$E$304,'Supply Usage'!$D$5:$D$304,B104))</f>
        <v>0</v>
      </c>
      <c r="R104" s="34">
        <f>IF(OR(B104="",I104=""),"",SUMIFS('Supply Usage'!$E$5:$E$304,'Supply Usage'!$D$5:$D$304,B104,'Supply Usage'!$B$5:$B$304,"&gt;"&amp;I104))</f>
        <v>0</v>
      </c>
      <c r="S104" s="34">
        <f>IF(B104="","",IF(H104="","",H104-IF(R104="",0,R104)))</f>
        <v>0</v>
      </c>
      <c r="T104" s="34">
        <f>IF(B104="","",SUMIFS('Supply Usage'!$E$5:$E$304,'Supply Usage'!$D$5:$D$304,B104,'Supply Usage'!$B$5:$B$304,"&gt;="&amp;TodayDate-28))</f>
        <v>0</v>
      </c>
      <c r="U104" s="34">
        <f>IF(B104="","",ROUND(T104/28,3))</f>
        <v>0</v>
      </c>
      <c r="V104" s="31">
        <f>IF(OR(B104="",S104="",U104=0),"",ROUND(S104/U104,0))</f>
        <v>0</v>
      </c>
      <c r="W104" s="21">
        <f>IF(OR(B104="",S104="",P104=""),"",ROUND(S104*P104,2))</f>
        <v>0</v>
      </c>
      <c r="X104" s="21">
        <f>IF(B104="","",SUMIFS('Supply Usage'!$L$5:$L$304,'Supply Usage'!$D$5:$D$304,B104))</f>
        <v>0</v>
      </c>
      <c r="Y104" s="39">
        <f>IF(B104="","",IF(S104="","Not counted",IF(S104&lt;=0,"Out of stock",IF(AND(J104&lt;&gt;"",S104&lt;=J104),"Low stock",IF(AND(V104&lt;&gt;"",V104&lt;LowStockDays),"Low stock","In stock")))))</f>
        <v>0</v>
      </c>
      <c r="Z104" s="39">
        <f>IF(B104="","",IF(Y104="Out of stock","Order - none left",IF(Y104="Low stock","Order - running low",IF(Y104="Not counted","Add - count the stock",IF(AND(N104="No",C104="Chemicals &amp; detergents"),"Action - no safety data sheet","OK")))))</f>
        <v>0</v>
      </c>
    </row>
    <row r="105" spans="1:26">
      <c r="A105" s="43">
        <f>IF(B105="","",SupplyPrefix&amp;TEXT(ROW()-4,"0000"))</f>
        <v>0</v>
      </c>
      <c r="P105" s="21">
        <f>IF(OR(B105="",G105="",F105="",F105=0),"",ROUND(G105/F105,4))</f>
        <v>0</v>
      </c>
      <c r="Q105" s="34">
        <f>IF(B105="","",SUMIFS('Supply Usage'!$E$5:$E$304,'Supply Usage'!$D$5:$D$304,B105))</f>
        <v>0</v>
      </c>
      <c r="R105" s="34">
        <f>IF(OR(B105="",I105=""),"",SUMIFS('Supply Usage'!$E$5:$E$304,'Supply Usage'!$D$5:$D$304,B105,'Supply Usage'!$B$5:$B$304,"&gt;"&amp;I105))</f>
        <v>0</v>
      </c>
      <c r="S105" s="34">
        <f>IF(B105="","",IF(H105="","",H105-IF(R105="",0,R105)))</f>
        <v>0</v>
      </c>
      <c r="T105" s="34">
        <f>IF(B105="","",SUMIFS('Supply Usage'!$E$5:$E$304,'Supply Usage'!$D$5:$D$304,B105,'Supply Usage'!$B$5:$B$304,"&gt;="&amp;TodayDate-28))</f>
        <v>0</v>
      </c>
      <c r="U105" s="34">
        <f>IF(B105="","",ROUND(T105/28,3))</f>
        <v>0</v>
      </c>
      <c r="V105" s="31">
        <f>IF(OR(B105="",S105="",U105=0),"",ROUND(S105/U105,0))</f>
        <v>0</v>
      </c>
      <c r="W105" s="21">
        <f>IF(OR(B105="",S105="",P105=""),"",ROUND(S105*P105,2))</f>
        <v>0</v>
      </c>
      <c r="X105" s="21">
        <f>IF(B105="","",SUMIFS('Supply Usage'!$L$5:$L$304,'Supply Usage'!$D$5:$D$304,B105))</f>
        <v>0</v>
      </c>
      <c r="Y105" s="39">
        <f>IF(B105="","",IF(S105="","Not counted",IF(S105&lt;=0,"Out of stock",IF(AND(J105&lt;&gt;"",S105&lt;=J105),"Low stock",IF(AND(V105&lt;&gt;"",V105&lt;LowStockDays),"Low stock","In stock")))))</f>
        <v>0</v>
      </c>
      <c r="Z105" s="39">
        <f>IF(B105="","",IF(Y105="Out of stock","Order - none left",IF(Y105="Low stock","Order - running low",IF(Y105="Not counted","Add - count the stock",IF(AND(N105="No",C105="Chemicals &amp; detergents"),"Action - no safety data sheet","OK")))))</f>
        <v>0</v>
      </c>
    </row>
    <row r="106" spans="1:26">
      <c r="A106" s="43">
        <f>IF(B106="","",SupplyPrefix&amp;TEXT(ROW()-4,"0000"))</f>
        <v>0</v>
      </c>
      <c r="P106" s="21">
        <f>IF(OR(B106="",G106="",F106="",F106=0),"",ROUND(G106/F106,4))</f>
        <v>0</v>
      </c>
      <c r="Q106" s="34">
        <f>IF(B106="","",SUMIFS('Supply Usage'!$E$5:$E$304,'Supply Usage'!$D$5:$D$304,B106))</f>
        <v>0</v>
      </c>
      <c r="R106" s="34">
        <f>IF(OR(B106="",I106=""),"",SUMIFS('Supply Usage'!$E$5:$E$304,'Supply Usage'!$D$5:$D$304,B106,'Supply Usage'!$B$5:$B$304,"&gt;"&amp;I106))</f>
        <v>0</v>
      </c>
      <c r="S106" s="34">
        <f>IF(B106="","",IF(H106="","",H106-IF(R106="",0,R106)))</f>
        <v>0</v>
      </c>
      <c r="T106" s="34">
        <f>IF(B106="","",SUMIFS('Supply Usage'!$E$5:$E$304,'Supply Usage'!$D$5:$D$304,B106,'Supply Usage'!$B$5:$B$304,"&gt;="&amp;TodayDate-28))</f>
        <v>0</v>
      </c>
      <c r="U106" s="34">
        <f>IF(B106="","",ROUND(T106/28,3))</f>
        <v>0</v>
      </c>
      <c r="V106" s="31">
        <f>IF(OR(B106="",S106="",U106=0),"",ROUND(S106/U106,0))</f>
        <v>0</v>
      </c>
      <c r="W106" s="21">
        <f>IF(OR(B106="",S106="",P106=""),"",ROUND(S106*P106,2))</f>
        <v>0</v>
      </c>
      <c r="X106" s="21">
        <f>IF(B106="","",SUMIFS('Supply Usage'!$L$5:$L$304,'Supply Usage'!$D$5:$D$304,B106))</f>
        <v>0</v>
      </c>
      <c r="Y106" s="39">
        <f>IF(B106="","",IF(S106="","Not counted",IF(S106&lt;=0,"Out of stock",IF(AND(J106&lt;&gt;"",S106&lt;=J106),"Low stock",IF(AND(V106&lt;&gt;"",V106&lt;LowStockDays),"Low stock","In stock")))))</f>
        <v>0</v>
      </c>
      <c r="Z106" s="39">
        <f>IF(B106="","",IF(Y106="Out of stock","Order - none left",IF(Y106="Low stock","Order - running low",IF(Y106="Not counted","Add - count the stock",IF(AND(N106="No",C106="Chemicals &amp; detergents"),"Action - no safety data sheet","OK")))))</f>
        <v>0</v>
      </c>
    </row>
    <row r="107" spans="1:26">
      <c r="A107" s="43">
        <f>IF(B107="","",SupplyPrefix&amp;TEXT(ROW()-4,"0000"))</f>
        <v>0</v>
      </c>
      <c r="P107" s="21">
        <f>IF(OR(B107="",G107="",F107="",F107=0),"",ROUND(G107/F107,4))</f>
        <v>0</v>
      </c>
      <c r="Q107" s="34">
        <f>IF(B107="","",SUMIFS('Supply Usage'!$E$5:$E$304,'Supply Usage'!$D$5:$D$304,B107))</f>
        <v>0</v>
      </c>
      <c r="R107" s="34">
        <f>IF(OR(B107="",I107=""),"",SUMIFS('Supply Usage'!$E$5:$E$304,'Supply Usage'!$D$5:$D$304,B107,'Supply Usage'!$B$5:$B$304,"&gt;"&amp;I107))</f>
        <v>0</v>
      </c>
      <c r="S107" s="34">
        <f>IF(B107="","",IF(H107="","",H107-IF(R107="",0,R107)))</f>
        <v>0</v>
      </c>
      <c r="T107" s="34">
        <f>IF(B107="","",SUMIFS('Supply Usage'!$E$5:$E$304,'Supply Usage'!$D$5:$D$304,B107,'Supply Usage'!$B$5:$B$304,"&gt;="&amp;TodayDate-28))</f>
        <v>0</v>
      </c>
      <c r="U107" s="34">
        <f>IF(B107="","",ROUND(T107/28,3))</f>
        <v>0</v>
      </c>
      <c r="V107" s="31">
        <f>IF(OR(B107="",S107="",U107=0),"",ROUND(S107/U107,0))</f>
        <v>0</v>
      </c>
      <c r="W107" s="21">
        <f>IF(OR(B107="",S107="",P107=""),"",ROUND(S107*P107,2))</f>
        <v>0</v>
      </c>
      <c r="X107" s="21">
        <f>IF(B107="","",SUMIFS('Supply Usage'!$L$5:$L$304,'Supply Usage'!$D$5:$D$304,B107))</f>
        <v>0</v>
      </c>
      <c r="Y107" s="39">
        <f>IF(B107="","",IF(S107="","Not counted",IF(S107&lt;=0,"Out of stock",IF(AND(J107&lt;&gt;"",S107&lt;=J107),"Low stock",IF(AND(V107&lt;&gt;"",V107&lt;LowStockDays),"Low stock","In stock")))))</f>
        <v>0</v>
      </c>
      <c r="Z107" s="39">
        <f>IF(B107="","",IF(Y107="Out of stock","Order - none left",IF(Y107="Low stock","Order - running low",IF(Y107="Not counted","Add - count the stock",IF(AND(N107="No",C107="Chemicals &amp; detergents"),"Action - no safety data sheet","OK")))))</f>
        <v>0</v>
      </c>
    </row>
    <row r="108" spans="1:26">
      <c r="A108" s="43">
        <f>IF(B108="","",SupplyPrefix&amp;TEXT(ROW()-4,"0000"))</f>
        <v>0</v>
      </c>
      <c r="P108" s="21">
        <f>IF(OR(B108="",G108="",F108="",F108=0),"",ROUND(G108/F108,4))</f>
        <v>0</v>
      </c>
      <c r="Q108" s="34">
        <f>IF(B108="","",SUMIFS('Supply Usage'!$E$5:$E$304,'Supply Usage'!$D$5:$D$304,B108))</f>
        <v>0</v>
      </c>
      <c r="R108" s="34">
        <f>IF(OR(B108="",I108=""),"",SUMIFS('Supply Usage'!$E$5:$E$304,'Supply Usage'!$D$5:$D$304,B108,'Supply Usage'!$B$5:$B$304,"&gt;"&amp;I108))</f>
        <v>0</v>
      </c>
      <c r="S108" s="34">
        <f>IF(B108="","",IF(H108="","",H108-IF(R108="",0,R108)))</f>
        <v>0</v>
      </c>
      <c r="T108" s="34">
        <f>IF(B108="","",SUMIFS('Supply Usage'!$E$5:$E$304,'Supply Usage'!$D$5:$D$304,B108,'Supply Usage'!$B$5:$B$304,"&gt;="&amp;TodayDate-28))</f>
        <v>0</v>
      </c>
      <c r="U108" s="34">
        <f>IF(B108="","",ROUND(T108/28,3))</f>
        <v>0</v>
      </c>
      <c r="V108" s="31">
        <f>IF(OR(B108="",S108="",U108=0),"",ROUND(S108/U108,0))</f>
        <v>0</v>
      </c>
      <c r="W108" s="21">
        <f>IF(OR(B108="",S108="",P108=""),"",ROUND(S108*P108,2))</f>
        <v>0</v>
      </c>
      <c r="X108" s="21">
        <f>IF(B108="","",SUMIFS('Supply Usage'!$L$5:$L$304,'Supply Usage'!$D$5:$D$304,B108))</f>
        <v>0</v>
      </c>
      <c r="Y108" s="39">
        <f>IF(B108="","",IF(S108="","Not counted",IF(S108&lt;=0,"Out of stock",IF(AND(J108&lt;&gt;"",S108&lt;=J108),"Low stock",IF(AND(V108&lt;&gt;"",V108&lt;LowStockDays),"Low stock","In stock")))))</f>
        <v>0</v>
      </c>
      <c r="Z108" s="39">
        <f>IF(B108="","",IF(Y108="Out of stock","Order - none left",IF(Y108="Low stock","Order - running low",IF(Y108="Not counted","Add - count the stock",IF(AND(N108="No",C108="Chemicals &amp; detergents"),"Action - no safety data sheet","OK")))))</f>
        <v>0</v>
      </c>
    </row>
    <row r="109" spans="1:26">
      <c r="A109" s="43">
        <f>IF(B109="","",SupplyPrefix&amp;TEXT(ROW()-4,"0000"))</f>
        <v>0</v>
      </c>
      <c r="P109" s="21">
        <f>IF(OR(B109="",G109="",F109="",F109=0),"",ROUND(G109/F109,4))</f>
        <v>0</v>
      </c>
      <c r="Q109" s="34">
        <f>IF(B109="","",SUMIFS('Supply Usage'!$E$5:$E$304,'Supply Usage'!$D$5:$D$304,B109))</f>
        <v>0</v>
      </c>
      <c r="R109" s="34">
        <f>IF(OR(B109="",I109=""),"",SUMIFS('Supply Usage'!$E$5:$E$304,'Supply Usage'!$D$5:$D$304,B109,'Supply Usage'!$B$5:$B$304,"&gt;"&amp;I109))</f>
        <v>0</v>
      </c>
      <c r="S109" s="34">
        <f>IF(B109="","",IF(H109="","",H109-IF(R109="",0,R109)))</f>
        <v>0</v>
      </c>
      <c r="T109" s="34">
        <f>IF(B109="","",SUMIFS('Supply Usage'!$E$5:$E$304,'Supply Usage'!$D$5:$D$304,B109,'Supply Usage'!$B$5:$B$304,"&gt;="&amp;TodayDate-28))</f>
        <v>0</v>
      </c>
      <c r="U109" s="34">
        <f>IF(B109="","",ROUND(T109/28,3))</f>
        <v>0</v>
      </c>
      <c r="V109" s="31">
        <f>IF(OR(B109="",S109="",U109=0),"",ROUND(S109/U109,0))</f>
        <v>0</v>
      </c>
      <c r="W109" s="21">
        <f>IF(OR(B109="",S109="",P109=""),"",ROUND(S109*P109,2))</f>
        <v>0</v>
      </c>
      <c r="X109" s="21">
        <f>IF(B109="","",SUMIFS('Supply Usage'!$L$5:$L$304,'Supply Usage'!$D$5:$D$304,B109))</f>
        <v>0</v>
      </c>
      <c r="Y109" s="39">
        <f>IF(B109="","",IF(S109="","Not counted",IF(S109&lt;=0,"Out of stock",IF(AND(J109&lt;&gt;"",S109&lt;=J109),"Low stock",IF(AND(V109&lt;&gt;"",V109&lt;LowStockDays),"Low stock","In stock")))))</f>
        <v>0</v>
      </c>
      <c r="Z109" s="39">
        <f>IF(B109="","",IF(Y109="Out of stock","Order - none left",IF(Y109="Low stock","Order - running low",IF(Y109="Not counted","Add - count the stock",IF(AND(N109="No",C109="Chemicals &amp; detergents"),"Action - no safety data sheet","OK")))))</f>
        <v>0</v>
      </c>
    </row>
    <row r="110" spans="1:26">
      <c r="A110" s="43">
        <f>IF(B110="","",SupplyPrefix&amp;TEXT(ROW()-4,"0000"))</f>
        <v>0</v>
      </c>
      <c r="P110" s="21">
        <f>IF(OR(B110="",G110="",F110="",F110=0),"",ROUND(G110/F110,4))</f>
        <v>0</v>
      </c>
      <c r="Q110" s="34">
        <f>IF(B110="","",SUMIFS('Supply Usage'!$E$5:$E$304,'Supply Usage'!$D$5:$D$304,B110))</f>
        <v>0</v>
      </c>
      <c r="R110" s="34">
        <f>IF(OR(B110="",I110=""),"",SUMIFS('Supply Usage'!$E$5:$E$304,'Supply Usage'!$D$5:$D$304,B110,'Supply Usage'!$B$5:$B$304,"&gt;"&amp;I110))</f>
        <v>0</v>
      </c>
      <c r="S110" s="34">
        <f>IF(B110="","",IF(H110="","",H110-IF(R110="",0,R110)))</f>
        <v>0</v>
      </c>
      <c r="T110" s="34">
        <f>IF(B110="","",SUMIFS('Supply Usage'!$E$5:$E$304,'Supply Usage'!$D$5:$D$304,B110,'Supply Usage'!$B$5:$B$304,"&gt;="&amp;TodayDate-28))</f>
        <v>0</v>
      </c>
      <c r="U110" s="34">
        <f>IF(B110="","",ROUND(T110/28,3))</f>
        <v>0</v>
      </c>
      <c r="V110" s="31">
        <f>IF(OR(B110="",S110="",U110=0),"",ROUND(S110/U110,0))</f>
        <v>0</v>
      </c>
      <c r="W110" s="21">
        <f>IF(OR(B110="",S110="",P110=""),"",ROUND(S110*P110,2))</f>
        <v>0</v>
      </c>
      <c r="X110" s="21">
        <f>IF(B110="","",SUMIFS('Supply Usage'!$L$5:$L$304,'Supply Usage'!$D$5:$D$304,B110))</f>
        <v>0</v>
      </c>
      <c r="Y110" s="39">
        <f>IF(B110="","",IF(S110="","Not counted",IF(S110&lt;=0,"Out of stock",IF(AND(J110&lt;&gt;"",S110&lt;=J110),"Low stock",IF(AND(V110&lt;&gt;"",V110&lt;LowStockDays),"Low stock","In stock")))))</f>
        <v>0</v>
      </c>
      <c r="Z110" s="39">
        <f>IF(B110="","",IF(Y110="Out of stock","Order - none left",IF(Y110="Low stock","Order - running low",IF(Y110="Not counted","Add - count the stock",IF(AND(N110="No",C110="Chemicals &amp; detergents"),"Action - no safety data sheet","OK")))))</f>
        <v>0</v>
      </c>
    </row>
    <row r="111" spans="1:26">
      <c r="A111" s="43">
        <f>IF(B111="","",SupplyPrefix&amp;TEXT(ROW()-4,"0000"))</f>
        <v>0</v>
      </c>
      <c r="P111" s="21">
        <f>IF(OR(B111="",G111="",F111="",F111=0),"",ROUND(G111/F111,4))</f>
        <v>0</v>
      </c>
      <c r="Q111" s="34">
        <f>IF(B111="","",SUMIFS('Supply Usage'!$E$5:$E$304,'Supply Usage'!$D$5:$D$304,B111))</f>
        <v>0</v>
      </c>
      <c r="R111" s="34">
        <f>IF(OR(B111="",I111=""),"",SUMIFS('Supply Usage'!$E$5:$E$304,'Supply Usage'!$D$5:$D$304,B111,'Supply Usage'!$B$5:$B$304,"&gt;"&amp;I111))</f>
        <v>0</v>
      </c>
      <c r="S111" s="34">
        <f>IF(B111="","",IF(H111="","",H111-IF(R111="",0,R111)))</f>
        <v>0</v>
      </c>
      <c r="T111" s="34">
        <f>IF(B111="","",SUMIFS('Supply Usage'!$E$5:$E$304,'Supply Usage'!$D$5:$D$304,B111,'Supply Usage'!$B$5:$B$304,"&gt;="&amp;TodayDate-28))</f>
        <v>0</v>
      </c>
      <c r="U111" s="34">
        <f>IF(B111="","",ROUND(T111/28,3))</f>
        <v>0</v>
      </c>
      <c r="V111" s="31">
        <f>IF(OR(B111="",S111="",U111=0),"",ROUND(S111/U111,0))</f>
        <v>0</v>
      </c>
      <c r="W111" s="21">
        <f>IF(OR(B111="",S111="",P111=""),"",ROUND(S111*P111,2))</f>
        <v>0</v>
      </c>
      <c r="X111" s="21">
        <f>IF(B111="","",SUMIFS('Supply Usage'!$L$5:$L$304,'Supply Usage'!$D$5:$D$304,B111))</f>
        <v>0</v>
      </c>
      <c r="Y111" s="39">
        <f>IF(B111="","",IF(S111="","Not counted",IF(S111&lt;=0,"Out of stock",IF(AND(J111&lt;&gt;"",S111&lt;=J111),"Low stock",IF(AND(V111&lt;&gt;"",V111&lt;LowStockDays),"Low stock","In stock")))))</f>
        <v>0</v>
      </c>
      <c r="Z111" s="39">
        <f>IF(B111="","",IF(Y111="Out of stock","Order - none left",IF(Y111="Low stock","Order - running low",IF(Y111="Not counted","Add - count the stock",IF(AND(N111="No",C111="Chemicals &amp; detergents"),"Action - no safety data sheet","OK")))))</f>
        <v>0</v>
      </c>
    </row>
    <row r="112" spans="1:26">
      <c r="A112" s="43">
        <f>IF(B112="","",SupplyPrefix&amp;TEXT(ROW()-4,"0000"))</f>
        <v>0</v>
      </c>
      <c r="P112" s="21">
        <f>IF(OR(B112="",G112="",F112="",F112=0),"",ROUND(G112/F112,4))</f>
        <v>0</v>
      </c>
      <c r="Q112" s="34">
        <f>IF(B112="","",SUMIFS('Supply Usage'!$E$5:$E$304,'Supply Usage'!$D$5:$D$304,B112))</f>
        <v>0</v>
      </c>
      <c r="R112" s="34">
        <f>IF(OR(B112="",I112=""),"",SUMIFS('Supply Usage'!$E$5:$E$304,'Supply Usage'!$D$5:$D$304,B112,'Supply Usage'!$B$5:$B$304,"&gt;"&amp;I112))</f>
        <v>0</v>
      </c>
      <c r="S112" s="34">
        <f>IF(B112="","",IF(H112="","",H112-IF(R112="",0,R112)))</f>
        <v>0</v>
      </c>
      <c r="T112" s="34">
        <f>IF(B112="","",SUMIFS('Supply Usage'!$E$5:$E$304,'Supply Usage'!$D$5:$D$304,B112,'Supply Usage'!$B$5:$B$304,"&gt;="&amp;TodayDate-28))</f>
        <v>0</v>
      </c>
      <c r="U112" s="34">
        <f>IF(B112="","",ROUND(T112/28,3))</f>
        <v>0</v>
      </c>
      <c r="V112" s="31">
        <f>IF(OR(B112="",S112="",U112=0),"",ROUND(S112/U112,0))</f>
        <v>0</v>
      </c>
      <c r="W112" s="21">
        <f>IF(OR(B112="",S112="",P112=""),"",ROUND(S112*P112,2))</f>
        <v>0</v>
      </c>
      <c r="X112" s="21">
        <f>IF(B112="","",SUMIFS('Supply Usage'!$L$5:$L$304,'Supply Usage'!$D$5:$D$304,B112))</f>
        <v>0</v>
      </c>
      <c r="Y112" s="39">
        <f>IF(B112="","",IF(S112="","Not counted",IF(S112&lt;=0,"Out of stock",IF(AND(J112&lt;&gt;"",S112&lt;=J112),"Low stock",IF(AND(V112&lt;&gt;"",V112&lt;LowStockDays),"Low stock","In stock")))))</f>
        <v>0</v>
      </c>
      <c r="Z112" s="39">
        <f>IF(B112="","",IF(Y112="Out of stock","Order - none left",IF(Y112="Low stock","Order - running low",IF(Y112="Not counted","Add - count the stock",IF(AND(N112="No",C112="Chemicals &amp; detergents"),"Action - no safety data sheet","OK")))))</f>
        <v>0</v>
      </c>
    </row>
    <row r="113" spans="1:26">
      <c r="A113" s="43">
        <f>IF(B113="","",SupplyPrefix&amp;TEXT(ROW()-4,"0000"))</f>
        <v>0</v>
      </c>
      <c r="P113" s="21">
        <f>IF(OR(B113="",G113="",F113="",F113=0),"",ROUND(G113/F113,4))</f>
        <v>0</v>
      </c>
      <c r="Q113" s="34">
        <f>IF(B113="","",SUMIFS('Supply Usage'!$E$5:$E$304,'Supply Usage'!$D$5:$D$304,B113))</f>
        <v>0</v>
      </c>
      <c r="R113" s="34">
        <f>IF(OR(B113="",I113=""),"",SUMIFS('Supply Usage'!$E$5:$E$304,'Supply Usage'!$D$5:$D$304,B113,'Supply Usage'!$B$5:$B$304,"&gt;"&amp;I113))</f>
        <v>0</v>
      </c>
      <c r="S113" s="34">
        <f>IF(B113="","",IF(H113="","",H113-IF(R113="",0,R113)))</f>
        <v>0</v>
      </c>
      <c r="T113" s="34">
        <f>IF(B113="","",SUMIFS('Supply Usage'!$E$5:$E$304,'Supply Usage'!$D$5:$D$304,B113,'Supply Usage'!$B$5:$B$304,"&gt;="&amp;TodayDate-28))</f>
        <v>0</v>
      </c>
      <c r="U113" s="34">
        <f>IF(B113="","",ROUND(T113/28,3))</f>
        <v>0</v>
      </c>
      <c r="V113" s="31">
        <f>IF(OR(B113="",S113="",U113=0),"",ROUND(S113/U113,0))</f>
        <v>0</v>
      </c>
      <c r="W113" s="21">
        <f>IF(OR(B113="",S113="",P113=""),"",ROUND(S113*P113,2))</f>
        <v>0</v>
      </c>
      <c r="X113" s="21">
        <f>IF(B113="","",SUMIFS('Supply Usage'!$L$5:$L$304,'Supply Usage'!$D$5:$D$304,B113))</f>
        <v>0</v>
      </c>
      <c r="Y113" s="39">
        <f>IF(B113="","",IF(S113="","Not counted",IF(S113&lt;=0,"Out of stock",IF(AND(J113&lt;&gt;"",S113&lt;=J113),"Low stock",IF(AND(V113&lt;&gt;"",V113&lt;LowStockDays),"Low stock","In stock")))))</f>
        <v>0</v>
      </c>
      <c r="Z113" s="39">
        <f>IF(B113="","",IF(Y113="Out of stock","Order - none left",IF(Y113="Low stock","Order - running low",IF(Y113="Not counted","Add - count the stock",IF(AND(N113="No",C113="Chemicals &amp; detergents"),"Action - no safety data sheet","OK")))))</f>
        <v>0</v>
      </c>
    </row>
    <row r="114" spans="1:26">
      <c r="A114" s="43">
        <f>IF(B114="","",SupplyPrefix&amp;TEXT(ROW()-4,"0000"))</f>
        <v>0</v>
      </c>
      <c r="P114" s="21">
        <f>IF(OR(B114="",G114="",F114="",F114=0),"",ROUND(G114/F114,4))</f>
        <v>0</v>
      </c>
      <c r="Q114" s="34">
        <f>IF(B114="","",SUMIFS('Supply Usage'!$E$5:$E$304,'Supply Usage'!$D$5:$D$304,B114))</f>
        <v>0</v>
      </c>
      <c r="R114" s="34">
        <f>IF(OR(B114="",I114=""),"",SUMIFS('Supply Usage'!$E$5:$E$304,'Supply Usage'!$D$5:$D$304,B114,'Supply Usage'!$B$5:$B$304,"&gt;"&amp;I114))</f>
        <v>0</v>
      </c>
      <c r="S114" s="34">
        <f>IF(B114="","",IF(H114="","",H114-IF(R114="",0,R114)))</f>
        <v>0</v>
      </c>
      <c r="T114" s="34">
        <f>IF(B114="","",SUMIFS('Supply Usage'!$E$5:$E$304,'Supply Usage'!$D$5:$D$304,B114,'Supply Usage'!$B$5:$B$304,"&gt;="&amp;TodayDate-28))</f>
        <v>0</v>
      </c>
      <c r="U114" s="34">
        <f>IF(B114="","",ROUND(T114/28,3))</f>
        <v>0</v>
      </c>
      <c r="V114" s="31">
        <f>IF(OR(B114="",S114="",U114=0),"",ROUND(S114/U114,0))</f>
        <v>0</v>
      </c>
      <c r="W114" s="21">
        <f>IF(OR(B114="",S114="",P114=""),"",ROUND(S114*P114,2))</f>
        <v>0</v>
      </c>
      <c r="X114" s="21">
        <f>IF(B114="","",SUMIFS('Supply Usage'!$L$5:$L$304,'Supply Usage'!$D$5:$D$304,B114))</f>
        <v>0</v>
      </c>
      <c r="Y114" s="39">
        <f>IF(B114="","",IF(S114="","Not counted",IF(S114&lt;=0,"Out of stock",IF(AND(J114&lt;&gt;"",S114&lt;=J114),"Low stock",IF(AND(V114&lt;&gt;"",V114&lt;LowStockDays),"Low stock","In stock")))))</f>
        <v>0</v>
      </c>
      <c r="Z114" s="39">
        <f>IF(B114="","",IF(Y114="Out of stock","Order - none left",IF(Y114="Low stock","Order - running low",IF(Y114="Not counted","Add - count the stock",IF(AND(N114="No",C114="Chemicals &amp; detergents"),"Action - no safety data sheet","OK")))))</f>
        <v>0</v>
      </c>
    </row>
    <row r="115" spans="1:26">
      <c r="A115" s="43">
        <f>IF(B115="","",SupplyPrefix&amp;TEXT(ROW()-4,"0000"))</f>
        <v>0</v>
      </c>
      <c r="P115" s="21">
        <f>IF(OR(B115="",G115="",F115="",F115=0),"",ROUND(G115/F115,4))</f>
        <v>0</v>
      </c>
      <c r="Q115" s="34">
        <f>IF(B115="","",SUMIFS('Supply Usage'!$E$5:$E$304,'Supply Usage'!$D$5:$D$304,B115))</f>
        <v>0</v>
      </c>
      <c r="R115" s="34">
        <f>IF(OR(B115="",I115=""),"",SUMIFS('Supply Usage'!$E$5:$E$304,'Supply Usage'!$D$5:$D$304,B115,'Supply Usage'!$B$5:$B$304,"&gt;"&amp;I115))</f>
        <v>0</v>
      </c>
      <c r="S115" s="34">
        <f>IF(B115="","",IF(H115="","",H115-IF(R115="",0,R115)))</f>
        <v>0</v>
      </c>
      <c r="T115" s="34">
        <f>IF(B115="","",SUMIFS('Supply Usage'!$E$5:$E$304,'Supply Usage'!$D$5:$D$304,B115,'Supply Usage'!$B$5:$B$304,"&gt;="&amp;TodayDate-28))</f>
        <v>0</v>
      </c>
      <c r="U115" s="34">
        <f>IF(B115="","",ROUND(T115/28,3))</f>
        <v>0</v>
      </c>
      <c r="V115" s="31">
        <f>IF(OR(B115="",S115="",U115=0),"",ROUND(S115/U115,0))</f>
        <v>0</v>
      </c>
      <c r="W115" s="21">
        <f>IF(OR(B115="",S115="",P115=""),"",ROUND(S115*P115,2))</f>
        <v>0</v>
      </c>
      <c r="X115" s="21">
        <f>IF(B115="","",SUMIFS('Supply Usage'!$L$5:$L$304,'Supply Usage'!$D$5:$D$304,B115))</f>
        <v>0</v>
      </c>
      <c r="Y115" s="39">
        <f>IF(B115="","",IF(S115="","Not counted",IF(S115&lt;=0,"Out of stock",IF(AND(J115&lt;&gt;"",S115&lt;=J115),"Low stock",IF(AND(V115&lt;&gt;"",V115&lt;LowStockDays),"Low stock","In stock")))))</f>
        <v>0</v>
      </c>
      <c r="Z115" s="39">
        <f>IF(B115="","",IF(Y115="Out of stock","Order - none left",IF(Y115="Low stock","Order - running low",IF(Y115="Not counted","Add - count the stock",IF(AND(N115="No",C115="Chemicals &amp; detergents"),"Action - no safety data sheet","OK")))))</f>
        <v>0</v>
      </c>
    </row>
    <row r="116" spans="1:26">
      <c r="A116" s="43">
        <f>IF(B116="","",SupplyPrefix&amp;TEXT(ROW()-4,"0000"))</f>
        <v>0</v>
      </c>
      <c r="P116" s="21">
        <f>IF(OR(B116="",G116="",F116="",F116=0),"",ROUND(G116/F116,4))</f>
        <v>0</v>
      </c>
      <c r="Q116" s="34">
        <f>IF(B116="","",SUMIFS('Supply Usage'!$E$5:$E$304,'Supply Usage'!$D$5:$D$304,B116))</f>
        <v>0</v>
      </c>
      <c r="R116" s="34">
        <f>IF(OR(B116="",I116=""),"",SUMIFS('Supply Usage'!$E$5:$E$304,'Supply Usage'!$D$5:$D$304,B116,'Supply Usage'!$B$5:$B$304,"&gt;"&amp;I116))</f>
        <v>0</v>
      </c>
      <c r="S116" s="34">
        <f>IF(B116="","",IF(H116="","",H116-IF(R116="",0,R116)))</f>
        <v>0</v>
      </c>
      <c r="T116" s="34">
        <f>IF(B116="","",SUMIFS('Supply Usage'!$E$5:$E$304,'Supply Usage'!$D$5:$D$304,B116,'Supply Usage'!$B$5:$B$304,"&gt;="&amp;TodayDate-28))</f>
        <v>0</v>
      </c>
      <c r="U116" s="34">
        <f>IF(B116="","",ROUND(T116/28,3))</f>
        <v>0</v>
      </c>
      <c r="V116" s="31">
        <f>IF(OR(B116="",S116="",U116=0),"",ROUND(S116/U116,0))</f>
        <v>0</v>
      </c>
      <c r="W116" s="21">
        <f>IF(OR(B116="",S116="",P116=""),"",ROUND(S116*P116,2))</f>
        <v>0</v>
      </c>
      <c r="X116" s="21">
        <f>IF(B116="","",SUMIFS('Supply Usage'!$L$5:$L$304,'Supply Usage'!$D$5:$D$304,B116))</f>
        <v>0</v>
      </c>
      <c r="Y116" s="39">
        <f>IF(B116="","",IF(S116="","Not counted",IF(S116&lt;=0,"Out of stock",IF(AND(J116&lt;&gt;"",S116&lt;=J116),"Low stock",IF(AND(V116&lt;&gt;"",V116&lt;LowStockDays),"Low stock","In stock")))))</f>
        <v>0</v>
      </c>
      <c r="Z116" s="39">
        <f>IF(B116="","",IF(Y116="Out of stock","Order - none left",IF(Y116="Low stock","Order - running low",IF(Y116="Not counted","Add - count the stock",IF(AND(N116="No",C116="Chemicals &amp; detergents"),"Action - no safety data sheet","OK")))))</f>
        <v>0</v>
      </c>
    </row>
    <row r="117" spans="1:26">
      <c r="A117" s="43">
        <f>IF(B117="","",SupplyPrefix&amp;TEXT(ROW()-4,"0000"))</f>
        <v>0</v>
      </c>
      <c r="P117" s="21">
        <f>IF(OR(B117="",G117="",F117="",F117=0),"",ROUND(G117/F117,4))</f>
        <v>0</v>
      </c>
      <c r="Q117" s="34">
        <f>IF(B117="","",SUMIFS('Supply Usage'!$E$5:$E$304,'Supply Usage'!$D$5:$D$304,B117))</f>
        <v>0</v>
      </c>
      <c r="R117" s="34">
        <f>IF(OR(B117="",I117=""),"",SUMIFS('Supply Usage'!$E$5:$E$304,'Supply Usage'!$D$5:$D$304,B117,'Supply Usage'!$B$5:$B$304,"&gt;"&amp;I117))</f>
        <v>0</v>
      </c>
      <c r="S117" s="34">
        <f>IF(B117="","",IF(H117="","",H117-IF(R117="",0,R117)))</f>
        <v>0</v>
      </c>
      <c r="T117" s="34">
        <f>IF(B117="","",SUMIFS('Supply Usage'!$E$5:$E$304,'Supply Usage'!$D$5:$D$304,B117,'Supply Usage'!$B$5:$B$304,"&gt;="&amp;TodayDate-28))</f>
        <v>0</v>
      </c>
      <c r="U117" s="34">
        <f>IF(B117="","",ROUND(T117/28,3))</f>
        <v>0</v>
      </c>
      <c r="V117" s="31">
        <f>IF(OR(B117="",S117="",U117=0),"",ROUND(S117/U117,0))</f>
        <v>0</v>
      </c>
      <c r="W117" s="21">
        <f>IF(OR(B117="",S117="",P117=""),"",ROUND(S117*P117,2))</f>
        <v>0</v>
      </c>
      <c r="X117" s="21">
        <f>IF(B117="","",SUMIFS('Supply Usage'!$L$5:$L$304,'Supply Usage'!$D$5:$D$304,B117))</f>
        <v>0</v>
      </c>
      <c r="Y117" s="39">
        <f>IF(B117="","",IF(S117="","Not counted",IF(S117&lt;=0,"Out of stock",IF(AND(J117&lt;&gt;"",S117&lt;=J117),"Low stock",IF(AND(V117&lt;&gt;"",V117&lt;LowStockDays),"Low stock","In stock")))))</f>
        <v>0</v>
      </c>
      <c r="Z117" s="39">
        <f>IF(B117="","",IF(Y117="Out of stock","Order - none left",IF(Y117="Low stock","Order - running low",IF(Y117="Not counted","Add - count the stock",IF(AND(N117="No",C117="Chemicals &amp; detergents"),"Action - no safety data sheet","OK")))))</f>
        <v>0</v>
      </c>
    </row>
    <row r="118" spans="1:26">
      <c r="A118" s="43">
        <f>IF(B118="","",SupplyPrefix&amp;TEXT(ROW()-4,"0000"))</f>
        <v>0</v>
      </c>
      <c r="P118" s="21">
        <f>IF(OR(B118="",G118="",F118="",F118=0),"",ROUND(G118/F118,4))</f>
        <v>0</v>
      </c>
      <c r="Q118" s="34">
        <f>IF(B118="","",SUMIFS('Supply Usage'!$E$5:$E$304,'Supply Usage'!$D$5:$D$304,B118))</f>
        <v>0</v>
      </c>
      <c r="R118" s="34">
        <f>IF(OR(B118="",I118=""),"",SUMIFS('Supply Usage'!$E$5:$E$304,'Supply Usage'!$D$5:$D$304,B118,'Supply Usage'!$B$5:$B$304,"&gt;"&amp;I118))</f>
        <v>0</v>
      </c>
      <c r="S118" s="34">
        <f>IF(B118="","",IF(H118="","",H118-IF(R118="",0,R118)))</f>
        <v>0</v>
      </c>
      <c r="T118" s="34">
        <f>IF(B118="","",SUMIFS('Supply Usage'!$E$5:$E$304,'Supply Usage'!$D$5:$D$304,B118,'Supply Usage'!$B$5:$B$304,"&gt;="&amp;TodayDate-28))</f>
        <v>0</v>
      </c>
      <c r="U118" s="34">
        <f>IF(B118="","",ROUND(T118/28,3))</f>
        <v>0</v>
      </c>
      <c r="V118" s="31">
        <f>IF(OR(B118="",S118="",U118=0),"",ROUND(S118/U118,0))</f>
        <v>0</v>
      </c>
      <c r="W118" s="21">
        <f>IF(OR(B118="",S118="",P118=""),"",ROUND(S118*P118,2))</f>
        <v>0</v>
      </c>
      <c r="X118" s="21">
        <f>IF(B118="","",SUMIFS('Supply Usage'!$L$5:$L$304,'Supply Usage'!$D$5:$D$304,B118))</f>
        <v>0</v>
      </c>
      <c r="Y118" s="39">
        <f>IF(B118="","",IF(S118="","Not counted",IF(S118&lt;=0,"Out of stock",IF(AND(J118&lt;&gt;"",S118&lt;=J118),"Low stock",IF(AND(V118&lt;&gt;"",V118&lt;LowStockDays),"Low stock","In stock")))))</f>
        <v>0</v>
      </c>
      <c r="Z118" s="39">
        <f>IF(B118="","",IF(Y118="Out of stock","Order - none left",IF(Y118="Low stock","Order - running low",IF(Y118="Not counted","Add - count the stock",IF(AND(N118="No",C118="Chemicals &amp; detergents"),"Action - no safety data sheet","OK")))))</f>
        <v>0</v>
      </c>
    </row>
    <row r="119" spans="1:26">
      <c r="A119" s="43">
        <f>IF(B119="","",SupplyPrefix&amp;TEXT(ROW()-4,"0000"))</f>
        <v>0</v>
      </c>
      <c r="P119" s="21">
        <f>IF(OR(B119="",G119="",F119="",F119=0),"",ROUND(G119/F119,4))</f>
        <v>0</v>
      </c>
      <c r="Q119" s="34">
        <f>IF(B119="","",SUMIFS('Supply Usage'!$E$5:$E$304,'Supply Usage'!$D$5:$D$304,B119))</f>
        <v>0</v>
      </c>
      <c r="R119" s="34">
        <f>IF(OR(B119="",I119=""),"",SUMIFS('Supply Usage'!$E$5:$E$304,'Supply Usage'!$D$5:$D$304,B119,'Supply Usage'!$B$5:$B$304,"&gt;"&amp;I119))</f>
        <v>0</v>
      </c>
      <c r="S119" s="34">
        <f>IF(B119="","",IF(H119="","",H119-IF(R119="",0,R119)))</f>
        <v>0</v>
      </c>
      <c r="T119" s="34">
        <f>IF(B119="","",SUMIFS('Supply Usage'!$E$5:$E$304,'Supply Usage'!$D$5:$D$304,B119,'Supply Usage'!$B$5:$B$304,"&gt;="&amp;TodayDate-28))</f>
        <v>0</v>
      </c>
      <c r="U119" s="34">
        <f>IF(B119="","",ROUND(T119/28,3))</f>
        <v>0</v>
      </c>
      <c r="V119" s="31">
        <f>IF(OR(B119="",S119="",U119=0),"",ROUND(S119/U119,0))</f>
        <v>0</v>
      </c>
      <c r="W119" s="21">
        <f>IF(OR(B119="",S119="",P119=""),"",ROUND(S119*P119,2))</f>
        <v>0</v>
      </c>
      <c r="X119" s="21">
        <f>IF(B119="","",SUMIFS('Supply Usage'!$L$5:$L$304,'Supply Usage'!$D$5:$D$304,B119))</f>
        <v>0</v>
      </c>
      <c r="Y119" s="39">
        <f>IF(B119="","",IF(S119="","Not counted",IF(S119&lt;=0,"Out of stock",IF(AND(J119&lt;&gt;"",S119&lt;=J119),"Low stock",IF(AND(V119&lt;&gt;"",V119&lt;LowStockDays),"Low stock","In stock")))))</f>
        <v>0</v>
      </c>
      <c r="Z119" s="39">
        <f>IF(B119="","",IF(Y119="Out of stock","Order - none left",IF(Y119="Low stock","Order - running low",IF(Y119="Not counted","Add - count the stock",IF(AND(N119="No",C119="Chemicals &amp; detergents"),"Action - no safety data sheet","OK")))))</f>
        <v>0</v>
      </c>
    </row>
    <row r="120" spans="1:26">
      <c r="A120" s="43">
        <f>IF(B120="","",SupplyPrefix&amp;TEXT(ROW()-4,"0000"))</f>
        <v>0</v>
      </c>
      <c r="P120" s="21">
        <f>IF(OR(B120="",G120="",F120="",F120=0),"",ROUND(G120/F120,4))</f>
        <v>0</v>
      </c>
      <c r="Q120" s="34">
        <f>IF(B120="","",SUMIFS('Supply Usage'!$E$5:$E$304,'Supply Usage'!$D$5:$D$304,B120))</f>
        <v>0</v>
      </c>
      <c r="R120" s="34">
        <f>IF(OR(B120="",I120=""),"",SUMIFS('Supply Usage'!$E$5:$E$304,'Supply Usage'!$D$5:$D$304,B120,'Supply Usage'!$B$5:$B$304,"&gt;"&amp;I120))</f>
        <v>0</v>
      </c>
      <c r="S120" s="34">
        <f>IF(B120="","",IF(H120="","",H120-IF(R120="",0,R120)))</f>
        <v>0</v>
      </c>
      <c r="T120" s="34">
        <f>IF(B120="","",SUMIFS('Supply Usage'!$E$5:$E$304,'Supply Usage'!$D$5:$D$304,B120,'Supply Usage'!$B$5:$B$304,"&gt;="&amp;TodayDate-28))</f>
        <v>0</v>
      </c>
      <c r="U120" s="34">
        <f>IF(B120="","",ROUND(T120/28,3))</f>
        <v>0</v>
      </c>
      <c r="V120" s="31">
        <f>IF(OR(B120="",S120="",U120=0),"",ROUND(S120/U120,0))</f>
        <v>0</v>
      </c>
      <c r="W120" s="21">
        <f>IF(OR(B120="",S120="",P120=""),"",ROUND(S120*P120,2))</f>
        <v>0</v>
      </c>
      <c r="X120" s="21">
        <f>IF(B120="","",SUMIFS('Supply Usage'!$L$5:$L$304,'Supply Usage'!$D$5:$D$304,B120))</f>
        <v>0</v>
      </c>
      <c r="Y120" s="39">
        <f>IF(B120="","",IF(S120="","Not counted",IF(S120&lt;=0,"Out of stock",IF(AND(J120&lt;&gt;"",S120&lt;=J120),"Low stock",IF(AND(V120&lt;&gt;"",V120&lt;LowStockDays),"Low stock","In stock")))))</f>
        <v>0</v>
      </c>
      <c r="Z120" s="39">
        <f>IF(B120="","",IF(Y120="Out of stock","Order - none left",IF(Y120="Low stock","Order - running low",IF(Y120="Not counted","Add - count the stock",IF(AND(N120="No",C120="Chemicals &amp; detergents"),"Action - no safety data sheet","OK")))))</f>
        <v>0</v>
      </c>
    </row>
    <row r="121" spans="1:26">
      <c r="A121" s="43">
        <f>IF(B121="","",SupplyPrefix&amp;TEXT(ROW()-4,"0000"))</f>
        <v>0</v>
      </c>
      <c r="P121" s="21">
        <f>IF(OR(B121="",G121="",F121="",F121=0),"",ROUND(G121/F121,4))</f>
        <v>0</v>
      </c>
      <c r="Q121" s="34">
        <f>IF(B121="","",SUMIFS('Supply Usage'!$E$5:$E$304,'Supply Usage'!$D$5:$D$304,B121))</f>
        <v>0</v>
      </c>
      <c r="R121" s="34">
        <f>IF(OR(B121="",I121=""),"",SUMIFS('Supply Usage'!$E$5:$E$304,'Supply Usage'!$D$5:$D$304,B121,'Supply Usage'!$B$5:$B$304,"&gt;"&amp;I121))</f>
        <v>0</v>
      </c>
      <c r="S121" s="34">
        <f>IF(B121="","",IF(H121="","",H121-IF(R121="",0,R121)))</f>
        <v>0</v>
      </c>
      <c r="T121" s="34">
        <f>IF(B121="","",SUMIFS('Supply Usage'!$E$5:$E$304,'Supply Usage'!$D$5:$D$304,B121,'Supply Usage'!$B$5:$B$304,"&gt;="&amp;TodayDate-28))</f>
        <v>0</v>
      </c>
      <c r="U121" s="34">
        <f>IF(B121="","",ROUND(T121/28,3))</f>
        <v>0</v>
      </c>
      <c r="V121" s="31">
        <f>IF(OR(B121="",S121="",U121=0),"",ROUND(S121/U121,0))</f>
        <v>0</v>
      </c>
      <c r="W121" s="21">
        <f>IF(OR(B121="",S121="",P121=""),"",ROUND(S121*P121,2))</f>
        <v>0</v>
      </c>
      <c r="X121" s="21">
        <f>IF(B121="","",SUMIFS('Supply Usage'!$L$5:$L$304,'Supply Usage'!$D$5:$D$304,B121))</f>
        <v>0</v>
      </c>
      <c r="Y121" s="39">
        <f>IF(B121="","",IF(S121="","Not counted",IF(S121&lt;=0,"Out of stock",IF(AND(J121&lt;&gt;"",S121&lt;=J121),"Low stock",IF(AND(V121&lt;&gt;"",V121&lt;LowStockDays),"Low stock","In stock")))))</f>
        <v>0</v>
      </c>
      <c r="Z121" s="39">
        <f>IF(B121="","",IF(Y121="Out of stock","Order - none left",IF(Y121="Low stock","Order - running low",IF(Y121="Not counted","Add - count the stock",IF(AND(N121="No",C121="Chemicals &amp; detergents"),"Action - no safety data sheet","OK")))))</f>
        <v>0</v>
      </c>
    </row>
    <row r="122" spans="1:26">
      <c r="A122" s="43">
        <f>IF(B122="","",SupplyPrefix&amp;TEXT(ROW()-4,"0000"))</f>
        <v>0</v>
      </c>
      <c r="P122" s="21">
        <f>IF(OR(B122="",G122="",F122="",F122=0),"",ROUND(G122/F122,4))</f>
        <v>0</v>
      </c>
      <c r="Q122" s="34">
        <f>IF(B122="","",SUMIFS('Supply Usage'!$E$5:$E$304,'Supply Usage'!$D$5:$D$304,B122))</f>
        <v>0</v>
      </c>
      <c r="R122" s="34">
        <f>IF(OR(B122="",I122=""),"",SUMIFS('Supply Usage'!$E$5:$E$304,'Supply Usage'!$D$5:$D$304,B122,'Supply Usage'!$B$5:$B$304,"&gt;"&amp;I122))</f>
        <v>0</v>
      </c>
      <c r="S122" s="34">
        <f>IF(B122="","",IF(H122="","",H122-IF(R122="",0,R122)))</f>
        <v>0</v>
      </c>
      <c r="T122" s="34">
        <f>IF(B122="","",SUMIFS('Supply Usage'!$E$5:$E$304,'Supply Usage'!$D$5:$D$304,B122,'Supply Usage'!$B$5:$B$304,"&gt;="&amp;TodayDate-28))</f>
        <v>0</v>
      </c>
      <c r="U122" s="34">
        <f>IF(B122="","",ROUND(T122/28,3))</f>
        <v>0</v>
      </c>
      <c r="V122" s="31">
        <f>IF(OR(B122="",S122="",U122=0),"",ROUND(S122/U122,0))</f>
        <v>0</v>
      </c>
      <c r="W122" s="21">
        <f>IF(OR(B122="",S122="",P122=""),"",ROUND(S122*P122,2))</f>
        <v>0</v>
      </c>
      <c r="X122" s="21">
        <f>IF(B122="","",SUMIFS('Supply Usage'!$L$5:$L$304,'Supply Usage'!$D$5:$D$304,B122))</f>
        <v>0</v>
      </c>
      <c r="Y122" s="39">
        <f>IF(B122="","",IF(S122="","Not counted",IF(S122&lt;=0,"Out of stock",IF(AND(J122&lt;&gt;"",S122&lt;=J122),"Low stock",IF(AND(V122&lt;&gt;"",V122&lt;LowStockDays),"Low stock","In stock")))))</f>
        <v>0</v>
      </c>
      <c r="Z122" s="39">
        <f>IF(B122="","",IF(Y122="Out of stock","Order - none left",IF(Y122="Low stock","Order - running low",IF(Y122="Not counted","Add - count the stock",IF(AND(N122="No",C122="Chemicals &amp; detergents"),"Action - no safety data sheet","OK")))))</f>
        <v>0</v>
      </c>
    </row>
    <row r="123" spans="1:26">
      <c r="A123" s="43">
        <f>IF(B123="","",SupplyPrefix&amp;TEXT(ROW()-4,"0000"))</f>
        <v>0</v>
      </c>
      <c r="P123" s="21">
        <f>IF(OR(B123="",G123="",F123="",F123=0),"",ROUND(G123/F123,4))</f>
        <v>0</v>
      </c>
      <c r="Q123" s="34">
        <f>IF(B123="","",SUMIFS('Supply Usage'!$E$5:$E$304,'Supply Usage'!$D$5:$D$304,B123))</f>
        <v>0</v>
      </c>
      <c r="R123" s="34">
        <f>IF(OR(B123="",I123=""),"",SUMIFS('Supply Usage'!$E$5:$E$304,'Supply Usage'!$D$5:$D$304,B123,'Supply Usage'!$B$5:$B$304,"&gt;"&amp;I123))</f>
        <v>0</v>
      </c>
      <c r="S123" s="34">
        <f>IF(B123="","",IF(H123="","",H123-IF(R123="",0,R123)))</f>
        <v>0</v>
      </c>
      <c r="T123" s="34">
        <f>IF(B123="","",SUMIFS('Supply Usage'!$E$5:$E$304,'Supply Usage'!$D$5:$D$304,B123,'Supply Usage'!$B$5:$B$304,"&gt;="&amp;TodayDate-28))</f>
        <v>0</v>
      </c>
      <c r="U123" s="34">
        <f>IF(B123="","",ROUND(T123/28,3))</f>
        <v>0</v>
      </c>
      <c r="V123" s="31">
        <f>IF(OR(B123="",S123="",U123=0),"",ROUND(S123/U123,0))</f>
        <v>0</v>
      </c>
      <c r="W123" s="21">
        <f>IF(OR(B123="",S123="",P123=""),"",ROUND(S123*P123,2))</f>
        <v>0</v>
      </c>
      <c r="X123" s="21">
        <f>IF(B123="","",SUMIFS('Supply Usage'!$L$5:$L$304,'Supply Usage'!$D$5:$D$304,B123))</f>
        <v>0</v>
      </c>
      <c r="Y123" s="39">
        <f>IF(B123="","",IF(S123="","Not counted",IF(S123&lt;=0,"Out of stock",IF(AND(J123&lt;&gt;"",S123&lt;=J123),"Low stock",IF(AND(V123&lt;&gt;"",V123&lt;LowStockDays),"Low stock","In stock")))))</f>
        <v>0</v>
      </c>
      <c r="Z123" s="39">
        <f>IF(B123="","",IF(Y123="Out of stock","Order - none left",IF(Y123="Low stock","Order - running low",IF(Y123="Not counted","Add - count the stock",IF(AND(N123="No",C123="Chemicals &amp; detergents"),"Action - no safety data sheet","OK")))))</f>
        <v>0</v>
      </c>
    </row>
    <row r="124" spans="1:26">
      <c r="A124" s="43">
        <f>IF(B124="","",SupplyPrefix&amp;TEXT(ROW()-4,"0000"))</f>
        <v>0</v>
      </c>
      <c r="P124" s="21">
        <f>IF(OR(B124="",G124="",F124="",F124=0),"",ROUND(G124/F124,4))</f>
        <v>0</v>
      </c>
      <c r="Q124" s="34">
        <f>IF(B124="","",SUMIFS('Supply Usage'!$E$5:$E$304,'Supply Usage'!$D$5:$D$304,B124))</f>
        <v>0</v>
      </c>
      <c r="R124" s="34">
        <f>IF(OR(B124="",I124=""),"",SUMIFS('Supply Usage'!$E$5:$E$304,'Supply Usage'!$D$5:$D$304,B124,'Supply Usage'!$B$5:$B$304,"&gt;"&amp;I124))</f>
        <v>0</v>
      </c>
      <c r="S124" s="34">
        <f>IF(B124="","",IF(H124="","",H124-IF(R124="",0,R124)))</f>
        <v>0</v>
      </c>
      <c r="T124" s="34">
        <f>IF(B124="","",SUMIFS('Supply Usage'!$E$5:$E$304,'Supply Usage'!$D$5:$D$304,B124,'Supply Usage'!$B$5:$B$304,"&gt;="&amp;TodayDate-28))</f>
        <v>0</v>
      </c>
      <c r="U124" s="34">
        <f>IF(B124="","",ROUND(T124/28,3))</f>
        <v>0</v>
      </c>
      <c r="V124" s="31">
        <f>IF(OR(B124="",S124="",U124=0),"",ROUND(S124/U124,0))</f>
        <v>0</v>
      </c>
      <c r="W124" s="21">
        <f>IF(OR(B124="",S124="",P124=""),"",ROUND(S124*P124,2))</f>
        <v>0</v>
      </c>
      <c r="X124" s="21">
        <f>IF(B124="","",SUMIFS('Supply Usage'!$L$5:$L$304,'Supply Usage'!$D$5:$D$304,B124))</f>
        <v>0</v>
      </c>
      <c r="Y124" s="39">
        <f>IF(B124="","",IF(S124="","Not counted",IF(S124&lt;=0,"Out of stock",IF(AND(J124&lt;&gt;"",S124&lt;=J124),"Low stock",IF(AND(V124&lt;&gt;"",V124&lt;LowStockDays),"Low stock","In stock")))))</f>
        <v>0</v>
      </c>
      <c r="Z124" s="39">
        <f>IF(B124="","",IF(Y124="Out of stock","Order - none left",IF(Y124="Low stock","Order - running low",IF(Y124="Not counted","Add - count the stock",IF(AND(N124="No",C124="Chemicals &amp; detergents"),"Action - no safety data sheet","OK")))))</f>
        <v>0</v>
      </c>
    </row>
    <row r="125" spans="1:26">
      <c r="A125" s="43">
        <f>IF(B125="","",SupplyPrefix&amp;TEXT(ROW()-4,"0000"))</f>
        <v>0</v>
      </c>
      <c r="P125" s="21">
        <f>IF(OR(B125="",G125="",F125="",F125=0),"",ROUND(G125/F125,4))</f>
        <v>0</v>
      </c>
      <c r="Q125" s="34">
        <f>IF(B125="","",SUMIFS('Supply Usage'!$E$5:$E$304,'Supply Usage'!$D$5:$D$304,B125))</f>
        <v>0</v>
      </c>
      <c r="R125" s="34">
        <f>IF(OR(B125="",I125=""),"",SUMIFS('Supply Usage'!$E$5:$E$304,'Supply Usage'!$D$5:$D$304,B125,'Supply Usage'!$B$5:$B$304,"&gt;"&amp;I125))</f>
        <v>0</v>
      </c>
      <c r="S125" s="34">
        <f>IF(B125="","",IF(H125="","",H125-IF(R125="",0,R125)))</f>
        <v>0</v>
      </c>
      <c r="T125" s="34">
        <f>IF(B125="","",SUMIFS('Supply Usage'!$E$5:$E$304,'Supply Usage'!$D$5:$D$304,B125,'Supply Usage'!$B$5:$B$304,"&gt;="&amp;TodayDate-28))</f>
        <v>0</v>
      </c>
      <c r="U125" s="34">
        <f>IF(B125="","",ROUND(T125/28,3))</f>
        <v>0</v>
      </c>
      <c r="V125" s="31">
        <f>IF(OR(B125="",S125="",U125=0),"",ROUND(S125/U125,0))</f>
        <v>0</v>
      </c>
      <c r="W125" s="21">
        <f>IF(OR(B125="",S125="",P125=""),"",ROUND(S125*P125,2))</f>
        <v>0</v>
      </c>
      <c r="X125" s="21">
        <f>IF(B125="","",SUMIFS('Supply Usage'!$L$5:$L$304,'Supply Usage'!$D$5:$D$304,B125))</f>
        <v>0</v>
      </c>
      <c r="Y125" s="39">
        <f>IF(B125="","",IF(S125="","Not counted",IF(S125&lt;=0,"Out of stock",IF(AND(J125&lt;&gt;"",S125&lt;=J125),"Low stock",IF(AND(V125&lt;&gt;"",V125&lt;LowStockDays),"Low stock","In stock")))))</f>
        <v>0</v>
      </c>
      <c r="Z125" s="39">
        <f>IF(B125="","",IF(Y125="Out of stock","Order - none left",IF(Y125="Low stock","Order - running low",IF(Y125="Not counted","Add - count the stock",IF(AND(N125="No",C125="Chemicals &amp; detergents"),"Action - no safety data sheet","OK")))))</f>
        <v>0</v>
      </c>
    </row>
    <row r="126" spans="1:26">
      <c r="A126" s="43">
        <f>IF(B126="","",SupplyPrefix&amp;TEXT(ROW()-4,"0000"))</f>
        <v>0</v>
      </c>
      <c r="P126" s="21">
        <f>IF(OR(B126="",G126="",F126="",F126=0),"",ROUND(G126/F126,4))</f>
        <v>0</v>
      </c>
      <c r="Q126" s="34">
        <f>IF(B126="","",SUMIFS('Supply Usage'!$E$5:$E$304,'Supply Usage'!$D$5:$D$304,B126))</f>
        <v>0</v>
      </c>
      <c r="R126" s="34">
        <f>IF(OR(B126="",I126=""),"",SUMIFS('Supply Usage'!$E$5:$E$304,'Supply Usage'!$D$5:$D$304,B126,'Supply Usage'!$B$5:$B$304,"&gt;"&amp;I126))</f>
        <v>0</v>
      </c>
      <c r="S126" s="34">
        <f>IF(B126="","",IF(H126="","",H126-IF(R126="",0,R126)))</f>
        <v>0</v>
      </c>
      <c r="T126" s="34">
        <f>IF(B126="","",SUMIFS('Supply Usage'!$E$5:$E$304,'Supply Usage'!$D$5:$D$304,B126,'Supply Usage'!$B$5:$B$304,"&gt;="&amp;TodayDate-28))</f>
        <v>0</v>
      </c>
      <c r="U126" s="34">
        <f>IF(B126="","",ROUND(T126/28,3))</f>
        <v>0</v>
      </c>
      <c r="V126" s="31">
        <f>IF(OR(B126="",S126="",U126=0),"",ROUND(S126/U126,0))</f>
        <v>0</v>
      </c>
      <c r="W126" s="21">
        <f>IF(OR(B126="",S126="",P126=""),"",ROUND(S126*P126,2))</f>
        <v>0</v>
      </c>
      <c r="X126" s="21">
        <f>IF(B126="","",SUMIFS('Supply Usage'!$L$5:$L$304,'Supply Usage'!$D$5:$D$304,B126))</f>
        <v>0</v>
      </c>
      <c r="Y126" s="39">
        <f>IF(B126="","",IF(S126="","Not counted",IF(S126&lt;=0,"Out of stock",IF(AND(J126&lt;&gt;"",S126&lt;=J126),"Low stock",IF(AND(V126&lt;&gt;"",V126&lt;LowStockDays),"Low stock","In stock")))))</f>
        <v>0</v>
      </c>
      <c r="Z126" s="39">
        <f>IF(B126="","",IF(Y126="Out of stock","Order - none left",IF(Y126="Low stock","Order - running low",IF(Y126="Not counted","Add - count the stock",IF(AND(N126="No",C126="Chemicals &amp; detergents"),"Action - no safety data sheet","OK")))))</f>
        <v>0</v>
      </c>
    </row>
    <row r="127" spans="1:26">
      <c r="A127" s="43">
        <f>IF(B127="","",SupplyPrefix&amp;TEXT(ROW()-4,"0000"))</f>
        <v>0</v>
      </c>
      <c r="P127" s="21">
        <f>IF(OR(B127="",G127="",F127="",F127=0),"",ROUND(G127/F127,4))</f>
        <v>0</v>
      </c>
      <c r="Q127" s="34">
        <f>IF(B127="","",SUMIFS('Supply Usage'!$E$5:$E$304,'Supply Usage'!$D$5:$D$304,B127))</f>
        <v>0</v>
      </c>
      <c r="R127" s="34">
        <f>IF(OR(B127="",I127=""),"",SUMIFS('Supply Usage'!$E$5:$E$304,'Supply Usage'!$D$5:$D$304,B127,'Supply Usage'!$B$5:$B$304,"&gt;"&amp;I127))</f>
        <v>0</v>
      </c>
      <c r="S127" s="34">
        <f>IF(B127="","",IF(H127="","",H127-IF(R127="",0,R127)))</f>
        <v>0</v>
      </c>
      <c r="T127" s="34">
        <f>IF(B127="","",SUMIFS('Supply Usage'!$E$5:$E$304,'Supply Usage'!$D$5:$D$304,B127,'Supply Usage'!$B$5:$B$304,"&gt;="&amp;TodayDate-28))</f>
        <v>0</v>
      </c>
      <c r="U127" s="34">
        <f>IF(B127="","",ROUND(T127/28,3))</f>
        <v>0</v>
      </c>
      <c r="V127" s="31">
        <f>IF(OR(B127="",S127="",U127=0),"",ROUND(S127/U127,0))</f>
        <v>0</v>
      </c>
      <c r="W127" s="21">
        <f>IF(OR(B127="",S127="",P127=""),"",ROUND(S127*P127,2))</f>
        <v>0</v>
      </c>
      <c r="X127" s="21">
        <f>IF(B127="","",SUMIFS('Supply Usage'!$L$5:$L$304,'Supply Usage'!$D$5:$D$304,B127))</f>
        <v>0</v>
      </c>
      <c r="Y127" s="39">
        <f>IF(B127="","",IF(S127="","Not counted",IF(S127&lt;=0,"Out of stock",IF(AND(J127&lt;&gt;"",S127&lt;=J127),"Low stock",IF(AND(V127&lt;&gt;"",V127&lt;LowStockDays),"Low stock","In stock")))))</f>
        <v>0</v>
      </c>
      <c r="Z127" s="39">
        <f>IF(B127="","",IF(Y127="Out of stock","Order - none left",IF(Y127="Low stock","Order - running low",IF(Y127="Not counted","Add - count the stock",IF(AND(N127="No",C127="Chemicals &amp; detergents"),"Action - no safety data sheet","OK")))))</f>
        <v>0</v>
      </c>
    </row>
    <row r="128" spans="1:26">
      <c r="A128" s="43">
        <f>IF(B128="","",SupplyPrefix&amp;TEXT(ROW()-4,"0000"))</f>
        <v>0</v>
      </c>
      <c r="P128" s="21">
        <f>IF(OR(B128="",G128="",F128="",F128=0),"",ROUND(G128/F128,4))</f>
        <v>0</v>
      </c>
      <c r="Q128" s="34">
        <f>IF(B128="","",SUMIFS('Supply Usage'!$E$5:$E$304,'Supply Usage'!$D$5:$D$304,B128))</f>
        <v>0</v>
      </c>
      <c r="R128" s="34">
        <f>IF(OR(B128="",I128=""),"",SUMIFS('Supply Usage'!$E$5:$E$304,'Supply Usage'!$D$5:$D$304,B128,'Supply Usage'!$B$5:$B$304,"&gt;"&amp;I128))</f>
        <v>0</v>
      </c>
      <c r="S128" s="34">
        <f>IF(B128="","",IF(H128="","",H128-IF(R128="",0,R128)))</f>
        <v>0</v>
      </c>
      <c r="T128" s="34">
        <f>IF(B128="","",SUMIFS('Supply Usage'!$E$5:$E$304,'Supply Usage'!$D$5:$D$304,B128,'Supply Usage'!$B$5:$B$304,"&gt;="&amp;TodayDate-28))</f>
        <v>0</v>
      </c>
      <c r="U128" s="34">
        <f>IF(B128="","",ROUND(T128/28,3))</f>
        <v>0</v>
      </c>
      <c r="V128" s="31">
        <f>IF(OR(B128="",S128="",U128=0),"",ROUND(S128/U128,0))</f>
        <v>0</v>
      </c>
      <c r="W128" s="21">
        <f>IF(OR(B128="",S128="",P128=""),"",ROUND(S128*P128,2))</f>
        <v>0</v>
      </c>
      <c r="X128" s="21">
        <f>IF(B128="","",SUMIFS('Supply Usage'!$L$5:$L$304,'Supply Usage'!$D$5:$D$304,B128))</f>
        <v>0</v>
      </c>
      <c r="Y128" s="39">
        <f>IF(B128="","",IF(S128="","Not counted",IF(S128&lt;=0,"Out of stock",IF(AND(J128&lt;&gt;"",S128&lt;=J128),"Low stock",IF(AND(V128&lt;&gt;"",V128&lt;LowStockDays),"Low stock","In stock")))))</f>
        <v>0</v>
      </c>
      <c r="Z128" s="39">
        <f>IF(B128="","",IF(Y128="Out of stock","Order - none left",IF(Y128="Low stock","Order - running low",IF(Y128="Not counted","Add - count the stock",IF(AND(N128="No",C128="Chemicals &amp; detergents"),"Action - no safety data sheet","OK")))))</f>
        <v>0</v>
      </c>
    </row>
    <row r="129" spans="1:26">
      <c r="A129" s="43">
        <f>IF(B129="","",SupplyPrefix&amp;TEXT(ROW()-4,"0000"))</f>
        <v>0</v>
      </c>
      <c r="P129" s="21">
        <f>IF(OR(B129="",G129="",F129="",F129=0),"",ROUND(G129/F129,4))</f>
        <v>0</v>
      </c>
      <c r="Q129" s="34">
        <f>IF(B129="","",SUMIFS('Supply Usage'!$E$5:$E$304,'Supply Usage'!$D$5:$D$304,B129))</f>
        <v>0</v>
      </c>
      <c r="R129" s="34">
        <f>IF(OR(B129="",I129=""),"",SUMIFS('Supply Usage'!$E$5:$E$304,'Supply Usage'!$D$5:$D$304,B129,'Supply Usage'!$B$5:$B$304,"&gt;"&amp;I129))</f>
        <v>0</v>
      </c>
      <c r="S129" s="34">
        <f>IF(B129="","",IF(H129="","",H129-IF(R129="",0,R129)))</f>
        <v>0</v>
      </c>
      <c r="T129" s="34">
        <f>IF(B129="","",SUMIFS('Supply Usage'!$E$5:$E$304,'Supply Usage'!$D$5:$D$304,B129,'Supply Usage'!$B$5:$B$304,"&gt;="&amp;TodayDate-28))</f>
        <v>0</v>
      </c>
      <c r="U129" s="34">
        <f>IF(B129="","",ROUND(T129/28,3))</f>
        <v>0</v>
      </c>
      <c r="V129" s="31">
        <f>IF(OR(B129="",S129="",U129=0),"",ROUND(S129/U129,0))</f>
        <v>0</v>
      </c>
      <c r="W129" s="21">
        <f>IF(OR(B129="",S129="",P129=""),"",ROUND(S129*P129,2))</f>
        <v>0</v>
      </c>
      <c r="X129" s="21">
        <f>IF(B129="","",SUMIFS('Supply Usage'!$L$5:$L$304,'Supply Usage'!$D$5:$D$304,B129))</f>
        <v>0</v>
      </c>
      <c r="Y129" s="39">
        <f>IF(B129="","",IF(S129="","Not counted",IF(S129&lt;=0,"Out of stock",IF(AND(J129&lt;&gt;"",S129&lt;=J129),"Low stock",IF(AND(V129&lt;&gt;"",V129&lt;LowStockDays),"Low stock","In stock")))))</f>
        <v>0</v>
      </c>
      <c r="Z129" s="39">
        <f>IF(B129="","",IF(Y129="Out of stock","Order - none left",IF(Y129="Low stock","Order - running low",IF(Y129="Not counted","Add - count the stock",IF(AND(N129="No",C129="Chemicals &amp; detergents"),"Action - no safety data sheet","OK")))))</f>
        <v>0</v>
      </c>
    </row>
    <row r="130" spans="1:26">
      <c r="A130" s="43">
        <f>IF(B130="","",SupplyPrefix&amp;TEXT(ROW()-4,"0000"))</f>
        <v>0</v>
      </c>
      <c r="P130" s="21">
        <f>IF(OR(B130="",G130="",F130="",F130=0),"",ROUND(G130/F130,4))</f>
        <v>0</v>
      </c>
      <c r="Q130" s="34">
        <f>IF(B130="","",SUMIFS('Supply Usage'!$E$5:$E$304,'Supply Usage'!$D$5:$D$304,B130))</f>
        <v>0</v>
      </c>
      <c r="R130" s="34">
        <f>IF(OR(B130="",I130=""),"",SUMIFS('Supply Usage'!$E$5:$E$304,'Supply Usage'!$D$5:$D$304,B130,'Supply Usage'!$B$5:$B$304,"&gt;"&amp;I130))</f>
        <v>0</v>
      </c>
      <c r="S130" s="34">
        <f>IF(B130="","",IF(H130="","",H130-IF(R130="",0,R130)))</f>
        <v>0</v>
      </c>
      <c r="T130" s="34">
        <f>IF(B130="","",SUMIFS('Supply Usage'!$E$5:$E$304,'Supply Usage'!$D$5:$D$304,B130,'Supply Usage'!$B$5:$B$304,"&gt;="&amp;TodayDate-28))</f>
        <v>0</v>
      </c>
      <c r="U130" s="34">
        <f>IF(B130="","",ROUND(T130/28,3))</f>
        <v>0</v>
      </c>
      <c r="V130" s="31">
        <f>IF(OR(B130="",S130="",U130=0),"",ROUND(S130/U130,0))</f>
        <v>0</v>
      </c>
      <c r="W130" s="21">
        <f>IF(OR(B130="",S130="",P130=""),"",ROUND(S130*P130,2))</f>
        <v>0</v>
      </c>
      <c r="X130" s="21">
        <f>IF(B130="","",SUMIFS('Supply Usage'!$L$5:$L$304,'Supply Usage'!$D$5:$D$304,B130))</f>
        <v>0</v>
      </c>
      <c r="Y130" s="39">
        <f>IF(B130="","",IF(S130="","Not counted",IF(S130&lt;=0,"Out of stock",IF(AND(J130&lt;&gt;"",S130&lt;=J130),"Low stock",IF(AND(V130&lt;&gt;"",V130&lt;LowStockDays),"Low stock","In stock")))))</f>
        <v>0</v>
      </c>
      <c r="Z130" s="39">
        <f>IF(B130="","",IF(Y130="Out of stock","Order - none left",IF(Y130="Low stock","Order - running low",IF(Y130="Not counted","Add - count the stock",IF(AND(N130="No",C130="Chemicals &amp; detergents"),"Action - no safety data sheet","OK")))))</f>
        <v>0</v>
      </c>
    </row>
    <row r="131" spans="1:26">
      <c r="A131" s="43">
        <f>IF(B131="","",SupplyPrefix&amp;TEXT(ROW()-4,"0000"))</f>
        <v>0</v>
      </c>
      <c r="P131" s="21">
        <f>IF(OR(B131="",G131="",F131="",F131=0),"",ROUND(G131/F131,4))</f>
        <v>0</v>
      </c>
      <c r="Q131" s="34">
        <f>IF(B131="","",SUMIFS('Supply Usage'!$E$5:$E$304,'Supply Usage'!$D$5:$D$304,B131))</f>
        <v>0</v>
      </c>
      <c r="R131" s="34">
        <f>IF(OR(B131="",I131=""),"",SUMIFS('Supply Usage'!$E$5:$E$304,'Supply Usage'!$D$5:$D$304,B131,'Supply Usage'!$B$5:$B$304,"&gt;"&amp;I131))</f>
        <v>0</v>
      </c>
      <c r="S131" s="34">
        <f>IF(B131="","",IF(H131="","",H131-IF(R131="",0,R131)))</f>
        <v>0</v>
      </c>
      <c r="T131" s="34">
        <f>IF(B131="","",SUMIFS('Supply Usage'!$E$5:$E$304,'Supply Usage'!$D$5:$D$304,B131,'Supply Usage'!$B$5:$B$304,"&gt;="&amp;TodayDate-28))</f>
        <v>0</v>
      </c>
      <c r="U131" s="34">
        <f>IF(B131="","",ROUND(T131/28,3))</f>
        <v>0</v>
      </c>
      <c r="V131" s="31">
        <f>IF(OR(B131="",S131="",U131=0),"",ROUND(S131/U131,0))</f>
        <v>0</v>
      </c>
      <c r="W131" s="21">
        <f>IF(OR(B131="",S131="",P131=""),"",ROUND(S131*P131,2))</f>
        <v>0</v>
      </c>
      <c r="X131" s="21">
        <f>IF(B131="","",SUMIFS('Supply Usage'!$L$5:$L$304,'Supply Usage'!$D$5:$D$304,B131))</f>
        <v>0</v>
      </c>
      <c r="Y131" s="39">
        <f>IF(B131="","",IF(S131="","Not counted",IF(S131&lt;=0,"Out of stock",IF(AND(J131&lt;&gt;"",S131&lt;=J131),"Low stock",IF(AND(V131&lt;&gt;"",V131&lt;LowStockDays),"Low stock","In stock")))))</f>
        <v>0</v>
      </c>
      <c r="Z131" s="39">
        <f>IF(B131="","",IF(Y131="Out of stock","Order - none left",IF(Y131="Low stock","Order - running low",IF(Y131="Not counted","Add - count the stock",IF(AND(N131="No",C131="Chemicals &amp; detergents"),"Action - no safety data sheet","OK")))))</f>
        <v>0</v>
      </c>
    </row>
    <row r="132" spans="1:26">
      <c r="A132" s="43">
        <f>IF(B132="","",SupplyPrefix&amp;TEXT(ROW()-4,"0000"))</f>
        <v>0</v>
      </c>
      <c r="P132" s="21">
        <f>IF(OR(B132="",G132="",F132="",F132=0),"",ROUND(G132/F132,4))</f>
        <v>0</v>
      </c>
      <c r="Q132" s="34">
        <f>IF(B132="","",SUMIFS('Supply Usage'!$E$5:$E$304,'Supply Usage'!$D$5:$D$304,B132))</f>
        <v>0</v>
      </c>
      <c r="R132" s="34">
        <f>IF(OR(B132="",I132=""),"",SUMIFS('Supply Usage'!$E$5:$E$304,'Supply Usage'!$D$5:$D$304,B132,'Supply Usage'!$B$5:$B$304,"&gt;"&amp;I132))</f>
        <v>0</v>
      </c>
      <c r="S132" s="34">
        <f>IF(B132="","",IF(H132="","",H132-IF(R132="",0,R132)))</f>
        <v>0</v>
      </c>
      <c r="T132" s="34">
        <f>IF(B132="","",SUMIFS('Supply Usage'!$E$5:$E$304,'Supply Usage'!$D$5:$D$304,B132,'Supply Usage'!$B$5:$B$304,"&gt;="&amp;TodayDate-28))</f>
        <v>0</v>
      </c>
      <c r="U132" s="34">
        <f>IF(B132="","",ROUND(T132/28,3))</f>
        <v>0</v>
      </c>
      <c r="V132" s="31">
        <f>IF(OR(B132="",S132="",U132=0),"",ROUND(S132/U132,0))</f>
        <v>0</v>
      </c>
      <c r="W132" s="21">
        <f>IF(OR(B132="",S132="",P132=""),"",ROUND(S132*P132,2))</f>
        <v>0</v>
      </c>
      <c r="X132" s="21">
        <f>IF(B132="","",SUMIFS('Supply Usage'!$L$5:$L$304,'Supply Usage'!$D$5:$D$304,B132))</f>
        <v>0</v>
      </c>
      <c r="Y132" s="39">
        <f>IF(B132="","",IF(S132="","Not counted",IF(S132&lt;=0,"Out of stock",IF(AND(J132&lt;&gt;"",S132&lt;=J132),"Low stock",IF(AND(V132&lt;&gt;"",V132&lt;LowStockDays),"Low stock","In stock")))))</f>
        <v>0</v>
      </c>
      <c r="Z132" s="39">
        <f>IF(B132="","",IF(Y132="Out of stock","Order - none left",IF(Y132="Low stock","Order - running low",IF(Y132="Not counted","Add - count the stock",IF(AND(N132="No",C132="Chemicals &amp; detergents"),"Action - no safety data sheet","OK")))))</f>
        <v>0</v>
      </c>
    </row>
    <row r="133" spans="1:26">
      <c r="A133" s="43">
        <f>IF(B133="","",SupplyPrefix&amp;TEXT(ROW()-4,"0000"))</f>
        <v>0</v>
      </c>
      <c r="P133" s="21">
        <f>IF(OR(B133="",G133="",F133="",F133=0),"",ROUND(G133/F133,4))</f>
        <v>0</v>
      </c>
      <c r="Q133" s="34">
        <f>IF(B133="","",SUMIFS('Supply Usage'!$E$5:$E$304,'Supply Usage'!$D$5:$D$304,B133))</f>
        <v>0</v>
      </c>
      <c r="R133" s="34">
        <f>IF(OR(B133="",I133=""),"",SUMIFS('Supply Usage'!$E$5:$E$304,'Supply Usage'!$D$5:$D$304,B133,'Supply Usage'!$B$5:$B$304,"&gt;"&amp;I133))</f>
        <v>0</v>
      </c>
      <c r="S133" s="34">
        <f>IF(B133="","",IF(H133="","",H133-IF(R133="",0,R133)))</f>
        <v>0</v>
      </c>
      <c r="T133" s="34">
        <f>IF(B133="","",SUMIFS('Supply Usage'!$E$5:$E$304,'Supply Usage'!$D$5:$D$304,B133,'Supply Usage'!$B$5:$B$304,"&gt;="&amp;TodayDate-28))</f>
        <v>0</v>
      </c>
      <c r="U133" s="34">
        <f>IF(B133="","",ROUND(T133/28,3))</f>
        <v>0</v>
      </c>
      <c r="V133" s="31">
        <f>IF(OR(B133="",S133="",U133=0),"",ROUND(S133/U133,0))</f>
        <v>0</v>
      </c>
      <c r="W133" s="21">
        <f>IF(OR(B133="",S133="",P133=""),"",ROUND(S133*P133,2))</f>
        <v>0</v>
      </c>
      <c r="X133" s="21">
        <f>IF(B133="","",SUMIFS('Supply Usage'!$L$5:$L$304,'Supply Usage'!$D$5:$D$304,B133))</f>
        <v>0</v>
      </c>
      <c r="Y133" s="39">
        <f>IF(B133="","",IF(S133="","Not counted",IF(S133&lt;=0,"Out of stock",IF(AND(J133&lt;&gt;"",S133&lt;=J133),"Low stock",IF(AND(V133&lt;&gt;"",V133&lt;LowStockDays),"Low stock","In stock")))))</f>
        <v>0</v>
      </c>
      <c r="Z133" s="39">
        <f>IF(B133="","",IF(Y133="Out of stock","Order - none left",IF(Y133="Low stock","Order - running low",IF(Y133="Not counted","Add - count the stock",IF(AND(N133="No",C133="Chemicals &amp; detergents"),"Action - no safety data sheet","OK")))))</f>
        <v>0</v>
      </c>
    </row>
    <row r="134" spans="1:26">
      <c r="A134" s="43">
        <f>IF(B134="","",SupplyPrefix&amp;TEXT(ROW()-4,"0000"))</f>
        <v>0</v>
      </c>
      <c r="P134" s="21">
        <f>IF(OR(B134="",G134="",F134="",F134=0),"",ROUND(G134/F134,4))</f>
        <v>0</v>
      </c>
      <c r="Q134" s="34">
        <f>IF(B134="","",SUMIFS('Supply Usage'!$E$5:$E$304,'Supply Usage'!$D$5:$D$304,B134))</f>
        <v>0</v>
      </c>
      <c r="R134" s="34">
        <f>IF(OR(B134="",I134=""),"",SUMIFS('Supply Usage'!$E$5:$E$304,'Supply Usage'!$D$5:$D$304,B134,'Supply Usage'!$B$5:$B$304,"&gt;"&amp;I134))</f>
        <v>0</v>
      </c>
      <c r="S134" s="34">
        <f>IF(B134="","",IF(H134="","",H134-IF(R134="",0,R134)))</f>
        <v>0</v>
      </c>
      <c r="T134" s="34">
        <f>IF(B134="","",SUMIFS('Supply Usage'!$E$5:$E$304,'Supply Usage'!$D$5:$D$304,B134,'Supply Usage'!$B$5:$B$304,"&gt;="&amp;TodayDate-28))</f>
        <v>0</v>
      </c>
      <c r="U134" s="34">
        <f>IF(B134="","",ROUND(T134/28,3))</f>
        <v>0</v>
      </c>
      <c r="V134" s="31">
        <f>IF(OR(B134="",S134="",U134=0),"",ROUND(S134/U134,0))</f>
        <v>0</v>
      </c>
      <c r="W134" s="21">
        <f>IF(OR(B134="",S134="",P134=""),"",ROUND(S134*P134,2))</f>
        <v>0</v>
      </c>
      <c r="X134" s="21">
        <f>IF(B134="","",SUMIFS('Supply Usage'!$L$5:$L$304,'Supply Usage'!$D$5:$D$304,B134))</f>
        <v>0</v>
      </c>
      <c r="Y134" s="39">
        <f>IF(B134="","",IF(S134="","Not counted",IF(S134&lt;=0,"Out of stock",IF(AND(J134&lt;&gt;"",S134&lt;=J134),"Low stock",IF(AND(V134&lt;&gt;"",V134&lt;LowStockDays),"Low stock","In stock")))))</f>
        <v>0</v>
      </c>
      <c r="Z134" s="39">
        <f>IF(B134="","",IF(Y134="Out of stock","Order - none left",IF(Y134="Low stock","Order - running low",IF(Y134="Not counted","Add - count the stock",IF(AND(N134="No",C134="Chemicals &amp; detergents"),"Action - no safety data sheet","OK")))))</f>
        <v>0</v>
      </c>
    </row>
    <row r="135" spans="1:26">
      <c r="A135" s="43">
        <f>IF(B135="","",SupplyPrefix&amp;TEXT(ROW()-4,"0000"))</f>
        <v>0</v>
      </c>
      <c r="P135" s="21">
        <f>IF(OR(B135="",G135="",F135="",F135=0),"",ROUND(G135/F135,4))</f>
        <v>0</v>
      </c>
      <c r="Q135" s="34">
        <f>IF(B135="","",SUMIFS('Supply Usage'!$E$5:$E$304,'Supply Usage'!$D$5:$D$304,B135))</f>
        <v>0</v>
      </c>
      <c r="R135" s="34">
        <f>IF(OR(B135="",I135=""),"",SUMIFS('Supply Usage'!$E$5:$E$304,'Supply Usage'!$D$5:$D$304,B135,'Supply Usage'!$B$5:$B$304,"&gt;"&amp;I135))</f>
        <v>0</v>
      </c>
      <c r="S135" s="34">
        <f>IF(B135="","",IF(H135="","",H135-IF(R135="",0,R135)))</f>
        <v>0</v>
      </c>
      <c r="T135" s="34">
        <f>IF(B135="","",SUMIFS('Supply Usage'!$E$5:$E$304,'Supply Usage'!$D$5:$D$304,B135,'Supply Usage'!$B$5:$B$304,"&gt;="&amp;TodayDate-28))</f>
        <v>0</v>
      </c>
      <c r="U135" s="34">
        <f>IF(B135="","",ROUND(T135/28,3))</f>
        <v>0</v>
      </c>
      <c r="V135" s="31">
        <f>IF(OR(B135="",S135="",U135=0),"",ROUND(S135/U135,0))</f>
        <v>0</v>
      </c>
      <c r="W135" s="21">
        <f>IF(OR(B135="",S135="",P135=""),"",ROUND(S135*P135,2))</f>
        <v>0</v>
      </c>
      <c r="X135" s="21">
        <f>IF(B135="","",SUMIFS('Supply Usage'!$L$5:$L$304,'Supply Usage'!$D$5:$D$304,B135))</f>
        <v>0</v>
      </c>
      <c r="Y135" s="39">
        <f>IF(B135="","",IF(S135="","Not counted",IF(S135&lt;=0,"Out of stock",IF(AND(J135&lt;&gt;"",S135&lt;=J135),"Low stock",IF(AND(V135&lt;&gt;"",V135&lt;LowStockDays),"Low stock","In stock")))))</f>
        <v>0</v>
      </c>
      <c r="Z135" s="39">
        <f>IF(B135="","",IF(Y135="Out of stock","Order - none left",IF(Y135="Low stock","Order - running low",IF(Y135="Not counted","Add - count the stock",IF(AND(N135="No",C135="Chemicals &amp; detergents"),"Action - no safety data sheet","OK")))))</f>
        <v>0</v>
      </c>
    </row>
    <row r="136" spans="1:26">
      <c r="A136" s="43">
        <f>IF(B136="","",SupplyPrefix&amp;TEXT(ROW()-4,"0000"))</f>
        <v>0</v>
      </c>
      <c r="P136" s="21">
        <f>IF(OR(B136="",G136="",F136="",F136=0),"",ROUND(G136/F136,4))</f>
        <v>0</v>
      </c>
      <c r="Q136" s="34">
        <f>IF(B136="","",SUMIFS('Supply Usage'!$E$5:$E$304,'Supply Usage'!$D$5:$D$304,B136))</f>
        <v>0</v>
      </c>
      <c r="R136" s="34">
        <f>IF(OR(B136="",I136=""),"",SUMIFS('Supply Usage'!$E$5:$E$304,'Supply Usage'!$D$5:$D$304,B136,'Supply Usage'!$B$5:$B$304,"&gt;"&amp;I136))</f>
        <v>0</v>
      </c>
      <c r="S136" s="34">
        <f>IF(B136="","",IF(H136="","",H136-IF(R136="",0,R136)))</f>
        <v>0</v>
      </c>
      <c r="T136" s="34">
        <f>IF(B136="","",SUMIFS('Supply Usage'!$E$5:$E$304,'Supply Usage'!$D$5:$D$304,B136,'Supply Usage'!$B$5:$B$304,"&gt;="&amp;TodayDate-28))</f>
        <v>0</v>
      </c>
      <c r="U136" s="34">
        <f>IF(B136="","",ROUND(T136/28,3))</f>
        <v>0</v>
      </c>
      <c r="V136" s="31">
        <f>IF(OR(B136="",S136="",U136=0),"",ROUND(S136/U136,0))</f>
        <v>0</v>
      </c>
      <c r="W136" s="21">
        <f>IF(OR(B136="",S136="",P136=""),"",ROUND(S136*P136,2))</f>
        <v>0</v>
      </c>
      <c r="X136" s="21">
        <f>IF(B136="","",SUMIFS('Supply Usage'!$L$5:$L$304,'Supply Usage'!$D$5:$D$304,B136))</f>
        <v>0</v>
      </c>
      <c r="Y136" s="39">
        <f>IF(B136="","",IF(S136="","Not counted",IF(S136&lt;=0,"Out of stock",IF(AND(J136&lt;&gt;"",S136&lt;=J136),"Low stock",IF(AND(V136&lt;&gt;"",V136&lt;LowStockDays),"Low stock","In stock")))))</f>
        <v>0</v>
      </c>
      <c r="Z136" s="39">
        <f>IF(B136="","",IF(Y136="Out of stock","Order - none left",IF(Y136="Low stock","Order - running low",IF(Y136="Not counted","Add - count the stock",IF(AND(N136="No",C136="Chemicals &amp; detergents"),"Action - no safety data sheet","OK")))))</f>
        <v>0</v>
      </c>
    </row>
    <row r="137" spans="1:26">
      <c r="A137" s="43">
        <f>IF(B137="","",SupplyPrefix&amp;TEXT(ROW()-4,"0000"))</f>
        <v>0</v>
      </c>
      <c r="P137" s="21">
        <f>IF(OR(B137="",G137="",F137="",F137=0),"",ROUND(G137/F137,4))</f>
        <v>0</v>
      </c>
      <c r="Q137" s="34">
        <f>IF(B137="","",SUMIFS('Supply Usage'!$E$5:$E$304,'Supply Usage'!$D$5:$D$304,B137))</f>
        <v>0</v>
      </c>
      <c r="R137" s="34">
        <f>IF(OR(B137="",I137=""),"",SUMIFS('Supply Usage'!$E$5:$E$304,'Supply Usage'!$D$5:$D$304,B137,'Supply Usage'!$B$5:$B$304,"&gt;"&amp;I137))</f>
        <v>0</v>
      </c>
      <c r="S137" s="34">
        <f>IF(B137="","",IF(H137="","",H137-IF(R137="",0,R137)))</f>
        <v>0</v>
      </c>
      <c r="T137" s="34">
        <f>IF(B137="","",SUMIFS('Supply Usage'!$E$5:$E$304,'Supply Usage'!$D$5:$D$304,B137,'Supply Usage'!$B$5:$B$304,"&gt;="&amp;TodayDate-28))</f>
        <v>0</v>
      </c>
      <c r="U137" s="34">
        <f>IF(B137="","",ROUND(T137/28,3))</f>
        <v>0</v>
      </c>
      <c r="V137" s="31">
        <f>IF(OR(B137="",S137="",U137=0),"",ROUND(S137/U137,0))</f>
        <v>0</v>
      </c>
      <c r="W137" s="21">
        <f>IF(OR(B137="",S137="",P137=""),"",ROUND(S137*P137,2))</f>
        <v>0</v>
      </c>
      <c r="X137" s="21">
        <f>IF(B137="","",SUMIFS('Supply Usage'!$L$5:$L$304,'Supply Usage'!$D$5:$D$304,B137))</f>
        <v>0</v>
      </c>
      <c r="Y137" s="39">
        <f>IF(B137="","",IF(S137="","Not counted",IF(S137&lt;=0,"Out of stock",IF(AND(J137&lt;&gt;"",S137&lt;=J137),"Low stock",IF(AND(V137&lt;&gt;"",V137&lt;LowStockDays),"Low stock","In stock")))))</f>
        <v>0</v>
      </c>
      <c r="Z137" s="39">
        <f>IF(B137="","",IF(Y137="Out of stock","Order - none left",IF(Y137="Low stock","Order - running low",IF(Y137="Not counted","Add - count the stock",IF(AND(N137="No",C137="Chemicals &amp; detergents"),"Action - no safety data sheet","OK")))))</f>
        <v>0</v>
      </c>
    </row>
    <row r="138" spans="1:26">
      <c r="A138" s="43">
        <f>IF(B138="","",SupplyPrefix&amp;TEXT(ROW()-4,"0000"))</f>
        <v>0</v>
      </c>
      <c r="P138" s="21">
        <f>IF(OR(B138="",G138="",F138="",F138=0),"",ROUND(G138/F138,4))</f>
        <v>0</v>
      </c>
      <c r="Q138" s="34">
        <f>IF(B138="","",SUMIFS('Supply Usage'!$E$5:$E$304,'Supply Usage'!$D$5:$D$304,B138))</f>
        <v>0</v>
      </c>
      <c r="R138" s="34">
        <f>IF(OR(B138="",I138=""),"",SUMIFS('Supply Usage'!$E$5:$E$304,'Supply Usage'!$D$5:$D$304,B138,'Supply Usage'!$B$5:$B$304,"&gt;"&amp;I138))</f>
        <v>0</v>
      </c>
      <c r="S138" s="34">
        <f>IF(B138="","",IF(H138="","",H138-IF(R138="",0,R138)))</f>
        <v>0</v>
      </c>
      <c r="T138" s="34">
        <f>IF(B138="","",SUMIFS('Supply Usage'!$E$5:$E$304,'Supply Usage'!$D$5:$D$304,B138,'Supply Usage'!$B$5:$B$304,"&gt;="&amp;TodayDate-28))</f>
        <v>0</v>
      </c>
      <c r="U138" s="34">
        <f>IF(B138="","",ROUND(T138/28,3))</f>
        <v>0</v>
      </c>
      <c r="V138" s="31">
        <f>IF(OR(B138="",S138="",U138=0),"",ROUND(S138/U138,0))</f>
        <v>0</v>
      </c>
      <c r="W138" s="21">
        <f>IF(OR(B138="",S138="",P138=""),"",ROUND(S138*P138,2))</f>
        <v>0</v>
      </c>
      <c r="X138" s="21">
        <f>IF(B138="","",SUMIFS('Supply Usage'!$L$5:$L$304,'Supply Usage'!$D$5:$D$304,B138))</f>
        <v>0</v>
      </c>
      <c r="Y138" s="39">
        <f>IF(B138="","",IF(S138="","Not counted",IF(S138&lt;=0,"Out of stock",IF(AND(J138&lt;&gt;"",S138&lt;=J138),"Low stock",IF(AND(V138&lt;&gt;"",V138&lt;LowStockDays),"Low stock","In stock")))))</f>
        <v>0</v>
      </c>
      <c r="Z138" s="39">
        <f>IF(B138="","",IF(Y138="Out of stock","Order - none left",IF(Y138="Low stock","Order - running low",IF(Y138="Not counted","Add - count the stock",IF(AND(N138="No",C138="Chemicals &amp; detergents"),"Action - no safety data sheet","OK")))))</f>
        <v>0</v>
      </c>
    </row>
    <row r="139" spans="1:26">
      <c r="A139" s="43">
        <f>IF(B139="","",SupplyPrefix&amp;TEXT(ROW()-4,"0000"))</f>
        <v>0</v>
      </c>
      <c r="P139" s="21">
        <f>IF(OR(B139="",G139="",F139="",F139=0),"",ROUND(G139/F139,4))</f>
        <v>0</v>
      </c>
      <c r="Q139" s="34">
        <f>IF(B139="","",SUMIFS('Supply Usage'!$E$5:$E$304,'Supply Usage'!$D$5:$D$304,B139))</f>
        <v>0</v>
      </c>
      <c r="R139" s="34">
        <f>IF(OR(B139="",I139=""),"",SUMIFS('Supply Usage'!$E$5:$E$304,'Supply Usage'!$D$5:$D$304,B139,'Supply Usage'!$B$5:$B$304,"&gt;"&amp;I139))</f>
        <v>0</v>
      </c>
      <c r="S139" s="34">
        <f>IF(B139="","",IF(H139="","",H139-IF(R139="",0,R139)))</f>
        <v>0</v>
      </c>
      <c r="T139" s="34">
        <f>IF(B139="","",SUMIFS('Supply Usage'!$E$5:$E$304,'Supply Usage'!$D$5:$D$304,B139,'Supply Usage'!$B$5:$B$304,"&gt;="&amp;TodayDate-28))</f>
        <v>0</v>
      </c>
      <c r="U139" s="34">
        <f>IF(B139="","",ROUND(T139/28,3))</f>
        <v>0</v>
      </c>
      <c r="V139" s="31">
        <f>IF(OR(B139="",S139="",U139=0),"",ROUND(S139/U139,0))</f>
        <v>0</v>
      </c>
      <c r="W139" s="21">
        <f>IF(OR(B139="",S139="",P139=""),"",ROUND(S139*P139,2))</f>
        <v>0</v>
      </c>
      <c r="X139" s="21">
        <f>IF(B139="","",SUMIFS('Supply Usage'!$L$5:$L$304,'Supply Usage'!$D$5:$D$304,B139))</f>
        <v>0</v>
      </c>
      <c r="Y139" s="39">
        <f>IF(B139="","",IF(S139="","Not counted",IF(S139&lt;=0,"Out of stock",IF(AND(J139&lt;&gt;"",S139&lt;=J139),"Low stock",IF(AND(V139&lt;&gt;"",V139&lt;LowStockDays),"Low stock","In stock")))))</f>
        <v>0</v>
      </c>
      <c r="Z139" s="39">
        <f>IF(B139="","",IF(Y139="Out of stock","Order - none left",IF(Y139="Low stock","Order - running low",IF(Y139="Not counted","Add - count the stock",IF(AND(N139="No",C139="Chemicals &amp; detergents"),"Action - no safety data sheet","OK")))))</f>
        <v>0</v>
      </c>
    </row>
    <row r="140" spans="1:26">
      <c r="A140" s="43">
        <f>IF(B140="","",SupplyPrefix&amp;TEXT(ROW()-4,"0000"))</f>
        <v>0</v>
      </c>
      <c r="P140" s="21">
        <f>IF(OR(B140="",G140="",F140="",F140=0),"",ROUND(G140/F140,4))</f>
        <v>0</v>
      </c>
      <c r="Q140" s="34">
        <f>IF(B140="","",SUMIFS('Supply Usage'!$E$5:$E$304,'Supply Usage'!$D$5:$D$304,B140))</f>
        <v>0</v>
      </c>
      <c r="R140" s="34">
        <f>IF(OR(B140="",I140=""),"",SUMIFS('Supply Usage'!$E$5:$E$304,'Supply Usage'!$D$5:$D$304,B140,'Supply Usage'!$B$5:$B$304,"&gt;"&amp;I140))</f>
        <v>0</v>
      </c>
      <c r="S140" s="34">
        <f>IF(B140="","",IF(H140="","",H140-IF(R140="",0,R140)))</f>
        <v>0</v>
      </c>
      <c r="T140" s="34">
        <f>IF(B140="","",SUMIFS('Supply Usage'!$E$5:$E$304,'Supply Usage'!$D$5:$D$304,B140,'Supply Usage'!$B$5:$B$304,"&gt;="&amp;TodayDate-28))</f>
        <v>0</v>
      </c>
      <c r="U140" s="34">
        <f>IF(B140="","",ROUND(T140/28,3))</f>
        <v>0</v>
      </c>
      <c r="V140" s="31">
        <f>IF(OR(B140="",S140="",U140=0),"",ROUND(S140/U140,0))</f>
        <v>0</v>
      </c>
      <c r="W140" s="21">
        <f>IF(OR(B140="",S140="",P140=""),"",ROUND(S140*P140,2))</f>
        <v>0</v>
      </c>
      <c r="X140" s="21">
        <f>IF(B140="","",SUMIFS('Supply Usage'!$L$5:$L$304,'Supply Usage'!$D$5:$D$304,B140))</f>
        <v>0</v>
      </c>
      <c r="Y140" s="39">
        <f>IF(B140="","",IF(S140="","Not counted",IF(S140&lt;=0,"Out of stock",IF(AND(J140&lt;&gt;"",S140&lt;=J140),"Low stock",IF(AND(V140&lt;&gt;"",V140&lt;LowStockDays),"Low stock","In stock")))))</f>
        <v>0</v>
      </c>
      <c r="Z140" s="39">
        <f>IF(B140="","",IF(Y140="Out of stock","Order - none left",IF(Y140="Low stock","Order - running low",IF(Y140="Not counted","Add - count the stock",IF(AND(N140="No",C140="Chemicals &amp; detergents"),"Action - no safety data sheet","OK")))))</f>
        <v>0</v>
      </c>
    </row>
    <row r="141" spans="1:26">
      <c r="A141" s="43">
        <f>IF(B141="","",SupplyPrefix&amp;TEXT(ROW()-4,"0000"))</f>
        <v>0</v>
      </c>
      <c r="P141" s="21">
        <f>IF(OR(B141="",G141="",F141="",F141=0),"",ROUND(G141/F141,4))</f>
        <v>0</v>
      </c>
      <c r="Q141" s="34">
        <f>IF(B141="","",SUMIFS('Supply Usage'!$E$5:$E$304,'Supply Usage'!$D$5:$D$304,B141))</f>
        <v>0</v>
      </c>
      <c r="R141" s="34">
        <f>IF(OR(B141="",I141=""),"",SUMIFS('Supply Usage'!$E$5:$E$304,'Supply Usage'!$D$5:$D$304,B141,'Supply Usage'!$B$5:$B$304,"&gt;"&amp;I141))</f>
        <v>0</v>
      </c>
      <c r="S141" s="34">
        <f>IF(B141="","",IF(H141="","",H141-IF(R141="",0,R141)))</f>
        <v>0</v>
      </c>
      <c r="T141" s="34">
        <f>IF(B141="","",SUMIFS('Supply Usage'!$E$5:$E$304,'Supply Usage'!$D$5:$D$304,B141,'Supply Usage'!$B$5:$B$304,"&gt;="&amp;TodayDate-28))</f>
        <v>0</v>
      </c>
      <c r="U141" s="34">
        <f>IF(B141="","",ROUND(T141/28,3))</f>
        <v>0</v>
      </c>
      <c r="V141" s="31">
        <f>IF(OR(B141="",S141="",U141=0),"",ROUND(S141/U141,0))</f>
        <v>0</v>
      </c>
      <c r="W141" s="21">
        <f>IF(OR(B141="",S141="",P141=""),"",ROUND(S141*P141,2))</f>
        <v>0</v>
      </c>
      <c r="X141" s="21">
        <f>IF(B141="","",SUMIFS('Supply Usage'!$L$5:$L$304,'Supply Usage'!$D$5:$D$304,B141))</f>
        <v>0</v>
      </c>
      <c r="Y141" s="39">
        <f>IF(B141="","",IF(S141="","Not counted",IF(S141&lt;=0,"Out of stock",IF(AND(J141&lt;&gt;"",S141&lt;=J141),"Low stock",IF(AND(V141&lt;&gt;"",V141&lt;LowStockDays),"Low stock","In stock")))))</f>
        <v>0</v>
      </c>
      <c r="Z141" s="39">
        <f>IF(B141="","",IF(Y141="Out of stock","Order - none left",IF(Y141="Low stock","Order - running low",IF(Y141="Not counted","Add - count the stock",IF(AND(N141="No",C141="Chemicals &amp; detergents"),"Action - no safety data sheet","OK")))))</f>
        <v>0</v>
      </c>
    </row>
    <row r="142" spans="1:26">
      <c r="A142" s="43">
        <f>IF(B142="","",SupplyPrefix&amp;TEXT(ROW()-4,"0000"))</f>
        <v>0</v>
      </c>
      <c r="P142" s="21">
        <f>IF(OR(B142="",G142="",F142="",F142=0),"",ROUND(G142/F142,4))</f>
        <v>0</v>
      </c>
      <c r="Q142" s="34">
        <f>IF(B142="","",SUMIFS('Supply Usage'!$E$5:$E$304,'Supply Usage'!$D$5:$D$304,B142))</f>
        <v>0</v>
      </c>
      <c r="R142" s="34">
        <f>IF(OR(B142="",I142=""),"",SUMIFS('Supply Usage'!$E$5:$E$304,'Supply Usage'!$D$5:$D$304,B142,'Supply Usage'!$B$5:$B$304,"&gt;"&amp;I142))</f>
        <v>0</v>
      </c>
      <c r="S142" s="34">
        <f>IF(B142="","",IF(H142="","",H142-IF(R142="",0,R142)))</f>
        <v>0</v>
      </c>
      <c r="T142" s="34">
        <f>IF(B142="","",SUMIFS('Supply Usage'!$E$5:$E$304,'Supply Usage'!$D$5:$D$304,B142,'Supply Usage'!$B$5:$B$304,"&gt;="&amp;TodayDate-28))</f>
        <v>0</v>
      </c>
      <c r="U142" s="34">
        <f>IF(B142="","",ROUND(T142/28,3))</f>
        <v>0</v>
      </c>
      <c r="V142" s="31">
        <f>IF(OR(B142="",S142="",U142=0),"",ROUND(S142/U142,0))</f>
        <v>0</v>
      </c>
      <c r="W142" s="21">
        <f>IF(OR(B142="",S142="",P142=""),"",ROUND(S142*P142,2))</f>
        <v>0</v>
      </c>
      <c r="X142" s="21">
        <f>IF(B142="","",SUMIFS('Supply Usage'!$L$5:$L$304,'Supply Usage'!$D$5:$D$304,B142))</f>
        <v>0</v>
      </c>
      <c r="Y142" s="39">
        <f>IF(B142="","",IF(S142="","Not counted",IF(S142&lt;=0,"Out of stock",IF(AND(J142&lt;&gt;"",S142&lt;=J142),"Low stock",IF(AND(V142&lt;&gt;"",V142&lt;LowStockDays),"Low stock","In stock")))))</f>
        <v>0</v>
      </c>
      <c r="Z142" s="39">
        <f>IF(B142="","",IF(Y142="Out of stock","Order - none left",IF(Y142="Low stock","Order - running low",IF(Y142="Not counted","Add - count the stock",IF(AND(N142="No",C142="Chemicals &amp; detergents"),"Action - no safety data sheet","OK")))))</f>
        <v>0</v>
      </c>
    </row>
    <row r="143" spans="1:26">
      <c r="A143" s="43">
        <f>IF(B143="","",SupplyPrefix&amp;TEXT(ROW()-4,"0000"))</f>
        <v>0</v>
      </c>
      <c r="P143" s="21">
        <f>IF(OR(B143="",G143="",F143="",F143=0),"",ROUND(G143/F143,4))</f>
        <v>0</v>
      </c>
      <c r="Q143" s="34">
        <f>IF(B143="","",SUMIFS('Supply Usage'!$E$5:$E$304,'Supply Usage'!$D$5:$D$304,B143))</f>
        <v>0</v>
      </c>
      <c r="R143" s="34">
        <f>IF(OR(B143="",I143=""),"",SUMIFS('Supply Usage'!$E$5:$E$304,'Supply Usage'!$D$5:$D$304,B143,'Supply Usage'!$B$5:$B$304,"&gt;"&amp;I143))</f>
        <v>0</v>
      </c>
      <c r="S143" s="34">
        <f>IF(B143="","",IF(H143="","",H143-IF(R143="",0,R143)))</f>
        <v>0</v>
      </c>
      <c r="T143" s="34">
        <f>IF(B143="","",SUMIFS('Supply Usage'!$E$5:$E$304,'Supply Usage'!$D$5:$D$304,B143,'Supply Usage'!$B$5:$B$304,"&gt;="&amp;TodayDate-28))</f>
        <v>0</v>
      </c>
      <c r="U143" s="34">
        <f>IF(B143="","",ROUND(T143/28,3))</f>
        <v>0</v>
      </c>
      <c r="V143" s="31">
        <f>IF(OR(B143="",S143="",U143=0),"",ROUND(S143/U143,0))</f>
        <v>0</v>
      </c>
      <c r="W143" s="21">
        <f>IF(OR(B143="",S143="",P143=""),"",ROUND(S143*P143,2))</f>
        <v>0</v>
      </c>
      <c r="X143" s="21">
        <f>IF(B143="","",SUMIFS('Supply Usage'!$L$5:$L$304,'Supply Usage'!$D$5:$D$304,B143))</f>
        <v>0</v>
      </c>
      <c r="Y143" s="39">
        <f>IF(B143="","",IF(S143="","Not counted",IF(S143&lt;=0,"Out of stock",IF(AND(J143&lt;&gt;"",S143&lt;=J143),"Low stock",IF(AND(V143&lt;&gt;"",V143&lt;LowStockDays),"Low stock","In stock")))))</f>
        <v>0</v>
      </c>
      <c r="Z143" s="39">
        <f>IF(B143="","",IF(Y143="Out of stock","Order - none left",IF(Y143="Low stock","Order - running low",IF(Y143="Not counted","Add - count the stock",IF(AND(N143="No",C143="Chemicals &amp; detergents"),"Action - no safety data sheet","OK")))))</f>
        <v>0</v>
      </c>
    </row>
    <row r="144" spans="1:26">
      <c r="A144" s="43">
        <f>IF(B144="","",SupplyPrefix&amp;TEXT(ROW()-4,"0000"))</f>
        <v>0</v>
      </c>
      <c r="P144" s="21">
        <f>IF(OR(B144="",G144="",F144="",F144=0),"",ROUND(G144/F144,4))</f>
        <v>0</v>
      </c>
      <c r="Q144" s="34">
        <f>IF(B144="","",SUMIFS('Supply Usage'!$E$5:$E$304,'Supply Usage'!$D$5:$D$304,B144))</f>
        <v>0</v>
      </c>
      <c r="R144" s="34">
        <f>IF(OR(B144="",I144=""),"",SUMIFS('Supply Usage'!$E$5:$E$304,'Supply Usage'!$D$5:$D$304,B144,'Supply Usage'!$B$5:$B$304,"&gt;"&amp;I144))</f>
        <v>0</v>
      </c>
      <c r="S144" s="34">
        <f>IF(B144="","",IF(H144="","",H144-IF(R144="",0,R144)))</f>
        <v>0</v>
      </c>
      <c r="T144" s="34">
        <f>IF(B144="","",SUMIFS('Supply Usage'!$E$5:$E$304,'Supply Usage'!$D$5:$D$304,B144,'Supply Usage'!$B$5:$B$304,"&gt;="&amp;TodayDate-28))</f>
        <v>0</v>
      </c>
      <c r="U144" s="34">
        <f>IF(B144="","",ROUND(T144/28,3))</f>
        <v>0</v>
      </c>
      <c r="V144" s="31">
        <f>IF(OR(B144="",S144="",U144=0),"",ROUND(S144/U144,0))</f>
        <v>0</v>
      </c>
      <c r="W144" s="21">
        <f>IF(OR(B144="",S144="",P144=""),"",ROUND(S144*P144,2))</f>
        <v>0</v>
      </c>
      <c r="X144" s="21">
        <f>IF(B144="","",SUMIFS('Supply Usage'!$L$5:$L$304,'Supply Usage'!$D$5:$D$304,B144))</f>
        <v>0</v>
      </c>
      <c r="Y144" s="39">
        <f>IF(B144="","",IF(S144="","Not counted",IF(S144&lt;=0,"Out of stock",IF(AND(J144&lt;&gt;"",S144&lt;=J144),"Low stock",IF(AND(V144&lt;&gt;"",V144&lt;LowStockDays),"Low stock","In stock")))))</f>
        <v>0</v>
      </c>
      <c r="Z144" s="39">
        <f>IF(B144="","",IF(Y144="Out of stock","Order - none left",IF(Y144="Low stock","Order - running low",IF(Y144="Not counted","Add - count the stock",IF(AND(N144="No",C144="Chemicals &amp; detergents"),"Action - no safety data sheet","OK")))))</f>
        <v>0</v>
      </c>
    </row>
    <row r="145" spans="1:26">
      <c r="A145" s="43">
        <f>IF(B145="","",SupplyPrefix&amp;TEXT(ROW()-4,"0000"))</f>
        <v>0</v>
      </c>
      <c r="P145" s="21">
        <f>IF(OR(B145="",G145="",F145="",F145=0),"",ROUND(G145/F145,4))</f>
        <v>0</v>
      </c>
      <c r="Q145" s="34">
        <f>IF(B145="","",SUMIFS('Supply Usage'!$E$5:$E$304,'Supply Usage'!$D$5:$D$304,B145))</f>
        <v>0</v>
      </c>
      <c r="R145" s="34">
        <f>IF(OR(B145="",I145=""),"",SUMIFS('Supply Usage'!$E$5:$E$304,'Supply Usage'!$D$5:$D$304,B145,'Supply Usage'!$B$5:$B$304,"&gt;"&amp;I145))</f>
        <v>0</v>
      </c>
      <c r="S145" s="34">
        <f>IF(B145="","",IF(H145="","",H145-IF(R145="",0,R145)))</f>
        <v>0</v>
      </c>
      <c r="T145" s="34">
        <f>IF(B145="","",SUMIFS('Supply Usage'!$E$5:$E$304,'Supply Usage'!$D$5:$D$304,B145,'Supply Usage'!$B$5:$B$304,"&gt;="&amp;TodayDate-28))</f>
        <v>0</v>
      </c>
      <c r="U145" s="34">
        <f>IF(B145="","",ROUND(T145/28,3))</f>
        <v>0</v>
      </c>
      <c r="V145" s="31">
        <f>IF(OR(B145="",S145="",U145=0),"",ROUND(S145/U145,0))</f>
        <v>0</v>
      </c>
      <c r="W145" s="21">
        <f>IF(OR(B145="",S145="",P145=""),"",ROUND(S145*P145,2))</f>
        <v>0</v>
      </c>
      <c r="X145" s="21">
        <f>IF(B145="","",SUMIFS('Supply Usage'!$L$5:$L$304,'Supply Usage'!$D$5:$D$304,B145))</f>
        <v>0</v>
      </c>
      <c r="Y145" s="39">
        <f>IF(B145="","",IF(S145="","Not counted",IF(S145&lt;=0,"Out of stock",IF(AND(J145&lt;&gt;"",S145&lt;=J145),"Low stock",IF(AND(V145&lt;&gt;"",V145&lt;LowStockDays),"Low stock","In stock")))))</f>
        <v>0</v>
      </c>
      <c r="Z145" s="39">
        <f>IF(B145="","",IF(Y145="Out of stock","Order - none left",IF(Y145="Low stock","Order - running low",IF(Y145="Not counted","Add - count the stock",IF(AND(N145="No",C145="Chemicals &amp; detergents"),"Action - no safety data sheet","OK")))))</f>
        <v>0</v>
      </c>
    </row>
    <row r="146" spans="1:26">
      <c r="A146" s="43">
        <f>IF(B146="","",SupplyPrefix&amp;TEXT(ROW()-4,"0000"))</f>
        <v>0</v>
      </c>
      <c r="P146" s="21">
        <f>IF(OR(B146="",G146="",F146="",F146=0),"",ROUND(G146/F146,4))</f>
        <v>0</v>
      </c>
      <c r="Q146" s="34">
        <f>IF(B146="","",SUMIFS('Supply Usage'!$E$5:$E$304,'Supply Usage'!$D$5:$D$304,B146))</f>
        <v>0</v>
      </c>
      <c r="R146" s="34">
        <f>IF(OR(B146="",I146=""),"",SUMIFS('Supply Usage'!$E$5:$E$304,'Supply Usage'!$D$5:$D$304,B146,'Supply Usage'!$B$5:$B$304,"&gt;"&amp;I146))</f>
        <v>0</v>
      </c>
      <c r="S146" s="34">
        <f>IF(B146="","",IF(H146="","",H146-IF(R146="",0,R146)))</f>
        <v>0</v>
      </c>
      <c r="T146" s="34">
        <f>IF(B146="","",SUMIFS('Supply Usage'!$E$5:$E$304,'Supply Usage'!$D$5:$D$304,B146,'Supply Usage'!$B$5:$B$304,"&gt;="&amp;TodayDate-28))</f>
        <v>0</v>
      </c>
      <c r="U146" s="34">
        <f>IF(B146="","",ROUND(T146/28,3))</f>
        <v>0</v>
      </c>
      <c r="V146" s="31">
        <f>IF(OR(B146="",S146="",U146=0),"",ROUND(S146/U146,0))</f>
        <v>0</v>
      </c>
      <c r="W146" s="21">
        <f>IF(OR(B146="",S146="",P146=""),"",ROUND(S146*P146,2))</f>
        <v>0</v>
      </c>
      <c r="X146" s="21">
        <f>IF(B146="","",SUMIFS('Supply Usage'!$L$5:$L$304,'Supply Usage'!$D$5:$D$304,B146))</f>
        <v>0</v>
      </c>
      <c r="Y146" s="39">
        <f>IF(B146="","",IF(S146="","Not counted",IF(S146&lt;=0,"Out of stock",IF(AND(J146&lt;&gt;"",S146&lt;=J146),"Low stock",IF(AND(V146&lt;&gt;"",V146&lt;LowStockDays),"Low stock","In stock")))))</f>
        <v>0</v>
      </c>
      <c r="Z146" s="39">
        <f>IF(B146="","",IF(Y146="Out of stock","Order - none left",IF(Y146="Low stock","Order - running low",IF(Y146="Not counted","Add - count the stock",IF(AND(N146="No",C146="Chemicals &amp; detergents"),"Action - no safety data sheet","OK")))))</f>
        <v>0</v>
      </c>
    </row>
    <row r="147" spans="1:26">
      <c r="A147" s="43">
        <f>IF(B147="","",SupplyPrefix&amp;TEXT(ROW()-4,"0000"))</f>
        <v>0</v>
      </c>
      <c r="P147" s="21">
        <f>IF(OR(B147="",G147="",F147="",F147=0),"",ROUND(G147/F147,4))</f>
        <v>0</v>
      </c>
      <c r="Q147" s="34">
        <f>IF(B147="","",SUMIFS('Supply Usage'!$E$5:$E$304,'Supply Usage'!$D$5:$D$304,B147))</f>
        <v>0</v>
      </c>
      <c r="R147" s="34">
        <f>IF(OR(B147="",I147=""),"",SUMIFS('Supply Usage'!$E$5:$E$304,'Supply Usage'!$D$5:$D$304,B147,'Supply Usage'!$B$5:$B$304,"&gt;"&amp;I147))</f>
        <v>0</v>
      </c>
      <c r="S147" s="34">
        <f>IF(B147="","",IF(H147="","",H147-IF(R147="",0,R147)))</f>
        <v>0</v>
      </c>
      <c r="T147" s="34">
        <f>IF(B147="","",SUMIFS('Supply Usage'!$E$5:$E$304,'Supply Usage'!$D$5:$D$304,B147,'Supply Usage'!$B$5:$B$304,"&gt;="&amp;TodayDate-28))</f>
        <v>0</v>
      </c>
      <c r="U147" s="34">
        <f>IF(B147="","",ROUND(T147/28,3))</f>
        <v>0</v>
      </c>
      <c r="V147" s="31">
        <f>IF(OR(B147="",S147="",U147=0),"",ROUND(S147/U147,0))</f>
        <v>0</v>
      </c>
      <c r="W147" s="21">
        <f>IF(OR(B147="",S147="",P147=""),"",ROUND(S147*P147,2))</f>
        <v>0</v>
      </c>
      <c r="X147" s="21">
        <f>IF(B147="","",SUMIFS('Supply Usage'!$L$5:$L$304,'Supply Usage'!$D$5:$D$304,B147))</f>
        <v>0</v>
      </c>
      <c r="Y147" s="39">
        <f>IF(B147="","",IF(S147="","Not counted",IF(S147&lt;=0,"Out of stock",IF(AND(J147&lt;&gt;"",S147&lt;=J147),"Low stock",IF(AND(V147&lt;&gt;"",V147&lt;LowStockDays),"Low stock","In stock")))))</f>
        <v>0</v>
      </c>
      <c r="Z147" s="39">
        <f>IF(B147="","",IF(Y147="Out of stock","Order - none left",IF(Y147="Low stock","Order - running low",IF(Y147="Not counted","Add - count the stock",IF(AND(N147="No",C147="Chemicals &amp; detergents"),"Action - no safety data sheet","OK")))))</f>
        <v>0</v>
      </c>
    </row>
    <row r="148" spans="1:26">
      <c r="A148" s="43">
        <f>IF(B148="","",SupplyPrefix&amp;TEXT(ROW()-4,"0000"))</f>
        <v>0</v>
      </c>
      <c r="P148" s="21">
        <f>IF(OR(B148="",G148="",F148="",F148=0),"",ROUND(G148/F148,4))</f>
        <v>0</v>
      </c>
      <c r="Q148" s="34">
        <f>IF(B148="","",SUMIFS('Supply Usage'!$E$5:$E$304,'Supply Usage'!$D$5:$D$304,B148))</f>
        <v>0</v>
      </c>
      <c r="R148" s="34">
        <f>IF(OR(B148="",I148=""),"",SUMIFS('Supply Usage'!$E$5:$E$304,'Supply Usage'!$D$5:$D$304,B148,'Supply Usage'!$B$5:$B$304,"&gt;"&amp;I148))</f>
        <v>0</v>
      </c>
      <c r="S148" s="34">
        <f>IF(B148="","",IF(H148="","",H148-IF(R148="",0,R148)))</f>
        <v>0</v>
      </c>
      <c r="T148" s="34">
        <f>IF(B148="","",SUMIFS('Supply Usage'!$E$5:$E$304,'Supply Usage'!$D$5:$D$304,B148,'Supply Usage'!$B$5:$B$304,"&gt;="&amp;TodayDate-28))</f>
        <v>0</v>
      </c>
      <c r="U148" s="34">
        <f>IF(B148="","",ROUND(T148/28,3))</f>
        <v>0</v>
      </c>
      <c r="V148" s="31">
        <f>IF(OR(B148="",S148="",U148=0),"",ROUND(S148/U148,0))</f>
        <v>0</v>
      </c>
      <c r="W148" s="21">
        <f>IF(OR(B148="",S148="",P148=""),"",ROUND(S148*P148,2))</f>
        <v>0</v>
      </c>
      <c r="X148" s="21">
        <f>IF(B148="","",SUMIFS('Supply Usage'!$L$5:$L$304,'Supply Usage'!$D$5:$D$304,B148))</f>
        <v>0</v>
      </c>
      <c r="Y148" s="39">
        <f>IF(B148="","",IF(S148="","Not counted",IF(S148&lt;=0,"Out of stock",IF(AND(J148&lt;&gt;"",S148&lt;=J148),"Low stock",IF(AND(V148&lt;&gt;"",V148&lt;LowStockDays),"Low stock","In stock")))))</f>
        <v>0</v>
      </c>
      <c r="Z148" s="39">
        <f>IF(B148="","",IF(Y148="Out of stock","Order - none left",IF(Y148="Low stock","Order - running low",IF(Y148="Not counted","Add - count the stock",IF(AND(N148="No",C148="Chemicals &amp; detergents"),"Action - no safety data sheet","OK")))))</f>
        <v>0</v>
      </c>
    </row>
    <row r="149" spans="1:26">
      <c r="A149" s="43">
        <f>IF(B149="","",SupplyPrefix&amp;TEXT(ROW()-4,"0000"))</f>
        <v>0</v>
      </c>
      <c r="P149" s="21">
        <f>IF(OR(B149="",G149="",F149="",F149=0),"",ROUND(G149/F149,4))</f>
        <v>0</v>
      </c>
      <c r="Q149" s="34">
        <f>IF(B149="","",SUMIFS('Supply Usage'!$E$5:$E$304,'Supply Usage'!$D$5:$D$304,B149))</f>
        <v>0</v>
      </c>
      <c r="R149" s="34">
        <f>IF(OR(B149="",I149=""),"",SUMIFS('Supply Usage'!$E$5:$E$304,'Supply Usage'!$D$5:$D$304,B149,'Supply Usage'!$B$5:$B$304,"&gt;"&amp;I149))</f>
        <v>0</v>
      </c>
      <c r="S149" s="34">
        <f>IF(B149="","",IF(H149="","",H149-IF(R149="",0,R149)))</f>
        <v>0</v>
      </c>
      <c r="T149" s="34">
        <f>IF(B149="","",SUMIFS('Supply Usage'!$E$5:$E$304,'Supply Usage'!$D$5:$D$304,B149,'Supply Usage'!$B$5:$B$304,"&gt;="&amp;TodayDate-28))</f>
        <v>0</v>
      </c>
      <c r="U149" s="34">
        <f>IF(B149="","",ROUND(T149/28,3))</f>
        <v>0</v>
      </c>
      <c r="V149" s="31">
        <f>IF(OR(B149="",S149="",U149=0),"",ROUND(S149/U149,0))</f>
        <v>0</v>
      </c>
      <c r="W149" s="21">
        <f>IF(OR(B149="",S149="",P149=""),"",ROUND(S149*P149,2))</f>
        <v>0</v>
      </c>
      <c r="X149" s="21">
        <f>IF(B149="","",SUMIFS('Supply Usage'!$L$5:$L$304,'Supply Usage'!$D$5:$D$304,B149))</f>
        <v>0</v>
      </c>
      <c r="Y149" s="39">
        <f>IF(B149="","",IF(S149="","Not counted",IF(S149&lt;=0,"Out of stock",IF(AND(J149&lt;&gt;"",S149&lt;=J149),"Low stock",IF(AND(V149&lt;&gt;"",V149&lt;LowStockDays),"Low stock","In stock")))))</f>
        <v>0</v>
      </c>
      <c r="Z149" s="39">
        <f>IF(B149="","",IF(Y149="Out of stock","Order - none left",IF(Y149="Low stock","Order - running low",IF(Y149="Not counted","Add - count the stock",IF(AND(N149="No",C149="Chemicals &amp; detergents"),"Action - no safety data sheet","OK")))))</f>
        <v>0</v>
      </c>
    </row>
    <row r="150" spans="1:26">
      <c r="A150" s="43">
        <f>IF(B150="","",SupplyPrefix&amp;TEXT(ROW()-4,"0000"))</f>
        <v>0</v>
      </c>
      <c r="P150" s="21">
        <f>IF(OR(B150="",G150="",F150="",F150=0),"",ROUND(G150/F150,4))</f>
        <v>0</v>
      </c>
      <c r="Q150" s="34">
        <f>IF(B150="","",SUMIFS('Supply Usage'!$E$5:$E$304,'Supply Usage'!$D$5:$D$304,B150))</f>
        <v>0</v>
      </c>
      <c r="R150" s="34">
        <f>IF(OR(B150="",I150=""),"",SUMIFS('Supply Usage'!$E$5:$E$304,'Supply Usage'!$D$5:$D$304,B150,'Supply Usage'!$B$5:$B$304,"&gt;"&amp;I150))</f>
        <v>0</v>
      </c>
      <c r="S150" s="34">
        <f>IF(B150="","",IF(H150="","",H150-IF(R150="",0,R150)))</f>
        <v>0</v>
      </c>
      <c r="T150" s="34">
        <f>IF(B150="","",SUMIFS('Supply Usage'!$E$5:$E$304,'Supply Usage'!$D$5:$D$304,B150,'Supply Usage'!$B$5:$B$304,"&gt;="&amp;TodayDate-28))</f>
        <v>0</v>
      </c>
      <c r="U150" s="34">
        <f>IF(B150="","",ROUND(T150/28,3))</f>
        <v>0</v>
      </c>
      <c r="V150" s="31">
        <f>IF(OR(B150="",S150="",U150=0),"",ROUND(S150/U150,0))</f>
        <v>0</v>
      </c>
      <c r="W150" s="21">
        <f>IF(OR(B150="",S150="",P150=""),"",ROUND(S150*P150,2))</f>
        <v>0</v>
      </c>
      <c r="X150" s="21">
        <f>IF(B150="","",SUMIFS('Supply Usage'!$L$5:$L$304,'Supply Usage'!$D$5:$D$304,B150))</f>
        <v>0</v>
      </c>
      <c r="Y150" s="39">
        <f>IF(B150="","",IF(S150="","Not counted",IF(S150&lt;=0,"Out of stock",IF(AND(J150&lt;&gt;"",S150&lt;=J150),"Low stock",IF(AND(V150&lt;&gt;"",V150&lt;LowStockDays),"Low stock","In stock")))))</f>
        <v>0</v>
      </c>
      <c r="Z150" s="39">
        <f>IF(B150="","",IF(Y150="Out of stock","Order - none left",IF(Y150="Low stock","Order - running low",IF(Y150="Not counted","Add - count the stock",IF(AND(N150="No",C150="Chemicals &amp; detergents"),"Action - no safety data sheet","OK")))))</f>
        <v>0</v>
      </c>
    </row>
    <row r="151" spans="1:26">
      <c r="A151" s="43">
        <f>IF(B151="","",SupplyPrefix&amp;TEXT(ROW()-4,"0000"))</f>
        <v>0</v>
      </c>
      <c r="P151" s="21">
        <f>IF(OR(B151="",G151="",F151="",F151=0),"",ROUND(G151/F151,4))</f>
        <v>0</v>
      </c>
      <c r="Q151" s="34">
        <f>IF(B151="","",SUMIFS('Supply Usage'!$E$5:$E$304,'Supply Usage'!$D$5:$D$304,B151))</f>
        <v>0</v>
      </c>
      <c r="R151" s="34">
        <f>IF(OR(B151="",I151=""),"",SUMIFS('Supply Usage'!$E$5:$E$304,'Supply Usage'!$D$5:$D$304,B151,'Supply Usage'!$B$5:$B$304,"&gt;"&amp;I151))</f>
        <v>0</v>
      </c>
      <c r="S151" s="34">
        <f>IF(B151="","",IF(H151="","",H151-IF(R151="",0,R151)))</f>
        <v>0</v>
      </c>
      <c r="T151" s="34">
        <f>IF(B151="","",SUMIFS('Supply Usage'!$E$5:$E$304,'Supply Usage'!$D$5:$D$304,B151,'Supply Usage'!$B$5:$B$304,"&gt;="&amp;TodayDate-28))</f>
        <v>0</v>
      </c>
      <c r="U151" s="34">
        <f>IF(B151="","",ROUND(T151/28,3))</f>
        <v>0</v>
      </c>
      <c r="V151" s="31">
        <f>IF(OR(B151="",S151="",U151=0),"",ROUND(S151/U151,0))</f>
        <v>0</v>
      </c>
      <c r="W151" s="21">
        <f>IF(OR(B151="",S151="",P151=""),"",ROUND(S151*P151,2))</f>
        <v>0</v>
      </c>
      <c r="X151" s="21">
        <f>IF(B151="","",SUMIFS('Supply Usage'!$L$5:$L$304,'Supply Usage'!$D$5:$D$304,B151))</f>
        <v>0</v>
      </c>
      <c r="Y151" s="39">
        <f>IF(B151="","",IF(S151="","Not counted",IF(S151&lt;=0,"Out of stock",IF(AND(J151&lt;&gt;"",S151&lt;=J151),"Low stock",IF(AND(V151&lt;&gt;"",V151&lt;LowStockDays),"Low stock","In stock")))))</f>
        <v>0</v>
      </c>
      <c r="Z151" s="39">
        <f>IF(B151="","",IF(Y151="Out of stock","Order - none left",IF(Y151="Low stock","Order - running low",IF(Y151="Not counted","Add - count the stock",IF(AND(N151="No",C151="Chemicals &amp; detergents"),"Action - no safety data sheet","OK")))))</f>
        <v>0</v>
      </c>
    </row>
    <row r="152" spans="1:26">
      <c r="A152" s="43">
        <f>IF(B152="","",SupplyPrefix&amp;TEXT(ROW()-4,"0000"))</f>
        <v>0</v>
      </c>
      <c r="P152" s="21">
        <f>IF(OR(B152="",G152="",F152="",F152=0),"",ROUND(G152/F152,4))</f>
        <v>0</v>
      </c>
      <c r="Q152" s="34">
        <f>IF(B152="","",SUMIFS('Supply Usage'!$E$5:$E$304,'Supply Usage'!$D$5:$D$304,B152))</f>
        <v>0</v>
      </c>
      <c r="R152" s="34">
        <f>IF(OR(B152="",I152=""),"",SUMIFS('Supply Usage'!$E$5:$E$304,'Supply Usage'!$D$5:$D$304,B152,'Supply Usage'!$B$5:$B$304,"&gt;"&amp;I152))</f>
        <v>0</v>
      </c>
      <c r="S152" s="34">
        <f>IF(B152="","",IF(H152="","",H152-IF(R152="",0,R152)))</f>
        <v>0</v>
      </c>
      <c r="T152" s="34">
        <f>IF(B152="","",SUMIFS('Supply Usage'!$E$5:$E$304,'Supply Usage'!$D$5:$D$304,B152,'Supply Usage'!$B$5:$B$304,"&gt;="&amp;TodayDate-28))</f>
        <v>0</v>
      </c>
      <c r="U152" s="34">
        <f>IF(B152="","",ROUND(T152/28,3))</f>
        <v>0</v>
      </c>
      <c r="V152" s="31">
        <f>IF(OR(B152="",S152="",U152=0),"",ROUND(S152/U152,0))</f>
        <v>0</v>
      </c>
      <c r="W152" s="21">
        <f>IF(OR(B152="",S152="",P152=""),"",ROUND(S152*P152,2))</f>
        <v>0</v>
      </c>
      <c r="X152" s="21">
        <f>IF(B152="","",SUMIFS('Supply Usage'!$L$5:$L$304,'Supply Usage'!$D$5:$D$304,B152))</f>
        <v>0</v>
      </c>
      <c r="Y152" s="39">
        <f>IF(B152="","",IF(S152="","Not counted",IF(S152&lt;=0,"Out of stock",IF(AND(J152&lt;&gt;"",S152&lt;=J152),"Low stock",IF(AND(V152&lt;&gt;"",V152&lt;LowStockDays),"Low stock","In stock")))))</f>
        <v>0</v>
      </c>
      <c r="Z152" s="39">
        <f>IF(B152="","",IF(Y152="Out of stock","Order - none left",IF(Y152="Low stock","Order - running low",IF(Y152="Not counted","Add - count the stock",IF(AND(N152="No",C152="Chemicals &amp; detergents"),"Action - no safety data sheet","OK")))))</f>
        <v>0</v>
      </c>
    </row>
    <row r="153" spans="1:26">
      <c r="A153" s="43">
        <f>IF(B153="","",SupplyPrefix&amp;TEXT(ROW()-4,"0000"))</f>
        <v>0</v>
      </c>
      <c r="P153" s="21">
        <f>IF(OR(B153="",G153="",F153="",F153=0),"",ROUND(G153/F153,4))</f>
        <v>0</v>
      </c>
      <c r="Q153" s="34">
        <f>IF(B153="","",SUMIFS('Supply Usage'!$E$5:$E$304,'Supply Usage'!$D$5:$D$304,B153))</f>
        <v>0</v>
      </c>
      <c r="R153" s="34">
        <f>IF(OR(B153="",I153=""),"",SUMIFS('Supply Usage'!$E$5:$E$304,'Supply Usage'!$D$5:$D$304,B153,'Supply Usage'!$B$5:$B$304,"&gt;"&amp;I153))</f>
        <v>0</v>
      </c>
      <c r="S153" s="34">
        <f>IF(B153="","",IF(H153="","",H153-IF(R153="",0,R153)))</f>
        <v>0</v>
      </c>
      <c r="T153" s="34">
        <f>IF(B153="","",SUMIFS('Supply Usage'!$E$5:$E$304,'Supply Usage'!$D$5:$D$304,B153,'Supply Usage'!$B$5:$B$304,"&gt;="&amp;TodayDate-28))</f>
        <v>0</v>
      </c>
      <c r="U153" s="34">
        <f>IF(B153="","",ROUND(T153/28,3))</f>
        <v>0</v>
      </c>
      <c r="V153" s="31">
        <f>IF(OR(B153="",S153="",U153=0),"",ROUND(S153/U153,0))</f>
        <v>0</v>
      </c>
      <c r="W153" s="21">
        <f>IF(OR(B153="",S153="",P153=""),"",ROUND(S153*P153,2))</f>
        <v>0</v>
      </c>
      <c r="X153" s="21">
        <f>IF(B153="","",SUMIFS('Supply Usage'!$L$5:$L$304,'Supply Usage'!$D$5:$D$304,B153))</f>
        <v>0</v>
      </c>
      <c r="Y153" s="39">
        <f>IF(B153="","",IF(S153="","Not counted",IF(S153&lt;=0,"Out of stock",IF(AND(J153&lt;&gt;"",S153&lt;=J153),"Low stock",IF(AND(V153&lt;&gt;"",V153&lt;LowStockDays),"Low stock","In stock")))))</f>
        <v>0</v>
      </c>
      <c r="Z153" s="39">
        <f>IF(B153="","",IF(Y153="Out of stock","Order - none left",IF(Y153="Low stock","Order - running low",IF(Y153="Not counted","Add - count the stock",IF(AND(N153="No",C153="Chemicals &amp; detergents"),"Action - no safety data sheet","OK")))))</f>
        <v>0</v>
      </c>
    </row>
    <row r="154" spans="1:26">
      <c r="A154" s="43">
        <f>IF(B154="","",SupplyPrefix&amp;TEXT(ROW()-4,"0000"))</f>
        <v>0</v>
      </c>
      <c r="P154" s="21">
        <f>IF(OR(B154="",G154="",F154="",F154=0),"",ROUND(G154/F154,4))</f>
        <v>0</v>
      </c>
      <c r="Q154" s="34">
        <f>IF(B154="","",SUMIFS('Supply Usage'!$E$5:$E$304,'Supply Usage'!$D$5:$D$304,B154))</f>
        <v>0</v>
      </c>
      <c r="R154" s="34">
        <f>IF(OR(B154="",I154=""),"",SUMIFS('Supply Usage'!$E$5:$E$304,'Supply Usage'!$D$5:$D$304,B154,'Supply Usage'!$B$5:$B$304,"&gt;"&amp;I154))</f>
        <v>0</v>
      </c>
      <c r="S154" s="34">
        <f>IF(B154="","",IF(H154="","",H154-IF(R154="",0,R154)))</f>
        <v>0</v>
      </c>
      <c r="T154" s="34">
        <f>IF(B154="","",SUMIFS('Supply Usage'!$E$5:$E$304,'Supply Usage'!$D$5:$D$304,B154,'Supply Usage'!$B$5:$B$304,"&gt;="&amp;TodayDate-28))</f>
        <v>0</v>
      </c>
      <c r="U154" s="34">
        <f>IF(B154="","",ROUND(T154/28,3))</f>
        <v>0</v>
      </c>
      <c r="V154" s="31">
        <f>IF(OR(B154="",S154="",U154=0),"",ROUND(S154/U154,0))</f>
        <v>0</v>
      </c>
      <c r="W154" s="21">
        <f>IF(OR(B154="",S154="",P154=""),"",ROUND(S154*P154,2))</f>
        <v>0</v>
      </c>
      <c r="X154" s="21">
        <f>IF(B154="","",SUMIFS('Supply Usage'!$L$5:$L$304,'Supply Usage'!$D$5:$D$304,B154))</f>
        <v>0</v>
      </c>
      <c r="Y154" s="39">
        <f>IF(B154="","",IF(S154="","Not counted",IF(S154&lt;=0,"Out of stock",IF(AND(J154&lt;&gt;"",S154&lt;=J154),"Low stock",IF(AND(V154&lt;&gt;"",V154&lt;LowStockDays),"Low stock","In stock")))))</f>
        <v>0</v>
      </c>
      <c r="Z154" s="39">
        <f>IF(B154="","",IF(Y154="Out of stock","Order - none left",IF(Y154="Low stock","Order - running low",IF(Y154="Not counted","Add - count the stock",IF(AND(N154="No",C154="Chemicals &amp; detergents"),"Action - no safety data sheet","OK")))))</f>
        <v>0</v>
      </c>
    </row>
  </sheetData>
  <sheetProtection password="EC7C" sheet="1" objects="1" scenarios="1" formatCells="0" formatColumns="0" formatRows="0" insertRows="0" insertHyperlinks="0" deleteRows="0" autoFilter="0"/>
  <autoFilter ref="A4:Z154"/>
  <mergeCells count="13">
    <mergeCell ref="A1:W1"/>
    <mergeCell ref="X1:Z1"/>
    <mergeCell ref="A2:Z2"/>
    <mergeCell ref="A3:B3"/>
    <mergeCell ref="C3:D3"/>
    <mergeCell ref="E3:F3"/>
    <mergeCell ref="G3:H3"/>
    <mergeCell ref="I3:J3"/>
    <mergeCell ref="K3:L3"/>
    <mergeCell ref="M3:N3"/>
    <mergeCell ref="O3:P3"/>
    <mergeCell ref="Q3:R3"/>
    <mergeCell ref="S3:Z3"/>
  </mergeCells>
  <conditionalFormatting sqref="M5:M154">
    <cfRule type="containsText" dxfId="0" priority="1" operator="containsText" text="No">
      <formula>NOT(ISERROR(SEARCH("No",M5)))</formula>
    </cfRule>
    <cfRule type="containsText" dxfId="1" priority="2" operator="containsText" text="Yes">
      <formula>NOT(ISERROR(SEARCH("Yes",M5)))</formula>
    </cfRule>
  </conditionalFormatting>
  <conditionalFormatting sqref="N5:N154">
    <cfRule type="containsText" dxfId="0" priority="3" operator="containsText" text="No">
      <formula>NOT(ISERROR(SEARCH("No",N5)))</formula>
    </cfRule>
    <cfRule type="containsText" dxfId="1" priority="4" operator="containsText" text="Yes">
      <formula>NOT(ISERROR(SEARCH("Yes",N5)))</formula>
    </cfRule>
  </conditionalFormatting>
  <conditionalFormatting sqref="S5:S154">
    <cfRule type="cellIs" dxfId="2" priority="5" operator="lessThanOrEqual">
      <formula>0</formula>
    </cfRule>
  </conditionalFormatting>
  <conditionalFormatting sqref="V5:V154">
    <cfRule type="cellIs" dxfId="0" priority="6" operator="lessThan">
      <formula>LowStockDays</formula>
    </cfRule>
    <cfRule type="cellIs" dxfId="2" priority="7" operator="lessThanOrEqual">
      <formula>0</formula>
    </cfRule>
  </conditionalFormatting>
  <conditionalFormatting sqref="Y5:Y154">
    <cfRule type="containsText" dxfId="1" priority="8" operator="containsText" text="Completed">
      <formula>NOT(ISERROR(SEARCH("Completed",Y5)))</formula>
    </cfRule>
    <cfRule type="containsText" dxfId="1" priority="9" operator="containsText" text="Complete">
      <formula>NOT(ISERROR(SEARCH("Complete",Y5)))</formula>
    </cfRule>
    <cfRule type="containsText" dxfId="1" priority="10" operator="containsText" text="Done">
      <formula>NOT(ISERROR(SEARCH("Done",Y5)))</formula>
    </cfRule>
    <cfRule type="containsText" dxfId="1" priority="11" operator="containsText" text="Paid">
      <formula>NOT(ISERROR(SEARCH("Paid",Y5)))</formula>
    </cfRule>
    <cfRule type="containsText" dxfId="1" priority="12" operator="containsText" text="Accepted">
      <formula>NOT(ISERROR(SEARCH("Accepted",Y5)))</formula>
    </cfRule>
    <cfRule type="containsText" dxfId="1" priority="13" operator="containsText" text="Won">
      <formula>NOT(ISERROR(SEARCH("Won",Y5)))</formula>
    </cfRule>
    <cfRule type="containsText" dxfId="1" priority="14" operator="containsText" text="Active">
      <formula>NOT(ISERROR(SEARCH("Active",Y5)))</formula>
    </cfRule>
    <cfRule type="containsText" dxfId="1" priority="15" operator="containsText" text="In stock">
      <formula>NOT(ISERROR(SEARCH("In stock",Y5)))</formula>
    </cfRule>
    <cfRule type="containsText" dxfId="1" priority="16" operator="containsText" text="Resolved">
      <formula>NOT(ISERROR(SEARCH("Resolved",Y5)))</formula>
    </cfRule>
    <cfRule type="containsText" dxfId="1" priority="17" operator="containsText" text="Signed">
      <formula>NOT(ISERROR(SEARCH("Signed",Y5)))</formula>
    </cfRule>
    <cfRule type="containsText" dxfId="1" priority="18" operator="containsText" text="Yes">
      <formula>NOT(ISERROR(SEARCH("Yes",Y5)))</formula>
    </cfRule>
    <cfRule type="containsText" dxfId="3" priority="19" operator="containsText" text="Booked">
      <formula>NOT(ISERROR(SEARCH("Booked",Y5)))</formula>
    </cfRule>
    <cfRule type="containsText" dxfId="3" priority="20" operator="containsText" text="Confirmed">
      <formula>NOT(ISERROR(SEARCH("Confirmed",Y5)))</formula>
    </cfRule>
    <cfRule type="containsText" dxfId="3" priority="21" operator="containsText" text="Scheduled">
      <formula>NOT(ISERROR(SEARCH("Scheduled",Y5)))</formula>
    </cfRule>
    <cfRule type="containsText" dxfId="3" priority="22" operator="containsText" text="In progress">
      <formula>NOT(ISERROR(SEARCH("In progress",Y5)))</formula>
    </cfRule>
    <cfRule type="containsText" dxfId="3" priority="23" operator="containsText" text="Sent">
      <formula>NOT(ISERROR(SEARCH("Sent",Y5)))</formula>
    </cfRule>
    <cfRule type="containsText" dxfId="3" priority="24" operator="containsText" text="Invoiced">
      <formula>NOT(ISERROR(SEARCH("Invoiced",Y5)))</formula>
    </cfRule>
    <cfRule type="containsText" dxfId="3" priority="25" operator="containsText" text="Quoted">
      <formula>NOT(ISERROR(SEARCH("Quoted",Y5)))</formula>
    </cfRule>
    <cfRule type="containsText" dxfId="3" priority="26" operator="containsText" text="Prospect">
      <formula>NOT(ISERROR(SEARCH("Prospect",Y5)))</formula>
    </cfRule>
    <cfRule type="containsText" dxfId="0" priority="27" operator="containsText" text="Draft">
      <formula>NOT(ISERROR(SEARCH("Draft",Y5)))</formula>
    </cfRule>
    <cfRule type="containsText" dxfId="0" priority="28" operator="containsText" text="Enquiry">
      <formula>NOT(ISERROR(SEARCH("Enquiry",Y5)))</formula>
    </cfRule>
    <cfRule type="containsText" dxfId="0" priority="29" operator="containsText" text="Pending">
      <formula>NOT(ISERROR(SEARCH("Pending",Y5)))</formula>
    </cfRule>
    <cfRule type="containsText" dxfId="0" priority="30" operator="containsText" text="Part paid">
      <formula>NOT(ISERROR(SEARCH("Part paid",Y5)))</formula>
    </cfRule>
    <cfRule type="containsText" dxfId="0" priority="31" operator="containsText" text="Followed up">
      <formula>NOT(ISERROR(SEARCH("Followed up",Y5)))</formula>
    </cfRule>
    <cfRule type="containsText" dxfId="0" priority="32" operator="containsText" text="Low stock">
      <formula>NOT(ISERROR(SEARCH("Low stock",Y5)))</formula>
    </cfRule>
    <cfRule type="containsText" dxfId="0" priority="33" operator="containsText" text="Due soon">
      <formula>NOT(ISERROR(SEARCH("Due soon",Y5)))</formula>
    </cfRule>
    <cfRule type="containsText" dxfId="0" priority="34" operator="containsText" text="On hold">
      <formula>NOT(ISERROR(SEARCH("On hold",Y5)))</formula>
    </cfRule>
    <cfRule type="containsText" dxfId="0" priority="35" operator="containsText" text="Unassigned">
      <formula>NOT(ISERROR(SEARCH("Unassigned",Y5)))</formula>
    </cfRule>
    <cfRule type="containsText" dxfId="2" priority="36" operator="containsText" text="Overdue">
      <formula>NOT(ISERROR(SEARCH("Overdue",Y5)))</formula>
    </cfRule>
    <cfRule type="containsText" dxfId="2" priority="37" operator="containsText" text="Cancelled">
      <formula>NOT(ISERROR(SEARCH("Cancelled",Y5)))</formula>
    </cfRule>
    <cfRule type="containsText" dxfId="2" priority="38" operator="containsText" text="Declined">
      <formula>NOT(ISERROR(SEARCH("Declined",Y5)))</formula>
    </cfRule>
    <cfRule type="containsText" dxfId="2" priority="39" operator="containsText" text="Lost">
      <formula>NOT(ISERROR(SEARCH("Lost",Y5)))</formula>
    </cfRule>
    <cfRule type="containsText" dxfId="2" priority="40" operator="containsText" text="No access">
      <formula>NOT(ISERROR(SEARCH("No access",Y5)))</formula>
    </cfRule>
    <cfRule type="containsText" dxfId="2" priority="41" operator="containsText" text="Out of stock">
      <formula>NOT(ISERROR(SEARCH("Out of stock",Y5)))</formula>
    </cfRule>
    <cfRule type="containsText" dxfId="2" priority="42" operator="containsText" text="Written off">
      <formula>NOT(ISERROR(SEARCH("Written off",Y5)))</formula>
    </cfRule>
    <cfRule type="containsText" dxfId="2" priority="43" operator="containsText" text="Expired">
      <formula>NOT(ISERROR(SEARCH("Expired",Y5)))</formula>
    </cfRule>
    <cfRule type="containsText" dxfId="4" priority="44" operator="containsText" text="Inactive">
      <formula>NOT(ISERROR(SEARCH("Inactive",Y5)))</formula>
    </cfRule>
    <cfRule type="containsText" dxfId="4" priority="45" operator="containsText" text="Archived">
      <formula>NOT(ISERROR(SEARCH("Archived",Y5)))</formula>
    </cfRule>
    <cfRule type="containsText" dxfId="4" priority="46" operator="containsText" text="Not needed">
      <formula>NOT(ISERROR(SEARCH("Not needed",Y5)))</formula>
    </cfRule>
  </conditionalFormatting>
  <conditionalFormatting sqref="Z5:Z154">
    <cfRule type="beginsWith" dxfId="1" priority="47" operator="beginsWith" text="OK">
      <formula>LEFT(Z5,2)="OK"</formula>
    </cfRule>
    <cfRule type="containsText" dxfId="2" priority="48" operator="containsText" text="Overdue">
      <formula>NOT(ISERROR(SEARCH("Overdue",Z5)))</formula>
    </cfRule>
    <cfRule type="containsText" dxfId="2" priority="49" operator="containsText" text="Late">
      <formula>NOT(ISERROR(SEARCH("Late",Z5)))</formula>
    </cfRule>
    <cfRule type="containsText" dxfId="2" priority="50" operator="containsText" text="Missing">
      <formula>NOT(ISERROR(SEARCH("Missing",Z5)))</formula>
    </cfRule>
    <cfRule type="containsText" dxfId="2" priority="51" operator="containsText" text="Conflict">
      <formula>NOT(ISERROR(SEARCH("Conflict",Z5)))</formula>
    </cfRule>
    <cfRule type="containsText" dxfId="2" priority="52" operator="containsText" text="Clash">
      <formula>NOT(ISERROR(SEARCH("Clash",Z5)))</formula>
    </cfRule>
    <cfRule type="containsText" dxfId="2" priority="53" operator="containsText" text="Expired">
      <formula>NOT(ISERROR(SEARCH("Expired",Z5)))</formula>
    </cfRule>
    <cfRule type="containsText" dxfId="2" priority="54" operator="containsText" text="Duplicate">
      <formula>NOT(ISERROR(SEARCH("Duplicate",Z5)))</formula>
    </cfRule>
    <cfRule type="containsText" dxfId="2" priority="55" operator="containsText" text="Unpaid">
      <formula>NOT(ISERROR(SEARCH("Unpaid",Z5)))</formula>
    </cfRule>
    <cfRule type="containsText" dxfId="2" priority="56" operator="containsText" text="Loss">
      <formula>NOT(ISERROR(SEARCH("Loss",Z5)))</formula>
    </cfRule>
    <cfRule type="containsText" dxfId="2" priority="57" operator="containsText" text="Below">
      <formula>NOT(ISERROR(SEARCH("Below",Z5)))</formula>
    </cfRule>
    <cfRule type="containsText" dxfId="0" priority="58" operator="containsText" text="Action">
      <formula>NOT(ISERROR(SEARCH("Action",Z5)))</formula>
    </cfRule>
    <cfRule type="containsText" dxfId="0" priority="59" operator="containsText" text="Due">
      <formula>NOT(ISERROR(SEARCH("Due",Z5)))</formula>
    </cfRule>
    <cfRule type="containsText" dxfId="0" priority="60" operator="containsText" text="Check">
      <formula>NOT(ISERROR(SEARCH("Check",Z5)))</formula>
    </cfRule>
    <cfRule type="containsText" dxfId="0" priority="61" operator="containsText" text="Chase">
      <formula>NOT(ISERROR(SEARCH("Chase",Z5)))</formula>
    </cfRule>
    <cfRule type="containsText" dxfId="0" priority="62" operator="containsText" text="Assign">
      <formula>NOT(ISERROR(SEARCH("Assign",Z5)))</formula>
    </cfRule>
    <cfRule type="containsText" dxfId="0" priority="63" operator="containsText" text="Confirm">
      <formula>NOT(ISERROR(SEARCH("Confirm",Z5)))</formula>
    </cfRule>
    <cfRule type="containsText" dxfId="0" priority="64" operator="containsText" text="Order">
      <formula>NOT(ISERROR(SEARCH("Order",Z5)))</formula>
    </cfRule>
    <cfRule type="containsText" dxfId="3" priority="65" operator="containsText" text="Today">
      <formula>NOT(ISERROR(SEARCH("Today",Z5)))</formula>
    </cfRule>
    <cfRule type="containsText" dxfId="3" priority="66" operator="containsText" text="Upcoming">
      <formula>NOT(ISERROR(SEARCH("Upcoming",Z5)))</formula>
    </cfRule>
    <cfRule type="containsText" dxfId="3" priority="67" operator="containsText" text="Tomorrow">
      <formula>NOT(ISERROR(SEARCH("Tomorrow",Z5)))</formula>
    </cfRule>
  </conditionalFormatting>
  <dataValidations count="11">
    <dataValidation type="list" allowBlank="1" showInputMessage="1" showErrorMessage="1" sqref="C5:C154">
      <formula1>SupplyCategoryList</formula1>
    </dataValidation>
    <dataValidation type="list" allowBlank="1" showInputMessage="1" showErrorMessage="1" promptTitle="Unit" prompt="The unit you use it in - a bottle, a litre, a roll. Buy in packs, use in units." sqref="E5:E154">
      <formula1>SupplyUnitList</formula1>
    </dataValidation>
    <dataValidation type="decimal" allowBlank="1" showInputMessage="1" showErrorMessage="1" errorTitle="Check the value" error="Enter a number between 0 and 100000." promptTitle="Units in a pack" prompt="Six bottles in a case, 24 rolls in a pack." sqref="F5:F154">
      <formula1>0</formula1>
      <formula2>100000</formula2>
    </dataValidation>
    <dataValidation type="decimal" allowBlank="1" showInputMessage="1" showErrorMessage="1" errorTitle="Check the value" error="Enter a number between 0 and 100000." sqref="G5:G154">
      <formula1>0</formula1>
      <formula2>100000</formula2>
    </dataValidation>
    <dataValidation type="decimal" allowBlank="1" showInputMessage="1" showErrorMessage="1" errorTitle="Check the value" error="Enter a number between 0 and 1000000." promptTitle="Counted stock" prompt="How many units you had when you last counted. Count the cupboard once a month and type it here." sqref="H5:H154">
      <formula1>0</formula1>
      <formula2>1000000</formula2>
    </dataValidation>
    <dataValidation type="date" allowBlank="1" showInputMessage="1" showErrorMessage="1" errorTitle="Check the date" error="Enter a real date between 2000 and 2100." promptTitle="Counted on" prompt="Usage logged after this date is taken off the counted stock." sqref="I5:I154">
      <formula1>36526</formula1>
      <formula2>73415</formula2>
    </dataValidation>
    <dataValidation type="decimal" allowBlank="1" showInputMessage="1" showErrorMessage="1" errorTitle="Check the value" error="Enter a number between 0 and 1000000." promptTitle="Reorder at" prompt="The level that triggers a 'low stock' flag." sqref="J5:J154">
      <formula1>0</formula1>
      <formula2>1000000</formula2>
    </dataValidation>
    <dataValidation type="decimal" allowBlank="1" showInputMessage="1" showErrorMessage="1" errorTitle="Check the value" error="Enter a number between 0 and 1000000." sqref="K5:K154">
      <formula1>0</formula1>
      <formula2>1000000</formula2>
    </dataValidation>
    <dataValidation type="date" allowBlank="1" showInputMessage="1" showErrorMessage="1" errorTitle="Check the date" error="Enter a real date between 2000 and 2100." sqref="L5:L154">
      <formula1>36526</formula1>
      <formula2>73415</formula2>
    </dataValidation>
    <dataValidation type="list" allowBlank="1" showInputMessage="1" showErrorMessage="1" promptTitle="Eco / low tox?" prompt="Worth tracking - more and more clients ask." sqref="M5:M154">
      <formula1>YesNoList</formula1>
    </dataValidation>
    <dataValidation type="list" allowBlank="1" showInputMessage="1" showErrorMessage="1" promptTitle="Hazard sheet?" prompt="Any chemical your staff use should have its safety data sheet on file. The Safety tab tracks them." sqref="N5:N154">
      <formula1>YesNoNAList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&amp;L&amp;"Calibri,Bold"&amp;12&amp;C&amp;"Calibri,Bold"&amp;11Supplies&amp;R&amp;"Calibri,Italic"&amp;9Cleaning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23.xml><?xml version="1.0" encoding="utf-8"?>
<worksheet xmlns="http://schemas.openxmlformats.org/spreadsheetml/2006/main" xmlns:r="http://schemas.openxmlformats.org/officeDocument/2006/relationships">
  <sheetPr>
    <tabColor rgb="FFDCEEF0"/>
    <pageSetUpPr fitToPage="1"/>
  </sheetPr>
  <dimension ref="A1:M3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11.7109375" style="46" customWidth="1"/>
    <col min="3" max="3" width="10.7109375" style="23" customWidth="1"/>
    <col min="4" max="4" width="24.7109375" style="15" customWidth="1"/>
    <col min="5" max="5" width="11.7109375" style="17" customWidth="1"/>
    <col min="6" max="6" width="11.7109375" style="49" customWidth="1"/>
    <col min="7" max="7" width="16.7109375" style="15" customWidth="1"/>
    <col min="8" max="8" width="20.7109375" style="15" customWidth="1"/>
    <col min="9" max="9" width="26.7109375" style="44" customWidth="1"/>
    <col min="10" max="10" width="20.7109375" style="23" customWidth="1"/>
    <col min="11" max="11" width="10.7109375" style="21" hidden="1" customWidth="1"/>
    <col min="12" max="12" width="11.7109375" style="21" customWidth="1"/>
    <col min="13" max="13" width="22.7109375" style="39" customWidth="1"/>
  </cols>
  <sheetData>
    <row r="1" spans="1:13" ht="34" customHeight="1">
      <c r="A1" s="2" t="s">
        <v>1749</v>
      </c>
      <c r="B1" s="2"/>
      <c r="C1" s="2"/>
      <c r="D1" s="2"/>
      <c r="E1" s="2"/>
      <c r="F1" s="2"/>
      <c r="G1" s="2"/>
      <c r="H1" s="2"/>
      <c r="I1" s="2"/>
      <c r="J1" s="2"/>
      <c r="K1" s="3" t="s">
        <v>1</v>
      </c>
      <c r="L1" s="3"/>
      <c r="M1" s="3"/>
    </row>
    <row r="2" spans="1:13" ht="18" customHeight="1">
      <c r="A2" s="4" t="s">
        <v>1750</v>
      </c>
      <c r="B2" s="4"/>
      <c r="C2" s="4"/>
      <c r="D2" s="4"/>
      <c r="E2" s="4"/>
      <c r="F2" s="4"/>
      <c r="G2" s="4"/>
      <c r="H2" s="4"/>
      <c r="I2" s="4"/>
      <c r="J2" s="4"/>
      <c r="K2" s="4"/>
      <c r="L2" s="4"/>
      <c r="M2" s="4"/>
    </row>
    <row r="3" spans="1:13" ht="16" customHeight="1">
      <c r="A3" s="5" t="s">
        <v>3</v>
      </c>
      <c r="B3" s="5"/>
      <c r="C3" s="5" t="s">
        <v>4</v>
      </c>
      <c r="D3" s="5"/>
      <c r="E3" s="5" t="s">
        <v>5</v>
      </c>
      <c r="F3" s="5"/>
      <c r="G3" s="5" t="s">
        <v>6</v>
      </c>
      <c r="H3" s="5"/>
      <c r="I3" s="5" t="s">
        <v>7</v>
      </c>
      <c r="J3" s="5"/>
      <c r="K3" s="5" t="s">
        <v>338</v>
      </c>
      <c r="L3" s="5"/>
      <c r="M3" s="14" t="s">
        <v>172</v>
      </c>
    </row>
    <row r="4" spans="1:13" ht="30" customHeight="1">
      <c r="A4" s="8" t="s">
        <v>545</v>
      </c>
      <c r="B4" s="8" t="s">
        <v>1100</v>
      </c>
      <c r="C4" s="9" t="s">
        <v>340</v>
      </c>
      <c r="D4" s="9" t="s">
        <v>1679</v>
      </c>
      <c r="E4" s="9" t="s">
        <v>1751</v>
      </c>
      <c r="F4" s="9" t="s">
        <v>1169</v>
      </c>
      <c r="G4" s="9" t="s">
        <v>1752</v>
      </c>
      <c r="H4" s="9" t="s">
        <v>1753</v>
      </c>
      <c r="I4" s="9" t="s">
        <v>421</v>
      </c>
      <c r="J4" s="9" t="s">
        <v>403</v>
      </c>
      <c r="K4" s="9" t="s">
        <v>1690</v>
      </c>
      <c r="L4" s="9" t="s">
        <v>1080</v>
      </c>
      <c r="M4" s="9" t="s">
        <v>970</v>
      </c>
    </row>
    <row r="5" spans="1:13">
      <c r="A5" s="43">
        <f>IF(D5="","","SU-"&amp;TEXT(ROW()-4,"0000"))</f>
        <v>0</v>
      </c>
      <c r="B5" s="46">
        <v>46285</v>
      </c>
      <c r="C5" s="23">
        <f>IF(B5="","",TEXT(B5,"yyyy-mm"))</f>
        <v>0</v>
      </c>
      <c r="D5" s="15" t="s">
        <v>1700</v>
      </c>
      <c r="E5" s="17">
        <v>2</v>
      </c>
      <c r="F5" s="49" t="s">
        <v>1498</v>
      </c>
      <c r="G5" s="15" t="s">
        <v>639</v>
      </c>
      <c r="H5" s="15" t="s">
        <v>1754</v>
      </c>
      <c r="I5" s="44" t="s">
        <v>172</v>
      </c>
      <c r="J5" s="23">
        <f>IF(F5="","",IFERROR(INDEX(Jobs!$H$5:$H$604,MATCH(F5,Jobs!$A$5:$A$604,0)),""))</f>
        <v>0</v>
      </c>
      <c r="K5" s="21">
        <f>IF(D5="","",IFERROR(INDEX(Supplies!$P$5:$P$154,MATCH(D5,Supplies!$B$5:$B$154,0)),""))</f>
        <v>0</v>
      </c>
      <c r="L5" s="21">
        <f>IF(D5="","",ROUND(IF(E5="",0,E5)*IFERROR(K5*1,0),2))</f>
        <v>0</v>
      </c>
      <c r="M5" s="39">
        <f>IF(D5="","",IF(E5="","Add - how much?",IF(K5="","Check - item not in Supplies",IF(F5="","Not on a job","OK"))))</f>
        <v>0</v>
      </c>
    </row>
    <row r="6" spans="1:13">
      <c r="A6" s="43">
        <f>IF(D6="","","SU-"&amp;TEXT(ROW()-4,"0000"))</f>
        <v>0</v>
      </c>
      <c r="B6" s="46">
        <v>46287</v>
      </c>
      <c r="C6" s="23">
        <f>IF(B6="","",TEXT(B6,"yyyy-mm"))</f>
        <v>0</v>
      </c>
      <c r="D6" s="15" t="s">
        <v>1718</v>
      </c>
      <c r="E6" s="17">
        <v>0.5</v>
      </c>
      <c r="F6" s="49" t="s">
        <v>1501</v>
      </c>
      <c r="G6" s="15" t="s">
        <v>584</v>
      </c>
      <c r="H6" s="15" t="s">
        <v>1754</v>
      </c>
      <c r="I6" s="44" t="s">
        <v>172</v>
      </c>
      <c r="J6" s="23">
        <f>IF(F6="","",IFERROR(INDEX(Jobs!$H$5:$H$604,MATCH(F6,Jobs!$A$5:$A$604,0)),""))</f>
        <v>0</v>
      </c>
      <c r="K6" s="21">
        <f>IF(D6="","",IFERROR(INDEX(Supplies!$P$5:$P$154,MATCH(D6,Supplies!$B$5:$B$154,0)),""))</f>
        <v>0</v>
      </c>
      <c r="L6" s="21">
        <f>IF(D6="","",ROUND(IF(E6="",0,E6)*IFERROR(K6*1,0),2))</f>
        <v>0</v>
      </c>
      <c r="M6" s="39">
        <f>IF(D6="","",IF(E6="","Add - how much?",IF(K6="","Check - item not in Supplies",IF(F6="","Not on a job","OK"))))</f>
        <v>0</v>
      </c>
    </row>
    <row r="7" spans="1:13">
      <c r="A7" s="43">
        <f>IF(D7="","","SU-"&amp;TEXT(ROW()-4,"0000"))</f>
        <v>0</v>
      </c>
      <c r="B7" s="46">
        <v>46289</v>
      </c>
      <c r="C7" s="23">
        <f>IF(B7="","",TEXT(B7,"yyyy-mm"))</f>
        <v>0</v>
      </c>
      <c r="D7" s="15" t="s">
        <v>1726</v>
      </c>
      <c r="E7" s="17">
        <v>0.25</v>
      </c>
      <c r="F7" s="49" t="s">
        <v>1504</v>
      </c>
      <c r="G7" s="15" t="s">
        <v>596</v>
      </c>
      <c r="H7" s="15" t="s">
        <v>1754</v>
      </c>
      <c r="I7" s="44" t="s">
        <v>172</v>
      </c>
      <c r="J7" s="23">
        <f>IF(F7="","",IFERROR(INDEX(Jobs!$H$5:$H$604,MATCH(F7,Jobs!$A$5:$A$604,0)),""))</f>
        <v>0</v>
      </c>
      <c r="K7" s="21">
        <f>IF(D7="","",IFERROR(INDEX(Supplies!$P$5:$P$154,MATCH(D7,Supplies!$B$5:$B$154,0)),""))</f>
        <v>0</v>
      </c>
      <c r="L7" s="21">
        <f>IF(D7="","",ROUND(IF(E7="",0,E7)*IFERROR(K7*1,0),2))</f>
        <v>0</v>
      </c>
      <c r="M7" s="39">
        <f>IF(D7="","",IF(E7="","Add - how much?",IF(K7="","Check - item not in Supplies",IF(F7="","Not on a job","OK"))))</f>
        <v>0</v>
      </c>
    </row>
    <row r="8" spans="1:13">
      <c r="A8" s="43">
        <f>IF(D8="","","SU-"&amp;TEXT(ROW()-4,"0000"))</f>
        <v>0</v>
      </c>
      <c r="B8" s="46">
        <v>46290</v>
      </c>
      <c r="C8" s="23">
        <f>IF(B8="","",TEXT(B8,"yyyy-mm"))</f>
        <v>0</v>
      </c>
      <c r="D8" s="15" t="s">
        <v>1712</v>
      </c>
      <c r="E8" s="17">
        <v>1</v>
      </c>
      <c r="F8" s="49" t="s">
        <v>1507</v>
      </c>
      <c r="G8" s="15" t="s">
        <v>608</v>
      </c>
      <c r="H8" s="15" t="s">
        <v>1754</v>
      </c>
      <c r="I8" s="44" t="s">
        <v>172</v>
      </c>
      <c r="J8" s="23">
        <f>IF(F8="","",IFERROR(INDEX(Jobs!$H$5:$H$604,MATCH(F8,Jobs!$A$5:$A$604,0)),""))</f>
        <v>0</v>
      </c>
      <c r="K8" s="21">
        <f>IF(D8="","",IFERROR(INDEX(Supplies!$P$5:$P$154,MATCH(D8,Supplies!$B$5:$B$154,0)),""))</f>
        <v>0</v>
      </c>
      <c r="L8" s="21">
        <f>IF(D8="","",ROUND(IF(E8="",0,E8)*IFERROR(K8*1,0),2))</f>
        <v>0</v>
      </c>
      <c r="M8" s="39">
        <f>IF(D8="","",IF(E8="","Add - how much?",IF(K8="","Check - item not in Supplies",IF(F8="","Not on a job","OK"))))</f>
        <v>0</v>
      </c>
    </row>
    <row r="9" spans="1:13">
      <c r="A9" s="43">
        <f>IF(D9="","","SU-"&amp;TEXT(ROW()-4,"0000"))</f>
        <v>0</v>
      </c>
      <c r="B9" s="46">
        <v>46291</v>
      </c>
      <c r="C9" s="23">
        <f>IF(B9="","",TEXT(B9,"yyyy-mm"))</f>
        <v>0</v>
      </c>
      <c r="D9" s="15" t="s">
        <v>1709</v>
      </c>
      <c r="E9" s="17">
        <v>1</v>
      </c>
      <c r="F9" s="49" t="s">
        <v>1510</v>
      </c>
      <c r="G9" s="15" t="s">
        <v>596</v>
      </c>
      <c r="H9" s="15" t="s">
        <v>1754</v>
      </c>
      <c r="I9" s="44" t="s">
        <v>172</v>
      </c>
      <c r="J9" s="23">
        <f>IF(F9="","",IFERROR(INDEX(Jobs!$H$5:$H$604,MATCH(F9,Jobs!$A$5:$A$604,0)),""))</f>
        <v>0</v>
      </c>
      <c r="K9" s="21">
        <f>IF(D9="","",IFERROR(INDEX(Supplies!$P$5:$P$154,MATCH(D9,Supplies!$B$5:$B$154,0)),""))</f>
        <v>0</v>
      </c>
      <c r="L9" s="21">
        <f>IF(D9="","",ROUND(IF(E9="",0,E9)*IFERROR(K9*1,0),2))</f>
        <v>0</v>
      </c>
      <c r="M9" s="39">
        <f>IF(D9="","",IF(E9="","Add - how much?",IF(K9="","Check - item not in Supplies",IF(F9="","Not on a job","OK"))))</f>
        <v>0</v>
      </c>
    </row>
    <row r="10" spans="1:13">
      <c r="A10" s="43">
        <f>IF(D10="","","SU-"&amp;TEXT(ROW()-4,"0000"))</f>
        <v>0</v>
      </c>
      <c r="B10" s="46">
        <v>46293</v>
      </c>
      <c r="C10" s="23">
        <f>IF(B10="","",TEXT(B10,"yyyy-mm"))</f>
        <v>0</v>
      </c>
      <c r="D10" s="15" t="s">
        <v>1729</v>
      </c>
      <c r="E10" s="17">
        <v>0.25</v>
      </c>
      <c r="F10" s="49" t="s">
        <v>1513</v>
      </c>
      <c r="G10" s="15" t="s">
        <v>608</v>
      </c>
      <c r="H10" s="15" t="s">
        <v>1754</v>
      </c>
      <c r="I10" s="44" t="s">
        <v>172</v>
      </c>
      <c r="J10" s="23">
        <f>IF(F10="","",IFERROR(INDEX(Jobs!$H$5:$H$604,MATCH(F10,Jobs!$A$5:$A$604,0)),""))</f>
        <v>0</v>
      </c>
      <c r="K10" s="21">
        <f>IF(D10="","",IFERROR(INDEX(Supplies!$P$5:$P$154,MATCH(D10,Supplies!$B$5:$B$154,0)),""))</f>
        <v>0</v>
      </c>
      <c r="L10" s="21">
        <f>IF(D10="","",ROUND(IF(E10="",0,E10)*IFERROR(K10*1,0),2))</f>
        <v>0</v>
      </c>
      <c r="M10" s="39">
        <f>IF(D10="","",IF(E10="","Add - how much?",IF(K10="","Check - item not in Supplies",IF(F10="","Not on a job","OK"))))</f>
        <v>0</v>
      </c>
    </row>
    <row r="11" spans="1:13">
      <c r="A11" s="43">
        <f>IF(D11="","","SU-"&amp;TEXT(ROW()-4,"0000"))</f>
        <v>0</v>
      </c>
      <c r="B11" s="46">
        <v>46296</v>
      </c>
      <c r="C11" s="23">
        <f>IF(B11="","",TEXT(B11,"yyyy-mm"))</f>
        <v>0</v>
      </c>
      <c r="D11" s="15" t="s">
        <v>1705</v>
      </c>
      <c r="E11" s="17">
        <v>0.5</v>
      </c>
      <c r="F11" s="49" t="s">
        <v>1516</v>
      </c>
      <c r="G11" s="15" t="s">
        <v>664</v>
      </c>
      <c r="H11" s="15" t="s">
        <v>1754</v>
      </c>
      <c r="I11" s="44" t="s">
        <v>172</v>
      </c>
      <c r="J11" s="23">
        <f>IF(F11="","",IFERROR(INDEX(Jobs!$H$5:$H$604,MATCH(F11,Jobs!$A$5:$A$604,0)),""))</f>
        <v>0</v>
      </c>
      <c r="K11" s="21">
        <f>IF(D11="","",IFERROR(INDEX(Supplies!$P$5:$P$154,MATCH(D11,Supplies!$B$5:$B$154,0)),""))</f>
        <v>0</v>
      </c>
      <c r="L11" s="21">
        <f>IF(D11="","",ROUND(IF(E11="",0,E11)*IFERROR(K11*1,0),2))</f>
        <v>0</v>
      </c>
      <c r="M11" s="39">
        <f>IF(D11="","",IF(E11="","Add - how much?",IF(K11="","Check - item not in Supplies",IF(F11="","Not on a job","OK"))))</f>
        <v>0</v>
      </c>
    </row>
    <row r="12" spans="1:13">
      <c r="A12" s="43">
        <f>IF(D12="","","SU-"&amp;TEXT(ROW()-4,"0000"))</f>
        <v>0</v>
      </c>
      <c r="B12" s="46">
        <v>46297</v>
      </c>
      <c r="C12" s="23">
        <f>IF(B12="","",TEXT(B12,"yyyy-mm"))</f>
        <v>0</v>
      </c>
      <c r="D12" s="15" t="s">
        <v>1733</v>
      </c>
      <c r="E12" s="17">
        <v>1</v>
      </c>
      <c r="F12" s="49" t="s">
        <v>1519</v>
      </c>
      <c r="G12" s="15" t="s">
        <v>608</v>
      </c>
      <c r="H12" s="15" t="s">
        <v>1754</v>
      </c>
      <c r="I12" s="44" t="s">
        <v>172</v>
      </c>
      <c r="J12" s="23">
        <f>IF(F12="","",IFERROR(INDEX(Jobs!$H$5:$H$604,MATCH(F12,Jobs!$A$5:$A$604,0)),""))</f>
        <v>0</v>
      </c>
      <c r="K12" s="21">
        <f>IF(D12="","",IFERROR(INDEX(Supplies!$P$5:$P$154,MATCH(D12,Supplies!$B$5:$B$154,0)),""))</f>
        <v>0</v>
      </c>
      <c r="L12" s="21">
        <f>IF(D12="","",ROUND(IF(E12="",0,E12)*IFERROR(K12*1,0),2))</f>
        <v>0</v>
      </c>
      <c r="M12" s="39">
        <f>IF(D12="","",IF(E12="","Add - how much?",IF(K12="","Check - item not in Supplies",IF(F12="","Not on a job","OK"))))</f>
        <v>0</v>
      </c>
    </row>
    <row r="13" spans="1:13">
      <c r="A13" s="43">
        <f>IF(D13="","","SU-"&amp;TEXT(ROW()-4,"0000"))</f>
        <v>0</v>
      </c>
      <c r="B13" s="46">
        <v>46298</v>
      </c>
      <c r="C13" s="23">
        <f>IF(B13="","",TEXT(B13,"yyyy-mm"))</f>
        <v>0</v>
      </c>
      <c r="D13" s="15" t="s">
        <v>1737</v>
      </c>
      <c r="E13" s="17">
        <v>2</v>
      </c>
      <c r="F13" s="49" t="s">
        <v>1522</v>
      </c>
      <c r="G13" s="15" t="s">
        <v>596</v>
      </c>
      <c r="H13" s="15" t="s">
        <v>1754</v>
      </c>
      <c r="I13" s="44" t="s">
        <v>172</v>
      </c>
      <c r="J13" s="23">
        <f>IF(F13="","",IFERROR(INDEX(Jobs!$H$5:$H$604,MATCH(F13,Jobs!$A$5:$A$604,0)),""))</f>
        <v>0</v>
      </c>
      <c r="K13" s="21">
        <f>IF(D13="","",IFERROR(INDEX(Supplies!$P$5:$P$154,MATCH(D13,Supplies!$B$5:$B$154,0)),""))</f>
        <v>0</v>
      </c>
      <c r="L13" s="21">
        <f>IF(D13="","",ROUND(IF(E13="",0,E13)*IFERROR(K13*1,0),2))</f>
        <v>0</v>
      </c>
      <c r="M13" s="39">
        <f>IF(D13="","",IF(E13="","Add - how much?",IF(K13="","Check - item not in Supplies",IF(F13="","Not on a job","OK"))))</f>
        <v>0</v>
      </c>
    </row>
    <row r="14" spans="1:13">
      <c r="A14" s="43">
        <f>IF(D14="","","SU-"&amp;TEXT(ROW()-4,"0000"))</f>
        <v>0</v>
      </c>
      <c r="B14" s="46">
        <v>46300</v>
      </c>
      <c r="C14" s="23">
        <f>IF(B14="","",TEXT(B14,"yyyy-mm"))</f>
        <v>0</v>
      </c>
      <c r="D14" s="15" t="s">
        <v>1707</v>
      </c>
      <c r="E14" s="17">
        <v>0.25</v>
      </c>
      <c r="F14" s="49" t="s">
        <v>1525</v>
      </c>
      <c r="G14" s="15" t="s">
        <v>608</v>
      </c>
      <c r="H14" s="15" t="s">
        <v>1754</v>
      </c>
      <c r="I14" s="44" t="s">
        <v>172</v>
      </c>
      <c r="J14" s="23">
        <f>IF(F14="","",IFERROR(INDEX(Jobs!$H$5:$H$604,MATCH(F14,Jobs!$A$5:$A$604,0)),""))</f>
        <v>0</v>
      </c>
      <c r="K14" s="21">
        <f>IF(D14="","",IFERROR(INDEX(Supplies!$P$5:$P$154,MATCH(D14,Supplies!$B$5:$B$154,0)),""))</f>
        <v>0</v>
      </c>
      <c r="L14" s="21">
        <f>IF(D14="","",ROUND(IF(E14="",0,E14)*IFERROR(K14*1,0),2))</f>
        <v>0</v>
      </c>
      <c r="M14" s="39">
        <f>IF(D14="","",IF(E14="","Add - how much?",IF(K14="","Check - item not in Supplies",IF(F14="","Not on a job","OK"))))</f>
        <v>0</v>
      </c>
    </row>
    <row r="15" spans="1:13">
      <c r="A15" s="43">
        <f>IF(D15="","","SU-"&amp;TEXT(ROW()-4,"0000"))</f>
        <v>0</v>
      </c>
      <c r="B15" s="46">
        <v>46302</v>
      </c>
      <c r="C15" s="23">
        <f>IF(B15="","",TEXT(B15,"yyyy-mm"))</f>
        <v>0</v>
      </c>
      <c r="D15" s="15" t="s">
        <v>1700</v>
      </c>
      <c r="E15" s="17">
        <v>1</v>
      </c>
      <c r="F15" s="49" t="s">
        <v>1528</v>
      </c>
      <c r="G15" s="15" t="s">
        <v>596</v>
      </c>
      <c r="H15" s="15" t="s">
        <v>1754</v>
      </c>
      <c r="I15" s="44" t="s">
        <v>172</v>
      </c>
      <c r="J15" s="23">
        <f>IF(F15="","",IFERROR(INDEX(Jobs!$H$5:$H$604,MATCH(F15,Jobs!$A$5:$A$604,0)),""))</f>
        <v>0</v>
      </c>
      <c r="K15" s="21">
        <f>IF(D15="","",IFERROR(INDEX(Supplies!$P$5:$P$154,MATCH(D15,Supplies!$B$5:$B$154,0)),""))</f>
        <v>0</v>
      </c>
      <c r="L15" s="21">
        <f>IF(D15="","",ROUND(IF(E15="",0,E15)*IFERROR(K15*1,0),2))</f>
        <v>0</v>
      </c>
      <c r="M15" s="39">
        <f>IF(D15="","",IF(E15="","Add - how much?",IF(K15="","Check - item not in Supplies",IF(F15="","Not on a job","OK"))))</f>
        <v>0</v>
      </c>
    </row>
    <row r="16" spans="1:13">
      <c r="A16" s="43">
        <f>IF(D16="","","SU-"&amp;TEXT(ROW()-4,"0000"))</f>
        <v>0</v>
      </c>
      <c r="B16" s="46">
        <v>46303</v>
      </c>
      <c r="C16" s="23">
        <f>IF(B16="","",TEXT(B16,"yyyy-mm"))</f>
        <v>0</v>
      </c>
      <c r="D16" s="15" t="s">
        <v>1718</v>
      </c>
      <c r="E16" s="17">
        <v>2</v>
      </c>
      <c r="F16" s="49" t="s">
        <v>1531</v>
      </c>
      <c r="G16" s="15" t="s">
        <v>664</v>
      </c>
      <c r="H16" s="15" t="s">
        <v>1754</v>
      </c>
      <c r="I16" s="44" t="s">
        <v>172</v>
      </c>
      <c r="J16" s="23">
        <f>IF(F16="","",IFERROR(INDEX(Jobs!$H$5:$H$604,MATCH(F16,Jobs!$A$5:$A$604,0)),""))</f>
        <v>0</v>
      </c>
      <c r="K16" s="21">
        <f>IF(D16="","",IFERROR(INDEX(Supplies!$P$5:$P$154,MATCH(D16,Supplies!$B$5:$B$154,0)),""))</f>
        <v>0</v>
      </c>
      <c r="L16" s="21">
        <f>IF(D16="","",ROUND(IF(E16="",0,E16)*IFERROR(K16*1,0),2))</f>
        <v>0</v>
      </c>
      <c r="M16" s="39">
        <f>IF(D16="","",IF(E16="","Add - how much?",IF(K16="","Check - item not in Supplies",IF(F16="","Not on a job","OK"))))</f>
        <v>0</v>
      </c>
    </row>
    <row r="17" spans="1:13">
      <c r="A17" s="43">
        <f>IF(D17="","","SU-"&amp;TEXT(ROW()-4,"0000"))</f>
        <v>0</v>
      </c>
      <c r="B17" s="46">
        <v>46303</v>
      </c>
      <c r="C17" s="23">
        <f>IF(B17="","",TEXT(B17,"yyyy-mm"))</f>
        <v>0</v>
      </c>
      <c r="D17" s="15" t="s">
        <v>1726</v>
      </c>
      <c r="E17" s="17">
        <v>1</v>
      </c>
      <c r="F17" s="49" t="s">
        <v>1534</v>
      </c>
      <c r="G17" s="15" t="s">
        <v>608</v>
      </c>
      <c r="H17" s="15" t="s">
        <v>1754</v>
      </c>
      <c r="I17" s="44" t="s">
        <v>172</v>
      </c>
      <c r="J17" s="23">
        <f>IF(F17="","",IFERROR(INDEX(Jobs!$H$5:$H$604,MATCH(F17,Jobs!$A$5:$A$604,0)),""))</f>
        <v>0</v>
      </c>
      <c r="K17" s="21">
        <f>IF(D17="","",IFERROR(INDEX(Supplies!$P$5:$P$154,MATCH(D17,Supplies!$B$5:$B$154,0)),""))</f>
        <v>0</v>
      </c>
      <c r="L17" s="21">
        <f>IF(D17="","",ROUND(IF(E17="",0,E17)*IFERROR(K17*1,0),2))</f>
        <v>0</v>
      </c>
      <c r="M17" s="39">
        <f>IF(D17="","",IF(E17="","Add - how much?",IF(K17="","Check - item not in Supplies",IF(F17="","Not on a job","OK"))))</f>
        <v>0</v>
      </c>
    </row>
    <row r="18" spans="1:13">
      <c r="A18" s="43">
        <f>IF(D18="","","SU-"&amp;TEXT(ROW()-4,"0000"))</f>
        <v>0</v>
      </c>
      <c r="B18" s="46">
        <v>46304</v>
      </c>
      <c r="C18" s="23">
        <f>IF(B18="","",TEXT(B18,"yyyy-mm"))</f>
        <v>0</v>
      </c>
      <c r="D18" s="15" t="s">
        <v>1712</v>
      </c>
      <c r="E18" s="17">
        <v>2</v>
      </c>
      <c r="F18" s="49" t="s">
        <v>1537</v>
      </c>
      <c r="G18" s="15" t="s">
        <v>608</v>
      </c>
      <c r="H18" s="15" t="s">
        <v>1754</v>
      </c>
      <c r="I18" s="44" t="s">
        <v>172</v>
      </c>
      <c r="J18" s="23">
        <f>IF(F18="","",IFERROR(INDEX(Jobs!$H$5:$H$604,MATCH(F18,Jobs!$A$5:$A$604,0)),""))</f>
        <v>0</v>
      </c>
      <c r="K18" s="21">
        <f>IF(D18="","",IFERROR(INDEX(Supplies!$P$5:$P$154,MATCH(D18,Supplies!$B$5:$B$154,0)),""))</f>
        <v>0</v>
      </c>
      <c r="L18" s="21">
        <f>IF(D18="","",ROUND(IF(E18="",0,E18)*IFERROR(K18*1,0),2))</f>
        <v>0</v>
      </c>
      <c r="M18" s="39">
        <f>IF(D18="","",IF(E18="","Add - how much?",IF(K18="","Check - item not in Supplies",IF(F18="","Not on a job","OK"))))</f>
        <v>0</v>
      </c>
    </row>
    <row r="19" spans="1:13">
      <c r="A19" s="43">
        <f>IF(D19="","","SU-"&amp;TEXT(ROW()-4,"0000"))</f>
        <v>0</v>
      </c>
      <c r="B19" s="46">
        <v>46305</v>
      </c>
      <c r="C19" s="23">
        <f>IF(B19="","",TEXT(B19,"yyyy-mm"))</f>
        <v>0</v>
      </c>
      <c r="D19" s="15" t="s">
        <v>1709</v>
      </c>
      <c r="E19" s="17">
        <v>0.25</v>
      </c>
      <c r="F19" s="49" t="s">
        <v>1540</v>
      </c>
      <c r="G19" s="15" t="s">
        <v>596</v>
      </c>
      <c r="H19" s="15" t="s">
        <v>1754</v>
      </c>
      <c r="I19" s="44" t="s">
        <v>172</v>
      </c>
      <c r="J19" s="23">
        <f>IF(F19="","",IFERROR(INDEX(Jobs!$H$5:$H$604,MATCH(F19,Jobs!$A$5:$A$604,0)),""))</f>
        <v>0</v>
      </c>
      <c r="K19" s="21">
        <f>IF(D19="","",IFERROR(INDEX(Supplies!$P$5:$P$154,MATCH(D19,Supplies!$B$5:$B$154,0)),""))</f>
        <v>0</v>
      </c>
      <c r="L19" s="21">
        <f>IF(D19="","",ROUND(IF(E19="",0,E19)*IFERROR(K19*1,0),2))</f>
        <v>0</v>
      </c>
      <c r="M19" s="39">
        <f>IF(D19="","",IF(E19="","Add - how much?",IF(K19="","Check - item not in Supplies",IF(F19="","Not on a job","OK"))))</f>
        <v>0</v>
      </c>
    </row>
    <row r="20" spans="1:13">
      <c r="A20" s="43">
        <f>IF(D20="","","SU-"&amp;TEXT(ROW()-4,"0000"))</f>
        <v>0</v>
      </c>
      <c r="B20" s="46">
        <v>46307</v>
      </c>
      <c r="C20" s="23">
        <f>IF(B20="","",TEXT(B20,"yyyy-mm"))</f>
        <v>0</v>
      </c>
      <c r="D20" s="15" t="s">
        <v>1729</v>
      </c>
      <c r="E20" s="17">
        <v>1</v>
      </c>
      <c r="F20" s="49" t="s">
        <v>1542</v>
      </c>
      <c r="G20" s="15" t="s">
        <v>608</v>
      </c>
      <c r="H20" s="15" t="s">
        <v>1754</v>
      </c>
      <c r="I20" s="44" t="s">
        <v>172</v>
      </c>
      <c r="J20" s="23">
        <f>IF(F20="","",IFERROR(INDEX(Jobs!$H$5:$H$604,MATCH(F20,Jobs!$A$5:$A$604,0)),""))</f>
        <v>0</v>
      </c>
      <c r="K20" s="21">
        <f>IF(D20="","",IFERROR(INDEX(Supplies!$P$5:$P$154,MATCH(D20,Supplies!$B$5:$B$154,0)),""))</f>
        <v>0</v>
      </c>
      <c r="L20" s="21">
        <f>IF(D20="","",ROUND(IF(E20="",0,E20)*IFERROR(K20*1,0),2))</f>
        <v>0</v>
      </c>
      <c r="M20" s="39">
        <f>IF(D20="","",IF(E20="","Add - how much?",IF(K20="","Check - item not in Supplies",IF(F20="","Not on a job","OK"))))</f>
        <v>0</v>
      </c>
    </row>
    <row r="21" spans="1:13">
      <c r="A21" s="43">
        <f>IF(D21="","","SU-"&amp;TEXT(ROW()-4,"0000"))</f>
        <v>0</v>
      </c>
      <c r="B21" s="46">
        <v>46310</v>
      </c>
      <c r="C21" s="23">
        <f>IF(B21="","",TEXT(B21,"yyyy-mm"))</f>
        <v>0</v>
      </c>
      <c r="D21" s="15" t="s">
        <v>1705</v>
      </c>
      <c r="E21" s="17">
        <v>1</v>
      </c>
      <c r="F21" s="49" t="s">
        <v>1544</v>
      </c>
      <c r="G21" s="15" t="s">
        <v>664</v>
      </c>
      <c r="H21" s="15" t="s">
        <v>1754</v>
      </c>
      <c r="I21" s="44" t="s">
        <v>172</v>
      </c>
      <c r="J21" s="23">
        <f>IF(F21="","",IFERROR(INDEX(Jobs!$H$5:$H$604,MATCH(F21,Jobs!$A$5:$A$604,0)),""))</f>
        <v>0</v>
      </c>
      <c r="K21" s="21">
        <f>IF(D21="","",IFERROR(INDEX(Supplies!$P$5:$P$154,MATCH(D21,Supplies!$B$5:$B$154,0)),""))</f>
        <v>0</v>
      </c>
      <c r="L21" s="21">
        <f>IF(D21="","",ROUND(IF(E21="",0,E21)*IFERROR(K21*1,0),2))</f>
        <v>0</v>
      </c>
      <c r="M21" s="39">
        <f>IF(D21="","",IF(E21="","Add - how much?",IF(K21="","Check - item not in Supplies",IF(F21="","Not on a job","OK"))))</f>
        <v>0</v>
      </c>
    </row>
    <row r="22" spans="1:13">
      <c r="A22" s="43">
        <f>IF(D22="","","SU-"&amp;TEXT(ROW()-4,"0000"))</f>
        <v>0</v>
      </c>
      <c r="B22" s="46">
        <v>46311</v>
      </c>
      <c r="C22" s="23">
        <f>IF(B22="","",TEXT(B22,"yyyy-mm"))</f>
        <v>0</v>
      </c>
      <c r="D22" s="15" t="s">
        <v>1733</v>
      </c>
      <c r="E22" s="17">
        <v>0.25</v>
      </c>
      <c r="F22" s="49" t="s">
        <v>1547</v>
      </c>
      <c r="G22" s="15" t="s">
        <v>608</v>
      </c>
      <c r="H22" s="15" t="s">
        <v>1754</v>
      </c>
      <c r="I22" s="44" t="s">
        <v>172</v>
      </c>
      <c r="J22" s="23">
        <f>IF(F22="","",IFERROR(INDEX(Jobs!$H$5:$H$604,MATCH(F22,Jobs!$A$5:$A$604,0)),""))</f>
        <v>0</v>
      </c>
      <c r="K22" s="21">
        <f>IF(D22="","",IFERROR(INDEX(Supplies!$P$5:$P$154,MATCH(D22,Supplies!$B$5:$B$154,0)),""))</f>
        <v>0</v>
      </c>
      <c r="L22" s="21">
        <f>IF(D22="","",ROUND(IF(E22="",0,E22)*IFERROR(K22*1,0),2))</f>
        <v>0</v>
      </c>
      <c r="M22" s="39">
        <f>IF(D22="","",IF(E22="","Add - how much?",IF(K22="","Check - item not in Supplies",IF(F22="","Not on a job","OK"))))</f>
        <v>0</v>
      </c>
    </row>
    <row r="23" spans="1:13">
      <c r="A23" s="43">
        <f>IF(D23="","","SU-"&amp;TEXT(ROW()-4,"0000"))</f>
        <v>0</v>
      </c>
      <c r="B23" s="46">
        <v>46312</v>
      </c>
      <c r="C23" s="23">
        <f>IF(B23="","",TEXT(B23,"yyyy-mm"))</f>
        <v>0</v>
      </c>
      <c r="D23" s="15" t="s">
        <v>1737</v>
      </c>
      <c r="E23" s="17">
        <v>0.25</v>
      </c>
      <c r="F23" s="49" t="s">
        <v>1550</v>
      </c>
      <c r="G23" s="15" t="s">
        <v>596</v>
      </c>
      <c r="H23" s="15" t="s">
        <v>1754</v>
      </c>
      <c r="I23" s="44" t="s">
        <v>172</v>
      </c>
      <c r="J23" s="23">
        <f>IF(F23="","",IFERROR(INDEX(Jobs!$H$5:$H$604,MATCH(F23,Jobs!$A$5:$A$604,0)),""))</f>
        <v>0</v>
      </c>
      <c r="K23" s="21">
        <f>IF(D23="","",IFERROR(INDEX(Supplies!$P$5:$P$154,MATCH(D23,Supplies!$B$5:$B$154,0)),""))</f>
        <v>0</v>
      </c>
      <c r="L23" s="21">
        <f>IF(D23="","",ROUND(IF(E23="",0,E23)*IFERROR(K23*1,0),2))</f>
        <v>0</v>
      </c>
      <c r="M23" s="39">
        <f>IF(D23="","",IF(E23="","Add - how much?",IF(K23="","Check - item not in Supplies",IF(F23="","Not on a job","OK"))))</f>
        <v>0</v>
      </c>
    </row>
    <row r="24" spans="1:13">
      <c r="A24" s="43">
        <f>IF(D24="","","SU-"&amp;TEXT(ROW()-4,"0000"))</f>
        <v>0</v>
      </c>
      <c r="B24" s="46">
        <v>46307</v>
      </c>
      <c r="C24" s="23">
        <f>IF(B24="","",TEXT(B24,"yyyy-mm"))</f>
        <v>0</v>
      </c>
      <c r="D24" s="15" t="s">
        <v>1746</v>
      </c>
      <c r="E24" s="17">
        <v>1</v>
      </c>
      <c r="F24" s="49" t="s">
        <v>1538</v>
      </c>
      <c r="G24" s="15" t="s">
        <v>627</v>
      </c>
      <c r="H24" s="15" t="s">
        <v>1754</v>
      </c>
      <c r="I24" s="44" t="s">
        <v>1755</v>
      </c>
      <c r="J24" s="23">
        <f>IF(F24="","",IFERROR(INDEX(Jobs!$H$5:$H$604,MATCH(F24,Jobs!$A$5:$A$604,0)),""))</f>
        <v>0</v>
      </c>
      <c r="K24" s="21">
        <f>IF(D24="","",IFERROR(INDEX(Supplies!$P$5:$P$154,MATCH(D24,Supplies!$B$5:$B$154,0)),""))</f>
        <v>0</v>
      </c>
      <c r="L24" s="21">
        <f>IF(D24="","",ROUND(IF(E24="",0,E24)*IFERROR(K24*1,0),2))</f>
        <v>0</v>
      </c>
      <c r="M24" s="39">
        <f>IF(D24="","",IF(E24="","Add - how much?",IF(K24="","Check - item not in Supplies",IF(F24="","Not on a job","OK"))))</f>
        <v>0</v>
      </c>
    </row>
    <row r="25" spans="1:13">
      <c r="A25" s="43">
        <f>IF(D25="","","SU-"&amp;TEXT(ROW()-4,"0000"))</f>
        <v>0</v>
      </c>
      <c r="B25" s="46">
        <v>46304</v>
      </c>
      <c r="C25" s="23">
        <f>IF(B25="","",TEXT(B25,"yyyy-mm"))</f>
        <v>0</v>
      </c>
      <c r="D25" s="15" t="s">
        <v>1743</v>
      </c>
      <c r="E25" s="17">
        <v>0.5</v>
      </c>
      <c r="F25" s="49" t="s">
        <v>172</v>
      </c>
      <c r="G25" s="15" t="s">
        <v>596</v>
      </c>
      <c r="H25" s="15" t="s">
        <v>1756</v>
      </c>
      <c r="I25" s="44" t="s">
        <v>1757</v>
      </c>
      <c r="J25" s="23">
        <f>IF(F25="","",IFERROR(INDEX(Jobs!$H$5:$H$604,MATCH(F25,Jobs!$A$5:$A$604,0)),""))</f>
        <v>0</v>
      </c>
      <c r="K25" s="21">
        <f>IF(D25="","",IFERROR(INDEX(Supplies!$P$5:$P$154,MATCH(D25,Supplies!$B$5:$B$154,0)),""))</f>
        <v>0</v>
      </c>
      <c r="L25" s="21">
        <f>IF(D25="","",ROUND(IF(E25="",0,E25)*IFERROR(K25*1,0),2))</f>
        <v>0</v>
      </c>
      <c r="M25" s="39">
        <f>IF(D25="","",IF(E25="","Add - how much?",IF(K25="","Check - item not in Supplies",IF(F25="","Not on a job","OK"))))</f>
        <v>0</v>
      </c>
    </row>
    <row r="26" spans="1:13">
      <c r="A26" s="43">
        <f>IF(D26="","","SU-"&amp;TEXT(ROW()-4,"0000"))</f>
        <v>0</v>
      </c>
      <c r="C26" s="23">
        <f>IF(B26="","",TEXT(B26,"yyyy-mm"))</f>
        <v>0</v>
      </c>
      <c r="J26" s="23">
        <f>IF(F26="","",IFERROR(INDEX(Jobs!$H$5:$H$604,MATCH(F26,Jobs!$A$5:$A$604,0)),""))</f>
        <v>0</v>
      </c>
      <c r="K26" s="21">
        <f>IF(D26="","",IFERROR(INDEX(Supplies!$P$5:$P$154,MATCH(D26,Supplies!$B$5:$B$154,0)),""))</f>
        <v>0</v>
      </c>
      <c r="L26" s="21">
        <f>IF(D26="","",ROUND(IF(E26="",0,E26)*IFERROR(K26*1,0),2))</f>
        <v>0</v>
      </c>
      <c r="M26" s="39">
        <f>IF(D26="","",IF(E26="","Add - how much?",IF(K26="","Check - item not in Supplies",IF(F26="","Not on a job","OK"))))</f>
        <v>0</v>
      </c>
    </row>
    <row r="27" spans="1:13">
      <c r="A27" s="43">
        <f>IF(D27="","","SU-"&amp;TEXT(ROW()-4,"0000"))</f>
        <v>0</v>
      </c>
      <c r="C27" s="23">
        <f>IF(B27="","",TEXT(B27,"yyyy-mm"))</f>
        <v>0</v>
      </c>
      <c r="J27" s="23">
        <f>IF(F27="","",IFERROR(INDEX(Jobs!$H$5:$H$604,MATCH(F27,Jobs!$A$5:$A$604,0)),""))</f>
        <v>0</v>
      </c>
      <c r="K27" s="21">
        <f>IF(D27="","",IFERROR(INDEX(Supplies!$P$5:$P$154,MATCH(D27,Supplies!$B$5:$B$154,0)),""))</f>
        <v>0</v>
      </c>
      <c r="L27" s="21">
        <f>IF(D27="","",ROUND(IF(E27="",0,E27)*IFERROR(K27*1,0),2))</f>
        <v>0</v>
      </c>
      <c r="M27" s="39">
        <f>IF(D27="","",IF(E27="","Add - how much?",IF(K27="","Check - item not in Supplies",IF(F27="","Not on a job","OK"))))</f>
        <v>0</v>
      </c>
    </row>
    <row r="28" spans="1:13">
      <c r="A28" s="43">
        <f>IF(D28="","","SU-"&amp;TEXT(ROW()-4,"0000"))</f>
        <v>0</v>
      </c>
      <c r="C28" s="23">
        <f>IF(B28="","",TEXT(B28,"yyyy-mm"))</f>
        <v>0</v>
      </c>
      <c r="J28" s="23">
        <f>IF(F28="","",IFERROR(INDEX(Jobs!$H$5:$H$604,MATCH(F28,Jobs!$A$5:$A$604,0)),""))</f>
        <v>0</v>
      </c>
      <c r="K28" s="21">
        <f>IF(D28="","",IFERROR(INDEX(Supplies!$P$5:$P$154,MATCH(D28,Supplies!$B$5:$B$154,0)),""))</f>
        <v>0</v>
      </c>
      <c r="L28" s="21">
        <f>IF(D28="","",ROUND(IF(E28="",0,E28)*IFERROR(K28*1,0),2))</f>
        <v>0</v>
      </c>
      <c r="M28" s="39">
        <f>IF(D28="","",IF(E28="","Add - how much?",IF(K28="","Check - item not in Supplies",IF(F28="","Not on a job","OK"))))</f>
        <v>0</v>
      </c>
    </row>
    <row r="29" spans="1:13">
      <c r="A29" s="43">
        <f>IF(D29="","","SU-"&amp;TEXT(ROW()-4,"0000"))</f>
        <v>0</v>
      </c>
      <c r="C29" s="23">
        <f>IF(B29="","",TEXT(B29,"yyyy-mm"))</f>
        <v>0</v>
      </c>
      <c r="J29" s="23">
        <f>IF(F29="","",IFERROR(INDEX(Jobs!$H$5:$H$604,MATCH(F29,Jobs!$A$5:$A$604,0)),""))</f>
        <v>0</v>
      </c>
      <c r="K29" s="21">
        <f>IF(D29="","",IFERROR(INDEX(Supplies!$P$5:$P$154,MATCH(D29,Supplies!$B$5:$B$154,0)),""))</f>
        <v>0</v>
      </c>
      <c r="L29" s="21">
        <f>IF(D29="","",ROUND(IF(E29="",0,E29)*IFERROR(K29*1,0),2))</f>
        <v>0</v>
      </c>
      <c r="M29" s="39">
        <f>IF(D29="","",IF(E29="","Add - how much?",IF(K29="","Check - item not in Supplies",IF(F29="","Not on a job","OK"))))</f>
        <v>0</v>
      </c>
    </row>
    <row r="30" spans="1:13">
      <c r="A30" s="43">
        <f>IF(D30="","","SU-"&amp;TEXT(ROW()-4,"0000"))</f>
        <v>0</v>
      </c>
      <c r="C30" s="23">
        <f>IF(B30="","",TEXT(B30,"yyyy-mm"))</f>
        <v>0</v>
      </c>
      <c r="J30" s="23">
        <f>IF(F30="","",IFERROR(INDEX(Jobs!$H$5:$H$604,MATCH(F30,Jobs!$A$5:$A$604,0)),""))</f>
        <v>0</v>
      </c>
      <c r="K30" s="21">
        <f>IF(D30="","",IFERROR(INDEX(Supplies!$P$5:$P$154,MATCH(D30,Supplies!$B$5:$B$154,0)),""))</f>
        <v>0</v>
      </c>
      <c r="L30" s="21">
        <f>IF(D30="","",ROUND(IF(E30="",0,E30)*IFERROR(K30*1,0),2))</f>
        <v>0</v>
      </c>
      <c r="M30" s="39">
        <f>IF(D30="","",IF(E30="","Add - how much?",IF(K30="","Check - item not in Supplies",IF(F30="","Not on a job","OK"))))</f>
        <v>0</v>
      </c>
    </row>
    <row r="31" spans="1:13">
      <c r="A31" s="43">
        <f>IF(D31="","","SU-"&amp;TEXT(ROW()-4,"0000"))</f>
        <v>0</v>
      </c>
      <c r="C31" s="23">
        <f>IF(B31="","",TEXT(B31,"yyyy-mm"))</f>
        <v>0</v>
      </c>
      <c r="J31" s="23">
        <f>IF(F31="","",IFERROR(INDEX(Jobs!$H$5:$H$604,MATCH(F31,Jobs!$A$5:$A$604,0)),""))</f>
        <v>0</v>
      </c>
      <c r="K31" s="21">
        <f>IF(D31="","",IFERROR(INDEX(Supplies!$P$5:$P$154,MATCH(D31,Supplies!$B$5:$B$154,0)),""))</f>
        <v>0</v>
      </c>
      <c r="L31" s="21">
        <f>IF(D31="","",ROUND(IF(E31="",0,E31)*IFERROR(K31*1,0),2))</f>
        <v>0</v>
      </c>
      <c r="M31" s="39">
        <f>IF(D31="","",IF(E31="","Add - how much?",IF(K31="","Check - item not in Supplies",IF(F31="","Not on a job","OK"))))</f>
        <v>0</v>
      </c>
    </row>
    <row r="32" spans="1:13">
      <c r="A32" s="43">
        <f>IF(D32="","","SU-"&amp;TEXT(ROW()-4,"0000"))</f>
        <v>0</v>
      </c>
      <c r="C32" s="23">
        <f>IF(B32="","",TEXT(B32,"yyyy-mm"))</f>
        <v>0</v>
      </c>
      <c r="J32" s="23">
        <f>IF(F32="","",IFERROR(INDEX(Jobs!$H$5:$H$604,MATCH(F32,Jobs!$A$5:$A$604,0)),""))</f>
        <v>0</v>
      </c>
      <c r="K32" s="21">
        <f>IF(D32="","",IFERROR(INDEX(Supplies!$P$5:$P$154,MATCH(D32,Supplies!$B$5:$B$154,0)),""))</f>
        <v>0</v>
      </c>
      <c r="L32" s="21">
        <f>IF(D32="","",ROUND(IF(E32="",0,E32)*IFERROR(K32*1,0),2))</f>
        <v>0</v>
      </c>
      <c r="M32" s="39">
        <f>IF(D32="","",IF(E32="","Add - how much?",IF(K32="","Check - item not in Supplies",IF(F32="","Not on a job","OK"))))</f>
        <v>0</v>
      </c>
    </row>
    <row r="33" spans="1:13">
      <c r="A33" s="43">
        <f>IF(D33="","","SU-"&amp;TEXT(ROW()-4,"0000"))</f>
        <v>0</v>
      </c>
      <c r="C33" s="23">
        <f>IF(B33="","",TEXT(B33,"yyyy-mm"))</f>
        <v>0</v>
      </c>
      <c r="J33" s="23">
        <f>IF(F33="","",IFERROR(INDEX(Jobs!$H$5:$H$604,MATCH(F33,Jobs!$A$5:$A$604,0)),""))</f>
        <v>0</v>
      </c>
      <c r="K33" s="21">
        <f>IF(D33="","",IFERROR(INDEX(Supplies!$P$5:$P$154,MATCH(D33,Supplies!$B$5:$B$154,0)),""))</f>
        <v>0</v>
      </c>
      <c r="L33" s="21">
        <f>IF(D33="","",ROUND(IF(E33="",0,E33)*IFERROR(K33*1,0),2))</f>
        <v>0</v>
      </c>
      <c r="M33" s="39">
        <f>IF(D33="","",IF(E33="","Add - how much?",IF(K33="","Check - item not in Supplies",IF(F33="","Not on a job","OK"))))</f>
        <v>0</v>
      </c>
    </row>
    <row r="34" spans="1:13">
      <c r="A34" s="43">
        <f>IF(D34="","","SU-"&amp;TEXT(ROW()-4,"0000"))</f>
        <v>0</v>
      </c>
      <c r="C34" s="23">
        <f>IF(B34="","",TEXT(B34,"yyyy-mm"))</f>
        <v>0</v>
      </c>
      <c r="J34" s="23">
        <f>IF(F34="","",IFERROR(INDEX(Jobs!$H$5:$H$604,MATCH(F34,Jobs!$A$5:$A$604,0)),""))</f>
        <v>0</v>
      </c>
      <c r="K34" s="21">
        <f>IF(D34="","",IFERROR(INDEX(Supplies!$P$5:$P$154,MATCH(D34,Supplies!$B$5:$B$154,0)),""))</f>
        <v>0</v>
      </c>
      <c r="L34" s="21">
        <f>IF(D34="","",ROUND(IF(E34="",0,E34)*IFERROR(K34*1,0),2))</f>
        <v>0</v>
      </c>
      <c r="M34" s="39">
        <f>IF(D34="","",IF(E34="","Add - how much?",IF(K34="","Check - item not in Supplies",IF(F34="","Not on a job","OK"))))</f>
        <v>0</v>
      </c>
    </row>
    <row r="35" spans="1:13">
      <c r="A35" s="43">
        <f>IF(D35="","","SU-"&amp;TEXT(ROW()-4,"0000"))</f>
        <v>0</v>
      </c>
      <c r="C35" s="23">
        <f>IF(B35="","",TEXT(B35,"yyyy-mm"))</f>
        <v>0</v>
      </c>
      <c r="J35" s="23">
        <f>IF(F35="","",IFERROR(INDEX(Jobs!$H$5:$H$604,MATCH(F35,Jobs!$A$5:$A$604,0)),""))</f>
        <v>0</v>
      </c>
      <c r="K35" s="21">
        <f>IF(D35="","",IFERROR(INDEX(Supplies!$P$5:$P$154,MATCH(D35,Supplies!$B$5:$B$154,0)),""))</f>
        <v>0</v>
      </c>
      <c r="L35" s="21">
        <f>IF(D35="","",ROUND(IF(E35="",0,E35)*IFERROR(K35*1,0),2))</f>
        <v>0</v>
      </c>
      <c r="M35" s="39">
        <f>IF(D35="","",IF(E35="","Add - how much?",IF(K35="","Check - item not in Supplies",IF(F35="","Not on a job","OK"))))</f>
        <v>0</v>
      </c>
    </row>
    <row r="36" spans="1:13">
      <c r="A36" s="43">
        <f>IF(D36="","","SU-"&amp;TEXT(ROW()-4,"0000"))</f>
        <v>0</v>
      </c>
      <c r="C36" s="23">
        <f>IF(B36="","",TEXT(B36,"yyyy-mm"))</f>
        <v>0</v>
      </c>
      <c r="J36" s="23">
        <f>IF(F36="","",IFERROR(INDEX(Jobs!$H$5:$H$604,MATCH(F36,Jobs!$A$5:$A$604,0)),""))</f>
        <v>0</v>
      </c>
      <c r="K36" s="21">
        <f>IF(D36="","",IFERROR(INDEX(Supplies!$P$5:$P$154,MATCH(D36,Supplies!$B$5:$B$154,0)),""))</f>
        <v>0</v>
      </c>
      <c r="L36" s="21">
        <f>IF(D36="","",ROUND(IF(E36="",0,E36)*IFERROR(K36*1,0),2))</f>
        <v>0</v>
      </c>
      <c r="M36" s="39">
        <f>IF(D36="","",IF(E36="","Add - how much?",IF(K36="","Check - item not in Supplies",IF(F36="","Not on a job","OK"))))</f>
        <v>0</v>
      </c>
    </row>
    <row r="37" spans="1:13">
      <c r="A37" s="43">
        <f>IF(D37="","","SU-"&amp;TEXT(ROW()-4,"0000"))</f>
        <v>0</v>
      </c>
      <c r="C37" s="23">
        <f>IF(B37="","",TEXT(B37,"yyyy-mm"))</f>
        <v>0</v>
      </c>
      <c r="J37" s="23">
        <f>IF(F37="","",IFERROR(INDEX(Jobs!$H$5:$H$604,MATCH(F37,Jobs!$A$5:$A$604,0)),""))</f>
        <v>0</v>
      </c>
      <c r="K37" s="21">
        <f>IF(D37="","",IFERROR(INDEX(Supplies!$P$5:$P$154,MATCH(D37,Supplies!$B$5:$B$154,0)),""))</f>
        <v>0</v>
      </c>
      <c r="L37" s="21">
        <f>IF(D37="","",ROUND(IF(E37="",0,E37)*IFERROR(K37*1,0),2))</f>
        <v>0</v>
      </c>
      <c r="M37" s="39">
        <f>IF(D37="","",IF(E37="","Add - how much?",IF(K37="","Check - item not in Supplies",IF(F37="","Not on a job","OK"))))</f>
        <v>0</v>
      </c>
    </row>
    <row r="38" spans="1:13">
      <c r="A38" s="43">
        <f>IF(D38="","","SU-"&amp;TEXT(ROW()-4,"0000"))</f>
        <v>0</v>
      </c>
      <c r="C38" s="23">
        <f>IF(B38="","",TEXT(B38,"yyyy-mm"))</f>
        <v>0</v>
      </c>
      <c r="J38" s="23">
        <f>IF(F38="","",IFERROR(INDEX(Jobs!$H$5:$H$604,MATCH(F38,Jobs!$A$5:$A$604,0)),""))</f>
        <v>0</v>
      </c>
      <c r="K38" s="21">
        <f>IF(D38="","",IFERROR(INDEX(Supplies!$P$5:$P$154,MATCH(D38,Supplies!$B$5:$B$154,0)),""))</f>
        <v>0</v>
      </c>
      <c r="L38" s="21">
        <f>IF(D38="","",ROUND(IF(E38="",0,E38)*IFERROR(K38*1,0),2))</f>
        <v>0</v>
      </c>
      <c r="M38" s="39">
        <f>IF(D38="","",IF(E38="","Add - how much?",IF(K38="","Check - item not in Supplies",IF(F38="","Not on a job","OK"))))</f>
        <v>0</v>
      </c>
    </row>
    <row r="39" spans="1:13">
      <c r="A39" s="43">
        <f>IF(D39="","","SU-"&amp;TEXT(ROW()-4,"0000"))</f>
        <v>0</v>
      </c>
      <c r="C39" s="23">
        <f>IF(B39="","",TEXT(B39,"yyyy-mm"))</f>
        <v>0</v>
      </c>
      <c r="J39" s="23">
        <f>IF(F39="","",IFERROR(INDEX(Jobs!$H$5:$H$604,MATCH(F39,Jobs!$A$5:$A$604,0)),""))</f>
        <v>0</v>
      </c>
      <c r="K39" s="21">
        <f>IF(D39="","",IFERROR(INDEX(Supplies!$P$5:$P$154,MATCH(D39,Supplies!$B$5:$B$154,0)),""))</f>
        <v>0</v>
      </c>
      <c r="L39" s="21">
        <f>IF(D39="","",ROUND(IF(E39="",0,E39)*IFERROR(K39*1,0),2))</f>
        <v>0</v>
      </c>
      <c r="M39" s="39">
        <f>IF(D39="","",IF(E39="","Add - how much?",IF(K39="","Check - item not in Supplies",IF(F39="","Not on a job","OK"))))</f>
        <v>0</v>
      </c>
    </row>
    <row r="40" spans="1:13">
      <c r="A40" s="43">
        <f>IF(D40="","","SU-"&amp;TEXT(ROW()-4,"0000"))</f>
        <v>0</v>
      </c>
      <c r="C40" s="23">
        <f>IF(B40="","",TEXT(B40,"yyyy-mm"))</f>
        <v>0</v>
      </c>
      <c r="J40" s="23">
        <f>IF(F40="","",IFERROR(INDEX(Jobs!$H$5:$H$604,MATCH(F40,Jobs!$A$5:$A$604,0)),""))</f>
        <v>0</v>
      </c>
      <c r="K40" s="21">
        <f>IF(D40="","",IFERROR(INDEX(Supplies!$P$5:$P$154,MATCH(D40,Supplies!$B$5:$B$154,0)),""))</f>
        <v>0</v>
      </c>
      <c r="L40" s="21">
        <f>IF(D40="","",ROUND(IF(E40="",0,E40)*IFERROR(K40*1,0),2))</f>
        <v>0</v>
      </c>
      <c r="M40" s="39">
        <f>IF(D40="","",IF(E40="","Add - how much?",IF(K40="","Check - item not in Supplies",IF(F40="","Not on a job","OK"))))</f>
        <v>0</v>
      </c>
    </row>
    <row r="41" spans="1:13">
      <c r="A41" s="43">
        <f>IF(D41="","","SU-"&amp;TEXT(ROW()-4,"0000"))</f>
        <v>0</v>
      </c>
      <c r="C41" s="23">
        <f>IF(B41="","",TEXT(B41,"yyyy-mm"))</f>
        <v>0</v>
      </c>
      <c r="J41" s="23">
        <f>IF(F41="","",IFERROR(INDEX(Jobs!$H$5:$H$604,MATCH(F41,Jobs!$A$5:$A$604,0)),""))</f>
        <v>0</v>
      </c>
      <c r="K41" s="21">
        <f>IF(D41="","",IFERROR(INDEX(Supplies!$P$5:$P$154,MATCH(D41,Supplies!$B$5:$B$154,0)),""))</f>
        <v>0</v>
      </c>
      <c r="L41" s="21">
        <f>IF(D41="","",ROUND(IF(E41="",0,E41)*IFERROR(K41*1,0),2))</f>
        <v>0</v>
      </c>
      <c r="M41" s="39">
        <f>IF(D41="","",IF(E41="","Add - how much?",IF(K41="","Check - item not in Supplies",IF(F41="","Not on a job","OK"))))</f>
        <v>0</v>
      </c>
    </row>
    <row r="42" spans="1:13">
      <c r="A42" s="43">
        <f>IF(D42="","","SU-"&amp;TEXT(ROW()-4,"0000"))</f>
        <v>0</v>
      </c>
      <c r="C42" s="23">
        <f>IF(B42="","",TEXT(B42,"yyyy-mm"))</f>
        <v>0</v>
      </c>
      <c r="J42" s="23">
        <f>IF(F42="","",IFERROR(INDEX(Jobs!$H$5:$H$604,MATCH(F42,Jobs!$A$5:$A$604,0)),""))</f>
        <v>0</v>
      </c>
      <c r="K42" s="21">
        <f>IF(D42="","",IFERROR(INDEX(Supplies!$P$5:$P$154,MATCH(D42,Supplies!$B$5:$B$154,0)),""))</f>
        <v>0</v>
      </c>
      <c r="L42" s="21">
        <f>IF(D42="","",ROUND(IF(E42="",0,E42)*IFERROR(K42*1,0),2))</f>
        <v>0</v>
      </c>
      <c r="M42" s="39">
        <f>IF(D42="","",IF(E42="","Add - how much?",IF(K42="","Check - item not in Supplies",IF(F42="","Not on a job","OK"))))</f>
        <v>0</v>
      </c>
    </row>
    <row r="43" spans="1:13">
      <c r="A43" s="43">
        <f>IF(D43="","","SU-"&amp;TEXT(ROW()-4,"0000"))</f>
        <v>0</v>
      </c>
      <c r="C43" s="23">
        <f>IF(B43="","",TEXT(B43,"yyyy-mm"))</f>
        <v>0</v>
      </c>
      <c r="J43" s="23">
        <f>IF(F43="","",IFERROR(INDEX(Jobs!$H$5:$H$604,MATCH(F43,Jobs!$A$5:$A$604,0)),""))</f>
        <v>0</v>
      </c>
      <c r="K43" s="21">
        <f>IF(D43="","",IFERROR(INDEX(Supplies!$P$5:$P$154,MATCH(D43,Supplies!$B$5:$B$154,0)),""))</f>
        <v>0</v>
      </c>
      <c r="L43" s="21">
        <f>IF(D43="","",ROUND(IF(E43="",0,E43)*IFERROR(K43*1,0),2))</f>
        <v>0</v>
      </c>
      <c r="M43" s="39">
        <f>IF(D43="","",IF(E43="","Add - how much?",IF(K43="","Check - item not in Supplies",IF(F43="","Not on a job","OK"))))</f>
        <v>0</v>
      </c>
    </row>
    <row r="44" spans="1:13">
      <c r="A44" s="43">
        <f>IF(D44="","","SU-"&amp;TEXT(ROW()-4,"0000"))</f>
        <v>0</v>
      </c>
      <c r="C44" s="23">
        <f>IF(B44="","",TEXT(B44,"yyyy-mm"))</f>
        <v>0</v>
      </c>
      <c r="J44" s="23">
        <f>IF(F44="","",IFERROR(INDEX(Jobs!$H$5:$H$604,MATCH(F44,Jobs!$A$5:$A$604,0)),""))</f>
        <v>0</v>
      </c>
      <c r="K44" s="21">
        <f>IF(D44="","",IFERROR(INDEX(Supplies!$P$5:$P$154,MATCH(D44,Supplies!$B$5:$B$154,0)),""))</f>
        <v>0</v>
      </c>
      <c r="L44" s="21">
        <f>IF(D44="","",ROUND(IF(E44="",0,E44)*IFERROR(K44*1,0),2))</f>
        <v>0</v>
      </c>
      <c r="M44" s="39">
        <f>IF(D44="","",IF(E44="","Add - how much?",IF(K44="","Check - item not in Supplies",IF(F44="","Not on a job","OK"))))</f>
        <v>0</v>
      </c>
    </row>
    <row r="45" spans="1:13">
      <c r="A45" s="43">
        <f>IF(D45="","","SU-"&amp;TEXT(ROW()-4,"0000"))</f>
        <v>0</v>
      </c>
      <c r="C45" s="23">
        <f>IF(B45="","",TEXT(B45,"yyyy-mm"))</f>
        <v>0</v>
      </c>
      <c r="J45" s="23">
        <f>IF(F45="","",IFERROR(INDEX(Jobs!$H$5:$H$604,MATCH(F45,Jobs!$A$5:$A$604,0)),""))</f>
        <v>0</v>
      </c>
      <c r="K45" s="21">
        <f>IF(D45="","",IFERROR(INDEX(Supplies!$P$5:$P$154,MATCH(D45,Supplies!$B$5:$B$154,0)),""))</f>
        <v>0</v>
      </c>
      <c r="L45" s="21">
        <f>IF(D45="","",ROUND(IF(E45="",0,E45)*IFERROR(K45*1,0),2))</f>
        <v>0</v>
      </c>
      <c r="M45" s="39">
        <f>IF(D45="","",IF(E45="","Add - how much?",IF(K45="","Check - item not in Supplies",IF(F45="","Not on a job","OK"))))</f>
        <v>0</v>
      </c>
    </row>
    <row r="46" spans="1:13">
      <c r="A46" s="43">
        <f>IF(D46="","","SU-"&amp;TEXT(ROW()-4,"0000"))</f>
        <v>0</v>
      </c>
      <c r="C46" s="23">
        <f>IF(B46="","",TEXT(B46,"yyyy-mm"))</f>
        <v>0</v>
      </c>
      <c r="J46" s="23">
        <f>IF(F46="","",IFERROR(INDEX(Jobs!$H$5:$H$604,MATCH(F46,Jobs!$A$5:$A$604,0)),""))</f>
        <v>0</v>
      </c>
      <c r="K46" s="21">
        <f>IF(D46="","",IFERROR(INDEX(Supplies!$P$5:$P$154,MATCH(D46,Supplies!$B$5:$B$154,0)),""))</f>
        <v>0</v>
      </c>
      <c r="L46" s="21">
        <f>IF(D46="","",ROUND(IF(E46="",0,E46)*IFERROR(K46*1,0),2))</f>
        <v>0</v>
      </c>
      <c r="M46" s="39">
        <f>IF(D46="","",IF(E46="","Add - how much?",IF(K46="","Check - item not in Supplies",IF(F46="","Not on a job","OK"))))</f>
        <v>0</v>
      </c>
    </row>
    <row r="47" spans="1:13">
      <c r="A47" s="43">
        <f>IF(D47="","","SU-"&amp;TEXT(ROW()-4,"0000"))</f>
        <v>0</v>
      </c>
      <c r="C47" s="23">
        <f>IF(B47="","",TEXT(B47,"yyyy-mm"))</f>
        <v>0</v>
      </c>
      <c r="J47" s="23">
        <f>IF(F47="","",IFERROR(INDEX(Jobs!$H$5:$H$604,MATCH(F47,Jobs!$A$5:$A$604,0)),""))</f>
        <v>0</v>
      </c>
      <c r="K47" s="21">
        <f>IF(D47="","",IFERROR(INDEX(Supplies!$P$5:$P$154,MATCH(D47,Supplies!$B$5:$B$154,0)),""))</f>
        <v>0</v>
      </c>
      <c r="L47" s="21">
        <f>IF(D47="","",ROUND(IF(E47="",0,E47)*IFERROR(K47*1,0),2))</f>
        <v>0</v>
      </c>
      <c r="M47" s="39">
        <f>IF(D47="","",IF(E47="","Add - how much?",IF(K47="","Check - item not in Supplies",IF(F47="","Not on a job","OK"))))</f>
        <v>0</v>
      </c>
    </row>
    <row r="48" spans="1:13">
      <c r="A48" s="43">
        <f>IF(D48="","","SU-"&amp;TEXT(ROW()-4,"0000"))</f>
        <v>0</v>
      </c>
      <c r="C48" s="23">
        <f>IF(B48="","",TEXT(B48,"yyyy-mm"))</f>
        <v>0</v>
      </c>
      <c r="J48" s="23">
        <f>IF(F48="","",IFERROR(INDEX(Jobs!$H$5:$H$604,MATCH(F48,Jobs!$A$5:$A$604,0)),""))</f>
        <v>0</v>
      </c>
      <c r="K48" s="21">
        <f>IF(D48="","",IFERROR(INDEX(Supplies!$P$5:$P$154,MATCH(D48,Supplies!$B$5:$B$154,0)),""))</f>
        <v>0</v>
      </c>
      <c r="L48" s="21">
        <f>IF(D48="","",ROUND(IF(E48="",0,E48)*IFERROR(K48*1,0),2))</f>
        <v>0</v>
      </c>
      <c r="M48" s="39">
        <f>IF(D48="","",IF(E48="","Add - how much?",IF(K48="","Check - item not in Supplies",IF(F48="","Not on a job","OK"))))</f>
        <v>0</v>
      </c>
    </row>
    <row r="49" spans="1:13">
      <c r="A49" s="43">
        <f>IF(D49="","","SU-"&amp;TEXT(ROW()-4,"0000"))</f>
        <v>0</v>
      </c>
      <c r="C49" s="23">
        <f>IF(B49="","",TEXT(B49,"yyyy-mm"))</f>
        <v>0</v>
      </c>
      <c r="J49" s="23">
        <f>IF(F49="","",IFERROR(INDEX(Jobs!$H$5:$H$604,MATCH(F49,Jobs!$A$5:$A$604,0)),""))</f>
        <v>0</v>
      </c>
      <c r="K49" s="21">
        <f>IF(D49="","",IFERROR(INDEX(Supplies!$P$5:$P$154,MATCH(D49,Supplies!$B$5:$B$154,0)),""))</f>
        <v>0</v>
      </c>
      <c r="L49" s="21">
        <f>IF(D49="","",ROUND(IF(E49="",0,E49)*IFERROR(K49*1,0),2))</f>
        <v>0</v>
      </c>
      <c r="M49" s="39">
        <f>IF(D49="","",IF(E49="","Add - how much?",IF(K49="","Check - item not in Supplies",IF(F49="","Not on a job","OK"))))</f>
        <v>0</v>
      </c>
    </row>
    <row r="50" spans="1:13">
      <c r="A50" s="43">
        <f>IF(D50="","","SU-"&amp;TEXT(ROW()-4,"0000"))</f>
        <v>0</v>
      </c>
      <c r="C50" s="23">
        <f>IF(B50="","",TEXT(B50,"yyyy-mm"))</f>
        <v>0</v>
      </c>
      <c r="J50" s="23">
        <f>IF(F50="","",IFERROR(INDEX(Jobs!$H$5:$H$604,MATCH(F50,Jobs!$A$5:$A$604,0)),""))</f>
        <v>0</v>
      </c>
      <c r="K50" s="21">
        <f>IF(D50="","",IFERROR(INDEX(Supplies!$P$5:$P$154,MATCH(D50,Supplies!$B$5:$B$154,0)),""))</f>
        <v>0</v>
      </c>
      <c r="L50" s="21">
        <f>IF(D50="","",ROUND(IF(E50="",0,E50)*IFERROR(K50*1,0),2))</f>
        <v>0</v>
      </c>
      <c r="M50" s="39">
        <f>IF(D50="","",IF(E50="","Add - how much?",IF(K50="","Check - item not in Supplies",IF(F50="","Not on a job","OK"))))</f>
        <v>0</v>
      </c>
    </row>
    <row r="51" spans="1:13">
      <c r="A51" s="43">
        <f>IF(D51="","","SU-"&amp;TEXT(ROW()-4,"0000"))</f>
        <v>0</v>
      </c>
      <c r="C51" s="23">
        <f>IF(B51="","",TEXT(B51,"yyyy-mm"))</f>
        <v>0</v>
      </c>
      <c r="J51" s="23">
        <f>IF(F51="","",IFERROR(INDEX(Jobs!$H$5:$H$604,MATCH(F51,Jobs!$A$5:$A$604,0)),""))</f>
        <v>0</v>
      </c>
      <c r="K51" s="21">
        <f>IF(D51="","",IFERROR(INDEX(Supplies!$P$5:$P$154,MATCH(D51,Supplies!$B$5:$B$154,0)),""))</f>
        <v>0</v>
      </c>
      <c r="L51" s="21">
        <f>IF(D51="","",ROUND(IF(E51="",0,E51)*IFERROR(K51*1,0),2))</f>
        <v>0</v>
      </c>
      <c r="M51" s="39">
        <f>IF(D51="","",IF(E51="","Add - how much?",IF(K51="","Check - item not in Supplies",IF(F51="","Not on a job","OK"))))</f>
        <v>0</v>
      </c>
    </row>
    <row r="52" spans="1:13">
      <c r="A52" s="43">
        <f>IF(D52="","","SU-"&amp;TEXT(ROW()-4,"0000"))</f>
        <v>0</v>
      </c>
      <c r="C52" s="23">
        <f>IF(B52="","",TEXT(B52,"yyyy-mm"))</f>
        <v>0</v>
      </c>
      <c r="J52" s="23">
        <f>IF(F52="","",IFERROR(INDEX(Jobs!$H$5:$H$604,MATCH(F52,Jobs!$A$5:$A$604,0)),""))</f>
        <v>0</v>
      </c>
      <c r="K52" s="21">
        <f>IF(D52="","",IFERROR(INDEX(Supplies!$P$5:$P$154,MATCH(D52,Supplies!$B$5:$B$154,0)),""))</f>
        <v>0</v>
      </c>
      <c r="L52" s="21">
        <f>IF(D52="","",ROUND(IF(E52="",0,E52)*IFERROR(K52*1,0),2))</f>
        <v>0</v>
      </c>
      <c r="M52" s="39">
        <f>IF(D52="","",IF(E52="","Add - how much?",IF(K52="","Check - item not in Supplies",IF(F52="","Not on a job","OK"))))</f>
        <v>0</v>
      </c>
    </row>
    <row r="53" spans="1:13">
      <c r="A53" s="43">
        <f>IF(D53="","","SU-"&amp;TEXT(ROW()-4,"0000"))</f>
        <v>0</v>
      </c>
      <c r="C53" s="23">
        <f>IF(B53="","",TEXT(B53,"yyyy-mm"))</f>
        <v>0</v>
      </c>
      <c r="J53" s="23">
        <f>IF(F53="","",IFERROR(INDEX(Jobs!$H$5:$H$604,MATCH(F53,Jobs!$A$5:$A$604,0)),""))</f>
        <v>0</v>
      </c>
      <c r="K53" s="21">
        <f>IF(D53="","",IFERROR(INDEX(Supplies!$P$5:$P$154,MATCH(D53,Supplies!$B$5:$B$154,0)),""))</f>
        <v>0</v>
      </c>
      <c r="L53" s="21">
        <f>IF(D53="","",ROUND(IF(E53="",0,E53)*IFERROR(K53*1,0),2))</f>
        <v>0</v>
      </c>
      <c r="M53" s="39">
        <f>IF(D53="","",IF(E53="","Add - how much?",IF(K53="","Check - item not in Supplies",IF(F53="","Not on a job","OK"))))</f>
        <v>0</v>
      </c>
    </row>
    <row r="54" spans="1:13">
      <c r="A54" s="43">
        <f>IF(D54="","","SU-"&amp;TEXT(ROW()-4,"0000"))</f>
        <v>0</v>
      </c>
      <c r="C54" s="23">
        <f>IF(B54="","",TEXT(B54,"yyyy-mm"))</f>
        <v>0</v>
      </c>
      <c r="J54" s="23">
        <f>IF(F54="","",IFERROR(INDEX(Jobs!$H$5:$H$604,MATCH(F54,Jobs!$A$5:$A$604,0)),""))</f>
        <v>0</v>
      </c>
      <c r="K54" s="21">
        <f>IF(D54="","",IFERROR(INDEX(Supplies!$P$5:$P$154,MATCH(D54,Supplies!$B$5:$B$154,0)),""))</f>
        <v>0</v>
      </c>
      <c r="L54" s="21">
        <f>IF(D54="","",ROUND(IF(E54="",0,E54)*IFERROR(K54*1,0),2))</f>
        <v>0</v>
      </c>
      <c r="M54" s="39">
        <f>IF(D54="","",IF(E54="","Add - how much?",IF(K54="","Check - item not in Supplies",IF(F54="","Not on a job","OK"))))</f>
        <v>0</v>
      </c>
    </row>
    <row r="55" spans="1:13">
      <c r="A55" s="43">
        <f>IF(D55="","","SU-"&amp;TEXT(ROW()-4,"0000"))</f>
        <v>0</v>
      </c>
      <c r="C55" s="23">
        <f>IF(B55="","",TEXT(B55,"yyyy-mm"))</f>
        <v>0</v>
      </c>
      <c r="J55" s="23">
        <f>IF(F55="","",IFERROR(INDEX(Jobs!$H$5:$H$604,MATCH(F55,Jobs!$A$5:$A$604,0)),""))</f>
        <v>0</v>
      </c>
      <c r="K55" s="21">
        <f>IF(D55="","",IFERROR(INDEX(Supplies!$P$5:$P$154,MATCH(D55,Supplies!$B$5:$B$154,0)),""))</f>
        <v>0</v>
      </c>
      <c r="L55" s="21">
        <f>IF(D55="","",ROUND(IF(E55="",0,E55)*IFERROR(K55*1,0),2))</f>
        <v>0</v>
      </c>
      <c r="M55" s="39">
        <f>IF(D55="","",IF(E55="","Add - how much?",IF(K55="","Check - item not in Supplies",IF(F55="","Not on a job","OK"))))</f>
        <v>0</v>
      </c>
    </row>
    <row r="56" spans="1:13">
      <c r="A56" s="43">
        <f>IF(D56="","","SU-"&amp;TEXT(ROW()-4,"0000"))</f>
        <v>0</v>
      </c>
      <c r="C56" s="23">
        <f>IF(B56="","",TEXT(B56,"yyyy-mm"))</f>
        <v>0</v>
      </c>
      <c r="J56" s="23">
        <f>IF(F56="","",IFERROR(INDEX(Jobs!$H$5:$H$604,MATCH(F56,Jobs!$A$5:$A$604,0)),""))</f>
        <v>0</v>
      </c>
      <c r="K56" s="21">
        <f>IF(D56="","",IFERROR(INDEX(Supplies!$P$5:$P$154,MATCH(D56,Supplies!$B$5:$B$154,0)),""))</f>
        <v>0</v>
      </c>
      <c r="L56" s="21">
        <f>IF(D56="","",ROUND(IF(E56="",0,E56)*IFERROR(K56*1,0),2))</f>
        <v>0</v>
      </c>
      <c r="M56" s="39">
        <f>IF(D56="","",IF(E56="","Add - how much?",IF(K56="","Check - item not in Supplies",IF(F56="","Not on a job","OK"))))</f>
        <v>0</v>
      </c>
    </row>
    <row r="57" spans="1:13">
      <c r="A57" s="43">
        <f>IF(D57="","","SU-"&amp;TEXT(ROW()-4,"0000"))</f>
        <v>0</v>
      </c>
      <c r="C57" s="23">
        <f>IF(B57="","",TEXT(B57,"yyyy-mm"))</f>
        <v>0</v>
      </c>
      <c r="J57" s="23">
        <f>IF(F57="","",IFERROR(INDEX(Jobs!$H$5:$H$604,MATCH(F57,Jobs!$A$5:$A$604,0)),""))</f>
        <v>0</v>
      </c>
      <c r="K57" s="21">
        <f>IF(D57="","",IFERROR(INDEX(Supplies!$P$5:$P$154,MATCH(D57,Supplies!$B$5:$B$154,0)),""))</f>
        <v>0</v>
      </c>
      <c r="L57" s="21">
        <f>IF(D57="","",ROUND(IF(E57="",0,E57)*IFERROR(K57*1,0),2))</f>
        <v>0</v>
      </c>
      <c r="M57" s="39">
        <f>IF(D57="","",IF(E57="","Add - how much?",IF(K57="","Check - item not in Supplies",IF(F57="","Not on a job","OK"))))</f>
        <v>0</v>
      </c>
    </row>
    <row r="58" spans="1:13">
      <c r="A58" s="43">
        <f>IF(D58="","","SU-"&amp;TEXT(ROW()-4,"0000"))</f>
        <v>0</v>
      </c>
      <c r="C58" s="23">
        <f>IF(B58="","",TEXT(B58,"yyyy-mm"))</f>
        <v>0</v>
      </c>
      <c r="J58" s="23">
        <f>IF(F58="","",IFERROR(INDEX(Jobs!$H$5:$H$604,MATCH(F58,Jobs!$A$5:$A$604,0)),""))</f>
        <v>0</v>
      </c>
      <c r="K58" s="21">
        <f>IF(D58="","",IFERROR(INDEX(Supplies!$P$5:$P$154,MATCH(D58,Supplies!$B$5:$B$154,0)),""))</f>
        <v>0</v>
      </c>
      <c r="L58" s="21">
        <f>IF(D58="","",ROUND(IF(E58="",0,E58)*IFERROR(K58*1,0),2))</f>
        <v>0</v>
      </c>
      <c r="M58" s="39">
        <f>IF(D58="","",IF(E58="","Add - how much?",IF(K58="","Check - item not in Supplies",IF(F58="","Not on a job","OK"))))</f>
        <v>0</v>
      </c>
    </row>
    <row r="59" spans="1:13">
      <c r="A59" s="43">
        <f>IF(D59="","","SU-"&amp;TEXT(ROW()-4,"0000"))</f>
        <v>0</v>
      </c>
      <c r="C59" s="23">
        <f>IF(B59="","",TEXT(B59,"yyyy-mm"))</f>
        <v>0</v>
      </c>
      <c r="J59" s="23">
        <f>IF(F59="","",IFERROR(INDEX(Jobs!$H$5:$H$604,MATCH(F59,Jobs!$A$5:$A$604,0)),""))</f>
        <v>0</v>
      </c>
      <c r="K59" s="21">
        <f>IF(D59="","",IFERROR(INDEX(Supplies!$P$5:$P$154,MATCH(D59,Supplies!$B$5:$B$154,0)),""))</f>
        <v>0</v>
      </c>
      <c r="L59" s="21">
        <f>IF(D59="","",ROUND(IF(E59="",0,E59)*IFERROR(K59*1,0),2))</f>
        <v>0</v>
      </c>
      <c r="M59" s="39">
        <f>IF(D59="","",IF(E59="","Add - how much?",IF(K59="","Check - item not in Supplies",IF(F59="","Not on a job","OK"))))</f>
        <v>0</v>
      </c>
    </row>
    <row r="60" spans="1:13">
      <c r="A60" s="43">
        <f>IF(D60="","","SU-"&amp;TEXT(ROW()-4,"0000"))</f>
        <v>0</v>
      </c>
      <c r="C60" s="23">
        <f>IF(B60="","",TEXT(B60,"yyyy-mm"))</f>
        <v>0</v>
      </c>
      <c r="J60" s="23">
        <f>IF(F60="","",IFERROR(INDEX(Jobs!$H$5:$H$604,MATCH(F60,Jobs!$A$5:$A$604,0)),""))</f>
        <v>0</v>
      </c>
      <c r="K60" s="21">
        <f>IF(D60="","",IFERROR(INDEX(Supplies!$P$5:$P$154,MATCH(D60,Supplies!$B$5:$B$154,0)),""))</f>
        <v>0</v>
      </c>
      <c r="L60" s="21">
        <f>IF(D60="","",ROUND(IF(E60="",0,E60)*IFERROR(K60*1,0),2))</f>
        <v>0</v>
      </c>
      <c r="M60" s="39">
        <f>IF(D60="","",IF(E60="","Add - how much?",IF(K60="","Check - item not in Supplies",IF(F60="","Not on a job","OK"))))</f>
        <v>0</v>
      </c>
    </row>
    <row r="61" spans="1:13">
      <c r="A61" s="43">
        <f>IF(D61="","","SU-"&amp;TEXT(ROW()-4,"0000"))</f>
        <v>0</v>
      </c>
      <c r="C61" s="23">
        <f>IF(B61="","",TEXT(B61,"yyyy-mm"))</f>
        <v>0</v>
      </c>
      <c r="J61" s="23">
        <f>IF(F61="","",IFERROR(INDEX(Jobs!$H$5:$H$604,MATCH(F61,Jobs!$A$5:$A$604,0)),""))</f>
        <v>0</v>
      </c>
      <c r="K61" s="21">
        <f>IF(D61="","",IFERROR(INDEX(Supplies!$P$5:$P$154,MATCH(D61,Supplies!$B$5:$B$154,0)),""))</f>
        <v>0</v>
      </c>
      <c r="L61" s="21">
        <f>IF(D61="","",ROUND(IF(E61="",0,E61)*IFERROR(K61*1,0),2))</f>
        <v>0</v>
      </c>
      <c r="M61" s="39">
        <f>IF(D61="","",IF(E61="","Add - how much?",IF(K61="","Check - item not in Supplies",IF(F61="","Not on a job","OK"))))</f>
        <v>0</v>
      </c>
    </row>
    <row r="62" spans="1:13">
      <c r="A62" s="43">
        <f>IF(D62="","","SU-"&amp;TEXT(ROW()-4,"0000"))</f>
        <v>0</v>
      </c>
      <c r="C62" s="23">
        <f>IF(B62="","",TEXT(B62,"yyyy-mm"))</f>
        <v>0</v>
      </c>
      <c r="J62" s="23">
        <f>IF(F62="","",IFERROR(INDEX(Jobs!$H$5:$H$604,MATCH(F62,Jobs!$A$5:$A$604,0)),""))</f>
        <v>0</v>
      </c>
      <c r="K62" s="21">
        <f>IF(D62="","",IFERROR(INDEX(Supplies!$P$5:$P$154,MATCH(D62,Supplies!$B$5:$B$154,0)),""))</f>
        <v>0</v>
      </c>
      <c r="L62" s="21">
        <f>IF(D62="","",ROUND(IF(E62="",0,E62)*IFERROR(K62*1,0),2))</f>
        <v>0</v>
      </c>
      <c r="M62" s="39">
        <f>IF(D62="","",IF(E62="","Add - how much?",IF(K62="","Check - item not in Supplies",IF(F62="","Not on a job","OK"))))</f>
        <v>0</v>
      </c>
    </row>
    <row r="63" spans="1:13">
      <c r="A63" s="43">
        <f>IF(D63="","","SU-"&amp;TEXT(ROW()-4,"0000"))</f>
        <v>0</v>
      </c>
      <c r="C63" s="23">
        <f>IF(B63="","",TEXT(B63,"yyyy-mm"))</f>
        <v>0</v>
      </c>
      <c r="J63" s="23">
        <f>IF(F63="","",IFERROR(INDEX(Jobs!$H$5:$H$604,MATCH(F63,Jobs!$A$5:$A$604,0)),""))</f>
        <v>0</v>
      </c>
      <c r="K63" s="21">
        <f>IF(D63="","",IFERROR(INDEX(Supplies!$P$5:$P$154,MATCH(D63,Supplies!$B$5:$B$154,0)),""))</f>
        <v>0</v>
      </c>
      <c r="L63" s="21">
        <f>IF(D63="","",ROUND(IF(E63="",0,E63)*IFERROR(K63*1,0),2))</f>
        <v>0</v>
      </c>
      <c r="M63" s="39">
        <f>IF(D63="","",IF(E63="","Add - how much?",IF(K63="","Check - item not in Supplies",IF(F63="","Not on a job","OK"))))</f>
        <v>0</v>
      </c>
    </row>
    <row r="64" spans="1:13">
      <c r="A64" s="43">
        <f>IF(D64="","","SU-"&amp;TEXT(ROW()-4,"0000"))</f>
        <v>0</v>
      </c>
      <c r="C64" s="23">
        <f>IF(B64="","",TEXT(B64,"yyyy-mm"))</f>
        <v>0</v>
      </c>
      <c r="J64" s="23">
        <f>IF(F64="","",IFERROR(INDEX(Jobs!$H$5:$H$604,MATCH(F64,Jobs!$A$5:$A$604,0)),""))</f>
        <v>0</v>
      </c>
      <c r="K64" s="21">
        <f>IF(D64="","",IFERROR(INDEX(Supplies!$P$5:$P$154,MATCH(D64,Supplies!$B$5:$B$154,0)),""))</f>
        <v>0</v>
      </c>
      <c r="L64" s="21">
        <f>IF(D64="","",ROUND(IF(E64="",0,E64)*IFERROR(K64*1,0),2))</f>
        <v>0</v>
      </c>
      <c r="M64" s="39">
        <f>IF(D64="","",IF(E64="","Add - how much?",IF(K64="","Check - item not in Supplies",IF(F64="","Not on a job","OK"))))</f>
        <v>0</v>
      </c>
    </row>
    <row r="65" spans="1:13">
      <c r="A65" s="43">
        <f>IF(D65="","","SU-"&amp;TEXT(ROW()-4,"0000"))</f>
        <v>0</v>
      </c>
      <c r="C65" s="23">
        <f>IF(B65="","",TEXT(B65,"yyyy-mm"))</f>
        <v>0</v>
      </c>
      <c r="J65" s="23">
        <f>IF(F65="","",IFERROR(INDEX(Jobs!$H$5:$H$604,MATCH(F65,Jobs!$A$5:$A$604,0)),""))</f>
        <v>0</v>
      </c>
      <c r="K65" s="21">
        <f>IF(D65="","",IFERROR(INDEX(Supplies!$P$5:$P$154,MATCH(D65,Supplies!$B$5:$B$154,0)),""))</f>
        <v>0</v>
      </c>
      <c r="L65" s="21">
        <f>IF(D65="","",ROUND(IF(E65="",0,E65)*IFERROR(K65*1,0),2))</f>
        <v>0</v>
      </c>
      <c r="M65" s="39">
        <f>IF(D65="","",IF(E65="","Add - how much?",IF(K65="","Check - item not in Supplies",IF(F65="","Not on a job","OK"))))</f>
        <v>0</v>
      </c>
    </row>
    <row r="66" spans="1:13">
      <c r="A66" s="43">
        <f>IF(D66="","","SU-"&amp;TEXT(ROW()-4,"0000"))</f>
        <v>0</v>
      </c>
      <c r="C66" s="23">
        <f>IF(B66="","",TEXT(B66,"yyyy-mm"))</f>
        <v>0</v>
      </c>
      <c r="J66" s="23">
        <f>IF(F66="","",IFERROR(INDEX(Jobs!$H$5:$H$604,MATCH(F66,Jobs!$A$5:$A$604,0)),""))</f>
        <v>0</v>
      </c>
      <c r="K66" s="21">
        <f>IF(D66="","",IFERROR(INDEX(Supplies!$P$5:$P$154,MATCH(D66,Supplies!$B$5:$B$154,0)),""))</f>
        <v>0</v>
      </c>
      <c r="L66" s="21">
        <f>IF(D66="","",ROUND(IF(E66="",0,E66)*IFERROR(K66*1,0),2))</f>
        <v>0</v>
      </c>
      <c r="M66" s="39">
        <f>IF(D66="","",IF(E66="","Add - how much?",IF(K66="","Check - item not in Supplies",IF(F66="","Not on a job","OK"))))</f>
        <v>0</v>
      </c>
    </row>
    <row r="67" spans="1:13">
      <c r="A67" s="43">
        <f>IF(D67="","","SU-"&amp;TEXT(ROW()-4,"0000"))</f>
        <v>0</v>
      </c>
      <c r="C67" s="23">
        <f>IF(B67="","",TEXT(B67,"yyyy-mm"))</f>
        <v>0</v>
      </c>
      <c r="J67" s="23">
        <f>IF(F67="","",IFERROR(INDEX(Jobs!$H$5:$H$604,MATCH(F67,Jobs!$A$5:$A$604,0)),""))</f>
        <v>0</v>
      </c>
      <c r="K67" s="21">
        <f>IF(D67="","",IFERROR(INDEX(Supplies!$P$5:$P$154,MATCH(D67,Supplies!$B$5:$B$154,0)),""))</f>
        <v>0</v>
      </c>
      <c r="L67" s="21">
        <f>IF(D67="","",ROUND(IF(E67="",0,E67)*IFERROR(K67*1,0),2))</f>
        <v>0</v>
      </c>
      <c r="M67" s="39">
        <f>IF(D67="","",IF(E67="","Add - how much?",IF(K67="","Check - item not in Supplies",IF(F67="","Not on a job","OK"))))</f>
        <v>0</v>
      </c>
    </row>
    <row r="68" spans="1:13">
      <c r="A68" s="43">
        <f>IF(D68="","","SU-"&amp;TEXT(ROW()-4,"0000"))</f>
        <v>0</v>
      </c>
      <c r="C68" s="23">
        <f>IF(B68="","",TEXT(B68,"yyyy-mm"))</f>
        <v>0</v>
      </c>
      <c r="J68" s="23">
        <f>IF(F68="","",IFERROR(INDEX(Jobs!$H$5:$H$604,MATCH(F68,Jobs!$A$5:$A$604,0)),""))</f>
        <v>0</v>
      </c>
      <c r="K68" s="21">
        <f>IF(D68="","",IFERROR(INDEX(Supplies!$P$5:$P$154,MATCH(D68,Supplies!$B$5:$B$154,0)),""))</f>
        <v>0</v>
      </c>
      <c r="L68" s="21">
        <f>IF(D68="","",ROUND(IF(E68="",0,E68)*IFERROR(K68*1,0),2))</f>
        <v>0</v>
      </c>
      <c r="M68" s="39">
        <f>IF(D68="","",IF(E68="","Add - how much?",IF(K68="","Check - item not in Supplies",IF(F68="","Not on a job","OK"))))</f>
        <v>0</v>
      </c>
    </row>
    <row r="69" spans="1:13">
      <c r="A69" s="43">
        <f>IF(D69="","","SU-"&amp;TEXT(ROW()-4,"0000"))</f>
        <v>0</v>
      </c>
      <c r="C69" s="23">
        <f>IF(B69="","",TEXT(B69,"yyyy-mm"))</f>
        <v>0</v>
      </c>
      <c r="J69" s="23">
        <f>IF(F69="","",IFERROR(INDEX(Jobs!$H$5:$H$604,MATCH(F69,Jobs!$A$5:$A$604,0)),""))</f>
        <v>0</v>
      </c>
      <c r="K69" s="21">
        <f>IF(D69="","",IFERROR(INDEX(Supplies!$P$5:$P$154,MATCH(D69,Supplies!$B$5:$B$154,0)),""))</f>
        <v>0</v>
      </c>
      <c r="L69" s="21">
        <f>IF(D69="","",ROUND(IF(E69="",0,E69)*IFERROR(K69*1,0),2))</f>
        <v>0</v>
      </c>
      <c r="M69" s="39">
        <f>IF(D69="","",IF(E69="","Add - how much?",IF(K69="","Check - item not in Supplies",IF(F69="","Not on a job","OK"))))</f>
        <v>0</v>
      </c>
    </row>
    <row r="70" spans="1:13">
      <c r="A70" s="43">
        <f>IF(D70="","","SU-"&amp;TEXT(ROW()-4,"0000"))</f>
        <v>0</v>
      </c>
      <c r="C70" s="23">
        <f>IF(B70="","",TEXT(B70,"yyyy-mm"))</f>
        <v>0</v>
      </c>
      <c r="J70" s="23">
        <f>IF(F70="","",IFERROR(INDEX(Jobs!$H$5:$H$604,MATCH(F70,Jobs!$A$5:$A$604,0)),""))</f>
        <v>0</v>
      </c>
      <c r="K70" s="21">
        <f>IF(D70="","",IFERROR(INDEX(Supplies!$P$5:$P$154,MATCH(D70,Supplies!$B$5:$B$154,0)),""))</f>
        <v>0</v>
      </c>
      <c r="L70" s="21">
        <f>IF(D70="","",ROUND(IF(E70="",0,E70)*IFERROR(K70*1,0),2))</f>
        <v>0</v>
      </c>
      <c r="M70" s="39">
        <f>IF(D70="","",IF(E70="","Add - how much?",IF(K70="","Check - item not in Supplies",IF(F70="","Not on a job","OK"))))</f>
        <v>0</v>
      </c>
    </row>
    <row r="71" spans="1:13">
      <c r="A71" s="43">
        <f>IF(D71="","","SU-"&amp;TEXT(ROW()-4,"0000"))</f>
        <v>0</v>
      </c>
      <c r="C71" s="23">
        <f>IF(B71="","",TEXT(B71,"yyyy-mm"))</f>
        <v>0</v>
      </c>
      <c r="J71" s="23">
        <f>IF(F71="","",IFERROR(INDEX(Jobs!$H$5:$H$604,MATCH(F71,Jobs!$A$5:$A$604,0)),""))</f>
        <v>0</v>
      </c>
      <c r="K71" s="21">
        <f>IF(D71="","",IFERROR(INDEX(Supplies!$P$5:$P$154,MATCH(D71,Supplies!$B$5:$B$154,0)),""))</f>
        <v>0</v>
      </c>
      <c r="L71" s="21">
        <f>IF(D71="","",ROUND(IF(E71="",0,E71)*IFERROR(K71*1,0),2))</f>
        <v>0</v>
      </c>
      <c r="M71" s="39">
        <f>IF(D71="","",IF(E71="","Add - how much?",IF(K71="","Check - item not in Supplies",IF(F71="","Not on a job","OK"))))</f>
        <v>0</v>
      </c>
    </row>
    <row r="72" spans="1:13">
      <c r="A72" s="43">
        <f>IF(D72="","","SU-"&amp;TEXT(ROW()-4,"0000"))</f>
        <v>0</v>
      </c>
      <c r="C72" s="23">
        <f>IF(B72="","",TEXT(B72,"yyyy-mm"))</f>
        <v>0</v>
      </c>
      <c r="J72" s="23">
        <f>IF(F72="","",IFERROR(INDEX(Jobs!$H$5:$H$604,MATCH(F72,Jobs!$A$5:$A$604,0)),""))</f>
        <v>0</v>
      </c>
      <c r="K72" s="21">
        <f>IF(D72="","",IFERROR(INDEX(Supplies!$P$5:$P$154,MATCH(D72,Supplies!$B$5:$B$154,0)),""))</f>
        <v>0</v>
      </c>
      <c r="L72" s="21">
        <f>IF(D72="","",ROUND(IF(E72="",0,E72)*IFERROR(K72*1,0),2))</f>
        <v>0</v>
      </c>
      <c r="M72" s="39">
        <f>IF(D72="","",IF(E72="","Add - how much?",IF(K72="","Check - item not in Supplies",IF(F72="","Not on a job","OK"))))</f>
        <v>0</v>
      </c>
    </row>
    <row r="73" spans="1:13">
      <c r="A73" s="43">
        <f>IF(D73="","","SU-"&amp;TEXT(ROW()-4,"0000"))</f>
        <v>0</v>
      </c>
      <c r="C73" s="23">
        <f>IF(B73="","",TEXT(B73,"yyyy-mm"))</f>
        <v>0</v>
      </c>
      <c r="J73" s="23">
        <f>IF(F73="","",IFERROR(INDEX(Jobs!$H$5:$H$604,MATCH(F73,Jobs!$A$5:$A$604,0)),""))</f>
        <v>0</v>
      </c>
      <c r="K73" s="21">
        <f>IF(D73="","",IFERROR(INDEX(Supplies!$P$5:$P$154,MATCH(D73,Supplies!$B$5:$B$154,0)),""))</f>
        <v>0</v>
      </c>
      <c r="L73" s="21">
        <f>IF(D73="","",ROUND(IF(E73="",0,E73)*IFERROR(K73*1,0),2))</f>
        <v>0</v>
      </c>
      <c r="M73" s="39">
        <f>IF(D73="","",IF(E73="","Add - how much?",IF(K73="","Check - item not in Supplies",IF(F73="","Not on a job","OK"))))</f>
        <v>0</v>
      </c>
    </row>
    <row r="74" spans="1:13">
      <c r="A74" s="43">
        <f>IF(D74="","","SU-"&amp;TEXT(ROW()-4,"0000"))</f>
        <v>0</v>
      </c>
      <c r="C74" s="23">
        <f>IF(B74="","",TEXT(B74,"yyyy-mm"))</f>
        <v>0</v>
      </c>
      <c r="J74" s="23">
        <f>IF(F74="","",IFERROR(INDEX(Jobs!$H$5:$H$604,MATCH(F74,Jobs!$A$5:$A$604,0)),""))</f>
        <v>0</v>
      </c>
      <c r="K74" s="21">
        <f>IF(D74="","",IFERROR(INDEX(Supplies!$P$5:$P$154,MATCH(D74,Supplies!$B$5:$B$154,0)),""))</f>
        <v>0</v>
      </c>
      <c r="L74" s="21">
        <f>IF(D74="","",ROUND(IF(E74="",0,E74)*IFERROR(K74*1,0),2))</f>
        <v>0</v>
      </c>
      <c r="M74" s="39">
        <f>IF(D74="","",IF(E74="","Add - how much?",IF(K74="","Check - item not in Supplies",IF(F74="","Not on a job","OK"))))</f>
        <v>0</v>
      </c>
    </row>
    <row r="75" spans="1:13">
      <c r="A75" s="43">
        <f>IF(D75="","","SU-"&amp;TEXT(ROW()-4,"0000"))</f>
        <v>0</v>
      </c>
      <c r="C75" s="23">
        <f>IF(B75="","",TEXT(B75,"yyyy-mm"))</f>
        <v>0</v>
      </c>
      <c r="J75" s="23">
        <f>IF(F75="","",IFERROR(INDEX(Jobs!$H$5:$H$604,MATCH(F75,Jobs!$A$5:$A$604,0)),""))</f>
        <v>0</v>
      </c>
      <c r="K75" s="21">
        <f>IF(D75="","",IFERROR(INDEX(Supplies!$P$5:$P$154,MATCH(D75,Supplies!$B$5:$B$154,0)),""))</f>
        <v>0</v>
      </c>
      <c r="L75" s="21">
        <f>IF(D75="","",ROUND(IF(E75="",0,E75)*IFERROR(K75*1,0),2))</f>
        <v>0</v>
      </c>
      <c r="M75" s="39">
        <f>IF(D75="","",IF(E75="","Add - how much?",IF(K75="","Check - item not in Supplies",IF(F75="","Not on a job","OK"))))</f>
        <v>0</v>
      </c>
    </row>
    <row r="76" spans="1:13">
      <c r="A76" s="43">
        <f>IF(D76="","","SU-"&amp;TEXT(ROW()-4,"0000"))</f>
        <v>0</v>
      </c>
      <c r="C76" s="23">
        <f>IF(B76="","",TEXT(B76,"yyyy-mm"))</f>
        <v>0</v>
      </c>
      <c r="J76" s="23">
        <f>IF(F76="","",IFERROR(INDEX(Jobs!$H$5:$H$604,MATCH(F76,Jobs!$A$5:$A$604,0)),""))</f>
        <v>0</v>
      </c>
      <c r="K76" s="21">
        <f>IF(D76="","",IFERROR(INDEX(Supplies!$P$5:$P$154,MATCH(D76,Supplies!$B$5:$B$154,0)),""))</f>
        <v>0</v>
      </c>
      <c r="L76" s="21">
        <f>IF(D76="","",ROUND(IF(E76="",0,E76)*IFERROR(K76*1,0),2))</f>
        <v>0</v>
      </c>
      <c r="M76" s="39">
        <f>IF(D76="","",IF(E76="","Add - how much?",IF(K76="","Check - item not in Supplies",IF(F76="","Not on a job","OK"))))</f>
        <v>0</v>
      </c>
    </row>
    <row r="77" spans="1:13">
      <c r="A77" s="43">
        <f>IF(D77="","","SU-"&amp;TEXT(ROW()-4,"0000"))</f>
        <v>0</v>
      </c>
      <c r="C77" s="23">
        <f>IF(B77="","",TEXT(B77,"yyyy-mm"))</f>
        <v>0</v>
      </c>
      <c r="J77" s="23">
        <f>IF(F77="","",IFERROR(INDEX(Jobs!$H$5:$H$604,MATCH(F77,Jobs!$A$5:$A$604,0)),""))</f>
        <v>0</v>
      </c>
      <c r="K77" s="21">
        <f>IF(D77="","",IFERROR(INDEX(Supplies!$P$5:$P$154,MATCH(D77,Supplies!$B$5:$B$154,0)),""))</f>
        <v>0</v>
      </c>
      <c r="L77" s="21">
        <f>IF(D77="","",ROUND(IF(E77="",0,E77)*IFERROR(K77*1,0),2))</f>
        <v>0</v>
      </c>
      <c r="M77" s="39">
        <f>IF(D77="","",IF(E77="","Add - how much?",IF(K77="","Check - item not in Supplies",IF(F77="","Not on a job","OK"))))</f>
        <v>0</v>
      </c>
    </row>
    <row r="78" spans="1:13">
      <c r="A78" s="43">
        <f>IF(D78="","","SU-"&amp;TEXT(ROW()-4,"0000"))</f>
        <v>0</v>
      </c>
      <c r="C78" s="23">
        <f>IF(B78="","",TEXT(B78,"yyyy-mm"))</f>
        <v>0</v>
      </c>
      <c r="J78" s="23">
        <f>IF(F78="","",IFERROR(INDEX(Jobs!$H$5:$H$604,MATCH(F78,Jobs!$A$5:$A$604,0)),""))</f>
        <v>0</v>
      </c>
      <c r="K78" s="21">
        <f>IF(D78="","",IFERROR(INDEX(Supplies!$P$5:$P$154,MATCH(D78,Supplies!$B$5:$B$154,0)),""))</f>
        <v>0</v>
      </c>
      <c r="L78" s="21">
        <f>IF(D78="","",ROUND(IF(E78="",0,E78)*IFERROR(K78*1,0),2))</f>
        <v>0</v>
      </c>
      <c r="M78" s="39">
        <f>IF(D78="","",IF(E78="","Add - how much?",IF(K78="","Check - item not in Supplies",IF(F78="","Not on a job","OK"))))</f>
        <v>0</v>
      </c>
    </row>
    <row r="79" spans="1:13">
      <c r="A79" s="43">
        <f>IF(D79="","","SU-"&amp;TEXT(ROW()-4,"0000"))</f>
        <v>0</v>
      </c>
      <c r="C79" s="23">
        <f>IF(B79="","",TEXT(B79,"yyyy-mm"))</f>
        <v>0</v>
      </c>
      <c r="J79" s="23">
        <f>IF(F79="","",IFERROR(INDEX(Jobs!$H$5:$H$604,MATCH(F79,Jobs!$A$5:$A$604,0)),""))</f>
        <v>0</v>
      </c>
      <c r="K79" s="21">
        <f>IF(D79="","",IFERROR(INDEX(Supplies!$P$5:$P$154,MATCH(D79,Supplies!$B$5:$B$154,0)),""))</f>
        <v>0</v>
      </c>
      <c r="L79" s="21">
        <f>IF(D79="","",ROUND(IF(E79="",0,E79)*IFERROR(K79*1,0),2))</f>
        <v>0</v>
      </c>
      <c r="M79" s="39">
        <f>IF(D79="","",IF(E79="","Add - how much?",IF(K79="","Check - item not in Supplies",IF(F79="","Not on a job","OK"))))</f>
        <v>0</v>
      </c>
    </row>
    <row r="80" spans="1:13">
      <c r="A80" s="43">
        <f>IF(D80="","","SU-"&amp;TEXT(ROW()-4,"0000"))</f>
        <v>0</v>
      </c>
      <c r="C80" s="23">
        <f>IF(B80="","",TEXT(B80,"yyyy-mm"))</f>
        <v>0</v>
      </c>
      <c r="J80" s="23">
        <f>IF(F80="","",IFERROR(INDEX(Jobs!$H$5:$H$604,MATCH(F80,Jobs!$A$5:$A$604,0)),""))</f>
        <v>0</v>
      </c>
      <c r="K80" s="21">
        <f>IF(D80="","",IFERROR(INDEX(Supplies!$P$5:$P$154,MATCH(D80,Supplies!$B$5:$B$154,0)),""))</f>
        <v>0</v>
      </c>
      <c r="L80" s="21">
        <f>IF(D80="","",ROUND(IF(E80="",0,E80)*IFERROR(K80*1,0),2))</f>
        <v>0</v>
      </c>
      <c r="M80" s="39">
        <f>IF(D80="","",IF(E80="","Add - how much?",IF(K80="","Check - item not in Supplies",IF(F80="","Not on a job","OK"))))</f>
        <v>0</v>
      </c>
    </row>
    <row r="81" spans="1:13">
      <c r="A81" s="43">
        <f>IF(D81="","","SU-"&amp;TEXT(ROW()-4,"0000"))</f>
        <v>0</v>
      </c>
      <c r="C81" s="23">
        <f>IF(B81="","",TEXT(B81,"yyyy-mm"))</f>
        <v>0</v>
      </c>
      <c r="J81" s="23">
        <f>IF(F81="","",IFERROR(INDEX(Jobs!$H$5:$H$604,MATCH(F81,Jobs!$A$5:$A$604,0)),""))</f>
        <v>0</v>
      </c>
      <c r="K81" s="21">
        <f>IF(D81="","",IFERROR(INDEX(Supplies!$P$5:$P$154,MATCH(D81,Supplies!$B$5:$B$154,0)),""))</f>
        <v>0</v>
      </c>
      <c r="L81" s="21">
        <f>IF(D81="","",ROUND(IF(E81="",0,E81)*IFERROR(K81*1,0),2))</f>
        <v>0</v>
      </c>
      <c r="M81" s="39">
        <f>IF(D81="","",IF(E81="","Add - how much?",IF(K81="","Check - item not in Supplies",IF(F81="","Not on a job","OK"))))</f>
        <v>0</v>
      </c>
    </row>
    <row r="82" spans="1:13">
      <c r="A82" s="43">
        <f>IF(D82="","","SU-"&amp;TEXT(ROW()-4,"0000"))</f>
        <v>0</v>
      </c>
      <c r="C82" s="23">
        <f>IF(B82="","",TEXT(B82,"yyyy-mm"))</f>
        <v>0</v>
      </c>
      <c r="J82" s="23">
        <f>IF(F82="","",IFERROR(INDEX(Jobs!$H$5:$H$604,MATCH(F82,Jobs!$A$5:$A$604,0)),""))</f>
        <v>0</v>
      </c>
      <c r="K82" s="21">
        <f>IF(D82="","",IFERROR(INDEX(Supplies!$P$5:$P$154,MATCH(D82,Supplies!$B$5:$B$154,0)),""))</f>
        <v>0</v>
      </c>
      <c r="L82" s="21">
        <f>IF(D82="","",ROUND(IF(E82="",0,E82)*IFERROR(K82*1,0),2))</f>
        <v>0</v>
      </c>
      <c r="M82" s="39">
        <f>IF(D82="","",IF(E82="","Add - how much?",IF(K82="","Check - item not in Supplies",IF(F82="","Not on a job","OK"))))</f>
        <v>0</v>
      </c>
    </row>
    <row r="83" spans="1:13">
      <c r="A83" s="43">
        <f>IF(D83="","","SU-"&amp;TEXT(ROW()-4,"0000"))</f>
        <v>0</v>
      </c>
      <c r="C83" s="23">
        <f>IF(B83="","",TEXT(B83,"yyyy-mm"))</f>
        <v>0</v>
      </c>
      <c r="J83" s="23">
        <f>IF(F83="","",IFERROR(INDEX(Jobs!$H$5:$H$604,MATCH(F83,Jobs!$A$5:$A$604,0)),""))</f>
        <v>0</v>
      </c>
      <c r="K83" s="21">
        <f>IF(D83="","",IFERROR(INDEX(Supplies!$P$5:$P$154,MATCH(D83,Supplies!$B$5:$B$154,0)),""))</f>
        <v>0</v>
      </c>
      <c r="L83" s="21">
        <f>IF(D83="","",ROUND(IF(E83="",0,E83)*IFERROR(K83*1,0),2))</f>
        <v>0</v>
      </c>
      <c r="M83" s="39">
        <f>IF(D83="","",IF(E83="","Add - how much?",IF(K83="","Check - item not in Supplies",IF(F83="","Not on a job","OK"))))</f>
        <v>0</v>
      </c>
    </row>
    <row r="84" spans="1:13">
      <c r="A84" s="43">
        <f>IF(D84="","","SU-"&amp;TEXT(ROW()-4,"0000"))</f>
        <v>0</v>
      </c>
      <c r="C84" s="23">
        <f>IF(B84="","",TEXT(B84,"yyyy-mm"))</f>
        <v>0</v>
      </c>
      <c r="J84" s="23">
        <f>IF(F84="","",IFERROR(INDEX(Jobs!$H$5:$H$604,MATCH(F84,Jobs!$A$5:$A$604,0)),""))</f>
        <v>0</v>
      </c>
      <c r="K84" s="21">
        <f>IF(D84="","",IFERROR(INDEX(Supplies!$P$5:$P$154,MATCH(D84,Supplies!$B$5:$B$154,0)),""))</f>
        <v>0</v>
      </c>
      <c r="L84" s="21">
        <f>IF(D84="","",ROUND(IF(E84="",0,E84)*IFERROR(K84*1,0),2))</f>
        <v>0</v>
      </c>
      <c r="M84" s="39">
        <f>IF(D84="","",IF(E84="","Add - how much?",IF(K84="","Check - item not in Supplies",IF(F84="","Not on a job","OK"))))</f>
        <v>0</v>
      </c>
    </row>
    <row r="85" spans="1:13">
      <c r="A85" s="43">
        <f>IF(D85="","","SU-"&amp;TEXT(ROW()-4,"0000"))</f>
        <v>0</v>
      </c>
      <c r="C85" s="23">
        <f>IF(B85="","",TEXT(B85,"yyyy-mm"))</f>
        <v>0</v>
      </c>
      <c r="J85" s="23">
        <f>IF(F85="","",IFERROR(INDEX(Jobs!$H$5:$H$604,MATCH(F85,Jobs!$A$5:$A$604,0)),""))</f>
        <v>0</v>
      </c>
      <c r="K85" s="21">
        <f>IF(D85="","",IFERROR(INDEX(Supplies!$P$5:$P$154,MATCH(D85,Supplies!$B$5:$B$154,0)),""))</f>
        <v>0</v>
      </c>
      <c r="L85" s="21">
        <f>IF(D85="","",ROUND(IF(E85="",0,E85)*IFERROR(K85*1,0),2))</f>
        <v>0</v>
      </c>
      <c r="M85" s="39">
        <f>IF(D85="","",IF(E85="","Add - how much?",IF(K85="","Check - item not in Supplies",IF(F85="","Not on a job","OK"))))</f>
        <v>0</v>
      </c>
    </row>
    <row r="86" spans="1:13">
      <c r="A86" s="43">
        <f>IF(D86="","","SU-"&amp;TEXT(ROW()-4,"0000"))</f>
        <v>0</v>
      </c>
      <c r="C86" s="23">
        <f>IF(B86="","",TEXT(B86,"yyyy-mm"))</f>
        <v>0</v>
      </c>
      <c r="J86" s="23">
        <f>IF(F86="","",IFERROR(INDEX(Jobs!$H$5:$H$604,MATCH(F86,Jobs!$A$5:$A$604,0)),""))</f>
        <v>0</v>
      </c>
      <c r="K86" s="21">
        <f>IF(D86="","",IFERROR(INDEX(Supplies!$P$5:$P$154,MATCH(D86,Supplies!$B$5:$B$154,0)),""))</f>
        <v>0</v>
      </c>
      <c r="L86" s="21">
        <f>IF(D86="","",ROUND(IF(E86="",0,E86)*IFERROR(K86*1,0),2))</f>
        <v>0</v>
      </c>
      <c r="M86" s="39">
        <f>IF(D86="","",IF(E86="","Add - how much?",IF(K86="","Check - item not in Supplies",IF(F86="","Not on a job","OK"))))</f>
        <v>0</v>
      </c>
    </row>
    <row r="87" spans="1:13">
      <c r="A87" s="43">
        <f>IF(D87="","","SU-"&amp;TEXT(ROW()-4,"0000"))</f>
        <v>0</v>
      </c>
      <c r="C87" s="23">
        <f>IF(B87="","",TEXT(B87,"yyyy-mm"))</f>
        <v>0</v>
      </c>
      <c r="J87" s="23">
        <f>IF(F87="","",IFERROR(INDEX(Jobs!$H$5:$H$604,MATCH(F87,Jobs!$A$5:$A$604,0)),""))</f>
        <v>0</v>
      </c>
      <c r="K87" s="21">
        <f>IF(D87="","",IFERROR(INDEX(Supplies!$P$5:$P$154,MATCH(D87,Supplies!$B$5:$B$154,0)),""))</f>
        <v>0</v>
      </c>
      <c r="L87" s="21">
        <f>IF(D87="","",ROUND(IF(E87="",0,E87)*IFERROR(K87*1,0),2))</f>
        <v>0</v>
      </c>
      <c r="M87" s="39">
        <f>IF(D87="","",IF(E87="","Add - how much?",IF(K87="","Check - item not in Supplies",IF(F87="","Not on a job","OK"))))</f>
        <v>0</v>
      </c>
    </row>
    <row r="88" spans="1:13">
      <c r="A88" s="43">
        <f>IF(D88="","","SU-"&amp;TEXT(ROW()-4,"0000"))</f>
        <v>0</v>
      </c>
      <c r="C88" s="23">
        <f>IF(B88="","",TEXT(B88,"yyyy-mm"))</f>
        <v>0</v>
      </c>
      <c r="J88" s="23">
        <f>IF(F88="","",IFERROR(INDEX(Jobs!$H$5:$H$604,MATCH(F88,Jobs!$A$5:$A$604,0)),""))</f>
        <v>0</v>
      </c>
      <c r="K88" s="21">
        <f>IF(D88="","",IFERROR(INDEX(Supplies!$P$5:$P$154,MATCH(D88,Supplies!$B$5:$B$154,0)),""))</f>
        <v>0</v>
      </c>
      <c r="L88" s="21">
        <f>IF(D88="","",ROUND(IF(E88="",0,E88)*IFERROR(K88*1,0),2))</f>
        <v>0</v>
      </c>
      <c r="M88" s="39">
        <f>IF(D88="","",IF(E88="","Add - how much?",IF(K88="","Check - item not in Supplies",IF(F88="","Not on a job","OK"))))</f>
        <v>0</v>
      </c>
    </row>
    <row r="89" spans="1:13">
      <c r="A89" s="43">
        <f>IF(D89="","","SU-"&amp;TEXT(ROW()-4,"0000"))</f>
        <v>0</v>
      </c>
      <c r="C89" s="23">
        <f>IF(B89="","",TEXT(B89,"yyyy-mm"))</f>
        <v>0</v>
      </c>
      <c r="J89" s="23">
        <f>IF(F89="","",IFERROR(INDEX(Jobs!$H$5:$H$604,MATCH(F89,Jobs!$A$5:$A$604,0)),""))</f>
        <v>0</v>
      </c>
      <c r="K89" s="21">
        <f>IF(D89="","",IFERROR(INDEX(Supplies!$P$5:$P$154,MATCH(D89,Supplies!$B$5:$B$154,0)),""))</f>
        <v>0</v>
      </c>
      <c r="L89" s="21">
        <f>IF(D89="","",ROUND(IF(E89="",0,E89)*IFERROR(K89*1,0),2))</f>
        <v>0</v>
      </c>
      <c r="M89" s="39">
        <f>IF(D89="","",IF(E89="","Add - how much?",IF(K89="","Check - item not in Supplies",IF(F89="","Not on a job","OK"))))</f>
        <v>0</v>
      </c>
    </row>
    <row r="90" spans="1:13">
      <c r="A90" s="43">
        <f>IF(D90="","","SU-"&amp;TEXT(ROW()-4,"0000"))</f>
        <v>0</v>
      </c>
      <c r="C90" s="23">
        <f>IF(B90="","",TEXT(B90,"yyyy-mm"))</f>
        <v>0</v>
      </c>
      <c r="J90" s="23">
        <f>IF(F90="","",IFERROR(INDEX(Jobs!$H$5:$H$604,MATCH(F90,Jobs!$A$5:$A$604,0)),""))</f>
        <v>0</v>
      </c>
      <c r="K90" s="21">
        <f>IF(D90="","",IFERROR(INDEX(Supplies!$P$5:$P$154,MATCH(D90,Supplies!$B$5:$B$154,0)),""))</f>
        <v>0</v>
      </c>
      <c r="L90" s="21">
        <f>IF(D90="","",ROUND(IF(E90="",0,E90)*IFERROR(K90*1,0),2))</f>
        <v>0</v>
      </c>
      <c r="M90" s="39">
        <f>IF(D90="","",IF(E90="","Add - how much?",IF(K90="","Check - item not in Supplies",IF(F90="","Not on a job","OK"))))</f>
        <v>0</v>
      </c>
    </row>
    <row r="91" spans="1:13">
      <c r="A91" s="43">
        <f>IF(D91="","","SU-"&amp;TEXT(ROW()-4,"0000"))</f>
        <v>0</v>
      </c>
      <c r="C91" s="23">
        <f>IF(B91="","",TEXT(B91,"yyyy-mm"))</f>
        <v>0</v>
      </c>
      <c r="J91" s="23">
        <f>IF(F91="","",IFERROR(INDEX(Jobs!$H$5:$H$604,MATCH(F91,Jobs!$A$5:$A$604,0)),""))</f>
        <v>0</v>
      </c>
      <c r="K91" s="21">
        <f>IF(D91="","",IFERROR(INDEX(Supplies!$P$5:$P$154,MATCH(D91,Supplies!$B$5:$B$154,0)),""))</f>
        <v>0</v>
      </c>
      <c r="L91" s="21">
        <f>IF(D91="","",ROUND(IF(E91="",0,E91)*IFERROR(K91*1,0),2))</f>
        <v>0</v>
      </c>
      <c r="M91" s="39">
        <f>IF(D91="","",IF(E91="","Add - how much?",IF(K91="","Check - item not in Supplies",IF(F91="","Not on a job","OK"))))</f>
        <v>0</v>
      </c>
    </row>
    <row r="92" spans="1:13">
      <c r="A92" s="43">
        <f>IF(D92="","","SU-"&amp;TEXT(ROW()-4,"0000"))</f>
        <v>0</v>
      </c>
      <c r="C92" s="23">
        <f>IF(B92="","",TEXT(B92,"yyyy-mm"))</f>
        <v>0</v>
      </c>
      <c r="J92" s="23">
        <f>IF(F92="","",IFERROR(INDEX(Jobs!$H$5:$H$604,MATCH(F92,Jobs!$A$5:$A$604,0)),""))</f>
        <v>0</v>
      </c>
      <c r="K92" s="21">
        <f>IF(D92="","",IFERROR(INDEX(Supplies!$P$5:$P$154,MATCH(D92,Supplies!$B$5:$B$154,0)),""))</f>
        <v>0</v>
      </c>
      <c r="L92" s="21">
        <f>IF(D92="","",ROUND(IF(E92="",0,E92)*IFERROR(K92*1,0),2))</f>
        <v>0</v>
      </c>
      <c r="M92" s="39">
        <f>IF(D92="","",IF(E92="","Add - how much?",IF(K92="","Check - item not in Supplies",IF(F92="","Not on a job","OK"))))</f>
        <v>0</v>
      </c>
    </row>
    <row r="93" spans="1:13">
      <c r="A93" s="43">
        <f>IF(D93="","","SU-"&amp;TEXT(ROW()-4,"0000"))</f>
        <v>0</v>
      </c>
      <c r="C93" s="23">
        <f>IF(B93="","",TEXT(B93,"yyyy-mm"))</f>
        <v>0</v>
      </c>
      <c r="J93" s="23">
        <f>IF(F93="","",IFERROR(INDEX(Jobs!$H$5:$H$604,MATCH(F93,Jobs!$A$5:$A$604,0)),""))</f>
        <v>0</v>
      </c>
      <c r="K93" s="21">
        <f>IF(D93="","",IFERROR(INDEX(Supplies!$P$5:$P$154,MATCH(D93,Supplies!$B$5:$B$154,0)),""))</f>
        <v>0</v>
      </c>
      <c r="L93" s="21">
        <f>IF(D93="","",ROUND(IF(E93="",0,E93)*IFERROR(K93*1,0),2))</f>
        <v>0</v>
      </c>
      <c r="M93" s="39">
        <f>IF(D93="","",IF(E93="","Add - how much?",IF(K93="","Check - item not in Supplies",IF(F93="","Not on a job","OK"))))</f>
        <v>0</v>
      </c>
    </row>
    <row r="94" spans="1:13">
      <c r="A94" s="43">
        <f>IF(D94="","","SU-"&amp;TEXT(ROW()-4,"0000"))</f>
        <v>0</v>
      </c>
      <c r="C94" s="23">
        <f>IF(B94="","",TEXT(B94,"yyyy-mm"))</f>
        <v>0</v>
      </c>
      <c r="J94" s="23">
        <f>IF(F94="","",IFERROR(INDEX(Jobs!$H$5:$H$604,MATCH(F94,Jobs!$A$5:$A$604,0)),""))</f>
        <v>0</v>
      </c>
      <c r="K94" s="21">
        <f>IF(D94="","",IFERROR(INDEX(Supplies!$P$5:$P$154,MATCH(D94,Supplies!$B$5:$B$154,0)),""))</f>
        <v>0</v>
      </c>
      <c r="L94" s="21">
        <f>IF(D94="","",ROUND(IF(E94="",0,E94)*IFERROR(K94*1,0),2))</f>
        <v>0</v>
      </c>
      <c r="M94" s="39">
        <f>IF(D94="","",IF(E94="","Add - how much?",IF(K94="","Check - item not in Supplies",IF(F94="","Not on a job","OK"))))</f>
        <v>0</v>
      </c>
    </row>
    <row r="95" spans="1:13">
      <c r="A95" s="43">
        <f>IF(D95="","","SU-"&amp;TEXT(ROW()-4,"0000"))</f>
        <v>0</v>
      </c>
      <c r="C95" s="23">
        <f>IF(B95="","",TEXT(B95,"yyyy-mm"))</f>
        <v>0</v>
      </c>
      <c r="J95" s="23">
        <f>IF(F95="","",IFERROR(INDEX(Jobs!$H$5:$H$604,MATCH(F95,Jobs!$A$5:$A$604,0)),""))</f>
        <v>0</v>
      </c>
      <c r="K95" s="21">
        <f>IF(D95="","",IFERROR(INDEX(Supplies!$P$5:$P$154,MATCH(D95,Supplies!$B$5:$B$154,0)),""))</f>
        <v>0</v>
      </c>
      <c r="L95" s="21">
        <f>IF(D95="","",ROUND(IF(E95="",0,E95)*IFERROR(K95*1,0),2))</f>
        <v>0</v>
      </c>
      <c r="M95" s="39">
        <f>IF(D95="","",IF(E95="","Add - how much?",IF(K95="","Check - item not in Supplies",IF(F95="","Not on a job","OK"))))</f>
        <v>0</v>
      </c>
    </row>
    <row r="96" spans="1:13">
      <c r="A96" s="43">
        <f>IF(D96="","","SU-"&amp;TEXT(ROW()-4,"0000"))</f>
        <v>0</v>
      </c>
      <c r="C96" s="23">
        <f>IF(B96="","",TEXT(B96,"yyyy-mm"))</f>
        <v>0</v>
      </c>
      <c r="J96" s="23">
        <f>IF(F96="","",IFERROR(INDEX(Jobs!$H$5:$H$604,MATCH(F96,Jobs!$A$5:$A$604,0)),""))</f>
        <v>0</v>
      </c>
      <c r="K96" s="21">
        <f>IF(D96="","",IFERROR(INDEX(Supplies!$P$5:$P$154,MATCH(D96,Supplies!$B$5:$B$154,0)),""))</f>
        <v>0</v>
      </c>
      <c r="L96" s="21">
        <f>IF(D96="","",ROUND(IF(E96="",0,E96)*IFERROR(K96*1,0),2))</f>
        <v>0</v>
      </c>
      <c r="M96" s="39">
        <f>IF(D96="","",IF(E96="","Add - how much?",IF(K96="","Check - item not in Supplies",IF(F96="","Not on a job","OK"))))</f>
        <v>0</v>
      </c>
    </row>
    <row r="97" spans="1:13">
      <c r="A97" s="43">
        <f>IF(D97="","","SU-"&amp;TEXT(ROW()-4,"0000"))</f>
        <v>0</v>
      </c>
      <c r="C97" s="23">
        <f>IF(B97="","",TEXT(B97,"yyyy-mm"))</f>
        <v>0</v>
      </c>
      <c r="J97" s="23">
        <f>IF(F97="","",IFERROR(INDEX(Jobs!$H$5:$H$604,MATCH(F97,Jobs!$A$5:$A$604,0)),""))</f>
        <v>0</v>
      </c>
      <c r="K97" s="21">
        <f>IF(D97="","",IFERROR(INDEX(Supplies!$P$5:$P$154,MATCH(D97,Supplies!$B$5:$B$154,0)),""))</f>
        <v>0</v>
      </c>
      <c r="L97" s="21">
        <f>IF(D97="","",ROUND(IF(E97="",0,E97)*IFERROR(K97*1,0),2))</f>
        <v>0</v>
      </c>
      <c r="M97" s="39">
        <f>IF(D97="","",IF(E97="","Add - how much?",IF(K97="","Check - item not in Supplies",IF(F97="","Not on a job","OK"))))</f>
        <v>0</v>
      </c>
    </row>
    <row r="98" spans="1:13">
      <c r="A98" s="43">
        <f>IF(D98="","","SU-"&amp;TEXT(ROW()-4,"0000"))</f>
        <v>0</v>
      </c>
      <c r="C98" s="23">
        <f>IF(B98="","",TEXT(B98,"yyyy-mm"))</f>
        <v>0</v>
      </c>
      <c r="J98" s="23">
        <f>IF(F98="","",IFERROR(INDEX(Jobs!$H$5:$H$604,MATCH(F98,Jobs!$A$5:$A$604,0)),""))</f>
        <v>0</v>
      </c>
      <c r="K98" s="21">
        <f>IF(D98="","",IFERROR(INDEX(Supplies!$P$5:$P$154,MATCH(D98,Supplies!$B$5:$B$154,0)),""))</f>
        <v>0</v>
      </c>
      <c r="L98" s="21">
        <f>IF(D98="","",ROUND(IF(E98="",0,E98)*IFERROR(K98*1,0),2))</f>
        <v>0</v>
      </c>
      <c r="M98" s="39">
        <f>IF(D98="","",IF(E98="","Add - how much?",IF(K98="","Check - item not in Supplies",IF(F98="","Not on a job","OK"))))</f>
        <v>0</v>
      </c>
    </row>
    <row r="99" spans="1:13">
      <c r="A99" s="43">
        <f>IF(D99="","","SU-"&amp;TEXT(ROW()-4,"0000"))</f>
        <v>0</v>
      </c>
      <c r="C99" s="23">
        <f>IF(B99="","",TEXT(B99,"yyyy-mm"))</f>
        <v>0</v>
      </c>
      <c r="J99" s="23">
        <f>IF(F99="","",IFERROR(INDEX(Jobs!$H$5:$H$604,MATCH(F99,Jobs!$A$5:$A$604,0)),""))</f>
        <v>0</v>
      </c>
      <c r="K99" s="21">
        <f>IF(D99="","",IFERROR(INDEX(Supplies!$P$5:$P$154,MATCH(D99,Supplies!$B$5:$B$154,0)),""))</f>
        <v>0</v>
      </c>
      <c r="L99" s="21">
        <f>IF(D99="","",ROUND(IF(E99="",0,E99)*IFERROR(K99*1,0),2))</f>
        <v>0</v>
      </c>
      <c r="M99" s="39">
        <f>IF(D99="","",IF(E99="","Add - how much?",IF(K99="","Check - item not in Supplies",IF(F99="","Not on a job","OK"))))</f>
        <v>0</v>
      </c>
    </row>
    <row r="100" spans="1:13">
      <c r="A100" s="43">
        <f>IF(D100="","","SU-"&amp;TEXT(ROW()-4,"0000"))</f>
        <v>0</v>
      </c>
      <c r="C100" s="23">
        <f>IF(B100="","",TEXT(B100,"yyyy-mm"))</f>
        <v>0</v>
      </c>
      <c r="J100" s="23">
        <f>IF(F100="","",IFERROR(INDEX(Jobs!$H$5:$H$604,MATCH(F100,Jobs!$A$5:$A$604,0)),""))</f>
        <v>0</v>
      </c>
      <c r="K100" s="21">
        <f>IF(D100="","",IFERROR(INDEX(Supplies!$P$5:$P$154,MATCH(D100,Supplies!$B$5:$B$154,0)),""))</f>
        <v>0</v>
      </c>
      <c r="L100" s="21">
        <f>IF(D100="","",ROUND(IF(E100="",0,E100)*IFERROR(K100*1,0),2))</f>
        <v>0</v>
      </c>
      <c r="M100" s="39">
        <f>IF(D100="","",IF(E100="","Add - how much?",IF(K100="","Check - item not in Supplies",IF(F100="","Not on a job","OK"))))</f>
        <v>0</v>
      </c>
    </row>
    <row r="101" spans="1:13">
      <c r="A101" s="43">
        <f>IF(D101="","","SU-"&amp;TEXT(ROW()-4,"0000"))</f>
        <v>0</v>
      </c>
      <c r="C101" s="23">
        <f>IF(B101="","",TEXT(B101,"yyyy-mm"))</f>
        <v>0</v>
      </c>
      <c r="J101" s="23">
        <f>IF(F101="","",IFERROR(INDEX(Jobs!$H$5:$H$604,MATCH(F101,Jobs!$A$5:$A$604,0)),""))</f>
        <v>0</v>
      </c>
      <c r="K101" s="21">
        <f>IF(D101="","",IFERROR(INDEX(Supplies!$P$5:$P$154,MATCH(D101,Supplies!$B$5:$B$154,0)),""))</f>
        <v>0</v>
      </c>
      <c r="L101" s="21">
        <f>IF(D101="","",ROUND(IF(E101="",0,E101)*IFERROR(K101*1,0),2))</f>
        <v>0</v>
      </c>
      <c r="M101" s="39">
        <f>IF(D101="","",IF(E101="","Add - how much?",IF(K101="","Check - item not in Supplies",IF(F101="","Not on a job","OK"))))</f>
        <v>0</v>
      </c>
    </row>
    <row r="102" spans="1:13">
      <c r="A102" s="43">
        <f>IF(D102="","","SU-"&amp;TEXT(ROW()-4,"0000"))</f>
        <v>0</v>
      </c>
      <c r="C102" s="23">
        <f>IF(B102="","",TEXT(B102,"yyyy-mm"))</f>
        <v>0</v>
      </c>
      <c r="J102" s="23">
        <f>IF(F102="","",IFERROR(INDEX(Jobs!$H$5:$H$604,MATCH(F102,Jobs!$A$5:$A$604,0)),""))</f>
        <v>0</v>
      </c>
      <c r="K102" s="21">
        <f>IF(D102="","",IFERROR(INDEX(Supplies!$P$5:$P$154,MATCH(D102,Supplies!$B$5:$B$154,0)),""))</f>
        <v>0</v>
      </c>
      <c r="L102" s="21">
        <f>IF(D102="","",ROUND(IF(E102="",0,E102)*IFERROR(K102*1,0),2))</f>
        <v>0</v>
      </c>
      <c r="M102" s="39">
        <f>IF(D102="","",IF(E102="","Add - how much?",IF(K102="","Check - item not in Supplies",IF(F102="","Not on a job","OK"))))</f>
        <v>0</v>
      </c>
    </row>
    <row r="103" spans="1:13">
      <c r="A103" s="43">
        <f>IF(D103="","","SU-"&amp;TEXT(ROW()-4,"0000"))</f>
        <v>0</v>
      </c>
      <c r="C103" s="23">
        <f>IF(B103="","",TEXT(B103,"yyyy-mm"))</f>
        <v>0</v>
      </c>
      <c r="J103" s="23">
        <f>IF(F103="","",IFERROR(INDEX(Jobs!$H$5:$H$604,MATCH(F103,Jobs!$A$5:$A$604,0)),""))</f>
        <v>0</v>
      </c>
      <c r="K103" s="21">
        <f>IF(D103="","",IFERROR(INDEX(Supplies!$P$5:$P$154,MATCH(D103,Supplies!$B$5:$B$154,0)),""))</f>
        <v>0</v>
      </c>
      <c r="L103" s="21">
        <f>IF(D103="","",ROUND(IF(E103="",0,E103)*IFERROR(K103*1,0),2))</f>
        <v>0</v>
      </c>
      <c r="M103" s="39">
        <f>IF(D103="","",IF(E103="","Add - how much?",IF(K103="","Check - item not in Supplies",IF(F103="","Not on a job","OK"))))</f>
        <v>0</v>
      </c>
    </row>
    <row r="104" spans="1:13">
      <c r="A104" s="43">
        <f>IF(D104="","","SU-"&amp;TEXT(ROW()-4,"0000"))</f>
        <v>0</v>
      </c>
      <c r="C104" s="23">
        <f>IF(B104="","",TEXT(B104,"yyyy-mm"))</f>
        <v>0</v>
      </c>
      <c r="J104" s="23">
        <f>IF(F104="","",IFERROR(INDEX(Jobs!$H$5:$H$604,MATCH(F104,Jobs!$A$5:$A$604,0)),""))</f>
        <v>0</v>
      </c>
      <c r="K104" s="21">
        <f>IF(D104="","",IFERROR(INDEX(Supplies!$P$5:$P$154,MATCH(D104,Supplies!$B$5:$B$154,0)),""))</f>
        <v>0</v>
      </c>
      <c r="L104" s="21">
        <f>IF(D104="","",ROUND(IF(E104="",0,E104)*IFERROR(K104*1,0),2))</f>
        <v>0</v>
      </c>
      <c r="M104" s="39">
        <f>IF(D104="","",IF(E104="","Add - how much?",IF(K104="","Check - item not in Supplies",IF(F104="","Not on a job","OK"))))</f>
        <v>0</v>
      </c>
    </row>
    <row r="105" spans="1:13">
      <c r="A105" s="43">
        <f>IF(D105="","","SU-"&amp;TEXT(ROW()-4,"0000"))</f>
        <v>0</v>
      </c>
      <c r="C105" s="23">
        <f>IF(B105="","",TEXT(B105,"yyyy-mm"))</f>
        <v>0</v>
      </c>
      <c r="J105" s="23">
        <f>IF(F105="","",IFERROR(INDEX(Jobs!$H$5:$H$604,MATCH(F105,Jobs!$A$5:$A$604,0)),""))</f>
        <v>0</v>
      </c>
      <c r="K105" s="21">
        <f>IF(D105="","",IFERROR(INDEX(Supplies!$P$5:$P$154,MATCH(D105,Supplies!$B$5:$B$154,0)),""))</f>
        <v>0</v>
      </c>
      <c r="L105" s="21">
        <f>IF(D105="","",ROUND(IF(E105="",0,E105)*IFERROR(K105*1,0),2))</f>
        <v>0</v>
      </c>
      <c r="M105" s="39">
        <f>IF(D105="","",IF(E105="","Add - how much?",IF(K105="","Check - item not in Supplies",IF(F105="","Not on a job","OK"))))</f>
        <v>0</v>
      </c>
    </row>
    <row r="106" spans="1:13">
      <c r="A106" s="43">
        <f>IF(D106="","","SU-"&amp;TEXT(ROW()-4,"0000"))</f>
        <v>0</v>
      </c>
      <c r="C106" s="23">
        <f>IF(B106="","",TEXT(B106,"yyyy-mm"))</f>
        <v>0</v>
      </c>
      <c r="J106" s="23">
        <f>IF(F106="","",IFERROR(INDEX(Jobs!$H$5:$H$604,MATCH(F106,Jobs!$A$5:$A$604,0)),""))</f>
        <v>0</v>
      </c>
      <c r="K106" s="21">
        <f>IF(D106="","",IFERROR(INDEX(Supplies!$P$5:$P$154,MATCH(D106,Supplies!$B$5:$B$154,0)),""))</f>
        <v>0</v>
      </c>
      <c r="L106" s="21">
        <f>IF(D106="","",ROUND(IF(E106="",0,E106)*IFERROR(K106*1,0),2))</f>
        <v>0</v>
      </c>
      <c r="M106" s="39">
        <f>IF(D106="","",IF(E106="","Add - how much?",IF(K106="","Check - item not in Supplies",IF(F106="","Not on a job","OK"))))</f>
        <v>0</v>
      </c>
    </row>
    <row r="107" spans="1:13">
      <c r="A107" s="43">
        <f>IF(D107="","","SU-"&amp;TEXT(ROW()-4,"0000"))</f>
        <v>0</v>
      </c>
      <c r="C107" s="23">
        <f>IF(B107="","",TEXT(B107,"yyyy-mm"))</f>
        <v>0</v>
      </c>
      <c r="J107" s="23">
        <f>IF(F107="","",IFERROR(INDEX(Jobs!$H$5:$H$604,MATCH(F107,Jobs!$A$5:$A$604,0)),""))</f>
        <v>0</v>
      </c>
      <c r="K107" s="21">
        <f>IF(D107="","",IFERROR(INDEX(Supplies!$P$5:$P$154,MATCH(D107,Supplies!$B$5:$B$154,0)),""))</f>
        <v>0</v>
      </c>
      <c r="L107" s="21">
        <f>IF(D107="","",ROUND(IF(E107="",0,E107)*IFERROR(K107*1,0),2))</f>
        <v>0</v>
      </c>
      <c r="M107" s="39">
        <f>IF(D107="","",IF(E107="","Add - how much?",IF(K107="","Check - item not in Supplies",IF(F107="","Not on a job","OK"))))</f>
        <v>0</v>
      </c>
    </row>
    <row r="108" spans="1:13">
      <c r="A108" s="43">
        <f>IF(D108="","","SU-"&amp;TEXT(ROW()-4,"0000"))</f>
        <v>0</v>
      </c>
      <c r="C108" s="23">
        <f>IF(B108="","",TEXT(B108,"yyyy-mm"))</f>
        <v>0</v>
      </c>
      <c r="J108" s="23">
        <f>IF(F108="","",IFERROR(INDEX(Jobs!$H$5:$H$604,MATCH(F108,Jobs!$A$5:$A$604,0)),""))</f>
        <v>0</v>
      </c>
      <c r="K108" s="21">
        <f>IF(D108="","",IFERROR(INDEX(Supplies!$P$5:$P$154,MATCH(D108,Supplies!$B$5:$B$154,0)),""))</f>
        <v>0</v>
      </c>
      <c r="L108" s="21">
        <f>IF(D108="","",ROUND(IF(E108="",0,E108)*IFERROR(K108*1,0),2))</f>
        <v>0</v>
      </c>
      <c r="M108" s="39">
        <f>IF(D108="","",IF(E108="","Add - how much?",IF(K108="","Check - item not in Supplies",IF(F108="","Not on a job","OK"))))</f>
        <v>0</v>
      </c>
    </row>
    <row r="109" spans="1:13">
      <c r="A109" s="43">
        <f>IF(D109="","","SU-"&amp;TEXT(ROW()-4,"0000"))</f>
        <v>0</v>
      </c>
      <c r="C109" s="23">
        <f>IF(B109="","",TEXT(B109,"yyyy-mm"))</f>
        <v>0</v>
      </c>
      <c r="J109" s="23">
        <f>IF(F109="","",IFERROR(INDEX(Jobs!$H$5:$H$604,MATCH(F109,Jobs!$A$5:$A$604,0)),""))</f>
        <v>0</v>
      </c>
      <c r="K109" s="21">
        <f>IF(D109="","",IFERROR(INDEX(Supplies!$P$5:$P$154,MATCH(D109,Supplies!$B$5:$B$154,0)),""))</f>
        <v>0</v>
      </c>
      <c r="L109" s="21">
        <f>IF(D109="","",ROUND(IF(E109="",0,E109)*IFERROR(K109*1,0),2))</f>
        <v>0</v>
      </c>
      <c r="M109" s="39">
        <f>IF(D109="","",IF(E109="","Add - how much?",IF(K109="","Check - item not in Supplies",IF(F109="","Not on a job","OK"))))</f>
        <v>0</v>
      </c>
    </row>
    <row r="110" spans="1:13">
      <c r="A110" s="43">
        <f>IF(D110="","","SU-"&amp;TEXT(ROW()-4,"0000"))</f>
        <v>0</v>
      </c>
      <c r="C110" s="23">
        <f>IF(B110="","",TEXT(B110,"yyyy-mm"))</f>
        <v>0</v>
      </c>
      <c r="J110" s="23">
        <f>IF(F110="","",IFERROR(INDEX(Jobs!$H$5:$H$604,MATCH(F110,Jobs!$A$5:$A$604,0)),""))</f>
        <v>0</v>
      </c>
      <c r="K110" s="21">
        <f>IF(D110="","",IFERROR(INDEX(Supplies!$P$5:$P$154,MATCH(D110,Supplies!$B$5:$B$154,0)),""))</f>
        <v>0</v>
      </c>
      <c r="L110" s="21">
        <f>IF(D110="","",ROUND(IF(E110="",0,E110)*IFERROR(K110*1,0),2))</f>
        <v>0</v>
      </c>
      <c r="M110" s="39">
        <f>IF(D110="","",IF(E110="","Add - how much?",IF(K110="","Check - item not in Supplies",IF(F110="","Not on a job","OK"))))</f>
        <v>0</v>
      </c>
    </row>
    <row r="111" spans="1:13">
      <c r="A111" s="43">
        <f>IF(D111="","","SU-"&amp;TEXT(ROW()-4,"0000"))</f>
        <v>0</v>
      </c>
      <c r="C111" s="23">
        <f>IF(B111="","",TEXT(B111,"yyyy-mm"))</f>
        <v>0</v>
      </c>
      <c r="J111" s="23">
        <f>IF(F111="","",IFERROR(INDEX(Jobs!$H$5:$H$604,MATCH(F111,Jobs!$A$5:$A$604,0)),""))</f>
        <v>0</v>
      </c>
      <c r="K111" s="21">
        <f>IF(D111="","",IFERROR(INDEX(Supplies!$P$5:$P$154,MATCH(D111,Supplies!$B$5:$B$154,0)),""))</f>
        <v>0</v>
      </c>
      <c r="L111" s="21">
        <f>IF(D111="","",ROUND(IF(E111="",0,E111)*IFERROR(K111*1,0),2))</f>
        <v>0</v>
      </c>
      <c r="M111" s="39">
        <f>IF(D111="","",IF(E111="","Add - how much?",IF(K111="","Check - item not in Supplies",IF(F111="","Not on a job","OK"))))</f>
        <v>0</v>
      </c>
    </row>
    <row r="112" spans="1:13">
      <c r="A112" s="43">
        <f>IF(D112="","","SU-"&amp;TEXT(ROW()-4,"0000"))</f>
        <v>0</v>
      </c>
      <c r="C112" s="23">
        <f>IF(B112="","",TEXT(B112,"yyyy-mm"))</f>
        <v>0</v>
      </c>
      <c r="J112" s="23">
        <f>IF(F112="","",IFERROR(INDEX(Jobs!$H$5:$H$604,MATCH(F112,Jobs!$A$5:$A$604,0)),""))</f>
        <v>0</v>
      </c>
      <c r="K112" s="21">
        <f>IF(D112="","",IFERROR(INDEX(Supplies!$P$5:$P$154,MATCH(D112,Supplies!$B$5:$B$154,0)),""))</f>
        <v>0</v>
      </c>
      <c r="L112" s="21">
        <f>IF(D112="","",ROUND(IF(E112="",0,E112)*IFERROR(K112*1,0),2))</f>
        <v>0</v>
      </c>
      <c r="M112" s="39">
        <f>IF(D112="","",IF(E112="","Add - how much?",IF(K112="","Check - item not in Supplies",IF(F112="","Not on a job","OK"))))</f>
        <v>0</v>
      </c>
    </row>
    <row r="113" spans="1:13">
      <c r="A113" s="43">
        <f>IF(D113="","","SU-"&amp;TEXT(ROW()-4,"0000"))</f>
        <v>0</v>
      </c>
      <c r="C113" s="23">
        <f>IF(B113="","",TEXT(B113,"yyyy-mm"))</f>
        <v>0</v>
      </c>
      <c r="J113" s="23">
        <f>IF(F113="","",IFERROR(INDEX(Jobs!$H$5:$H$604,MATCH(F113,Jobs!$A$5:$A$604,0)),""))</f>
        <v>0</v>
      </c>
      <c r="K113" s="21">
        <f>IF(D113="","",IFERROR(INDEX(Supplies!$P$5:$P$154,MATCH(D113,Supplies!$B$5:$B$154,0)),""))</f>
        <v>0</v>
      </c>
      <c r="L113" s="21">
        <f>IF(D113="","",ROUND(IF(E113="",0,E113)*IFERROR(K113*1,0),2))</f>
        <v>0</v>
      </c>
      <c r="M113" s="39">
        <f>IF(D113="","",IF(E113="","Add - how much?",IF(K113="","Check - item not in Supplies",IF(F113="","Not on a job","OK"))))</f>
        <v>0</v>
      </c>
    </row>
    <row r="114" spans="1:13">
      <c r="A114" s="43">
        <f>IF(D114="","","SU-"&amp;TEXT(ROW()-4,"0000"))</f>
        <v>0</v>
      </c>
      <c r="C114" s="23">
        <f>IF(B114="","",TEXT(B114,"yyyy-mm"))</f>
        <v>0</v>
      </c>
      <c r="J114" s="23">
        <f>IF(F114="","",IFERROR(INDEX(Jobs!$H$5:$H$604,MATCH(F114,Jobs!$A$5:$A$604,0)),""))</f>
        <v>0</v>
      </c>
      <c r="K114" s="21">
        <f>IF(D114="","",IFERROR(INDEX(Supplies!$P$5:$P$154,MATCH(D114,Supplies!$B$5:$B$154,0)),""))</f>
        <v>0</v>
      </c>
      <c r="L114" s="21">
        <f>IF(D114="","",ROUND(IF(E114="",0,E114)*IFERROR(K114*1,0),2))</f>
        <v>0</v>
      </c>
      <c r="M114" s="39">
        <f>IF(D114="","",IF(E114="","Add - how much?",IF(K114="","Check - item not in Supplies",IF(F114="","Not on a job","OK"))))</f>
        <v>0</v>
      </c>
    </row>
    <row r="115" spans="1:13">
      <c r="A115" s="43">
        <f>IF(D115="","","SU-"&amp;TEXT(ROW()-4,"0000"))</f>
        <v>0</v>
      </c>
      <c r="C115" s="23">
        <f>IF(B115="","",TEXT(B115,"yyyy-mm"))</f>
        <v>0</v>
      </c>
      <c r="J115" s="23">
        <f>IF(F115="","",IFERROR(INDEX(Jobs!$H$5:$H$604,MATCH(F115,Jobs!$A$5:$A$604,0)),""))</f>
        <v>0</v>
      </c>
      <c r="K115" s="21">
        <f>IF(D115="","",IFERROR(INDEX(Supplies!$P$5:$P$154,MATCH(D115,Supplies!$B$5:$B$154,0)),""))</f>
        <v>0</v>
      </c>
      <c r="L115" s="21">
        <f>IF(D115="","",ROUND(IF(E115="",0,E115)*IFERROR(K115*1,0),2))</f>
        <v>0</v>
      </c>
      <c r="M115" s="39">
        <f>IF(D115="","",IF(E115="","Add - how much?",IF(K115="","Check - item not in Supplies",IF(F115="","Not on a job","OK"))))</f>
        <v>0</v>
      </c>
    </row>
    <row r="116" spans="1:13">
      <c r="A116" s="43">
        <f>IF(D116="","","SU-"&amp;TEXT(ROW()-4,"0000"))</f>
        <v>0</v>
      </c>
      <c r="C116" s="23">
        <f>IF(B116="","",TEXT(B116,"yyyy-mm"))</f>
        <v>0</v>
      </c>
      <c r="J116" s="23">
        <f>IF(F116="","",IFERROR(INDEX(Jobs!$H$5:$H$604,MATCH(F116,Jobs!$A$5:$A$604,0)),""))</f>
        <v>0</v>
      </c>
      <c r="K116" s="21">
        <f>IF(D116="","",IFERROR(INDEX(Supplies!$P$5:$P$154,MATCH(D116,Supplies!$B$5:$B$154,0)),""))</f>
        <v>0</v>
      </c>
      <c r="L116" s="21">
        <f>IF(D116="","",ROUND(IF(E116="",0,E116)*IFERROR(K116*1,0),2))</f>
        <v>0</v>
      </c>
      <c r="M116" s="39">
        <f>IF(D116="","",IF(E116="","Add - how much?",IF(K116="","Check - item not in Supplies",IF(F116="","Not on a job","OK"))))</f>
        <v>0</v>
      </c>
    </row>
    <row r="117" spans="1:13">
      <c r="A117" s="43">
        <f>IF(D117="","","SU-"&amp;TEXT(ROW()-4,"0000"))</f>
        <v>0</v>
      </c>
      <c r="C117" s="23">
        <f>IF(B117="","",TEXT(B117,"yyyy-mm"))</f>
        <v>0</v>
      </c>
      <c r="J117" s="23">
        <f>IF(F117="","",IFERROR(INDEX(Jobs!$H$5:$H$604,MATCH(F117,Jobs!$A$5:$A$604,0)),""))</f>
        <v>0</v>
      </c>
      <c r="K117" s="21">
        <f>IF(D117="","",IFERROR(INDEX(Supplies!$P$5:$P$154,MATCH(D117,Supplies!$B$5:$B$154,0)),""))</f>
        <v>0</v>
      </c>
      <c r="L117" s="21">
        <f>IF(D117="","",ROUND(IF(E117="",0,E117)*IFERROR(K117*1,0),2))</f>
        <v>0</v>
      </c>
      <c r="M117" s="39">
        <f>IF(D117="","",IF(E117="","Add - how much?",IF(K117="","Check - item not in Supplies",IF(F117="","Not on a job","OK"))))</f>
        <v>0</v>
      </c>
    </row>
    <row r="118" spans="1:13">
      <c r="A118" s="43">
        <f>IF(D118="","","SU-"&amp;TEXT(ROW()-4,"0000"))</f>
        <v>0</v>
      </c>
      <c r="C118" s="23">
        <f>IF(B118="","",TEXT(B118,"yyyy-mm"))</f>
        <v>0</v>
      </c>
      <c r="J118" s="23">
        <f>IF(F118="","",IFERROR(INDEX(Jobs!$H$5:$H$604,MATCH(F118,Jobs!$A$5:$A$604,0)),""))</f>
        <v>0</v>
      </c>
      <c r="K118" s="21">
        <f>IF(D118="","",IFERROR(INDEX(Supplies!$P$5:$P$154,MATCH(D118,Supplies!$B$5:$B$154,0)),""))</f>
        <v>0</v>
      </c>
      <c r="L118" s="21">
        <f>IF(D118="","",ROUND(IF(E118="",0,E118)*IFERROR(K118*1,0),2))</f>
        <v>0</v>
      </c>
      <c r="M118" s="39">
        <f>IF(D118="","",IF(E118="","Add - how much?",IF(K118="","Check - item not in Supplies",IF(F118="","Not on a job","OK"))))</f>
        <v>0</v>
      </c>
    </row>
    <row r="119" spans="1:13">
      <c r="A119" s="43">
        <f>IF(D119="","","SU-"&amp;TEXT(ROW()-4,"0000"))</f>
        <v>0</v>
      </c>
      <c r="C119" s="23">
        <f>IF(B119="","",TEXT(B119,"yyyy-mm"))</f>
        <v>0</v>
      </c>
      <c r="J119" s="23">
        <f>IF(F119="","",IFERROR(INDEX(Jobs!$H$5:$H$604,MATCH(F119,Jobs!$A$5:$A$604,0)),""))</f>
        <v>0</v>
      </c>
      <c r="K119" s="21">
        <f>IF(D119="","",IFERROR(INDEX(Supplies!$P$5:$P$154,MATCH(D119,Supplies!$B$5:$B$154,0)),""))</f>
        <v>0</v>
      </c>
      <c r="L119" s="21">
        <f>IF(D119="","",ROUND(IF(E119="",0,E119)*IFERROR(K119*1,0),2))</f>
        <v>0</v>
      </c>
      <c r="M119" s="39">
        <f>IF(D119="","",IF(E119="","Add - how much?",IF(K119="","Check - item not in Supplies",IF(F119="","Not on a job","OK"))))</f>
        <v>0</v>
      </c>
    </row>
    <row r="120" spans="1:13">
      <c r="A120" s="43">
        <f>IF(D120="","","SU-"&amp;TEXT(ROW()-4,"0000"))</f>
        <v>0</v>
      </c>
      <c r="C120" s="23">
        <f>IF(B120="","",TEXT(B120,"yyyy-mm"))</f>
        <v>0</v>
      </c>
      <c r="J120" s="23">
        <f>IF(F120="","",IFERROR(INDEX(Jobs!$H$5:$H$604,MATCH(F120,Jobs!$A$5:$A$604,0)),""))</f>
        <v>0</v>
      </c>
      <c r="K120" s="21">
        <f>IF(D120="","",IFERROR(INDEX(Supplies!$P$5:$P$154,MATCH(D120,Supplies!$B$5:$B$154,0)),""))</f>
        <v>0</v>
      </c>
      <c r="L120" s="21">
        <f>IF(D120="","",ROUND(IF(E120="",0,E120)*IFERROR(K120*1,0),2))</f>
        <v>0</v>
      </c>
      <c r="M120" s="39">
        <f>IF(D120="","",IF(E120="","Add - how much?",IF(K120="","Check - item not in Supplies",IF(F120="","Not on a job","OK"))))</f>
        <v>0</v>
      </c>
    </row>
    <row r="121" spans="1:13">
      <c r="A121" s="43">
        <f>IF(D121="","","SU-"&amp;TEXT(ROW()-4,"0000"))</f>
        <v>0</v>
      </c>
      <c r="C121" s="23">
        <f>IF(B121="","",TEXT(B121,"yyyy-mm"))</f>
        <v>0</v>
      </c>
      <c r="J121" s="23">
        <f>IF(F121="","",IFERROR(INDEX(Jobs!$H$5:$H$604,MATCH(F121,Jobs!$A$5:$A$604,0)),""))</f>
        <v>0</v>
      </c>
      <c r="K121" s="21">
        <f>IF(D121="","",IFERROR(INDEX(Supplies!$P$5:$P$154,MATCH(D121,Supplies!$B$5:$B$154,0)),""))</f>
        <v>0</v>
      </c>
      <c r="L121" s="21">
        <f>IF(D121="","",ROUND(IF(E121="",0,E121)*IFERROR(K121*1,0),2))</f>
        <v>0</v>
      </c>
      <c r="M121" s="39">
        <f>IF(D121="","",IF(E121="","Add - how much?",IF(K121="","Check - item not in Supplies",IF(F121="","Not on a job","OK"))))</f>
        <v>0</v>
      </c>
    </row>
    <row r="122" spans="1:13">
      <c r="A122" s="43">
        <f>IF(D122="","","SU-"&amp;TEXT(ROW()-4,"0000"))</f>
        <v>0</v>
      </c>
      <c r="C122" s="23">
        <f>IF(B122="","",TEXT(B122,"yyyy-mm"))</f>
        <v>0</v>
      </c>
      <c r="J122" s="23">
        <f>IF(F122="","",IFERROR(INDEX(Jobs!$H$5:$H$604,MATCH(F122,Jobs!$A$5:$A$604,0)),""))</f>
        <v>0</v>
      </c>
      <c r="K122" s="21">
        <f>IF(D122="","",IFERROR(INDEX(Supplies!$P$5:$P$154,MATCH(D122,Supplies!$B$5:$B$154,0)),""))</f>
        <v>0</v>
      </c>
      <c r="L122" s="21">
        <f>IF(D122="","",ROUND(IF(E122="",0,E122)*IFERROR(K122*1,0),2))</f>
        <v>0</v>
      </c>
      <c r="M122" s="39">
        <f>IF(D122="","",IF(E122="","Add - how much?",IF(K122="","Check - item not in Supplies",IF(F122="","Not on a job","OK"))))</f>
        <v>0</v>
      </c>
    </row>
    <row r="123" spans="1:13">
      <c r="A123" s="43">
        <f>IF(D123="","","SU-"&amp;TEXT(ROW()-4,"0000"))</f>
        <v>0</v>
      </c>
      <c r="C123" s="23">
        <f>IF(B123="","",TEXT(B123,"yyyy-mm"))</f>
        <v>0</v>
      </c>
      <c r="J123" s="23">
        <f>IF(F123="","",IFERROR(INDEX(Jobs!$H$5:$H$604,MATCH(F123,Jobs!$A$5:$A$604,0)),""))</f>
        <v>0</v>
      </c>
      <c r="K123" s="21">
        <f>IF(D123="","",IFERROR(INDEX(Supplies!$P$5:$P$154,MATCH(D123,Supplies!$B$5:$B$154,0)),""))</f>
        <v>0</v>
      </c>
      <c r="L123" s="21">
        <f>IF(D123="","",ROUND(IF(E123="",0,E123)*IFERROR(K123*1,0),2))</f>
        <v>0</v>
      </c>
      <c r="M123" s="39">
        <f>IF(D123="","",IF(E123="","Add - how much?",IF(K123="","Check - item not in Supplies",IF(F123="","Not on a job","OK"))))</f>
        <v>0</v>
      </c>
    </row>
    <row r="124" spans="1:13">
      <c r="A124" s="43">
        <f>IF(D124="","","SU-"&amp;TEXT(ROW()-4,"0000"))</f>
        <v>0</v>
      </c>
      <c r="C124" s="23">
        <f>IF(B124="","",TEXT(B124,"yyyy-mm"))</f>
        <v>0</v>
      </c>
      <c r="J124" s="23">
        <f>IF(F124="","",IFERROR(INDEX(Jobs!$H$5:$H$604,MATCH(F124,Jobs!$A$5:$A$604,0)),""))</f>
        <v>0</v>
      </c>
      <c r="K124" s="21">
        <f>IF(D124="","",IFERROR(INDEX(Supplies!$P$5:$P$154,MATCH(D124,Supplies!$B$5:$B$154,0)),""))</f>
        <v>0</v>
      </c>
      <c r="L124" s="21">
        <f>IF(D124="","",ROUND(IF(E124="",0,E124)*IFERROR(K124*1,0),2))</f>
        <v>0</v>
      </c>
      <c r="M124" s="39">
        <f>IF(D124="","",IF(E124="","Add - how much?",IF(K124="","Check - item not in Supplies",IF(F124="","Not on a job","OK"))))</f>
        <v>0</v>
      </c>
    </row>
    <row r="125" spans="1:13">
      <c r="A125" s="43">
        <f>IF(D125="","","SU-"&amp;TEXT(ROW()-4,"0000"))</f>
        <v>0</v>
      </c>
      <c r="C125" s="23">
        <f>IF(B125="","",TEXT(B125,"yyyy-mm"))</f>
        <v>0</v>
      </c>
      <c r="J125" s="23">
        <f>IF(F125="","",IFERROR(INDEX(Jobs!$H$5:$H$604,MATCH(F125,Jobs!$A$5:$A$604,0)),""))</f>
        <v>0</v>
      </c>
      <c r="K125" s="21">
        <f>IF(D125="","",IFERROR(INDEX(Supplies!$P$5:$P$154,MATCH(D125,Supplies!$B$5:$B$154,0)),""))</f>
        <v>0</v>
      </c>
      <c r="L125" s="21">
        <f>IF(D125="","",ROUND(IF(E125="",0,E125)*IFERROR(K125*1,0),2))</f>
        <v>0</v>
      </c>
      <c r="M125" s="39">
        <f>IF(D125="","",IF(E125="","Add - how much?",IF(K125="","Check - item not in Supplies",IF(F125="","Not on a job","OK"))))</f>
        <v>0</v>
      </c>
    </row>
    <row r="126" spans="1:13">
      <c r="A126" s="43">
        <f>IF(D126="","","SU-"&amp;TEXT(ROW()-4,"0000"))</f>
        <v>0</v>
      </c>
      <c r="C126" s="23">
        <f>IF(B126="","",TEXT(B126,"yyyy-mm"))</f>
        <v>0</v>
      </c>
      <c r="J126" s="23">
        <f>IF(F126="","",IFERROR(INDEX(Jobs!$H$5:$H$604,MATCH(F126,Jobs!$A$5:$A$604,0)),""))</f>
        <v>0</v>
      </c>
      <c r="K126" s="21">
        <f>IF(D126="","",IFERROR(INDEX(Supplies!$P$5:$P$154,MATCH(D126,Supplies!$B$5:$B$154,0)),""))</f>
        <v>0</v>
      </c>
      <c r="L126" s="21">
        <f>IF(D126="","",ROUND(IF(E126="",0,E126)*IFERROR(K126*1,0),2))</f>
        <v>0</v>
      </c>
      <c r="M126" s="39">
        <f>IF(D126="","",IF(E126="","Add - how much?",IF(K126="","Check - item not in Supplies",IF(F126="","Not on a job","OK"))))</f>
        <v>0</v>
      </c>
    </row>
    <row r="127" spans="1:13">
      <c r="A127" s="43">
        <f>IF(D127="","","SU-"&amp;TEXT(ROW()-4,"0000"))</f>
        <v>0</v>
      </c>
      <c r="C127" s="23">
        <f>IF(B127="","",TEXT(B127,"yyyy-mm"))</f>
        <v>0</v>
      </c>
      <c r="J127" s="23">
        <f>IF(F127="","",IFERROR(INDEX(Jobs!$H$5:$H$604,MATCH(F127,Jobs!$A$5:$A$604,0)),""))</f>
        <v>0</v>
      </c>
      <c r="K127" s="21">
        <f>IF(D127="","",IFERROR(INDEX(Supplies!$P$5:$P$154,MATCH(D127,Supplies!$B$5:$B$154,0)),""))</f>
        <v>0</v>
      </c>
      <c r="L127" s="21">
        <f>IF(D127="","",ROUND(IF(E127="",0,E127)*IFERROR(K127*1,0),2))</f>
        <v>0</v>
      </c>
      <c r="M127" s="39">
        <f>IF(D127="","",IF(E127="","Add - how much?",IF(K127="","Check - item not in Supplies",IF(F127="","Not on a job","OK"))))</f>
        <v>0</v>
      </c>
    </row>
    <row r="128" spans="1:13">
      <c r="A128" s="43">
        <f>IF(D128="","","SU-"&amp;TEXT(ROW()-4,"0000"))</f>
        <v>0</v>
      </c>
      <c r="C128" s="23">
        <f>IF(B128="","",TEXT(B128,"yyyy-mm"))</f>
        <v>0</v>
      </c>
      <c r="J128" s="23">
        <f>IF(F128="","",IFERROR(INDEX(Jobs!$H$5:$H$604,MATCH(F128,Jobs!$A$5:$A$604,0)),""))</f>
        <v>0</v>
      </c>
      <c r="K128" s="21">
        <f>IF(D128="","",IFERROR(INDEX(Supplies!$P$5:$P$154,MATCH(D128,Supplies!$B$5:$B$154,0)),""))</f>
        <v>0</v>
      </c>
      <c r="L128" s="21">
        <f>IF(D128="","",ROUND(IF(E128="",0,E128)*IFERROR(K128*1,0),2))</f>
        <v>0</v>
      </c>
      <c r="M128" s="39">
        <f>IF(D128="","",IF(E128="","Add - how much?",IF(K128="","Check - item not in Supplies",IF(F128="","Not on a job","OK"))))</f>
        <v>0</v>
      </c>
    </row>
    <row r="129" spans="1:13">
      <c r="A129" s="43">
        <f>IF(D129="","","SU-"&amp;TEXT(ROW()-4,"0000"))</f>
        <v>0</v>
      </c>
      <c r="C129" s="23">
        <f>IF(B129="","",TEXT(B129,"yyyy-mm"))</f>
        <v>0</v>
      </c>
      <c r="J129" s="23">
        <f>IF(F129="","",IFERROR(INDEX(Jobs!$H$5:$H$604,MATCH(F129,Jobs!$A$5:$A$604,0)),""))</f>
        <v>0</v>
      </c>
      <c r="K129" s="21">
        <f>IF(D129="","",IFERROR(INDEX(Supplies!$P$5:$P$154,MATCH(D129,Supplies!$B$5:$B$154,0)),""))</f>
        <v>0</v>
      </c>
      <c r="L129" s="21">
        <f>IF(D129="","",ROUND(IF(E129="",0,E129)*IFERROR(K129*1,0),2))</f>
        <v>0</v>
      </c>
      <c r="M129" s="39">
        <f>IF(D129="","",IF(E129="","Add - how much?",IF(K129="","Check - item not in Supplies",IF(F129="","Not on a job","OK"))))</f>
        <v>0</v>
      </c>
    </row>
    <row r="130" spans="1:13">
      <c r="A130" s="43">
        <f>IF(D130="","","SU-"&amp;TEXT(ROW()-4,"0000"))</f>
        <v>0</v>
      </c>
      <c r="C130" s="23">
        <f>IF(B130="","",TEXT(B130,"yyyy-mm"))</f>
        <v>0</v>
      </c>
      <c r="J130" s="23">
        <f>IF(F130="","",IFERROR(INDEX(Jobs!$H$5:$H$604,MATCH(F130,Jobs!$A$5:$A$604,0)),""))</f>
        <v>0</v>
      </c>
      <c r="K130" s="21">
        <f>IF(D130="","",IFERROR(INDEX(Supplies!$P$5:$P$154,MATCH(D130,Supplies!$B$5:$B$154,0)),""))</f>
        <v>0</v>
      </c>
      <c r="L130" s="21">
        <f>IF(D130="","",ROUND(IF(E130="",0,E130)*IFERROR(K130*1,0),2))</f>
        <v>0</v>
      </c>
      <c r="M130" s="39">
        <f>IF(D130="","",IF(E130="","Add - how much?",IF(K130="","Check - item not in Supplies",IF(F130="","Not on a job","OK"))))</f>
        <v>0</v>
      </c>
    </row>
    <row r="131" spans="1:13">
      <c r="A131" s="43">
        <f>IF(D131="","","SU-"&amp;TEXT(ROW()-4,"0000"))</f>
        <v>0</v>
      </c>
      <c r="C131" s="23">
        <f>IF(B131="","",TEXT(B131,"yyyy-mm"))</f>
        <v>0</v>
      </c>
      <c r="J131" s="23">
        <f>IF(F131="","",IFERROR(INDEX(Jobs!$H$5:$H$604,MATCH(F131,Jobs!$A$5:$A$604,0)),""))</f>
        <v>0</v>
      </c>
      <c r="K131" s="21">
        <f>IF(D131="","",IFERROR(INDEX(Supplies!$P$5:$P$154,MATCH(D131,Supplies!$B$5:$B$154,0)),""))</f>
        <v>0</v>
      </c>
      <c r="L131" s="21">
        <f>IF(D131="","",ROUND(IF(E131="",0,E131)*IFERROR(K131*1,0),2))</f>
        <v>0</v>
      </c>
      <c r="M131" s="39">
        <f>IF(D131="","",IF(E131="","Add - how much?",IF(K131="","Check - item not in Supplies",IF(F131="","Not on a job","OK"))))</f>
        <v>0</v>
      </c>
    </row>
    <row r="132" spans="1:13">
      <c r="A132" s="43">
        <f>IF(D132="","","SU-"&amp;TEXT(ROW()-4,"0000"))</f>
        <v>0</v>
      </c>
      <c r="C132" s="23">
        <f>IF(B132="","",TEXT(B132,"yyyy-mm"))</f>
        <v>0</v>
      </c>
      <c r="J132" s="23">
        <f>IF(F132="","",IFERROR(INDEX(Jobs!$H$5:$H$604,MATCH(F132,Jobs!$A$5:$A$604,0)),""))</f>
        <v>0</v>
      </c>
      <c r="K132" s="21">
        <f>IF(D132="","",IFERROR(INDEX(Supplies!$P$5:$P$154,MATCH(D132,Supplies!$B$5:$B$154,0)),""))</f>
        <v>0</v>
      </c>
      <c r="L132" s="21">
        <f>IF(D132="","",ROUND(IF(E132="",0,E132)*IFERROR(K132*1,0),2))</f>
        <v>0</v>
      </c>
      <c r="M132" s="39">
        <f>IF(D132="","",IF(E132="","Add - how much?",IF(K132="","Check - item not in Supplies",IF(F132="","Not on a job","OK"))))</f>
        <v>0</v>
      </c>
    </row>
    <row r="133" spans="1:13">
      <c r="A133" s="43">
        <f>IF(D133="","","SU-"&amp;TEXT(ROW()-4,"0000"))</f>
        <v>0</v>
      </c>
      <c r="C133" s="23">
        <f>IF(B133="","",TEXT(B133,"yyyy-mm"))</f>
        <v>0</v>
      </c>
      <c r="J133" s="23">
        <f>IF(F133="","",IFERROR(INDEX(Jobs!$H$5:$H$604,MATCH(F133,Jobs!$A$5:$A$604,0)),""))</f>
        <v>0</v>
      </c>
      <c r="K133" s="21">
        <f>IF(D133="","",IFERROR(INDEX(Supplies!$P$5:$P$154,MATCH(D133,Supplies!$B$5:$B$154,0)),""))</f>
        <v>0</v>
      </c>
      <c r="L133" s="21">
        <f>IF(D133="","",ROUND(IF(E133="",0,E133)*IFERROR(K133*1,0),2))</f>
        <v>0</v>
      </c>
      <c r="M133" s="39">
        <f>IF(D133="","",IF(E133="","Add - how much?",IF(K133="","Check - item not in Supplies",IF(F133="","Not on a job","OK"))))</f>
        <v>0</v>
      </c>
    </row>
    <row r="134" spans="1:13">
      <c r="A134" s="43">
        <f>IF(D134="","","SU-"&amp;TEXT(ROW()-4,"0000"))</f>
        <v>0</v>
      </c>
      <c r="C134" s="23">
        <f>IF(B134="","",TEXT(B134,"yyyy-mm"))</f>
        <v>0</v>
      </c>
      <c r="J134" s="23">
        <f>IF(F134="","",IFERROR(INDEX(Jobs!$H$5:$H$604,MATCH(F134,Jobs!$A$5:$A$604,0)),""))</f>
        <v>0</v>
      </c>
      <c r="K134" s="21">
        <f>IF(D134="","",IFERROR(INDEX(Supplies!$P$5:$P$154,MATCH(D134,Supplies!$B$5:$B$154,0)),""))</f>
        <v>0</v>
      </c>
      <c r="L134" s="21">
        <f>IF(D134="","",ROUND(IF(E134="",0,E134)*IFERROR(K134*1,0),2))</f>
        <v>0</v>
      </c>
      <c r="M134" s="39">
        <f>IF(D134="","",IF(E134="","Add - how much?",IF(K134="","Check - item not in Supplies",IF(F134="","Not on a job","OK"))))</f>
        <v>0</v>
      </c>
    </row>
    <row r="135" spans="1:13">
      <c r="A135" s="43">
        <f>IF(D135="","","SU-"&amp;TEXT(ROW()-4,"0000"))</f>
        <v>0</v>
      </c>
      <c r="C135" s="23">
        <f>IF(B135="","",TEXT(B135,"yyyy-mm"))</f>
        <v>0</v>
      </c>
      <c r="J135" s="23">
        <f>IF(F135="","",IFERROR(INDEX(Jobs!$H$5:$H$604,MATCH(F135,Jobs!$A$5:$A$604,0)),""))</f>
        <v>0</v>
      </c>
      <c r="K135" s="21">
        <f>IF(D135="","",IFERROR(INDEX(Supplies!$P$5:$P$154,MATCH(D135,Supplies!$B$5:$B$154,0)),""))</f>
        <v>0</v>
      </c>
      <c r="L135" s="21">
        <f>IF(D135="","",ROUND(IF(E135="",0,E135)*IFERROR(K135*1,0),2))</f>
        <v>0</v>
      </c>
      <c r="M135" s="39">
        <f>IF(D135="","",IF(E135="","Add - how much?",IF(K135="","Check - item not in Supplies",IF(F135="","Not on a job","OK"))))</f>
        <v>0</v>
      </c>
    </row>
    <row r="136" spans="1:13">
      <c r="A136" s="43">
        <f>IF(D136="","","SU-"&amp;TEXT(ROW()-4,"0000"))</f>
        <v>0</v>
      </c>
      <c r="C136" s="23">
        <f>IF(B136="","",TEXT(B136,"yyyy-mm"))</f>
        <v>0</v>
      </c>
      <c r="J136" s="23">
        <f>IF(F136="","",IFERROR(INDEX(Jobs!$H$5:$H$604,MATCH(F136,Jobs!$A$5:$A$604,0)),""))</f>
        <v>0</v>
      </c>
      <c r="K136" s="21">
        <f>IF(D136="","",IFERROR(INDEX(Supplies!$P$5:$P$154,MATCH(D136,Supplies!$B$5:$B$154,0)),""))</f>
        <v>0</v>
      </c>
      <c r="L136" s="21">
        <f>IF(D136="","",ROUND(IF(E136="",0,E136)*IFERROR(K136*1,0),2))</f>
        <v>0</v>
      </c>
      <c r="M136" s="39">
        <f>IF(D136="","",IF(E136="","Add - how much?",IF(K136="","Check - item not in Supplies",IF(F136="","Not on a job","OK"))))</f>
        <v>0</v>
      </c>
    </row>
    <row r="137" spans="1:13">
      <c r="A137" s="43">
        <f>IF(D137="","","SU-"&amp;TEXT(ROW()-4,"0000"))</f>
        <v>0</v>
      </c>
      <c r="C137" s="23">
        <f>IF(B137="","",TEXT(B137,"yyyy-mm"))</f>
        <v>0</v>
      </c>
      <c r="J137" s="23">
        <f>IF(F137="","",IFERROR(INDEX(Jobs!$H$5:$H$604,MATCH(F137,Jobs!$A$5:$A$604,0)),""))</f>
        <v>0</v>
      </c>
      <c r="K137" s="21">
        <f>IF(D137="","",IFERROR(INDEX(Supplies!$P$5:$P$154,MATCH(D137,Supplies!$B$5:$B$154,0)),""))</f>
        <v>0</v>
      </c>
      <c r="L137" s="21">
        <f>IF(D137="","",ROUND(IF(E137="",0,E137)*IFERROR(K137*1,0),2))</f>
        <v>0</v>
      </c>
      <c r="M137" s="39">
        <f>IF(D137="","",IF(E137="","Add - how much?",IF(K137="","Check - item not in Supplies",IF(F137="","Not on a job","OK"))))</f>
        <v>0</v>
      </c>
    </row>
    <row r="138" spans="1:13">
      <c r="A138" s="43">
        <f>IF(D138="","","SU-"&amp;TEXT(ROW()-4,"0000"))</f>
        <v>0</v>
      </c>
      <c r="C138" s="23">
        <f>IF(B138="","",TEXT(B138,"yyyy-mm"))</f>
        <v>0</v>
      </c>
      <c r="J138" s="23">
        <f>IF(F138="","",IFERROR(INDEX(Jobs!$H$5:$H$604,MATCH(F138,Jobs!$A$5:$A$604,0)),""))</f>
        <v>0</v>
      </c>
      <c r="K138" s="21">
        <f>IF(D138="","",IFERROR(INDEX(Supplies!$P$5:$P$154,MATCH(D138,Supplies!$B$5:$B$154,0)),""))</f>
        <v>0</v>
      </c>
      <c r="L138" s="21">
        <f>IF(D138="","",ROUND(IF(E138="",0,E138)*IFERROR(K138*1,0),2))</f>
        <v>0</v>
      </c>
      <c r="M138" s="39">
        <f>IF(D138="","",IF(E138="","Add - how much?",IF(K138="","Check - item not in Supplies",IF(F138="","Not on a job","OK"))))</f>
        <v>0</v>
      </c>
    </row>
    <row r="139" spans="1:13">
      <c r="A139" s="43">
        <f>IF(D139="","","SU-"&amp;TEXT(ROW()-4,"0000"))</f>
        <v>0</v>
      </c>
      <c r="C139" s="23">
        <f>IF(B139="","",TEXT(B139,"yyyy-mm"))</f>
        <v>0</v>
      </c>
      <c r="J139" s="23">
        <f>IF(F139="","",IFERROR(INDEX(Jobs!$H$5:$H$604,MATCH(F139,Jobs!$A$5:$A$604,0)),""))</f>
        <v>0</v>
      </c>
      <c r="K139" s="21">
        <f>IF(D139="","",IFERROR(INDEX(Supplies!$P$5:$P$154,MATCH(D139,Supplies!$B$5:$B$154,0)),""))</f>
        <v>0</v>
      </c>
      <c r="L139" s="21">
        <f>IF(D139="","",ROUND(IF(E139="",0,E139)*IFERROR(K139*1,0),2))</f>
        <v>0</v>
      </c>
      <c r="M139" s="39">
        <f>IF(D139="","",IF(E139="","Add - how much?",IF(K139="","Check - item not in Supplies",IF(F139="","Not on a job","OK"))))</f>
        <v>0</v>
      </c>
    </row>
    <row r="140" spans="1:13">
      <c r="A140" s="43">
        <f>IF(D140="","","SU-"&amp;TEXT(ROW()-4,"0000"))</f>
        <v>0</v>
      </c>
      <c r="C140" s="23">
        <f>IF(B140="","",TEXT(B140,"yyyy-mm"))</f>
        <v>0</v>
      </c>
      <c r="J140" s="23">
        <f>IF(F140="","",IFERROR(INDEX(Jobs!$H$5:$H$604,MATCH(F140,Jobs!$A$5:$A$604,0)),""))</f>
        <v>0</v>
      </c>
      <c r="K140" s="21">
        <f>IF(D140="","",IFERROR(INDEX(Supplies!$P$5:$P$154,MATCH(D140,Supplies!$B$5:$B$154,0)),""))</f>
        <v>0</v>
      </c>
      <c r="L140" s="21">
        <f>IF(D140="","",ROUND(IF(E140="",0,E140)*IFERROR(K140*1,0),2))</f>
        <v>0</v>
      </c>
      <c r="M140" s="39">
        <f>IF(D140="","",IF(E140="","Add - how much?",IF(K140="","Check - item not in Supplies",IF(F140="","Not on a job","OK"))))</f>
        <v>0</v>
      </c>
    </row>
    <row r="141" spans="1:13">
      <c r="A141" s="43">
        <f>IF(D141="","","SU-"&amp;TEXT(ROW()-4,"0000"))</f>
        <v>0</v>
      </c>
      <c r="C141" s="23">
        <f>IF(B141="","",TEXT(B141,"yyyy-mm"))</f>
        <v>0</v>
      </c>
      <c r="J141" s="23">
        <f>IF(F141="","",IFERROR(INDEX(Jobs!$H$5:$H$604,MATCH(F141,Jobs!$A$5:$A$604,0)),""))</f>
        <v>0</v>
      </c>
      <c r="K141" s="21">
        <f>IF(D141="","",IFERROR(INDEX(Supplies!$P$5:$P$154,MATCH(D141,Supplies!$B$5:$B$154,0)),""))</f>
        <v>0</v>
      </c>
      <c r="L141" s="21">
        <f>IF(D141="","",ROUND(IF(E141="",0,E141)*IFERROR(K141*1,0),2))</f>
        <v>0</v>
      </c>
      <c r="M141" s="39">
        <f>IF(D141="","",IF(E141="","Add - how much?",IF(K141="","Check - item not in Supplies",IF(F141="","Not on a job","OK"))))</f>
        <v>0</v>
      </c>
    </row>
    <row r="142" spans="1:13">
      <c r="A142" s="43">
        <f>IF(D142="","","SU-"&amp;TEXT(ROW()-4,"0000"))</f>
        <v>0</v>
      </c>
      <c r="C142" s="23">
        <f>IF(B142="","",TEXT(B142,"yyyy-mm"))</f>
        <v>0</v>
      </c>
      <c r="J142" s="23">
        <f>IF(F142="","",IFERROR(INDEX(Jobs!$H$5:$H$604,MATCH(F142,Jobs!$A$5:$A$604,0)),""))</f>
        <v>0</v>
      </c>
      <c r="K142" s="21">
        <f>IF(D142="","",IFERROR(INDEX(Supplies!$P$5:$P$154,MATCH(D142,Supplies!$B$5:$B$154,0)),""))</f>
        <v>0</v>
      </c>
      <c r="L142" s="21">
        <f>IF(D142="","",ROUND(IF(E142="",0,E142)*IFERROR(K142*1,0),2))</f>
        <v>0</v>
      </c>
      <c r="M142" s="39">
        <f>IF(D142="","",IF(E142="","Add - how much?",IF(K142="","Check - item not in Supplies",IF(F142="","Not on a job","OK"))))</f>
        <v>0</v>
      </c>
    </row>
    <row r="143" spans="1:13">
      <c r="A143" s="43">
        <f>IF(D143="","","SU-"&amp;TEXT(ROW()-4,"0000"))</f>
        <v>0</v>
      </c>
      <c r="C143" s="23">
        <f>IF(B143="","",TEXT(B143,"yyyy-mm"))</f>
        <v>0</v>
      </c>
      <c r="J143" s="23">
        <f>IF(F143="","",IFERROR(INDEX(Jobs!$H$5:$H$604,MATCH(F143,Jobs!$A$5:$A$604,0)),""))</f>
        <v>0</v>
      </c>
      <c r="K143" s="21">
        <f>IF(D143="","",IFERROR(INDEX(Supplies!$P$5:$P$154,MATCH(D143,Supplies!$B$5:$B$154,0)),""))</f>
        <v>0</v>
      </c>
      <c r="L143" s="21">
        <f>IF(D143="","",ROUND(IF(E143="",0,E143)*IFERROR(K143*1,0),2))</f>
        <v>0</v>
      </c>
      <c r="M143" s="39">
        <f>IF(D143="","",IF(E143="","Add - how much?",IF(K143="","Check - item not in Supplies",IF(F143="","Not on a job","OK"))))</f>
        <v>0</v>
      </c>
    </row>
    <row r="144" spans="1:13">
      <c r="A144" s="43">
        <f>IF(D144="","","SU-"&amp;TEXT(ROW()-4,"0000"))</f>
        <v>0</v>
      </c>
      <c r="C144" s="23">
        <f>IF(B144="","",TEXT(B144,"yyyy-mm"))</f>
        <v>0</v>
      </c>
      <c r="J144" s="23">
        <f>IF(F144="","",IFERROR(INDEX(Jobs!$H$5:$H$604,MATCH(F144,Jobs!$A$5:$A$604,0)),""))</f>
        <v>0</v>
      </c>
      <c r="K144" s="21">
        <f>IF(D144="","",IFERROR(INDEX(Supplies!$P$5:$P$154,MATCH(D144,Supplies!$B$5:$B$154,0)),""))</f>
        <v>0</v>
      </c>
      <c r="L144" s="21">
        <f>IF(D144="","",ROUND(IF(E144="",0,E144)*IFERROR(K144*1,0),2))</f>
        <v>0</v>
      </c>
      <c r="M144" s="39">
        <f>IF(D144="","",IF(E144="","Add - how much?",IF(K144="","Check - item not in Supplies",IF(F144="","Not on a job","OK"))))</f>
        <v>0</v>
      </c>
    </row>
    <row r="145" spans="1:13">
      <c r="A145" s="43">
        <f>IF(D145="","","SU-"&amp;TEXT(ROW()-4,"0000"))</f>
        <v>0</v>
      </c>
      <c r="C145" s="23">
        <f>IF(B145="","",TEXT(B145,"yyyy-mm"))</f>
        <v>0</v>
      </c>
      <c r="J145" s="23">
        <f>IF(F145="","",IFERROR(INDEX(Jobs!$H$5:$H$604,MATCH(F145,Jobs!$A$5:$A$604,0)),""))</f>
        <v>0</v>
      </c>
      <c r="K145" s="21">
        <f>IF(D145="","",IFERROR(INDEX(Supplies!$P$5:$P$154,MATCH(D145,Supplies!$B$5:$B$154,0)),""))</f>
        <v>0</v>
      </c>
      <c r="L145" s="21">
        <f>IF(D145="","",ROUND(IF(E145="",0,E145)*IFERROR(K145*1,0),2))</f>
        <v>0</v>
      </c>
      <c r="M145" s="39">
        <f>IF(D145="","",IF(E145="","Add - how much?",IF(K145="","Check - item not in Supplies",IF(F145="","Not on a job","OK"))))</f>
        <v>0</v>
      </c>
    </row>
    <row r="146" spans="1:13">
      <c r="A146" s="43">
        <f>IF(D146="","","SU-"&amp;TEXT(ROW()-4,"0000"))</f>
        <v>0</v>
      </c>
      <c r="C146" s="23">
        <f>IF(B146="","",TEXT(B146,"yyyy-mm"))</f>
        <v>0</v>
      </c>
      <c r="J146" s="23">
        <f>IF(F146="","",IFERROR(INDEX(Jobs!$H$5:$H$604,MATCH(F146,Jobs!$A$5:$A$604,0)),""))</f>
        <v>0</v>
      </c>
      <c r="K146" s="21">
        <f>IF(D146="","",IFERROR(INDEX(Supplies!$P$5:$P$154,MATCH(D146,Supplies!$B$5:$B$154,0)),""))</f>
        <v>0</v>
      </c>
      <c r="L146" s="21">
        <f>IF(D146="","",ROUND(IF(E146="",0,E146)*IFERROR(K146*1,0),2))</f>
        <v>0</v>
      </c>
      <c r="M146" s="39">
        <f>IF(D146="","",IF(E146="","Add - how much?",IF(K146="","Check - item not in Supplies",IF(F146="","Not on a job","OK"))))</f>
        <v>0</v>
      </c>
    </row>
    <row r="147" spans="1:13">
      <c r="A147" s="43">
        <f>IF(D147="","","SU-"&amp;TEXT(ROW()-4,"0000"))</f>
        <v>0</v>
      </c>
      <c r="C147" s="23">
        <f>IF(B147="","",TEXT(B147,"yyyy-mm"))</f>
        <v>0</v>
      </c>
      <c r="J147" s="23">
        <f>IF(F147="","",IFERROR(INDEX(Jobs!$H$5:$H$604,MATCH(F147,Jobs!$A$5:$A$604,0)),""))</f>
        <v>0</v>
      </c>
      <c r="K147" s="21">
        <f>IF(D147="","",IFERROR(INDEX(Supplies!$P$5:$P$154,MATCH(D147,Supplies!$B$5:$B$154,0)),""))</f>
        <v>0</v>
      </c>
      <c r="L147" s="21">
        <f>IF(D147="","",ROUND(IF(E147="",0,E147)*IFERROR(K147*1,0),2))</f>
        <v>0</v>
      </c>
      <c r="M147" s="39">
        <f>IF(D147="","",IF(E147="","Add - how much?",IF(K147="","Check - item not in Supplies",IF(F147="","Not on a job","OK"))))</f>
        <v>0</v>
      </c>
    </row>
    <row r="148" spans="1:13">
      <c r="A148" s="43">
        <f>IF(D148="","","SU-"&amp;TEXT(ROW()-4,"0000"))</f>
        <v>0</v>
      </c>
      <c r="C148" s="23">
        <f>IF(B148="","",TEXT(B148,"yyyy-mm"))</f>
        <v>0</v>
      </c>
      <c r="J148" s="23">
        <f>IF(F148="","",IFERROR(INDEX(Jobs!$H$5:$H$604,MATCH(F148,Jobs!$A$5:$A$604,0)),""))</f>
        <v>0</v>
      </c>
      <c r="K148" s="21">
        <f>IF(D148="","",IFERROR(INDEX(Supplies!$P$5:$P$154,MATCH(D148,Supplies!$B$5:$B$154,0)),""))</f>
        <v>0</v>
      </c>
      <c r="L148" s="21">
        <f>IF(D148="","",ROUND(IF(E148="",0,E148)*IFERROR(K148*1,0),2))</f>
        <v>0</v>
      </c>
      <c r="M148" s="39">
        <f>IF(D148="","",IF(E148="","Add - how much?",IF(K148="","Check - item not in Supplies",IF(F148="","Not on a job","OK"))))</f>
        <v>0</v>
      </c>
    </row>
    <row r="149" spans="1:13">
      <c r="A149" s="43">
        <f>IF(D149="","","SU-"&amp;TEXT(ROW()-4,"0000"))</f>
        <v>0</v>
      </c>
      <c r="C149" s="23">
        <f>IF(B149="","",TEXT(B149,"yyyy-mm"))</f>
        <v>0</v>
      </c>
      <c r="J149" s="23">
        <f>IF(F149="","",IFERROR(INDEX(Jobs!$H$5:$H$604,MATCH(F149,Jobs!$A$5:$A$604,0)),""))</f>
        <v>0</v>
      </c>
      <c r="K149" s="21">
        <f>IF(D149="","",IFERROR(INDEX(Supplies!$P$5:$P$154,MATCH(D149,Supplies!$B$5:$B$154,0)),""))</f>
        <v>0</v>
      </c>
      <c r="L149" s="21">
        <f>IF(D149="","",ROUND(IF(E149="",0,E149)*IFERROR(K149*1,0),2))</f>
        <v>0</v>
      </c>
      <c r="M149" s="39">
        <f>IF(D149="","",IF(E149="","Add - how much?",IF(K149="","Check - item not in Supplies",IF(F149="","Not on a job","OK"))))</f>
        <v>0</v>
      </c>
    </row>
    <row r="150" spans="1:13">
      <c r="A150" s="43">
        <f>IF(D150="","","SU-"&amp;TEXT(ROW()-4,"0000"))</f>
        <v>0</v>
      </c>
      <c r="C150" s="23">
        <f>IF(B150="","",TEXT(B150,"yyyy-mm"))</f>
        <v>0</v>
      </c>
      <c r="J150" s="23">
        <f>IF(F150="","",IFERROR(INDEX(Jobs!$H$5:$H$604,MATCH(F150,Jobs!$A$5:$A$604,0)),""))</f>
        <v>0</v>
      </c>
      <c r="K150" s="21">
        <f>IF(D150="","",IFERROR(INDEX(Supplies!$P$5:$P$154,MATCH(D150,Supplies!$B$5:$B$154,0)),""))</f>
        <v>0</v>
      </c>
      <c r="L150" s="21">
        <f>IF(D150="","",ROUND(IF(E150="",0,E150)*IFERROR(K150*1,0),2))</f>
        <v>0</v>
      </c>
      <c r="M150" s="39">
        <f>IF(D150="","",IF(E150="","Add - how much?",IF(K150="","Check - item not in Supplies",IF(F150="","Not on a job","OK"))))</f>
        <v>0</v>
      </c>
    </row>
    <row r="151" spans="1:13">
      <c r="A151" s="43">
        <f>IF(D151="","","SU-"&amp;TEXT(ROW()-4,"0000"))</f>
        <v>0</v>
      </c>
      <c r="C151" s="23">
        <f>IF(B151="","",TEXT(B151,"yyyy-mm"))</f>
        <v>0</v>
      </c>
      <c r="J151" s="23">
        <f>IF(F151="","",IFERROR(INDEX(Jobs!$H$5:$H$604,MATCH(F151,Jobs!$A$5:$A$604,0)),""))</f>
        <v>0</v>
      </c>
      <c r="K151" s="21">
        <f>IF(D151="","",IFERROR(INDEX(Supplies!$P$5:$P$154,MATCH(D151,Supplies!$B$5:$B$154,0)),""))</f>
        <v>0</v>
      </c>
      <c r="L151" s="21">
        <f>IF(D151="","",ROUND(IF(E151="",0,E151)*IFERROR(K151*1,0),2))</f>
        <v>0</v>
      </c>
      <c r="M151" s="39">
        <f>IF(D151="","",IF(E151="","Add - how much?",IF(K151="","Check - item not in Supplies",IF(F151="","Not on a job","OK"))))</f>
        <v>0</v>
      </c>
    </row>
    <row r="152" spans="1:13">
      <c r="A152" s="43">
        <f>IF(D152="","","SU-"&amp;TEXT(ROW()-4,"0000"))</f>
        <v>0</v>
      </c>
      <c r="C152" s="23">
        <f>IF(B152="","",TEXT(B152,"yyyy-mm"))</f>
        <v>0</v>
      </c>
      <c r="J152" s="23">
        <f>IF(F152="","",IFERROR(INDEX(Jobs!$H$5:$H$604,MATCH(F152,Jobs!$A$5:$A$604,0)),""))</f>
        <v>0</v>
      </c>
      <c r="K152" s="21">
        <f>IF(D152="","",IFERROR(INDEX(Supplies!$P$5:$P$154,MATCH(D152,Supplies!$B$5:$B$154,0)),""))</f>
        <v>0</v>
      </c>
      <c r="L152" s="21">
        <f>IF(D152="","",ROUND(IF(E152="",0,E152)*IFERROR(K152*1,0),2))</f>
        <v>0</v>
      </c>
      <c r="M152" s="39">
        <f>IF(D152="","",IF(E152="","Add - how much?",IF(K152="","Check - item not in Supplies",IF(F152="","Not on a job","OK"))))</f>
        <v>0</v>
      </c>
    </row>
    <row r="153" spans="1:13">
      <c r="A153" s="43">
        <f>IF(D153="","","SU-"&amp;TEXT(ROW()-4,"0000"))</f>
        <v>0</v>
      </c>
      <c r="C153" s="23">
        <f>IF(B153="","",TEXT(B153,"yyyy-mm"))</f>
        <v>0</v>
      </c>
      <c r="J153" s="23">
        <f>IF(F153="","",IFERROR(INDEX(Jobs!$H$5:$H$604,MATCH(F153,Jobs!$A$5:$A$604,0)),""))</f>
        <v>0</v>
      </c>
      <c r="K153" s="21">
        <f>IF(D153="","",IFERROR(INDEX(Supplies!$P$5:$P$154,MATCH(D153,Supplies!$B$5:$B$154,0)),""))</f>
        <v>0</v>
      </c>
      <c r="L153" s="21">
        <f>IF(D153="","",ROUND(IF(E153="",0,E153)*IFERROR(K153*1,0),2))</f>
        <v>0</v>
      </c>
      <c r="M153" s="39">
        <f>IF(D153="","",IF(E153="","Add - how much?",IF(K153="","Check - item not in Supplies",IF(F153="","Not on a job","OK"))))</f>
        <v>0</v>
      </c>
    </row>
    <row r="154" spans="1:13">
      <c r="A154" s="43">
        <f>IF(D154="","","SU-"&amp;TEXT(ROW()-4,"0000"))</f>
        <v>0</v>
      </c>
      <c r="C154" s="23">
        <f>IF(B154="","",TEXT(B154,"yyyy-mm"))</f>
        <v>0</v>
      </c>
      <c r="J154" s="23">
        <f>IF(F154="","",IFERROR(INDEX(Jobs!$H$5:$H$604,MATCH(F154,Jobs!$A$5:$A$604,0)),""))</f>
        <v>0</v>
      </c>
      <c r="K154" s="21">
        <f>IF(D154="","",IFERROR(INDEX(Supplies!$P$5:$P$154,MATCH(D154,Supplies!$B$5:$B$154,0)),""))</f>
        <v>0</v>
      </c>
      <c r="L154" s="21">
        <f>IF(D154="","",ROUND(IF(E154="",0,E154)*IFERROR(K154*1,0),2))</f>
        <v>0</v>
      </c>
      <c r="M154" s="39">
        <f>IF(D154="","",IF(E154="","Add - how much?",IF(K154="","Check - item not in Supplies",IF(F154="","Not on a job","OK"))))</f>
        <v>0</v>
      </c>
    </row>
    <row r="155" spans="1:13">
      <c r="A155" s="43">
        <f>IF(D155="","","SU-"&amp;TEXT(ROW()-4,"0000"))</f>
        <v>0</v>
      </c>
      <c r="C155" s="23">
        <f>IF(B155="","",TEXT(B155,"yyyy-mm"))</f>
        <v>0</v>
      </c>
      <c r="J155" s="23">
        <f>IF(F155="","",IFERROR(INDEX(Jobs!$H$5:$H$604,MATCH(F155,Jobs!$A$5:$A$604,0)),""))</f>
        <v>0</v>
      </c>
      <c r="K155" s="21">
        <f>IF(D155="","",IFERROR(INDEX(Supplies!$P$5:$P$154,MATCH(D155,Supplies!$B$5:$B$154,0)),""))</f>
        <v>0</v>
      </c>
      <c r="L155" s="21">
        <f>IF(D155="","",ROUND(IF(E155="",0,E155)*IFERROR(K155*1,0),2))</f>
        <v>0</v>
      </c>
      <c r="M155" s="39">
        <f>IF(D155="","",IF(E155="","Add - how much?",IF(K155="","Check - item not in Supplies",IF(F155="","Not on a job","OK"))))</f>
        <v>0</v>
      </c>
    </row>
    <row r="156" spans="1:13">
      <c r="A156" s="43">
        <f>IF(D156="","","SU-"&amp;TEXT(ROW()-4,"0000"))</f>
        <v>0</v>
      </c>
      <c r="C156" s="23">
        <f>IF(B156="","",TEXT(B156,"yyyy-mm"))</f>
        <v>0</v>
      </c>
      <c r="J156" s="23">
        <f>IF(F156="","",IFERROR(INDEX(Jobs!$H$5:$H$604,MATCH(F156,Jobs!$A$5:$A$604,0)),""))</f>
        <v>0</v>
      </c>
      <c r="K156" s="21">
        <f>IF(D156="","",IFERROR(INDEX(Supplies!$P$5:$P$154,MATCH(D156,Supplies!$B$5:$B$154,0)),""))</f>
        <v>0</v>
      </c>
      <c r="L156" s="21">
        <f>IF(D156="","",ROUND(IF(E156="",0,E156)*IFERROR(K156*1,0),2))</f>
        <v>0</v>
      </c>
      <c r="M156" s="39">
        <f>IF(D156="","",IF(E156="","Add - how much?",IF(K156="","Check - item not in Supplies",IF(F156="","Not on a job","OK"))))</f>
        <v>0</v>
      </c>
    </row>
    <row r="157" spans="1:13">
      <c r="A157" s="43">
        <f>IF(D157="","","SU-"&amp;TEXT(ROW()-4,"0000"))</f>
        <v>0</v>
      </c>
      <c r="C157" s="23">
        <f>IF(B157="","",TEXT(B157,"yyyy-mm"))</f>
        <v>0</v>
      </c>
      <c r="J157" s="23">
        <f>IF(F157="","",IFERROR(INDEX(Jobs!$H$5:$H$604,MATCH(F157,Jobs!$A$5:$A$604,0)),""))</f>
        <v>0</v>
      </c>
      <c r="K157" s="21">
        <f>IF(D157="","",IFERROR(INDEX(Supplies!$P$5:$P$154,MATCH(D157,Supplies!$B$5:$B$154,0)),""))</f>
        <v>0</v>
      </c>
      <c r="L157" s="21">
        <f>IF(D157="","",ROUND(IF(E157="",0,E157)*IFERROR(K157*1,0),2))</f>
        <v>0</v>
      </c>
      <c r="M157" s="39">
        <f>IF(D157="","",IF(E157="","Add - how much?",IF(K157="","Check - item not in Supplies",IF(F157="","Not on a job","OK"))))</f>
        <v>0</v>
      </c>
    </row>
    <row r="158" spans="1:13">
      <c r="A158" s="43">
        <f>IF(D158="","","SU-"&amp;TEXT(ROW()-4,"0000"))</f>
        <v>0</v>
      </c>
      <c r="C158" s="23">
        <f>IF(B158="","",TEXT(B158,"yyyy-mm"))</f>
        <v>0</v>
      </c>
      <c r="J158" s="23">
        <f>IF(F158="","",IFERROR(INDEX(Jobs!$H$5:$H$604,MATCH(F158,Jobs!$A$5:$A$604,0)),""))</f>
        <v>0</v>
      </c>
      <c r="K158" s="21">
        <f>IF(D158="","",IFERROR(INDEX(Supplies!$P$5:$P$154,MATCH(D158,Supplies!$B$5:$B$154,0)),""))</f>
        <v>0</v>
      </c>
      <c r="L158" s="21">
        <f>IF(D158="","",ROUND(IF(E158="",0,E158)*IFERROR(K158*1,0),2))</f>
        <v>0</v>
      </c>
      <c r="M158" s="39">
        <f>IF(D158="","",IF(E158="","Add - how much?",IF(K158="","Check - item not in Supplies",IF(F158="","Not on a job","OK"))))</f>
        <v>0</v>
      </c>
    </row>
    <row r="159" spans="1:13">
      <c r="A159" s="43">
        <f>IF(D159="","","SU-"&amp;TEXT(ROW()-4,"0000"))</f>
        <v>0</v>
      </c>
      <c r="C159" s="23">
        <f>IF(B159="","",TEXT(B159,"yyyy-mm"))</f>
        <v>0</v>
      </c>
      <c r="J159" s="23">
        <f>IF(F159="","",IFERROR(INDEX(Jobs!$H$5:$H$604,MATCH(F159,Jobs!$A$5:$A$604,0)),""))</f>
        <v>0</v>
      </c>
      <c r="K159" s="21">
        <f>IF(D159="","",IFERROR(INDEX(Supplies!$P$5:$P$154,MATCH(D159,Supplies!$B$5:$B$154,0)),""))</f>
        <v>0</v>
      </c>
      <c r="L159" s="21">
        <f>IF(D159="","",ROUND(IF(E159="",0,E159)*IFERROR(K159*1,0),2))</f>
        <v>0</v>
      </c>
      <c r="M159" s="39">
        <f>IF(D159="","",IF(E159="","Add - how much?",IF(K159="","Check - item not in Supplies",IF(F159="","Not on a job","OK"))))</f>
        <v>0</v>
      </c>
    </row>
    <row r="160" spans="1:13">
      <c r="A160" s="43">
        <f>IF(D160="","","SU-"&amp;TEXT(ROW()-4,"0000"))</f>
        <v>0</v>
      </c>
      <c r="C160" s="23">
        <f>IF(B160="","",TEXT(B160,"yyyy-mm"))</f>
        <v>0</v>
      </c>
      <c r="J160" s="23">
        <f>IF(F160="","",IFERROR(INDEX(Jobs!$H$5:$H$604,MATCH(F160,Jobs!$A$5:$A$604,0)),""))</f>
        <v>0</v>
      </c>
      <c r="K160" s="21">
        <f>IF(D160="","",IFERROR(INDEX(Supplies!$P$5:$P$154,MATCH(D160,Supplies!$B$5:$B$154,0)),""))</f>
        <v>0</v>
      </c>
      <c r="L160" s="21">
        <f>IF(D160="","",ROUND(IF(E160="",0,E160)*IFERROR(K160*1,0),2))</f>
        <v>0</v>
      </c>
      <c r="M160" s="39">
        <f>IF(D160="","",IF(E160="","Add - how much?",IF(K160="","Check - item not in Supplies",IF(F160="","Not on a job","OK"))))</f>
        <v>0</v>
      </c>
    </row>
    <row r="161" spans="1:13">
      <c r="A161" s="43">
        <f>IF(D161="","","SU-"&amp;TEXT(ROW()-4,"0000"))</f>
        <v>0</v>
      </c>
      <c r="C161" s="23">
        <f>IF(B161="","",TEXT(B161,"yyyy-mm"))</f>
        <v>0</v>
      </c>
      <c r="J161" s="23">
        <f>IF(F161="","",IFERROR(INDEX(Jobs!$H$5:$H$604,MATCH(F161,Jobs!$A$5:$A$604,0)),""))</f>
        <v>0</v>
      </c>
      <c r="K161" s="21">
        <f>IF(D161="","",IFERROR(INDEX(Supplies!$P$5:$P$154,MATCH(D161,Supplies!$B$5:$B$154,0)),""))</f>
        <v>0</v>
      </c>
      <c r="L161" s="21">
        <f>IF(D161="","",ROUND(IF(E161="",0,E161)*IFERROR(K161*1,0),2))</f>
        <v>0</v>
      </c>
      <c r="M161" s="39">
        <f>IF(D161="","",IF(E161="","Add - how much?",IF(K161="","Check - item not in Supplies",IF(F161="","Not on a job","OK"))))</f>
        <v>0</v>
      </c>
    </row>
    <row r="162" spans="1:13">
      <c r="A162" s="43">
        <f>IF(D162="","","SU-"&amp;TEXT(ROW()-4,"0000"))</f>
        <v>0</v>
      </c>
      <c r="C162" s="23">
        <f>IF(B162="","",TEXT(B162,"yyyy-mm"))</f>
        <v>0</v>
      </c>
      <c r="J162" s="23">
        <f>IF(F162="","",IFERROR(INDEX(Jobs!$H$5:$H$604,MATCH(F162,Jobs!$A$5:$A$604,0)),""))</f>
        <v>0</v>
      </c>
      <c r="K162" s="21">
        <f>IF(D162="","",IFERROR(INDEX(Supplies!$P$5:$P$154,MATCH(D162,Supplies!$B$5:$B$154,0)),""))</f>
        <v>0</v>
      </c>
      <c r="L162" s="21">
        <f>IF(D162="","",ROUND(IF(E162="",0,E162)*IFERROR(K162*1,0),2))</f>
        <v>0</v>
      </c>
      <c r="M162" s="39">
        <f>IF(D162="","",IF(E162="","Add - how much?",IF(K162="","Check - item not in Supplies",IF(F162="","Not on a job","OK"))))</f>
        <v>0</v>
      </c>
    </row>
    <row r="163" spans="1:13">
      <c r="A163" s="43">
        <f>IF(D163="","","SU-"&amp;TEXT(ROW()-4,"0000"))</f>
        <v>0</v>
      </c>
      <c r="C163" s="23">
        <f>IF(B163="","",TEXT(B163,"yyyy-mm"))</f>
        <v>0</v>
      </c>
      <c r="J163" s="23">
        <f>IF(F163="","",IFERROR(INDEX(Jobs!$H$5:$H$604,MATCH(F163,Jobs!$A$5:$A$604,0)),""))</f>
        <v>0</v>
      </c>
      <c r="K163" s="21">
        <f>IF(D163="","",IFERROR(INDEX(Supplies!$P$5:$P$154,MATCH(D163,Supplies!$B$5:$B$154,0)),""))</f>
        <v>0</v>
      </c>
      <c r="L163" s="21">
        <f>IF(D163="","",ROUND(IF(E163="",0,E163)*IFERROR(K163*1,0),2))</f>
        <v>0</v>
      </c>
      <c r="M163" s="39">
        <f>IF(D163="","",IF(E163="","Add - how much?",IF(K163="","Check - item not in Supplies",IF(F163="","Not on a job","OK"))))</f>
        <v>0</v>
      </c>
    </row>
    <row r="164" spans="1:13">
      <c r="A164" s="43">
        <f>IF(D164="","","SU-"&amp;TEXT(ROW()-4,"0000"))</f>
        <v>0</v>
      </c>
      <c r="C164" s="23">
        <f>IF(B164="","",TEXT(B164,"yyyy-mm"))</f>
        <v>0</v>
      </c>
      <c r="J164" s="23">
        <f>IF(F164="","",IFERROR(INDEX(Jobs!$H$5:$H$604,MATCH(F164,Jobs!$A$5:$A$604,0)),""))</f>
        <v>0</v>
      </c>
      <c r="K164" s="21">
        <f>IF(D164="","",IFERROR(INDEX(Supplies!$P$5:$P$154,MATCH(D164,Supplies!$B$5:$B$154,0)),""))</f>
        <v>0</v>
      </c>
      <c r="L164" s="21">
        <f>IF(D164="","",ROUND(IF(E164="",0,E164)*IFERROR(K164*1,0),2))</f>
        <v>0</v>
      </c>
      <c r="M164" s="39">
        <f>IF(D164="","",IF(E164="","Add - how much?",IF(K164="","Check - item not in Supplies",IF(F164="","Not on a job","OK"))))</f>
        <v>0</v>
      </c>
    </row>
    <row r="165" spans="1:13">
      <c r="A165" s="43">
        <f>IF(D165="","","SU-"&amp;TEXT(ROW()-4,"0000"))</f>
        <v>0</v>
      </c>
      <c r="C165" s="23">
        <f>IF(B165="","",TEXT(B165,"yyyy-mm"))</f>
        <v>0</v>
      </c>
      <c r="J165" s="23">
        <f>IF(F165="","",IFERROR(INDEX(Jobs!$H$5:$H$604,MATCH(F165,Jobs!$A$5:$A$604,0)),""))</f>
        <v>0</v>
      </c>
      <c r="K165" s="21">
        <f>IF(D165="","",IFERROR(INDEX(Supplies!$P$5:$P$154,MATCH(D165,Supplies!$B$5:$B$154,0)),""))</f>
        <v>0</v>
      </c>
      <c r="L165" s="21">
        <f>IF(D165="","",ROUND(IF(E165="",0,E165)*IFERROR(K165*1,0),2))</f>
        <v>0</v>
      </c>
      <c r="M165" s="39">
        <f>IF(D165="","",IF(E165="","Add - how much?",IF(K165="","Check - item not in Supplies",IF(F165="","Not on a job","OK"))))</f>
        <v>0</v>
      </c>
    </row>
    <row r="166" spans="1:13">
      <c r="A166" s="43">
        <f>IF(D166="","","SU-"&amp;TEXT(ROW()-4,"0000"))</f>
        <v>0</v>
      </c>
      <c r="C166" s="23">
        <f>IF(B166="","",TEXT(B166,"yyyy-mm"))</f>
        <v>0</v>
      </c>
      <c r="J166" s="23">
        <f>IF(F166="","",IFERROR(INDEX(Jobs!$H$5:$H$604,MATCH(F166,Jobs!$A$5:$A$604,0)),""))</f>
        <v>0</v>
      </c>
      <c r="K166" s="21">
        <f>IF(D166="","",IFERROR(INDEX(Supplies!$P$5:$P$154,MATCH(D166,Supplies!$B$5:$B$154,0)),""))</f>
        <v>0</v>
      </c>
      <c r="L166" s="21">
        <f>IF(D166="","",ROUND(IF(E166="",0,E166)*IFERROR(K166*1,0),2))</f>
        <v>0</v>
      </c>
      <c r="M166" s="39">
        <f>IF(D166="","",IF(E166="","Add - how much?",IF(K166="","Check - item not in Supplies",IF(F166="","Not on a job","OK"))))</f>
        <v>0</v>
      </c>
    </row>
    <row r="167" spans="1:13">
      <c r="A167" s="43">
        <f>IF(D167="","","SU-"&amp;TEXT(ROW()-4,"0000"))</f>
        <v>0</v>
      </c>
      <c r="C167" s="23">
        <f>IF(B167="","",TEXT(B167,"yyyy-mm"))</f>
        <v>0</v>
      </c>
      <c r="J167" s="23">
        <f>IF(F167="","",IFERROR(INDEX(Jobs!$H$5:$H$604,MATCH(F167,Jobs!$A$5:$A$604,0)),""))</f>
        <v>0</v>
      </c>
      <c r="K167" s="21">
        <f>IF(D167="","",IFERROR(INDEX(Supplies!$P$5:$P$154,MATCH(D167,Supplies!$B$5:$B$154,0)),""))</f>
        <v>0</v>
      </c>
      <c r="L167" s="21">
        <f>IF(D167="","",ROUND(IF(E167="",0,E167)*IFERROR(K167*1,0),2))</f>
        <v>0</v>
      </c>
      <c r="M167" s="39">
        <f>IF(D167="","",IF(E167="","Add - how much?",IF(K167="","Check - item not in Supplies",IF(F167="","Not on a job","OK"))))</f>
        <v>0</v>
      </c>
    </row>
    <row r="168" spans="1:13">
      <c r="A168" s="43">
        <f>IF(D168="","","SU-"&amp;TEXT(ROW()-4,"0000"))</f>
        <v>0</v>
      </c>
      <c r="C168" s="23">
        <f>IF(B168="","",TEXT(B168,"yyyy-mm"))</f>
        <v>0</v>
      </c>
      <c r="J168" s="23">
        <f>IF(F168="","",IFERROR(INDEX(Jobs!$H$5:$H$604,MATCH(F168,Jobs!$A$5:$A$604,0)),""))</f>
        <v>0</v>
      </c>
      <c r="K168" s="21">
        <f>IF(D168="","",IFERROR(INDEX(Supplies!$P$5:$P$154,MATCH(D168,Supplies!$B$5:$B$154,0)),""))</f>
        <v>0</v>
      </c>
      <c r="L168" s="21">
        <f>IF(D168="","",ROUND(IF(E168="",0,E168)*IFERROR(K168*1,0),2))</f>
        <v>0</v>
      </c>
      <c r="M168" s="39">
        <f>IF(D168="","",IF(E168="","Add - how much?",IF(K168="","Check - item not in Supplies",IF(F168="","Not on a job","OK"))))</f>
        <v>0</v>
      </c>
    </row>
    <row r="169" spans="1:13">
      <c r="A169" s="43">
        <f>IF(D169="","","SU-"&amp;TEXT(ROW()-4,"0000"))</f>
        <v>0</v>
      </c>
      <c r="C169" s="23">
        <f>IF(B169="","",TEXT(B169,"yyyy-mm"))</f>
        <v>0</v>
      </c>
      <c r="J169" s="23">
        <f>IF(F169="","",IFERROR(INDEX(Jobs!$H$5:$H$604,MATCH(F169,Jobs!$A$5:$A$604,0)),""))</f>
        <v>0</v>
      </c>
      <c r="K169" s="21">
        <f>IF(D169="","",IFERROR(INDEX(Supplies!$P$5:$P$154,MATCH(D169,Supplies!$B$5:$B$154,0)),""))</f>
        <v>0</v>
      </c>
      <c r="L169" s="21">
        <f>IF(D169="","",ROUND(IF(E169="",0,E169)*IFERROR(K169*1,0),2))</f>
        <v>0</v>
      </c>
      <c r="M169" s="39">
        <f>IF(D169="","",IF(E169="","Add - how much?",IF(K169="","Check - item not in Supplies",IF(F169="","Not on a job","OK"))))</f>
        <v>0</v>
      </c>
    </row>
    <row r="170" spans="1:13">
      <c r="A170" s="43">
        <f>IF(D170="","","SU-"&amp;TEXT(ROW()-4,"0000"))</f>
        <v>0</v>
      </c>
      <c r="C170" s="23">
        <f>IF(B170="","",TEXT(B170,"yyyy-mm"))</f>
        <v>0</v>
      </c>
      <c r="J170" s="23">
        <f>IF(F170="","",IFERROR(INDEX(Jobs!$H$5:$H$604,MATCH(F170,Jobs!$A$5:$A$604,0)),""))</f>
        <v>0</v>
      </c>
      <c r="K170" s="21">
        <f>IF(D170="","",IFERROR(INDEX(Supplies!$P$5:$P$154,MATCH(D170,Supplies!$B$5:$B$154,0)),""))</f>
        <v>0</v>
      </c>
      <c r="L170" s="21">
        <f>IF(D170="","",ROUND(IF(E170="",0,E170)*IFERROR(K170*1,0),2))</f>
        <v>0</v>
      </c>
      <c r="M170" s="39">
        <f>IF(D170="","",IF(E170="","Add - how much?",IF(K170="","Check - item not in Supplies",IF(F170="","Not on a job","OK"))))</f>
        <v>0</v>
      </c>
    </row>
    <row r="171" spans="1:13">
      <c r="A171" s="43">
        <f>IF(D171="","","SU-"&amp;TEXT(ROW()-4,"0000"))</f>
        <v>0</v>
      </c>
      <c r="C171" s="23">
        <f>IF(B171="","",TEXT(B171,"yyyy-mm"))</f>
        <v>0</v>
      </c>
      <c r="J171" s="23">
        <f>IF(F171="","",IFERROR(INDEX(Jobs!$H$5:$H$604,MATCH(F171,Jobs!$A$5:$A$604,0)),""))</f>
        <v>0</v>
      </c>
      <c r="K171" s="21">
        <f>IF(D171="","",IFERROR(INDEX(Supplies!$P$5:$P$154,MATCH(D171,Supplies!$B$5:$B$154,0)),""))</f>
        <v>0</v>
      </c>
      <c r="L171" s="21">
        <f>IF(D171="","",ROUND(IF(E171="",0,E171)*IFERROR(K171*1,0),2))</f>
        <v>0</v>
      </c>
      <c r="M171" s="39">
        <f>IF(D171="","",IF(E171="","Add - how much?",IF(K171="","Check - item not in Supplies",IF(F171="","Not on a job","OK"))))</f>
        <v>0</v>
      </c>
    </row>
    <row r="172" spans="1:13">
      <c r="A172" s="43">
        <f>IF(D172="","","SU-"&amp;TEXT(ROW()-4,"0000"))</f>
        <v>0</v>
      </c>
      <c r="C172" s="23">
        <f>IF(B172="","",TEXT(B172,"yyyy-mm"))</f>
        <v>0</v>
      </c>
      <c r="J172" s="23">
        <f>IF(F172="","",IFERROR(INDEX(Jobs!$H$5:$H$604,MATCH(F172,Jobs!$A$5:$A$604,0)),""))</f>
        <v>0</v>
      </c>
      <c r="K172" s="21">
        <f>IF(D172="","",IFERROR(INDEX(Supplies!$P$5:$P$154,MATCH(D172,Supplies!$B$5:$B$154,0)),""))</f>
        <v>0</v>
      </c>
      <c r="L172" s="21">
        <f>IF(D172="","",ROUND(IF(E172="",0,E172)*IFERROR(K172*1,0),2))</f>
        <v>0</v>
      </c>
      <c r="M172" s="39">
        <f>IF(D172="","",IF(E172="","Add - how much?",IF(K172="","Check - item not in Supplies",IF(F172="","Not on a job","OK"))))</f>
        <v>0</v>
      </c>
    </row>
    <row r="173" spans="1:13">
      <c r="A173" s="43">
        <f>IF(D173="","","SU-"&amp;TEXT(ROW()-4,"0000"))</f>
        <v>0</v>
      </c>
      <c r="C173" s="23">
        <f>IF(B173="","",TEXT(B173,"yyyy-mm"))</f>
        <v>0</v>
      </c>
      <c r="J173" s="23">
        <f>IF(F173="","",IFERROR(INDEX(Jobs!$H$5:$H$604,MATCH(F173,Jobs!$A$5:$A$604,0)),""))</f>
        <v>0</v>
      </c>
      <c r="K173" s="21">
        <f>IF(D173="","",IFERROR(INDEX(Supplies!$P$5:$P$154,MATCH(D173,Supplies!$B$5:$B$154,0)),""))</f>
        <v>0</v>
      </c>
      <c r="L173" s="21">
        <f>IF(D173="","",ROUND(IF(E173="",0,E173)*IFERROR(K173*1,0),2))</f>
        <v>0</v>
      </c>
      <c r="M173" s="39">
        <f>IF(D173="","",IF(E173="","Add - how much?",IF(K173="","Check - item not in Supplies",IF(F173="","Not on a job","OK"))))</f>
        <v>0</v>
      </c>
    </row>
    <row r="174" spans="1:13">
      <c r="A174" s="43">
        <f>IF(D174="","","SU-"&amp;TEXT(ROW()-4,"0000"))</f>
        <v>0</v>
      </c>
      <c r="C174" s="23">
        <f>IF(B174="","",TEXT(B174,"yyyy-mm"))</f>
        <v>0</v>
      </c>
      <c r="J174" s="23">
        <f>IF(F174="","",IFERROR(INDEX(Jobs!$H$5:$H$604,MATCH(F174,Jobs!$A$5:$A$604,0)),""))</f>
        <v>0</v>
      </c>
      <c r="K174" s="21">
        <f>IF(D174="","",IFERROR(INDEX(Supplies!$P$5:$P$154,MATCH(D174,Supplies!$B$5:$B$154,0)),""))</f>
        <v>0</v>
      </c>
      <c r="L174" s="21">
        <f>IF(D174="","",ROUND(IF(E174="",0,E174)*IFERROR(K174*1,0),2))</f>
        <v>0</v>
      </c>
      <c r="M174" s="39">
        <f>IF(D174="","",IF(E174="","Add - how much?",IF(K174="","Check - item not in Supplies",IF(F174="","Not on a job","OK"))))</f>
        <v>0</v>
      </c>
    </row>
    <row r="175" spans="1:13">
      <c r="A175" s="43">
        <f>IF(D175="","","SU-"&amp;TEXT(ROW()-4,"0000"))</f>
        <v>0</v>
      </c>
      <c r="C175" s="23">
        <f>IF(B175="","",TEXT(B175,"yyyy-mm"))</f>
        <v>0</v>
      </c>
      <c r="J175" s="23">
        <f>IF(F175="","",IFERROR(INDEX(Jobs!$H$5:$H$604,MATCH(F175,Jobs!$A$5:$A$604,0)),""))</f>
        <v>0</v>
      </c>
      <c r="K175" s="21">
        <f>IF(D175="","",IFERROR(INDEX(Supplies!$P$5:$P$154,MATCH(D175,Supplies!$B$5:$B$154,0)),""))</f>
        <v>0</v>
      </c>
      <c r="L175" s="21">
        <f>IF(D175="","",ROUND(IF(E175="",0,E175)*IFERROR(K175*1,0),2))</f>
        <v>0</v>
      </c>
      <c r="M175" s="39">
        <f>IF(D175="","",IF(E175="","Add - how much?",IF(K175="","Check - item not in Supplies",IF(F175="","Not on a job","OK"))))</f>
        <v>0</v>
      </c>
    </row>
    <row r="176" spans="1:13">
      <c r="A176" s="43">
        <f>IF(D176="","","SU-"&amp;TEXT(ROW()-4,"0000"))</f>
        <v>0</v>
      </c>
      <c r="C176" s="23">
        <f>IF(B176="","",TEXT(B176,"yyyy-mm"))</f>
        <v>0</v>
      </c>
      <c r="J176" s="23">
        <f>IF(F176="","",IFERROR(INDEX(Jobs!$H$5:$H$604,MATCH(F176,Jobs!$A$5:$A$604,0)),""))</f>
        <v>0</v>
      </c>
      <c r="K176" s="21">
        <f>IF(D176="","",IFERROR(INDEX(Supplies!$P$5:$P$154,MATCH(D176,Supplies!$B$5:$B$154,0)),""))</f>
        <v>0</v>
      </c>
      <c r="L176" s="21">
        <f>IF(D176="","",ROUND(IF(E176="",0,E176)*IFERROR(K176*1,0),2))</f>
        <v>0</v>
      </c>
      <c r="M176" s="39">
        <f>IF(D176="","",IF(E176="","Add - how much?",IF(K176="","Check - item not in Supplies",IF(F176="","Not on a job","OK"))))</f>
        <v>0</v>
      </c>
    </row>
    <row r="177" spans="1:13">
      <c r="A177" s="43">
        <f>IF(D177="","","SU-"&amp;TEXT(ROW()-4,"0000"))</f>
        <v>0</v>
      </c>
      <c r="C177" s="23">
        <f>IF(B177="","",TEXT(B177,"yyyy-mm"))</f>
        <v>0</v>
      </c>
      <c r="J177" s="23">
        <f>IF(F177="","",IFERROR(INDEX(Jobs!$H$5:$H$604,MATCH(F177,Jobs!$A$5:$A$604,0)),""))</f>
        <v>0</v>
      </c>
      <c r="K177" s="21">
        <f>IF(D177="","",IFERROR(INDEX(Supplies!$P$5:$P$154,MATCH(D177,Supplies!$B$5:$B$154,0)),""))</f>
        <v>0</v>
      </c>
      <c r="L177" s="21">
        <f>IF(D177="","",ROUND(IF(E177="",0,E177)*IFERROR(K177*1,0),2))</f>
        <v>0</v>
      </c>
      <c r="M177" s="39">
        <f>IF(D177="","",IF(E177="","Add - how much?",IF(K177="","Check - item not in Supplies",IF(F177="","Not on a job","OK"))))</f>
        <v>0</v>
      </c>
    </row>
    <row r="178" spans="1:13">
      <c r="A178" s="43">
        <f>IF(D178="","","SU-"&amp;TEXT(ROW()-4,"0000"))</f>
        <v>0</v>
      </c>
      <c r="C178" s="23">
        <f>IF(B178="","",TEXT(B178,"yyyy-mm"))</f>
        <v>0</v>
      </c>
      <c r="J178" s="23">
        <f>IF(F178="","",IFERROR(INDEX(Jobs!$H$5:$H$604,MATCH(F178,Jobs!$A$5:$A$604,0)),""))</f>
        <v>0</v>
      </c>
      <c r="K178" s="21">
        <f>IF(D178="","",IFERROR(INDEX(Supplies!$P$5:$P$154,MATCH(D178,Supplies!$B$5:$B$154,0)),""))</f>
        <v>0</v>
      </c>
      <c r="L178" s="21">
        <f>IF(D178="","",ROUND(IF(E178="",0,E178)*IFERROR(K178*1,0),2))</f>
        <v>0</v>
      </c>
      <c r="M178" s="39">
        <f>IF(D178="","",IF(E178="","Add - how much?",IF(K178="","Check - item not in Supplies",IF(F178="","Not on a job","OK"))))</f>
        <v>0</v>
      </c>
    </row>
    <row r="179" spans="1:13">
      <c r="A179" s="43">
        <f>IF(D179="","","SU-"&amp;TEXT(ROW()-4,"0000"))</f>
        <v>0</v>
      </c>
      <c r="C179" s="23">
        <f>IF(B179="","",TEXT(B179,"yyyy-mm"))</f>
        <v>0</v>
      </c>
      <c r="J179" s="23">
        <f>IF(F179="","",IFERROR(INDEX(Jobs!$H$5:$H$604,MATCH(F179,Jobs!$A$5:$A$604,0)),""))</f>
        <v>0</v>
      </c>
      <c r="K179" s="21">
        <f>IF(D179="","",IFERROR(INDEX(Supplies!$P$5:$P$154,MATCH(D179,Supplies!$B$5:$B$154,0)),""))</f>
        <v>0</v>
      </c>
      <c r="L179" s="21">
        <f>IF(D179="","",ROUND(IF(E179="",0,E179)*IFERROR(K179*1,0),2))</f>
        <v>0</v>
      </c>
      <c r="M179" s="39">
        <f>IF(D179="","",IF(E179="","Add - how much?",IF(K179="","Check - item not in Supplies",IF(F179="","Not on a job","OK"))))</f>
        <v>0</v>
      </c>
    </row>
    <row r="180" spans="1:13">
      <c r="A180" s="43">
        <f>IF(D180="","","SU-"&amp;TEXT(ROW()-4,"0000"))</f>
        <v>0</v>
      </c>
      <c r="C180" s="23">
        <f>IF(B180="","",TEXT(B180,"yyyy-mm"))</f>
        <v>0</v>
      </c>
      <c r="J180" s="23">
        <f>IF(F180="","",IFERROR(INDEX(Jobs!$H$5:$H$604,MATCH(F180,Jobs!$A$5:$A$604,0)),""))</f>
        <v>0</v>
      </c>
      <c r="K180" s="21">
        <f>IF(D180="","",IFERROR(INDEX(Supplies!$P$5:$P$154,MATCH(D180,Supplies!$B$5:$B$154,0)),""))</f>
        <v>0</v>
      </c>
      <c r="L180" s="21">
        <f>IF(D180="","",ROUND(IF(E180="",0,E180)*IFERROR(K180*1,0),2))</f>
        <v>0</v>
      </c>
      <c r="M180" s="39">
        <f>IF(D180="","",IF(E180="","Add - how much?",IF(K180="","Check - item not in Supplies",IF(F180="","Not on a job","OK"))))</f>
        <v>0</v>
      </c>
    </row>
    <row r="181" spans="1:13">
      <c r="A181" s="43">
        <f>IF(D181="","","SU-"&amp;TEXT(ROW()-4,"0000"))</f>
        <v>0</v>
      </c>
      <c r="C181" s="23">
        <f>IF(B181="","",TEXT(B181,"yyyy-mm"))</f>
        <v>0</v>
      </c>
      <c r="J181" s="23">
        <f>IF(F181="","",IFERROR(INDEX(Jobs!$H$5:$H$604,MATCH(F181,Jobs!$A$5:$A$604,0)),""))</f>
        <v>0</v>
      </c>
      <c r="K181" s="21">
        <f>IF(D181="","",IFERROR(INDEX(Supplies!$P$5:$P$154,MATCH(D181,Supplies!$B$5:$B$154,0)),""))</f>
        <v>0</v>
      </c>
      <c r="L181" s="21">
        <f>IF(D181="","",ROUND(IF(E181="",0,E181)*IFERROR(K181*1,0),2))</f>
        <v>0</v>
      </c>
      <c r="M181" s="39">
        <f>IF(D181="","",IF(E181="","Add - how much?",IF(K181="","Check - item not in Supplies",IF(F181="","Not on a job","OK"))))</f>
        <v>0</v>
      </c>
    </row>
    <row r="182" spans="1:13">
      <c r="A182" s="43">
        <f>IF(D182="","","SU-"&amp;TEXT(ROW()-4,"0000"))</f>
        <v>0</v>
      </c>
      <c r="C182" s="23">
        <f>IF(B182="","",TEXT(B182,"yyyy-mm"))</f>
        <v>0</v>
      </c>
      <c r="J182" s="23">
        <f>IF(F182="","",IFERROR(INDEX(Jobs!$H$5:$H$604,MATCH(F182,Jobs!$A$5:$A$604,0)),""))</f>
        <v>0</v>
      </c>
      <c r="K182" s="21">
        <f>IF(D182="","",IFERROR(INDEX(Supplies!$P$5:$P$154,MATCH(D182,Supplies!$B$5:$B$154,0)),""))</f>
        <v>0</v>
      </c>
      <c r="L182" s="21">
        <f>IF(D182="","",ROUND(IF(E182="",0,E182)*IFERROR(K182*1,0),2))</f>
        <v>0</v>
      </c>
      <c r="M182" s="39">
        <f>IF(D182="","",IF(E182="","Add - how much?",IF(K182="","Check - item not in Supplies",IF(F182="","Not on a job","OK"))))</f>
        <v>0</v>
      </c>
    </row>
    <row r="183" spans="1:13">
      <c r="A183" s="43">
        <f>IF(D183="","","SU-"&amp;TEXT(ROW()-4,"0000"))</f>
        <v>0</v>
      </c>
      <c r="C183" s="23">
        <f>IF(B183="","",TEXT(B183,"yyyy-mm"))</f>
        <v>0</v>
      </c>
      <c r="J183" s="23">
        <f>IF(F183="","",IFERROR(INDEX(Jobs!$H$5:$H$604,MATCH(F183,Jobs!$A$5:$A$604,0)),""))</f>
        <v>0</v>
      </c>
      <c r="K183" s="21">
        <f>IF(D183="","",IFERROR(INDEX(Supplies!$P$5:$P$154,MATCH(D183,Supplies!$B$5:$B$154,0)),""))</f>
        <v>0</v>
      </c>
      <c r="L183" s="21">
        <f>IF(D183="","",ROUND(IF(E183="",0,E183)*IFERROR(K183*1,0),2))</f>
        <v>0</v>
      </c>
      <c r="M183" s="39">
        <f>IF(D183="","",IF(E183="","Add - how much?",IF(K183="","Check - item not in Supplies",IF(F183="","Not on a job","OK"))))</f>
        <v>0</v>
      </c>
    </row>
    <row r="184" spans="1:13">
      <c r="A184" s="43">
        <f>IF(D184="","","SU-"&amp;TEXT(ROW()-4,"0000"))</f>
        <v>0</v>
      </c>
      <c r="C184" s="23">
        <f>IF(B184="","",TEXT(B184,"yyyy-mm"))</f>
        <v>0</v>
      </c>
      <c r="J184" s="23">
        <f>IF(F184="","",IFERROR(INDEX(Jobs!$H$5:$H$604,MATCH(F184,Jobs!$A$5:$A$604,0)),""))</f>
        <v>0</v>
      </c>
      <c r="K184" s="21">
        <f>IF(D184="","",IFERROR(INDEX(Supplies!$P$5:$P$154,MATCH(D184,Supplies!$B$5:$B$154,0)),""))</f>
        <v>0</v>
      </c>
      <c r="L184" s="21">
        <f>IF(D184="","",ROUND(IF(E184="",0,E184)*IFERROR(K184*1,0),2))</f>
        <v>0</v>
      </c>
      <c r="M184" s="39">
        <f>IF(D184="","",IF(E184="","Add - how much?",IF(K184="","Check - item not in Supplies",IF(F184="","Not on a job","OK"))))</f>
        <v>0</v>
      </c>
    </row>
    <row r="185" spans="1:13">
      <c r="A185" s="43">
        <f>IF(D185="","","SU-"&amp;TEXT(ROW()-4,"0000"))</f>
        <v>0</v>
      </c>
      <c r="C185" s="23">
        <f>IF(B185="","",TEXT(B185,"yyyy-mm"))</f>
        <v>0</v>
      </c>
      <c r="J185" s="23">
        <f>IF(F185="","",IFERROR(INDEX(Jobs!$H$5:$H$604,MATCH(F185,Jobs!$A$5:$A$604,0)),""))</f>
        <v>0</v>
      </c>
      <c r="K185" s="21">
        <f>IF(D185="","",IFERROR(INDEX(Supplies!$P$5:$P$154,MATCH(D185,Supplies!$B$5:$B$154,0)),""))</f>
        <v>0</v>
      </c>
      <c r="L185" s="21">
        <f>IF(D185="","",ROUND(IF(E185="",0,E185)*IFERROR(K185*1,0),2))</f>
        <v>0</v>
      </c>
      <c r="M185" s="39">
        <f>IF(D185="","",IF(E185="","Add - how much?",IF(K185="","Check - item not in Supplies",IF(F185="","Not on a job","OK"))))</f>
        <v>0</v>
      </c>
    </row>
    <row r="186" spans="1:13">
      <c r="A186" s="43">
        <f>IF(D186="","","SU-"&amp;TEXT(ROW()-4,"0000"))</f>
        <v>0</v>
      </c>
      <c r="C186" s="23">
        <f>IF(B186="","",TEXT(B186,"yyyy-mm"))</f>
        <v>0</v>
      </c>
      <c r="J186" s="23">
        <f>IF(F186="","",IFERROR(INDEX(Jobs!$H$5:$H$604,MATCH(F186,Jobs!$A$5:$A$604,0)),""))</f>
        <v>0</v>
      </c>
      <c r="K186" s="21">
        <f>IF(D186="","",IFERROR(INDEX(Supplies!$P$5:$P$154,MATCH(D186,Supplies!$B$5:$B$154,0)),""))</f>
        <v>0</v>
      </c>
      <c r="L186" s="21">
        <f>IF(D186="","",ROUND(IF(E186="",0,E186)*IFERROR(K186*1,0),2))</f>
        <v>0</v>
      </c>
      <c r="M186" s="39">
        <f>IF(D186="","",IF(E186="","Add - how much?",IF(K186="","Check - item not in Supplies",IF(F186="","Not on a job","OK"))))</f>
        <v>0</v>
      </c>
    </row>
    <row r="187" spans="1:13">
      <c r="A187" s="43">
        <f>IF(D187="","","SU-"&amp;TEXT(ROW()-4,"0000"))</f>
        <v>0</v>
      </c>
      <c r="C187" s="23">
        <f>IF(B187="","",TEXT(B187,"yyyy-mm"))</f>
        <v>0</v>
      </c>
      <c r="J187" s="23">
        <f>IF(F187="","",IFERROR(INDEX(Jobs!$H$5:$H$604,MATCH(F187,Jobs!$A$5:$A$604,0)),""))</f>
        <v>0</v>
      </c>
      <c r="K187" s="21">
        <f>IF(D187="","",IFERROR(INDEX(Supplies!$P$5:$P$154,MATCH(D187,Supplies!$B$5:$B$154,0)),""))</f>
        <v>0</v>
      </c>
      <c r="L187" s="21">
        <f>IF(D187="","",ROUND(IF(E187="",0,E187)*IFERROR(K187*1,0),2))</f>
        <v>0</v>
      </c>
      <c r="M187" s="39">
        <f>IF(D187="","",IF(E187="","Add - how much?",IF(K187="","Check - item not in Supplies",IF(F187="","Not on a job","OK"))))</f>
        <v>0</v>
      </c>
    </row>
    <row r="188" spans="1:13">
      <c r="A188" s="43">
        <f>IF(D188="","","SU-"&amp;TEXT(ROW()-4,"0000"))</f>
        <v>0</v>
      </c>
      <c r="C188" s="23">
        <f>IF(B188="","",TEXT(B188,"yyyy-mm"))</f>
        <v>0</v>
      </c>
      <c r="J188" s="23">
        <f>IF(F188="","",IFERROR(INDEX(Jobs!$H$5:$H$604,MATCH(F188,Jobs!$A$5:$A$604,0)),""))</f>
        <v>0</v>
      </c>
      <c r="K188" s="21">
        <f>IF(D188="","",IFERROR(INDEX(Supplies!$P$5:$P$154,MATCH(D188,Supplies!$B$5:$B$154,0)),""))</f>
        <v>0</v>
      </c>
      <c r="L188" s="21">
        <f>IF(D188="","",ROUND(IF(E188="",0,E188)*IFERROR(K188*1,0),2))</f>
        <v>0</v>
      </c>
      <c r="M188" s="39">
        <f>IF(D188="","",IF(E188="","Add - how much?",IF(K188="","Check - item not in Supplies",IF(F188="","Not on a job","OK"))))</f>
        <v>0</v>
      </c>
    </row>
    <row r="189" spans="1:13">
      <c r="A189" s="43">
        <f>IF(D189="","","SU-"&amp;TEXT(ROW()-4,"0000"))</f>
        <v>0</v>
      </c>
      <c r="C189" s="23">
        <f>IF(B189="","",TEXT(B189,"yyyy-mm"))</f>
        <v>0</v>
      </c>
      <c r="J189" s="23">
        <f>IF(F189="","",IFERROR(INDEX(Jobs!$H$5:$H$604,MATCH(F189,Jobs!$A$5:$A$604,0)),""))</f>
        <v>0</v>
      </c>
      <c r="K189" s="21">
        <f>IF(D189="","",IFERROR(INDEX(Supplies!$P$5:$P$154,MATCH(D189,Supplies!$B$5:$B$154,0)),""))</f>
        <v>0</v>
      </c>
      <c r="L189" s="21">
        <f>IF(D189="","",ROUND(IF(E189="",0,E189)*IFERROR(K189*1,0),2))</f>
        <v>0</v>
      </c>
      <c r="M189" s="39">
        <f>IF(D189="","",IF(E189="","Add - how much?",IF(K189="","Check - item not in Supplies",IF(F189="","Not on a job","OK"))))</f>
        <v>0</v>
      </c>
    </row>
    <row r="190" spans="1:13">
      <c r="A190" s="43">
        <f>IF(D190="","","SU-"&amp;TEXT(ROW()-4,"0000"))</f>
        <v>0</v>
      </c>
      <c r="C190" s="23">
        <f>IF(B190="","",TEXT(B190,"yyyy-mm"))</f>
        <v>0</v>
      </c>
      <c r="J190" s="23">
        <f>IF(F190="","",IFERROR(INDEX(Jobs!$H$5:$H$604,MATCH(F190,Jobs!$A$5:$A$604,0)),""))</f>
        <v>0</v>
      </c>
      <c r="K190" s="21">
        <f>IF(D190="","",IFERROR(INDEX(Supplies!$P$5:$P$154,MATCH(D190,Supplies!$B$5:$B$154,0)),""))</f>
        <v>0</v>
      </c>
      <c r="L190" s="21">
        <f>IF(D190="","",ROUND(IF(E190="",0,E190)*IFERROR(K190*1,0),2))</f>
        <v>0</v>
      </c>
      <c r="M190" s="39">
        <f>IF(D190="","",IF(E190="","Add - how much?",IF(K190="","Check - item not in Supplies",IF(F190="","Not on a job","OK"))))</f>
        <v>0</v>
      </c>
    </row>
    <row r="191" spans="1:13">
      <c r="A191" s="43">
        <f>IF(D191="","","SU-"&amp;TEXT(ROW()-4,"0000"))</f>
        <v>0</v>
      </c>
      <c r="C191" s="23">
        <f>IF(B191="","",TEXT(B191,"yyyy-mm"))</f>
        <v>0</v>
      </c>
      <c r="J191" s="23">
        <f>IF(F191="","",IFERROR(INDEX(Jobs!$H$5:$H$604,MATCH(F191,Jobs!$A$5:$A$604,0)),""))</f>
        <v>0</v>
      </c>
      <c r="K191" s="21">
        <f>IF(D191="","",IFERROR(INDEX(Supplies!$P$5:$P$154,MATCH(D191,Supplies!$B$5:$B$154,0)),""))</f>
        <v>0</v>
      </c>
      <c r="L191" s="21">
        <f>IF(D191="","",ROUND(IF(E191="",0,E191)*IFERROR(K191*1,0),2))</f>
        <v>0</v>
      </c>
      <c r="M191" s="39">
        <f>IF(D191="","",IF(E191="","Add - how much?",IF(K191="","Check - item not in Supplies",IF(F191="","Not on a job","OK"))))</f>
        <v>0</v>
      </c>
    </row>
    <row r="192" spans="1:13">
      <c r="A192" s="43">
        <f>IF(D192="","","SU-"&amp;TEXT(ROW()-4,"0000"))</f>
        <v>0</v>
      </c>
      <c r="C192" s="23">
        <f>IF(B192="","",TEXT(B192,"yyyy-mm"))</f>
        <v>0</v>
      </c>
      <c r="J192" s="23">
        <f>IF(F192="","",IFERROR(INDEX(Jobs!$H$5:$H$604,MATCH(F192,Jobs!$A$5:$A$604,0)),""))</f>
        <v>0</v>
      </c>
      <c r="K192" s="21">
        <f>IF(D192="","",IFERROR(INDEX(Supplies!$P$5:$P$154,MATCH(D192,Supplies!$B$5:$B$154,0)),""))</f>
        <v>0</v>
      </c>
      <c r="L192" s="21">
        <f>IF(D192="","",ROUND(IF(E192="",0,E192)*IFERROR(K192*1,0),2))</f>
        <v>0</v>
      </c>
      <c r="M192" s="39">
        <f>IF(D192="","",IF(E192="","Add - how much?",IF(K192="","Check - item not in Supplies",IF(F192="","Not on a job","OK"))))</f>
        <v>0</v>
      </c>
    </row>
    <row r="193" spans="1:13">
      <c r="A193" s="43">
        <f>IF(D193="","","SU-"&amp;TEXT(ROW()-4,"0000"))</f>
        <v>0</v>
      </c>
      <c r="C193" s="23">
        <f>IF(B193="","",TEXT(B193,"yyyy-mm"))</f>
        <v>0</v>
      </c>
      <c r="J193" s="23">
        <f>IF(F193="","",IFERROR(INDEX(Jobs!$H$5:$H$604,MATCH(F193,Jobs!$A$5:$A$604,0)),""))</f>
        <v>0</v>
      </c>
      <c r="K193" s="21">
        <f>IF(D193="","",IFERROR(INDEX(Supplies!$P$5:$P$154,MATCH(D193,Supplies!$B$5:$B$154,0)),""))</f>
        <v>0</v>
      </c>
      <c r="L193" s="21">
        <f>IF(D193="","",ROUND(IF(E193="",0,E193)*IFERROR(K193*1,0),2))</f>
        <v>0</v>
      </c>
      <c r="M193" s="39">
        <f>IF(D193="","",IF(E193="","Add - how much?",IF(K193="","Check - item not in Supplies",IF(F193="","Not on a job","OK"))))</f>
        <v>0</v>
      </c>
    </row>
    <row r="194" spans="1:13">
      <c r="A194" s="43">
        <f>IF(D194="","","SU-"&amp;TEXT(ROW()-4,"0000"))</f>
        <v>0</v>
      </c>
      <c r="C194" s="23">
        <f>IF(B194="","",TEXT(B194,"yyyy-mm"))</f>
        <v>0</v>
      </c>
      <c r="J194" s="23">
        <f>IF(F194="","",IFERROR(INDEX(Jobs!$H$5:$H$604,MATCH(F194,Jobs!$A$5:$A$604,0)),""))</f>
        <v>0</v>
      </c>
      <c r="K194" s="21">
        <f>IF(D194="","",IFERROR(INDEX(Supplies!$P$5:$P$154,MATCH(D194,Supplies!$B$5:$B$154,0)),""))</f>
        <v>0</v>
      </c>
      <c r="L194" s="21">
        <f>IF(D194="","",ROUND(IF(E194="",0,E194)*IFERROR(K194*1,0),2))</f>
        <v>0</v>
      </c>
      <c r="M194" s="39">
        <f>IF(D194="","",IF(E194="","Add - how much?",IF(K194="","Check - item not in Supplies",IF(F194="","Not on a job","OK"))))</f>
        <v>0</v>
      </c>
    </row>
    <row r="195" spans="1:13">
      <c r="A195" s="43">
        <f>IF(D195="","","SU-"&amp;TEXT(ROW()-4,"0000"))</f>
        <v>0</v>
      </c>
      <c r="C195" s="23">
        <f>IF(B195="","",TEXT(B195,"yyyy-mm"))</f>
        <v>0</v>
      </c>
      <c r="J195" s="23">
        <f>IF(F195="","",IFERROR(INDEX(Jobs!$H$5:$H$604,MATCH(F195,Jobs!$A$5:$A$604,0)),""))</f>
        <v>0</v>
      </c>
      <c r="K195" s="21">
        <f>IF(D195="","",IFERROR(INDEX(Supplies!$P$5:$P$154,MATCH(D195,Supplies!$B$5:$B$154,0)),""))</f>
        <v>0</v>
      </c>
      <c r="L195" s="21">
        <f>IF(D195="","",ROUND(IF(E195="",0,E195)*IFERROR(K195*1,0),2))</f>
        <v>0</v>
      </c>
      <c r="M195" s="39">
        <f>IF(D195="","",IF(E195="","Add - how much?",IF(K195="","Check - item not in Supplies",IF(F195="","Not on a job","OK"))))</f>
        <v>0</v>
      </c>
    </row>
    <row r="196" spans="1:13">
      <c r="A196" s="43">
        <f>IF(D196="","","SU-"&amp;TEXT(ROW()-4,"0000"))</f>
        <v>0</v>
      </c>
      <c r="C196" s="23">
        <f>IF(B196="","",TEXT(B196,"yyyy-mm"))</f>
        <v>0</v>
      </c>
      <c r="J196" s="23">
        <f>IF(F196="","",IFERROR(INDEX(Jobs!$H$5:$H$604,MATCH(F196,Jobs!$A$5:$A$604,0)),""))</f>
        <v>0</v>
      </c>
      <c r="K196" s="21">
        <f>IF(D196="","",IFERROR(INDEX(Supplies!$P$5:$P$154,MATCH(D196,Supplies!$B$5:$B$154,0)),""))</f>
        <v>0</v>
      </c>
      <c r="L196" s="21">
        <f>IF(D196="","",ROUND(IF(E196="",0,E196)*IFERROR(K196*1,0),2))</f>
        <v>0</v>
      </c>
      <c r="M196" s="39">
        <f>IF(D196="","",IF(E196="","Add - how much?",IF(K196="","Check - item not in Supplies",IF(F196="","Not on a job","OK"))))</f>
        <v>0</v>
      </c>
    </row>
    <row r="197" spans="1:13">
      <c r="A197" s="43">
        <f>IF(D197="","","SU-"&amp;TEXT(ROW()-4,"0000"))</f>
        <v>0</v>
      </c>
      <c r="C197" s="23">
        <f>IF(B197="","",TEXT(B197,"yyyy-mm"))</f>
        <v>0</v>
      </c>
      <c r="J197" s="23">
        <f>IF(F197="","",IFERROR(INDEX(Jobs!$H$5:$H$604,MATCH(F197,Jobs!$A$5:$A$604,0)),""))</f>
        <v>0</v>
      </c>
      <c r="K197" s="21">
        <f>IF(D197="","",IFERROR(INDEX(Supplies!$P$5:$P$154,MATCH(D197,Supplies!$B$5:$B$154,0)),""))</f>
        <v>0</v>
      </c>
      <c r="L197" s="21">
        <f>IF(D197="","",ROUND(IF(E197="",0,E197)*IFERROR(K197*1,0),2))</f>
        <v>0</v>
      </c>
      <c r="M197" s="39">
        <f>IF(D197="","",IF(E197="","Add - how much?",IF(K197="","Check - item not in Supplies",IF(F197="","Not on a job","OK"))))</f>
        <v>0</v>
      </c>
    </row>
    <row r="198" spans="1:13">
      <c r="A198" s="43">
        <f>IF(D198="","","SU-"&amp;TEXT(ROW()-4,"0000"))</f>
        <v>0</v>
      </c>
      <c r="C198" s="23">
        <f>IF(B198="","",TEXT(B198,"yyyy-mm"))</f>
        <v>0</v>
      </c>
      <c r="J198" s="23">
        <f>IF(F198="","",IFERROR(INDEX(Jobs!$H$5:$H$604,MATCH(F198,Jobs!$A$5:$A$604,0)),""))</f>
        <v>0</v>
      </c>
      <c r="K198" s="21">
        <f>IF(D198="","",IFERROR(INDEX(Supplies!$P$5:$P$154,MATCH(D198,Supplies!$B$5:$B$154,0)),""))</f>
        <v>0</v>
      </c>
      <c r="L198" s="21">
        <f>IF(D198="","",ROUND(IF(E198="",0,E198)*IFERROR(K198*1,0),2))</f>
        <v>0</v>
      </c>
      <c r="M198" s="39">
        <f>IF(D198="","",IF(E198="","Add - how much?",IF(K198="","Check - item not in Supplies",IF(F198="","Not on a job","OK"))))</f>
        <v>0</v>
      </c>
    </row>
    <row r="199" spans="1:13">
      <c r="A199" s="43">
        <f>IF(D199="","","SU-"&amp;TEXT(ROW()-4,"0000"))</f>
        <v>0</v>
      </c>
      <c r="C199" s="23">
        <f>IF(B199="","",TEXT(B199,"yyyy-mm"))</f>
        <v>0</v>
      </c>
      <c r="J199" s="23">
        <f>IF(F199="","",IFERROR(INDEX(Jobs!$H$5:$H$604,MATCH(F199,Jobs!$A$5:$A$604,0)),""))</f>
        <v>0</v>
      </c>
      <c r="K199" s="21">
        <f>IF(D199="","",IFERROR(INDEX(Supplies!$P$5:$P$154,MATCH(D199,Supplies!$B$5:$B$154,0)),""))</f>
        <v>0</v>
      </c>
      <c r="L199" s="21">
        <f>IF(D199="","",ROUND(IF(E199="",0,E199)*IFERROR(K199*1,0),2))</f>
        <v>0</v>
      </c>
      <c r="M199" s="39">
        <f>IF(D199="","",IF(E199="","Add - how much?",IF(K199="","Check - item not in Supplies",IF(F199="","Not on a job","OK"))))</f>
        <v>0</v>
      </c>
    </row>
    <row r="200" spans="1:13">
      <c r="A200" s="43">
        <f>IF(D200="","","SU-"&amp;TEXT(ROW()-4,"0000"))</f>
        <v>0</v>
      </c>
      <c r="C200" s="23">
        <f>IF(B200="","",TEXT(B200,"yyyy-mm"))</f>
        <v>0</v>
      </c>
      <c r="J200" s="23">
        <f>IF(F200="","",IFERROR(INDEX(Jobs!$H$5:$H$604,MATCH(F200,Jobs!$A$5:$A$604,0)),""))</f>
        <v>0</v>
      </c>
      <c r="K200" s="21">
        <f>IF(D200="","",IFERROR(INDEX(Supplies!$P$5:$P$154,MATCH(D200,Supplies!$B$5:$B$154,0)),""))</f>
        <v>0</v>
      </c>
      <c r="L200" s="21">
        <f>IF(D200="","",ROUND(IF(E200="",0,E200)*IFERROR(K200*1,0),2))</f>
        <v>0</v>
      </c>
      <c r="M200" s="39">
        <f>IF(D200="","",IF(E200="","Add - how much?",IF(K200="","Check - item not in Supplies",IF(F200="","Not on a job","OK"))))</f>
        <v>0</v>
      </c>
    </row>
    <row r="201" spans="1:13">
      <c r="A201" s="43">
        <f>IF(D201="","","SU-"&amp;TEXT(ROW()-4,"0000"))</f>
        <v>0</v>
      </c>
      <c r="C201" s="23">
        <f>IF(B201="","",TEXT(B201,"yyyy-mm"))</f>
        <v>0</v>
      </c>
      <c r="J201" s="23">
        <f>IF(F201="","",IFERROR(INDEX(Jobs!$H$5:$H$604,MATCH(F201,Jobs!$A$5:$A$604,0)),""))</f>
        <v>0</v>
      </c>
      <c r="K201" s="21">
        <f>IF(D201="","",IFERROR(INDEX(Supplies!$P$5:$P$154,MATCH(D201,Supplies!$B$5:$B$154,0)),""))</f>
        <v>0</v>
      </c>
      <c r="L201" s="21">
        <f>IF(D201="","",ROUND(IF(E201="",0,E201)*IFERROR(K201*1,0),2))</f>
        <v>0</v>
      </c>
      <c r="M201" s="39">
        <f>IF(D201="","",IF(E201="","Add - how much?",IF(K201="","Check - item not in Supplies",IF(F201="","Not on a job","OK"))))</f>
        <v>0</v>
      </c>
    </row>
    <row r="202" spans="1:13">
      <c r="A202" s="43">
        <f>IF(D202="","","SU-"&amp;TEXT(ROW()-4,"0000"))</f>
        <v>0</v>
      </c>
      <c r="C202" s="23">
        <f>IF(B202="","",TEXT(B202,"yyyy-mm"))</f>
        <v>0</v>
      </c>
      <c r="J202" s="23">
        <f>IF(F202="","",IFERROR(INDEX(Jobs!$H$5:$H$604,MATCH(F202,Jobs!$A$5:$A$604,0)),""))</f>
        <v>0</v>
      </c>
      <c r="K202" s="21">
        <f>IF(D202="","",IFERROR(INDEX(Supplies!$P$5:$P$154,MATCH(D202,Supplies!$B$5:$B$154,0)),""))</f>
        <v>0</v>
      </c>
      <c r="L202" s="21">
        <f>IF(D202="","",ROUND(IF(E202="",0,E202)*IFERROR(K202*1,0),2))</f>
        <v>0</v>
      </c>
      <c r="M202" s="39">
        <f>IF(D202="","",IF(E202="","Add - how much?",IF(K202="","Check - item not in Supplies",IF(F202="","Not on a job","OK"))))</f>
        <v>0</v>
      </c>
    </row>
    <row r="203" spans="1:13">
      <c r="A203" s="43">
        <f>IF(D203="","","SU-"&amp;TEXT(ROW()-4,"0000"))</f>
        <v>0</v>
      </c>
      <c r="C203" s="23">
        <f>IF(B203="","",TEXT(B203,"yyyy-mm"))</f>
        <v>0</v>
      </c>
      <c r="J203" s="23">
        <f>IF(F203="","",IFERROR(INDEX(Jobs!$H$5:$H$604,MATCH(F203,Jobs!$A$5:$A$604,0)),""))</f>
        <v>0</v>
      </c>
      <c r="K203" s="21">
        <f>IF(D203="","",IFERROR(INDEX(Supplies!$P$5:$P$154,MATCH(D203,Supplies!$B$5:$B$154,0)),""))</f>
        <v>0</v>
      </c>
      <c r="L203" s="21">
        <f>IF(D203="","",ROUND(IF(E203="",0,E203)*IFERROR(K203*1,0),2))</f>
        <v>0</v>
      </c>
      <c r="M203" s="39">
        <f>IF(D203="","",IF(E203="","Add - how much?",IF(K203="","Check - item not in Supplies",IF(F203="","Not on a job","OK"))))</f>
        <v>0</v>
      </c>
    </row>
    <row r="204" spans="1:13">
      <c r="A204" s="43">
        <f>IF(D204="","","SU-"&amp;TEXT(ROW()-4,"0000"))</f>
        <v>0</v>
      </c>
      <c r="C204" s="23">
        <f>IF(B204="","",TEXT(B204,"yyyy-mm"))</f>
        <v>0</v>
      </c>
      <c r="J204" s="23">
        <f>IF(F204="","",IFERROR(INDEX(Jobs!$H$5:$H$604,MATCH(F204,Jobs!$A$5:$A$604,0)),""))</f>
        <v>0</v>
      </c>
      <c r="K204" s="21">
        <f>IF(D204="","",IFERROR(INDEX(Supplies!$P$5:$P$154,MATCH(D204,Supplies!$B$5:$B$154,0)),""))</f>
        <v>0</v>
      </c>
      <c r="L204" s="21">
        <f>IF(D204="","",ROUND(IF(E204="",0,E204)*IFERROR(K204*1,0),2))</f>
        <v>0</v>
      </c>
      <c r="M204" s="39">
        <f>IF(D204="","",IF(E204="","Add - how much?",IF(K204="","Check - item not in Supplies",IF(F204="","Not on a job","OK"))))</f>
        <v>0</v>
      </c>
    </row>
    <row r="205" spans="1:13">
      <c r="A205" s="43">
        <f>IF(D205="","","SU-"&amp;TEXT(ROW()-4,"0000"))</f>
        <v>0</v>
      </c>
      <c r="C205" s="23">
        <f>IF(B205="","",TEXT(B205,"yyyy-mm"))</f>
        <v>0</v>
      </c>
      <c r="J205" s="23">
        <f>IF(F205="","",IFERROR(INDEX(Jobs!$H$5:$H$604,MATCH(F205,Jobs!$A$5:$A$604,0)),""))</f>
        <v>0</v>
      </c>
      <c r="K205" s="21">
        <f>IF(D205="","",IFERROR(INDEX(Supplies!$P$5:$P$154,MATCH(D205,Supplies!$B$5:$B$154,0)),""))</f>
        <v>0</v>
      </c>
      <c r="L205" s="21">
        <f>IF(D205="","",ROUND(IF(E205="",0,E205)*IFERROR(K205*1,0),2))</f>
        <v>0</v>
      </c>
      <c r="M205" s="39">
        <f>IF(D205="","",IF(E205="","Add - how much?",IF(K205="","Check - item not in Supplies",IF(F205="","Not on a job","OK"))))</f>
        <v>0</v>
      </c>
    </row>
    <row r="206" spans="1:13">
      <c r="A206" s="43">
        <f>IF(D206="","","SU-"&amp;TEXT(ROW()-4,"0000"))</f>
        <v>0</v>
      </c>
      <c r="C206" s="23">
        <f>IF(B206="","",TEXT(B206,"yyyy-mm"))</f>
        <v>0</v>
      </c>
      <c r="J206" s="23">
        <f>IF(F206="","",IFERROR(INDEX(Jobs!$H$5:$H$604,MATCH(F206,Jobs!$A$5:$A$604,0)),""))</f>
        <v>0</v>
      </c>
      <c r="K206" s="21">
        <f>IF(D206="","",IFERROR(INDEX(Supplies!$P$5:$P$154,MATCH(D206,Supplies!$B$5:$B$154,0)),""))</f>
        <v>0</v>
      </c>
      <c r="L206" s="21">
        <f>IF(D206="","",ROUND(IF(E206="",0,E206)*IFERROR(K206*1,0),2))</f>
        <v>0</v>
      </c>
      <c r="M206" s="39">
        <f>IF(D206="","",IF(E206="","Add - how much?",IF(K206="","Check - item not in Supplies",IF(F206="","Not on a job","OK"))))</f>
        <v>0</v>
      </c>
    </row>
    <row r="207" spans="1:13">
      <c r="A207" s="43">
        <f>IF(D207="","","SU-"&amp;TEXT(ROW()-4,"0000"))</f>
        <v>0</v>
      </c>
      <c r="C207" s="23">
        <f>IF(B207="","",TEXT(B207,"yyyy-mm"))</f>
        <v>0</v>
      </c>
      <c r="J207" s="23">
        <f>IF(F207="","",IFERROR(INDEX(Jobs!$H$5:$H$604,MATCH(F207,Jobs!$A$5:$A$604,0)),""))</f>
        <v>0</v>
      </c>
      <c r="K207" s="21">
        <f>IF(D207="","",IFERROR(INDEX(Supplies!$P$5:$P$154,MATCH(D207,Supplies!$B$5:$B$154,0)),""))</f>
        <v>0</v>
      </c>
      <c r="L207" s="21">
        <f>IF(D207="","",ROUND(IF(E207="",0,E207)*IFERROR(K207*1,0),2))</f>
        <v>0</v>
      </c>
      <c r="M207" s="39">
        <f>IF(D207="","",IF(E207="","Add - how much?",IF(K207="","Check - item not in Supplies",IF(F207="","Not on a job","OK"))))</f>
        <v>0</v>
      </c>
    </row>
    <row r="208" spans="1:13">
      <c r="A208" s="43">
        <f>IF(D208="","","SU-"&amp;TEXT(ROW()-4,"0000"))</f>
        <v>0</v>
      </c>
      <c r="C208" s="23">
        <f>IF(B208="","",TEXT(B208,"yyyy-mm"))</f>
        <v>0</v>
      </c>
      <c r="J208" s="23">
        <f>IF(F208="","",IFERROR(INDEX(Jobs!$H$5:$H$604,MATCH(F208,Jobs!$A$5:$A$604,0)),""))</f>
        <v>0</v>
      </c>
      <c r="K208" s="21">
        <f>IF(D208="","",IFERROR(INDEX(Supplies!$P$5:$P$154,MATCH(D208,Supplies!$B$5:$B$154,0)),""))</f>
        <v>0</v>
      </c>
      <c r="L208" s="21">
        <f>IF(D208="","",ROUND(IF(E208="",0,E208)*IFERROR(K208*1,0),2))</f>
        <v>0</v>
      </c>
      <c r="M208" s="39">
        <f>IF(D208="","",IF(E208="","Add - how much?",IF(K208="","Check - item not in Supplies",IF(F208="","Not on a job","OK"))))</f>
        <v>0</v>
      </c>
    </row>
    <row r="209" spans="1:13">
      <c r="A209" s="43">
        <f>IF(D209="","","SU-"&amp;TEXT(ROW()-4,"0000"))</f>
        <v>0</v>
      </c>
      <c r="C209" s="23">
        <f>IF(B209="","",TEXT(B209,"yyyy-mm"))</f>
        <v>0</v>
      </c>
      <c r="J209" s="23">
        <f>IF(F209="","",IFERROR(INDEX(Jobs!$H$5:$H$604,MATCH(F209,Jobs!$A$5:$A$604,0)),""))</f>
        <v>0</v>
      </c>
      <c r="K209" s="21">
        <f>IF(D209="","",IFERROR(INDEX(Supplies!$P$5:$P$154,MATCH(D209,Supplies!$B$5:$B$154,0)),""))</f>
        <v>0</v>
      </c>
      <c r="L209" s="21">
        <f>IF(D209="","",ROUND(IF(E209="",0,E209)*IFERROR(K209*1,0),2))</f>
        <v>0</v>
      </c>
      <c r="M209" s="39">
        <f>IF(D209="","",IF(E209="","Add - how much?",IF(K209="","Check - item not in Supplies",IF(F209="","Not on a job","OK"))))</f>
        <v>0</v>
      </c>
    </row>
    <row r="210" spans="1:13">
      <c r="A210" s="43">
        <f>IF(D210="","","SU-"&amp;TEXT(ROW()-4,"0000"))</f>
        <v>0</v>
      </c>
      <c r="C210" s="23">
        <f>IF(B210="","",TEXT(B210,"yyyy-mm"))</f>
        <v>0</v>
      </c>
      <c r="J210" s="23">
        <f>IF(F210="","",IFERROR(INDEX(Jobs!$H$5:$H$604,MATCH(F210,Jobs!$A$5:$A$604,0)),""))</f>
        <v>0</v>
      </c>
      <c r="K210" s="21">
        <f>IF(D210="","",IFERROR(INDEX(Supplies!$P$5:$P$154,MATCH(D210,Supplies!$B$5:$B$154,0)),""))</f>
        <v>0</v>
      </c>
      <c r="L210" s="21">
        <f>IF(D210="","",ROUND(IF(E210="",0,E210)*IFERROR(K210*1,0),2))</f>
        <v>0</v>
      </c>
      <c r="M210" s="39">
        <f>IF(D210="","",IF(E210="","Add - how much?",IF(K210="","Check - item not in Supplies",IF(F210="","Not on a job","OK"))))</f>
        <v>0</v>
      </c>
    </row>
    <row r="211" spans="1:13">
      <c r="A211" s="43">
        <f>IF(D211="","","SU-"&amp;TEXT(ROW()-4,"0000"))</f>
        <v>0</v>
      </c>
      <c r="C211" s="23">
        <f>IF(B211="","",TEXT(B211,"yyyy-mm"))</f>
        <v>0</v>
      </c>
      <c r="J211" s="23">
        <f>IF(F211="","",IFERROR(INDEX(Jobs!$H$5:$H$604,MATCH(F211,Jobs!$A$5:$A$604,0)),""))</f>
        <v>0</v>
      </c>
      <c r="K211" s="21">
        <f>IF(D211="","",IFERROR(INDEX(Supplies!$P$5:$P$154,MATCH(D211,Supplies!$B$5:$B$154,0)),""))</f>
        <v>0</v>
      </c>
      <c r="L211" s="21">
        <f>IF(D211="","",ROUND(IF(E211="",0,E211)*IFERROR(K211*1,0),2))</f>
        <v>0</v>
      </c>
      <c r="M211" s="39">
        <f>IF(D211="","",IF(E211="","Add - how much?",IF(K211="","Check - item not in Supplies",IF(F211="","Not on a job","OK"))))</f>
        <v>0</v>
      </c>
    </row>
    <row r="212" spans="1:13">
      <c r="A212" s="43">
        <f>IF(D212="","","SU-"&amp;TEXT(ROW()-4,"0000"))</f>
        <v>0</v>
      </c>
      <c r="C212" s="23">
        <f>IF(B212="","",TEXT(B212,"yyyy-mm"))</f>
        <v>0</v>
      </c>
      <c r="J212" s="23">
        <f>IF(F212="","",IFERROR(INDEX(Jobs!$H$5:$H$604,MATCH(F212,Jobs!$A$5:$A$604,0)),""))</f>
        <v>0</v>
      </c>
      <c r="K212" s="21">
        <f>IF(D212="","",IFERROR(INDEX(Supplies!$P$5:$P$154,MATCH(D212,Supplies!$B$5:$B$154,0)),""))</f>
        <v>0</v>
      </c>
      <c r="L212" s="21">
        <f>IF(D212="","",ROUND(IF(E212="",0,E212)*IFERROR(K212*1,0),2))</f>
        <v>0</v>
      </c>
      <c r="M212" s="39">
        <f>IF(D212="","",IF(E212="","Add - how much?",IF(K212="","Check - item not in Supplies",IF(F212="","Not on a job","OK"))))</f>
        <v>0</v>
      </c>
    </row>
    <row r="213" spans="1:13">
      <c r="A213" s="43">
        <f>IF(D213="","","SU-"&amp;TEXT(ROW()-4,"0000"))</f>
        <v>0</v>
      </c>
      <c r="C213" s="23">
        <f>IF(B213="","",TEXT(B213,"yyyy-mm"))</f>
        <v>0</v>
      </c>
      <c r="J213" s="23">
        <f>IF(F213="","",IFERROR(INDEX(Jobs!$H$5:$H$604,MATCH(F213,Jobs!$A$5:$A$604,0)),""))</f>
        <v>0</v>
      </c>
      <c r="K213" s="21">
        <f>IF(D213="","",IFERROR(INDEX(Supplies!$P$5:$P$154,MATCH(D213,Supplies!$B$5:$B$154,0)),""))</f>
        <v>0</v>
      </c>
      <c r="L213" s="21">
        <f>IF(D213="","",ROUND(IF(E213="",0,E213)*IFERROR(K213*1,0),2))</f>
        <v>0</v>
      </c>
      <c r="M213" s="39">
        <f>IF(D213="","",IF(E213="","Add - how much?",IF(K213="","Check - item not in Supplies",IF(F213="","Not on a job","OK"))))</f>
        <v>0</v>
      </c>
    </row>
    <row r="214" spans="1:13">
      <c r="A214" s="43">
        <f>IF(D214="","","SU-"&amp;TEXT(ROW()-4,"0000"))</f>
        <v>0</v>
      </c>
      <c r="C214" s="23">
        <f>IF(B214="","",TEXT(B214,"yyyy-mm"))</f>
        <v>0</v>
      </c>
      <c r="J214" s="23">
        <f>IF(F214="","",IFERROR(INDEX(Jobs!$H$5:$H$604,MATCH(F214,Jobs!$A$5:$A$604,0)),""))</f>
        <v>0</v>
      </c>
      <c r="K214" s="21">
        <f>IF(D214="","",IFERROR(INDEX(Supplies!$P$5:$P$154,MATCH(D214,Supplies!$B$5:$B$154,0)),""))</f>
        <v>0</v>
      </c>
      <c r="L214" s="21">
        <f>IF(D214="","",ROUND(IF(E214="",0,E214)*IFERROR(K214*1,0),2))</f>
        <v>0</v>
      </c>
      <c r="M214" s="39">
        <f>IF(D214="","",IF(E214="","Add - how much?",IF(K214="","Check - item not in Supplies",IF(F214="","Not on a job","OK"))))</f>
        <v>0</v>
      </c>
    </row>
    <row r="215" spans="1:13">
      <c r="A215" s="43">
        <f>IF(D215="","","SU-"&amp;TEXT(ROW()-4,"0000"))</f>
        <v>0</v>
      </c>
      <c r="C215" s="23">
        <f>IF(B215="","",TEXT(B215,"yyyy-mm"))</f>
        <v>0</v>
      </c>
      <c r="J215" s="23">
        <f>IF(F215="","",IFERROR(INDEX(Jobs!$H$5:$H$604,MATCH(F215,Jobs!$A$5:$A$604,0)),""))</f>
        <v>0</v>
      </c>
      <c r="K215" s="21">
        <f>IF(D215="","",IFERROR(INDEX(Supplies!$P$5:$P$154,MATCH(D215,Supplies!$B$5:$B$154,0)),""))</f>
        <v>0</v>
      </c>
      <c r="L215" s="21">
        <f>IF(D215="","",ROUND(IF(E215="",0,E215)*IFERROR(K215*1,0),2))</f>
        <v>0</v>
      </c>
      <c r="M215" s="39">
        <f>IF(D215="","",IF(E215="","Add - how much?",IF(K215="","Check - item not in Supplies",IF(F215="","Not on a job","OK"))))</f>
        <v>0</v>
      </c>
    </row>
    <row r="216" spans="1:13">
      <c r="A216" s="43">
        <f>IF(D216="","","SU-"&amp;TEXT(ROW()-4,"0000"))</f>
        <v>0</v>
      </c>
      <c r="C216" s="23">
        <f>IF(B216="","",TEXT(B216,"yyyy-mm"))</f>
        <v>0</v>
      </c>
      <c r="J216" s="23">
        <f>IF(F216="","",IFERROR(INDEX(Jobs!$H$5:$H$604,MATCH(F216,Jobs!$A$5:$A$604,0)),""))</f>
        <v>0</v>
      </c>
      <c r="K216" s="21">
        <f>IF(D216="","",IFERROR(INDEX(Supplies!$P$5:$P$154,MATCH(D216,Supplies!$B$5:$B$154,0)),""))</f>
        <v>0</v>
      </c>
      <c r="L216" s="21">
        <f>IF(D216="","",ROUND(IF(E216="",0,E216)*IFERROR(K216*1,0),2))</f>
        <v>0</v>
      </c>
      <c r="M216" s="39">
        <f>IF(D216="","",IF(E216="","Add - how much?",IF(K216="","Check - item not in Supplies",IF(F216="","Not on a job","OK"))))</f>
        <v>0</v>
      </c>
    </row>
    <row r="217" spans="1:13">
      <c r="A217" s="43">
        <f>IF(D217="","","SU-"&amp;TEXT(ROW()-4,"0000"))</f>
        <v>0</v>
      </c>
      <c r="C217" s="23">
        <f>IF(B217="","",TEXT(B217,"yyyy-mm"))</f>
        <v>0</v>
      </c>
      <c r="J217" s="23">
        <f>IF(F217="","",IFERROR(INDEX(Jobs!$H$5:$H$604,MATCH(F217,Jobs!$A$5:$A$604,0)),""))</f>
        <v>0</v>
      </c>
      <c r="K217" s="21">
        <f>IF(D217="","",IFERROR(INDEX(Supplies!$P$5:$P$154,MATCH(D217,Supplies!$B$5:$B$154,0)),""))</f>
        <v>0</v>
      </c>
      <c r="L217" s="21">
        <f>IF(D217="","",ROUND(IF(E217="",0,E217)*IFERROR(K217*1,0),2))</f>
        <v>0</v>
      </c>
      <c r="M217" s="39">
        <f>IF(D217="","",IF(E217="","Add - how much?",IF(K217="","Check - item not in Supplies",IF(F217="","Not on a job","OK"))))</f>
        <v>0</v>
      </c>
    </row>
    <row r="218" spans="1:13">
      <c r="A218" s="43">
        <f>IF(D218="","","SU-"&amp;TEXT(ROW()-4,"0000"))</f>
        <v>0</v>
      </c>
      <c r="C218" s="23">
        <f>IF(B218="","",TEXT(B218,"yyyy-mm"))</f>
        <v>0</v>
      </c>
      <c r="J218" s="23">
        <f>IF(F218="","",IFERROR(INDEX(Jobs!$H$5:$H$604,MATCH(F218,Jobs!$A$5:$A$604,0)),""))</f>
        <v>0</v>
      </c>
      <c r="K218" s="21">
        <f>IF(D218="","",IFERROR(INDEX(Supplies!$P$5:$P$154,MATCH(D218,Supplies!$B$5:$B$154,0)),""))</f>
        <v>0</v>
      </c>
      <c r="L218" s="21">
        <f>IF(D218="","",ROUND(IF(E218="",0,E218)*IFERROR(K218*1,0),2))</f>
        <v>0</v>
      </c>
      <c r="M218" s="39">
        <f>IF(D218="","",IF(E218="","Add - how much?",IF(K218="","Check - item not in Supplies",IF(F218="","Not on a job","OK"))))</f>
        <v>0</v>
      </c>
    </row>
    <row r="219" spans="1:13">
      <c r="A219" s="43">
        <f>IF(D219="","","SU-"&amp;TEXT(ROW()-4,"0000"))</f>
        <v>0</v>
      </c>
      <c r="C219" s="23">
        <f>IF(B219="","",TEXT(B219,"yyyy-mm"))</f>
        <v>0</v>
      </c>
      <c r="J219" s="23">
        <f>IF(F219="","",IFERROR(INDEX(Jobs!$H$5:$H$604,MATCH(F219,Jobs!$A$5:$A$604,0)),""))</f>
        <v>0</v>
      </c>
      <c r="K219" s="21">
        <f>IF(D219="","",IFERROR(INDEX(Supplies!$P$5:$P$154,MATCH(D219,Supplies!$B$5:$B$154,0)),""))</f>
        <v>0</v>
      </c>
      <c r="L219" s="21">
        <f>IF(D219="","",ROUND(IF(E219="",0,E219)*IFERROR(K219*1,0),2))</f>
        <v>0</v>
      </c>
      <c r="M219" s="39">
        <f>IF(D219="","",IF(E219="","Add - how much?",IF(K219="","Check - item not in Supplies",IF(F219="","Not on a job","OK"))))</f>
        <v>0</v>
      </c>
    </row>
    <row r="220" spans="1:13">
      <c r="A220" s="43">
        <f>IF(D220="","","SU-"&amp;TEXT(ROW()-4,"0000"))</f>
        <v>0</v>
      </c>
      <c r="C220" s="23">
        <f>IF(B220="","",TEXT(B220,"yyyy-mm"))</f>
        <v>0</v>
      </c>
      <c r="J220" s="23">
        <f>IF(F220="","",IFERROR(INDEX(Jobs!$H$5:$H$604,MATCH(F220,Jobs!$A$5:$A$604,0)),""))</f>
        <v>0</v>
      </c>
      <c r="K220" s="21">
        <f>IF(D220="","",IFERROR(INDEX(Supplies!$P$5:$P$154,MATCH(D220,Supplies!$B$5:$B$154,0)),""))</f>
        <v>0</v>
      </c>
      <c r="L220" s="21">
        <f>IF(D220="","",ROUND(IF(E220="",0,E220)*IFERROR(K220*1,0),2))</f>
        <v>0</v>
      </c>
      <c r="M220" s="39">
        <f>IF(D220="","",IF(E220="","Add - how much?",IF(K220="","Check - item not in Supplies",IF(F220="","Not on a job","OK"))))</f>
        <v>0</v>
      </c>
    </row>
    <row r="221" spans="1:13">
      <c r="A221" s="43">
        <f>IF(D221="","","SU-"&amp;TEXT(ROW()-4,"0000"))</f>
        <v>0</v>
      </c>
      <c r="C221" s="23">
        <f>IF(B221="","",TEXT(B221,"yyyy-mm"))</f>
        <v>0</v>
      </c>
      <c r="J221" s="23">
        <f>IF(F221="","",IFERROR(INDEX(Jobs!$H$5:$H$604,MATCH(F221,Jobs!$A$5:$A$604,0)),""))</f>
        <v>0</v>
      </c>
      <c r="K221" s="21">
        <f>IF(D221="","",IFERROR(INDEX(Supplies!$P$5:$P$154,MATCH(D221,Supplies!$B$5:$B$154,0)),""))</f>
        <v>0</v>
      </c>
      <c r="L221" s="21">
        <f>IF(D221="","",ROUND(IF(E221="",0,E221)*IFERROR(K221*1,0),2))</f>
        <v>0</v>
      </c>
      <c r="M221" s="39">
        <f>IF(D221="","",IF(E221="","Add - how much?",IF(K221="","Check - item not in Supplies",IF(F221="","Not on a job","OK"))))</f>
        <v>0</v>
      </c>
    </row>
    <row r="222" spans="1:13">
      <c r="A222" s="43">
        <f>IF(D222="","","SU-"&amp;TEXT(ROW()-4,"0000"))</f>
        <v>0</v>
      </c>
      <c r="C222" s="23">
        <f>IF(B222="","",TEXT(B222,"yyyy-mm"))</f>
        <v>0</v>
      </c>
      <c r="J222" s="23">
        <f>IF(F222="","",IFERROR(INDEX(Jobs!$H$5:$H$604,MATCH(F222,Jobs!$A$5:$A$604,0)),""))</f>
        <v>0</v>
      </c>
      <c r="K222" s="21">
        <f>IF(D222="","",IFERROR(INDEX(Supplies!$P$5:$P$154,MATCH(D222,Supplies!$B$5:$B$154,0)),""))</f>
        <v>0</v>
      </c>
      <c r="L222" s="21">
        <f>IF(D222="","",ROUND(IF(E222="",0,E222)*IFERROR(K222*1,0),2))</f>
        <v>0</v>
      </c>
      <c r="M222" s="39">
        <f>IF(D222="","",IF(E222="","Add - how much?",IF(K222="","Check - item not in Supplies",IF(F222="","Not on a job","OK"))))</f>
        <v>0</v>
      </c>
    </row>
    <row r="223" spans="1:13">
      <c r="A223" s="43">
        <f>IF(D223="","","SU-"&amp;TEXT(ROW()-4,"0000"))</f>
        <v>0</v>
      </c>
      <c r="C223" s="23">
        <f>IF(B223="","",TEXT(B223,"yyyy-mm"))</f>
        <v>0</v>
      </c>
      <c r="J223" s="23">
        <f>IF(F223="","",IFERROR(INDEX(Jobs!$H$5:$H$604,MATCH(F223,Jobs!$A$5:$A$604,0)),""))</f>
        <v>0</v>
      </c>
      <c r="K223" s="21">
        <f>IF(D223="","",IFERROR(INDEX(Supplies!$P$5:$P$154,MATCH(D223,Supplies!$B$5:$B$154,0)),""))</f>
        <v>0</v>
      </c>
      <c r="L223" s="21">
        <f>IF(D223="","",ROUND(IF(E223="",0,E223)*IFERROR(K223*1,0),2))</f>
        <v>0</v>
      </c>
      <c r="M223" s="39">
        <f>IF(D223="","",IF(E223="","Add - how much?",IF(K223="","Check - item not in Supplies",IF(F223="","Not on a job","OK"))))</f>
        <v>0</v>
      </c>
    </row>
    <row r="224" spans="1:13">
      <c r="A224" s="43">
        <f>IF(D224="","","SU-"&amp;TEXT(ROW()-4,"0000"))</f>
        <v>0</v>
      </c>
      <c r="C224" s="23">
        <f>IF(B224="","",TEXT(B224,"yyyy-mm"))</f>
        <v>0</v>
      </c>
      <c r="J224" s="23">
        <f>IF(F224="","",IFERROR(INDEX(Jobs!$H$5:$H$604,MATCH(F224,Jobs!$A$5:$A$604,0)),""))</f>
        <v>0</v>
      </c>
      <c r="K224" s="21">
        <f>IF(D224="","",IFERROR(INDEX(Supplies!$P$5:$P$154,MATCH(D224,Supplies!$B$5:$B$154,0)),""))</f>
        <v>0</v>
      </c>
      <c r="L224" s="21">
        <f>IF(D224="","",ROUND(IF(E224="",0,E224)*IFERROR(K224*1,0),2))</f>
        <v>0</v>
      </c>
      <c r="M224" s="39">
        <f>IF(D224="","",IF(E224="","Add - how much?",IF(K224="","Check - item not in Supplies",IF(F224="","Not on a job","OK"))))</f>
        <v>0</v>
      </c>
    </row>
    <row r="225" spans="1:13">
      <c r="A225" s="43">
        <f>IF(D225="","","SU-"&amp;TEXT(ROW()-4,"0000"))</f>
        <v>0</v>
      </c>
      <c r="C225" s="23">
        <f>IF(B225="","",TEXT(B225,"yyyy-mm"))</f>
        <v>0</v>
      </c>
      <c r="J225" s="23">
        <f>IF(F225="","",IFERROR(INDEX(Jobs!$H$5:$H$604,MATCH(F225,Jobs!$A$5:$A$604,0)),""))</f>
        <v>0</v>
      </c>
      <c r="K225" s="21">
        <f>IF(D225="","",IFERROR(INDEX(Supplies!$P$5:$P$154,MATCH(D225,Supplies!$B$5:$B$154,0)),""))</f>
        <v>0</v>
      </c>
      <c r="L225" s="21">
        <f>IF(D225="","",ROUND(IF(E225="",0,E225)*IFERROR(K225*1,0),2))</f>
        <v>0</v>
      </c>
      <c r="M225" s="39">
        <f>IF(D225="","",IF(E225="","Add - how much?",IF(K225="","Check - item not in Supplies",IF(F225="","Not on a job","OK"))))</f>
        <v>0</v>
      </c>
    </row>
    <row r="226" spans="1:13">
      <c r="A226" s="43">
        <f>IF(D226="","","SU-"&amp;TEXT(ROW()-4,"0000"))</f>
        <v>0</v>
      </c>
      <c r="C226" s="23">
        <f>IF(B226="","",TEXT(B226,"yyyy-mm"))</f>
        <v>0</v>
      </c>
      <c r="J226" s="23">
        <f>IF(F226="","",IFERROR(INDEX(Jobs!$H$5:$H$604,MATCH(F226,Jobs!$A$5:$A$604,0)),""))</f>
        <v>0</v>
      </c>
      <c r="K226" s="21">
        <f>IF(D226="","",IFERROR(INDEX(Supplies!$P$5:$P$154,MATCH(D226,Supplies!$B$5:$B$154,0)),""))</f>
        <v>0</v>
      </c>
      <c r="L226" s="21">
        <f>IF(D226="","",ROUND(IF(E226="",0,E226)*IFERROR(K226*1,0),2))</f>
        <v>0</v>
      </c>
      <c r="M226" s="39">
        <f>IF(D226="","",IF(E226="","Add - how much?",IF(K226="","Check - item not in Supplies",IF(F226="","Not on a job","OK"))))</f>
        <v>0</v>
      </c>
    </row>
    <row r="227" spans="1:13">
      <c r="A227" s="43">
        <f>IF(D227="","","SU-"&amp;TEXT(ROW()-4,"0000"))</f>
        <v>0</v>
      </c>
      <c r="C227" s="23">
        <f>IF(B227="","",TEXT(B227,"yyyy-mm"))</f>
        <v>0</v>
      </c>
      <c r="J227" s="23">
        <f>IF(F227="","",IFERROR(INDEX(Jobs!$H$5:$H$604,MATCH(F227,Jobs!$A$5:$A$604,0)),""))</f>
        <v>0</v>
      </c>
      <c r="K227" s="21">
        <f>IF(D227="","",IFERROR(INDEX(Supplies!$P$5:$P$154,MATCH(D227,Supplies!$B$5:$B$154,0)),""))</f>
        <v>0</v>
      </c>
      <c r="L227" s="21">
        <f>IF(D227="","",ROUND(IF(E227="",0,E227)*IFERROR(K227*1,0),2))</f>
        <v>0</v>
      </c>
      <c r="M227" s="39">
        <f>IF(D227="","",IF(E227="","Add - how much?",IF(K227="","Check - item not in Supplies",IF(F227="","Not on a job","OK"))))</f>
        <v>0</v>
      </c>
    </row>
    <row r="228" spans="1:13">
      <c r="A228" s="43">
        <f>IF(D228="","","SU-"&amp;TEXT(ROW()-4,"0000"))</f>
        <v>0</v>
      </c>
      <c r="C228" s="23">
        <f>IF(B228="","",TEXT(B228,"yyyy-mm"))</f>
        <v>0</v>
      </c>
      <c r="J228" s="23">
        <f>IF(F228="","",IFERROR(INDEX(Jobs!$H$5:$H$604,MATCH(F228,Jobs!$A$5:$A$604,0)),""))</f>
        <v>0</v>
      </c>
      <c r="K228" s="21">
        <f>IF(D228="","",IFERROR(INDEX(Supplies!$P$5:$P$154,MATCH(D228,Supplies!$B$5:$B$154,0)),""))</f>
        <v>0</v>
      </c>
      <c r="L228" s="21">
        <f>IF(D228="","",ROUND(IF(E228="",0,E228)*IFERROR(K228*1,0),2))</f>
        <v>0</v>
      </c>
      <c r="M228" s="39">
        <f>IF(D228="","",IF(E228="","Add - how much?",IF(K228="","Check - item not in Supplies",IF(F228="","Not on a job","OK"))))</f>
        <v>0</v>
      </c>
    </row>
    <row r="229" spans="1:13">
      <c r="A229" s="43">
        <f>IF(D229="","","SU-"&amp;TEXT(ROW()-4,"0000"))</f>
        <v>0</v>
      </c>
      <c r="C229" s="23">
        <f>IF(B229="","",TEXT(B229,"yyyy-mm"))</f>
        <v>0</v>
      </c>
      <c r="J229" s="23">
        <f>IF(F229="","",IFERROR(INDEX(Jobs!$H$5:$H$604,MATCH(F229,Jobs!$A$5:$A$604,0)),""))</f>
        <v>0</v>
      </c>
      <c r="K229" s="21">
        <f>IF(D229="","",IFERROR(INDEX(Supplies!$P$5:$P$154,MATCH(D229,Supplies!$B$5:$B$154,0)),""))</f>
        <v>0</v>
      </c>
      <c r="L229" s="21">
        <f>IF(D229="","",ROUND(IF(E229="",0,E229)*IFERROR(K229*1,0),2))</f>
        <v>0</v>
      </c>
      <c r="M229" s="39">
        <f>IF(D229="","",IF(E229="","Add - how much?",IF(K229="","Check - item not in Supplies",IF(F229="","Not on a job","OK"))))</f>
        <v>0</v>
      </c>
    </row>
    <row r="230" spans="1:13">
      <c r="A230" s="43">
        <f>IF(D230="","","SU-"&amp;TEXT(ROW()-4,"0000"))</f>
        <v>0</v>
      </c>
      <c r="C230" s="23">
        <f>IF(B230="","",TEXT(B230,"yyyy-mm"))</f>
        <v>0</v>
      </c>
      <c r="J230" s="23">
        <f>IF(F230="","",IFERROR(INDEX(Jobs!$H$5:$H$604,MATCH(F230,Jobs!$A$5:$A$604,0)),""))</f>
        <v>0</v>
      </c>
      <c r="K230" s="21">
        <f>IF(D230="","",IFERROR(INDEX(Supplies!$P$5:$P$154,MATCH(D230,Supplies!$B$5:$B$154,0)),""))</f>
        <v>0</v>
      </c>
      <c r="L230" s="21">
        <f>IF(D230="","",ROUND(IF(E230="",0,E230)*IFERROR(K230*1,0),2))</f>
        <v>0</v>
      </c>
      <c r="M230" s="39">
        <f>IF(D230="","",IF(E230="","Add - how much?",IF(K230="","Check - item not in Supplies",IF(F230="","Not on a job","OK"))))</f>
        <v>0</v>
      </c>
    </row>
    <row r="231" spans="1:13">
      <c r="A231" s="43">
        <f>IF(D231="","","SU-"&amp;TEXT(ROW()-4,"0000"))</f>
        <v>0</v>
      </c>
      <c r="C231" s="23">
        <f>IF(B231="","",TEXT(B231,"yyyy-mm"))</f>
        <v>0</v>
      </c>
      <c r="J231" s="23">
        <f>IF(F231="","",IFERROR(INDEX(Jobs!$H$5:$H$604,MATCH(F231,Jobs!$A$5:$A$604,0)),""))</f>
        <v>0</v>
      </c>
      <c r="K231" s="21">
        <f>IF(D231="","",IFERROR(INDEX(Supplies!$P$5:$P$154,MATCH(D231,Supplies!$B$5:$B$154,0)),""))</f>
        <v>0</v>
      </c>
      <c r="L231" s="21">
        <f>IF(D231="","",ROUND(IF(E231="",0,E231)*IFERROR(K231*1,0),2))</f>
        <v>0</v>
      </c>
      <c r="M231" s="39">
        <f>IF(D231="","",IF(E231="","Add - how much?",IF(K231="","Check - item not in Supplies",IF(F231="","Not on a job","OK"))))</f>
        <v>0</v>
      </c>
    </row>
    <row r="232" spans="1:13">
      <c r="A232" s="43">
        <f>IF(D232="","","SU-"&amp;TEXT(ROW()-4,"0000"))</f>
        <v>0</v>
      </c>
      <c r="C232" s="23">
        <f>IF(B232="","",TEXT(B232,"yyyy-mm"))</f>
        <v>0</v>
      </c>
      <c r="J232" s="23">
        <f>IF(F232="","",IFERROR(INDEX(Jobs!$H$5:$H$604,MATCH(F232,Jobs!$A$5:$A$604,0)),""))</f>
        <v>0</v>
      </c>
      <c r="K232" s="21">
        <f>IF(D232="","",IFERROR(INDEX(Supplies!$P$5:$P$154,MATCH(D232,Supplies!$B$5:$B$154,0)),""))</f>
        <v>0</v>
      </c>
      <c r="L232" s="21">
        <f>IF(D232="","",ROUND(IF(E232="",0,E232)*IFERROR(K232*1,0),2))</f>
        <v>0</v>
      </c>
      <c r="M232" s="39">
        <f>IF(D232="","",IF(E232="","Add - how much?",IF(K232="","Check - item not in Supplies",IF(F232="","Not on a job","OK"))))</f>
        <v>0</v>
      </c>
    </row>
    <row r="233" spans="1:13">
      <c r="A233" s="43">
        <f>IF(D233="","","SU-"&amp;TEXT(ROW()-4,"0000"))</f>
        <v>0</v>
      </c>
      <c r="C233" s="23">
        <f>IF(B233="","",TEXT(B233,"yyyy-mm"))</f>
        <v>0</v>
      </c>
      <c r="J233" s="23">
        <f>IF(F233="","",IFERROR(INDEX(Jobs!$H$5:$H$604,MATCH(F233,Jobs!$A$5:$A$604,0)),""))</f>
        <v>0</v>
      </c>
      <c r="K233" s="21">
        <f>IF(D233="","",IFERROR(INDEX(Supplies!$P$5:$P$154,MATCH(D233,Supplies!$B$5:$B$154,0)),""))</f>
        <v>0</v>
      </c>
      <c r="L233" s="21">
        <f>IF(D233="","",ROUND(IF(E233="",0,E233)*IFERROR(K233*1,0),2))</f>
        <v>0</v>
      </c>
      <c r="M233" s="39">
        <f>IF(D233="","",IF(E233="","Add - how much?",IF(K233="","Check - item not in Supplies",IF(F233="","Not on a job","OK"))))</f>
        <v>0</v>
      </c>
    </row>
    <row r="234" spans="1:13">
      <c r="A234" s="43">
        <f>IF(D234="","","SU-"&amp;TEXT(ROW()-4,"0000"))</f>
        <v>0</v>
      </c>
      <c r="C234" s="23">
        <f>IF(B234="","",TEXT(B234,"yyyy-mm"))</f>
        <v>0</v>
      </c>
      <c r="J234" s="23">
        <f>IF(F234="","",IFERROR(INDEX(Jobs!$H$5:$H$604,MATCH(F234,Jobs!$A$5:$A$604,0)),""))</f>
        <v>0</v>
      </c>
      <c r="K234" s="21">
        <f>IF(D234="","",IFERROR(INDEX(Supplies!$P$5:$P$154,MATCH(D234,Supplies!$B$5:$B$154,0)),""))</f>
        <v>0</v>
      </c>
      <c r="L234" s="21">
        <f>IF(D234="","",ROUND(IF(E234="",0,E234)*IFERROR(K234*1,0),2))</f>
        <v>0</v>
      </c>
      <c r="M234" s="39">
        <f>IF(D234="","",IF(E234="","Add - how much?",IF(K234="","Check - item not in Supplies",IF(F234="","Not on a job","OK"))))</f>
        <v>0</v>
      </c>
    </row>
    <row r="235" spans="1:13">
      <c r="A235" s="43">
        <f>IF(D235="","","SU-"&amp;TEXT(ROW()-4,"0000"))</f>
        <v>0</v>
      </c>
      <c r="C235" s="23">
        <f>IF(B235="","",TEXT(B235,"yyyy-mm"))</f>
        <v>0</v>
      </c>
      <c r="J235" s="23">
        <f>IF(F235="","",IFERROR(INDEX(Jobs!$H$5:$H$604,MATCH(F235,Jobs!$A$5:$A$604,0)),""))</f>
        <v>0</v>
      </c>
      <c r="K235" s="21">
        <f>IF(D235="","",IFERROR(INDEX(Supplies!$P$5:$P$154,MATCH(D235,Supplies!$B$5:$B$154,0)),""))</f>
        <v>0</v>
      </c>
      <c r="L235" s="21">
        <f>IF(D235="","",ROUND(IF(E235="",0,E235)*IFERROR(K235*1,0),2))</f>
        <v>0</v>
      </c>
      <c r="M235" s="39">
        <f>IF(D235="","",IF(E235="","Add - how much?",IF(K235="","Check - item not in Supplies",IF(F235="","Not on a job","OK"))))</f>
        <v>0</v>
      </c>
    </row>
    <row r="236" spans="1:13">
      <c r="A236" s="43">
        <f>IF(D236="","","SU-"&amp;TEXT(ROW()-4,"0000"))</f>
        <v>0</v>
      </c>
      <c r="C236" s="23">
        <f>IF(B236="","",TEXT(B236,"yyyy-mm"))</f>
        <v>0</v>
      </c>
      <c r="J236" s="23">
        <f>IF(F236="","",IFERROR(INDEX(Jobs!$H$5:$H$604,MATCH(F236,Jobs!$A$5:$A$604,0)),""))</f>
        <v>0</v>
      </c>
      <c r="K236" s="21">
        <f>IF(D236="","",IFERROR(INDEX(Supplies!$P$5:$P$154,MATCH(D236,Supplies!$B$5:$B$154,0)),""))</f>
        <v>0</v>
      </c>
      <c r="L236" s="21">
        <f>IF(D236="","",ROUND(IF(E236="",0,E236)*IFERROR(K236*1,0),2))</f>
        <v>0</v>
      </c>
      <c r="M236" s="39">
        <f>IF(D236="","",IF(E236="","Add - how much?",IF(K236="","Check - item not in Supplies",IF(F236="","Not on a job","OK"))))</f>
        <v>0</v>
      </c>
    </row>
    <row r="237" spans="1:13">
      <c r="A237" s="43">
        <f>IF(D237="","","SU-"&amp;TEXT(ROW()-4,"0000"))</f>
        <v>0</v>
      </c>
      <c r="C237" s="23">
        <f>IF(B237="","",TEXT(B237,"yyyy-mm"))</f>
        <v>0</v>
      </c>
      <c r="J237" s="23">
        <f>IF(F237="","",IFERROR(INDEX(Jobs!$H$5:$H$604,MATCH(F237,Jobs!$A$5:$A$604,0)),""))</f>
        <v>0</v>
      </c>
      <c r="K237" s="21">
        <f>IF(D237="","",IFERROR(INDEX(Supplies!$P$5:$P$154,MATCH(D237,Supplies!$B$5:$B$154,0)),""))</f>
        <v>0</v>
      </c>
      <c r="L237" s="21">
        <f>IF(D237="","",ROUND(IF(E237="",0,E237)*IFERROR(K237*1,0),2))</f>
        <v>0</v>
      </c>
      <c r="M237" s="39">
        <f>IF(D237="","",IF(E237="","Add - how much?",IF(K237="","Check - item not in Supplies",IF(F237="","Not on a job","OK"))))</f>
        <v>0</v>
      </c>
    </row>
    <row r="238" spans="1:13">
      <c r="A238" s="43">
        <f>IF(D238="","","SU-"&amp;TEXT(ROW()-4,"0000"))</f>
        <v>0</v>
      </c>
      <c r="C238" s="23">
        <f>IF(B238="","",TEXT(B238,"yyyy-mm"))</f>
        <v>0</v>
      </c>
      <c r="J238" s="23">
        <f>IF(F238="","",IFERROR(INDEX(Jobs!$H$5:$H$604,MATCH(F238,Jobs!$A$5:$A$604,0)),""))</f>
        <v>0</v>
      </c>
      <c r="K238" s="21">
        <f>IF(D238="","",IFERROR(INDEX(Supplies!$P$5:$P$154,MATCH(D238,Supplies!$B$5:$B$154,0)),""))</f>
        <v>0</v>
      </c>
      <c r="L238" s="21">
        <f>IF(D238="","",ROUND(IF(E238="",0,E238)*IFERROR(K238*1,0),2))</f>
        <v>0</v>
      </c>
      <c r="M238" s="39">
        <f>IF(D238="","",IF(E238="","Add - how much?",IF(K238="","Check - item not in Supplies",IF(F238="","Not on a job","OK"))))</f>
        <v>0</v>
      </c>
    </row>
    <row r="239" spans="1:13">
      <c r="A239" s="43">
        <f>IF(D239="","","SU-"&amp;TEXT(ROW()-4,"0000"))</f>
        <v>0</v>
      </c>
      <c r="C239" s="23">
        <f>IF(B239="","",TEXT(B239,"yyyy-mm"))</f>
        <v>0</v>
      </c>
      <c r="J239" s="23">
        <f>IF(F239="","",IFERROR(INDEX(Jobs!$H$5:$H$604,MATCH(F239,Jobs!$A$5:$A$604,0)),""))</f>
        <v>0</v>
      </c>
      <c r="K239" s="21">
        <f>IF(D239="","",IFERROR(INDEX(Supplies!$P$5:$P$154,MATCH(D239,Supplies!$B$5:$B$154,0)),""))</f>
        <v>0</v>
      </c>
      <c r="L239" s="21">
        <f>IF(D239="","",ROUND(IF(E239="",0,E239)*IFERROR(K239*1,0),2))</f>
        <v>0</v>
      </c>
      <c r="M239" s="39">
        <f>IF(D239="","",IF(E239="","Add - how much?",IF(K239="","Check - item not in Supplies",IF(F239="","Not on a job","OK"))))</f>
        <v>0</v>
      </c>
    </row>
    <row r="240" spans="1:13">
      <c r="A240" s="43">
        <f>IF(D240="","","SU-"&amp;TEXT(ROW()-4,"0000"))</f>
        <v>0</v>
      </c>
      <c r="C240" s="23">
        <f>IF(B240="","",TEXT(B240,"yyyy-mm"))</f>
        <v>0</v>
      </c>
      <c r="J240" s="23">
        <f>IF(F240="","",IFERROR(INDEX(Jobs!$H$5:$H$604,MATCH(F240,Jobs!$A$5:$A$604,0)),""))</f>
        <v>0</v>
      </c>
      <c r="K240" s="21">
        <f>IF(D240="","",IFERROR(INDEX(Supplies!$P$5:$P$154,MATCH(D240,Supplies!$B$5:$B$154,0)),""))</f>
        <v>0</v>
      </c>
      <c r="L240" s="21">
        <f>IF(D240="","",ROUND(IF(E240="",0,E240)*IFERROR(K240*1,0),2))</f>
        <v>0</v>
      </c>
      <c r="M240" s="39">
        <f>IF(D240="","",IF(E240="","Add - how much?",IF(K240="","Check - item not in Supplies",IF(F240="","Not on a job","OK"))))</f>
        <v>0</v>
      </c>
    </row>
    <row r="241" spans="1:13">
      <c r="A241" s="43">
        <f>IF(D241="","","SU-"&amp;TEXT(ROW()-4,"0000"))</f>
        <v>0</v>
      </c>
      <c r="C241" s="23">
        <f>IF(B241="","",TEXT(B241,"yyyy-mm"))</f>
        <v>0</v>
      </c>
      <c r="J241" s="23">
        <f>IF(F241="","",IFERROR(INDEX(Jobs!$H$5:$H$604,MATCH(F241,Jobs!$A$5:$A$604,0)),""))</f>
        <v>0</v>
      </c>
      <c r="K241" s="21">
        <f>IF(D241="","",IFERROR(INDEX(Supplies!$P$5:$P$154,MATCH(D241,Supplies!$B$5:$B$154,0)),""))</f>
        <v>0</v>
      </c>
      <c r="L241" s="21">
        <f>IF(D241="","",ROUND(IF(E241="",0,E241)*IFERROR(K241*1,0),2))</f>
        <v>0</v>
      </c>
      <c r="M241" s="39">
        <f>IF(D241="","",IF(E241="","Add - how much?",IF(K241="","Check - item not in Supplies",IF(F241="","Not on a job","OK"))))</f>
        <v>0</v>
      </c>
    </row>
    <row r="242" spans="1:13">
      <c r="A242" s="43">
        <f>IF(D242="","","SU-"&amp;TEXT(ROW()-4,"0000"))</f>
        <v>0</v>
      </c>
      <c r="C242" s="23">
        <f>IF(B242="","",TEXT(B242,"yyyy-mm"))</f>
        <v>0</v>
      </c>
      <c r="J242" s="23">
        <f>IF(F242="","",IFERROR(INDEX(Jobs!$H$5:$H$604,MATCH(F242,Jobs!$A$5:$A$604,0)),""))</f>
        <v>0</v>
      </c>
      <c r="K242" s="21">
        <f>IF(D242="","",IFERROR(INDEX(Supplies!$P$5:$P$154,MATCH(D242,Supplies!$B$5:$B$154,0)),""))</f>
        <v>0</v>
      </c>
      <c r="L242" s="21">
        <f>IF(D242="","",ROUND(IF(E242="",0,E242)*IFERROR(K242*1,0),2))</f>
        <v>0</v>
      </c>
      <c r="M242" s="39">
        <f>IF(D242="","",IF(E242="","Add - how much?",IF(K242="","Check - item not in Supplies",IF(F242="","Not on a job","OK"))))</f>
        <v>0</v>
      </c>
    </row>
    <row r="243" spans="1:13">
      <c r="A243" s="43">
        <f>IF(D243="","","SU-"&amp;TEXT(ROW()-4,"0000"))</f>
        <v>0</v>
      </c>
      <c r="C243" s="23">
        <f>IF(B243="","",TEXT(B243,"yyyy-mm"))</f>
        <v>0</v>
      </c>
      <c r="J243" s="23">
        <f>IF(F243="","",IFERROR(INDEX(Jobs!$H$5:$H$604,MATCH(F243,Jobs!$A$5:$A$604,0)),""))</f>
        <v>0</v>
      </c>
      <c r="K243" s="21">
        <f>IF(D243="","",IFERROR(INDEX(Supplies!$P$5:$P$154,MATCH(D243,Supplies!$B$5:$B$154,0)),""))</f>
        <v>0</v>
      </c>
      <c r="L243" s="21">
        <f>IF(D243="","",ROUND(IF(E243="",0,E243)*IFERROR(K243*1,0),2))</f>
        <v>0</v>
      </c>
      <c r="M243" s="39">
        <f>IF(D243="","",IF(E243="","Add - how much?",IF(K243="","Check - item not in Supplies",IF(F243="","Not on a job","OK"))))</f>
        <v>0</v>
      </c>
    </row>
    <row r="244" spans="1:13">
      <c r="A244" s="43">
        <f>IF(D244="","","SU-"&amp;TEXT(ROW()-4,"0000"))</f>
        <v>0</v>
      </c>
      <c r="C244" s="23">
        <f>IF(B244="","",TEXT(B244,"yyyy-mm"))</f>
        <v>0</v>
      </c>
      <c r="J244" s="23">
        <f>IF(F244="","",IFERROR(INDEX(Jobs!$H$5:$H$604,MATCH(F244,Jobs!$A$5:$A$604,0)),""))</f>
        <v>0</v>
      </c>
      <c r="K244" s="21">
        <f>IF(D244="","",IFERROR(INDEX(Supplies!$P$5:$P$154,MATCH(D244,Supplies!$B$5:$B$154,0)),""))</f>
        <v>0</v>
      </c>
      <c r="L244" s="21">
        <f>IF(D244="","",ROUND(IF(E244="",0,E244)*IFERROR(K244*1,0),2))</f>
        <v>0</v>
      </c>
      <c r="M244" s="39">
        <f>IF(D244="","",IF(E244="","Add - how much?",IF(K244="","Check - item not in Supplies",IF(F244="","Not on a job","OK"))))</f>
        <v>0</v>
      </c>
    </row>
    <row r="245" spans="1:13">
      <c r="A245" s="43">
        <f>IF(D245="","","SU-"&amp;TEXT(ROW()-4,"0000"))</f>
        <v>0</v>
      </c>
      <c r="C245" s="23">
        <f>IF(B245="","",TEXT(B245,"yyyy-mm"))</f>
        <v>0</v>
      </c>
      <c r="J245" s="23">
        <f>IF(F245="","",IFERROR(INDEX(Jobs!$H$5:$H$604,MATCH(F245,Jobs!$A$5:$A$604,0)),""))</f>
        <v>0</v>
      </c>
      <c r="K245" s="21">
        <f>IF(D245="","",IFERROR(INDEX(Supplies!$P$5:$P$154,MATCH(D245,Supplies!$B$5:$B$154,0)),""))</f>
        <v>0</v>
      </c>
      <c r="L245" s="21">
        <f>IF(D245="","",ROUND(IF(E245="",0,E245)*IFERROR(K245*1,0),2))</f>
        <v>0</v>
      </c>
      <c r="M245" s="39">
        <f>IF(D245="","",IF(E245="","Add - how much?",IF(K245="","Check - item not in Supplies",IF(F245="","Not on a job","OK"))))</f>
        <v>0</v>
      </c>
    </row>
    <row r="246" spans="1:13">
      <c r="A246" s="43">
        <f>IF(D246="","","SU-"&amp;TEXT(ROW()-4,"0000"))</f>
        <v>0</v>
      </c>
      <c r="C246" s="23">
        <f>IF(B246="","",TEXT(B246,"yyyy-mm"))</f>
        <v>0</v>
      </c>
      <c r="J246" s="23">
        <f>IF(F246="","",IFERROR(INDEX(Jobs!$H$5:$H$604,MATCH(F246,Jobs!$A$5:$A$604,0)),""))</f>
        <v>0</v>
      </c>
      <c r="K246" s="21">
        <f>IF(D246="","",IFERROR(INDEX(Supplies!$P$5:$P$154,MATCH(D246,Supplies!$B$5:$B$154,0)),""))</f>
        <v>0</v>
      </c>
      <c r="L246" s="21">
        <f>IF(D246="","",ROUND(IF(E246="",0,E246)*IFERROR(K246*1,0),2))</f>
        <v>0</v>
      </c>
      <c r="M246" s="39">
        <f>IF(D246="","",IF(E246="","Add - how much?",IF(K246="","Check - item not in Supplies",IF(F246="","Not on a job","OK"))))</f>
        <v>0</v>
      </c>
    </row>
    <row r="247" spans="1:13">
      <c r="A247" s="43">
        <f>IF(D247="","","SU-"&amp;TEXT(ROW()-4,"0000"))</f>
        <v>0</v>
      </c>
      <c r="C247" s="23">
        <f>IF(B247="","",TEXT(B247,"yyyy-mm"))</f>
        <v>0</v>
      </c>
      <c r="J247" s="23">
        <f>IF(F247="","",IFERROR(INDEX(Jobs!$H$5:$H$604,MATCH(F247,Jobs!$A$5:$A$604,0)),""))</f>
        <v>0</v>
      </c>
      <c r="K247" s="21">
        <f>IF(D247="","",IFERROR(INDEX(Supplies!$P$5:$P$154,MATCH(D247,Supplies!$B$5:$B$154,0)),""))</f>
        <v>0</v>
      </c>
      <c r="L247" s="21">
        <f>IF(D247="","",ROUND(IF(E247="",0,E247)*IFERROR(K247*1,0),2))</f>
        <v>0</v>
      </c>
      <c r="M247" s="39">
        <f>IF(D247="","",IF(E247="","Add - how much?",IF(K247="","Check - item not in Supplies",IF(F247="","Not on a job","OK"))))</f>
        <v>0</v>
      </c>
    </row>
    <row r="248" spans="1:13">
      <c r="A248" s="43">
        <f>IF(D248="","","SU-"&amp;TEXT(ROW()-4,"0000"))</f>
        <v>0</v>
      </c>
      <c r="C248" s="23">
        <f>IF(B248="","",TEXT(B248,"yyyy-mm"))</f>
        <v>0</v>
      </c>
      <c r="J248" s="23">
        <f>IF(F248="","",IFERROR(INDEX(Jobs!$H$5:$H$604,MATCH(F248,Jobs!$A$5:$A$604,0)),""))</f>
        <v>0</v>
      </c>
      <c r="K248" s="21">
        <f>IF(D248="","",IFERROR(INDEX(Supplies!$P$5:$P$154,MATCH(D248,Supplies!$B$5:$B$154,0)),""))</f>
        <v>0</v>
      </c>
      <c r="L248" s="21">
        <f>IF(D248="","",ROUND(IF(E248="",0,E248)*IFERROR(K248*1,0),2))</f>
        <v>0</v>
      </c>
      <c r="M248" s="39">
        <f>IF(D248="","",IF(E248="","Add - how much?",IF(K248="","Check - item not in Supplies",IF(F248="","Not on a job","OK"))))</f>
        <v>0</v>
      </c>
    </row>
    <row r="249" spans="1:13">
      <c r="A249" s="43">
        <f>IF(D249="","","SU-"&amp;TEXT(ROW()-4,"0000"))</f>
        <v>0</v>
      </c>
      <c r="C249" s="23">
        <f>IF(B249="","",TEXT(B249,"yyyy-mm"))</f>
        <v>0</v>
      </c>
      <c r="J249" s="23">
        <f>IF(F249="","",IFERROR(INDEX(Jobs!$H$5:$H$604,MATCH(F249,Jobs!$A$5:$A$604,0)),""))</f>
        <v>0</v>
      </c>
      <c r="K249" s="21">
        <f>IF(D249="","",IFERROR(INDEX(Supplies!$P$5:$P$154,MATCH(D249,Supplies!$B$5:$B$154,0)),""))</f>
        <v>0</v>
      </c>
      <c r="L249" s="21">
        <f>IF(D249="","",ROUND(IF(E249="",0,E249)*IFERROR(K249*1,0),2))</f>
        <v>0</v>
      </c>
      <c r="M249" s="39">
        <f>IF(D249="","",IF(E249="","Add - how much?",IF(K249="","Check - item not in Supplies",IF(F249="","Not on a job","OK"))))</f>
        <v>0</v>
      </c>
    </row>
    <row r="250" spans="1:13">
      <c r="A250" s="43">
        <f>IF(D250="","","SU-"&amp;TEXT(ROW()-4,"0000"))</f>
        <v>0</v>
      </c>
      <c r="C250" s="23">
        <f>IF(B250="","",TEXT(B250,"yyyy-mm"))</f>
        <v>0</v>
      </c>
      <c r="J250" s="23">
        <f>IF(F250="","",IFERROR(INDEX(Jobs!$H$5:$H$604,MATCH(F250,Jobs!$A$5:$A$604,0)),""))</f>
        <v>0</v>
      </c>
      <c r="K250" s="21">
        <f>IF(D250="","",IFERROR(INDEX(Supplies!$P$5:$P$154,MATCH(D250,Supplies!$B$5:$B$154,0)),""))</f>
        <v>0</v>
      </c>
      <c r="L250" s="21">
        <f>IF(D250="","",ROUND(IF(E250="",0,E250)*IFERROR(K250*1,0),2))</f>
        <v>0</v>
      </c>
      <c r="M250" s="39">
        <f>IF(D250="","",IF(E250="","Add - how much?",IF(K250="","Check - item not in Supplies",IF(F250="","Not on a job","OK"))))</f>
        <v>0</v>
      </c>
    </row>
    <row r="251" spans="1:13">
      <c r="A251" s="43">
        <f>IF(D251="","","SU-"&amp;TEXT(ROW()-4,"0000"))</f>
        <v>0</v>
      </c>
      <c r="C251" s="23">
        <f>IF(B251="","",TEXT(B251,"yyyy-mm"))</f>
        <v>0</v>
      </c>
      <c r="J251" s="23">
        <f>IF(F251="","",IFERROR(INDEX(Jobs!$H$5:$H$604,MATCH(F251,Jobs!$A$5:$A$604,0)),""))</f>
        <v>0</v>
      </c>
      <c r="K251" s="21">
        <f>IF(D251="","",IFERROR(INDEX(Supplies!$P$5:$P$154,MATCH(D251,Supplies!$B$5:$B$154,0)),""))</f>
        <v>0</v>
      </c>
      <c r="L251" s="21">
        <f>IF(D251="","",ROUND(IF(E251="",0,E251)*IFERROR(K251*1,0),2))</f>
        <v>0</v>
      </c>
      <c r="M251" s="39">
        <f>IF(D251="","",IF(E251="","Add - how much?",IF(K251="","Check - item not in Supplies",IF(F251="","Not on a job","OK"))))</f>
        <v>0</v>
      </c>
    </row>
    <row r="252" spans="1:13">
      <c r="A252" s="43">
        <f>IF(D252="","","SU-"&amp;TEXT(ROW()-4,"0000"))</f>
        <v>0</v>
      </c>
      <c r="C252" s="23">
        <f>IF(B252="","",TEXT(B252,"yyyy-mm"))</f>
        <v>0</v>
      </c>
      <c r="J252" s="23">
        <f>IF(F252="","",IFERROR(INDEX(Jobs!$H$5:$H$604,MATCH(F252,Jobs!$A$5:$A$604,0)),""))</f>
        <v>0</v>
      </c>
      <c r="K252" s="21">
        <f>IF(D252="","",IFERROR(INDEX(Supplies!$P$5:$P$154,MATCH(D252,Supplies!$B$5:$B$154,0)),""))</f>
        <v>0</v>
      </c>
      <c r="L252" s="21">
        <f>IF(D252="","",ROUND(IF(E252="",0,E252)*IFERROR(K252*1,0),2))</f>
        <v>0</v>
      </c>
      <c r="M252" s="39">
        <f>IF(D252="","",IF(E252="","Add - how much?",IF(K252="","Check - item not in Supplies",IF(F252="","Not on a job","OK"))))</f>
        <v>0</v>
      </c>
    </row>
    <row r="253" spans="1:13">
      <c r="A253" s="43">
        <f>IF(D253="","","SU-"&amp;TEXT(ROW()-4,"0000"))</f>
        <v>0</v>
      </c>
      <c r="C253" s="23">
        <f>IF(B253="","",TEXT(B253,"yyyy-mm"))</f>
        <v>0</v>
      </c>
      <c r="J253" s="23">
        <f>IF(F253="","",IFERROR(INDEX(Jobs!$H$5:$H$604,MATCH(F253,Jobs!$A$5:$A$604,0)),""))</f>
        <v>0</v>
      </c>
      <c r="K253" s="21">
        <f>IF(D253="","",IFERROR(INDEX(Supplies!$P$5:$P$154,MATCH(D253,Supplies!$B$5:$B$154,0)),""))</f>
        <v>0</v>
      </c>
      <c r="L253" s="21">
        <f>IF(D253="","",ROUND(IF(E253="",0,E253)*IFERROR(K253*1,0),2))</f>
        <v>0</v>
      </c>
      <c r="M253" s="39">
        <f>IF(D253="","",IF(E253="","Add - how much?",IF(K253="","Check - item not in Supplies",IF(F253="","Not on a job","OK"))))</f>
        <v>0</v>
      </c>
    </row>
    <row r="254" spans="1:13">
      <c r="A254" s="43">
        <f>IF(D254="","","SU-"&amp;TEXT(ROW()-4,"0000"))</f>
        <v>0</v>
      </c>
      <c r="C254" s="23">
        <f>IF(B254="","",TEXT(B254,"yyyy-mm"))</f>
        <v>0</v>
      </c>
      <c r="J254" s="23">
        <f>IF(F254="","",IFERROR(INDEX(Jobs!$H$5:$H$604,MATCH(F254,Jobs!$A$5:$A$604,0)),""))</f>
        <v>0</v>
      </c>
      <c r="K254" s="21">
        <f>IF(D254="","",IFERROR(INDEX(Supplies!$P$5:$P$154,MATCH(D254,Supplies!$B$5:$B$154,0)),""))</f>
        <v>0</v>
      </c>
      <c r="L254" s="21">
        <f>IF(D254="","",ROUND(IF(E254="",0,E254)*IFERROR(K254*1,0),2))</f>
        <v>0</v>
      </c>
      <c r="M254" s="39">
        <f>IF(D254="","",IF(E254="","Add - how much?",IF(K254="","Check - item not in Supplies",IF(F254="","Not on a job","OK"))))</f>
        <v>0</v>
      </c>
    </row>
    <row r="255" spans="1:13">
      <c r="A255" s="43">
        <f>IF(D255="","","SU-"&amp;TEXT(ROW()-4,"0000"))</f>
        <v>0</v>
      </c>
      <c r="C255" s="23">
        <f>IF(B255="","",TEXT(B255,"yyyy-mm"))</f>
        <v>0</v>
      </c>
      <c r="J255" s="23">
        <f>IF(F255="","",IFERROR(INDEX(Jobs!$H$5:$H$604,MATCH(F255,Jobs!$A$5:$A$604,0)),""))</f>
        <v>0</v>
      </c>
      <c r="K255" s="21">
        <f>IF(D255="","",IFERROR(INDEX(Supplies!$P$5:$P$154,MATCH(D255,Supplies!$B$5:$B$154,0)),""))</f>
        <v>0</v>
      </c>
      <c r="L255" s="21">
        <f>IF(D255="","",ROUND(IF(E255="",0,E255)*IFERROR(K255*1,0),2))</f>
        <v>0</v>
      </c>
      <c r="M255" s="39">
        <f>IF(D255="","",IF(E255="","Add - how much?",IF(K255="","Check - item not in Supplies",IF(F255="","Not on a job","OK"))))</f>
        <v>0</v>
      </c>
    </row>
    <row r="256" spans="1:13">
      <c r="A256" s="43">
        <f>IF(D256="","","SU-"&amp;TEXT(ROW()-4,"0000"))</f>
        <v>0</v>
      </c>
      <c r="C256" s="23">
        <f>IF(B256="","",TEXT(B256,"yyyy-mm"))</f>
        <v>0</v>
      </c>
      <c r="J256" s="23">
        <f>IF(F256="","",IFERROR(INDEX(Jobs!$H$5:$H$604,MATCH(F256,Jobs!$A$5:$A$604,0)),""))</f>
        <v>0</v>
      </c>
      <c r="K256" s="21">
        <f>IF(D256="","",IFERROR(INDEX(Supplies!$P$5:$P$154,MATCH(D256,Supplies!$B$5:$B$154,0)),""))</f>
        <v>0</v>
      </c>
      <c r="L256" s="21">
        <f>IF(D256="","",ROUND(IF(E256="",0,E256)*IFERROR(K256*1,0),2))</f>
        <v>0</v>
      </c>
      <c r="M256" s="39">
        <f>IF(D256="","",IF(E256="","Add - how much?",IF(K256="","Check - item not in Supplies",IF(F256="","Not on a job","OK"))))</f>
        <v>0</v>
      </c>
    </row>
    <row r="257" spans="1:13">
      <c r="A257" s="43">
        <f>IF(D257="","","SU-"&amp;TEXT(ROW()-4,"0000"))</f>
        <v>0</v>
      </c>
      <c r="C257" s="23">
        <f>IF(B257="","",TEXT(B257,"yyyy-mm"))</f>
        <v>0</v>
      </c>
      <c r="J257" s="23">
        <f>IF(F257="","",IFERROR(INDEX(Jobs!$H$5:$H$604,MATCH(F257,Jobs!$A$5:$A$604,0)),""))</f>
        <v>0</v>
      </c>
      <c r="K257" s="21">
        <f>IF(D257="","",IFERROR(INDEX(Supplies!$P$5:$P$154,MATCH(D257,Supplies!$B$5:$B$154,0)),""))</f>
        <v>0</v>
      </c>
      <c r="L257" s="21">
        <f>IF(D257="","",ROUND(IF(E257="",0,E257)*IFERROR(K257*1,0),2))</f>
        <v>0</v>
      </c>
      <c r="M257" s="39">
        <f>IF(D257="","",IF(E257="","Add - how much?",IF(K257="","Check - item not in Supplies",IF(F257="","Not on a job","OK"))))</f>
        <v>0</v>
      </c>
    </row>
    <row r="258" spans="1:13">
      <c r="A258" s="43">
        <f>IF(D258="","","SU-"&amp;TEXT(ROW()-4,"0000"))</f>
        <v>0</v>
      </c>
      <c r="C258" s="23">
        <f>IF(B258="","",TEXT(B258,"yyyy-mm"))</f>
        <v>0</v>
      </c>
      <c r="J258" s="23">
        <f>IF(F258="","",IFERROR(INDEX(Jobs!$H$5:$H$604,MATCH(F258,Jobs!$A$5:$A$604,0)),""))</f>
        <v>0</v>
      </c>
      <c r="K258" s="21">
        <f>IF(D258="","",IFERROR(INDEX(Supplies!$P$5:$P$154,MATCH(D258,Supplies!$B$5:$B$154,0)),""))</f>
        <v>0</v>
      </c>
      <c r="L258" s="21">
        <f>IF(D258="","",ROUND(IF(E258="",0,E258)*IFERROR(K258*1,0),2))</f>
        <v>0</v>
      </c>
      <c r="M258" s="39">
        <f>IF(D258="","",IF(E258="","Add - how much?",IF(K258="","Check - item not in Supplies",IF(F258="","Not on a job","OK"))))</f>
        <v>0</v>
      </c>
    </row>
    <row r="259" spans="1:13">
      <c r="A259" s="43">
        <f>IF(D259="","","SU-"&amp;TEXT(ROW()-4,"0000"))</f>
        <v>0</v>
      </c>
      <c r="C259" s="23">
        <f>IF(B259="","",TEXT(B259,"yyyy-mm"))</f>
        <v>0</v>
      </c>
      <c r="J259" s="23">
        <f>IF(F259="","",IFERROR(INDEX(Jobs!$H$5:$H$604,MATCH(F259,Jobs!$A$5:$A$604,0)),""))</f>
        <v>0</v>
      </c>
      <c r="K259" s="21">
        <f>IF(D259="","",IFERROR(INDEX(Supplies!$P$5:$P$154,MATCH(D259,Supplies!$B$5:$B$154,0)),""))</f>
        <v>0</v>
      </c>
      <c r="L259" s="21">
        <f>IF(D259="","",ROUND(IF(E259="",0,E259)*IFERROR(K259*1,0),2))</f>
        <v>0</v>
      </c>
      <c r="M259" s="39">
        <f>IF(D259="","",IF(E259="","Add - how much?",IF(K259="","Check - item not in Supplies",IF(F259="","Not on a job","OK"))))</f>
        <v>0</v>
      </c>
    </row>
    <row r="260" spans="1:13">
      <c r="A260" s="43">
        <f>IF(D260="","","SU-"&amp;TEXT(ROW()-4,"0000"))</f>
        <v>0</v>
      </c>
      <c r="C260" s="23">
        <f>IF(B260="","",TEXT(B260,"yyyy-mm"))</f>
        <v>0</v>
      </c>
      <c r="J260" s="23">
        <f>IF(F260="","",IFERROR(INDEX(Jobs!$H$5:$H$604,MATCH(F260,Jobs!$A$5:$A$604,0)),""))</f>
        <v>0</v>
      </c>
      <c r="K260" s="21">
        <f>IF(D260="","",IFERROR(INDEX(Supplies!$P$5:$P$154,MATCH(D260,Supplies!$B$5:$B$154,0)),""))</f>
        <v>0</v>
      </c>
      <c r="L260" s="21">
        <f>IF(D260="","",ROUND(IF(E260="",0,E260)*IFERROR(K260*1,0),2))</f>
        <v>0</v>
      </c>
      <c r="M260" s="39">
        <f>IF(D260="","",IF(E260="","Add - how much?",IF(K260="","Check - item not in Supplies",IF(F260="","Not on a job","OK"))))</f>
        <v>0</v>
      </c>
    </row>
    <row r="261" spans="1:13">
      <c r="A261" s="43">
        <f>IF(D261="","","SU-"&amp;TEXT(ROW()-4,"0000"))</f>
        <v>0</v>
      </c>
      <c r="C261" s="23">
        <f>IF(B261="","",TEXT(B261,"yyyy-mm"))</f>
        <v>0</v>
      </c>
      <c r="J261" s="23">
        <f>IF(F261="","",IFERROR(INDEX(Jobs!$H$5:$H$604,MATCH(F261,Jobs!$A$5:$A$604,0)),""))</f>
        <v>0</v>
      </c>
      <c r="K261" s="21">
        <f>IF(D261="","",IFERROR(INDEX(Supplies!$P$5:$P$154,MATCH(D261,Supplies!$B$5:$B$154,0)),""))</f>
        <v>0</v>
      </c>
      <c r="L261" s="21">
        <f>IF(D261="","",ROUND(IF(E261="",0,E261)*IFERROR(K261*1,0),2))</f>
        <v>0</v>
      </c>
      <c r="M261" s="39">
        <f>IF(D261="","",IF(E261="","Add - how much?",IF(K261="","Check - item not in Supplies",IF(F261="","Not on a job","OK"))))</f>
        <v>0</v>
      </c>
    </row>
    <row r="262" spans="1:13">
      <c r="A262" s="43">
        <f>IF(D262="","","SU-"&amp;TEXT(ROW()-4,"0000"))</f>
        <v>0</v>
      </c>
      <c r="C262" s="23">
        <f>IF(B262="","",TEXT(B262,"yyyy-mm"))</f>
        <v>0</v>
      </c>
      <c r="J262" s="23">
        <f>IF(F262="","",IFERROR(INDEX(Jobs!$H$5:$H$604,MATCH(F262,Jobs!$A$5:$A$604,0)),""))</f>
        <v>0</v>
      </c>
      <c r="K262" s="21">
        <f>IF(D262="","",IFERROR(INDEX(Supplies!$P$5:$P$154,MATCH(D262,Supplies!$B$5:$B$154,0)),""))</f>
        <v>0</v>
      </c>
      <c r="L262" s="21">
        <f>IF(D262="","",ROUND(IF(E262="",0,E262)*IFERROR(K262*1,0),2))</f>
        <v>0</v>
      </c>
      <c r="M262" s="39">
        <f>IF(D262="","",IF(E262="","Add - how much?",IF(K262="","Check - item not in Supplies",IF(F262="","Not on a job","OK"))))</f>
        <v>0</v>
      </c>
    </row>
    <row r="263" spans="1:13">
      <c r="A263" s="43">
        <f>IF(D263="","","SU-"&amp;TEXT(ROW()-4,"0000"))</f>
        <v>0</v>
      </c>
      <c r="C263" s="23">
        <f>IF(B263="","",TEXT(B263,"yyyy-mm"))</f>
        <v>0</v>
      </c>
      <c r="J263" s="23">
        <f>IF(F263="","",IFERROR(INDEX(Jobs!$H$5:$H$604,MATCH(F263,Jobs!$A$5:$A$604,0)),""))</f>
        <v>0</v>
      </c>
      <c r="K263" s="21">
        <f>IF(D263="","",IFERROR(INDEX(Supplies!$P$5:$P$154,MATCH(D263,Supplies!$B$5:$B$154,0)),""))</f>
        <v>0</v>
      </c>
      <c r="L263" s="21">
        <f>IF(D263="","",ROUND(IF(E263="",0,E263)*IFERROR(K263*1,0),2))</f>
        <v>0</v>
      </c>
      <c r="M263" s="39">
        <f>IF(D263="","",IF(E263="","Add - how much?",IF(K263="","Check - item not in Supplies",IF(F263="","Not on a job","OK"))))</f>
        <v>0</v>
      </c>
    </row>
    <row r="264" spans="1:13">
      <c r="A264" s="43">
        <f>IF(D264="","","SU-"&amp;TEXT(ROW()-4,"0000"))</f>
        <v>0</v>
      </c>
      <c r="C264" s="23">
        <f>IF(B264="","",TEXT(B264,"yyyy-mm"))</f>
        <v>0</v>
      </c>
      <c r="J264" s="23">
        <f>IF(F264="","",IFERROR(INDEX(Jobs!$H$5:$H$604,MATCH(F264,Jobs!$A$5:$A$604,0)),""))</f>
        <v>0</v>
      </c>
      <c r="K264" s="21">
        <f>IF(D264="","",IFERROR(INDEX(Supplies!$P$5:$P$154,MATCH(D264,Supplies!$B$5:$B$154,0)),""))</f>
        <v>0</v>
      </c>
      <c r="L264" s="21">
        <f>IF(D264="","",ROUND(IF(E264="",0,E264)*IFERROR(K264*1,0),2))</f>
        <v>0</v>
      </c>
      <c r="M264" s="39">
        <f>IF(D264="","",IF(E264="","Add - how much?",IF(K264="","Check - item not in Supplies",IF(F264="","Not on a job","OK"))))</f>
        <v>0</v>
      </c>
    </row>
    <row r="265" spans="1:13">
      <c r="A265" s="43">
        <f>IF(D265="","","SU-"&amp;TEXT(ROW()-4,"0000"))</f>
        <v>0</v>
      </c>
      <c r="C265" s="23">
        <f>IF(B265="","",TEXT(B265,"yyyy-mm"))</f>
        <v>0</v>
      </c>
      <c r="J265" s="23">
        <f>IF(F265="","",IFERROR(INDEX(Jobs!$H$5:$H$604,MATCH(F265,Jobs!$A$5:$A$604,0)),""))</f>
        <v>0</v>
      </c>
      <c r="K265" s="21">
        <f>IF(D265="","",IFERROR(INDEX(Supplies!$P$5:$P$154,MATCH(D265,Supplies!$B$5:$B$154,0)),""))</f>
        <v>0</v>
      </c>
      <c r="L265" s="21">
        <f>IF(D265="","",ROUND(IF(E265="",0,E265)*IFERROR(K265*1,0),2))</f>
        <v>0</v>
      </c>
      <c r="M265" s="39">
        <f>IF(D265="","",IF(E265="","Add - how much?",IF(K265="","Check - item not in Supplies",IF(F265="","Not on a job","OK"))))</f>
        <v>0</v>
      </c>
    </row>
    <row r="266" spans="1:13">
      <c r="A266" s="43">
        <f>IF(D266="","","SU-"&amp;TEXT(ROW()-4,"0000"))</f>
        <v>0</v>
      </c>
      <c r="C266" s="23">
        <f>IF(B266="","",TEXT(B266,"yyyy-mm"))</f>
        <v>0</v>
      </c>
      <c r="J266" s="23">
        <f>IF(F266="","",IFERROR(INDEX(Jobs!$H$5:$H$604,MATCH(F266,Jobs!$A$5:$A$604,0)),""))</f>
        <v>0</v>
      </c>
      <c r="K266" s="21">
        <f>IF(D266="","",IFERROR(INDEX(Supplies!$P$5:$P$154,MATCH(D266,Supplies!$B$5:$B$154,0)),""))</f>
        <v>0</v>
      </c>
      <c r="L266" s="21">
        <f>IF(D266="","",ROUND(IF(E266="",0,E266)*IFERROR(K266*1,0),2))</f>
        <v>0</v>
      </c>
      <c r="M266" s="39">
        <f>IF(D266="","",IF(E266="","Add - how much?",IF(K266="","Check - item not in Supplies",IF(F266="","Not on a job","OK"))))</f>
        <v>0</v>
      </c>
    </row>
    <row r="267" spans="1:13">
      <c r="A267" s="43">
        <f>IF(D267="","","SU-"&amp;TEXT(ROW()-4,"0000"))</f>
        <v>0</v>
      </c>
      <c r="C267" s="23">
        <f>IF(B267="","",TEXT(B267,"yyyy-mm"))</f>
        <v>0</v>
      </c>
      <c r="J267" s="23">
        <f>IF(F267="","",IFERROR(INDEX(Jobs!$H$5:$H$604,MATCH(F267,Jobs!$A$5:$A$604,0)),""))</f>
        <v>0</v>
      </c>
      <c r="K267" s="21">
        <f>IF(D267="","",IFERROR(INDEX(Supplies!$P$5:$P$154,MATCH(D267,Supplies!$B$5:$B$154,0)),""))</f>
        <v>0</v>
      </c>
      <c r="L267" s="21">
        <f>IF(D267="","",ROUND(IF(E267="",0,E267)*IFERROR(K267*1,0),2))</f>
        <v>0</v>
      </c>
      <c r="M267" s="39">
        <f>IF(D267="","",IF(E267="","Add - how much?",IF(K267="","Check - item not in Supplies",IF(F267="","Not on a job","OK"))))</f>
        <v>0</v>
      </c>
    </row>
    <row r="268" spans="1:13">
      <c r="A268" s="43">
        <f>IF(D268="","","SU-"&amp;TEXT(ROW()-4,"0000"))</f>
        <v>0</v>
      </c>
      <c r="C268" s="23">
        <f>IF(B268="","",TEXT(B268,"yyyy-mm"))</f>
        <v>0</v>
      </c>
      <c r="J268" s="23">
        <f>IF(F268="","",IFERROR(INDEX(Jobs!$H$5:$H$604,MATCH(F268,Jobs!$A$5:$A$604,0)),""))</f>
        <v>0</v>
      </c>
      <c r="K268" s="21">
        <f>IF(D268="","",IFERROR(INDEX(Supplies!$P$5:$P$154,MATCH(D268,Supplies!$B$5:$B$154,0)),""))</f>
        <v>0</v>
      </c>
      <c r="L268" s="21">
        <f>IF(D268="","",ROUND(IF(E268="",0,E268)*IFERROR(K268*1,0),2))</f>
        <v>0</v>
      </c>
      <c r="M268" s="39">
        <f>IF(D268="","",IF(E268="","Add - how much?",IF(K268="","Check - item not in Supplies",IF(F268="","Not on a job","OK"))))</f>
        <v>0</v>
      </c>
    </row>
    <row r="269" spans="1:13">
      <c r="A269" s="43">
        <f>IF(D269="","","SU-"&amp;TEXT(ROW()-4,"0000"))</f>
        <v>0</v>
      </c>
      <c r="C269" s="23">
        <f>IF(B269="","",TEXT(B269,"yyyy-mm"))</f>
        <v>0</v>
      </c>
      <c r="J269" s="23">
        <f>IF(F269="","",IFERROR(INDEX(Jobs!$H$5:$H$604,MATCH(F269,Jobs!$A$5:$A$604,0)),""))</f>
        <v>0</v>
      </c>
      <c r="K269" s="21">
        <f>IF(D269="","",IFERROR(INDEX(Supplies!$P$5:$P$154,MATCH(D269,Supplies!$B$5:$B$154,0)),""))</f>
        <v>0</v>
      </c>
      <c r="L269" s="21">
        <f>IF(D269="","",ROUND(IF(E269="",0,E269)*IFERROR(K269*1,0),2))</f>
        <v>0</v>
      </c>
      <c r="M269" s="39">
        <f>IF(D269="","",IF(E269="","Add - how much?",IF(K269="","Check - item not in Supplies",IF(F269="","Not on a job","OK"))))</f>
        <v>0</v>
      </c>
    </row>
    <row r="270" spans="1:13">
      <c r="A270" s="43">
        <f>IF(D270="","","SU-"&amp;TEXT(ROW()-4,"0000"))</f>
        <v>0</v>
      </c>
      <c r="C270" s="23">
        <f>IF(B270="","",TEXT(B270,"yyyy-mm"))</f>
        <v>0</v>
      </c>
      <c r="J270" s="23">
        <f>IF(F270="","",IFERROR(INDEX(Jobs!$H$5:$H$604,MATCH(F270,Jobs!$A$5:$A$604,0)),""))</f>
        <v>0</v>
      </c>
      <c r="K270" s="21">
        <f>IF(D270="","",IFERROR(INDEX(Supplies!$P$5:$P$154,MATCH(D270,Supplies!$B$5:$B$154,0)),""))</f>
        <v>0</v>
      </c>
      <c r="L270" s="21">
        <f>IF(D270="","",ROUND(IF(E270="",0,E270)*IFERROR(K270*1,0),2))</f>
        <v>0</v>
      </c>
      <c r="M270" s="39">
        <f>IF(D270="","",IF(E270="","Add - how much?",IF(K270="","Check - item not in Supplies",IF(F270="","Not on a job","OK"))))</f>
        <v>0</v>
      </c>
    </row>
    <row r="271" spans="1:13">
      <c r="A271" s="43">
        <f>IF(D271="","","SU-"&amp;TEXT(ROW()-4,"0000"))</f>
        <v>0</v>
      </c>
      <c r="C271" s="23">
        <f>IF(B271="","",TEXT(B271,"yyyy-mm"))</f>
        <v>0</v>
      </c>
      <c r="J271" s="23">
        <f>IF(F271="","",IFERROR(INDEX(Jobs!$H$5:$H$604,MATCH(F271,Jobs!$A$5:$A$604,0)),""))</f>
        <v>0</v>
      </c>
      <c r="K271" s="21">
        <f>IF(D271="","",IFERROR(INDEX(Supplies!$P$5:$P$154,MATCH(D271,Supplies!$B$5:$B$154,0)),""))</f>
        <v>0</v>
      </c>
      <c r="L271" s="21">
        <f>IF(D271="","",ROUND(IF(E271="",0,E271)*IFERROR(K271*1,0),2))</f>
        <v>0</v>
      </c>
      <c r="M271" s="39">
        <f>IF(D271="","",IF(E271="","Add - how much?",IF(K271="","Check - item not in Supplies",IF(F271="","Not on a job","OK"))))</f>
        <v>0</v>
      </c>
    </row>
    <row r="272" spans="1:13">
      <c r="A272" s="43">
        <f>IF(D272="","","SU-"&amp;TEXT(ROW()-4,"0000"))</f>
        <v>0</v>
      </c>
      <c r="C272" s="23">
        <f>IF(B272="","",TEXT(B272,"yyyy-mm"))</f>
        <v>0</v>
      </c>
      <c r="J272" s="23">
        <f>IF(F272="","",IFERROR(INDEX(Jobs!$H$5:$H$604,MATCH(F272,Jobs!$A$5:$A$604,0)),""))</f>
        <v>0</v>
      </c>
      <c r="K272" s="21">
        <f>IF(D272="","",IFERROR(INDEX(Supplies!$P$5:$P$154,MATCH(D272,Supplies!$B$5:$B$154,0)),""))</f>
        <v>0</v>
      </c>
      <c r="L272" s="21">
        <f>IF(D272="","",ROUND(IF(E272="",0,E272)*IFERROR(K272*1,0),2))</f>
        <v>0</v>
      </c>
      <c r="M272" s="39">
        <f>IF(D272="","",IF(E272="","Add - how much?",IF(K272="","Check - item not in Supplies",IF(F272="","Not on a job","OK"))))</f>
        <v>0</v>
      </c>
    </row>
    <row r="273" spans="1:13">
      <c r="A273" s="43">
        <f>IF(D273="","","SU-"&amp;TEXT(ROW()-4,"0000"))</f>
        <v>0</v>
      </c>
      <c r="C273" s="23">
        <f>IF(B273="","",TEXT(B273,"yyyy-mm"))</f>
        <v>0</v>
      </c>
      <c r="J273" s="23">
        <f>IF(F273="","",IFERROR(INDEX(Jobs!$H$5:$H$604,MATCH(F273,Jobs!$A$5:$A$604,0)),""))</f>
        <v>0</v>
      </c>
      <c r="K273" s="21">
        <f>IF(D273="","",IFERROR(INDEX(Supplies!$P$5:$P$154,MATCH(D273,Supplies!$B$5:$B$154,0)),""))</f>
        <v>0</v>
      </c>
      <c r="L273" s="21">
        <f>IF(D273="","",ROUND(IF(E273="",0,E273)*IFERROR(K273*1,0),2))</f>
        <v>0</v>
      </c>
      <c r="M273" s="39">
        <f>IF(D273="","",IF(E273="","Add - how much?",IF(K273="","Check - item not in Supplies",IF(F273="","Not on a job","OK"))))</f>
        <v>0</v>
      </c>
    </row>
    <row r="274" spans="1:13">
      <c r="A274" s="43">
        <f>IF(D274="","","SU-"&amp;TEXT(ROW()-4,"0000"))</f>
        <v>0</v>
      </c>
      <c r="C274" s="23">
        <f>IF(B274="","",TEXT(B274,"yyyy-mm"))</f>
        <v>0</v>
      </c>
      <c r="J274" s="23">
        <f>IF(F274="","",IFERROR(INDEX(Jobs!$H$5:$H$604,MATCH(F274,Jobs!$A$5:$A$604,0)),""))</f>
        <v>0</v>
      </c>
      <c r="K274" s="21">
        <f>IF(D274="","",IFERROR(INDEX(Supplies!$P$5:$P$154,MATCH(D274,Supplies!$B$5:$B$154,0)),""))</f>
        <v>0</v>
      </c>
      <c r="L274" s="21">
        <f>IF(D274="","",ROUND(IF(E274="",0,E274)*IFERROR(K274*1,0),2))</f>
        <v>0</v>
      </c>
      <c r="M274" s="39">
        <f>IF(D274="","",IF(E274="","Add - how much?",IF(K274="","Check - item not in Supplies",IF(F274="","Not on a job","OK"))))</f>
        <v>0</v>
      </c>
    </row>
    <row r="275" spans="1:13">
      <c r="A275" s="43">
        <f>IF(D275="","","SU-"&amp;TEXT(ROW()-4,"0000"))</f>
        <v>0</v>
      </c>
      <c r="C275" s="23">
        <f>IF(B275="","",TEXT(B275,"yyyy-mm"))</f>
        <v>0</v>
      </c>
      <c r="J275" s="23">
        <f>IF(F275="","",IFERROR(INDEX(Jobs!$H$5:$H$604,MATCH(F275,Jobs!$A$5:$A$604,0)),""))</f>
        <v>0</v>
      </c>
      <c r="K275" s="21">
        <f>IF(D275="","",IFERROR(INDEX(Supplies!$P$5:$P$154,MATCH(D275,Supplies!$B$5:$B$154,0)),""))</f>
        <v>0</v>
      </c>
      <c r="L275" s="21">
        <f>IF(D275="","",ROUND(IF(E275="",0,E275)*IFERROR(K275*1,0),2))</f>
        <v>0</v>
      </c>
      <c r="M275" s="39">
        <f>IF(D275="","",IF(E275="","Add - how much?",IF(K275="","Check - item not in Supplies",IF(F275="","Not on a job","OK"))))</f>
        <v>0</v>
      </c>
    </row>
    <row r="276" spans="1:13">
      <c r="A276" s="43">
        <f>IF(D276="","","SU-"&amp;TEXT(ROW()-4,"0000"))</f>
        <v>0</v>
      </c>
      <c r="C276" s="23">
        <f>IF(B276="","",TEXT(B276,"yyyy-mm"))</f>
        <v>0</v>
      </c>
      <c r="J276" s="23">
        <f>IF(F276="","",IFERROR(INDEX(Jobs!$H$5:$H$604,MATCH(F276,Jobs!$A$5:$A$604,0)),""))</f>
        <v>0</v>
      </c>
      <c r="K276" s="21">
        <f>IF(D276="","",IFERROR(INDEX(Supplies!$P$5:$P$154,MATCH(D276,Supplies!$B$5:$B$154,0)),""))</f>
        <v>0</v>
      </c>
      <c r="L276" s="21">
        <f>IF(D276="","",ROUND(IF(E276="",0,E276)*IFERROR(K276*1,0),2))</f>
        <v>0</v>
      </c>
      <c r="M276" s="39">
        <f>IF(D276="","",IF(E276="","Add - how much?",IF(K276="","Check - item not in Supplies",IF(F276="","Not on a job","OK"))))</f>
        <v>0</v>
      </c>
    </row>
    <row r="277" spans="1:13">
      <c r="A277" s="43">
        <f>IF(D277="","","SU-"&amp;TEXT(ROW()-4,"0000"))</f>
        <v>0</v>
      </c>
      <c r="C277" s="23">
        <f>IF(B277="","",TEXT(B277,"yyyy-mm"))</f>
        <v>0</v>
      </c>
      <c r="J277" s="23">
        <f>IF(F277="","",IFERROR(INDEX(Jobs!$H$5:$H$604,MATCH(F277,Jobs!$A$5:$A$604,0)),""))</f>
        <v>0</v>
      </c>
      <c r="K277" s="21">
        <f>IF(D277="","",IFERROR(INDEX(Supplies!$P$5:$P$154,MATCH(D277,Supplies!$B$5:$B$154,0)),""))</f>
        <v>0</v>
      </c>
      <c r="L277" s="21">
        <f>IF(D277="","",ROUND(IF(E277="",0,E277)*IFERROR(K277*1,0),2))</f>
        <v>0</v>
      </c>
      <c r="M277" s="39">
        <f>IF(D277="","",IF(E277="","Add - how much?",IF(K277="","Check - item not in Supplies",IF(F277="","Not on a job","OK"))))</f>
        <v>0</v>
      </c>
    </row>
    <row r="278" spans="1:13">
      <c r="A278" s="43">
        <f>IF(D278="","","SU-"&amp;TEXT(ROW()-4,"0000"))</f>
        <v>0</v>
      </c>
      <c r="C278" s="23">
        <f>IF(B278="","",TEXT(B278,"yyyy-mm"))</f>
        <v>0</v>
      </c>
      <c r="J278" s="23">
        <f>IF(F278="","",IFERROR(INDEX(Jobs!$H$5:$H$604,MATCH(F278,Jobs!$A$5:$A$604,0)),""))</f>
        <v>0</v>
      </c>
      <c r="K278" s="21">
        <f>IF(D278="","",IFERROR(INDEX(Supplies!$P$5:$P$154,MATCH(D278,Supplies!$B$5:$B$154,0)),""))</f>
        <v>0</v>
      </c>
      <c r="L278" s="21">
        <f>IF(D278="","",ROUND(IF(E278="",0,E278)*IFERROR(K278*1,0),2))</f>
        <v>0</v>
      </c>
      <c r="M278" s="39">
        <f>IF(D278="","",IF(E278="","Add - how much?",IF(K278="","Check - item not in Supplies",IF(F278="","Not on a job","OK"))))</f>
        <v>0</v>
      </c>
    </row>
    <row r="279" spans="1:13">
      <c r="A279" s="43">
        <f>IF(D279="","","SU-"&amp;TEXT(ROW()-4,"0000"))</f>
        <v>0</v>
      </c>
      <c r="C279" s="23">
        <f>IF(B279="","",TEXT(B279,"yyyy-mm"))</f>
        <v>0</v>
      </c>
      <c r="J279" s="23">
        <f>IF(F279="","",IFERROR(INDEX(Jobs!$H$5:$H$604,MATCH(F279,Jobs!$A$5:$A$604,0)),""))</f>
        <v>0</v>
      </c>
      <c r="K279" s="21">
        <f>IF(D279="","",IFERROR(INDEX(Supplies!$P$5:$P$154,MATCH(D279,Supplies!$B$5:$B$154,0)),""))</f>
        <v>0</v>
      </c>
      <c r="L279" s="21">
        <f>IF(D279="","",ROUND(IF(E279="",0,E279)*IFERROR(K279*1,0),2))</f>
        <v>0</v>
      </c>
      <c r="M279" s="39">
        <f>IF(D279="","",IF(E279="","Add - how much?",IF(K279="","Check - item not in Supplies",IF(F279="","Not on a job","OK"))))</f>
        <v>0</v>
      </c>
    </row>
    <row r="280" spans="1:13">
      <c r="A280" s="43">
        <f>IF(D280="","","SU-"&amp;TEXT(ROW()-4,"0000"))</f>
        <v>0</v>
      </c>
      <c r="C280" s="23">
        <f>IF(B280="","",TEXT(B280,"yyyy-mm"))</f>
        <v>0</v>
      </c>
      <c r="J280" s="23">
        <f>IF(F280="","",IFERROR(INDEX(Jobs!$H$5:$H$604,MATCH(F280,Jobs!$A$5:$A$604,0)),""))</f>
        <v>0</v>
      </c>
      <c r="K280" s="21">
        <f>IF(D280="","",IFERROR(INDEX(Supplies!$P$5:$P$154,MATCH(D280,Supplies!$B$5:$B$154,0)),""))</f>
        <v>0</v>
      </c>
      <c r="L280" s="21">
        <f>IF(D280="","",ROUND(IF(E280="",0,E280)*IFERROR(K280*1,0),2))</f>
        <v>0</v>
      </c>
      <c r="M280" s="39">
        <f>IF(D280="","",IF(E280="","Add - how much?",IF(K280="","Check - item not in Supplies",IF(F280="","Not on a job","OK"))))</f>
        <v>0</v>
      </c>
    </row>
    <row r="281" spans="1:13">
      <c r="A281" s="43">
        <f>IF(D281="","","SU-"&amp;TEXT(ROW()-4,"0000"))</f>
        <v>0</v>
      </c>
      <c r="C281" s="23">
        <f>IF(B281="","",TEXT(B281,"yyyy-mm"))</f>
        <v>0</v>
      </c>
      <c r="J281" s="23">
        <f>IF(F281="","",IFERROR(INDEX(Jobs!$H$5:$H$604,MATCH(F281,Jobs!$A$5:$A$604,0)),""))</f>
        <v>0</v>
      </c>
      <c r="K281" s="21">
        <f>IF(D281="","",IFERROR(INDEX(Supplies!$P$5:$P$154,MATCH(D281,Supplies!$B$5:$B$154,0)),""))</f>
        <v>0</v>
      </c>
      <c r="L281" s="21">
        <f>IF(D281="","",ROUND(IF(E281="",0,E281)*IFERROR(K281*1,0),2))</f>
        <v>0</v>
      </c>
      <c r="M281" s="39">
        <f>IF(D281="","",IF(E281="","Add - how much?",IF(K281="","Check - item not in Supplies",IF(F281="","Not on a job","OK"))))</f>
        <v>0</v>
      </c>
    </row>
    <row r="282" spans="1:13">
      <c r="A282" s="43">
        <f>IF(D282="","","SU-"&amp;TEXT(ROW()-4,"0000"))</f>
        <v>0</v>
      </c>
      <c r="C282" s="23">
        <f>IF(B282="","",TEXT(B282,"yyyy-mm"))</f>
        <v>0</v>
      </c>
      <c r="J282" s="23">
        <f>IF(F282="","",IFERROR(INDEX(Jobs!$H$5:$H$604,MATCH(F282,Jobs!$A$5:$A$604,0)),""))</f>
        <v>0</v>
      </c>
      <c r="K282" s="21">
        <f>IF(D282="","",IFERROR(INDEX(Supplies!$P$5:$P$154,MATCH(D282,Supplies!$B$5:$B$154,0)),""))</f>
        <v>0</v>
      </c>
      <c r="L282" s="21">
        <f>IF(D282="","",ROUND(IF(E282="",0,E282)*IFERROR(K282*1,0),2))</f>
        <v>0</v>
      </c>
      <c r="M282" s="39">
        <f>IF(D282="","",IF(E282="","Add - how much?",IF(K282="","Check - item not in Supplies",IF(F282="","Not on a job","OK"))))</f>
        <v>0</v>
      </c>
    </row>
    <row r="283" spans="1:13">
      <c r="A283" s="43">
        <f>IF(D283="","","SU-"&amp;TEXT(ROW()-4,"0000"))</f>
        <v>0</v>
      </c>
      <c r="C283" s="23">
        <f>IF(B283="","",TEXT(B283,"yyyy-mm"))</f>
        <v>0</v>
      </c>
      <c r="J283" s="23">
        <f>IF(F283="","",IFERROR(INDEX(Jobs!$H$5:$H$604,MATCH(F283,Jobs!$A$5:$A$604,0)),""))</f>
        <v>0</v>
      </c>
      <c r="K283" s="21">
        <f>IF(D283="","",IFERROR(INDEX(Supplies!$P$5:$P$154,MATCH(D283,Supplies!$B$5:$B$154,0)),""))</f>
        <v>0</v>
      </c>
      <c r="L283" s="21">
        <f>IF(D283="","",ROUND(IF(E283="",0,E283)*IFERROR(K283*1,0),2))</f>
        <v>0</v>
      </c>
      <c r="M283" s="39">
        <f>IF(D283="","",IF(E283="","Add - how much?",IF(K283="","Check - item not in Supplies",IF(F283="","Not on a job","OK"))))</f>
        <v>0</v>
      </c>
    </row>
    <row r="284" spans="1:13">
      <c r="A284" s="43">
        <f>IF(D284="","","SU-"&amp;TEXT(ROW()-4,"0000"))</f>
        <v>0</v>
      </c>
      <c r="C284" s="23">
        <f>IF(B284="","",TEXT(B284,"yyyy-mm"))</f>
        <v>0</v>
      </c>
      <c r="J284" s="23">
        <f>IF(F284="","",IFERROR(INDEX(Jobs!$H$5:$H$604,MATCH(F284,Jobs!$A$5:$A$604,0)),""))</f>
        <v>0</v>
      </c>
      <c r="K284" s="21">
        <f>IF(D284="","",IFERROR(INDEX(Supplies!$P$5:$P$154,MATCH(D284,Supplies!$B$5:$B$154,0)),""))</f>
        <v>0</v>
      </c>
      <c r="L284" s="21">
        <f>IF(D284="","",ROUND(IF(E284="",0,E284)*IFERROR(K284*1,0),2))</f>
        <v>0</v>
      </c>
      <c r="M284" s="39">
        <f>IF(D284="","",IF(E284="","Add - how much?",IF(K284="","Check - item not in Supplies",IF(F284="","Not on a job","OK"))))</f>
        <v>0</v>
      </c>
    </row>
    <row r="285" spans="1:13">
      <c r="A285" s="43">
        <f>IF(D285="","","SU-"&amp;TEXT(ROW()-4,"0000"))</f>
        <v>0</v>
      </c>
      <c r="C285" s="23">
        <f>IF(B285="","",TEXT(B285,"yyyy-mm"))</f>
        <v>0</v>
      </c>
      <c r="J285" s="23">
        <f>IF(F285="","",IFERROR(INDEX(Jobs!$H$5:$H$604,MATCH(F285,Jobs!$A$5:$A$604,0)),""))</f>
        <v>0</v>
      </c>
      <c r="K285" s="21">
        <f>IF(D285="","",IFERROR(INDEX(Supplies!$P$5:$P$154,MATCH(D285,Supplies!$B$5:$B$154,0)),""))</f>
        <v>0</v>
      </c>
      <c r="L285" s="21">
        <f>IF(D285="","",ROUND(IF(E285="",0,E285)*IFERROR(K285*1,0),2))</f>
        <v>0</v>
      </c>
      <c r="M285" s="39">
        <f>IF(D285="","",IF(E285="","Add - how much?",IF(K285="","Check - item not in Supplies",IF(F285="","Not on a job","OK"))))</f>
        <v>0</v>
      </c>
    </row>
    <row r="286" spans="1:13">
      <c r="A286" s="43">
        <f>IF(D286="","","SU-"&amp;TEXT(ROW()-4,"0000"))</f>
        <v>0</v>
      </c>
      <c r="C286" s="23">
        <f>IF(B286="","",TEXT(B286,"yyyy-mm"))</f>
        <v>0</v>
      </c>
      <c r="J286" s="23">
        <f>IF(F286="","",IFERROR(INDEX(Jobs!$H$5:$H$604,MATCH(F286,Jobs!$A$5:$A$604,0)),""))</f>
        <v>0</v>
      </c>
      <c r="K286" s="21">
        <f>IF(D286="","",IFERROR(INDEX(Supplies!$P$5:$P$154,MATCH(D286,Supplies!$B$5:$B$154,0)),""))</f>
        <v>0</v>
      </c>
      <c r="L286" s="21">
        <f>IF(D286="","",ROUND(IF(E286="",0,E286)*IFERROR(K286*1,0),2))</f>
        <v>0</v>
      </c>
      <c r="M286" s="39">
        <f>IF(D286="","",IF(E286="","Add - how much?",IF(K286="","Check - item not in Supplies",IF(F286="","Not on a job","OK"))))</f>
        <v>0</v>
      </c>
    </row>
    <row r="287" spans="1:13">
      <c r="A287" s="43">
        <f>IF(D287="","","SU-"&amp;TEXT(ROW()-4,"0000"))</f>
        <v>0</v>
      </c>
      <c r="C287" s="23">
        <f>IF(B287="","",TEXT(B287,"yyyy-mm"))</f>
        <v>0</v>
      </c>
      <c r="J287" s="23">
        <f>IF(F287="","",IFERROR(INDEX(Jobs!$H$5:$H$604,MATCH(F287,Jobs!$A$5:$A$604,0)),""))</f>
        <v>0</v>
      </c>
      <c r="K287" s="21">
        <f>IF(D287="","",IFERROR(INDEX(Supplies!$P$5:$P$154,MATCH(D287,Supplies!$B$5:$B$154,0)),""))</f>
        <v>0</v>
      </c>
      <c r="L287" s="21">
        <f>IF(D287="","",ROUND(IF(E287="",0,E287)*IFERROR(K287*1,0),2))</f>
        <v>0</v>
      </c>
      <c r="M287" s="39">
        <f>IF(D287="","",IF(E287="","Add - how much?",IF(K287="","Check - item not in Supplies",IF(F287="","Not on a job","OK"))))</f>
        <v>0</v>
      </c>
    </row>
    <row r="288" spans="1:13">
      <c r="A288" s="43">
        <f>IF(D288="","","SU-"&amp;TEXT(ROW()-4,"0000"))</f>
        <v>0</v>
      </c>
      <c r="C288" s="23">
        <f>IF(B288="","",TEXT(B288,"yyyy-mm"))</f>
        <v>0</v>
      </c>
      <c r="J288" s="23">
        <f>IF(F288="","",IFERROR(INDEX(Jobs!$H$5:$H$604,MATCH(F288,Jobs!$A$5:$A$604,0)),""))</f>
        <v>0</v>
      </c>
      <c r="K288" s="21">
        <f>IF(D288="","",IFERROR(INDEX(Supplies!$P$5:$P$154,MATCH(D288,Supplies!$B$5:$B$154,0)),""))</f>
        <v>0</v>
      </c>
      <c r="L288" s="21">
        <f>IF(D288="","",ROUND(IF(E288="",0,E288)*IFERROR(K288*1,0),2))</f>
        <v>0</v>
      </c>
      <c r="M288" s="39">
        <f>IF(D288="","",IF(E288="","Add - how much?",IF(K288="","Check - item not in Supplies",IF(F288="","Not on a job","OK"))))</f>
        <v>0</v>
      </c>
    </row>
    <row r="289" spans="1:13">
      <c r="A289" s="43">
        <f>IF(D289="","","SU-"&amp;TEXT(ROW()-4,"0000"))</f>
        <v>0</v>
      </c>
      <c r="C289" s="23">
        <f>IF(B289="","",TEXT(B289,"yyyy-mm"))</f>
        <v>0</v>
      </c>
      <c r="J289" s="23">
        <f>IF(F289="","",IFERROR(INDEX(Jobs!$H$5:$H$604,MATCH(F289,Jobs!$A$5:$A$604,0)),""))</f>
        <v>0</v>
      </c>
      <c r="K289" s="21">
        <f>IF(D289="","",IFERROR(INDEX(Supplies!$P$5:$P$154,MATCH(D289,Supplies!$B$5:$B$154,0)),""))</f>
        <v>0</v>
      </c>
      <c r="L289" s="21">
        <f>IF(D289="","",ROUND(IF(E289="",0,E289)*IFERROR(K289*1,0),2))</f>
        <v>0</v>
      </c>
      <c r="M289" s="39">
        <f>IF(D289="","",IF(E289="","Add - how much?",IF(K289="","Check - item not in Supplies",IF(F289="","Not on a job","OK"))))</f>
        <v>0</v>
      </c>
    </row>
    <row r="290" spans="1:13">
      <c r="A290" s="43">
        <f>IF(D290="","","SU-"&amp;TEXT(ROW()-4,"0000"))</f>
        <v>0</v>
      </c>
      <c r="C290" s="23">
        <f>IF(B290="","",TEXT(B290,"yyyy-mm"))</f>
        <v>0</v>
      </c>
      <c r="J290" s="23">
        <f>IF(F290="","",IFERROR(INDEX(Jobs!$H$5:$H$604,MATCH(F290,Jobs!$A$5:$A$604,0)),""))</f>
        <v>0</v>
      </c>
      <c r="K290" s="21">
        <f>IF(D290="","",IFERROR(INDEX(Supplies!$P$5:$P$154,MATCH(D290,Supplies!$B$5:$B$154,0)),""))</f>
        <v>0</v>
      </c>
      <c r="L290" s="21">
        <f>IF(D290="","",ROUND(IF(E290="",0,E290)*IFERROR(K290*1,0),2))</f>
        <v>0</v>
      </c>
      <c r="M290" s="39">
        <f>IF(D290="","",IF(E290="","Add - how much?",IF(K290="","Check - item not in Supplies",IF(F290="","Not on a job","OK"))))</f>
        <v>0</v>
      </c>
    </row>
    <row r="291" spans="1:13">
      <c r="A291" s="43">
        <f>IF(D291="","","SU-"&amp;TEXT(ROW()-4,"0000"))</f>
        <v>0</v>
      </c>
      <c r="C291" s="23">
        <f>IF(B291="","",TEXT(B291,"yyyy-mm"))</f>
        <v>0</v>
      </c>
      <c r="J291" s="23">
        <f>IF(F291="","",IFERROR(INDEX(Jobs!$H$5:$H$604,MATCH(F291,Jobs!$A$5:$A$604,0)),""))</f>
        <v>0</v>
      </c>
      <c r="K291" s="21">
        <f>IF(D291="","",IFERROR(INDEX(Supplies!$P$5:$P$154,MATCH(D291,Supplies!$B$5:$B$154,0)),""))</f>
        <v>0</v>
      </c>
      <c r="L291" s="21">
        <f>IF(D291="","",ROUND(IF(E291="",0,E291)*IFERROR(K291*1,0),2))</f>
        <v>0</v>
      </c>
      <c r="M291" s="39">
        <f>IF(D291="","",IF(E291="","Add - how much?",IF(K291="","Check - item not in Supplies",IF(F291="","Not on a job","OK"))))</f>
        <v>0</v>
      </c>
    </row>
    <row r="292" spans="1:13">
      <c r="A292" s="43">
        <f>IF(D292="","","SU-"&amp;TEXT(ROW()-4,"0000"))</f>
        <v>0</v>
      </c>
      <c r="C292" s="23">
        <f>IF(B292="","",TEXT(B292,"yyyy-mm"))</f>
        <v>0</v>
      </c>
      <c r="J292" s="23">
        <f>IF(F292="","",IFERROR(INDEX(Jobs!$H$5:$H$604,MATCH(F292,Jobs!$A$5:$A$604,0)),""))</f>
        <v>0</v>
      </c>
      <c r="K292" s="21">
        <f>IF(D292="","",IFERROR(INDEX(Supplies!$P$5:$P$154,MATCH(D292,Supplies!$B$5:$B$154,0)),""))</f>
        <v>0</v>
      </c>
      <c r="L292" s="21">
        <f>IF(D292="","",ROUND(IF(E292="",0,E292)*IFERROR(K292*1,0),2))</f>
        <v>0</v>
      </c>
      <c r="M292" s="39">
        <f>IF(D292="","",IF(E292="","Add - how much?",IF(K292="","Check - item not in Supplies",IF(F292="","Not on a job","OK"))))</f>
        <v>0</v>
      </c>
    </row>
    <row r="293" spans="1:13">
      <c r="A293" s="43">
        <f>IF(D293="","","SU-"&amp;TEXT(ROW()-4,"0000"))</f>
        <v>0</v>
      </c>
      <c r="C293" s="23">
        <f>IF(B293="","",TEXT(B293,"yyyy-mm"))</f>
        <v>0</v>
      </c>
      <c r="J293" s="23">
        <f>IF(F293="","",IFERROR(INDEX(Jobs!$H$5:$H$604,MATCH(F293,Jobs!$A$5:$A$604,0)),""))</f>
        <v>0</v>
      </c>
      <c r="K293" s="21">
        <f>IF(D293="","",IFERROR(INDEX(Supplies!$P$5:$P$154,MATCH(D293,Supplies!$B$5:$B$154,0)),""))</f>
        <v>0</v>
      </c>
      <c r="L293" s="21">
        <f>IF(D293="","",ROUND(IF(E293="",0,E293)*IFERROR(K293*1,0),2))</f>
        <v>0</v>
      </c>
      <c r="M293" s="39">
        <f>IF(D293="","",IF(E293="","Add - how much?",IF(K293="","Check - item not in Supplies",IF(F293="","Not on a job","OK"))))</f>
        <v>0</v>
      </c>
    </row>
    <row r="294" spans="1:13">
      <c r="A294" s="43">
        <f>IF(D294="","","SU-"&amp;TEXT(ROW()-4,"0000"))</f>
        <v>0</v>
      </c>
      <c r="C294" s="23">
        <f>IF(B294="","",TEXT(B294,"yyyy-mm"))</f>
        <v>0</v>
      </c>
      <c r="J294" s="23">
        <f>IF(F294="","",IFERROR(INDEX(Jobs!$H$5:$H$604,MATCH(F294,Jobs!$A$5:$A$604,0)),""))</f>
        <v>0</v>
      </c>
      <c r="K294" s="21">
        <f>IF(D294="","",IFERROR(INDEX(Supplies!$P$5:$P$154,MATCH(D294,Supplies!$B$5:$B$154,0)),""))</f>
        <v>0</v>
      </c>
      <c r="L294" s="21">
        <f>IF(D294="","",ROUND(IF(E294="",0,E294)*IFERROR(K294*1,0),2))</f>
        <v>0</v>
      </c>
      <c r="M294" s="39">
        <f>IF(D294="","",IF(E294="","Add - how much?",IF(K294="","Check - item not in Supplies",IF(F294="","Not on a job","OK"))))</f>
        <v>0</v>
      </c>
    </row>
    <row r="295" spans="1:13">
      <c r="A295" s="43">
        <f>IF(D295="","","SU-"&amp;TEXT(ROW()-4,"0000"))</f>
        <v>0</v>
      </c>
      <c r="C295" s="23">
        <f>IF(B295="","",TEXT(B295,"yyyy-mm"))</f>
        <v>0</v>
      </c>
      <c r="J295" s="23">
        <f>IF(F295="","",IFERROR(INDEX(Jobs!$H$5:$H$604,MATCH(F295,Jobs!$A$5:$A$604,0)),""))</f>
        <v>0</v>
      </c>
      <c r="K295" s="21">
        <f>IF(D295="","",IFERROR(INDEX(Supplies!$P$5:$P$154,MATCH(D295,Supplies!$B$5:$B$154,0)),""))</f>
        <v>0</v>
      </c>
      <c r="L295" s="21">
        <f>IF(D295="","",ROUND(IF(E295="",0,E295)*IFERROR(K295*1,0),2))</f>
        <v>0</v>
      </c>
      <c r="M295" s="39">
        <f>IF(D295="","",IF(E295="","Add - how much?",IF(K295="","Check - item not in Supplies",IF(F295="","Not on a job","OK"))))</f>
        <v>0</v>
      </c>
    </row>
    <row r="296" spans="1:13">
      <c r="A296" s="43">
        <f>IF(D296="","","SU-"&amp;TEXT(ROW()-4,"0000"))</f>
        <v>0</v>
      </c>
      <c r="C296" s="23">
        <f>IF(B296="","",TEXT(B296,"yyyy-mm"))</f>
        <v>0</v>
      </c>
      <c r="J296" s="23">
        <f>IF(F296="","",IFERROR(INDEX(Jobs!$H$5:$H$604,MATCH(F296,Jobs!$A$5:$A$604,0)),""))</f>
        <v>0</v>
      </c>
      <c r="K296" s="21">
        <f>IF(D296="","",IFERROR(INDEX(Supplies!$P$5:$P$154,MATCH(D296,Supplies!$B$5:$B$154,0)),""))</f>
        <v>0</v>
      </c>
      <c r="L296" s="21">
        <f>IF(D296="","",ROUND(IF(E296="",0,E296)*IFERROR(K296*1,0),2))</f>
        <v>0</v>
      </c>
      <c r="M296" s="39">
        <f>IF(D296="","",IF(E296="","Add - how much?",IF(K296="","Check - item not in Supplies",IF(F296="","Not on a job","OK"))))</f>
        <v>0</v>
      </c>
    </row>
    <row r="297" spans="1:13">
      <c r="A297" s="43">
        <f>IF(D297="","","SU-"&amp;TEXT(ROW()-4,"0000"))</f>
        <v>0</v>
      </c>
      <c r="C297" s="23">
        <f>IF(B297="","",TEXT(B297,"yyyy-mm"))</f>
        <v>0</v>
      </c>
      <c r="J297" s="23">
        <f>IF(F297="","",IFERROR(INDEX(Jobs!$H$5:$H$604,MATCH(F297,Jobs!$A$5:$A$604,0)),""))</f>
        <v>0</v>
      </c>
      <c r="K297" s="21">
        <f>IF(D297="","",IFERROR(INDEX(Supplies!$P$5:$P$154,MATCH(D297,Supplies!$B$5:$B$154,0)),""))</f>
        <v>0</v>
      </c>
      <c r="L297" s="21">
        <f>IF(D297="","",ROUND(IF(E297="",0,E297)*IFERROR(K297*1,0),2))</f>
        <v>0</v>
      </c>
      <c r="M297" s="39">
        <f>IF(D297="","",IF(E297="","Add - how much?",IF(K297="","Check - item not in Supplies",IF(F297="","Not on a job","OK"))))</f>
        <v>0</v>
      </c>
    </row>
    <row r="298" spans="1:13">
      <c r="A298" s="43">
        <f>IF(D298="","","SU-"&amp;TEXT(ROW()-4,"0000"))</f>
        <v>0</v>
      </c>
      <c r="C298" s="23">
        <f>IF(B298="","",TEXT(B298,"yyyy-mm"))</f>
        <v>0</v>
      </c>
      <c r="J298" s="23">
        <f>IF(F298="","",IFERROR(INDEX(Jobs!$H$5:$H$604,MATCH(F298,Jobs!$A$5:$A$604,0)),""))</f>
        <v>0</v>
      </c>
      <c r="K298" s="21">
        <f>IF(D298="","",IFERROR(INDEX(Supplies!$P$5:$P$154,MATCH(D298,Supplies!$B$5:$B$154,0)),""))</f>
        <v>0</v>
      </c>
      <c r="L298" s="21">
        <f>IF(D298="","",ROUND(IF(E298="",0,E298)*IFERROR(K298*1,0),2))</f>
        <v>0</v>
      </c>
      <c r="M298" s="39">
        <f>IF(D298="","",IF(E298="","Add - how much?",IF(K298="","Check - item not in Supplies",IF(F298="","Not on a job","OK"))))</f>
        <v>0</v>
      </c>
    </row>
    <row r="299" spans="1:13">
      <c r="A299" s="43">
        <f>IF(D299="","","SU-"&amp;TEXT(ROW()-4,"0000"))</f>
        <v>0</v>
      </c>
      <c r="C299" s="23">
        <f>IF(B299="","",TEXT(B299,"yyyy-mm"))</f>
        <v>0</v>
      </c>
      <c r="J299" s="23">
        <f>IF(F299="","",IFERROR(INDEX(Jobs!$H$5:$H$604,MATCH(F299,Jobs!$A$5:$A$604,0)),""))</f>
        <v>0</v>
      </c>
      <c r="K299" s="21">
        <f>IF(D299="","",IFERROR(INDEX(Supplies!$P$5:$P$154,MATCH(D299,Supplies!$B$5:$B$154,0)),""))</f>
        <v>0</v>
      </c>
      <c r="L299" s="21">
        <f>IF(D299="","",ROUND(IF(E299="",0,E299)*IFERROR(K299*1,0),2))</f>
        <v>0</v>
      </c>
      <c r="M299" s="39">
        <f>IF(D299="","",IF(E299="","Add - how much?",IF(K299="","Check - item not in Supplies",IF(F299="","Not on a job","OK"))))</f>
        <v>0</v>
      </c>
    </row>
    <row r="300" spans="1:13">
      <c r="A300" s="43">
        <f>IF(D300="","","SU-"&amp;TEXT(ROW()-4,"0000"))</f>
        <v>0</v>
      </c>
      <c r="C300" s="23">
        <f>IF(B300="","",TEXT(B300,"yyyy-mm"))</f>
        <v>0</v>
      </c>
      <c r="J300" s="23">
        <f>IF(F300="","",IFERROR(INDEX(Jobs!$H$5:$H$604,MATCH(F300,Jobs!$A$5:$A$604,0)),""))</f>
        <v>0</v>
      </c>
      <c r="K300" s="21">
        <f>IF(D300="","",IFERROR(INDEX(Supplies!$P$5:$P$154,MATCH(D300,Supplies!$B$5:$B$154,0)),""))</f>
        <v>0</v>
      </c>
      <c r="L300" s="21">
        <f>IF(D300="","",ROUND(IF(E300="",0,E300)*IFERROR(K300*1,0),2))</f>
        <v>0</v>
      </c>
      <c r="M300" s="39">
        <f>IF(D300="","",IF(E300="","Add - how much?",IF(K300="","Check - item not in Supplies",IF(F300="","Not on a job","OK"))))</f>
        <v>0</v>
      </c>
    </row>
    <row r="301" spans="1:13">
      <c r="A301" s="43">
        <f>IF(D301="","","SU-"&amp;TEXT(ROW()-4,"0000"))</f>
        <v>0</v>
      </c>
      <c r="C301" s="23">
        <f>IF(B301="","",TEXT(B301,"yyyy-mm"))</f>
        <v>0</v>
      </c>
      <c r="J301" s="23">
        <f>IF(F301="","",IFERROR(INDEX(Jobs!$H$5:$H$604,MATCH(F301,Jobs!$A$5:$A$604,0)),""))</f>
        <v>0</v>
      </c>
      <c r="K301" s="21">
        <f>IF(D301="","",IFERROR(INDEX(Supplies!$P$5:$P$154,MATCH(D301,Supplies!$B$5:$B$154,0)),""))</f>
        <v>0</v>
      </c>
      <c r="L301" s="21">
        <f>IF(D301="","",ROUND(IF(E301="",0,E301)*IFERROR(K301*1,0),2))</f>
        <v>0</v>
      </c>
      <c r="M301" s="39">
        <f>IF(D301="","",IF(E301="","Add - how much?",IF(K301="","Check - item not in Supplies",IF(F301="","Not on a job","OK"))))</f>
        <v>0</v>
      </c>
    </row>
    <row r="302" spans="1:13">
      <c r="A302" s="43">
        <f>IF(D302="","","SU-"&amp;TEXT(ROW()-4,"0000"))</f>
        <v>0</v>
      </c>
      <c r="C302" s="23">
        <f>IF(B302="","",TEXT(B302,"yyyy-mm"))</f>
        <v>0</v>
      </c>
      <c r="J302" s="23">
        <f>IF(F302="","",IFERROR(INDEX(Jobs!$H$5:$H$604,MATCH(F302,Jobs!$A$5:$A$604,0)),""))</f>
        <v>0</v>
      </c>
      <c r="K302" s="21">
        <f>IF(D302="","",IFERROR(INDEX(Supplies!$P$5:$P$154,MATCH(D302,Supplies!$B$5:$B$154,0)),""))</f>
        <v>0</v>
      </c>
      <c r="L302" s="21">
        <f>IF(D302="","",ROUND(IF(E302="",0,E302)*IFERROR(K302*1,0),2))</f>
        <v>0</v>
      </c>
      <c r="M302" s="39">
        <f>IF(D302="","",IF(E302="","Add - how much?",IF(K302="","Check - item not in Supplies",IF(F302="","Not on a job","OK"))))</f>
        <v>0</v>
      </c>
    </row>
    <row r="303" spans="1:13">
      <c r="A303" s="43">
        <f>IF(D303="","","SU-"&amp;TEXT(ROW()-4,"0000"))</f>
        <v>0</v>
      </c>
      <c r="C303" s="23">
        <f>IF(B303="","",TEXT(B303,"yyyy-mm"))</f>
        <v>0</v>
      </c>
      <c r="J303" s="23">
        <f>IF(F303="","",IFERROR(INDEX(Jobs!$H$5:$H$604,MATCH(F303,Jobs!$A$5:$A$604,0)),""))</f>
        <v>0</v>
      </c>
      <c r="K303" s="21">
        <f>IF(D303="","",IFERROR(INDEX(Supplies!$P$5:$P$154,MATCH(D303,Supplies!$B$5:$B$154,0)),""))</f>
        <v>0</v>
      </c>
      <c r="L303" s="21">
        <f>IF(D303="","",ROUND(IF(E303="",0,E303)*IFERROR(K303*1,0),2))</f>
        <v>0</v>
      </c>
      <c r="M303" s="39">
        <f>IF(D303="","",IF(E303="","Add - how much?",IF(K303="","Check - item not in Supplies",IF(F303="","Not on a job","OK"))))</f>
        <v>0</v>
      </c>
    </row>
    <row r="304" spans="1:13">
      <c r="A304" s="43">
        <f>IF(D304="","","SU-"&amp;TEXT(ROW()-4,"0000"))</f>
        <v>0</v>
      </c>
      <c r="C304" s="23">
        <f>IF(B304="","",TEXT(B304,"yyyy-mm"))</f>
        <v>0</v>
      </c>
      <c r="J304" s="23">
        <f>IF(F304="","",IFERROR(INDEX(Jobs!$H$5:$H$604,MATCH(F304,Jobs!$A$5:$A$604,0)),""))</f>
        <v>0</v>
      </c>
      <c r="K304" s="21">
        <f>IF(D304="","",IFERROR(INDEX(Supplies!$P$5:$P$154,MATCH(D304,Supplies!$B$5:$B$154,0)),""))</f>
        <v>0</v>
      </c>
      <c r="L304" s="21">
        <f>IF(D304="","",ROUND(IF(E304="",0,E304)*IFERROR(K304*1,0),2))</f>
        <v>0</v>
      </c>
      <c r="M304" s="39">
        <f>IF(D304="","",IF(E304="","Add - how much?",IF(K304="","Check - item not in Supplies",IF(F304="","Not on a job","OK"))))</f>
        <v>0</v>
      </c>
    </row>
  </sheetData>
  <sheetProtection password="EC7C" sheet="1" objects="1" scenarios="1" formatCells="0" formatColumns="0" formatRows="0" insertRows="0" insertHyperlinks="0" deleteRows="0" autoFilter="0"/>
  <autoFilter ref="A4:M304"/>
  <mergeCells count="9">
    <mergeCell ref="A1:J1"/>
    <mergeCell ref="K1:M1"/>
    <mergeCell ref="A2:M2"/>
    <mergeCell ref="A3:B3"/>
    <mergeCell ref="C3:D3"/>
    <mergeCell ref="E3:F3"/>
    <mergeCell ref="G3:H3"/>
    <mergeCell ref="I3:J3"/>
    <mergeCell ref="K3:L3"/>
  </mergeCells>
  <conditionalFormatting sqref="L5:L304">
    <cfRule type="dataBar" priority="1">
      <dataBar>
        <cfvo type="min" val="0"/>
        <cfvo type="max" val="0"/>
        <color rgb="FF2F8F9D"/>
      </dataBar>
    </cfRule>
  </conditionalFormatting>
  <conditionalFormatting sqref="M5:M304">
    <cfRule type="beginsWith" dxfId="1" priority="2" operator="beginsWith" text="OK">
      <formula>LEFT(M5,2)="OK"</formula>
    </cfRule>
    <cfRule type="containsText" dxfId="2" priority="3" operator="containsText" text="Overdue">
      <formula>NOT(ISERROR(SEARCH("Overdue",M5)))</formula>
    </cfRule>
    <cfRule type="containsText" dxfId="2" priority="4" operator="containsText" text="Late">
      <formula>NOT(ISERROR(SEARCH("Late",M5)))</formula>
    </cfRule>
    <cfRule type="containsText" dxfId="2" priority="5" operator="containsText" text="Missing">
      <formula>NOT(ISERROR(SEARCH("Missing",M5)))</formula>
    </cfRule>
    <cfRule type="containsText" dxfId="2" priority="6" operator="containsText" text="Conflict">
      <formula>NOT(ISERROR(SEARCH("Conflict",M5)))</formula>
    </cfRule>
    <cfRule type="containsText" dxfId="2" priority="7" operator="containsText" text="Clash">
      <formula>NOT(ISERROR(SEARCH("Clash",M5)))</formula>
    </cfRule>
    <cfRule type="containsText" dxfId="2" priority="8" operator="containsText" text="Expired">
      <formula>NOT(ISERROR(SEARCH("Expired",M5)))</formula>
    </cfRule>
    <cfRule type="containsText" dxfId="2" priority="9" operator="containsText" text="Duplicate">
      <formula>NOT(ISERROR(SEARCH("Duplicate",M5)))</formula>
    </cfRule>
    <cfRule type="containsText" dxfId="2" priority="10" operator="containsText" text="Unpaid">
      <formula>NOT(ISERROR(SEARCH("Unpaid",M5)))</formula>
    </cfRule>
    <cfRule type="containsText" dxfId="2" priority="11" operator="containsText" text="Loss">
      <formula>NOT(ISERROR(SEARCH("Loss",M5)))</formula>
    </cfRule>
    <cfRule type="containsText" dxfId="2" priority="12" operator="containsText" text="Below">
      <formula>NOT(ISERROR(SEARCH("Below",M5)))</formula>
    </cfRule>
    <cfRule type="containsText" dxfId="0" priority="13" operator="containsText" text="Action">
      <formula>NOT(ISERROR(SEARCH("Action",M5)))</formula>
    </cfRule>
    <cfRule type="containsText" dxfId="0" priority="14" operator="containsText" text="Due">
      <formula>NOT(ISERROR(SEARCH("Due",M5)))</formula>
    </cfRule>
    <cfRule type="containsText" dxfId="0" priority="15" operator="containsText" text="Check">
      <formula>NOT(ISERROR(SEARCH("Check",M5)))</formula>
    </cfRule>
    <cfRule type="containsText" dxfId="0" priority="16" operator="containsText" text="Chase">
      <formula>NOT(ISERROR(SEARCH("Chase",M5)))</formula>
    </cfRule>
    <cfRule type="containsText" dxfId="0" priority="17" operator="containsText" text="Assign">
      <formula>NOT(ISERROR(SEARCH("Assign",M5)))</formula>
    </cfRule>
    <cfRule type="containsText" dxfId="0" priority="18" operator="containsText" text="Confirm">
      <formula>NOT(ISERROR(SEARCH("Confirm",M5)))</formula>
    </cfRule>
    <cfRule type="containsText" dxfId="0" priority="19" operator="containsText" text="Order">
      <formula>NOT(ISERROR(SEARCH("Order",M5)))</formula>
    </cfRule>
    <cfRule type="containsText" dxfId="3" priority="20" operator="containsText" text="Today">
      <formula>NOT(ISERROR(SEARCH("Today",M5)))</formula>
    </cfRule>
    <cfRule type="containsText" dxfId="3" priority="21" operator="containsText" text="Upcoming">
      <formula>NOT(ISERROR(SEARCH("Upcoming",M5)))</formula>
    </cfRule>
    <cfRule type="containsText" dxfId="3" priority="22" operator="containsText" text="Tomorrow">
      <formula>NOT(ISERROR(SEARCH("Tomorrow",M5)))</formula>
    </cfRule>
  </conditionalFormatting>
  <dataValidations count="5">
    <dataValidation type="date" allowBlank="1" showInputMessage="1" showErrorMessage="1" errorTitle="Check the date" error="Enter a real date between 2000 and 2100." sqref="B5:B304">
      <formula1>36526</formula1>
      <formula2>73415</formula2>
    </dataValidation>
    <dataValidation type="list" allowBlank="1" showInputMessage="1" showErrorMessage="1" promptTitle="Item" prompt="From the Supplies tab. The cost comes with it." sqref="D5:D304">
      <formula1>SupplyNames</formula1>
    </dataValidation>
    <dataValidation type="decimal" allowBlank="1" showInputMessage="1" showErrorMessage="1" errorTitle="Check the value" error="Enter a number between 0 and 100000." promptTitle="Quantity used" prompt="In the unit on the Supplies tab - bottles, rolls, litres." sqref="E5:E304">
      <formula1>0</formula1>
      <formula2>100000</formula2>
    </dataValidation>
    <dataValidation type="list" allowBlank="1" showInputMessage="1" showErrorMessage="1" promptTitle="Job ID" prompt="Link it to a job and the cost lands on that job's profit. Leave blank for stock used round the office." sqref="F5:F304">
      <formula1>JobIDs</formula1>
    </dataValidation>
    <dataValidation type="list" allowBlank="1" showInputMessage="1" showErrorMessage="1" sqref="G5:G304">
      <formula1>EmployeeNames</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s>
  <pageMargins left="0.4" right="0.4" top="0.6" bottom="0.5" header="0.3" footer="0.3"/>
  <pageSetup paperSize="9" fitToHeight="0" orientation="landscape"/>
  <headerFooter>
    <oddHeader>&amp;L&amp;"Calibri,Bold"&amp;12&amp;C&amp;"Calibri,Bold"&amp;11Supply Usage&amp;R&amp;"Calibri,Italic"&amp;9Cleaning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24.xml><?xml version="1.0" encoding="utf-8"?>
<worksheet xmlns="http://schemas.openxmlformats.org/spreadsheetml/2006/main" xmlns:r="http://schemas.openxmlformats.org/officeDocument/2006/relationships">
  <sheetPr>
    <tabColor rgb="FF2F8F9D"/>
    <pageSetUpPr fitToPage="1"/>
  </sheetPr>
  <dimension ref="A1:Z8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26.7109375" style="15" customWidth="1"/>
    <col min="3" max="3" width="18.7109375" style="15" customWidth="1"/>
    <col min="4" max="4" width="20.7109375" style="15" customWidth="1"/>
    <col min="5" max="5" width="16.7109375" style="15" customWidth="1"/>
    <col min="6" max="6" width="14.7109375" style="15" customWidth="1"/>
    <col min="7" max="7" width="14.7109375" style="45" customWidth="1"/>
    <col min="8" max="8" width="16.7109375" style="15" customWidth="1"/>
    <col min="9" max="9" width="16.7109375" style="15" customWidth="1"/>
    <col min="10" max="10" width="11.7109375" style="46" customWidth="1"/>
    <col min="11" max="11" width="11.7109375" style="19" customWidth="1"/>
    <col min="12" max="12" width="10.7109375" style="17" customWidth="1"/>
    <col min="13" max="13" width="11.7109375" style="46" customWidth="1"/>
    <col min="14" max="14" width="11.7109375" style="46" customWidth="1"/>
    <col min="15" max="15" width="10.7109375" style="16" customWidth="1"/>
    <col min="16" max="16" width="11.7109375" style="19" customWidth="1"/>
    <col min="17" max="17" width="11.7109375" style="46" customWidth="1"/>
    <col min="18" max="18" width="9.7109375" style="47" customWidth="1"/>
    <col min="19" max="19" width="30.7109375" style="44" customWidth="1"/>
    <col min="20" max="20" width="10.7109375" style="34" customWidth="1"/>
    <col min="21" max="21" width="11.7109375" style="21" customWidth="1"/>
    <col min="22" max="22" width="9.7109375" style="31" hidden="1" customWidth="1"/>
    <col min="23" max="23" width="12.7109375" style="18" customWidth="1"/>
    <col min="24" max="24" width="10.7109375" style="31" hidden="1" customWidth="1"/>
    <col min="25" max="25" width="10.7109375" style="31" hidden="1" customWidth="1"/>
    <col min="26" max="26" width="28.7109375" style="39" customWidth="1"/>
  </cols>
  <sheetData>
    <row r="1" spans="1:26" ht="34" customHeight="1">
      <c r="A1" s="2" t="s">
        <v>1758</v>
      </c>
      <c r="B1" s="2"/>
      <c r="C1" s="2"/>
      <c r="D1" s="2"/>
      <c r="E1" s="2"/>
      <c r="F1" s="2"/>
      <c r="G1" s="2"/>
      <c r="H1" s="2"/>
      <c r="I1" s="2"/>
      <c r="J1" s="2"/>
      <c r="K1" s="2"/>
      <c r="L1" s="2"/>
      <c r="M1" s="2"/>
      <c r="N1" s="2"/>
      <c r="O1" s="2"/>
      <c r="P1" s="2"/>
      <c r="Q1" s="2"/>
      <c r="R1" s="2"/>
      <c r="S1" s="2"/>
      <c r="T1" s="2"/>
      <c r="U1" s="2"/>
      <c r="V1" s="2"/>
      <c r="W1" s="2"/>
      <c r="X1" s="3" t="s">
        <v>1</v>
      </c>
      <c r="Y1" s="3"/>
      <c r="Z1" s="3"/>
    </row>
    <row r="2" spans="1:26" ht="18" customHeight="1">
      <c r="A2" s="4" t="s">
        <v>1759</v>
      </c>
      <c r="B2" s="4"/>
      <c r="C2" s="4"/>
      <c r="D2" s="4"/>
      <c r="E2" s="4"/>
      <c r="F2" s="4"/>
      <c r="G2" s="4"/>
      <c r="H2" s="4"/>
      <c r="I2" s="4"/>
      <c r="J2" s="4"/>
      <c r="K2" s="4"/>
      <c r="L2" s="4"/>
      <c r="M2" s="4"/>
      <c r="N2" s="4"/>
      <c r="O2" s="4"/>
      <c r="P2" s="4"/>
      <c r="Q2" s="4"/>
      <c r="R2" s="4"/>
      <c r="S2" s="4"/>
      <c r="T2" s="4"/>
      <c r="U2" s="4"/>
      <c r="V2" s="4"/>
      <c r="W2" s="4"/>
      <c r="X2" s="4"/>
      <c r="Y2" s="4"/>
      <c r="Z2" s="4"/>
    </row>
    <row r="3" spans="1:26"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1760</v>
      </c>
      <c r="T3" s="48"/>
      <c r="U3" s="48"/>
      <c r="V3" s="48"/>
      <c r="W3" s="48"/>
      <c r="X3" s="48"/>
      <c r="Y3" s="48"/>
      <c r="Z3" s="48"/>
    </row>
    <row r="4" spans="1:26" ht="30" customHeight="1">
      <c r="A4" s="8" t="s">
        <v>545</v>
      </c>
      <c r="B4" s="8" t="s">
        <v>385</v>
      </c>
      <c r="C4" s="9" t="s">
        <v>404</v>
      </c>
      <c r="D4" s="9" t="s">
        <v>1761</v>
      </c>
      <c r="E4" s="9" t="s">
        <v>1762</v>
      </c>
      <c r="F4" s="9" t="s">
        <v>1763</v>
      </c>
      <c r="G4" s="9" t="s">
        <v>548</v>
      </c>
      <c r="H4" s="9" t="s">
        <v>1764</v>
      </c>
      <c r="I4" s="9" t="s">
        <v>1765</v>
      </c>
      <c r="J4" s="9" t="s">
        <v>1766</v>
      </c>
      <c r="K4" s="9" t="s">
        <v>1080</v>
      </c>
      <c r="L4" s="9" t="s">
        <v>1767</v>
      </c>
      <c r="M4" s="9" t="s">
        <v>1768</v>
      </c>
      <c r="N4" s="9" t="s">
        <v>1769</v>
      </c>
      <c r="O4" s="9" t="s">
        <v>1770</v>
      </c>
      <c r="P4" s="9" t="s">
        <v>1771</v>
      </c>
      <c r="Q4" s="9" t="s">
        <v>1772</v>
      </c>
      <c r="R4" s="9" t="s">
        <v>1773</v>
      </c>
      <c r="S4" s="9" t="s">
        <v>421</v>
      </c>
      <c r="T4" s="9" t="s">
        <v>1774</v>
      </c>
      <c r="U4" s="9" t="s">
        <v>1775</v>
      </c>
      <c r="V4" s="9" t="s">
        <v>1776</v>
      </c>
      <c r="W4" s="9" t="s">
        <v>1777</v>
      </c>
      <c r="X4" s="9" t="s">
        <v>1778</v>
      </c>
      <c r="Y4" s="9" t="s">
        <v>1779</v>
      </c>
      <c r="Z4" s="9" t="s">
        <v>574</v>
      </c>
    </row>
    <row r="5" spans="1:26">
      <c r="A5" s="43">
        <f>IF(B5="","",EquipmentPrefix&amp;TEXT(ROW()-4,"000"))</f>
        <v>0</v>
      </c>
      <c r="B5" s="15" t="s">
        <v>1780</v>
      </c>
      <c r="C5" s="15" t="s">
        <v>1781</v>
      </c>
      <c r="D5" s="15" t="s">
        <v>1782</v>
      </c>
      <c r="E5" s="15" t="s">
        <v>1783</v>
      </c>
      <c r="F5" s="15" t="s">
        <v>1784</v>
      </c>
      <c r="G5" s="45" t="s">
        <v>1785</v>
      </c>
      <c r="H5" s="15" t="s">
        <v>584</v>
      </c>
      <c r="I5" s="15" t="s">
        <v>1786</v>
      </c>
      <c r="J5" s="46">
        <v>45333</v>
      </c>
      <c r="K5" s="19">
        <v>385</v>
      </c>
      <c r="L5" s="17">
        <v>7</v>
      </c>
      <c r="M5" s="46">
        <v>46063</v>
      </c>
      <c r="N5" s="46">
        <v>46193</v>
      </c>
      <c r="O5" s="16">
        <v>180</v>
      </c>
      <c r="P5" s="19">
        <v>45</v>
      </c>
      <c r="Q5" s="46">
        <v>46193</v>
      </c>
      <c r="R5" s="47" t="s">
        <v>454</v>
      </c>
      <c r="S5" s="44" t="s">
        <v>1787</v>
      </c>
      <c r="T5" s="34">
        <f>IF(OR(B5="",J5=""),"",ROUND((TodayDate-J5)/365.25,1))</f>
        <v>0</v>
      </c>
      <c r="U5" s="21">
        <f>IF(OR(B5="",K5="",L5="",L5=0),"",ROUND(K5/L5+IF(P5="",0,P5)/MAX(1,T5),2))</f>
        <v>0</v>
      </c>
      <c r="V5" s="31">
        <f>IF(B5="","",IF(O5="",MaintenanceDays,O5))</f>
        <v>0</v>
      </c>
      <c r="W5" s="18">
        <f>IF(OR(B5="",N5=""),"",N5+V5)</f>
        <v>0</v>
      </c>
      <c r="X5" s="31">
        <f>IF(W5="","",W5-TodayDate)</f>
        <v>0</v>
      </c>
      <c r="Y5" s="31">
        <f>IF(OR(B5="",J5="",L5=""),"",YEAR(J5)+L5)</f>
        <v>0</v>
      </c>
      <c r="Z5" s="39">
        <f>IF(B5="","",IF(G5="Retired","Archived",IF(G5="Lost or stolen","Action - report it",IF(G5="In repair","Check - in for repair",IF(AND(X5&lt;&gt;"",X5&lt;0),"Overdue - service it",IF(AND(X5&lt;&gt;"",X5&lt;=14),"Due - service coming up",IF(AND(N5="",J5&lt;&gt;""),"Add - never serviced",IF(AND(T5&lt;&gt;"",L5&lt;&gt;"",T5&gt;L5),"Check - past its expected life","OK"))))))))</f>
        <v>0</v>
      </c>
    </row>
    <row r="6" spans="1:26">
      <c r="A6" s="43">
        <f>IF(B6="","",EquipmentPrefix&amp;TEXT(ROW()-4,"000"))</f>
        <v>0</v>
      </c>
      <c r="B6" s="15" t="s">
        <v>1788</v>
      </c>
      <c r="C6" s="15" t="s">
        <v>1781</v>
      </c>
      <c r="D6" s="15" t="s">
        <v>1782</v>
      </c>
      <c r="E6" s="15" t="s">
        <v>1789</v>
      </c>
      <c r="F6" s="15" t="s">
        <v>1784</v>
      </c>
      <c r="G6" s="45" t="s">
        <v>1785</v>
      </c>
      <c r="H6" s="15" t="s">
        <v>608</v>
      </c>
      <c r="I6" s="15" t="s">
        <v>1790</v>
      </c>
      <c r="J6" s="46">
        <v>45703</v>
      </c>
      <c r="K6" s="19">
        <v>385</v>
      </c>
      <c r="L6" s="17">
        <v>7</v>
      </c>
      <c r="M6" s="46">
        <v>46068</v>
      </c>
      <c r="N6" s="46">
        <v>46113</v>
      </c>
      <c r="O6" s="16">
        <v>180</v>
      </c>
      <c r="P6" s="19">
        <v>45</v>
      </c>
      <c r="Q6" s="46">
        <v>46113</v>
      </c>
      <c r="R6" s="47" t="s">
        <v>454</v>
      </c>
      <c r="S6" s="44" t="s">
        <v>172</v>
      </c>
      <c r="T6" s="34">
        <f>IF(OR(B6="",J6=""),"",ROUND((TodayDate-J6)/365.25,1))</f>
        <v>0</v>
      </c>
      <c r="U6" s="21">
        <f>IF(OR(B6="",K6="",L6="",L6=0),"",ROUND(K6/L6+IF(P6="",0,P6)/MAX(1,T6),2))</f>
        <v>0</v>
      </c>
      <c r="V6" s="31">
        <f>IF(B6="","",IF(O6="",MaintenanceDays,O6))</f>
        <v>0</v>
      </c>
      <c r="W6" s="18">
        <f>IF(OR(B6="",N6=""),"",N6+V6)</f>
        <v>0</v>
      </c>
      <c r="X6" s="31">
        <f>IF(W6="","",W6-TodayDate)</f>
        <v>0</v>
      </c>
      <c r="Y6" s="31">
        <f>IF(OR(B6="",J6="",L6=""),"",YEAR(J6)+L6)</f>
        <v>0</v>
      </c>
      <c r="Z6" s="39">
        <f>IF(B6="","",IF(G6="Retired","Archived",IF(G6="Lost or stolen","Action - report it",IF(G6="In repair","Check - in for repair",IF(AND(X6&lt;&gt;"",X6&lt;0),"Overdue - service it",IF(AND(X6&lt;&gt;"",X6&lt;=14),"Due - service coming up",IF(AND(N6="",J6&lt;&gt;""),"Add - never serviced",IF(AND(T6&lt;&gt;"",L6&lt;&gt;"",T6&gt;L6),"Check - past its expected life","OK"))))))))</f>
        <v>0</v>
      </c>
    </row>
    <row r="7" spans="1:26">
      <c r="A7" s="43">
        <f>IF(B7="","",EquipmentPrefix&amp;TEXT(ROW()-4,"000"))</f>
        <v>0</v>
      </c>
      <c r="B7" s="15" t="s">
        <v>1791</v>
      </c>
      <c r="C7" s="15" t="s">
        <v>1792</v>
      </c>
      <c r="D7" s="15" t="s">
        <v>1793</v>
      </c>
      <c r="E7" s="15" t="s">
        <v>1794</v>
      </c>
      <c r="F7" s="15" t="s">
        <v>1784</v>
      </c>
      <c r="G7" s="45" t="s">
        <v>1795</v>
      </c>
      <c r="H7" s="15" t="s">
        <v>664</v>
      </c>
      <c r="I7" s="15" t="s">
        <v>1790</v>
      </c>
      <c r="J7" s="46">
        <v>45893</v>
      </c>
      <c r="K7" s="19">
        <v>299</v>
      </c>
      <c r="L7" s="17">
        <v>6</v>
      </c>
      <c r="M7" s="46">
        <v>46258</v>
      </c>
      <c r="N7" s="46">
        <v>46218</v>
      </c>
      <c r="O7" s="16">
        <v>180</v>
      </c>
      <c r="P7" s="19">
        <v>35</v>
      </c>
      <c r="Q7" s="46">
        <v>46218</v>
      </c>
      <c r="R7" s="47" t="s">
        <v>454</v>
      </c>
      <c r="S7" s="44" t="s">
        <v>1796</v>
      </c>
      <c r="T7" s="34">
        <f>IF(OR(B7="",J7=""),"",ROUND((TodayDate-J7)/365.25,1))</f>
        <v>0</v>
      </c>
      <c r="U7" s="21">
        <f>IF(OR(B7="",K7="",L7="",L7=0),"",ROUND(K7/L7+IF(P7="",0,P7)/MAX(1,T7),2))</f>
        <v>0</v>
      </c>
      <c r="V7" s="31">
        <f>IF(B7="","",IF(O7="",MaintenanceDays,O7))</f>
        <v>0</v>
      </c>
      <c r="W7" s="18">
        <f>IF(OR(B7="",N7=""),"",N7+V7)</f>
        <v>0</v>
      </c>
      <c r="X7" s="31">
        <f>IF(W7="","",W7-TodayDate)</f>
        <v>0</v>
      </c>
      <c r="Y7" s="31">
        <f>IF(OR(B7="",J7="",L7=""),"",YEAR(J7)+L7)</f>
        <v>0</v>
      </c>
      <c r="Z7" s="39">
        <f>IF(B7="","",IF(G7="Retired","Archived",IF(G7="Lost or stolen","Action - report it",IF(G7="In repair","Check - in for repair",IF(AND(X7&lt;&gt;"",X7&lt;0),"Overdue - service it",IF(AND(X7&lt;&gt;"",X7&lt;=14),"Due - service coming up",IF(AND(N7="",J7&lt;&gt;""),"Add - never serviced",IF(AND(T7&lt;&gt;"",L7&lt;&gt;"",T7&gt;L7),"Check - past its expected life","OK"))))))))</f>
        <v>0</v>
      </c>
    </row>
    <row r="8" spans="1:26">
      <c r="A8" s="43">
        <f>IF(B8="","",EquipmentPrefix&amp;TEXT(ROW()-4,"000"))</f>
        <v>0</v>
      </c>
      <c r="B8" s="15" t="s">
        <v>1797</v>
      </c>
      <c r="C8" s="15" t="s">
        <v>1798</v>
      </c>
      <c r="D8" s="15" t="s">
        <v>1799</v>
      </c>
      <c r="E8" s="15" t="s">
        <v>1800</v>
      </c>
      <c r="F8" s="15" t="s">
        <v>1784</v>
      </c>
      <c r="G8" s="45" t="s">
        <v>1801</v>
      </c>
      <c r="H8" s="15" t="s">
        <v>172</v>
      </c>
      <c r="I8" s="15" t="s">
        <v>1802</v>
      </c>
      <c r="J8" s="46">
        <v>45583</v>
      </c>
      <c r="K8" s="19">
        <v>189</v>
      </c>
      <c r="L8" s="17">
        <v>6</v>
      </c>
      <c r="N8" s="46">
        <v>46003</v>
      </c>
      <c r="O8" s="16">
        <v>365</v>
      </c>
      <c r="P8" s="19">
        <v>30</v>
      </c>
      <c r="Q8" s="46">
        <v>46003</v>
      </c>
      <c r="R8" s="47" t="s">
        <v>454</v>
      </c>
      <c r="S8" s="44" t="s">
        <v>1803</v>
      </c>
      <c r="T8" s="34">
        <f>IF(OR(B8="",J8=""),"",ROUND((TodayDate-J8)/365.25,1))</f>
        <v>0</v>
      </c>
      <c r="U8" s="21">
        <f>IF(OR(B8="",K8="",L8="",L8=0),"",ROUND(K8/L8+IF(P8="",0,P8)/MAX(1,T8),2))</f>
        <v>0</v>
      </c>
      <c r="V8" s="31">
        <f>IF(B8="","",IF(O8="",MaintenanceDays,O8))</f>
        <v>0</v>
      </c>
      <c r="W8" s="18">
        <f>IF(OR(B8="",N8=""),"",N8+V8)</f>
        <v>0</v>
      </c>
      <c r="X8" s="31">
        <f>IF(W8="","",W8-TodayDate)</f>
        <v>0</v>
      </c>
      <c r="Y8" s="31">
        <f>IF(OR(B8="",J8="",L8=""),"",YEAR(J8)+L8)</f>
        <v>0</v>
      </c>
      <c r="Z8" s="39">
        <f>IF(B8="","",IF(G8="Retired","Archived",IF(G8="Lost or stolen","Action - report it",IF(G8="In repair","Check - in for repair",IF(AND(X8&lt;&gt;"",X8&lt;0),"Overdue - service it",IF(AND(X8&lt;&gt;"",X8&lt;=14),"Due - service coming up",IF(AND(N8="",J8&lt;&gt;""),"Add - never serviced",IF(AND(T8&lt;&gt;"",L8&lt;&gt;"",T8&gt;L8),"Check - past its expected life","OK"))))))))</f>
        <v>0</v>
      </c>
    </row>
    <row r="9" spans="1:26">
      <c r="A9" s="43">
        <f>IF(B9="","",EquipmentPrefix&amp;TEXT(ROW()-4,"000"))</f>
        <v>0</v>
      </c>
      <c r="B9" s="15" t="s">
        <v>1804</v>
      </c>
      <c r="C9" s="15" t="s">
        <v>1805</v>
      </c>
      <c r="D9" s="15" t="s">
        <v>1806</v>
      </c>
      <c r="E9" s="15" t="s">
        <v>1807</v>
      </c>
      <c r="F9" s="15" t="s">
        <v>1808</v>
      </c>
      <c r="G9" s="45" t="s">
        <v>1785</v>
      </c>
      <c r="H9" s="15" t="s">
        <v>627</v>
      </c>
      <c r="I9" s="15" t="s">
        <v>1786</v>
      </c>
      <c r="J9" s="46">
        <v>45793</v>
      </c>
      <c r="K9" s="19">
        <v>1850</v>
      </c>
      <c r="L9" s="17">
        <v>8</v>
      </c>
      <c r="M9" s="46">
        <v>46158</v>
      </c>
      <c r="N9" s="46">
        <v>46273</v>
      </c>
      <c r="O9" s="16">
        <v>180</v>
      </c>
      <c r="P9" s="19">
        <v>120</v>
      </c>
      <c r="Q9" s="46">
        <v>46273</v>
      </c>
      <c r="R9" s="47" t="s">
        <v>454</v>
      </c>
      <c r="S9" s="44" t="s">
        <v>1809</v>
      </c>
      <c r="T9" s="34">
        <f>IF(OR(B9="",J9=""),"",ROUND((TodayDate-J9)/365.25,1))</f>
        <v>0</v>
      </c>
      <c r="U9" s="21">
        <f>IF(OR(B9="",K9="",L9="",L9=0),"",ROUND(K9/L9+IF(P9="",0,P9)/MAX(1,T9),2))</f>
        <v>0</v>
      </c>
      <c r="V9" s="31">
        <f>IF(B9="","",IF(O9="",MaintenanceDays,O9))</f>
        <v>0</v>
      </c>
      <c r="W9" s="18">
        <f>IF(OR(B9="",N9=""),"",N9+V9)</f>
        <v>0</v>
      </c>
      <c r="X9" s="31">
        <f>IF(W9="","",W9-TodayDate)</f>
        <v>0</v>
      </c>
      <c r="Y9" s="31">
        <f>IF(OR(B9="",J9="",L9=""),"",YEAR(J9)+L9)</f>
        <v>0</v>
      </c>
      <c r="Z9" s="39">
        <f>IF(B9="","",IF(G9="Retired","Archived",IF(G9="Lost or stolen","Action - report it",IF(G9="In repair","Check - in for repair",IF(AND(X9&lt;&gt;"",X9&lt;0),"Overdue - service it",IF(AND(X9&lt;&gt;"",X9&lt;=14),"Due - service coming up",IF(AND(N9="",J9&lt;&gt;""),"Add - never serviced",IF(AND(T9&lt;&gt;"",L9&lt;&gt;"",T9&gt;L9),"Check - past its expected life","OK"))))))))</f>
        <v>0</v>
      </c>
    </row>
    <row r="10" spans="1:26">
      <c r="A10" s="43">
        <f>IF(B10="","",EquipmentPrefix&amp;TEXT(ROW()-4,"000"))</f>
        <v>0</v>
      </c>
      <c r="B10" s="15" t="s">
        <v>1810</v>
      </c>
      <c r="C10" s="15" t="s">
        <v>1810</v>
      </c>
      <c r="D10" s="15" t="s">
        <v>1811</v>
      </c>
      <c r="E10" s="15" t="s">
        <v>1812</v>
      </c>
      <c r="F10" s="15" t="s">
        <v>1784</v>
      </c>
      <c r="G10" s="45" t="s">
        <v>1813</v>
      </c>
      <c r="H10" s="15" t="s">
        <v>172</v>
      </c>
      <c r="I10" s="15" t="s">
        <v>1814</v>
      </c>
      <c r="J10" s="46">
        <v>45913</v>
      </c>
      <c r="K10" s="19">
        <v>245</v>
      </c>
      <c r="L10" s="17">
        <v>5</v>
      </c>
      <c r="N10" s="46">
        <v>46103</v>
      </c>
      <c r="O10" s="16">
        <v>365</v>
      </c>
      <c r="P10" s="19">
        <v>55</v>
      </c>
      <c r="Q10" s="46">
        <v>46103</v>
      </c>
      <c r="R10" s="47" t="s">
        <v>454</v>
      </c>
      <c r="S10" s="44" t="s">
        <v>1815</v>
      </c>
      <c r="T10" s="34">
        <f>IF(OR(B10="",J10=""),"",ROUND((TodayDate-J10)/365.25,1))</f>
        <v>0</v>
      </c>
      <c r="U10" s="21">
        <f>IF(OR(B10="",K10="",L10="",L10=0),"",ROUND(K10/L10+IF(P10="",0,P10)/MAX(1,T10),2))</f>
        <v>0</v>
      </c>
      <c r="V10" s="31">
        <f>IF(B10="","",IF(O10="",MaintenanceDays,O10))</f>
        <v>0</v>
      </c>
      <c r="W10" s="18">
        <f>IF(OR(B10="",N10=""),"",N10+V10)</f>
        <v>0</v>
      </c>
      <c r="X10" s="31">
        <f>IF(W10="","",W10-TodayDate)</f>
        <v>0</v>
      </c>
      <c r="Y10" s="31">
        <f>IF(OR(B10="",J10="",L10=""),"",YEAR(J10)+L10)</f>
        <v>0</v>
      </c>
      <c r="Z10" s="39">
        <f>IF(B10="","",IF(G10="Retired","Archived",IF(G10="Lost or stolen","Action - report it",IF(G10="In repair","Check - in for repair",IF(AND(X10&lt;&gt;"",X10&lt;0),"Overdue - service it",IF(AND(X10&lt;&gt;"",X10&lt;=14),"Due - service coming up",IF(AND(N10="",J10&lt;&gt;""),"Add - never serviced",IF(AND(T10&lt;&gt;"",L10&lt;&gt;"",T10&gt;L10),"Check - past its expected life","OK"))))))))</f>
        <v>0</v>
      </c>
    </row>
    <row r="11" spans="1:26">
      <c r="A11" s="43">
        <f>IF(B11="","",EquipmentPrefix&amp;TEXT(ROW()-4,"000"))</f>
        <v>0</v>
      </c>
      <c r="B11" s="15" t="s">
        <v>1816</v>
      </c>
      <c r="C11" s="15" t="s">
        <v>1816</v>
      </c>
      <c r="D11" s="15" t="s">
        <v>1817</v>
      </c>
      <c r="E11" s="15" t="s">
        <v>1818</v>
      </c>
      <c r="F11" s="15" t="s">
        <v>1784</v>
      </c>
      <c r="G11" s="45" t="s">
        <v>1785</v>
      </c>
      <c r="H11" s="15" t="s">
        <v>1424</v>
      </c>
      <c r="I11" s="15" t="s">
        <v>1790</v>
      </c>
      <c r="J11" s="46">
        <v>46013</v>
      </c>
      <c r="K11" s="19">
        <v>320</v>
      </c>
      <c r="L11" s="17">
        <v>6</v>
      </c>
      <c r="M11" s="46">
        <v>46193</v>
      </c>
      <c r="N11" s="46">
        <v>46163</v>
      </c>
      <c r="O11" s="16">
        <v>365</v>
      </c>
      <c r="P11" s="19">
        <v>40</v>
      </c>
      <c r="Q11" s="46">
        <v>46163</v>
      </c>
      <c r="R11" s="47" t="s">
        <v>454</v>
      </c>
      <c r="S11" s="44" t="s">
        <v>1819</v>
      </c>
      <c r="T11" s="34">
        <f>IF(OR(B11="",J11=""),"",ROUND((TodayDate-J11)/365.25,1))</f>
        <v>0</v>
      </c>
      <c r="U11" s="21">
        <f>IF(OR(B11="",K11="",L11="",L11=0),"",ROUND(K11/L11+IF(P11="",0,P11)/MAX(1,T11),2))</f>
        <v>0</v>
      </c>
      <c r="V11" s="31">
        <f>IF(B11="","",IF(O11="",MaintenanceDays,O11))</f>
        <v>0</v>
      </c>
      <c r="W11" s="18">
        <f>IF(OR(B11="",N11=""),"",N11+V11)</f>
        <v>0</v>
      </c>
      <c r="X11" s="31">
        <f>IF(W11="","",W11-TodayDate)</f>
        <v>0</v>
      </c>
      <c r="Y11" s="31">
        <f>IF(OR(B11="",J11="",L11=""),"",YEAR(J11)+L11)</f>
        <v>0</v>
      </c>
      <c r="Z11" s="39">
        <f>IF(B11="","",IF(G11="Retired","Archived",IF(G11="Lost or stolen","Action - report it",IF(G11="In repair","Check - in for repair",IF(AND(X11&lt;&gt;"",X11&lt;0),"Overdue - service it",IF(AND(X11&lt;&gt;"",X11&lt;=14),"Due - service coming up",IF(AND(N11="",J11&lt;&gt;""),"Add - never serviced",IF(AND(T11&lt;&gt;"",L11&lt;&gt;"",T11&gt;L11),"Check - past its expected life","OK"))))))))</f>
        <v>0</v>
      </c>
    </row>
    <row r="12" spans="1:26">
      <c r="A12" s="43">
        <f>IF(B12="","",EquipmentPrefix&amp;TEXT(ROW()-4,"000"))</f>
        <v>0</v>
      </c>
      <c r="B12" s="15" t="s">
        <v>1820</v>
      </c>
      <c r="C12" s="15" t="s">
        <v>1820</v>
      </c>
      <c r="D12" s="15" t="s">
        <v>1821</v>
      </c>
      <c r="E12" s="15" t="s">
        <v>1822</v>
      </c>
      <c r="F12" s="15" t="s">
        <v>1784</v>
      </c>
      <c r="G12" s="45" t="s">
        <v>1785</v>
      </c>
      <c r="H12" s="15" t="s">
        <v>1424</v>
      </c>
      <c r="I12" s="15" t="s">
        <v>1790</v>
      </c>
      <c r="J12" s="46">
        <v>45803</v>
      </c>
      <c r="K12" s="19">
        <v>640</v>
      </c>
      <c r="L12" s="17">
        <v>8</v>
      </c>
      <c r="N12" s="46">
        <v>46133</v>
      </c>
      <c r="O12" s="16">
        <v>365</v>
      </c>
      <c r="P12" s="19">
        <v>25</v>
      </c>
      <c r="Q12" s="46">
        <v>46133</v>
      </c>
      <c r="R12" s="47" t="s">
        <v>454</v>
      </c>
      <c r="S12" s="44" t="s">
        <v>1823</v>
      </c>
      <c r="T12" s="34">
        <f>IF(OR(B12="",J12=""),"",ROUND((TodayDate-J12)/365.25,1))</f>
        <v>0</v>
      </c>
      <c r="U12" s="21">
        <f>IF(OR(B12="",K12="",L12="",L12=0),"",ROUND(K12/L12+IF(P12="",0,P12)/MAX(1,T12),2))</f>
        <v>0</v>
      </c>
      <c r="V12" s="31">
        <f>IF(B12="","",IF(O12="",MaintenanceDays,O12))</f>
        <v>0</v>
      </c>
      <c r="W12" s="18">
        <f>IF(OR(B12="",N12=""),"",N12+V12)</f>
        <v>0</v>
      </c>
      <c r="X12" s="31">
        <f>IF(W12="","",W12-TodayDate)</f>
        <v>0</v>
      </c>
      <c r="Y12" s="31">
        <f>IF(OR(B12="",J12="",L12=""),"",YEAR(J12)+L12)</f>
        <v>0</v>
      </c>
      <c r="Z12" s="39">
        <f>IF(B12="","",IF(G12="Retired","Archived",IF(G12="Lost or stolen","Action - report it",IF(G12="In repair","Check - in for repair",IF(AND(X12&lt;&gt;"",X12&lt;0),"Overdue - service it",IF(AND(X12&lt;&gt;"",X12&lt;=14),"Due - service coming up",IF(AND(N12="",J12&lt;&gt;""),"Add - never serviced",IF(AND(T12&lt;&gt;"",L12&lt;&gt;"",T12&gt;L12),"Check - past its expected life","OK"))))))))</f>
        <v>0</v>
      </c>
    </row>
    <row r="13" spans="1:26">
      <c r="A13" s="43">
        <f>IF(B13="","",EquipmentPrefix&amp;TEXT(ROW()-4,"000"))</f>
        <v>0</v>
      </c>
      <c r="B13" s="15" t="s">
        <v>1824</v>
      </c>
      <c r="C13" s="15" t="s">
        <v>1825</v>
      </c>
      <c r="D13" s="15" t="s">
        <v>1826</v>
      </c>
      <c r="E13" s="15" t="s">
        <v>1827</v>
      </c>
      <c r="F13" s="15" t="s">
        <v>1784</v>
      </c>
      <c r="G13" s="45" t="s">
        <v>1785</v>
      </c>
      <c r="H13" s="15" t="s">
        <v>172</v>
      </c>
      <c r="I13" s="15" t="s">
        <v>1786</v>
      </c>
      <c r="J13" s="46">
        <v>45413</v>
      </c>
      <c r="K13" s="19">
        <v>95</v>
      </c>
      <c r="L13" s="17">
        <v>10</v>
      </c>
      <c r="N13" s="46">
        <v>46238</v>
      </c>
      <c r="O13" s="16">
        <v>365</v>
      </c>
      <c r="P13" s="19">
        <v>0</v>
      </c>
      <c r="Q13" s="46">
        <v>46238</v>
      </c>
      <c r="R13" s="47" t="s">
        <v>454</v>
      </c>
      <c r="S13" s="44" t="s">
        <v>1828</v>
      </c>
      <c r="T13" s="34">
        <f>IF(OR(B13="",J13=""),"",ROUND((TodayDate-J13)/365.25,1))</f>
        <v>0</v>
      </c>
      <c r="U13" s="21">
        <f>IF(OR(B13="",K13="",L13="",L13=0),"",ROUND(K13/L13+IF(P13="",0,P13)/MAX(1,T13),2))</f>
        <v>0</v>
      </c>
      <c r="V13" s="31">
        <f>IF(B13="","",IF(O13="",MaintenanceDays,O13))</f>
        <v>0</v>
      </c>
      <c r="W13" s="18">
        <f>IF(OR(B13="",N13=""),"",N13+V13)</f>
        <v>0</v>
      </c>
      <c r="X13" s="31">
        <f>IF(W13="","",W13-TodayDate)</f>
        <v>0</v>
      </c>
      <c r="Y13" s="31">
        <f>IF(OR(B13="",J13="",L13=""),"",YEAR(J13)+L13)</f>
        <v>0</v>
      </c>
      <c r="Z13" s="39">
        <f>IF(B13="","",IF(G13="Retired","Archived",IF(G13="Lost or stolen","Action - report it",IF(G13="In repair","Check - in for repair",IF(AND(X13&lt;&gt;"",X13&lt;0),"Overdue - service it",IF(AND(X13&lt;&gt;"",X13&lt;=14),"Due - service coming up",IF(AND(N13="",J13&lt;&gt;""),"Add - never serviced",IF(AND(T13&lt;&gt;"",L13&lt;&gt;"",T13&gt;L13),"Check - past its expected life","OK"))))))))</f>
        <v>0</v>
      </c>
    </row>
    <row r="14" spans="1:26">
      <c r="A14" s="43">
        <f>IF(B14="","",EquipmentPrefix&amp;TEXT(ROW()-4,"000"))</f>
        <v>0</v>
      </c>
      <c r="B14" s="15" t="s">
        <v>1829</v>
      </c>
      <c r="C14" s="15" t="s">
        <v>1830</v>
      </c>
      <c r="D14" s="15" t="s">
        <v>1831</v>
      </c>
      <c r="E14" s="15" t="s">
        <v>1832</v>
      </c>
      <c r="F14" s="15" t="s">
        <v>1784</v>
      </c>
      <c r="G14" s="45" t="s">
        <v>1785</v>
      </c>
      <c r="H14" s="15" t="s">
        <v>608</v>
      </c>
      <c r="I14" s="15" t="s">
        <v>1833</v>
      </c>
      <c r="J14" s="46">
        <v>45963</v>
      </c>
      <c r="K14" s="19">
        <v>210</v>
      </c>
      <c r="L14" s="17">
        <v>8</v>
      </c>
      <c r="O14" s="16">
        <v>365</v>
      </c>
      <c r="P14" s="19">
        <v>0</v>
      </c>
      <c r="R14" s="47" t="s">
        <v>454</v>
      </c>
      <c r="S14" s="44" t="s">
        <v>1834</v>
      </c>
      <c r="T14" s="34">
        <f>IF(OR(B14="",J14=""),"",ROUND((TodayDate-J14)/365.25,1))</f>
        <v>0</v>
      </c>
      <c r="U14" s="21">
        <f>IF(OR(B14="",K14="",L14="",L14=0),"",ROUND(K14/L14+IF(P14="",0,P14)/MAX(1,T14),2))</f>
        <v>0</v>
      </c>
      <c r="V14" s="31">
        <f>IF(B14="","",IF(O14="",MaintenanceDays,O14))</f>
        <v>0</v>
      </c>
      <c r="W14" s="18">
        <f>IF(OR(B14="",N14=""),"",N14+V14)</f>
        <v>0</v>
      </c>
      <c r="X14" s="31">
        <f>IF(W14="","",W14-TodayDate)</f>
        <v>0</v>
      </c>
      <c r="Y14" s="31">
        <f>IF(OR(B14="",J14="",L14=""),"",YEAR(J14)+L14)</f>
        <v>0</v>
      </c>
      <c r="Z14" s="39">
        <f>IF(B14="","",IF(G14="Retired","Archived",IF(G14="Lost or stolen","Action - report it",IF(G14="In repair","Check - in for repair",IF(AND(X14&lt;&gt;"",X14&lt;0),"Overdue - service it",IF(AND(X14&lt;&gt;"",X14&lt;=14),"Due - service coming up",IF(AND(N14="",J14&lt;&gt;""),"Add - never serviced",IF(AND(T14&lt;&gt;"",L14&lt;&gt;"",T14&gt;L14),"Check - past its expected life","OK"))))))))</f>
        <v>0</v>
      </c>
    </row>
    <row r="15" spans="1:26">
      <c r="A15" s="43">
        <f>IF(B15="","",EquipmentPrefix&amp;TEXT(ROW()-4,"000"))</f>
        <v>0</v>
      </c>
      <c r="B15" s="15" t="s">
        <v>1835</v>
      </c>
      <c r="C15" s="15" t="s">
        <v>1372</v>
      </c>
      <c r="D15" s="15" t="s">
        <v>1836</v>
      </c>
      <c r="E15" s="15" t="s">
        <v>1837</v>
      </c>
      <c r="F15" s="15" t="s">
        <v>1808</v>
      </c>
      <c r="G15" s="45" t="s">
        <v>1785</v>
      </c>
      <c r="H15" s="15" t="s">
        <v>584</v>
      </c>
      <c r="I15" s="15" t="s">
        <v>1786</v>
      </c>
      <c r="J15" s="46">
        <v>45213</v>
      </c>
      <c r="K15" s="19">
        <v>18500</v>
      </c>
      <c r="L15" s="17">
        <v>8</v>
      </c>
      <c r="M15" s="46">
        <v>45943</v>
      </c>
      <c r="N15" s="46">
        <v>46228</v>
      </c>
      <c r="O15" s="16">
        <v>180</v>
      </c>
      <c r="P15" s="19">
        <v>320</v>
      </c>
      <c r="Q15" s="46">
        <v>46228</v>
      </c>
      <c r="R15" s="47" t="s">
        <v>454</v>
      </c>
      <c r="S15" s="44" t="s">
        <v>1838</v>
      </c>
      <c r="T15" s="34">
        <f>IF(OR(B15="",J15=""),"",ROUND((TodayDate-J15)/365.25,1))</f>
        <v>0</v>
      </c>
      <c r="U15" s="21">
        <f>IF(OR(B15="",K15="",L15="",L15=0),"",ROUND(K15/L15+IF(P15="",0,P15)/MAX(1,T15),2))</f>
        <v>0</v>
      </c>
      <c r="V15" s="31">
        <f>IF(B15="","",IF(O15="",MaintenanceDays,O15))</f>
        <v>0</v>
      </c>
      <c r="W15" s="18">
        <f>IF(OR(B15="",N15=""),"",N15+V15)</f>
        <v>0</v>
      </c>
      <c r="X15" s="31">
        <f>IF(W15="","",W15-TodayDate)</f>
        <v>0</v>
      </c>
      <c r="Y15" s="31">
        <f>IF(OR(B15="",J15="",L15=""),"",YEAR(J15)+L15)</f>
        <v>0</v>
      </c>
      <c r="Z15" s="39">
        <f>IF(B15="","",IF(G15="Retired","Archived",IF(G15="Lost or stolen","Action - report it",IF(G15="In repair","Check - in for repair",IF(AND(X15&lt;&gt;"",X15&lt;0),"Overdue - service it",IF(AND(X15&lt;&gt;"",X15&lt;=14),"Due - service coming up",IF(AND(N15="",J15&lt;&gt;""),"Add - never serviced",IF(AND(T15&lt;&gt;"",L15&lt;&gt;"",T15&gt;L15),"Check - past its expected life","OK"))))))))</f>
        <v>0</v>
      </c>
    </row>
    <row r="16" spans="1:26">
      <c r="A16" s="43">
        <f>IF(B16="","",EquipmentPrefix&amp;TEXT(ROW()-4,"000"))</f>
        <v>0</v>
      </c>
      <c r="B16" s="15" t="s">
        <v>1839</v>
      </c>
      <c r="C16" s="15" t="s">
        <v>1372</v>
      </c>
      <c r="D16" s="15" t="s">
        <v>1840</v>
      </c>
      <c r="E16" s="15" t="s">
        <v>1841</v>
      </c>
      <c r="F16" s="15" t="s">
        <v>1808</v>
      </c>
      <c r="G16" s="45" t="s">
        <v>1785</v>
      </c>
      <c r="H16" s="15" t="s">
        <v>608</v>
      </c>
      <c r="I16" s="15" t="s">
        <v>1790</v>
      </c>
      <c r="J16" s="46">
        <v>45613</v>
      </c>
      <c r="K16" s="19">
        <v>16200</v>
      </c>
      <c r="L16" s="17">
        <v>8</v>
      </c>
      <c r="M16" s="46">
        <v>45973</v>
      </c>
      <c r="N16" s="46">
        <v>46143</v>
      </c>
      <c r="O16" s="16">
        <v>180</v>
      </c>
      <c r="P16" s="19">
        <v>295</v>
      </c>
      <c r="Q16" s="46">
        <v>46143</v>
      </c>
      <c r="R16" s="47" t="s">
        <v>454</v>
      </c>
      <c r="S16" s="44" t="s">
        <v>172</v>
      </c>
      <c r="T16" s="34">
        <f>IF(OR(B16="",J16=""),"",ROUND((TodayDate-J16)/365.25,1))</f>
        <v>0</v>
      </c>
      <c r="U16" s="21">
        <f>IF(OR(B16="",K16="",L16="",L16=0),"",ROUND(K16/L16+IF(P16="",0,P16)/MAX(1,T16),2))</f>
        <v>0</v>
      </c>
      <c r="V16" s="31">
        <f>IF(B16="","",IF(O16="",MaintenanceDays,O16))</f>
        <v>0</v>
      </c>
      <c r="W16" s="18">
        <f>IF(OR(B16="",N16=""),"",N16+V16)</f>
        <v>0</v>
      </c>
      <c r="X16" s="31">
        <f>IF(W16="","",W16-TodayDate)</f>
        <v>0</v>
      </c>
      <c r="Y16" s="31">
        <f>IF(OR(B16="",J16="",L16=""),"",YEAR(J16)+L16)</f>
        <v>0</v>
      </c>
      <c r="Z16" s="39">
        <f>IF(B16="","",IF(G16="Retired","Archived",IF(G16="Lost or stolen","Action - report it",IF(G16="In repair","Check - in for repair",IF(AND(X16&lt;&gt;"",X16&lt;0),"Overdue - service it",IF(AND(X16&lt;&gt;"",X16&lt;=14),"Due - service coming up",IF(AND(N16="",J16&lt;&gt;""),"Add - never serviced",IF(AND(T16&lt;&gt;"",L16&lt;&gt;"",T16&gt;L16),"Check - past its expected life","OK"))))))))</f>
        <v>0</v>
      </c>
    </row>
    <row r="17" spans="1:26">
      <c r="A17" s="43">
        <f>IF(B17="","",EquipmentPrefix&amp;TEXT(ROW()-4,"000"))</f>
        <v>0</v>
      </c>
      <c r="T17" s="34">
        <f>IF(OR(B17="",J17=""),"",ROUND((TodayDate-J17)/365.25,1))</f>
        <v>0</v>
      </c>
      <c r="U17" s="21">
        <f>IF(OR(B17="",K17="",L17="",L17=0),"",ROUND(K17/L17+IF(P17="",0,P17)/MAX(1,T17),2))</f>
        <v>0</v>
      </c>
      <c r="V17" s="31">
        <f>IF(B17="","",IF(O17="",MaintenanceDays,O17))</f>
        <v>0</v>
      </c>
      <c r="W17" s="18">
        <f>IF(OR(B17="",N17=""),"",N17+V17)</f>
        <v>0</v>
      </c>
      <c r="X17" s="31">
        <f>IF(W17="","",W17-TodayDate)</f>
        <v>0</v>
      </c>
      <c r="Y17" s="31">
        <f>IF(OR(B17="",J17="",L17=""),"",YEAR(J17)+L17)</f>
        <v>0</v>
      </c>
      <c r="Z17" s="39">
        <f>IF(B17="","",IF(G17="Retired","Archived",IF(G17="Lost or stolen","Action - report it",IF(G17="In repair","Check - in for repair",IF(AND(X17&lt;&gt;"",X17&lt;0),"Overdue - service it",IF(AND(X17&lt;&gt;"",X17&lt;=14),"Due - service coming up",IF(AND(N17="",J17&lt;&gt;""),"Add - never serviced",IF(AND(T17&lt;&gt;"",L17&lt;&gt;"",T17&gt;L17),"Check - past its expected life","OK"))))))))</f>
        <v>0</v>
      </c>
    </row>
    <row r="18" spans="1:26">
      <c r="A18" s="43">
        <f>IF(B18="","",EquipmentPrefix&amp;TEXT(ROW()-4,"000"))</f>
        <v>0</v>
      </c>
      <c r="T18" s="34">
        <f>IF(OR(B18="",J18=""),"",ROUND((TodayDate-J18)/365.25,1))</f>
        <v>0</v>
      </c>
      <c r="U18" s="21">
        <f>IF(OR(B18="",K18="",L18="",L18=0),"",ROUND(K18/L18+IF(P18="",0,P18)/MAX(1,T18),2))</f>
        <v>0</v>
      </c>
      <c r="V18" s="31">
        <f>IF(B18="","",IF(O18="",MaintenanceDays,O18))</f>
        <v>0</v>
      </c>
      <c r="W18" s="18">
        <f>IF(OR(B18="",N18=""),"",N18+V18)</f>
        <v>0</v>
      </c>
      <c r="X18" s="31">
        <f>IF(W18="","",W18-TodayDate)</f>
        <v>0</v>
      </c>
      <c r="Y18" s="31">
        <f>IF(OR(B18="",J18="",L18=""),"",YEAR(J18)+L18)</f>
        <v>0</v>
      </c>
      <c r="Z18" s="39">
        <f>IF(B18="","",IF(G18="Retired","Archived",IF(G18="Lost or stolen","Action - report it",IF(G18="In repair","Check - in for repair",IF(AND(X18&lt;&gt;"",X18&lt;0),"Overdue - service it",IF(AND(X18&lt;&gt;"",X18&lt;=14),"Due - service coming up",IF(AND(N18="",J18&lt;&gt;""),"Add - never serviced",IF(AND(T18&lt;&gt;"",L18&lt;&gt;"",T18&gt;L18),"Check - past its expected life","OK"))))))))</f>
        <v>0</v>
      </c>
    </row>
    <row r="19" spans="1:26">
      <c r="A19" s="43">
        <f>IF(B19="","",EquipmentPrefix&amp;TEXT(ROW()-4,"000"))</f>
        <v>0</v>
      </c>
      <c r="T19" s="34">
        <f>IF(OR(B19="",J19=""),"",ROUND((TodayDate-J19)/365.25,1))</f>
        <v>0</v>
      </c>
      <c r="U19" s="21">
        <f>IF(OR(B19="",K19="",L19="",L19=0),"",ROUND(K19/L19+IF(P19="",0,P19)/MAX(1,T19),2))</f>
        <v>0</v>
      </c>
      <c r="V19" s="31">
        <f>IF(B19="","",IF(O19="",MaintenanceDays,O19))</f>
        <v>0</v>
      </c>
      <c r="W19" s="18">
        <f>IF(OR(B19="",N19=""),"",N19+V19)</f>
        <v>0</v>
      </c>
      <c r="X19" s="31">
        <f>IF(W19="","",W19-TodayDate)</f>
        <v>0</v>
      </c>
      <c r="Y19" s="31">
        <f>IF(OR(B19="",J19="",L19=""),"",YEAR(J19)+L19)</f>
        <v>0</v>
      </c>
      <c r="Z19" s="39">
        <f>IF(B19="","",IF(G19="Retired","Archived",IF(G19="Lost or stolen","Action - report it",IF(G19="In repair","Check - in for repair",IF(AND(X19&lt;&gt;"",X19&lt;0),"Overdue - service it",IF(AND(X19&lt;&gt;"",X19&lt;=14),"Due - service coming up",IF(AND(N19="",J19&lt;&gt;""),"Add - never serviced",IF(AND(T19&lt;&gt;"",L19&lt;&gt;"",T19&gt;L19),"Check - past its expected life","OK"))))))))</f>
        <v>0</v>
      </c>
    </row>
    <row r="20" spans="1:26">
      <c r="A20" s="43">
        <f>IF(B20="","",EquipmentPrefix&amp;TEXT(ROW()-4,"000"))</f>
        <v>0</v>
      </c>
      <c r="T20" s="34">
        <f>IF(OR(B20="",J20=""),"",ROUND((TodayDate-J20)/365.25,1))</f>
        <v>0</v>
      </c>
      <c r="U20" s="21">
        <f>IF(OR(B20="",K20="",L20="",L20=0),"",ROUND(K20/L20+IF(P20="",0,P20)/MAX(1,T20),2))</f>
        <v>0</v>
      </c>
      <c r="V20" s="31">
        <f>IF(B20="","",IF(O20="",MaintenanceDays,O20))</f>
        <v>0</v>
      </c>
      <c r="W20" s="18">
        <f>IF(OR(B20="",N20=""),"",N20+V20)</f>
        <v>0</v>
      </c>
      <c r="X20" s="31">
        <f>IF(W20="","",W20-TodayDate)</f>
        <v>0</v>
      </c>
      <c r="Y20" s="31">
        <f>IF(OR(B20="",J20="",L20=""),"",YEAR(J20)+L20)</f>
        <v>0</v>
      </c>
      <c r="Z20" s="39">
        <f>IF(B20="","",IF(G20="Retired","Archived",IF(G20="Lost or stolen","Action - report it",IF(G20="In repair","Check - in for repair",IF(AND(X20&lt;&gt;"",X20&lt;0),"Overdue - service it",IF(AND(X20&lt;&gt;"",X20&lt;=14),"Due - service coming up",IF(AND(N20="",J20&lt;&gt;""),"Add - never serviced",IF(AND(T20&lt;&gt;"",L20&lt;&gt;"",T20&gt;L20),"Check - past its expected life","OK"))))))))</f>
        <v>0</v>
      </c>
    </row>
    <row r="21" spans="1:26">
      <c r="A21" s="43">
        <f>IF(B21="","",EquipmentPrefix&amp;TEXT(ROW()-4,"000"))</f>
        <v>0</v>
      </c>
      <c r="T21" s="34">
        <f>IF(OR(B21="",J21=""),"",ROUND((TodayDate-J21)/365.25,1))</f>
        <v>0</v>
      </c>
      <c r="U21" s="21">
        <f>IF(OR(B21="",K21="",L21="",L21=0),"",ROUND(K21/L21+IF(P21="",0,P21)/MAX(1,T21),2))</f>
        <v>0</v>
      </c>
      <c r="V21" s="31">
        <f>IF(B21="","",IF(O21="",MaintenanceDays,O21))</f>
        <v>0</v>
      </c>
      <c r="W21" s="18">
        <f>IF(OR(B21="",N21=""),"",N21+V21)</f>
        <v>0</v>
      </c>
      <c r="X21" s="31">
        <f>IF(W21="","",W21-TodayDate)</f>
        <v>0</v>
      </c>
      <c r="Y21" s="31">
        <f>IF(OR(B21="",J21="",L21=""),"",YEAR(J21)+L21)</f>
        <v>0</v>
      </c>
      <c r="Z21" s="39">
        <f>IF(B21="","",IF(G21="Retired","Archived",IF(G21="Lost or stolen","Action - report it",IF(G21="In repair","Check - in for repair",IF(AND(X21&lt;&gt;"",X21&lt;0),"Overdue - service it",IF(AND(X21&lt;&gt;"",X21&lt;=14),"Due - service coming up",IF(AND(N21="",J21&lt;&gt;""),"Add - never serviced",IF(AND(T21&lt;&gt;"",L21&lt;&gt;"",T21&gt;L21),"Check - past its expected life","OK"))))))))</f>
        <v>0</v>
      </c>
    </row>
    <row r="22" spans="1:26">
      <c r="A22" s="43">
        <f>IF(B22="","",EquipmentPrefix&amp;TEXT(ROW()-4,"000"))</f>
        <v>0</v>
      </c>
      <c r="T22" s="34">
        <f>IF(OR(B22="",J22=""),"",ROUND((TodayDate-J22)/365.25,1))</f>
        <v>0</v>
      </c>
      <c r="U22" s="21">
        <f>IF(OR(B22="",K22="",L22="",L22=0),"",ROUND(K22/L22+IF(P22="",0,P22)/MAX(1,T22),2))</f>
        <v>0</v>
      </c>
      <c r="V22" s="31">
        <f>IF(B22="","",IF(O22="",MaintenanceDays,O22))</f>
        <v>0</v>
      </c>
      <c r="W22" s="18">
        <f>IF(OR(B22="",N22=""),"",N22+V22)</f>
        <v>0</v>
      </c>
      <c r="X22" s="31">
        <f>IF(W22="","",W22-TodayDate)</f>
        <v>0</v>
      </c>
      <c r="Y22" s="31">
        <f>IF(OR(B22="",J22="",L22=""),"",YEAR(J22)+L22)</f>
        <v>0</v>
      </c>
      <c r="Z22" s="39">
        <f>IF(B22="","",IF(G22="Retired","Archived",IF(G22="Lost or stolen","Action - report it",IF(G22="In repair","Check - in for repair",IF(AND(X22&lt;&gt;"",X22&lt;0),"Overdue - service it",IF(AND(X22&lt;&gt;"",X22&lt;=14),"Due - service coming up",IF(AND(N22="",J22&lt;&gt;""),"Add - never serviced",IF(AND(T22&lt;&gt;"",L22&lt;&gt;"",T22&gt;L22),"Check - past its expected life","OK"))))))))</f>
        <v>0</v>
      </c>
    </row>
    <row r="23" spans="1:26">
      <c r="A23" s="43">
        <f>IF(B23="","",EquipmentPrefix&amp;TEXT(ROW()-4,"000"))</f>
        <v>0</v>
      </c>
      <c r="T23" s="34">
        <f>IF(OR(B23="",J23=""),"",ROUND((TodayDate-J23)/365.25,1))</f>
        <v>0</v>
      </c>
      <c r="U23" s="21">
        <f>IF(OR(B23="",K23="",L23="",L23=0),"",ROUND(K23/L23+IF(P23="",0,P23)/MAX(1,T23),2))</f>
        <v>0</v>
      </c>
      <c r="V23" s="31">
        <f>IF(B23="","",IF(O23="",MaintenanceDays,O23))</f>
        <v>0</v>
      </c>
      <c r="W23" s="18">
        <f>IF(OR(B23="",N23=""),"",N23+V23)</f>
        <v>0</v>
      </c>
      <c r="X23" s="31">
        <f>IF(W23="","",W23-TodayDate)</f>
        <v>0</v>
      </c>
      <c r="Y23" s="31">
        <f>IF(OR(B23="",J23="",L23=""),"",YEAR(J23)+L23)</f>
        <v>0</v>
      </c>
      <c r="Z23" s="39">
        <f>IF(B23="","",IF(G23="Retired","Archived",IF(G23="Lost or stolen","Action - report it",IF(G23="In repair","Check - in for repair",IF(AND(X23&lt;&gt;"",X23&lt;0),"Overdue - service it",IF(AND(X23&lt;&gt;"",X23&lt;=14),"Due - service coming up",IF(AND(N23="",J23&lt;&gt;""),"Add - never serviced",IF(AND(T23&lt;&gt;"",L23&lt;&gt;"",T23&gt;L23),"Check - past its expected life","OK"))))))))</f>
        <v>0</v>
      </c>
    </row>
    <row r="24" spans="1:26">
      <c r="A24" s="43">
        <f>IF(B24="","",EquipmentPrefix&amp;TEXT(ROW()-4,"000"))</f>
        <v>0</v>
      </c>
      <c r="T24" s="34">
        <f>IF(OR(B24="",J24=""),"",ROUND((TodayDate-J24)/365.25,1))</f>
        <v>0</v>
      </c>
      <c r="U24" s="21">
        <f>IF(OR(B24="",K24="",L24="",L24=0),"",ROUND(K24/L24+IF(P24="",0,P24)/MAX(1,T24),2))</f>
        <v>0</v>
      </c>
      <c r="V24" s="31">
        <f>IF(B24="","",IF(O24="",MaintenanceDays,O24))</f>
        <v>0</v>
      </c>
      <c r="W24" s="18">
        <f>IF(OR(B24="",N24=""),"",N24+V24)</f>
        <v>0</v>
      </c>
      <c r="X24" s="31">
        <f>IF(W24="","",W24-TodayDate)</f>
        <v>0</v>
      </c>
      <c r="Y24" s="31">
        <f>IF(OR(B24="",J24="",L24=""),"",YEAR(J24)+L24)</f>
        <v>0</v>
      </c>
      <c r="Z24" s="39">
        <f>IF(B24="","",IF(G24="Retired","Archived",IF(G24="Lost or stolen","Action - report it",IF(G24="In repair","Check - in for repair",IF(AND(X24&lt;&gt;"",X24&lt;0),"Overdue - service it",IF(AND(X24&lt;&gt;"",X24&lt;=14),"Due - service coming up",IF(AND(N24="",J24&lt;&gt;""),"Add - never serviced",IF(AND(T24&lt;&gt;"",L24&lt;&gt;"",T24&gt;L24),"Check - past its expected life","OK"))))))))</f>
        <v>0</v>
      </c>
    </row>
    <row r="25" spans="1:26">
      <c r="A25" s="43">
        <f>IF(B25="","",EquipmentPrefix&amp;TEXT(ROW()-4,"000"))</f>
        <v>0</v>
      </c>
      <c r="T25" s="34">
        <f>IF(OR(B25="",J25=""),"",ROUND((TodayDate-J25)/365.25,1))</f>
        <v>0</v>
      </c>
      <c r="U25" s="21">
        <f>IF(OR(B25="",K25="",L25="",L25=0),"",ROUND(K25/L25+IF(P25="",0,P25)/MAX(1,T25),2))</f>
        <v>0</v>
      </c>
      <c r="V25" s="31">
        <f>IF(B25="","",IF(O25="",MaintenanceDays,O25))</f>
        <v>0</v>
      </c>
      <c r="W25" s="18">
        <f>IF(OR(B25="",N25=""),"",N25+V25)</f>
        <v>0</v>
      </c>
      <c r="X25" s="31">
        <f>IF(W25="","",W25-TodayDate)</f>
        <v>0</v>
      </c>
      <c r="Y25" s="31">
        <f>IF(OR(B25="",J25="",L25=""),"",YEAR(J25)+L25)</f>
        <v>0</v>
      </c>
      <c r="Z25" s="39">
        <f>IF(B25="","",IF(G25="Retired","Archived",IF(G25="Lost or stolen","Action - report it",IF(G25="In repair","Check - in for repair",IF(AND(X25&lt;&gt;"",X25&lt;0),"Overdue - service it",IF(AND(X25&lt;&gt;"",X25&lt;=14),"Due - service coming up",IF(AND(N25="",J25&lt;&gt;""),"Add - never serviced",IF(AND(T25&lt;&gt;"",L25&lt;&gt;"",T25&gt;L25),"Check - past its expected life","OK"))))))))</f>
        <v>0</v>
      </c>
    </row>
    <row r="26" spans="1:26">
      <c r="A26" s="43">
        <f>IF(B26="","",EquipmentPrefix&amp;TEXT(ROW()-4,"000"))</f>
        <v>0</v>
      </c>
      <c r="T26" s="34">
        <f>IF(OR(B26="",J26=""),"",ROUND((TodayDate-J26)/365.25,1))</f>
        <v>0</v>
      </c>
      <c r="U26" s="21">
        <f>IF(OR(B26="",K26="",L26="",L26=0),"",ROUND(K26/L26+IF(P26="",0,P26)/MAX(1,T26),2))</f>
        <v>0</v>
      </c>
      <c r="V26" s="31">
        <f>IF(B26="","",IF(O26="",MaintenanceDays,O26))</f>
        <v>0</v>
      </c>
      <c r="W26" s="18">
        <f>IF(OR(B26="",N26=""),"",N26+V26)</f>
        <v>0</v>
      </c>
      <c r="X26" s="31">
        <f>IF(W26="","",W26-TodayDate)</f>
        <v>0</v>
      </c>
      <c r="Y26" s="31">
        <f>IF(OR(B26="",J26="",L26=""),"",YEAR(J26)+L26)</f>
        <v>0</v>
      </c>
      <c r="Z26" s="39">
        <f>IF(B26="","",IF(G26="Retired","Archived",IF(G26="Lost or stolen","Action - report it",IF(G26="In repair","Check - in for repair",IF(AND(X26&lt;&gt;"",X26&lt;0),"Overdue - service it",IF(AND(X26&lt;&gt;"",X26&lt;=14),"Due - service coming up",IF(AND(N26="",J26&lt;&gt;""),"Add - never serviced",IF(AND(T26&lt;&gt;"",L26&lt;&gt;"",T26&gt;L26),"Check - past its expected life","OK"))))))))</f>
        <v>0</v>
      </c>
    </row>
    <row r="27" spans="1:26">
      <c r="A27" s="43">
        <f>IF(B27="","",EquipmentPrefix&amp;TEXT(ROW()-4,"000"))</f>
        <v>0</v>
      </c>
      <c r="T27" s="34">
        <f>IF(OR(B27="",J27=""),"",ROUND((TodayDate-J27)/365.25,1))</f>
        <v>0</v>
      </c>
      <c r="U27" s="21">
        <f>IF(OR(B27="",K27="",L27="",L27=0),"",ROUND(K27/L27+IF(P27="",0,P27)/MAX(1,T27),2))</f>
        <v>0</v>
      </c>
      <c r="V27" s="31">
        <f>IF(B27="","",IF(O27="",MaintenanceDays,O27))</f>
        <v>0</v>
      </c>
      <c r="W27" s="18">
        <f>IF(OR(B27="",N27=""),"",N27+V27)</f>
        <v>0</v>
      </c>
      <c r="X27" s="31">
        <f>IF(W27="","",W27-TodayDate)</f>
        <v>0</v>
      </c>
      <c r="Y27" s="31">
        <f>IF(OR(B27="",J27="",L27=""),"",YEAR(J27)+L27)</f>
        <v>0</v>
      </c>
      <c r="Z27" s="39">
        <f>IF(B27="","",IF(G27="Retired","Archived",IF(G27="Lost or stolen","Action - report it",IF(G27="In repair","Check - in for repair",IF(AND(X27&lt;&gt;"",X27&lt;0),"Overdue - service it",IF(AND(X27&lt;&gt;"",X27&lt;=14),"Due - service coming up",IF(AND(N27="",J27&lt;&gt;""),"Add - never serviced",IF(AND(T27&lt;&gt;"",L27&lt;&gt;"",T27&gt;L27),"Check - past its expected life","OK"))))))))</f>
        <v>0</v>
      </c>
    </row>
    <row r="28" spans="1:26">
      <c r="A28" s="43">
        <f>IF(B28="","",EquipmentPrefix&amp;TEXT(ROW()-4,"000"))</f>
        <v>0</v>
      </c>
      <c r="T28" s="34">
        <f>IF(OR(B28="",J28=""),"",ROUND((TodayDate-J28)/365.25,1))</f>
        <v>0</v>
      </c>
      <c r="U28" s="21">
        <f>IF(OR(B28="",K28="",L28="",L28=0),"",ROUND(K28/L28+IF(P28="",0,P28)/MAX(1,T28),2))</f>
        <v>0</v>
      </c>
      <c r="V28" s="31">
        <f>IF(B28="","",IF(O28="",MaintenanceDays,O28))</f>
        <v>0</v>
      </c>
      <c r="W28" s="18">
        <f>IF(OR(B28="",N28=""),"",N28+V28)</f>
        <v>0</v>
      </c>
      <c r="X28" s="31">
        <f>IF(W28="","",W28-TodayDate)</f>
        <v>0</v>
      </c>
      <c r="Y28" s="31">
        <f>IF(OR(B28="",J28="",L28=""),"",YEAR(J28)+L28)</f>
        <v>0</v>
      </c>
      <c r="Z28" s="39">
        <f>IF(B28="","",IF(G28="Retired","Archived",IF(G28="Lost or stolen","Action - report it",IF(G28="In repair","Check - in for repair",IF(AND(X28&lt;&gt;"",X28&lt;0),"Overdue - service it",IF(AND(X28&lt;&gt;"",X28&lt;=14),"Due - service coming up",IF(AND(N28="",J28&lt;&gt;""),"Add - never serviced",IF(AND(T28&lt;&gt;"",L28&lt;&gt;"",T28&gt;L28),"Check - past its expected life","OK"))))))))</f>
        <v>0</v>
      </c>
    </row>
    <row r="29" spans="1:26">
      <c r="A29" s="43">
        <f>IF(B29="","",EquipmentPrefix&amp;TEXT(ROW()-4,"000"))</f>
        <v>0</v>
      </c>
      <c r="T29" s="34">
        <f>IF(OR(B29="",J29=""),"",ROUND((TodayDate-J29)/365.25,1))</f>
        <v>0</v>
      </c>
      <c r="U29" s="21">
        <f>IF(OR(B29="",K29="",L29="",L29=0),"",ROUND(K29/L29+IF(P29="",0,P29)/MAX(1,T29),2))</f>
        <v>0</v>
      </c>
      <c r="V29" s="31">
        <f>IF(B29="","",IF(O29="",MaintenanceDays,O29))</f>
        <v>0</v>
      </c>
      <c r="W29" s="18">
        <f>IF(OR(B29="",N29=""),"",N29+V29)</f>
        <v>0</v>
      </c>
      <c r="X29" s="31">
        <f>IF(W29="","",W29-TodayDate)</f>
        <v>0</v>
      </c>
      <c r="Y29" s="31">
        <f>IF(OR(B29="",J29="",L29=""),"",YEAR(J29)+L29)</f>
        <v>0</v>
      </c>
      <c r="Z29" s="39">
        <f>IF(B29="","",IF(G29="Retired","Archived",IF(G29="Lost or stolen","Action - report it",IF(G29="In repair","Check - in for repair",IF(AND(X29&lt;&gt;"",X29&lt;0),"Overdue - service it",IF(AND(X29&lt;&gt;"",X29&lt;=14),"Due - service coming up",IF(AND(N29="",J29&lt;&gt;""),"Add - never serviced",IF(AND(T29&lt;&gt;"",L29&lt;&gt;"",T29&gt;L29),"Check - past its expected life","OK"))))))))</f>
        <v>0</v>
      </c>
    </row>
    <row r="30" spans="1:26">
      <c r="A30" s="43">
        <f>IF(B30="","",EquipmentPrefix&amp;TEXT(ROW()-4,"000"))</f>
        <v>0</v>
      </c>
      <c r="T30" s="34">
        <f>IF(OR(B30="",J30=""),"",ROUND((TodayDate-J30)/365.25,1))</f>
        <v>0</v>
      </c>
      <c r="U30" s="21">
        <f>IF(OR(B30="",K30="",L30="",L30=0),"",ROUND(K30/L30+IF(P30="",0,P30)/MAX(1,T30),2))</f>
        <v>0</v>
      </c>
      <c r="V30" s="31">
        <f>IF(B30="","",IF(O30="",MaintenanceDays,O30))</f>
        <v>0</v>
      </c>
      <c r="W30" s="18">
        <f>IF(OR(B30="",N30=""),"",N30+V30)</f>
        <v>0</v>
      </c>
      <c r="X30" s="31">
        <f>IF(W30="","",W30-TodayDate)</f>
        <v>0</v>
      </c>
      <c r="Y30" s="31">
        <f>IF(OR(B30="",J30="",L30=""),"",YEAR(J30)+L30)</f>
        <v>0</v>
      </c>
      <c r="Z30" s="39">
        <f>IF(B30="","",IF(G30="Retired","Archived",IF(G30="Lost or stolen","Action - report it",IF(G30="In repair","Check - in for repair",IF(AND(X30&lt;&gt;"",X30&lt;0),"Overdue - service it",IF(AND(X30&lt;&gt;"",X30&lt;=14),"Due - service coming up",IF(AND(N30="",J30&lt;&gt;""),"Add - never serviced",IF(AND(T30&lt;&gt;"",L30&lt;&gt;"",T30&gt;L30),"Check - past its expected life","OK"))))))))</f>
        <v>0</v>
      </c>
    </row>
    <row r="31" spans="1:26">
      <c r="A31" s="43">
        <f>IF(B31="","",EquipmentPrefix&amp;TEXT(ROW()-4,"000"))</f>
        <v>0</v>
      </c>
      <c r="T31" s="34">
        <f>IF(OR(B31="",J31=""),"",ROUND((TodayDate-J31)/365.25,1))</f>
        <v>0</v>
      </c>
      <c r="U31" s="21">
        <f>IF(OR(B31="",K31="",L31="",L31=0),"",ROUND(K31/L31+IF(P31="",0,P31)/MAX(1,T31),2))</f>
        <v>0</v>
      </c>
      <c r="V31" s="31">
        <f>IF(B31="","",IF(O31="",MaintenanceDays,O31))</f>
        <v>0</v>
      </c>
      <c r="W31" s="18">
        <f>IF(OR(B31="",N31=""),"",N31+V31)</f>
        <v>0</v>
      </c>
      <c r="X31" s="31">
        <f>IF(W31="","",W31-TodayDate)</f>
        <v>0</v>
      </c>
      <c r="Y31" s="31">
        <f>IF(OR(B31="",J31="",L31=""),"",YEAR(J31)+L31)</f>
        <v>0</v>
      </c>
      <c r="Z31" s="39">
        <f>IF(B31="","",IF(G31="Retired","Archived",IF(G31="Lost or stolen","Action - report it",IF(G31="In repair","Check - in for repair",IF(AND(X31&lt;&gt;"",X31&lt;0),"Overdue - service it",IF(AND(X31&lt;&gt;"",X31&lt;=14),"Due - service coming up",IF(AND(N31="",J31&lt;&gt;""),"Add - never serviced",IF(AND(T31&lt;&gt;"",L31&lt;&gt;"",T31&gt;L31),"Check - past its expected life","OK"))))))))</f>
        <v>0</v>
      </c>
    </row>
    <row r="32" spans="1:26">
      <c r="A32" s="43">
        <f>IF(B32="","",EquipmentPrefix&amp;TEXT(ROW()-4,"000"))</f>
        <v>0</v>
      </c>
      <c r="T32" s="34">
        <f>IF(OR(B32="",J32=""),"",ROUND((TodayDate-J32)/365.25,1))</f>
        <v>0</v>
      </c>
      <c r="U32" s="21">
        <f>IF(OR(B32="",K32="",L32="",L32=0),"",ROUND(K32/L32+IF(P32="",0,P32)/MAX(1,T32),2))</f>
        <v>0</v>
      </c>
      <c r="V32" s="31">
        <f>IF(B32="","",IF(O32="",MaintenanceDays,O32))</f>
        <v>0</v>
      </c>
      <c r="W32" s="18">
        <f>IF(OR(B32="",N32=""),"",N32+V32)</f>
        <v>0</v>
      </c>
      <c r="X32" s="31">
        <f>IF(W32="","",W32-TodayDate)</f>
        <v>0</v>
      </c>
      <c r="Y32" s="31">
        <f>IF(OR(B32="",J32="",L32=""),"",YEAR(J32)+L32)</f>
        <v>0</v>
      </c>
      <c r="Z32" s="39">
        <f>IF(B32="","",IF(G32="Retired","Archived",IF(G32="Lost or stolen","Action - report it",IF(G32="In repair","Check - in for repair",IF(AND(X32&lt;&gt;"",X32&lt;0),"Overdue - service it",IF(AND(X32&lt;&gt;"",X32&lt;=14),"Due - service coming up",IF(AND(N32="",J32&lt;&gt;""),"Add - never serviced",IF(AND(T32&lt;&gt;"",L32&lt;&gt;"",T32&gt;L32),"Check - past its expected life","OK"))))))))</f>
        <v>0</v>
      </c>
    </row>
    <row r="33" spans="1:26">
      <c r="A33" s="43">
        <f>IF(B33="","",EquipmentPrefix&amp;TEXT(ROW()-4,"000"))</f>
        <v>0</v>
      </c>
      <c r="T33" s="34">
        <f>IF(OR(B33="",J33=""),"",ROUND((TodayDate-J33)/365.25,1))</f>
        <v>0</v>
      </c>
      <c r="U33" s="21">
        <f>IF(OR(B33="",K33="",L33="",L33=0),"",ROUND(K33/L33+IF(P33="",0,P33)/MAX(1,T33),2))</f>
        <v>0</v>
      </c>
      <c r="V33" s="31">
        <f>IF(B33="","",IF(O33="",MaintenanceDays,O33))</f>
        <v>0</v>
      </c>
      <c r="W33" s="18">
        <f>IF(OR(B33="",N33=""),"",N33+V33)</f>
        <v>0</v>
      </c>
      <c r="X33" s="31">
        <f>IF(W33="","",W33-TodayDate)</f>
        <v>0</v>
      </c>
      <c r="Y33" s="31">
        <f>IF(OR(B33="",J33="",L33=""),"",YEAR(J33)+L33)</f>
        <v>0</v>
      </c>
      <c r="Z33" s="39">
        <f>IF(B33="","",IF(G33="Retired","Archived",IF(G33="Lost or stolen","Action - report it",IF(G33="In repair","Check - in for repair",IF(AND(X33&lt;&gt;"",X33&lt;0),"Overdue - service it",IF(AND(X33&lt;&gt;"",X33&lt;=14),"Due - service coming up",IF(AND(N33="",J33&lt;&gt;""),"Add - never serviced",IF(AND(T33&lt;&gt;"",L33&lt;&gt;"",T33&gt;L33),"Check - past its expected life","OK"))))))))</f>
        <v>0</v>
      </c>
    </row>
    <row r="34" spans="1:26">
      <c r="A34" s="43">
        <f>IF(B34="","",EquipmentPrefix&amp;TEXT(ROW()-4,"000"))</f>
        <v>0</v>
      </c>
      <c r="T34" s="34">
        <f>IF(OR(B34="",J34=""),"",ROUND((TodayDate-J34)/365.25,1))</f>
        <v>0</v>
      </c>
      <c r="U34" s="21">
        <f>IF(OR(B34="",K34="",L34="",L34=0),"",ROUND(K34/L34+IF(P34="",0,P34)/MAX(1,T34),2))</f>
        <v>0</v>
      </c>
      <c r="V34" s="31">
        <f>IF(B34="","",IF(O34="",MaintenanceDays,O34))</f>
        <v>0</v>
      </c>
      <c r="W34" s="18">
        <f>IF(OR(B34="",N34=""),"",N34+V34)</f>
        <v>0</v>
      </c>
      <c r="X34" s="31">
        <f>IF(W34="","",W34-TodayDate)</f>
        <v>0</v>
      </c>
      <c r="Y34" s="31">
        <f>IF(OR(B34="",J34="",L34=""),"",YEAR(J34)+L34)</f>
        <v>0</v>
      </c>
      <c r="Z34" s="39">
        <f>IF(B34="","",IF(G34="Retired","Archived",IF(G34="Lost or stolen","Action - report it",IF(G34="In repair","Check - in for repair",IF(AND(X34&lt;&gt;"",X34&lt;0),"Overdue - service it",IF(AND(X34&lt;&gt;"",X34&lt;=14),"Due - service coming up",IF(AND(N34="",J34&lt;&gt;""),"Add - never serviced",IF(AND(T34&lt;&gt;"",L34&lt;&gt;"",T34&gt;L34),"Check - past its expected life","OK"))))))))</f>
        <v>0</v>
      </c>
    </row>
    <row r="35" spans="1:26">
      <c r="A35" s="43">
        <f>IF(B35="","",EquipmentPrefix&amp;TEXT(ROW()-4,"000"))</f>
        <v>0</v>
      </c>
      <c r="T35" s="34">
        <f>IF(OR(B35="",J35=""),"",ROUND((TodayDate-J35)/365.25,1))</f>
        <v>0</v>
      </c>
      <c r="U35" s="21">
        <f>IF(OR(B35="",K35="",L35="",L35=0),"",ROUND(K35/L35+IF(P35="",0,P35)/MAX(1,T35),2))</f>
        <v>0</v>
      </c>
      <c r="V35" s="31">
        <f>IF(B35="","",IF(O35="",MaintenanceDays,O35))</f>
        <v>0</v>
      </c>
      <c r="W35" s="18">
        <f>IF(OR(B35="",N35=""),"",N35+V35)</f>
        <v>0</v>
      </c>
      <c r="X35" s="31">
        <f>IF(W35="","",W35-TodayDate)</f>
        <v>0</v>
      </c>
      <c r="Y35" s="31">
        <f>IF(OR(B35="",J35="",L35=""),"",YEAR(J35)+L35)</f>
        <v>0</v>
      </c>
      <c r="Z35" s="39">
        <f>IF(B35="","",IF(G35="Retired","Archived",IF(G35="Lost or stolen","Action - report it",IF(G35="In repair","Check - in for repair",IF(AND(X35&lt;&gt;"",X35&lt;0),"Overdue - service it",IF(AND(X35&lt;&gt;"",X35&lt;=14),"Due - service coming up",IF(AND(N35="",J35&lt;&gt;""),"Add - never serviced",IF(AND(T35&lt;&gt;"",L35&lt;&gt;"",T35&gt;L35),"Check - past its expected life","OK"))))))))</f>
        <v>0</v>
      </c>
    </row>
    <row r="36" spans="1:26">
      <c r="A36" s="43">
        <f>IF(B36="","",EquipmentPrefix&amp;TEXT(ROW()-4,"000"))</f>
        <v>0</v>
      </c>
      <c r="T36" s="34">
        <f>IF(OR(B36="",J36=""),"",ROUND((TodayDate-J36)/365.25,1))</f>
        <v>0</v>
      </c>
      <c r="U36" s="21">
        <f>IF(OR(B36="",K36="",L36="",L36=0),"",ROUND(K36/L36+IF(P36="",0,P36)/MAX(1,T36),2))</f>
        <v>0</v>
      </c>
      <c r="V36" s="31">
        <f>IF(B36="","",IF(O36="",MaintenanceDays,O36))</f>
        <v>0</v>
      </c>
      <c r="W36" s="18">
        <f>IF(OR(B36="",N36=""),"",N36+V36)</f>
        <v>0</v>
      </c>
      <c r="X36" s="31">
        <f>IF(W36="","",W36-TodayDate)</f>
        <v>0</v>
      </c>
      <c r="Y36" s="31">
        <f>IF(OR(B36="",J36="",L36=""),"",YEAR(J36)+L36)</f>
        <v>0</v>
      </c>
      <c r="Z36" s="39">
        <f>IF(B36="","",IF(G36="Retired","Archived",IF(G36="Lost or stolen","Action - report it",IF(G36="In repair","Check - in for repair",IF(AND(X36&lt;&gt;"",X36&lt;0),"Overdue - service it",IF(AND(X36&lt;&gt;"",X36&lt;=14),"Due - service coming up",IF(AND(N36="",J36&lt;&gt;""),"Add - never serviced",IF(AND(T36&lt;&gt;"",L36&lt;&gt;"",T36&gt;L36),"Check - past its expected life","OK"))))))))</f>
        <v>0</v>
      </c>
    </row>
    <row r="37" spans="1:26">
      <c r="A37" s="43">
        <f>IF(B37="","",EquipmentPrefix&amp;TEXT(ROW()-4,"000"))</f>
        <v>0</v>
      </c>
      <c r="T37" s="34">
        <f>IF(OR(B37="",J37=""),"",ROUND((TodayDate-J37)/365.25,1))</f>
        <v>0</v>
      </c>
      <c r="U37" s="21">
        <f>IF(OR(B37="",K37="",L37="",L37=0),"",ROUND(K37/L37+IF(P37="",0,P37)/MAX(1,T37),2))</f>
        <v>0</v>
      </c>
      <c r="V37" s="31">
        <f>IF(B37="","",IF(O37="",MaintenanceDays,O37))</f>
        <v>0</v>
      </c>
      <c r="W37" s="18">
        <f>IF(OR(B37="",N37=""),"",N37+V37)</f>
        <v>0</v>
      </c>
      <c r="X37" s="31">
        <f>IF(W37="","",W37-TodayDate)</f>
        <v>0</v>
      </c>
      <c r="Y37" s="31">
        <f>IF(OR(B37="",J37="",L37=""),"",YEAR(J37)+L37)</f>
        <v>0</v>
      </c>
      <c r="Z37" s="39">
        <f>IF(B37="","",IF(G37="Retired","Archived",IF(G37="Lost or stolen","Action - report it",IF(G37="In repair","Check - in for repair",IF(AND(X37&lt;&gt;"",X37&lt;0),"Overdue - service it",IF(AND(X37&lt;&gt;"",X37&lt;=14),"Due - service coming up",IF(AND(N37="",J37&lt;&gt;""),"Add - never serviced",IF(AND(T37&lt;&gt;"",L37&lt;&gt;"",T37&gt;L37),"Check - past its expected life","OK"))))))))</f>
        <v>0</v>
      </c>
    </row>
    <row r="38" spans="1:26">
      <c r="A38" s="43">
        <f>IF(B38="","",EquipmentPrefix&amp;TEXT(ROW()-4,"000"))</f>
        <v>0</v>
      </c>
      <c r="T38" s="34">
        <f>IF(OR(B38="",J38=""),"",ROUND((TodayDate-J38)/365.25,1))</f>
        <v>0</v>
      </c>
      <c r="U38" s="21">
        <f>IF(OR(B38="",K38="",L38="",L38=0),"",ROUND(K38/L38+IF(P38="",0,P38)/MAX(1,T38),2))</f>
        <v>0</v>
      </c>
      <c r="V38" s="31">
        <f>IF(B38="","",IF(O38="",MaintenanceDays,O38))</f>
        <v>0</v>
      </c>
      <c r="W38" s="18">
        <f>IF(OR(B38="",N38=""),"",N38+V38)</f>
        <v>0</v>
      </c>
      <c r="X38" s="31">
        <f>IF(W38="","",W38-TodayDate)</f>
        <v>0</v>
      </c>
      <c r="Y38" s="31">
        <f>IF(OR(B38="",J38="",L38=""),"",YEAR(J38)+L38)</f>
        <v>0</v>
      </c>
      <c r="Z38" s="39">
        <f>IF(B38="","",IF(G38="Retired","Archived",IF(G38="Lost or stolen","Action - report it",IF(G38="In repair","Check - in for repair",IF(AND(X38&lt;&gt;"",X38&lt;0),"Overdue - service it",IF(AND(X38&lt;&gt;"",X38&lt;=14),"Due - service coming up",IF(AND(N38="",J38&lt;&gt;""),"Add - never serviced",IF(AND(T38&lt;&gt;"",L38&lt;&gt;"",T38&gt;L38),"Check - past its expected life","OK"))))))))</f>
        <v>0</v>
      </c>
    </row>
    <row r="39" spans="1:26">
      <c r="A39" s="43">
        <f>IF(B39="","",EquipmentPrefix&amp;TEXT(ROW()-4,"000"))</f>
        <v>0</v>
      </c>
      <c r="T39" s="34">
        <f>IF(OR(B39="",J39=""),"",ROUND((TodayDate-J39)/365.25,1))</f>
        <v>0</v>
      </c>
      <c r="U39" s="21">
        <f>IF(OR(B39="",K39="",L39="",L39=0),"",ROUND(K39/L39+IF(P39="",0,P39)/MAX(1,T39),2))</f>
        <v>0</v>
      </c>
      <c r="V39" s="31">
        <f>IF(B39="","",IF(O39="",MaintenanceDays,O39))</f>
        <v>0</v>
      </c>
      <c r="W39" s="18">
        <f>IF(OR(B39="",N39=""),"",N39+V39)</f>
        <v>0</v>
      </c>
      <c r="X39" s="31">
        <f>IF(W39="","",W39-TodayDate)</f>
        <v>0</v>
      </c>
      <c r="Y39" s="31">
        <f>IF(OR(B39="",J39="",L39=""),"",YEAR(J39)+L39)</f>
        <v>0</v>
      </c>
      <c r="Z39" s="39">
        <f>IF(B39="","",IF(G39="Retired","Archived",IF(G39="Lost or stolen","Action - report it",IF(G39="In repair","Check - in for repair",IF(AND(X39&lt;&gt;"",X39&lt;0),"Overdue - service it",IF(AND(X39&lt;&gt;"",X39&lt;=14),"Due - service coming up",IF(AND(N39="",J39&lt;&gt;""),"Add - never serviced",IF(AND(T39&lt;&gt;"",L39&lt;&gt;"",T39&gt;L39),"Check - past its expected life","OK"))))))))</f>
        <v>0</v>
      </c>
    </row>
    <row r="40" spans="1:26">
      <c r="A40" s="43">
        <f>IF(B40="","",EquipmentPrefix&amp;TEXT(ROW()-4,"000"))</f>
        <v>0</v>
      </c>
      <c r="T40" s="34">
        <f>IF(OR(B40="",J40=""),"",ROUND((TodayDate-J40)/365.25,1))</f>
        <v>0</v>
      </c>
      <c r="U40" s="21">
        <f>IF(OR(B40="",K40="",L40="",L40=0),"",ROUND(K40/L40+IF(P40="",0,P40)/MAX(1,T40),2))</f>
        <v>0</v>
      </c>
      <c r="V40" s="31">
        <f>IF(B40="","",IF(O40="",MaintenanceDays,O40))</f>
        <v>0</v>
      </c>
      <c r="W40" s="18">
        <f>IF(OR(B40="",N40=""),"",N40+V40)</f>
        <v>0</v>
      </c>
      <c r="X40" s="31">
        <f>IF(W40="","",W40-TodayDate)</f>
        <v>0</v>
      </c>
      <c r="Y40" s="31">
        <f>IF(OR(B40="",J40="",L40=""),"",YEAR(J40)+L40)</f>
        <v>0</v>
      </c>
      <c r="Z40" s="39">
        <f>IF(B40="","",IF(G40="Retired","Archived",IF(G40="Lost or stolen","Action - report it",IF(G40="In repair","Check - in for repair",IF(AND(X40&lt;&gt;"",X40&lt;0),"Overdue - service it",IF(AND(X40&lt;&gt;"",X40&lt;=14),"Due - service coming up",IF(AND(N40="",J40&lt;&gt;""),"Add - never serviced",IF(AND(T40&lt;&gt;"",L40&lt;&gt;"",T40&gt;L40),"Check - past its expected life","OK"))))))))</f>
        <v>0</v>
      </c>
    </row>
    <row r="41" spans="1:26">
      <c r="A41" s="43">
        <f>IF(B41="","",EquipmentPrefix&amp;TEXT(ROW()-4,"000"))</f>
        <v>0</v>
      </c>
      <c r="T41" s="34">
        <f>IF(OR(B41="",J41=""),"",ROUND((TodayDate-J41)/365.25,1))</f>
        <v>0</v>
      </c>
      <c r="U41" s="21">
        <f>IF(OR(B41="",K41="",L41="",L41=0),"",ROUND(K41/L41+IF(P41="",0,P41)/MAX(1,T41),2))</f>
        <v>0</v>
      </c>
      <c r="V41" s="31">
        <f>IF(B41="","",IF(O41="",MaintenanceDays,O41))</f>
        <v>0</v>
      </c>
      <c r="W41" s="18">
        <f>IF(OR(B41="",N41=""),"",N41+V41)</f>
        <v>0</v>
      </c>
      <c r="X41" s="31">
        <f>IF(W41="","",W41-TodayDate)</f>
        <v>0</v>
      </c>
      <c r="Y41" s="31">
        <f>IF(OR(B41="",J41="",L41=""),"",YEAR(J41)+L41)</f>
        <v>0</v>
      </c>
      <c r="Z41" s="39">
        <f>IF(B41="","",IF(G41="Retired","Archived",IF(G41="Lost or stolen","Action - report it",IF(G41="In repair","Check - in for repair",IF(AND(X41&lt;&gt;"",X41&lt;0),"Overdue - service it",IF(AND(X41&lt;&gt;"",X41&lt;=14),"Due - service coming up",IF(AND(N41="",J41&lt;&gt;""),"Add - never serviced",IF(AND(T41&lt;&gt;"",L41&lt;&gt;"",T41&gt;L41),"Check - past its expected life","OK"))))))))</f>
        <v>0</v>
      </c>
    </row>
    <row r="42" spans="1:26">
      <c r="A42" s="43">
        <f>IF(B42="","",EquipmentPrefix&amp;TEXT(ROW()-4,"000"))</f>
        <v>0</v>
      </c>
      <c r="T42" s="34">
        <f>IF(OR(B42="",J42=""),"",ROUND((TodayDate-J42)/365.25,1))</f>
        <v>0</v>
      </c>
      <c r="U42" s="21">
        <f>IF(OR(B42="",K42="",L42="",L42=0),"",ROUND(K42/L42+IF(P42="",0,P42)/MAX(1,T42),2))</f>
        <v>0</v>
      </c>
      <c r="V42" s="31">
        <f>IF(B42="","",IF(O42="",MaintenanceDays,O42))</f>
        <v>0</v>
      </c>
      <c r="W42" s="18">
        <f>IF(OR(B42="",N42=""),"",N42+V42)</f>
        <v>0</v>
      </c>
      <c r="X42" s="31">
        <f>IF(W42="","",W42-TodayDate)</f>
        <v>0</v>
      </c>
      <c r="Y42" s="31">
        <f>IF(OR(B42="",J42="",L42=""),"",YEAR(J42)+L42)</f>
        <v>0</v>
      </c>
      <c r="Z42" s="39">
        <f>IF(B42="","",IF(G42="Retired","Archived",IF(G42="Lost or stolen","Action - report it",IF(G42="In repair","Check - in for repair",IF(AND(X42&lt;&gt;"",X42&lt;0),"Overdue - service it",IF(AND(X42&lt;&gt;"",X42&lt;=14),"Due - service coming up",IF(AND(N42="",J42&lt;&gt;""),"Add - never serviced",IF(AND(T42&lt;&gt;"",L42&lt;&gt;"",T42&gt;L42),"Check - past its expected life","OK"))))))))</f>
        <v>0</v>
      </c>
    </row>
    <row r="43" spans="1:26">
      <c r="A43" s="43">
        <f>IF(B43="","",EquipmentPrefix&amp;TEXT(ROW()-4,"000"))</f>
        <v>0</v>
      </c>
      <c r="T43" s="34">
        <f>IF(OR(B43="",J43=""),"",ROUND((TodayDate-J43)/365.25,1))</f>
        <v>0</v>
      </c>
      <c r="U43" s="21">
        <f>IF(OR(B43="",K43="",L43="",L43=0),"",ROUND(K43/L43+IF(P43="",0,P43)/MAX(1,T43),2))</f>
        <v>0</v>
      </c>
      <c r="V43" s="31">
        <f>IF(B43="","",IF(O43="",MaintenanceDays,O43))</f>
        <v>0</v>
      </c>
      <c r="W43" s="18">
        <f>IF(OR(B43="",N43=""),"",N43+V43)</f>
        <v>0</v>
      </c>
      <c r="X43" s="31">
        <f>IF(W43="","",W43-TodayDate)</f>
        <v>0</v>
      </c>
      <c r="Y43" s="31">
        <f>IF(OR(B43="",J43="",L43=""),"",YEAR(J43)+L43)</f>
        <v>0</v>
      </c>
      <c r="Z43" s="39">
        <f>IF(B43="","",IF(G43="Retired","Archived",IF(G43="Lost or stolen","Action - report it",IF(G43="In repair","Check - in for repair",IF(AND(X43&lt;&gt;"",X43&lt;0),"Overdue - service it",IF(AND(X43&lt;&gt;"",X43&lt;=14),"Due - service coming up",IF(AND(N43="",J43&lt;&gt;""),"Add - never serviced",IF(AND(T43&lt;&gt;"",L43&lt;&gt;"",T43&gt;L43),"Check - past its expected life","OK"))))))))</f>
        <v>0</v>
      </c>
    </row>
    <row r="44" spans="1:26">
      <c r="A44" s="43">
        <f>IF(B44="","",EquipmentPrefix&amp;TEXT(ROW()-4,"000"))</f>
        <v>0</v>
      </c>
      <c r="T44" s="34">
        <f>IF(OR(B44="",J44=""),"",ROUND((TodayDate-J44)/365.25,1))</f>
        <v>0</v>
      </c>
      <c r="U44" s="21">
        <f>IF(OR(B44="",K44="",L44="",L44=0),"",ROUND(K44/L44+IF(P44="",0,P44)/MAX(1,T44),2))</f>
        <v>0</v>
      </c>
      <c r="V44" s="31">
        <f>IF(B44="","",IF(O44="",MaintenanceDays,O44))</f>
        <v>0</v>
      </c>
      <c r="W44" s="18">
        <f>IF(OR(B44="",N44=""),"",N44+V44)</f>
        <v>0</v>
      </c>
      <c r="X44" s="31">
        <f>IF(W44="","",W44-TodayDate)</f>
        <v>0</v>
      </c>
      <c r="Y44" s="31">
        <f>IF(OR(B44="",J44="",L44=""),"",YEAR(J44)+L44)</f>
        <v>0</v>
      </c>
      <c r="Z44" s="39">
        <f>IF(B44="","",IF(G44="Retired","Archived",IF(G44="Lost or stolen","Action - report it",IF(G44="In repair","Check - in for repair",IF(AND(X44&lt;&gt;"",X44&lt;0),"Overdue - service it",IF(AND(X44&lt;&gt;"",X44&lt;=14),"Due - service coming up",IF(AND(N44="",J44&lt;&gt;""),"Add - never serviced",IF(AND(T44&lt;&gt;"",L44&lt;&gt;"",T44&gt;L44),"Check - past its expected life","OK"))))))))</f>
        <v>0</v>
      </c>
    </row>
    <row r="45" spans="1:26">
      <c r="A45" s="43">
        <f>IF(B45="","",EquipmentPrefix&amp;TEXT(ROW()-4,"000"))</f>
        <v>0</v>
      </c>
      <c r="T45" s="34">
        <f>IF(OR(B45="",J45=""),"",ROUND((TodayDate-J45)/365.25,1))</f>
        <v>0</v>
      </c>
      <c r="U45" s="21">
        <f>IF(OR(B45="",K45="",L45="",L45=0),"",ROUND(K45/L45+IF(P45="",0,P45)/MAX(1,T45),2))</f>
        <v>0</v>
      </c>
      <c r="V45" s="31">
        <f>IF(B45="","",IF(O45="",MaintenanceDays,O45))</f>
        <v>0</v>
      </c>
      <c r="W45" s="18">
        <f>IF(OR(B45="",N45=""),"",N45+V45)</f>
        <v>0</v>
      </c>
      <c r="X45" s="31">
        <f>IF(W45="","",W45-TodayDate)</f>
        <v>0</v>
      </c>
      <c r="Y45" s="31">
        <f>IF(OR(B45="",J45="",L45=""),"",YEAR(J45)+L45)</f>
        <v>0</v>
      </c>
      <c r="Z45" s="39">
        <f>IF(B45="","",IF(G45="Retired","Archived",IF(G45="Lost or stolen","Action - report it",IF(G45="In repair","Check - in for repair",IF(AND(X45&lt;&gt;"",X45&lt;0),"Overdue - service it",IF(AND(X45&lt;&gt;"",X45&lt;=14),"Due - service coming up",IF(AND(N45="",J45&lt;&gt;""),"Add - never serviced",IF(AND(T45&lt;&gt;"",L45&lt;&gt;"",T45&gt;L45),"Check - past its expected life","OK"))))))))</f>
        <v>0</v>
      </c>
    </row>
    <row r="46" spans="1:26">
      <c r="A46" s="43">
        <f>IF(B46="","",EquipmentPrefix&amp;TEXT(ROW()-4,"000"))</f>
        <v>0</v>
      </c>
      <c r="T46" s="34">
        <f>IF(OR(B46="",J46=""),"",ROUND((TodayDate-J46)/365.25,1))</f>
        <v>0</v>
      </c>
      <c r="U46" s="21">
        <f>IF(OR(B46="",K46="",L46="",L46=0),"",ROUND(K46/L46+IF(P46="",0,P46)/MAX(1,T46),2))</f>
        <v>0</v>
      </c>
      <c r="V46" s="31">
        <f>IF(B46="","",IF(O46="",MaintenanceDays,O46))</f>
        <v>0</v>
      </c>
      <c r="W46" s="18">
        <f>IF(OR(B46="",N46=""),"",N46+V46)</f>
        <v>0</v>
      </c>
      <c r="X46" s="31">
        <f>IF(W46="","",W46-TodayDate)</f>
        <v>0</v>
      </c>
      <c r="Y46" s="31">
        <f>IF(OR(B46="",J46="",L46=""),"",YEAR(J46)+L46)</f>
        <v>0</v>
      </c>
      <c r="Z46" s="39">
        <f>IF(B46="","",IF(G46="Retired","Archived",IF(G46="Lost or stolen","Action - report it",IF(G46="In repair","Check - in for repair",IF(AND(X46&lt;&gt;"",X46&lt;0),"Overdue - service it",IF(AND(X46&lt;&gt;"",X46&lt;=14),"Due - service coming up",IF(AND(N46="",J46&lt;&gt;""),"Add - never serviced",IF(AND(T46&lt;&gt;"",L46&lt;&gt;"",T46&gt;L46),"Check - past its expected life","OK"))))))))</f>
        <v>0</v>
      </c>
    </row>
    <row r="47" spans="1:26">
      <c r="A47" s="43">
        <f>IF(B47="","",EquipmentPrefix&amp;TEXT(ROW()-4,"000"))</f>
        <v>0</v>
      </c>
      <c r="T47" s="34">
        <f>IF(OR(B47="",J47=""),"",ROUND((TodayDate-J47)/365.25,1))</f>
        <v>0</v>
      </c>
      <c r="U47" s="21">
        <f>IF(OR(B47="",K47="",L47="",L47=0),"",ROUND(K47/L47+IF(P47="",0,P47)/MAX(1,T47),2))</f>
        <v>0</v>
      </c>
      <c r="V47" s="31">
        <f>IF(B47="","",IF(O47="",MaintenanceDays,O47))</f>
        <v>0</v>
      </c>
      <c r="W47" s="18">
        <f>IF(OR(B47="",N47=""),"",N47+V47)</f>
        <v>0</v>
      </c>
      <c r="X47" s="31">
        <f>IF(W47="","",W47-TodayDate)</f>
        <v>0</v>
      </c>
      <c r="Y47" s="31">
        <f>IF(OR(B47="",J47="",L47=""),"",YEAR(J47)+L47)</f>
        <v>0</v>
      </c>
      <c r="Z47" s="39">
        <f>IF(B47="","",IF(G47="Retired","Archived",IF(G47="Lost or stolen","Action - report it",IF(G47="In repair","Check - in for repair",IF(AND(X47&lt;&gt;"",X47&lt;0),"Overdue - service it",IF(AND(X47&lt;&gt;"",X47&lt;=14),"Due - service coming up",IF(AND(N47="",J47&lt;&gt;""),"Add - never serviced",IF(AND(T47&lt;&gt;"",L47&lt;&gt;"",T47&gt;L47),"Check - past its expected life","OK"))))))))</f>
        <v>0</v>
      </c>
    </row>
    <row r="48" spans="1:26">
      <c r="A48" s="43">
        <f>IF(B48="","",EquipmentPrefix&amp;TEXT(ROW()-4,"000"))</f>
        <v>0</v>
      </c>
      <c r="T48" s="34">
        <f>IF(OR(B48="",J48=""),"",ROUND((TodayDate-J48)/365.25,1))</f>
        <v>0</v>
      </c>
      <c r="U48" s="21">
        <f>IF(OR(B48="",K48="",L48="",L48=0),"",ROUND(K48/L48+IF(P48="",0,P48)/MAX(1,T48),2))</f>
        <v>0</v>
      </c>
      <c r="V48" s="31">
        <f>IF(B48="","",IF(O48="",MaintenanceDays,O48))</f>
        <v>0</v>
      </c>
      <c r="W48" s="18">
        <f>IF(OR(B48="",N48=""),"",N48+V48)</f>
        <v>0</v>
      </c>
      <c r="X48" s="31">
        <f>IF(W48="","",W48-TodayDate)</f>
        <v>0</v>
      </c>
      <c r="Y48" s="31">
        <f>IF(OR(B48="",J48="",L48=""),"",YEAR(J48)+L48)</f>
        <v>0</v>
      </c>
      <c r="Z48" s="39">
        <f>IF(B48="","",IF(G48="Retired","Archived",IF(G48="Lost or stolen","Action - report it",IF(G48="In repair","Check - in for repair",IF(AND(X48&lt;&gt;"",X48&lt;0),"Overdue - service it",IF(AND(X48&lt;&gt;"",X48&lt;=14),"Due - service coming up",IF(AND(N48="",J48&lt;&gt;""),"Add - never serviced",IF(AND(T48&lt;&gt;"",L48&lt;&gt;"",T48&gt;L48),"Check - past its expected life","OK"))))))))</f>
        <v>0</v>
      </c>
    </row>
    <row r="49" spans="1:26">
      <c r="A49" s="43">
        <f>IF(B49="","",EquipmentPrefix&amp;TEXT(ROW()-4,"000"))</f>
        <v>0</v>
      </c>
      <c r="T49" s="34">
        <f>IF(OR(B49="",J49=""),"",ROUND((TodayDate-J49)/365.25,1))</f>
        <v>0</v>
      </c>
      <c r="U49" s="21">
        <f>IF(OR(B49="",K49="",L49="",L49=0),"",ROUND(K49/L49+IF(P49="",0,P49)/MAX(1,T49),2))</f>
        <v>0</v>
      </c>
      <c r="V49" s="31">
        <f>IF(B49="","",IF(O49="",MaintenanceDays,O49))</f>
        <v>0</v>
      </c>
      <c r="W49" s="18">
        <f>IF(OR(B49="",N49=""),"",N49+V49)</f>
        <v>0</v>
      </c>
      <c r="X49" s="31">
        <f>IF(W49="","",W49-TodayDate)</f>
        <v>0</v>
      </c>
      <c r="Y49" s="31">
        <f>IF(OR(B49="",J49="",L49=""),"",YEAR(J49)+L49)</f>
        <v>0</v>
      </c>
      <c r="Z49" s="39">
        <f>IF(B49="","",IF(G49="Retired","Archived",IF(G49="Lost or stolen","Action - report it",IF(G49="In repair","Check - in for repair",IF(AND(X49&lt;&gt;"",X49&lt;0),"Overdue - service it",IF(AND(X49&lt;&gt;"",X49&lt;=14),"Due - service coming up",IF(AND(N49="",J49&lt;&gt;""),"Add - never serviced",IF(AND(T49&lt;&gt;"",L49&lt;&gt;"",T49&gt;L49),"Check - past its expected life","OK"))))))))</f>
        <v>0</v>
      </c>
    </row>
    <row r="50" spans="1:26">
      <c r="A50" s="43">
        <f>IF(B50="","",EquipmentPrefix&amp;TEXT(ROW()-4,"000"))</f>
        <v>0</v>
      </c>
      <c r="T50" s="34">
        <f>IF(OR(B50="",J50=""),"",ROUND((TodayDate-J50)/365.25,1))</f>
        <v>0</v>
      </c>
      <c r="U50" s="21">
        <f>IF(OR(B50="",K50="",L50="",L50=0),"",ROUND(K50/L50+IF(P50="",0,P50)/MAX(1,T50),2))</f>
        <v>0</v>
      </c>
      <c r="V50" s="31">
        <f>IF(B50="","",IF(O50="",MaintenanceDays,O50))</f>
        <v>0</v>
      </c>
      <c r="W50" s="18">
        <f>IF(OR(B50="",N50=""),"",N50+V50)</f>
        <v>0</v>
      </c>
      <c r="X50" s="31">
        <f>IF(W50="","",W50-TodayDate)</f>
        <v>0</v>
      </c>
      <c r="Y50" s="31">
        <f>IF(OR(B50="",J50="",L50=""),"",YEAR(J50)+L50)</f>
        <v>0</v>
      </c>
      <c r="Z50" s="39">
        <f>IF(B50="","",IF(G50="Retired","Archived",IF(G50="Lost or stolen","Action - report it",IF(G50="In repair","Check - in for repair",IF(AND(X50&lt;&gt;"",X50&lt;0),"Overdue - service it",IF(AND(X50&lt;&gt;"",X50&lt;=14),"Due - service coming up",IF(AND(N50="",J50&lt;&gt;""),"Add - never serviced",IF(AND(T50&lt;&gt;"",L50&lt;&gt;"",T50&gt;L50),"Check - past its expected life","OK"))))))))</f>
        <v>0</v>
      </c>
    </row>
    <row r="51" spans="1:26">
      <c r="A51" s="43">
        <f>IF(B51="","",EquipmentPrefix&amp;TEXT(ROW()-4,"000"))</f>
        <v>0</v>
      </c>
      <c r="T51" s="34">
        <f>IF(OR(B51="",J51=""),"",ROUND((TodayDate-J51)/365.25,1))</f>
        <v>0</v>
      </c>
      <c r="U51" s="21">
        <f>IF(OR(B51="",K51="",L51="",L51=0),"",ROUND(K51/L51+IF(P51="",0,P51)/MAX(1,T51),2))</f>
        <v>0</v>
      </c>
      <c r="V51" s="31">
        <f>IF(B51="","",IF(O51="",MaintenanceDays,O51))</f>
        <v>0</v>
      </c>
      <c r="W51" s="18">
        <f>IF(OR(B51="",N51=""),"",N51+V51)</f>
        <v>0</v>
      </c>
      <c r="X51" s="31">
        <f>IF(W51="","",W51-TodayDate)</f>
        <v>0</v>
      </c>
      <c r="Y51" s="31">
        <f>IF(OR(B51="",J51="",L51=""),"",YEAR(J51)+L51)</f>
        <v>0</v>
      </c>
      <c r="Z51" s="39">
        <f>IF(B51="","",IF(G51="Retired","Archived",IF(G51="Lost or stolen","Action - report it",IF(G51="In repair","Check - in for repair",IF(AND(X51&lt;&gt;"",X51&lt;0),"Overdue - service it",IF(AND(X51&lt;&gt;"",X51&lt;=14),"Due - service coming up",IF(AND(N51="",J51&lt;&gt;""),"Add - never serviced",IF(AND(T51&lt;&gt;"",L51&lt;&gt;"",T51&gt;L51),"Check - past its expected life","OK"))))))))</f>
        <v>0</v>
      </c>
    </row>
    <row r="52" spans="1:26">
      <c r="A52" s="43">
        <f>IF(B52="","",EquipmentPrefix&amp;TEXT(ROW()-4,"000"))</f>
        <v>0</v>
      </c>
      <c r="T52" s="34">
        <f>IF(OR(B52="",J52=""),"",ROUND((TodayDate-J52)/365.25,1))</f>
        <v>0</v>
      </c>
      <c r="U52" s="21">
        <f>IF(OR(B52="",K52="",L52="",L52=0),"",ROUND(K52/L52+IF(P52="",0,P52)/MAX(1,T52),2))</f>
        <v>0</v>
      </c>
      <c r="V52" s="31">
        <f>IF(B52="","",IF(O52="",MaintenanceDays,O52))</f>
        <v>0</v>
      </c>
      <c r="W52" s="18">
        <f>IF(OR(B52="",N52=""),"",N52+V52)</f>
        <v>0</v>
      </c>
      <c r="X52" s="31">
        <f>IF(W52="","",W52-TodayDate)</f>
        <v>0</v>
      </c>
      <c r="Y52" s="31">
        <f>IF(OR(B52="",J52="",L52=""),"",YEAR(J52)+L52)</f>
        <v>0</v>
      </c>
      <c r="Z52" s="39">
        <f>IF(B52="","",IF(G52="Retired","Archived",IF(G52="Lost or stolen","Action - report it",IF(G52="In repair","Check - in for repair",IF(AND(X52&lt;&gt;"",X52&lt;0),"Overdue - service it",IF(AND(X52&lt;&gt;"",X52&lt;=14),"Due - service coming up",IF(AND(N52="",J52&lt;&gt;""),"Add - never serviced",IF(AND(T52&lt;&gt;"",L52&lt;&gt;"",T52&gt;L52),"Check - past its expected life","OK"))))))))</f>
        <v>0</v>
      </c>
    </row>
    <row r="53" spans="1:26">
      <c r="A53" s="43">
        <f>IF(B53="","",EquipmentPrefix&amp;TEXT(ROW()-4,"000"))</f>
        <v>0</v>
      </c>
      <c r="T53" s="34">
        <f>IF(OR(B53="",J53=""),"",ROUND((TodayDate-J53)/365.25,1))</f>
        <v>0</v>
      </c>
      <c r="U53" s="21">
        <f>IF(OR(B53="",K53="",L53="",L53=0),"",ROUND(K53/L53+IF(P53="",0,P53)/MAX(1,T53),2))</f>
        <v>0</v>
      </c>
      <c r="V53" s="31">
        <f>IF(B53="","",IF(O53="",MaintenanceDays,O53))</f>
        <v>0</v>
      </c>
      <c r="W53" s="18">
        <f>IF(OR(B53="",N53=""),"",N53+V53)</f>
        <v>0</v>
      </c>
      <c r="X53" s="31">
        <f>IF(W53="","",W53-TodayDate)</f>
        <v>0</v>
      </c>
      <c r="Y53" s="31">
        <f>IF(OR(B53="",J53="",L53=""),"",YEAR(J53)+L53)</f>
        <v>0</v>
      </c>
      <c r="Z53" s="39">
        <f>IF(B53="","",IF(G53="Retired","Archived",IF(G53="Lost or stolen","Action - report it",IF(G53="In repair","Check - in for repair",IF(AND(X53&lt;&gt;"",X53&lt;0),"Overdue - service it",IF(AND(X53&lt;&gt;"",X53&lt;=14),"Due - service coming up",IF(AND(N53="",J53&lt;&gt;""),"Add - never serviced",IF(AND(T53&lt;&gt;"",L53&lt;&gt;"",T53&gt;L53),"Check - past its expected life","OK"))))))))</f>
        <v>0</v>
      </c>
    </row>
    <row r="54" spans="1:26">
      <c r="A54" s="43">
        <f>IF(B54="","",EquipmentPrefix&amp;TEXT(ROW()-4,"000"))</f>
        <v>0</v>
      </c>
      <c r="T54" s="34">
        <f>IF(OR(B54="",J54=""),"",ROUND((TodayDate-J54)/365.25,1))</f>
        <v>0</v>
      </c>
      <c r="U54" s="21">
        <f>IF(OR(B54="",K54="",L54="",L54=0),"",ROUND(K54/L54+IF(P54="",0,P54)/MAX(1,T54),2))</f>
        <v>0</v>
      </c>
      <c r="V54" s="31">
        <f>IF(B54="","",IF(O54="",MaintenanceDays,O54))</f>
        <v>0</v>
      </c>
      <c r="W54" s="18">
        <f>IF(OR(B54="",N54=""),"",N54+V54)</f>
        <v>0</v>
      </c>
      <c r="X54" s="31">
        <f>IF(W54="","",W54-TodayDate)</f>
        <v>0</v>
      </c>
      <c r="Y54" s="31">
        <f>IF(OR(B54="",J54="",L54=""),"",YEAR(J54)+L54)</f>
        <v>0</v>
      </c>
      <c r="Z54" s="39">
        <f>IF(B54="","",IF(G54="Retired","Archived",IF(G54="Lost or stolen","Action - report it",IF(G54="In repair","Check - in for repair",IF(AND(X54&lt;&gt;"",X54&lt;0),"Overdue - service it",IF(AND(X54&lt;&gt;"",X54&lt;=14),"Due - service coming up",IF(AND(N54="",J54&lt;&gt;""),"Add - never serviced",IF(AND(T54&lt;&gt;"",L54&lt;&gt;"",T54&gt;L54),"Check - past its expected life","OK"))))))))</f>
        <v>0</v>
      </c>
    </row>
    <row r="55" spans="1:26">
      <c r="A55" s="43">
        <f>IF(B55="","",EquipmentPrefix&amp;TEXT(ROW()-4,"000"))</f>
        <v>0</v>
      </c>
      <c r="T55" s="34">
        <f>IF(OR(B55="",J55=""),"",ROUND((TodayDate-J55)/365.25,1))</f>
        <v>0</v>
      </c>
      <c r="U55" s="21">
        <f>IF(OR(B55="",K55="",L55="",L55=0),"",ROUND(K55/L55+IF(P55="",0,P55)/MAX(1,T55),2))</f>
        <v>0</v>
      </c>
      <c r="V55" s="31">
        <f>IF(B55="","",IF(O55="",MaintenanceDays,O55))</f>
        <v>0</v>
      </c>
      <c r="W55" s="18">
        <f>IF(OR(B55="",N55=""),"",N55+V55)</f>
        <v>0</v>
      </c>
      <c r="X55" s="31">
        <f>IF(W55="","",W55-TodayDate)</f>
        <v>0</v>
      </c>
      <c r="Y55" s="31">
        <f>IF(OR(B55="",J55="",L55=""),"",YEAR(J55)+L55)</f>
        <v>0</v>
      </c>
      <c r="Z55" s="39">
        <f>IF(B55="","",IF(G55="Retired","Archived",IF(G55="Lost or stolen","Action - report it",IF(G55="In repair","Check - in for repair",IF(AND(X55&lt;&gt;"",X55&lt;0),"Overdue - service it",IF(AND(X55&lt;&gt;"",X55&lt;=14),"Due - service coming up",IF(AND(N55="",J55&lt;&gt;""),"Add - never serviced",IF(AND(T55&lt;&gt;"",L55&lt;&gt;"",T55&gt;L55),"Check - past its expected life","OK"))))))))</f>
        <v>0</v>
      </c>
    </row>
    <row r="56" spans="1:26">
      <c r="A56" s="43">
        <f>IF(B56="","",EquipmentPrefix&amp;TEXT(ROW()-4,"000"))</f>
        <v>0</v>
      </c>
      <c r="T56" s="34">
        <f>IF(OR(B56="",J56=""),"",ROUND((TodayDate-J56)/365.25,1))</f>
        <v>0</v>
      </c>
      <c r="U56" s="21">
        <f>IF(OR(B56="",K56="",L56="",L56=0),"",ROUND(K56/L56+IF(P56="",0,P56)/MAX(1,T56),2))</f>
        <v>0</v>
      </c>
      <c r="V56" s="31">
        <f>IF(B56="","",IF(O56="",MaintenanceDays,O56))</f>
        <v>0</v>
      </c>
      <c r="W56" s="18">
        <f>IF(OR(B56="",N56=""),"",N56+V56)</f>
        <v>0</v>
      </c>
      <c r="X56" s="31">
        <f>IF(W56="","",W56-TodayDate)</f>
        <v>0</v>
      </c>
      <c r="Y56" s="31">
        <f>IF(OR(B56="",J56="",L56=""),"",YEAR(J56)+L56)</f>
        <v>0</v>
      </c>
      <c r="Z56" s="39">
        <f>IF(B56="","",IF(G56="Retired","Archived",IF(G56="Lost or stolen","Action - report it",IF(G56="In repair","Check - in for repair",IF(AND(X56&lt;&gt;"",X56&lt;0),"Overdue - service it",IF(AND(X56&lt;&gt;"",X56&lt;=14),"Due - service coming up",IF(AND(N56="",J56&lt;&gt;""),"Add - never serviced",IF(AND(T56&lt;&gt;"",L56&lt;&gt;"",T56&gt;L56),"Check - past its expected life","OK"))))))))</f>
        <v>0</v>
      </c>
    </row>
    <row r="57" spans="1:26">
      <c r="A57" s="43">
        <f>IF(B57="","",EquipmentPrefix&amp;TEXT(ROW()-4,"000"))</f>
        <v>0</v>
      </c>
      <c r="T57" s="34">
        <f>IF(OR(B57="",J57=""),"",ROUND((TodayDate-J57)/365.25,1))</f>
        <v>0</v>
      </c>
      <c r="U57" s="21">
        <f>IF(OR(B57="",K57="",L57="",L57=0),"",ROUND(K57/L57+IF(P57="",0,P57)/MAX(1,T57),2))</f>
        <v>0</v>
      </c>
      <c r="V57" s="31">
        <f>IF(B57="","",IF(O57="",MaintenanceDays,O57))</f>
        <v>0</v>
      </c>
      <c r="W57" s="18">
        <f>IF(OR(B57="",N57=""),"",N57+V57)</f>
        <v>0</v>
      </c>
      <c r="X57" s="31">
        <f>IF(W57="","",W57-TodayDate)</f>
        <v>0</v>
      </c>
      <c r="Y57" s="31">
        <f>IF(OR(B57="",J57="",L57=""),"",YEAR(J57)+L57)</f>
        <v>0</v>
      </c>
      <c r="Z57" s="39">
        <f>IF(B57="","",IF(G57="Retired","Archived",IF(G57="Lost or stolen","Action - report it",IF(G57="In repair","Check - in for repair",IF(AND(X57&lt;&gt;"",X57&lt;0),"Overdue - service it",IF(AND(X57&lt;&gt;"",X57&lt;=14),"Due - service coming up",IF(AND(N57="",J57&lt;&gt;""),"Add - never serviced",IF(AND(T57&lt;&gt;"",L57&lt;&gt;"",T57&gt;L57),"Check - past its expected life","OK"))))))))</f>
        <v>0</v>
      </c>
    </row>
    <row r="58" spans="1:26">
      <c r="A58" s="43">
        <f>IF(B58="","",EquipmentPrefix&amp;TEXT(ROW()-4,"000"))</f>
        <v>0</v>
      </c>
      <c r="T58" s="34">
        <f>IF(OR(B58="",J58=""),"",ROUND((TodayDate-J58)/365.25,1))</f>
        <v>0</v>
      </c>
      <c r="U58" s="21">
        <f>IF(OR(B58="",K58="",L58="",L58=0),"",ROUND(K58/L58+IF(P58="",0,P58)/MAX(1,T58),2))</f>
        <v>0</v>
      </c>
      <c r="V58" s="31">
        <f>IF(B58="","",IF(O58="",MaintenanceDays,O58))</f>
        <v>0</v>
      </c>
      <c r="W58" s="18">
        <f>IF(OR(B58="",N58=""),"",N58+V58)</f>
        <v>0</v>
      </c>
      <c r="X58" s="31">
        <f>IF(W58="","",W58-TodayDate)</f>
        <v>0</v>
      </c>
      <c r="Y58" s="31">
        <f>IF(OR(B58="",J58="",L58=""),"",YEAR(J58)+L58)</f>
        <v>0</v>
      </c>
      <c r="Z58" s="39">
        <f>IF(B58="","",IF(G58="Retired","Archived",IF(G58="Lost or stolen","Action - report it",IF(G58="In repair","Check - in for repair",IF(AND(X58&lt;&gt;"",X58&lt;0),"Overdue - service it",IF(AND(X58&lt;&gt;"",X58&lt;=14),"Due - service coming up",IF(AND(N58="",J58&lt;&gt;""),"Add - never serviced",IF(AND(T58&lt;&gt;"",L58&lt;&gt;"",T58&gt;L58),"Check - past its expected life","OK"))))))))</f>
        <v>0</v>
      </c>
    </row>
    <row r="59" spans="1:26">
      <c r="A59" s="43">
        <f>IF(B59="","",EquipmentPrefix&amp;TEXT(ROW()-4,"000"))</f>
        <v>0</v>
      </c>
      <c r="T59" s="34">
        <f>IF(OR(B59="",J59=""),"",ROUND((TodayDate-J59)/365.25,1))</f>
        <v>0</v>
      </c>
      <c r="U59" s="21">
        <f>IF(OR(B59="",K59="",L59="",L59=0),"",ROUND(K59/L59+IF(P59="",0,P59)/MAX(1,T59),2))</f>
        <v>0</v>
      </c>
      <c r="V59" s="31">
        <f>IF(B59="","",IF(O59="",MaintenanceDays,O59))</f>
        <v>0</v>
      </c>
      <c r="W59" s="18">
        <f>IF(OR(B59="",N59=""),"",N59+V59)</f>
        <v>0</v>
      </c>
      <c r="X59" s="31">
        <f>IF(W59="","",W59-TodayDate)</f>
        <v>0</v>
      </c>
      <c r="Y59" s="31">
        <f>IF(OR(B59="",J59="",L59=""),"",YEAR(J59)+L59)</f>
        <v>0</v>
      </c>
      <c r="Z59" s="39">
        <f>IF(B59="","",IF(G59="Retired","Archived",IF(G59="Lost or stolen","Action - report it",IF(G59="In repair","Check - in for repair",IF(AND(X59&lt;&gt;"",X59&lt;0),"Overdue - service it",IF(AND(X59&lt;&gt;"",X59&lt;=14),"Due - service coming up",IF(AND(N59="",J59&lt;&gt;""),"Add - never serviced",IF(AND(T59&lt;&gt;"",L59&lt;&gt;"",T59&gt;L59),"Check - past its expected life","OK"))))))))</f>
        <v>0</v>
      </c>
    </row>
    <row r="60" spans="1:26">
      <c r="A60" s="43">
        <f>IF(B60="","",EquipmentPrefix&amp;TEXT(ROW()-4,"000"))</f>
        <v>0</v>
      </c>
      <c r="T60" s="34">
        <f>IF(OR(B60="",J60=""),"",ROUND((TodayDate-J60)/365.25,1))</f>
        <v>0</v>
      </c>
      <c r="U60" s="21">
        <f>IF(OR(B60="",K60="",L60="",L60=0),"",ROUND(K60/L60+IF(P60="",0,P60)/MAX(1,T60),2))</f>
        <v>0</v>
      </c>
      <c r="V60" s="31">
        <f>IF(B60="","",IF(O60="",MaintenanceDays,O60))</f>
        <v>0</v>
      </c>
      <c r="W60" s="18">
        <f>IF(OR(B60="",N60=""),"",N60+V60)</f>
        <v>0</v>
      </c>
      <c r="X60" s="31">
        <f>IF(W60="","",W60-TodayDate)</f>
        <v>0</v>
      </c>
      <c r="Y60" s="31">
        <f>IF(OR(B60="",J60="",L60=""),"",YEAR(J60)+L60)</f>
        <v>0</v>
      </c>
      <c r="Z60" s="39">
        <f>IF(B60="","",IF(G60="Retired","Archived",IF(G60="Lost or stolen","Action - report it",IF(G60="In repair","Check - in for repair",IF(AND(X60&lt;&gt;"",X60&lt;0),"Overdue - service it",IF(AND(X60&lt;&gt;"",X60&lt;=14),"Due - service coming up",IF(AND(N60="",J60&lt;&gt;""),"Add - never serviced",IF(AND(T60&lt;&gt;"",L60&lt;&gt;"",T60&gt;L60),"Check - past its expected life","OK"))))))))</f>
        <v>0</v>
      </c>
    </row>
    <row r="61" spans="1:26">
      <c r="A61" s="43">
        <f>IF(B61="","",EquipmentPrefix&amp;TEXT(ROW()-4,"000"))</f>
        <v>0</v>
      </c>
      <c r="T61" s="34">
        <f>IF(OR(B61="",J61=""),"",ROUND((TodayDate-J61)/365.25,1))</f>
        <v>0</v>
      </c>
      <c r="U61" s="21">
        <f>IF(OR(B61="",K61="",L61="",L61=0),"",ROUND(K61/L61+IF(P61="",0,P61)/MAX(1,T61),2))</f>
        <v>0</v>
      </c>
      <c r="V61" s="31">
        <f>IF(B61="","",IF(O61="",MaintenanceDays,O61))</f>
        <v>0</v>
      </c>
      <c r="W61" s="18">
        <f>IF(OR(B61="",N61=""),"",N61+V61)</f>
        <v>0</v>
      </c>
      <c r="X61" s="31">
        <f>IF(W61="","",W61-TodayDate)</f>
        <v>0</v>
      </c>
      <c r="Y61" s="31">
        <f>IF(OR(B61="",J61="",L61=""),"",YEAR(J61)+L61)</f>
        <v>0</v>
      </c>
      <c r="Z61" s="39">
        <f>IF(B61="","",IF(G61="Retired","Archived",IF(G61="Lost or stolen","Action - report it",IF(G61="In repair","Check - in for repair",IF(AND(X61&lt;&gt;"",X61&lt;0),"Overdue - service it",IF(AND(X61&lt;&gt;"",X61&lt;=14),"Due - service coming up",IF(AND(N61="",J61&lt;&gt;""),"Add - never serviced",IF(AND(T61&lt;&gt;"",L61&lt;&gt;"",T61&gt;L61),"Check - past its expected life","OK"))))))))</f>
        <v>0</v>
      </c>
    </row>
    <row r="62" spans="1:26">
      <c r="A62" s="43">
        <f>IF(B62="","",EquipmentPrefix&amp;TEXT(ROW()-4,"000"))</f>
        <v>0</v>
      </c>
      <c r="T62" s="34">
        <f>IF(OR(B62="",J62=""),"",ROUND((TodayDate-J62)/365.25,1))</f>
        <v>0</v>
      </c>
      <c r="U62" s="21">
        <f>IF(OR(B62="",K62="",L62="",L62=0),"",ROUND(K62/L62+IF(P62="",0,P62)/MAX(1,T62),2))</f>
        <v>0</v>
      </c>
      <c r="V62" s="31">
        <f>IF(B62="","",IF(O62="",MaintenanceDays,O62))</f>
        <v>0</v>
      </c>
      <c r="W62" s="18">
        <f>IF(OR(B62="",N62=""),"",N62+V62)</f>
        <v>0</v>
      </c>
      <c r="X62" s="31">
        <f>IF(W62="","",W62-TodayDate)</f>
        <v>0</v>
      </c>
      <c r="Y62" s="31">
        <f>IF(OR(B62="",J62="",L62=""),"",YEAR(J62)+L62)</f>
        <v>0</v>
      </c>
      <c r="Z62" s="39">
        <f>IF(B62="","",IF(G62="Retired","Archived",IF(G62="Lost or stolen","Action - report it",IF(G62="In repair","Check - in for repair",IF(AND(X62&lt;&gt;"",X62&lt;0),"Overdue - service it",IF(AND(X62&lt;&gt;"",X62&lt;=14),"Due - service coming up",IF(AND(N62="",J62&lt;&gt;""),"Add - never serviced",IF(AND(T62&lt;&gt;"",L62&lt;&gt;"",T62&gt;L62),"Check - past its expected life","OK"))))))))</f>
        <v>0</v>
      </c>
    </row>
    <row r="63" spans="1:26">
      <c r="A63" s="43">
        <f>IF(B63="","",EquipmentPrefix&amp;TEXT(ROW()-4,"000"))</f>
        <v>0</v>
      </c>
      <c r="T63" s="34">
        <f>IF(OR(B63="",J63=""),"",ROUND((TodayDate-J63)/365.25,1))</f>
        <v>0</v>
      </c>
      <c r="U63" s="21">
        <f>IF(OR(B63="",K63="",L63="",L63=0),"",ROUND(K63/L63+IF(P63="",0,P63)/MAX(1,T63),2))</f>
        <v>0</v>
      </c>
      <c r="V63" s="31">
        <f>IF(B63="","",IF(O63="",MaintenanceDays,O63))</f>
        <v>0</v>
      </c>
      <c r="W63" s="18">
        <f>IF(OR(B63="",N63=""),"",N63+V63)</f>
        <v>0</v>
      </c>
      <c r="X63" s="31">
        <f>IF(W63="","",W63-TodayDate)</f>
        <v>0</v>
      </c>
      <c r="Y63" s="31">
        <f>IF(OR(B63="",J63="",L63=""),"",YEAR(J63)+L63)</f>
        <v>0</v>
      </c>
      <c r="Z63" s="39">
        <f>IF(B63="","",IF(G63="Retired","Archived",IF(G63="Lost or stolen","Action - report it",IF(G63="In repair","Check - in for repair",IF(AND(X63&lt;&gt;"",X63&lt;0),"Overdue - service it",IF(AND(X63&lt;&gt;"",X63&lt;=14),"Due - service coming up",IF(AND(N63="",J63&lt;&gt;""),"Add - never serviced",IF(AND(T63&lt;&gt;"",L63&lt;&gt;"",T63&gt;L63),"Check - past its expected life","OK"))))))))</f>
        <v>0</v>
      </c>
    </row>
    <row r="64" spans="1:26">
      <c r="A64" s="43">
        <f>IF(B64="","",EquipmentPrefix&amp;TEXT(ROW()-4,"000"))</f>
        <v>0</v>
      </c>
      <c r="T64" s="34">
        <f>IF(OR(B64="",J64=""),"",ROUND((TodayDate-J64)/365.25,1))</f>
        <v>0</v>
      </c>
      <c r="U64" s="21">
        <f>IF(OR(B64="",K64="",L64="",L64=0),"",ROUND(K64/L64+IF(P64="",0,P64)/MAX(1,T64),2))</f>
        <v>0</v>
      </c>
      <c r="V64" s="31">
        <f>IF(B64="","",IF(O64="",MaintenanceDays,O64))</f>
        <v>0</v>
      </c>
      <c r="W64" s="18">
        <f>IF(OR(B64="",N64=""),"",N64+V64)</f>
        <v>0</v>
      </c>
      <c r="X64" s="31">
        <f>IF(W64="","",W64-TodayDate)</f>
        <v>0</v>
      </c>
      <c r="Y64" s="31">
        <f>IF(OR(B64="",J64="",L64=""),"",YEAR(J64)+L64)</f>
        <v>0</v>
      </c>
      <c r="Z64" s="39">
        <f>IF(B64="","",IF(G64="Retired","Archived",IF(G64="Lost or stolen","Action - report it",IF(G64="In repair","Check - in for repair",IF(AND(X64&lt;&gt;"",X64&lt;0),"Overdue - service it",IF(AND(X64&lt;&gt;"",X64&lt;=14),"Due - service coming up",IF(AND(N64="",J64&lt;&gt;""),"Add - never serviced",IF(AND(T64&lt;&gt;"",L64&lt;&gt;"",T64&gt;L64),"Check - past its expected life","OK"))))))))</f>
        <v>0</v>
      </c>
    </row>
    <row r="65" spans="1:26">
      <c r="A65" s="43">
        <f>IF(B65="","",EquipmentPrefix&amp;TEXT(ROW()-4,"000"))</f>
        <v>0</v>
      </c>
      <c r="T65" s="34">
        <f>IF(OR(B65="",J65=""),"",ROUND((TodayDate-J65)/365.25,1))</f>
        <v>0</v>
      </c>
      <c r="U65" s="21">
        <f>IF(OR(B65="",K65="",L65="",L65=0),"",ROUND(K65/L65+IF(P65="",0,P65)/MAX(1,T65),2))</f>
        <v>0</v>
      </c>
      <c r="V65" s="31">
        <f>IF(B65="","",IF(O65="",MaintenanceDays,O65))</f>
        <v>0</v>
      </c>
      <c r="W65" s="18">
        <f>IF(OR(B65="",N65=""),"",N65+V65)</f>
        <v>0</v>
      </c>
      <c r="X65" s="31">
        <f>IF(W65="","",W65-TodayDate)</f>
        <v>0</v>
      </c>
      <c r="Y65" s="31">
        <f>IF(OR(B65="",J65="",L65=""),"",YEAR(J65)+L65)</f>
        <v>0</v>
      </c>
      <c r="Z65" s="39">
        <f>IF(B65="","",IF(G65="Retired","Archived",IF(G65="Lost or stolen","Action - report it",IF(G65="In repair","Check - in for repair",IF(AND(X65&lt;&gt;"",X65&lt;0),"Overdue - service it",IF(AND(X65&lt;&gt;"",X65&lt;=14),"Due - service coming up",IF(AND(N65="",J65&lt;&gt;""),"Add - never serviced",IF(AND(T65&lt;&gt;"",L65&lt;&gt;"",T65&gt;L65),"Check - past its expected life","OK"))))))))</f>
        <v>0</v>
      </c>
    </row>
    <row r="66" spans="1:26">
      <c r="A66" s="43">
        <f>IF(B66="","",EquipmentPrefix&amp;TEXT(ROW()-4,"000"))</f>
        <v>0</v>
      </c>
      <c r="T66" s="34">
        <f>IF(OR(B66="",J66=""),"",ROUND((TodayDate-J66)/365.25,1))</f>
        <v>0</v>
      </c>
      <c r="U66" s="21">
        <f>IF(OR(B66="",K66="",L66="",L66=0),"",ROUND(K66/L66+IF(P66="",0,P66)/MAX(1,T66),2))</f>
        <v>0</v>
      </c>
      <c r="V66" s="31">
        <f>IF(B66="","",IF(O66="",MaintenanceDays,O66))</f>
        <v>0</v>
      </c>
      <c r="W66" s="18">
        <f>IF(OR(B66="",N66=""),"",N66+V66)</f>
        <v>0</v>
      </c>
      <c r="X66" s="31">
        <f>IF(W66="","",W66-TodayDate)</f>
        <v>0</v>
      </c>
      <c r="Y66" s="31">
        <f>IF(OR(B66="",J66="",L66=""),"",YEAR(J66)+L66)</f>
        <v>0</v>
      </c>
      <c r="Z66" s="39">
        <f>IF(B66="","",IF(G66="Retired","Archived",IF(G66="Lost or stolen","Action - report it",IF(G66="In repair","Check - in for repair",IF(AND(X66&lt;&gt;"",X66&lt;0),"Overdue - service it",IF(AND(X66&lt;&gt;"",X66&lt;=14),"Due - service coming up",IF(AND(N66="",J66&lt;&gt;""),"Add - never serviced",IF(AND(T66&lt;&gt;"",L66&lt;&gt;"",T66&gt;L66),"Check - past its expected life","OK"))))))))</f>
        <v>0</v>
      </c>
    </row>
    <row r="67" spans="1:26">
      <c r="A67" s="43">
        <f>IF(B67="","",EquipmentPrefix&amp;TEXT(ROW()-4,"000"))</f>
        <v>0</v>
      </c>
      <c r="T67" s="34">
        <f>IF(OR(B67="",J67=""),"",ROUND((TodayDate-J67)/365.25,1))</f>
        <v>0</v>
      </c>
      <c r="U67" s="21">
        <f>IF(OR(B67="",K67="",L67="",L67=0),"",ROUND(K67/L67+IF(P67="",0,P67)/MAX(1,T67),2))</f>
        <v>0</v>
      </c>
      <c r="V67" s="31">
        <f>IF(B67="","",IF(O67="",MaintenanceDays,O67))</f>
        <v>0</v>
      </c>
      <c r="W67" s="18">
        <f>IF(OR(B67="",N67=""),"",N67+V67)</f>
        <v>0</v>
      </c>
      <c r="X67" s="31">
        <f>IF(W67="","",W67-TodayDate)</f>
        <v>0</v>
      </c>
      <c r="Y67" s="31">
        <f>IF(OR(B67="",J67="",L67=""),"",YEAR(J67)+L67)</f>
        <v>0</v>
      </c>
      <c r="Z67" s="39">
        <f>IF(B67="","",IF(G67="Retired","Archived",IF(G67="Lost or stolen","Action - report it",IF(G67="In repair","Check - in for repair",IF(AND(X67&lt;&gt;"",X67&lt;0),"Overdue - service it",IF(AND(X67&lt;&gt;"",X67&lt;=14),"Due - service coming up",IF(AND(N67="",J67&lt;&gt;""),"Add - never serviced",IF(AND(T67&lt;&gt;"",L67&lt;&gt;"",T67&gt;L67),"Check - past its expected life","OK"))))))))</f>
        <v>0</v>
      </c>
    </row>
    <row r="68" spans="1:26">
      <c r="A68" s="43">
        <f>IF(B68="","",EquipmentPrefix&amp;TEXT(ROW()-4,"000"))</f>
        <v>0</v>
      </c>
      <c r="T68" s="34">
        <f>IF(OR(B68="",J68=""),"",ROUND((TodayDate-J68)/365.25,1))</f>
        <v>0</v>
      </c>
      <c r="U68" s="21">
        <f>IF(OR(B68="",K68="",L68="",L68=0),"",ROUND(K68/L68+IF(P68="",0,P68)/MAX(1,T68),2))</f>
        <v>0</v>
      </c>
      <c r="V68" s="31">
        <f>IF(B68="","",IF(O68="",MaintenanceDays,O68))</f>
        <v>0</v>
      </c>
      <c r="W68" s="18">
        <f>IF(OR(B68="",N68=""),"",N68+V68)</f>
        <v>0</v>
      </c>
      <c r="X68" s="31">
        <f>IF(W68="","",W68-TodayDate)</f>
        <v>0</v>
      </c>
      <c r="Y68" s="31">
        <f>IF(OR(B68="",J68="",L68=""),"",YEAR(J68)+L68)</f>
        <v>0</v>
      </c>
      <c r="Z68" s="39">
        <f>IF(B68="","",IF(G68="Retired","Archived",IF(G68="Lost or stolen","Action - report it",IF(G68="In repair","Check - in for repair",IF(AND(X68&lt;&gt;"",X68&lt;0),"Overdue - service it",IF(AND(X68&lt;&gt;"",X68&lt;=14),"Due - service coming up",IF(AND(N68="",J68&lt;&gt;""),"Add - never serviced",IF(AND(T68&lt;&gt;"",L68&lt;&gt;"",T68&gt;L68),"Check - past its expected life","OK"))))))))</f>
        <v>0</v>
      </c>
    </row>
    <row r="69" spans="1:26">
      <c r="A69" s="43">
        <f>IF(B69="","",EquipmentPrefix&amp;TEXT(ROW()-4,"000"))</f>
        <v>0</v>
      </c>
      <c r="T69" s="34">
        <f>IF(OR(B69="",J69=""),"",ROUND((TodayDate-J69)/365.25,1))</f>
        <v>0</v>
      </c>
      <c r="U69" s="21">
        <f>IF(OR(B69="",K69="",L69="",L69=0),"",ROUND(K69/L69+IF(P69="",0,P69)/MAX(1,T69),2))</f>
        <v>0</v>
      </c>
      <c r="V69" s="31">
        <f>IF(B69="","",IF(O69="",MaintenanceDays,O69))</f>
        <v>0</v>
      </c>
      <c r="W69" s="18">
        <f>IF(OR(B69="",N69=""),"",N69+V69)</f>
        <v>0</v>
      </c>
      <c r="X69" s="31">
        <f>IF(W69="","",W69-TodayDate)</f>
        <v>0</v>
      </c>
      <c r="Y69" s="31">
        <f>IF(OR(B69="",J69="",L69=""),"",YEAR(J69)+L69)</f>
        <v>0</v>
      </c>
      <c r="Z69" s="39">
        <f>IF(B69="","",IF(G69="Retired","Archived",IF(G69="Lost or stolen","Action - report it",IF(G69="In repair","Check - in for repair",IF(AND(X69&lt;&gt;"",X69&lt;0),"Overdue - service it",IF(AND(X69&lt;&gt;"",X69&lt;=14),"Due - service coming up",IF(AND(N69="",J69&lt;&gt;""),"Add - never serviced",IF(AND(T69&lt;&gt;"",L69&lt;&gt;"",T69&gt;L69),"Check - past its expected life","OK"))))))))</f>
        <v>0</v>
      </c>
    </row>
    <row r="70" spans="1:26">
      <c r="A70" s="43">
        <f>IF(B70="","",EquipmentPrefix&amp;TEXT(ROW()-4,"000"))</f>
        <v>0</v>
      </c>
      <c r="T70" s="34">
        <f>IF(OR(B70="",J70=""),"",ROUND((TodayDate-J70)/365.25,1))</f>
        <v>0</v>
      </c>
      <c r="U70" s="21">
        <f>IF(OR(B70="",K70="",L70="",L70=0),"",ROUND(K70/L70+IF(P70="",0,P70)/MAX(1,T70),2))</f>
        <v>0</v>
      </c>
      <c r="V70" s="31">
        <f>IF(B70="","",IF(O70="",MaintenanceDays,O70))</f>
        <v>0</v>
      </c>
      <c r="W70" s="18">
        <f>IF(OR(B70="",N70=""),"",N70+V70)</f>
        <v>0</v>
      </c>
      <c r="X70" s="31">
        <f>IF(W70="","",W70-TodayDate)</f>
        <v>0</v>
      </c>
      <c r="Y70" s="31">
        <f>IF(OR(B70="",J70="",L70=""),"",YEAR(J70)+L70)</f>
        <v>0</v>
      </c>
      <c r="Z70" s="39">
        <f>IF(B70="","",IF(G70="Retired","Archived",IF(G70="Lost or stolen","Action - report it",IF(G70="In repair","Check - in for repair",IF(AND(X70&lt;&gt;"",X70&lt;0),"Overdue - service it",IF(AND(X70&lt;&gt;"",X70&lt;=14),"Due - service coming up",IF(AND(N70="",J70&lt;&gt;""),"Add - never serviced",IF(AND(T70&lt;&gt;"",L70&lt;&gt;"",T70&gt;L70),"Check - past its expected life","OK"))))))))</f>
        <v>0</v>
      </c>
    </row>
    <row r="71" spans="1:26">
      <c r="A71" s="43">
        <f>IF(B71="","",EquipmentPrefix&amp;TEXT(ROW()-4,"000"))</f>
        <v>0</v>
      </c>
      <c r="T71" s="34">
        <f>IF(OR(B71="",J71=""),"",ROUND((TodayDate-J71)/365.25,1))</f>
        <v>0</v>
      </c>
      <c r="U71" s="21">
        <f>IF(OR(B71="",K71="",L71="",L71=0),"",ROUND(K71/L71+IF(P71="",0,P71)/MAX(1,T71),2))</f>
        <v>0</v>
      </c>
      <c r="V71" s="31">
        <f>IF(B71="","",IF(O71="",MaintenanceDays,O71))</f>
        <v>0</v>
      </c>
      <c r="W71" s="18">
        <f>IF(OR(B71="",N71=""),"",N71+V71)</f>
        <v>0</v>
      </c>
      <c r="X71" s="31">
        <f>IF(W71="","",W71-TodayDate)</f>
        <v>0</v>
      </c>
      <c r="Y71" s="31">
        <f>IF(OR(B71="",J71="",L71=""),"",YEAR(J71)+L71)</f>
        <v>0</v>
      </c>
      <c r="Z71" s="39">
        <f>IF(B71="","",IF(G71="Retired","Archived",IF(G71="Lost or stolen","Action - report it",IF(G71="In repair","Check - in for repair",IF(AND(X71&lt;&gt;"",X71&lt;0),"Overdue - service it",IF(AND(X71&lt;&gt;"",X71&lt;=14),"Due - service coming up",IF(AND(N71="",J71&lt;&gt;""),"Add - never serviced",IF(AND(T71&lt;&gt;"",L71&lt;&gt;"",T71&gt;L71),"Check - past its expected life","OK"))))))))</f>
        <v>0</v>
      </c>
    </row>
    <row r="72" spans="1:26">
      <c r="A72" s="43">
        <f>IF(B72="","",EquipmentPrefix&amp;TEXT(ROW()-4,"000"))</f>
        <v>0</v>
      </c>
      <c r="T72" s="34">
        <f>IF(OR(B72="",J72=""),"",ROUND((TodayDate-J72)/365.25,1))</f>
        <v>0</v>
      </c>
      <c r="U72" s="21">
        <f>IF(OR(B72="",K72="",L72="",L72=0),"",ROUND(K72/L72+IF(P72="",0,P72)/MAX(1,T72),2))</f>
        <v>0</v>
      </c>
      <c r="V72" s="31">
        <f>IF(B72="","",IF(O72="",MaintenanceDays,O72))</f>
        <v>0</v>
      </c>
      <c r="W72" s="18">
        <f>IF(OR(B72="",N72=""),"",N72+V72)</f>
        <v>0</v>
      </c>
      <c r="X72" s="31">
        <f>IF(W72="","",W72-TodayDate)</f>
        <v>0</v>
      </c>
      <c r="Y72" s="31">
        <f>IF(OR(B72="",J72="",L72=""),"",YEAR(J72)+L72)</f>
        <v>0</v>
      </c>
      <c r="Z72" s="39">
        <f>IF(B72="","",IF(G72="Retired","Archived",IF(G72="Lost or stolen","Action - report it",IF(G72="In repair","Check - in for repair",IF(AND(X72&lt;&gt;"",X72&lt;0),"Overdue - service it",IF(AND(X72&lt;&gt;"",X72&lt;=14),"Due - service coming up",IF(AND(N72="",J72&lt;&gt;""),"Add - never serviced",IF(AND(T72&lt;&gt;"",L72&lt;&gt;"",T72&gt;L72),"Check - past its expected life","OK"))))))))</f>
        <v>0</v>
      </c>
    </row>
    <row r="73" spans="1:26">
      <c r="A73" s="43">
        <f>IF(B73="","",EquipmentPrefix&amp;TEXT(ROW()-4,"000"))</f>
        <v>0</v>
      </c>
      <c r="T73" s="34">
        <f>IF(OR(B73="",J73=""),"",ROUND((TodayDate-J73)/365.25,1))</f>
        <v>0</v>
      </c>
      <c r="U73" s="21">
        <f>IF(OR(B73="",K73="",L73="",L73=0),"",ROUND(K73/L73+IF(P73="",0,P73)/MAX(1,T73),2))</f>
        <v>0</v>
      </c>
      <c r="V73" s="31">
        <f>IF(B73="","",IF(O73="",MaintenanceDays,O73))</f>
        <v>0</v>
      </c>
      <c r="W73" s="18">
        <f>IF(OR(B73="",N73=""),"",N73+V73)</f>
        <v>0</v>
      </c>
      <c r="X73" s="31">
        <f>IF(W73="","",W73-TodayDate)</f>
        <v>0</v>
      </c>
      <c r="Y73" s="31">
        <f>IF(OR(B73="",J73="",L73=""),"",YEAR(J73)+L73)</f>
        <v>0</v>
      </c>
      <c r="Z73" s="39">
        <f>IF(B73="","",IF(G73="Retired","Archived",IF(G73="Lost or stolen","Action - report it",IF(G73="In repair","Check - in for repair",IF(AND(X73&lt;&gt;"",X73&lt;0),"Overdue - service it",IF(AND(X73&lt;&gt;"",X73&lt;=14),"Due - service coming up",IF(AND(N73="",J73&lt;&gt;""),"Add - never serviced",IF(AND(T73&lt;&gt;"",L73&lt;&gt;"",T73&gt;L73),"Check - past its expected life","OK"))))))))</f>
        <v>0</v>
      </c>
    </row>
    <row r="74" spans="1:26">
      <c r="A74" s="43">
        <f>IF(B74="","",EquipmentPrefix&amp;TEXT(ROW()-4,"000"))</f>
        <v>0</v>
      </c>
      <c r="T74" s="34">
        <f>IF(OR(B74="",J74=""),"",ROUND((TodayDate-J74)/365.25,1))</f>
        <v>0</v>
      </c>
      <c r="U74" s="21">
        <f>IF(OR(B74="",K74="",L74="",L74=0),"",ROUND(K74/L74+IF(P74="",0,P74)/MAX(1,T74),2))</f>
        <v>0</v>
      </c>
      <c r="V74" s="31">
        <f>IF(B74="","",IF(O74="",MaintenanceDays,O74))</f>
        <v>0</v>
      </c>
      <c r="W74" s="18">
        <f>IF(OR(B74="",N74=""),"",N74+V74)</f>
        <v>0</v>
      </c>
      <c r="X74" s="31">
        <f>IF(W74="","",W74-TodayDate)</f>
        <v>0</v>
      </c>
      <c r="Y74" s="31">
        <f>IF(OR(B74="",J74="",L74=""),"",YEAR(J74)+L74)</f>
        <v>0</v>
      </c>
      <c r="Z74" s="39">
        <f>IF(B74="","",IF(G74="Retired","Archived",IF(G74="Lost or stolen","Action - report it",IF(G74="In repair","Check - in for repair",IF(AND(X74&lt;&gt;"",X74&lt;0),"Overdue - service it",IF(AND(X74&lt;&gt;"",X74&lt;=14),"Due - service coming up",IF(AND(N74="",J74&lt;&gt;""),"Add - never serviced",IF(AND(T74&lt;&gt;"",L74&lt;&gt;"",T74&gt;L74),"Check - past its expected life","OK"))))))))</f>
        <v>0</v>
      </c>
    </row>
    <row r="75" spans="1:26">
      <c r="A75" s="43">
        <f>IF(B75="","",EquipmentPrefix&amp;TEXT(ROW()-4,"000"))</f>
        <v>0</v>
      </c>
      <c r="T75" s="34">
        <f>IF(OR(B75="",J75=""),"",ROUND((TodayDate-J75)/365.25,1))</f>
        <v>0</v>
      </c>
      <c r="U75" s="21">
        <f>IF(OR(B75="",K75="",L75="",L75=0),"",ROUND(K75/L75+IF(P75="",0,P75)/MAX(1,T75),2))</f>
        <v>0</v>
      </c>
      <c r="V75" s="31">
        <f>IF(B75="","",IF(O75="",MaintenanceDays,O75))</f>
        <v>0</v>
      </c>
      <c r="W75" s="18">
        <f>IF(OR(B75="",N75=""),"",N75+V75)</f>
        <v>0</v>
      </c>
      <c r="X75" s="31">
        <f>IF(W75="","",W75-TodayDate)</f>
        <v>0</v>
      </c>
      <c r="Y75" s="31">
        <f>IF(OR(B75="",J75="",L75=""),"",YEAR(J75)+L75)</f>
        <v>0</v>
      </c>
      <c r="Z75" s="39">
        <f>IF(B75="","",IF(G75="Retired","Archived",IF(G75="Lost or stolen","Action - report it",IF(G75="In repair","Check - in for repair",IF(AND(X75&lt;&gt;"",X75&lt;0),"Overdue - service it",IF(AND(X75&lt;&gt;"",X75&lt;=14),"Due - service coming up",IF(AND(N75="",J75&lt;&gt;""),"Add - never serviced",IF(AND(T75&lt;&gt;"",L75&lt;&gt;"",T75&gt;L75),"Check - past its expected life","OK"))))))))</f>
        <v>0</v>
      </c>
    </row>
    <row r="76" spans="1:26">
      <c r="A76" s="43">
        <f>IF(B76="","",EquipmentPrefix&amp;TEXT(ROW()-4,"000"))</f>
        <v>0</v>
      </c>
      <c r="T76" s="34">
        <f>IF(OR(B76="",J76=""),"",ROUND((TodayDate-J76)/365.25,1))</f>
        <v>0</v>
      </c>
      <c r="U76" s="21">
        <f>IF(OR(B76="",K76="",L76="",L76=0),"",ROUND(K76/L76+IF(P76="",0,P76)/MAX(1,T76),2))</f>
        <v>0</v>
      </c>
      <c r="V76" s="31">
        <f>IF(B76="","",IF(O76="",MaintenanceDays,O76))</f>
        <v>0</v>
      </c>
      <c r="W76" s="18">
        <f>IF(OR(B76="",N76=""),"",N76+V76)</f>
        <v>0</v>
      </c>
      <c r="X76" s="31">
        <f>IF(W76="","",W76-TodayDate)</f>
        <v>0</v>
      </c>
      <c r="Y76" s="31">
        <f>IF(OR(B76="",J76="",L76=""),"",YEAR(J76)+L76)</f>
        <v>0</v>
      </c>
      <c r="Z76" s="39">
        <f>IF(B76="","",IF(G76="Retired","Archived",IF(G76="Lost or stolen","Action - report it",IF(G76="In repair","Check - in for repair",IF(AND(X76&lt;&gt;"",X76&lt;0),"Overdue - service it",IF(AND(X76&lt;&gt;"",X76&lt;=14),"Due - service coming up",IF(AND(N76="",J76&lt;&gt;""),"Add - never serviced",IF(AND(T76&lt;&gt;"",L76&lt;&gt;"",T76&gt;L76),"Check - past its expected life","OK"))))))))</f>
        <v>0</v>
      </c>
    </row>
    <row r="77" spans="1:26">
      <c r="A77" s="43">
        <f>IF(B77="","",EquipmentPrefix&amp;TEXT(ROW()-4,"000"))</f>
        <v>0</v>
      </c>
      <c r="T77" s="34">
        <f>IF(OR(B77="",J77=""),"",ROUND((TodayDate-J77)/365.25,1))</f>
        <v>0</v>
      </c>
      <c r="U77" s="21">
        <f>IF(OR(B77="",K77="",L77="",L77=0),"",ROUND(K77/L77+IF(P77="",0,P77)/MAX(1,T77),2))</f>
        <v>0</v>
      </c>
      <c r="V77" s="31">
        <f>IF(B77="","",IF(O77="",MaintenanceDays,O77))</f>
        <v>0</v>
      </c>
      <c r="W77" s="18">
        <f>IF(OR(B77="",N77=""),"",N77+V77)</f>
        <v>0</v>
      </c>
      <c r="X77" s="31">
        <f>IF(W77="","",W77-TodayDate)</f>
        <v>0</v>
      </c>
      <c r="Y77" s="31">
        <f>IF(OR(B77="",J77="",L77=""),"",YEAR(J77)+L77)</f>
        <v>0</v>
      </c>
      <c r="Z77" s="39">
        <f>IF(B77="","",IF(G77="Retired","Archived",IF(G77="Lost or stolen","Action - report it",IF(G77="In repair","Check - in for repair",IF(AND(X77&lt;&gt;"",X77&lt;0),"Overdue - service it",IF(AND(X77&lt;&gt;"",X77&lt;=14),"Due - service coming up",IF(AND(N77="",J77&lt;&gt;""),"Add - never serviced",IF(AND(T77&lt;&gt;"",L77&lt;&gt;"",T77&gt;L77),"Check - past its expected life","OK"))))))))</f>
        <v>0</v>
      </c>
    </row>
    <row r="78" spans="1:26">
      <c r="A78" s="43">
        <f>IF(B78="","",EquipmentPrefix&amp;TEXT(ROW()-4,"000"))</f>
        <v>0</v>
      </c>
      <c r="T78" s="34">
        <f>IF(OR(B78="",J78=""),"",ROUND((TodayDate-J78)/365.25,1))</f>
        <v>0</v>
      </c>
      <c r="U78" s="21">
        <f>IF(OR(B78="",K78="",L78="",L78=0),"",ROUND(K78/L78+IF(P78="",0,P78)/MAX(1,T78),2))</f>
        <v>0</v>
      </c>
      <c r="V78" s="31">
        <f>IF(B78="","",IF(O78="",MaintenanceDays,O78))</f>
        <v>0</v>
      </c>
      <c r="W78" s="18">
        <f>IF(OR(B78="",N78=""),"",N78+V78)</f>
        <v>0</v>
      </c>
      <c r="X78" s="31">
        <f>IF(W78="","",W78-TodayDate)</f>
        <v>0</v>
      </c>
      <c r="Y78" s="31">
        <f>IF(OR(B78="",J78="",L78=""),"",YEAR(J78)+L78)</f>
        <v>0</v>
      </c>
      <c r="Z78" s="39">
        <f>IF(B78="","",IF(G78="Retired","Archived",IF(G78="Lost or stolen","Action - report it",IF(G78="In repair","Check - in for repair",IF(AND(X78&lt;&gt;"",X78&lt;0),"Overdue - service it",IF(AND(X78&lt;&gt;"",X78&lt;=14),"Due - service coming up",IF(AND(N78="",J78&lt;&gt;""),"Add - never serviced",IF(AND(T78&lt;&gt;"",L78&lt;&gt;"",T78&gt;L78),"Check - past its expected life","OK"))))))))</f>
        <v>0</v>
      </c>
    </row>
    <row r="79" spans="1:26">
      <c r="A79" s="43">
        <f>IF(B79="","",EquipmentPrefix&amp;TEXT(ROW()-4,"000"))</f>
        <v>0</v>
      </c>
      <c r="T79" s="34">
        <f>IF(OR(B79="",J79=""),"",ROUND((TodayDate-J79)/365.25,1))</f>
        <v>0</v>
      </c>
      <c r="U79" s="21">
        <f>IF(OR(B79="",K79="",L79="",L79=0),"",ROUND(K79/L79+IF(P79="",0,P79)/MAX(1,T79),2))</f>
        <v>0</v>
      </c>
      <c r="V79" s="31">
        <f>IF(B79="","",IF(O79="",MaintenanceDays,O79))</f>
        <v>0</v>
      </c>
      <c r="W79" s="18">
        <f>IF(OR(B79="",N79=""),"",N79+V79)</f>
        <v>0</v>
      </c>
      <c r="X79" s="31">
        <f>IF(W79="","",W79-TodayDate)</f>
        <v>0</v>
      </c>
      <c r="Y79" s="31">
        <f>IF(OR(B79="",J79="",L79=""),"",YEAR(J79)+L79)</f>
        <v>0</v>
      </c>
      <c r="Z79" s="39">
        <f>IF(B79="","",IF(G79="Retired","Archived",IF(G79="Lost or stolen","Action - report it",IF(G79="In repair","Check - in for repair",IF(AND(X79&lt;&gt;"",X79&lt;0),"Overdue - service it",IF(AND(X79&lt;&gt;"",X79&lt;=14),"Due - service coming up",IF(AND(N79="",J79&lt;&gt;""),"Add - never serviced",IF(AND(T79&lt;&gt;"",L79&lt;&gt;"",T79&gt;L79),"Check - past its expected life","OK"))))))))</f>
        <v>0</v>
      </c>
    </row>
    <row r="80" spans="1:26">
      <c r="A80" s="43">
        <f>IF(B80="","",EquipmentPrefix&amp;TEXT(ROW()-4,"000"))</f>
        <v>0</v>
      </c>
      <c r="T80" s="34">
        <f>IF(OR(B80="",J80=""),"",ROUND((TodayDate-J80)/365.25,1))</f>
        <v>0</v>
      </c>
      <c r="U80" s="21">
        <f>IF(OR(B80="",K80="",L80="",L80=0),"",ROUND(K80/L80+IF(P80="",0,P80)/MAX(1,T80),2))</f>
        <v>0</v>
      </c>
      <c r="V80" s="31">
        <f>IF(B80="","",IF(O80="",MaintenanceDays,O80))</f>
        <v>0</v>
      </c>
      <c r="W80" s="18">
        <f>IF(OR(B80="",N80=""),"",N80+V80)</f>
        <v>0</v>
      </c>
      <c r="X80" s="31">
        <f>IF(W80="","",W80-TodayDate)</f>
        <v>0</v>
      </c>
      <c r="Y80" s="31">
        <f>IF(OR(B80="",J80="",L80=""),"",YEAR(J80)+L80)</f>
        <v>0</v>
      </c>
      <c r="Z80" s="39">
        <f>IF(B80="","",IF(G80="Retired","Archived",IF(G80="Lost or stolen","Action - report it",IF(G80="In repair","Check - in for repair",IF(AND(X80&lt;&gt;"",X80&lt;0),"Overdue - service it",IF(AND(X80&lt;&gt;"",X80&lt;=14),"Due - service coming up",IF(AND(N80="",J80&lt;&gt;""),"Add - never serviced",IF(AND(T80&lt;&gt;"",L80&lt;&gt;"",T80&gt;L80),"Check - past its expected life","OK"))))))))</f>
        <v>0</v>
      </c>
    </row>
    <row r="81" spans="1:26">
      <c r="A81" s="43">
        <f>IF(B81="","",EquipmentPrefix&amp;TEXT(ROW()-4,"000"))</f>
        <v>0</v>
      </c>
      <c r="T81" s="34">
        <f>IF(OR(B81="",J81=""),"",ROUND((TodayDate-J81)/365.25,1))</f>
        <v>0</v>
      </c>
      <c r="U81" s="21">
        <f>IF(OR(B81="",K81="",L81="",L81=0),"",ROUND(K81/L81+IF(P81="",0,P81)/MAX(1,T81),2))</f>
        <v>0</v>
      </c>
      <c r="V81" s="31">
        <f>IF(B81="","",IF(O81="",MaintenanceDays,O81))</f>
        <v>0</v>
      </c>
      <c r="W81" s="18">
        <f>IF(OR(B81="",N81=""),"",N81+V81)</f>
        <v>0</v>
      </c>
      <c r="X81" s="31">
        <f>IF(W81="","",W81-TodayDate)</f>
        <v>0</v>
      </c>
      <c r="Y81" s="31">
        <f>IF(OR(B81="",J81="",L81=""),"",YEAR(J81)+L81)</f>
        <v>0</v>
      </c>
      <c r="Z81" s="39">
        <f>IF(B81="","",IF(G81="Retired","Archived",IF(G81="Lost or stolen","Action - report it",IF(G81="In repair","Check - in for repair",IF(AND(X81&lt;&gt;"",X81&lt;0),"Overdue - service it",IF(AND(X81&lt;&gt;"",X81&lt;=14),"Due - service coming up",IF(AND(N81="",J81&lt;&gt;""),"Add - never serviced",IF(AND(T81&lt;&gt;"",L81&lt;&gt;"",T81&gt;L81),"Check - past its expected life","OK"))))))))</f>
        <v>0</v>
      </c>
    </row>
    <row r="82" spans="1:26">
      <c r="A82" s="43">
        <f>IF(B82="","",EquipmentPrefix&amp;TEXT(ROW()-4,"000"))</f>
        <v>0</v>
      </c>
      <c r="T82" s="34">
        <f>IF(OR(B82="",J82=""),"",ROUND((TodayDate-J82)/365.25,1))</f>
        <v>0</v>
      </c>
      <c r="U82" s="21">
        <f>IF(OR(B82="",K82="",L82="",L82=0),"",ROUND(K82/L82+IF(P82="",0,P82)/MAX(1,T82),2))</f>
        <v>0</v>
      </c>
      <c r="V82" s="31">
        <f>IF(B82="","",IF(O82="",MaintenanceDays,O82))</f>
        <v>0</v>
      </c>
      <c r="W82" s="18">
        <f>IF(OR(B82="",N82=""),"",N82+V82)</f>
        <v>0</v>
      </c>
      <c r="X82" s="31">
        <f>IF(W82="","",W82-TodayDate)</f>
        <v>0</v>
      </c>
      <c r="Y82" s="31">
        <f>IF(OR(B82="",J82="",L82=""),"",YEAR(J82)+L82)</f>
        <v>0</v>
      </c>
      <c r="Z82" s="39">
        <f>IF(B82="","",IF(G82="Retired","Archived",IF(G82="Lost or stolen","Action - report it",IF(G82="In repair","Check - in for repair",IF(AND(X82&lt;&gt;"",X82&lt;0),"Overdue - service it",IF(AND(X82&lt;&gt;"",X82&lt;=14),"Due - service coming up",IF(AND(N82="",J82&lt;&gt;""),"Add - never serviced",IF(AND(T82&lt;&gt;"",L82&lt;&gt;"",T82&gt;L82),"Check - past its expected life","OK"))))))))</f>
        <v>0</v>
      </c>
    </row>
    <row r="83" spans="1:26">
      <c r="A83" s="43">
        <f>IF(B83="","",EquipmentPrefix&amp;TEXT(ROW()-4,"000"))</f>
        <v>0</v>
      </c>
      <c r="T83" s="34">
        <f>IF(OR(B83="",J83=""),"",ROUND((TodayDate-J83)/365.25,1))</f>
        <v>0</v>
      </c>
      <c r="U83" s="21">
        <f>IF(OR(B83="",K83="",L83="",L83=0),"",ROUND(K83/L83+IF(P83="",0,P83)/MAX(1,T83),2))</f>
        <v>0</v>
      </c>
      <c r="V83" s="31">
        <f>IF(B83="","",IF(O83="",MaintenanceDays,O83))</f>
        <v>0</v>
      </c>
      <c r="W83" s="18">
        <f>IF(OR(B83="",N83=""),"",N83+V83)</f>
        <v>0</v>
      </c>
      <c r="X83" s="31">
        <f>IF(W83="","",W83-TodayDate)</f>
        <v>0</v>
      </c>
      <c r="Y83" s="31">
        <f>IF(OR(B83="",J83="",L83=""),"",YEAR(J83)+L83)</f>
        <v>0</v>
      </c>
      <c r="Z83" s="39">
        <f>IF(B83="","",IF(G83="Retired","Archived",IF(G83="Lost or stolen","Action - report it",IF(G83="In repair","Check - in for repair",IF(AND(X83&lt;&gt;"",X83&lt;0),"Overdue - service it",IF(AND(X83&lt;&gt;"",X83&lt;=14),"Due - service coming up",IF(AND(N83="",J83&lt;&gt;""),"Add - never serviced",IF(AND(T83&lt;&gt;"",L83&lt;&gt;"",T83&gt;L83),"Check - past its expected life","OK"))))))))</f>
        <v>0</v>
      </c>
    </row>
    <row r="84" spans="1:26">
      <c r="A84" s="43">
        <f>IF(B84="","",EquipmentPrefix&amp;TEXT(ROW()-4,"000"))</f>
        <v>0</v>
      </c>
      <c r="T84" s="34">
        <f>IF(OR(B84="",J84=""),"",ROUND((TodayDate-J84)/365.25,1))</f>
        <v>0</v>
      </c>
      <c r="U84" s="21">
        <f>IF(OR(B84="",K84="",L84="",L84=0),"",ROUND(K84/L84+IF(P84="",0,P84)/MAX(1,T84),2))</f>
        <v>0</v>
      </c>
      <c r="V84" s="31">
        <f>IF(B84="","",IF(O84="",MaintenanceDays,O84))</f>
        <v>0</v>
      </c>
      <c r="W84" s="18">
        <f>IF(OR(B84="",N84=""),"",N84+V84)</f>
        <v>0</v>
      </c>
      <c r="X84" s="31">
        <f>IF(W84="","",W84-TodayDate)</f>
        <v>0</v>
      </c>
      <c r="Y84" s="31">
        <f>IF(OR(B84="",J84="",L84=""),"",YEAR(J84)+L84)</f>
        <v>0</v>
      </c>
      <c r="Z84" s="39">
        <f>IF(B84="","",IF(G84="Retired","Archived",IF(G84="Lost or stolen","Action - report it",IF(G84="In repair","Check - in for repair",IF(AND(X84&lt;&gt;"",X84&lt;0),"Overdue - service it",IF(AND(X84&lt;&gt;"",X84&lt;=14),"Due - service coming up",IF(AND(N84="",J84&lt;&gt;""),"Add - never serviced",IF(AND(T84&lt;&gt;"",L84&lt;&gt;"",T84&gt;L84),"Check - past its expected life","OK"))))))))</f>
        <v>0</v>
      </c>
    </row>
  </sheetData>
  <sheetProtection password="EC7C" sheet="1" objects="1" scenarios="1" formatCells="0" formatColumns="0" formatRows="0" insertRows="0" insertHyperlinks="0" deleteRows="0" autoFilter="0"/>
  <autoFilter ref="A4:Z84"/>
  <mergeCells count="13">
    <mergeCell ref="A1:W1"/>
    <mergeCell ref="X1:Z1"/>
    <mergeCell ref="A2:Z2"/>
    <mergeCell ref="A3:B3"/>
    <mergeCell ref="C3:D3"/>
    <mergeCell ref="E3:F3"/>
    <mergeCell ref="G3:H3"/>
    <mergeCell ref="I3:J3"/>
    <mergeCell ref="K3:L3"/>
    <mergeCell ref="M3:N3"/>
    <mergeCell ref="O3:P3"/>
    <mergeCell ref="Q3:R3"/>
    <mergeCell ref="S3:Z3"/>
  </mergeCells>
  <conditionalFormatting sqref="G5:G84">
    <cfRule type="containsText" dxfId="1" priority="1" operator="containsText" text="Completed">
      <formula>NOT(ISERROR(SEARCH("Completed",G5)))</formula>
    </cfRule>
    <cfRule type="containsText" dxfId="1" priority="2" operator="containsText" text="Complete">
      <formula>NOT(ISERROR(SEARCH("Complete",G5)))</formula>
    </cfRule>
    <cfRule type="containsText" dxfId="1" priority="3" operator="containsText" text="Done">
      <formula>NOT(ISERROR(SEARCH("Done",G5)))</formula>
    </cfRule>
    <cfRule type="containsText" dxfId="1" priority="4" operator="containsText" text="Paid">
      <formula>NOT(ISERROR(SEARCH("Paid",G5)))</formula>
    </cfRule>
    <cfRule type="containsText" dxfId="1" priority="5" operator="containsText" text="Accepted">
      <formula>NOT(ISERROR(SEARCH("Accepted",G5)))</formula>
    </cfRule>
    <cfRule type="containsText" dxfId="1" priority="6" operator="containsText" text="Won">
      <formula>NOT(ISERROR(SEARCH("Won",G5)))</formula>
    </cfRule>
    <cfRule type="containsText" dxfId="1" priority="7" operator="containsText" text="Active">
      <formula>NOT(ISERROR(SEARCH("Active",G5)))</formula>
    </cfRule>
    <cfRule type="containsText" dxfId="1" priority="8" operator="containsText" text="In stock">
      <formula>NOT(ISERROR(SEARCH("In stock",G5)))</formula>
    </cfRule>
    <cfRule type="containsText" dxfId="1" priority="9" operator="containsText" text="Resolved">
      <formula>NOT(ISERROR(SEARCH("Resolved",G5)))</formula>
    </cfRule>
    <cfRule type="containsText" dxfId="1" priority="10" operator="containsText" text="Signed">
      <formula>NOT(ISERROR(SEARCH("Signed",G5)))</formula>
    </cfRule>
    <cfRule type="containsText" dxfId="1" priority="11" operator="containsText" text="Yes">
      <formula>NOT(ISERROR(SEARCH("Yes",G5)))</formula>
    </cfRule>
    <cfRule type="containsText" dxfId="3" priority="12" operator="containsText" text="Booked">
      <formula>NOT(ISERROR(SEARCH("Booked",G5)))</formula>
    </cfRule>
    <cfRule type="containsText" dxfId="3" priority="13" operator="containsText" text="Confirmed">
      <formula>NOT(ISERROR(SEARCH("Confirmed",G5)))</formula>
    </cfRule>
    <cfRule type="containsText" dxfId="3" priority="14" operator="containsText" text="Scheduled">
      <formula>NOT(ISERROR(SEARCH("Scheduled",G5)))</formula>
    </cfRule>
    <cfRule type="containsText" dxfId="3" priority="15" operator="containsText" text="In progress">
      <formula>NOT(ISERROR(SEARCH("In progress",G5)))</formula>
    </cfRule>
    <cfRule type="containsText" dxfId="3" priority="16" operator="containsText" text="Sent">
      <formula>NOT(ISERROR(SEARCH("Sent",G5)))</formula>
    </cfRule>
    <cfRule type="containsText" dxfId="3" priority="17" operator="containsText" text="Invoiced">
      <formula>NOT(ISERROR(SEARCH("Invoiced",G5)))</formula>
    </cfRule>
    <cfRule type="containsText" dxfId="3" priority="18" operator="containsText" text="Quoted">
      <formula>NOT(ISERROR(SEARCH("Quoted",G5)))</formula>
    </cfRule>
    <cfRule type="containsText" dxfId="3" priority="19" operator="containsText" text="Prospect">
      <formula>NOT(ISERROR(SEARCH("Prospect",G5)))</formula>
    </cfRule>
    <cfRule type="containsText" dxfId="0" priority="20" operator="containsText" text="Draft">
      <formula>NOT(ISERROR(SEARCH("Draft",G5)))</formula>
    </cfRule>
    <cfRule type="containsText" dxfId="0" priority="21" operator="containsText" text="Enquiry">
      <formula>NOT(ISERROR(SEARCH("Enquiry",G5)))</formula>
    </cfRule>
    <cfRule type="containsText" dxfId="0" priority="22" operator="containsText" text="Pending">
      <formula>NOT(ISERROR(SEARCH("Pending",G5)))</formula>
    </cfRule>
    <cfRule type="containsText" dxfId="0" priority="23" operator="containsText" text="Part paid">
      <formula>NOT(ISERROR(SEARCH("Part paid",G5)))</formula>
    </cfRule>
    <cfRule type="containsText" dxfId="0" priority="24" operator="containsText" text="Followed up">
      <formula>NOT(ISERROR(SEARCH("Followed up",G5)))</formula>
    </cfRule>
    <cfRule type="containsText" dxfId="0" priority="25" operator="containsText" text="Low stock">
      <formula>NOT(ISERROR(SEARCH("Low stock",G5)))</formula>
    </cfRule>
    <cfRule type="containsText" dxfId="0" priority="26" operator="containsText" text="Due soon">
      <formula>NOT(ISERROR(SEARCH("Due soon",G5)))</formula>
    </cfRule>
    <cfRule type="containsText" dxfId="0" priority="27" operator="containsText" text="On hold">
      <formula>NOT(ISERROR(SEARCH("On hold",G5)))</formula>
    </cfRule>
    <cfRule type="containsText" dxfId="0" priority="28" operator="containsText" text="Unassigned">
      <formula>NOT(ISERROR(SEARCH("Unassigned",G5)))</formula>
    </cfRule>
    <cfRule type="containsText" dxfId="2" priority="29" operator="containsText" text="Overdue">
      <formula>NOT(ISERROR(SEARCH("Overdue",G5)))</formula>
    </cfRule>
    <cfRule type="containsText" dxfId="2" priority="30" operator="containsText" text="Cancelled">
      <formula>NOT(ISERROR(SEARCH("Cancelled",G5)))</formula>
    </cfRule>
    <cfRule type="containsText" dxfId="2" priority="31" operator="containsText" text="Declined">
      <formula>NOT(ISERROR(SEARCH("Declined",G5)))</formula>
    </cfRule>
    <cfRule type="containsText" dxfId="2" priority="32" operator="containsText" text="Lost">
      <formula>NOT(ISERROR(SEARCH("Lost",G5)))</formula>
    </cfRule>
    <cfRule type="containsText" dxfId="2" priority="33" operator="containsText" text="No access">
      <formula>NOT(ISERROR(SEARCH("No access",G5)))</formula>
    </cfRule>
    <cfRule type="containsText" dxfId="2" priority="34" operator="containsText" text="Out of stock">
      <formula>NOT(ISERROR(SEARCH("Out of stock",G5)))</formula>
    </cfRule>
    <cfRule type="containsText" dxfId="2" priority="35" operator="containsText" text="Written off">
      <formula>NOT(ISERROR(SEARCH("Written off",G5)))</formula>
    </cfRule>
    <cfRule type="containsText" dxfId="2" priority="36" operator="containsText" text="Expired">
      <formula>NOT(ISERROR(SEARCH("Expired",G5)))</formula>
    </cfRule>
    <cfRule type="containsText" dxfId="4" priority="37" operator="containsText" text="Inactive">
      <formula>NOT(ISERROR(SEARCH("Inactive",G5)))</formula>
    </cfRule>
    <cfRule type="containsText" dxfId="4" priority="38" operator="containsText" text="Archived">
      <formula>NOT(ISERROR(SEARCH("Archived",G5)))</formula>
    </cfRule>
    <cfRule type="containsText" dxfId="4" priority="39" operator="containsText" text="Not needed">
      <formula>NOT(ISERROR(SEARCH("Not needed",G5)))</formula>
    </cfRule>
  </conditionalFormatting>
  <conditionalFormatting sqref="R5:R84">
    <cfRule type="containsText" dxfId="0" priority="40" operator="containsText" text="No">
      <formula>NOT(ISERROR(SEARCH("No",R5)))</formula>
    </cfRule>
    <cfRule type="containsText" dxfId="1" priority="41" operator="containsText" text="Yes">
      <formula>NOT(ISERROR(SEARCH("Yes",R5)))</formula>
    </cfRule>
  </conditionalFormatting>
  <conditionalFormatting sqref="W5:W84">
    <cfRule type="cellIs" dxfId="2" priority="42" operator="lessThan">
      <formula>TodayDate</formula>
    </cfRule>
  </conditionalFormatting>
  <conditionalFormatting sqref="Z5:Z84">
    <cfRule type="beginsWith" dxfId="1" priority="43" operator="beginsWith" text="OK">
      <formula>LEFT(Z5,2)="OK"</formula>
    </cfRule>
    <cfRule type="containsText" dxfId="2" priority="44" operator="containsText" text="Overdue">
      <formula>NOT(ISERROR(SEARCH("Overdue",Z5)))</formula>
    </cfRule>
    <cfRule type="containsText" dxfId="2" priority="45" operator="containsText" text="Late">
      <formula>NOT(ISERROR(SEARCH("Late",Z5)))</formula>
    </cfRule>
    <cfRule type="containsText" dxfId="2" priority="46" operator="containsText" text="Missing">
      <formula>NOT(ISERROR(SEARCH("Missing",Z5)))</formula>
    </cfRule>
    <cfRule type="containsText" dxfId="2" priority="47" operator="containsText" text="Conflict">
      <formula>NOT(ISERROR(SEARCH("Conflict",Z5)))</formula>
    </cfRule>
    <cfRule type="containsText" dxfId="2" priority="48" operator="containsText" text="Clash">
      <formula>NOT(ISERROR(SEARCH("Clash",Z5)))</formula>
    </cfRule>
    <cfRule type="containsText" dxfId="2" priority="49" operator="containsText" text="Expired">
      <formula>NOT(ISERROR(SEARCH("Expired",Z5)))</formula>
    </cfRule>
    <cfRule type="containsText" dxfId="2" priority="50" operator="containsText" text="Duplicate">
      <formula>NOT(ISERROR(SEARCH("Duplicate",Z5)))</formula>
    </cfRule>
    <cfRule type="containsText" dxfId="2" priority="51" operator="containsText" text="Unpaid">
      <formula>NOT(ISERROR(SEARCH("Unpaid",Z5)))</formula>
    </cfRule>
    <cfRule type="containsText" dxfId="2" priority="52" operator="containsText" text="Loss">
      <formula>NOT(ISERROR(SEARCH("Loss",Z5)))</formula>
    </cfRule>
    <cfRule type="containsText" dxfId="2" priority="53" operator="containsText" text="Below">
      <formula>NOT(ISERROR(SEARCH("Below",Z5)))</formula>
    </cfRule>
    <cfRule type="containsText" dxfId="0" priority="54" operator="containsText" text="Action">
      <formula>NOT(ISERROR(SEARCH("Action",Z5)))</formula>
    </cfRule>
    <cfRule type="containsText" dxfId="0" priority="55" operator="containsText" text="Due">
      <formula>NOT(ISERROR(SEARCH("Due",Z5)))</formula>
    </cfRule>
    <cfRule type="containsText" dxfId="0" priority="56" operator="containsText" text="Check">
      <formula>NOT(ISERROR(SEARCH("Check",Z5)))</formula>
    </cfRule>
    <cfRule type="containsText" dxfId="0" priority="57" operator="containsText" text="Chase">
      <formula>NOT(ISERROR(SEARCH("Chase",Z5)))</formula>
    </cfRule>
    <cfRule type="containsText" dxfId="0" priority="58" operator="containsText" text="Assign">
      <formula>NOT(ISERROR(SEARCH("Assign",Z5)))</formula>
    </cfRule>
    <cfRule type="containsText" dxfId="0" priority="59" operator="containsText" text="Confirm">
      <formula>NOT(ISERROR(SEARCH("Confirm",Z5)))</formula>
    </cfRule>
    <cfRule type="containsText" dxfId="0" priority="60" operator="containsText" text="Order">
      <formula>NOT(ISERROR(SEARCH("Order",Z5)))</formula>
    </cfRule>
    <cfRule type="containsText" dxfId="3" priority="61" operator="containsText" text="Today">
      <formula>NOT(ISERROR(SEARCH("Today",Z5)))</formula>
    </cfRule>
    <cfRule type="containsText" dxfId="3" priority="62" operator="containsText" text="Upcoming">
      <formula>NOT(ISERROR(SEARCH("Upcoming",Z5)))</formula>
    </cfRule>
    <cfRule type="containsText" dxfId="3" priority="63" operator="containsText" text="Tomorrow">
      <formula>NOT(ISERROR(SEARCH("Tomorrow",Z5)))</formula>
    </cfRule>
  </conditionalFormatting>
  <dataValidations count="14">
    <dataValidation type="list" allowBlank="1" showInputMessage="1" showErrorMessage="1" sqref="C5:C84">
      <formula1>EquipmentTypeList</formula1>
    </dataValidation>
    <dataValidation type="list" allowBlank="1" showInputMessage="1" showErrorMessage="1" sqref="F5:F84">
      <formula1>OwnershipList</formula1>
    </dataValidation>
    <dataValidation type="list" allowBlank="1" showInputMessage="1" showErrorMessage="1" sqref="G5:G84">
      <formula1>EquipmentStatusList</formula1>
    </dataValidation>
    <dataValidation type="list" allowBlank="1" showInputMessage="1" showErrorMessage="1" promptTitle="Assigned to" prompt="Who has it. The commonest cause of a 'missing' machine is that somebody took it home." sqref="H5:H84">
      <formula1>EmployeeNames</formula1>
    </dataValidation>
    <dataValidation type="list" allowBlank="1" showInputMessage="1" showErrorMessage="1" sqref="I5:I84">
      <formula1>VehicleList</formula1>
    </dataValidation>
    <dataValidation type="date" allowBlank="1" showInputMessage="1" showErrorMessage="1" errorTitle="Check the date" error="Enter a real date between 2000 and 2100." sqref="J5:J84">
      <formula1>36526</formula1>
      <formula2>73415</formula2>
    </dataValidation>
    <dataValidation type="decimal" allowBlank="1" showInputMessage="1" showErrorMessage="1" errorTitle="Check the value" error="Enter a number between 0 and 1000000." sqref="K5:K84">
      <formula1>0</formula1>
      <formula2>1000000</formula2>
    </dataValidation>
    <dataValidation type="decimal" allowBlank="1" showInputMessage="1" showErrorMessage="1" errorTitle="Check the value" error="Enter a number between 0 and 50." promptTitle="Expected life (years)" prompt="Used to work out what it costs you a year, and when to start saving for its replacement." sqref="L5:L84">
      <formula1>0</formula1>
      <formula2>50</formula2>
    </dataValidation>
    <dataValidation type="date" allowBlank="1" showInputMessage="1" showErrorMessage="1" errorTitle="Check the date" error="Enter a real date between 2000 and 2100." sqref="M5:M84">
      <formula1>36526</formula1>
      <formula2>73415</formula2>
    </dataValidation>
    <dataValidation type="date" allowBlank="1" showInputMessage="1" showErrorMessage="1" errorTitle="Check the date" error="Enter a real date between 2000 and 2100." sqref="N5:N84">
      <formula1>36526</formula1>
      <formula2>73415</formula2>
    </dataValidation>
    <dataValidation type="whole" allowBlank="1" showInputMessage="1" showErrorMessage="1" errorTitle="Check the value" error="Enter a number between 0 and 3650." promptTitle="Service every (days)" prompt="Blank uses the standard interval from the Settings tab." sqref="O5:O84">
      <formula1>0</formula1>
      <formula2>3650</formula2>
    </dataValidation>
    <dataValidation type="decimal" allowBlank="1" showInputMessage="1" showErrorMessage="1" errorTitle="Check the value" error="Enter a number between 0 and 1000000." promptTitle="Spent on repairs" prompt="Running total of what you have spent keeping it going. When it passes the replacement cost, stop." sqref="P5:P84">
      <formula1>0</formula1>
      <formula2>1000000</formula2>
    </dataValidation>
    <dataValidation type="date" allowBlank="1" showInputMessage="1" showErrorMessage="1" errorTitle="Check the date" error="Enter a real date between 2000 and 2100." promptTitle="Safety tested on" prompt="Electrical safety testing, where your country requires it." sqref="Q5:Q84">
      <formula1>36526</formula1>
      <formula2>73415</formula2>
    </dataValidation>
    <dataValidation type="list" allowBlank="1" showInputMessage="1" showErrorMessage="1" sqref="R5:R84">
      <formula1>YesNoNAList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&amp;L&amp;"Calibri,Bold"&amp;12&amp;C&amp;"Calibri,Bold"&amp;11Equipment&amp;R&amp;"Calibri,Italic"&amp;9Cleaning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25.xml><?xml version="1.0" encoding="utf-8"?>
<worksheet xmlns="http://schemas.openxmlformats.org/spreadsheetml/2006/main" xmlns:r="http://schemas.openxmlformats.org/officeDocument/2006/relationships">
  <sheetPr>
    <tabColor rgb="FFE8A33D"/>
    <pageSetUpPr fitToPage="1"/>
  </sheetPr>
  <dimension ref="A1:U4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3" customWidth="1"/>
    <col min="2" max="2" width="11.7109375" style="46" customWidth="1"/>
    <col min="3" max="3" width="10.7109375" style="23" customWidth="1"/>
    <col min="4" max="4" width="22.7109375" style="15" customWidth="1"/>
    <col min="5" max="5" width="13.7109375" style="15" customWidth="1"/>
    <col min="6" max="6" width="32.7109375" style="15" customWidth="1"/>
    <col min="7" max="7" width="20.7109375" style="15" customWidth="1"/>
    <col min="8" max="8" width="12.7109375" style="19" customWidth="1"/>
    <col min="9" max="9" width="10.7109375" style="19" customWidth="1"/>
    <col min="10" max="10" width="14.7109375" style="15" customWidth="1"/>
    <col min="11" max="11" width="11.7109375" style="49" customWidth="1"/>
    <col min="12" max="12" width="16.7109375" style="15" customWidth="1"/>
    <col min="13" max="13" width="9.7109375" style="47" customWidth="1"/>
    <col min="14" max="14" width="9.7109375" style="47" customWidth="1"/>
    <col min="15" max="15" width="9.7109375" style="47" customWidth="1"/>
    <col min="16" max="16" width="28.7109375" style="44" customWidth="1"/>
    <col min="17" max="17" width="12.7109375" style="21" customWidth="1"/>
    <col min="18" max="18" width="12.7109375" style="21" hidden="1" customWidth="1"/>
    <col min="19" max="19" width="10.7109375" style="38" hidden="1" customWidth="1"/>
    <col min="20" max="20" width="18.7109375" style="23" hidden="1" customWidth="1"/>
    <col min="21" max="21" width="24.7109375" style="39" customWidth="1"/>
  </cols>
  <sheetData>
    <row r="1" spans="1:21" ht="34" customHeight="1">
      <c r="A1" s="2" t="s">
        <v>1842</v>
      </c>
      <c r="B1" s="2"/>
      <c r="C1" s="2"/>
      <c r="D1" s="2"/>
      <c r="E1" s="2"/>
      <c r="F1" s="2"/>
      <c r="G1" s="2"/>
      <c r="H1" s="2"/>
      <c r="I1" s="2"/>
      <c r="J1" s="2"/>
      <c r="K1" s="2"/>
      <c r="L1" s="2"/>
      <c r="M1" s="2"/>
      <c r="N1" s="2"/>
      <c r="O1" s="2"/>
      <c r="P1" s="2"/>
      <c r="Q1" s="2"/>
      <c r="R1" s="2"/>
      <c r="S1" s="3" t="s">
        <v>1</v>
      </c>
      <c r="T1" s="3"/>
      <c r="U1" s="3"/>
    </row>
    <row r="2" spans="1:21" ht="18" customHeight="1">
      <c r="A2" s="4" t="s">
        <v>1843</v>
      </c>
      <c r="B2" s="4"/>
      <c r="C2" s="4"/>
      <c r="D2" s="4"/>
      <c r="E2" s="4"/>
      <c r="F2" s="4"/>
      <c r="G2" s="4"/>
      <c r="H2" s="4"/>
      <c r="I2" s="4"/>
      <c r="J2" s="4"/>
      <c r="K2" s="4"/>
      <c r="L2" s="4"/>
      <c r="M2" s="4"/>
      <c r="N2" s="4"/>
      <c r="O2" s="4"/>
      <c r="P2" s="4"/>
      <c r="Q2" s="4"/>
      <c r="R2" s="4"/>
      <c r="S2" s="4"/>
      <c r="T2" s="4"/>
      <c r="U2" s="4"/>
    </row>
    <row r="3" spans="1:21" ht="16" customHeight="1">
      <c r="A3" s="5" t="s">
        <v>3</v>
      </c>
      <c r="B3" s="5"/>
      <c r="C3" s="5" t="s">
        <v>4</v>
      </c>
      <c r="D3" s="5"/>
      <c r="E3" s="5" t="s">
        <v>5</v>
      </c>
      <c r="F3" s="5"/>
      <c r="G3" s="5" t="s">
        <v>6</v>
      </c>
      <c r="H3" s="5"/>
      <c r="I3" s="5" t="s">
        <v>7</v>
      </c>
      <c r="J3" s="5"/>
      <c r="K3" s="5" t="s">
        <v>338</v>
      </c>
      <c r="L3" s="5"/>
      <c r="M3" s="5" t="s">
        <v>541</v>
      </c>
      <c r="N3" s="5"/>
      <c r="O3" s="5" t="s">
        <v>542</v>
      </c>
      <c r="P3" s="5"/>
      <c r="Q3" s="5" t="s">
        <v>543</v>
      </c>
      <c r="R3" s="5"/>
      <c r="S3" s="14"/>
      <c r="T3" s="14"/>
      <c r="U3" s="14"/>
    </row>
    <row r="4" spans="1:21" ht="30" customHeight="1">
      <c r="A4" s="8" t="s">
        <v>545</v>
      </c>
      <c r="B4" s="8" t="s">
        <v>1100</v>
      </c>
      <c r="C4" s="9" t="s">
        <v>340</v>
      </c>
      <c r="D4" s="9" t="s">
        <v>950</v>
      </c>
      <c r="E4" s="9" t="s">
        <v>404</v>
      </c>
      <c r="F4" s="9" t="s">
        <v>1844</v>
      </c>
      <c r="G4" s="9" t="s">
        <v>1845</v>
      </c>
      <c r="H4" s="9" t="s">
        <v>1846</v>
      </c>
      <c r="I4" s="9" t="s">
        <v>1044</v>
      </c>
      <c r="J4" s="9" t="s">
        <v>1847</v>
      </c>
      <c r="K4" s="9" t="s">
        <v>1169</v>
      </c>
      <c r="L4" s="9" t="s">
        <v>1848</v>
      </c>
      <c r="M4" s="9" t="s">
        <v>1849</v>
      </c>
      <c r="N4" s="9" t="s">
        <v>1110</v>
      </c>
      <c r="O4" s="9" t="s">
        <v>1850</v>
      </c>
      <c r="P4" s="9" t="s">
        <v>421</v>
      </c>
      <c r="Q4" s="9" t="s">
        <v>1851</v>
      </c>
      <c r="R4" s="9" t="s">
        <v>1852</v>
      </c>
      <c r="S4" s="9" t="s">
        <v>1853</v>
      </c>
      <c r="T4" s="9" t="s">
        <v>1854</v>
      </c>
      <c r="U4" s="9" t="s">
        <v>970</v>
      </c>
    </row>
    <row r="5" spans="1:21">
      <c r="A5" s="43">
        <f>IF(B5="","",ExpensePrefix&amp;TEXT(ROW()-4,"0000"))</f>
        <v>0</v>
      </c>
      <c r="B5" s="46">
        <v>46235</v>
      </c>
      <c r="C5" s="23">
        <f>IF(B5="","",TEXT(B5,"yyyy-mm"))</f>
        <v>0</v>
      </c>
      <c r="D5" s="15" t="s">
        <v>1855</v>
      </c>
      <c r="E5" s="15" t="s">
        <v>1856</v>
      </c>
      <c r="F5" s="15" t="s">
        <v>1857</v>
      </c>
      <c r="G5" s="15" t="s">
        <v>1858</v>
      </c>
      <c r="H5" s="19">
        <v>66</v>
      </c>
      <c r="J5" s="15" t="s">
        <v>1859</v>
      </c>
      <c r="K5" s="49" t="s">
        <v>172</v>
      </c>
      <c r="L5" s="15" t="s">
        <v>172</v>
      </c>
      <c r="M5" s="47" t="s">
        <v>454</v>
      </c>
      <c r="N5" s="47" t="s">
        <v>454</v>
      </c>
      <c r="O5" s="47" t="s">
        <v>454</v>
      </c>
      <c r="P5" s="44" t="s">
        <v>172</v>
      </c>
      <c r="Q5" s="21">
        <f>IF(B5="","",IF(H5="",0,H5)+IF(I5="",0,I5))</f>
        <v>0</v>
      </c>
      <c r="R5" s="21">
        <f>IF(OR(B5="",D5=""),"",SUMIFS($Q$5:$Q$404,$D$5:$D$404,D5,$C$5:$C$404,C5))</f>
        <v>0</v>
      </c>
      <c r="S5" s="38">
        <f>IF(OR(B5="",C5=""),"",IFERROR(R5/SUMIFS($Q$5:$Q$404,$C$5:$C$404,C5),""))</f>
        <v>0</v>
      </c>
      <c r="T5" s="23">
        <f>IF(K5="","",IFERROR(INDEX(Jobs!$H$5:$H$604,MATCH(K5,Jobs!$A$5:$A$604,0)),""))</f>
        <v>0</v>
      </c>
      <c r="U5" s="39">
        <f>IF(B5="","",IF(H5="","Add - how much?",IF(D5="","Add - which category?",IF(M5="No","Action - no receipt",IF(AND(H5&gt;500,F5=""),"Add - describe a large payment","OK")))))</f>
        <v>0</v>
      </c>
    </row>
    <row r="6" spans="1:21">
      <c r="A6" s="43">
        <f>IF(B6="","",ExpensePrefix&amp;TEXT(ROW()-4,"0000"))</f>
        <v>0</v>
      </c>
      <c r="B6" s="46">
        <v>46235</v>
      </c>
      <c r="C6" s="23">
        <f>IF(B6="","",TEXT(B6,"yyyy-mm"))</f>
        <v>0</v>
      </c>
      <c r="D6" s="15" t="s">
        <v>1860</v>
      </c>
      <c r="E6" s="15" t="s">
        <v>1856</v>
      </c>
      <c r="F6" s="15" t="s">
        <v>1861</v>
      </c>
      <c r="G6" s="15" t="s">
        <v>1862</v>
      </c>
      <c r="H6" s="19">
        <v>150</v>
      </c>
      <c r="J6" s="15" t="s">
        <v>1859</v>
      </c>
      <c r="K6" s="49" t="s">
        <v>172</v>
      </c>
      <c r="L6" s="15" t="s">
        <v>172</v>
      </c>
      <c r="M6" s="47" t="s">
        <v>454</v>
      </c>
      <c r="N6" s="47" t="s">
        <v>454</v>
      </c>
      <c r="O6" s="47" t="s">
        <v>454</v>
      </c>
      <c r="P6" s="44" t="s">
        <v>172</v>
      </c>
      <c r="Q6" s="21">
        <f>IF(B6="","",IF(H6="",0,H6)+IF(I6="",0,I6))</f>
        <v>0</v>
      </c>
      <c r="R6" s="21">
        <f>IF(OR(B6="",D6=""),"",SUMIFS($Q$5:$Q$404,$D$5:$D$404,D6,$C$5:$C$404,C6))</f>
        <v>0</v>
      </c>
      <c r="S6" s="38">
        <f>IF(OR(B6="",C6=""),"",IFERROR(R6/SUMIFS($Q$5:$Q$404,$C$5:$C$404,C6),""))</f>
        <v>0</v>
      </c>
      <c r="T6" s="23">
        <f>IF(K6="","",IFERROR(INDEX(Jobs!$H$5:$H$604,MATCH(K6,Jobs!$A$5:$A$604,0)),""))</f>
        <v>0</v>
      </c>
      <c r="U6" s="39">
        <f>IF(B6="","",IF(H6="","Add - how much?",IF(D6="","Add - which category?",IF(M6="No","Action - no receipt",IF(AND(H6&gt;500,F6=""),"Add - describe a large payment","OK")))))</f>
        <v>0</v>
      </c>
    </row>
    <row r="7" spans="1:21">
      <c r="A7" s="43">
        <f>IF(B7="","",ExpensePrefix&amp;TEXT(ROW()-4,"0000"))</f>
        <v>0</v>
      </c>
      <c r="B7" s="46">
        <v>46237</v>
      </c>
      <c r="C7" s="23">
        <f>IF(B7="","",TEXT(B7,"yyyy-mm"))</f>
        <v>0</v>
      </c>
      <c r="D7" s="15" t="s">
        <v>1863</v>
      </c>
      <c r="E7" s="15" t="s">
        <v>1856</v>
      </c>
      <c r="F7" s="15" t="s">
        <v>1864</v>
      </c>
      <c r="G7" s="15" t="s">
        <v>1865</v>
      </c>
      <c r="H7" s="19">
        <v>32</v>
      </c>
      <c r="J7" s="15" t="s">
        <v>1590</v>
      </c>
      <c r="K7" s="49" t="s">
        <v>172</v>
      </c>
      <c r="L7" s="15" t="s">
        <v>172</v>
      </c>
      <c r="M7" s="47" t="s">
        <v>454</v>
      </c>
      <c r="N7" s="47" t="s">
        <v>454</v>
      </c>
      <c r="O7" s="47" t="s">
        <v>454</v>
      </c>
      <c r="P7" s="44" t="s">
        <v>172</v>
      </c>
      <c r="Q7" s="21">
        <f>IF(B7="","",IF(H7="",0,H7)+IF(I7="",0,I7))</f>
        <v>0</v>
      </c>
      <c r="R7" s="21">
        <f>IF(OR(B7="",D7=""),"",SUMIFS($Q$5:$Q$404,$D$5:$D$404,D7,$C$5:$C$404,C7))</f>
        <v>0</v>
      </c>
      <c r="S7" s="38">
        <f>IF(OR(B7="",C7=""),"",IFERROR(R7/SUMIFS($Q$5:$Q$404,$C$5:$C$404,C7),""))</f>
        <v>0</v>
      </c>
      <c r="T7" s="23">
        <f>IF(K7="","",IFERROR(INDEX(Jobs!$H$5:$H$604,MATCH(K7,Jobs!$A$5:$A$604,0)),""))</f>
        <v>0</v>
      </c>
      <c r="U7" s="39">
        <f>IF(B7="","",IF(H7="","Add - how much?",IF(D7="","Add - which category?",IF(M7="No","Action - no receipt",IF(AND(H7&gt;500,F7=""),"Add - describe a large payment","OK")))))</f>
        <v>0</v>
      </c>
    </row>
    <row r="8" spans="1:21">
      <c r="A8" s="43">
        <f>IF(B8="","",ExpensePrefix&amp;TEXT(ROW()-4,"0000"))</f>
        <v>0</v>
      </c>
      <c r="B8" s="46">
        <v>46239</v>
      </c>
      <c r="C8" s="23">
        <f>IF(B8="","",TEXT(B8,"yyyy-mm"))</f>
        <v>0</v>
      </c>
      <c r="D8" s="15" t="s">
        <v>1866</v>
      </c>
      <c r="E8" s="15" t="s">
        <v>1856</v>
      </c>
      <c r="F8" s="15" t="s">
        <v>1867</v>
      </c>
      <c r="G8" s="15" t="s">
        <v>1868</v>
      </c>
      <c r="H8" s="19">
        <v>58</v>
      </c>
      <c r="J8" s="15" t="s">
        <v>1859</v>
      </c>
      <c r="K8" s="49" t="s">
        <v>172</v>
      </c>
      <c r="L8" s="15" t="s">
        <v>172</v>
      </c>
      <c r="M8" s="47" t="s">
        <v>454</v>
      </c>
      <c r="N8" s="47" t="s">
        <v>454</v>
      </c>
      <c r="O8" s="47" t="s">
        <v>454</v>
      </c>
      <c r="P8" s="44" t="s">
        <v>172</v>
      </c>
      <c r="Q8" s="21">
        <f>IF(B8="","",IF(H8="",0,H8)+IF(I8="",0,I8))</f>
        <v>0</v>
      </c>
      <c r="R8" s="21">
        <f>IF(OR(B8="",D8=""),"",SUMIFS($Q$5:$Q$404,$D$5:$D$404,D8,$C$5:$C$404,C8))</f>
        <v>0</v>
      </c>
      <c r="S8" s="38">
        <f>IF(OR(B8="",C8=""),"",IFERROR(R8/SUMIFS($Q$5:$Q$404,$C$5:$C$404,C8),""))</f>
        <v>0</v>
      </c>
      <c r="T8" s="23">
        <f>IF(K8="","",IFERROR(INDEX(Jobs!$H$5:$H$604,MATCH(K8,Jobs!$A$5:$A$604,0)),""))</f>
        <v>0</v>
      </c>
      <c r="U8" s="39">
        <f>IF(B8="","",IF(H8="","Add - how much?",IF(D8="","Add - which category?",IF(M8="No","Action - no receipt",IF(AND(H8&gt;500,F8=""),"Add - describe a large payment","OK")))))</f>
        <v>0</v>
      </c>
    </row>
    <row r="9" spans="1:21">
      <c r="A9" s="43">
        <f>IF(B9="","",ExpensePrefix&amp;TEXT(ROW()-4,"0000"))</f>
        <v>0</v>
      </c>
      <c r="B9" s="46">
        <v>46241</v>
      </c>
      <c r="C9" s="23">
        <f>IF(B9="","",TEXT(B9,"yyyy-mm"))</f>
        <v>0</v>
      </c>
      <c r="D9" s="15" t="s">
        <v>1869</v>
      </c>
      <c r="E9" s="15" t="s">
        <v>1856</v>
      </c>
      <c r="F9" s="15" t="s">
        <v>1870</v>
      </c>
      <c r="G9" s="15" t="s">
        <v>1871</v>
      </c>
      <c r="H9" s="19">
        <v>120</v>
      </c>
      <c r="J9" s="15" t="s">
        <v>1590</v>
      </c>
      <c r="K9" s="49" t="s">
        <v>172</v>
      </c>
      <c r="L9" s="15" t="s">
        <v>172</v>
      </c>
      <c r="M9" s="47" t="s">
        <v>454</v>
      </c>
      <c r="N9" s="47" t="s">
        <v>454</v>
      </c>
      <c r="O9" s="47" t="s">
        <v>454</v>
      </c>
      <c r="P9" s="44" t="s">
        <v>172</v>
      </c>
      <c r="Q9" s="21">
        <f>IF(B9="","",IF(H9="",0,H9)+IF(I9="",0,I9))</f>
        <v>0</v>
      </c>
      <c r="R9" s="21">
        <f>IF(OR(B9="",D9=""),"",SUMIFS($Q$5:$Q$404,$D$5:$D$404,D9,$C$5:$C$404,C9))</f>
        <v>0</v>
      </c>
      <c r="S9" s="38">
        <f>IF(OR(B9="",C9=""),"",IFERROR(R9/SUMIFS($Q$5:$Q$404,$C$5:$C$404,C9),""))</f>
        <v>0</v>
      </c>
      <c r="T9" s="23">
        <f>IF(K9="","",IFERROR(INDEX(Jobs!$H$5:$H$604,MATCH(K9,Jobs!$A$5:$A$604,0)),""))</f>
        <v>0</v>
      </c>
      <c r="U9" s="39">
        <f>IF(B9="","",IF(H9="","Add - how much?",IF(D9="","Add - which category?",IF(M9="No","Action - no receipt",IF(AND(H9&gt;500,F9=""),"Add - describe a large payment","OK")))))</f>
        <v>0</v>
      </c>
    </row>
    <row r="10" spans="1:21">
      <c r="A10" s="43">
        <f>IF(B10="","",ExpensePrefix&amp;TEXT(ROW()-4,"0000"))</f>
        <v>0</v>
      </c>
      <c r="B10" s="46">
        <v>46236</v>
      </c>
      <c r="C10" s="23">
        <f>IF(B10="","",TEXT(B10,"yyyy-mm"))</f>
        <v>0</v>
      </c>
      <c r="D10" s="15" t="s">
        <v>1872</v>
      </c>
      <c r="E10" s="15" t="s">
        <v>1856</v>
      </c>
      <c r="F10" s="15" t="s">
        <v>1873</v>
      </c>
      <c r="G10" s="15" t="s">
        <v>1874</v>
      </c>
      <c r="H10" s="19">
        <v>75</v>
      </c>
      <c r="J10" s="15" t="s">
        <v>1859</v>
      </c>
      <c r="K10" s="49" t="s">
        <v>172</v>
      </c>
      <c r="L10" s="15" t="s">
        <v>172</v>
      </c>
      <c r="M10" s="47" t="s">
        <v>454</v>
      </c>
      <c r="N10" s="47" t="s">
        <v>454</v>
      </c>
      <c r="O10" s="47" t="s">
        <v>454</v>
      </c>
      <c r="P10" s="44" t="s">
        <v>172</v>
      </c>
      <c r="Q10" s="21">
        <f>IF(B10="","",IF(H10="",0,H10)+IF(I10="",0,I10))</f>
        <v>0</v>
      </c>
      <c r="R10" s="21">
        <f>IF(OR(B10="",D10=""),"",SUMIFS($Q$5:$Q$404,$D$5:$D$404,D10,$C$5:$C$404,C10))</f>
        <v>0</v>
      </c>
      <c r="S10" s="38">
        <f>IF(OR(B10="",C10=""),"",IFERROR(R10/SUMIFS($Q$5:$Q$404,$C$5:$C$404,C10),""))</f>
        <v>0</v>
      </c>
      <c r="T10" s="23">
        <f>IF(K10="","",IFERROR(INDEX(Jobs!$H$5:$H$604,MATCH(K10,Jobs!$A$5:$A$604,0)),""))</f>
        <v>0</v>
      </c>
      <c r="U10" s="39">
        <f>IF(B10="","",IF(H10="","Add - how much?",IF(D10="","Add - which category?",IF(M10="No","Action - no receipt",IF(AND(H10&gt;500,F10=""),"Add - describe a large payment","OK")))))</f>
        <v>0</v>
      </c>
    </row>
    <row r="11" spans="1:21">
      <c r="A11" s="43">
        <f>IF(B11="","",ExpensePrefix&amp;TEXT(ROW()-4,"0000"))</f>
        <v>0</v>
      </c>
      <c r="B11" s="46">
        <v>46246</v>
      </c>
      <c r="C11" s="23">
        <f>IF(B11="","",TEXT(B11,"yyyy-mm"))</f>
        <v>0</v>
      </c>
      <c r="D11" s="15" t="s">
        <v>1875</v>
      </c>
      <c r="E11" s="15" t="s">
        <v>1856</v>
      </c>
      <c r="F11" s="15" t="s">
        <v>1876</v>
      </c>
      <c r="G11" s="15" t="s">
        <v>611</v>
      </c>
      <c r="H11" s="19">
        <v>85</v>
      </c>
      <c r="J11" s="15" t="s">
        <v>1592</v>
      </c>
      <c r="K11" s="49" t="s">
        <v>172</v>
      </c>
      <c r="L11" s="15" t="s">
        <v>172</v>
      </c>
      <c r="M11" s="47" t="s">
        <v>454</v>
      </c>
      <c r="N11" s="47" t="s">
        <v>454</v>
      </c>
      <c r="O11" s="47" t="s">
        <v>454</v>
      </c>
      <c r="P11" s="44" t="s">
        <v>172</v>
      </c>
      <c r="Q11" s="21">
        <f>IF(B11="","",IF(H11="",0,H11)+IF(I11="",0,I11))</f>
        <v>0</v>
      </c>
      <c r="R11" s="21">
        <f>IF(OR(B11="",D11=""),"",SUMIFS($Q$5:$Q$404,$D$5:$D$404,D11,$C$5:$C$404,C11))</f>
        <v>0</v>
      </c>
      <c r="S11" s="38">
        <f>IF(OR(B11="",C11=""),"",IFERROR(R11/SUMIFS($Q$5:$Q$404,$C$5:$C$404,C11),""))</f>
        <v>0</v>
      </c>
      <c r="T11" s="23">
        <f>IF(K11="","",IFERROR(INDEX(Jobs!$H$5:$H$604,MATCH(K11,Jobs!$A$5:$A$604,0)),""))</f>
        <v>0</v>
      </c>
      <c r="U11" s="39">
        <f>IF(B11="","",IF(H11="","Add - how much?",IF(D11="","Add - which category?",IF(M11="No","Action - no receipt",IF(AND(H11&gt;500,F11=""),"Add - describe a large payment","OK")))))</f>
        <v>0</v>
      </c>
    </row>
    <row r="12" spans="1:21">
      <c r="A12" s="43">
        <f>IF(B12="","",ExpensePrefix&amp;TEXT(ROW()-4,"0000"))</f>
        <v>0</v>
      </c>
      <c r="B12" s="46">
        <v>46243</v>
      </c>
      <c r="C12" s="23">
        <f>IF(B12="","",TEXT(B12,"yyyy-mm"))</f>
        <v>0</v>
      </c>
      <c r="D12" s="15" t="s">
        <v>1877</v>
      </c>
      <c r="E12" s="15" t="s">
        <v>1878</v>
      </c>
      <c r="F12" s="15" t="s">
        <v>1879</v>
      </c>
      <c r="G12" s="15" t="s">
        <v>1880</v>
      </c>
      <c r="H12" s="19">
        <v>131.33</v>
      </c>
      <c r="J12" s="15" t="s">
        <v>1590</v>
      </c>
      <c r="K12" s="49" t="s">
        <v>172</v>
      </c>
      <c r="L12" s="15" t="s">
        <v>172</v>
      </c>
      <c r="M12" s="47" t="s">
        <v>454</v>
      </c>
      <c r="N12" s="47" t="s">
        <v>457</v>
      </c>
      <c r="O12" s="47" t="s">
        <v>454</v>
      </c>
      <c r="P12" s="44" t="s">
        <v>172</v>
      </c>
      <c r="Q12" s="21">
        <f>IF(B12="","",IF(H12="",0,H12)+IF(I12="",0,I12))</f>
        <v>0</v>
      </c>
      <c r="R12" s="21">
        <f>IF(OR(B12="",D12=""),"",SUMIFS($Q$5:$Q$404,$D$5:$D$404,D12,$C$5:$C$404,C12))</f>
        <v>0</v>
      </c>
      <c r="S12" s="38">
        <f>IF(OR(B12="",C12=""),"",IFERROR(R12/SUMIFS($Q$5:$Q$404,$C$5:$C$404,C12),""))</f>
        <v>0</v>
      </c>
      <c r="T12" s="23">
        <f>IF(K12="","",IFERROR(INDEX(Jobs!$H$5:$H$604,MATCH(K12,Jobs!$A$5:$A$604,0)),""))</f>
        <v>0</v>
      </c>
      <c r="U12" s="39">
        <f>IF(B12="","",IF(H12="","Add - how much?",IF(D12="","Add - which category?",IF(M12="No","Action - no receipt",IF(AND(H12&gt;500,F12=""),"Add - describe a large payment","OK")))))</f>
        <v>0</v>
      </c>
    </row>
    <row r="13" spans="1:21">
      <c r="A13" s="43">
        <f>IF(B13="","",ExpensePrefix&amp;TEXT(ROW()-4,"0000"))</f>
        <v>0</v>
      </c>
      <c r="B13" s="46">
        <v>46250</v>
      </c>
      <c r="C13" s="23">
        <f>IF(B13="","",TEXT(B13,"yyyy-mm"))</f>
        <v>0</v>
      </c>
      <c r="D13" s="15" t="s">
        <v>1877</v>
      </c>
      <c r="E13" s="15" t="s">
        <v>1878</v>
      </c>
      <c r="F13" s="15" t="s">
        <v>1881</v>
      </c>
      <c r="G13" s="15" t="s">
        <v>1880</v>
      </c>
      <c r="H13" s="19">
        <v>102.75</v>
      </c>
      <c r="J13" s="15" t="s">
        <v>1590</v>
      </c>
      <c r="K13" s="49" t="s">
        <v>172</v>
      </c>
      <c r="L13" s="15" t="s">
        <v>172</v>
      </c>
      <c r="M13" s="47" t="s">
        <v>454</v>
      </c>
      <c r="N13" s="47" t="s">
        <v>457</v>
      </c>
      <c r="O13" s="47" t="s">
        <v>454</v>
      </c>
      <c r="P13" s="44" t="s">
        <v>172</v>
      </c>
      <c r="Q13" s="21">
        <f>IF(B13="","",IF(H13="",0,H13)+IF(I13="",0,I13))</f>
        <v>0</v>
      </c>
      <c r="R13" s="21">
        <f>IF(OR(B13="",D13=""),"",SUMIFS($Q$5:$Q$404,$D$5:$D$404,D13,$C$5:$C$404,C13))</f>
        <v>0</v>
      </c>
      <c r="S13" s="38">
        <f>IF(OR(B13="",C13=""),"",IFERROR(R13/SUMIFS($Q$5:$Q$404,$C$5:$C$404,C13),""))</f>
        <v>0</v>
      </c>
      <c r="T13" s="23">
        <f>IF(K13="","",IFERROR(INDEX(Jobs!$H$5:$H$604,MATCH(K13,Jobs!$A$5:$A$604,0)),""))</f>
        <v>0</v>
      </c>
      <c r="U13" s="39">
        <f>IF(B13="","",IF(H13="","Add - how much?",IF(D13="","Add - which category?",IF(M13="No","Action - no receipt",IF(AND(H13&gt;500,F13=""),"Add - describe a large payment","OK")))))</f>
        <v>0</v>
      </c>
    </row>
    <row r="14" spans="1:21">
      <c r="A14" s="43">
        <f>IF(B14="","",ExpensePrefix&amp;TEXT(ROW()-4,"0000"))</f>
        <v>0</v>
      </c>
      <c r="B14" s="46">
        <v>46238</v>
      </c>
      <c r="C14" s="23">
        <f>IF(B14="","",TEXT(B14,"yyyy-mm"))</f>
        <v>0</v>
      </c>
      <c r="D14" s="15" t="s">
        <v>1882</v>
      </c>
      <c r="E14" s="15" t="s">
        <v>1878</v>
      </c>
      <c r="F14" s="15" t="s">
        <v>1883</v>
      </c>
      <c r="G14" s="15" t="s">
        <v>1702</v>
      </c>
      <c r="H14" s="19">
        <v>188.96</v>
      </c>
      <c r="J14" s="15" t="s">
        <v>1590</v>
      </c>
      <c r="K14" s="49" t="s">
        <v>172</v>
      </c>
      <c r="L14" s="15" t="s">
        <v>172</v>
      </c>
      <c r="M14" s="47" t="s">
        <v>454</v>
      </c>
      <c r="N14" s="47" t="s">
        <v>457</v>
      </c>
      <c r="O14" s="47" t="s">
        <v>454</v>
      </c>
      <c r="P14" s="44" t="s">
        <v>172</v>
      </c>
      <c r="Q14" s="21">
        <f>IF(B14="","",IF(H14="",0,H14)+IF(I14="",0,I14))</f>
        <v>0</v>
      </c>
      <c r="R14" s="21">
        <f>IF(OR(B14="",D14=""),"",SUMIFS($Q$5:$Q$404,$D$5:$D$404,D14,$C$5:$C$404,C14))</f>
        <v>0</v>
      </c>
      <c r="S14" s="38">
        <f>IF(OR(B14="",C14=""),"",IFERROR(R14/SUMIFS($Q$5:$Q$404,$C$5:$C$404,C14),""))</f>
        <v>0</v>
      </c>
      <c r="T14" s="23">
        <f>IF(K14="","",IFERROR(INDEX(Jobs!$H$5:$H$604,MATCH(K14,Jobs!$A$5:$A$604,0)),""))</f>
        <v>0</v>
      </c>
      <c r="U14" s="39">
        <f>IF(B14="","",IF(H14="","Add - how much?",IF(D14="","Add - which category?",IF(M14="No","Action - no receipt",IF(AND(H14&gt;500,F14=""),"Add - describe a large payment","OK")))))</f>
        <v>0</v>
      </c>
    </row>
    <row r="15" spans="1:21">
      <c r="A15" s="43">
        <f>IF(B15="","",ExpensePrefix&amp;TEXT(ROW()-4,"0000"))</f>
        <v>0</v>
      </c>
      <c r="B15" s="46">
        <v>46252</v>
      </c>
      <c r="C15" s="23">
        <f>IF(B15="","",TEXT(B15,"yyyy-mm"))</f>
        <v>0</v>
      </c>
      <c r="D15" s="15" t="s">
        <v>1744</v>
      </c>
      <c r="E15" s="15" t="s">
        <v>1878</v>
      </c>
      <c r="F15" s="15" t="s">
        <v>1884</v>
      </c>
      <c r="G15" s="15" t="s">
        <v>1885</v>
      </c>
      <c r="H15" s="19">
        <v>74.07</v>
      </c>
      <c r="J15" s="15" t="s">
        <v>1592</v>
      </c>
      <c r="K15" s="49" t="s">
        <v>172</v>
      </c>
      <c r="L15" s="15" t="s">
        <v>172</v>
      </c>
      <c r="M15" s="47" t="s">
        <v>454</v>
      </c>
      <c r="N15" s="47" t="s">
        <v>457</v>
      </c>
      <c r="O15" s="47" t="s">
        <v>454</v>
      </c>
      <c r="P15" s="44" t="s">
        <v>172</v>
      </c>
      <c r="Q15" s="21">
        <f>IF(B15="","",IF(H15="",0,H15)+IF(I15="",0,I15))</f>
        <v>0</v>
      </c>
      <c r="R15" s="21">
        <f>IF(OR(B15="",D15=""),"",SUMIFS($Q$5:$Q$404,$D$5:$D$404,D15,$C$5:$C$404,C15))</f>
        <v>0</v>
      </c>
      <c r="S15" s="38">
        <f>IF(OR(B15="",C15=""),"",IFERROR(R15/SUMIFS($Q$5:$Q$404,$C$5:$C$404,C15),""))</f>
        <v>0</v>
      </c>
      <c r="T15" s="23">
        <f>IF(K15="","",IFERROR(INDEX(Jobs!$H$5:$H$604,MATCH(K15,Jobs!$A$5:$A$604,0)),""))</f>
        <v>0</v>
      </c>
      <c r="U15" s="39">
        <f>IF(B15="","",IF(H15="","Add - how much?",IF(D15="","Add - which category?",IF(M15="No","Action - no receipt",IF(AND(H15&gt;500,F15=""),"Add - describe a large payment","OK")))))</f>
        <v>0</v>
      </c>
    </row>
    <row r="16" spans="1:21">
      <c r="A16" s="43">
        <f>IF(B16="","",ExpensePrefix&amp;TEXT(ROW()-4,"0000"))</f>
        <v>0</v>
      </c>
      <c r="B16" s="46">
        <v>46255</v>
      </c>
      <c r="C16" s="23">
        <f>IF(B16="","",TEXT(B16,"yyyy-mm"))</f>
        <v>0</v>
      </c>
      <c r="D16" s="15" t="s">
        <v>1886</v>
      </c>
      <c r="E16" s="15" t="s">
        <v>1887</v>
      </c>
      <c r="F16" s="15" t="s">
        <v>1888</v>
      </c>
      <c r="G16" s="15" t="s">
        <v>1889</v>
      </c>
      <c r="H16" s="19">
        <v>180</v>
      </c>
      <c r="J16" s="15" t="s">
        <v>1592</v>
      </c>
      <c r="K16" s="49" t="s">
        <v>172</v>
      </c>
      <c r="L16" s="15" t="s">
        <v>172</v>
      </c>
      <c r="M16" s="47" t="s">
        <v>454</v>
      </c>
      <c r="N16" s="47" t="s">
        <v>457</v>
      </c>
      <c r="O16" s="47" t="s">
        <v>454</v>
      </c>
      <c r="P16" s="44" t="s">
        <v>172</v>
      </c>
      <c r="Q16" s="21">
        <f>IF(B16="","",IF(H16="",0,H16)+IF(I16="",0,I16))</f>
        <v>0</v>
      </c>
      <c r="R16" s="21">
        <f>IF(OR(B16="",D16=""),"",SUMIFS($Q$5:$Q$404,$D$5:$D$404,D16,$C$5:$C$404,C16))</f>
        <v>0</v>
      </c>
      <c r="S16" s="38">
        <f>IF(OR(B16="",C16=""),"",IFERROR(R16/SUMIFS($Q$5:$Q$404,$C$5:$C$404,C16),""))</f>
        <v>0</v>
      </c>
      <c r="T16" s="23">
        <f>IF(K16="","",IFERROR(INDEX(Jobs!$H$5:$H$604,MATCH(K16,Jobs!$A$5:$A$604,0)),""))</f>
        <v>0</v>
      </c>
      <c r="U16" s="39">
        <f>IF(B16="","",IF(H16="","Add - how much?",IF(D16="","Add - which category?",IF(M16="No","Action - no receipt",IF(AND(H16&gt;500,F16=""),"Add - describe a large payment","OK")))))</f>
        <v>0</v>
      </c>
    </row>
    <row r="17" spans="1:21">
      <c r="A17" s="43">
        <f>IF(B17="","",ExpensePrefix&amp;TEXT(ROW()-4,"0000"))</f>
        <v>0</v>
      </c>
      <c r="B17" s="46">
        <v>46266</v>
      </c>
      <c r="C17" s="23">
        <f>IF(B17="","",TEXT(B17,"yyyy-mm"))</f>
        <v>0</v>
      </c>
      <c r="D17" s="15" t="s">
        <v>1855</v>
      </c>
      <c r="E17" s="15" t="s">
        <v>1856</v>
      </c>
      <c r="F17" s="15" t="s">
        <v>1857</v>
      </c>
      <c r="G17" s="15" t="s">
        <v>1858</v>
      </c>
      <c r="H17" s="19">
        <v>66</v>
      </c>
      <c r="J17" s="15" t="s">
        <v>1859</v>
      </c>
      <c r="K17" s="49" t="s">
        <v>172</v>
      </c>
      <c r="L17" s="15" t="s">
        <v>172</v>
      </c>
      <c r="M17" s="47" t="s">
        <v>454</v>
      </c>
      <c r="N17" s="47" t="s">
        <v>454</v>
      </c>
      <c r="O17" s="47" t="s">
        <v>454</v>
      </c>
      <c r="P17" s="44" t="s">
        <v>172</v>
      </c>
      <c r="Q17" s="21">
        <f>IF(B17="","",IF(H17="",0,H17)+IF(I17="",0,I17))</f>
        <v>0</v>
      </c>
      <c r="R17" s="21">
        <f>IF(OR(B17="",D17=""),"",SUMIFS($Q$5:$Q$404,$D$5:$D$404,D17,$C$5:$C$404,C17))</f>
        <v>0</v>
      </c>
      <c r="S17" s="38">
        <f>IF(OR(B17="",C17=""),"",IFERROR(R17/SUMIFS($Q$5:$Q$404,$C$5:$C$404,C17),""))</f>
        <v>0</v>
      </c>
      <c r="T17" s="23">
        <f>IF(K17="","",IFERROR(INDEX(Jobs!$H$5:$H$604,MATCH(K17,Jobs!$A$5:$A$604,0)),""))</f>
        <v>0</v>
      </c>
      <c r="U17" s="39">
        <f>IF(B17="","",IF(H17="","Add - how much?",IF(D17="","Add - which category?",IF(M17="No","Action - no receipt",IF(AND(H17&gt;500,F17=""),"Add - describe a large payment","OK")))))</f>
        <v>0</v>
      </c>
    </row>
    <row r="18" spans="1:21">
      <c r="A18" s="43">
        <f>IF(B18="","",ExpensePrefix&amp;TEXT(ROW()-4,"0000"))</f>
        <v>0</v>
      </c>
      <c r="B18" s="46">
        <v>46266</v>
      </c>
      <c r="C18" s="23">
        <f>IF(B18="","",TEXT(B18,"yyyy-mm"))</f>
        <v>0</v>
      </c>
      <c r="D18" s="15" t="s">
        <v>1860</v>
      </c>
      <c r="E18" s="15" t="s">
        <v>1856</v>
      </c>
      <c r="F18" s="15" t="s">
        <v>1861</v>
      </c>
      <c r="G18" s="15" t="s">
        <v>1862</v>
      </c>
      <c r="H18" s="19">
        <v>150</v>
      </c>
      <c r="J18" s="15" t="s">
        <v>1859</v>
      </c>
      <c r="K18" s="49" t="s">
        <v>172</v>
      </c>
      <c r="L18" s="15" t="s">
        <v>172</v>
      </c>
      <c r="M18" s="47" t="s">
        <v>454</v>
      </c>
      <c r="N18" s="47" t="s">
        <v>454</v>
      </c>
      <c r="O18" s="47" t="s">
        <v>454</v>
      </c>
      <c r="P18" s="44" t="s">
        <v>172</v>
      </c>
      <c r="Q18" s="21">
        <f>IF(B18="","",IF(H18="",0,H18)+IF(I18="",0,I18))</f>
        <v>0</v>
      </c>
      <c r="R18" s="21">
        <f>IF(OR(B18="",D18=""),"",SUMIFS($Q$5:$Q$404,$D$5:$D$404,D18,$C$5:$C$404,C18))</f>
        <v>0</v>
      </c>
      <c r="S18" s="38">
        <f>IF(OR(B18="",C18=""),"",IFERROR(R18/SUMIFS($Q$5:$Q$404,$C$5:$C$404,C18),""))</f>
        <v>0</v>
      </c>
      <c r="T18" s="23">
        <f>IF(K18="","",IFERROR(INDEX(Jobs!$H$5:$H$604,MATCH(K18,Jobs!$A$5:$A$604,0)),""))</f>
        <v>0</v>
      </c>
      <c r="U18" s="39">
        <f>IF(B18="","",IF(H18="","Add - how much?",IF(D18="","Add - which category?",IF(M18="No","Action - no receipt",IF(AND(H18&gt;500,F18=""),"Add - describe a large payment","OK")))))</f>
        <v>0</v>
      </c>
    </row>
    <row r="19" spans="1:21">
      <c r="A19" s="43">
        <f>IF(B19="","",ExpensePrefix&amp;TEXT(ROW()-4,"0000"))</f>
        <v>0</v>
      </c>
      <c r="B19" s="46">
        <v>46268</v>
      </c>
      <c r="C19" s="23">
        <f>IF(B19="","",TEXT(B19,"yyyy-mm"))</f>
        <v>0</v>
      </c>
      <c r="D19" s="15" t="s">
        <v>1863</v>
      </c>
      <c r="E19" s="15" t="s">
        <v>1856</v>
      </c>
      <c r="F19" s="15" t="s">
        <v>1864</v>
      </c>
      <c r="G19" s="15" t="s">
        <v>1865</v>
      </c>
      <c r="H19" s="19">
        <v>32</v>
      </c>
      <c r="J19" s="15" t="s">
        <v>1590</v>
      </c>
      <c r="K19" s="49" t="s">
        <v>172</v>
      </c>
      <c r="L19" s="15" t="s">
        <v>172</v>
      </c>
      <c r="M19" s="47" t="s">
        <v>454</v>
      </c>
      <c r="N19" s="47" t="s">
        <v>454</v>
      </c>
      <c r="O19" s="47" t="s">
        <v>454</v>
      </c>
      <c r="P19" s="44" t="s">
        <v>172</v>
      </c>
      <c r="Q19" s="21">
        <f>IF(B19="","",IF(H19="",0,H19)+IF(I19="",0,I19))</f>
        <v>0</v>
      </c>
      <c r="R19" s="21">
        <f>IF(OR(B19="",D19=""),"",SUMIFS($Q$5:$Q$404,$D$5:$D$404,D19,$C$5:$C$404,C19))</f>
        <v>0</v>
      </c>
      <c r="S19" s="38">
        <f>IF(OR(B19="",C19=""),"",IFERROR(R19/SUMIFS($Q$5:$Q$404,$C$5:$C$404,C19),""))</f>
        <v>0</v>
      </c>
      <c r="T19" s="23">
        <f>IF(K19="","",IFERROR(INDEX(Jobs!$H$5:$H$604,MATCH(K19,Jobs!$A$5:$A$604,0)),""))</f>
        <v>0</v>
      </c>
      <c r="U19" s="39">
        <f>IF(B19="","",IF(H19="","Add - how much?",IF(D19="","Add - which category?",IF(M19="No","Action - no receipt",IF(AND(H19&gt;500,F19=""),"Add - describe a large payment","OK")))))</f>
        <v>0</v>
      </c>
    </row>
    <row r="20" spans="1:21">
      <c r="A20" s="43">
        <f>IF(B20="","",ExpensePrefix&amp;TEXT(ROW()-4,"0000"))</f>
        <v>0</v>
      </c>
      <c r="B20" s="46">
        <v>46270</v>
      </c>
      <c r="C20" s="23">
        <f>IF(B20="","",TEXT(B20,"yyyy-mm"))</f>
        <v>0</v>
      </c>
      <c r="D20" s="15" t="s">
        <v>1866</v>
      </c>
      <c r="E20" s="15" t="s">
        <v>1856</v>
      </c>
      <c r="F20" s="15" t="s">
        <v>1867</v>
      </c>
      <c r="G20" s="15" t="s">
        <v>1868</v>
      </c>
      <c r="H20" s="19">
        <v>58</v>
      </c>
      <c r="J20" s="15" t="s">
        <v>1859</v>
      </c>
      <c r="K20" s="49" t="s">
        <v>172</v>
      </c>
      <c r="L20" s="15" t="s">
        <v>172</v>
      </c>
      <c r="M20" s="47" t="s">
        <v>454</v>
      </c>
      <c r="N20" s="47" t="s">
        <v>454</v>
      </c>
      <c r="O20" s="47" t="s">
        <v>454</v>
      </c>
      <c r="P20" s="44" t="s">
        <v>172</v>
      </c>
      <c r="Q20" s="21">
        <f>IF(B20="","",IF(H20="",0,H20)+IF(I20="",0,I20))</f>
        <v>0</v>
      </c>
      <c r="R20" s="21">
        <f>IF(OR(B20="",D20=""),"",SUMIFS($Q$5:$Q$404,$D$5:$D$404,D20,$C$5:$C$404,C20))</f>
        <v>0</v>
      </c>
      <c r="S20" s="38">
        <f>IF(OR(B20="",C20=""),"",IFERROR(R20/SUMIFS($Q$5:$Q$404,$C$5:$C$404,C20),""))</f>
        <v>0</v>
      </c>
      <c r="T20" s="23">
        <f>IF(K20="","",IFERROR(INDEX(Jobs!$H$5:$H$604,MATCH(K20,Jobs!$A$5:$A$604,0)),""))</f>
        <v>0</v>
      </c>
      <c r="U20" s="39">
        <f>IF(B20="","",IF(H20="","Add - how much?",IF(D20="","Add - which category?",IF(M20="No","Action - no receipt",IF(AND(H20&gt;500,F20=""),"Add - describe a large payment","OK")))))</f>
        <v>0</v>
      </c>
    </row>
    <row r="21" spans="1:21">
      <c r="A21" s="43">
        <f>IF(B21="","",ExpensePrefix&amp;TEXT(ROW()-4,"0000"))</f>
        <v>0</v>
      </c>
      <c r="B21" s="46">
        <v>46272</v>
      </c>
      <c r="C21" s="23">
        <f>IF(B21="","",TEXT(B21,"yyyy-mm"))</f>
        <v>0</v>
      </c>
      <c r="D21" s="15" t="s">
        <v>1869</v>
      </c>
      <c r="E21" s="15" t="s">
        <v>1856</v>
      </c>
      <c r="F21" s="15" t="s">
        <v>1870</v>
      </c>
      <c r="G21" s="15" t="s">
        <v>1871</v>
      </c>
      <c r="H21" s="19">
        <v>120</v>
      </c>
      <c r="J21" s="15" t="s">
        <v>1590</v>
      </c>
      <c r="K21" s="49" t="s">
        <v>172</v>
      </c>
      <c r="L21" s="15" t="s">
        <v>172</v>
      </c>
      <c r="M21" s="47" t="s">
        <v>454</v>
      </c>
      <c r="N21" s="47" t="s">
        <v>454</v>
      </c>
      <c r="O21" s="47" t="s">
        <v>454</v>
      </c>
      <c r="P21" s="44" t="s">
        <v>172</v>
      </c>
      <c r="Q21" s="21">
        <f>IF(B21="","",IF(H21="",0,H21)+IF(I21="",0,I21))</f>
        <v>0</v>
      </c>
      <c r="R21" s="21">
        <f>IF(OR(B21="",D21=""),"",SUMIFS($Q$5:$Q$404,$D$5:$D$404,D21,$C$5:$C$404,C21))</f>
        <v>0</v>
      </c>
      <c r="S21" s="38">
        <f>IF(OR(B21="",C21=""),"",IFERROR(R21/SUMIFS($Q$5:$Q$404,$C$5:$C$404,C21),""))</f>
        <v>0</v>
      </c>
      <c r="T21" s="23">
        <f>IF(K21="","",IFERROR(INDEX(Jobs!$H$5:$H$604,MATCH(K21,Jobs!$A$5:$A$604,0)),""))</f>
        <v>0</v>
      </c>
      <c r="U21" s="39">
        <f>IF(B21="","",IF(H21="","Add - how much?",IF(D21="","Add - which category?",IF(M21="No","Action - no receipt",IF(AND(H21&gt;500,F21=""),"Add - describe a large payment","OK")))))</f>
        <v>0</v>
      </c>
    </row>
    <row r="22" spans="1:21">
      <c r="A22" s="43">
        <f>IF(B22="","",ExpensePrefix&amp;TEXT(ROW()-4,"0000"))</f>
        <v>0</v>
      </c>
      <c r="B22" s="46">
        <v>46267</v>
      </c>
      <c r="C22" s="23">
        <f>IF(B22="","",TEXT(B22,"yyyy-mm"))</f>
        <v>0</v>
      </c>
      <c r="D22" s="15" t="s">
        <v>1872</v>
      </c>
      <c r="E22" s="15" t="s">
        <v>1856</v>
      </c>
      <c r="F22" s="15" t="s">
        <v>1873</v>
      </c>
      <c r="G22" s="15" t="s">
        <v>1874</v>
      </c>
      <c r="H22" s="19">
        <v>75</v>
      </c>
      <c r="J22" s="15" t="s">
        <v>1859</v>
      </c>
      <c r="K22" s="49" t="s">
        <v>172</v>
      </c>
      <c r="L22" s="15" t="s">
        <v>172</v>
      </c>
      <c r="M22" s="47" t="s">
        <v>454</v>
      </c>
      <c r="N22" s="47" t="s">
        <v>454</v>
      </c>
      <c r="O22" s="47" t="s">
        <v>454</v>
      </c>
      <c r="P22" s="44" t="s">
        <v>172</v>
      </c>
      <c r="Q22" s="21">
        <f>IF(B22="","",IF(H22="",0,H22)+IF(I22="",0,I22))</f>
        <v>0</v>
      </c>
      <c r="R22" s="21">
        <f>IF(OR(B22="",D22=""),"",SUMIFS($Q$5:$Q$404,$D$5:$D$404,D22,$C$5:$C$404,C22))</f>
        <v>0</v>
      </c>
      <c r="S22" s="38">
        <f>IF(OR(B22="",C22=""),"",IFERROR(R22/SUMIFS($Q$5:$Q$404,$C$5:$C$404,C22),""))</f>
        <v>0</v>
      </c>
      <c r="T22" s="23">
        <f>IF(K22="","",IFERROR(INDEX(Jobs!$H$5:$H$604,MATCH(K22,Jobs!$A$5:$A$604,0)),""))</f>
        <v>0</v>
      </c>
      <c r="U22" s="39">
        <f>IF(B22="","",IF(H22="","Add - how much?",IF(D22="","Add - which category?",IF(M22="No","Action - no receipt",IF(AND(H22&gt;500,F22=""),"Add - describe a large payment","OK")))))</f>
        <v>0</v>
      </c>
    </row>
    <row r="23" spans="1:21">
      <c r="A23" s="43">
        <f>IF(B23="","",ExpensePrefix&amp;TEXT(ROW()-4,"0000"))</f>
        <v>0</v>
      </c>
      <c r="B23" s="46">
        <v>46277</v>
      </c>
      <c r="C23" s="23">
        <f>IF(B23="","",TEXT(B23,"yyyy-mm"))</f>
        <v>0</v>
      </c>
      <c r="D23" s="15" t="s">
        <v>1875</v>
      </c>
      <c r="E23" s="15" t="s">
        <v>1856</v>
      </c>
      <c r="F23" s="15" t="s">
        <v>1876</v>
      </c>
      <c r="G23" s="15" t="s">
        <v>611</v>
      </c>
      <c r="H23" s="19">
        <v>85</v>
      </c>
      <c r="J23" s="15" t="s">
        <v>1592</v>
      </c>
      <c r="K23" s="49" t="s">
        <v>172</v>
      </c>
      <c r="L23" s="15" t="s">
        <v>172</v>
      </c>
      <c r="M23" s="47" t="s">
        <v>454</v>
      </c>
      <c r="N23" s="47" t="s">
        <v>454</v>
      </c>
      <c r="O23" s="47" t="s">
        <v>454</v>
      </c>
      <c r="P23" s="44" t="s">
        <v>172</v>
      </c>
      <c r="Q23" s="21">
        <f>IF(B23="","",IF(H23="",0,H23)+IF(I23="",0,I23))</f>
        <v>0</v>
      </c>
      <c r="R23" s="21">
        <f>IF(OR(B23="",D23=""),"",SUMIFS($Q$5:$Q$404,$D$5:$D$404,D23,$C$5:$C$404,C23))</f>
        <v>0</v>
      </c>
      <c r="S23" s="38">
        <f>IF(OR(B23="",C23=""),"",IFERROR(R23/SUMIFS($Q$5:$Q$404,$C$5:$C$404,C23),""))</f>
        <v>0</v>
      </c>
      <c r="T23" s="23">
        <f>IF(K23="","",IFERROR(INDEX(Jobs!$H$5:$H$604,MATCH(K23,Jobs!$A$5:$A$604,0)),""))</f>
        <v>0</v>
      </c>
      <c r="U23" s="39">
        <f>IF(B23="","",IF(H23="","Add - how much?",IF(D23="","Add - which category?",IF(M23="No","Action - no receipt",IF(AND(H23&gt;500,F23=""),"Add - describe a large payment","OK")))))</f>
        <v>0</v>
      </c>
    </row>
    <row r="24" spans="1:21">
      <c r="A24" s="43">
        <f>IF(B24="","",ExpensePrefix&amp;TEXT(ROW()-4,"0000"))</f>
        <v>0</v>
      </c>
      <c r="B24" s="46">
        <v>46274</v>
      </c>
      <c r="C24" s="23">
        <f>IF(B24="","",TEXT(B24,"yyyy-mm"))</f>
        <v>0</v>
      </c>
      <c r="D24" s="15" t="s">
        <v>1877</v>
      </c>
      <c r="E24" s="15" t="s">
        <v>1878</v>
      </c>
      <c r="F24" s="15" t="s">
        <v>1879</v>
      </c>
      <c r="G24" s="15" t="s">
        <v>1880</v>
      </c>
      <c r="H24" s="19">
        <v>114.73</v>
      </c>
      <c r="J24" s="15" t="s">
        <v>1590</v>
      </c>
      <c r="K24" s="49" t="s">
        <v>172</v>
      </c>
      <c r="L24" s="15" t="s">
        <v>172</v>
      </c>
      <c r="M24" s="47" t="s">
        <v>454</v>
      </c>
      <c r="N24" s="47" t="s">
        <v>457</v>
      </c>
      <c r="O24" s="47" t="s">
        <v>454</v>
      </c>
      <c r="P24" s="44" t="s">
        <v>172</v>
      </c>
      <c r="Q24" s="21">
        <f>IF(B24="","",IF(H24="",0,H24)+IF(I24="",0,I24))</f>
        <v>0</v>
      </c>
      <c r="R24" s="21">
        <f>IF(OR(B24="",D24=""),"",SUMIFS($Q$5:$Q$404,$D$5:$D$404,D24,$C$5:$C$404,C24))</f>
        <v>0</v>
      </c>
      <c r="S24" s="38">
        <f>IF(OR(B24="",C24=""),"",IFERROR(R24/SUMIFS($Q$5:$Q$404,$C$5:$C$404,C24),""))</f>
        <v>0</v>
      </c>
      <c r="T24" s="23">
        <f>IF(K24="","",IFERROR(INDEX(Jobs!$H$5:$H$604,MATCH(K24,Jobs!$A$5:$A$604,0)),""))</f>
        <v>0</v>
      </c>
      <c r="U24" s="39">
        <f>IF(B24="","",IF(H24="","Add - how much?",IF(D24="","Add - which category?",IF(M24="No","Action - no receipt",IF(AND(H24&gt;500,F24=""),"Add - describe a large payment","OK")))))</f>
        <v>0</v>
      </c>
    </row>
    <row r="25" spans="1:21">
      <c r="A25" s="43">
        <f>IF(B25="","",ExpensePrefix&amp;TEXT(ROW()-4,"0000"))</f>
        <v>0</v>
      </c>
      <c r="B25" s="46">
        <v>46281</v>
      </c>
      <c r="C25" s="23">
        <f>IF(B25="","",TEXT(B25,"yyyy-mm"))</f>
        <v>0</v>
      </c>
      <c r="D25" s="15" t="s">
        <v>1877</v>
      </c>
      <c r="E25" s="15" t="s">
        <v>1878</v>
      </c>
      <c r="F25" s="15" t="s">
        <v>1881</v>
      </c>
      <c r="G25" s="15" t="s">
        <v>1880</v>
      </c>
      <c r="H25" s="19">
        <v>105.16</v>
      </c>
      <c r="J25" s="15" t="s">
        <v>1590</v>
      </c>
      <c r="K25" s="49" t="s">
        <v>172</v>
      </c>
      <c r="L25" s="15" t="s">
        <v>172</v>
      </c>
      <c r="M25" s="47" t="s">
        <v>454</v>
      </c>
      <c r="N25" s="47" t="s">
        <v>457</v>
      </c>
      <c r="O25" s="47" t="s">
        <v>454</v>
      </c>
      <c r="P25" s="44" t="s">
        <v>172</v>
      </c>
      <c r="Q25" s="21">
        <f>IF(B25="","",IF(H25="",0,H25)+IF(I25="",0,I25))</f>
        <v>0</v>
      </c>
      <c r="R25" s="21">
        <f>IF(OR(B25="",D25=""),"",SUMIFS($Q$5:$Q$404,$D$5:$D$404,D25,$C$5:$C$404,C25))</f>
        <v>0</v>
      </c>
      <c r="S25" s="38">
        <f>IF(OR(B25="",C25=""),"",IFERROR(R25/SUMIFS($Q$5:$Q$404,$C$5:$C$404,C25),""))</f>
        <v>0</v>
      </c>
      <c r="T25" s="23">
        <f>IF(K25="","",IFERROR(INDEX(Jobs!$H$5:$H$604,MATCH(K25,Jobs!$A$5:$A$604,0)),""))</f>
        <v>0</v>
      </c>
      <c r="U25" s="39">
        <f>IF(B25="","",IF(H25="","Add - how much?",IF(D25="","Add - which category?",IF(M25="No","Action - no receipt",IF(AND(H25&gt;500,F25=""),"Add - describe a large payment","OK")))))</f>
        <v>0</v>
      </c>
    </row>
    <row r="26" spans="1:21">
      <c r="A26" s="43">
        <f>IF(B26="","",ExpensePrefix&amp;TEXT(ROW()-4,"0000"))</f>
        <v>0</v>
      </c>
      <c r="B26" s="46">
        <v>46269</v>
      </c>
      <c r="C26" s="23">
        <f>IF(B26="","",TEXT(B26,"yyyy-mm"))</f>
        <v>0</v>
      </c>
      <c r="D26" s="15" t="s">
        <v>1882</v>
      </c>
      <c r="E26" s="15" t="s">
        <v>1878</v>
      </c>
      <c r="F26" s="15" t="s">
        <v>1883</v>
      </c>
      <c r="G26" s="15" t="s">
        <v>1702</v>
      </c>
      <c r="H26" s="19">
        <v>181</v>
      </c>
      <c r="J26" s="15" t="s">
        <v>1590</v>
      </c>
      <c r="K26" s="49" t="s">
        <v>172</v>
      </c>
      <c r="L26" s="15" t="s">
        <v>172</v>
      </c>
      <c r="M26" s="47" t="s">
        <v>454</v>
      </c>
      <c r="N26" s="47" t="s">
        <v>457</v>
      </c>
      <c r="O26" s="47" t="s">
        <v>454</v>
      </c>
      <c r="P26" s="44" t="s">
        <v>172</v>
      </c>
      <c r="Q26" s="21">
        <f>IF(B26="","",IF(H26="",0,H26)+IF(I26="",0,I26))</f>
        <v>0</v>
      </c>
      <c r="R26" s="21">
        <f>IF(OR(B26="",D26=""),"",SUMIFS($Q$5:$Q$404,$D$5:$D$404,D26,$C$5:$C$404,C26))</f>
        <v>0</v>
      </c>
      <c r="S26" s="38">
        <f>IF(OR(B26="",C26=""),"",IFERROR(R26/SUMIFS($Q$5:$Q$404,$C$5:$C$404,C26),""))</f>
        <v>0</v>
      </c>
      <c r="T26" s="23">
        <f>IF(K26="","",IFERROR(INDEX(Jobs!$H$5:$H$604,MATCH(K26,Jobs!$A$5:$A$604,0)),""))</f>
        <v>0</v>
      </c>
      <c r="U26" s="39">
        <f>IF(B26="","",IF(H26="","Add - how much?",IF(D26="","Add - which category?",IF(M26="No","Action - no receipt",IF(AND(H26&gt;500,F26=""),"Add - describe a large payment","OK")))))</f>
        <v>0</v>
      </c>
    </row>
    <row r="27" spans="1:21">
      <c r="A27" s="43">
        <f>IF(B27="","",ExpensePrefix&amp;TEXT(ROW()-4,"0000"))</f>
        <v>0</v>
      </c>
      <c r="B27" s="46">
        <v>46283</v>
      </c>
      <c r="C27" s="23">
        <f>IF(B27="","",TEXT(B27,"yyyy-mm"))</f>
        <v>0</v>
      </c>
      <c r="D27" s="15" t="s">
        <v>1744</v>
      </c>
      <c r="E27" s="15" t="s">
        <v>1878</v>
      </c>
      <c r="F27" s="15" t="s">
        <v>1884</v>
      </c>
      <c r="G27" s="15" t="s">
        <v>1885</v>
      </c>
      <c r="H27" s="19">
        <v>55.78</v>
      </c>
      <c r="J27" s="15" t="s">
        <v>1592</v>
      </c>
      <c r="K27" s="49" t="s">
        <v>172</v>
      </c>
      <c r="L27" s="15" t="s">
        <v>172</v>
      </c>
      <c r="M27" s="47" t="s">
        <v>454</v>
      </c>
      <c r="N27" s="47" t="s">
        <v>457</v>
      </c>
      <c r="O27" s="47" t="s">
        <v>454</v>
      </c>
      <c r="P27" s="44" t="s">
        <v>172</v>
      </c>
      <c r="Q27" s="21">
        <f>IF(B27="","",IF(H27="",0,H27)+IF(I27="",0,I27))</f>
        <v>0</v>
      </c>
      <c r="R27" s="21">
        <f>IF(OR(B27="",D27=""),"",SUMIFS($Q$5:$Q$404,$D$5:$D$404,D27,$C$5:$C$404,C27))</f>
        <v>0</v>
      </c>
      <c r="S27" s="38">
        <f>IF(OR(B27="",C27=""),"",IFERROR(R27/SUMIFS($Q$5:$Q$404,$C$5:$C$404,C27),""))</f>
        <v>0</v>
      </c>
      <c r="T27" s="23">
        <f>IF(K27="","",IFERROR(INDEX(Jobs!$H$5:$H$604,MATCH(K27,Jobs!$A$5:$A$604,0)),""))</f>
        <v>0</v>
      </c>
      <c r="U27" s="39">
        <f>IF(B27="","",IF(H27="","Add - how much?",IF(D27="","Add - which category?",IF(M27="No","Action - no receipt",IF(AND(H27&gt;500,F27=""),"Add - describe a large payment","OK")))))</f>
        <v>0</v>
      </c>
    </row>
    <row r="28" spans="1:21">
      <c r="A28" s="43">
        <f>IF(B28="","",ExpensePrefix&amp;TEXT(ROW()-4,"0000"))</f>
        <v>0</v>
      </c>
      <c r="B28" s="46">
        <v>46286</v>
      </c>
      <c r="C28" s="23">
        <f>IF(B28="","",TEXT(B28,"yyyy-mm"))</f>
        <v>0</v>
      </c>
      <c r="D28" s="15" t="s">
        <v>1886</v>
      </c>
      <c r="E28" s="15" t="s">
        <v>1887</v>
      </c>
      <c r="F28" s="15" t="s">
        <v>1888</v>
      </c>
      <c r="G28" s="15" t="s">
        <v>1889</v>
      </c>
      <c r="H28" s="19">
        <v>180</v>
      </c>
      <c r="J28" s="15" t="s">
        <v>1592</v>
      </c>
      <c r="K28" s="49" t="s">
        <v>172</v>
      </c>
      <c r="L28" s="15" t="s">
        <v>172</v>
      </c>
      <c r="M28" s="47" t="s">
        <v>454</v>
      </c>
      <c r="N28" s="47" t="s">
        <v>457</v>
      </c>
      <c r="O28" s="47" t="s">
        <v>454</v>
      </c>
      <c r="P28" s="44" t="s">
        <v>172</v>
      </c>
      <c r="Q28" s="21">
        <f>IF(B28="","",IF(H28="",0,H28)+IF(I28="",0,I28))</f>
        <v>0</v>
      </c>
      <c r="R28" s="21">
        <f>IF(OR(B28="",D28=""),"",SUMIFS($Q$5:$Q$404,$D$5:$D$404,D28,$C$5:$C$404,C28))</f>
        <v>0</v>
      </c>
      <c r="S28" s="38">
        <f>IF(OR(B28="",C28=""),"",IFERROR(R28/SUMIFS($Q$5:$Q$404,$C$5:$C$404,C28),""))</f>
        <v>0</v>
      </c>
      <c r="T28" s="23">
        <f>IF(K28="","",IFERROR(INDEX(Jobs!$H$5:$H$604,MATCH(K28,Jobs!$A$5:$A$604,0)),""))</f>
        <v>0</v>
      </c>
      <c r="U28" s="39">
        <f>IF(B28="","",IF(H28="","Add - how much?",IF(D28="","Add - which category?",IF(M28="No","Action - no receipt",IF(AND(H28&gt;500,F28=""),"Add - describe a large payment","OK")))))</f>
        <v>0</v>
      </c>
    </row>
    <row r="29" spans="1:21">
      <c r="A29" s="43">
        <f>IF(B29="","",ExpensePrefix&amp;TEXT(ROW()-4,"0000"))</f>
        <v>0</v>
      </c>
      <c r="B29" s="46">
        <v>46296</v>
      </c>
      <c r="C29" s="23">
        <f>IF(B29="","",TEXT(B29,"yyyy-mm"))</f>
        <v>0</v>
      </c>
      <c r="D29" s="15" t="s">
        <v>1855</v>
      </c>
      <c r="E29" s="15" t="s">
        <v>1856</v>
      </c>
      <c r="F29" s="15" t="s">
        <v>1857</v>
      </c>
      <c r="G29" s="15" t="s">
        <v>1858</v>
      </c>
      <c r="H29" s="19">
        <v>66</v>
      </c>
      <c r="J29" s="15" t="s">
        <v>1859</v>
      </c>
      <c r="K29" s="49" t="s">
        <v>172</v>
      </c>
      <c r="L29" s="15" t="s">
        <v>172</v>
      </c>
      <c r="M29" s="47" t="s">
        <v>454</v>
      </c>
      <c r="N29" s="47" t="s">
        <v>454</v>
      </c>
      <c r="O29" s="47" t="s">
        <v>454</v>
      </c>
      <c r="P29" s="44" t="s">
        <v>172</v>
      </c>
      <c r="Q29" s="21">
        <f>IF(B29="","",IF(H29="",0,H29)+IF(I29="",0,I29))</f>
        <v>0</v>
      </c>
      <c r="R29" s="21">
        <f>IF(OR(B29="",D29=""),"",SUMIFS($Q$5:$Q$404,$D$5:$D$404,D29,$C$5:$C$404,C29))</f>
        <v>0</v>
      </c>
      <c r="S29" s="38">
        <f>IF(OR(B29="",C29=""),"",IFERROR(R29/SUMIFS($Q$5:$Q$404,$C$5:$C$404,C29),""))</f>
        <v>0</v>
      </c>
      <c r="T29" s="23">
        <f>IF(K29="","",IFERROR(INDEX(Jobs!$H$5:$H$604,MATCH(K29,Jobs!$A$5:$A$604,0)),""))</f>
        <v>0</v>
      </c>
      <c r="U29" s="39">
        <f>IF(B29="","",IF(H29="","Add - how much?",IF(D29="","Add - which category?",IF(M29="No","Action - no receipt",IF(AND(H29&gt;500,F29=""),"Add - describe a large payment","OK")))))</f>
        <v>0</v>
      </c>
    </row>
    <row r="30" spans="1:21">
      <c r="A30" s="43">
        <f>IF(B30="","",ExpensePrefix&amp;TEXT(ROW()-4,"0000"))</f>
        <v>0</v>
      </c>
      <c r="B30" s="46">
        <v>46296</v>
      </c>
      <c r="C30" s="23">
        <f>IF(B30="","",TEXT(B30,"yyyy-mm"))</f>
        <v>0</v>
      </c>
      <c r="D30" s="15" t="s">
        <v>1860</v>
      </c>
      <c r="E30" s="15" t="s">
        <v>1856</v>
      </c>
      <c r="F30" s="15" t="s">
        <v>1861</v>
      </c>
      <c r="G30" s="15" t="s">
        <v>1862</v>
      </c>
      <c r="H30" s="19">
        <v>150</v>
      </c>
      <c r="J30" s="15" t="s">
        <v>1859</v>
      </c>
      <c r="K30" s="49" t="s">
        <v>172</v>
      </c>
      <c r="L30" s="15" t="s">
        <v>172</v>
      </c>
      <c r="M30" s="47" t="s">
        <v>454</v>
      </c>
      <c r="N30" s="47" t="s">
        <v>454</v>
      </c>
      <c r="O30" s="47" t="s">
        <v>454</v>
      </c>
      <c r="P30" s="44" t="s">
        <v>172</v>
      </c>
      <c r="Q30" s="21">
        <f>IF(B30="","",IF(H30="",0,H30)+IF(I30="",0,I30))</f>
        <v>0</v>
      </c>
      <c r="R30" s="21">
        <f>IF(OR(B30="",D30=""),"",SUMIFS($Q$5:$Q$404,$D$5:$D$404,D30,$C$5:$C$404,C30))</f>
        <v>0</v>
      </c>
      <c r="S30" s="38">
        <f>IF(OR(B30="",C30=""),"",IFERROR(R30/SUMIFS($Q$5:$Q$404,$C$5:$C$404,C30),""))</f>
        <v>0</v>
      </c>
      <c r="T30" s="23">
        <f>IF(K30="","",IFERROR(INDEX(Jobs!$H$5:$H$604,MATCH(K30,Jobs!$A$5:$A$604,0)),""))</f>
        <v>0</v>
      </c>
      <c r="U30" s="39">
        <f>IF(B30="","",IF(H30="","Add - how much?",IF(D30="","Add - which category?",IF(M30="No","Action - no receipt",IF(AND(H30&gt;500,F30=""),"Add - describe a large payment","OK")))))</f>
        <v>0</v>
      </c>
    </row>
    <row r="31" spans="1:21">
      <c r="A31" s="43">
        <f>IF(B31="","",ExpensePrefix&amp;TEXT(ROW()-4,"0000"))</f>
        <v>0</v>
      </c>
      <c r="B31" s="46">
        <v>46298</v>
      </c>
      <c r="C31" s="23">
        <f>IF(B31="","",TEXT(B31,"yyyy-mm"))</f>
        <v>0</v>
      </c>
      <c r="D31" s="15" t="s">
        <v>1863</v>
      </c>
      <c r="E31" s="15" t="s">
        <v>1856</v>
      </c>
      <c r="F31" s="15" t="s">
        <v>1864</v>
      </c>
      <c r="G31" s="15" t="s">
        <v>1865</v>
      </c>
      <c r="H31" s="19">
        <v>32</v>
      </c>
      <c r="J31" s="15" t="s">
        <v>1590</v>
      </c>
      <c r="K31" s="49" t="s">
        <v>172</v>
      </c>
      <c r="L31" s="15" t="s">
        <v>172</v>
      </c>
      <c r="M31" s="47" t="s">
        <v>454</v>
      </c>
      <c r="N31" s="47" t="s">
        <v>454</v>
      </c>
      <c r="O31" s="47" t="s">
        <v>454</v>
      </c>
      <c r="P31" s="44" t="s">
        <v>172</v>
      </c>
      <c r="Q31" s="21">
        <f>IF(B31="","",IF(H31="",0,H31)+IF(I31="",0,I31))</f>
        <v>0</v>
      </c>
      <c r="R31" s="21">
        <f>IF(OR(B31="",D31=""),"",SUMIFS($Q$5:$Q$404,$D$5:$D$404,D31,$C$5:$C$404,C31))</f>
        <v>0</v>
      </c>
      <c r="S31" s="38">
        <f>IF(OR(B31="",C31=""),"",IFERROR(R31/SUMIFS($Q$5:$Q$404,$C$5:$C$404,C31),""))</f>
        <v>0</v>
      </c>
      <c r="T31" s="23">
        <f>IF(K31="","",IFERROR(INDEX(Jobs!$H$5:$H$604,MATCH(K31,Jobs!$A$5:$A$604,0)),""))</f>
        <v>0</v>
      </c>
      <c r="U31" s="39">
        <f>IF(B31="","",IF(H31="","Add - how much?",IF(D31="","Add - which category?",IF(M31="No","Action - no receipt",IF(AND(H31&gt;500,F31=""),"Add - describe a large payment","OK")))))</f>
        <v>0</v>
      </c>
    </row>
    <row r="32" spans="1:21">
      <c r="A32" s="43">
        <f>IF(B32="","",ExpensePrefix&amp;TEXT(ROW()-4,"0000"))</f>
        <v>0</v>
      </c>
      <c r="B32" s="46">
        <v>46300</v>
      </c>
      <c r="C32" s="23">
        <f>IF(B32="","",TEXT(B32,"yyyy-mm"))</f>
        <v>0</v>
      </c>
      <c r="D32" s="15" t="s">
        <v>1866</v>
      </c>
      <c r="E32" s="15" t="s">
        <v>1856</v>
      </c>
      <c r="F32" s="15" t="s">
        <v>1867</v>
      </c>
      <c r="G32" s="15" t="s">
        <v>1868</v>
      </c>
      <c r="H32" s="19">
        <v>58</v>
      </c>
      <c r="J32" s="15" t="s">
        <v>1859</v>
      </c>
      <c r="K32" s="49" t="s">
        <v>172</v>
      </c>
      <c r="L32" s="15" t="s">
        <v>172</v>
      </c>
      <c r="M32" s="47" t="s">
        <v>454</v>
      </c>
      <c r="N32" s="47" t="s">
        <v>454</v>
      </c>
      <c r="O32" s="47" t="s">
        <v>454</v>
      </c>
      <c r="P32" s="44" t="s">
        <v>172</v>
      </c>
      <c r="Q32" s="21">
        <f>IF(B32="","",IF(H32="",0,H32)+IF(I32="",0,I32))</f>
        <v>0</v>
      </c>
      <c r="R32" s="21">
        <f>IF(OR(B32="",D32=""),"",SUMIFS($Q$5:$Q$404,$D$5:$D$404,D32,$C$5:$C$404,C32))</f>
        <v>0</v>
      </c>
      <c r="S32" s="38">
        <f>IF(OR(B32="",C32=""),"",IFERROR(R32/SUMIFS($Q$5:$Q$404,$C$5:$C$404,C32),""))</f>
        <v>0</v>
      </c>
      <c r="T32" s="23">
        <f>IF(K32="","",IFERROR(INDEX(Jobs!$H$5:$H$604,MATCH(K32,Jobs!$A$5:$A$604,0)),""))</f>
        <v>0</v>
      </c>
      <c r="U32" s="39">
        <f>IF(B32="","",IF(H32="","Add - how much?",IF(D32="","Add - which category?",IF(M32="No","Action - no receipt",IF(AND(H32&gt;500,F32=""),"Add - describe a large payment","OK")))))</f>
        <v>0</v>
      </c>
    </row>
    <row r="33" spans="1:21">
      <c r="A33" s="43">
        <f>IF(B33="","",ExpensePrefix&amp;TEXT(ROW()-4,"0000"))</f>
        <v>0</v>
      </c>
      <c r="B33" s="46">
        <v>46302</v>
      </c>
      <c r="C33" s="23">
        <f>IF(B33="","",TEXT(B33,"yyyy-mm"))</f>
        <v>0</v>
      </c>
      <c r="D33" s="15" t="s">
        <v>1869</v>
      </c>
      <c r="E33" s="15" t="s">
        <v>1856</v>
      </c>
      <c r="F33" s="15" t="s">
        <v>1870</v>
      </c>
      <c r="G33" s="15" t="s">
        <v>1871</v>
      </c>
      <c r="H33" s="19">
        <v>120</v>
      </c>
      <c r="J33" s="15" t="s">
        <v>1590</v>
      </c>
      <c r="K33" s="49" t="s">
        <v>172</v>
      </c>
      <c r="L33" s="15" t="s">
        <v>172</v>
      </c>
      <c r="M33" s="47" t="s">
        <v>454</v>
      </c>
      <c r="N33" s="47" t="s">
        <v>454</v>
      </c>
      <c r="O33" s="47" t="s">
        <v>454</v>
      </c>
      <c r="P33" s="44" t="s">
        <v>172</v>
      </c>
      <c r="Q33" s="21">
        <f>IF(B33="","",IF(H33="",0,H33)+IF(I33="",0,I33))</f>
        <v>0</v>
      </c>
      <c r="R33" s="21">
        <f>IF(OR(B33="",D33=""),"",SUMIFS($Q$5:$Q$404,$D$5:$D$404,D33,$C$5:$C$404,C33))</f>
        <v>0</v>
      </c>
      <c r="S33" s="38">
        <f>IF(OR(B33="",C33=""),"",IFERROR(R33/SUMIFS($Q$5:$Q$404,$C$5:$C$404,C33),""))</f>
        <v>0</v>
      </c>
      <c r="T33" s="23">
        <f>IF(K33="","",IFERROR(INDEX(Jobs!$H$5:$H$604,MATCH(K33,Jobs!$A$5:$A$604,0)),""))</f>
        <v>0</v>
      </c>
      <c r="U33" s="39">
        <f>IF(B33="","",IF(H33="","Add - how much?",IF(D33="","Add - which category?",IF(M33="No","Action - no receipt",IF(AND(H33&gt;500,F33=""),"Add - describe a large payment","OK")))))</f>
        <v>0</v>
      </c>
    </row>
    <row r="34" spans="1:21">
      <c r="A34" s="43">
        <f>IF(B34="","",ExpensePrefix&amp;TEXT(ROW()-4,"0000"))</f>
        <v>0</v>
      </c>
      <c r="B34" s="46">
        <v>46297</v>
      </c>
      <c r="C34" s="23">
        <f>IF(B34="","",TEXT(B34,"yyyy-mm"))</f>
        <v>0</v>
      </c>
      <c r="D34" s="15" t="s">
        <v>1872</v>
      </c>
      <c r="E34" s="15" t="s">
        <v>1856</v>
      </c>
      <c r="F34" s="15" t="s">
        <v>1873</v>
      </c>
      <c r="G34" s="15" t="s">
        <v>1874</v>
      </c>
      <c r="H34" s="19">
        <v>75</v>
      </c>
      <c r="J34" s="15" t="s">
        <v>1859</v>
      </c>
      <c r="K34" s="49" t="s">
        <v>172</v>
      </c>
      <c r="L34" s="15" t="s">
        <v>172</v>
      </c>
      <c r="M34" s="47" t="s">
        <v>454</v>
      </c>
      <c r="N34" s="47" t="s">
        <v>454</v>
      </c>
      <c r="O34" s="47" t="s">
        <v>454</v>
      </c>
      <c r="P34" s="44" t="s">
        <v>172</v>
      </c>
      <c r="Q34" s="21">
        <f>IF(B34="","",IF(H34="",0,H34)+IF(I34="",0,I34))</f>
        <v>0</v>
      </c>
      <c r="R34" s="21">
        <f>IF(OR(B34="",D34=""),"",SUMIFS($Q$5:$Q$404,$D$5:$D$404,D34,$C$5:$C$404,C34))</f>
        <v>0</v>
      </c>
      <c r="S34" s="38">
        <f>IF(OR(B34="",C34=""),"",IFERROR(R34/SUMIFS($Q$5:$Q$404,$C$5:$C$404,C34),""))</f>
        <v>0</v>
      </c>
      <c r="T34" s="23">
        <f>IF(K34="","",IFERROR(INDEX(Jobs!$H$5:$H$604,MATCH(K34,Jobs!$A$5:$A$604,0)),""))</f>
        <v>0</v>
      </c>
      <c r="U34" s="39">
        <f>IF(B34="","",IF(H34="","Add - how much?",IF(D34="","Add - which category?",IF(M34="No","Action - no receipt",IF(AND(H34&gt;500,F34=""),"Add - describe a large payment","OK")))))</f>
        <v>0</v>
      </c>
    </row>
    <row r="35" spans="1:21">
      <c r="A35" s="43">
        <f>IF(B35="","",ExpensePrefix&amp;TEXT(ROW()-4,"0000"))</f>
        <v>0</v>
      </c>
      <c r="B35" s="46">
        <v>46307</v>
      </c>
      <c r="C35" s="23">
        <f>IF(B35="","",TEXT(B35,"yyyy-mm"))</f>
        <v>0</v>
      </c>
      <c r="D35" s="15" t="s">
        <v>1875</v>
      </c>
      <c r="E35" s="15" t="s">
        <v>1856</v>
      </c>
      <c r="F35" s="15" t="s">
        <v>1876</v>
      </c>
      <c r="G35" s="15" t="s">
        <v>611</v>
      </c>
      <c r="H35" s="19">
        <v>85</v>
      </c>
      <c r="J35" s="15" t="s">
        <v>1592</v>
      </c>
      <c r="K35" s="49" t="s">
        <v>172</v>
      </c>
      <c r="L35" s="15" t="s">
        <v>172</v>
      </c>
      <c r="M35" s="47" t="s">
        <v>454</v>
      </c>
      <c r="N35" s="47" t="s">
        <v>454</v>
      </c>
      <c r="O35" s="47" t="s">
        <v>454</v>
      </c>
      <c r="P35" s="44" t="s">
        <v>172</v>
      </c>
      <c r="Q35" s="21">
        <f>IF(B35="","",IF(H35="",0,H35)+IF(I35="",0,I35))</f>
        <v>0</v>
      </c>
      <c r="R35" s="21">
        <f>IF(OR(B35="",D35=""),"",SUMIFS($Q$5:$Q$404,$D$5:$D$404,D35,$C$5:$C$404,C35))</f>
        <v>0</v>
      </c>
      <c r="S35" s="38">
        <f>IF(OR(B35="",C35=""),"",IFERROR(R35/SUMIFS($Q$5:$Q$404,$C$5:$C$404,C35),""))</f>
        <v>0</v>
      </c>
      <c r="T35" s="23">
        <f>IF(K35="","",IFERROR(INDEX(Jobs!$H$5:$H$604,MATCH(K35,Jobs!$A$5:$A$604,0)),""))</f>
        <v>0</v>
      </c>
      <c r="U35" s="39">
        <f>IF(B35="","",IF(H35="","Add - how much?",IF(D35="","Add - which category?",IF(M35="No","Action - no receipt",IF(AND(H35&gt;500,F35=""),"Add - describe a large payment","OK")))))</f>
        <v>0</v>
      </c>
    </row>
    <row r="36" spans="1:21">
      <c r="A36" s="43">
        <f>IF(B36="","",ExpensePrefix&amp;TEXT(ROW()-4,"0000"))</f>
        <v>0</v>
      </c>
      <c r="B36" s="46">
        <v>46304</v>
      </c>
      <c r="C36" s="23">
        <f>IF(B36="","",TEXT(B36,"yyyy-mm"))</f>
        <v>0</v>
      </c>
      <c r="D36" s="15" t="s">
        <v>1877</v>
      </c>
      <c r="E36" s="15" t="s">
        <v>1878</v>
      </c>
      <c r="F36" s="15" t="s">
        <v>1879</v>
      </c>
      <c r="G36" s="15" t="s">
        <v>1880</v>
      </c>
      <c r="H36" s="19">
        <v>115.86</v>
      </c>
      <c r="J36" s="15" t="s">
        <v>1590</v>
      </c>
      <c r="K36" s="49" t="s">
        <v>172</v>
      </c>
      <c r="L36" s="15" t="s">
        <v>172</v>
      </c>
      <c r="M36" s="47" t="s">
        <v>454</v>
      </c>
      <c r="N36" s="47" t="s">
        <v>457</v>
      </c>
      <c r="O36" s="47" t="s">
        <v>454</v>
      </c>
      <c r="P36" s="44" t="s">
        <v>172</v>
      </c>
      <c r="Q36" s="21">
        <f>IF(B36="","",IF(H36="",0,H36)+IF(I36="",0,I36))</f>
        <v>0</v>
      </c>
      <c r="R36" s="21">
        <f>IF(OR(B36="",D36=""),"",SUMIFS($Q$5:$Q$404,$D$5:$D$404,D36,$C$5:$C$404,C36))</f>
        <v>0</v>
      </c>
      <c r="S36" s="38">
        <f>IF(OR(B36="",C36=""),"",IFERROR(R36/SUMIFS($Q$5:$Q$404,$C$5:$C$404,C36),""))</f>
        <v>0</v>
      </c>
      <c r="T36" s="23">
        <f>IF(K36="","",IFERROR(INDEX(Jobs!$H$5:$H$604,MATCH(K36,Jobs!$A$5:$A$604,0)),""))</f>
        <v>0</v>
      </c>
      <c r="U36" s="39">
        <f>IF(B36="","",IF(H36="","Add - how much?",IF(D36="","Add - which category?",IF(M36="No","Action - no receipt",IF(AND(H36&gt;500,F36=""),"Add - describe a large payment","OK")))))</f>
        <v>0</v>
      </c>
    </row>
    <row r="37" spans="1:21">
      <c r="A37" s="43">
        <f>IF(B37="","",ExpensePrefix&amp;TEXT(ROW()-4,"0000"))</f>
        <v>0</v>
      </c>
      <c r="B37" s="46">
        <v>46311</v>
      </c>
      <c r="C37" s="23">
        <f>IF(B37="","",TEXT(B37,"yyyy-mm"))</f>
        <v>0</v>
      </c>
      <c r="D37" s="15" t="s">
        <v>1877</v>
      </c>
      <c r="E37" s="15" t="s">
        <v>1878</v>
      </c>
      <c r="F37" s="15" t="s">
        <v>1881</v>
      </c>
      <c r="G37" s="15" t="s">
        <v>1880</v>
      </c>
      <c r="H37" s="19">
        <v>88.59</v>
      </c>
      <c r="J37" s="15" t="s">
        <v>1590</v>
      </c>
      <c r="K37" s="49" t="s">
        <v>172</v>
      </c>
      <c r="L37" s="15" t="s">
        <v>172</v>
      </c>
      <c r="M37" s="47" t="s">
        <v>454</v>
      </c>
      <c r="N37" s="47" t="s">
        <v>457</v>
      </c>
      <c r="O37" s="47" t="s">
        <v>454</v>
      </c>
      <c r="P37" s="44" t="s">
        <v>172</v>
      </c>
      <c r="Q37" s="21">
        <f>IF(B37="","",IF(H37="",0,H37)+IF(I37="",0,I37))</f>
        <v>0</v>
      </c>
      <c r="R37" s="21">
        <f>IF(OR(B37="",D37=""),"",SUMIFS($Q$5:$Q$404,$D$5:$D$404,D37,$C$5:$C$404,C37))</f>
        <v>0</v>
      </c>
      <c r="S37" s="38">
        <f>IF(OR(B37="",C37=""),"",IFERROR(R37/SUMIFS($Q$5:$Q$404,$C$5:$C$404,C37),""))</f>
        <v>0</v>
      </c>
      <c r="T37" s="23">
        <f>IF(K37="","",IFERROR(INDEX(Jobs!$H$5:$H$604,MATCH(K37,Jobs!$A$5:$A$604,0)),""))</f>
        <v>0</v>
      </c>
      <c r="U37" s="39">
        <f>IF(B37="","",IF(H37="","Add - how much?",IF(D37="","Add - which category?",IF(M37="No","Action - no receipt",IF(AND(H37&gt;500,F37=""),"Add - describe a large payment","OK")))))</f>
        <v>0</v>
      </c>
    </row>
    <row r="38" spans="1:21">
      <c r="A38" s="43">
        <f>IF(B38="","",ExpensePrefix&amp;TEXT(ROW()-4,"0000"))</f>
        <v>0</v>
      </c>
      <c r="B38" s="46">
        <v>46299</v>
      </c>
      <c r="C38" s="23">
        <f>IF(B38="","",TEXT(B38,"yyyy-mm"))</f>
        <v>0</v>
      </c>
      <c r="D38" s="15" t="s">
        <v>1882</v>
      </c>
      <c r="E38" s="15" t="s">
        <v>1878</v>
      </c>
      <c r="F38" s="15" t="s">
        <v>1883</v>
      </c>
      <c r="G38" s="15" t="s">
        <v>1702</v>
      </c>
      <c r="H38" s="19">
        <v>184.02</v>
      </c>
      <c r="J38" s="15" t="s">
        <v>1590</v>
      </c>
      <c r="K38" s="49" t="s">
        <v>172</v>
      </c>
      <c r="L38" s="15" t="s">
        <v>172</v>
      </c>
      <c r="M38" s="47" t="s">
        <v>454</v>
      </c>
      <c r="N38" s="47" t="s">
        <v>457</v>
      </c>
      <c r="O38" s="47" t="s">
        <v>454</v>
      </c>
      <c r="P38" s="44" t="s">
        <v>172</v>
      </c>
      <c r="Q38" s="21">
        <f>IF(B38="","",IF(H38="",0,H38)+IF(I38="",0,I38))</f>
        <v>0</v>
      </c>
      <c r="R38" s="21">
        <f>IF(OR(B38="",D38=""),"",SUMIFS($Q$5:$Q$404,$D$5:$D$404,D38,$C$5:$C$404,C38))</f>
        <v>0</v>
      </c>
      <c r="S38" s="38">
        <f>IF(OR(B38="",C38=""),"",IFERROR(R38/SUMIFS($Q$5:$Q$404,$C$5:$C$404,C38),""))</f>
        <v>0</v>
      </c>
      <c r="T38" s="23">
        <f>IF(K38="","",IFERROR(INDEX(Jobs!$H$5:$H$604,MATCH(K38,Jobs!$A$5:$A$604,0)),""))</f>
        <v>0</v>
      </c>
      <c r="U38" s="39">
        <f>IF(B38="","",IF(H38="","Add - how much?",IF(D38="","Add - which category?",IF(M38="No","Action - no receipt",IF(AND(H38&gt;500,F38=""),"Add - describe a large payment","OK")))))</f>
        <v>0</v>
      </c>
    </row>
    <row r="39" spans="1:21">
      <c r="A39" s="43">
        <f>IF(B39="","",ExpensePrefix&amp;TEXT(ROW()-4,"0000"))</f>
        <v>0</v>
      </c>
      <c r="B39" s="46">
        <v>46313</v>
      </c>
      <c r="C39" s="23">
        <f>IF(B39="","",TEXT(B39,"yyyy-mm"))</f>
        <v>0</v>
      </c>
      <c r="D39" s="15" t="s">
        <v>1744</v>
      </c>
      <c r="E39" s="15" t="s">
        <v>1878</v>
      </c>
      <c r="F39" s="15" t="s">
        <v>1884</v>
      </c>
      <c r="G39" s="15" t="s">
        <v>1885</v>
      </c>
      <c r="H39" s="19">
        <v>63.3</v>
      </c>
      <c r="J39" s="15" t="s">
        <v>1592</v>
      </c>
      <c r="K39" s="49" t="s">
        <v>172</v>
      </c>
      <c r="L39" s="15" t="s">
        <v>172</v>
      </c>
      <c r="M39" s="47" t="s">
        <v>454</v>
      </c>
      <c r="N39" s="47" t="s">
        <v>457</v>
      </c>
      <c r="O39" s="47" t="s">
        <v>454</v>
      </c>
      <c r="P39" s="44" t="s">
        <v>172</v>
      </c>
      <c r="Q39" s="21">
        <f>IF(B39="","",IF(H39="",0,H39)+IF(I39="",0,I39))</f>
        <v>0</v>
      </c>
      <c r="R39" s="21">
        <f>IF(OR(B39="",D39=""),"",SUMIFS($Q$5:$Q$404,$D$5:$D$404,D39,$C$5:$C$404,C39))</f>
        <v>0</v>
      </c>
      <c r="S39" s="38">
        <f>IF(OR(B39="",C39=""),"",IFERROR(R39/SUMIFS($Q$5:$Q$404,$C$5:$C$404,C39),""))</f>
        <v>0</v>
      </c>
      <c r="T39" s="23">
        <f>IF(K39="","",IFERROR(INDEX(Jobs!$H$5:$H$604,MATCH(K39,Jobs!$A$5:$A$604,0)),""))</f>
        <v>0</v>
      </c>
      <c r="U39" s="39">
        <f>IF(B39="","",IF(H39="","Add - how much?",IF(D39="","Add - which category?",IF(M39="No","Action - no receipt",IF(AND(H39&gt;500,F39=""),"Add - describe a large payment","OK")))))</f>
        <v>0</v>
      </c>
    </row>
    <row r="40" spans="1:21">
      <c r="A40" s="43">
        <f>IF(B40="","",ExpensePrefix&amp;TEXT(ROW()-4,"0000"))</f>
        <v>0</v>
      </c>
      <c r="B40" s="46">
        <v>46307</v>
      </c>
      <c r="C40" s="23">
        <f>IF(B40="","",TEXT(B40,"yyyy-mm"))</f>
        <v>0</v>
      </c>
      <c r="D40" s="15" t="s">
        <v>1890</v>
      </c>
      <c r="E40" s="15" t="s">
        <v>625</v>
      </c>
      <c r="F40" s="15" t="s">
        <v>1891</v>
      </c>
      <c r="G40" s="15" t="s">
        <v>1741</v>
      </c>
      <c r="H40" s="19">
        <v>62</v>
      </c>
      <c r="J40" s="15" t="s">
        <v>1590</v>
      </c>
      <c r="K40" s="49" t="s">
        <v>172</v>
      </c>
      <c r="L40" s="15" t="s">
        <v>172</v>
      </c>
      <c r="M40" s="47" t="s">
        <v>454</v>
      </c>
      <c r="N40" s="47" t="s">
        <v>457</v>
      </c>
      <c r="O40" s="47" t="s">
        <v>454</v>
      </c>
      <c r="P40" s="44" t="s">
        <v>172</v>
      </c>
      <c r="Q40" s="21">
        <f>IF(B40="","",IF(H40="",0,H40)+IF(I40="",0,I40))</f>
        <v>0</v>
      </c>
      <c r="R40" s="21">
        <f>IF(OR(B40="",D40=""),"",SUMIFS($Q$5:$Q$404,$D$5:$D$404,D40,$C$5:$C$404,C40))</f>
        <v>0</v>
      </c>
      <c r="S40" s="38">
        <f>IF(OR(B40="",C40=""),"",IFERROR(R40/SUMIFS($Q$5:$Q$404,$C$5:$C$404,C40),""))</f>
        <v>0</v>
      </c>
      <c r="T40" s="23">
        <f>IF(K40="","",IFERROR(INDEX(Jobs!$H$5:$H$604,MATCH(K40,Jobs!$A$5:$A$604,0)),""))</f>
        <v>0</v>
      </c>
      <c r="U40" s="39">
        <f>IF(B40="","",IF(H40="","Add - how much?",IF(D40="","Add - which category?",IF(M40="No","Action - no receipt",IF(AND(H40&gt;500,F40=""),"Add - describe a large payment","OK")))))</f>
        <v>0</v>
      </c>
    </row>
    <row r="41" spans="1:21">
      <c r="A41" s="43">
        <f>IF(B41="","",ExpensePrefix&amp;TEXT(ROW()-4,"0000"))</f>
        <v>0</v>
      </c>
      <c r="B41" s="46">
        <v>46301</v>
      </c>
      <c r="C41" s="23">
        <f>IF(B41="","",TEXT(B41,"yyyy-mm"))</f>
        <v>0</v>
      </c>
      <c r="D41" s="15" t="s">
        <v>1882</v>
      </c>
      <c r="E41" s="15" t="s">
        <v>1878</v>
      </c>
      <c r="F41" s="15" t="s">
        <v>1892</v>
      </c>
      <c r="G41" s="15" t="s">
        <v>1713</v>
      </c>
      <c r="H41" s="19">
        <v>48.9</v>
      </c>
      <c r="J41" s="15" t="s">
        <v>1893</v>
      </c>
      <c r="K41" s="49" t="s">
        <v>172</v>
      </c>
      <c r="L41" s="15" t="s">
        <v>172</v>
      </c>
      <c r="M41" s="47" t="s">
        <v>457</v>
      </c>
      <c r="N41" s="47" t="s">
        <v>457</v>
      </c>
      <c r="O41" s="47" t="s">
        <v>454</v>
      </c>
      <c r="P41" s="44" t="s">
        <v>172</v>
      </c>
      <c r="Q41" s="21">
        <f>IF(B41="","",IF(H41="",0,H41)+IF(I41="",0,I41))</f>
        <v>0</v>
      </c>
      <c r="R41" s="21">
        <f>IF(OR(B41="",D41=""),"",SUMIFS($Q$5:$Q$404,$D$5:$D$404,D41,$C$5:$C$404,C41))</f>
        <v>0</v>
      </c>
      <c r="S41" s="38">
        <f>IF(OR(B41="",C41=""),"",IFERROR(R41/SUMIFS($Q$5:$Q$404,$C$5:$C$404,C41),""))</f>
        <v>0</v>
      </c>
      <c r="T41" s="23">
        <f>IF(K41="","",IFERROR(INDEX(Jobs!$H$5:$H$604,MATCH(K41,Jobs!$A$5:$A$604,0)),""))</f>
        <v>0</v>
      </c>
      <c r="U41" s="39">
        <f>IF(B41="","",IF(H41="","Add - how much?",IF(D41="","Add - which category?",IF(M41="No","Action - no receipt",IF(AND(H41&gt;500,F41=""),"Add - describe a large payment","OK")))))</f>
        <v>0</v>
      </c>
    </row>
    <row r="42" spans="1:21">
      <c r="A42" s="43">
        <f>IF(B42="","",ExpensePrefix&amp;TEXT(ROW()-4,"0000"))</f>
        <v>0</v>
      </c>
      <c r="B42" s="46">
        <v>46294</v>
      </c>
      <c r="C42" s="23">
        <f>IF(B42="","",TEXT(B42,"yyyy-mm"))</f>
        <v>0</v>
      </c>
      <c r="D42" s="15" t="s">
        <v>1894</v>
      </c>
      <c r="E42" s="15" t="s">
        <v>625</v>
      </c>
      <c r="F42" s="15" t="s">
        <v>1895</v>
      </c>
      <c r="G42" s="15" t="s">
        <v>1896</v>
      </c>
      <c r="H42" s="19">
        <v>190</v>
      </c>
      <c r="J42" s="15" t="s">
        <v>1592</v>
      </c>
      <c r="K42" s="49" t="s">
        <v>172</v>
      </c>
      <c r="L42" s="15" t="s">
        <v>172</v>
      </c>
      <c r="M42" s="47" t="s">
        <v>454</v>
      </c>
      <c r="N42" s="47" t="s">
        <v>457</v>
      </c>
      <c r="O42" s="47" t="s">
        <v>454</v>
      </c>
      <c r="P42" s="44" t="s">
        <v>172</v>
      </c>
      <c r="Q42" s="21">
        <f>IF(B42="","",IF(H42="",0,H42)+IF(I42="",0,I42))</f>
        <v>0</v>
      </c>
      <c r="R42" s="21">
        <f>IF(OR(B42="",D42=""),"",SUMIFS($Q$5:$Q$404,$D$5:$D$404,D42,$C$5:$C$404,C42))</f>
        <v>0</v>
      </c>
      <c r="S42" s="38">
        <f>IF(OR(B42="",C42=""),"",IFERROR(R42/SUMIFS($Q$5:$Q$404,$C$5:$C$404,C42),""))</f>
        <v>0</v>
      </c>
      <c r="T42" s="23">
        <f>IF(K42="","",IFERROR(INDEX(Jobs!$H$5:$H$604,MATCH(K42,Jobs!$A$5:$A$604,0)),""))</f>
        <v>0</v>
      </c>
      <c r="U42" s="39">
        <f>IF(B42="","",IF(H42="","Add - how much?",IF(D42="","Add - which category?",IF(M42="No","Action - no receipt",IF(AND(H42&gt;500,F42=""),"Add - describe a large payment","OK")))))</f>
        <v>0</v>
      </c>
    </row>
    <row r="43" spans="1:21">
      <c r="A43" s="43">
        <f>IF(B43="","",ExpensePrefix&amp;TEXT(ROW()-4,"0000"))</f>
        <v>0</v>
      </c>
      <c r="B43" s="46">
        <v>46289</v>
      </c>
      <c r="C43" s="23">
        <f>IF(B43="","",TEXT(B43,"yyyy-mm"))</f>
        <v>0</v>
      </c>
      <c r="D43" s="15" t="s">
        <v>1897</v>
      </c>
      <c r="E43" s="15" t="s">
        <v>625</v>
      </c>
      <c r="F43" s="15" t="s">
        <v>1898</v>
      </c>
      <c r="G43" s="15" t="s">
        <v>1899</v>
      </c>
      <c r="H43" s="19">
        <v>142</v>
      </c>
      <c r="J43" s="15" t="s">
        <v>1590</v>
      </c>
      <c r="K43" s="49" t="s">
        <v>172</v>
      </c>
      <c r="L43" s="15" t="s">
        <v>172</v>
      </c>
      <c r="M43" s="47" t="s">
        <v>454</v>
      </c>
      <c r="N43" s="47" t="s">
        <v>457</v>
      </c>
      <c r="O43" s="47" t="s">
        <v>454</v>
      </c>
      <c r="P43" s="44" t="s">
        <v>172</v>
      </c>
      <c r="Q43" s="21">
        <f>IF(B43="","",IF(H43="",0,H43)+IF(I43="",0,I43))</f>
        <v>0</v>
      </c>
      <c r="R43" s="21">
        <f>IF(OR(B43="",D43=""),"",SUMIFS($Q$5:$Q$404,$D$5:$D$404,D43,$C$5:$C$404,C43))</f>
        <v>0</v>
      </c>
      <c r="S43" s="38">
        <f>IF(OR(B43="",C43=""),"",IFERROR(R43/SUMIFS($Q$5:$Q$404,$C$5:$C$404,C43),""))</f>
        <v>0</v>
      </c>
      <c r="T43" s="23">
        <f>IF(K43="","",IFERROR(INDEX(Jobs!$H$5:$H$604,MATCH(K43,Jobs!$A$5:$A$604,0)),""))</f>
        <v>0</v>
      </c>
      <c r="U43" s="39">
        <f>IF(B43="","",IF(H43="","Add - how much?",IF(D43="","Add - which category?",IF(M43="No","Action - no receipt",IF(AND(H43&gt;500,F43=""),"Add - describe a large payment","OK")))))</f>
        <v>0</v>
      </c>
    </row>
    <row r="44" spans="1:21">
      <c r="A44" s="43">
        <f>IF(B44="","",ExpensePrefix&amp;TEXT(ROW()-4,"0000"))</f>
        <v>0</v>
      </c>
      <c r="B44" s="46">
        <v>46282</v>
      </c>
      <c r="C44" s="23">
        <f>IF(B44="","",TEXT(B44,"yyyy-mm"))</f>
        <v>0</v>
      </c>
      <c r="D44" s="15" t="s">
        <v>1900</v>
      </c>
      <c r="E44" s="15" t="s">
        <v>625</v>
      </c>
      <c r="F44" s="15" t="s">
        <v>1901</v>
      </c>
      <c r="G44" s="15" t="s">
        <v>1702</v>
      </c>
      <c r="H44" s="19">
        <v>98</v>
      </c>
      <c r="J44" s="15" t="s">
        <v>1590</v>
      </c>
      <c r="K44" s="49" t="s">
        <v>172</v>
      </c>
      <c r="L44" s="15" t="s">
        <v>172</v>
      </c>
      <c r="M44" s="47" t="s">
        <v>454</v>
      </c>
      <c r="N44" s="47" t="s">
        <v>457</v>
      </c>
      <c r="O44" s="47" t="s">
        <v>454</v>
      </c>
      <c r="P44" s="44" t="s">
        <v>172</v>
      </c>
      <c r="Q44" s="21">
        <f>IF(B44="","",IF(H44="",0,H44)+IF(I44="",0,I44))</f>
        <v>0</v>
      </c>
      <c r="R44" s="21">
        <f>IF(OR(B44="",D44=""),"",SUMIFS($Q$5:$Q$404,$D$5:$D$404,D44,$C$5:$C$404,C44))</f>
        <v>0</v>
      </c>
      <c r="S44" s="38">
        <f>IF(OR(B44="",C44=""),"",IFERROR(R44/SUMIFS($Q$5:$Q$404,$C$5:$C$404,C44),""))</f>
        <v>0</v>
      </c>
      <c r="T44" s="23">
        <f>IF(K44="","",IFERROR(INDEX(Jobs!$H$5:$H$604,MATCH(K44,Jobs!$A$5:$A$604,0)),""))</f>
        <v>0</v>
      </c>
      <c r="U44" s="39">
        <f>IF(B44="","",IF(H44="","Add - how much?",IF(D44="","Add - which category?",IF(M44="No","Action - no receipt",IF(AND(H44&gt;500,F44=""),"Add - describe a large payment","OK")))))</f>
        <v>0</v>
      </c>
    </row>
    <row r="45" spans="1:21">
      <c r="A45" s="43">
        <f>IF(B45="","",ExpensePrefix&amp;TEXT(ROW()-4,"0000"))</f>
        <v>0</v>
      </c>
      <c r="B45" s="46">
        <v>46275</v>
      </c>
      <c r="C45" s="23">
        <f>IF(B45="","",TEXT(B45,"yyyy-mm"))</f>
        <v>0</v>
      </c>
      <c r="D45" s="15" t="s">
        <v>1869</v>
      </c>
      <c r="E45" s="15" t="s">
        <v>625</v>
      </c>
      <c r="F45" s="15" t="s">
        <v>1902</v>
      </c>
      <c r="G45" s="15" t="s">
        <v>1903</v>
      </c>
      <c r="H45" s="19">
        <v>380</v>
      </c>
      <c r="J45" s="15" t="s">
        <v>1592</v>
      </c>
      <c r="K45" s="49" t="s">
        <v>172</v>
      </c>
      <c r="L45" s="15" t="s">
        <v>172</v>
      </c>
      <c r="M45" s="47" t="s">
        <v>454</v>
      </c>
      <c r="N45" s="47" t="s">
        <v>457</v>
      </c>
      <c r="O45" s="47" t="s">
        <v>454</v>
      </c>
      <c r="P45" s="44" t="s">
        <v>172</v>
      </c>
      <c r="Q45" s="21">
        <f>IF(B45="","",IF(H45="",0,H45)+IF(I45="",0,I45))</f>
        <v>0</v>
      </c>
      <c r="R45" s="21">
        <f>IF(OR(B45="",D45=""),"",SUMIFS($Q$5:$Q$404,$D$5:$D$404,D45,$C$5:$C$404,C45))</f>
        <v>0</v>
      </c>
      <c r="S45" s="38">
        <f>IF(OR(B45="",C45=""),"",IFERROR(R45/SUMIFS($Q$5:$Q$404,$C$5:$C$404,C45),""))</f>
        <v>0</v>
      </c>
      <c r="T45" s="23">
        <f>IF(K45="","",IFERROR(INDEX(Jobs!$H$5:$H$604,MATCH(K45,Jobs!$A$5:$A$604,0)),""))</f>
        <v>0</v>
      </c>
      <c r="U45" s="39">
        <f>IF(B45="","",IF(H45="","Add - how much?",IF(D45="","Add - which category?",IF(M45="No","Action - no receipt",IF(AND(H45&gt;500,F45=""),"Add - describe a large payment","OK")))))</f>
        <v>0</v>
      </c>
    </row>
    <row r="46" spans="1:21">
      <c r="A46" s="43">
        <f>IF(B46="","",ExpensePrefix&amp;TEXT(ROW()-4,"0000"))</f>
        <v>0</v>
      </c>
      <c r="B46" s="46">
        <v>46269</v>
      </c>
      <c r="C46" s="23">
        <f>IF(B46="","",TEXT(B46,"yyyy-mm"))</f>
        <v>0</v>
      </c>
      <c r="D46" s="15" t="s">
        <v>1904</v>
      </c>
      <c r="E46" s="15" t="s">
        <v>625</v>
      </c>
      <c r="F46" s="15" t="s">
        <v>1905</v>
      </c>
      <c r="G46" s="15" t="s">
        <v>1906</v>
      </c>
      <c r="H46" s="19">
        <v>318</v>
      </c>
      <c r="J46" s="15" t="s">
        <v>1590</v>
      </c>
      <c r="K46" s="49" t="s">
        <v>172</v>
      </c>
      <c r="L46" s="15" t="s">
        <v>172</v>
      </c>
      <c r="M46" s="47" t="s">
        <v>454</v>
      </c>
      <c r="N46" s="47" t="s">
        <v>457</v>
      </c>
      <c r="O46" s="47" t="s">
        <v>454</v>
      </c>
      <c r="P46" s="44" t="s">
        <v>172</v>
      </c>
      <c r="Q46" s="21">
        <f>IF(B46="","",IF(H46="",0,H46)+IF(I46="",0,I46))</f>
        <v>0</v>
      </c>
      <c r="R46" s="21">
        <f>IF(OR(B46="",D46=""),"",SUMIFS($Q$5:$Q$404,$D$5:$D$404,D46,$C$5:$C$404,C46))</f>
        <v>0</v>
      </c>
      <c r="S46" s="38">
        <f>IF(OR(B46="",C46=""),"",IFERROR(R46/SUMIFS($Q$5:$Q$404,$C$5:$C$404,C46),""))</f>
        <v>0</v>
      </c>
      <c r="T46" s="23">
        <f>IF(K46="","",IFERROR(INDEX(Jobs!$H$5:$H$604,MATCH(K46,Jobs!$A$5:$A$604,0)),""))</f>
        <v>0</v>
      </c>
      <c r="U46" s="39">
        <f>IF(B46="","",IF(H46="","Add - how much?",IF(D46="","Add - which category?",IF(M46="No","Action - no receipt",IF(AND(H46&gt;500,F46=""),"Add - describe a large payment","OK")))))</f>
        <v>0</v>
      </c>
    </row>
    <row r="47" spans="1:21">
      <c r="A47" s="43">
        <f>IF(B47="","",ExpensePrefix&amp;TEXT(ROW()-4,"0000"))</f>
        <v>0</v>
      </c>
      <c r="B47" s="46">
        <v>46311</v>
      </c>
      <c r="C47" s="23">
        <f>IF(B47="","",TEXT(B47,"yyyy-mm"))</f>
        <v>0</v>
      </c>
      <c r="D47" s="15" t="s">
        <v>1907</v>
      </c>
      <c r="E47" s="15" t="s">
        <v>1856</v>
      </c>
      <c r="F47" s="15" t="s">
        <v>1908</v>
      </c>
      <c r="G47" s="15" t="s">
        <v>1909</v>
      </c>
      <c r="H47" s="19">
        <v>18.4</v>
      </c>
      <c r="J47" s="15" t="s">
        <v>1859</v>
      </c>
      <c r="K47" s="49" t="s">
        <v>172</v>
      </c>
      <c r="L47" s="15" t="s">
        <v>172</v>
      </c>
      <c r="M47" s="47" t="s">
        <v>457</v>
      </c>
      <c r="N47" s="47" t="s">
        <v>454</v>
      </c>
      <c r="O47" s="47" t="s">
        <v>454</v>
      </c>
      <c r="P47" s="44" t="s">
        <v>172</v>
      </c>
      <c r="Q47" s="21">
        <f>IF(B47="","",IF(H47="",0,H47)+IF(I47="",0,I47))</f>
        <v>0</v>
      </c>
      <c r="R47" s="21">
        <f>IF(OR(B47="",D47=""),"",SUMIFS($Q$5:$Q$404,$D$5:$D$404,D47,$C$5:$C$404,C47))</f>
        <v>0</v>
      </c>
      <c r="S47" s="38">
        <f>IF(OR(B47="",C47=""),"",IFERROR(R47/SUMIFS($Q$5:$Q$404,$C$5:$C$404,C47),""))</f>
        <v>0</v>
      </c>
      <c r="T47" s="23">
        <f>IF(K47="","",IFERROR(INDEX(Jobs!$H$5:$H$604,MATCH(K47,Jobs!$A$5:$A$604,0)),""))</f>
        <v>0</v>
      </c>
      <c r="U47" s="39">
        <f>IF(B47="","",IF(H47="","Add - how much?",IF(D47="","Add - which category?",IF(M47="No","Action - no receipt",IF(AND(H47&gt;500,F47=""),"Add - describe a large payment","OK")))))</f>
        <v>0</v>
      </c>
    </row>
    <row r="48" spans="1:21">
      <c r="A48" s="43">
        <f>IF(B48="","",ExpensePrefix&amp;TEXT(ROW()-4,"0000"))</f>
        <v>0</v>
      </c>
      <c r="B48" s="46">
        <v>46286</v>
      </c>
      <c r="C48" s="23">
        <f>IF(B48="","",TEXT(B48,"yyyy-mm"))</f>
        <v>0</v>
      </c>
      <c r="D48" s="15" t="s">
        <v>1910</v>
      </c>
      <c r="E48" s="15" t="s">
        <v>625</v>
      </c>
      <c r="F48" s="15" t="s">
        <v>1911</v>
      </c>
      <c r="G48" s="15" t="s">
        <v>1912</v>
      </c>
      <c r="H48" s="19">
        <v>45</v>
      </c>
      <c r="J48" s="15" t="s">
        <v>1590</v>
      </c>
      <c r="K48" s="49" t="s">
        <v>172</v>
      </c>
      <c r="L48" s="15" t="s">
        <v>172</v>
      </c>
      <c r="M48" s="47" t="s">
        <v>454</v>
      </c>
      <c r="N48" s="47" t="s">
        <v>457</v>
      </c>
      <c r="O48" s="47" t="s">
        <v>454</v>
      </c>
      <c r="P48" s="44" t="s">
        <v>172</v>
      </c>
      <c r="Q48" s="21">
        <f>IF(B48="","",IF(H48="",0,H48)+IF(I48="",0,I48))</f>
        <v>0</v>
      </c>
      <c r="R48" s="21">
        <f>IF(OR(B48="",D48=""),"",SUMIFS($Q$5:$Q$404,$D$5:$D$404,D48,$C$5:$C$404,C48))</f>
        <v>0</v>
      </c>
      <c r="S48" s="38">
        <f>IF(OR(B48="",C48=""),"",IFERROR(R48/SUMIFS($Q$5:$Q$404,$C$5:$C$404,C48),""))</f>
        <v>0</v>
      </c>
      <c r="T48" s="23">
        <f>IF(K48="","",IFERROR(INDEX(Jobs!$H$5:$H$604,MATCH(K48,Jobs!$A$5:$A$604,0)),""))</f>
        <v>0</v>
      </c>
      <c r="U48" s="39">
        <f>IF(B48="","",IF(H48="","Add - how much?",IF(D48="","Add - which category?",IF(M48="No","Action - no receipt",IF(AND(H48&gt;500,F48=""),"Add - describe a large payment","OK")))))</f>
        <v>0</v>
      </c>
    </row>
    <row r="49" spans="1:21">
      <c r="A49" s="43">
        <f>IF(B49="","",ExpensePrefix&amp;TEXT(ROW()-4,"0000"))</f>
        <v>0</v>
      </c>
      <c r="B49" s="46">
        <v>46311</v>
      </c>
      <c r="C49" s="23">
        <f>IF(B49="","",TEXT(B49,"yyyy-mm"))</f>
        <v>0</v>
      </c>
      <c r="D49" s="15" t="s">
        <v>1913</v>
      </c>
      <c r="E49" s="15" t="s">
        <v>1856</v>
      </c>
      <c r="F49" s="15" t="s">
        <v>1914</v>
      </c>
      <c r="G49" s="15" t="s">
        <v>1915</v>
      </c>
      <c r="H49" s="19">
        <v>860.93</v>
      </c>
      <c r="J49" s="15" t="s">
        <v>1592</v>
      </c>
      <c r="K49" s="49" t="s">
        <v>172</v>
      </c>
      <c r="L49" s="15" t="s">
        <v>172</v>
      </c>
      <c r="M49" s="47" t="s">
        <v>454</v>
      </c>
      <c r="N49" s="47" t="s">
        <v>454</v>
      </c>
      <c r="O49" s="47" t="s">
        <v>454</v>
      </c>
      <c r="P49" s="44" t="s">
        <v>1916</v>
      </c>
      <c r="Q49" s="21">
        <f>IF(B49="","",IF(H49="",0,H49)+IF(I49="",0,I49))</f>
        <v>0</v>
      </c>
      <c r="R49" s="21">
        <f>IF(OR(B49="",D49=""),"",SUMIFS($Q$5:$Q$404,$D$5:$D$404,D49,$C$5:$C$404,C49))</f>
        <v>0</v>
      </c>
      <c r="S49" s="38">
        <f>IF(OR(B49="",C49=""),"",IFERROR(R49/SUMIFS($Q$5:$Q$404,$C$5:$C$404,C49),""))</f>
        <v>0</v>
      </c>
      <c r="T49" s="23">
        <f>IF(K49="","",IFERROR(INDEX(Jobs!$H$5:$H$604,MATCH(K49,Jobs!$A$5:$A$604,0)),""))</f>
        <v>0</v>
      </c>
      <c r="U49" s="39">
        <f>IF(B49="","",IF(H49="","Add - how much?",IF(D49="","Add - which category?",IF(M49="No","Action - no receipt",IF(AND(H49&gt;500,F49=""),"Add - describe a large payment","OK")))))</f>
        <v>0</v>
      </c>
    </row>
    <row r="50" spans="1:21">
      <c r="A50" s="43">
        <f>IF(B50="","",ExpensePrefix&amp;TEXT(ROW()-4,"0000"))</f>
        <v>0</v>
      </c>
      <c r="B50" s="46">
        <v>46304</v>
      </c>
      <c r="C50" s="23">
        <f>IF(B50="","",TEXT(B50,"yyyy-mm"))</f>
        <v>0</v>
      </c>
      <c r="D50" s="15" t="s">
        <v>1913</v>
      </c>
      <c r="E50" s="15" t="s">
        <v>1856</v>
      </c>
      <c r="F50" s="15" t="s">
        <v>1914</v>
      </c>
      <c r="G50" s="15" t="s">
        <v>1915</v>
      </c>
      <c r="H50" s="19">
        <v>840.75</v>
      </c>
      <c r="J50" s="15" t="s">
        <v>1592</v>
      </c>
      <c r="K50" s="49" t="s">
        <v>172</v>
      </c>
      <c r="L50" s="15" t="s">
        <v>172</v>
      </c>
      <c r="M50" s="47" t="s">
        <v>454</v>
      </c>
      <c r="N50" s="47" t="s">
        <v>454</v>
      </c>
      <c r="O50" s="47" t="s">
        <v>454</v>
      </c>
      <c r="P50" s="44" t="s">
        <v>1917</v>
      </c>
      <c r="Q50" s="21">
        <f>IF(B50="","",IF(H50="",0,H50)+IF(I50="",0,I50))</f>
        <v>0</v>
      </c>
      <c r="R50" s="21">
        <f>IF(OR(B50="",D50=""),"",SUMIFS($Q$5:$Q$404,$D$5:$D$404,D50,$C$5:$C$404,C50))</f>
        <v>0</v>
      </c>
      <c r="S50" s="38">
        <f>IF(OR(B50="",C50=""),"",IFERROR(R50/SUMIFS($Q$5:$Q$404,$C$5:$C$404,C50),""))</f>
        <v>0</v>
      </c>
      <c r="T50" s="23">
        <f>IF(K50="","",IFERROR(INDEX(Jobs!$H$5:$H$604,MATCH(K50,Jobs!$A$5:$A$604,0)),""))</f>
        <v>0</v>
      </c>
      <c r="U50" s="39">
        <f>IF(B50="","",IF(H50="","Add - how much?",IF(D50="","Add - which category?",IF(M50="No","Action - no receipt",IF(AND(H50&gt;500,F50=""),"Add - describe a large payment","OK")))))</f>
        <v>0</v>
      </c>
    </row>
    <row r="51" spans="1:21">
      <c r="A51" s="43">
        <f>IF(B51="","",ExpensePrefix&amp;TEXT(ROW()-4,"0000"))</f>
        <v>0</v>
      </c>
      <c r="B51" s="46">
        <v>46297</v>
      </c>
      <c r="C51" s="23">
        <f>IF(B51="","",TEXT(B51,"yyyy-mm"))</f>
        <v>0</v>
      </c>
      <c r="D51" s="15" t="s">
        <v>1913</v>
      </c>
      <c r="E51" s="15" t="s">
        <v>1856</v>
      </c>
      <c r="F51" s="15" t="s">
        <v>1914</v>
      </c>
      <c r="G51" s="15" t="s">
        <v>1915</v>
      </c>
      <c r="H51" s="19">
        <v>676.49</v>
      </c>
      <c r="J51" s="15" t="s">
        <v>1592</v>
      </c>
      <c r="K51" s="49" t="s">
        <v>172</v>
      </c>
      <c r="L51" s="15" t="s">
        <v>172</v>
      </c>
      <c r="M51" s="47" t="s">
        <v>454</v>
      </c>
      <c r="N51" s="47" t="s">
        <v>454</v>
      </c>
      <c r="O51" s="47" t="s">
        <v>454</v>
      </c>
      <c r="P51" s="44" t="s">
        <v>1918</v>
      </c>
      <c r="Q51" s="21">
        <f>IF(B51="","",IF(H51="",0,H51)+IF(I51="",0,I51))</f>
        <v>0</v>
      </c>
      <c r="R51" s="21">
        <f>IF(OR(B51="",D51=""),"",SUMIFS($Q$5:$Q$404,$D$5:$D$404,D51,$C$5:$C$404,C51))</f>
        <v>0</v>
      </c>
      <c r="S51" s="38">
        <f>IF(OR(B51="",C51=""),"",IFERROR(R51/SUMIFS($Q$5:$Q$404,$C$5:$C$404,C51),""))</f>
        <v>0</v>
      </c>
      <c r="T51" s="23">
        <f>IF(K51="","",IFERROR(INDEX(Jobs!$H$5:$H$604,MATCH(K51,Jobs!$A$5:$A$604,0)),""))</f>
        <v>0</v>
      </c>
      <c r="U51" s="39">
        <f>IF(B51="","",IF(H51="","Add - how much?",IF(D51="","Add - which category?",IF(M51="No","Action - no receipt",IF(AND(H51&gt;500,F51=""),"Add - describe a large payment","OK")))))</f>
        <v>0</v>
      </c>
    </row>
    <row r="52" spans="1:21">
      <c r="A52" s="43">
        <f>IF(B52="","",ExpensePrefix&amp;TEXT(ROW()-4,"0000"))</f>
        <v>0</v>
      </c>
      <c r="B52" s="46">
        <v>46290</v>
      </c>
      <c r="C52" s="23">
        <f>IF(B52="","",TEXT(B52,"yyyy-mm"))</f>
        <v>0</v>
      </c>
      <c r="D52" s="15" t="s">
        <v>1913</v>
      </c>
      <c r="E52" s="15" t="s">
        <v>1856</v>
      </c>
      <c r="F52" s="15" t="s">
        <v>1914</v>
      </c>
      <c r="G52" s="15" t="s">
        <v>1915</v>
      </c>
      <c r="H52" s="19">
        <v>694.9</v>
      </c>
      <c r="J52" s="15" t="s">
        <v>1592</v>
      </c>
      <c r="K52" s="49" t="s">
        <v>172</v>
      </c>
      <c r="L52" s="15" t="s">
        <v>172</v>
      </c>
      <c r="M52" s="47" t="s">
        <v>454</v>
      </c>
      <c r="N52" s="47" t="s">
        <v>454</v>
      </c>
      <c r="O52" s="47" t="s">
        <v>454</v>
      </c>
      <c r="P52" s="44" t="s">
        <v>1919</v>
      </c>
      <c r="Q52" s="21">
        <f>IF(B52="","",IF(H52="",0,H52)+IF(I52="",0,I52))</f>
        <v>0</v>
      </c>
      <c r="R52" s="21">
        <f>IF(OR(B52="",D52=""),"",SUMIFS($Q$5:$Q$404,$D$5:$D$404,D52,$C$5:$C$404,C52))</f>
        <v>0</v>
      </c>
      <c r="S52" s="38">
        <f>IF(OR(B52="",C52=""),"",IFERROR(R52/SUMIFS($Q$5:$Q$404,$C$5:$C$404,C52),""))</f>
        <v>0</v>
      </c>
      <c r="T52" s="23">
        <f>IF(K52="","",IFERROR(INDEX(Jobs!$H$5:$H$604,MATCH(K52,Jobs!$A$5:$A$604,0)),""))</f>
        <v>0</v>
      </c>
      <c r="U52" s="39">
        <f>IF(B52="","",IF(H52="","Add - how much?",IF(D52="","Add - which category?",IF(M52="No","Action - no receipt",IF(AND(H52&gt;500,F52=""),"Add - describe a large payment","OK")))))</f>
        <v>0</v>
      </c>
    </row>
    <row r="53" spans="1:21">
      <c r="A53" s="43">
        <f>IF(B53="","",ExpensePrefix&amp;TEXT(ROW()-4,"0000"))</f>
        <v>0</v>
      </c>
      <c r="B53" s="46">
        <v>46283</v>
      </c>
      <c r="C53" s="23">
        <f>IF(B53="","",TEXT(B53,"yyyy-mm"))</f>
        <v>0</v>
      </c>
      <c r="D53" s="15" t="s">
        <v>1913</v>
      </c>
      <c r="E53" s="15" t="s">
        <v>1856</v>
      </c>
      <c r="F53" s="15" t="s">
        <v>1914</v>
      </c>
      <c r="G53" s="15" t="s">
        <v>1915</v>
      </c>
      <c r="H53" s="19">
        <v>539.5</v>
      </c>
      <c r="J53" s="15" t="s">
        <v>1592</v>
      </c>
      <c r="K53" s="49" t="s">
        <v>172</v>
      </c>
      <c r="L53" s="15" t="s">
        <v>172</v>
      </c>
      <c r="M53" s="47" t="s">
        <v>454</v>
      </c>
      <c r="N53" s="47" t="s">
        <v>454</v>
      </c>
      <c r="O53" s="47" t="s">
        <v>454</v>
      </c>
      <c r="P53" s="44" t="s">
        <v>1920</v>
      </c>
      <c r="Q53" s="21">
        <f>IF(B53="","",IF(H53="",0,H53)+IF(I53="",0,I53))</f>
        <v>0</v>
      </c>
      <c r="R53" s="21">
        <f>IF(OR(B53="",D53=""),"",SUMIFS($Q$5:$Q$404,$D$5:$D$404,D53,$C$5:$C$404,C53))</f>
        <v>0</v>
      </c>
      <c r="S53" s="38">
        <f>IF(OR(B53="",C53=""),"",IFERROR(R53/SUMIFS($Q$5:$Q$404,$C$5:$C$404,C53),""))</f>
        <v>0</v>
      </c>
      <c r="T53" s="23">
        <f>IF(K53="","",IFERROR(INDEX(Jobs!$H$5:$H$604,MATCH(K53,Jobs!$A$5:$A$604,0)),""))</f>
        <v>0</v>
      </c>
      <c r="U53" s="39">
        <f>IF(B53="","",IF(H53="","Add - how much?",IF(D53="","Add - which category?",IF(M53="No","Action - no receipt",IF(AND(H53&gt;500,F53=""),"Add - describe a large payment","OK")))))</f>
        <v>0</v>
      </c>
    </row>
    <row r="54" spans="1:21">
      <c r="A54" s="43">
        <f>IF(B54="","",ExpensePrefix&amp;TEXT(ROW()-4,"0000"))</f>
        <v>0</v>
      </c>
      <c r="B54" s="46">
        <v>46276</v>
      </c>
      <c r="C54" s="23">
        <f>IF(B54="","",TEXT(B54,"yyyy-mm"))</f>
        <v>0</v>
      </c>
      <c r="D54" s="15" t="s">
        <v>1913</v>
      </c>
      <c r="E54" s="15" t="s">
        <v>1856</v>
      </c>
      <c r="F54" s="15" t="s">
        <v>1914</v>
      </c>
      <c r="G54" s="15" t="s">
        <v>1915</v>
      </c>
      <c r="H54" s="19">
        <v>533.48</v>
      </c>
      <c r="J54" s="15" t="s">
        <v>1592</v>
      </c>
      <c r="K54" s="49" t="s">
        <v>172</v>
      </c>
      <c r="L54" s="15" t="s">
        <v>172</v>
      </c>
      <c r="M54" s="47" t="s">
        <v>454</v>
      </c>
      <c r="N54" s="47" t="s">
        <v>454</v>
      </c>
      <c r="O54" s="47" t="s">
        <v>454</v>
      </c>
      <c r="P54" s="44" t="s">
        <v>1921</v>
      </c>
      <c r="Q54" s="21">
        <f>IF(B54="","",IF(H54="",0,H54)+IF(I54="",0,I54))</f>
        <v>0</v>
      </c>
      <c r="R54" s="21">
        <f>IF(OR(B54="",D54=""),"",SUMIFS($Q$5:$Q$404,$D$5:$D$404,D54,$C$5:$C$404,C54))</f>
        <v>0</v>
      </c>
      <c r="S54" s="38">
        <f>IF(OR(B54="",C54=""),"",IFERROR(R54/SUMIFS($Q$5:$Q$404,$C$5:$C$404,C54),""))</f>
        <v>0</v>
      </c>
      <c r="T54" s="23">
        <f>IF(K54="","",IFERROR(INDEX(Jobs!$H$5:$H$604,MATCH(K54,Jobs!$A$5:$A$604,0)),""))</f>
        <v>0</v>
      </c>
      <c r="U54" s="39">
        <f>IF(B54="","",IF(H54="","Add - how much?",IF(D54="","Add - which category?",IF(M54="No","Action - no receipt",IF(AND(H54&gt;500,F54=""),"Add - describe a large payment","OK")))))</f>
        <v>0</v>
      </c>
    </row>
    <row r="55" spans="1:21">
      <c r="A55" s="43">
        <f>IF(B55="","",ExpensePrefix&amp;TEXT(ROW()-4,"0000"))</f>
        <v>0</v>
      </c>
      <c r="C55" s="23">
        <f>IF(B55="","",TEXT(B55,"yyyy-mm"))</f>
        <v>0</v>
      </c>
      <c r="Q55" s="21">
        <f>IF(B55="","",IF(H55="",0,H55)+IF(I55="",0,I55))</f>
        <v>0</v>
      </c>
      <c r="R55" s="21">
        <f>IF(OR(B55="",D55=""),"",SUMIFS($Q$5:$Q$404,$D$5:$D$404,D55,$C$5:$C$404,C55))</f>
        <v>0</v>
      </c>
      <c r="S55" s="38">
        <f>IF(OR(B55="",C55=""),"",IFERROR(R55/SUMIFS($Q$5:$Q$404,$C$5:$C$404,C55),""))</f>
        <v>0</v>
      </c>
      <c r="T55" s="23">
        <f>IF(K55="","",IFERROR(INDEX(Jobs!$H$5:$H$604,MATCH(K55,Jobs!$A$5:$A$604,0)),""))</f>
        <v>0</v>
      </c>
      <c r="U55" s="39">
        <f>IF(B55="","",IF(H55="","Add - how much?",IF(D55="","Add - which category?",IF(M55="No","Action - no receipt",IF(AND(H55&gt;500,F55=""),"Add - describe a large payment","OK")))))</f>
        <v>0</v>
      </c>
    </row>
    <row r="56" spans="1:21">
      <c r="A56" s="43">
        <f>IF(B56="","",ExpensePrefix&amp;TEXT(ROW()-4,"0000"))</f>
        <v>0</v>
      </c>
      <c r="C56" s="23">
        <f>IF(B56="","",TEXT(B56,"yyyy-mm"))</f>
        <v>0</v>
      </c>
      <c r="Q56" s="21">
        <f>IF(B56="","",IF(H56="",0,H56)+IF(I56="",0,I56))</f>
        <v>0</v>
      </c>
      <c r="R56" s="21">
        <f>IF(OR(B56="",D56=""),"",SUMIFS($Q$5:$Q$404,$D$5:$D$404,D56,$C$5:$C$404,C56))</f>
        <v>0</v>
      </c>
      <c r="S56" s="38">
        <f>IF(OR(B56="",C56=""),"",IFERROR(R56/SUMIFS($Q$5:$Q$404,$C$5:$C$404,C56),""))</f>
        <v>0</v>
      </c>
      <c r="T56" s="23">
        <f>IF(K56="","",IFERROR(INDEX(Jobs!$H$5:$H$604,MATCH(K56,Jobs!$A$5:$A$604,0)),""))</f>
        <v>0</v>
      </c>
      <c r="U56" s="39">
        <f>IF(B56="","",IF(H56="","Add - how much?",IF(D56="","Add - which category?",IF(M56="No","Action - no receipt",IF(AND(H56&gt;500,F56=""),"Add - describe a large payment","OK")))))</f>
        <v>0</v>
      </c>
    </row>
    <row r="57" spans="1:21">
      <c r="A57" s="43">
        <f>IF(B57="","",ExpensePrefix&amp;TEXT(ROW()-4,"0000"))</f>
        <v>0</v>
      </c>
      <c r="C57" s="23">
        <f>IF(B57="","",TEXT(B57,"yyyy-mm"))</f>
        <v>0</v>
      </c>
      <c r="Q57" s="21">
        <f>IF(B57="","",IF(H57="",0,H57)+IF(I57="",0,I57))</f>
        <v>0</v>
      </c>
      <c r="R57" s="21">
        <f>IF(OR(B57="",D57=""),"",SUMIFS($Q$5:$Q$404,$D$5:$D$404,D57,$C$5:$C$404,C57))</f>
        <v>0</v>
      </c>
      <c r="S57" s="38">
        <f>IF(OR(B57="",C57=""),"",IFERROR(R57/SUMIFS($Q$5:$Q$404,$C$5:$C$404,C57),""))</f>
        <v>0</v>
      </c>
      <c r="T57" s="23">
        <f>IF(K57="","",IFERROR(INDEX(Jobs!$H$5:$H$604,MATCH(K57,Jobs!$A$5:$A$604,0)),""))</f>
        <v>0</v>
      </c>
      <c r="U57" s="39">
        <f>IF(B57="","",IF(H57="","Add - how much?",IF(D57="","Add - which category?",IF(M57="No","Action - no receipt",IF(AND(H57&gt;500,F57=""),"Add - describe a large payment","OK")))))</f>
        <v>0</v>
      </c>
    </row>
    <row r="58" spans="1:21">
      <c r="A58" s="43">
        <f>IF(B58="","",ExpensePrefix&amp;TEXT(ROW()-4,"0000"))</f>
        <v>0</v>
      </c>
      <c r="C58" s="23">
        <f>IF(B58="","",TEXT(B58,"yyyy-mm"))</f>
        <v>0</v>
      </c>
      <c r="Q58" s="21">
        <f>IF(B58="","",IF(H58="",0,H58)+IF(I58="",0,I58))</f>
        <v>0</v>
      </c>
      <c r="R58" s="21">
        <f>IF(OR(B58="",D58=""),"",SUMIFS($Q$5:$Q$404,$D$5:$D$404,D58,$C$5:$C$404,C58))</f>
        <v>0</v>
      </c>
      <c r="S58" s="38">
        <f>IF(OR(B58="",C58=""),"",IFERROR(R58/SUMIFS($Q$5:$Q$404,$C$5:$C$404,C58),""))</f>
        <v>0</v>
      </c>
      <c r="T58" s="23">
        <f>IF(K58="","",IFERROR(INDEX(Jobs!$H$5:$H$604,MATCH(K58,Jobs!$A$5:$A$604,0)),""))</f>
        <v>0</v>
      </c>
      <c r="U58" s="39">
        <f>IF(B58="","",IF(H58="","Add - how much?",IF(D58="","Add - which category?",IF(M58="No","Action - no receipt",IF(AND(H58&gt;500,F58=""),"Add - describe a large payment","OK")))))</f>
        <v>0</v>
      </c>
    </row>
    <row r="59" spans="1:21">
      <c r="A59" s="43">
        <f>IF(B59="","",ExpensePrefix&amp;TEXT(ROW()-4,"0000"))</f>
        <v>0</v>
      </c>
      <c r="C59" s="23">
        <f>IF(B59="","",TEXT(B59,"yyyy-mm"))</f>
        <v>0</v>
      </c>
      <c r="Q59" s="21">
        <f>IF(B59="","",IF(H59="",0,H59)+IF(I59="",0,I59))</f>
        <v>0</v>
      </c>
      <c r="R59" s="21">
        <f>IF(OR(B59="",D59=""),"",SUMIFS($Q$5:$Q$404,$D$5:$D$404,D59,$C$5:$C$404,C59))</f>
        <v>0</v>
      </c>
      <c r="S59" s="38">
        <f>IF(OR(B59="",C59=""),"",IFERROR(R59/SUMIFS($Q$5:$Q$404,$C$5:$C$404,C59),""))</f>
        <v>0</v>
      </c>
      <c r="T59" s="23">
        <f>IF(K59="","",IFERROR(INDEX(Jobs!$H$5:$H$604,MATCH(K59,Jobs!$A$5:$A$604,0)),""))</f>
        <v>0</v>
      </c>
      <c r="U59" s="39">
        <f>IF(B59="","",IF(H59="","Add - how much?",IF(D59="","Add - which category?",IF(M59="No","Action - no receipt",IF(AND(H59&gt;500,F59=""),"Add - describe a large payment","OK")))))</f>
        <v>0</v>
      </c>
    </row>
    <row r="60" spans="1:21">
      <c r="A60" s="43">
        <f>IF(B60="","",ExpensePrefix&amp;TEXT(ROW()-4,"0000"))</f>
        <v>0</v>
      </c>
      <c r="C60" s="23">
        <f>IF(B60="","",TEXT(B60,"yyyy-mm"))</f>
        <v>0</v>
      </c>
      <c r="Q60" s="21">
        <f>IF(B60="","",IF(H60="",0,H60)+IF(I60="",0,I60))</f>
        <v>0</v>
      </c>
      <c r="R60" s="21">
        <f>IF(OR(B60="",D60=""),"",SUMIFS($Q$5:$Q$404,$D$5:$D$404,D60,$C$5:$C$404,C60))</f>
        <v>0</v>
      </c>
      <c r="S60" s="38">
        <f>IF(OR(B60="",C60=""),"",IFERROR(R60/SUMIFS($Q$5:$Q$404,$C$5:$C$404,C60),""))</f>
        <v>0</v>
      </c>
      <c r="T60" s="23">
        <f>IF(K60="","",IFERROR(INDEX(Jobs!$H$5:$H$604,MATCH(K60,Jobs!$A$5:$A$604,0)),""))</f>
        <v>0</v>
      </c>
      <c r="U60" s="39">
        <f>IF(B60="","",IF(H60="","Add - how much?",IF(D60="","Add - which category?",IF(M60="No","Action - no receipt",IF(AND(H60&gt;500,F60=""),"Add - describe a large payment","OK")))))</f>
        <v>0</v>
      </c>
    </row>
    <row r="61" spans="1:21">
      <c r="A61" s="43">
        <f>IF(B61="","",ExpensePrefix&amp;TEXT(ROW()-4,"0000"))</f>
        <v>0</v>
      </c>
      <c r="C61" s="23">
        <f>IF(B61="","",TEXT(B61,"yyyy-mm"))</f>
        <v>0</v>
      </c>
      <c r="Q61" s="21">
        <f>IF(B61="","",IF(H61="",0,H61)+IF(I61="",0,I61))</f>
        <v>0</v>
      </c>
      <c r="R61" s="21">
        <f>IF(OR(B61="",D61=""),"",SUMIFS($Q$5:$Q$404,$D$5:$D$404,D61,$C$5:$C$404,C61))</f>
        <v>0</v>
      </c>
      <c r="S61" s="38">
        <f>IF(OR(B61="",C61=""),"",IFERROR(R61/SUMIFS($Q$5:$Q$404,$C$5:$C$404,C61),""))</f>
        <v>0</v>
      </c>
      <c r="T61" s="23">
        <f>IF(K61="","",IFERROR(INDEX(Jobs!$H$5:$H$604,MATCH(K61,Jobs!$A$5:$A$604,0)),""))</f>
        <v>0</v>
      </c>
      <c r="U61" s="39">
        <f>IF(B61="","",IF(H61="","Add - how much?",IF(D61="","Add - which category?",IF(M61="No","Action - no receipt",IF(AND(H61&gt;500,F61=""),"Add - describe a large payment","OK")))))</f>
        <v>0</v>
      </c>
    </row>
    <row r="62" spans="1:21">
      <c r="A62" s="43">
        <f>IF(B62="","",ExpensePrefix&amp;TEXT(ROW()-4,"0000"))</f>
        <v>0</v>
      </c>
      <c r="C62" s="23">
        <f>IF(B62="","",TEXT(B62,"yyyy-mm"))</f>
        <v>0</v>
      </c>
      <c r="Q62" s="21">
        <f>IF(B62="","",IF(H62="",0,H62)+IF(I62="",0,I62))</f>
        <v>0</v>
      </c>
      <c r="R62" s="21">
        <f>IF(OR(B62="",D62=""),"",SUMIFS($Q$5:$Q$404,$D$5:$D$404,D62,$C$5:$C$404,C62))</f>
        <v>0</v>
      </c>
      <c r="S62" s="38">
        <f>IF(OR(B62="",C62=""),"",IFERROR(R62/SUMIFS($Q$5:$Q$404,$C$5:$C$404,C62),""))</f>
        <v>0</v>
      </c>
      <c r="T62" s="23">
        <f>IF(K62="","",IFERROR(INDEX(Jobs!$H$5:$H$604,MATCH(K62,Jobs!$A$5:$A$604,0)),""))</f>
        <v>0</v>
      </c>
      <c r="U62" s="39">
        <f>IF(B62="","",IF(H62="","Add - how much?",IF(D62="","Add - which category?",IF(M62="No","Action - no receipt",IF(AND(H62&gt;500,F62=""),"Add - describe a large payment","OK")))))</f>
        <v>0</v>
      </c>
    </row>
    <row r="63" spans="1:21">
      <c r="A63" s="43">
        <f>IF(B63="","",ExpensePrefix&amp;TEXT(ROW()-4,"0000"))</f>
        <v>0</v>
      </c>
      <c r="C63" s="23">
        <f>IF(B63="","",TEXT(B63,"yyyy-mm"))</f>
        <v>0</v>
      </c>
      <c r="Q63" s="21">
        <f>IF(B63="","",IF(H63="",0,H63)+IF(I63="",0,I63))</f>
        <v>0</v>
      </c>
      <c r="R63" s="21">
        <f>IF(OR(B63="",D63=""),"",SUMIFS($Q$5:$Q$404,$D$5:$D$404,D63,$C$5:$C$404,C63))</f>
        <v>0</v>
      </c>
      <c r="S63" s="38">
        <f>IF(OR(B63="",C63=""),"",IFERROR(R63/SUMIFS($Q$5:$Q$404,$C$5:$C$404,C63),""))</f>
        <v>0</v>
      </c>
      <c r="T63" s="23">
        <f>IF(K63="","",IFERROR(INDEX(Jobs!$H$5:$H$604,MATCH(K63,Jobs!$A$5:$A$604,0)),""))</f>
        <v>0</v>
      </c>
      <c r="U63" s="39">
        <f>IF(B63="","",IF(H63="","Add - how much?",IF(D63="","Add - which category?",IF(M63="No","Action - no receipt",IF(AND(H63&gt;500,F63=""),"Add - describe a large payment","OK")))))</f>
        <v>0</v>
      </c>
    </row>
    <row r="64" spans="1:21">
      <c r="A64" s="43">
        <f>IF(B64="","",ExpensePrefix&amp;TEXT(ROW()-4,"0000"))</f>
        <v>0</v>
      </c>
      <c r="C64" s="23">
        <f>IF(B64="","",TEXT(B64,"yyyy-mm"))</f>
        <v>0</v>
      </c>
      <c r="Q64" s="21">
        <f>IF(B64="","",IF(H64="",0,H64)+IF(I64="",0,I64))</f>
        <v>0</v>
      </c>
      <c r="R64" s="21">
        <f>IF(OR(B64="",D64=""),"",SUMIFS($Q$5:$Q$404,$D$5:$D$404,D64,$C$5:$C$404,C64))</f>
        <v>0</v>
      </c>
      <c r="S64" s="38">
        <f>IF(OR(B64="",C64=""),"",IFERROR(R64/SUMIFS($Q$5:$Q$404,$C$5:$C$404,C64),""))</f>
        <v>0</v>
      </c>
      <c r="T64" s="23">
        <f>IF(K64="","",IFERROR(INDEX(Jobs!$H$5:$H$604,MATCH(K64,Jobs!$A$5:$A$604,0)),""))</f>
        <v>0</v>
      </c>
      <c r="U64" s="39">
        <f>IF(B64="","",IF(H64="","Add - how much?",IF(D64="","Add - which category?",IF(M64="No","Action - no receipt",IF(AND(H64&gt;500,F64=""),"Add - describe a large payment","OK")))))</f>
        <v>0</v>
      </c>
    </row>
    <row r="65" spans="1:21">
      <c r="A65" s="43">
        <f>IF(B65="","",ExpensePrefix&amp;TEXT(ROW()-4,"0000"))</f>
        <v>0</v>
      </c>
      <c r="C65" s="23">
        <f>IF(B65="","",TEXT(B65,"yyyy-mm"))</f>
        <v>0</v>
      </c>
      <c r="Q65" s="21">
        <f>IF(B65="","",IF(H65="",0,H65)+IF(I65="",0,I65))</f>
        <v>0</v>
      </c>
      <c r="R65" s="21">
        <f>IF(OR(B65="",D65=""),"",SUMIFS($Q$5:$Q$404,$D$5:$D$404,D65,$C$5:$C$404,C65))</f>
        <v>0</v>
      </c>
      <c r="S65" s="38">
        <f>IF(OR(B65="",C65=""),"",IFERROR(R65/SUMIFS($Q$5:$Q$404,$C$5:$C$404,C65),""))</f>
        <v>0</v>
      </c>
      <c r="T65" s="23">
        <f>IF(K65="","",IFERROR(INDEX(Jobs!$H$5:$H$604,MATCH(K65,Jobs!$A$5:$A$604,0)),""))</f>
        <v>0</v>
      </c>
      <c r="U65" s="39">
        <f>IF(B65="","",IF(H65="","Add - how much?",IF(D65="","Add - which category?",IF(M65="No","Action - no receipt",IF(AND(H65&gt;500,F65=""),"Add - describe a large payment","OK")))))</f>
        <v>0</v>
      </c>
    </row>
    <row r="66" spans="1:21">
      <c r="A66" s="43">
        <f>IF(B66="","",ExpensePrefix&amp;TEXT(ROW()-4,"0000"))</f>
        <v>0</v>
      </c>
      <c r="C66" s="23">
        <f>IF(B66="","",TEXT(B66,"yyyy-mm"))</f>
        <v>0</v>
      </c>
      <c r="Q66" s="21">
        <f>IF(B66="","",IF(H66="",0,H66)+IF(I66="",0,I66))</f>
        <v>0</v>
      </c>
      <c r="R66" s="21">
        <f>IF(OR(B66="",D66=""),"",SUMIFS($Q$5:$Q$404,$D$5:$D$404,D66,$C$5:$C$404,C66))</f>
        <v>0</v>
      </c>
      <c r="S66" s="38">
        <f>IF(OR(B66="",C66=""),"",IFERROR(R66/SUMIFS($Q$5:$Q$404,$C$5:$C$404,C66),""))</f>
        <v>0</v>
      </c>
      <c r="T66" s="23">
        <f>IF(K66="","",IFERROR(INDEX(Jobs!$H$5:$H$604,MATCH(K66,Jobs!$A$5:$A$604,0)),""))</f>
        <v>0</v>
      </c>
      <c r="U66" s="39">
        <f>IF(B66="","",IF(H66="","Add - how much?",IF(D66="","Add - which category?",IF(M66="No","Action - no receipt",IF(AND(H66&gt;500,F66=""),"Add - describe a large payment","OK")))))</f>
        <v>0</v>
      </c>
    </row>
    <row r="67" spans="1:21">
      <c r="A67" s="43">
        <f>IF(B67="","",ExpensePrefix&amp;TEXT(ROW()-4,"0000"))</f>
        <v>0</v>
      </c>
      <c r="C67" s="23">
        <f>IF(B67="","",TEXT(B67,"yyyy-mm"))</f>
        <v>0</v>
      </c>
      <c r="Q67" s="21">
        <f>IF(B67="","",IF(H67="",0,H67)+IF(I67="",0,I67))</f>
        <v>0</v>
      </c>
      <c r="R67" s="21">
        <f>IF(OR(B67="",D67=""),"",SUMIFS($Q$5:$Q$404,$D$5:$D$404,D67,$C$5:$C$404,C67))</f>
        <v>0</v>
      </c>
      <c r="S67" s="38">
        <f>IF(OR(B67="",C67=""),"",IFERROR(R67/SUMIFS($Q$5:$Q$404,$C$5:$C$404,C67),""))</f>
        <v>0</v>
      </c>
      <c r="T67" s="23">
        <f>IF(K67="","",IFERROR(INDEX(Jobs!$H$5:$H$604,MATCH(K67,Jobs!$A$5:$A$604,0)),""))</f>
        <v>0</v>
      </c>
      <c r="U67" s="39">
        <f>IF(B67="","",IF(H67="","Add - how much?",IF(D67="","Add - which category?",IF(M67="No","Action - no receipt",IF(AND(H67&gt;500,F67=""),"Add - describe a large payment","OK")))))</f>
        <v>0</v>
      </c>
    </row>
    <row r="68" spans="1:21">
      <c r="A68" s="43">
        <f>IF(B68="","",ExpensePrefix&amp;TEXT(ROW()-4,"0000"))</f>
        <v>0</v>
      </c>
      <c r="C68" s="23">
        <f>IF(B68="","",TEXT(B68,"yyyy-mm"))</f>
        <v>0</v>
      </c>
      <c r="Q68" s="21">
        <f>IF(B68="","",IF(H68="",0,H68)+IF(I68="",0,I68))</f>
        <v>0</v>
      </c>
      <c r="R68" s="21">
        <f>IF(OR(B68="",D68=""),"",SUMIFS($Q$5:$Q$404,$D$5:$D$404,D68,$C$5:$C$404,C68))</f>
        <v>0</v>
      </c>
      <c r="S68" s="38">
        <f>IF(OR(B68="",C68=""),"",IFERROR(R68/SUMIFS($Q$5:$Q$404,$C$5:$C$404,C68),""))</f>
        <v>0</v>
      </c>
      <c r="T68" s="23">
        <f>IF(K68="","",IFERROR(INDEX(Jobs!$H$5:$H$604,MATCH(K68,Jobs!$A$5:$A$604,0)),""))</f>
        <v>0</v>
      </c>
      <c r="U68" s="39">
        <f>IF(B68="","",IF(H68="","Add - how much?",IF(D68="","Add - which category?",IF(M68="No","Action - no receipt",IF(AND(H68&gt;500,F68=""),"Add - describe a large payment","OK")))))</f>
        <v>0</v>
      </c>
    </row>
    <row r="69" spans="1:21">
      <c r="A69" s="43">
        <f>IF(B69="","",ExpensePrefix&amp;TEXT(ROW()-4,"0000"))</f>
        <v>0</v>
      </c>
      <c r="C69" s="23">
        <f>IF(B69="","",TEXT(B69,"yyyy-mm"))</f>
        <v>0</v>
      </c>
      <c r="Q69" s="21">
        <f>IF(B69="","",IF(H69="",0,H69)+IF(I69="",0,I69))</f>
        <v>0</v>
      </c>
      <c r="R69" s="21">
        <f>IF(OR(B69="",D69=""),"",SUMIFS($Q$5:$Q$404,$D$5:$D$404,D69,$C$5:$C$404,C69))</f>
        <v>0</v>
      </c>
      <c r="S69" s="38">
        <f>IF(OR(B69="",C69=""),"",IFERROR(R69/SUMIFS($Q$5:$Q$404,$C$5:$C$404,C69),""))</f>
        <v>0</v>
      </c>
      <c r="T69" s="23">
        <f>IF(K69="","",IFERROR(INDEX(Jobs!$H$5:$H$604,MATCH(K69,Jobs!$A$5:$A$604,0)),""))</f>
        <v>0</v>
      </c>
      <c r="U69" s="39">
        <f>IF(B69="","",IF(H69="","Add - how much?",IF(D69="","Add - which category?",IF(M69="No","Action - no receipt",IF(AND(H69&gt;500,F69=""),"Add - describe a large payment","OK")))))</f>
        <v>0</v>
      </c>
    </row>
    <row r="70" spans="1:21">
      <c r="A70" s="43">
        <f>IF(B70="","",ExpensePrefix&amp;TEXT(ROW()-4,"0000"))</f>
        <v>0</v>
      </c>
      <c r="C70" s="23">
        <f>IF(B70="","",TEXT(B70,"yyyy-mm"))</f>
        <v>0</v>
      </c>
      <c r="Q70" s="21">
        <f>IF(B70="","",IF(H70="",0,H70)+IF(I70="",0,I70))</f>
        <v>0</v>
      </c>
      <c r="R70" s="21">
        <f>IF(OR(B70="",D70=""),"",SUMIFS($Q$5:$Q$404,$D$5:$D$404,D70,$C$5:$C$404,C70))</f>
        <v>0</v>
      </c>
      <c r="S70" s="38">
        <f>IF(OR(B70="",C70=""),"",IFERROR(R70/SUMIFS($Q$5:$Q$404,$C$5:$C$404,C70),""))</f>
        <v>0</v>
      </c>
      <c r="T70" s="23">
        <f>IF(K70="","",IFERROR(INDEX(Jobs!$H$5:$H$604,MATCH(K70,Jobs!$A$5:$A$604,0)),""))</f>
        <v>0</v>
      </c>
      <c r="U70" s="39">
        <f>IF(B70="","",IF(H70="","Add - how much?",IF(D70="","Add - which category?",IF(M70="No","Action - no receipt",IF(AND(H70&gt;500,F70=""),"Add - describe a large payment","OK")))))</f>
        <v>0</v>
      </c>
    </row>
    <row r="71" spans="1:21">
      <c r="A71" s="43">
        <f>IF(B71="","",ExpensePrefix&amp;TEXT(ROW()-4,"0000"))</f>
        <v>0</v>
      </c>
      <c r="C71" s="23">
        <f>IF(B71="","",TEXT(B71,"yyyy-mm"))</f>
        <v>0</v>
      </c>
      <c r="Q71" s="21">
        <f>IF(B71="","",IF(H71="",0,H71)+IF(I71="",0,I71))</f>
        <v>0</v>
      </c>
      <c r="R71" s="21">
        <f>IF(OR(B71="",D71=""),"",SUMIFS($Q$5:$Q$404,$D$5:$D$404,D71,$C$5:$C$404,C71))</f>
        <v>0</v>
      </c>
      <c r="S71" s="38">
        <f>IF(OR(B71="",C71=""),"",IFERROR(R71/SUMIFS($Q$5:$Q$404,$C$5:$C$404,C71),""))</f>
        <v>0</v>
      </c>
      <c r="T71" s="23">
        <f>IF(K71="","",IFERROR(INDEX(Jobs!$H$5:$H$604,MATCH(K71,Jobs!$A$5:$A$604,0)),""))</f>
        <v>0</v>
      </c>
      <c r="U71" s="39">
        <f>IF(B71="","",IF(H71="","Add - how much?",IF(D71="","Add - which category?",IF(M71="No","Action - no receipt",IF(AND(H71&gt;500,F71=""),"Add - describe a large payment","OK")))))</f>
        <v>0</v>
      </c>
    </row>
    <row r="72" spans="1:21">
      <c r="A72" s="43">
        <f>IF(B72="","",ExpensePrefix&amp;TEXT(ROW()-4,"0000"))</f>
        <v>0</v>
      </c>
      <c r="C72" s="23">
        <f>IF(B72="","",TEXT(B72,"yyyy-mm"))</f>
        <v>0</v>
      </c>
      <c r="Q72" s="21">
        <f>IF(B72="","",IF(H72="",0,H72)+IF(I72="",0,I72))</f>
        <v>0</v>
      </c>
      <c r="R72" s="21">
        <f>IF(OR(B72="",D72=""),"",SUMIFS($Q$5:$Q$404,$D$5:$D$404,D72,$C$5:$C$404,C72))</f>
        <v>0</v>
      </c>
      <c r="S72" s="38">
        <f>IF(OR(B72="",C72=""),"",IFERROR(R72/SUMIFS($Q$5:$Q$404,$C$5:$C$404,C72),""))</f>
        <v>0</v>
      </c>
      <c r="T72" s="23">
        <f>IF(K72="","",IFERROR(INDEX(Jobs!$H$5:$H$604,MATCH(K72,Jobs!$A$5:$A$604,0)),""))</f>
        <v>0</v>
      </c>
      <c r="U72" s="39">
        <f>IF(B72="","",IF(H72="","Add - how much?",IF(D72="","Add - which category?",IF(M72="No","Action - no receipt",IF(AND(H72&gt;500,F72=""),"Add - describe a large payment","OK")))))</f>
        <v>0</v>
      </c>
    </row>
    <row r="73" spans="1:21">
      <c r="A73" s="43">
        <f>IF(B73="","",ExpensePrefix&amp;TEXT(ROW()-4,"0000"))</f>
        <v>0</v>
      </c>
      <c r="C73" s="23">
        <f>IF(B73="","",TEXT(B73,"yyyy-mm"))</f>
        <v>0</v>
      </c>
      <c r="Q73" s="21">
        <f>IF(B73="","",IF(H73="",0,H73)+IF(I73="",0,I73))</f>
        <v>0</v>
      </c>
      <c r="R73" s="21">
        <f>IF(OR(B73="",D73=""),"",SUMIFS($Q$5:$Q$404,$D$5:$D$404,D73,$C$5:$C$404,C73))</f>
        <v>0</v>
      </c>
      <c r="S73" s="38">
        <f>IF(OR(B73="",C73=""),"",IFERROR(R73/SUMIFS($Q$5:$Q$404,$C$5:$C$404,C73),""))</f>
        <v>0</v>
      </c>
      <c r="T73" s="23">
        <f>IF(K73="","",IFERROR(INDEX(Jobs!$H$5:$H$604,MATCH(K73,Jobs!$A$5:$A$604,0)),""))</f>
        <v>0</v>
      </c>
      <c r="U73" s="39">
        <f>IF(B73="","",IF(H73="","Add - how much?",IF(D73="","Add - which category?",IF(M73="No","Action - no receipt",IF(AND(H73&gt;500,F73=""),"Add - describe a large payment","OK")))))</f>
        <v>0</v>
      </c>
    </row>
    <row r="74" spans="1:21">
      <c r="A74" s="43">
        <f>IF(B74="","",ExpensePrefix&amp;TEXT(ROW()-4,"0000"))</f>
        <v>0</v>
      </c>
      <c r="C74" s="23">
        <f>IF(B74="","",TEXT(B74,"yyyy-mm"))</f>
        <v>0</v>
      </c>
      <c r="Q74" s="21">
        <f>IF(B74="","",IF(H74="",0,H74)+IF(I74="",0,I74))</f>
        <v>0</v>
      </c>
      <c r="R74" s="21">
        <f>IF(OR(B74="",D74=""),"",SUMIFS($Q$5:$Q$404,$D$5:$D$404,D74,$C$5:$C$404,C74))</f>
        <v>0</v>
      </c>
      <c r="S74" s="38">
        <f>IF(OR(B74="",C74=""),"",IFERROR(R74/SUMIFS($Q$5:$Q$404,$C$5:$C$404,C74),""))</f>
        <v>0</v>
      </c>
      <c r="T74" s="23">
        <f>IF(K74="","",IFERROR(INDEX(Jobs!$H$5:$H$604,MATCH(K74,Jobs!$A$5:$A$604,0)),""))</f>
        <v>0</v>
      </c>
      <c r="U74" s="39">
        <f>IF(B74="","",IF(H74="","Add - how much?",IF(D74="","Add - which category?",IF(M74="No","Action - no receipt",IF(AND(H74&gt;500,F74=""),"Add - describe a large payment","OK")))))</f>
        <v>0</v>
      </c>
    </row>
    <row r="75" spans="1:21">
      <c r="A75" s="43">
        <f>IF(B75="","",ExpensePrefix&amp;TEXT(ROW()-4,"0000"))</f>
        <v>0</v>
      </c>
      <c r="C75" s="23">
        <f>IF(B75="","",TEXT(B75,"yyyy-mm"))</f>
        <v>0</v>
      </c>
      <c r="Q75" s="21">
        <f>IF(B75="","",IF(H75="",0,H75)+IF(I75="",0,I75))</f>
        <v>0</v>
      </c>
      <c r="R75" s="21">
        <f>IF(OR(B75="",D75=""),"",SUMIFS($Q$5:$Q$404,$D$5:$D$404,D75,$C$5:$C$404,C75))</f>
        <v>0</v>
      </c>
      <c r="S75" s="38">
        <f>IF(OR(B75="",C75=""),"",IFERROR(R75/SUMIFS($Q$5:$Q$404,$C$5:$C$404,C75),""))</f>
        <v>0</v>
      </c>
      <c r="T75" s="23">
        <f>IF(K75="","",IFERROR(INDEX(Jobs!$H$5:$H$604,MATCH(K75,Jobs!$A$5:$A$604,0)),""))</f>
        <v>0</v>
      </c>
      <c r="U75" s="39">
        <f>IF(B75="","",IF(H75="","Add - how much?",IF(D75="","Add - which category?",IF(M75="No","Action - no receipt",IF(AND(H75&gt;500,F75=""),"Add - describe a large payment","OK")))))</f>
        <v>0</v>
      </c>
    </row>
    <row r="76" spans="1:21">
      <c r="A76" s="43">
        <f>IF(B76="","",ExpensePrefix&amp;TEXT(ROW()-4,"0000"))</f>
        <v>0</v>
      </c>
      <c r="C76" s="23">
        <f>IF(B76="","",TEXT(B76,"yyyy-mm"))</f>
        <v>0</v>
      </c>
      <c r="Q76" s="21">
        <f>IF(B76="","",IF(H76="",0,H76)+IF(I76="",0,I76))</f>
        <v>0</v>
      </c>
      <c r="R76" s="21">
        <f>IF(OR(B76="",D76=""),"",SUMIFS($Q$5:$Q$404,$D$5:$D$404,D76,$C$5:$C$404,C76))</f>
        <v>0</v>
      </c>
      <c r="S76" s="38">
        <f>IF(OR(B76="",C76=""),"",IFERROR(R76/SUMIFS($Q$5:$Q$404,$C$5:$C$404,C76),""))</f>
        <v>0</v>
      </c>
      <c r="T76" s="23">
        <f>IF(K76="","",IFERROR(INDEX(Jobs!$H$5:$H$604,MATCH(K76,Jobs!$A$5:$A$604,0)),""))</f>
        <v>0</v>
      </c>
      <c r="U76" s="39">
        <f>IF(B76="","",IF(H76="","Add - how much?",IF(D76="","Add - which category?",IF(M76="No","Action - no receipt",IF(AND(H76&gt;500,F76=""),"Add - describe a large payment","OK")))))</f>
        <v>0</v>
      </c>
    </row>
    <row r="77" spans="1:21">
      <c r="A77" s="43">
        <f>IF(B77="","",ExpensePrefix&amp;TEXT(ROW()-4,"0000"))</f>
        <v>0</v>
      </c>
      <c r="C77" s="23">
        <f>IF(B77="","",TEXT(B77,"yyyy-mm"))</f>
        <v>0</v>
      </c>
      <c r="Q77" s="21">
        <f>IF(B77="","",IF(H77="",0,H77)+IF(I77="",0,I77))</f>
        <v>0</v>
      </c>
      <c r="R77" s="21">
        <f>IF(OR(B77="",D77=""),"",SUMIFS($Q$5:$Q$404,$D$5:$D$404,D77,$C$5:$C$404,C77))</f>
        <v>0</v>
      </c>
      <c r="S77" s="38">
        <f>IF(OR(B77="",C77=""),"",IFERROR(R77/SUMIFS($Q$5:$Q$404,$C$5:$C$404,C77),""))</f>
        <v>0</v>
      </c>
      <c r="T77" s="23">
        <f>IF(K77="","",IFERROR(INDEX(Jobs!$H$5:$H$604,MATCH(K77,Jobs!$A$5:$A$604,0)),""))</f>
        <v>0</v>
      </c>
      <c r="U77" s="39">
        <f>IF(B77="","",IF(H77="","Add - how much?",IF(D77="","Add - which category?",IF(M77="No","Action - no receipt",IF(AND(H77&gt;500,F77=""),"Add - describe a large payment","OK")))))</f>
        <v>0</v>
      </c>
    </row>
    <row r="78" spans="1:21">
      <c r="A78" s="43">
        <f>IF(B78="","",ExpensePrefix&amp;TEXT(ROW()-4,"0000"))</f>
        <v>0</v>
      </c>
      <c r="C78" s="23">
        <f>IF(B78="","",TEXT(B78,"yyyy-mm"))</f>
        <v>0</v>
      </c>
      <c r="Q78" s="21">
        <f>IF(B78="","",IF(H78="",0,H78)+IF(I78="",0,I78))</f>
        <v>0</v>
      </c>
      <c r="R78" s="21">
        <f>IF(OR(B78="",D78=""),"",SUMIFS($Q$5:$Q$404,$D$5:$D$404,D78,$C$5:$C$404,C78))</f>
        <v>0</v>
      </c>
      <c r="S78" s="38">
        <f>IF(OR(B78="",C78=""),"",IFERROR(R78/SUMIFS($Q$5:$Q$404,$C$5:$C$404,C78),""))</f>
        <v>0</v>
      </c>
      <c r="T78" s="23">
        <f>IF(K78="","",IFERROR(INDEX(Jobs!$H$5:$H$604,MATCH(K78,Jobs!$A$5:$A$604,0)),""))</f>
        <v>0</v>
      </c>
      <c r="U78" s="39">
        <f>IF(B78="","",IF(H78="","Add - how much?",IF(D78="","Add - which category?",IF(M78="No","Action - no receipt",IF(AND(H78&gt;500,F78=""),"Add - describe a large payment","OK")))))</f>
        <v>0</v>
      </c>
    </row>
    <row r="79" spans="1:21">
      <c r="A79" s="43">
        <f>IF(B79="","",ExpensePrefix&amp;TEXT(ROW()-4,"0000"))</f>
        <v>0</v>
      </c>
      <c r="C79" s="23">
        <f>IF(B79="","",TEXT(B79,"yyyy-mm"))</f>
        <v>0</v>
      </c>
      <c r="Q79" s="21">
        <f>IF(B79="","",IF(H79="",0,H79)+IF(I79="",0,I79))</f>
        <v>0</v>
      </c>
      <c r="R79" s="21">
        <f>IF(OR(B79="",D79=""),"",SUMIFS($Q$5:$Q$404,$D$5:$D$404,D79,$C$5:$C$404,C79))</f>
        <v>0</v>
      </c>
      <c r="S79" s="38">
        <f>IF(OR(B79="",C79=""),"",IFERROR(R79/SUMIFS($Q$5:$Q$404,$C$5:$C$404,C79),""))</f>
        <v>0</v>
      </c>
      <c r="T79" s="23">
        <f>IF(K79="","",IFERROR(INDEX(Jobs!$H$5:$H$604,MATCH(K79,Jobs!$A$5:$A$604,0)),""))</f>
        <v>0</v>
      </c>
      <c r="U79" s="39">
        <f>IF(B79="","",IF(H79="","Add - how much?",IF(D79="","Add - which category?",IF(M79="No","Action - no receipt",IF(AND(H79&gt;500,F79=""),"Add - describe a large payment","OK")))))</f>
        <v>0</v>
      </c>
    </row>
    <row r="80" spans="1:21">
      <c r="A80" s="43">
        <f>IF(B80="","",ExpensePrefix&amp;TEXT(ROW()-4,"0000"))</f>
        <v>0</v>
      </c>
      <c r="C80" s="23">
        <f>IF(B80="","",TEXT(B80,"yyyy-mm"))</f>
        <v>0</v>
      </c>
      <c r="Q80" s="21">
        <f>IF(B80="","",IF(H80="",0,H80)+IF(I80="",0,I80))</f>
        <v>0</v>
      </c>
      <c r="R80" s="21">
        <f>IF(OR(B80="",D80=""),"",SUMIFS($Q$5:$Q$404,$D$5:$D$404,D80,$C$5:$C$404,C80))</f>
        <v>0</v>
      </c>
      <c r="S80" s="38">
        <f>IF(OR(B80="",C80=""),"",IFERROR(R80/SUMIFS($Q$5:$Q$404,$C$5:$C$404,C80),""))</f>
        <v>0</v>
      </c>
      <c r="T80" s="23">
        <f>IF(K80="","",IFERROR(INDEX(Jobs!$H$5:$H$604,MATCH(K80,Jobs!$A$5:$A$604,0)),""))</f>
        <v>0</v>
      </c>
      <c r="U80" s="39">
        <f>IF(B80="","",IF(H80="","Add - how much?",IF(D80="","Add - which category?",IF(M80="No","Action - no receipt",IF(AND(H80&gt;500,F80=""),"Add - describe a large payment","OK")))))</f>
        <v>0</v>
      </c>
    </row>
    <row r="81" spans="1:21">
      <c r="A81" s="43">
        <f>IF(B81="","",ExpensePrefix&amp;TEXT(ROW()-4,"0000"))</f>
        <v>0</v>
      </c>
      <c r="C81" s="23">
        <f>IF(B81="","",TEXT(B81,"yyyy-mm"))</f>
        <v>0</v>
      </c>
      <c r="Q81" s="21">
        <f>IF(B81="","",IF(H81="",0,H81)+IF(I81="",0,I81))</f>
        <v>0</v>
      </c>
      <c r="R81" s="21">
        <f>IF(OR(B81="",D81=""),"",SUMIFS($Q$5:$Q$404,$D$5:$D$404,D81,$C$5:$C$404,C81))</f>
        <v>0</v>
      </c>
      <c r="S81" s="38">
        <f>IF(OR(B81="",C81=""),"",IFERROR(R81/SUMIFS($Q$5:$Q$404,$C$5:$C$404,C81),""))</f>
        <v>0</v>
      </c>
      <c r="T81" s="23">
        <f>IF(K81="","",IFERROR(INDEX(Jobs!$H$5:$H$604,MATCH(K81,Jobs!$A$5:$A$604,0)),""))</f>
        <v>0</v>
      </c>
      <c r="U81" s="39">
        <f>IF(B81="","",IF(H81="","Add - how much?",IF(D81="","Add - which category?",IF(M81="No","Action - no receipt",IF(AND(H81&gt;500,F81=""),"Add - describe a large payment","OK")))))</f>
        <v>0</v>
      </c>
    </row>
    <row r="82" spans="1:21">
      <c r="A82" s="43">
        <f>IF(B82="","",ExpensePrefix&amp;TEXT(ROW()-4,"0000"))</f>
        <v>0</v>
      </c>
      <c r="C82" s="23">
        <f>IF(B82="","",TEXT(B82,"yyyy-mm"))</f>
        <v>0</v>
      </c>
      <c r="Q82" s="21">
        <f>IF(B82="","",IF(H82="",0,H82)+IF(I82="",0,I82))</f>
        <v>0</v>
      </c>
      <c r="R82" s="21">
        <f>IF(OR(B82="",D82=""),"",SUMIFS($Q$5:$Q$404,$D$5:$D$404,D82,$C$5:$C$404,C82))</f>
        <v>0</v>
      </c>
      <c r="S82" s="38">
        <f>IF(OR(B82="",C82=""),"",IFERROR(R82/SUMIFS($Q$5:$Q$404,$C$5:$C$404,C82),""))</f>
        <v>0</v>
      </c>
      <c r="T82" s="23">
        <f>IF(K82="","",IFERROR(INDEX(Jobs!$H$5:$H$604,MATCH(K82,Jobs!$A$5:$A$604,0)),""))</f>
        <v>0</v>
      </c>
      <c r="U82" s="39">
        <f>IF(B82="","",IF(H82="","Add - how much?",IF(D82="","Add - which category?",IF(M82="No","Action - no receipt",IF(AND(H82&gt;500,F82=""),"Add - describe a large payment","OK")))))</f>
        <v>0</v>
      </c>
    </row>
    <row r="83" spans="1:21">
      <c r="A83" s="43">
        <f>IF(B83="","",ExpensePrefix&amp;TEXT(ROW()-4,"0000"))</f>
        <v>0</v>
      </c>
      <c r="C83" s="23">
        <f>IF(B83="","",TEXT(B83,"yyyy-mm"))</f>
        <v>0</v>
      </c>
      <c r="Q83" s="21">
        <f>IF(B83="","",IF(H83="",0,H83)+IF(I83="",0,I83))</f>
        <v>0</v>
      </c>
      <c r="R83" s="21">
        <f>IF(OR(B83="",D83=""),"",SUMIFS($Q$5:$Q$404,$D$5:$D$404,D83,$C$5:$C$404,C83))</f>
        <v>0</v>
      </c>
      <c r="S83" s="38">
        <f>IF(OR(B83="",C83=""),"",IFERROR(R83/SUMIFS($Q$5:$Q$404,$C$5:$C$404,C83),""))</f>
        <v>0</v>
      </c>
      <c r="T83" s="23">
        <f>IF(K83="","",IFERROR(INDEX(Jobs!$H$5:$H$604,MATCH(K83,Jobs!$A$5:$A$604,0)),""))</f>
        <v>0</v>
      </c>
      <c r="U83" s="39">
        <f>IF(B83="","",IF(H83="","Add - how much?",IF(D83="","Add - which category?",IF(M83="No","Action - no receipt",IF(AND(H83&gt;500,F83=""),"Add - describe a large payment","OK")))))</f>
        <v>0</v>
      </c>
    </row>
    <row r="84" spans="1:21">
      <c r="A84" s="43">
        <f>IF(B84="","",ExpensePrefix&amp;TEXT(ROW()-4,"0000"))</f>
        <v>0</v>
      </c>
      <c r="C84" s="23">
        <f>IF(B84="","",TEXT(B84,"yyyy-mm"))</f>
        <v>0</v>
      </c>
      <c r="Q84" s="21">
        <f>IF(B84="","",IF(H84="",0,H84)+IF(I84="",0,I84))</f>
        <v>0</v>
      </c>
      <c r="R84" s="21">
        <f>IF(OR(B84="",D84=""),"",SUMIFS($Q$5:$Q$404,$D$5:$D$404,D84,$C$5:$C$404,C84))</f>
        <v>0</v>
      </c>
      <c r="S84" s="38">
        <f>IF(OR(B84="",C84=""),"",IFERROR(R84/SUMIFS($Q$5:$Q$404,$C$5:$C$404,C84),""))</f>
        <v>0</v>
      </c>
      <c r="T84" s="23">
        <f>IF(K84="","",IFERROR(INDEX(Jobs!$H$5:$H$604,MATCH(K84,Jobs!$A$5:$A$604,0)),""))</f>
        <v>0</v>
      </c>
      <c r="U84" s="39">
        <f>IF(B84="","",IF(H84="","Add - how much?",IF(D84="","Add - which category?",IF(M84="No","Action - no receipt",IF(AND(H84&gt;500,F84=""),"Add - describe a large payment","OK")))))</f>
        <v>0</v>
      </c>
    </row>
    <row r="85" spans="1:21">
      <c r="A85" s="43">
        <f>IF(B85="","",ExpensePrefix&amp;TEXT(ROW()-4,"0000"))</f>
        <v>0</v>
      </c>
      <c r="C85" s="23">
        <f>IF(B85="","",TEXT(B85,"yyyy-mm"))</f>
        <v>0</v>
      </c>
      <c r="Q85" s="21">
        <f>IF(B85="","",IF(H85="",0,H85)+IF(I85="",0,I85))</f>
        <v>0</v>
      </c>
      <c r="R85" s="21">
        <f>IF(OR(B85="",D85=""),"",SUMIFS($Q$5:$Q$404,$D$5:$D$404,D85,$C$5:$C$404,C85))</f>
        <v>0</v>
      </c>
      <c r="S85" s="38">
        <f>IF(OR(B85="",C85=""),"",IFERROR(R85/SUMIFS($Q$5:$Q$404,$C$5:$C$404,C85),""))</f>
        <v>0</v>
      </c>
      <c r="T85" s="23">
        <f>IF(K85="","",IFERROR(INDEX(Jobs!$H$5:$H$604,MATCH(K85,Jobs!$A$5:$A$604,0)),""))</f>
        <v>0</v>
      </c>
      <c r="U85" s="39">
        <f>IF(B85="","",IF(H85="","Add - how much?",IF(D85="","Add - which category?",IF(M85="No","Action - no receipt",IF(AND(H85&gt;500,F85=""),"Add - describe a large payment","OK")))))</f>
        <v>0</v>
      </c>
    </row>
    <row r="86" spans="1:21">
      <c r="A86" s="43">
        <f>IF(B86="","",ExpensePrefix&amp;TEXT(ROW()-4,"0000"))</f>
        <v>0</v>
      </c>
      <c r="C86" s="23">
        <f>IF(B86="","",TEXT(B86,"yyyy-mm"))</f>
        <v>0</v>
      </c>
      <c r="Q86" s="21">
        <f>IF(B86="","",IF(H86="",0,H86)+IF(I86="",0,I86))</f>
        <v>0</v>
      </c>
      <c r="R86" s="21">
        <f>IF(OR(B86="",D86=""),"",SUMIFS($Q$5:$Q$404,$D$5:$D$404,D86,$C$5:$C$404,C86))</f>
        <v>0</v>
      </c>
      <c r="S86" s="38">
        <f>IF(OR(B86="",C86=""),"",IFERROR(R86/SUMIFS($Q$5:$Q$404,$C$5:$C$404,C86),""))</f>
        <v>0</v>
      </c>
      <c r="T86" s="23">
        <f>IF(K86="","",IFERROR(INDEX(Jobs!$H$5:$H$604,MATCH(K86,Jobs!$A$5:$A$604,0)),""))</f>
        <v>0</v>
      </c>
      <c r="U86" s="39">
        <f>IF(B86="","",IF(H86="","Add - how much?",IF(D86="","Add - which category?",IF(M86="No","Action - no receipt",IF(AND(H86&gt;500,F86=""),"Add - describe a large payment","OK")))))</f>
        <v>0</v>
      </c>
    </row>
    <row r="87" spans="1:21">
      <c r="A87" s="43">
        <f>IF(B87="","",ExpensePrefix&amp;TEXT(ROW()-4,"0000"))</f>
        <v>0</v>
      </c>
      <c r="C87" s="23">
        <f>IF(B87="","",TEXT(B87,"yyyy-mm"))</f>
        <v>0</v>
      </c>
      <c r="Q87" s="21">
        <f>IF(B87="","",IF(H87="",0,H87)+IF(I87="",0,I87))</f>
        <v>0</v>
      </c>
      <c r="R87" s="21">
        <f>IF(OR(B87="",D87=""),"",SUMIFS($Q$5:$Q$404,$D$5:$D$404,D87,$C$5:$C$404,C87))</f>
        <v>0</v>
      </c>
      <c r="S87" s="38">
        <f>IF(OR(B87="",C87=""),"",IFERROR(R87/SUMIFS($Q$5:$Q$404,$C$5:$C$404,C87),""))</f>
        <v>0</v>
      </c>
      <c r="T87" s="23">
        <f>IF(K87="","",IFERROR(INDEX(Jobs!$H$5:$H$604,MATCH(K87,Jobs!$A$5:$A$604,0)),""))</f>
        <v>0</v>
      </c>
      <c r="U87" s="39">
        <f>IF(B87="","",IF(H87="","Add - how much?",IF(D87="","Add - which category?",IF(M87="No","Action - no receipt",IF(AND(H87&gt;500,F87=""),"Add - describe a large payment","OK")))))</f>
        <v>0</v>
      </c>
    </row>
    <row r="88" spans="1:21">
      <c r="A88" s="43">
        <f>IF(B88="","",ExpensePrefix&amp;TEXT(ROW()-4,"0000"))</f>
        <v>0</v>
      </c>
      <c r="C88" s="23">
        <f>IF(B88="","",TEXT(B88,"yyyy-mm"))</f>
        <v>0</v>
      </c>
      <c r="Q88" s="21">
        <f>IF(B88="","",IF(H88="",0,H88)+IF(I88="",0,I88))</f>
        <v>0</v>
      </c>
      <c r="R88" s="21">
        <f>IF(OR(B88="",D88=""),"",SUMIFS($Q$5:$Q$404,$D$5:$D$404,D88,$C$5:$C$404,C88))</f>
        <v>0</v>
      </c>
      <c r="S88" s="38">
        <f>IF(OR(B88="",C88=""),"",IFERROR(R88/SUMIFS($Q$5:$Q$404,$C$5:$C$404,C88),""))</f>
        <v>0</v>
      </c>
      <c r="T88" s="23">
        <f>IF(K88="","",IFERROR(INDEX(Jobs!$H$5:$H$604,MATCH(K88,Jobs!$A$5:$A$604,0)),""))</f>
        <v>0</v>
      </c>
      <c r="U88" s="39">
        <f>IF(B88="","",IF(H88="","Add - how much?",IF(D88="","Add - which category?",IF(M88="No","Action - no receipt",IF(AND(H88&gt;500,F88=""),"Add - describe a large payment","OK")))))</f>
        <v>0</v>
      </c>
    </row>
    <row r="89" spans="1:21">
      <c r="A89" s="43">
        <f>IF(B89="","",ExpensePrefix&amp;TEXT(ROW()-4,"0000"))</f>
        <v>0</v>
      </c>
      <c r="C89" s="23">
        <f>IF(B89="","",TEXT(B89,"yyyy-mm"))</f>
        <v>0</v>
      </c>
      <c r="Q89" s="21">
        <f>IF(B89="","",IF(H89="",0,H89)+IF(I89="",0,I89))</f>
        <v>0</v>
      </c>
      <c r="R89" s="21">
        <f>IF(OR(B89="",D89=""),"",SUMIFS($Q$5:$Q$404,$D$5:$D$404,D89,$C$5:$C$404,C89))</f>
        <v>0</v>
      </c>
      <c r="S89" s="38">
        <f>IF(OR(B89="",C89=""),"",IFERROR(R89/SUMIFS($Q$5:$Q$404,$C$5:$C$404,C89),""))</f>
        <v>0</v>
      </c>
      <c r="T89" s="23">
        <f>IF(K89="","",IFERROR(INDEX(Jobs!$H$5:$H$604,MATCH(K89,Jobs!$A$5:$A$604,0)),""))</f>
        <v>0</v>
      </c>
      <c r="U89" s="39">
        <f>IF(B89="","",IF(H89="","Add - how much?",IF(D89="","Add - which category?",IF(M89="No","Action - no receipt",IF(AND(H89&gt;500,F89=""),"Add - describe a large payment","OK")))))</f>
        <v>0</v>
      </c>
    </row>
    <row r="90" spans="1:21">
      <c r="A90" s="43">
        <f>IF(B90="","",ExpensePrefix&amp;TEXT(ROW()-4,"0000"))</f>
        <v>0</v>
      </c>
      <c r="C90" s="23">
        <f>IF(B90="","",TEXT(B90,"yyyy-mm"))</f>
        <v>0</v>
      </c>
      <c r="Q90" s="21">
        <f>IF(B90="","",IF(H90="",0,H90)+IF(I90="",0,I90))</f>
        <v>0</v>
      </c>
      <c r="R90" s="21">
        <f>IF(OR(B90="",D90=""),"",SUMIFS($Q$5:$Q$404,$D$5:$D$404,D90,$C$5:$C$404,C90))</f>
        <v>0</v>
      </c>
      <c r="S90" s="38">
        <f>IF(OR(B90="",C90=""),"",IFERROR(R90/SUMIFS($Q$5:$Q$404,$C$5:$C$404,C90),""))</f>
        <v>0</v>
      </c>
      <c r="T90" s="23">
        <f>IF(K90="","",IFERROR(INDEX(Jobs!$H$5:$H$604,MATCH(K90,Jobs!$A$5:$A$604,0)),""))</f>
        <v>0</v>
      </c>
      <c r="U90" s="39">
        <f>IF(B90="","",IF(H90="","Add - how much?",IF(D90="","Add - which category?",IF(M90="No","Action - no receipt",IF(AND(H90&gt;500,F90=""),"Add - describe a large payment","OK")))))</f>
        <v>0</v>
      </c>
    </row>
    <row r="91" spans="1:21">
      <c r="A91" s="43">
        <f>IF(B91="","",ExpensePrefix&amp;TEXT(ROW()-4,"0000"))</f>
        <v>0</v>
      </c>
      <c r="C91" s="23">
        <f>IF(B91="","",TEXT(B91,"yyyy-mm"))</f>
        <v>0</v>
      </c>
      <c r="Q91" s="21">
        <f>IF(B91="","",IF(H91="",0,H91)+IF(I91="",0,I91))</f>
        <v>0</v>
      </c>
      <c r="R91" s="21">
        <f>IF(OR(B91="",D91=""),"",SUMIFS($Q$5:$Q$404,$D$5:$D$404,D91,$C$5:$C$404,C91))</f>
        <v>0</v>
      </c>
      <c r="S91" s="38">
        <f>IF(OR(B91="",C91=""),"",IFERROR(R91/SUMIFS($Q$5:$Q$404,$C$5:$C$404,C91),""))</f>
        <v>0</v>
      </c>
      <c r="T91" s="23">
        <f>IF(K91="","",IFERROR(INDEX(Jobs!$H$5:$H$604,MATCH(K91,Jobs!$A$5:$A$604,0)),""))</f>
        <v>0</v>
      </c>
      <c r="U91" s="39">
        <f>IF(B91="","",IF(H91="","Add - how much?",IF(D91="","Add - which category?",IF(M91="No","Action - no receipt",IF(AND(H91&gt;500,F91=""),"Add - describe a large payment","OK")))))</f>
        <v>0</v>
      </c>
    </row>
    <row r="92" spans="1:21">
      <c r="A92" s="43">
        <f>IF(B92="","",ExpensePrefix&amp;TEXT(ROW()-4,"0000"))</f>
        <v>0</v>
      </c>
      <c r="C92" s="23">
        <f>IF(B92="","",TEXT(B92,"yyyy-mm"))</f>
        <v>0</v>
      </c>
      <c r="Q92" s="21">
        <f>IF(B92="","",IF(H92="",0,H92)+IF(I92="",0,I92))</f>
        <v>0</v>
      </c>
      <c r="R92" s="21">
        <f>IF(OR(B92="",D92=""),"",SUMIFS($Q$5:$Q$404,$D$5:$D$404,D92,$C$5:$C$404,C92))</f>
        <v>0</v>
      </c>
      <c r="S92" s="38">
        <f>IF(OR(B92="",C92=""),"",IFERROR(R92/SUMIFS($Q$5:$Q$404,$C$5:$C$404,C92),""))</f>
        <v>0</v>
      </c>
      <c r="T92" s="23">
        <f>IF(K92="","",IFERROR(INDEX(Jobs!$H$5:$H$604,MATCH(K92,Jobs!$A$5:$A$604,0)),""))</f>
        <v>0</v>
      </c>
      <c r="U92" s="39">
        <f>IF(B92="","",IF(H92="","Add - how much?",IF(D92="","Add - which category?",IF(M92="No","Action - no receipt",IF(AND(H92&gt;500,F92=""),"Add - describe a large payment","OK")))))</f>
        <v>0</v>
      </c>
    </row>
    <row r="93" spans="1:21">
      <c r="A93" s="43">
        <f>IF(B93="","",ExpensePrefix&amp;TEXT(ROW()-4,"0000"))</f>
        <v>0</v>
      </c>
      <c r="C93" s="23">
        <f>IF(B93="","",TEXT(B93,"yyyy-mm"))</f>
        <v>0</v>
      </c>
      <c r="Q93" s="21">
        <f>IF(B93="","",IF(H93="",0,H93)+IF(I93="",0,I93))</f>
        <v>0</v>
      </c>
      <c r="R93" s="21">
        <f>IF(OR(B93="",D93=""),"",SUMIFS($Q$5:$Q$404,$D$5:$D$404,D93,$C$5:$C$404,C93))</f>
        <v>0</v>
      </c>
      <c r="S93" s="38">
        <f>IF(OR(B93="",C93=""),"",IFERROR(R93/SUMIFS($Q$5:$Q$404,$C$5:$C$404,C93),""))</f>
        <v>0</v>
      </c>
      <c r="T93" s="23">
        <f>IF(K93="","",IFERROR(INDEX(Jobs!$H$5:$H$604,MATCH(K93,Jobs!$A$5:$A$604,0)),""))</f>
        <v>0</v>
      </c>
      <c r="U93" s="39">
        <f>IF(B93="","",IF(H93="","Add - how much?",IF(D93="","Add - which category?",IF(M93="No","Action - no receipt",IF(AND(H93&gt;500,F93=""),"Add - describe a large payment","OK")))))</f>
        <v>0</v>
      </c>
    </row>
    <row r="94" spans="1:21">
      <c r="A94" s="43">
        <f>IF(B94="","",ExpensePrefix&amp;TEXT(ROW()-4,"0000"))</f>
        <v>0</v>
      </c>
      <c r="C94" s="23">
        <f>IF(B94="","",TEXT(B94,"yyyy-mm"))</f>
        <v>0</v>
      </c>
      <c r="Q94" s="21">
        <f>IF(B94="","",IF(H94="",0,H94)+IF(I94="",0,I94))</f>
        <v>0</v>
      </c>
      <c r="R94" s="21">
        <f>IF(OR(B94="",D94=""),"",SUMIFS($Q$5:$Q$404,$D$5:$D$404,D94,$C$5:$C$404,C94))</f>
        <v>0</v>
      </c>
      <c r="S94" s="38">
        <f>IF(OR(B94="",C94=""),"",IFERROR(R94/SUMIFS($Q$5:$Q$404,$C$5:$C$404,C94),""))</f>
        <v>0</v>
      </c>
      <c r="T94" s="23">
        <f>IF(K94="","",IFERROR(INDEX(Jobs!$H$5:$H$604,MATCH(K94,Jobs!$A$5:$A$604,0)),""))</f>
        <v>0</v>
      </c>
      <c r="U94" s="39">
        <f>IF(B94="","",IF(H94="","Add - how much?",IF(D94="","Add - which category?",IF(M94="No","Action - no receipt",IF(AND(H94&gt;500,F94=""),"Add - describe a large payment","OK")))))</f>
        <v>0</v>
      </c>
    </row>
    <row r="95" spans="1:21">
      <c r="A95" s="43">
        <f>IF(B95="","",ExpensePrefix&amp;TEXT(ROW()-4,"0000"))</f>
        <v>0</v>
      </c>
      <c r="C95" s="23">
        <f>IF(B95="","",TEXT(B95,"yyyy-mm"))</f>
        <v>0</v>
      </c>
      <c r="Q95" s="21">
        <f>IF(B95="","",IF(H95="",0,H95)+IF(I95="",0,I95))</f>
        <v>0</v>
      </c>
      <c r="R95" s="21">
        <f>IF(OR(B95="",D95=""),"",SUMIFS($Q$5:$Q$404,$D$5:$D$404,D95,$C$5:$C$404,C95))</f>
        <v>0</v>
      </c>
      <c r="S95" s="38">
        <f>IF(OR(B95="",C95=""),"",IFERROR(R95/SUMIFS($Q$5:$Q$404,$C$5:$C$404,C95),""))</f>
        <v>0</v>
      </c>
      <c r="T95" s="23">
        <f>IF(K95="","",IFERROR(INDEX(Jobs!$H$5:$H$604,MATCH(K95,Jobs!$A$5:$A$604,0)),""))</f>
        <v>0</v>
      </c>
      <c r="U95" s="39">
        <f>IF(B95="","",IF(H95="","Add - how much?",IF(D95="","Add - which category?",IF(M95="No","Action - no receipt",IF(AND(H95&gt;500,F95=""),"Add - describe a large payment","OK")))))</f>
        <v>0</v>
      </c>
    </row>
    <row r="96" spans="1:21">
      <c r="A96" s="43">
        <f>IF(B96="","",ExpensePrefix&amp;TEXT(ROW()-4,"0000"))</f>
        <v>0</v>
      </c>
      <c r="C96" s="23">
        <f>IF(B96="","",TEXT(B96,"yyyy-mm"))</f>
        <v>0</v>
      </c>
      <c r="Q96" s="21">
        <f>IF(B96="","",IF(H96="",0,H96)+IF(I96="",0,I96))</f>
        <v>0</v>
      </c>
      <c r="R96" s="21">
        <f>IF(OR(B96="",D96=""),"",SUMIFS($Q$5:$Q$404,$D$5:$D$404,D96,$C$5:$C$404,C96))</f>
        <v>0</v>
      </c>
      <c r="S96" s="38">
        <f>IF(OR(B96="",C96=""),"",IFERROR(R96/SUMIFS($Q$5:$Q$404,$C$5:$C$404,C96),""))</f>
        <v>0</v>
      </c>
      <c r="T96" s="23">
        <f>IF(K96="","",IFERROR(INDEX(Jobs!$H$5:$H$604,MATCH(K96,Jobs!$A$5:$A$604,0)),""))</f>
        <v>0</v>
      </c>
      <c r="U96" s="39">
        <f>IF(B96="","",IF(H96="","Add - how much?",IF(D96="","Add - which category?",IF(M96="No","Action - no receipt",IF(AND(H96&gt;500,F96=""),"Add - describe a large payment","OK")))))</f>
        <v>0</v>
      </c>
    </row>
    <row r="97" spans="1:21">
      <c r="A97" s="43">
        <f>IF(B97="","",ExpensePrefix&amp;TEXT(ROW()-4,"0000"))</f>
        <v>0</v>
      </c>
      <c r="C97" s="23">
        <f>IF(B97="","",TEXT(B97,"yyyy-mm"))</f>
        <v>0</v>
      </c>
      <c r="Q97" s="21">
        <f>IF(B97="","",IF(H97="",0,H97)+IF(I97="",0,I97))</f>
        <v>0</v>
      </c>
      <c r="R97" s="21">
        <f>IF(OR(B97="",D97=""),"",SUMIFS($Q$5:$Q$404,$D$5:$D$404,D97,$C$5:$C$404,C97))</f>
        <v>0</v>
      </c>
      <c r="S97" s="38">
        <f>IF(OR(B97="",C97=""),"",IFERROR(R97/SUMIFS($Q$5:$Q$404,$C$5:$C$404,C97),""))</f>
        <v>0</v>
      </c>
      <c r="T97" s="23">
        <f>IF(K97="","",IFERROR(INDEX(Jobs!$H$5:$H$604,MATCH(K97,Jobs!$A$5:$A$604,0)),""))</f>
        <v>0</v>
      </c>
      <c r="U97" s="39">
        <f>IF(B97="","",IF(H97="","Add - how much?",IF(D97="","Add - which category?",IF(M97="No","Action - no receipt",IF(AND(H97&gt;500,F97=""),"Add - describe a large payment","OK")))))</f>
        <v>0</v>
      </c>
    </row>
    <row r="98" spans="1:21">
      <c r="A98" s="43">
        <f>IF(B98="","",ExpensePrefix&amp;TEXT(ROW()-4,"0000"))</f>
        <v>0</v>
      </c>
      <c r="C98" s="23">
        <f>IF(B98="","",TEXT(B98,"yyyy-mm"))</f>
        <v>0</v>
      </c>
      <c r="Q98" s="21">
        <f>IF(B98="","",IF(H98="",0,H98)+IF(I98="",0,I98))</f>
        <v>0</v>
      </c>
      <c r="R98" s="21">
        <f>IF(OR(B98="",D98=""),"",SUMIFS($Q$5:$Q$404,$D$5:$D$404,D98,$C$5:$C$404,C98))</f>
        <v>0</v>
      </c>
      <c r="S98" s="38">
        <f>IF(OR(B98="",C98=""),"",IFERROR(R98/SUMIFS($Q$5:$Q$404,$C$5:$C$404,C98),""))</f>
        <v>0</v>
      </c>
      <c r="T98" s="23">
        <f>IF(K98="","",IFERROR(INDEX(Jobs!$H$5:$H$604,MATCH(K98,Jobs!$A$5:$A$604,0)),""))</f>
        <v>0</v>
      </c>
      <c r="U98" s="39">
        <f>IF(B98="","",IF(H98="","Add - how much?",IF(D98="","Add - which category?",IF(M98="No","Action - no receipt",IF(AND(H98&gt;500,F98=""),"Add - describe a large payment","OK")))))</f>
        <v>0</v>
      </c>
    </row>
    <row r="99" spans="1:21">
      <c r="A99" s="43">
        <f>IF(B99="","",ExpensePrefix&amp;TEXT(ROW()-4,"0000"))</f>
        <v>0</v>
      </c>
      <c r="C99" s="23">
        <f>IF(B99="","",TEXT(B99,"yyyy-mm"))</f>
        <v>0</v>
      </c>
      <c r="Q99" s="21">
        <f>IF(B99="","",IF(H99="",0,H99)+IF(I99="",0,I99))</f>
        <v>0</v>
      </c>
      <c r="R99" s="21">
        <f>IF(OR(B99="",D99=""),"",SUMIFS($Q$5:$Q$404,$D$5:$D$404,D99,$C$5:$C$404,C99))</f>
        <v>0</v>
      </c>
      <c r="S99" s="38">
        <f>IF(OR(B99="",C99=""),"",IFERROR(R99/SUMIFS($Q$5:$Q$404,$C$5:$C$404,C99),""))</f>
        <v>0</v>
      </c>
      <c r="T99" s="23">
        <f>IF(K99="","",IFERROR(INDEX(Jobs!$H$5:$H$604,MATCH(K99,Jobs!$A$5:$A$604,0)),""))</f>
        <v>0</v>
      </c>
      <c r="U99" s="39">
        <f>IF(B99="","",IF(H99="","Add - how much?",IF(D99="","Add - which category?",IF(M99="No","Action - no receipt",IF(AND(H99&gt;500,F99=""),"Add - describe a large payment","OK")))))</f>
        <v>0</v>
      </c>
    </row>
    <row r="100" spans="1:21">
      <c r="A100" s="43">
        <f>IF(B100="","",ExpensePrefix&amp;TEXT(ROW()-4,"0000"))</f>
        <v>0</v>
      </c>
      <c r="C100" s="23">
        <f>IF(B100="","",TEXT(B100,"yyyy-mm"))</f>
        <v>0</v>
      </c>
      <c r="Q100" s="21">
        <f>IF(B100="","",IF(H100="",0,H100)+IF(I100="",0,I100))</f>
        <v>0</v>
      </c>
      <c r="R100" s="21">
        <f>IF(OR(B100="",D100=""),"",SUMIFS($Q$5:$Q$404,$D$5:$D$404,D100,$C$5:$C$404,C100))</f>
        <v>0</v>
      </c>
      <c r="S100" s="38">
        <f>IF(OR(B100="",C100=""),"",IFERROR(R100/SUMIFS($Q$5:$Q$404,$C$5:$C$404,C100),""))</f>
        <v>0</v>
      </c>
      <c r="T100" s="23">
        <f>IF(K100="","",IFERROR(INDEX(Jobs!$H$5:$H$604,MATCH(K100,Jobs!$A$5:$A$604,0)),""))</f>
        <v>0</v>
      </c>
      <c r="U100" s="39">
        <f>IF(B100="","",IF(H100="","Add - how much?",IF(D100="","Add - which category?",IF(M100="No","Action - no receipt",IF(AND(H100&gt;500,F100=""),"Add - describe a large payment","OK")))))</f>
        <v>0</v>
      </c>
    </row>
    <row r="101" spans="1:21">
      <c r="A101" s="43">
        <f>IF(B101="","",ExpensePrefix&amp;TEXT(ROW()-4,"0000"))</f>
        <v>0</v>
      </c>
      <c r="C101" s="23">
        <f>IF(B101="","",TEXT(B101,"yyyy-mm"))</f>
        <v>0</v>
      </c>
      <c r="Q101" s="21">
        <f>IF(B101="","",IF(H101="",0,H101)+IF(I101="",0,I101))</f>
        <v>0</v>
      </c>
      <c r="R101" s="21">
        <f>IF(OR(B101="",D101=""),"",SUMIFS($Q$5:$Q$404,$D$5:$D$404,D101,$C$5:$C$404,C101))</f>
        <v>0</v>
      </c>
      <c r="S101" s="38">
        <f>IF(OR(B101="",C101=""),"",IFERROR(R101/SUMIFS($Q$5:$Q$404,$C$5:$C$404,C101),""))</f>
        <v>0</v>
      </c>
      <c r="T101" s="23">
        <f>IF(K101="","",IFERROR(INDEX(Jobs!$H$5:$H$604,MATCH(K101,Jobs!$A$5:$A$604,0)),""))</f>
        <v>0</v>
      </c>
      <c r="U101" s="39">
        <f>IF(B101="","",IF(H101="","Add - how much?",IF(D101="","Add - which category?",IF(M101="No","Action - no receipt",IF(AND(H101&gt;500,F101=""),"Add - describe a large payment","OK")))))</f>
        <v>0</v>
      </c>
    </row>
    <row r="102" spans="1:21">
      <c r="A102" s="43">
        <f>IF(B102="","",ExpensePrefix&amp;TEXT(ROW()-4,"0000"))</f>
        <v>0</v>
      </c>
      <c r="C102" s="23">
        <f>IF(B102="","",TEXT(B102,"yyyy-mm"))</f>
        <v>0</v>
      </c>
      <c r="Q102" s="21">
        <f>IF(B102="","",IF(H102="",0,H102)+IF(I102="",0,I102))</f>
        <v>0</v>
      </c>
      <c r="R102" s="21">
        <f>IF(OR(B102="",D102=""),"",SUMIFS($Q$5:$Q$404,$D$5:$D$404,D102,$C$5:$C$404,C102))</f>
        <v>0</v>
      </c>
      <c r="S102" s="38">
        <f>IF(OR(B102="",C102=""),"",IFERROR(R102/SUMIFS($Q$5:$Q$404,$C$5:$C$404,C102),""))</f>
        <v>0</v>
      </c>
      <c r="T102" s="23">
        <f>IF(K102="","",IFERROR(INDEX(Jobs!$H$5:$H$604,MATCH(K102,Jobs!$A$5:$A$604,0)),""))</f>
        <v>0</v>
      </c>
      <c r="U102" s="39">
        <f>IF(B102="","",IF(H102="","Add - how much?",IF(D102="","Add - which category?",IF(M102="No","Action - no receipt",IF(AND(H102&gt;500,F102=""),"Add - describe a large payment","OK")))))</f>
        <v>0</v>
      </c>
    </row>
    <row r="103" spans="1:21">
      <c r="A103" s="43">
        <f>IF(B103="","",ExpensePrefix&amp;TEXT(ROW()-4,"0000"))</f>
        <v>0</v>
      </c>
      <c r="C103" s="23">
        <f>IF(B103="","",TEXT(B103,"yyyy-mm"))</f>
        <v>0</v>
      </c>
      <c r="Q103" s="21">
        <f>IF(B103="","",IF(H103="",0,H103)+IF(I103="",0,I103))</f>
        <v>0</v>
      </c>
      <c r="R103" s="21">
        <f>IF(OR(B103="",D103=""),"",SUMIFS($Q$5:$Q$404,$D$5:$D$404,D103,$C$5:$C$404,C103))</f>
        <v>0</v>
      </c>
      <c r="S103" s="38">
        <f>IF(OR(B103="",C103=""),"",IFERROR(R103/SUMIFS($Q$5:$Q$404,$C$5:$C$404,C103),""))</f>
        <v>0</v>
      </c>
      <c r="T103" s="23">
        <f>IF(K103="","",IFERROR(INDEX(Jobs!$H$5:$H$604,MATCH(K103,Jobs!$A$5:$A$604,0)),""))</f>
        <v>0</v>
      </c>
      <c r="U103" s="39">
        <f>IF(B103="","",IF(H103="","Add - how much?",IF(D103="","Add - which category?",IF(M103="No","Action - no receipt",IF(AND(H103&gt;500,F103=""),"Add - describe a large payment","OK")))))</f>
        <v>0</v>
      </c>
    </row>
    <row r="104" spans="1:21">
      <c r="A104" s="43">
        <f>IF(B104="","",ExpensePrefix&amp;TEXT(ROW()-4,"0000"))</f>
        <v>0</v>
      </c>
      <c r="C104" s="23">
        <f>IF(B104="","",TEXT(B104,"yyyy-mm"))</f>
        <v>0</v>
      </c>
      <c r="Q104" s="21">
        <f>IF(B104="","",IF(H104="",0,H104)+IF(I104="",0,I104))</f>
        <v>0</v>
      </c>
      <c r="R104" s="21">
        <f>IF(OR(B104="",D104=""),"",SUMIFS($Q$5:$Q$404,$D$5:$D$404,D104,$C$5:$C$404,C104))</f>
        <v>0</v>
      </c>
      <c r="S104" s="38">
        <f>IF(OR(B104="",C104=""),"",IFERROR(R104/SUMIFS($Q$5:$Q$404,$C$5:$C$404,C104),""))</f>
        <v>0</v>
      </c>
      <c r="T104" s="23">
        <f>IF(K104="","",IFERROR(INDEX(Jobs!$H$5:$H$604,MATCH(K104,Jobs!$A$5:$A$604,0)),""))</f>
        <v>0</v>
      </c>
      <c r="U104" s="39">
        <f>IF(B104="","",IF(H104="","Add - how much?",IF(D104="","Add - which category?",IF(M104="No","Action - no receipt",IF(AND(H104&gt;500,F104=""),"Add - describe a large payment","OK")))))</f>
        <v>0</v>
      </c>
    </row>
    <row r="105" spans="1:21">
      <c r="A105" s="43">
        <f>IF(B105="","",ExpensePrefix&amp;TEXT(ROW()-4,"0000"))</f>
        <v>0</v>
      </c>
      <c r="C105" s="23">
        <f>IF(B105="","",TEXT(B105,"yyyy-mm"))</f>
        <v>0</v>
      </c>
      <c r="Q105" s="21">
        <f>IF(B105="","",IF(H105="",0,H105)+IF(I105="",0,I105))</f>
        <v>0</v>
      </c>
      <c r="R105" s="21">
        <f>IF(OR(B105="",D105=""),"",SUMIFS($Q$5:$Q$404,$D$5:$D$404,D105,$C$5:$C$404,C105))</f>
        <v>0</v>
      </c>
      <c r="S105" s="38">
        <f>IF(OR(B105="",C105=""),"",IFERROR(R105/SUMIFS($Q$5:$Q$404,$C$5:$C$404,C105),""))</f>
        <v>0</v>
      </c>
      <c r="T105" s="23">
        <f>IF(K105="","",IFERROR(INDEX(Jobs!$H$5:$H$604,MATCH(K105,Jobs!$A$5:$A$604,0)),""))</f>
        <v>0</v>
      </c>
      <c r="U105" s="39">
        <f>IF(B105="","",IF(H105="","Add - how much?",IF(D105="","Add - which category?",IF(M105="No","Action - no receipt",IF(AND(H105&gt;500,F105=""),"Add - describe a large payment","OK")))))</f>
        <v>0</v>
      </c>
    </row>
    <row r="106" spans="1:21">
      <c r="A106" s="43">
        <f>IF(B106="","",ExpensePrefix&amp;TEXT(ROW()-4,"0000"))</f>
        <v>0</v>
      </c>
      <c r="C106" s="23">
        <f>IF(B106="","",TEXT(B106,"yyyy-mm"))</f>
        <v>0</v>
      </c>
      <c r="Q106" s="21">
        <f>IF(B106="","",IF(H106="",0,H106)+IF(I106="",0,I106))</f>
        <v>0</v>
      </c>
      <c r="R106" s="21">
        <f>IF(OR(B106="",D106=""),"",SUMIFS($Q$5:$Q$404,$D$5:$D$404,D106,$C$5:$C$404,C106))</f>
        <v>0</v>
      </c>
      <c r="S106" s="38">
        <f>IF(OR(B106="",C106=""),"",IFERROR(R106/SUMIFS($Q$5:$Q$404,$C$5:$C$404,C106),""))</f>
        <v>0</v>
      </c>
      <c r="T106" s="23">
        <f>IF(K106="","",IFERROR(INDEX(Jobs!$H$5:$H$604,MATCH(K106,Jobs!$A$5:$A$604,0)),""))</f>
        <v>0</v>
      </c>
      <c r="U106" s="39">
        <f>IF(B106="","",IF(H106="","Add - how much?",IF(D106="","Add - which category?",IF(M106="No","Action - no receipt",IF(AND(H106&gt;500,F106=""),"Add - describe a large payment","OK")))))</f>
        <v>0</v>
      </c>
    </row>
    <row r="107" spans="1:21">
      <c r="A107" s="43">
        <f>IF(B107="","",ExpensePrefix&amp;TEXT(ROW()-4,"0000"))</f>
        <v>0</v>
      </c>
      <c r="C107" s="23">
        <f>IF(B107="","",TEXT(B107,"yyyy-mm"))</f>
        <v>0</v>
      </c>
      <c r="Q107" s="21">
        <f>IF(B107="","",IF(H107="",0,H107)+IF(I107="",0,I107))</f>
        <v>0</v>
      </c>
      <c r="R107" s="21">
        <f>IF(OR(B107="",D107=""),"",SUMIFS($Q$5:$Q$404,$D$5:$D$404,D107,$C$5:$C$404,C107))</f>
        <v>0</v>
      </c>
      <c r="S107" s="38">
        <f>IF(OR(B107="",C107=""),"",IFERROR(R107/SUMIFS($Q$5:$Q$404,$C$5:$C$404,C107),""))</f>
        <v>0</v>
      </c>
      <c r="T107" s="23">
        <f>IF(K107="","",IFERROR(INDEX(Jobs!$H$5:$H$604,MATCH(K107,Jobs!$A$5:$A$604,0)),""))</f>
        <v>0</v>
      </c>
      <c r="U107" s="39">
        <f>IF(B107="","",IF(H107="","Add - how much?",IF(D107="","Add - which category?",IF(M107="No","Action - no receipt",IF(AND(H107&gt;500,F107=""),"Add - describe a large payment","OK")))))</f>
        <v>0</v>
      </c>
    </row>
    <row r="108" spans="1:21">
      <c r="A108" s="43">
        <f>IF(B108="","",ExpensePrefix&amp;TEXT(ROW()-4,"0000"))</f>
        <v>0</v>
      </c>
      <c r="C108" s="23">
        <f>IF(B108="","",TEXT(B108,"yyyy-mm"))</f>
        <v>0</v>
      </c>
      <c r="Q108" s="21">
        <f>IF(B108="","",IF(H108="",0,H108)+IF(I108="",0,I108))</f>
        <v>0</v>
      </c>
      <c r="R108" s="21">
        <f>IF(OR(B108="",D108=""),"",SUMIFS($Q$5:$Q$404,$D$5:$D$404,D108,$C$5:$C$404,C108))</f>
        <v>0</v>
      </c>
      <c r="S108" s="38">
        <f>IF(OR(B108="",C108=""),"",IFERROR(R108/SUMIFS($Q$5:$Q$404,$C$5:$C$404,C108),""))</f>
        <v>0</v>
      </c>
      <c r="T108" s="23">
        <f>IF(K108="","",IFERROR(INDEX(Jobs!$H$5:$H$604,MATCH(K108,Jobs!$A$5:$A$604,0)),""))</f>
        <v>0</v>
      </c>
      <c r="U108" s="39">
        <f>IF(B108="","",IF(H108="","Add - how much?",IF(D108="","Add - which category?",IF(M108="No","Action - no receipt",IF(AND(H108&gt;500,F108=""),"Add - describe a large payment","OK")))))</f>
        <v>0</v>
      </c>
    </row>
    <row r="109" spans="1:21">
      <c r="A109" s="43">
        <f>IF(B109="","",ExpensePrefix&amp;TEXT(ROW()-4,"0000"))</f>
        <v>0</v>
      </c>
      <c r="C109" s="23">
        <f>IF(B109="","",TEXT(B109,"yyyy-mm"))</f>
        <v>0</v>
      </c>
      <c r="Q109" s="21">
        <f>IF(B109="","",IF(H109="",0,H109)+IF(I109="",0,I109))</f>
        <v>0</v>
      </c>
      <c r="R109" s="21">
        <f>IF(OR(B109="",D109=""),"",SUMIFS($Q$5:$Q$404,$D$5:$D$404,D109,$C$5:$C$404,C109))</f>
        <v>0</v>
      </c>
      <c r="S109" s="38">
        <f>IF(OR(B109="",C109=""),"",IFERROR(R109/SUMIFS($Q$5:$Q$404,$C$5:$C$404,C109),""))</f>
        <v>0</v>
      </c>
      <c r="T109" s="23">
        <f>IF(K109="","",IFERROR(INDEX(Jobs!$H$5:$H$604,MATCH(K109,Jobs!$A$5:$A$604,0)),""))</f>
        <v>0</v>
      </c>
      <c r="U109" s="39">
        <f>IF(B109="","",IF(H109="","Add - how much?",IF(D109="","Add - which category?",IF(M109="No","Action - no receipt",IF(AND(H109&gt;500,F109=""),"Add - describe a large payment","OK")))))</f>
        <v>0</v>
      </c>
    </row>
    <row r="110" spans="1:21">
      <c r="A110" s="43">
        <f>IF(B110="","",ExpensePrefix&amp;TEXT(ROW()-4,"0000"))</f>
        <v>0</v>
      </c>
      <c r="C110" s="23">
        <f>IF(B110="","",TEXT(B110,"yyyy-mm"))</f>
        <v>0</v>
      </c>
      <c r="Q110" s="21">
        <f>IF(B110="","",IF(H110="",0,H110)+IF(I110="",0,I110))</f>
        <v>0</v>
      </c>
      <c r="R110" s="21">
        <f>IF(OR(B110="",D110=""),"",SUMIFS($Q$5:$Q$404,$D$5:$D$404,D110,$C$5:$C$404,C110))</f>
        <v>0</v>
      </c>
      <c r="S110" s="38">
        <f>IF(OR(B110="",C110=""),"",IFERROR(R110/SUMIFS($Q$5:$Q$404,$C$5:$C$404,C110),""))</f>
        <v>0</v>
      </c>
      <c r="T110" s="23">
        <f>IF(K110="","",IFERROR(INDEX(Jobs!$H$5:$H$604,MATCH(K110,Jobs!$A$5:$A$604,0)),""))</f>
        <v>0</v>
      </c>
      <c r="U110" s="39">
        <f>IF(B110="","",IF(H110="","Add - how much?",IF(D110="","Add - which category?",IF(M110="No","Action - no receipt",IF(AND(H110&gt;500,F110=""),"Add - describe a large payment","OK")))))</f>
        <v>0</v>
      </c>
    </row>
    <row r="111" spans="1:21">
      <c r="A111" s="43">
        <f>IF(B111="","",ExpensePrefix&amp;TEXT(ROW()-4,"0000"))</f>
        <v>0</v>
      </c>
      <c r="C111" s="23">
        <f>IF(B111="","",TEXT(B111,"yyyy-mm"))</f>
        <v>0</v>
      </c>
      <c r="Q111" s="21">
        <f>IF(B111="","",IF(H111="",0,H111)+IF(I111="",0,I111))</f>
        <v>0</v>
      </c>
      <c r="R111" s="21">
        <f>IF(OR(B111="",D111=""),"",SUMIFS($Q$5:$Q$404,$D$5:$D$404,D111,$C$5:$C$404,C111))</f>
        <v>0</v>
      </c>
      <c r="S111" s="38">
        <f>IF(OR(B111="",C111=""),"",IFERROR(R111/SUMIFS($Q$5:$Q$404,$C$5:$C$404,C111),""))</f>
        <v>0</v>
      </c>
      <c r="T111" s="23">
        <f>IF(K111="","",IFERROR(INDEX(Jobs!$H$5:$H$604,MATCH(K111,Jobs!$A$5:$A$604,0)),""))</f>
        <v>0</v>
      </c>
      <c r="U111" s="39">
        <f>IF(B111="","",IF(H111="","Add - how much?",IF(D111="","Add - which category?",IF(M111="No","Action - no receipt",IF(AND(H111&gt;500,F111=""),"Add - describe a large payment","OK")))))</f>
        <v>0</v>
      </c>
    </row>
    <row r="112" spans="1:21">
      <c r="A112" s="43">
        <f>IF(B112="","",ExpensePrefix&amp;TEXT(ROW()-4,"0000"))</f>
        <v>0</v>
      </c>
      <c r="C112" s="23">
        <f>IF(B112="","",TEXT(B112,"yyyy-mm"))</f>
        <v>0</v>
      </c>
      <c r="Q112" s="21">
        <f>IF(B112="","",IF(H112="",0,H112)+IF(I112="",0,I112))</f>
        <v>0</v>
      </c>
      <c r="R112" s="21">
        <f>IF(OR(B112="",D112=""),"",SUMIFS($Q$5:$Q$404,$D$5:$D$404,D112,$C$5:$C$404,C112))</f>
        <v>0</v>
      </c>
      <c r="S112" s="38">
        <f>IF(OR(B112="",C112=""),"",IFERROR(R112/SUMIFS($Q$5:$Q$404,$C$5:$C$404,C112),""))</f>
        <v>0</v>
      </c>
      <c r="T112" s="23">
        <f>IF(K112="","",IFERROR(INDEX(Jobs!$H$5:$H$604,MATCH(K112,Jobs!$A$5:$A$604,0)),""))</f>
        <v>0</v>
      </c>
      <c r="U112" s="39">
        <f>IF(B112="","",IF(H112="","Add - how much?",IF(D112="","Add - which category?",IF(M112="No","Action - no receipt",IF(AND(H112&gt;500,F112=""),"Add - describe a large payment","OK")))))</f>
        <v>0</v>
      </c>
    </row>
    <row r="113" spans="1:21">
      <c r="A113" s="43">
        <f>IF(B113="","",ExpensePrefix&amp;TEXT(ROW()-4,"0000"))</f>
        <v>0</v>
      </c>
      <c r="C113" s="23">
        <f>IF(B113="","",TEXT(B113,"yyyy-mm"))</f>
        <v>0</v>
      </c>
      <c r="Q113" s="21">
        <f>IF(B113="","",IF(H113="",0,H113)+IF(I113="",0,I113))</f>
        <v>0</v>
      </c>
      <c r="R113" s="21">
        <f>IF(OR(B113="",D113=""),"",SUMIFS($Q$5:$Q$404,$D$5:$D$404,D113,$C$5:$C$404,C113))</f>
        <v>0</v>
      </c>
      <c r="S113" s="38">
        <f>IF(OR(B113="",C113=""),"",IFERROR(R113/SUMIFS($Q$5:$Q$404,$C$5:$C$404,C113),""))</f>
        <v>0</v>
      </c>
      <c r="T113" s="23">
        <f>IF(K113="","",IFERROR(INDEX(Jobs!$H$5:$H$604,MATCH(K113,Jobs!$A$5:$A$604,0)),""))</f>
        <v>0</v>
      </c>
      <c r="U113" s="39">
        <f>IF(B113="","",IF(H113="","Add - how much?",IF(D113="","Add - which category?",IF(M113="No","Action - no receipt",IF(AND(H113&gt;500,F113=""),"Add - describe a large payment","OK")))))</f>
        <v>0</v>
      </c>
    </row>
    <row r="114" spans="1:21">
      <c r="A114" s="43">
        <f>IF(B114="","",ExpensePrefix&amp;TEXT(ROW()-4,"0000"))</f>
        <v>0</v>
      </c>
      <c r="C114" s="23">
        <f>IF(B114="","",TEXT(B114,"yyyy-mm"))</f>
        <v>0</v>
      </c>
      <c r="Q114" s="21">
        <f>IF(B114="","",IF(H114="",0,H114)+IF(I114="",0,I114))</f>
        <v>0</v>
      </c>
      <c r="R114" s="21">
        <f>IF(OR(B114="",D114=""),"",SUMIFS($Q$5:$Q$404,$D$5:$D$404,D114,$C$5:$C$404,C114))</f>
        <v>0</v>
      </c>
      <c r="S114" s="38">
        <f>IF(OR(B114="",C114=""),"",IFERROR(R114/SUMIFS($Q$5:$Q$404,$C$5:$C$404,C114),""))</f>
        <v>0</v>
      </c>
      <c r="T114" s="23">
        <f>IF(K114="","",IFERROR(INDEX(Jobs!$H$5:$H$604,MATCH(K114,Jobs!$A$5:$A$604,0)),""))</f>
        <v>0</v>
      </c>
      <c r="U114" s="39">
        <f>IF(B114="","",IF(H114="","Add - how much?",IF(D114="","Add - which category?",IF(M114="No","Action - no receipt",IF(AND(H114&gt;500,F114=""),"Add - describe a large payment","OK")))))</f>
        <v>0</v>
      </c>
    </row>
    <row r="115" spans="1:21">
      <c r="A115" s="43">
        <f>IF(B115="","",ExpensePrefix&amp;TEXT(ROW()-4,"0000"))</f>
        <v>0</v>
      </c>
      <c r="C115" s="23">
        <f>IF(B115="","",TEXT(B115,"yyyy-mm"))</f>
        <v>0</v>
      </c>
      <c r="Q115" s="21">
        <f>IF(B115="","",IF(H115="",0,H115)+IF(I115="",0,I115))</f>
        <v>0</v>
      </c>
      <c r="R115" s="21">
        <f>IF(OR(B115="",D115=""),"",SUMIFS($Q$5:$Q$404,$D$5:$D$404,D115,$C$5:$C$404,C115))</f>
        <v>0</v>
      </c>
      <c r="S115" s="38">
        <f>IF(OR(B115="",C115=""),"",IFERROR(R115/SUMIFS($Q$5:$Q$404,$C$5:$C$404,C115),""))</f>
        <v>0</v>
      </c>
      <c r="T115" s="23">
        <f>IF(K115="","",IFERROR(INDEX(Jobs!$H$5:$H$604,MATCH(K115,Jobs!$A$5:$A$604,0)),""))</f>
        <v>0</v>
      </c>
      <c r="U115" s="39">
        <f>IF(B115="","",IF(H115="","Add - how much?",IF(D115="","Add - which category?",IF(M115="No","Action - no receipt",IF(AND(H115&gt;500,F115=""),"Add - describe a large payment","OK")))))</f>
        <v>0</v>
      </c>
    </row>
    <row r="116" spans="1:21">
      <c r="A116" s="43">
        <f>IF(B116="","",ExpensePrefix&amp;TEXT(ROW()-4,"0000"))</f>
        <v>0</v>
      </c>
      <c r="C116" s="23">
        <f>IF(B116="","",TEXT(B116,"yyyy-mm"))</f>
        <v>0</v>
      </c>
      <c r="Q116" s="21">
        <f>IF(B116="","",IF(H116="",0,H116)+IF(I116="",0,I116))</f>
        <v>0</v>
      </c>
      <c r="R116" s="21">
        <f>IF(OR(B116="",D116=""),"",SUMIFS($Q$5:$Q$404,$D$5:$D$404,D116,$C$5:$C$404,C116))</f>
        <v>0</v>
      </c>
      <c r="S116" s="38">
        <f>IF(OR(B116="",C116=""),"",IFERROR(R116/SUMIFS($Q$5:$Q$404,$C$5:$C$404,C116),""))</f>
        <v>0</v>
      </c>
      <c r="T116" s="23">
        <f>IF(K116="","",IFERROR(INDEX(Jobs!$H$5:$H$604,MATCH(K116,Jobs!$A$5:$A$604,0)),""))</f>
        <v>0</v>
      </c>
      <c r="U116" s="39">
        <f>IF(B116="","",IF(H116="","Add - how much?",IF(D116="","Add - which category?",IF(M116="No","Action - no receipt",IF(AND(H116&gt;500,F116=""),"Add - describe a large payment","OK")))))</f>
        <v>0</v>
      </c>
    </row>
    <row r="117" spans="1:21">
      <c r="A117" s="43">
        <f>IF(B117="","",ExpensePrefix&amp;TEXT(ROW()-4,"0000"))</f>
        <v>0</v>
      </c>
      <c r="C117" s="23">
        <f>IF(B117="","",TEXT(B117,"yyyy-mm"))</f>
        <v>0</v>
      </c>
      <c r="Q117" s="21">
        <f>IF(B117="","",IF(H117="",0,H117)+IF(I117="",0,I117))</f>
        <v>0</v>
      </c>
      <c r="R117" s="21">
        <f>IF(OR(B117="",D117=""),"",SUMIFS($Q$5:$Q$404,$D$5:$D$404,D117,$C$5:$C$404,C117))</f>
        <v>0</v>
      </c>
      <c r="S117" s="38">
        <f>IF(OR(B117="",C117=""),"",IFERROR(R117/SUMIFS($Q$5:$Q$404,$C$5:$C$404,C117),""))</f>
        <v>0</v>
      </c>
      <c r="T117" s="23">
        <f>IF(K117="","",IFERROR(INDEX(Jobs!$H$5:$H$604,MATCH(K117,Jobs!$A$5:$A$604,0)),""))</f>
        <v>0</v>
      </c>
      <c r="U117" s="39">
        <f>IF(B117="","",IF(H117="","Add - how much?",IF(D117="","Add - which category?",IF(M117="No","Action - no receipt",IF(AND(H117&gt;500,F117=""),"Add - describe a large payment","OK")))))</f>
        <v>0</v>
      </c>
    </row>
    <row r="118" spans="1:21">
      <c r="A118" s="43">
        <f>IF(B118="","",ExpensePrefix&amp;TEXT(ROW()-4,"0000"))</f>
        <v>0</v>
      </c>
      <c r="C118" s="23">
        <f>IF(B118="","",TEXT(B118,"yyyy-mm"))</f>
        <v>0</v>
      </c>
      <c r="Q118" s="21">
        <f>IF(B118="","",IF(H118="",0,H118)+IF(I118="",0,I118))</f>
        <v>0</v>
      </c>
      <c r="R118" s="21">
        <f>IF(OR(B118="",D118=""),"",SUMIFS($Q$5:$Q$404,$D$5:$D$404,D118,$C$5:$C$404,C118))</f>
        <v>0</v>
      </c>
      <c r="S118" s="38">
        <f>IF(OR(B118="",C118=""),"",IFERROR(R118/SUMIFS($Q$5:$Q$404,$C$5:$C$404,C118),""))</f>
        <v>0</v>
      </c>
      <c r="T118" s="23">
        <f>IF(K118="","",IFERROR(INDEX(Jobs!$H$5:$H$604,MATCH(K118,Jobs!$A$5:$A$604,0)),""))</f>
        <v>0</v>
      </c>
      <c r="U118" s="39">
        <f>IF(B118="","",IF(H118="","Add - how much?",IF(D118="","Add - which category?",IF(M118="No","Action - no receipt",IF(AND(H118&gt;500,F118=""),"Add - describe a large payment","OK")))))</f>
        <v>0</v>
      </c>
    </row>
    <row r="119" spans="1:21">
      <c r="A119" s="43">
        <f>IF(B119="","",ExpensePrefix&amp;TEXT(ROW()-4,"0000"))</f>
        <v>0</v>
      </c>
      <c r="C119" s="23">
        <f>IF(B119="","",TEXT(B119,"yyyy-mm"))</f>
        <v>0</v>
      </c>
      <c r="Q119" s="21">
        <f>IF(B119="","",IF(H119="",0,H119)+IF(I119="",0,I119))</f>
        <v>0</v>
      </c>
      <c r="R119" s="21">
        <f>IF(OR(B119="",D119=""),"",SUMIFS($Q$5:$Q$404,$D$5:$D$404,D119,$C$5:$C$404,C119))</f>
        <v>0</v>
      </c>
      <c r="S119" s="38">
        <f>IF(OR(B119="",C119=""),"",IFERROR(R119/SUMIFS($Q$5:$Q$404,$C$5:$C$404,C119),""))</f>
        <v>0</v>
      </c>
      <c r="T119" s="23">
        <f>IF(K119="","",IFERROR(INDEX(Jobs!$H$5:$H$604,MATCH(K119,Jobs!$A$5:$A$604,0)),""))</f>
        <v>0</v>
      </c>
      <c r="U119" s="39">
        <f>IF(B119="","",IF(H119="","Add - how much?",IF(D119="","Add - which category?",IF(M119="No","Action - no receipt",IF(AND(H119&gt;500,F119=""),"Add - describe a large payment","OK")))))</f>
        <v>0</v>
      </c>
    </row>
    <row r="120" spans="1:21">
      <c r="A120" s="43">
        <f>IF(B120="","",ExpensePrefix&amp;TEXT(ROW()-4,"0000"))</f>
        <v>0</v>
      </c>
      <c r="C120" s="23">
        <f>IF(B120="","",TEXT(B120,"yyyy-mm"))</f>
        <v>0</v>
      </c>
      <c r="Q120" s="21">
        <f>IF(B120="","",IF(H120="",0,H120)+IF(I120="",0,I120))</f>
        <v>0</v>
      </c>
      <c r="R120" s="21">
        <f>IF(OR(B120="",D120=""),"",SUMIFS($Q$5:$Q$404,$D$5:$D$404,D120,$C$5:$C$404,C120))</f>
        <v>0</v>
      </c>
      <c r="S120" s="38">
        <f>IF(OR(B120="",C120=""),"",IFERROR(R120/SUMIFS($Q$5:$Q$404,$C$5:$C$404,C120),""))</f>
        <v>0</v>
      </c>
      <c r="T120" s="23">
        <f>IF(K120="","",IFERROR(INDEX(Jobs!$H$5:$H$604,MATCH(K120,Jobs!$A$5:$A$604,0)),""))</f>
        <v>0</v>
      </c>
      <c r="U120" s="39">
        <f>IF(B120="","",IF(H120="","Add - how much?",IF(D120="","Add - which category?",IF(M120="No","Action - no receipt",IF(AND(H120&gt;500,F120=""),"Add - describe a large payment","OK")))))</f>
        <v>0</v>
      </c>
    </row>
    <row r="121" spans="1:21">
      <c r="A121" s="43">
        <f>IF(B121="","",ExpensePrefix&amp;TEXT(ROW()-4,"0000"))</f>
        <v>0</v>
      </c>
      <c r="C121" s="23">
        <f>IF(B121="","",TEXT(B121,"yyyy-mm"))</f>
        <v>0</v>
      </c>
      <c r="Q121" s="21">
        <f>IF(B121="","",IF(H121="",0,H121)+IF(I121="",0,I121))</f>
        <v>0</v>
      </c>
      <c r="R121" s="21">
        <f>IF(OR(B121="",D121=""),"",SUMIFS($Q$5:$Q$404,$D$5:$D$404,D121,$C$5:$C$404,C121))</f>
        <v>0</v>
      </c>
      <c r="S121" s="38">
        <f>IF(OR(B121="",C121=""),"",IFERROR(R121/SUMIFS($Q$5:$Q$404,$C$5:$C$404,C121),""))</f>
        <v>0</v>
      </c>
      <c r="T121" s="23">
        <f>IF(K121="","",IFERROR(INDEX(Jobs!$H$5:$H$604,MATCH(K121,Jobs!$A$5:$A$604,0)),""))</f>
        <v>0</v>
      </c>
      <c r="U121" s="39">
        <f>IF(B121="","",IF(H121="","Add - how much?",IF(D121="","Add - which category?",IF(M121="No","Action - no receipt",IF(AND(H121&gt;500,F121=""),"Add - describe a large payment","OK")))))</f>
        <v>0</v>
      </c>
    </row>
    <row r="122" spans="1:21">
      <c r="A122" s="43">
        <f>IF(B122="","",ExpensePrefix&amp;TEXT(ROW()-4,"0000"))</f>
        <v>0</v>
      </c>
      <c r="C122" s="23">
        <f>IF(B122="","",TEXT(B122,"yyyy-mm"))</f>
        <v>0</v>
      </c>
      <c r="Q122" s="21">
        <f>IF(B122="","",IF(H122="",0,H122)+IF(I122="",0,I122))</f>
        <v>0</v>
      </c>
      <c r="R122" s="21">
        <f>IF(OR(B122="",D122=""),"",SUMIFS($Q$5:$Q$404,$D$5:$D$404,D122,$C$5:$C$404,C122))</f>
        <v>0</v>
      </c>
      <c r="S122" s="38">
        <f>IF(OR(B122="",C122=""),"",IFERROR(R122/SUMIFS($Q$5:$Q$404,$C$5:$C$404,C122),""))</f>
        <v>0</v>
      </c>
      <c r="T122" s="23">
        <f>IF(K122="","",IFERROR(INDEX(Jobs!$H$5:$H$604,MATCH(K122,Jobs!$A$5:$A$604,0)),""))</f>
        <v>0</v>
      </c>
      <c r="U122" s="39">
        <f>IF(B122="","",IF(H122="","Add - how much?",IF(D122="","Add - which category?",IF(M122="No","Action - no receipt",IF(AND(H122&gt;500,F122=""),"Add - describe a large payment","OK")))))</f>
        <v>0</v>
      </c>
    </row>
    <row r="123" spans="1:21">
      <c r="A123" s="43">
        <f>IF(B123="","",ExpensePrefix&amp;TEXT(ROW()-4,"0000"))</f>
        <v>0</v>
      </c>
      <c r="C123" s="23">
        <f>IF(B123="","",TEXT(B123,"yyyy-mm"))</f>
        <v>0</v>
      </c>
      <c r="Q123" s="21">
        <f>IF(B123="","",IF(H123="",0,H123)+IF(I123="",0,I123))</f>
        <v>0</v>
      </c>
      <c r="R123" s="21">
        <f>IF(OR(B123="",D123=""),"",SUMIFS($Q$5:$Q$404,$D$5:$D$404,D123,$C$5:$C$404,C123))</f>
        <v>0</v>
      </c>
      <c r="S123" s="38">
        <f>IF(OR(B123="",C123=""),"",IFERROR(R123/SUMIFS($Q$5:$Q$404,$C$5:$C$404,C123),""))</f>
        <v>0</v>
      </c>
      <c r="T123" s="23">
        <f>IF(K123="","",IFERROR(INDEX(Jobs!$H$5:$H$604,MATCH(K123,Jobs!$A$5:$A$604,0)),""))</f>
        <v>0</v>
      </c>
      <c r="U123" s="39">
        <f>IF(B123="","",IF(H123="","Add - how much?",IF(D123="","Add - which category?",IF(M123="No","Action - no receipt",IF(AND(H123&gt;500,F123=""),"Add - describe a large payment","OK")))))</f>
        <v>0</v>
      </c>
    </row>
    <row r="124" spans="1:21">
      <c r="A124" s="43">
        <f>IF(B124="","",ExpensePrefix&amp;TEXT(ROW()-4,"0000"))</f>
        <v>0</v>
      </c>
      <c r="C124" s="23">
        <f>IF(B124="","",TEXT(B124,"yyyy-mm"))</f>
        <v>0</v>
      </c>
      <c r="Q124" s="21">
        <f>IF(B124="","",IF(H124="",0,H124)+IF(I124="",0,I124))</f>
        <v>0</v>
      </c>
      <c r="R124" s="21">
        <f>IF(OR(B124="",D124=""),"",SUMIFS($Q$5:$Q$404,$D$5:$D$404,D124,$C$5:$C$404,C124))</f>
        <v>0</v>
      </c>
      <c r="S124" s="38">
        <f>IF(OR(B124="",C124=""),"",IFERROR(R124/SUMIFS($Q$5:$Q$404,$C$5:$C$404,C124),""))</f>
        <v>0</v>
      </c>
      <c r="T124" s="23">
        <f>IF(K124="","",IFERROR(INDEX(Jobs!$H$5:$H$604,MATCH(K124,Jobs!$A$5:$A$604,0)),""))</f>
        <v>0</v>
      </c>
      <c r="U124" s="39">
        <f>IF(B124="","",IF(H124="","Add - how much?",IF(D124="","Add - which category?",IF(M124="No","Action - no receipt",IF(AND(H124&gt;500,F124=""),"Add - describe a large payment","OK")))))</f>
        <v>0</v>
      </c>
    </row>
    <row r="125" spans="1:21">
      <c r="A125" s="43">
        <f>IF(B125="","",ExpensePrefix&amp;TEXT(ROW()-4,"0000"))</f>
        <v>0</v>
      </c>
      <c r="C125" s="23">
        <f>IF(B125="","",TEXT(B125,"yyyy-mm"))</f>
        <v>0</v>
      </c>
      <c r="Q125" s="21">
        <f>IF(B125="","",IF(H125="",0,H125)+IF(I125="",0,I125))</f>
        <v>0</v>
      </c>
      <c r="R125" s="21">
        <f>IF(OR(B125="",D125=""),"",SUMIFS($Q$5:$Q$404,$D$5:$D$404,D125,$C$5:$C$404,C125))</f>
        <v>0</v>
      </c>
      <c r="S125" s="38">
        <f>IF(OR(B125="",C125=""),"",IFERROR(R125/SUMIFS($Q$5:$Q$404,$C$5:$C$404,C125),""))</f>
        <v>0</v>
      </c>
      <c r="T125" s="23">
        <f>IF(K125="","",IFERROR(INDEX(Jobs!$H$5:$H$604,MATCH(K125,Jobs!$A$5:$A$604,0)),""))</f>
        <v>0</v>
      </c>
      <c r="U125" s="39">
        <f>IF(B125="","",IF(H125="","Add - how much?",IF(D125="","Add - which category?",IF(M125="No","Action - no receipt",IF(AND(H125&gt;500,F125=""),"Add - describe a large payment","OK")))))</f>
        <v>0</v>
      </c>
    </row>
    <row r="126" spans="1:21">
      <c r="A126" s="43">
        <f>IF(B126="","",ExpensePrefix&amp;TEXT(ROW()-4,"0000"))</f>
        <v>0</v>
      </c>
      <c r="C126" s="23">
        <f>IF(B126="","",TEXT(B126,"yyyy-mm"))</f>
        <v>0</v>
      </c>
      <c r="Q126" s="21">
        <f>IF(B126="","",IF(H126="",0,H126)+IF(I126="",0,I126))</f>
        <v>0</v>
      </c>
      <c r="R126" s="21">
        <f>IF(OR(B126="",D126=""),"",SUMIFS($Q$5:$Q$404,$D$5:$D$404,D126,$C$5:$C$404,C126))</f>
        <v>0</v>
      </c>
      <c r="S126" s="38">
        <f>IF(OR(B126="",C126=""),"",IFERROR(R126/SUMIFS($Q$5:$Q$404,$C$5:$C$404,C126),""))</f>
        <v>0</v>
      </c>
      <c r="T126" s="23">
        <f>IF(K126="","",IFERROR(INDEX(Jobs!$H$5:$H$604,MATCH(K126,Jobs!$A$5:$A$604,0)),""))</f>
        <v>0</v>
      </c>
      <c r="U126" s="39">
        <f>IF(B126="","",IF(H126="","Add - how much?",IF(D126="","Add - which category?",IF(M126="No","Action - no receipt",IF(AND(H126&gt;500,F126=""),"Add - describe a large payment","OK")))))</f>
        <v>0</v>
      </c>
    </row>
    <row r="127" spans="1:21">
      <c r="A127" s="43">
        <f>IF(B127="","",ExpensePrefix&amp;TEXT(ROW()-4,"0000"))</f>
        <v>0</v>
      </c>
      <c r="C127" s="23">
        <f>IF(B127="","",TEXT(B127,"yyyy-mm"))</f>
        <v>0</v>
      </c>
      <c r="Q127" s="21">
        <f>IF(B127="","",IF(H127="",0,H127)+IF(I127="",0,I127))</f>
        <v>0</v>
      </c>
      <c r="R127" s="21">
        <f>IF(OR(B127="",D127=""),"",SUMIFS($Q$5:$Q$404,$D$5:$D$404,D127,$C$5:$C$404,C127))</f>
        <v>0</v>
      </c>
      <c r="S127" s="38">
        <f>IF(OR(B127="",C127=""),"",IFERROR(R127/SUMIFS($Q$5:$Q$404,$C$5:$C$404,C127),""))</f>
        <v>0</v>
      </c>
      <c r="T127" s="23">
        <f>IF(K127="","",IFERROR(INDEX(Jobs!$H$5:$H$604,MATCH(K127,Jobs!$A$5:$A$604,0)),""))</f>
        <v>0</v>
      </c>
      <c r="U127" s="39">
        <f>IF(B127="","",IF(H127="","Add - how much?",IF(D127="","Add - which category?",IF(M127="No","Action - no receipt",IF(AND(H127&gt;500,F127=""),"Add - describe a large payment","OK")))))</f>
        <v>0</v>
      </c>
    </row>
    <row r="128" spans="1:21">
      <c r="A128" s="43">
        <f>IF(B128="","",ExpensePrefix&amp;TEXT(ROW()-4,"0000"))</f>
        <v>0</v>
      </c>
      <c r="C128" s="23">
        <f>IF(B128="","",TEXT(B128,"yyyy-mm"))</f>
        <v>0</v>
      </c>
      <c r="Q128" s="21">
        <f>IF(B128="","",IF(H128="",0,H128)+IF(I128="",0,I128))</f>
        <v>0</v>
      </c>
      <c r="R128" s="21">
        <f>IF(OR(B128="",D128=""),"",SUMIFS($Q$5:$Q$404,$D$5:$D$404,D128,$C$5:$C$404,C128))</f>
        <v>0</v>
      </c>
      <c r="S128" s="38">
        <f>IF(OR(B128="",C128=""),"",IFERROR(R128/SUMIFS($Q$5:$Q$404,$C$5:$C$404,C128),""))</f>
        <v>0</v>
      </c>
      <c r="T128" s="23">
        <f>IF(K128="","",IFERROR(INDEX(Jobs!$H$5:$H$604,MATCH(K128,Jobs!$A$5:$A$604,0)),""))</f>
        <v>0</v>
      </c>
      <c r="U128" s="39">
        <f>IF(B128="","",IF(H128="","Add - how much?",IF(D128="","Add - which category?",IF(M128="No","Action - no receipt",IF(AND(H128&gt;500,F128=""),"Add - describe a large payment","OK")))))</f>
        <v>0</v>
      </c>
    </row>
    <row r="129" spans="1:21">
      <c r="A129" s="43">
        <f>IF(B129="","",ExpensePrefix&amp;TEXT(ROW()-4,"0000"))</f>
        <v>0</v>
      </c>
      <c r="C129" s="23">
        <f>IF(B129="","",TEXT(B129,"yyyy-mm"))</f>
        <v>0</v>
      </c>
      <c r="Q129" s="21">
        <f>IF(B129="","",IF(H129="",0,H129)+IF(I129="",0,I129))</f>
        <v>0</v>
      </c>
      <c r="R129" s="21">
        <f>IF(OR(B129="",D129=""),"",SUMIFS($Q$5:$Q$404,$D$5:$D$404,D129,$C$5:$C$404,C129))</f>
        <v>0</v>
      </c>
      <c r="S129" s="38">
        <f>IF(OR(B129="",C129=""),"",IFERROR(R129/SUMIFS($Q$5:$Q$404,$C$5:$C$404,C129),""))</f>
        <v>0</v>
      </c>
      <c r="T129" s="23">
        <f>IF(K129="","",IFERROR(INDEX(Jobs!$H$5:$H$604,MATCH(K129,Jobs!$A$5:$A$604,0)),""))</f>
        <v>0</v>
      </c>
      <c r="U129" s="39">
        <f>IF(B129="","",IF(H129="","Add - how much?",IF(D129="","Add - which category?",IF(M129="No","Action - no receipt",IF(AND(H129&gt;500,F129=""),"Add - describe a large payment","OK")))))</f>
        <v>0</v>
      </c>
    </row>
    <row r="130" spans="1:21">
      <c r="A130" s="43">
        <f>IF(B130="","",ExpensePrefix&amp;TEXT(ROW()-4,"0000"))</f>
        <v>0</v>
      </c>
      <c r="C130" s="23">
        <f>IF(B130="","",TEXT(B130,"yyyy-mm"))</f>
        <v>0</v>
      </c>
      <c r="Q130" s="21">
        <f>IF(B130="","",IF(H130="",0,H130)+IF(I130="",0,I130))</f>
        <v>0</v>
      </c>
      <c r="R130" s="21">
        <f>IF(OR(B130="",D130=""),"",SUMIFS($Q$5:$Q$404,$D$5:$D$404,D130,$C$5:$C$404,C130))</f>
        <v>0</v>
      </c>
      <c r="S130" s="38">
        <f>IF(OR(B130="",C130=""),"",IFERROR(R130/SUMIFS($Q$5:$Q$404,$C$5:$C$404,C130),""))</f>
        <v>0</v>
      </c>
      <c r="T130" s="23">
        <f>IF(K130="","",IFERROR(INDEX(Jobs!$H$5:$H$604,MATCH(K130,Jobs!$A$5:$A$604,0)),""))</f>
        <v>0</v>
      </c>
      <c r="U130" s="39">
        <f>IF(B130="","",IF(H130="","Add - how much?",IF(D130="","Add - which category?",IF(M130="No","Action - no receipt",IF(AND(H130&gt;500,F130=""),"Add - describe a large payment","OK")))))</f>
        <v>0</v>
      </c>
    </row>
    <row r="131" spans="1:21">
      <c r="A131" s="43">
        <f>IF(B131="","",ExpensePrefix&amp;TEXT(ROW()-4,"0000"))</f>
        <v>0</v>
      </c>
      <c r="C131" s="23">
        <f>IF(B131="","",TEXT(B131,"yyyy-mm"))</f>
        <v>0</v>
      </c>
      <c r="Q131" s="21">
        <f>IF(B131="","",IF(H131="",0,H131)+IF(I131="",0,I131))</f>
        <v>0</v>
      </c>
      <c r="R131" s="21">
        <f>IF(OR(B131="",D131=""),"",SUMIFS($Q$5:$Q$404,$D$5:$D$404,D131,$C$5:$C$404,C131))</f>
        <v>0</v>
      </c>
      <c r="S131" s="38">
        <f>IF(OR(B131="",C131=""),"",IFERROR(R131/SUMIFS($Q$5:$Q$404,$C$5:$C$404,C131),""))</f>
        <v>0</v>
      </c>
      <c r="T131" s="23">
        <f>IF(K131="","",IFERROR(INDEX(Jobs!$H$5:$H$604,MATCH(K131,Jobs!$A$5:$A$604,0)),""))</f>
        <v>0</v>
      </c>
      <c r="U131" s="39">
        <f>IF(B131="","",IF(H131="","Add - how much?",IF(D131="","Add - which category?",IF(M131="No","Action - no receipt",IF(AND(H131&gt;500,F131=""),"Add - describe a large payment","OK")))))</f>
        <v>0</v>
      </c>
    </row>
    <row r="132" spans="1:21">
      <c r="A132" s="43">
        <f>IF(B132="","",ExpensePrefix&amp;TEXT(ROW()-4,"0000"))</f>
        <v>0</v>
      </c>
      <c r="C132" s="23">
        <f>IF(B132="","",TEXT(B132,"yyyy-mm"))</f>
        <v>0</v>
      </c>
      <c r="Q132" s="21">
        <f>IF(B132="","",IF(H132="",0,H132)+IF(I132="",0,I132))</f>
        <v>0</v>
      </c>
      <c r="R132" s="21">
        <f>IF(OR(B132="",D132=""),"",SUMIFS($Q$5:$Q$404,$D$5:$D$404,D132,$C$5:$C$404,C132))</f>
        <v>0</v>
      </c>
      <c r="S132" s="38">
        <f>IF(OR(B132="",C132=""),"",IFERROR(R132/SUMIFS($Q$5:$Q$404,$C$5:$C$404,C132),""))</f>
        <v>0</v>
      </c>
      <c r="T132" s="23">
        <f>IF(K132="","",IFERROR(INDEX(Jobs!$H$5:$H$604,MATCH(K132,Jobs!$A$5:$A$604,0)),""))</f>
        <v>0</v>
      </c>
      <c r="U132" s="39">
        <f>IF(B132="","",IF(H132="","Add - how much?",IF(D132="","Add - which category?",IF(M132="No","Action - no receipt",IF(AND(H132&gt;500,F132=""),"Add - describe a large payment","OK")))))</f>
        <v>0</v>
      </c>
    </row>
    <row r="133" spans="1:21">
      <c r="A133" s="43">
        <f>IF(B133="","",ExpensePrefix&amp;TEXT(ROW()-4,"0000"))</f>
        <v>0</v>
      </c>
      <c r="C133" s="23">
        <f>IF(B133="","",TEXT(B133,"yyyy-mm"))</f>
        <v>0</v>
      </c>
      <c r="Q133" s="21">
        <f>IF(B133="","",IF(H133="",0,H133)+IF(I133="",0,I133))</f>
        <v>0</v>
      </c>
      <c r="R133" s="21">
        <f>IF(OR(B133="",D133=""),"",SUMIFS($Q$5:$Q$404,$D$5:$D$404,D133,$C$5:$C$404,C133))</f>
        <v>0</v>
      </c>
      <c r="S133" s="38">
        <f>IF(OR(B133="",C133=""),"",IFERROR(R133/SUMIFS($Q$5:$Q$404,$C$5:$C$404,C133),""))</f>
        <v>0</v>
      </c>
      <c r="T133" s="23">
        <f>IF(K133="","",IFERROR(INDEX(Jobs!$H$5:$H$604,MATCH(K133,Jobs!$A$5:$A$604,0)),""))</f>
        <v>0</v>
      </c>
      <c r="U133" s="39">
        <f>IF(B133="","",IF(H133="","Add - how much?",IF(D133="","Add - which category?",IF(M133="No","Action - no receipt",IF(AND(H133&gt;500,F133=""),"Add - describe a large payment","OK")))))</f>
        <v>0</v>
      </c>
    </row>
    <row r="134" spans="1:21">
      <c r="A134" s="43">
        <f>IF(B134="","",ExpensePrefix&amp;TEXT(ROW()-4,"0000"))</f>
        <v>0</v>
      </c>
      <c r="C134" s="23">
        <f>IF(B134="","",TEXT(B134,"yyyy-mm"))</f>
        <v>0</v>
      </c>
      <c r="Q134" s="21">
        <f>IF(B134="","",IF(H134="",0,H134)+IF(I134="",0,I134))</f>
        <v>0</v>
      </c>
      <c r="R134" s="21">
        <f>IF(OR(B134="",D134=""),"",SUMIFS($Q$5:$Q$404,$D$5:$D$404,D134,$C$5:$C$404,C134))</f>
        <v>0</v>
      </c>
      <c r="S134" s="38">
        <f>IF(OR(B134="",C134=""),"",IFERROR(R134/SUMIFS($Q$5:$Q$404,$C$5:$C$404,C134),""))</f>
        <v>0</v>
      </c>
      <c r="T134" s="23">
        <f>IF(K134="","",IFERROR(INDEX(Jobs!$H$5:$H$604,MATCH(K134,Jobs!$A$5:$A$604,0)),""))</f>
        <v>0</v>
      </c>
      <c r="U134" s="39">
        <f>IF(B134="","",IF(H134="","Add - how much?",IF(D134="","Add - which category?",IF(M134="No","Action - no receipt",IF(AND(H134&gt;500,F134=""),"Add - describe a large payment","OK")))))</f>
        <v>0</v>
      </c>
    </row>
    <row r="135" spans="1:21">
      <c r="A135" s="43">
        <f>IF(B135="","",ExpensePrefix&amp;TEXT(ROW()-4,"0000"))</f>
        <v>0</v>
      </c>
      <c r="C135" s="23">
        <f>IF(B135="","",TEXT(B135,"yyyy-mm"))</f>
        <v>0</v>
      </c>
      <c r="Q135" s="21">
        <f>IF(B135="","",IF(H135="",0,H135)+IF(I135="",0,I135))</f>
        <v>0</v>
      </c>
      <c r="R135" s="21">
        <f>IF(OR(B135="",D135=""),"",SUMIFS($Q$5:$Q$404,$D$5:$D$404,D135,$C$5:$C$404,C135))</f>
        <v>0</v>
      </c>
      <c r="S135" s="38">
        <f>IF(OR(B135="",C135=""),"",IFERROR(R135/SUMIFS($Q$5:$Q$404,$C$5:$C$404,C135),""))</f>
        <v>0</v>
      </c>
      <c r="T135" s="23">
        <f>IF(K135="","",IFERROR(INDEX(Jobs!$H$5:$H$604,MATCH(K135,Jobs!$A$5:$A$604,0)),""))</f>
        <v>0</v>
      </c>
      <c r="U135" s="39">
        <f>IF(B135="","",IF(H135="","Add - how much?",IF(D135="","Add - which category?",IF(M135="No","Action - no receipt",IF(AND(H135&gt;500,F135=""),"Add - describe a large payment","OK")))))</f>
        <v>0</v>
      </c>
    </row>
    <row r="136" spans="1:21">
      <c r="A136" s="43">
        <f>IF(B136="","",ExpensePrefix&amp;TEXT(ROW()-4,"0000"))</f>
        <v>0</v>
      </c>
      <c r="C136" s="23">
        <f>IF(B136="","",TEXT(B136,"yyyy-mm"))</f>
        <v>0</v>
      </c>
      <c r="Q136" s="21">
        <f>IF(B136="","",IF(H136="",0,H136)+IF(I136="",0,I136))</f>
        <v>0</v>
      </c>
      <c r="R136" s="21">
        <f>IF(OR(B136="",D136=""),"",SUMIFS($Q$5:$Q$404,$D$5:$D$404,D136,$C$5:$C$404,C136))</f>
        <v>0</v>
      </c>
      <c r="S136" s="38">
        <f>IF(OR(B136="",C136=""),"",IFERROR(R136/SUMIFS($Q$5:$Q$404,$C$5:$C$404,C136),""))</f>
        <v>0</v>
      </c>
      <c r="T136" s="23">
        <f>IF(K136="","",IFERROR(INDEX(Jobs!$H$5:$H$604,MATCH(K136,Jobs!$A$5:$A$604,0)),""))</f>
        <v>0</v>
      </c>
      <c r="U136" s="39">
        <f>IF(B136="","",IF(H136="","Add - how much?",IF(D136="","Add - which category?",IF(M136="No","Action - no receipt",IF(AND(H136&gt;500,F136=""),"Add - describe a large payment","OK")))))</f>
        <v>0</v>
      </c>
    </row>
    <row r="137" spans="1:21">
      <c r="A137" s="43">
        <f>IF(B137="","",ExpensePrefix&amp;TEXT(ROW()-4,"0000"))</f>
        <v>0</v>
      </c>
      <c r="C137" s="23">
        <f>IF(B137="","",TEXT(B137,"yyyy-mm"))</f>
        <v>0</v>
      </c>
      <c r="Q137" s="21">
        <f>IF(B137="","",IF(H137="",0,H137)+IF(I137="",0,I137))</f>
        <v>0</v>
      </c>
      <c r="R137" s="21">
        <f>IF(OR(B137="",D137=""),"",SUMIFS($Q$5:$Q$404,$D$5:$D$404,D137,$C$5:$C$404,C137))</f>
        <v>0</v>
      </c>
      <c r="S137" s="38">
        <f>IF(OR(B137="",C137=""),"",IFERROR(R137/SUMIFS($Q$5:$Q$404,$C$5:$C$404,C137),""))</f>
        <v>0</v>
      </c>
      <c r="T137" s="23">
        <f>IF(K137="","",IFERROR(INDEX(Jobs!$H$5:$H$604,MATCH(K137,Jobs!$A$5:$A$604,0)),""))</f>
        <v>0</v>
      </c>
      <c r="U137" s="39">
        <f>IF(B137="","",IF(H137="","Add - how much?",IF(D137="","Add - which category?",IF(M137="No","Action - no receipt",IF(AND(H137&gt;500,F137=""),"Add - describe a large payment","OK")))))</f>
        <v>0</v>
      </c>
    </row>
    <row r="138" spans="1:21">
      <c r="A138" s="43">
        <f>IF(B138="","",ExpensePrefix&amp;TEXT(ROW()-4,"0000"))</f>
        <v>0</v>
      </c>
      <c r="C138" s="23">
        <f>IF(B138="","",TEXT(B138,"yyyy-mm"))</f>
        <v>0</v>
      </c>
      <c r="Q138" s="21">
        <f>IF(B138="","",IF(H138="",0,H138)+IF(I138="",0,I138))</f>
        <v>0</v>
      </c>
      <c r="R138" s="21">
        <f>IF(OR(B138="",D138=""),"",SUMIFS($Q$5:$Q$404,$D$5:$D$404,D138,$C$5:$C$404,C138))</f>
        <v>0</v>
      </c>
      <c r="S138" s="38">
        <f>IF(OR(B138="",C138=""),"",IFERROR(R138/SUMIFS($Q$5:$Q$404,$C$5:$C$404,C138),""))</f>
        <v>0</v>
      </c>
      <c r="T138" s="23">
        <f>IF(K138="","",IFERROR(INDEX(Jobs!$H$5:$H$604,MATCH(K138,Jobs!$A$5:$A$604,0)),""))</f>
        <v>0</v>
      </c>
      <c r="U138" s="39">
        <f>IF(B138="","",IF(H138="","Add - how much?",IF(D138="","Add - which category?",IF(M138="No","Action - no receipt",IF(AND(H138&gt;500,F138=""),"Add - describe a large payment","OK")))))</f>
        <v>0</v>
      </c>
    </row>
    <row r="139" spans="1:21">
      <c r="A139" s="43">
        <f>IF(B139="","",ExpensePrefix&amp;TEXT(ROW()-4,"0000"))</f>
        <v>0</v>
      </c>
      <c r="C139" s="23">
        <f>IF(B139="","",TEXT(B139,"yyyy-mm"))</f>
        <v>0</v>
      </c>
      <c r="Q139" s="21">
        <f>IF(B139="","",IF(H139="",0,H139)+IF(I139="",0,I139))</f>
        <v>0</v>
      </c>
      <c r="R139" s="21">
        <f>IF(OR(B139="",D139=""),"",SUMIFS($Q$5:$Q$404,$D$5:$D$404,D139,$C$5:$C$404,C139))</f>
        <v>0</v>
      </c>
      <c r="S139" s="38">
        <f>IF(OR(B139="",C139=""),"",IFERROR(R139/SUMIFS($Q$5:$Q$404,$C$5:$C$404,C139),""))</f>
        <v>0</v>
      </c>
      <c r="T139" s="23">
        <f>IF(K139="","",IFERROR(INDEX(Jobs!$H$5:$H$604,MATCH(K139,Jobs!$A$5:$A$604,0)),""))</f>
        <v>0</v>
      </c>
      <c r="U139" s="39">
        <f>IF(B139="","",IF(H139="","Add - how much?",IF(D139="","Add - which category?",IF(M139="No","Action - no receipt",IF(AND(H139&gt;500,F139=""),"Add - describe a large payment","OK")))))</f>
        <v>0</v>
      </c>
    </row>
    <row r="140" spans="1:21">
      <c r="A140" s="43">
        <f>IF(B140="","",ExpensePrefix&amp;TEXT(ROW()-4,"0000"))</f>
        <v>0</v>
      </c>
      <c r="C140" s="23">
        <f>IF(B140="","",TEXT(B140,"yyyy-mm"))</f>
        <v>0</v>
      </c>
      <c r="Q140" s="21">
        <f>IF(B140="","",IF(H140="",0,H140)+IF(I140="",0,I140))</f>
        <v>0</v>
      </c>
      <c r="R140" s="21">
        <f>IF(OR(B140="",D140=""),"",SUMIFS($Q$5:$Q$404,$D$5:$D$404,D140,$C$5:$C$404,C140))</f>
        <v>0</v>
      </c>
      <c r="S140" s="38">
        <f>IF(OR(B140="",C140=""),"",IFERROR(R140/SUMIFS($Q$5:$Q$404,$C$5:$C$404,C140),""))</f>
        <v>0</v>
      </c>
      <c r="T140" s="23">
        <f>IF(K140="","",IFERROR(INDEX(Jobs!$H$5:$H$604,MATCH(K140,Jobs!$A$5:$A$604,0)),""))</f>
        <v>0</v>
      </c>
      <c r="U140" s="39">
        <f>IF(B140="","",IF(H140="","Add - how much?",IF(D140="","Add - which category?",IF(M140="No","Action - no receipt",IF(AND(H140&gt;500,F140=""),"Add - describe a large payment","OK")))))</f>
        <v>0</v>
      </c>
    </row>
    <row r="141" spans="1:21">
      <c r="A141" s="43">
        <f>IF(B141="","",ExpensePrefix&amp;TEXT(ROW()-4,"0000"))</f>
        <v>0</v>
      </c>
      <c r="C141" s="23">
        <f>IF(B141="","",TEXT(B141,"yyyy-mm"))</f>
        <v>0</v>
      </c>
      <c r="Q141" s="21">
        <f>IF(B141="","",IF(H141="",0,H141)+IF(I141="",0,I141))</f>
        <v>0</v>
      </c>
      <c r="R141" s="21">
        <f>IF(OR(B141="",D141=""),"",SUMIFS($Q$5:$Q$404,$D$5:$D$404,D141,$C$5:$C$404,C141))</f>
        <v>0</v>
      </c>
      <c r="S141" s="38">
        <f>IF(OR(B141="",C141=""),"",IFERROR(R141/SUMIFS($Q$5:$Q$404,$C$5:$C$404,C141),""))</f>
        <v>0</v>
      </c>
      <c r="T141" s="23">
        <f>IF(K141="","",IFERROR(INDEX(Jobs!$H$5:$H$604,MATCH(K141,Jobs!$A$5:$A$604,0)),""))</f>
        <v>0</v>
      </c>
      <c r="U141" s="39">
        <f>IF(B141="","",IF(H141="","Add - how much?",IF(D141="","Add - which category?",IF(M141="No","Action - no receipt",IF(AND(H141&gt;500,F141=""),"Add - describe a large payment","OK")))))</f>
        <v>0</v>
      </c>
    </row>
    <row r="142" spans="1:21">
      <c r="A142" s="43">
        <f>IF(B142="","",ExpensePrefix&amp;TEXT(ROW()-4,"0000"))</f>
        <v>0</v>
      </c>
      <c r="C142" s="23">
        <f>IF(B142="","",TEXT(B142,"yyyy-mm"))</f>
        <v>0</v>
      </c>
      <c r="Q142" s="21">
        <f>IF(B142="","",IF(H142="",0,H142)+IF(I142="",0,I142))</f>
        <v>0</v>
      </c>
      <c r="R142" s="21">
        <f>IF(OR(B142="",D142=""),"",SUMIFS($Q$5:$Q$404,$D$5:$D$404,D142,$C$5:$C$404,C142))</f>
        <v>0</v>
      </c>
      <c r="S142" s="38">
        <f>IF(OR(B142="",C142=""),"",IFERROR(R142/SUMIFS($Q$5:$Q$404,$C$5:$C$404,C142),""))</f>
        <v>0</v>
      </c>
      <c r="T142" s="23">
        <f>IF(K142="","",IFERROR(INDEX(Jobs!$H$5:$H$604,MATCH(K142,Jobs!$A$5:$A$604,0)),""))</f>
        <v>0</v>
      </c>
      <c r="U142" s="39">
        <f>IF(B142="","",IF(H142="","Add - how much?",IF(D142="","Add - which category?",IF(M142="No","Action - no receipt",IF(AND(H142&gt;500,F142=""),"Add - describe a large payment","OK")))))</f>
        <v>0</v>
      </c>
    </row>
    <row r="143" spans="1:21">
      <c r="A143" s="43">
        <f>IF(B143="","",ExpensePrefix&amp;TEXT(ROW()-4,"0000"))</f>
        <v>0</v>
      </c>
      <c r="C143" s="23">
        <f>IF(B143="","",TEXT(B143,"yyyy-mm"))</f>
        <v>0</v>
      </c>
      <c r="Q143" s="21">
        <f>IF(B143="","",IF(H143="",0,H143)+IF(I143="",0,I143))</f>
        <v>0</v>
      </c>
      <c r="R143" s="21">
        <f>IF(OR(B143="",D143=""),"",SUMIFS($Q$5:$Q$404,$D$5:$D$404,D143,$C$5:$C$404,C143))</f>
        <v>0</v>
      </c>
      <c r="S143" s="38">
        <f>IF(OR(B143="",C143=""),"",IFERROR(R143/SUMIFS($Q$5:$Q$404,$C$5:$C$404,C143),""))</f>
        <v>0</v>
      </c>
      <c r="T143" s="23">
        <f>IF(K143="","",IFERROR(INDEX(Jobs!$H$5:$H$604,MATCH(K143,Jobs!$A$5:$A$604,0)),""))</f>
        <v>0</v>
      </c>
      <c r="U143" s="39">
        <f>IF(B143="","",IF(H143="","Add - how much?",IF(D143="","Add - which category?",IF(M143="No","Action - no receipt",IF(AND(H143&gt;500,F143=""),"Add - describe a large payment","OK")))))</f>
        <v>0</v>
      </c>
    </row>
    <row r="144" spans="1:21">
      <c r="A144" s="43">
        <f>IF(B144="","",ExpensePrefix&amp;TEXT(ROW()-4,"0000"))</f>
        <v>0</v>
      </c>
      <c r="C144" s="23">
        <f>IF(B144="","",TEXT(B144,"yyyy-mm"))</f>
        <v>0</v>
      </c>
      <c r="Q144" s="21">
        <f>IF(B144="","",IF(H144="",0,H144)+IF(I144="",0,I144))</f>
        <v>0</v>
      </c>
      <c r="R144" s="21">
        <f>IF(OR(B144="",D144=""),"",SUMIFS($Q$5:$Q$404,$D$5:$D$404,D144,$C$5:$C$404,C144))</f>
        <v>0</v>
      </c>
      <c r="S144" s="38">
        <f>IF(OR(B144="",C144=""),"",IFERROR(R144/SUMIFS($Q$5:$Q$404,$C$5:$C$404,C144),""))</f>
        <v>0</v>
      </c>
      <c r="T144" s="23">
        <f>IF(K144="","",IFERROR(INDEX(Jobs!$H$5:$H$604,MATCH(K144,Jobs!$A$5:$A$604,0)),""))</f>
        <v>0</v>
      </c>
      <c r="U144" s="39">
        <f>IF(B144="","",IF(H144="","Add - how much?",IF(D144="","Add - which category?",IF(M144="No","Action - no receipt",IF(AND(H144&gt;500,F144=""),"Add - describe a large payment","OK")))))</f>
        <v>0</v>
      </c>
    </row>
    <row r="145" spans="1:21">
      <c r="A145" s="43">
        <f>IF(B145="","",ExpensePrefix&amp;TEXT(ROW()-4,"0000"))</f>
        <v>0</v>
      </c>
      <c r="C145" s="23">
        <f>IF(B145="","",TEXT(B145,"yyyy-mm"))</f>
        <v>0</v>
      </c>
      <c r="Q145" s="21">
        <f>IF(B145="","",IF(H145="",0,H145)+IF(I145="",0,I145))</f>
        <v>0</v>
      </c>
      <c r="R145" s="21">
        <f>IF(OR(B145="",D145=""),"",SUMIFS($Q$5:$Q$404,$D$5:$D$404,D145,$C$5:$C$404,C145))</f>
        <v>0</v>
      </c>
      <c r="S145" s="38">
        <f>IF(OR(B145="",C145=""),"",IFERROR(R145/SUMIFS($Q$5:$Q$404,$C$5:$C$404,C145),""))</f>
        <v>0</v>
      </c>
      <c r="T145" s="23">
        <f>IF(K145="","",IFERROR(INDEX(Jobs!$H$5:$H$604,MATCH(K145,Jobs!$A$5:$A$604,0)),""))</f>
        <v>0</v>
      </c>
      <c r="U145" s="39">
        <f>IF(B145="","",IF(H145="","Add - how much?",IF(D145="","Add - which category?",IF(M145="No","Action - no receipt",IF(AND(H145&gt;500,F145=""),"Add - describe a large payment","OK")))))</f>
        <v>0</v>
      </c>
    </row>
    <row r="146" spans="1:21">
      <c r="A146" s="43">
        <f>IF(B146="","",ExpensePrefix&amp;TEXT(ROW()-4,"0000"))</f>
        <v>0</v>
      </c>
      <c r="C146" s="23">
        <f>IF(B146="","",TEXT(B146,"yyyy-mm"))</f>
        <v>0</v>
      </c>
      <c r="Q146" s="21">
        <f>IF(B146="","",IF(H146="",0,H146)+IF(I146="",0,I146))</f>
        <v>0</v>
      </c>
      <c r="R146" s="21">
        <f>IF(OR(B146="",D146=""),"",SUMIFS($Q$5:$Q$404,$D$5:$D$404,D146,$C$5:$C$404,C146))</f>
        <v>0</v>
      </c>
      <c r="S146" s="38">
        <f>IF(OR(B146="",C146=""),"",IFERROR(R146/SUMIFS($Q$5:$Q$404,$C$5:$C$404,C146),""))</f>
        <v>0</v>
      </c>
      <c r="T146" s="23">
        <f>IF(K146="","",IFERROR(INDEX(Jobs!$H$5:$H$604,MATCH(K146,Jobs!$A$5:$A$604,0)),""))</f>
        <v>0</v>
      </c>
      <c r="U146" s="39">
        <f>IF(B146="","",IF(H146="","Add - how much?",IF(D146="","Add - which category?",IF(M146="No","Action - no receipt",IF(AND(H146&gt;500,F146=""),"Add - describe a large payment","OK")))))</f>
        <v>0</v>
      </c>
    </row>
    <row r="147" spans="1:21">
      <c r="A147" s="43">
        <f>IF(B147="","",ExpensePrefix&amp;TEXT(ROW()-4,"0000"))</f>
        <v>0</v>
      </c>
      <c r="C147" s="23">
        <f>IF(B147="","",TEXT(B147,"yyyy-mm"))</f>
        <v>0</v>
      </c>
      <c r="Q147" s="21">
        <f>IF(B147="","",IF(H147="",0,H147)+IF(I147="",0,I147))</f>
        <v>0</v>
      </c>
      <c r="R147" s="21">
        <f>IF(OR(B147="",D147=""),"",SUMIFS($Q$5:$Q$404,$D$5:$D$404,D147,$C$5:$C$404,C147))</f>
        <v>0</v>
      </c>
      <c r="S147" s="38">
        <f>IF(OR(B147="",C147=""),"",IFERROR(R147/SUMIFS($Q$5:$Q$404,$C$5:$C$404,C147),""))</f>
        <v>0</v>
      </c>
      <c r="T147" s="23">
        <f>IF(K147="","",IFERROR(INDEX(Jobs!$H$5:$H$604,MATCH(K147,Jobs!$A$5:$A$604,0)),""))</f>
        <v>0</v>
      </c>
      <c r="U147" s="39">
        <f>IF(B147="","",IF(H147="","Add - how much?",IF(D147="","Add - which category?",IF(M147="No","Action - no receipt",IF(AND(H147&gt;500,F147=""),"Add - describe a large payment","OK")))))</f>
        <v>0</v>
      </c>
    </row>
    <row r="148" spans="1:21">
      <c r="A148" s="43">
        <f>IF(B148="","",ExpensePrefix&amp;TEXT(ROW()-4,"0000"))</f>
        <v>0</v>
      </c>
      <c r="C148" s="23">
        <f>IF(B148="","",TEXT(B148,"yyyy-mm"))</f>
        <v>0</v>
      </c>
      <c r="Q148" s="21">
        <f>IF(B148="","",IF(H148="",0,H148)+IF(I148="",0,I148))</f>
        <v>0</v>
      </c>
      <c r="R148" s="21">
        <f>IF(OR(B148="",D148=""),"",SUMIFS($Q$5:$Q$404,$D$5:$D$404,D148,$C$5:$C$404,C148))</f>
        <v>0</v>
      </c>
      <c r="S148" s="38">
        <f>IF(OR(B148="",C148=""),"",IFERROR(R148/SUMIFS($Q$5:$Q$404,$C$5:$C$404,C148),""))</f>
        <v>0</v>
      </c>
      <c r="T148" s="23">
        <f>IF(K148="","",IFERROR(INDEX(Jobs!$H$5:$H$604,MATCH(K148,Jobs!$A$5:$A$604,0)),""))</f>
        <v>0</v>
      </c>
      <c r="U148" s="39">
        <f>IF(B148="","",IF(H148="","Add - how much?",IF(D148="","Add - which category?",IF(M148="No","Action - no receipt",IF(AND(H148&gt;500,F148=""),"Add - describe a large payment","OK")))))</f>
        <v>0</v>
      </c>
    </row>
    <row r="149" spans="1:21">
      <c r="A149" s="43">
        <f>IF(B149="","",ExpensePrefix&amp;TEXT(ROW()-4,"0000"))</f>
        <v>0</v>
      </c>
      <c r="C149" s="23">
        <f>IF(B149="","",TEXT(B149,"yyyy-mm"))</f>
        <v>0</v>
      </c>
      <c r="Q149" s="21">
        <f>IF(B149="","",IF(H149="",0,H149)+IF(I149="",0,I149))</f>
        <v>0</v>
      </c>
      <c r="R149" s="21">
        <f>IF(OR(B149="",D149=""),"",SUMIFS($Q$5:$Q$404,$D$5:$D$404,D149,$C$5:$C$404,C149))</f>
        <v>0</v>
      </c>
      <c r="S149" s="38">
        <f>IF(OR(B149="",C149=""),"",IFERROR(R149/SUMIFS($Q$5:$Q$404,$C$5:$C$404,C149),""))</f>
        <v>0</v>
      </c>
      <c r="T149" s="23">
        <f>IF(K149="","",IFERROR(INDEX(Jobs!$H$5:$H$604,MATCH(K149,Jobs!$A$5:$A$604,0)),""))</f>
        <v>0</v>
      </c>
      <c r="U149" s="39">
        <f>IF(B149="","",IF(H149="","Add - how much?",IF(D149="","Add - which category?",IF(M149="No","Action - no receipt",IF(AND(H149&gt;500,F149=""),"Add - describe a large payment","OK")))))</f>
        <v>0</v>
      </c>
    </row>
    <row r="150" spans="1:21">
      <c r="A150" s="43">
        <f>IF(B150="","",ExpensePrefix&amp;TEXT(ROW()-4,"0000"))</f>
        <v>0</v>
      </c>
      <c r="C150" s="23">
        <f>IF(B150="","",TEXT(B150,"yyyy-mm"))</f>
        <v>0</v>
      </c>
      <c r="Q150" s="21">
        <f>IF(B150="","",IF(H150="",0,H150)+IF(I150="",0,I150))</f>
        <v>0</v>
      </c>
      <c r="R150" s="21">
        <f>IF(OR(B150="",D150=""),"",SUMIFS($Q$5:$Q$404,$D$5:$D$404,D150,$C$5:$C$404,C150))</f>
        <v>0</v>
      </c>
      <c r="S150" s="38">
        <f>IF(OR(B150="",C150=""),"",IFERROR(R150/SUMIFS($Q$5:$Q$404,$C$5:$C$404,C150),""))</f>
        <v>0</v>
      </c>
      <c r="T150" s="23">
        <f>IF(K150="","",IFERROR(INDEX(Jobs!$H$5:$H$604,MATCH(K150,Jobs!$A$5:$A$604,0)),""))</f>
        <v>0</v>
      </c>
      <c r="U150" s="39">
        <f>IF(B150="","",IF(H150="","Add - how much?",IF(D150="","Add - which category?",IF(M150="No","Action - no receipt",IF(AND(H150&gt;500,F150=""),"Add - describe a large payment","OK")))))</f>
        <v>0</v>
      </c>
    </row>
    <row r="151" spans="1:21">
      <c r="A151" s="43">
        <f>IF(B151="","",ExpensePrefix&amp;TEXT(ROW()-4,"0000"))</f>
        <v>0</v>
      </c>
      <c r="C151" s="23">
        <f>IF(B151="","",TEXT(B151,"yyyy-mm"))</f>
        <v>0</v>
      </c>
      <c r="Q151" s="21">
        <f>IF(B151="","",IF(H151="",0,H151)+IF(I151="",0,I151))</f>
        <v>0</v>
      </c>
      <c r="R151" s="21">
        <f>IF(OR(B151="",D151=""),"",SUMIFS($Q$5:$Q$404,$D$5:$D$404,D151,$C$5:$C$404,C151))</f>
        <v>0</v>
      </c>
      <c r="S151" s="38">
        <f>IF(OR(B151="",C151=""),"",IFERROR(R151/SUMIFS($Q$5:$Q$404,$C$5:$C$404,C151),""))</f>
        <v>0</v>
      </c>
      <c r="T151" s="23">
        <f>IF(K151="","",IFERROR(INDEX(Jobs!$H$5:$H$604,MATCH(K151,Jobs!$A$5:$A$604,0)),""))</f>
        <v>0</v>
      </c>
      <c r="U151" s="39">
        <f>IF(B151="","",IF(H151="","Add - how much?",IF(D151="","Add - which category?",IF(M151="No","Action - no receipt",IF(AND(H151&gt;500,F151=""),"Add - describe a large payment","OK")))))</f>
        <v>0</v>
      </c>
    </row>
    <row r="152" spans="1:21">
      <c r="A152" s="43">
        <f>IF(B152="","",ExpensePrefix&amp;TEXT(ROW()-4,"0000"))</f>
        <v>0</v>
      </c>
      <c r="C152" s="23">
        <f>IF(B152="","",TEXT(B152,"yyyy-mm"))</f>
        <v>0</v>
      </c>
      <c r="Q152" s="21">
        <f>IF(B152="","",IF(H152="",0,H152)+IF(I152="",0,I152))</f>
        <v>0</v>
      </c>
      <c r="R152" s="21">
        <f>IF(OR(B152="",D152=""),"",SUMIFS($Q$5:$Q$404,$D$5:$D$404,D152,$C$5:$C$404,C152))</f>
        <v>0</v>
      </c>
      <c r="S152" s="38">
        <f>IF(OR(B152="",C152=""),"",IFERROR(R152/SUMIFS($Q$5:$Q$404,$C$5:$C$404,C152),""))</f>
        <v>0</v>
      </c>
      <c r="T152" s="23">
        <f>IF(K152="","",IFERROR(INDEX(Jobs!$H$5:$H$604,MATCH(K152,Jobs!$A$5:$A$604,0)),""))</f>
        <v>0</v>
      </c>
      <c r="U152" s="39">
        <f>IF(B152="","",IF(H152="","Add - how much?",IF(D152="","Add - which category?",IF(M152="No","Action - no receipt",IF(AND(H152&gt;500,F152=""),"Add - describe a large payment","OK")))))</f>
        <v>0</v>
      </c>
    </row>
    <row r="153" spans="1:21">
      <c r="A153" s="43">
        <f>IF(B153="","",ExpensePrefix&amp;TEXT(ROW()-4,"0000"))</f>
        <v>0</v>
      </c>
      <c r="C153" s="23">
        <f>IF(B153="","",TEXT(B153,"yyyy-mm"))</f>
        <v>0</v>
      </c>
      <c r="Q153" s="21">
        <f>IF(B153="","",IF(H153="",0,H153)+IF(I153="",0,I153))</f>
        <v>0</v>
      </c>
      <c r="R153" s="21">
        <f>IF(OR(B153="",D153=""),"",SUMIFS($Q$5:$Q$404,$D$5:$D$404,D153,$C$5:$C$404,C153))</f>
        <v>0</v>
      </c>
      <c r="S153" s="38">
        <f>IF(OR(B153="",C153=""),"",IFERROR(R153/SUMIFS($Q$5:$Q$404,$C$5:$C$404,C153),""))</f>
        <v>0</v>
      </c>
      <c r="T153" s="23">
        <f>IF(K153="","",IFERROR(INDEX(Jobs!$H$5:$H$604,MATCH(K153,Jobs!$A$5:$A$604,0)),""))</f>
        <v>0</v>
      </c>
      <c r="U153" s="39">
        <f>IF(B153="","",IF(H153="","Add - how much?",IF(D153="","Add - which category?",IF(M153="No","Action - no receipt",IF(AND(H153&gt;500,F153=""),"Add - describe a large payment","OK")))))</f>
        <v>0</v>
      </c>
    </row>
    <row r="154" spans="1:21">
      <c r="A154" s="43">
        <f>IF(B154="","",ExpensePrefix&amp;TEXT(ROW()-4,"0000"))</f>
        <v>0</v>
      </c>
      <c r="C154" s="23">
        <f>IF(B154="","",TEXT(B154,"yyyy-mm"))</f>
        <v>0</v>
      </c>
      <c r="Q154" s="21">
        <f>IF(B154="","",IF(H154="",0,H154)+IF(I154="",0,I154))</f>
        <v>0</v>
      </c>
      <c r="R154" s="21">
        <f>IF(OR(B154="",D154=""),"",SUMIFS($Q$5:$Q$404,$D$5:$D$404,D154,$C$5:$C$404,C154))</f>
        <v>0</v>
      </c>
      <c r="S154" s="38">
        <f>IF(OR(B154="",C154=""),"",IFERROR(R154/SUMIFS($Q$5:$Q$404,$C$5:$C$404,C154),""))</f>
        <v>0</v>
      </c>
      <c r="T154" s="23">
        <f>IF(K154="","",IFERROR(INDEX(Jobs!$H$5:$H$604,MATCH(K154,Jobs!$A$5:$A$604,0)),""))</f>
        <v>0</v>
      </c>
      <c r="U154" s="39">
        <f>IF(B154="","",IF(H154="","Add - how much?",IF(D154="","Add - which category?",IF(M154="No","Action - no receipt",IF(AND(H154&gt;500,F154=""),"Add - describe a large payment","OK")))))</f>
        <v>0</v>
      </c>
    </row>
    <row r="155" spans="1:21">
      <c r="A155" s="43">
        <f>IF(B155="","",ExpensePrefix&amp;TEXT(ROW()-4,"0000"))</f>
        <v>0</v>
      </c>
      <c r="C155" s="23">
        <f>IF(B155="","",TEXT(B155,"yyyy-mm"))</f>
        <v>0</v>
      </c>
      <c r="Q155" s="21">
        <f>IF(B155="","",IF(H155="",0,H155)+IF(I155="",0,I155))</f>
        <v>0</v>
      </c>
      <c r="R155" s="21">
        <f>IF(OR(B155="",D155=""),"",SUMIFS($Q$5:$Q$404,$D$5:$D$404,D155,$C$5:$C$404,C155))</f>
        <v>0</v>
      </c>
      <c r="S155" s="38">
        <f>IF(OR(B155="",C155=""),"",IFERROR(R155/SUMIFS($Q$5:$Q$404,$C$5:$C$404,C155),""))</f>
        <v>0</v>
      </c>
      <c r="T155" s="23">
        <f>IF(K155="","",IFERROR(INDEX(Jobs!$H$5:$H$604,MATCH(K155,Jobs!$A$5:$A$604,0)),""))</f>
        <v>0</v>
      </c>
      <c r="U155" s="39">
        <f>IF(B155="","",IF(H155="","Add - how much?",IF(D155="","Add - which category?",IF(M155="No","Action - no receipt",IF(AND(H155&gt;500,F155=""),"Add - describe a large payment","OK")))))</f>
        <v>0</v>
      </c>
    </row>
    <row r="156" spans="1:21">
      <c r="A156" s="43">
        <f>IF(B156="","",ExpensePrefix&amp;TEXT(ROW()-4,"0000"))</f>
        <v>0</v>
      </c>
      <c r="C156" s="23">
        <f>IF(B156="","",TEXT(B156,"yyyy-mm"))</f>
        <v>0</v>
      </c>
      <c r="Q156" s="21">
        <f>IF(B156="","",IF(H156="",0,H156)+IF(I156="",0,I156))</f>
        <v>0</v>
      </c>
      <c r="R156" s="21">
        <f>IF(OR(B156="",D156=""),"",SUMIFS($Q$5:$Q$404,$D$5:$D$404,D156,$C$5:$C$404,C156))</f>
        <v>0</v>
      </c>
      <c r="S156" s="38">
        <f>IF(OR(B156="",C156=""),"",IFERROR(R156/SUMIFS($Q$5:$Q$404,$C$5:$C$404,C156),""))</f>
        <v>0</v>
      </c>
      <c r="T156" s="23">
        <f>IF(K156="","",IFERROR(INDEX(Jobs!$H$5:$H$604,MATCH(K156,Jobs!$A$5:$A$604,0)),""))</f>
        <v>0</v>
      </c>
      <c r="U156" s="39">
        <f>IF(B156="","",IF(H156="","Add - how much?",IF(D156="","Add - which category?",IF(M156="No","Action - no receipt",IF(AND(H156&gt;500,F156=""),"Add - describe a large payment","OK")))))</f>
        <v>0</v>
      </c>
    </row>
    <row r="157" spans="1:21">
      <c r="A157" s="43">
        <f>IF(B157="","",ExpensePrefix&amp;TEXT(ROW()-4,"0000"))</f>
        <v>0</v>
      </c>
      <c r="C157" s="23">
        <f>IF(B157="","",TEXT(B157,"yyyy-mm"))</f>
        <v>0</v>
      </c>
      <c r="Q157" s="21">
        <f>IF(B157="","",IF(H157="",0,H157)+IF(I157="",0,I157))</f>
        <v>0</v>
      </c>
      <c r="R157" s="21">
        <f>IF(OR(B157="",D157=""),"",SUMIFS($Q$5:$Q$404,$D$5:$D$404,D157,$C$5:$C$404,C157))</f>
        <v>0</v>
      </c>
      <c r="S157" s="38">
        <f>IF(OR(B157="",C157=""),"",IFERROR(R157/SUMIFS($Q$5:$Q$404,$C$5:$C$404,C157),""))</f>
        <v>0</v>
      </c>
      <c r="T157" s="23">
        <f>IF(K157="","",IFERROR(INDEX(Jobs!$H$5:$H$604,MATCH(K157,Jobs!$A$5:$A$604,0)),""))</f>
        <v>0</v>
      </c>
      <c r="U157" s="39">
        <f>IF(B157="","",IF(H157="","Add - how much?",IF(D157="","Add - which category?",IF(M157="No","Action - no receipt",IF(AND(H157&gt;500,F157=""),"Add - describe a large payment","OK")))))</f>
        <v>0</v>
      </c>
    </row>
    <row r="158" spans="1:21">
      <c r="A158" s="43">
        <f>IF(B158="","",ExpensePrefix&amp;TEXT(ROW()-4,"0000"))</f>
        <v>0</v>
      </c>
      <c r="C158" s="23">
        <f>IF(B158="","",TEXT(B158,"yyyy-mm"))</f>
        <v>0</v>
      </c>
      <c r="Q158" s="21">
        <f>IF(B158="","",IF(H158="",0,H158)+IF(I158="",0,I158))</f>
        <v>0</v>
      </c>
      <c r="R158" s="21">
        <f>IF(OR(B158="",D158=""),"",SUMIFS($Q$5:$Q$404,$D$5:$D$404,D158,$C$5:$C$404,C158))</f>
        <v>0</v>
      </c>
      <c r="S158" s="38">
        <f>IF(OR(B158="",C158=""),"",IFERROR(R158/SUMIFS($Q$5:$Q$404,$C$5:$C$404,C158),""))</f>
        <v>0</v>
      </c>
      <c r="T158" s="23">
        <f>IF(K158="","",IFERROR(INDEX(Jobs!$H$5:$H$604,MATCH(K158,Jobs!$A$5:$A$604,0)),""))</f>
        <v>0</v>
      </c>
      <c r="U158" s="39">
        <f>IF(B158="","",IF(H158="","Add - how much?",IF(D158="","Add - which category?",IF(M158="No","Action - no receipt",IF(AND(H158&gt;500,F158=""),"Add - describe a large payment","OK")))))</f>
        <v>0</v>
      </c>
    </row>
    <row r="159" spans="1:21">
      <c r="A159" s="43">
        <f>IF(B159="","",ExpensePrefix&amp;TEXT(ROW()-4,"0000"))</f>
        <v>0</v>
      </c>
      <c r="C159" s="23">
        <f>IF(B159="","",TEXT(B159,"yyyy-mm"))</f>
        <v>0</v>
      </c>
      <c r="Q159" s="21">
        <f>IF(B159="","",IF(H159="",0,H159)+IF(I159="",0,I159))</f>
        <v>0</v>
      </c>
      <c r="R159" s="21">
        <f>IF(OR(B159="",D159=""),"",SUMIFS($Q$5:$Q$404,$D$5:$D$404,D159,$C$5:$C$404,C159))</f>
        <v>0</v>
      </c>
      <c r="S159" s="38">
        <f>IF(OR(B159="",C159=""),"",IFERROR(R159/SUMIFS($Q$5:$Q$404,$C$5:$C$404,C159),""))</f>
        <v>0</v>
      </c>
      <c r="T159" s="23">
        <f>IF(K159="","",IFERROR(INDEX(Jobs!$H$5:$H$604,MATCH(K159,Jobs!$A$5:$A$604,0)),""))</f>
        <v>0</v>
      </c>
      <c r="U159" s="39">
        <f>IF(B159="","",IF(H159="","Add - how much?",IF(D159="","Add - which category?",IF(M159="No","Action - no receipt",IF(AND(H159&gt;500,F159=""),"Add - describe a large payment","OK")))))</f>
        <v>0</v>
      </c>
    </row>
    <row r="160" spans="1:21">
      <c r="A160" s="43">
        <f>IF(B160="","",ExpensePrefix&amp;TEXT(ROW()-4,"0000"))</f>
        <v>0</v>
      </c>
      <c r="C160" s="23">
        <f>IF(B160="","",TEXT(B160,"yyyy-mm"))</f>
        <v>0</v>
      </c>
      <c r="Q160" s="21">
        <f>IF(B160="","",IF(H160="",0,H160)+IF(I160="",0,I160))</f>
        <v>0</v>
      </c>
      <c r="R160" s="21">
        <f>IF(OR(B160="",D160=""),"",SUMIFS($Q$5:$Q$404,$D$5:$D$404,D160,$C$5:$C$404,C160))</f>
        <v>0</v>
      </c>
      <c r="S160" s="38">
        <f>IF(OR(B160="",C160=""),"",IFERROR(R160/SUMIFS($Q$5:$Q$404,$C$5:$C$404,C160),""))</f>
        <v>0</v>
      </c>
      <c r="T160" s="23">
        <f>IF(K160="","",IFERROR(INDEX(Jobs!$H$5:$H$604,MATCH(K160,Jobs!$A$5:$A$604,0)),""))</f>
        <v>0</v>
      </c>
      <c r="U160" s="39">
        <f>IF(B160="","",IF(H160="","Add - how much?",IF(D160="","Add - which category?",IF(M160="No","Action - no receipt",IF(AND(H160&gt;500,F160=""),"Add - describe a large payment","OK")))))</f>
        <v>0</v>
      </c>
    </row>
    <row r="161" spans="1:21">
      <c r="A161" s="43">
        <f>IF(B161="","",ExpensePrefix&amp;TEXT(ROW()-4,"0000"))</f>
        <v>0</v>
      </c>
      <c r="C161" s="23">
        <f>IF(B161="","",TEXT(B161,"yyyy-mm"))</f>
        <v>0</v>
      </c>
      <c r="Q161" s="21">
        <f>IF(B161="","",IF(H161="",0,H161)+IF(I161="",0,I161))</f>
        <v>0</v>
      </c>
      <c r="R161" s="21">
        <f>IF(OR(B161="",D161=""),"",SUMIFS($Q$5:$Q$404,$D$5:$D$404,D161,$C$5:$C$404,C161))</f>
        <v>0</v>
      </c>
      <c r="S161" s="38">
        <f>IF(OR(B161="",C161=""),"",IFERROR(R161/SUMIFS($Q$5:$Q$404,$C$5:$C$404,C161),""))</f>
        <v>0</v>
      </c>
      <c r="T161" s="23">
        <f>IF(K161="","",IFERROR(INDEX(Jobs!$H$5:$H$604,MATCH(K161,Jobs!$A$5:$A$604,0)),""))</f>
        <v>0</v>
      </c>
      <c r="U161" s="39">
        <f>IF(B161="","",IF(H161="","Add - how much?",IF(D161="","Add - which category?",IF(M161="No","Action - no receipt",IF(AND(H161&gt;500,F161=""),"Add - describe a large payment","OK")))))</f>
        <v>0</v>
      </c>
    </row>
    <row r="162" spans="1:21">
      <c r="A162" s="43">
        <f>IF(B162="","",ExpensePrefix&amp;TEXT(ROW()-4,"0000"))</f>
        <v>0</v>
      </c>
      <c r="C162" s="23">
        <f>IF(B162="","",TEXT(B162,"yyyy-mm"))</f>
        <v>0</v>
      </c>
      <c r="Q162" s="21">
        <f>IF(B162="","",IF(H162="",0,H162)+IF(I162="",0,I162))</f>
        <v>0</v>
      </c>
      <c r="R162" s="21">
        <f>IF(OR(B162="",D162=""),"",SUMIFS($Q$5:$Q$404,$D$5:$D$404,D162,$C$5:$C$404,C162))</f>
        <v>0</v>
      </c>
      <c r="S162" s="38">
        <f>IF(OR(B162="",C162=""),"",IFERROR(R162/SUMIFS($Q$5:$Q$404,$C$5:$C$404,C162),""))</f>
        <v>0</v>
      </c>
      <c r="T162" s="23">
        <f>IF(K162="","",IFERROR(INDEX(Jobs!$H$5:$H$604,MATCH(K162,Jobs!$A$5:$A$604,0)),""))</f>
        <v>0</v>
      </c>
      <c r="U162" s="39">
        <f>IF(B162="","",IF(H162="","Add - how much?",IF(D162="","Add - which category?",IF(M162="No","Action - no receipt",IF(AND(H162&gt;500,F162=""),"Add - describe a large payment","OK")))))</f>
        <v>0</v>
      </c>
    </row>
    <row r="163" spans="1:21">
      <c r="A163" s="43">
        <f>IF(B163="","",ExpensePrefix&amp;TEXT(ROW()-4,"0000"))</f>
        <v>0</v>
      </c>
      <c r="C163" s="23">
        <f>IF(B163="","",TEXT(B163,"yyyy-mm"))</f>
        <v>0</v>
      </c>
      <c r="Q163" s="21">
        <f>IF(B163="","",IF(H163="",0,H163)+IF(I163="",0,I163))</f>
        <v>0</v>
      </c>
      <c r="R163" s="21">
        <f>IF(OR(B163="",D163=""),"",SUMIFS($Q$5:$Q$404,$D$5:$D$404,D163,$C$5:$C$404,C163))</f>
        <v>0</v>
      </c>
      <c r="S163" s="38">
        <f>IF(OR(B163="",C163=""),"",IFERROR(R163/SUMIFS($Q$5:$Q$404,$C$5:$C$404,C163),""))</f>
        <v>0</v>
      </c>
      <c r="T163" s="23">
        <f>IF(K163="","",IFERROR(INDEX(Jobs!$H$5:$H$604,MATCH(K163,Jobs!$A$5:$A$604,0)),""))</f>
        <v>0</v>
      </c>
      <c r="U163" s="39">
        <f>IF(B163="","",IF(H163="","Add - how much?",IF(D163="","Add - which category?",IF(M163="No","Action - no receipt",IF(AND(H163&gt;500,F163=""),"Add - describe a large payment","OK")))))</f>
        <v>0</v>
      </c>
    </row>
    <row r="164" spans="1:21">
      <c r="A164" s="43">
        <f>IF(B164="","",ExpensePrefix&amp;TEXT(ROW()-4,"0000"))</f>
        <v>0</v>
      </c>
      <c r="C164" s="23">
        <f>IF(B164="","",TEXT(B164,"yyyy-mm"))</f>
        <v>0</v>
      </c>
      <c r="Q164" s="21">
        <f>IF(B164="","",IF(H164="",0,H164)+IF(I164="",0,I164))</f>
        <v>0</v>
      </c>
      <c r="R164" s="21">
        <f>IF(OR(B164="",D164=""),"",SUMIFS($Q$5:$Q$404,$D$5:$D$404,D164,$C$5:$C$404,C164))</f>
        <v>0</v>
      </c>
      <c r="S164" s="38">
        <f>IF(OR(B164="",C164=""),"",IFERROR(R164/SUMIFS($Q$5:$Q$404,$C$5:$C$404,C164),""))</f>
        <v>0</v>
      </c>
      <c r="T164" s="23">
        <f>IF(K164="","",IFERROR(INDEX(Jobs!$H$5:$H$604,MATCH(K164,Jobs!$A$5:$A$604,0)),""))</f>
        <v>0</v>
      </c>
      <c r="U164" s="39">
        <f>IF(B164="","",IF(H164="","Add - how much?",IF(D164="","Add - which category?",IF(M164="No","Action - no receipt",IF(AND(H164&gt;500,F164=""),"Add - describe a large payment","OK")))))</f>
        <v>0</v>
      </c>
    </row>
    <row r="165" spans="1:21">
      <c r="A165" s="43">
        <f>IF(B165="","",ExpensePrefix&amp;TEXT(ROW()-4,"0000"))</f>
        <v>0</v>
      </c>
      <c r="C165" s="23">
        <f>IF(B165="","",TEXT(B165,"yyyy-mm"))</f>
        <v>0</v>
      </c>
      <c r="Q165" s="21">
        <f>IF(B165="","",IF(H165="",0,H165)+IF(I165="",0,I165))</f>
        <v>0</v>
      </c>
      <c r="R165" s="21">
        <f>IF(OR(B165="",D165=""),"",SUMIFS($Q$5:$Q$404,$D$5:$D$404,D165,$C$5:$C$404,C165))</f>
        <v>0</v>
      </c>
      <c r="S165" s="38">
        <f>IF(OR(B165="",C165=""),"",IFERROR(R165/SUMIFS($Q$5:$Q$404,$C$5:$C$404,C165),""))</f>
        <v>0</v>
      </c>
      <c r="T165" s="23">
        <f>IF(K165="","",IFERROR(INDEX(Jobs!$H$5:$H$604,MATCH(K165,Jobs!$A$5:$A$604,0)),""))</f>
        <v>0</v>
      </c>
      <c r="U165" s="39">
        <f>IF(B165="","",IF(H165="","Add - how much?",IF(D165="","Add - which category?",IF(M165="No","Action - no receipt",IF(AND(H165&gt;500,F165=""),"Add - describe a large payment","OK")))))</f>
        <v>0</v>
      </c>
    </row>
    <row r="166" spans="1:21">
      <c r="A166" s="43">
        <f>IF(B166="","",ExpensePrefix&amp;TEXT(ROW()-4,"0000"))</f>
        <v>0</v>
      </c>
      <c r="C166" s="23">
        <f>IF(B166="","",TEXT(B166,"yyyy-mm"))</f>
        <v>0</v>
      </c>
      <c r="Q166" s="21">
        <f>IF(B166="","",IF(H166="",0,H166)+IF(I166="",0,I166))</f>
        <v>0</v>
      </c>
      <c r="R166" s="21">
        <f>IF(OR(B166="",D166=""),"",SUMIFS($Q$5:$Q$404,$D$5:$D$404,D166,$C$5:$C$404,C166))</f>
        <v>0</v>
      </c>
      <c r="S166" s="38">
        <f>IF(OR(B166="",C166=""),"",IFERROR(R166/SUMIFS($Q$5:$Q$404,$C$5:$C$404,C166),""))</f>
        <v>0</v>
      </c>
      <c r="T166" s="23">
        <f>IF(K166="","",IFERROR(INDEX(Jobs!$H$5:$H$604,MATCH(K166,Jobs!$A$5:$A$604,0)),""))</f>
        <v>0</v>
      </c>
      <c r="U166" s="39">
        <f>IF(B166="","",IF(H166="","Add - how much?",IF(D166="","Add - which category?",IF(M166="No","Action - no receipt",IF(AND(H166&gt;500,F166=""),"Add - describe a large payment","OK")))))</f>
        <v>0</v>
      </c>
    </row>
    <row r="167" spans="1:21">
      <c r="A167" s="43">
        <f>IF(B167="","",ExpensePrefix&amp;TEXT(ROW()-4,"0000"))</f>
        <v>0</v>
      </c>
      <c r="C167" s="23">
        <f>IF(B167="","",TEXT(B167,"yyyy-mm"))</f>
        <v>0</v>
      </c>
      <c r="Q167" s="21">
        <f>IF(B167="","",IF(H167="",0,H167)+IF(I167="",0,I167))</f>
        <v>0</v>
      </c>
      <c r="R167" s="21">
        <f>IF(OR(B167="",D167=""),"",SUMIFS($Q$5:$Q$404,$D$5:$D$404,D167,$C$5:$C$404,C167))</f>
        <v>0</v>
      </c>
      <c r="S167" s="38">
        <f>IF(OR(B167="",C167=""),"",IFERROR(R167/SUMIFS($Q$5:$Q$404,$C$5:$C$404,C167),""))</f>
        <v>0</v>
      </c>
      <c r="T167" s="23">
        <f>IF(K167="","",IFERROR(INDEX(Jobs!$H$5:$H$604,MATCH(K167,Jobs!$A$5:$A$604,0)),""))</f>
        <v>0</v>
      </c>
      <c r="U167" s="39">
        <f>IF(B167="","",IF(H167="","Add - how much?",IF(D167="","Add - which category?",IF(M167="No","Action - no receipt",IF(AND(H167&gt;500,F167=""),"Add - describe a large payment","OK")))))</f>
        <v>0</v>
      </c>
    </row>
    <row r="168" spans="1:21">
      <c r="A168" s="43">
        <f>IF(B168="","",ExpensePrefix&amp;TEXT(ROW()-4,"0000"))</f>
        <v>0</v>
      </c>
      <c r="C168" s="23">
        <f>IF(B168="","",TEXT(B168,"yyyy-mm"))</f>
        <v>0</v>
      </c>
      <c r="Q168" s="21">
        <f>IF(B168="","",IF(H168="",0,H168)+IF(I168="",0,I168))</f>
        <v>0</v>
      </c>
      <c r="R168" s="21">
        <f>IF(OR(B168="",D168=""),"",SUMIFS($Q$5:$Q$404,$D$5:$D$404,D168,$C$5:$C$404,C168))</f>
        <v>0</v>
      </c>
      <c r="S168" s="38">
        <f>IF(OR(B168="",C168=""),"",IFERROR(R168/SUMIFS($Q$5:$Q$404,$C$5:$C$404,C168),""))</f>
        <v>0</v>
      </c>
      <c r="T168" s="23">
        <f>IF(K168="","",IFERROR(INDEX(Jobs!$H$5:$H$604,MATCH(K168,Jobs!$A$5:$A$604,0)),""))</f>
        <v>0</v>
      </c>
      <c r="U168" s="39">
        <f>IF(B168="","",IF(H168="","Add - how much?",IF(D168="","Add - which category?",IF(M168="No","Action - no receipt",IF(AND(H168&gt;500,F168=""),"Add - describe a large payment","OK")))))</f>
        <v>0</v>
      </c>
    </row>
    <row r="169" spans="1:21">
      <c r="A169" s="43">
        <f>IF(B169="","",ExpensePrefix&amp;TEXT(ROW()-4,"0000"))</f>
        <v>0</v>
      </c>
      <c r="C169" s="23">
        <f>IF(B169="","",TEXT(B169,"yyyy-mm"))</f>
        <v>0</v>
      </c>
      <c r="Q169" s="21">
        <f>IF(B169="","",IF(H169="",0,H169)+IF(I169="",0,I169))</f>
        <v>0</v>
      </c>
      <c r="R169" s="21">
        <f>IF(OR(B169="",D169=""),"",SUMIFS($Q$5:$Q$404,$D$5:$D$404,D169,$C$5:$C$404,C169))</f>
        <v>0</v>
      </c>
      <c r="S169" s="38">
        <f>IF(OR(B169="",C169=""),"",IFERROR(R169/SUMIFS($Q$5:$Q$404,$C$5:$C$404,C169),""))</f>
        <v>0</v>
      </c>
      <c r="T169" s="23">
        <f>IF(K169="","",IFERROR(INDEX(Jobs!$H$5:$H$604,MATCH(K169,Jobs!$A$5:$A$604,0)),""))</f>
        <v>0</v>
      </c>
      <c r="U169" s="39">
        <f>IF(B169="","",IF(H169="","Add - how much?",IF(D169="","Add - which category?",IF(M169="No","Action - no receipt",IF(AND(H169&gt;500,F169=""),"Add - describe a large payment","OK")))))</f>
        <v>0</v>
      </c>
    </row>
    <row r="170" spans="1:21">
      <c r="A170" s="43">
        <f>IF(B170="","",ExpensePrefix&amp;TEXT(ROW()-4,"0000"))</f>
        <v>0</v>
      </c>
      <c r="C170" s="23">
        <f>IF(B170="","",TEXT(B170,"yyyy-mm"))</f>
        <v>0</v>
      </c>
      <c r="Q170" s="21">
        <f>IF(B170="","",IF(H170="",0,H170)+IF(I170="",0,I170))</f>
        <v>0</v>
      </c>
      <c r="R170" s="21">
        <f>IF(OR(B170="",D170=""),"",SUMIFS($Q$5:$Q$404,$D$5:$D$404,D170,$C$5:$C$404,C170))</f>
        <v>0</v>
      </c>
      <c r="S170" s="38">
        <f>IF(OR(B170="",C170=""),"",IFERROR(R170/SUMIFS($Q$5:$Q$404,$C$5:$C$404,C170),""))</f>
        <v>0</v>
      </c>
      <c r="T170" s="23">
        <f>IF(K170="","",IFERROR(INDEX(Jobs!$H$5:$H$604,MATCH(K170,Jobs!$A$5:$A$604,0)),""))</f>
        <v>0</v>
      </c>
      <c r="U170" s="39">
        <f>IF(B170="","",IF(H170="","Add - how much?",IF(D170="","Add - which category?",IF(M170="No","Action - no receipt",IF(AND(H170&gt;500,F170=""),"Add - describe a large payment","OK")))))</f>
        <v>0</v>
      </c>
    </row>
    <row r="171" spans="1:21">
      <c r="A171" s="43">
        <f>IF(B171="","",ExpensePrefix&amp;TEXT(ROW()-4,"0000"))</f>
        <v>0</v>
      </c>
      <c r="C171" s="23">
        <f>IF(B171="","",TEXT(B171,"yyyy-mm"))</f>
        <v>0</v>
      </c>
      <c r="Q171" s="21">
        <f>IF(B171="","",IF(H171="",0,H171)+IF(I171="",0,I171))</f>
        <v>0</v>
      </c>
      <c r="R171" s="21">
        <f>IF(OR(B171="",D171=""),"",SUMIFS($Q$5:$Q$404,$D$5:$D$404,D171,$C$5:$C$404,C171))</f>
        <v>0</v>
      </c>
      <c r="S171" s="38">
        <f>IF(OR(B171="",C171=""),"",IFERROR(R171/SUMIFS($Q$5:$Q$404,$C$5:$C$404,C171),""))</f>
        <v>0</v>
      </c>
      <c r="T171" s="23">
        <f>IF(K171="","",IFERROR(INDEX(Jobs!$H$5:$H$604,MATCH(K171,Jobs!$A$5:$A$604,0)),""))</f>
        <v>0</v>
      </c>
      <c r="U171" s="39">
        <f>IF(B171="","",IF(H171="","Add - how much?",IF(D171="","Add - which category?",IF(M171="No","Action - no receipt",IF(AND(H171&gt;500,F171=""),"Add - describe a large payment","OK")))))</f>
        <v>0</v>
      </c>
    </row>
    <row r="172" spans="1:21">
      <c r="A172" s="43">
        <f>IF(B172="","",ExpensePrefix&amp;TEXT(ROW()-4,"0000"))</f>
        <v>0</v>
      </c>
      <c r="C172" s="23">
        <f>IF(B172="","",TEXT(B172,"yyyy-mm"))</f>
        <v>0</v>
      </c>
      <c r="Q172" s="21">
        <f>IF(B172="","",IF(H172="",0,H172)+IF(I172="",0,I172))</f>
        <v>0</v>
      </c>
      <c r="R172" s="21">
        <f>IF(OR(B172="",D172=""),"",SUMIFS($Q$5:$Q$404,$D$5:$D$404,D172,$C$5:$C$404,C172))</f>
        <v>0</v>
      </c>
      <c r="S172" s="38">
        <f>IF(OR(B172="",C172=""),"",IFERROR(R172/SUMIFS($Q$5:$Q$404,$C$5:$C$404,C172),""))</f>
        <v>0</v>
      </c>
      <c r="T172" s="23">
        <f>IF(K172="","",IFERROR(INDEX(Jobs!$H$5:$H$604,MATCH(K172,Jobs!$A$5:$A$604,0)),""))</f>
        <v>0</v>
      </c>
      <c r="U172" s="39">
        <f>IF(B172="","",IF(H172="","Add - how much?",IF(D172="","Add - which category?",IF(M172="No","Action - no receipt",IF(AND(H172&gt;500,F172=""),"Add - describe a large payment","OK")))))</f>
        <v>0</v>
      </c>
    </row>
    <row r="173" spans="1:21">
      <c r="A173" s="43">
        <f>IF(B173="","",ExpensePrefix&amp;TEXT(ROW()-4,"0000"))</f>
        <v>0</v>
      </c>
      <c r="C173" s="23">
        <f>IF(B173="","",TEXT(B173,"yyyy-mm"))</f>
        <v>0</v>
      </c>
      <c r="Q173" s="21">
        <f>IF(B173="","",IF(H173="",0,H173)+IF(I173="",0,I173))</f>
        <v>0</v>
      </c>
      <c r="R173" s="21">
        <f>IF(OR(B173="",D173=""),"",SUMIFS($Q$5:$Q$404,$D$5:$D$404,D173,$C$5:$C$404,C173))</f>
        <v>0</v>
      </c>
      <c r="S173" s="38">
        <f>IF(OR(B173="",C173=""),"",IFERROR(R173/SUMIFS($Q$5:$Q$404,$C$5:$C$404,C173),""))</f>
        <v>0</v>
      </c>
      <c r="T173" s="23">
        <f>IF(K173="","",IFERROR(INDEX(Jobs!$H$5:$H$604,MATCH(K173,Jobs!$A$5:$A$604,0)),""))</f>
        <v>0</v>
      </c>
      <c r="U173" s="39">
        <f>IF(B173="","",IF(H173="","Add - how much?",IF(D173="","Add - which category?",IF(M173="No","Action - no receipt",IF(AND(H173&gt;500,F173=""),"Add - describe a large payment","OK")))))</f>
        <v>0</v>
      </c>
    </row>
    <row r="174" spans="1:21">
      <c r="A174" s="43">
        <f>IF(B174="","",ExpensePrefix&amp;TEXT(ROW()-4,"0000"))</f>
        <v>0</v>
      </c>
      <c r="C174" s="23">
        <f>IF(B174="","",TEXT(B174,"yyyy-mm"))</f>
        <v>0</v>
      </c>
      <c r="Q174" s="21">
        <f>IF(B174="","",IF(H174="",0,H174)+IF(I174="",0,I174))</f>
        <v>0</v>
      </c>
      <c r="R174" s="21">
        <f>IF(OR(B174="",D174=""),"",SUMIFS($Q$5:$Q$404,$D$5:$D$404,D174,$C$5:$C$404,C174))</f>
        <v>0</v>
      </c>
      <c r="S174" s="38">
        <f>IF(OR(B174="",C174=""),"",IFERROR(R174/SUMIFS($Q$5:$Q$404,$C$5:$C$404,C174),""))</f>
        <v>0</v>
      </c>
      <c r="T174" s="23">
        <f>IF(K174="","",IFERROR(INDEX(Jobs!$H$5:$H$604,MATCH(K174,Jobs!$A$5:$A$604,0)),""))</f>
        <v>0</v>
      </c>
      <c r="U174" s="39">
        <f>IF(B174="","",IF(H174="","Add - how much?",IF(D174="","Add - which category?",IF(M174="No","Action - no receipt",IF(AND(H174&gt;500,F174=""),"Add - describe a large payment","OK")))))</f>
        <v>0</v>
      </c>
    </row>
    <row r="175" spans="1:21">
      <c r="A175" s="43">
        <f>IF(B175="","",ExpensePrefix&amp;TEXT(ROW()-4,"0000"))</f>
        <v>0</v>
      </c>
      <c r="C175" s="23">
        <f>IF(B175="","",TEXT(B175,"yyyy-mm"))</f>
        <v>0</v>
      </c>
      <c r="Q175" s="21">
        <f>IF(B175="","",IF(H175="",0,H175)+IF(I175="",0,I175))</f>
        <v>0</v>
      </c>
      <c r="R175" s="21">
        <f>IF(OR(B175="",D175=""),"",SUMIFS($Q$5:$Q$404,$D$5:$D$404,D175,$C$5:$C$404,C175))</f>
        <v>0</v>
      </c>
      <c r="S175" s="38">
        <f>IF(OR(B175="",C175=""),"",IFERROR(R175/SUMIFS($Q$5:$Q$404,$C$5:$C$404,C175),""))</f>
        <v>0</v>
      </c>
      <c r="T175" s="23">
        <f>IF(K175="","",IFERROR(INDEX(Jobs!$H$5:$H$604,MATCH(K175,Jobs!$A$5:$A$604,0)),""))</f>
        <v>0</v>
      </c>
      <c r="U175" s="39">
        <f>IF(B175="","",IF(H175="","Add - how much?",IF(D175="","Add - which category?",IF(M175="No","Action - no receipt",IF(AND(H175&gt;500,F175=""),"Add - describe a large payment","OK")))))</f>
        <v>0</v>
      </c>
    </row>
    <row r="176" spans="1:21">
      <c r="A176" s="43">
        <f>IF(B176="","",ExpensePrefix&amp;TEXT(ROW()-4,"0000"))</f>
        <v>0</v>
      </c>
      <c r="C176" s="23">
        <f>IF(B176="","",TEXT(B176,"yyyy-mm"))</f>
        <v>0</v>
      </c>
      <c r="Q176" s="21">
        <f>IF(B176="","",IF(H176="",0,H176)+IF(I176="",0,I176))</f>
        <v>0</v>
      </c>
      <c r="R176" s="21">
        <f>IF(OR(B176="",D176=""),"",SUMIFS($Q$5:$Q$404,$D$5:$D$404,D176,$C$5:$C$404,C176))</f>
        <v>0</v>
      </c>
      <c r="S176" s="38">
        <f>IF(OR(B176="",C176=""),"",IFERROR(R176/SUMIFS($Q$5:$Q$404,$C$5:$C$404,C176),""))</f>
        <v>0</v>
      </c>
      <c r="T176" s="23">
        <f>IF(K176="","",IFERROR(INDEX(Jobs!$H$5:$H$604,MATCH(K176,Jobs!$A$5:$A$604,0)),""))</f>
        <v>0</v>
      </c>
      <c r="U176" s="39">
        <f>IF(B176="","",IF(H176="","Add - how much?",IF(D176="","Add - which category?",IF(M176="No","Action - no receipt",IF(AND(H176&gt;500,F176=""),"Add - describe a large payment","OK")))))</f>
        <v>0</v>
      </c>
    </row>
    <row r="177" spans="1:21">
      <c r="A177" s="43">
        <f>IF(B177="","",ExpensePrefix&amp;TEXT(ROW()-4,"0000"))</f>
        <v>0</v>
      </c>
      <c r="C177" s="23">
        <f>IF(B177="","",TEXT(B177,"yyyy-mm"))</f>
        <v>0</v>
      </c>
      <c r="Q177" s="21">
        <f>IF(B177="","",IF(H177="",0,H177)+IF(I177="",0,I177))</f>
        <v>0</v>
      </c>
      <c r="R177" s="21">
        <f>IF(OR(B177="",D177=""),"",SUMIFS($Q$5:$Q$404,$D$5:$D$404,D177,$C$5:$C$404,C177))</f>
        <v>0</v>
      </c>
      <c r="S177" s="38">
        <f>IF(OR(B177="",C177=""),"",IFERROR(R177/SUMIFS($Q$5:$Q$404,$C$5:$C$404,C177),""))</f>
        <v>0</v>
      </c>
      <c r="T177" s="23">
        <f>IF(K177="","",IFERROR(INDEX(Jobs!$H$5:$H$604,MATCH(K177,Jobs!$A$5:$A$604,0)),""))</f>
        <v>0</v>
      </c>
      <c r="U177" s="39">
        <f>IF(B177="","",IF(H177="","Add - how much?",IF(D177="","Add - which category?",IF(M177="No","Action - no receipt",IF(AND(H177&gt;500,F177=""),"Add - describe a large payment","OK")))))</f>
        <v>0</v>
      </c>
    </row>
    <row r="178" spans="1:21">
      <c r="A178" s="43">
        <f>IF(B178="","",ExpensePrefix&amp;TEXT(ROW()-4,"0000"))</f>
        <v>0</v>
      </c>
      <c r="C178" s="23">
        <f>IF(B178="","",TEXT(B178,"yyyy-mm"))</f>
        <v>0</v>
      </c>
      <c r="Q178" s="21">
        <f>IF(B178="","",IF(H178="",0,H178)+IF(I178="",0,I178))</f>
        <v>0</v>
      </c>
      <c r="R178" s="21">
        <f>IF(OR(B178="",D178=""),"",SUMIFS($Q$5:$Q$404,$D$5:$D$404,D178,$C$5:$C$404,C178))</f>
        <v>0</v>
      </c>
      <c r="S178" s="38">
        <f>IF(OR(B178="",C178=""),"",IFERROR(R178/SUMIFS($Q$5:$Q$404,$C$5:$C$404,C178),""))</f>
        <v>0</v>
      </c>
      <c r="T178" s="23">
        <f>IF(K178="","",IFERROR(INDEX(Jobs!$H$5:$H$604,MATCH(K178,Jobs!$A$5:$A$604,0)),""))</f>
        <v>0</v>
      </c>
      <c r="U178" s="39">
        <f>IF(B178="","",IF(H178="","Add - how much?",IF(D178="","Add - which category?",IF(M178="No","Action - no receipt",IF(AND(H178&gt;500,F178=""),"Add - describe a large payment","OK")))))</f>
        <v>0</v>
      </c>
    </row>
    <row r="179" spans="1:21">
      <c r="A179" s="43">
        <f>IF(B179="","",ExpensePrefix&amp;TEXT(ROW()-4,"0000"))</f>
        <v>0</v>
      </c>
      <c r="C179" s="23">
        <f>IF(B179="","",TEXT(B179,"yyyy-mm"))</f>
        <v>0</v>
      </c>
      <c r="Q179" s="21">
        <f>IF(B179="","",IF(H179="",0,H179)+IF(I179="",0,I179))</f>
        <v>0</v>
      </c>
      <c r="R179" s="21">
        <f>IF(OR(B179="",D179=""),"",SUMIFS($Q$5:$Q$404,$D$5:$D$404,D179,$C$5:$C$404,C179))</f>
        <v>0</v>
      </c>
      <c r="S179" s="38">
        <f>IF(OR(B179="",C179=""),"",IFERROR(R179/SUMIFS($Q$5:$Q$404,$C$5:$C$404,C179),""))</f>
        <v>0</v>
      </c>
      <c r="T179" s="23">
        <f>IF(K179="","",IFERROR(INDEX(Jobs!$H$5:$H$604,MATCH(K179,Jobs!$A$5:$A$604,0)),""))</f>
        <v>0</v>
      </c>
      <c r="U179" s="39">
        <f>IF(B179="","",IF(H179="","Add - how much?",IF(D179="","Add - which category?",IF(M179="No","Action - no receipt",IF(AND(H179&gt;500,F179=""),"Add - describe a large payment","OK")))))</f>
        <v>0</v>
      </c>
    </row>
    <row r="180" spans="1:21">
      <c r="A180" s="43">
        <f>IF(B180="","",ExpensePrefix&amp;TEXT(ROW()-4,"0000"))</f>
        <v>0</v>
      </c>
      <c r="C180" s="23">
        <f>IF(B180="","",TEXT(B180,"yyyy-mm"))</f>
        <v>0</v>
      </c>
      <c r="Q180" s="21">
        <f>IF(B180="","",IF(H180="",0,H180)+IF(I180="",0,I180))</f>
        <v>0</v>
      </c>
      <c r="R180" s="21">
        <f>IF(OR(B180="",D180=""),"",SUMIFS($Q$5:$Q$404,$D$5:$D$404,D180,$C$5:$C$404,C180))</f>
        <v>0</v>
      </c>
      <c r="S180" s="38">
        <f>IF(OR(B180="",C180=""),"",IFERROR(R180/SUMIFS($Q$5:$Q$404,$C$5:$C$404,C180),""))</f>
        <v>0</v>
      </c>
      <c r="T180" s="23">
        <f>IF(K180="","",IFERROR(INDEX(Jobs!$H$5:$H$604,MATCH(K180,Jobs!$A$5:$A$604,0)),""))</f>
        <v>0</v>
      </c>
      <c r="U180" s="39">
        <f>IF(B180="","",IF(H180="","Add - how much?",IF(D180="","Add - which category?",IF(M180="No","Action - no receipt",IF(AND(H180&gt;500,F180=""),"Add - describe a large payment","OK")))))</f>
        <v>0</v>
      </c>
    </row>
    <row r="181" spans="1:21">
      <c r="A181" s="43">
        <f>IF(B181="","",ExpensePrefix&amp;TEXT(ROW()-4,"0000"))</f>
        <v>0</v>
      </c>
      <c r="C181" s="23">
        <f>IF(B181="","",TEXT(B181,"yyyy-mm"))</f>
        <v>0</v>
      </c>
      <c r="Q181" s="21">
        <f>IF(B181="","",IF(H181="",0,H181)+IF(I181="",0,I181))</f>
        <v>0</v>
      </c>
      <c r="R181" s="21">
        <f>IF(OR(B181="",D181=""),"",SUMIFS($Q$5:$Q$404,$D$5:$D$404,D181,$C$5:$C$404,C181))</f>
        <v>0</v>
      </c>
      <c r="S181" s="38">
        <f>IF(OR(B181="",C181=""),"",IFERROR(R181/SUMIFS($Q$5:$Q$404,$C$5:$C$404,C181),""))</f>
        <v>0</v>
      </c>
      <c r="T181" s="23">
        <f>IF(K181="","",IFERROR(INDEX(Jobs!$H$5:$H$604,MATCH(K181,Jobs!$A$5:$A$604,0)),""))</f>
        <v>0</v>
      </c>
      <c r="U181" s="39">
        <f>IF(B181="","",IF(H181="","Add - how much?",IF(D181="","Add - which category?",IF(M181="No","Action - no receipt",IF(AND(H181&gt;500,F181=""),"Add - describe a large payment","OK")))))</f>
        <v>0</v>
      </c>
    </row>
    <row r="182" spans="1:21">
      <c r="A182" s="43">
        <f>IF(B182="","",ExpensePrefix&amp;TEXT(ROW()-4,"0000"))</f>
        <v>0</v>
      </c>
      <c r="C182" s="23">
        <f>IF(B182="","",TEXT(B182,"yyyy-mm"))</f>
        <v>0</v>
      </c>
      <c r="Q182" s="21">
        <f>IF(B182="","",IF(H182="",0,H182)+IF(I182="",0,I182))</f>
        <v>0</v>
      </c>
      <c r="R182" s="21">
        <f>IF(OR(B182="",D182=""),"",SUMIFS($Q$5:$Q$404,$D$5:$D$404,D182,$C$5:$C$404,C182))</f>
        <v>0</v>
      </c>
      <c r="S182" s="38">
        <f>IF(OR(B182="",C182=""),"",IFERROR(R182/SUMIFS($Q$5:$Q$404,$C$5:$C$404,C182),""))</f>
        <v>0</v>
      </c>
      <c r="T182" s="23">
        <f>IF(K182="","",IFERROR(INDEX(Jobs!$H$5:$H$604,MATCH(K182,Jobs!$A$5:$A$604,0)),""))</f>
        <v>0</v>
      </c>
      <c r="U182" s="39">
        <f>IF(B182="","",IF(H182="","Add - how much?",IF(D182="","Add - which category?",IF(M182="No","Action - no receipt",IF(AND(H182&gt;500,F182=""),"Add - describe a large payment","OK")))))</f>
        <v>0</v>
      </c>
    </row>
    <row r="183" spans="1:21">
      <c r="A183" s="43">
        <f>IF(B183="","",ExpensePrefix&amp;TEXT(ROW()-4,"0000"))</f>
        <v>0</v>
      </c>
      <c r="C183" s="23">
        <f>IF(B183="","",TEXT(B183,"yyyy-mm"))</f>
        <v>0</v>
      </c>
      <c r="Q183" s="21">
        <f>IF(B183="","",IF(H183="",0,H183)+IF(I183="",0,I183))</f>
        <v>0</v>
      </c>
      <c r="R183" s="21">
        <f>IF(OR(B183="",D183=""),"",SUMIFS($Q$5:$Q$404,$D$5:$D$404,D183,$C$5:$C$404,C183))</f>
        <v>0</v>
      </c>
      <c r="S183" s="38">
        <f>IF(OR(B183="",C183=""),"",IFERROR(R183/SUMIFS($Q$5:$Q$404,$C$5:$C$404,C183),""))</f>
        <v>0</v>
      </c>
      <c r="T183" s="23">
        <f>IF(K183="","",IFERROR(INDEX(Jobs!$H$5:$H$604,MATCH(K183,Jobs!$A$5:$A$604,0)),""))</f>
        <v>0</v>
      </c>
      <c r="U183" s="39">
        <f>IF(B183="","",IF(H183="","Add - how much?",IF(D183="","Add - which category?",IF(M183="No","Action - no receipt",IF(AND(H183&gt;500,F183=""),"Add - describe a large payment","OK")))))</f>
        <v>0</v>
      </c>
    </row>
    <row r="184" spans="1:21">
      <c r="A184" s="43">
        <f>IF(B184="","",ExpensePrefix&amp;TEXT(ROW()-4,"0000"))</f>
        <v>0</v>
      </c>
      <c r="C184" s="23">
        <f>IF(B184="","",TEXT(B184,"yyyy-mm"))</f>
        <v>0</v>
      </c>
      <c r="Q184" s="21">
        <f>IF(B184="","",IF(H184="",0,H184)+IF(I184="",0,I184))</f>
        <v>0</v>
      </c>
      <c r="R184" s="21">
        <f>IF(OR(B184="",D184=""),"",SUMIFS($Q$5:$Q$404,$D$5:$D$404,D184,$C$5:$C$404,C184))</f>
        <v>0</v>
      </c>
      <c r="S184" s="38">
        <f>IF(OR(B184="",C184=""),"",IFERROR(R184/SUMIFS($Q$5:$Q$404,$C$5:$C$404,C184),""))</f>
        <v>0</v>
      </c>
      <c r="T184" s="23">
        <f>IF(K184="","",IFERROR(INDEX(Jobs!$H$5:$H$604,MATCH(K184,Jobs!$A$5:$A$604,0)),""))</f>
        <v>0</v>
      </c>
      <c r="U184" s="39">
        <f>IF(B184="","",IF(H184="","Add - how much?",IF(D184="","Add - which category?",IF(M184="No","Action - no receipt",IF(AND(H184&gt;500,F184=""),"Add - describe a large payment","OK")))))</f>
        <v>0</v>
      </c>
    </row>
    <row r="185" spans="1:21">
      <c r="A185" s="43">
        <f>IF(B185="","",ExpensePrefix&amp;TEXT(ROW()-4,"0000"))</f>
        <v>0</v>
      </c>
      <c r="C185" s="23">
        <f>IF(B185="","",TEXT(B185,"yyyy-mm"))</f>
        <v>0</v>
      </c>
      <c r="Q185" s="21">
        <f>IF(B185="","",IF(H185="",0,H185)+IF(I185="",0,I185))</f>
        <v>0</v>
      </c>
      <c r="R185" s="21">
        <f>IF(OR(B185="",D185=""),"",SUMIFS($Q$5:$Q$404,$D$5:$D$404,D185,$C$5:$C$404,C185))</f>
        <v>0</v>
      </c>
      <c r="S185" s="38">
        <f>IF(OR(B185="",C185=""),"",IFERROR(R185/SUMIFS($Q$5:$Q$404,$C$5:$C$404,C185),""))</f>
        <v>0</v>
      </c>
      <c r="T185" s="23">
        <f>IF(K185="","",IFERROR(INDEX(Jobs!$H$5:$H$604,MATCH(K185,Jobs!$A$5:$A$604,0)),""))</f>
        <v>0</v>
      </c>
      <c r="U185" s="39">
        <f>IF(B185="","",IF(H185="","Add - how much?",IF(D185="","Add - which category?",IF(M185="No","Action - no receipt",IF(AND(H185&gt;500,F185=""),"Add - describe a large payment","OK")))))</f>
        <v>0</v>
      </c>
    </row>
    <row r="186" spans="1:21">
      <c r="A186" s="43">
        <f>IF(B186="","",ExpensePrefix&amp;TEXT(ROW()-4,"0000"))</f>
        <v>0</v>
      </c>
      <c r="C186" s="23">
        <f>IF(B186="","",TEXT(B186,"yyyy-mm"))</f>
        <v>0</v>
      </c>
      <c r="Q186" s="21">
        <f>IF(B186="","",IF(H186="",0,H186)+IF(I186="",0,I186))</f>
        <v>0</v>
      </c>
      <c r="R186" s="21">
        <f>IF(OR(B186="",D186=""),"",SUMIFS($Q$5:$Q$404,$D$5:$D$404,D186,$C$5:$C$404,C186))</f>
        <v>0</v>
      </c>
      <c r="S186" s="38">
        <f>IF(OR(B186="",C186=""),"",IFERROR(R186/SUMIFS($Q$5:$Q$404,$C$5:$C$404,C186),""))</f>
        <v>0</v>
      </c>
      <c r="T186" s="23">
        <f>IF(K186="","",IFERROR(INDEX(Jobs!$H$5:$H$604,MATCH(K186,Jobs!$A$5:$A$604,0)),""))</f>
        <v>0</v>
      </c>
      <c r="U186" s="39">
        <f>IF(B186="","",IF(H186="","Add - how much?",IF(D186="","Add - which category?",IF(M186="No","Action - no receipt",IF(AND(H186&gt;500,F186=""),"Add - describe a large payment","OK")))))</f>
        <v>0</v>
      </c>
    </row>
    <row r="187" spans="1:21">
      <c r="A187" s="43">
        <f>IF(B187="","",ExpensePrefix&amp;TEXT(ROW()-4,"0000"))</f>
        <v>0</v>
      </c>
      <c r="C187" s="23">
        <f>IF(B187="","",TEXT(B187,"yyyy-mm"))</f>
        <v>0</v>
      </c>
      <c r="Q187" s="21">
        <f>IF(B187="","",IF(H187="",0,H187)+IF(I187="",0,I187))</f>
        <v>0</v>
      </c>
      <c r="R187" s="21">
        <f>IF(OR(B187="",D187=""),"",SUMIFS($Q$5:$Q$404,$D$5:$D$404,D187,$C$5:$C$404,C187))</f>
        <v>0</v>
      </c>
      <c r="S187" s="38">
        <f>IF(OR(B187="",C187=""),"",IFERROR(R187/SUMIFS($Q$5:$Q$404,$C$5:$C$404,C187),""))</f>
        <v>0</v>
      </c>
      <c r="T187" s="23">
        <f>IF(K187="","",IFERROR(INDEX(Jobs!$H$5:$H$604,MATCH(K187,Jobs!$A$5:$A$604,0)),""))</f>
        <v>0</v>
      </c>
      <c r="U187" s="39">
        <f>IF(B187="","",IF(H187="","Add - how much?",IF(D187="","Add - which category?",IF(M187="No","Action - no receipt",IF(AND(H187&gt;500,F187=""),"Add - describe a large payment","OK")))))</f>
        <v>0</v>
      </c>
    </row>
    <row r="188" spans="1:21">
      <c r="A188" s="43">
        <f>IF(B188="","",ExpensePrefix&amp;TEXT(ROW()-4,"0000"))</f>
        <v>0</v>
      </c>
      <c r="C188" s="23">
        <f>IF(B188="","",TEXT(B188,"yyyy-mm"))</f>
        <v>0</v>
      </c>
      <c r="Q188" s="21">
        <f>IF(B188="","",IF(H188="",0,H188)+IF(I188="",0,I188))</f>
        <v>0</v>
      </c>
      <c r="R188" s="21">
        <f>IF(OR(B188="",D188=""),"",SUMIFS($Q$5:$Q$404,$D$5:$D$404,D188,$C$5:$C$404,C188))</f>
        <v>0</v>
      </c>
      <c r="S188" s="38">
        <f>IF(OR(B188="",C188=""),"",IFERROR(R188/SUMIFS($Q$5:$Q$404,$C$5:$C$404,C188),""))</f>
        <v>0</v>
      </c>
      <c r="T188" s="23">
        <f>IF(K188="","",IFERROR(INDEX(Jobs!$H$5:$H$604,MATCH(K188,Jobs!$A$5:$A$604,0)),""))</f>
        <v>0</v>
      </c>
      <c r="U188" s="39">
        <f>IF(B188="","",IF(H188="","Add - how much?",IF(D188="","Add - which category?",IF(M188="No","Action - no receipt",IF(AND(H188&gt;500,F188=""),"Add - describe a large payment","OK")))))</f>
        <v>0</v>
      </c>
    </row>
    <row r="189" spans="1:21">
      <c r="A189" s="43">
        <f>IF(B189="","",ExpensePrefix&amp;TEXT(ROW()-4,"0000"))</f>
        <v>0</v>
      </c>
      <c r="C189" s="23">
        <f>IF(B189="","",TEXT(B189,"yyyy-mm"))</f>
        <v>0</v>
      </c>
      <c r="Q189" s="21">
        <f>IF(B189="","",IF(H189="",0,H189)+IF(I189="",0,I189))</f>
        <v>0</v>
      </c>
      <c r="R189" s="21">
        <f>IF(OR(B189="",D189=""),"",SUMIFS($Q$5:$Q$404,$D$5:$D$404,D189,$C$5:$C$404,C189))</f>
        <v>0</v>
      </c>
      <c r="S189" s="38">
        <f>IF(OR(B189="",C189=""),"",IFERROR(R189/SUMIFS($Q$5:$Q$404,$C$5:$C$404,C189),""))</f>
        <v>0</v>
      </c>
      <c r="T189" s="23">
        <f>IF(K189="","",IFERROR(INDEX(Jobs!$H$5:$H$604,MATCH(K189,Jobs!$A$5:$A$604,0)),""))</f>
        <v>0</v>
      </c>
      <c r="U189" s="39">
        <f>IF(B189="","",IF(H189="","Add - how much?",IF(D189="","Add - which category?",IF(M189="No","Action - no receipt",IF(AND(H189&gt;500,F189=""),"Add - describe a large payment","OK")))))</f>
        <v>0</v>
      </c>
    </row>
    <row r="190" spans="1:21">
      <c r="A190" s="43">
        <f>IF(B190="","",ExpensePrefix&amp;TEXT(ROW()-4,"0000"))</f>
        <v>0</v>
      </c>
      <c r="C190" s="23">
        <f>IF(B190="","",TEXT(B190,"yyyy-mm"))</f>
        <v>0</v>
      </c>
      <c r="Q190" s="21">
        <f>IF(B190="","",IF(H190="",0,H190)+IF(I190="",0,I190))</f>
        <v>0</v>
      </c>
      <c r="R190" s="21">
        <f>IF(OR(B190="",D190=""),"",SUMIFS($Q$5:$Q$404,$D$5:$D$404,D190,$C$5:$C$404,C190))</f>
        <v>0</v>
      </c>
      <c r="S190" s="38">
        <f>IF(OR(B190="",C190=""),"",IFERROR(R190/SUMIFS($Q$5:$Q$404,$C$5:$C$404,C190),""))</f>
        <v>0</v>
      </c>
      <c r="T190" s="23">
        <f>IF(K190="","",IFERROR(INDEX(Jobs!$H$5:$H$604,MATCH(K190,Jobs!$A$5:$A$604,0)),""))</f>
        <v>0</v>
      </c>
      <c r="U190" s="39">
        <f>IF(B190="","",IF(H190="","Add - how much?",IF(D190="","Add - which category?",IF(M190="No","Action - no receipt",IF(AND(H190&gt;500,F190=""),"Add - describe a large payment","OK")))))</f>
        <v>0</v>
      </c>
    </row>
    <row r="191" spans="1:21">
      <c r="A191" s="43">
        <f>IF(B191="","",ExpensePrefix&amp;TEXT(ROW()-4,"0000"))</f>
        <v>0</v>
      </c>
      <c r="C191" s="23">
        <f>IF(B191="","",TEXT(B191,"yyyy-mm"))</f>
        <v>0</v>
      </c>
      <c r="Q191" s="21">
        <f>IF(B191="","",IF(H191="",0,H191)+IF(I191="",0,I191))</f>
        <v>0</v>
      </c>
      <c r="R191" s="21">
        <f>IF(OR(B191="",D191=""),"",SUMIFS($Q$5:$Q$404,$D$5:$D$404,D191,$C$5:$C$404,C191))</f>
        <v>0</v>
      </c>
      <c r="S191" s="38">
        <f>IF(OR(B191="",C191=""),"",IFERROR(R191/SUMIFS($Q$5:$Q$404,$C$5:$C$404,C191),""))</f>
        <v>0</v>
      </c>
      <c r="T191" s="23">
        <f>IF(K191="","",IFERROR(INDEX(Jobs!$H$5:$H$604,MATCH(K191,Jobs!$A$5:$A$604,0)),""))</f>
        <v>0</v>
      </c>
      <c r="U191" s="39">
        <f>IF(B191="","",IF(H191="","Add - how much?",IF(D191="","Add - which category?",IF(M191="No","Action - no receipt",IF(AND(H191&gt;500,F191=""),"Add - describe a large payment","OK")))))</f>
        <v>0</v>
      </c>
    </row>
    <row r="192" spans="1:21">
      <c r="A192" s="43">
        <f>IF(B192="","",ExpensePrefix&amp;TEXT(ROW()-4,"0000"))</f>
        <v>0</v>
      </c>
      <c r="C192" s="23">
        <f>IF(B192="","",TEXT(B192,"yyyy-mm"))</f>
        <v>0</v>
      </c>
      <c r="Q192" s="21">
        <f>IF(B192="","",IF(H192="",0,H192)+IF(I192="",0,I192))</f>
        <v>0</v>
      </c>
      <c r="R192" s="21">
        <f>IF(OR(B192="",D192=""),"",SUMIFS($Q$5:$Q$404,$D$5:$D$404,D192,$C$5:$C$404,C192))</f>
        <v>0</v>
      </c>
      <c r="S192" s="38">
        <f>IF(OR(B192="",C192=""),"",IFERROR(R192/SUMIFS($Q$5:$Q$404,$C$5:$C$404,C192),""))</f>
        <v>0</v>
      </c>
      <c r="T192" s="23">
        <f>IF(K192="","",IFERROR(INDEX(Jobs!$H$5:$H$604,MATCH(K192,Jobs!$A$5:$A$604,0)),""))</f>
        <v>0</v>
      </c>
      <c r="U192" s="39">
        <f>IF(B192="","",IF(H192="","Add - how much?",IF(D192="","Add - which category?",IF(M192="No","Action - no receipt",IF(AND(H192&gt;500,F192=""),"Add - describe a large payment","OK")))))</f>
        <v>0</v>
      </c>
    </row>
    <row r="193" spans="1:21">
      <c r="A193" s="43">
        <f>IF(B193="","",ExpensePrefix&amp;TEXT(ROW()-4,"0000"))</f>
        <v>0</v>
      </c>
      <c r="C193" s="23">
        <f>IF(B193="","",TEXT(B193,"yyyy-mm"))</f>
        <v>0</v>
      </c>
      <c r="Q193" s="21">
        <f>IF(B193="","",IF(H193="",0,H193)+IF(I193="",0,I193))</f>
        <v>0</v>
      </c>
      <c r="R193" s="21">
        <f>IF(OR(B193="",D193=""),"",SUMIFS($Q$5:$Q$404,$D$5:$D$404,D193,$C$5:$C$404,C193))</f>
        <v>0</v>
      </c>
      <c r="S193" s="38">
        <f>IF(OR(B193="",C193=""),"",IFERROR(R193/SUMIFS($Q$5:$Q$404,$C$5:$C$404,C193),""))</f>
        <v>0</v>
      </c>
      <c r="T193" s="23">
        <f>IF(K193="","",IFERROR(INDEX(Jobs!$H$5:$H$604,MATCH(K193,Jobs!$A$5:$A$604,0)),""))</f>
        <v>0</v>
      </c>
      <c r="U193" s="39">
        <f>IF(B193="","",IF(H193="","Add - how much?",IF(D193="","Add - which category?",IF(M193="No","Action - no receipt",IF(AND(H193&gt;500,F193=""),"Add - describe a large payment","OK")))))</f>
        <v>0</v>
      </c>
    </row>
    <row r="194" spans="1:21">
      <c r="A194" s="43">
        <f>IF(B194="","",ExpensePrefix&amp;TEXT(ROW()-4,"0000"))</f>
        <v>0</v>
      </c>
      <c r="C194" s="23">
        <f>IF(B194="","",TEXT(B194,"yyyy-mm"))</f>
        <v>0</v>
      </c>
      <c r="Q194" s="21">
        <f>IF(B194="","",IF(H194="",0,H194)+IF(I194="",0,I194))</f>
        <v>0</v>
      </c>
      <c r="R194" s="21">
        <f>IF(OR(B194="",D194=""),"",SUMIFS($Q$5:$Q$404,$D$5:$D$404,D194,$C$5:$C$404,C194))</f>
        <v>0</v>
      </c>
      <c r="S194" s="38">
        <f>IF(OR(B194="",C194=""),"",IFERROR(R194/SUMIFS($Q$5:$Q$404,$C$5:$C$404,C194),""))</f>
        <v>0</v>
      </c>
      <c r="T194" s="23">
        <f>IF(K194="","",IFERROR(INDEX(Jobs!$H$5:$H$604,MATCH(K194,Jobs!$A$5:$A$604,0)),""))</f>
        <v>0</v>
      </c>
      <c r="U194" s="39">
        <f>IF(B194="","",IF(H194="","Add - how much?",IF(D194="","Add - which category?",IF(M194="No","Action - no receipt",IF(AND(H194&gt;500,F194=""),"Add - describe a large payment","OK")))))</f>
        <v>0</v>
      </c>
    </row>
    <row r="195" spans="1:21">
      <c r="A195" s="43">
        <f>IF(B195="","",ExpensePrefix&amp;TEXT(ROW()-4,"0000"))</f>
        <v>0</v>
      </c>
      <c r="C195" s="23">
        <f>IF(B195="","",TEXT(B195,"yyyy-mm"))</f>
        <v>0</v>
      </c>
      <c r="Q195" s="21">
        <f>IF(B195="","",IF(H195="",0,H195)+IF(I195="",0,I195))</f>
        <v>0</v>
      </c>
      <c r="R195" s="21">
        <f>IF(OR(B195="",D195=""),"",SUMIFS($Q$5:$Q$404,$D$5:$D$404,D195,$C$5:$C$404,C195))</f>
        <v>0</v>
      </c>
      <c r="S195" s="38">
        <f>IF(OR(B195="",C195=""),"",IFERROR(R195/SUMIFS($Q$5:$Q$404,$C$5:$C$404,C195),""))</f>
        <v>0</v>
      </c>
      <c r="T195" s="23">
        <f>IF(K195="","",IFERROR(INDEX(Jobs!$H$5:$H$604,MATCH(K195,Jobs!$A$5:$A$604,0)),""))</f>
        <v>0</v>
      </c>
      <c r="U195" s="39">
        <f>IF(B195="","",IF(H195="","Add - how much?",IF(D195="","Add - which category?",IF(M195="No","Action - no receipt",IF(AND(H195&gt;500,F195=""),"Add - describe a large payment","OK")))))</f>
        <v>0</v>
      </c>
    </row>
    <row r="196" spans="1:21">
      <c r="A196" s="43">
        <f>IF(B196="","",ExpensePrefix&amp;TEXT(ROW()-4,"0000"))</f>
        <v>0</v>
      </c>
      <c r="C196" s="23">
        <f>IF(B196="","",TEXT(B196,"yyyy-mm"))</f>
        <v>0</v>
      </c>
      <c r="Q196" s="21">
        <f>IF(B196="","",IF(H196="",0,H196)+IF(I196="",0,I196))</f>
        <v>0</v>
      </c>
      <c r="R196" s="21">
        <f>IF(OR(B196="",D196=""),"",SUMIFS($Q$5:$Q$404,$D$5:$D$404,D196,$C$5:$C$404,C196))</f>
        <v>0</v>
      </c>
      <c r="S196" s="38">
        <f>IF(OR(B196="",C196=""),"",IFERROR(R196/SUMIFS($Q$5:$Q$404,$C$5:$C$404,C196),""))</f>
        <v>0</v>
      </c>
      <c r="T196" s="23">
        <f>IF(K196="","",IFERROR(INDEX(Jobs!$H$5:$H$604,MATCH(K196,Jobs!$A$5:$A$604,0)),""))</f>
        <v>0</v>
      </c>
      <c r="U196" s="39">
        <f>IF(B196="","",IF(H196="","Add - how much?",IF(D196="","Add - which category?",IF(M196="No","Action - no receipt",IF(AND(H196&gt;500,F196=""),"Add - describe a large payment","OK")))))</f>
        <v>0</v>
      </c>
    </row>
    <row r="197" spans="1:21">
      <c r="A197" s="43">
        <f>IF(B197="","",ExpensePrefix&amp;TEXT(ROW()-4,"0000"))</f>
        <v>0</v>
      </c>
      <c r="C197" s="23">
        <f>IF(B197="","",TEXT(B197,"yyyy-mm"))</f>
        <v>0</v>
      </c>
      <c r="Q197" s="21">
        <f>IF(B197="","",IF(H197="",0,H197)+IF(I197="",0,I197))</f>
        <v>0</v>
      </c>
      <c r="R197" s="21">
        <f>IF(OR(B197="",D197=""),"",SUMIFS($Q$5:$Q$404,$D$5:$D$404,D197,$C$5:$C$404,C197))</f>
        <v>0</v>
      </c>
      <c r="S197" s="38">
        <f>IF(OR(B197="",C197=""),"",IFERROR(R197/SUMIFS($Q$5:$Q$404,$C$5:$C$404,C197),""))</f>
        <v>0</v>
      </c>
      <c r="T197" s="23">
        <f>IF(K197="","",IFERROR(INDEX(Jobs!$H$5:$H$604,MATCH(K197,Jobs!$A$5:$A$604,0)),""))</f>
        <v>0</v>
      </c>
      <c r="U197" s="39">
        <f>IF(B197="","",IF(H197="","Add - how much?",IF(D197="","Add - which category?",IF(M197="No","Action - no receipt",IF(AND(H197&gt;500,F197=""),"Add - describe a large payment","OK")))))</f>
        <v>0</v>
      </c>
    </row>
    <row r="198" spans="1:21">
      <c r="A198" s="43">
        <f>IF(B198="","",ExpensePrefix&amp;TEXT(ROW()-4,"0000"))</f>
        <v>0</v>
      </c>
      <c r="C198" s="23">
        <f>IF(B198="","",TEXT(B198,"yyyy-mm"))</f>
        <v>0</v>
      </c>
      <c r="Q198" s="21">
        <f>IF(B198="","",IF(H198="",0,H198)+IF(I198="",0,I198))</f>
        <v>0</v>
      </c>
      <c r="R198" s="21">
        <f>IF(OR(B198="",D198=""),"",SUMIFS($Q$5:$Q$404,$D$5:$D$404,D198,$C$5:$C$404,C198))</f>
        <v>0</v>
      </c>
      <c r="S198" s="38">
        <f>IF(OR(B198="",C198=""),"",IFERROR(R198/SUMIFS($Q$5:$Q$404,$C$5:$C$404,C198),""))</f>
        <v>0</v>
      </c>
      <c r="T198" s="23">
        <f>IF(K198="","",IFERROR(INDEX(Jobs!$H$5:$H$604,MATCH(K198,Jobs!$A$5:$A$604,0)),""))</f>
        <v>0</v>
      </c>
      <c r="U198" s="39">
        <f>IF(B198="","",IF(H198="","Add - how much?",IF(D198="","Add - which category?",IF(M198="No","Action - no receipt",IF(AND(H198&gt;500,F198=""),"Add - describe a large payment","OK")))))</f>
        <v>0</v>
      </c>
    </row>
    <row r="199" spans="1:21">
      <c r="A199" s="43">
        <f>IF(B199="","",ExpensePrefix&amp;TEXT(ROW()-4,"0000"))</f>
        <v>0</v>
      </c>
      <c r="C199" s="23">
        <f>IF(B199="","",TEXT(B199,"yyyy-mm"))</f>
        <v>0</v>
      </c>
      <c r="Q199" s="21">
        <f>IF(B199="","",IF(H199="",0,H199)+IF(I199="",0,I199))</f>
        <v>0</v>
      </c>
      <c r="R199" s="21">
        <f>IF(OR(B199="",D199=""),"",SUMIFS($Q$5:$Q$404,$D$5:$D$404,D199,$C$5:$C$404,C199))</f>
        <v>0</v>
      </c>
      <c r="S199" s="38">
        <f>IF(OR(B199="",C199=""),"",IFERROR(R199/SUMIFS($Q$5:$Q$404,$C$5:$C$404,C199),""))</f>
        <v>0</v>
      </c>
      <c r="T199" s="23">
        <f>IF(K199="","",IFERROR(INDEX(Jobs!$H$5:$H$604,MATCH(K199,Jobs!$A$5:$A$604,0)),""))</f>
        <v>0</v>
      </c>
      <c r="U199" s="39">
        <f>IF(B199="","",IF(H199="","Add - how much?",IF(D199="","Add - which category?",IF(M199="No","Action - no receipt",IF(AND(H199&gt;500,F199=""),"Add - describe a large payment","OK")))))</f>
        <v>0</v>
      </c>
    </row>
    <row r="200" spans="1:21">
      <c r="A200" s="43">
        <f>IF(B200="","",ExpensePrefix&amp;TEXT(ROW()-4,"0000"))</f>
        <v>0</v>
      </c>
      <c r="C200" s="23">
        <f>IF(B200="","",TEXT(B200,"yyyy-mm"))</f>
        <v>0</v>
      </c>
      <c r="Q200" s="21">
        <f>IF(B200="","",IF(H200="",0,H200)+IF(I200="",0,I200))</f>
        <v>0</v>
      </c>
      <c r="R200" s="21">
        <f>IF(OR(B200="",D200=""),"",SUMIFS($Q$5:$Q$404,$D$5:$D$404,D200,$C$5:$C$404,C200))</f>
        <v>0</v>
      </c>
      <c r="S200" s="38">
        <f>IF(OR(B200="",C200=""),"",IFERROR(R200/SUMIFS($Q$5:$Q$404,$C$5:$C$404,C200),""))</f>
        <v>0</v>
      </c>
      <c r="T200" s="23">
        <f>IF(K200="","",IFERROR(INDEX(Jobs!$H$5:$H$604,MATCH(K200,Jobs!$A$5:$A$604,0)),""))</f>
        <v>0</v>
      </c>
      <c r="U200" s="39">
        <f>IF(B200="","",IF(H200="","Add - how much?",IF(D200="","Add - which category?",IF(M200="No","Action - no receipt",IF(AND(H200&gt;500,F200=""),"Add - describe a large payment","OK")))))</f>
        <v>0</v>
      </c>
    </row>
    <row r="201" spans="1:21">
      <c r="A201" s="43">
        <f>IF(B201="","",ExpensePrefix&amp;TEXT(ROW()-4,"0000"))</f>
        <v>0</v>
      </c>
      <c r="C201" s="23">
        <f>IF(B201="","",TEXT(B201,"yyyy-mm"))</f>
        <v>0</v>
      </c>
      <c r="Q201" s="21">
        <f>IF(B201="","",IF(H201="",0,H201)+IF(I201="",0,I201))</f>
        <v>0</v>
      </c>
      <c r="R201" s="21">
        <f>IF(OR(B201="",D201=""),"",SUMIFS($Q$5:$Q$404,$D$5:$D$404,D201,$C$5:$C$404,C201))</f>
        <v>0</v>
      </c>
      <c r="S201" s="38">
        <f>IF(OR(B201="",C201=""),"",IFERROR(R201/SUMIFS($Q$5:$Q$404,$C$5:$C$404,C201),""))</f>
        <v>0</v>
      </c>
      <c r="T201" s="23">
        <f>IF(K201="","",IFERROR(INDEX(Jobs!$H$5:$H$604,MATCH(K201,Jobs!$A$5:$A$604,0)),""))</f>
        <v>0</v>
      </c>
      <c r="U201" s="39">
        <f>IF(B201="","",IF(H201="","Add - how much?",IF(D201="","Add - which category?",IF(M201="No","Action - no receipt",IF(AND(H201&gt;500,F201=""),"Add - describe a large payment","OK")))))</f>
        <v>0</v>
      </c>
    </row>
    <row r="202" spans="1:21">
      <c r="A202" s="43">
        <f>IF(B202="","",ExpensePrefix&amp;TEXT(ROW()-4,"0000"))</f>
        <v>0</v>
      </c>
      <c r="C202" s="23">
        <f>IF(B202="","",TEXT(B202,"yyyy-mm"))</f>
        <v>0</v>
      </c>
      <c r="Q202" s="21">
        <f>IF(B202="","",IF(H202="",0,H202)+IF(I202="",0,I202))</f>
        <v>0</v>
      </c>
      <c r="R202" s="21">
        <f>IF(OR(B202="",D202=""),"",SUMIFS($Q$5:$Q$404,$D$5:$D$404,D202,$C$5:$C$404,C202))</f>
        <v>0</v>
      </c>
      <c r="S202" s="38">
        <f>IF(OR(B202="",C202=""),"",IFERROR(R202/SUMIFS($Q$5:$Q$404,$C$5:$C$404,C202),""))</f>
        <v>0</v>
      </c>
      <c r="T202" s="23">
        <f>IF(K202="","",IFERROR(INDEX(Jobs!$H$5:$H$604,MATCH(K202,Jobs!$A$5:$A$604,0)),""))</f>
        <v>0</v>
      </c>
      <c r="U202" s="39">
        <f>IF(B202="","",IF(H202="","Add - how much?",IF(D202="","Add - which category?",IF(M202="No","Action - no receipt",IF(AND(H202&gt;500,F202=""),"Add - describe a large payment","OK")))))</f>
        <v>0</v>
      </c>
    </row>
    <row r="203" spans="1:21">
      <c r="A203" s="43">
        <f>IF(B203="","",ExpensePrefix&amp;TEXT(ROW()-4,"0000"))</f>
        <v>0</v>
      </c>
      <c r="C203" s="23">
        <f>IF(B203="","",TEXT(B203,"yyyy-mm"))</f>
        <v>0</v>
      </c>
      <c r="Q203" s="21">
        <f>IF(B203="","",IF(H203="",0,H203)+IF(I203="",0,I203))</f>
        <v>0</v>
      </c>
      <c r="R203" s="21">
        <f>IF(OR(B203="",D203=""),"",SUMIFS($Q$5:$Q$404,$D$5:$D$404,D203,$C$5:$C$404,C203))</f>
        <v>0</v>
      </c>
      <c r="S203" s="38">
        <f>IF(OR(B203="",C203=""),"",IFERROR(R203/SUMIFS($Q$5:$Q$404,$C$5:$C$404,C203),""))</f>
        <v>0</v>
      </c>
      <c r="T203" s="23">
        <f>IF(K203="","",IFERROR(INDEX(Jobs!$H$5:$H$604,MATCH(K203,Jobs!$A$5:$A$604,0)),""))</f>
        <v>0</v>
      </c>
      <c r="U203" s="39">
        <f>IF(B203="","",IF(H203="","Add - how much?",IF(D203="","Add - which category?",IF(M203="No","Action - no receipt",IF(AND(H203&gt;500,F203=""),"Add - describe a large payment","OK")))))</f>
        <v>0</v>
      </c>
    </row>
    <row r="204" spans="1:21">
      <c r="A204" s="43">
        <f>IF(B204="","",ExpensePrefix&amp;TEXT(ROW()-4,"0000"))</f>
        <v>0</v>
      </c>
      <c r="C204" s="23">
        <f>IF(B204="","",TEXT(B204,"yyyy-mm"))</f>
        <v>0</v>
      </c>
      <c r="Q204" s="21">
        <f>IF(B204="","",IF(H204="",0,H204)+IF(I204="",0,I204))</f>
        <v>0</v>
      </c>
      <c r="R204" s="21">
        <f>IF(OR(B204="",D204=""),"",SUMIFS($Q$5:$Q$404,$D$5:$D$404,D204,$C$5:$C$404,C204))</f>
        <v>0</v>
      </c>
      <c r="S204" s="38">
        <f>IF(OR(B204="",C204=""),"",IFERROR(R204/SUMIFS($Q$5:$Q$404,$C$5:$C$404,C204),""))</f>
        <v>0</v>
      </c>
      <c r="T204" s="23">
        <f>IF(K204="","",IFERROR(INDEX(Jobs!$H$5:$H$604,MATCH(K204,Jobs!$A$5:$A$604,0)),""))</f>
        <v>0</v>
      </c>
      <c r="U204" s="39">
        <f>IF(B204="","",IF(H204="","Add - how much?",IF(D204="","Add - which category?",IF(M204="No","Action - no receipt",IF(AND(H204&gt;500,F204=""),"Add - describe a large payment","OK")))))</f>
        <v>0</v>
      </c>
    </row>
    <row r="205" spans="1:21">
      <c r="A205" s="43">
        <f>IF(B205="","",ExpensePrefix&amp;TEXT(ROW()-4,"0000"))</f>
        <v>0</v>
      </c>
      <c r="C205" s="23">
        <f>IF(B205="","",TEXT(B205,"yyyy-mm"))</f>
        <v>0</v>
      </c>
      <c r="Q205" s="21">
        <f>IF(B205="","",IF(H205="",0,H205)+IF(I205="",0,I205))</f>
        <v>0</v>
      </c>
      <c r="R205" s="21">
        <f>IF(OR(B205="",D205=""),"",SUMIFS($Q$5:$Q$404,$D$5:$D$404,D205,$C$5:$C$404,C205))</f>
        <v>0</v>
      </c>
      <c r="S205" s="38">
        <f>IF(OR(B205="",C205=""),"",IFERROR(R205/SUMIFS($Q$5:$Q$404,$C$5:$C$404,C205),""))</f>
        <v>0</v>
      </c>
      <c r="T205" s="23">
        <f>IF(K205="","",IFERROR(INDEX(Jobs!$H$5:$H$604,MATCH(K205,Jobs!$A$5:$A$604,0)),""))</f>
        <v>0</v>
      </c>
      <c r="U205" s="39">
        <f>IF(B205="","",IF(H205="","Add - how much?",IF(D205="","Add - which category?",IF(M205="No","Action - no receipt",IF(AND(H205&gt;500,F205=""),"Add - describe a large payment","OK")))))</f>
        <v>0</v>
      </c>
    </row>
    <row r="206" spans="1:21">
      <c r="A206" s="43">
        <f>IF(B206="","",ExpensePrefix&amp;TEXT(ROW()-4,"0000"))</f>
        <v>0</v>
      </c>
      <c r="C206" s="23">
        <f>IF(B206="","",TEXT(B206,"yyyy-mm"))</f>
        <v>0</v>
      </c>
      <c r="Q206" s="21">
        <f>IF(B206="","",IF(H206="",0,H206)+IF(I206="",0,I206))</f>
        <v>0</v>
      </c>
      <c r="R206" s="21">
        <f>IF(OR(B206="",D206=""),"",SUMIFS($Q$5:$Q$404,$D$5:$D$404,D206,$C$5:$C$404,C206))</f>
        <v>0</v>
      </c>
      <c r="S206" s="38">
        <f>IF(OR(B206="",C206=""),"",IFERROR(R206/SUMIFS($Q$5:$Q$404,$C$5:$C$404,C206),""))</f>
        <v>0</v>
      </c>
      <c r="T206" s="23">
        <f>IF(K206="","",IFERROR(INDEX(Jobs!$H$5:$H$604,MATCH(K206,Jobs!$A$5:$A$604,0)),""))</f>
        <v>0</v>
      </c>
      <c r="U206" s="39">
        <f>IF(B206="","",IF(H206="","Add - how much?",IF(D206="","Add - which category?",IF(M206="No","Action - no receipt",IF(AND(H206&gt;500,F206=""),"Add - describe a large payment","OK")))))</f>
        <v>0</v>
      </c>
    </row>
    <row r="207" spans="1:21">
      <c r="A207" s="43">
        <f>IF(B207="","",ExpensePrefix&amp;TEXT(ROW()-4,"0000"))</f>
        <v>0</v>
      </c>
      <c r="C207" s="23">
        <f>IF(B207="","",TEXT(B207,"yyyy-mm"))</f>
        <v>0</v>
      </c>
      <c r="Q207" s="21">
        <f>IF(B207="","",IF(H207="",0,H207)+IF(I207="",0,I207))</f>
        <v>0</v>
      </c>
      <c r="R207" s="21">
        <f>IF(OR(B207="",D207=""),"",SUMIFS($Q$5:$Q$404,$D$5:$D$404,D207,$C$5:$C$404,C207))</f>
        <v>0</v>
      </c>
      <c r="S207" s="38">
        <f>IF(OR(B207="",C207=""),"",IFERROR(R207/SUMIFS($Q$5:$Q$404,$C$5:$C$404,C207),""))</f>
        <v>0</v>
      </c>
      <c r="T207" s="23">
        <f>IF(K207="","",IFERROR(INDEX(Jobs!$H$5:$H$604,MATCH(K207,Jobs!$A$5:$A$604,0)),""))</f>
        <v>0</v>
      </c>
      <c r="U207" s="39">
        <f>IF(B207="","",IF(H207="","Add - how much?",IF(D207="","Add - which category?",IF(M207="No","Action - no receipt",IF(AND(H207&gt;500,F207=""),"Add - describe a large payment","OK")))))</f>
        <v>0</v>
      </c>
    </row>
    <row r="208" spans="1:21">
      <c r="A208" s="43">
        <f>IF(B208="","",ExpensePrefix&amp;TEXT(ROW()-4,"0000"))</f>
        <v>0</v>
      </c>
      <c r="C208" s="23">
        <f>IF(B208="","",TEXT(B208,"yyyy-mm"))</f>
        <v>0</v>
      </c>
      <c r="Q208" s="21">
        <f>IF(B208="","",IF(H208="",0,H208)+IF(I208="",0,I208))</f>
        <v>0</v>
      </c>
      <c r="R208" s="21">
        <f>IF(OR(B208="",D208=""),"",SUMIFS($Q$5:$Q$404,$D$5:$D$404,D208,$C$5:$C$404,C208))</f>
        <v>0</v>
      </c>
      <c r="S208" s="38">
        <f>IF(OR(B208="",C208=""),"",IFERROR(R208/SUMIFS($Q$5:$Q$404,$C$5:$C$404,C208),""))</f>
        <v>0</v>
      </c>
      <c r="T208" s="23">
        <f>IF(K208="","",IFERROR(INDEX(Jobs!$H$5:$H$604,MATCH(K208,Jobs!$A$5:$A$604,0)),""))</f>
        <v>0</v>
      </c>
      <c r="U208" s="39">
        <f>IF(B208="","",IF(H208="","Add - how much?",IF(D208="","Add - which category?",IF(M208="No","Action - no receipt",IF(AND(H208&gt;500,F208=""),"Add - describe a large payment","OK")))))</f>
        <v>0</v>
      </c>
    </row>
    <row r="209" spans="1:21">
      <c r="A209" s="43">
        <f>IF(B209="","",ExpensePrefix&amp;TEXT(ROW()-4,"0000"))</f>
        <v>0</v>
      </c>
      <c r="C209" s="23">
        <f>IF(B209="","",TEXT(B209,"yyyy-mm"))</f>
        <v>0</v>
      </c>
      <c r="Q209" s="21">
        <f>IF(B209="","",IF(H209="",0,H209)+IF(I209="",0,I209))</f>
        <v>0</v>
      </c>
      <c r="R209" s="21">
        <f>IF(OR(B209="",D209=""),"",SUMIFS($Q$5:$Q$404,$D$5:$D$404,D209,$C$5:$C$404,C209))</f>
        <v>0</v>
      </c>
      <c r="S209" s="38">
        <f>IF(OR(B209="",C209=""),"",IFERROR(R209/SUMIFS($Q$5:$Q$404,$C$5:$C$404,C209),""))</f>
        <v>0</v>
      </c>
      <c r="T209" s="23">
        <f>IF(K209="","",IFERROR(INDEX(Jobs!$H$5:$H$604,MATCH(K209,Jobs!$A$5:$A$604,0)),""))</f>
        <v>0</v>
      </c>
      <c r="U209" s="39">
        <f>IF(B209="","",IF(H209="","Add - how much?",IF(D209="","Add - which category?",IF(M209="No","Action - no receipt",IF(AND(H209&gt;500,F209=""),"Add - describe a large payment","OK")))))</f>
        <v>0</v>
      </c>
    </row>
    <row r="210" spans="1:21">
      <c r="A210" s="43">
        <f>IF(B210="","",ExpensePrefix&amp;TEXT(ROW()-4,"0000"))</f>
        <v>0</v>
      </c>
      <c r="C210" s="23">
        <f>IF(B210="","",TEXT(B210,"yyyy-mm"))</f>
        <v>0</v>
      </c>
      <c r="Q210" s="21">
        <f>IF(B210="","",IF(H210="",0,H210)+IF(I210="",0,I210))</f>
        <v>0</v>
      </c>
      <c r="R210" s="21">
        <f>IF(OR(B210="",D210=""),"",SUMIFS($Q$5:$Q$404,$D$5:$D$404,D210,$C$5:$C$404,C210))</f>
        <v>0</v>
      </c>
      <c r="S210" s="38">
        <f>IF(OR(B210="",C210=""),"",IFERROR(R210/SUMIFS($Q$5:$Q$404,$C$5:$C$404,C210),""))</f>
        <v>0</v>
      </c>
      <c r="T210" s="23">
        <f>IF(K210="","",IFERROR(INDEX(Jobs!$H$5:$H$604,MATCH(K210,Jobs!$A$5:$A$604,0)),""))</f>
        <v>0</v>
      </c>
      <c r="U210" s="39">
        <f>IF(B210="","",IF(H210="","Add - how much?",IF(D210="","Add - which category?",IF(M210="No","Action - no receipt",IF(AND(H210&gt;500,F210=""),"Add - describe a large payment","OK")))))</f>
        <v>0</v>
      </c>
    </row>
    <row r="211" spans="1:21">
      <c r="A211" s="43">
        <f>IF(B211="","",ExpensePrefix&amp;TEXT(ROW()-4,"0000"))</f>
        <v>0</v>
      </c>
      <c r="C211" s="23">
        <f>IF(B211="","",TEXT(B211,"yyyy-mm"))</f>
        <v>0</v>
      </c>
      <c r="Q211" s="21">
        <f>IF(B211="","",IF(H211="",0,H211)+IF(I211="",0,I211))</f>
        <v>0</v>
      </c>
      <c r="R211" s="21">
        <f>IF(OR(B211="",D211=""),"",SUMIFS($Q$5:$Q$404,$D$5:$D$404,D211,$C$5:$C$404,C211))</f>
        <v>0</v>
      </c>
      <c r="S211" s="38">
        <f>IF(OR(B211="",C211=""),"",IFERROR(R211/SUMIFS($Q$5:$Q$404,$C$5:$C$404,C211),""))</f>
        <v>0</v>
      </c>
      <c r="T211" s="23">
        <f>IF(K211="","",IFERROR(INDEX(Jobs!$H$5:$H$604,MATCH(K211,Jobs!$A$5:$A$604,0)),""))</f>
        <v>0</v>
      </c>
      <c r="U211" s="39">
        <f>IF(B211="","",IF(H211="","Add - how much?",IF(D211="","Add - which category?",IF(M211="No","Action - no receipt",IF(AND(H211&gt;500,F211=""),"Add - describe a large payment","OK")))))</f>
        <v>0</v>
      </c>
    </row>
    <row r="212" spans="1:21">
      <c r="A212" s="43">
        <f>IF(B212="","",ExpensePrefix&amp;TEXT(ROW()-4,"0000"))</f>
        <v>0</v>
      </c>
      <c r="C212" s="23">
        <f>IF(B212="","",TEXT(B212,"yyyy-mm"))</f>
        <v>0</v>
      </c>
      <c r="Q212" s="21">
        <f>IF(B212="","",IF(H212="",0,H212)+IF(I212="",0,I212))</f>
        <v>0</v>
      </c>
      <c r="R212" s="21">
        <f>IF(OR(B212="",D212=""),"",SUMIFS($Q$5:$Q$404,$D$5:$D$404,D212,$C$5:$C$404,C212))</f>
        <v>0</v>
      </c>
      <c r="S212" s="38">
        <f>IF(OR(B212="",C212=""),"",IFERROR(R212/SUMIFS($Q$5:$Q$404,$C$5:$C$404,C212),""))</f>
        <v>0</v>
      </c>
      <c r="T212" s="23">
        <f>IF(K212="","",IFERROR(INDEX(Jobs!$H$5:$H$604,MATCH(K212,Jobs!$A$5:$A$604,0)),""))</f>
        <v>0</v>
      </c>
      <c r="U212" s="39">
        <f>IF(B212="","",IF(H212="","Add - how much?",IF(D212="","Add - which category?",IF(M212="No","Action - no receipt",IF(AND(H212&gt;500,F212=""),"Add - describe a large payment","OK")))))</f>
        <v>0</v>
      </c>
    </row>
    <row r="213" spans="1:21">
      <c r="A213" s="43">
        <f>IF(B213="","",ExpensePrefix&amp;TEXT(ROW()-4,"0000"))</f>
        <v>0</v>
      </c>
      <c r="C213" s="23">
        <f>IF(B213="","",TEXT(B213,"yyyy-mm"))</f>
        <v>0</v>
      </c>
      <c r="Q213" s="21">
        <f>IF(B213="","",IF(H213="",0,H213)+IF(I213="",0,I213))</f>
        <v>0</v>
      </c>
      <c r="R213" s="21">
        <f>IF(OR(B213="",D213=""),"",SUMIFS($Q$5:$Q$404,$D$5:$D$404,D213,$C$5:$C$404,C213))</f>
        <v>0</v>
      </c>
      <c r="S213" s="38">
        <f>IF(OR(B213="",C213=""),"",IFERROR(R213/SUMIFS($Q$5:$Q$404,$C$5:$C$404,C213),""))</f>
        <v>0</v>
      </c>
      <c r="T213" s="23">
        <f>IF(K213="","",IFERROR(INDEX(Jobs!$H$5:$H$604,MATCH(K213,Jobs!$A$5:$A$604,0)),""))</f>
        <v>0</v>
      </c>
      <c r="U213" s="39">
        <f>IF(B213="","",IF(H213="","Add - how much?",IF(D213="","Add - which category?",IF(M213="No","Action - no receipt",IF(AND(H213&gt;500,F213=""),"Add - describe a large payment","OK")))))</f>
        <v>0</v>
      </c>
    </row>
    <row r="214" spans="1:21">
      <c r="A214" s="43">
        <f>IF(B214="","",ExpensePrefix&amp;TEXT(ROW()-4,"0000"))</f>
        <v>0</v>
      </c>
      <c r="C214" s="23">
        <f>IF(B214="","",TEXT(B214,"yyyy-mm"))</f>
        <v>0</v>
      </c>
      <c r="Q214" s="21">
        <f>IF(B214="","",IF(H214="",0,H214)+IF(I214="",0,I214))</f>
        <v>0</v>
      </c>
      <c r="R214" s="21">
        <f>IF(OR(B214="",D214=""),"",SUMIFS($Q$5:$Q$404,$D$5:$D$404,D214,$C$5:$C$404,C214))</f>
        <v>0</v>
      </c>
      <c r="S214" s="38">
        <f>IF(OR(B214="",C214=""),"",IFERROR(R214/SUMIFS($Q$5:$Q$404,$C$5:$C$404,C214),""))</f>
        <v>0</v>
      </c>
      <c r="T214" s="23">
        <f>IF(K214="","",IFERROR(INDEX(Jobs!$H$5:$H$604,MATCH(K214,Jobs!$A$5:$A$604,0)),""))</f>
        <v>0</v>
      </c>
      <c r="U214" s="39">
        <f>IF(B214="","",IF(H214="","Add - how much?",IF(D214="","Add - which category?",IF(M214="No","Action - no receipt",IF(AND(H214&gt;500,F214=""),"Add - describe a large payment","OK")))))</f>
        <v>0</v>
      </c>
    </row>
    <row r="215" spans="1:21">
      <c r="A215" s="43">
        <f>IF(B215="","",ExpensePrefix&amp;TEXT(ROW()-4,"0000"))</f>
        <v>0</v>
      </c>
      <c r="C215" s="23">
        <f>IF(B215="","",TEXT(B215,"yyyy-mm"))</f>
        <v>0</v>
      </c>
      <c r="Q215" s="21">
        <f>IF(B215="","",IF(H215="",0,H215)+IF(I215="",0,I215))</f>
        <v>0</v>
      </c>
      <c r="R215" s="21">
        <f>IF(OR(B215="",D215=""),"",SUMIFS($Q$5:$Q$404,$D$5:$D$404,D215,$C$5:$C$404,C215))</f>
        <v>0</v>
      </c>
      <c r="S215" s="38">
        <f>IF(OR(B215="",C215=""),"",IFERROR(R215/SUMIFS($Q$5:$Q$404,$C$5:$C$404,C215),""))</f>
        <v>0</v>
      </c>
      <c r="T215" s="23">
        <f>IF(K215="","",IFERROR(INDEX(Jobs!$H$5:$H$604,MATCH(K215,Jobs!$A$5:$A$604,0)),""))</f>
        <v>0</v>
      </c>
      <c r="U215" s="39">
        <f>IF(B215="","",IF(H215="","Add - how much?",IF(D215="","Add - which category?",IF(M215="No","Action - no receipt",IF(AND(H215&gt;500,F215=""),"Add - describe a large payment","OK")))))</f>
        <v>0</v>
      </c>
    </row>
    <row r="216" spans="1:21">
      <c r="A216" s="43">
        <f>IF(B216="","",ExpensePrefix&amp;TEXT(ROW()-4,"0000"))</f>
        <v>0</v>
      </c>
      <c r="C216" s="23">
        <f>IF(B216="","",TEXT(B216,"yyyy-mm"))</f>
        <v>0</v>
      </c>
      <c r="Q216" s="21">
        <f>IF(B216="","",IF(H216="",0,H216)+IF(I216="",0,I216))</f>
        <v>0</v>
      </c>
      <c r="R216" s="21">
        <f>IF(OR(B216="",D216=""),"",SUMIFS($Q$5:$Q$404,$D$5:$D$404,D216,$C$5:$C$404,C216))</f>
        <v>0</v>
      </c>
      <c r="S216" s="38">
        <f>IF(OR(B216="",C216=""),"",IFERROR(R216/SUMIFS($Q$5:$Q$404,$C$5:$C$404,C216),""))</f>
        <v>0</v>
      </c>
      <c r="T216" s="23">
        <f>IF(K216="","",IFERROR(INDEX(Jobs!$H$5:$H$604,MATCH(K216,Jobs!$A$5:$A$604,0)),""))</f>
        <v>0</v>
      </c>
      <c r="U216" s="39">
        <f>IF(B216="","",IF(H216="","Add - how much?",IF(D216="","Add - which category?",IF(M216="No","Action - no receipt",IF(AND(H216&gt;500,F216=""),"Add - describe a large payment","OK")))))</f>
        <v>0</v>
      </c>
    </row>
    <row r="217" spans="1:21">
      <c r="A217" s="43">
        <f>IF(B217="","",ExpensePrefix&amp;TEXT(ROW()-4,"0000"))</f>
        <v>0</v>
      </c>
      <c r="C217" s="23">
        <f>IF(B217="","",TEXT(B217,"yyyy-mm"))</f>
        <v>0</v>
      </c>
      <c r="Q217" s="21">
        <f>IF(B217="","",IF(H217="",0,H217)+IF(I217="",0,I217))</f>
        <v>0</v>
      </c>
      <c r="R217" s="21">
        <f>IF(OR(B217="",D217=""),"",SUMIFS($Q$5:$Q$404,$D$5:$D$404,D217,$C$5:$C$404,C217))</f>
        <v>0</v>
      </c>
      <c r="S217" s="38">
        <f>IF(OR(B217="",C217=""),"",IFERROR(R217/SUMIFS($Q$5:$Q$404,$C$5:$C$404,C217),""))</f>
        <v>0</v>
      </c>
      <c r="T217" s="23">
        <f>IF(K217="","",IFERROR(INDEX(Jobs!$H$5:$H$604,MATCH(K217,Jobs!$A$5:$A$604,0)),""))</f>
        <v>0</v>
      </c>
      <c r="U217" s="39">
        <f>IF(B217="","",IF(H217="","Add - how much?",IF(D217="","Add - which category?",IF(M217="No","Action - no receipt",IF(AND(H217&gt;500,F217=""),"Add - describe a large payment","OK")))))</f>
        <v>0</v>
      </c>
    </row>
    <row r="218" spans="1:21">
      <c r="A218" s="43">
        <f>IF(B218="","",ExpensePrefix&amp;TEXT(ROW()-4,"0000"))</f>
        <v>0</v>
      </c>
      <c r="C218" s="23">
        <f>IF(B218="","",TEXT(B218,"yyyy-mm"))</f>
        <v>0</v>
      </c>
      <c r="Q218" s="21">
        <f>IF(B218="","",IF(H218="",0,H218)+IF(I218="",0,I218))</f>
        <v>0</v>
      </c>
      <c r="R218" s="21">
        <f>IF(OR(B218="",D218=""),"",SUMIFS($Q$5:$Q$404,$D$5:$D$404,D218,$C$5:$C$404,C218))</f>
        <v>0</v>
      </c>
      <c r="S218" s="38">
        <f>IF(OR(B218="",C218=""),"",IFERROR(R218/SUMIFS($Q$5:$Q$404,$C$5:$C$404,C218),""))</f>
        <v>0</v>
      </c>
      <c r="T218" s="23">
        <f>IF(K218="","",IFERROR(INDEX(Jobs!$H$5:$H$604,MATCH(K218,Jobs!$A$5:$A$604,0)),""))</f>
        <v>0</v>
      </c>
      <c r="U218" s="39">
        <f>IF(B218="","",IF(H218="","Add - how much?",IF(D218="","Add - which category?",IF(M218="No","Action - no receipt",IF(AND(H218&gt;500,F218=""),"Add - describe a large payment","OK")))))</f>
        <v>0</v>
      </c>
    </row>
    <row r="219" spans="1:21">
      <c r="A219" s="43">
        <f>IF(B219="","",ExpensePrefix&amp;TEXT(ROW()-4,"0000"))</f>
        <v>0</v>
      </c>
      <c r="C219" s="23">
        <f>IF(B219="","",TEXT(B219,"yyyy-mm"))</f>
        <v>0</v>
      </c>
      <c r="Q219" s="21">
        <f>IF(B219="","",IF(H219="",0,H219)+IF(I219="",0,I219))</f>
        <v>0</v>
      </c>
      <c r="R219" s="21">
        <f>IF(OR(B219="",D219=""),"",SUMIFS($Q$5:$Q$404,$D$5:$D$404,D219,$C$5:$C$404,C219))</f>
        <v>0</v>
      </c>
      <c r="S219" s="38">
        <f>IF(OR(B219="",C219=""),"",IFERROR(R219/SUMIFS($Q$5:$Q$404,$C$5:$C$404,C219),""))</f>
        <v>0</v>
      </c>
      <c r="T219" s="23">
        <f>IF(K219="","",IFERROR(INDEX(Jobs!$H$5:$H$604,MATCH(K219,Jobs!$A$5:$A$604,0)),""))</f>
        <v>0</v>
      </c>
      <c r="U219" s="39">
        <f>IF(B219="","",IF(H219="","Add - how much?",IF(D219="","Add - which category?",IF(M219="No","Action - no receipt",IF(AND(H219&gt;500,F219=""),"Add - describe a large payment","OK")))))</f>
        <v>0</v>
      </c>
    </row>
    <row r="220" spans="1:21">
      <c r="A220" s="43">
        <f>IF(B220="","",ExpensePrefix&amp;TEXT(ROW()-4,"0000"))</f>
        <v>0</v>
      </c>
      <c r="C220" s="23">
        <f>IF(B220="","",TEXT(B220,"yyyy-mm"))</f>
        <v>0</v>
      </c>
      <c r="Q220" s="21">
        <f>IF(B220="","",IF(H220="",0,H220)+IF(I220="",0,I220))</f>
        <v>0</v>
      </c>
      <c r="R220" s="21">
        <f>IF(OR(B220="",D220=""),"",SUMIFS($Q$5:$Q$404,$D$5:$D$404,D220,$C$5:$C$404,C220))</f>
        <v>0</v>
      </c>
      <c r="S220" s="38">
        <f>IF(OR(B220="",C220=""),"",IFERROR(R220/SUMIFS($Q$5:$Q$404,$C$5:$C$404,C220),""))</f>
        <v>0</v>
      </c>
      <c r="T220" s="23">
        <f>IF(K220="","",IFERROR(INDEX(Jobs!$H$5:$H$604,MATCH(K220,Jobs!$A$5:$A$604,0)),""))</f>
        <v>0</v>
      </c>
      <c r="U220" s="39">
        <f>IF(B220="","",IF(H220="","Add - how much?",IF(D220="","Add - which category?",IF(M220="No","Action - no receipt",IF(AND(H220&gt;500,F220=""),"Add - describe a large payment","OK")))))</f>
        <v>0</v>
      </c>
    </row>
    <row r="221" spans="1:21">
      <c r="A221" s="43">
        <f>IF(B221="","",ExpensePrefix&amp;TEXT(ROW()-4,"0000"))</f>
        <v>0</v>
      </c>
      <c r="C221" s="23">
        <f>IF(B221="","",TEXT(B221,"yyyy-mm"))</f>
        <v>0</v>
      </c>
      <c r="Q221" s="21">
        <f>IF(B221="","",IF(H221="",0,H221)+IF(I221="",0,I221))</f>
        <v>0</v>
      </c>
      <c r="R221" s="21">
        <f>IF(OR(B221="",D221=""),"",SUMIFS($Q$5:$Q$404,$D$5:$D$404,D221,$C$5:$C$404,C221))</f>
        <v>0</v>
      </c>
      <c r="S221" s="38">
        <f>IF(OR(B221="",C221=""),"",IFERROR(R221/SUMIFS($Q$5:$Q$404,$C$5:$C$404,C221),""))</f>
        <v>0</v>
      </c>
      <c r="T221" s="23">
        <f>IF(K221="","",IFERROR(INDEX(Jobs!$H$5:$H$604,MATCH(K221,Jobs!$A$5:$A$604,0)),""))</f>
        <v>0</v>
      </c>
      <c r="U221" s="39">
        <f>IF(B221="","",IF(H221="","Add - how much?",IF(D221="","Add - which category?",IF(M221="No","Action - no receipt",IF(AND(H221&gt;500,F221=""),"Add - describe a large payment","OK")))))</f>
        <v>0</v>
      </c>
    </row>
    <row r="222" spans="1:21">
      <c r="A222" s="43">
        <f>IF(B222="","",ExpensePrefix&amp;TEXT(ROW()-4,"0000"))</f>
        <v>0</v>
      </c>
      <c r="C222" s="23">
        <f>IF(B222="","",TEXT(B222,"yyyy-mm"))</f>
        <v>0</v>
      </c>
      <c r="Q222" s="21">
        <f>IF(B222="","",IF(H222="",0,H222)+IF(I222="",0,I222))</f>
        <v>0</v>
      </c>
      <c r="R222" s="21">
        <f>IF(OR(B222="",D222=""),"",SUMIFS($Q$5:$Q$404,$D$5:$D$404,D222,$C$5:$C$404,C222))</f>
        <v>0</v>
      </c>
      <c r="S222" s="38">
        <f>IF(OR(B222="",C222=""),"",IFERROR(R222/SUMIFS($Q$5:$Q$404,$C$5:$C$404,C222),""))</f>
        <v>0</v>
      </c>
      <c r="T222" s="23">
        <f>IF(K222="","",IFERROR(INDEX(Jobs!$H$5:$H$604,MATCH(K222,Jobs!$A$5:$A$604,0)),""))</f>
        <v>0</v>
      </c>
      <c r="U222" s="39">
        <f>IF(B222="","",IF(H222="","Add - how much?",IF(D222="","Add - which category?",IF(M222="No","Action - no receipt",IF(AND(H222&gt;500,F222=""),"Add - describe a large payment","OK")))))</f>
        <v>0</v>
      </c>
    </row>
    <row r="223" spans="1:21">
      <c r="A223" s="43">
        <f>IF(B223="","",ExpensePrefix&amp;TEXT(ROW()-4,"0000"))</f>
        <v>0</v>
      </c>
      <c r="C223" s="23">
        <f>IF(B223="","",TEXT(B223,"yyyy-mm"))</f>
        <v>0</v>
      </c>
      <c r="Q223" s="21">
        <f>IF(B223="","",IF(H223="",0,H223)+IF(I223="",0,I223))</f>
        <v>0</v>
      </c>
      <c r="R223" s="21">
        <f>IF(OR(B223="",D223=""),"",SUMIFS($Q$5:$Q$404,$D$5:$D$404,D223,$C$5:$C$404,C223))</f>
        <v>0</v>
      </c>
      <c r="S223" s="38">
        <f>IF(OR(B223="",C223=""),"",IFERROR(R223/SUMIFS($Q$5:$Q$404,$C$5:$C$404,C223),""))</f>
        <v>0</v>
      </c>
      <c r="T223" s="23">
        <f>IF(K223="","",IFERROR(INDEX(Jobs!$H$5:$H$604,MATCH(K223,Jobs!$A$5:$A$604,0)),""))</f>
        <v>0</v>
      </c>
      <c r="U223" s="39">
        <f>IF(B223="","",IF(H223="","Add - how much?",IF(D223="","Add - which category?",IF(M223="No","Action - no receipt",IF(AND(H223&gt;500,F223=""),"Add - describe a large payment","OK")))))</f>
        <v>0</v>
      </c>
    </row>
    <row r="224" spans="1:21">
      <c r="A224" s="43">
        <f>IF(B224="","",ExpensePrefix&amp;TEXT(ROW()-4,"0000"))</f>
        <v>0</v>
      </c>
      <c r="C224" s="23">
        <f>IF(B224="","",TEXT(B224,"yyyy-mm"))</f>
        <v>0</v>
      </c>
      <c r="Q224" s="21">
        <f>IF(B224="","",IF(H224="",0,H224)+IF(I224="",0,I224))</f>
        <v>0</v>
      </c>
      <c r="R224" s="21">
        <f>IF(OR(B224="",D224=""),"",SUMIFS($Q$5:$Q$404,$D$5:$D$404,D224,$C$5:$C$404,C224))</f>
        <v>0</v>
      </c>
      <c r="S224" s="38">
        <f>IF(OR(B224="",C224=""),"",IFERROR(R224/SUMIFS($Q$5:$Q$404,$C$5:$C$404,C224),""))</f>
        <v>0</v>
      </c>
      <c r="T224" s="23">
        <f>IF(K224="","",IFERROR(INDEX(Jobs!$H$5:$H$604,MATCH(K224,Jobs!$A$5:$A$604,0)),""))</f>
        <v>0</v>
      </c>
      <c r="U224" s="39">
        <f>IF(B224="","",IF(H224="","Add - how much?",IF(D224="","Add - which category?",IF(M224="No","Action - no receipt",IF(AND(H224&gt;500,F224=""),"Add - describe a large payment","OK")))))</f>
        <v>0</v>
      </c>
    </row>
    <row r="225" spans="1:21">
      <c r="A225" s="43">
        <f>IF(B225="","",ExpensePrefix&amp;TEXT(ROW()-4,"0000"))</f>
        <v>0</v>
      </c>
      <c r="C225" s="23">
        <f>IF(B225="","",TEXT(B225,"yyyy-mm"))</f>
        <v>0</v>
      </c>
      <c r="Q225" s="21">
        <f>IF(B225="","",IF(H225="",0,H225)+IF(I225="",0,I225))</f>
        <v>0</v>
      </c>
      <c r="R225" s="21">
        <f>IF(OR(B225="",D225=""),"",SUMIFS($Q$5:$Q$404,$D$5:$D$404,D225,$C$5:$C$404,C225))</f>
        <v>0</v>
      </c>
      <c r="S225" s="38">
        <f>IF(OR(B225="",C225=""),"",IFERROR(R225/SUMIFS($Q$5:$Q$404,$C$5:$C$404,C225),""))</f>
        <v>0</v>
      </c>
      <c r="T225" s="23">
        <f>IF(K225="","",IFERROR(INDEX(Jobs!$H$5:$H$604,MATCH(K225,Jobs!$A$5:$A$604,0)),""))</f>
        <v>0</v>
      </c>
      <c r="U225" s="39">
        <f>IF(B225="","",IF(H225="","Add - how much?",IF(D225="","Add - which category?",IF(M225="No","Action - no receipt",IF(AND(H225&gt;500,F225=""),"Add - describe a large payment","OK")))))</f>
        <v>0</v>
      </c>
    </row>
    <row r="226" spans="1:21">
      <c r="A226" s="43">
        <f>IF(B226="","",ExpensePrefix&amp;TEXT(ROW()-4,"0000"))</f>
        <v>0</v>
      </c>
      <c r="C226" s="23">
        <f>IF(B226="","",TEXT(B226,"yyyy-mm"))</f>
        <v>0</v>
      </c>
      <c r="Q226" s="21">
        <f>IF(B226="","",IF(H226="",0,H226)+IF(I226="",0,I226))</f>
        <v>0</v>
      </c>
      <c r="R226" s="21">
        <f>IF(OR(B226="",D226=""),"",SUMIFS($Q$5:$Q$404,$D$5:$D$404,D226,$C$5:$C$404,C226))</f>
        <v>0</v>
      </c>
      <c r="S226" s="38">
        <f>IF(OR(B226="",C226=""),"",IFERROR(R226/SUMIFS($Q$5:$Q$404,$C$5:$C$404,C226),""))</f>
        <v>0</v>
      </c>
      <c r="T226" s="23">
        <f>IF(K226="","",IFERROR(INDEX(Jobs!$H$5:$H$604,MATCH(K226,Jobs!$A$5:$A$604,0)),""))</f>
        <v>0</v>
      </c>
      <c r="U226" s="39">
        <f>IF(B226="","",IF(H226="","Add - how much?",IF(D226="","Add - which category?",IF(M226="No","Action - no receipt",IF(AND(H226&gt;500,F226=""),"Add - describe a large payment","OK")))))</f>
        <v>0</v>
      </c>
    </row>
    <row r="227" spans="1:21">
      <c r="A227" s="43">
        <f>IF(B227="","",ExpensePrefix&amp;TEXT(ROW()-4,"0000"))</f>
        <v>0</v>
      </c>
      <c r="C227" s="23">
        <f>IF(B227="","",TEXT(B227,"yyyy-mm"))</f>
        <v>0</v>
      </c>
      <c r="Q227" s="21">
        <f>IF(B227="","",IF(H227="",0,H227)+IF(I227="",0,I227))</f>
        <v>0</v>
      </c>
      <c r="R227" s="21">
        <f>IF(OR(B227="",D227=""),"",SUMIFS($Q$5:$Q$404,$D$5:$D$404,D227,$C$5:$C$404,C227))</f>
        <v>0</v>
      </c>
      <c r="S227" s="38">
        <f>IF(OR(B227="",C227=""),"",IFERROR(R227/SUMIFS($Q$5:$Q$404,$C$5:$C$404,C227),""))</f>
        <v>0</v>
      </c>
      <c r="T227" s="23">
        <f>IF(K227="","",IFERROR(INDEX(Jobs!$H$5:$H$604,MATCH(K227,Jobs!$A$5:$A$604,0)),""))</f>
        <v>0</v>
      </c>
      <c r="U227" s="39">
        <f>IF(B227="","",IF(H227="","Add - how much?",IF(D227="","Add - which category?",IF(M227="No","Action - no receipt",IF(AND(H227&gt;500,F227=""),"Add - describe a large payment","OK")))))</f>
        <v>0</v>
      </c>
    </row>
    <row r="228" spans="1:21">
      <c r="A228" s="43">
        <f>IF(B228="","",ExpensePrefix&amp;TEXT(ROW()-4,"0000"))</f>
        <v>0</v>
      </c>
      <c r="C228" s="23">
        <f>IF(B228="","",TEXT(B228,"yyyy-mm"))</f>
        <v>0</v>
      </c>
      <c r="Q228" s="21">
        <f>IF(B228="","",IF(H228="",0,H228)+IF(I228="",0,I228))</f>
        <v>0</v>
      </c>
      <c r="R228" s="21">
        <f>IF(OR(B228="",D228=""),"",SUMIFS($Q$5:$Q$404,$D$5:$D$404,D228,$C$5:$C$404,C228))</f>
        <v>0</v>
      </c>
      <c r="S228" s="38">
        <f>IF(OR(B228="",C228=""),"",IFERROR(R228/SUMIFS($Q$5:$Q$404,$C$5:$C$404,C228),""))</f>
        <v>0</v>
      </c>
      <c r="T228" s="23">
        <f>IF(K228="","",IFERROR(INDEX(Jobs!$H$5:$H$604,MATCH(K228,Jobs!$A$5:$A$604,0)),""))</f>
        <v>0</v>
      </c>
      <c r="U228" s="39">
        <f>IF(B228="","",IF(H228="","Add - how much?",IF(D228="","Add - which category?",IF(M228="No","Action - no receipt",IF(AND(H228&gt;500,F228=""),"Add - describe a large payment","OK")))))</f>
        <v>0</v>
      </c>
    </row>
    <row r="229" spans="1:21">
      <c r="A229" s="43">
        <f>IF(B229="","",ExpensePrefix&amp;TEXT(ROW()-4,"0000"))</f>
        <v>0</v>
      </c>
      <c r="C229" s="23">
        <f>IF(B229="","",TEXT(B229,"yyyy-mm"))</f>
        <v>0</v>
      </c>
      <c r="Q229" s="21">
        <f>IF(B229="","",IF(H229="",0,H229)+IF(I229="",0,I229))</f>
        <v>0</v>
      </c>
      <c r="R229" s="21">
        <f>IF(OR(B229="",D229=""),"",SUMIFS($Q$5:$Q$404,$D$5:$D$404,D229,$C$5:$C$404,C229))</f>
        <v>0</v>
      </c>
      <c r="S229" s="38">
        <f>IF(OR(B229="",C229=""),"",IFERROR(R229/SUMIFS($Q$5:$Q$404,$C$5:$C$404,C229),""))</f>
        <v>0</v>
      </c>
      <c r="T229" s="23">
        <f>IF(K229="","",IFERROR(INDEX(Jobs!$H$5:$H$604,MATCH(K229,Jobs!$A$5:$A$604,0)),""))</f>
        <v>0</v>
      </c>
      <c r="U229" s="39">
        <f>IF(B229="","",IF(H229="","Add - how much?",IF(D229="","Add - which category?",IF(M229="No","Action - no receipt",IF(AND(H229&gt;500,F229=""),"Add - describe a large payment","OK")))))</f>
        <v>0</v>
      </c>
    </row>
    <row r="230" spans="1:21">
      <c r="A230" s="43">
        <f>IF(B230="","",ExpensePrefix&amp;TEXT(ROW()-4,"0000"))</f>
        <v>0</v>
      </c>
      <c r="C230" s="23">
        <f>IF(B230="","",TEXT(B230,"yyyy-mm"))</f>
        <v>0</v>
      </c>
      <c r="Q230" s="21">
        <f>IF(B230="","",IF(H230="",0,H230)+IF(I230="",0,I230))</f>
        <v>0</v>
      </c>
      <c r="R230" s="21">
        <f>IF(OR(B230="",D230=""),"",SUMIFS($Q$5:$Q$404,$D$5:$D$404,D230,$C$5:$C$404,C230))</f>
        <v>0</v>
      </c>
      <c r="S230" s="38">
        <f>IF(OR(B230="",C230=""),"",IFERROR(R230/SUMIFS($Q$5:$Q$404,$C$5:$C$404,C230),""))</f>
        <v>0</v>
      </c>
      <c r="T230" s="23">
        <f>IF(K230="","",IFERROR(INDEX(Jobs!$H$5:$H$604,MATCH(K230,Jobs!$A$5:$A$604,0)),""))</f>
        <v>0</v>
      </c>
      <c r="U230" s="39">
        <f>IF(B230="","",IF(H230="","Add - how much?",IF(D230="","Add - which category?",IF(M230="No","Action - no receipt",IF(AND(H230&gt;500,F230=""),"Add - describe a large payment","OK")))))</f>
        <v>0</v>
      </c>
    </row>
    <row r="231" spans="1:21">
      <c r="A231" s="43">
        <f>IF(B231="","",ExpensePrefix&amp;TEXT(ROW()-4,"0000"))</f>
        <v>0</v>
      </c>
      <c r="C231" s="23">
        <f>IF(B231="","",TEXT(B231,"yyyy-mm"))</f>
        <v>0</v>
      </c>
      <c r="Q231" s="21">
        <f>IF(B231="","",IF(H231="",0,H231)+IF(I231="",0,I231))</f>
        <v>0</v>
      </c>
      <c r="R231" s="21">
        <f>IF(OR(B231="",D231=""),"",SUMIFS($Q$5:$Q$404,$D$5:$D$404,D231,$C$5:$C$404,C231))</f>
        <v>0</v>
      </c>
      <c r="S231" s="38">
        <f>IF(OR(B231="",C231=""),"",IFERROR(R231/SUMIFS($Q$5:$Q$404,$C$5:$C$404,C231),""))</f>
        <v>0</v>
      </c>
      <c r="T231" s="23">
        <f>IF(K231="","",IFERROR(INDEX(Jobs!$H$5:$H$604,MATCH(K231,Jobs!$A$5:$A$604,0)),""))</f>
        <v>0</v>
      </c>
      <c r="U231" s="39">
        <f>IF(B231="","",IF(H231="","Add - how much?",IF(D231="","Add - which category?",IF(M231="No","Action - no receipt",IF(AND(H231&gt;500,F231=""),"Add - describe a large payment","OK")))))</f>
        <v>0</v>
      </c>
    </row>
    <row r="232" spans="1:21">
      <c r="A232" s="43">
        <f>IF(B232="","",ExpensePrefix&amp;TEXT(ROW()-4,"0000"))</f>
        <v>0</v>
      </c>
      <c r="C232" s="23">
        <f>IF(B232="","",TEXT(B232,"yyyy-mm"))</f>
        <v>0</v>
      </c>
      <c r="Q232" s="21">
        <f>IF(B232="","",IF(H232="",0,H232)+IF(I232="",0,I232))</f>
        <v>0</v>
      </c>
      <c r="R232" s="21">
        <f>IF(OR(B232="",D232=""),"",SUMIFS($Q$5:$Q$404,$D$5:$D$404,D232,$C$5:$C$404,C232))</f>
        <v>0</v>
      </c>
      <c r="S232" s="38">
        <f>IF(OR(B232="",C232=""),"",IFERROR(R232/SUMIFS($Q$5:$Q$404,$C$5:$C$404,C232),""))</f>
        <v>0</v>
      </c>
      <c r="T232" s="23">
        <f>IF(K232="","",IFERROR(INDEX(Jobs!$H$5:$H$604,MATCH(K232,Jobs!$A$5:$A$604,0)),""))</f>
        <v>0</v>
      </c>
      <c r="U232" s="39">
        <f>IF(B232="","",IF(H232="","Add - how much?",IF(D232="","Add - which category?",IF(M232="No","Action - no receipt",IF(AND(H232&gt;500,F232=""),"Add - describe a large payment","OK")))))</f>
        <v>0</v>
      </c>
    </row>
    <row r="233" spans="1:21">
      <c r="A233" s="43">
        <f>IF(B233="","",ExpensePrefix&amp;TEXT(ROW()-4,"0000"))</f>
        <v>0</v>
      </c>
      <c r="C233" s="23">
        <f>IF(B233="","",TEXT(B233,"yyyy-mm"))</f>
        <v>0</v>
      </c>
      <c r="Q233" s="21">
        <f>IF(B233="","",IF(H233="",0,H233)+IF(I233="",0,I233))</f>
        <v>0</v>
      </c>
      <c r="R233" s="21">
        <f>IF(OR(B233="",D233=""),"",SUMIFS($Q$5:$Q$404,$D$5:$D$404,D233,$C$5:$C$404,C233))</f>
        <v>0</v>
      </c>
      <c r="S233" s="38">
        <f>IF(OR(B233="",C233=""),"",IFERROR(R233/SUMIFS($Q$5:$Q$404,$C$5:$C$404,C233),""))</f>
        <v>0</v>
      </c>
      <c r="T233" s="23">
        <f>IF(K233="","",IFERROR(INDEX(Jobs!$H$5:$H$604,MATCH(K233,Jobs!$A$5:$A$604,0)),""))</f>
        <v>0</v>
      </c>
      <c r="U233" s="39">
        <f>IF(B233="","",IF(H233="","Add - how much?",IF(D233="","Add - which category?",IF(M233="No","Action - no receipt",IF(AND(H233&gt;500,F233=""),"Add - describe a large payment","OK")))))</f>
        <v>0</v>
      </c>
    </row>
    <row r="234" spans="1:21">
      <c r="A234" s="43">
        <f>IF(B234="","",ExpensePrefix&amp;TEXT(ROW()-4,"0000"))</f>
        <v>0</v>
      </c>
      <c r="C234" s="23">
        <f>IF(B234="","",TEXT(B234,"yyyy-mm"))</f>
        <v>0</v>
      </c>
      <c r="Q234" s="21">
        <f>IF(B234="","",IF(H234="",0,H234)+IF(I234="",0,I234))</f>
        <v>0</v>
      </c>
      <c r="R234" s="21">
        <f>IF(OR(B234="",D234=""),"",SUMIFS($Q$5:$Q$404,$D$5:$D$404,D234,$C$5:$C$404,C234))</f>
        <v>0</v>
      </c>
      <c r="S234" s="38">
        <f>IF(OR(B234="",C234=""),"",IFERROR(R234/SUMIFS($Q$5:$Q$404,$C$5:$C$404,C234),""))</f>
        <v>0</v>
      </c>
      <c r="T234" s="23">
        <f>IF(K234="","",IFERROR(INDEX(Jobs!$H$5:$H$604,MATCH(K234,Jobs!$A$5:$A$604,0)),""))</f>
        <v>0</v>
      </c>
      <c r="U234" s="39">
        <f>IF(B234="","",IF(H234="","Add - how much?",IF(D234="","Add - which category?",IF(M234="No","Action - no receipt",IF(AND(H234&gt;500,F234=""),"Add - describe a large payment","OK")))))</f>
        <v>0</v>
      </c>
    </row>
    <row r="235" spans="1:21">
      <c r="A235" s="43">
        <f>IF(B235="","",ExpensePrefix&amp;TEXT(ROW()-4,"0000"))</f>
        <v>0</v>
      </c>
      <c r="C235" s="23">
        <f>IF(B235="","",TEXT(B235,"yyyy-mm"))</f>
        <v>0</v>
      </c>
      <c r="Q235" s="21">
        <f>IF(B235="","",IF(H235="",0,H235)+IF(I235="",0,I235))</f>
        <v>0</v>
      </c>
      <c r="R235" s="21">
        <f>IF(OR(B235="",D235=""),"",SUMIFS($Q$5:$Q$404,$D$5:$D$404,D235,$C$5:$C$404,C235))</f>
        <v>0</v>
      </c>
      <c r="S235" s="38">
        <f>IF(OR(B235="",C235=""),"",IFERROR(R235/SUMIFS($Q$5:$Q$404,$C$5:$C$404,C235),""))</f>
        <v>0</v>
      </c>
      <c r="T235" s="23">
        <f>IF(K235="","",IFERROR(INDEX(Jobs!$H$5:$H$604,MATCH(K235,Jobs!$A$5:$A$604,0)),""))</f>
        <v>0</v>
      </c>
      <c r="U235" s="39">
        <f>IF(B235="","",IF(H235="","Add - how much?",IF(D235="","Add - which category?",IF(M235="No","Action - no receipt",IF(AND(H235&gt;500,F235=""),"Add - describe a large payment","OK")))))</f>
        <v>0</v>
      </c>
    </row>
    <row r="236" spans="1:21">
      <c r="A236" s="43">
        <f>IF(B236="","",ExpensePrefix&amp;TEXT(ROW()-4,"0000"))</f>
        <v>0</v>
      </c>
      <c r="C236" s="23">
        <f>IF(B236="","",TEXT(B236,"yyyy-mm"))</f>
        <v>0</v>
      </c>
      <c r="Q236" s="21">
        <f>IF(B236="","",IF(H236="",0,H236)+IF(I236="",0,I236))</f>
        <v>0</v>
      </c>
      <c r="R236" s="21">
        <f>IF(OR(B236="",D236=""),"",SUMIFS($Q$5:$Q$404,$D$5:$D$404,D236,$C$5:$C$404,C236))</f>
        <v>0</v>
      </c>
      <c r="S236" s="38">
        <f>IF(OR(B236="",C236=""),"",IFERROR(R236/SUMIFS($Q$5:$Q$404,$C$5:$C$404,C236),""))</f>
        <v>0</v>
      </c>
      <c r="T236" s="23">
        <f>IF(K236="","",IFERROR(INDEX(Jobs!$H$5:$H$604,MATCH(K236,Jobs!$A$5:$A$604,0)),""))</f>
        <v>0</v>
      </c>
      <c r="U236" s="39">
        <f>IF(B236="","",IF(H236="","Add - how much?",IF(D236="","Add - which category?",IF(M236="No","Action - no receipt",IF(AND(H236&gt;500,F236=""),"Add - describe a large payment","OK")))))</f>
        <v>0</v>
      </c>
    </row>
    <row r="237" spans="1:21">
      <c r="A237" s="43">
        <f>IF(B237="","",ExpensePrefix&amp;TEXT(ROW()-4,"0000"))</f>
        <v>0</v>
      </c>
      <c r="C237" s="23">
        <f>IF(B237="","",TEXT(B237,"yyyy-mm"))</f>
        <v>0</v>
      </c>
      <c r="Q237" s="21">
        <f>IF(B237="","",IF(H237="",0,H237)+IF(I237="",0,I237))</f>
        <v>0</v>
      </c>
      <c r="R237" s="21">
        <f>IF(OR(B237="",D237=""),"",SUMIFS($Q$5:$Q$404,$D$5:$D$404,D237,$C$5:$C$404,C237))</f>
        <v>0</v>
      </c>
      <c r="S237" s="38">
        <f>IF(OR(B237="",C237=""),"",IFERROR(R237/SUMIFS($Q$5:$Q$404,$C$5:$C$404,C237),""))</f>
        <v>0</v>
      </c>
      <c r="T237" s="23">
        <f>IF(K237="","",IFERROR(INDEX(Jobs!$H$5:$H$604,MATCH(K237,Jobs!$A$5:$A$604,0)),""))</f>
        <v>0</v>
      </c>
      <c r="U237" s="39">
        <f>IF(B237="","",IF(H237="","Add - how much?",IF(D237="","Add - which category?",IF(M237="No","Action - no receipt",IF(AND(H237&gt;500,F237=""),"Add - describe a large payment","OK")))))</f>
        <v>0</v>
      </c>
    </row>
    <row r="238" spans="1:21">
      <c r="A238" s="43">
        <f>IF(B238="","",ExpensePrefix&amp;TEXT(ROW()-4,"0000"))</f>
        <v>0</v>
      </c>
      <c r="C238" s="23">
        <f>IF(B238="","",TEXT(B238,"yyyy-mm"))</f>
        <v>0</v>
      </c>
      <c r="Q238" s="21">
        <f>IF(B238="","",IF(H238="",0,H238)+IF(I238="",0,I238))</f>
        <v>0</v>
      </c>
      <c r="R238" s="21">
        <f>IF(OR(B238="",D238=""),"",SUMIFS($Q$5:$Q$404,$D$5:$D$404,D238,$C$5:$C$404,C238))</f>
        <v>0</v>
      </c>
      <c r="S238" s="38">
        <f>IF(OR(B238="",C238=""),"",IFERROR(R238/SUMIFS($Q$5:$Q$404,$C$5:$C$404,C238),""))</f>
        <v>0</v>
      </c>
      <c r="T238" s="23">
        <f>IF(K238="","",IFERROR(INDEX(Jobs!$H$5:$H$604,MATCH(K238,Jobs!$A$5:$A$604,0)),""))</f>
        <v>0</v>
      </c>
      <c r="U238" s="39">
        <f>IF(B238="","",IF(H238="","Add - how much?",IF(D238="","Add - which category?",IF(M238="No","Action - no receipt",IF(AND(H238&gt;500,F238=""),"Add - describe a large payment","OK")))))</f>
        <v>0</v>
      </c>
    </row>
    <row r="239" spans="1:21">
      <c r="A239" s="43">
        <f>IF(B239="","",ExpensePrefix&amp;TEXT(ROW()-4,"0000"))</f>
        <v>0</v>
      </c>
      <c r="C239" s="23">
        <f>IF(B239="","",TEXT(B239,"yyyy-mm"))</f>
        <v>0</v>
      </c>
      <c r="Q239" s="21">
        <f>IF(B239="","",IF(H239="",0,H239)+IF(I239="",0,I239))</f>
        <v>0</v>
      </c>
      <c r="R239" s="21">
        <f>IF(OR(B239="",D239=""),"",SUMIFS($Q$5:$Q$404,$D$5:$D$404,D239,$C$5:$C$404,C239))</f>
        <v>0</v>
      </c>
      <c r="S239" s="38">
        <f>IF(OR(B239="",C239=""),"",IFERROR(R239/SUMIFS($Q$5:$Q$404,$C$5:$C$404,C239),""))</f>
        <v>0</v>
      </c>
      <c r="T239" s="23">
        <f>IF(K239="","",IFERROR(INDEX(Jobs!$H$5:$H$604,MATCH(K239,Jobs!$A$5:$A$604,0)),""))</f>
        <v>0</v>
      </c>
      <c r="U239" s="39">
        <f>IF(B239="","",IF(H239="","Add - how much?",IF(D239="","Add - which category?",IF(M239="No","Action - no receipt",IF(AND(H239&gt;500,F239=""),"Add - describe a large payment","OK")))))</f>
        <v>0</v>
      </c>
    </row>
    <row r="240" spans="1:21">
      <c r="A240" s="43">
        <f>IF(B240="","",ExpensePrefix&amp;TEXT(ROW()-4,"0000"))</f>
        <v>0</v>
      </c>
      <c r="C240" s="23">
        <f>IF(B240="","",TEXT(B240,"yyyy-mm"))</f>
        <v>0</v>
      </c>
      <c r="Q240" s="21">
        <f>IF(B240="","",IF(H240="",0,H240)+IF(I240="",0,I240))</f>
        <v>0</v>
      </c>
      <c r="R240" s="21">
        <f>IF(OR(B240="",D240=""),"",SUMIFS($Q$5:$Q$404,$D$5:$D$404,D240,$C$5:$C$404,C240))</f>
        <v>0</v>
      </c>
      <c r="S240" s="38">
        <f>IF(OR(B240="",C240=""),"",IFERROR(R240/SUMIFS($Q$5:$Q$404,$C$5:$C$404,C240),""))</f>
        <v>0</v>
      </c>
      <c r="T240" s="23">
        <f>IF(K240="","",IFERROR(INDEX(Jobs!$H$5:$H$604,MATCH(K240,Jobs!$A$5:$A$604,0)),""))</f>
        <v>0</v>
      </c>
      <c r="U240" s="39">
        <f>IF(B240="","",IF(H240="","Add - how much?",IF(D240="","Add - which category?",IF(M240="No","Action - no receipt",IF(AND(H240&gt;500,F240=""),"Add - describe a large payment","OK")))))</f>
        <v>0</v>
      </c>
    </row>
    <row r="241" spans="1:21">
      <c r="A241" s="43">
        <f>IF(B241="","",ExpensePrefix&amp;TEXT(ROW()-4,"0000"))</f>
        <v>0</v>
      </c>
      <c r="C241" s="23">
        <f>IF(B241="","",TEXT(B241,"yyyy-mm"))</f>
        <v>0</v>
      </c>
      <c r="Q241" s="21">
        <f>IF(B241="","",IF(H241="",0,H241)+IF(I241="",0,I241))</f>
        <v>0</v>
      </c>
      <c r="R241" s="21">
        <f>IF(OR(B241="",D241=""),"",SUMIFS($Q$5:$Q$404,$D$5:$D$404,D241,$C$5:$C$404,C241))</f>
        <v>0</v>
      </c>
      <c r="S241" s="38">
        <f>IF(OR(B241="",C241=""),"",IFERROR(R241/SUMIFS($Q$5:$Q$404,$C$5:$C$404,C241),""))</f>
        <v>0</v>
      </c>
      <c r="T241" s="23">
        <f>IF(K241="","",IFERROR(INDEX(Jobs!$H$5:$H$604,MATCH(K241,Jobs!$A$5:$A$604,0)),""))</f>
        <v>0</v>
      </c>
      <c r="U241" s="39">
        <f>IF(B241="","",IF(H241="","Add - how much?",IF(D241="","Add - which category?",IF(M241="No","Action - no receipt",IF(AND(H241&gt;500,F241=""),"Add - describe a large payment","OK")))))</f>
        <v>0</v>
      </c>
    </row>
    <row r="242" spans="1:21">
      <c r="A242" s="43">
        <f>IF(B242="","",ExpensePrefix&amp;TEXT(ROW()-4,"0000"))</f>
        <v>0</v>
      </c>
      <c r="C242" s="23">
        <f>IF(B242="","",TEXT(B242,"yyyy-mm"))</f>
        <v>0</v>
      </c>
      <c r="Q242" s="21">
        <f>IF(B242="","",IF(H242="",0,H242)+IF(I242="",0,I242))</f>
        <v>0</v>
      </c>
      <c r="R242" s="21">
        <f>IF(OR(B242="",D242=""),"",SUMIFS($Q$5:$Q$404,$D$5:$D$404,D242,$C$5:$C$404,C242))</f>
        <v>0</v>
      </c>
      <c r="S242" s="38">
        <f>IF(OR(B242="",C242=""),"",IFERROR(R242/SUMIFS($Q$5:$Q$404,$C$5:$C$404,C242),""))</f>
        <v>0</v>
      </c>
      <c r="T242" s="23">
        <f>IF(K242="","",IFERROR(INDEX(Jobs!$H$5:$H$604,MATCH(K242,Jobs!$A$5:$A$604,0)),""))</f>
        <v>0</v>
      </c>
      <c r="U242" s="39">
        <f>IF(B242="","",IF(H242="","Add - how much?",IF(D242="","Add - which category?",IF(M242="No","Action - no receipt",IF(AND(H242&gt;500,F242=""),"Add - describe a large payment","OK")))))</f>
        <v>0</v>
      </c>
    </row>
    <row r="243" spans="1:21">
      <c r="A243" s="43">
        <f>IF(B243="","",ExpensePrefix&amp;TEXT(ROW()-4,"0000"))</f>
        <v>0</v>
      </c>
      <c r="C243" s="23">
        <f>IF(B243="","",TEXT(B243,"yyyy-mm"))</f>
        <v>0</v>
      </c>
      <c r="Q243" s="21">
        <f>IF(B243="","",IF(H243="",0,H243)+IF(I243="",0,I243))</f>
        <v>0</v>
      </c>
      <c r="R243" s="21">
        <f>IF(OR(B243="",D243=""),"",SUMIFS($Q$5:$Q$404,$D$5:$D$404,D243,$C$5:$C$404,C243))</f>
        <v>0</v>
      </c>
      <c r="S243" s="38">
        <f>IF(OR(B243="",C243=""),"",IFERROR(R243/SUMIFS($Q$5:$Q$404,$C$5:$C$404,C243),""))</f>
        <v>0</v>
      </c>
      <c r="T243" s="23">
        <f>IF(K243="","",IFERROR(INDEX(Jobs!$H$5:$H$604,MATCH(K243,Jobs!$A$5:$A$604,0)),""))</f>
        <v>0</v>
      </c>
      <c r="U243" s="39">
        <f>IF(B243="","",IF(H243="","Add - how much?",IF(D243="","Add - which category?",IF(M243="No","Action - no receipt",IF(AND(H243&gt;500,F243=""),"Add - describe a large payment","OK")))))</f>
        <v>0</v>
      </c>
    </row>
    <row r="244" spans="1:21">
      <c r="A244" s="43">
        <f>IF(B244="","",ExpensePrefix&amp;TEXT(ROW()-4,"0000"))</f>
        <v>0</v>
      </c>
      <c r="C244" s="23">
        <f>IF(B244="","",TEXT(B244,"yyyy-mm"))</f>
        <v>0</v>
      </c>
      <c r="Q244" s="21">
        <f>IF(B244="","",IF(H244="",0,H244)+IF(I244="",0,I244))</f>
        <v>0</v>
      </c>
      <c r="R244" s="21">
        <f>IF(OR(B244="",D244=""),"",SUMIFS($Q$5:$Q$404,$D$5:$D$404,D244,$C$5:$C$404,C244))</f>
        <v>0</v>
      </c>
      <c r="S244" s="38">
        <f>IF(OR(B244="",C244=""),"",IFERROR(R244/SUMIFS($Q$5:$Q$404,$C$5:$C$404,C244),""))</f>
        <v>0</v>
      </c>
      <c r="T244" s="23">
        <f>IF(K244="","",IFERROR(INDEX(Jobs!$H$5:$H$604,MATCH(K244,Jobs!$A$5:$A$604,0)),""))</f>
        <v>0</v>
      </c>
      <c r="U244" s="39">
        <f>IF(B244="","",IF(H244="","Add - how much?",IF(D244="","Add - which category?",IF(M244="No","Action - no receipt",IF(AND(H244&gt;500,F244=""),"Add - describe a large payment","OK")))))</f>
        <v>0</v>
      </c>
    </row>
    <row r="245" spans="1:21">
      <c r="A245" s="43">
        <f>IF(B245="","",ExpensePrefix&amp;TEXT(ROW()-4,"0000"))</f>
        <v>0</v>
      </c>
      <c r="C245" s="23">
        <f>IF(B245="","",TEXT(B245,"yyyy-mm"))</f>
        <v>0</v>
      </c>
      <c r="Q245" s="21">
        <f>IF(B245="","",IF(H245="",0,H245)+IF(I245="",0,I245))</f>
        <v>0</v>
      </c>
      <c r="R245" s="21">
        <f>IF(OR(B245="",D245=""),"",SUMIFS($Q$5:$Q$404,$D$5:$D$404,D245,$C$5:$C$404,C245))</f>
        <v>0</v>
      </c>
      <c r="S245" s="38">
        <f>IF(OR(B245="",C245=""),"",IFERROR(R245/SUMIFS($Q$5:$Q$404,$C$5:$C$404,C245),""))</f>
        <v>0</v>
      </c>
      <c r="T245" s="23">
        <f>IF(K245="","",IFERROR(INDEX(Jobs!$H$5:$H$604,MATCH(K245,Jobs!$A$5:$A$604,0)),""))</f>
        <v>0</v>
      </c>
      <c r="U245" s="39">
        <f>IF(B245="","",IF(H245="","Add - how much?",IF(D245="","Add - which category?",IF(M245="No","Action - no receipt",IF(AND(H245&gt;500,F245=""),"Add - describe a large payment","OK")))))</f>
        <v>0</v>
      </c>
    </row>
    <row r="246" spans="1:21">
      <c r="A246" s="43">
        <f>IF(B246="","",ExpensePrefix&amp;TEXT(ROW()-4,"0000"))</f>
        <v>0</v>
      </c>
      <c r="C246" s="23">
        <f>IF(B246="","",TEXT(B246,"yyyy-mm"))</f>
        <v>0</v>
      </c>
      <c r="Q246" s="21">
        <f>IF(B246="","",IF(H246="",0,H246)+IF(I246="",0,I246))</f>
        <v>0</v>
      </c>
      <c r="R246" s="21">
        <f>IF(OR(B246="",D246=""),"",SUMIFS($Q$5:$Q$404,$D$5:$D$404,D246,$C$5:$C$404,C246))</f>
        <v>0</v>
      </c>
      <c r="S246" s="38">
        <f>IF(OR(B246="",C246=""),"",IFERROR(R246/SUMIFS($Q$5:$Q$404,$C$5:$C$404,C246),""))</f>
        <v>0</v>
      </c>
      <c r="T246" s="23">
        <f>IF(K246="","",IFERROR(INDEX(Jobs!$H$5:$H$604,MATCH(K246,Jobs!$A$5:$A$604,0)),""))</f>
        <v>0</v>
      </c>
      <c r="U246" s="39">
        <f>IF(B246="","",IF(H246="","Add - how much?",IF(D246="","Add - which category?",IF(M246="No","Action - no receipt",IF(AND(H246&gt;500,F246=""),"Add - describe a large payment","OK")))))</f>
        <v>0</v>
      </c>
    </row>
    <row r="247" spans="1:21">
      <c r="A247" s="43">
        <f>IF(B247="","",ExpensePrefix&amp;TEXT(ROW()-4,"0000"))</f>
        <v>0</v>
      </c>
      <c r="C247" s="23">
        <f>IF(B247="","",TEXT(B247,"yyyy-mm"))</f>
        <v>0</v>
      </c>
      <c r="Q247" s="21">
        <f>IF(B247="","",IF(H247="",0,H247)+IF(I247="",0,I247))</f>
        <v>0</v>
      </c>
      <c r="R247" s="21">
        <f>IF(OR(B247="",D247=""),"",SUMIFS($Q$5:$Q$404,$D$5:$D$404,D247,$C$5:$C$404,C247))</f>
        <v>0</v>
      </c>
      <c r="S247" s="38">
        <f>IF(OR(B247="",C247=""),"",IFERROR(R247/SUMIFS($Q$5:$Q$404,$C$5:$C$404,C247),""))</f>
        <v>0</v>
      </c>
      <c r="T247" s="23">
        <f>IF(K247="","",IFERROR(INDEX(Jobs!$H$5:$H$604,MATCH(K247,Jobs!$A$5:$A$604,0)),""))</f>
        <v>0</v>
      </c>
      <c r="U247" s="39">
        <f>IF(B247="","",IF(H247="","Add - how much?",IF(D247="","Add - which category?",IF(M247="No","Action - no receipt",IF(AND(H247&gt;500,F247=""),"Add - describe a large payment","OK")))))</f>
        <v>0</v>
      </c>
    </row>
    <row r="248" spans="1:21">
      <c r="A248" s="43">
        <f>IF(B248="","",ExpensePrefix&amp;TEXT(ROW()-4,"0000"))</f>
        <v>0</v>
      </c>
      <c r="C248" s="23">
        <f>IF(B248="","",TEXT(B248,"yyyy-mm"))</f>
        <v>0</v>
      </c>
      <c r="Q248" s="21">
        <f>IF(B248="","",IF(H248="",0,H248)+IF(I248="",0,I248))</f>
        <v>0</v>
      </c>
      <c r="R248" s="21">
        <f>IF(OR(B248="",D248=""),"",SUMIFS($Q$5:$Q$404,$D$5:$D$404,D248,$C$5:$C$404,C248))</f>
        <v>0</v>
      </c>
      <c r="S248" s="38">
        <f>IF(OR(B248="",C248=""),"",IFERROR(R248/SUMIFS($Q$5:$Q$404,$C$5:$C$404,C248),""))</f>
        <v>0</v>
      </c>
      <c r="T248" s="23">
        <f>IF(K248="","",IFERROR(INDEX(Jobs!$H$5:$H$604,MATCH(K248,Jobs!$A$5:$A$604,0)),""))</f>
        <v>0</v>
      </c>
      <c r="U248" s="39">
        <f>IF(B248="","",IF(H248="","Add - how much?",IF(D248="","Add - which category?",IF(M248="No","Action - no receipt",IF(AND(H248&gt;500,F248=""),"Add - describe a large payment","OK")))))</f>
        <v>0</v>
      </c>
    </row>
    <row r="249" spans="1:21">
      <c r="A249" s="43">
        <f>IF(B249="","",ExpensePrefix&amp;TEXT(ROW()-4,"0000"))</f>
        <v>0</v>
      </c>
      <c r="C249" s="23">
        <f>IF(B249="","",TEXT(B249,"yyyy-mm"))</f>
        <v>0</v>
      </c>
      <c r="Q249" s="21">
        <f>IF(B249="","",IF(H249="",0,H249)+IF(I249="",0,I249))</f>
        <v>0</v>
      </c>
      <c r="R249" s="21">
        <f>IF(OR(B249="",D249=""),"",SUMIFS($Q$5:$Q$404,$D$5:$D$404,D249,$C$5:$C$404,C249))</f>
        <v>0</v>
      </c>
      <c r="S249" s="38">
        <f>IF(OR(B249="",C249=""),"",IFERROR(R249/SUMIFS($Q$5:$Q$404,$C$5:$C$404,C249),""))</f>
        <v>0</v>
      </c>
      <c r="T249" s="23">
        <f>IF(K249="","",IFERROR(INDEX(Jobs!$H$5:$H$604,MATCH(K249,Jobs!$A$5:$A$604,0)),""))</f>
        <v>0</v>
      </c>
      <c r="U249" s="39">
        <f>IF(B249="","",IF(H249="","Add - how much?",IF(D249="","Add - which category?",IF(M249="No","Action - no receipt",IF(AND(H249&gt;500,F249=""),"Add - describe a large payment","OK")))))</f>
        <v>0</v>
      </c>
    </row>
    <row r="250" spans="1:21">
      <c r="A250" s="43">
        <f>IF(B250="","",ExpensePrefix&amp;TEXT(ROW()-4,"0000"))</f>
        <v>0</v>
      </c>
      <c r="C250" s="23">
        <f>IF(B250="","",TEXT(B250,"yyyy-mm"))</f>
        <v>0</v>
      </c>
      <c r="Q250" s="21">
        <f>IF(B250="","",IF(H250="",0,H250)+IF(I250="",0,I250))</f>
        <v>0</v>
      </c>
      <c r="R250" s="21">
        <f>IF(OR(B250="",D250=""),"",SUMIFS($Q$5:$Q$404,$D$5:$D$404,D250,$C$5:$C$404,C250))</f>
        <v>0</v>
      </c>
      <c r="S250" s="38">
        <f>IF(OR(B250="",C250=""),"",IFERROR(R250/SUMIFS($Q$5:$Q$404,$C$5:$C$404,C250),""))</f>
        <v>0</v>
      </c>
      <c r="T250" s="23">
        <f>IF(K250="","",IFERROR(INDEX(Jobs!$H$5:$H$604,MATCH(K250,Jobs!$A$5:$A$604,0)),""))</f>
        <v>0</v>
      </c>
      <c r="U250" s="39">
        <f>IF(B250="","",IF(H250="","Add - how much?",IF(D250="","Add - which category?",IF(M250="No","Action - no receipt",IF(AND(H250&gt;500,F250=""),"Add - describe a large payment","OK")))))</f>
        <v>0</v>
      </c>
    </row>
    <row r="251" spans="1:21">
      <c r="A251" s="43">
        <f>IF(B251="","",ExpensePrefix&amp;TEXT(ROW()-4,"0000"))</f>
        <v>0</v>
      </c>
      <c r="C251" s="23">
        <f>IF(B251="","",TEXT(B251,"yyyy-mm"))</f>
        <v>0</v>
      </c>
      <c r="Q251" s="21">
        <f>IF(B251="","",IF(H251="",0,H251)+IF(I251="",0,I251))</f>
        <v>0</v>
      </c>
      <c r="R251" s="21">
        <f>IF(OR(B251="",D251=""),"",SUMIFS($Q$5:$Q$404,$D$5:$D$404,D251,$C$5:$C$404,C251))</f>
        <v>0</v>
      </c>
      <c r="S251" s="38">
        <f>IF(OR(B251="",C251=""),"",IFERROR(R251/SUMIFS($Q$5:$Q$404,$C$5:$C$404,C251),""))</f>
        <v>0</v>
      </c>
      <c r="T251" s="23">
        <f>IF(K251="","",IFERROR(INDEX(Jobs!$H$5:$H$604,MATCH(K251,Jobs!$A$5:$A$604,0)),""))</f>
        <v>0</v>
      </c>
      <c r="U251" s="39">
        <f>IF(B251="","",IF(H251="","Add - how much?",IF(D251="","Add - which category?",IF(M251="No","Action - no receipt",IF(AND(H251&gt;500,F251=""),"Add - describe a large payment","OK")))))</f>
        <v>0</v>
      </c>
    </row>
    <row r="252" spans="1:21">
      <c r="A252" s="43">
        <f>IF(B252="","",ExpensePrefix&amp;TEXT(ROW()-4,"0000"))</f>
        <v>0</v>
      </c>
      <c r="C252" s="23">
        <f>IF(B252="","",TEXT(B252,"yyyy-mm"))</f>
        <v>0</v>
      </c>
      <c r="Q252" s="21">
        <f>IF(B252="","",IF(H252="",0,H252)+IF(I252="",0,I252))</f>
        <v>0</v>
      </c>
      <c r="R252" s="21">
        <f>IF(OR(B252="",D252=""),"",SUMIFS($Q$5:$Q$404,$D$5:$D$404,D252,$C$5:$C$404,C252))</f>
        <v>0</v>
      </c>
      <c r="S252" s="38">
        <f>IF(OR(B252="",C252=""),"",IFERROR(R252/SUMIFS($Q$5:$Q$404,$C$5:$C$404,C252),""))</f>
        <v>0</v>
      </c>
      <c r="T252" s="23">
        <f>IF(K252="","",IFERROR(INDEX(Jobs!$H$5:$H$604,MATCH(K252,Jobs!$A$5:$A$604,0)),""))</f>
        <v>0</v>
      </c>
      <c r="U252" s="39">
        <f>IF(B252="","",IF(H252="","Add - how much?",IF(D252="","Add - which category?",IF(M252="No","Action - no receipt",IF(AND(H252&gt;500,F252=""),"Add - describe a large payment","OK")))))</f>
        <v>0</v>
      </c>
    </row>
    <row r="253" spans="1:21">
      <c r="A253" s="43">
        <f>IF(B253="","",ExpensePrefix&amp;TEXT(ROW()-4,"0000"))</f>
        <v>0</v>
      </c>
      <c r="C253" s="23">
        <f>IF(B253="","",TEXT(B253,"yyyy-mm"))</f>
        <v>0</v>
      </c>
      <c r="Q253" s="21">
        <f>IF(B253="","",IF(H253="",0,H253)+IF(I253="",0,I253))</f>
        <v>0</v>
      </c>
      <c r="R253" s="21">
        <f>IF(OR(B253="",D253=""),"",SUMIFS($Q$5:$Q$404,$D$5:$D$404,D253,$C$5:$C$404,C253))</f>
        <v>0</v>
      </c>
      <c r="S253" s="38">
        <f>IF(OR(B253="",C253=""),"",IFERROR(R253/SUMIFS($Q$5:$Q$404,$C$5:$C$404,C253),""))</f>
        <v>0</v>
      </c>
      <c r="T253" s="23">
        <f>IF(K253="","",IFERROR(INDEX(Jobs!$H$5:$H$604,MATCH(K253,Jobs!$A$5:$A$604,0)),""))</f>
        <v>0</v>
      </c>
      <c r="U253" s="39">
        <f>IF(B253="","",IF(H253="","Add - how much?",IF(D253="","Add - which category?",IF(M253="No","Action - no receipt",IF(AND(H253&gt;500,F253=""),"Add - describe a large payment","OK")))))</f>
        <v>0</v>
      </c>
    </row>
    <row r="254" spans="1:21">
      <c r="A254" s="43">
        <f>IF(B254="","",ExpensePrefix&amp;TEXT(ROW()-4,"0000"))</f>
        <v>0</v>
      </c>
      <c r="C254" s="23">
        <f>IF(B254="","",TEXT(B254,"yyyy-mm"))</f>
        <v>0</v>
      </c>
      <c r="Q254" s="21">
        <f>IF(B254="","",IF(H254="",0,H254)+IF(I254="",0,I254))</f>
        <v>0</v>
      </c>
      <c r="R254" s="21">
        <f>IF(OR(B254="",D254=""),"",SUMIFS($Q$5:$Q$404,$D$5:$D$404,D254,$C$5:$C$404,C254))</f>
        <v>0</v>
      </c>
      <c r="S254" s="38">
        <f>IF(OR(B254="",C254=""),"",IFERROR(R254/SUMIFS($Q$5:$Q$404,$C$5:$C$404,C254),""))</f>
        <v>0</v>
      </c>
      <c r="T254" s="23">
        <f>IF(K254="","",IFERROR(INDEX(Jobs!$H$5:$H$604,MATCH(K254,Jobs!$A$5:$A$604,0)),""))</f>
        <v>0</v>
      </c>
      <c r="U254" s="39">
        <f>IF(B254="","",IF(H254="","Add - how much?",IF(D254="","Add - which category?",IF(M254="No","Action - no receipt",IF(AND(H254&gt;500,F254=""),"Add - describe a large payment","OK")))))</f>
        <v>0</v>
      </c>
    </row>
    <row r="255" spans="1:21">
      <c r="A255" s="43">
        <f>IF(B255="","",ExpensePrefix&amp;TEXT(ROW()-4,"0000"))</f>
        <v>0</v>
      </c>
      <c r="C255" s="23">
        <f>IF(B255="","",TEXT(B255,"yyyy-mm"))</f>
        <v>0</v>
      </c>
      <c r="Q255" s="21">
        <f>IF(B255="","",IF(H255="",0,H255)+IF(I255="",0,I255))</f>
        <v>0</v>
      </c>
      <c r="R255" s="21">
        <f>IF(OR(B255="",D255=""),"",SUMIFS($Q$5:$Q$404,$D$5:$D$404,D255,$C$5:$C$404,C255))</f>
        <v>0</v>
      </c>
      <c r="S255" s="38">
        <f>IF(OR(B255="",C255=""),"",IFERROR(R255/SUMIFS($Q$5:$Q$404,$C$5:$C$404,C255),""))</f>
        <v>0</v>
      </c>
      <c r="T255" s="23">
        <f>IF(K255="","",IFERROR(INDEX(Jobs!$H$5:$H$604,MATCH(K255,Jobs!$A$5:$A$604,0)),""))</f>
        <v>0</v>
      </c>
      <c r="U255" s="39">
        <f>IF(B255="","",IF(H255="","Add - how much?",IF(D255="","Add - which category?",IF(M255="No","Action - no receipt",IF(AND(H255&gt;500,F255=""),"Add - describe a large payment","OK")))))</f>
        <v>0</v>
      </c>
    </row>
    <row r="256" spans="1:21">
      <c r="A256" s="43">
        <f>IF(B256="","",ExpensePrefix&amp;TEXT(ROW()-4,"0000"))</f>
        <v>0</v>
      </c>
      <c r="C256" s="23">
        <f>IF(B256="","",TEXT(B256,"yyyy-mm"))</f>
        <v>0</v>
      </c>
      <c r="Q256" s="21">
        <f>IF(B256="","",IF(H256="",0,H256)+IF(I256="",0,I256))</f>
        <v>0</v>
      </c>
      <c r="R256" s="21">
        <f>IF(OR(B256="",D256=""),"",SUMIFS($Q$5:$Q$404,$D$5:$D$404,D256,$C$5:$C$404,C256))</f>
        <v>0</v>
      </c>
      <c r="S256" s="38">
        <f>IF(OR(B256="",C256=""),"",IFERROR(R256/SUMIFS($Q$5:$Q$404,$C$5:$C$404,C256),""))</f>
        <v>0</v>
      </c>
      <c r="T256" s="23">
        <f>IF(K256="","",IFERROR(INDEX(Jobs!$H$5:$H$604,MATCH(K256,Jobs!$A$5:$A$604,0)),""))</f>
        <v>0</v>
      </c>
      <c r="U256" s="39">
        <f>IF(B256="","",IF(H256="","Add - how much?",IF(D256="","Add - which category?",IF(M256="No","Action - no receipt",IF(AND(H256&gt;500,F256=""),"Add - describe a large payment","OK")))))</f>
        <v>0</v>
      </c>
    </row>
    <row r="257" spans="1:21">
      <c r="A257" s="43">
        <f>IF(B257="","",ExpensePrefix&amp;TEXT(ROW()-4,"0000"))</f>
        <v>0</v>
      </c>
      <c r="C257" s="23">
        <f>IF(B257="","",TEXT(B257,"yyyy-mm"))</f>
        <v>0</v>
      </c>
      <c r="Q257" s="21">
        <f>IF(B257="","",IF(H257="",0,H257)+IF(I257="",0,I257))</f>
        <v>0</v>
      </c>
      <c r="R257" s="21">
        <f>IF(OR(B257="",D257=""),"",SUMIFS($Q$5:$Q$404,$D$5:$D$404,D257,$C$5:$C$404,C257))</f>
        <v>0</v>
      </c>
      <c r="S257" s="38">
        <f>IF(OR(B257="",C257=""),"",IFERROR(R257/SUMIFS($Q$5:$Q$404,$C$5:$C$404,C257),""))</f>
        <v>0</v>
      </c>
      <c r="T257" s="23">
        <f>IF(K257="","",IFERROR(INDEX(Jobs!$H$5:$H$604,MATCH(K257,Jobs!$A$5:$A$604,0)),""))</f>
        <v>0</v>
      </c>
      <c r="U257" s="39">
        <f>IF(B257="","",IF(H257="","Add - how much?",IF(D257="","Add - which category?",IF(M257="No","Action - no receipt",IF(AND(H257&gt;500,F257=""),"Add - describe a large payment","OK")))))</f>
        <v>0</v>
      </c>
    </row>
    <row r="258" spans="1:21">
      <c r="A258" s="43">
        <f>IF(B258="","",ExpensePrefix&amp;TEXT(ROW()-4,"0000"))</f>
        <v>0</v>
      </c>
      <c r="C258" s="23">
        <f>IF(B258="","",TEXT(B258,"yyyy-mm"))</f>
        <v>0</v>
      </c>
      <c r="Q258" s="21">
        <f>IF(B258="","",IF(H258="",0,H258)+IF(I258="",0,I258))</f>
        <v>0</v>
      </c>
      <c r="R258" s="21">
        <f>IF(OR(B258="",D258=""),"",SUMIFS($Q$5:$Q$404,$D$5:$D$404,D258,$C$5:$C$404,C258))</f>
        <v>0</v>
      </c>
      <c r="S258" s="38">
        <f>IF(OR(B258="",C258=""),"",IFERROR(R258/SUMIFS($Q$5:$Q$404,$C$5:$C$404,C258),""))</f>
        <v>0</v>
      </c>
      <c r="T258" s="23">
        <f>IF(K258="","",IFERROR(INDEX(Jobs!$H$5:$H$604,MATCH(K258,Jobs!$A$5:$A$604,0)),""))</f>
        <v>0</v>
      </c>
      <c r="U258" s="39">
        <f>IF(B258="","",IF(H258="","Add - how much?",IF(D258="","Add - which category?",IF(M258="No","Action - no receipt",IF(AND(H258&gt;500,F258=""),"Add - describe a large payment","OK")))))</f>
        <v>0</v>
      </c>
    </row>
    <row r="259" spans="1:21">
      <c r="A259" s="43">
        <f>IF(B259="","",ExpensePrefix&amp;TEXT(ROW()-4,"0000"))</f>
        <v>0</v>
      </c>
      <c r="C259" s="23">
        <f>IF(B259="","",TEXT(B259,"yyyy-mm"))</f>
        <v>0</v>
      </c>
      <c r="Q259" s="21">
        <f>IF(B259="","",IF(H259="",0,H259)+IF(I259="",0,I259))</f>
        <v>0</v>
      </c>
      <c r="R259" s="21">
        <f>IF(OR(B259="",D259=""),"",SUMIFS($Q$5:$Q$404,$D$5:$D$404,D259,$C$5:$C$404,C259))</f>
        <v>0</v>
      </c>
      <c r="S259" s="38">
        <f>IF(OR(B259="",C259=""),"",IFERROR(R259/SUMIFS($Q$5:$Q$404,$C$5:$C$404,C259),""))</f>
        <v>0</v>
      </c>
      <c r="T259" s="23">
        <f>IF(K259="","",IFERROR(INDEX(Jobs!$H$5:$H$604,MATCH(K259,Jobs!$A$5:$A$604,0)),""))</f>
        <v>0</v>
      </c>
      <c r="U259" s="39">
        <f>IF(B259="","",IF(H259="","Add - how much?",IF(D259="","Add - which category?",IF(M259="No","Action - no receipt",IF(AND(H259&gt;500,F259=""),"Add - describe a large payment","OK")))))</f>
        <v>0</v>
      </c>
    </row>
    <row r="260" spans="1:21">
      <c r="A260" s="43">
        <f>IF(B260="","",ExpensePrefix&amp;TEXT(ROW()-4,"0000"))</f>
        <v>0</v>
      </c>
      <c r="C260" s="23">
        <f>IF(B260="","",TEXT(B260,"yyyy-mm"))</f>
        <v>0</v>
      </c>
      <c r="Q260" s="21">
        <f>IF(B260="","",IF(H260="",0,H260)+IF(I260="",0,I260))</f>
        <v>0</v>
      </c>
      <c r="R260" s="21">
        <f>IF(OR(B260="",D260=""),"",SUMIFS($Q$5:$Q$404,$D$5:$D$404,D260,$C$5:$C$404,C260))</f>
        <v>0</v>
      </c>
      <c r="S260" s="38">
        <f>IF(OR(B260="",C260=""),"",IFERROR(R260/SUMIFS($Q$5:$Q$404,$C$5:$C$404,C260),""))</f>
        <v>0</v>
      </c>
      <c r="T260" s="23">
        <f>IF(K260="","",IFERROR(INDEX(Jobs!$H$5:$H$604,MATCH(K260,Jobs!$A$5:$A$604,0)),""))</f>
        <v>0</v>
      </c>
      <c r="U260" s="39">
        <f>IF(B260="","",IF(H260="","Add - how much?",IF(D260="","Add - which category?",IF(M260="No","Action - no receipt",IF(AND(H260&gt;500,F260=""),"Add - describe a large payment","OK")))))</f>
        <v>0</v>
      </c>
    </row>
    <row r="261" spans="1:21">
      <c r="A261" s="43">
        <f>IF(B261="","",ExpensePrefix&amp;TEXT(ROW()-4,"0000"))</f>
        <v>0</v>
      </c>
      <c r="C261" s="23">
        <f>IF(B261="","",TEXT(B261,"yyyy-mm"))</f>
        <v>0</v>
      </c>
      <c r="Q261" s="21">
        <f>IF(B261="","",IF(H261="",0,H261)+IF(I261="",0,I261))</f>
        <v>0</v>
      </c>
      <c r="R261" s="21">
        <f>IF(OR(B261="",D261=""),"",SUMIFS($Q$5:$Q$404,$D$5:$D$404,D261,$C$5:$C$404,C261))</f>
        <v>0</v>
      </c>
      <c r="S261" s="38">
        <f>IF(OR(B261="",C261=""),"",IFERROR(R261/SUMIFS($Q$5:$Q$404,$C$5:$C$404,C261),""))</f>
        <v>0</v>
      </c>
      <c r="T261" s="23">
        <f>IF(K261="","",IFERROR(INDEX(Jobs!$H$5:$H$604,MATCH(K261,Jobs!$A$5:$A$604,0)),""))</f>
        <v>0</v>
      </c>
      <c r="U261" s="39">
        <f>IF(B261="","",IF(H261="","Add - how much?",IF(D261="","Add - which category?",IF(M261="No","Action - no receipt",IF(AND(H261&gt;500,F261=""),"Add - describe a large payment","OK")))))</f>
        <v>0</v>
      </c>
    </row>
    <row r="262" spans="1:21">
      <c r="A262" s="43">
        <f>IF(B262="","",ExpensePrefix&amp;TEXT(ROW()-4,"0000"))</f>
        <v>0</v>
      </c>
      <c r="C262" s="23">
        <f>IF(B262="","",TEXT(B262,"yyyy-mm"))</f>
        <v>0</v>
      </c>
      <c r="Q262" s="21">
        <f>IF(B262="","",IF(H262="",0,H262)+IF(I262="",0,I262))</f>
        <v>0</v>
      </c>
      <c r="R262" s="21">
        <f>IF(OR(B262="",D262=""),"",SUMIFS($Q$5:$Q$404,$D$5:$D$404,D262,$C$5:$C$404,C262))</f>
        <v>0</v>
      </c>
      <c r="S262" s="38">
        <f>IF(OR(B262="",C262=""),"",IFERROR(R262/SUMIFS($Q$5:$Q$404,$C$5:$C$404,C262),""))</f>
        <v>0</v>
      </c>
      <c r="T262" s="23">
        <f>IF(K262="","",IFERROR(INDEX(Jobs!$H$5:$H$604,MATCH(K262,Jobs!$A$5:$A$604,0)),""))</f>
        <v>0</v>
      </c>
      <c r="U262" s="39">
        <f>IF(B262="","",IF(H262="","Add - how much?",IF(D262="","Add - which category?",IF(M262="No","Action - no receipt",IF(AND(H262&gt;500,F262=""),"Add - describe a large payment","OK")))))</f>
        <v>0</v>
      </c>
    </row>
    <row r="263" spans="1:21">
      <c r="A263" s="43">
        <f>IF(B263="","",ExpensePrefix&amp;TEXT(ROW()-4,"0000"))</f>
        <v>0</v>
      </c>
      <c r="C263" s="23">
        <f>IF(B263="","",TEXT(B263,"yyyy-mm"))</f>
        <v>0</v>
      </c>
      <c r="Q263" s="21">
        <f>IF(B263="","",IF(H263="",0,H263)+IF(I263="",0,I263))</f>
        <v>0</v>
      </c>
      <c r="R263" s="21">
        <f>IF(OR(B263="",D263=""),"",SUMIFS($Q$5:$Q$404,$D$5:$D$404,D263,$C$5:$C$404,C263))</f>
        <v>0</v>
      </c>
      <c r="S263" s="38">
        <f>IF(OR(B263="",C263=""),"",IFERROR(R263/SUMIFS($Q$5:$Q$404,$C$5:$C$404,C263),""))</f>
        <v>0</v>
      </c>
      <c r="T263" s="23">
        <f>IF(K263="","",IFERROR(INDEX(Jobs!$H$5:$H$604,MATCH(K263,Jobs!$A$5:$A$604,0)),""))</f>
        <v>0</v>
      </c>
      <c r="U263" s="39">
        <f>IF(B263="","",IF(H263="","Add - how much?",IF(D263="","Add - which category?",IF(M263="No","Action - no receipt",IF(AND(H263&gt;500,F263=""),"Add - describe a large payment","OK")))))</f>
        <v>0</v>
      </c>
    </row>
    <row r="264" spans="1:21">
      <c r="A264" s="43">
        <f>IF(B264="","",ExpensePrefix&amp;TEXT(ROW()-4,"0000"))</f>
        <v>0</v>
      </c>
      <c r="C264" s="23">
        <f>IF(B264="","",TEXT(B264,"yyyy-mm"))</f>
        <v>0</v>
      </c>
      <c r="Q264" s="21">
        <f>IF(B264="","",IF(H264="",0,H264)+IF(I264="",0,I264))</f>
        <v>0</v>
      </c>
      <c r="R264" s="21">
        <f>IF(OR(B264="",D264=""),"",SUMIFS($Q$5:$Q$404,$D$5:$D$404,D264,$C$5:$C$404,C264))</f>
        <v>0</v>
      </c>
      <c r="S264" s="38">
        <f>IF(OR(B264="",C264=""),"",IFERROR(R264/SUMIFS($Q$5:$Q$404,$C$5:$C$404,C264),""))</f>
        <v>0</v>
      </c>
      <c r="T264" s="23">
        <f>IF(K264="","",IFERROR(INDEX(Jobs!$H$5:$H$604,MATCH(K264,Jobs!$A$5:$A$604,0)),""))</f>
        <v>0</v>
      </c>
      <c r="U264" s="39">
        <f>IF(B264="","",IF(H264="","Add - how much?",IF(D264="","Add - which category?",IF(M264="No","Action - no receipt",IF(AND(H264&gt;500,F264=""),"Add - describe a large payment","OK")))))</f>
        <v>0</v>
      </c>
    </row>
    <row r="265" spans="1:21">
      <c r="A265" s="43">
        <f>IF(B265="","",ExpensePrefix&amp;TEXT(ROW()-4,"0000"))</f>
        <v>0</v>
      </c>
      <c r="C265" s="23">
        <f>IF(B265="","",TEXT(B265,"yyyy-mm"))</f>
        <v>0</v>
      </c>
      <c r="Q265" s="21">
        <f>IF(B265="","",IF(H265="",0,H265)+IF(I265="",0,I265))</f>
        <v>0</v>
      </c>
      <c r="R265" s="21">
        <f>IF(OR(B265="",D265=""),"",SUMIFS($Q$5:$Q$404,$D$5:$D$404,D265,$C$5:$C$404,C265))</f>
        <v>0</v>
      </c>
      <c r="S265" s="38">
        <f>IF(OR(B265="",C265=""),"",IFERROR(R265/SUMIFS($Q$5:$Q$404,$C$5:$C$404,C265),""))</f>
        <v>0</v>
      </c>
      <c r="T265" s="23">
        <f>IF(K265="","",IFERROR(INDEX(Jobs!$H$5:$H$604,MATCH(K265,Jobs!$A$5:$A$604,0)),""))</f>
        <v>0</v>
      </c>
      <c r="U265" s="39">
        <f>IF(B265="","",IF(H265="","Add - how much?",IF(D265="","Add - which category?",IF(M265="No","Action - no receipt",IF(AND(H265&gt;500,F265=""),"Add - describe a large payment","OK")))))</f>
        <v>0</v>
      </c>
    </row>
    <row r="266" spans="1:21">
      <c r="A266" s="43">
        <f>IF(B266="","",ExpensePrefix&amp;TEXT(ROW()-4,"0000"))</f>
        <v>0</v>
      </c>
      <c r="C266" s="23">
        <f>IF(B266="","",TEXT(B266,"yyyy-mm"))</f>
        <v>0</v>
      </c>
      <c r="Q266" s="21">
        <f>IF(B266="","",IF(H266="",0,H266)+IF(I266="",0,I266))</f>
        <v>0</v>
      </c>
      <c r="R266" s="21">
        <f>IF(OR(B266="",D266=""),"",SUMIFS($Q$5:$Q$404,$D$5:$D$404,D266,$C$5:$C$404,C266))</f>
        <v>0</v>
      </c>
      <c r="S266" s="38">
        <f>IF(OR(B266="",C266=""),"",IFERROR(R266/SUMIFS($Q$5:$Q$404,$C$5:$C$404,C266),""))</f>
        <v>0</v>
      </c>
      <c r="T266" s="23">
        <f>IF(K266="","",IFERROR(INDEX(Jobs!$H$5:$H$604,MATCH(K266,Jobs!$A$5:$A$604,0)),""))</f>
        <v>0</v>
      </c>
      <c r="U266" s="39">
        <f>IF(B266="","",IF(H266="","Add - how much?",IF(D266="","Add - which category?",IF(M266="No","Action - no receipt",IF(AND(H266&gt;500,F266=""),"Add - describe a large payment","OK")))))</f>
        <v>0</v>
      </c>
    </row>
    <row r="267" spans="1:21">
      <c r="A267" s="43">
        <f>IF(B267="","",ExpensePrefix&amp;TEXT(ROW()-4,"0000"))</f>
        <v>0</v>
      </c>
      <c r="C267" s="23">
        <f>IF(B267="","",TEXT(B267,"yyyy-mm"))</f>
        <v>0</v>
      </c>
      <c r="Q267" s="21">
        <f>IF(B267="","",IF(H267="",0,H267)+IF(I267="",0,I267))</f>
        <v>0</v>
      </c>
      <c r="R267" s="21">
        <f>IF(OR(B267="",D267=""),"",SUMIFS($Q$5:$Q$404,$D$5:$D$404,D267,$C$5:$C$404,C267))</f>
        <v>0</v>
      </c>
      <c r="S267" s="38">
        <f>IF(OR(B267="",C267=""),"",IFERROR(R267/SUMIFS($Q$5:$Q$404,$C$5:$C$404,C267),""))</f>
        <v>0</v>
      </c>
      <c r="T267" s="23">
        <f>IF(K267="","",IFERROR(INDEX(Jobs!$H$5:$H$604,MATCH(K267,Jobs!$A$5:$A$604,0)),""))</f>
        <v>0</v>
      </c>
      <c r="U267" s="39">
        <f>IF(B267="","",IF(H267="","Add - how much?",IF(D267="","Add - which category?",IF(M267="No","Action - no receipt",IF(AND(H267&gt;500,F267=""),"Add - describe a large payment","OK")))))</f>
        <v>0</v>
      </c>
    </row>
    <row r="268" spans="1:21">
      <c r="A268" s="43">
        <f>IF(B268="","",ExpensePrefix&amp;TEXT(ROW()-4,"0000"))</f>
        <v>0</v>
      </c>
      <c r="C268" s="23">
        <f>IF(B268="","",TEXT(B268,"yyyy-mm"))</f>
        <v>0</v>
      </c>
      <c r="Q268" s="21">
        <f>IF(B268="","",IF(H268="",0,H268)+IF(I268="",0,I268))</f>
        <v>0</v>
      </c>
      <c r="R268" s="21">
        <f>IF(OR(B268="",D268=""),"",SUMIFS($Q$5:$Q$404,$D$5:$D$404,D268,$C$5:$C$404,C268))</f>
        <v>0</v>
      </c>
      <c r="S268" s="38">
        <f>IF(OR(B268="",C268=""),"",IFERROR(R268/SUMIFS($Q$5:$Q$404,$C$5:$C$404,C268),""))</f>
        <v>0</v>
      </c>
      <c r="T268" s="23">
        <f>IF(K268="","",IFERROR(INDEX(Jobs!$H$5:$H$604,MATCH(K268,Jobs!$A$5:$A$604,0)),""))</f>
        <v>0</v>
      </c>
      <c r="U268" s="39">
        <f>IF(B268="","",IF(H268="","Add - how much?",IF(D268="","Add - which category?",IF(M268="No","Action - no receipt",IF(AND(H268&gt;500,F268=""),"Add - describe a large payment","OK")))))</f>
        <v>0</v>
      </c>
    </row>
    <row r="269" spans="1:21">
      <c r="A269" s="43">
        <f>IF(B269="","",ExpensePrefix&amp;TEXT(ROW()-4,"0000"))</f>
        <v>0</v>
      </c>
      <c r="C269" s="23">
        <f>IF(B269="","",TEXT(B269,"yyyy-mm"))</f>
        <v>0</v>
      </c>
      <c r="Q269" s="21">
        <f>IF(B269="","",IF(H269="",0,H269)+IF(I269="",0,I269))</f>
        <v>0</v>
      </c>
      <c r="R269" s="21">
        <f>IF(OR(B269="",D269=""),"",SUMIFS($Q$5:$Q$404,$D$5:$D$404,D269,$C$5:$C$404,C269))</f>
        <v>0</v>
      </c>
      <c r="S269" s="38">
        <f>IF(OR(B269="",C269=""),"",IFERROR(R269/SUMIFS($Q$5:$Q$404,$C$5:$C$404,C269),""))</f>
        <v>0</v>
      </c>
      <c r="T269" s="23">
        <f>IF(K269="","",IFERROR(INDEX(Jobs!$H$5:$H$604,MATCH(K269,Jobs!$A$5:$A$604,0)),""))</f>
        <v>0</v>
      </c>
      <c r="U269" s="39">
        <f>IF(B269="","",IF(H269="","Add - how much?",IF(D269="","Add - which category?",IF(M269="No","Action - no receipt",IF(AND(H269&gt;500,F269=""),"Add - describe a large payment","OK")))))</f>
        <v>0</v>
      </c>
    </row>
    <row r="270" spans="1:21">
      <c r="A270" s="43">
        <f>IF(B270="","",ExpensePrefix&amp;TEXT(ROW()-4,"0000"))</f>
        <v>0</v>
      </c>
      <c r="C270" s="23">
        <f>IF(B270="","",TEXT(B270,"yyyy-mm"))</f>
        <v>0</v>
      </c>
      <c r="Q270" s="21">
        <f>IF(B270="","",IF(H270="",0,H270)+IF(I270="",0,I270))</f>
        <v>0</v>
      </c>
      <c r="R270" s="21">
        <f>IF(OR(B270="",D270=""),"",SUMIFS($Q$5:$Q$404,$D$5:$D$404,D270,$C$5:$C$404,C270))</f>
        <v>0</v>
      </c>
      <c r="S270" s="38">
        <f>IF(OR(B270="",C270=""),"",IFERROR(R270/SUMIFS($Q$5:$Q$404,$C$5:$C$404,C270),""))</f>
        <v>0</v>
      </c>
      <c r="T270" s="23">
        <f>IF(K270="","",IFERROR(INDEX(Jobs!$H$5:$H$604,MATCH(K270,Jobs!$A$5:$A$604,0)),""))</f>
        <v>0</v>
      </c>
      <c r="U270" s="39">
        <f>IF(B270="","",IF(H270="","Add - how much?",IF(D270="","Add - which category?",IF(M270="No","Action - no receipt",IF(AND(H270&gt;500,F270=""),"Add - describe a large payment","OK")))))</f>
        <v>0</v>
      </c>
    </row>
    <row r="271" spans="1:21">
      <c r="A271" s="43">
        <f>IF(B271="","",ExpensePrefix&amp;TEXT(ROW()-4,"0000"))</f>
        <v>0</v>
      </c>
      <c r="C271" s="23">
        <f>IF(B271="","",TEXT(B271,"yyyy-mm"))</f>
        <v>0</v>
      </c>
      <c r="Q271" s="21">
        <f>IF(B271="","",IF(H271="",0,H271)+IF(I271="",0,I271))</f>
        <v>0</v>
      </c>
      <c r="R271" s="21">
        <f>IF(OR(B271="",D271=""),"",SUMIFS($Q$5:$Q$404,$D$5:$D$404,D271,$C$5:$C$404,C271))</f>
        <v>0</v>
      </c>
      <c r="S271" s="38">
        <f>IF(OR(B271="",C271=""),"",IFERROR(R271/SUMIFS($Q$5:$Q$404,$C$5:$C$404,C271),""))</f>
        <v>0</v>
      </c>
      <c r="T271" s="23">
        <f>IF(K271="","",IFERROR(INDEX(Jobs!$H$5:$H$604,MATCH(K271,Jobs!$A$5:$A$604,0)),""))</f>
        <v>0</v>
      </c>
      <c r="U271" s="39">
        <f>IF(B271="","",IF(H271="","Add - how much?",IF(D271="","Add - which category?",IF(M271="No","Action - no receipt",IF(AND(H271&gt;500,F271=""),"Add - describe a large payment","OK")))))</f>
        <v>0</v>
      </c>
    </row>
    <row r="272" spans="1:21">
      <c r="A272" s="43">
        <f>IF(B272="","",ExpensePrefix&amp;TEXT(ROW()-4,"0000"))</f>
        <v>0</v>
      </c>
      <c r="C272" s="23">
        <f>IF(B272="","",TEXT(B272,"yyyy-mm"))</f>
        <v>0</v>
      </c>
      <c r="Q272" s="21">
        <f>IF(B272="","",IF(H272="",0,H272)+IF(I272="",0,I272))</f>
        <v>0</v>
      </c>
      <c r="R272" s="21">
        <f>IF(OR(B272="",D272=""),"",SUMIFS($Q$5:$Q$404,$D$5:$D$404,D272,$C$5:$C$404,C272))</f>
        <v>0</v>
      </c>
      <c r="S272" s="38">
        <f>IF(OR(B272="",C272=""),"",IFERROR(R272/SUMIFS($Q$5:$Q$404,$C$5:$C$404,C272),""))</f>
        <v>0</v>
      </c>
      <c r="T272" s="23">
        <f>IF(K272="","",IFERROR(INDEX(Jobs!$H$5:$H$604,MATCH(K272,Jobs!$A$5:$A$604,0)),""))</f>
        <v>0</v>
      </c>
      <c r="U272" s="39">
        <f>IF(B272="","",IF(H272="","Add - how much?",IF(D272="","Add - which category?",IF(M272="No","Action - no receipt",IF(AND(H272&gt;500,F272=""),"Add - describe a large payment","OK")))))</f>
        <v>0</v>
      </c>
    </row>
    <row r="273" spans="1:21">
      <c r="A273" s="43">
        <f>IF(B273="","",ExpensePrefix&amp;TEXT(ROW()-4,"0000"))</f>
        <v>0</v>
      </c>
      <c r="C273" s="23">
        <f>IF(B273="","",TEXT(B273,"yyyy-mm"))</f>
        <v>0</v>
      </c>
      <c r="Q273" s="21">
        <f>IF(B273="","",IF(H273="",0,H273)+IF(I273="",0,I273))</f>
        <v>0</v>
      </c>
      <c r="R273" s="21">
        <f>IF(OR(B273="",D273=""),"",SUMIFS($Q$5:$Q$404,$D$5:$D$404,D273,$C$5:$C$404,C273))</f>
        <v>0</v>
      </c>
      <c r="S273" s="38">
        <f>IF(OR(B273="",C273=""),"",IFERROR(R273/SUMIFS($Q$5:$Q$404,$C$5:$C$404,C273),""))</f>
        <v>0</v>
      </c>
      <c r="T273" s="23">
        <f>IF(K273="","",IFERROR(INDEX(Jobs!$H$5:$H$604,MATCH(K273,Jobs!$A$5:$A$604,0)),""))</f>
        <v>0</v>
      </c>
      <c r="U273" s="39">
        <f>IF(B273="","",IF(H273="","Add - how much?",IF(D273="","Add - which category?",IF(M273="No","Action - no receipt",IF(AND(H273&gt;500,F273=""),"Add - describe a large payment","OK")))))</f>
        <v>0</v>
      </c>
    </row>
    <row r="274" spans="1:21">
      <c r="A274" s="43">
        <f>IF(B274="","",ExpensePrefix&amp;TEXT(ROW()-4,"0000"))</f>
        <v>0</v>
      </c>
      <c r="C274" s="23">
        <f>IF(B274="","",TEXT(B274,"yyyy-mm"))</f>
        <v>0</v>
      </c>
      <c r="Q274" s="21">
        <f>IF(B274="","",IF(H274="",0,H274)+IF(I274="",0,I274))</f>
        <v>0</v>
      </c>
      <c r="R274" s="21">
        <f>IF(OR(B274="",D274=""),"",SUMIFS($Q$5:$Q$404,$D$5:$D$404,D274,$C$5:$C$404,C274))</f>
        <v>0</v>
      </c>
      <c r="S274" s="38">
        <f>IF(OR(B274="",C274=""),"",IFERROR(R274/SUMIFS($Q$5:$Q$404,$C$5:$C$404,C274),""))</f>
        <v>0</v>
      </c>
      <c r="T274" s="23">
        <f>IF(K274="","",IFERROR(INDEX(Jobs!$H$5:$H$604,MATCH(K274,Jobs!$A$5:$A$604,0)),""))</f>
        <v>0</v>
      </c>
      <c r="U274" s="39">
        <f>IF(B274="","",IF(H274="","Add - how much?",IF(D274="","Add - which category?",IF(M274="No","Action - no receipt",IF(AND(H274&gt;500,F274=""),"Add - describe a large payment","OK")))))</f>
        <v>0</v>
      </c>
    </row>
    <row r="275" spans="1:21">
      <c r="A275" s="43">
        <f>IF(B275="","",ExpensePrefix&amp;TEXT(ROW()-4,"0000"))</f>
        <v>0</v>
      </c>
      <c r="C275" s="23">
        <f>IF(B275="","",TEXT(B275,"yyyy-mm"))</f>
        <v>0</v>
      </c>
      <c r="Q275" s="21">
        <f>IF(B275="","",IF(H275="",0,H275)+IF(I275="",0,I275))</f>
        <v>0</v>
      </c>
      <c r="R275" s="21">
        <f>IF(OR(B275="",D275=""),"",SUMIFS($Q$5:$Q$404,$D$5:$D$404,D275,$C$5:$C$404,C275))</f>
        <v>0</v>
      </c>
      <c r="S275" s="38">
        <f>IF(OR(B275="",C275=""),"",IFERROR(R275/SUMIFS($Q$5:$Q$404,$C$5:$C$404,C275),""))</f>
        <v>0</v>
      </c>
      <c r="T275" s="23">
        <f>IF(K275="","",IFERROR(INDEX(Jobs!$H$5:$H$604,MATCH(K275,Jobs!$A$5:$A$604,0)),""))</f>
        <v>0</v>
      </c>
      <c r="U275" s="39">
        <f>IF(B275="","",IF(H275="","Add - how much?",IF(D275="","Add - which category?",IF(M275="No","Action - no receipt",IF(AND(H275&gt;500,F275=""),"Add - describe a large payment","OK")))))</f>
        <v>0</v>
      </c>
    </row>
    <row r="276" spans="1:21">
      <c r="A276" s="43">
        <f>IF(B276="","",ExpensePrefix&amp;TEXT(ROW()-4,"0000"))</f>
        <v>0</v>
      </c>
      <c r="C276" s="23">
        <f>IF(B276="","",TEXT(B276,"yyyy-mm"))</f>
        <v>0</v>
      </c>
      <c r="Q276" s="21">
        <f>IF(B276="","",IF(H276="",0,H276)+IF(I276="",0,I276))</f>
        <v>0</v>
      </c>
      <c r="R276" s="21">
        <f>IF(OR(B276="",D276=""),"",SUMIFS($Q$5:$Q$404,$D$5:$D$404,D276,$C$5:$C$404,C276))</f>
        <v>0</v>
      </c>
      <c r="S276" s="38">
        <f>IF(OR(B276="",C276=""),"",IFERROR(R276/SUMIFS($Q$5:$Q$404,$C$5:$C$404,C276),""))</f>
        <v>0</v>
      </c>
      <c r="T276" s="23">
        <f>IF(K276="","",IFERROR(INDEX(Jobs!$H$5:$H$604,MATCH(K276,Jobs!$A$5:$A$604,0)),""))</f>
        <v>0</v>
      </c>
      <c r="U276" s="39">
        <f>IF(B276="","",IF(H276="","Add - how much?",IF(D276="","Add - which category?",IF(M276="No","Action - no receipt",IF(AND(H276&gt;500,F276=""),"Add - describe a large payment","OK")))))</f>
        <v>0</v>
      </c>
    </row>
    <row r="277" spans="1:21">
      <c r="A277" s="43">
        <f>IF(B277="","",ExpensePrefix&amp;TEXT(ROW()-4,"0000"))</f>
        <v>0</v>
      </c>
      <c r="C277" s="23">
        <f>IF(B277="","",TEXT(B277,"yyyy-mm"))</f>
        <v>0</v>
      </c>
      <c r="Q277" s="21">
        <f>IF(B277="","",IF(H277="",0,H277)+IF(I277="",0,I277))</f>
        <v>0</v>
      </c>
      <c r="R277" s="21">
        <f>IF(OR(B277="",D277=""),"",SUMIFS($Q$5:$Q$404,$D$5:$D$404,D277,$C$5:$C$404,C277))</f>
        <v>0</v>
      </c>
      <c r="S277" s="38">
        <f>IF(OR(B277="",C277=""),"",IFERROR(R277/SUMIFS($Q$5:$Q$404,$C$5:$C$404,C277),""))</f>
        <v>0</v>
      </c>
      <c r="T277" s="23">
        <f>IF(K277="","",IFERROR(INDEX(Jobs!$H$5:$H$604,MATCH(K277,Jobs!$A$5:$A$604,0)),""))</f>
        <v>0</v>
      </c>
      <c r="U277" s="39">
        <f>IF(B277="","",IF(H277="","Add - how much?",IF(D277="","Add - which category?",IF(M277="No","Action - no receipt",IF(AND(H277&gt;500,F277=""),"Add - describe a large payment","OK")))))</f>
        <v>0</v>
      </c>
    </row>
    <row r="278" spans="1:21">
      <c r="A278" s="43">
        <f>IF(B278="","",ExpensePrefix&amp;TEXT(ROW()-4,"0000"))</f>
        <v>0</v>
      </c>
      <c r="C278" s="23">
        <f>IF(B278="","",TEXT(B278,"yyyy-mm"))</f>
        <v>0</v>
      </c>
      <c r="Q278" s="21">
        <f>IF(B278="","",IF(H278="",0,H278)+IF(I278="",0,I278))</f>
        <v>0</v>
      </c>
      <c r="R278" s="21">
        <f>IF(OR(B278="",D278=""),"",SUMIFS($Q$5:$Q$404,$D$5:$D$404,D278,$C$5:$C$404,C278))</f>
        <v>0</v>
      </c>
      <c r="S278" s="38">
        <f>IF(OR(B278="",C278=""),"",IFERROR(R278/SUMIFS($Q$5:$Q$404,$C$5:$C$404,C278),""))</f>
        <v>0</v>
      </c>
      <c r="T278" s="23">
        <f>IF(K278="","",IFERROR(INDEX(Jobs!$H$5:$H$604,MATCH(K278,Jobs!$A$5:$A$604,0)),""))</f>
        <v>0</v>
      </c>
      <c r="U278" s="39">
        <f>IF(B278="","",IF(H278="","Add - how much?",IF(D278="","Add - which category?",IF(M278="No","Action - no receipt",IF(AND(H278&gt;500,F278=""),"Add - describe a large payment","OK")))))</f>
        <v>0</v>
      </c>
    </row>
    <row r="279" spans="1:21">
      <c r="A279" s="43">
        <f>IF(B279="","",ExpensePrefix&amp;TEXT(ROW()-4,"0000"))</f>
        <v>0</v>
      </c>
      <c r="C279" s="23">
        <f>IF(B279="","",TEXT(B279,"yyyy-mm"))</f>
        <v>0</v>
      </c>
      <c r="Q279" s="21">
        <f>IF(B279="","",IF(H279="",0,H279)+IF(I279="",0,I279))</f>
        <v>0</v>
      </c>
      <c r="R279" s="21">
        <f>IF(OR(B279="",D279=""),"",SUMIFS($Q$5:$Q$404,$D$5:$D$404,D279,$C$5:$C$404,C279))</f>
        <v>0</v>
      </c>
      <c r="S279" s="38">
        <f>IF(OR(B279="",C279=""),"",IFERROR(R279/SUMIFS($Q$5:$Q$404,$C$5:$C$404,C279),""))</f>
        <v>0</v>
      </c>
      <c r="T279" s="23">
        <f>IF(K279="","",IFERROR(INDEX(Jobs!$H$5:$H$604,MATCH(K279,Jobs!$A$5:$A$604,0)),""))</f>
        <v>0</v>
      </c>
      <c r="U279" s="39">
        <f>IF(B279="","",IF(H279="","Add - how much?",IF(D279="","Add - which category?",IF(M279="No","Action - no receipt",IF(AND(H279&gt;500,F279=""),"Add - describe a large payment","OK")))))</f>
        <v>0</v>
      </c>
    </row>
    <row r="280" spans="1:21">
      <c r="A280" s="43">
        <f>IF(B280="","",ExpensePrefix&amp;TEXT(ROW()-4,"0000"))</f>
        <v>0</v>
      </c>
      <c r="C280" s="23">
        <f>IF(B280="","",TEXT(B280,"yyyy-mm"))</f>
        <v>0</v>
      </c>
      <c r="Q280" s="21">
        <f>IF(B280="","",IF(H280="",0,H280)+IF(I280="",0,I280))</f>
        <v>0</v>
      </c>
      <c r="R280" s="21">
        <f>IF(OR(B280="",D280=""),"",SUMIFS($Q$5:$Q$404,$D$5:$D$404,D280,$C$5:$C$404,C280))</f>
        <v>0</v>
      </c>
      <c r="S280" s="38">
        <f>IF(OR(B280="",C280=""),"",IFERROR(R280/SUMIFS($Q$5:$Q$404,$C$5:$C$404,C280),""))</f>
        <v>0</v>
      </c>
      <c r="T280" s="23">
        <f>IF(K280="","",IFERROR(INDEX(Jobs!$H$5:$H$604,MATCH(K280,Jobs!$A$5:$A$604,0)),""))</f>
        <v>0</v>
      </c>
      <c r="U280" s="39">
        <f>IF(B280="","",IF(H280="","Add - how much?",IF(D280="","Add - which category?",IF(M280="No","Action - no receipt",IF(AND(H280&gt;500,F280=""),"Add - describe a large payment","OK")))))</f>
        <v>0</v>
      </c>
    </row>
    <row r="281" spans="1:21">
      <c r="A281" s="43">
        <f>IF(B281="","",ExpensePrefix&amp;TEXT(ROW()-4,"0000"))</f>
        <v>0</v>
      </c>
      <c r="C281" s="23">
        <f>IF(B281="","",TEXT(B281,"yyyy-mm"))</f>
        <v>0</v>
      </c>
      <c r="Q281" s="21">
        <f>IF(B281="","",IF(H281="",0,H281)+IF(I281="",0,I281))</f>
        <v>0</v>
      </c>
      <c r="R281" s="21">
        <f>IF(OR(B281="",D281=""),"",SUMIFS($Q$5:$Q$404,$D$5:$D$404,D281,$C$5:$C$404,C281))</f>
        <v>0</v>
      </c>
      <c r="S281" s="38">
        <f>IF(OR(B281="",C281=""),"",IFERROR(R281/SUMIFS($Q$5:$Q$404,$C$5:$C$404,C281),""))</f>
        <v>0</v>
      </c>
      <c r="T281" s="23">
        <f>IF(K281="","",IFERROR(INDEX(Jobs!$H$5:$H$604,MATCH(K281,Jobs!$A$5:$A$604,0)),""))</f>
        <v>0</v>
      </c>
      <c r="U281" s="39">
        <f>IF(B281="","",IF(H281="","Add - how much?",IF(D281="","Add - which category?",IF(M281="No","Action - no receipt",IF(AND(H281&gt;500,F281=""),"Add - describe a large payment","OK")))))</f>
        <v>0</v>
      </c>
    </row>
    <row r="282" spans="1:21">
      <c r="A282" s="43">
        <f>IF(B282="","",ExpensePrefix&amp;TEXT(ROW()-4,"0000"))</f>
        <v>0</v>
      </c>
      <c r="C282" s="23">
        <f>IF(B282="","",TEXT(B282,"yyyy-mm"))</f>
        <v>0</v>
      </c>
      <c r="Q282" s="21">
        <f>IF(B282="","",IF(H282="",0,H282)+IF(I282="",0,I282))</f>
        <v>0</v>
      </c>
      <c r="R282" s="21">
        <f>IF(OR(B282="",D282=""),"",SUMIFS($Q$5:$Q$404,$D$5:$D$404,D282,$C$5:$C$404,C282))</f>
        <v>0</v>
      </c>
      <c r="S282" s="38">
        <f>IF(OR(B282="",C282=""),"",IFERROR(R282/SUMIFS($Q$5:$Q$404,$C$5:$C$404,C282),""))</f>
        <v>0</v>
      </c>
      <c r="T282" s="23">
        <f>IF(K282="","",IFERROR(INDEX(Jobs!$H$5:$H$604,MATCH(K282,Jobs!$A$5:$A$604,0)),""))</f>
        <v>0</v>
      </c>
      <c r="U282" s="39">
        <f>IF(B282="","",IF(H282="","Add - how much?",IF(D282="","Add - which category?",IF(M282="No","Action - no receipt",IF(AND(H282&gt;500,F282=""),"Add - describe a large payment","OK")))))</f>
        <v>0</v>
      </c>
    </row>
    <row r="283" spans="1:21">
      <c r="A283" s="43">
        <f>IF(B283="","",ExpensePrefix&amp;TEXT(ROW()-4,"0000"))</f>
        <v>0</v>
      </c>
      <c r="C283" s="23">
        <f>IF(B283="","",TEXT(B283,"yyyy-mm"))</f>
        <v>0</v>
      </c>
      <c r="Q283" s="21">
        <f>IF(B283="","",IF(H283="",0,H283)+IF(I283="",0,I283))</f>
        <v>0</v>
      </c>
      <c r="R283" s="21">
        <f>IF(OR(B283="",D283=""),"",SUMIFS($Q$5:$Q$404,$D$5:$D$404,D283,$C$5:$C$404,C283))</f>
        <v>0</v>
      </c>
      <c r="S283" s="38">
        <f>IF(OR(B283="",C283=""),"",IFERROR(R283/SUMIFS($Q$5:$Q$404,$C$5:$C$404,C283),""))</f>
        <v>0</v>
      </c>
      <c r="T283" s="23">
        <f>IF(K283="","",IFERROR(INDEX(Jobs!$H$5:$H$604,MATCH(K283,Jobs!$A$5:$A$604,0)),""))</f>
        <v>0</v>
      </c>
      <c r="U283" s="39">
        <f>IF(B283="","",IF(H283="","Add - how much?",IF(D283="","Add - which category?",IF(M283="No","Action - no receipt",IF(AND(H283&gt;500,F283=""),"Add - describe a large payment","OK")))))</f>
        <v>0</v>
      </c>
    </row>
    <row r="284" spans="1:21">
      <c r="A284" s="43">
        <f>IF(B284="","",ExpensePrefix&amp;TEXT(ROW()-4,"0000"))</f>
        <v>0</v>
      </c>
      <c r="C284" s="23">
        <f>IF(B284="","",TEXT(B284,"yyyy-mm"))</f>
        <v>0</v>
      </c>
      <c r="Q284" s="21">
        <f>IF(B284="","",IF(H284="",0,H284)+IF(I284="",0,I284))</f>
        <v>0</v>
      </c>
      <c r="R284" s="21">
        <f>IF(OR(B284="",D284=""),"",SUMIFS($Q$5:$Q$404,$D$5:$D$404,D284,$C$5:$C$404,C284))</f>
        <v>0</v>
      </c>
      <c r="S284" s="38">
        <f>IF(OR(B284="",C284=""),"",IFERROR(R284/SUMIFS($Q$5:$Q$404,$C$5:$C$404,C284),""))</f>
        <v>0</v>
      </c>
      <c r="T284" s="23">
        <f>IF(K284="","",IFERROR(INDEX(Jobs!$H$5:$H$604,MATCH(K284,Jobs!$A$5:$A$604,0)),""))</f>
        <v>0</v>
      </c>
      <c r="U284" s="39">
        <f>IF(B284="","",IF(H284="","Add - how much?",IF(D284="","Add - which category?",IF(M284="No","Action - no receipt",IF(AND(H284&gt;500,F284=""),"Add - describe a large payment","OK")))))</f>
        <v>0</v>
      </c>
    </row>
    <row r="285" spans="1:21">
      <c r="A285" s="43">
        <f>IF(B285="","",ExpensePrefix&amp;TEXT(ROW()-4,"0000"))</f>
        <v>0</v>
      </c>
      <c r="C285" s="23">
        <f>IF(B285="","",TEXT(B285,"yyyy-mm"))</f>
        <v>0</v>
      </c>
      <c r="Q285" s="21">
        <f>IF(B285="","",IF(H285="",0,H285)+IF(I285="",0,I285))</f>
        <v>0</v>
      </c>
      <c r="R285" s="21">
        <f>IF(OR(B285="",D285=""),"",SUMIFS($Q$5:$Q$404,$D$5:$D$404,D285,$C$5:$C$404,C285))</f>
        <v>0</v>
      </c>
      <c r="S285" s="38">
        <f>IF(OR(B285="",C285=""),"",IFERROR(R285/SUMIFS($Q$5:$Q$404,$C$5:$C$404,C285),""))</f>
        <v>0</v>
      </c>
      <c r="T285" s="23">
        <f>IF(K285="","",IFERROR(INDEX(Jobs!$H$5:$H$604,MATCH(K285,Jobs!$A$5:$A$604,0)),""))</f>
        <v>0</v>
      </c>
      <c r="U285" s="39">
        <f>IF(B285="","",IF(H285="","Add - how much?",IF(D285="","Add - which category?",IF(M285="No","Action - no receipt",IF(AND(H285&gt;500,F285=""),"Add - describe a large payment","OK")))))</f>
        <v>0</v>
      </c>
    </row>
    <row r="286" spans="1:21">
      <c r="A286" s="43">
        <f>IF(B286="","",ExpensePrefix&amp;TEXT(ROW()-4,"0000"))</f>
        <v>0</v>
      </c>
      <c r="C286" s="23">
        <f>IF(B286="","",TEXT(B286,"yyyy-mm"))</f>
        <v>0</v>
      </c>
      <c r="Q286" s="21">
        <f>IF(B286="","",IF(H286="",0,H286)+IF(I286="",0,I286))</f>
        <v>0</v>
      </c>
      <c r="R286" s="21">
        <f>IF(OR(B286="",D286=""),"",SUMIFS($Q$5:$Q$404,$D$5:$D$404,D286,$C$5:$C$404,C286))</f>
        <v>0</v>
      </c>
      <c r="S286" s="38">
        <f>IF(OR(B286="",C286=""),"",IFERROR(R286/SUMIFS($Q$5:$Q$404,$C$5:$C$404,C286),""))</f>
        <v>0</v>
      </c>
      <c r="T286" s="23">
        <f>IF(K286="","",IFERROR(INDEX(Jobs!$H$5:$H$604,MATCH(K286,Jobs!$A$5:$A$604,0)),""))</f>
        <v>0</v>
      </c>
      <c r="U286" s="39">
        <f>IF(B286="","",IF(H286="","Add - how much?",IF(D286="","Add - which category?",IF(M286="No","Action - no receipt",IF(AND(H286&gt;500,F286=""),"Add - describe a large payment","OK")))))</f>
        <v>0</v>
      </c>
    </row>
    <row r="287" spans="1:21">
      <c r="A287" s="43">
        <f>IF(B287="","",ExpensePrefix&amp;TEXT(ROW()-4,"0000"))</f>
        <v>0</v>
      </c>
      <c r="C287" s="23">
        <f>IF(B287="","",TEXT(B287,"yyyy-mm"))</f>
        <v>0</v>
      </c>
      <c r="Q287" s="21">
        <f>IF(B287="","",IF(H287="",0,H287)+IF(I287="",0,I287))</f>
        <v>0</v>
      </c>
      <c r="R287" s="21">
        <f>IF(OR(B287="",D287=""),"",SUMIFS($Q$5:$Q$404,$D$5:$D$404,D287,$C$5:$C$404,C287))</f>
        <v>0</v>
      </c>
      <c r="S287" s="38">
        <f>IF(OR(B287="",C287=""),"",IFERROR(R287/SUMIFS($Q$5:$Q$404,$C$5:$C$404,C287),""))</f>
        <v>0</v>
      </c>
      <c r="T287" s="23">
        <f>IF(K287="","",IFERROR(INDEX(Jobs!$H$5:$H$604,MATCH(K287,Jobs!$A$5:$A$604,0)),""))</f>
        <v>0</v>
      </c>
      <c r="U287" s="39">
        <f>IF(B287="","",IF(H287="","Add - how much?",IF(D287="","Add - which category?",IF(M287="No","Action - no receipt",IF(AND(H287&gt;500,F287=""),"Add - describe a large payment","OK")))))</f>
        <v>0</v>
      </c>
    </row>
    <row r="288" spans="1:21">
      <c r="A288" s="43">
        <f>IF(B288="","",ExpensePrefix&amp;TEXT(ROW()-4,"0000"))</f>
        <v>0</v>
      </c>
      <c r="C288" s="23">
        <f>IF(B288="","",TEXT(B288,"yyyy-mm"))</f>
        <v>0</v>
      </c>
      <c r="Q288" s="21">
        <f>IF(B288="","",IF(H288="",0,H288)+IF(I288="",0,I288))</f>
        <v>0</v>
      </c>
      <c r="R288" s="21">
        <f>IF(OR(B288="",D288=""),"",SUMIFS($Q$5:$Q$404,$D$5:$D$404,D288,$C$5:$C$404,C288))</f>
        <v>0</v>
      </c>
      <c r="S288" s="38">
        <f>IF(OR(B288="",C288=""),"",IFERROR(R288/SUMIFS($Q$5:$Q$404,$C$5:$C$404,C288),""))</f>
        <v>0</v>
      </c>
      <c r="T288" s="23">
        <f>IF(K288="","",IFERROR(INDEX(Jobs!$H$5:$H$604,MATCH(K288,Jobs!$A$5:$A$604,0)),""))</f>
        <v>0</v>
      </c>
      <c r="U288" s="39">
        <f>IF(B288="","",IF(H288="","Add - how much?",IF(D288="","Add - which category?",IF(M288="No","Action - no receipt",IF(AND(H288&gt;500,F288=""),"Add - describe a large payment","OK")))))</f>
        <v>0</v>
      </c>
    </row>
    <row r="289" spans="1:21">
      <c r="A289" s="43">
        <f>IF(B289="","",ExpensePrefix&amp;TEXT(ROW()-4,"0000"))</f>
        <v>0</v>
      </c>
      <c r="C289" s="23">
        <f>IF(B289="","",TEXT(B289,"yyyy-mm"))</f>
        <v>0</v>
      </c>
      <c r="Q289" s="21">
        <f>IF(B289="","",IF(H289="",0,H289)+IF(I289="",0,I289))</f>
        <v>0</v>
      </c>
      <c r="R289" s="21">
        <f>IF(OR(B289="",D289=""),"",SUMIFS($Q$5:$Q$404,$D$5:$D$404,D289,$C$5:$C$404,C289))</f>
        <v>0</v>
      </c>
      <c r="S289" s="38">
        <f>IF(OR(B289="",C289=""),"",IFERROR(R289/SUMIFS($Q$5:$Q$404,$C$5:$C$404,C289),""))</f>
        <v>0</v>
      </c>
      <c r="T289" s="23">
        <f>IF(K289="","",IFERROR(INDEX(Jobs!$H$5:$H$604,MATCH(K289,Jobs!$A$5:$A$604,0)),""))</f>
        <v>0</v>
      </c>
      <c r="U289" s="39">
        <f>IF(B289="","",IF(H289="","Add - how much?",IF(D289="","Add - which category?",IF(M289="No","Action - no receipt",IF(AND(H289&gt;500,F289=""),"Add - describe a large payment","OK")))))</f>
        <v>0</v>
      </c>
    </row>
    <row r="290" spans="1:21">
      <c r="A290" s="43">
        <f>IF(B290="","",ExpensePrefix&amp;TEXT(ROW()-4,"0000"))</f>
        <v>0</v>
      </c>
      <c r="C290" s="23">
        <f>IF(B290="","",TEXT(B290,"yyyy-mm"))</f>
        <v>0</v>
      </c>
      <c r="Q290" s="21">
        <f>IF(B290="","",IF(H290="",0,H290)+IF(I290="",0,I290))</f>
        <v>0</v>
      </c>
      <c r="R290" s="21">
        <f>IF(OR(B290="",D290=""),"",SUMIFS($Q$5:$Q$404,$D$5:$D$404,D290,$C$5:$C$404,C290))</f>
        <v>0</v>
      </c>
      <c r="S290" s="38">
        <f>IF(OR(B290="",C290=""),"",IFERROR(R290/SUMIFS($Q$5:$Q$404,$C$5:$C$404,C290),""))</f>
        <v>0</v>
      </c>
      <c r="T290" s="23">
        <f>IF(K290="","",IFERROR(INDEX(Jobs!$H$5:$H$604,MATCH(K290,Jobs!$A$5:$A$604,0)),""))</f>
        <v>0</v>
      </c>
      <c r="U290" s="39">
        <f>IF(B290="","",IF(H290="","Add - how much?",IF(D290="","Add - which category?",IF(M290="No","Action - no receipt",IF(AND(H290&gt;500,F290=""),"Add - describe a large payment","OK")))))</f>
        <v>0</v>
      </c>
    </row>
    <row r="291" spans="1:21">
      <c r="A291" s="43">
        <f>IF(B291="","",ExpensePrefix&amp;TEXT(ROW()-4,"0000"))</f>
        <v>0</v>
      </c>
      <c r="C291" s="23">
        <f>IF(B291="","",TEXT(B291,"yyyy-mm"))</f>
        <v>0</v>
      </c>
      <c r="Q291" s="21">
        <f>IF(B291="","",IF(H291="",0,H291)+IF(I291="",0,I291))</f>
        <v>0</v>
      </c>
      <c r="R291" s="21">
        <f>IF(OR(B291="",D291=""),"",SUMIFS($Q$5:$Q$404,$D$5:$D$404,D291,$C$5:$C$404,C291))</f>
        <v>0</v>
      </c>
      <c r="S291" s="38">
        <f>IF(OR(B291="",C291=""),"",IFERROR(R291/SUMIFS($Q$5:$Q$404,$C$5:$C$404,C291),""))</f>
        <v>0</v>
      </c>
      <c r="T291" s="23">
        <f>IF(K291="","",IFERROR(INDEX(Jobs!$H$5:$H$604,MATCH(K291,Jobs!$A$5:$A$604,0)),""))</f>
        <v>0</v>
      </c>
      <c r="U291" s="39">
        <f>IF(B291="","",IF(H291="","Add - how much?",IF(D291="","Add - which category?",IF(M291="No","Action - no receipt",IF(AND(H291&gt;500,F291=""),"Add - describe a large payment","OK")))))</f>
        <v>0</v>
      </c>
    </row>
    <row r="292" spans="1:21">
      <c r="A292" s="43">
        <f>IF(B292="","",ExpensePrefix&amp;TEXT(ROW()-4,"0000"))</f>
        <v>0</v>
      </c>
      <c r="C292" s="23">
        <f>IF(B292="","",TEXT(B292,"yyyy-mm"))</f>
        <v>0</v>
      </c>
      <c r="Q292" s="21">
        <f>IF(B292="","",IF(H292="",0,H292)+IF(I292="",0,I292))</f>
        <v>0</v>
      </c>
      <c r="R292" s="21">
        <f>IF(OR(B292="",D292=""),"",SUMIFS($Q$5:$Q$404,$D$5:$D$404,D292,$C$5:$C$404,C292))</f>
        <v>0</v>
      </c>
      <c r="S292" s="38">
        <f>IF(OR(B292="",C292=""),"",IFERROR(R292/SUMIFS($Q$5:$Q$404,$C$5:$C$404,C292),""))</f>
        <v>0</v>
      </c>
      <c r="T292" s="23">
        <f>IF(K292="","",IFERROR(INDEX(Jobs!$H$5:$H$604,MATCH(K292,Jobs!$A$5:$A$604,0)),""))</f>
        <v>0</v>
      </c>
      <c r="U292" s="39">
        <f>IF(B292="","",IF(H292="","Add - how much?",IF(D292="","Add - which category?",IF(M292="No","Action - no receipt",IF(AND(H292&gt;500,F292=""),"Add - describe a large payment","OK")))))</f>
        <v>0</v>
      </c>
    </row>
    <row r="293" spans="1:21">
      <c r="A293" s="43">
        <f>IF(B293="","",ExpensePrefix&amp;TEXT(ROW()-4,"0000"))</f>
        <v>0</v>
      </c>
      <c r="C293" s="23">
        <f>IF(B293="","",TEXT(B293,"yyyy-mm"))</f>
        <v>0</v>
      </c>
      <c r="Q293" s="21">
        <f>IF(B293="","",IF(H293="",0,H293)+IF(I293="",0,I293))</f>
        <v>0</v>
      </c>
      <c r="R293" s="21">
        <f>IF(OR(B293="",D293=""),"",SUMIFS($Q$5:$Q$404,$D$5:$D$404,D293,$C$5:$C$404,C293))</f>
        <v>0</v>
      </c>
      <c r="S293" s="38">
        <f>IF(OR(B293="",C293=""),"",IFERROR(R293/SUMIFS($Q$5:$Q$404,$C$5:$C$404,C293),""))</f>
        <v>0</v>
      </c>
      <c r="T293" s="23">
        <f>IF(K293="","",IFERROR(INDEX(Jobs!$H$5:$H$604,MATCH(K293,Jobs!$A$5:$A$604,0)),""))</f>
        <v>0</v>
      </c>
      <c r="U293" s="39">
        <f>IF(B293="","",IF(H293="","Add - how much?",IF(D293="","Add - which category?",IF(M293="No","Action - no receipt",IF(AND(H293&gt;500,F293=""),"Add - describe a large payment","OK")))))</f>
        <v>0</v>
      </c>
    </row>
    <row r="294" spans="1:21">
      <c r="A294" s="43">
        <f>IF(B294="","",ExpensePrefix&amp;TEXT(ROW()-4,"0000"))</f>
        <v>0</v>
      </c>
      <c r="C294" s="23">
        <f>IF(B294="","",TEXT(B294,"yyyy-mm"))</f>
        <v>0</v>
      </c>
      <c r="Q294" s="21">
        <f>IF(B294="","",IF(H294="",0,H294)+IF(I294="",0,I294))</f>
        <v>0</v>
      </c>
      <c r="R294" s="21">
        <f>IF(OR(B294="",D294=""),"",SUMIFS($Q$5:$Q$404,$D$5:$D$404,D294,$C$5:$C$404,C294))</f>
        <v>0</v>
      </c>
      <c r="S294" s="38">
        <f>IF(OR(B294="",C294=""),"",IFERROR(R294/SUMIFS($Q$5:$Q$404,$C$5:$C$404,C294),""))</f>
        <v>0</v>
      </c>
      <c r="T294" s="23">
        <f>IF(K294="","",IFERROR(INDEX(Jobs!$H$5:$H$604,MATCH(K294,Jobs!$A$5:$A$604,0)),""))</f>
        <v>0</v>
      </c>
      <c r="U294" s="39">
        <f>IF(B294="","",IF(H294="","Add - how much?",IF(D294="","Add - which category?",IF(M294="No","Action - no receipt",IF(AND(H294&gt;500,F294=""),"Add - describe a large payment","OK")))))</f>
        <v>0</v>
      </c>
    </row>
    <row r="295" spans="1:21">
      <c r="A295" s="43">
        <f>IF(B295="","",ExpensePrefix&amp;TEXT(ROW()-4,"0000"))</f>
        <v>0</v>
      </c>
      <c r="C295" s="23">
        <f>IF(B295="","",TEXT(B295,"yyyy-mm"))</f>
        <v>0</v>
      </c>
      <c r="Q295" s="21">
        <f>IF(B295="","",IF(H295="",0,H295)+IF(I295="",0,I295))</f>
        <v>0</v>
      </c>
      <c r="R295" s="21">
        <f>IF(OR(B295="",D295=""),"",SUMIFS($Q$5:$Q$404,$D$5:$D$404,D295,$C$5:$C$404,C295))</f>
        <v>0</v>
      </c>
      <c r="S295" s="38">
        <f>IF(OR(B295="",C295=""),"",IFERROR(R295/SUMIFS($Q$5:$Q$404,$C$5:$C$404,C295),""))</f>
        <v>0</v>
      </c>
      <c r="T295" s="23">
        <f>IF(K295="","",IFERROR(INDEX(Jobs!$H$5:$H$604,MATCH(K295,Jobs!$A$5:$A$604,0)),""))</f>
        <v>0</v>
      </c>
      <c r="U295" s="39">
        <f>IF(B295="","",IF(H295="","Add - how much?",IF(D295="","Add - which category?",IF(M295="No","Action - no receipt",IF(AND(H295&gt;500,F295=""),"Add - describe a large payment","OK")))))</f>
        <v>0</v>
      </c>
    </row>
    <row r="296" spans="1:21">
      <c r="A296" s="43">
        <f>IF(B296="","",ExpensePrefix&amp;TEXT(ROW()-4,"0000"))</f>
        <v>0</v>
      </c>
      <c r="C296" s="23">
        <f>IF(B296="","",TEXT(B296,"yyyy-mm"))</f>
        <v>0</v>
      </c>
      <c r="Q296" s="21">
        <f>IF(B296="","",IF(H296="",0,H296)+IF(I296="",0,I296))</f>
        <v>0</v>
      </c>
      <c r="R296" s="21">
        <f>IF(OR(B296="",D296=""),"",SUMIFS($Q$5:$Q$404,$D$5:$D$404,D296,$C$5:$C$404,C296))</f>
        <v>0</v>
      </c>
      <c r="S296" s="38">
        <f>IF(OR(B296="",C296=""),"",IFERROR(R296/SUMIFS($Q$5:$Q$404,$C$5:$C$404,C296),""))</f>
        <v>0</v>
      </c>
      <c r="T296" s="23">
        <f>IF(K296="","",IFERROR(INDEX(Jobs!$H$5:$H$604,MATCH(K296,Jobs!$A$5:$A$604,0)),""))</f>
        <v>0</v>
      </c>
      <c r="U296" s="39">
        <f>IF(B296="","",IF(H296="","Add - how much?",IF(D296="","Add - which category?",IF(M296="No","Action - no receipt",IF(AND(H296&gt;500,F296=""),"Add - describe a large payment","OK")))))</f>
        <v>0</v>
      </c>
    </row>
    <row r="297" spans="1:21">
      <c r="A297" s="43">
        <f>IF(B297="","",ExpensePrefix&amp;TEXT(ROW()-4,"0000"))</f>
        <v>0</v>
      </c>
      <c r="C297" s="23">
        <f>IF(B297="","",TEXT(B297,"yyyy-mm"))</f>
        <v>0</v>
      </c>
      <c r="Q297" s="21">
        <f>IF(B297="","",IF(H297="",0,H297)+IF(I297="",0,I297))</f>
        <v>0</v>
      </c>
      <c r="R297" s="21">
        <f>IF(OR(B297="",D297=""),"",SUMIFS($Q$5:$Q$404,$D$5:$D$404,D297,$C$5:$C$404,C297))</f>
        <v>0</v>
      </c>
      <c r="S297" s="38">
        <f>IF(OR(B297="",C297=""),"",IFERROR(R297/SUMIFS($Q$5:$Q$404,$C$5:$C$404,C297),""))</f>
        <v>0</v>
      </c>
      <c r="T297" s="23">
        <f>IF(K297="","",IFERROR(INDEX(Jobs!$H$5:$H$604,MATCH(K297,Jobs!$A$5:$A$604,0)),""))</f>
        <v>0</v>
      </c>
      <c r="U297" s="39">
        <f>IF(B297="","",IF(H297="","Add - how much?",IF(D297="","Add - which category?",IF(M297="No","Action - no receipt",IF(AND(H297&gt;500,F297=""),"Add - describe a large payment","OK")))))</f>
        <v>0</v>
      </c>
    </row>
    <row r="298" spans="1:21">
      <c r="A298" s="43">
        <f>IF(B298="","",ExpensePrefix&amp;TEXT(ROW()-4,"0000"))</f>
        <v>0</v>
      </c>
      <c r="C298" s="23">
        <f>IF(B298="","",TEXT(B298,"yyyy-mm"))</f>
        <v>0</v>
      </c>
      <c r="Q298" s="21">
        <f>IF(B298="","",IF(H298="",0,H298)+IF(I298="",0,I298))</f>
        <v>0</v>
      </c>
      <c r="R298" s="21">
        <f>IF(OR(B298="",D298=""),"",SUMIFS($Q$5:$Q$404,$D$5:$D$404,D298,$C$5:$C$404,C298))</f>
        <v>0</v>
      </c>
      <c r="S298" s="38">
        <f>IF(OR(B298="",C298=""),"",IFERROR(R298/SUMIFS($Q$5:$Q$404,$C$5:$C$404,C298),""))</f>
        <v>0</v>
      </c>
      <c r="T298" s="23">
        <f>IF(K298="","",IFERROR(INDEX(Jobs!$H$5:$H$604,MATCH(K298,Jobs!$A$5:$A$604,0)),""))</f>
        <v>0</v>
      </c>
      <c r="U298" s="39">
        <f>IF(B298="","",IF(H298="","Add - how much?",IF(D298="","Add - which category?",IF(M298="No","Action - no receipt",IF(AND(H298&gt;500,F298=""),"Add - describe a large payment","OK")))))</f>
        <v>0</v>
      </c>
    </row>
    <row r="299" spans="1:21">
      <c r="A299" s="43">
        <f>IF(B299="","",ExpensePrefix&amp;TEXT(ROW()-4,"0000"))</f>
        <v>0</v>
      </c>
      <c r="C299" s="23">
        <f>IF(B299="","",TEXT(B299,"yyyy-mm"))</f>
        <v>0</v>
      </c>
      <c r="Q299" s="21">
        <f>IF(B299="","",IF(H299="",0,H299)+IF(I299="",0,I299))</f>
        <v>0</v>
      </c>
      <c r="R299" s="21">
        <f>IF(OR(B299="",D299=""),"",SUMIFS($Q$5:$Q$404,$D$5:$D$404,D299,$C$5:$C$404,C299))</f>
        <v>0</v>
      </c>
      <c r="S299" s="38">
        <f>IF(OR(B299="",C299=""),"",IFERROR(R299/SUMIFS($Q$5:$Q$404,$C$5:$C$404,C299),""))</f>
        <v>0</v>
      </c>
      <c r="T299" s="23">
        <f>IF(K299="","",IFERROR(INDEX(Jobs!$H$5:$H$604,MATCH(K299,Jobs!$A$5:$A$604,0)),""))</f>
        <v>0</v>
      </c>
      <c r="U299" s="39">
        <f>IF(B299="","",IF(H299="","Add - how much?",IF(D299="","Add - which category?",IF(M299="No","Action - no receipt",IF(AND(H299&gt;500,F299=""),"Add - describe a large payment","OK")))))</f>
        <v>0</v>
      </c>
    </row>
    <row r="300" spans="1:21">
      <c r="A300" s="43">
        <f>IF(B300="","",ExpensePrefix&amp;TEXT(ROW()-4,"0000"))</f>
        <v>0</v>
      </c>
      <c r="C300" s="23">
        <f>IF(B300="","",TEXT(B300,"yyyy-mm"))</f>
        <v>0</v>
      </c>
      <c r="Q300" s="21">
        <f>IF(B300="","",IF(H300="",0,H300)+IF(I300="",0,I300))</f>
        <v>0</v>
      </c>
      <c r="R300" s="21">
        <f>IF(OR(B300="",D300=""),"",SUMIFS($Q$5:$Q$404,$D$5:$D$404,D300,$C$5:$C$404,C300))</f>
        <v>0</v>
      </c>
      <c r="S300" s="38">
        <f>IF(OR(B300="",C300=""),"",IFERROR(R300/SUMIFS($Q$5:$Q$404,$C$5:$C$404,C300),""))</f>
        <v>0</v>
      </c>
      <c r="T300" s="23">
        <f>IF(K300="","",IFERROR(INDEX(Jobs!$H$5:$H$604,MATCH(K300,Jobs!$A$5:$A$604,0)),""))</f>
        <v>0</v>
      </c>
      <c r="U300" s="39">
        <f>IF(B300="","",IF(H300="","Add - how much?",IF(D300="","Add - which category?",IF(M300="No","Action - no receipt",IF(AND(H300&gt;500,F300=""),"Add - describe a large payment","OK")))))</f>
        <v>0</v>
      </c>
    </row>
    <row r="301" spans="1:21">
      <c r="A301" s="43">
        <f>IF(B301="","",ExpensePrefix&amp;TEXT(ROW()-4,"0000"))</f>
        <v>0</v>
      </c>
      <c r="C301" s="23">
        <f>IF(B301="","",TEXT(B301,"yyyy-mm"))</f>
        <v>0</v>
      </c>
      <c r="Q301" s="21">
        <f>IF(B301="","",IF(H301="",0,H301)+IF(I301="",0,I301))</f>
        <v>0</v>
      </c>
      <c r="R301" s="21">
        <f>IF(OR(B301="",D301=""),"",SUMIFS($Q$5:$Q$404,$D$5:$D$404,D301,$C$5:$C$404,C301))</f>
        <v>0</v>
      </c>
      <c r="S301" s="38">
        <f>IF(OR(B301="",C301=""),"",IFERROR(R301/SUMIFS($Q$5:$Q$404,$C$5:$C$404,C301),""))</f>
        <v>0</v>
      </c>
      <c r="T301" s="23">
        <f>IF(K301="","",IFERROR(INDEX(Jobs!$H$5:$H$604,MATCH(K301,Jobs!$A$5:$A$604,0)),""))</f>
        <v>0</v>
      </c>
      <c r="U301" s="39">
        <f>IF(B301="","",IF(H301="","Add - how much?",IF(D301="","Add - which category?",IF(M301="No","Action - no receipt",IF(AND(H301&gt;500,F301=""),"Add - describe a large payment","OK")))))</f>
        <v>0</v>
      </c>
    </row>
    <row r="302" spans="1:21">
      <c r="A302" s="43">
        <f>IF(B302="","",ExpensePrefix&amp;TEXT(ROW()-4,"0000"))</f>
        <v>0</v>
      </c>
      <c r="C302" s="23">
        <f>IF(B302="","",TEXT(B302,"yyyy-mm"))</f>
        <v>0</v>
      </c>
      <c r="Q302" s="21">
        <f>IF(B302="","",IF(H302="",0,H302)+IF(I302="",0,I302))</f>
        <v>0</v>
      </c>
      <c r="R302" s="21">
        <f>IF(OR(B302="",D302=""),"",SUMIFS($Q$5:$Q$404,$D$5:$D$404,D302,$C$5:$C$404,C302))</f>
        <v>0</v>
      </c>
      <c r="S302" s="38">
        <f>IF(OR(B302="",C302=""),"",IFERROR(R302/SUMIFS($Q$5:$Q$404,$C$5:$C$404,C302),""))</f>
        <v>0</v>
      </c>
      <c r="T302" s="23">
        <f>IF(K302="","",IFERROR(INDEX(Jobs!$H$5:$H$604,MATCH(K302,Jobs!$A$5:$A$604,0)),""))</f>
        <v>0</v>
      </c>
      <c r="U302" s="39">
        <f>IF(B302="","",IF(H302="","Add - how much?",IF(D302="","Add - which category?",IF(M302="No","Action - no receipt",IF(AND(H302&gt;500,F302=""),"Add - describe a large payment","OK")))))</f>
        <v>0</v>
      </c>
    </row>
    <row r="303" spans="1:21">
      <c r="A303" s="43">
        <f>IF(B303="","",ExpensePrefix&amp;TEXT(ROW()-4,"0000"))</f>
        <v>0</v>
      </c>
      <c r="C303" s="23">
        <f>IF(B303="","",TEXT(B303,"yyyy-mm"))</f>
        <v>0</v>
      </c>
      <c r="Q303" s="21">
        <f>IF(B303="","",IF(H303="",0,H303)+IF(I303="",0,I303))</f>
        <v>0</v>
      </c>
      <c r="R303" s="21">
        <f>IF(OR(B303="",D303=""),"",SUMIFS($Q$5:$Q$404,$D$5:$D$404,D303,$C$5:$C$404,C303))</f>
        <v>0</v>
      </c>
      <c r="S303" s="38">
        <f>IF(OR(B303="",C303=""),"",IFERROR(R303/SUMIFS($Q$5:$Q$404,$C$5:$C$404,C303),""))</f>
        <v>0</v>
      </c>
      <c r="T303" s="23">
        <f>IF(K303="","",IFERROR(INDEX(Jobs!$H$5:$H$604,MATCH(K303,Jobs!$A$5:$A$604,0)),""))</f>
        <v>0</v>
      </c>
      <c r="U303" s="39">
        <f>IF(B303="","",IF(H303="","Add - how much?",IF(D303="","Add - which category?",IF(M303="No","Action - no receipt",IF(AND(H303&gt;500,F303=""),"Add - describe a large payment","OK")))))</f>
        <v>0</v>
      </c>
    </row>
    <row r="304" spans="1:21">
      <c r="A304" s="43">
        <f>IF(B304="","",ExpensePrefix&amp;TEXT(ROW()-4,"0000"))</f>
        <v>0</v>
      </c>
      <c r="C304" s="23">
        <f>IF(B304="","",TEXT(B304,"yyyy-mm"))</f>
        <v>0</v>
      </c>
      <c r="Q304" s="21">
        <f>IF(B304="","",IF(H304="",0,H304)+IF(I304="",0,I304))</f>
        <v>0</v>
      </c>
      <c r="R304" s="21">
        <f>IF(OR(B304="",D304=""),"",SUMIFS($Q$5:$Q$404,$D$5:$D$404,D304,$C$5:$C$404,C304))</f>
        <v>0</v>
      </c>
      <c r="S304" s="38">
        <f>IF(OR(B304="",C304=""),"",IFERROR(R304/SUMIFS($Q$5:$Q$404,$C$5:$C$404,C304),""))</f>
        <v>0</v>
      </c>
      <c r="T304" s="23">
        <f>IF(K304="","",IFERROR(INDEX(Jobs!$H$5:$H$604,MATCH(K304,Jobs!$A$5:$A$604,0)),""))</f>
        <v>0</v>
      </c>
      <c r="U304" s="39">
        <f>IF(B304="","",IF(H304="","Add - how much?",IF(D304="","Add - which category?",IF(M304="No","Action - no receipt",IF(AND(H304&gt;500,F304=""),"Add - describe a large payment","OK")))))</f>
        <v>0</v>
      </c>
    </row>
    <row r="305" spans="1:21">
      <c r="A305" s="43">
        <f>IF(B305="","",ExpensePrefix&amp;TEXT(ROW()-4,"0000"))</f>
        <v>0</v>
      </c>
      <c r="C305" s="23">
        <f>IF(B305="","",TEXT(B305,"yyyy-mm"))</f>
        <v>0</v>
      </c>
      <c r="Q305" s="21">
        <f>IF(B305="","",IF(H305="",0,H305)+IF(I305="",0,I305))</f>
        <v>0</v>
      </c>
      <c r="R305" s="21">
        <f>IF(OR(B305="",D305=""),"",SUMIFS($Q$5:$Q$404,$D$5:$D$404,D305,$C$5:$C$404,C305))</f>
        <v>0</v>
      </c>
      <c r="S305" s="38">
        <f>IF(OR(B305="",C305=""),"",IFERROR(R305/SUMIFS($Q$5:$Q$404,$C$5:$C$404,C305),""))</f>
        <v>0</v>
      </c>
      <c r="T305" s="23">
        <f>IF(K305="","",IFERROR(INDEX(Jobs!$H$5:$H$604,MATCH(K305,Jobs!$A$5:$A$604,0)),""))</f>
        <v>0</v>
      </c>
      <c r="U305" s="39">
        <f>IF(B305="","",IF(H305="","Add - how much?",IF(D305="","Add - which category?",IF(M305="No","Action - no receipt",IF(AND(H305&gt;500,F305=""),"Add - describe a large payment","OK")))))</f>
        <v>0</v>
      </c>
    </row>
    <row r="306" spans="1:21">
      <c r="A306" s="43">
        <f>IF(B306="","",ExpensePrefix&amp;TEXT(ROW()-4,"0000"))</f>
        <v>0</v>
      </c>
      <c r="C306" s="23">
        <f>IF(B306="","",TEXT(B306,"yyyy-mm"))</f>
        <v>0</v>
      </c>
      <c r="Q306" s="21">
        <f>IF(B306="","",IF(H306="",0,H306)+IF(I306="",0,I306))</f>
        <v>0</v>
      </c>
      <c r="R306" s="21">
        <f>IF(OR(B306="",D306=""),"",SUMIFS($Q$5:$Q$404,$D$5:$D$404,D306,$C$5:$C$404,C306))</f>
        <v>0</v>
      </c>
      <c r="S306" s="38">
        <f>IF(OR(B306="",C306=""),"",IFERROR(R306/SUMIFS($Q$5:$Q$404,$C$5:$C$404,C306),""))</f>
        <v>0</v>
      </c>
      <c r="T306" s="23">
        <f>IF(K306="","",IFERROR(INDEX(Jobs!$H$5:$H$604,MATCH(K306,Jobs!$A$5:$A$604,0)),""))</f>
        <v>0</v>
      </c>
      <c r="U306" s="39">
        <f>IF(B306="","",IF(H306="","Add - how much?",IF(D306="","Add - which category?",IF(M306="No","Action - no receipt",IF(AND(H306&gt;500,F306=""),"Add - describe a large payment","OK")))))</f>
        <v>0</v>
      </c>
    </row>
    <row r="307" spans="1:21">
      <c r="A307" s="43">
        <f>IF(B307="","",ExpensePrefix&amp;TEXT(ROW()-4,"0000"))</f>
        <v>0</v>
      </c>
      <c r="C307" s="23">
        <f>IF(B307="","",TEXT(B307,"yyyy-mm"))</f>
        <v>0</v>
      </c>
      <c r="Q307" s="21">
        <f>IF(B307="","",IF(H307="",0,H307)+IF(I307="",0,I307))</f>
        <v>0</v>
      </c>
      <c r="R307" s="21">
        <f>IF(OR(B307="",D307=""),"",SUMIFS($Q$5:$Q$404,$D$5:$D$404,D307,$C$5:$C$404,C307))</f>
        <v>0</v>
      </c>
      <c r="S307" s="38">
        <f>IF(OR(B307="",C307=""),"",IFERROR(R307/SUMIFS($Q$5:$Q$404,$C$5:$C$404,C307),""))</f>
        <v>0</v>
      </c>
      <c r="T307" s="23">
        <f>IF(K307="","",IFERROR(INDEX(Jobs!$H$5:$H$604,MATCH(K307,Jobs!$A$5:$A$604,0)),""))</f>
        <v>0</v>
      </c>
      <c r="U307" s="39">
        <f>IF(B307="","",IF(H307="","Add - how much?",IF(D307="","Add - which category?",IF(M307="No","Action - no receipt",IF(AND(H307&gt;500,F307=""),"Add - describe a large payment","OK")))))</f>
        <v>0</v>
      </c>
    </row>
    <row r="308" spans="1:21">
      <c r="A308" s="43">
        <f>IF(B308="","",ExpensePrefix&amp;TEXT(ROW()-4,"0000"))</f>
        <v>0</v>
      </c>
      <c r="C308" s="23">
        <f>IF(B308="","",TEXT(B308,"yyyy-mm"))</f>
        <v>0</v>
      </c>
      <c r="Q308" s="21">
        <f>IF(B308="","",IF(H308="",0,H308)+IF(I308="",0,I308))</f>
        <v>0</v>
      </c>
      <c r="R308" s="21">
        <f>IF(OR(B308="",D308=""),"",SUMIFS($Q$5:$Q$404,$D$5:$D$404,D308,$C$5:$C$404,C308))</f>
        <v>0</v>
      </c>
      <c r="S308" s="38">
        <f>IF(OR(B308="",C308=""),"",IFERROR(R308/SUMIFS($Q$5:$Q$404,$C$5:$C$404,C308),""))</f>
        <v>0</v>
      </c>
      <c r="T308" s="23">
        <f>IF(K308="","",IFERROR(INDEX(Jobs!$H$5:$H$604,MATCH(K308,Jobs!$A$5:$A$604,0)),""))</f>
        <v>0</v>
      </c>
      <c r="U308" s="39">
        <f>IF(B308="","",IF(H308="","Add - how much?",IF(D308="","Add - which category?",IF(M308="No","Action - no receipt",IF(AND(H308&gt;500,F308=""),"Add - describe a large payment","OK")))))</f>
        <v>0</v>
      </c>
    </row>
    <row r="309" spans="1:21">
      <c r="A309" s="43">
        <f>IF(B309="","",ExpensePrefix&amp;TEXT(ROW()-4,"0000"))</f>
        <v>0</v>
      </c>
      <c r="C309" s="23">
        <f>IF(B309="","",TEXT(B309,"yyyy-mm"))</f>
        <v>0</v>
      </c>
      <c r="Q309" s="21">
        <f>IF(B309="","",IF(H309="",0,H309)+IF(I309="",0,I309))</f>
        <v>0</v>
      </c>
      <c r="R309" s="21">
        <f>IF(OR(B309="",D309=""),"",SUMIFS($Q$5:$Q$404,$D$5:$D$404,D309,$C$5:$C$404,C309))</f>
        <v>0</v>
      </c>
      <c r="S309" s="38">
        <f>IF(OR(B309="",C309=""),"",IFERROR(R309/SUMIFS($Q$5:$Q$404,$C$5:$C$404,C309),""))</f>
        <v>0</v>
      </c>
      <c r="T309" s="23">
        <f>IF(K309="","",IFERROR(INDEX(Jobs!$H$5:$H$604,MATCH(K309,Jobs!$A$5:$A$604,0)),""))</f>
        <v>0</v>
      </c>
      <c r="U309" s="39">
        <f>IF(B309="","",IF(H309="","Add - how much?",IF(D309="","Add - which category?",IF(M309="No","Action - no receipt",IF(AND(H309&gt;500,F309=""),"Add - describe a large payment","OK")))))</f>
        <v>0</v>
      </c>
    </row>
    <row r="310" spans="1:21">
      <c r="A310" s="43">
        <f>IF(B310="","",ExpensePrefix&amp;TEXT(ROW()-4,"0000"))</f>
        <v>0</v>
      </c>
      <c r="C310" s="23">
        <f>IF(B310="","",TEXT(B310,"yyyy-mm"))</f>
        <v>0</v>
      </c>
      <c r="Q310" s="21">
        <f>IF(B310="","",IF(H310="",0,H310)+IF(I310="",0,I310))</f>
        <v>0</v>
      </c>
      <c r="R310" s="21">
        <f>IF(OR(B310="",D310=""),"",SUMIFS($Q$5:$Q$404,$D$5:$D$404,D310,$C$5:$C$404,C310))</f>
        <v>0</v>
      </c>
      <c r="S310" s="38">
        <f>IF(OR(B310="",C310=""),"",IFERROR(R310/SUMIFS($Q$5:$Q$404,$C$5:$C$404,C310),""))</f>
        <v>0</v>
      </c>
      <c r="T310" s="23">
        <f>IF(K310="","",IFERROR(INDEX(Jobs!$H$5:$H$604,MATCH(K310,Jobs!$A$5:$A$604,0)),""))</f>
        <v>0</v>
      </c>
      <c r="U310" s="39">
        <f>IF(B310="","",IF(H310="","Add - how much?",IF(D310="","Add - which category?",IF(M310="No","Action - no receipt",IF(AND(H310&gt;500,F310=""),"Add - describe a large payment","OK")))))</f>
        <v>0</v>
      </c>
    </row>
    <row r="311" spans="1:21">
      <c r="A311" s="43">
        <f>IF(B311="","",ExpensePrefix&amp;TEXT(ROW()-4,"0000"))</f>
        <v>0</v>
      </c>
      <c r="C311" s="23">
        <f>IF(B311="","",TEXT(B311,"yyyy-mm"))</f>
        <v>0</v>
      </c>
      <c r="Q311" s="21">
        <f>IF(B311="","",IF(H311="",0,H311)+IF(I311="",0,I311))</f>
        <v>0</v>
      </c>
      <c r="R311" s="21">
        <f>IF(OR(B311="",D311=""),"",SUMIFS($Q$5:$Q$404,$D$5:$D$404,D311,$C$5:$C$404,C311))</f>
        <v>0</v>
      </c>
      <c r="S311" s="38">
        <f>IF(OR(B311="",C311=""),"",IFERROR(R311/SUMIFS($Q$5:$Q$404,$C$5:$C$404,C311),""))</f>
        <v>0</v>
      </c>
      <c r="T311" s="23">
        <f>IF(K311="","",IFERROR(INDEX(Jobs!$H$5:$H$604,MATCH(K311,Jobs!$A$5:$A$604,0)),""))</f>
        <v>0</v>
      </c>
      <c r="U311" s="39">
        <f>IF(B311="","",IF(H311="","Add - how much?",IF(D311="","Add - which category?",IF(M311="No","Action - no receipt",IF(AND(H311&gt;500,F311=""),"Add - describe a large payment","OK")))))</f>
        <v>0</v>
      </c>
    </row>
    <row r="312" spans="1:21">
      <c r="A312" s="43">
        <f>IF(B312="","",ExpensePrefix&amp;TEXT(ROW()-4,"0000"))</f>
        <v>0</v>
      </c>
      <c r="C312" s="23">
        <f>IF(B312="","",TEXT(B312,"yyyy-mm"))</f>
        <v>0</v>
      </c>
      <c r="Q312" s="21">
        <f>IF(B312="","",IF(H312="",0,H312)+IF(I312="",0,I312))</f>
        <v>0</v>
      </c>
      <c r="R312" s="21">
        <f>IF(OR(B312="",D312=""),"",SUMIFS($Q$5:$Q$404,$D$5:$D$404,D312,$C$5:$C$404,C312))</f>
        <v>0</v>
      </c>
      <c r="S312" s="38">
        <f>IF(OR(B312="",C312=""),"",IFERROR(R312/SUMIFS($Q$5:$Q$404,$C$5:$C$404,C312),""))</f>
        <v>0</v>
      </c>
      <c r="T312" s="23">
        <f>IF(K312="","",IFERROR(INDEX(Jobs!$H$5:$H$604,MATCH(K312,Jobs!$A$5:$A$604,0)),""))</f>
        <v>0</v>
      </c>
      <c r="U312" s="39">
        <f>IF(B312="","",IF(H312="","Add - how much?",IF(D312="","Add - which category?",IF(M312="No","Action - no receipt",IF(AND(H312&gt;500,F312=""),"Add - describe a large payment","OK")))))</f>
        <v>0</v>
      </c>
    </row>
    <row r="313" spans="1:21">
      <c r="A313" s="43">
        <f>IF(B313="","",ExpensePrefix&amp;TEXT(ROW()-4,"0000"))</f>
        <v>0</v>
      </c>
      <c r="C313" s="23">
        <f>IF(B313="","",TEXT(B313,"yyyy-mm"))</f>
        <v>0</v>
      </c>
      <c r="Q313" s="21">
        <f>IF(B313="","",IF(H313="",0,H313)+IF(I313="",0,I313))</f>
        <v>0</v>
      </c>
      <c r="R313" s="21">
        <f>IF(OR(B313="",D313=""),"",SUMIFS($Q$5:$Q$404,$D$5:$D$404,D313,$C$5:$C$404,C313))</f>
        <v>0</v>
      </c>
      <c r="S313" s="38">
        <f>IF(OR(B313="",C313=""),"",IFERROR(R313/SUMIFS($Q$5:$Q$404,$C$5:$C$404,C313),""))</f>
        <v>0</v>
      </c>
      <c r="T313" s="23">
        <f>IF(K313="","",IFERROR(INDEX(Jobs!$H$5:$H$604,MATCH(K313,Jobs!$A$5:$A$604,0)),""))</f>
        <v>0</v>
      </c>
      <c r="U313" s="39">
        <f>IF(B313="","",IF(H313="","Add - how much?",IF(D313="","Add - which category?",IF(M313="No","Action - no receipt",IF(AND(H313&gt;500,F313=""),"Add - describe a large payment","OK")))))</f>
        <v>0</v>
      </c>
    </row>
    <row r="314" spans="1:21">
      <c r="A314" s="43">
        <f>IF(B314="","",ExpensePrefix&amp;TEXT(ROW()-4,"0000"))</f>
        <v>0</v>
      </c>
      <c r="C314" s="23">
        <f>IF(B314="","",TEXT(B314,"yyyy-mm"))</f>
        <v>0</v>
      </c>
      <c r="Q314" s="21">
        <f>IF(B314="","",IF(H314="",0,H314)+IF(I314="",0,I314))</f>
        <v>0</v>
      </c>
      <c r="R314" s="21">
        <f>IF(OR(B314="",D314=""),"",SUMIFS($Q$5:$Q$404,$D$5:$D$404,D314,$C$5:$C$404,C314))</f>
        <v>0</v>
      </c>
      <c r="S314" s="38">
        <f>IF(OR(B314="",C314=""),"",IFERROR(R314/SUMIFS($Q$5:$Q$404,$C$5:$C$404,C314),""))</f>
        <v>0</v>
      </c>
      <c r="T314" s="23">
        <f>IF(K314="","",IFERROR(INDEX(Jobs!$H$5:$H$604,MATCH(K314,Jobs!$A$5:$A$604,0)),""))</f>
        <v>0</v>
      </c>
      <c r="U314" s="39">
        <f>IF(B314="","",IF(H314="","Add - how much?",IF(D314="","Add - which category?",IF(M314="No","Action - no receipt",IF(AND(H314&gt;500,F314=""),"Add - describe a large payment","OK")))))</f>
        <v>0</v>
      </c>
    </row>
    <row r="315" spans="1:21">
      <c r="A315" s="43">
        <f>IF(B315="","",ExpensePrefix&amp;TEXT(ROW()-4,"0000"))</f>
        <v>0</v>
      </c>
      <c r="C315" s="23">
        <f>IF(B315="","",TEXT(B315,"yyyy-mm"))</f>
        <v>0</v>
      </c>
      <c r="Q315" s="21">
        <f>IF(B315="","",IF(H315="",0,H315)+IF(I315="",0,I315))</f>
        <v>0</v>
      </c>
      <c r="R315" s="21">
        <f>IF(OR(B315="",D315=""),"",SUMIFS($Q$5:$Q$404,$D$5:$D$404,D315,$C$5:$C$404,C315))</f>
        <v>0</v>
      </c>
      <c r="S315" s="38">
        <f>IF(OR(B315="",C315=""),"",IFERROR(R315/SUMIFS($Q$5:$Q$404,$C$5:$C$404,C315),""))</f>
        <v>0</v>
      </c>
      <c r="T315" s="23">
        <f>IF(K315="","",IFERROR(INDEX(Jobs!$H$5:$H$604,MATCH(K315,Jobs!$A$5:$A$604,0)),""))</f>
        <v>0</v>
      </c>
      <c r="U315" s="39">
        <f>IF(B315="","",IF(H315="","Add - how much?",IF(D315="","Add - which category?",IF(M315="No","Action - no receipt",IF(AND(H315&gt;500,F315=""),"Add - describe a large payment","OK")))))</f>
        <v>0</v>
      </c>
    </row>
    <row r="316" spans="1:21">
      <c r="A316" s="43">
        <f>IF(B316="","",ExpensePrefix&amp;TEXT(ROW()-4,"0000"))</f>
        <v>0</v>
      </c>
      <c r="C316" s="23">
        <f>IF(B316="","",TEXT(B316,"yyyy-mm"))</f>
        <v>0</v>
      </c>
      <c r="Q316" s="21">
        <f>IF(B316="","",IF(H316="",0,H316)+IF(I316="",0,I316))</f>
        <v>0</v>
      </c>
      <c r="R316" s="21">
        <f>IF(OR(B316="",D316=""),"",SUMIFS($Q$5:$Q$404,$D$5:$D$404,D316,$C$5:$C$404,C316))</f>
        <v>0</v>
      </c>
      <c r="S316" s="38">
        <f>IF(OR(B316="",C316=""),"",IFERROR(R316/SUMIFS($Q$5:$Q$404,$C$5:$C$404,C316),""))</f>
        <v>0</v>
      </c>
      <c r="T316" s="23">
        <f>IF(K316="","",IFERROR(INDEX(Jobs!$H$5:$H$604,MATCH(K316,Jobs!$A$5:$A$604,0)),""))</f>
        <v>0</v>
      </c>
      <c r="U316" s="39">
        <f>IF(B316="","",IF(H316="","Add - how much?",IF(D316="","Add - which category?",IF(M316="No","Action - no receipt",IF(AND(H316&gt;500,F316=""),"Add - describe a large payment","OK")))))</f>
        <v>0</v>
      </c>
    </row>
    <row r="317" spans="1:21">
      <c r="A317" s="43">
        <f>IF(B317="","",ExpensePrefix&amp;TEXT(ROW()-4,"0000"))</f>
        <v>0</v>
      </c>
      <c r="C317" s="23">
        <f>IF(B317="","",TEXT(B317,"yyyy-mm"))</f>
        <v>0</v>
      </c>
      <c r="Q317" s="21">
        <f>IF(B317="","",IF(H317="",0,H317)+IF(I317="",0,I317))</f>
        <v>0</v>
      </c>
      <c r="R317" s="21">
        <f>IF(OR(B317="",D317=""),"",SUMIFS($Q$5:$Q$404,$D$5:$D$404,D317,$C$5:$C$404,C317))</f>
        <v>0</v>
      </c>
      <c r="S317" s="38">
        <f>IF(OR(B317="",C317=""),"",IFERROR(R317/SUMIFS($Q$5:$Q$404,$C$5:$C$404,C317),""))</f>
        <v>0</v>
      </c>
      <c r="T317" s="23">
        <f>IF(K317="","",IFERROR(INDEX(Jobs!$H$5:$H$604,MATCH(K317,Jobs!$A$5:$A$604,0)),""))</f>
        <v>0</v>
      </c>
      <c r="U317" s="39">
        <f>IF(B317="","",IF(H317="","Add - how much?",IF(D317="","Add - which category?",IF(M317="No","Action - no receipt",IF(AND(H317&gt;500,F317=""),"Add - describe a large payment","OK")))))</f>
        <v>0</v>
      </c>
    </row>
    <row r="318" spans="1:21">
      <c r="A318" s="43">
        <f>IF(B318="","",ExpensePrefix&amp;TEXT(ROW()-4,"0000"))</f>
        <v>0</v>
      </c>
      <c r="C318" s="23">
        <f>IF(B318="","",TEXT(B318,"yyyy-mm"))</f>
        <v>0</v>
      </c>
      <c r="Q318" s="21">
        <f>IF(B318="","",IF(H318="",0,H318)+IF(I318="",0,I318))</f>
        <v>0</v>
      </c>
      <c r="R318" s="21">
        <f>IF(OR(B318="",D318=""),"",SUMIFS($Q$5:$Q$404,$D$5:$D$404,D318,$C$5:$C$404,C318))</f>
        <v>0</v>
      </c>
      <c r="S318" s="38">
        <f>IF(OR(B318="",C318=""),"",IFERROR(R318/SUMIFS($Q$5:$Q$404,$C$5:$C$404,C318),""))</f>
        <v>0</v>
      </c>
      <c r="T318" s="23">
        <f>IF(K318="","",IFERROR(INDEX(Jobs!$H$5:$H$604,MATCH(K318,Jobs!$A$5:$A$604,0)),""))</f>
        <v>0</v>
      </c>
      <c r="U318" s="39">
        <f>IF(B318="","",IF(H318="","Add - how much?",IF(D318="","Add - which category?",IF(M318="No","Action - no receipt",IF(AND(H318&gt;500,F318=""),"Add - describe a large payment","OK")))))</f>
        <v>0</v>
      </c>
    </row>
    <row r="319" spans="1:21">
      <c r="A319" s="43">
        <f>IF(B319="","",ExpensePrefix&amp;TEXT(ROW()-4,"0000"))</f>
        <v>0</v>
      </c>
      <c r="C319" s="23">
        <f>IF(B319="","",TEXT(B319,"yyyy-mm"))</f>
        <v>0</v>
      </c>
      <c r="Q319" s="21">
        <f>IF(B319="","",IF(H319="",0,H319)+IF(I319="",0,I319))</f>
        <v>0</v>
      </c>
      <c r="R319" s="21">
        <f>IF(OR(B319="",D319=""),"",SUMIFS($Q$5:$Q$404,$D$5:$D$404,D319,$C$5:$C$404,C319))</f>
        <v>0</v>
      </c>
      <c r="S319" s="38">
        <f>IF(OR(B319="",C319=""),"",IFERROR(R319/SUMIFS($Q$5:$Q$404,$C$5:$C$404,C319),""))</f>
        <v>0</v>
      </c>
      <c r="T319" s="23">
        <f>IF(K319="","",IFERROR(INDEX(Jobs!$H$5:$H$604,MATCH(K319,Jobs!$A$5:$A$604,0)),""))</f>
        <v>0</v>
      </c>
      <c r="U319" s="39">
        <f>IF(B319="","",IF(H319="","Add - how much?",IF(D319="","Add - which category?",IF(M319="No","Action - no receipt",IF(AND(H319&gt;500,F319=""),"Add - describe a large payment","OK")))))</f>
        <v>0</v>
      </c>
    </row>
    <row r="320" spans="1:21">
      <c r="A320" s="43">
        <f>IF(B320="","",ExpensePrefix&amp;TEXT(ROW()-4,"0000"))</f>
        <v>0</v>
      </c>
      <c r="C320" s="23">
        <f>IF(B320="","",TEXT(B320,"yyyy-mm"))</f>
        <v>0</v>
      </c>
      <c r="Q320" s="21">
        <f>IF(B320="","",IF(H320="",0,H320)+IF(I320="",0,I320))</f>
        <v>0</v>
      </c>
      <c r="R320" s="21">
        <f>IF(OR(B320="",D320=""),"",SUMIFS($Q$5:$Q$404,$D$5:$D$404,D320,$C$5:$C$404,C320))</f>
        <v>0</v>
      </c>
      <c r="S320" s="38">
        <f>IF(OR(B320="",C320=""),"",IFERROR(R320/SUMIFS($Q$5:$Q$404,$C$5:$C$404,C320),""))</f>
        <v>0</v>
      </c>
      <c r="T320" s="23">
        <f>IF(K320="","",IFERROR(INDEX(Jobs!$H$5:$H$604,MATCH(K320,Jobs!$A$5:$A$604,0)),""))</f>
        <v>0</v>
      </c>
      <c r="U320" s="39">
        <f>IF(B320="","",IF(H320="","Add - how much?",IF(D320="","Add - which category?",IF(M320="No","Action - no receipt",IF(AND(H320&gt;500,F320=""),"Add - describe a large payment","OK")))))</f>
        <v>0</v>
      </c>
    </row>
    <row r="321" spans="1:21">
      <c r="A321" s="43">
        <f>IF(B321="","",ExpensePrefix&amp;TEXT(ROW()-4,"0000"))</f>
        <v>0</v>
      </c>
      <c r="C321" s="23">
        <f>IF(B321="","",TEXT(B321,"yyyy-mm"))</f>
        <v>0</v>
      </c>
      <c r="Q321" s="21">
        <f>IF(B321="","",IF(H321="",0,H321)+IF(I321="",0,I321))</f>
        <v>0</v>
      </c>
      <c r="R321" s="21">
        <f>IF(OR(B321="",D321=""),"",SUMIFS($Q$5:$Q$404,$D$5:$D$404,D321,$C$5:$C$404,C321))</f>
        <v>0</v>
      </c>
      <c r="S321" s="38">
        <f>IF(OR(B321="",C321=""),"",IFERROR(R321/SUMIFS($Q$5:$Q$404,$C$5:$C$404,C321),""))</f>
        <v>0</v>
      </c>
      <c r="T321" s="23">
        <f>IF(K321="","",IFERROR(INDEX(Jobs!$H$5:$H$604,MATCH(K321,Jobs!$A$5:$A$604,0)),""))</f>
        <v>0</v>
      </c>
      <c r="U321" s="39">
        <f>IF(B321="","",IF(H321="","Add - how much?",IF(D321="","Add - which category?",IF(M321="No","Action - no receipt",IF(AND(H321&gt;500,F321=""),"Add - describe a large payment","OK")))))</f>
        <v>0</v>
      </c>
    </row>
    <row r="322" spans="1:21">
      <c r="A322" s="43">
        <f>IF(B322="","",ExpensePrefix&amp;TEXT(ROW()-4,"0000"))</f>
        <v>0</v>
      </c>
      <c r="C322" s="23">
        <f>IF(B322="","",TEXT(B322,"yyyy-mm"))</f>
        <v>0</v>
      </c>
      <c r="Q322" s="21">
        <f>IF(B322="","",IF(H322="",0,H322)+IF(I322="",0,I322))</f>
        <v>0</v>
      </c>
      <c r="R322" s="21">
        <f>IF(OR(B322="",D322=""),"",SUMIFS($Q$5:$Q$404,$D$5:$D$404,D322,$C$5:$C$404,C322))</f>
        <v>0</v>
      </c>
      <c r="S322" s="38">
        <f>IF(OR(B322="",C322=""),"",IFERROR(R322/SUMIFS($Q$5:$Q$404,$C$5:$C$404,C322),""))</f>
        <v>0</v>
      </c>
      <c r="T322" s="23">
        <f>IF(K322="","",IFERROR(INDEX(Jobs!$H$5:$H$604,MATCH(K322,Jobs!$A$5:$A$604,0)),""))</f>
        <v>0</v>
      </c>
      <c r="U322" s="39">
        <f>IF(B322="","",IF(H322="","Add - how much?",IF(D322="","Add - which category?",IF(M322="No","Action - no receipt",IF(AND(H322&gt;500,F322=""),"Add - describe a large payment","OK")))))</f>
        <v>0</v>
      </c>
    </row>
    <row r="323" spans="1:21">
      <c r="A323" s="43">
        <f>IF(B323="","",ExpensePrefix&amp;TEXT(ROW()-4,"0000"))</f>
        <v>0</v>
      </c>
      <c r="C323" s="23">
        <f>IF(B323="","",TEXT(B323,"yyyy-mm"))</f>
        <v>0</v>
      </c>
      <c r="Q323" s="21">
        <f>IF(B323="","",IF(H323="",0,H323)+IF(I323="",0,I323))</f>
        <v>0</v>
      </c>
      <c r="R323" s="21">
        <f>IF(OR(B323="",D323=""),"",SUMIFS($Q$5:$Q$404,$D$5:$D$404,D323,$C$5:$C$404,C323))</f>
        <v>0</v>
      </c>
      <c r="S323" s="38">
        <f>IF(OR(B323="",C323=""),"",IFERROR(R323/SUMIFS($Q$5:$Q$404,$C$5:$C$404,C323),""))</f>
        <v>0</v>
      </c>
      <c r="T323" s="23">
        <f>IF(K323="","",IFERROR(INDEX(Jobs!$H$5:$H$604,MATCH(K323,Jobs!$A$5:$A$604,0)),""))</f>
        <v>0</v>
      </c>
      <c r="U323" s="39">
        <f>IF(B323="","",IF(H323="","Add - how much?",IF(D323="","Add - which category?",IF(M323="No","Action - no receipt",IF(AND(H323&gt;500,F323=""),"Add - describe a large payment","OK")))))</f>
        <v>0</v>
      </c>
    </row>
    <row r="324" spans="1:21">
      <c r="A324" s="43">
        <f>IF(B324="","",ExpensePrefix&amp;TEXT(ROW()-4,"0000"))</f>
        <v>0</v>
      </c>
      <c r="C324" s="23">
        <f>IF(B324="","",TEXT(B324,"yyyy-mm"))</f>
        <v>0</v>
      </c>
      <c r="Q324" s="21">
        <f>IF(B324="","",IF(H324="",0,H324)+IF(I324="",0,I324))</f>
        <v>0</v>
      </c>
      <c r="R324" s="21">
        <f>IF(OR(B324="",D324=""),"",SUMIFS($Q$5:$Q$404,$D$5:$D$404,D324,$C$5:$C$404,C324))</f>
        <v>0</v>
      </c>
      <c r="S324" s="38">
        <f>IF(OR(B324="",C324=""),"",IFERROR(R324/SUMIFS($Q$5:$Q$404,$C$5:$C$404,C324),""))</f>
        <v>0</v>
      </c>
      <c r="T324" s="23">
        <f>IF(K324="","",IFERROR(INDEX(Jobs!$H$5:$H$604,MATCH(K324,Jobs!$A$5:$A$604,0)),""))</f>
        <v>0</v>
      </c>
      <c r="U324" s="39">
        <f>IF(B324="","",IF(H324="","Add - how much?",IF(D324="","Add - which category?",IF(M324="No","Action - no receipt",IF(AND(H324&gt;500,F324=""),"Add - describe a large payment","OK")))))</f>
        <v>0</v>
      </c>
    </row>
    <row r="325" spans="1:21">
      <c r="A325" s="43">
        <f>IF(B325="","",ExpensePrefix&amp;TEXT(ROW()-4,"0000"))</f>
        <v>0</v>
      </c>
      <c r="C325" s="23">
        <f>IF(B325="","",TEXT(B325,"yyyy-mm"))</f>
        <v>0</v>
      </c>
      <c r="Q325" s="21">
        <f>IF(B325="","",IF(H325="",0,H325)+IF(I325="",0,I325))</f>
        <v>0</v>
      </c>
      <c r="R325" s="21">
        <f>IF(OR(B325="",D325=""),"",SUMIFS($Q$5:$Q$404,$D$5:$D$404,D325,$C$5:$C$404,C325))</f>
        <v>0</v>
      </c>
      <c r="S325" s="38">
        <f>IF(OR(B325="",C325=""),"",IFERROR(R325/SUMIFS($Q$5:$Q$404,$C$5:$C$404,C325),""))</f>
        <v>0</v>
      </c>
      <c r="T325" s="23">
        <f>IF(K325="","",IFERROR(INDEX(Jobs!$H$5:$H$604,MATCH(K325,Jobs!$A$5:$A$604,0)),""))</f>
        <v>0</v>
      </c>
      <c r="U325" s="39">
        <f>IF(B325="","",IF(H325="","Add - how much?",IF(D325="","Add - which category?",IF(M325="No","Action - no receipt",IF(AND(H325&gt;500,F325=""),"Add - describe a large payment","OK")))))</f>
        <v>0</v>
      </c>
    </row>
    <row r="326" spans="1:21">
      <c r="A326" s="43">
        <f>IF(B326="","",ExpensePrefix&amp;TEXT(ROW()-4,"0000"))</f>
        <v>0</v>
      </c>
      <c r="C326" s="23">
        <f>IF(B326="","",TEXT(B326,"yyyy-mm"))</f>
        <v>0</v>
      </c>
      <c r="Q326" s="21">
        <f>IF(B326="","",IF(H326="",0,H326)+IF(I326="",0,I326))</f>
        <v>0</v>
      </c>
      <c r="R326" s="21">
        <f>IF(OR(B326="",D326=""),"",SUMIFS($Q$5:$Q$404,$D$5:$D$404,D326,$C$5:$C$404,C326))</f>
        <v>0</v>
      </c>
      <c r="S326" s="38">
        <f>IF(OR(B326="",C326=""),"",IFERROR(R326/SUMIFS($Q$5:$Q$404,$C$5:$C$404,C326),""))</f>
        <v>0</v>
      </c>
      <c r="T326" s="23">
        <f>IF(K326="","",IFERROR(INDEX(Jobs!$H$5:$H$604,MATCH(K326,Jobs!$A$5:$A$604,0)),""))</f>
        <v>0</v>
      </c>
      <c r="U326" s="39">
        <f>IF(B326="","",IF(H326="","Add - how much?",IF(D326="","Add - which category?",IF(M326="No","Action - no receipt",IF(AND(H326&gt;500,F326=""),"Add - describe a large payment","OK")))))</f>
        <v>0</v>
      </c>
    </row>
    <row r="327" spans="1:21">
      <c r="A327" s="43">
        <f>IF(B327="","",ExpensePrefix&amp;TEXT(ROW()-4,"0000"))</f>
        <v>0</v>
      </c>
      <c r="C327" s="23">
        <f>IF(B327="","",TEXT(B327,"yyyy-mm"))</f>
        <v>0</v>
      </c>
      <c r="Q327" s="21">
        <f>IF(B327="","",IF(H327="",0,H327)+IF(I327="",0,I327))</f>
        <v>0</v>
      </c>
      <c r="R327" s="21">
        <f>IF(OR(B327="",D327=""),"",SUMIFS($Q$5:$Q$404,$D$5:$D$404,D327,$C$5:$C$404,C327))</f>
        <v>0</v>
      </c>
      <c r="S327" s="38">
        <f>IF(OR(B327="",C327=""),"",IFERROR(R327/SUMIFS($Q$5:$Q$404,$C$5:$C$404,C327),""))</f>
        <v>0</v>
      </c>
      <c r="T327" s="23">
        <f>IF(K327="","",IFERROR(INDEX(Jobs!$H$5:$H$604,MATCH(K327,Jobs!$A$5:$A$604,0)),""))</f>
        <v>0</v>
      </c>
      <c r="U327" s="39">
        <f>IF(B327="","",IF(H327="","Add - how much?",IF(D327="","Add - which category?",IF(M327="No","Action - no receipt",IF(AND(H327&gt;500,F327=""),"Add - describe a large payment","OK")))))</f>
        <v>0</v>
      </c>
    </row>
    <row r="328" spans="1:21">
      <c r="A328" s="43">
        <f>IF(B328="","",ExpensePrefix&amp;TEXT(ROW()-4,"0000"))</f>
        <v>0</v>
      </c>
      <c r="C328" s="23">
        <f>IF(B328="","",TEXT(B328,"yyyy-mm"))</f>
        <v>0</v>
      </c>
      <c r="Q328" s="21">
        <f>IF(B328="","",IF(H328="",0,H328)+IF(I328="",0,I328))</f>
        <v>0</v>
      </c>
      <c r="R328" s="21">
        <f>IF(OR(B328="",D328=""),"",SUMIFS($Q$5:$Q$404,$D$5:$D$404,D328,$C$5:$C$404,C328))</f>
        <v>0</v>
      </c>
      <c r="S328" s="38">
        <f>IF(OR(B328="",C328=""),"",IFERROR(R328/SUMIFS($Q$5:$Q$404,$C$5:$C$404,C328),""))</f>
        <v>0</v>
      </c>
      <c r="T328" s="23">
        <f>IF(K328="","",IFERROR(INDEX(Jobs!$H$5:$H$604,MATCH(K328,Jobs!$A$5:$A$604,0)),""))</f>
        <v>0</v>
      </c>
      <c r="U328" s="39">
        <f>IF(B328="","",IF(H328="","Add - how much?",IF(D328="","Add - which category?",IF(M328="No","Action - no receipt",IF(AND(H328&gt;500,F328=""),"Add - describe a large payment","OK")))))</f>
        <v>0</v>
      </c>
    </row>
    <row r="329" spans="1:21">
      <c r="A329" s="43">
        <f>IF(B329="","",ExpensePrefix&amp;TEXT(ROW()-4,"0000"))</f>
        <v>0</v>
      </c>
      <c r="C329" s="23">
        <f>IF(B329="","",TEXT(B329,"yyyy-mm"))</f>
        <v>0</v>
      </c>
      <c r="Q329" s="21">
        <f>IF(B329="","",IF(H329="",0,H329)+IF(I329="",0,I329))</f>
        <v>0</v>
      </c>
      <c r="R329" s="21">
        <f>IF(OR(B329="",D329=""),"",SUMIFS($Q$5:$Q$404,$D$5:$D$404,D329,$C$5:$C$404,C329))</f>
        <v>0</v>
      </c>
      <c r="S329" s="38">
        <f>IF(OR(B329="",C329=""),"",IFERROR(R329/SUMIFS($Q$5:$Q$404,$C$5:$C$404,C329),""))</f>
        <v>0</v>
      </c>
      <c r="T329" s="23">
        <f>IF(K329="","",IFERROR(INDEX(Jobs!$H$5:$H$604,MATCH(K329,Jobs!$A$5:$A$604,0)),""))</f>
        <v>0</v>
      </c>
      <c r="U329" s="39">
        <f>IF(B329="","",IF(H329="","Add - how much?",IF(D329="","Add - which category?",IF(M329="No","Action - no receipt",IF(AND(H329&gt;500,F329=""),"Add - describe a large payment","OK")))))</f>
        <v>0</v>
      </c>
    </row>
    <row r="330" spans="1:21">
      <c r="A330" s="43">
        <f>IF(B330="","",ExpensePrefix&amp;TEXT(ROW()-4,"0000"))</f>
        <v>0</v>
      </c>
      <c r="C330" s="23">
        <f>IF(B330="","",TEXT(B330,"yyyy-mm"))</f>
        <v>0</v>
      </c>
      <c r="Q330" s="21">
        <f>IF(B330="","",IF(H330="",0,H330)+IF(I330="",0,I330))</f>
        <v>0</v>
      </c>
      <c r="R330" s="21">
        <f>IF(OR(B330="",D330=""),"",SUMIFS($Q$5:$Q$404,$D$5:$D$404,D330,$C$5:$C$404,C330))</f>
        <v>0</v>
      </c>
      <c r="S330" s="38">
        <f>IF(OR(B330="",C330=""),"",IFERROR(R330/SUMIFS($Q$5:$Q$404,$C$5:$C$404,C330),""))</f>
        <v>0</v>
      </c>
      <c r="T330" s="23">
        <f>IF(K330="","",IFERROR(INDEX(Jobs!$H$5:$H$604,MATCH(K330,Jobs!$A$5:$A$604,0)),""))</f>
        <v>0</v>
      </c>
      <c r="U330" s="39">
        <f>IF(B330="","",IF(H330="","Add - how much?",IF(D330="","Add - which category?",IF(M330="No","Action - no receipt",IF(AND(H330&gt;500,F330=""),"Add - describe a large payment","OK")))))</f>
        <v>0</v>
      </c>
    </row>
    <row r="331" spans="1:21">
      <c r="A331" s="43">
        <f>IF(B331="","",ExpensePrefix&amp;TEXT(ROW()-4,"0000"))</f>
        <v>0</v>
      </c>
      <c r="C331" s="23">
        <f>IF(B331="","",TEXT(B331,"yyyy-mm"))</f>
        <v>0</v>
      </c>
      <c r="Q331" s="21">
        <f>IF(B331="","",IF(H331="",0,H331)+IF(I331="",0,I331))</f>
        <v>0</v>
      </c>
      <c r="R331" s="21">
        <f>IF(OR(B331="",D331=""),"",SUMIFS($Q$5:$Q$404,$D$5:$D$404,D331,$C$5:$C$404,C331))</f>
        <v>0</v>
      </c>
      <c r="S331" s="38">
        <f>IF(OR(B331="",C331=""),"",IFERROR(R331/SUMIFS($Q$5:$Q$404,$C$5:$C$404,C331),""))</f>
        <v>0</v>
      </c>
      <c r="T331" s="23">
        <f>IF(K331="","",IFERROR(INDEX(Jobs!$H$5:$H$604,MATCH(K331,Jobs!$A$5:$A$604,0)),""))</f>
        <v>0</v>
      </c>
      <c r="U331" s="39">
        <f>IF(B331="","",IF(H331="","Add - how much?",IF(D331="","Add - which category?",IF(M331="No","Action - no receipt",IF(AND(H331&gt;500,F331=""),"Add - describe a large payment","OK")))))</f>
        <v>0</v>
      </c>
    </row>
    <row r="332" spans="1:21">
      <c r="A332" s="43">
        <f>IF(B332="","",ExpensePrefix&amp;TEXT(ROW()-4,"0000"))</f>
        <v>0</v>
      </c>
      <c r="C332" s="23">
        <f>IF(B332="","",TEXT(B332,"yyyy-mm"))</f>
        <v>0</v>
      </c>
      <c r="Q332" s="21">
        <f>IF(B332="","",IF(H332="",0,H332)+IF(I332="",0,I332))</f>
        <v>0</v>
      </c>
      <c r="R332" s="21">
        <f>IF(OR(B332="",D332=""),"",SUMIFS($Q$5:$Q$404,$D$5:$D$404,D332,$C$5:$C$404,C332))</f>
        <v>0</v>
      </c>
      <c r="S332" s="38">
        <f>IF(OR(B332="",C332=""),"",IFERROR(R332/SUMIFS($Q$5:$Q$404,$C$5:$C$404,C332),""))</f>
        <v>0</v>
      </c>
      <c r="T332" s="23">
        <f>IF(K332="","",IFERROR(INDEX(Jobs!$H$5:$H$604,MATCH(K332,Jobs!$A$5:$A$604,0)),""))</f>
        <v>0</v>
      </c>
      <c r="U332" s="39">
        <f>IF(B332="","",IF(H332="","Add - how much?",IF(D332="","Add - which category?",IF(M332="No","Action - no receipt",IF(AND(H332&gt;500,F332=""),"Add - describe a large payment","OK")))))</f>
        <v>0</v>
      </c>
    </row>
    <row r="333" spans="1:21">
      <c r="A333" s="43">
        <f>IF(B333="","",ExpensePrefix&amp;TEXT(ROW()-4,"0000"))</f>
        <v>0</v>
      </c>
      <c r="C333" s="23">
        <f>IF(B333="","",TEXT(B333,"yyyy-mm"))</f>
        <v>0</v>
      </c>
      <c r="Q333" s="21">
        <f>IF(B333="","",IF(H333="",0,H333)+IF(I333="",0,I333))</f>
        <v>0</v>
      </c>
      <c r="R333" s="21">
        <f>IF(OR(B333="",D333=""),"",SUMIFS($Q$5:$Q$404,$D$5:$D$404,D333,$C$5:$C$404,C333))</f>
        <v>0</v>
      </c>
      <c r="S333" s="38">
        <f>IF(OR(B333="",C333=""),"",IFERROR(R333/SUMIFS($Q$5:$Q$404,$C$5:$C$404,C333),""))</f>
        <v>0</v>
      </c>
      <c r="T333" s="23">
        <f>IF(K333="","",IFERROR(INDEX(Jobs!$H$5:$H$604,MATCH(K333,Jobs!$A$5:$A$604,0)),""))</f>
        <v>0</v>
      </c>
      <c r="U333" s="39">
        <f>IF(B333="","",IF(H333="","Add - how much?",IF(D333="","Add - which category?",IF(M333="No","Action - no receipt",IF(AND(H333&gt;500,F333=""),"Add - describe a large payment","OK")))))</f>
        <v>0</v>
      </c>
    </row>
    <row r="334" spans="1:21">
      <c r="A334" s="43">
        <f>IF(B334="","",ExpensePrefix&amp;TEXT(ROW()-4,"0000"))</f>
        <v>0</v>
      </c>
      <c r="C334" s="23">
        <f>IF(B334="","",TEXT(B334,"yyyy-mm"))</f>
        <v>0</v>
      </c>
      <c r="Q334" s="21">
        <f>IF(B334="","",IF(H334="",0,H334)+IF(I334="",0,I334))</f>
        <v>0</v>
      </c>
      <c r="R334" s="21">
        <f>IF(OR(B334="",D334=""),"",SUMIFS($Q$5:$Q$404,$D$5:$D$404,D334,$C$5:$C$404,C334))</f>
        <v>0</v>
      </c>
      <c r="S334" s="38">
        <f>IF(OR(B334="",C334=""),"",IFERROR(R334/SUMIFS($Q$5:$Q$404,$C$5:$C$404,C334),""))</f>
        <v>0</v>
      </c>
      <c r="T334" s="23">
        <f>IF(K334="","",IFERROR(INDEX(Jobs!$H$5:$H$604,MATCH(K334,Jobs!$A$5:$A$604,0)),""))</f>
        <v>0</v>
      </c>
      <c r="U334" s="39">
        <f>IF(B334="","",IF(H334="","Add - how much?",IF(D334="","Add - which category?",IF(M334="No","Action - no receipt",IF(AND(H334&gt;500,F334=""),"Add - describe a large payment","OK")))))</f>
        <v>0</v>
      </c>
    </row>
    <row r="335" spans="1:21">
      <c r="A335" s="43">
        <f>IF(B335="","",ExpensePrefix&amp;TEXT(ROW()-4,"0000"))</f>
        <v>0</v>
      </c>
      <c r="C335" s="23">
        <f>IF(B335="","",TEXT(B335,"yyyy-mm"))</f>
        <v>0</v>
      </c>
      <c r="Q335" s="21">
        <f>IF(B335="","",IF(H335="",0,H335)+IF(I335="",0,I335))</f>
        <v>0</v>
      </c>
      <c r="R335" s="21">
        <f>IF(OR(B335="",D335=""),"",SUMIFS($Q$5:$Q$404,$D$5:$D$404,D335,$C$5:$C$404,C335))</f>
        <v>0</v>
      </c>
      <c r="S335" s="38">
        <f>IF(OR(B335="",C335=""),"",IFERROR(R335/SUMIFS($Q$5:$Q$404,$C$5:$C$404,C335),""))</f>
        <v>0</v>
      </c>
      <c r="T335" s="23">
        <f>IF(K335="","",IFERROR(INDEX(Jobs!$H$5:$H$604,MATCH(K335,Jobs!$A$5:$A$604,0)),""))</f>
        <v>0</v>
      </c>
      <c r="U335" s="39">
        <f>IF(B335="","",IF(H335="","Add - how much?",IF(D335="","Add - which category?",IF(M335="No","Action - no receipt",IF(AND(H335&gt;500,F335=""),"Add - describe a large payment","OK")))))</f>
        <v>0</v>
      </c>
    </row>
    <row r="336" spans="1:21">
      <c r="A336" s="43">
        <f>IF(B336="","",ExpensePrefix&amp;TEXT(ROW()-4,"0000"))</f>
        <v>0</v>
      </c>
      <c r="C336" s="23">
        <f>IF(B336="","",TEXT(B336,"yyyy-mm"))</f>
        <v>0</v>
      </c>
      <c r="Q336" s="21">
        <f>IF(B336="","",IF(H336="",0,H336)+IF(I336="",0,I336))</f>
        <v>0</v>
      </c>
      <c r="R336" s="21">
        <f>IF(OR(B336="",D336=""),"",SUMIFS($Q$5:$Q$404,$D$5:$D$404,D336,$C$5:$C$404,C336))</f>
        <v>0</v>
      </c>
      <c r="S336" s="38">
        <f>IF(OR(B336="",C336=""),"",IFERROR(R336/SUMIFS($Q$5:$Q$404,$C$5:$C$404,C336),""))</f>
        <v>0</v>
      </c>
      <c r="T336" s="23">
        <f>IF(K336="","",IFERROR(INDEX(Jobs!$H$5:$H$604,MATCH(K336,Jobs!$A$5:$A$604,0)),""))</f>
        <v>0</v>
      </c>
      <c r="U336" s="39">
        <f>IF(B336="","",IF(H336="","Add - how much?",IF(D336="","Add - which category?",IF(M336="No","Action - no receipt",IF(AND(H336&gt;500,F336=""),"Add - describe a large payment","OK")))))</f>
        <v>0</v>
      </c>
    </row>
    <row r="337" spans="1:21">
      <c r="A337" s="43">
        <f>IF(B337="","",ExpensePrefix&amp;TEXT(ROW()-4,"0000"))</f>
        <v>0</v>
      </c>
      <c r="C337" s="23">
        <f>IF(B337="","",TEXT(B337,"yyyy-mm"))</f>
        <v>0</v>
      </c>
      <c r="Q337" s="21">
        <f>IF(B337="","",IF(H337="",0,H337)+IF(I337="",0,I337))</f>
        <v>0</v>
      </c>
      <c r="R337" s="21">
        <f>IF(OR(B337="",D337=""),"",SUMIFS($Q$5:$Q$404,$D$5:$D$404,D337,$C$5:$C$404,C337))</f>
        <v>0</v>
      </c>
      <c r="S337" s="38">
        <f>IF(OR(B337="",C337=""),"",IFERROR(R337/SUMIFS($Q$5:$Q$404,$C$5:$C$404,C337),""))</f>
        <v>0</v>
      </c>
      <c r="T337" s="23">
        <f>IF(K337="","",IFERROR(INDEX(Jobs!$H$5:$H$604,MATCH(K337,Jobs!$A$5:$A$604,0)),""))</f>
        <v>0</v>
      </c>
      <c r="U337" s="39">
        <f>IF(B337="","",IF(H337="","Add - how much?",IF(D337="","Add - which category?",IF(M337="No","Action - no receipt",IF(AND(H337&gt;500,F337=""),"Add - describe a large payment","OK")))))</f>
        <v>0</v>
      </c>
    </row>
    <row r="338" spans="1:21">
      <c r="A338" s="43">
        <f>IF(B338="","",ExpensePrefix&amp;TEXT(ROW()-4,"0000"))</f>
        <v>0</v>
      </c>
      <c r="C338" s="23">
        <f>IF(B338="","",TEXT(B338,"yyyy-mm"))</f>
        <v>0</v>
      </c>
      <c r="Q338" s="21">
        <f>IF(B338="","",IF(H338="",0,H338)+IF(I338="",0,I338))</f>
        <v>0</v>
      </c>
      <c r="R338" s="21">
        <f>IF(OR(B338="",D338=""),"",SUMIFS($Q$5:$Q$404,$D$5:$D$404,D338,$C$5:$C$404,C338))</f>
        <v>0</v>
      </c>
      <c r="S338" s="38">
        <f>IF(OR(B338="",C338=""),"",IFERROR(R338/SUMIFS($Q$5:$Q$404,$C$5:$C$404,C338),""))</f>
        <v>0</v>
      </c>
      <c r="T338" s="23">
        <f>IF(K338="","",IFERROR(INDEX(Jobs!$H$5:$H$604,MATCH(K338,Jobs!$A$5:$A$604,0)),""))</f>
        <v>0</v>
      </c>
      <c r="U338" s="39">
        <f>IF(B338="","",IF(H338="","Add - how much?",IF(D338="","Add - which category?",IF(M338="No","Action - no receipt",IF(AND(H338&gt;500,F338=""),"Add - describe a large payment","OK")))))</f>
        <v>0</v>
      </c>
    </row>
    <row r="339" spans="1:21">
      <c r="A339" s="43">
        <f>IF(B339="","",ExpensePrefix&amp;TEXT(ROW()-4,"0000"))</f>
        <v>0</v>
      </c>
      <c r="C339" s="23">
        <f>IF(B339="","",TEXT(B339,"yyyy-mm"))</f>
        <v>0</v>
      </c>
      <c r="Q339" s="21">
        <f>IF(B339="","",IF(H339="",0,H339)+IF(I339="",0,I339))</f>
        <v>0</v>
      </c>
      <c r="R339" s="21">
        <f>IF(OR(B339="",D339=""),"",SUMIFS($Q$5:$Q$404,$D$5:$D$404,D339,$C$5:$C$404,C339))</f>
        <v>0</v>
      </c>
      <c r="S339" s="38">
        <f>IF(OR(B339="",C339=""),"",IFERROR(R339/SUMIFS($Q$5:$Q$404,$C$5:$C$404,C339),""))</f>
        <v>0</v>
      </c>
      <c r="T339" s="23">
        <f>IF(K339="","",IFERROR(INDEX(Jobs!$H$5:$H$604,MATCH(K339,Jobs!$A$5:$A$604,0)),""))</f>
        <v>0</v>
      </c>
      <c r="U339" s="39">
        <f>IF(B339="","",IF(H339="","Add - how much?",IF(D339="","Add - which category?",IF(M339="No","Action - no receipt",IF(AND(H339&gt;500,F339=""),"Add - describe a large payment","OK")))))</f>
        <v>0</v>
      </c>
    </row>
    <row r="340" spans="1:21">
      <c r="A340" s="43">
        <f>IF(B340="","",ExpensePrefix&amp;TEXT(ROW()-4,"0000"))</f>
        <v>0</v>
      </c>
      <c r="C340" s="23">
        <f>IF(B340="","",TEXT(B340,"yyyy-mm"))</f>
        <v>0</v>
      </c>
      <c r="Q340" s="21">
        <f>IF(B340="","",IF(H340="",0,H340)+IF(I340="",0,I340))</f>
        <v>0</v>
      </c>
      <c r="R340" s="21">
        <f>IF(OR(B340="",D340=""),"",SUMIFS($Q$5:$Q$404,$D$5:$D$404,D340,$C$5:$C$404,C340))</f>
        <v>0</v>
      </c>
      <c r="S340" s="38">
        <f>IF(OR(B340="",C340=""),"",IFERROR(R340/SUMIFS($Q$5:$Q$404,$C$5:$C$404,C340),""))</f>
        <v>0</v>
      </c>
      <c r="T340" s="23">
        <f>IF(K340="","",IFERROR(INDEX(Jobs!$H$5:$H$604,MATCH(K340,Jobs!$A$5:$A$604,0)),""))</f>
        <v>0</v>
      </c>
      <c r="U340" s="39">
        <f>IF(B340="","",IF(H340="","Add - how much?",IF(D340="","Add - which category?",IF(M340="No","Action - no receipt",IF(AND(H340&gt;500,F340=""),"Add - describe a large payment","OK")))))</f>
        <v>0</v>
      </c>
    </row>
    <row r="341" spans="1:21">
      <c r="A341" s="43">
        <f>IF(B341="","",ExpensePrefix&amp;TEXT(ROW()-4,"0000"))</f>
        <v>0</v>
      </c>
      <c r="C341" s="23">
        <f>IF(B341="","",TEXT(B341,"yyyy-mm"))</f>
        <v>0</v>
      </c>
      <c r="Q341" s="21">
        <f>IF(B341="","",IF(H341="",0,H341)+IF(I341="",0,I341))</f>
        <v>0</v>
      </c>
      <c r="R341" s="21">
        <f>IF(OR(B341="",D341=""),"",SUMIFS($Q$5:$Q$404,$D$5:$D$404,D341,$C$5:$C$404,C341))</f>
        <v>0</v>
      </c>
      <c r="S341" s="38">
        <f>IF(OR(B341="",C341=""),"",IFERROR(R341/SUMIFS($Q$5:$Q$404,$C$5:$C$404,C341),""))</f>
        <v>0</v>
      </c>
      <c r="T341" s="23">
        <f>IF(K341="","",IFERROR(INDEX(Jobs!$H$5:$H$604,MATCH(K341,Jobs!$A$5:$A$604,0)),""))</f>
        <v>0</v>
      </c>
      <c r="U341" s="39">
        <f>IF(B341="","",IF(H341="","Add - how much?",IF(D341="","Add - which category?",IF(M341="No","Action - no receipt",IF(AND(H341&gt;500,F341=""),"Add - describe a large payment","OK")))))</f>
        <v>0</v>
      </c>
    </row>
    <row r="342" spans="1:21">
      <c r="A342" s="43">
        <f>IF(B342="","",ExpensePrefix&amp;TEXT(ROW()-4,"0000"))</f>
        <v>0</v>
      </c>
      <c r="C342" s="23">
        <f>IF(B342="","",TEXT(B342,"yyyy-mm"))</f>
        <v>0</v>
      </c>
      <c r="Q342" s="21">
        <f>IF(B342="","",IF(H342="",0,H342)+IF(I342="",0,I342))</f>
        <v>0</v>
      </c>
      <c r="R342" s="21">
        <f>IF(OR(B342="",D342=""),"",SUMIFS($Q$5:$Q$404,$D$5:$D$404,D342,$C$5:$C$404,C342))</f>
        <v>0</v>
      </c>
      <c r="S342" s="38">
        <f>IF(OR(B342="",C342=""),"",IFERROR(R342/SUMIFS($Q$5:$Q$404,$C$5:$C$404,C342),""))</f>
        <v>0</v>
      </c>
      <c r="T342" s="23">
        <f>IF(K342="","",IFERROR(INDEX(Jobs!$H$5:$H$604,MATCH(K342,Jobs!$A$5:$A$604,0)),""))</f>
        <v>0</v>
      </c>
      <c r="U342" s="39">
        <f>IF(B342="","",IF(H342="","Add - how much?",IF(D342="","Add - which category?",IF(M342="No","Action - no receipt",IF(AND(H342&gt;500,F342=""),"Add - describe a large payment","OK")))))</f>
        <v>0</v>
      </c>
    </row>
    <row r="343" spans="1:21">
      <c r="A343" s="43">
        <f>IF(B343="","",ExpensePrefix&amp;TEXT(ROW()-4,"0000"))</f>
        <v>0</v>
      </c>
      <c r="C343" s="23">
        <f>IF(B343="","",TEXT(B343,"yyyy-mm"))</f>
        <v>0</v>
      </c>
      <c r="Q343" s="21">
        <f>IF(B343="","",IF(H343="",0,H343)+IF(I343="",0,I343))</f>
        <v>0</v>
      </c>
      <c r="R343" s="21">
        <f>IF(OR(B343="",D343=""),"",SUMIFS($Q$5:$Q$404,$D$5:$D$404,D343,$C$5:$C$404,C343))</f>
        <v>0</v>
      </c>
      <c r="S343" s="38">
        <f>IF(OR(B343="",C343=""),"",IFERROR(R343/SUMIFS($Q$5:$Q$404,$C$5:$C$404,C343),""))</f>
        <v>0</v>
      </c>
      <c r="T343" s="23">
        <f>IF(K343="","",IFERROR(INDEX(Jobs!$H$5:$H$604,MATCH(K343,Jobs!$A$5:$A$604,0)),""))</f>
        <v>0</v>
      </c>
      <c r="U343" s="39">
        <f>IF(B343="","",IF(H343="","Add - how much?",IF(D343="","Add - which category?",IF(M343="No","Action - no receipt",IF(AND(H343&gt;500,F343=""),"Add - describe a large payment","OK")))))</f>
        <v>0</v>
      </c>
    </row>
    <row r="344" spans="1:21">
      <c r="A344" s="43">
        <f>IF(B344="","",ExpensePrefix&amp;TEXT(ROW()-4,"0000"))</f>
        <v>0</v>
      </c>
      <c r="C344" s="23">
        <f>IF(B344="","",TEXT(B344,"yyyy-mm"))</f>
        <v>0</v>
      </c>
      <c r="Q344" s="21">
        <f>IF(B344="","",IF(H344="",0,H344)+IF(I344="",0,I344))</f>
        <v>0</v>
      </c>
      <c r="R344" s="21">
        <f>IF(OR(B344="",D344=""),"",SUMIFS($Q$5:$Q$404,$D$5:$D$404,D344,$C$5:$C$404,C344))</f>
        <v>0</v>
      </c>
      <c r="S344" s="38">
        <f>IF(OR(B344="",C344=""),"",IFERROR(R344/SUMIFS($Q$5:$Q$404,$C$5:$C$404,C344),""))</f>
        <v>0</v>
      </c>
      <c r="T344" s="23">
        <f>IF(K344="","",IFERROR(INDEX(Jobs!$H$5:$H$604,MATCH(K344,Jobs!$A$5:$A$604,0)),""))</f>
        <v>0</v>
      </c>
      <c r="U344" s="39">
        <f>IF(B344="","",IF(H344="","Add - how much?",IF(D344="","Add - which category?",IF(M344="No","Action - no receipt",IF(AND(H344&gt;500,F344=""),"Add - describe a large payment","OK")))))</f>
        <v>0</v>
      </c>
    </row>
    <row r="345" spans="1:21">
      <c r="A345" s="43">
        <f>IF(B345="","",ExpensePrefix&amp;TEXT(ROW()-4,"0000"))</f>
        <v>0</v>
      </c>
      <c r="C345" s="23">
        <f>IF(B345="","",TEXT(B345,"yyyy-mm"))</f>
        <v>0</v>
      </c>
      <c r="Q345" s="21">
        <f>IF(B345="","",IF(H345="",0,H345)+IF(I345="",0,I345))</f>
        <v>0</v>
      </c>
      <c r="R345" s="21">
        <f>IF(OR(B345="",D345=""),"",SUMIFS($Q$5:$Q$404,$D$5:$D$404,D345,$C$5:$C$404,C345))</f>
        <v>0</v>
      </c>
      <c r="S345" s="38">
        <f>IF(OR(B345="",C345=""),"",IFERROR(R345/SUMIFS($Q$5:$Q$404,$C$5:$C$404,C345),""))</f>
        <v>0</v>
      </c>
      <c r="T345" s="23">
        <f>IF(K345="","",IFERROR(INDEX(Jobs!$H$5:$H$604,MATCH(K345,Jobs!$A$5:$A$604,0)),""))</f>
        <v>0</v>
      </c>
      <c r="U345" s="39">
        <f>IF(B345="","",IF(H345="","Add - how much?",IF(D345="","Add - which category?",IF(M345="No","Action - no receipt",IF(AND(H345&gt;500,F345=""),"Add - describe a large payment","OK")))))</f>
        <v>0</v>
      </c>
    </row>
    <row r="346" spans="1:21">
      <c r="A346" s="43">
        <f>IF(B346="","",ExpensePrefix&amp;TEXT(ROW()-4,"0000"))</f>
        <v>0</v>
      </c>
      <c r="C346" s="23">
        <f>IF(B346="","",TEXT(B346,"yyyy-mm"))</f>
        <v>0</v>
      </c>
      <c r="Q346" s="21">
        <f>IF(B346="","",IF(H346="",0,H346)+IF(I346="",0,I346))</f>
        <v>0</v>
      </c>
      <c r="R346" s="21">
        <f>IF(OR(B346="",D346=""),"",SUMIFS($Q$5:$Q$404,$D$5:$D$404,D346,$C$5:$C$404,C346))</f>
        <v>0</v>
      </c>
      <c r="S346" s="38">
        <f>IF(OR(B346="",C346=""),"",IFERROR(R346/SUMIFS($Q$5:$Q$404,$C$5:$C$404,C346),""))</f>
        <v>0</v>
      </c>
      <c r="T346" s="23">
        <f>IF(K346="","",IFERROR(INDEX(Jobs!$H$5:$H$604,MATCH(K346,Jobs!$A$5:$A$604,0)),""))</f>
        <v>0</v>
      </c>
      <c r="U346" s="39">
        <f>IF(B346="","",IF(H346="","Add - how much?",IF(D346="","Add - which category?",IF(M346="No","Action - no receipt",IF(AND(H346&gt;500,F346=""),"Add - describe a large payment","OK")))))</f>
        <v>0</v>
      </c>
    </row>
    <row r="347" spans="1:21">
      <c r="A347" s="43">
        <f>IF(B347="","",ExpensePrefix&amp;TEXT(ROW()-4,"0000"))</f>
        <v>0</v>
      </c>
      <c r="C347" s="23">
        <f>IF(B347="","",TEXT(B347,"yyyy-mm"))</f>
        <v>0</v>
      </c>
      <c r="Q347" s="21">
        <f>IF(B347="","",IF(H347="",0,H347)+IF(I347="",0,I347))</f>
        <v>0</v>
      </c>
      <c r="R347" s="21">
        <f>IF(OR(B347="",D347=""),"",SUMIFS($Q$5:$Q$404,$D$5:$D$404,D347,$C$5:$C$404,C347))</f>
        <v>0</v>
      </c>
      <c r="S347" s="38">
        <f>IF(OR(B347="",C347=""),"",IFERROR(R347/SUMIFS($Q$5:$Q$404,$C$5:$C$404,C347),""))</f>
        <v>0</v>
      </c>
      <c r="T347" s="23">
        <f>IF(K347="","",IFERROR(INDEX(Jobs!$H$5:$H$604,MATCH(K347,Jobs!$A$5:$A$604,0)),""))</f>
        <v>0</v>
      </c>
      <c r="U347" s="39">
        <f>IF(B347="","",IF(H347="","Add - how much?",IF(D347="","Add - which category?",IF(M347="No","Action - no receipt",IF(AND(H347&gt;500,F347=""),"Add - describe a large payment","OK")))))</f>
        <v>0</v>
      </c>
    </row>
    <row r="348" spans="1:21">
      <c r="A348" s="43">
        <f>IF(B348="","",ExpensePrefix&amp;TEXT(ROW()-4,"0000"))</f>
        <v>0</v>
      </c>
      <c r="C348" s="23">
        <f>IF(B348="","",TEXT(B348,"yyyy-mm"))</f>
        <v>0</v>
      </c>
      <c r="Q348" s="21">
        <f>IF(B348="","",IF(H348="",0,H348)+IF(I348="",0,I348))</f>
        <v>0</v>
      </c>
      <c r="R348" s="21">
        <f>IF(OR(B348="",D348=""),"",SUMIFS($Q$5:$Q$404,$D$5:$D$404,D348,$C$5:$C$404,C348))</f>
        <v>0</v>
      </c>
      <c r="S348" s="38">
        <f>IF(OR(B348="",C348=""),"",IFERROR(R348/SUMIFS($Q$5:$Q$404,$C$5:$C$404,C348),""))</f>
        <v>0</v>
      </c>
      <c r="T348" s="23">
        <f>IF(K348="","",IFERROR(INDEX(Jobs!$H$5:$H$604,MATCH(K348,Jobs!$A$5:$A$604,0)),""))</f>
        <v>0</v>
      </c>
      <c r="U348" s="39">
        <f>IF(B348="","",IF(H348="","Add - how much?",IF(D348="","Add - which category?",IF(M348="No","Action - no receipt",IF(AND(H348&gt;500,F348=""),"Add - describe a large payment","OK")))))</f>
        <v>0</v>
      </c>
    </row>
    <row r="349" spans="1:21">
      <c r="A349" s="43">
        <f>IF(B349="","",ExpensePrefix&amp;TEXT(ROW()-4,"0000"))</f>
        <v>0</v>
      </c>
      <c r="C349" s="23">
        <f>IF(B349="","",TEXT(B349,"yyyy-mm"))</f>
        <v>0</v>
      </c>
      <c r="Q349" s="21">
        <f>IF(B349="","",IF(H349="",0,H349)+IF(I349="",0,I349))</f>
        <v>0</v>
      </c>
      <c r="R349" s="21">
        <f>IF(OR(B349="",D349=""),"",SUMIFS($Q$5:$Q$404,$D$5:$D$404,D349,$C$5:$C$404,C349))</f>
        <v>0</v>
      </c>
      <c r="S349" s="38">
        <f>IF(OR(B349="",C349=""),"",IFERROR(R349/SUMIFS($Q$5:$Q$404,$C$5:$C$404,C349),""))</f>
        <v>0</v>
      </c>
      <c r="T349" s="23">
        <f>IF(K349="","",IFERROR(INDEX(Jobs!$H$5:$H$604,MATCH(K349,Jobs!$A$5:$A$604,0)),""))</f>
        <v>0</v>
      </c>
      <c r="U349" s="39">
        <f>IF(B349="","",IF(H349="","Add - how much?",IF(D349="","Add - which category?",IF(M349="No","Action - no receipt",IF(AND(H349&gt;500,F349=""),"Add - describe a large payment","OK")))))</f>
        <v>0</v>
      </c>
    </row>
    <row r="350" spans="1:21">
      <c r="A350" s="43">
        <f>IF(B350="","",ExpensePrefix&amp;TEXT(ROW()-4,"0000"))</f>
        <v>0</v>
      </c>
      <c r="C350" s="23">
        <f>IF(B350="","",TEXT(B350,"yyyy-mm"))</f>
        <v>0</v>
      </c>
      <c r="Q350" s="21">
        <f>IF(B350="","",IF(H350="",0,H350)+IF(I350="",0,I350))</f>
        <v>0</v>
      </c>
      <c r="R350" s="21">
        <f>IF(OR(B350="",D350=""),"",SUMIFS($Q$5:$Q$404,$D$5:$D$404,D350,$C$5:$C$404,C350))</f>
        <v>0</v>
      </c>
      <c r="S350" s="38">
        <f>IF(OR(B350="",C350=""),"",IFERROR(R350/SUMIFS($Q$5:$Q$404,$C$5:$C$404,C350),""))</f>
        <v>0</v>
      </c>
      <c r="T350" s="23">
        <f>IF(K350="","",IFERROR(INDEX(Jobs!$H$5:$H$604,MATCH(K350,Jobs!$A$5:$A$604,0)),""))</f>
        <v>0</v>
      </c>
      <c r="U350" s="39">
        <f>IF(B350="","",IF(H350="","Add - how much?",IF(D350="","Add - which category?",IF(M350="No","Action - no receipt",IF(AND(H350&gt;500,F350=""),"Add - describe a large payment","OK")))))</f>
        <v>0</v>
      </c>
    </row>
    <row r="351" spans="1:21">
      <c r="A351" s="43">
        <f>IF(B351="","",ExpensePrefix&amp;TEXT(ROW()-4,"0000"))</f>
        <v>0</v>
      </c>
      <c r="C351" s="23">
        <f>IF(B351="","",TEXT(B351,"yyyy-mm"))</f>
        <v>0</v>
      </c>
      <c r="Q351" s="21">
        <f>IF(B351="","",IF(H351="",0,H351)+IF(I351="",0,I351))</f>
        <v>0</v>
      </c>
      <c r="R351" s="21">
        <f>IF(OR(B351="",D351=""),"",SUMIFS($Q$5:$Q$404,$D$5:$D$404,D351,$C$5:$C$404,C351))</f>
        <v>0</v>
      </c>
      <c r="S351" s="38">
        <f>IF(OR(B351="",C351=""),"",IFERROR(R351/SUMIFS($Q$5:$Q$404,$C$5:$C$404,C351),""))</f>
        <v>0</v>
      </c>
      <c r="T351" s="23">
        <f>IF(K351="","",IFERROR(INDEX(Jobs!$H$5:$H$604,MATCH(K351,Jobs!$A$5:$A$604,0)),""))</f>
        <v>0</v>
      </c>
      <c r="U351" s="39">
        <f>IF(B351="","",IF(H351="","Add - how much?",IF(D351="","Add - which category?",IF(M351="No","Action - no receipt",IF(AND(H351&gt;500,F351=""),"Add - describe a large payment","OK")))))</f>
        <v>0</v>
      </c>
    </row>
    <row r="352" spans="1:21">
      <c r="A352" s="43">
        <f>IF(B352="","",ExpensePrefix&amp;TEXT(ROW()-4,"0000"))</f>
        <v>0</v>
      </c>
      <c r="C352" s="23">
        <f>IF(B352="","",TEXT(B352,"yyyy-mm"))</f>
        <v>0</v>
      </c>
      <c r="Q352" s="21">
        <f>IF(B352="","",IF(H352="",0,H352)+IF(I352="",0,I352))</f>
        <v>0</v>
      </c>
      <c r="R352" s="21">
        <f>IF(OR(B352="",D352=""),"",SUMIFS($Q$5:$Q$404,$D$5:$D$404,D352,$C$5:$C$404,C352))</f>
        <v>0</v>
      </c>
      <c r="S352" s="38">
        <f>IF(OR(B352="",C352=""),"",IFERROR(R352/SUMIFS($Q$5:$Q$404,$C$5:$C$404,C352),""))</f>
        <v>0</v>
      </c>
      <c r="T352" s="23">
        <f>IF(K352="","",IFERROR(INDEX(Jobs!$H$5:$H$604,MATCH(K352,Jobs!$A$5:$A$604,0)),""))</f>
        <v>0</v>
      </c>
      <c r="U352" s="39">
        <f>IF(B352="","",IF(H352="","Add - how much?",IF(D352="","Add - which category?",IF(M352="No","Action - no receipt",IF(AND(H352&gt;500,F352=""),"Add - describe a large payment","OK")))))</f>
        <v>0</v>
      </c>
    </row>
    <row r="353" spans="1:21">
      <c r="A353" s="43">
        <f>IF(B353="","",ExpensePrefix&amp;TEXT(ROW()-4,"0000"))</f>
        <v>0</v>
      </c>
      <c r="C353" s="23">
        <f>IF(B353="","",TEXT(B353,"yyyy-mm"))</f>
        <v>0</v>
      </c>
      <c r="Q353" s="21">
        <f>IF(B353="","",IF(H353="",0,H353)+IF(I353="",0,I353))</f>
        <v>0</v>
      </c>
      <c r="R353" s="21">
        <f>IF(OR(B353="",D353=""),"",SUMIFS($Q$5:$Q$404,$D$5:$D$404,D353,$C$5:$C$404,C353))</f>
        <v>0</v>
      </c>
      <c r="S353" s="38">
        <f>IF(OR(B353="",C353=""),"",IFERROR(R353/SUMIFS($Q$5:$Q$404,$C$5:$C$404,C353),""))</f>
        <v>0</v>
      </c>
      <c r="T353" s="23">
        <f>IF(K353="","",IFERROR(INDEX(Jobs!$H$5:$H$604,MATCH(K353,Jobs!$A$5:$A$604,0)),""))</f>
        <v>0</v>
      </c>
      <c r="U353" s="39">
        <f>IF(B353="","",IF(H353="","Add - how much?",IF(D353="","Add - which category?",IF(M353="No","Action - no receipt",IF(AND(H353&gt;500,F353=""),"Add - describe a large payment","OK")))))</f>
        <v>0</v>
      </c>
    </row>
    <row r="354" spans="1:21">
      <c r="A354" s="43">
        <f>IF(B354="","",ExpensePrefix&amp;TEXT(ROW()-4,"0000"))</f>
        <v>0</v>
      </c>
      <c r="C354" s="23">
        <f>IF(B354="","",TEXT(B354,"yyyy-mm"))</f>
        <v>0</v>
      </c>
      <c r="Q354" s="21">
        <f>IF(B354="","",IF(H354="",0,H354)+IF(I354="",0,I354))</f>
        <v>0</v>
      </c>
      <c r="R354" s="21">
        <f>IF(OR(B354="",D354=""),"",SUMIFS($Q$5:$Q$404,$D$5:$D$404,D354,$C$5:$C$404,C354))</f>
        <v>0</v>
      </c>
      <c r="S354" s="38">
        <f>IF(OR(B354="",C354=""),"",IFERROR(R354/SUMIFS($Q$5:$Q$404,$C$5:$C$404,C354),""))</f>
        <v>0</v>
      </c>
      <c r="T354" s="23">
        <f>IF(K354="","",IFERROR(INDEX(Jobs!$H$5:$H$604,MATCH(K354,Jobs!$A$5:$A$604,0)),""))</f>
        <v>0</v>
      </c>
      <c r="U354" s="39">
        <f>IF(B354="","",IF(H354="","Add - how much?",IF(D354="","Add - which category?",IF(M354="No","Action - no receipt",IF(AND(H354&gt;500,F354=""),"Add - describe a large payment","OK")))))</f>
        <v>0</v>
      </c>
    </row>
    <row r="355" spans="1:21">
      <c r="A355" s="43">
        <f>IF(B355="","",ExpensePrefix&amp;TEXT(ROW()-4,"0000"))</f>
        <v>0</v>
      </c>
      <c r="C355" s="23">
        <f>IF(B355="","",TEXT(B355,"yyyy-mm"))</f>
        <v>0</v>
      </c>
      <c r="Q355" s="21">
        <f>IF(B355="","",IF(H355="",0,H355)+IF(I355="",0,I355))</f>
        <v>0</v>
      </c>
      <c r="R355" s="21">
        <f>IF(OR(B355="",D355=""),"",SUMIFS($Q$5:$Q$404,$D$5:$D$404,D355,$C$5:$C$404,C355))</f>
        <v>0</v>
      </c>
      <c r="S355" s="38">
        <f>IF(OR(B355="",C355=""),"",IFERROR(R355/SUMIFS($Q$5:$Q$404,$C$5:$C$404,C355),""))</f>
        <v>0</v>
      </c>
      <c r="T355" s="23">
        <f>IF(K355="","",IFERROR(INDEX(Jobs!$H$5:$H$604,MATCH(K355,Jobs!$A$5:$A$604,0)),""))</f>
        <v>0</v>
      </c>
      <c r="U355" s="39">
        <f>IF(B355="","",IF(H355="","Add - how much?",IF(D355="","Add - which category?",IF(M355="No","Action - no receipt",IF(AND(H355&gt;500,F355=""),"Add - describe a large payment","OK")))))</f>
        <v>0</v>
      </c>
    </row>
    <row r="356" spans="1:21">
      <c r="A356" s="43">
        <f>IF(B356="","",ExpensePrefix&amp;TEXT(ROW()-4,"0000"))</f>
        <v>0</v>
      </c>
      <c r="C356" s="23">
        <f>IF(B356="","",TEXT(B356,"yyyy-mm"))</f>
        <v>0</v>
      </c>
      <c r="Q356" s="21">
        <f>IF(B356="","",IF(H356="",0,H356)+IF(I356="",0,I356))</f>
        <v>0</v>
      </c>
      <c r="R356" s="21">
        <f>IF(OR(B356="",D356=""),"",SUMIFS($Q$5:$Q$404,$D$5:$D$404,D356,$C$5:$C$404,C356))</f>
        <v>0</v>
      </c>
      <c r="S356" s="38">
        <f>IF(OR(B356="",C356=""),"",IFERROR(R356/SUMIFS($Q$5:$Q$404,$C$5:$C$404,C356),""))</f>
        <v>0</v>
      </c>
      <c r="T356" s="23">
        <f>IF(K356="","",IFERROR(INDEX(Jobs!$H$5:$H$604,MATCH(K356,Jobs!$A$5:$A$604,0)),""))</f>
        <v>0</v>
      </c>
      <c r="U356" s="39">
        <f>IF(B356="","",IF(H356="","Add - how much?",IF(D356="","Add - which category?",IF(M356="No","Action - no receipt",IF(AND(H356&gt;500,F356=""),"Add - describe a large payment","OK")))))</f>
        <v>0</v>
      </c>
    </row>
    <row r="357" spans="1:21">
      <c r="A357" s="43">
        <f>IF(B357="","",ExpensePrefix&amp;TEXT(ROW()-4,"0000"))</f>
        <v>0</v>
      </c>
      <c r="C357" s="23">
        <f>IF(B357="","",TEXT(B357,"yyyy-mm"))</f>
        <v>0</v>
      </c>
      <c r="Q357" s="21">
        <f>IF(B357="","",IF(H357="",0,H357)+IF(I357="",0,I357))</f>
        <v>0</v>
      </c>
      <c r="R357" s="21">
        <f>IF(OR(B357="",D357=""),"",SUMIFS($Q$5:$Q$404,$D$5:$D$404,D357,$C$5:$C$404,C357))</f>
        <v>0</v>
      </c>
      <c r="S357" s="38">
        <f>IF(OR(B357="",C357=""),"",IFERROR(R357/SUMIFS($Q$5:$Q$404,$C$5:$C$404,C357),""))</f>
        <v>0</v>
      </c>
      <c r="T357" s="23">
        <f>IF(K357="","",IFERROR(INDEX(Jobs!$H$5:$H$604,MATCH(K357,Jobs!$A$5:$A$604,0)),""))</f>
        <v>0</v>
      </c>
      <c r="U357" s="39">
        <f>IF(B357="","",IF(H357="","Add - how much?",IF(D357="","Add - which category?",IF(M357="No","Action - no receipt",IF(AND(H357&gt;500,F357=""),"Add - describe a large payment","OK")))))</f>
        <v>0</v>
      </c>
    </row>
    <row r="358" spans="1:21">
      <c r="A358" s="43">
        <f>IF(B358="","",ExpensePrefix&amp;TEXT(ROW()-4,"0000"))</f>
        <v>0</v>
      </c>
      <c r="C358" s="23">
        <f>IF(B358="","",TEXT(B358,"yyyy-mm"))</f>
        <v>0</v>
      </c>
      <c r="Q358" s="21">
        <f>IF(B358="","",IF(H358="",0,H358)+IF(I358="",0,I358))</f>
        <v>0</v>
      </c>
      <c r="R358" s="21">
        <f>IF(OR(B358="",D358=""),"",SUMIFS($Q$5:$Q$404,$D$5:$D$404,D358,$C$5:$C$404,C358))</f>
        <v>0</v>
      </c>
      <c r="S358" s="38">
        <f>IF(OR(B358="",C358=""),"",IFERROR(R358/SUMIFS($Q$5:$Q$404,$C$5:$C$404,C358),""))</f>
        <v>0</v>
      </c>
      <c r="T358" s="23">
        <f>IF(K358="","",IFERROR(INDEX(Jobs!$H$5:$H$604,MATCH(K358,Jobs!$A$5:$A$604,0)),""))</f>
        <v>0</v>
      </c>
      <c r="U358" s="39">
        <f>IF(B358="","",IF(H358="","Add - how much?",IF(D358="","Add - which category?",IF(M358="No","Action - no receipt",IF(AND(H358&gt;500,F358=""),"Add - describe a large payment","OK")))))</f>
        <v>0</v>
      </c>
    </row>
    <row r="359" spans="1:21">
      <c r="A359" s="43">
        <f>IF(B359="","",ExpensePrefix&amp;TEXT(ROW()-4,"0000"))</f>
        <v>0</v>
      </c>
      <c r="C359" s="23">
        <f>IF(B359="","",TEXT(B359,"yyyy-mm"))</f>
        <v>0</v>
      </c>
      <c r="Q359" s="21">
        <f>IF(B359="","",IF(H359="",0,H359)+IF(I359="",0,I359))</f>
        <v>0</v>
      </c>
      <c r="R359" s="21">
        <f>IF(OR(B359="",D359=""),"",SUMIFS($Q$5:$Q$404,$D$5:$D$404,D359,$C$5:$C$404,C359))</f>
        <v>0</v>
      </c>
      <c r="S359" s="38">
        <f>IF(OR(B359="",C359=""),"",IFERROR(R359/SUMIFS($Q$5:$Q$404,$C$5:$C$404,C359),""))</f>
        <v>0</v>
      </c>
      <c r="T359" s="23">
        <f>IF(K359="","",IFERROR(INDEX(Jobs!$H$5:$H$604,MATCH(K359,Jobs!$A$5:$A$604,0)),""))</f>
        <v>0</v>
      </c>
      <c r="U359" s="39">
        <f>IF(B359="","",IF(H359="","Add - how much?",IF(D359="","Add - which category?",IF(M359="No","Action - no receipt",IF(AND(H359&gt;500,F359=""),"Add - describe a large payment","OK")))))</f>
        <v>0</v>
      </c>
    </row>
    <row r="360" spans="1:21">
      <c r="A360" s="43">
        <f>IF(B360="","",ExpensePrefix&amp;TEXT(ROW()-4,"0000"))</f>
        <v>0</v>
      </c>
      <c r="C360" s="23">
        <f>IF(B360="","",TEXT(B360,"yyyy-mm"))</f>
        <v>0</v>
      </c>
      <c r="Q360" s="21">
        <f>IF(B360="","",IF(H360="",0,H360)+IF(I360="",0,I360))</f>
        <v>0</v>
      </c>
      <c r="R360" s="21">
        <f>IF(OR(B360="",D360=""),"",SUMIFS($Q$5:$Q$404,$D$5:$D$404,D360,$C$5:$C$404,C360))</f>
        <v>0</v>
      </c>
      <c r="S360" s="38">
        <f>IF(OR(B360="",C360=""),"",IFERROR(R360/SUMIFS($Q$5:$Q$404,$C$5:$C$404,C360),""))</f>
        <v>0</v>
      </c>
      <c r="T360" s="23">
        <f>IF(K360="","",IFERROR(INDEX(Jobs!$H$5:$H$604,MATCH(K360,Jobs!$A$5:$A$604,0)),""))</f>
        <v>0</v>
      </c>
      <c r="U360" s="39">
        <f>IF(B360="","",IF(H360="","Add - how much?",IF(D360="","Add - which category?",IF(M360="No","Action - no receipt",IF(AND(H360&gt;500,F360=""),"Add - describe a large payment","OK")))))</f>
        <v>0</v>
      </c>
    </row>
    <row r="361" spans="1:21">
      <c r="A361" s="43">
        <f>IF(B361="","",ExpensePrefix&amp;TEXT(ROW()-4,"0000"))</f>
        <v>0</v>
      </c>
      <c r="C361" s="23">
        <f>IF(B361="","",TEXT(B361,"yyyy-mm"))</f>
        <v>0</v>
      </c>
      <c r="Q361" s="21">
        <f>IF(B361="","",IF(H361="",0,H361)+IF(I361="",0,I361))</f>
        <v>0</v>
      </c>
      <c r="R361" s="21">
        <f>IF(OR(B361="",D361=""),"",SUMIFS($Q$5:$Q$404,$D$5:$D$404,D361,$C$5:$C$404,C361))</f>
        <v>0</v>
      </c>
      <c r="S361" s="38">
        <f>IF(OR(B361="",C361=""),"",IFERROR(R361/SUMIFS($Q$5:$Q$404,$C$5:$C$404,C361),""))</f>
        <v>0</v>
      </c>
      <c r="T361" s="23">
        <f>IF(K361="","",IFERROR(INDEX(Jobs!$H$5:$H$604,MATCH(K361,Jobs!$A$5:$A$604,0)),""))</f>
        <v>0</v>
      </c>
      <c r="U361" s="39">
        <f>IF(B361="","",IF(H361="","Add - how much?",IF(D361="","Add - which category?",IF(M361="No","Action - no receipt",IF(AND(H361&gt;500,F361=""),"Add - describe a large payment","OK")))))</f>
        <v>0</v>
      </c>
    </row>
    <row r="362" spans="1:21">
      <c r="A362" s="43">
        <f>IF(B362="","",ExpensePrefix&amp;TEXT(ROW()-4,"0000"))</f>
        <v>0</v>
      </c>
      <c r="C362" s="23">
        <f>IF(B362="","",TEXT(B362,"yyyy-mm"))</f>
        <v>0</v>
      </c>
      <c r="Q362" s="21">
        <f>IF(B362="","",IF(H362="",0,H362)+IF(I362="",0,I362))</f>
        <v>0</v>
      </c>
      <c r="R362" s="21">
        <f>IF(OR(B362="",D362=""),"",SUMIFS($Q$5:$Q$404,$D$5:$D$404,D362,$C$5:$C$404,C362))</f>
        <v>0</v>
      </c>
      <c r="S362" s="38">
        <f>IF(OR(B362="",C362=""),"",IFERROR(R362/SUMIFS($Q$5:$Q$404,$C$5:$C$404,C362),""))</f>
        <v>0</v>
      </c>
      <c r="T362" s="23">
        <f>IF(K362="","",IFERROR(INDEX(Jobs!$H$5:$H$604,MATCH(K362,Jobs!$A$5:$A$604,0)),""))</f>
        <v>0</v>
      </c>
      <c r="U362" s="39">
        <f>IF(B362="","",IF(H362="","Add - how much?",IF(D362="","Add - which category?",IF(M362="No","Action - no receipt",IF(AND(H362&gt;500,F362=""),"Add - describe a large payment","OK")))))</f>
        <v>0</v>
      </c>
    </row>
    <row r="363" spans="1:21">
      <c r="A363" s="43">
        <f>IF(B363="","",ExpensePrefix&amp;TEXT(ROW()-4,"0000"))</f>
        <v>0</v>
      </c>
      <c r="C363" s="23">
        <f>IF(B363="","",TEXT(B363,"yyyy-mm"))</f>
        <v>0</v>
      </c>
      <c r="Q363" s="21">
        <f>IF(B363="","",IF(H363="",0,H363)+IF(I363="",0,I363))</f>
        <v>0</v>
      </c>
      <c r="R363" s="21">
        <f>IF(OR(B363="",D363=""),"",SUMIFS($Q$5:$Q$404,$D$5:$D$404,D363,$C$5:$C$404,C363))</f>
        <v>0</v>
      </c>
      <c r="S363" s="38">
        <f>IF(OR(B363="",C363=""),"",IFERROR(R363/SUMIFS($Q$5:$Q$404,$C$5:$C$404,C363),""))</f>
        <v>0</v>
      </c>
      <c r="T363" s="23">
        <f>IF(K363="","",IFERROR(INDEX(Jobs!$H$5:$H$604,MATCH(K363,Jobs!$A$5:$A$604,0)),""))</f>
        <v>0</v>
      </c>
      <c r="U363" s="39">
        <f>IF(B363="","",IF(H363="","Add - how much?",IF(D363="","Add - which category?",IF(M363="No","Action - no receipt",IF(AND(H363&gt;500,F363=""),"Add - describe a large payment","OK")))))</f>
        <v>0</v>
      </c>
    </row>
    <row r="364" spans="1:21">
      <c r="A364" s="43">
        <f>IF(B364="","",ExpensePrefix&amp;TEXT(ROW()-4,"0000"))</f>
        <v>0</v>
      </c>
      <c r="C364" s="23">
        <f>IF(B364="","",TEXT(B364,"yyyy-mm"))</f>
        <v>0</v>
      </c>
      <c r="Q364" s="21">
        <f>IF(B364="","",IF(H364="",0,H364)+IF(I364="",0,I364))</f>
        <v>0</v>
      </c>
      <c r="R364" s="21">
        <f>IF(OR(B364="",D364=""),"",SUMIFS($Q$5:$Q$404,$D$5:$D$404,D364,$C$5:$C$404,C364))</f>
        <v>0</v>
      </c>
      <c r="S364" s="38">
        <f>IF(OR(B364="",C364=""),"",IFERROR(R364/SUMIFS($Q$5:$Q$404,$C$5:$C$404,C364),""))</f>
        <v>0</v>
      </c>
      <c r="T364" s="23">
        <f>IF(K364="","",IFERROR(INDEX(Jobs!$H$5:$H$604,MATCH(K364,Jobs!$A$5:$A$604,0)),""))</f>
        <v>0</v>
      </c>
      <c r="U364" s="39">
        <f>IF(B364="","",IF(H364="","Add - how much?",IF(D364="","Add - which category?",IF(M364="No","Action - no receipt",IF(AND(H364&gt;500,F364=""),"Add - describe a large payment","OK")))))</f>
        <v>0</v>
      </c>
    </row>
    <row r="365" spans="1:21">
      <c r="A365" s="43">
        <f>IF(B365="","",ExpensePrefix&amp;TEXT(ROW()-4,"0000"))</f>
        <v>0</v>
      </c>
      <c r="C365" s="23">
        <f>IF(B365="","",TEXT(B365,"yyyy-mm"))</f>
        <v>0</v>
      </c>
      <c r="Q365" s="21">
        <f>IF(B365="","",IF(H365="",0,H365)+IF(I365="",0,I365))</f>
        <v>0</v>
      </c>
      <c r="R365" s="21">
        <f>IF(OR(B365="",D365=""),"",SUMIFS($Q$5:$Q$404,$D$5:$D$404,D365,$C$5:$C$404,C365))</f>
        <v>0</v>
      </c>
      <c r="S365" s="38">
        <f>IF(OR(B365="",C365=""),"",IFERROR(R365/SUMIFS($Q$5:$Q$404,$C$5:$C$404,C365),""))</f>
        <v>0</v>
      </c>
      <c r="T365" s="23">
        <f>IF(K365="","",IFERROR(INDEX(Jobs!$H$5:$H$604,MATCH(K365,Jobs!$A$5:$A$604,0)),""))</f>
        <v>0</v>
      </c>
      <c r="U365" s="39">
        <f>IF(B365="","",IF(H365="","Add - how much?",IF(D365="","Add - which category?",IF(M365="No","Action - no receipt",IF(AND(H365&gt;500,F365=""),"Add - describe a large payment","OK")))))</f>
        <v>0</v>
      </c>
    </row>
    <row r="366" spans="1:21">
      <c r="A366" s="43">
        <f>IF(B366="","",ExpensePrefix&amp;TEXT(ROW()-4,"0000"))</f>
        <v>0</v>
      </c>
      <c r="C366" s="23">
        <f>IF(B366="","",TEXT(B366,"yyyy-mm"))</f>
        <v>0</v>
      </c>
      <c r="Q366" s="21">
        <f>IF(B366="","",IF(H366="",0,H366)+IF(I366="",0,I366))</f>
        <v>0</v>
      </c>
      <c r="R366" s="21">
        <f>IF(OR(B366="",D366=""),"",SUMIFS($Q$5:$Q$404,$D$5:$D$404,D366,$C$5:$C$404,C366))</f>
        <v>0</v>
      </c>
      <c r="S366" s="38">
        <f>IF(OR(B366="",C366=""),"",IFERROR(R366/SUMIFS($Q$5:$Q$404,$C$5:$C$404,C366),""))</f>
        <v>0</v>
      </c>
      <c r="T366" s="23">
        <f>IF(K366="","",IFERROR(INDEX(Jobs!$H$5:$H$604,MATCH(K366,Jobs!$A$5:$A$604,0)),""))</f>
        <v>0</v>
      </c>
      <c r="U366" s="39">
        <f>IF(B366="","",IF(H366="","Add - how much?",IF(D366="","Add - which category?",IF(M366="No","Action - no receipt",IF(AND(H366&gt;500,F366=""),"Add - describe a large payment","OK")))))</f>
        <v>0</v>
      </c>
    </row>
    <row r="367" spans="1:21">
      <c r="A367" s="43">
        <f>IF(B367="","",ExpensePrefix&amp;TEXT(ROW()-4,"0000"))</f>
        <v>0</v>
      </c>
      <c r="C367" s="23">
        <f>IF(B367="","",TEXT(B367,"yyyy-mm"))</f>
        <v>0</v>
      </c>
      <c r="Q367" s="21">
        <f>IF(B367="","",IF(H367="",0,H367)+IF(I367="",0,I367))</f>
        <v>0</v>
      </c>
      <c r="R367" s="21">
        <f>IF(OR(B367="",D367=""),"",SUMIFS($Q$5:$Q$404,$D$5:$D$404,D367,$C$5:$C$404,C367))</f>
        <v>0</v>
      </c>
      <c r="S367" s="38">
        <f>IF(OR(B367="",C367=""),"",IFERROR(R367/SUMIFS($Q$5:$Q$404,$C$5:$C$404,C367),""))</f>
        <v>0</v>
      </c>
      <c r="T367" s="23">
        <f>IF(K367="","",IFERROR(INDEX(Jobs!$H$5:$H$604,MATCH(K367,Jobs!$A$5:$A$604,0)),""))</f>
        <v>0</v>
      </c>
      <c r="U367" s="39">
        <f>IF(B367="","",IF(H367="","Add - how much?",IF(D367="","Add - which category?",IF(M367="No","Action - no receipt",IF(AND(H367&gt;500,F367=""),"Add - describe a large payment","OK")))))</f>
        <v>0</v>
      </c>
    </row>
    <row r="368" spans="1:21">
      <c r="A368" s="43">
        <f>IF(B368="","",ExpensePrefix&amp;TEXT(ROW()-4,"0000"))</f>
        <v>0</v>
      </c>
      <c r="C368" s="23">
        <f>IF(B368="","",TEXT(B368,"yyyy-mm"))</f>
        <v>0</v>
      </c>
      <c r="Q368" s="21">
        <f>IF(B368="","",IF(H368="",0,H368)+IF(I368="",0,I368))</f>
        <v>0</v>
      </c>
      <c r="R368" s="21">
        <f>IF(OR(B368="",D368=""),"",SUMIFS($Q$5:$Q$404,$D$5:$D$404,D368,$C$5:$C$404,C368))</f>
        <v>0</v>
      </c>
      <c r="S368" s="38">
        <f>IF(OR(B368="",C368=""),"",IFERROR(R368/SUMIFS($Q$5:$Q$404,$C$5:$C$404,C368),""))</f>
        <v>0</v>
      </c>
      <c r="T368" s="23">
        <f>IF(K368="","",IFERROR(INDEX(Jobs!$H$5:$H$604,MATCH(K368,Jobs!$A$5:$A$604,0)),""))</f>
        <v>0</v>
      </c>
      <c r="U368" s="39">
        <f>IF(B368="","",IF(H368="","Add - how much?",IF(D368="","Add - which category?",IF(M368="No","Action - no receipt",IF(AND(H368&gt;500,F368=""),"Add - describe a large payment","OK")))))</f>
        <v>0</v>
      </c>
    </row>
    <row r="369" spans="1:21">
      <c r="A369" s="43">
        <f>IF(B369="","",ExpensePrefix&amp;TEXT(ROW()-4,"0000"))</f>
        <v>0</v>
      </c>
      <c r="C369" s="23">
        <f>IF(B369="","",TEXT(B369,"yyyy-mm"))</f>
        <v>0</v>
      </c>
      <c r="Q369" s="21">
        <f>IF(B369="","",IF(H369="",0,H369)+IF(I369="",0,I369))</f>
        <v>0</v>
      </c>
      <c r="R369" s="21">
        <f>IF(OR(B369="",D369=""),"",SUMIFS($Q$5:$Q$404,$D$5:$D$404,D369,$C$5:$C$404,C369))</f>
        <v>0</v>
      </c>
      <c r="S369" s="38">
        <f>IF(OR(B369="",C369=""),"",IFERROR(R369/SUMIFS($Q$5:$Q$404,$C$5:$C$404,C369),""))</f>
        <v>0</v>
      </c>
      <c r="T369" s="23">
        <f>IF(K369="","",IFERROR(INDEX(Jobs!$H$5:$H$604,MATCH(K369,Jobs!$A$5:$A$604,0)),""))</f>
        <v>0</v>
      </c>
      <c r="U369" s="39">
        <f>IF(B369="","",IF(H369="","Add - how much?",IF(D369="","Add - which category?",IF(M369="No","Action - no receipt",IF(AND(H369&gt;500,F369=""),"Add - describe a large payment","OK")))))</f>
        <v>0</v>
      </c>
    </row>
    <row r="370" spans="1:21">
      <c r="A370" s="43">
        <f>IF(B370="","",ExpensePrefix&amp;TEXT(ROW()-4,"0000"))</f>
        <v>0</v>
      </c>
      <c r="C370" s="23">
        <f>IF(B370="","",TEXT(B370,"yyyy-mm"))</f>
        <v>0</v>
      </c>
      <c r="Q370" s="21">
        <f>IF(B370="","",IF(H370="",0,H370)+IF(I370="",0,I370))</f>
        <v>0</v>
      </c>
      <c r="R370" s="21">
        <f>IF(OR(B370="",D370=""),"",SUMIFS($Q$5:$Q$404,$D$5:$D$404,D370,$C$5:$C$404,C370))</f>
        <v>0</v>
      </c>
      <c r="S370" s="38">
        <f>IF(OR(B370="",C370=""),"",IFERROR(R370/SUMIFS($Q$5:$Q$404,$C$5:$C$404,C370),""))</f>
        <v>0</v>
      </c>
      <c r="T370" s="23">
        <f>IF(K370="","",IFERROR(INDEX(Jobs!$H$5:$H$604,MATCH(K370,Jobs!$A$5:$A$604,0)),""))</f>
        <v>0</v>
      </c>
      <c r="U370" s="39">
        <f>IF(B370="","",IF(H370="","Add - how much?",IF(D370="","Add - which category?",IF(M370="No","Action - no receipt",IF(AND(H370&gt;500,F370=""),"Add - describe a large payment","OK")))))</f>
        <v>0</v>
      </c>
    </row>
    <row r="371" spans="1:21">
      <c r="A371" s="43">
        <f>IF(B371="","",ExpensePrefix&amp;TEXT(ROW()-4,"0000"))</f>
        <v>0</v>
      </c>
      <c r="C371" s="23">
        <f>IF(B371="","",TEXT(B371,"yyyy-mm"))</f>
        <v>0</v>
      </c>
      <c r="Q371" s="21">
        <f>IF(B371="","",IF(H371="",0,H371)+IF(I371="",0,I371))</f>
        <v>0</v>
      </c>
      <c r="R371" s="21">
        <f>IF(OR(B371="",D371=""),"",SUMIFS($Q$5:$Q$404,$D$5:$D$404,D371,$C$5:$C$404,C371))</f>
        <v>0</v>
      </c>
      <c r="S371" s="38">
        <f>IF(OR(B371="",C371=""),"",IFERROR(R371/SUMIFS($Q$5:$Q$404,$C$5:$C$404,C371),""))</f>
        <v>0</v>
      </c>
      <c r="T371" s="23">
        <f>IF(K371="","",IFERROR(INDEX(Jobs!$H$5:$H$604,MATCH(K371,Jobs!$A$5:$A$604,0)),""))</f>
        <v>0</v>
      </c>
      <c r="U371" s="39">
        <f>IF(B371="","",IF(H371="","Add - how much?",IF(D371="","Add - which category?",IF(M371="No","Action - no receipt",IF(AND(H371&gt;500,F371=""),"Add - describe a large payment","OK")))))</f>
        <v>0</v>
      </c>
    </row>
    <row r="372" spans="1:21">
      <c r="A372" s="43">
        <f>IF(B372="","",ExpensePrefix&amp;TEXT(ROW()-4,"0000"))</f>
        <v>0</v>
      </c>
      <c r="C372" s="23">
        <f>IF(B372="","",TEXT(B372,"yyyy-mm"))</f>
        <v>0</v>
      </c>
      <c r="Q372" s="21">
        <f>IF(B372="","",IF(H372="",0,H372)+IF(I372="",0,I372))</f>
        <v>0</v>
      </c>
      <c r="R372" s="21">
        <f>IF(OR(B372="",D372=""),"",SUMIFS($Q$5:$Q$404,$D$5:$D$404,D372,$C$5:$C$404,C372))</f>
        <v>0</v>
      </c>
      <c r="S372" s="38">
        <f>IF(OR(B372="",C372=""),"",IFERROR(R372/SUMIFS($Q$5:$Q$404,$C$5:$C$404,C372),""))</f>
        <v>0</v>
      </c>
      <c r="T372" s="23">
        <f>IF(K372="","",IFERROR(INDEX(Jobs!$H$5:$H$604,MATCH(K372,Jobs!$A$5:$A$604,0)),""))</f>
        <v>0</v>
      </c>
      <c r="U372" s="39">
        <f>IF(B372="","",IF(H372="","Add - how much?",IF(D372="","Add - which category?",IF(M372="No","Action - no receipt",IF(AND(H372&gt;500,F372=""),"Add - describe a large payment","OK")))))</f>
        <v>0</v>
      </c>
    </row>
    <row r="373" spans="1:21">
      <c r="A373" s="43">
        <f>IF(B373="","",ExpensePrefix&amp;TEXT(ROW()-4,"0000"))</f>
        <v>0</v>
      </c>
      <c r="C373" s="23">
        <f>IF(B373="","",TEXT(B373,"yyyy-mm"))</f>
        <v>0</v>
      </c>
      <c r="Q373" s="21">
        <f>IF(B373="","",IF(H373="",0,H373)+IF(I373="",0,I373))</f>
        <v>0</v>
      </c>
      <c r="R373" s="21">
        <f>IF(OR(B373="",D373=""),"",SUMIFS($Q$5:$Q$404,$D$5:$D$404,D373,$C$5:$C$404,C373))</f>
        <v>0</v>
      </c>
      <c r="S373" s="38">
        <f>IF(OR(B373="",C373=""),"",IFERROR(R373/SUMIFS($Q$5:$Q$404,$C$5:$C$404,C373),""))</f>
        <v>0</v>
      </c>
      <c r="T373" s="23">
        <f>IF(K373="","",IFERROR(INDEX(Jobs!$H$5:$H$604,MATCH(K373,Jobs!$A$5:$A$604,0)),""))</f>
        <v>0</v>
      </c>
      <c r="U373" s="39">
        <f>IF(B373="","",IF(H373="","Add - how much?",IF(D373="","Add - which category?",IF(M373="No","Action - no receipt",IF(AND(H373&gt;500,F373=""),"Add - describe a large payment","OK")))))</f>
        <v>0</v>
      </c>
    </row>
    <row r="374" spans="1:21">
      <c r="A374" s="43">
        <f>IF(B374="","",ExpensePrefix&amp;TEXT(ROW()-4,"0000"))</f>
        <v>0</v>
      </c>
      <c r="C374" s="23">
        <f>IF(B374="","",TEXT(B374,"yyyy-mm"))</f>
        <v>0</v>
      </c>
      <c r="Q374" s="21">
        <f>IF(B374="","",IF(H374="",0,H374)+IF(I374="",0,I374))</f>
        <v>0</v>
      </c>
      <c r="R374" s="21">
        <f>IF(OR(B374="",D374=""),"",SUMIFS($Q$5:$Q$404,$D$5:$D$404,D374,$C$5:$C$404,C374))</f>
        <v>0</v>
      </c>
      <c r="S374" s="38">
        <f>IF(OR(B374="",C374=""),"",IFERROR(R374/SUMIFS($Q$5:$Q$404,$C$5:$C$404,C374),""))</f>
        <v>0</v>
      </c>
      <c r="T374" s="23">
        <f>IF(K374="","",IFERROR(INDEX(Jobs!$H$5:$H$604,MATCH(K374,Jobs!$A$5:$A$604,0)),""))</f>
        <v>0</v>
      </c>
      <c r="U374" s="39">
        <f>IF(B374="","",IF(H374="","Add - how much?",IF(D374="","Add - which category?",IF(M374="No","Action - no receipt",IF(AND(H374&gt;500,F374=""),"Add - describe a large payment","OK")))))</f>
        <v>0</v>
      </c>
    </row>
    <row r="375" spans="1:21">
      <c r="A375" s="43">
        <f>IF(B375="","",ExpensePrefix&amp;TEXT(ROW()-4,"0000"))</f>
        <v>0</v>
      </c>
      <c r="C375" s="23">
        <f>IF(B375="","",TEXT(B375,"yyyy-mm"))</f>
        <v>0</v>
      </c>
      <c r="Q375" s="21">
        <f>IF(B375="","",IF(H375="",0,H375)+IF(I375="",0,I375))</f>
        <v>0</v>
      </c>
      <c r="R375" s="21">
        <f>IF(OR(B375="",D375=""),"",SUMIFS($Q$5:$Q$404,$D$5:$D$404,D375,$C$5:$C$404,C375))</f>
        <v>0</v>
      </c>
      <c r="S375" s="38">
        <f>IF(OR(B375="",C375=""),"",IFERROR(R375/SUMIFS($Q$5:$Q$404,$C$5:$C$404,C375),""))</f>
        <v>0</v>
      </c>
      <c r="T375" s="23">
        <f>IF(K375="","",IFERROR(INDEX(Jobs!$H$5:$H$604,MATCH(K375,Jobs!$A$5:$A$604,0)),""))</f>
        <v>0</v>
      </c>
      <c r="U375" s="39">
        <f>IF(B375="","",IF(H375="","Add - how much?",IF(D375="","Add - which category?",IF(M375="No","Action - no receipt",IF(AND(H375&gt;500,F375=""),"Add - describe a large payment","OK")))))</f>
        <v>0</v>
      </c>
    </row>
    <row r="376" spans="1:21">
      <c r="A376" s="43">
        <f>IF(B376="","",ExpensePrefix&amp;TEXT(ROW()-4,"0000"))</f>
        <v>0</v>
      </c>
      <c r="C376" s="23">
        <f>IF(B376="","",TEXT(B376,"yyyy-mm"))</f>
        <v>0</v>
      </c>
      <c r="Q376" s="21">
        <f>IF(B376="","",IF(H376="",0,H376)+IF(I376="",0,I376))</f>
        <v>0</v>
      </c>
      <c r="R376" s="21">
        <f>IF(OR(B376="",D376=""),"",SUMIFS($Q$5:$Q$404,$D$5:$D$404,D376,$C$5:$C$404,C376))</f>
        <v>0</v>
      </c>
      <c r="S376" s="38">
        <f>IF(OR(B376="",C376=""),"",IFERROR(R376/SUMIFS($Q$5:$Q$404,$C$5:$C$404,C376),""))</f>
        <v>0</v>
      </c>
      <c r="T376" s="23">
        <f>IF(K376="","",IFERROR(INDEX(Jobs!$H$5:$H$604,MATCH(K376,Jobs!$A$5:$A$604,0)),""))</f>
        <v>0</v>
      </c>
      <c r="U376" s="39">
        <f>IF(B376="","",IF(H376="","Add - how much?",IF(D376="","Add - which category?",IF(M376="No","Action - no receipt",IF(AND(H376&gt;500,F376=""),"Add - describe a large payment","OK")))))</f>
        <v>0</v>
      </c>
    </row>
    <row r="377" spans="1:21">
      <c r="A377" s="43">
        <f>IF(B377="","",ExpensePrefix&amp;TEXT(ROW()-4,"0000"))</f>
        <v>0</v>
      </c>
      <c r="C377" s="23">
        <f>IF(B377="","",TEXT(B377,"yyyy-mm"))</f>
        <v>0</v>
      </c>
      <c r="Q377" s="21">
        <f>IF(B377="","",IF(H377="",0,H377)+IF(I377="",0,I377))</f>
        <v>0</v>
      </c>
      <c r="R377" s="21">
        <f>IF(OR(B377="",D377=""),"",SUMIFS($Q$5:$Q$404,$D$5:$D$404,D377,$C$5:$C$404,C377))</f>
        <v>0</v>
      </c>
      <c r="S377" s="38">
        <f>IF(OR(B377="",C377=""),"",IFERROR(R377/SUMIFS($Q$5:$Q$404,$C$5:$C$404,C377),""))</f>
        <v>0</v>
      </c>
      <c r="T377" s="23">
        <f>IF(K377="","",IFERROR(INDEX(Jobs!$H$5:$H$604,MATCH(K377,Jobs!$A$5:$A$604,0)),""))</f>
        <v>0</v>
      </c>
      <c r="U377" s="39">
        <f>IF(B377="","",IF(H377="","Add - how much?",IF(D377="","Add - which category?",IF(M377="No","Action - no receipt",IF(AND(H377&gt;500,F377=""),"Add - describe a large payment","OK")))))</f>
        <v>0</v>
      </c>
    </row>
    <row r="378" spans="1:21">
      <c r="A378" s="43">
        <f>IF(B378="","",ExpensePrefix&amp;TEXT(ROW()-4,"0000"))</f>
        <v>0</v>
      </c>
      <c r="C378" s="23">
        <f>IF(B378="","",TEXT(B378,"yyyy-mm"))</f>
        <v>0</v>
      </c>
      <c r="Q378" s="21">
        <f>IF(B378="","",IF(H378="",0,H378)+IF(I378="",0,I378))</f>
        <v>0</v>
      </c>
      <c r="R378" s="21">
        <f>IF(OR(B378="",D378=""),"",SUMIFS($Q$5:$Q$404,$D$5:$D$404,D378,$C$5:$C$404,C378))</f>
        <v>0</v>
      </c>
      <c r="S378" s="38">
        <f>IF(OR(B378="",C378=""),"",IFERROR(R378/SUMIFS($Q$5:$Q$404,$C$5:$C$404,C378),""))</f>
        <v>0</v>
      </c>
      <c r="T378" s="23">
        <f>IF(K378="","",IFERROR(INDEX(Jobs!$H$5:$H$604,MATCH(K378,Jobs!$A$5:$A$604,0)),""))</f>
        <v>0</v>
      </c>
      <c r="U378" s="39">
        <f>IF(B378="","",IF(H378="","Add - how much?",IF(D378="","Add - which category?",IF(M378="No","Action - no receipt",IF(AND(H378&gt;500,F378=""),"Add - describe a large payment","OK")))))</f>
        <v>0</v>
      </c>
    </row>
    <row r="379" spans="1:21">
      <c r="A379" s="43">
        <f>IF(B379="","",ExpensePrefix&amp;TEXT(ROW()-4,"0000"))</f>
        <v>0</v>
      </c>
      <c r="C379" s="23">
        <f>IF(B379="","",TEXT(B379,"yyyy-mm"))</f>
        <v>0</v>
      </c>
      <c r="Q379" s="21">
        <f>IF(B379="","",IF(H379="",0,H379)+IF(I379="",0,I379))</f>
        <v>0</v>
      </c>
      <c r="R379" s="21">
        <f>IF(OR(B379="",D379=""),"",SUMIFS($Q$5:$Q$404,$D$5:$D$404,D379,$C$5:$C$404,C379))</f>
        <v>0</v>
      </c>
      <c r="S379" s="38">
        <f>IF(OR(B379="",C379=""),"",IFERROR(R379/SUMIFS($Q$5:$Q$404,$C$5:$C$404,C379),""))</f>
        <v>0</v>
      </c>
      <c r="T379" s="23">
        <f>IF(K379="","",IFERROR(INDEX(Jobs!$H$5:$H$604,MATCH(K379,Jobs!$A$5:$A$604,0)),""))</f>
        <v>0</v>
      </c>
      <c r="U379" s="39">
        <f>IF(B379="","",IF(H379="","Add - how much?",IF(D379="","Add - which category?",IF(M379="No","Action - no receipt",IF(AND(H379&gt;500,F379=""),"Add - describe a large payment","OK")))))</f>
        <v>0</v>
      </c>
    </row>
    <row r="380" spans="1:21">
      <c r="A380" s="43">
        <f>IF(B380="","",ExpensePrefix&amp;TEXT(ROW()-4,"0000"))</f>
        <v>0</v>
      </c>
      <c r="C380" s="23">
        <f>IF(B380="","",TEXT(B380,"yyyy-mm"))</f>
        <v>0</v>
      </c>
      <c r="Q380" s="21">
        <f>IF(B380="","",IF(H380="",0,H380)+IF(I380="",0,I380))</f>
        <v>0</v>
      </c>
      <c r="R380" s="21">
        <f>IF(OR(B380="",D380=""),"",SUMIFS($Q$5:$Q$404,$D$5:$D$404,D380,$C$5:$C$404,C380))</f>
        <v>0</v>
      </c>
      <c r="S380" s="38">
        <f>IF(OR(B380="",C380=""),"",IFERROR(R380/SUMIFS($Q$5:$Q$404,$C$5:$C$404,C380),""))</f>
        <v>0</v>
      </c>
      <c r="T380" s="23">
        <f>IF(K380="","",IFERROR(INDEX(Jobs!$H$5:$H$604,MATCH(K380,Jobs!$A$5:$A$604,0)),""))</f>
        <v>0</v>
      </c>
      <c r="U380" s="39">
        <f>IF(B380="","",IF(H380="","Add - how much?",IF(D380="","Add - which category?",IF(M380="No","Action - no receipt",IF(AND(H380&gt;500,F380=""),"Add - describe a large payment","OK")))))</f>
        <v>0</v>
      </c>
    </row>
    <row r="381" spans="1:21">
      <c r="A381" s="43">
        <f>IF(B381="","",ExpensePrefix&amp;TEXT(ROW()-4,"0000"))</f>
        <v>0</v>
      </c>
      <c r="C381" s="23">
        <f>IF(B381="","",TEXT(B381,"yyyy-mm"))</f>
        <v>0</v>
      </c>
      <c r="Q381" s="21">
        <f>IF(B381="","",IF(H381="",0,H381)+IF(I381="",0,I381))</f>
        <v>0</v>
      </c>
      <c r="R381" s="21">
        <f>IF(OR(B381="",D381=""),"",SUMIFS($Q$5:$Q$404,$D$5:$D$404,D381,$C$5:$C$404,C381))</f>
        <v>0</v>
      </c>
      <c r="S381" s="38">
        <f>IF(OR(B381="",C381=""),"",IFERROR(R381/SUMIFS($Q$5:$Q$404,$C$5:$C$404,C381),""))</f>
        <v>0</v>
      </c>
      <c r="T381" s="23">
        <f>IF(K381="","",IFERROR(INDEX(Jobs!$H$5:$H$604,MATCH(K381,Jobs!$A$5:$A$604,0)),""))</f>
        <v>0</v>
      </c>
      <c r="U381" s="39">
        <f>IF(B381="","",IF(H381="","Add - how much?",IF(D381="","Add - which category?",IF(M381="No","Action - no receipt",IF(AND(H381&gt;500,F381=""),"Add - describe a large payment","OK")))))</f>
        <v>0</v>
      </c>
    </row>
    <row r="382" spans="1:21">
      <c r="A382" s="43">
        <f>IF(B382="","",ExpensePrefix&amp;TEXT(ROW()-4,"0000"))</f>
        <v>0</v>
      </c>
      <c r="C382" s="23">
        <f>IF(B382="","",TEXT(B382,"yyyy-mm"))</f>
        <v>0</v>
      </c>
      <c r="Q382" s="21">
        <f>IF(B382="","",IF(H382="",0,H382)+IF(I382="",0,I382))</f>
        <v>0</v>
      </c>
      <c r="R382" s="21">
        <f>IF(OR(B382="",D382=""),"",SUMIFS($Q$5:$Q$404,$D$5:$D$404,D382,$C$5:$C$404,C382))</f>
        <v>0</v>
      </c>
      <c r="S382" s="38">
        <f>IF(OR(B382="",C382=""),"",IFERROR(R382/SUMIFS($Q$5:$Q$404,$C$5:$C$404,C382),""))</f>
        <v>0</v>
      </c>
      <c r="T382" s="23">
        <f>IF(K382="","",IFERROR(INDEX(Jobs!$H$5:$H$604,MATCH(K382,Jobs!$A$5:$A$604,0)),""))</f>
        <v>0</v>
      </c>
      <c r="U382" s="39">
        <f>IF(B382="","",IF(H382="","Add - how much?",IF(D382="","Add - which category?",IF(M382="No","Action - no receipt",IF(AND(H382&gt;500,F382=""),"Add - describe a large payment","OK")))))</f>
        <v>0</v>
      </c>
    </row>
    <row r="383" spans="1:21">
      <c r="A383" s="43">
        <f>IF(B383="","",ExpensePrefix&amp;TEXT(ROW()-4,"0000"))</f>
        <v>0</v>
      </c>
      <c r="C383" s="23">
        <f>IF(B383="","",TEXT(B383,"yyyy-mm"))</f>
        <v>0</v>
      </c>
      <c r="Q383" s="21">
        <f>IF(B383="","",IF(H383="",0,H383)+IF(I383="",0,I383))</f>
        <v>0</v>
      </c>
      <c r="R383" s="21">
        <f>IF(OR(B383="",D383=""),"",SUMIFS($Q$5:$Q$404,$D$5:$D$404,D383,$C$5:$C$404,C383))</f>
        <v>0</v>
      </c>
      <c r="S383" s="38">
        <f>IF(OR(B383="",C383=""),"",IFERROR(R383/SUMIFS($Q$5:$Q$404,$C$5:$C$404,C383),""))</f>
        <v>0</v>
      </c>
      <c r="T383" s="23">
        <f>IF(K383="","",IFERROR(INDEX(Jobs!$H$5:$H$604,MATCH(K383,Jobs!$A$5:$A$604,0)),""))</f>
        <v>0</v>
      </c>
      <c r="U383" s="39">
        <f>IF(B383="","",IF(H383="","Add - how much?",IF(D383="","Add - which category?",IF(M383="No","Action - no receipt",IF(AND(H383&gt;500,F383=""),"Add - describe a large payment","OK")))))</f>
        <v>0</v>
      </c>
    </row>
    <row r="384" spans="1:21">
      <c r="A384" s="43">
        <f>IF(B384="","",ExpensePrefix&amp;TEXT(ROW()-4,"0000"))</f>
        <v>0</v>
      </c>
      <c r="C384" s="23">
        <f>IF(B384="","",TEXT(B384,"yyyy-mm"))</f>
        <v>0</v>
      </c>
      <c r="Q384" s="21">
        <f>IF(B384="","",IF(H384="",0,H384)+IF(I384="",0,I384))</f>
        <v>0</v>
      </c>
      <c r="R384" s="21">
        <f>IF(OR(B384="",D384=""),"",SUMIFS($Q$5:$Q$404,$D$5:$D$404,D384,$C$5:$C$404,C384))</f>
        <v>0</v>
      </c>
      <c r="S384" s="38">
        <f>IF(OR(B384="",C384=""),"",IFERROR(R384/SUMIFS($Q$5:$Q$404,$C$5:$C$404,C384),""))</f>
        <v>0</v>
      </c>
      <c r="T384" s="23">
        <f>IF(K384="","",IFERROR(INDEX(Jobs!$H$5:$H$604,MATCH(K384,Jobs!$A$5:$A$604,0)),""))</f>
        <v>0</v>
      </c>
      <c r="U384" s="39">
        <f>IF(B384="","",IF(H384="","Add - how much?",IF(D384="","Add - which category?",IF(M384="No","Action - no receipt",IF(AND(H384&gt;500,F384=""),"Add - describe a large payment","OK")))))</f>
        <v>0</v>
      </c>
    </row>
    <row r="385" spans="1:21">
      <c r="A385" s="43">
        <f>IF(B385="","",ExpensePrefix&amp;TEXT(ROW()-4,"0000"))</f>
        <v>0</v>
      </c>
      <c r="C385" s="23">
        <f>IF(B385="","",TEXT(B385,"yyyy-mm"))</f>
        <v>0</v>
      </c>
      <c r="Q385" s="21">
        <f>IF(B385="","",IF(H385="",0,H385)+IF(I385="",0,I385))</f>
        <v>0</v>
      </c>
      <c r="R385" s="21">
        <f>IF(OR(B385="",D385=""),"",SUMIFS($Q$5:$Q$404,$D$5:$D$404,D385,$C$5:$C$404,C385))</f>
        <v>0</v>
      </c>
      <c r="S385" s="38">
        <f>IF(OR(B385="",C385=""),"",IFERROR(R385/SUMIFS($Q$5:$Q$404,$C$5:$C$404,C385),""))</f>
        <v>0</v>
      </c>
      <c r="T385" s="23">
        <f>IF(K385="","",IFERROR(INDEX(Jobs!$H$5:$H$604,MATCH(K385,Jobs!$A$5:$A$604,0)),""))</f>
        <v>0</v>
      </c>
      <c r="U385" s="39">
        <f>IF(B385="","",IF(H385="","Add - how much?",IF(D385="","Add - which category?",IF(M385="No","Action - no receipt",IF(AND(H385&gt;500,F385=""),"Add - describe a large payment","OK")))))</f>
        <v>0</v>
      </c>
    </row>
    <row r="386" spans="1:21">
      <c r="A386" s="43">
        <f>IF(B386="","",ExpensePrefix&amp;TEXT(ROW()-4,"0000"))</f>
        <v>0</v>
      </c>
      <c r="C386" s="23">
        <f>IF(B386="","",TEXT(B386,"yyyy-mm"))</f>
        <v>0</v>
      </c>
      <c r="Q386" s="21">
        <f>IF(B386="","",IF(H386="",0,H386)+IF(I386="",0,I386))</f>
        <v>0</v>
      </c>
      <c r="R386" s="21">
        <f>IF(OR(B386="",D386=""),"",SUMIFS($Q$5:$Q$404,$D$5:$D$404,D386,$C$5:$C$404,C386))</f>
        <v>0</v>
      </c>
      <c r="S386" s="38">
        <f>IF(OR(B386="",C386=""),"",IFERROR(R386/SUMIFS($Q$5:$Q$404,$C$5:$C$404,C386),""))</f>
        <v>0</v>
      </c>
      <c r="T386" s="23">
        <f>IF(K386="","",IFERROR(INDEX(Jobs!$H$5:$H$604,MATCH(K386,Jobs!$A$5:$A$604,0)),""))</f>
        <v>0</v>
      </c>
      <c r="U386" s="39">
        <f>IF(B386="","",IF(H386="","Add - how much?",IF(D386="","Add - which category?",IF(M386="No","Action - no receipt",IF(AND(H386&gt;500,F386=""),"Add - describe a large payment","OK")))))</f>
        <v>0</v>
      </c>
    </row>
    <row r="387" spans="1:21">
      <c r="A387" s="43">
        <f>IF(B387="","",ExpensePrefix&amp;TEXT(ROW()-4,"0000"))</f>
        <v>0</v>
      </c>
      <c r="C387" s="23">
        <f>IF(B387="","",TEXT(B387,"yyyy-mm"))</f>
        <v>0</v>
      </c>
      <c r="Q387" s="21">
        <f>IF(B387="","",IF(H387="",0,H387)+IF(I387="",0,I387))</f>
        <v>0</v>
      </c>
      <c r="R387" s="21">
        <f>IF(OR(B387="",D387=""),"",SUMIFS($Q$5:$Q$404,$D$5:$D$404,D387,$C$5:$C$404,C387))</f>
        <v>0</v>
      </c>
      <c r="S387" s="38">
        <f>IF(OR(B387="",C387=""),"",IFERROR(R387/SUMIFS($Q$5:$Q$404,$C$5:$C$404,C387),""))</f>
        <v>0</v>
      </c>
      <c r="T387" s="23">
        <f>IF(K387="","",IFERROR(INDEX(Jobs!$H$5:$H$604,MATCH(K387,Jobs!$A$5:$A$604,0)),""))</f>
        <v>0</v>
      </c>
      <c r="U387" s="39">
        <f>IF(B387="","",IF(H387="","Add - how much?",IF(D387="","Add - which category?",IF(M387="No","Action - no receipt",IF(AND(H387&gt;500,F387=""),"Add - describe a large payment","OK")))))</f>
        <v>0</v>
      </c>
    </row>
    <row r="388" spans="1:21">
      <c r="A388" s="43">
        <f>IF(B388="","",ExpensePrefix&amp;TEXT(ROW()-4,"0000"))</f>
        <v>0</v>
      </c>
      <c r="C388" s="23">
        <f>IF(B388="","",TEXT(B388,"yyyy-mm"))</f>
        <v>0</v>
      </c>
      <c r="Q388" s="21">
        <f>IF(B388="","",IF(H388="",0,H388)+IF(I388="",0,I388))</f>
        <v>0</v>
      </c>
      <c r="R388" s="21">
        <f>IF(OR(B388="",D388=""),"",SUMIFS($Q$5:$Q$404,$D$5:$D$404,D388,$C$5:$C$404,C388))</f>
        <v>0</v>
      </c>
      <c r="S388" s="38">
        <f>IF(OR(B388="",C388=""),"",IFERROR(R388/SUMIFS($Q$5:$Q$404,$C$5:$C$404,C388),""))</f>
        <v>0</v>
      </c>
      <c r="T388" s="23">
        <f>IF(K388="","",IFERROR(INDEX(Jobs!$H$5:$H$604,MATCH(K388,Jobs!$A$5:$A$604,0)),""))</f>
        <v>0</v>
      </c>
      <c r="U388" s="39">
        <f>IF(B388="","",IF(H388="","Add - how much?",IF(D388="","Add - which category?",IF(M388="No","Action - no receipt",IF(AND(H388&gt;500,F388=""),"Add - describe a large payment","OK")))))</f>
        <v>0</v>
      </c>
    </row>
    <row r="389" spans="1:21">
      <c r="A389" s="43">
        <f>IF(B389="","",ExpensePrefix&amp;TEXT(ROW()-4,"0000"))</f>
        <v>0</v>
      </c>
      <c r="C389" s="23">
        <f>IF(B389="","",TEXT(B389,"yyyy-mm"))</f>
        <v>0</v>
      </c>
      <c r="Q389" s="21">
        <f>IF(B389="","",IF(H389="",0,H389)+IF(I389="",0,I389))</f>
        <v>0</v>
      </c>
      <c r="R389" s="21">
        <f>IF(OR(B389="",D389=""),"",SUMIFS($Q$5:$Q$404,$D$5:$D$404,D389,$C$5:$C$404,C389))</f>
        <v>0</v>
      </c>
      <c r="S389" s="38">
        <f>IF(OR(B389="",C389=""),"",IFERROR(R389/SUMIFS($Q$5:$Q$404,$C$5:$C$404,C389),""))</f>
        <v>0</v>
      </c>
      <c r="T389" s="23">
        <f>IF(K389="","",IFERROR(INDEX(Jobs!$H$5:$H$604,MATCH(K389,Jobs!$A$5:$A$604,0)),""))</f>
        <v>0</v>
      </c>
      <c r="U389" s="39">
        <f>IF(B389="","",IF(H389="","Add - how much?",IF(D389="","Add - which category?",IF(M389="No","Action - no receipt",IF(AND(H389&gt;500,F389=""),"Add - describe a large payment","OK")))))</f>
        <v>0</v>
      </c>
    </row>
    <row r="390" spans="1:21">
      <c r="A390" s="43">
        <f>IF(B390="","",ExpensePrefix&amp;TEXT(ROW()-4,"0000"))</f>
        <v>0</v>
      </c>
      <c r="C390" s="23">
        <f>IF(B390="","",TEXT(B390,"yyyy-mm"))</f>
        <v>0</v>
      </c>
      <c r="Q390" s="21">
        <f>IF(B390="","",IF(H390="",0,H390)+IF(I390="",0,I390))</f>
        <v>0</v>
      </c>
      <c r="R390" s="21">
        <f>IF(OR(B390="",D390=""),"",SUMIFS($Q$5:$Q$404,$D$5:$D$404,D390,$C$5:$C$404,C390))</f>
        <v>0</v>
      </c>
      <c r="S390" s="38">
        <f>IF(OR(B390="",C390=""),"",IFERROR(R390/SUMIFS($Q$5:$Q$404,$C$5:$C$404,C390),""))</f>
        <v>0</v>
      </c>
      <c r="T390" s="23">
        <f>IF(K390="","",IFERROR(INDEX(Jobs!$H$5:$H$604,MATCH(K390,Jobs!$A$5:$A$604,0)),""))</f>
        <v>0</v>
      </c>
      <c r="U390" s="39">
        <f>IF(B390="","",IF(H390="","Add - how much?",IF(D390="","Add - which category?",IF(M390="No","Action - no receipt",IF(AND(H390&gt;500,F390=""),"Add - describe a large payment","OK")))))</f>
        <v>0</v>
      </c>
    </row>
    <row r="391" spans="1:21">
      <c r="A391" s="43">
        <f>IF(B391="","",ExpensePrefix&amp;TEXT(ROW()-4,"0000"))</f>
        <v>0</v>
      </c>
      <c r="C391" s="23">
        <f>IF(B391="","",TEXT(B391,"yyyy-mm"))</f>
        <v>0</v>
      </c>
      <c r="Q391" s="21">
        <f>IF(B391="","",IF(H391="",0,H391)+IF(I391="",0,I391))</f>
        <v>0</v>
      </c>
      <c r="R391" s="21">
        <f>IF(OR(B391="",D391=""),"",SUMIFS($Q$5:$Q$404,$D$5:$D$404,D391,$C$5:$C$404,C391))</f>
        <v>0</v>
      </c>
      <c r="S391" s="38">
        <f>IF(OR(B391="",C391=""),"",IFERROR(R391/SUMIFS($Q$5:$Q$404,$C$5:$C$404,C391),""))</f>
        <v>0</v>
      </c>
      <c r="T391" s="23">
        <f>IF(K391="","",IFERROR(INDEX(Jobs!$H$5:$H$604,MATCH(K391,Jobs!$A$5:$A$604,0)),""))</f>
        <v>0</v>
      </c>
      <c r="U391" s="39">
        <f>IF(B391="","",IF(H391="","Add - how much?",IF(D391="","Add - which category?",IF(M391="No","Action - no receipt",IF(AND(H391&gt;500,F391=""),"Add - describe a large payment","OK")))))</f>
        <v>0</v>
      </c>
    </row>
    <row r="392" spans="1:21">
      <c r="A392" s="43">
        <f>IF(B392="","",ExpensePrefix&amp;TEXT(ROW()-4,"0000"))</f>
        <v>0</v>
      </c>
      <c r="C392" s="23">
        <f>IF(B392="","",TEXT(B392,"yyyy-mm"))</f>
        <v>0</v>
      </c>
      <c r="Q392" s="21">
        <f>IF(B392="","",IF(H392="",0,H392)+IF(I392="",0,I392))</f>
        <v>0</v>
      </c>
      <c r="R392" s="21">
        <f>IF(OR(B392="",D392=""),"",SUMIFS($Q$5:$Q$404,$D$5:$D$404,D392,$C$5:$C$404,C392))</f>
        <v>0</v>
      </c>
      <c r="S392" s="38">
        <f>IF(OR(B392="",C392=""),"",IFERROR(R392/SUMIFS($Q$5:$Q$404,$C$5:$C$404,C392),""))</f>
        <v>0</v>
      </c>
      <c r="T392" s="23">
        <f>IF(K392="","",IFERROR(INDEX(Jobs!$H$5:$H$604,MATCH(K392,Jobs!$A$5:$A$604,0)),""))</f>
        <v>0</v>
      </c>
      <c r="U392" s="39">
        <f>IF(B392="","",IF(H392="","Add - how much?",IF(D392="","Add - which category?",IF(M392="No","Action - no receipt",IF(AND(H392&gt;500,F392=""),"Add - describe a large payment","OK")))))</f>
        <v>0</v>
      </c>
    </row>
    <row r="393" spans="1:21">
      <c r="A393" s="43">
        <f>IF(B393="","",ExpensePrefix&amp;TEXT(ROW()-4,"0000"))</f>
        <v>0</v>
      </c>
      <c r="C393" s="23">
        <f>IF(B393="","",TEXT(B393,"yyyy-mm"))</f>
        <v>0</v>
      </c>
      <c r="Q393" s="21">
        <f>IF(B393="","",IF(H393="",0,H393)+IF(I393="",0,I393))</f>
        <v>0</v>
      </c>
      <c r="R393" s="21">
        <f>IF(OR(B393="",D393=""),"",SUMIFS($Q$5:$Q$404,$D$5:$D$404,D393,$C$5:$C$404,C393))</f>
        <v>0</v>
      </c>
      <c r="S393" s="38">
        <f>IF(OR(B393="",C393=""),"",IFERROR(R393/SUMIFS($Q$5:$Q$404,$C$5:$C$404,C393),""))</f>
        <v>0</v>
      </c>
      <c r="T393" s="23">
        <f>IF(K393="","",IFERROR(INDEX(Jobs!$H$5:$H$604,MATCH(K393,Jobs!$A$5:$A$604,0)),""))</f>
        <v>0</v>
      </c>
      <c r="U393" s="39">
        <f>IF(B393="","",IF(H393="","Add - how much?",IF(D393="","Add - which category?",IF(M393="No","Action - no receipt",IF(AND(H393&gt;500,F393=""),"Add - describe a large payment","OK")))))</f>
        <v>0</v>
      </c>
    </row>
    <row r="394" spans="1:21">
      <c r="A394" s="43">
        <f>IF(B394="","",ExpensePrefix&amp;TEXT(ROW()-4,"0000"))</f>
        <v>0</v>
      </c>
      <c r="C394" s="23">
        <f>IF(B394="","",TEXT(B394,"yyyy-mm"))</f>
        <v>0</v>
      </c>
      <c r="Q394" s="21">
        <f>IF(B394="","",IF(H394="",0,H394)+IF(I394="",0,I394))</f>
        <v>0</v>
      </c>
      <c r="R394" s="21">
        <f>IF(OR(B394="",D394=""),"",SUMIFS($Q$5:$Q$404,$D$5:$D$404,D394,$C$5:$C$404,C394))</f>
        <v>0</v>
      </c>
      <c r="S394" s="38">
        <f>IF(OR(B394="",C394=""),"",IFERROR(R394/SUMIFS($Q$5:$Q$404,$C$5:$C$404,C394),""))</f>
        <v>0</v>
      </c>
      <c r="T394" s="23">
        <f>IF(K394="","",IFERROR(INDEX(Jobs!$H$5:$H$604,MATCH(K394,Jobs!$A$5:$A$604,0)),""))</f>
        <v>0</v>
      </c>
      <c r="U394" s="39">
        <f>IF(B394="","",IF(H394="","Add - how much?",IF(D394="","Add - which category?",IF(M394="No","Action - no receipt",IF(AND(H394&gt;500,F394=""),"Add - describe a large payment","OK")))))</f>
        <v>0</v>
      </c>
    </row>
    <row r="395" spans="1:21">
      <c r="A395" s="43">
        <f>IF(B395="","",ExpensePrefix&amp;TEXT(ROW()-4,"0000"))</f>
        <v>0</v>
      </c>
      <c r="C395" s="23">
        <f>IF(B395="","",TEXT(B395,"yyyy-mm"))</f>
        <v>0</v>
      </c>
      <c r="Q395" s="21">
        <f>IF(B395="","",IF(H395="",0,H395)+IF(I395="",0,I395))</f>
        <v>0</v>
      </c>
      <c r="R395" s="21">
        <f>IF(OR(B395="",D395=""),"",SUMIFS($Q$5:$Q$404,$D$5:$D$404,D395,$C$5:$C$404,C395))</f>
        <v>0</v>
      </c>
      <c r="S395" s="38">
        <f>IF(OR(B395="",C395=""),"",IFERROR(R395/SUMIFS($Q$5:$Q$404,$C$5:$C$404,C395),""))</f>
        <v>0</v>
      </c>
      <c r="T395" s="23">
        <f>IF(K395="","",IFERROR(INDEX(Jobs!$H$5:$H$604,MATCH(K395,Jobs!$A$5:$A$604,0)),""))</f>
        <v>0</v>
      </c>
      <c r="U395" s="39">
        <f>IF(B395="","",IF(H395="","Add - how much?",IF(D395="","Add - which category?",IF(M395="No","Action - no receipt",IF(AND(H395&gt;500,F395=""),"Add - describe a large payment","OK")))))</f>
        <v>0</v>
      </c>
    </row>
    <row r="396" spans="1:21">
      <c r="A396" s="43">
        <f>IF(B396="","",ExpensePrefix&amp;TEXT(ROW()-4,"0000"))</f>
        <v>0</v>
      </c>
      <c r="C396" s="23">
        <f>IF(B396="","",TEXT(B396,"yyyy-mm"))</f>
        <v>0</v>
      </c>
      <c r="Q396" s="21">
        <f>IF(B396="","",IF(H396="",0,H396)+IF(I396="",0,I396))</f>
        <v>0</v>
      </c>
      <c r="R396" s="21">
        <f>IF(OR(B396="",D396=""),"",SUMIFS($Q$5:$Q$404,$D$5:$D$404,D396,$C$5:$C$404,C396))</f>
        <v>0</v>
      </c>
      <c r="S396" s="38">
        <f>IF(OR(B396="",C396=""),"",IFERROR(R396/SUMIFS($Q$5:$Q$404,$C$5:$C$404,C396),""))</f>
        <v>0</v>
      </c>
      <c r="T396" s="23">
        <f>IF(K396="","",IFERROR(INDEX(Jobs!$H$5:$H$604,MATCH(K396,Jobs!$A$5:$A$604,0)),""))</f>
        <v>0</v>
      </c>
      <c r="U396" s="39">
        <f>IF(B396="","",IF(H396="","Add - how much?",IF(D396="","Add - which category?",IF(M396="No","Action - no receipt",IF(AND(H396&gt;500,F396=""),"Add - describe a large payment","OK")))))</f>
        <v>0</v>
      </c>
    </row>
    <row r="397" spans="1:21">
      <c r="A397" s="43">
        <f>IF(B397="","",ExpensePrefix&amp;TEXT(ROW()-4,"0000"))</f>
        <v>0</v>
      </c>
      <c r="C397" s="23">
        <f>IF(B397="","",TEXT(B397,"yyyy-mm"))</f>
        <v>0</v>
      </c>
      <c r="Q397" s="21">
        <f>IF(B397="","",IF(H397="",0,H397)+IF(I397="",0,I397))</f>
        <v>0</v>
      </c>
      <c r="R397" s="21">
        <f>IF(OR(B397="",D397=""),"",SUMIFS($Q$5:$Q$404,$D$5:$D$404,D397,$C$5:$C$404,C397))</f>
        <v>0</v>
      </c>
      <c r="S397" s="38">
        <f>IF(OR(B397="",C397=""),"",IFERROR(R397/SUMIFS($Q$5:$Q$404,$C$5:$C$404,C397),""))</f>
        <v>0</v>
      </c>
      <c r="T397" s="23">
        <f>IF(K397="","",IFERROR(INDEX(Jobs!$H$5:$H$604,MATCH(K397,Jobs!$A$5:$A$604,0)),""))</f>
        <v>0</v>
      </c>
      <c r="U397" s="39">
        <f>IF(B397="","",IF(H397="","Add - how much?",IF(D397="","Add - which category?",IF(M397="No","Action - no receipt",IF(AND(H397&gt;500,F397=""),"Add - describe a large payment","OK")))))</f>
        <v>0</v>
      </c>
    </row>
    <row r="398" spans="1:21">
      <c r="A398" s="43">
        <f>IF(B398="","",ExpensePrefix&amp;TEXT(ROW()-4,"0000"))</f>
        <v>0</v>
      </c>
      <c r="C398" s="23">
        <f>IF(B398="","",TEXT(B398,"yyyy-mm"))</f>
        <v>0</v>
      </c>
      <c r="Q398" s="21">
        <f>IF(B398="","",IF(H398="",0,H398)+IF(I398="",0,I398))</f>
        <v>0</v>
      </c>
      <c r="R398" s="21">
        <f>IF(OR(B398="",D398=""),"",SUMIFS($Q$5:$Q$404,$D$5:$D$404,D398,$C$5:$C$404,C398))</f>
        <v>0</v>
      </c>
      <c r="S398" s="38">
        <f>IF(OR(B398="",C398=""),"",IFERROR(R398/SUMIFS($Q$5:$Q$404,$C$5:$C$404,C398),""))</f>
        <v>0</v>
      </c>
      <c r="T398" s="23">
        <f>IF(K398="","",IFERROR(INDEX(Jobs!$H$5:$H$604,MATCH(K398,Jobs!$A$5:$A$604,0)),""))</f>
        <v>0</v>
      </c>
      <c r="U398" s="39">
        <f>IF(B398="","",IF(H398="","Add - how much?",IF(D398="","Add - which category?",IF(M398="No","Action - no receipt",IF(AND(H398&gt;500,F398=""),"Add - describe a large payment","OK")))))</f>
        <v>0</v>
      </c>
    </row>
    <row r="399" spans="1:21">
      <c r="A399" s="43">
        <f>IF(B399="","",ExpensePrefix&amp;TEXT(ROW()-4,"0000"))</f>
        <v>0</v>
      </c>
      <c r="C399" s="23">
        <f>IF(B399="","",TEXT(B399,"yyyy-mm"))</f>
        <v>0</v>
      </c>
      <c r="Q399" s="21">
        <f>IF(B399="","",IF(H399="",0,H399)+IF(I399="",0,I399))</f>
        <v>0</v>
      </c>
      <c r="R399" s="21">
        <f>IF(OR(B399="",D399=""),"",SUMIFS($Q$5:$Q$404,$D$5:$D$404,D399,$C$5:$C$404,C399))</f>
        <v>0</v>
      </c>
      <c r="S399" s="38">
        <f>IF(OR(B399="",C399=""),"",IFERROR(R399/SUMIFS($Q$5:$Q$404,$C$5:$C$404,C399),""))</f>
        <v>0</v>
      </c>
      <c r="T399" s="23">
        <f>IF(K399="","",IFERROR(INDEX(Jobs!$H$5:$H$604,MATCH(K399,Jobs!$A$5:$A$604,0)),""))</f>
        <v>0</v>
      </c>
      <c r="U399" s="39">
        <f>IF(B399="","",IF(H399="","Add - how much?",IF(D399="","Add - which category?",IF(M399="No","Action - no receipt",IF(AND(H399&gt;500,F399=""),"Add - describe a large payment","OK")))))</f>
        <v>0</v>
      </c>
    </row>
    <row r="400" spans="1:21">
      <c r="A400" s="43">
        <f>IF(B400="","",ExpensePrefix&amp;TEXT(ROW()-4,"0000"))</f>
        <v>0</v>
      </c>
      <c r="C400" s="23">
        <f>IF(B400="","",TEXT(B400,"yyyy-mm"))</f>
        <v>0</v>
      </c>
      <c r="Q400" s="21">
        <f>IF(B400="","",IF(H400="",0,H400)+IF(I400="",0,I400))</f>
        <v>0</v>
      </c>
      <c r="R400" s="21">
        <f>IF(OR(B400="",D400=""),"",SUMIFS($Q$5:$Q$404,$D$5:$D$404,D400,$C$5:$C$404,C400))</f>
        <v>0</v>
      </c>
      <c r="S400" s="38">
        <f>IF(OR(B400="",C400=""),"",IFERROR(R400/SUMIFS($Q$5:$Q$404,$C$5:$C$404,C400),""))</f>
        <v>0</v>
      </c>
      <c r="T400" s="23">
        <f>IF(K400="","",IFERROR(INDEX(Jobs!$H$5:$H$604,MATCH(K400,Jobs!$A$5:$A$604,0)),""))</f>
        <v>0</v>
      </c>
      <c r="U400" s="39">
        <f>IF(B400="","",IF(H400="","Add - how much?",IF(D400="","Add - which category?",IF(M400="No","Action - no receipt",IF(AND(H400&gt;500,F400=""),"Add - describe a large payment","OK")))))</f>
        <v>0</v>
      </c>
    </row>
    <row r="401" spans="1:21">
      <c r="A401" s="43">
        <f>IF(B401="","",ExpensePrefix&amp;TEXT(ROW()-4,"0000"))</f>
        <v>0</v>
      </c>
      <c r="C401" s="23">
        <f>IF(B401="","",TEXT(B401,"yyyy-mm"))</f>
        <v>0</v>
      </c>
      <c r="Q401" s="21">
        <f>IF(B401="","",IF(H401="",0,H401)+IF(I401="",0,I401))</f>
        <v>0</v>
      </c>
      <c r="R401" s="21">
        <f>IF(OR(B401="",D401=""),"",SUMIFS($Q$5:$Q$404,$D$5:$D$404,D401,$C$5:$C$404,C401))</f>
        <v>0</v>
      </c>
      <c r="S401" s="38">
        <f>IF(OR(B401="",C401=""),"",IFERROR(R401/SUMIFS($Q$5:$Q$404,$C$5:$C$404,C401),""))</f>
        <v>0</v>
      </c>
      <c r="T401" s="23">
        <f>IF(K401="","",IFERROR(INDEX(Jobs!$H$5:$H$604,MATCH(K401,Jobs!$A$5:$A$604,0)),""))</f>
        <v>0</v>
      </c>
      <c r="U401" s="39">
        <f>IF(B401="","",IF(H401="","Add - how much?",IF(D401="","Add - which category?",IF(M401="No","Action - no receipt",IF(AND(H401&gt;500,F401=""),"Add - describe a large payment","OK")))))</f>
        <v>0</v>
      </c>
    </row>
    <row r="402" spans="1:21">
      <c r="A402" s="43">
        <f>IF(B402="","",ExpensePrefix&amp;TEXT(ROW()-4,"0000"))</f>
        <v>0</v>
      </c>
      <c r="C402" s="23">
        <f>IF(B402="","",TEXT(B402,"yyyy-mm"))</f>
        <v>0</v>
      </c>
      <c r="Q402" s="21">
        <f>IF(B402="","",IF(H402="",0,H402)+IF(I402="",0,I402))</f>
        <v>0</v>
      </c>
      <c r="R402" s="21">
        <f>IF(OR(B402="",D402=""),"",SUMIFS($Q$5:$Q$404,$D$5:$D$404,D402,$C$5:$C$404,C402))</f>
        <v>0</v>
      </c>
      <c r="S402" s="38">
        <f>IF(OR(B402="",C402=""),"",IFERROR(R402/SUMIFS($Q$5:$Q$404,$C$5:$C$404,C402),""))</f>
        <v>0</v>
      </c>
      <c r="T402" s="23">
        <f>IF(K402="","",IFERROR(INDEX(Jobs!$H$5:$H$604,MATCH(K402,Jobs!$A$5:$A$604,0)),""))</f>
        <v>0</v>
      </c>
      <c r="U402" s="39">
        <f>IF(B402="","",IF(H402="","Add - how much?",IF(D402="","Add - which category?",IF(M402="No","Action - no receipt",IF(AND(H402&gt;500,F402=""),"Add - describe a large payment","OK")))))</f>
        <v>0</v>
      </c>
    </row>
    <row r="403" spans="1:21">
      <c r="A403" s="43">
        <f>IF(B403="","",ExpensePrefix&amp;TEXT(ROW()-4,"0000"))</f>
        <v>0</v>
      </c>
      <c r="C403" s="23">
        <f>IF(B403="","",TEXT(B403,"yyyy-mm"))</f>
        <v>0</v>
      </c>
      <c r="Q403" s="21">
        <f>IF(B403="","",IF(H403="",0,H403)+IF(I403="",0,I403))</f>
        <v>0</v>
      </c>
      <c r="R403" s="21">
        <f>IF(OR(B403="",D403=""),"",SUMIFS($Q$5:$Q$404,$D$5:$D$404,D403,$C$5:$C$404,C403))</f>
        <v>0</v>
      </c>
      <c r="S403" s="38">
        <f>IF(OR(B403="",C403=""),"",IFERROR(R403/SUMIFS($Q$5:$Q$404,$C$5:$C$404,C403),""))</f>
        <v>0</v>
      </c>
      <c r="T403" s="23">
        <f>IF(K403="","",IFERROR(INDEX(Jobs!$H$5:$H$604,MATCH(K403,Jobs!$A$5:$A$604,0)),""))</f>
        <v>0</v>
      </c>
      <c r="U403" s="39">
        <f>IF(B403="","",IF(H403="","Add - how much?",IF(D403="","Add - which category?",IF(M403="No","Action - no receipt",IF(AND(H403&gt;500,F403=""),"Add - describe a large payment","OK")))))</f>
        <v>0</v>
      </c>
    </row>
    <row r="404" spans="1:21">
      <c r="A404" s="43">
        <f>IF(B404="","",ExpensePrefix&amp;TEXT(ROW()-4,"0000"))</f>
        <v>0</v>
      </c>
      <c r="C404" s="23">
        <f>IF(B404="","",TEXT(B404,"yyyy-mm"))</f>
        <v>0</v>
      </c>
      <c r="Q404" s="21">
        <f>IF(B404="","",IF(H404="",0,H404)+IF(I404="",0,I404))</f>
        <v>0</v>
      </c>
      <c r="R404" s="21">
        <f>IF(OR(B404="",D404=""),"",SUMIFS($Q$5:$Q$404,$D$5:$D$404,D404,$C$5:$C$404,C404))</f>
        <v>0</v>
      </c>
      <c r="S404" s="38">
        <f>IF(OR(B404="",C404=""),"",IFERROR(R404/SUMIFS($Q$5:$Q$404,$C$5:$C$404,C404),""))</f>
        <v>0</v>
      </c>
      <c r="T404" s="23">
        <f>IF(K404="","",IFERROR(INDEX(Jobs!$H$5:$H$604,MATCH(K404,Jobs!$A$5:$A$604,0)),""))</f>
        <v>0</v>
      </c>
      <c r="U404" s="39">
        <f>IF(B404="","",IF(H404="","Add - how much?",IF(D404="","Add - which category?",IF(M404="No","Action - no receipt",IF(AND(H404&gt;500,F404=""),"Add - describe a large payment","OK")))))</f>
        <v>0</v>
      </c>
    </row>
  </sheetData>
  <sheetProtection password="EC7C" sheet="1" objects="1" scenarios="1" formatCells="0" formatColumns="0" formatRows="0" insertRows="0" insertHyperlinks="0" deleteRows="0" autoFilter="0"/>
  <autoFilter ref="A4:U404"/>
  <mergeCells count="13">
    <mergeCell ref="A1:R1"/>
    <mergeCell ref="S1:U1"/>
    <mergeCell ref="A2:U2"/>
    <mergeCell ref="A3:B3"/>
    <mergeCell ref="C3:D3"/>
    <mergeCell ref="E3:F3"/>
    <mergeCell ref="G3:H3"/>
    <mergeCell ref="I3:J3"/>
    <mergeCell ref="K3:L3"/>
    <mergeCell ref="M3:N3"/>
    <mergeCell ref="O3:P3"/>
    <mergeCell ref="Q3:R3"/>
    <mergeCell ref="S3:U3"/>
  </mergeCells>
  <conditionalFormatting sqref="M5:M404">
    <cfRule type="containsText" dxfId="0" priority="1" operator="containsText" text="No">
      <formula>NOT(ISERROR(SEARCH("No",M5)))</formula>
    </cfRule>
    <cfRule type="containsText" dxfId="1" priority="2" operator="containsText" text="Yes">
      <formula>NOT(ISERROR(SEARCH("Yes",M5)))</formula>
    </cfRule>
  </conditionalFormatting>
  <conditionalFormatting sqref="N5:N404">
    <cfRule type="containsText" dxfId="0" priority="3" operator="containsText" text="No">
      <formula>NOT(ISERROR(SEARCH("No",N5)))</formula>
    </cfRule>
    <cfRule type="containsText" dxfId="1" priority="4" operator="containsText" text="Yes">
      <formula>NOT(ISERROR(SEARCH("Yes",N5)))</formula>
    </cfRule>
  </conditionalFormatting>
  <conditionalFormatting sqref="O5:O404">
    <cfRule type="containsText" dxfId="0" priority="5" operator="containsText" text="No">
      <formula>NOT(ISERROR(SEARCH("No",O5)))</formula>
    </cfRule>
    <cfRule type="containsText" dxfId="1" priority="6" operator="containsText" text="Yes">
      <formula>NOT(ISERROR(SEARCH("Yes",O5)))</formula>
    </cfRule>
  </conditionalFormatting>
  <conditionalFormatting sqref="Q5:Q404">
    <cfRule type="dataBar" priority="7">
      <dataBar>
        <cfvo type="min" val="0"/>
        <cfvo type="max" val="0"/>
        <color rgb="FFC86B6B"/>
      </dataBar>
    </cfRule>
  </conditionalFormatting>
  <conditionalFormatting sqref="U5:U404">
    <cfRule type="beginsWith" dxfId="1" priority="8" operator="beginsWith" text="OK">
      <formula>LEFT(U5,2)="OK"</formula>
    </cfRule>
    <cfRule type="containsText" dxfId="2" priority="9" operator="containsText" text="Overdue">
      <formula>NOT(ISERROR(SEARCH("Overdue",U5)))</formula>
    </cfRule>
    <cfRule type="containsText" dxfId="2" priority="10" operator="containsText" text="Late">
      <formula>NOT(ISERROR(SEARCH("Late",U5)))</formula>
    </cfRule>
    <cfRule type="containsText" dxfId="2" priority="11" operator="containsText" text="Missing">
      <formula>NOT(ISERROR(SEARCH("Missing",U5)))</formula>
    </cfRule>
    <cfRule type="containsText" dxfId="2" priority="12" operator="containsText" text="Conflict">
      <formula>NOT(ISERROR(SEARCH("Conflict",U5)))</formula>
    </cfRule>
    <cfRule type="containsText" dxfId="2" priority="13" operator="containsText" text="Clash">
      <formula>NOT(ISERROR(SEARCH("Clash",U5)))</formula>
    </cfRule>
    <cfRule type="containsText" dxfId="2" priority="14" operator="containsText" text="Expired">
      <formula>NOT(ISERROR(SEARCH("Expired",U5)))</formula>
    </cfRule>
    <cfRule type="containsText" dxfId="2" priority="15" operator="containsText" text="Duplicate">
      <formula>NOT(ISERROR(SEARCH("Duplicate",U5)))</formula>
    </cfRule>
    <cfRule type="containsText" dxfId="2" priority="16" operator="containsText" text="Unpaid">
      <formula>NOT(ISERROR(SEARCH("Unpaid",U5)))</formula>
    </cfRule>
    <cfRule type="containsText" dxfId="2" priority="17" operator="containsText" text="Loss">
      <formula>NOT(ISERROR(SEARCH("Loss",U5)))</formula>
    </cfRule>
    <cfRule type="containsText" dxfId="2" priority="18" operator="containsText" text="Below">
      <formula>NOT(ISERROR(SEARCH("Below",U5)))</formula>
    </cfRule>
    <cfRule type="containsText" dxfId="0" priority="19" operator="containsText" text="Action">
      <formula>NOT(ISERROR(SEARCH("Action",U5)))</formula>
    </cfRule>
    <cfRule type="containsText" dxfId="0" priority="20" operator="containsText" text="Due">
      <formula>NOT(ISERROR(SEARCH("Due",U5)))</formula>
    </cfRule>
    <cfRule type="containsText" dxfId="0" priority="21" operator="containsText" text="Check">
      <formula>NOT(ISERROR(SEARCH("Check",U5)))</formula>
    </cfRule>
    <cfRule type="containsText" dxfId="0" priority="22" operator="containsText" text="Chase">
      <formula>NOT(ISERROR(SEARCH("Chase",U5)))</formula>
    </cfRule>
    <cfRule type="containsText" dxfId="0" priority="23" operator="containsText" text="Assign">
      <formula>NOT(ISERROR(SEARCH("Assign",U5)))</formula>
    </cfRule>
    <cfRule type="containsText" dxfId="0" priority="24" operator="containsText" text="Confirm">
      <formula>NOT(ISERROR(SEARCH("Confirm",U5)))</formula>
    </cfRule>
    <cfRule type="containsText" dxfId="0" priority="25" operator="containsText" text="Order">
      <formula>NOT(ISERROR(SEARCH("Order",U5)))</formula>
    </cfRule>
    <cfRule type="containsText" dxfId="3" priority="26" operator="containsText" text="Today">
      <formula>NOT(ISERROR(SEARCH("Today",U5)))</formula>
    </cfRule>
    <cfRule type="containsText" dxfId="3" priority="27" operator="containsText" text="Upcoming">
      <formula>NOT(ISERROR(SEARCH("Upcoming",U5)))</formula>
    </cfRule>
    <cfRule type="containsText" dxfId="3" priority="28" operator="containsText" text="Tomorrow">
      <formula>NOT(ISERROR(SEARCH("Tomorrow",U5)))</formula>
    </cfRule>
  </conditionalFormatting>
  <dataValidations count="11">
    <dataValidation type="date" allowBlank="1" showInputMessage="1" showErrorMessage="1" errorTitle="Check the date" error="Enter a real date between 2000 and 2100." sqref="B5:B404">
      <formula1>36526</formula1>
      <formula2>73415</formula2>
    </dataValidation>
    <dataValidation type="list" allowBlank="1" showInputMessage="1" showErrorMessage="1" promptTitle="Category" prompt="Keep to the list. Consistent categories are what make the yearly comparison worth reading." sqref="D5:D404">
      <formula1>ExpenseCategoryList</formula1>
    </dataValidation>
    <dataValidation type="list" allowBlank="1" showInputMessage="1" showErrorMessage="1" promptTitle="Type" prompt="Fixed costs happen whether you work or not. Variable costs follow the work. Knowing which is which is most of financial planning." sqref="E5:E404">
      <formula1>ExpenseTypeList</formula1>
    </dataValidation>
    <dataValidation type="decimal" allowBlank="1" showInputMessage="1" showErrorMessage="1" errorTitle="Check the value" error="Enter a number between 0 and 10000000." promptTitle="Amount (net)" prompt="Before tax, if you can reclaim it. Otherwise just put the amount you paid." sqref="H5:H404">
      <formula1>0</formula1>
      <formula2>10000000</formula2>
    </dataValidation>
    <dataValidation type="decimal" allowBlank="1" showInputMessage="1" showErrorMessage="1" errorTitle="Check the value" error="Enter a number between 0 and 1000000." sqref="I5:I404">
      <formula1>0</formula1>
      <formula2>1000000</formula2>
    </dataValidation>
    <dataValidation type="list" allowBlank="1" showInputMessage="1" showErrorMessage="1" sqref="J5:J404">
      <formula1>PaymentMethodList</formula1>
    </dataValidation>
    <dataValidation type="list" allowBlank="1" showInputMessage="1" showErrorMessage="1" promptTitle="Job ID" prompt="Only for a cost that belongs to one job - a skip, a specialist product, a subcontractor." sqref="K5:K404">
      <formula1>JobIDs</formula1>
    </dataValidation>
    <dataValidation type="list" allowBlank="1" showInputMessage="1" showErrorMessage="1" sqref="L5:L404">
      <formula1>EmployeeNames</formula1>
    </dataValidation>
    <dataValidation type="list" allowBlank="1" showInputMessage="1" showErrorMessage="1" promptTitle="Receipt?" prompt="No receipt usually means no deduction. Photograph them in the van and put the link in the notes." sqref="M5:M404">
      <formula1>YesNoList</formula1>
    </dataValidation>
    <dataValidation type="list" allowBlank="1" showInputMessage="1" showErrorMessage="1" sqref="N5:N404">
      <formula1>YesNoList</formula1>
    </dataValidation>
    <dataValidation type="list" allowBlank="1" showInputMessage="1" showErrorMessage="1" promptTitle="Claimable?" prompt="Your accountant decides this, not the spreadsheet. The column is here so you can mark what you have asked about." sqref="O5:O404">
      <formula1>YesNoNAList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&amp;L&amp;"Calibri,Bold"&amp;12&amp;C&amp;"Calibri,Bold"&amp;11Expenses&amp;R&amp;"Calibri,Italic"&amp;9Cleaning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26.xml><?xml version="1.0" encoding="utf-8"?>
<worksheet xmlns="http://schemas.openxmlformats.org/spreadsheetml/2006/main" xmlns:r="http://schemas.openxmlformats.org/officeDocument/2006/relationships">
  <sheetPr>
    <tabColor rgb="FFE8A33D"/>
    <pageSetUpPr fitToPage="1"/>
  </sheetPr>
  <dimension ref="A1:T4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11.7109375" style="46" customWidth="1"/>
    <col min="3" max="3" width="10.7109375" style="23" customWidth="1"/>
    <col min="4" max="4" width="16.7109375" style="15" customWidth="1"/>
    <col min="5" max="5" width="13.7109375" style="15" customWidth="1"/>
    <col min="6" max="6" width="18.7109375" style="15" customWidth="1"/>
    <col min="7" max="7" width="22.7109375" style="15" customWidth="1"/>
    <col min="8" max="8" width="22.7109375" style="15" customWidth="1"/>
    <col min="9" max="9" width="11.7109375" style="49" customWidth="1"/>
    <col min="10" max="10" width="11.7109375" style="17" customWidth="1"/>
    <col min="11" max="11" width="10.7109375" style="47" customWidth="1"/>
    <col min="12" max="12" width="10.7109375" style="19" customWidth="1"/>
    <col min="13" max="13" width="10.7109375" style="19" customWidth="1"/>
    <col min="14" max="14" width="9.7109375" style="47" customWidth="1"/>
    <col min="15" max="15" width="26.7109375" style="44" customWidth="1"/>
    <col min="16" max="16" width="18.7109375" style="23" hidden="1" customWidth="1"/>
    <col min="17" max="17" width="10.7109375" style="34" customWidth="1"/>
    <col min="18" max="18" width="9.7109375" style="21" hidden="1" customWidth="1"/>
    <col min="19" max="19" width="11.7109375" style="21" customWidth="1"/>
    <col min="20" max="20" width="22.7109375" style="39" customWidth="1"/>
  </cols>
  <sheetData>
    <row r="1" spans="1:20" ht="34" customHeight="1">
      <c r="A1" s="2" t="s">
        <v>1922</v>
      </c>
      <c r="B1" s="2"/>
      <c r="C1" s="2"/>
      <c r="D1" s="2"/>
      <c r="E1" s="2"/>
      <c r="F1" s="2"/>
      <c r="G1" s="2"/>
      <c r="H1" s="2"/>
      <c r="I1" s="2"/>
      <c r="J1" s="2"/>
      <c r="K1" s="2"/>
      <c r="L1" s="2"/>
      <c r="M1" s="2"/>
      <c r="N1" s="2"/>
      <c r="O1" s="2"/>
      <c r="P1" s="2"/>
      <c r="Q1" s="2"/>
      <c r="R1" s="3" t="s">
        <v>1</v>
      </c>
      <c r="S1" s="3"/>
      <c r="T1" s="3"/>
    </row>
    <row r="2" spans="1:20" ht="18" customHeight="1">
      <c r="A2" s="4" t="s">
        <v>1923</v>
      </c>
      <c r="B2" s="4"/>
      <c r="C2" s="4"/>
      <c r="D2" s="4"/>
      <c r="E2" s="4"/>
      <c r="F2" s="4"/>
      <c r="G2" s="4"/>
      <c r="H2" s="4"/>
      <c r="I2" s="4"/>
      <c r="J2" s="4"/>
      <c r="K2" s="4"/>
      <c r="L2" s="4"/>
      <c r="M2" s="4"/>
      <c r="N2" s="4"/>
      <c r="O2" s="4"/>
      <c r="P2" s="4"/>
      <c r="Q2" s="4"/>
      <c r="R2" s="4"/>
      <c r="S2" s="4"/>
      <c r="T2" s="4"/>
    </row>
    <row r="3" spans="1:20" ht="16" customHeight="1">
      <c r="A3" s="5" t="s">
        <v>3</v>
      </c>
      <c r="B3" s="5"/>
      <c r="C3" s="5" t="s">
        <v>4</v>
      </c>
      <c r="D3" s="5"/>
      <c r="E3" s="5" t="s">
        <v>5</v>
      </c>
      <c r="F3" s="5"/>
      <c r="G3" s="5" t="s">
        <v>6</v>
      </c>
      <c r="H3" s="5"/>
      <c r="I3" s="5" t="s">
        <v>7</v>
      </c>
      <c r="J3" s="5"/>
      <c r="K3" s="5" t="s">
        <v>338</v>
      </c>
      <c r="L3" s="5"/>
      <c r="M3" s="5" t="s">
        <v>541</v>
      </c>
      <c r="N3" s="5"/>
      <c r="O3" s="5" t="s">
        <v>542</v>
      </c>
      <c r="P3" s="5"/>
      <c r="Q3" s="5" t="s">
        <v>543</v>
      </c>
      <c r="R3" s="5"/>
      <c r="S3" s="14"/>
      <c r="T3" s="14"/>
    </row>
    <row r="4" spans="1:20" ht="30" customHeight="1">
      <c r="A4" s="8" t="s">
        <v>545</v>
      </c>
      <c r="B4" s="8" t="s">
        <v>1100</v>
      </c>
      <c r="C4" s="9" t="s">
        <v>340</v>
      </c>
      <c r="D4" s="9" t="s">
        <v>1924</v>
      </c>
      <c r="E4" s="9" t="s">
        <v>1372</v>
      </c>
      <c r="F4" s="9" t="s">
        <v>1925</v>
      </c>
      <c r="G4" s="9" t="s">
        <v>1926</v>
      </c>
      <c r="H4" s="9" t="s">
        <v>1927</v>
      </c>
      <c r="I4" s="9" t="s">
        <v>1169</v>
      </c>
      <c r="J4" s="9" t="s">
        <v>728</v>
      </c>
      <c r="K4" s="9" t="s">
        <v>1928</v>
      </c>
      <c r="L4" s="9" t="s">
        <v>1929</v>
      </c>
      <c r="M4" s="9" t="s">
        <v>1930</v>
      </c>
      <c r="N4" s="9" t="s">
        <v>1931</v>
      </c>
      <c r="O4" s="9" t="s">
        <v>421</v>
      </c>
      <c r="P4" s="9" t="s">
        <v>403</v>
      </c>
      <c r="Q4" s="9" t="s">
        <v>1932</v>
      </c>
      <c r="R4" s="9" t="s">
        <v>1933</v>
      </c>
      <c r="S4" s="9" t="s">
        <v>1934</v>
      </c>
      <c r="T4" s="9" t="s">
        <v>970</v>
      </c>
    </row>
    <row r="5" spans="1:20">
      <c r="A5" s="43">
        <f>IF(B5="","","MIL-"&amp;TEXT(ROW()-4,"0000"))</f>
        <v>0</v>
      </c>
      <c r="B5" s="46">
        <v>46285</v>
      </c>
      <c r="C5" s="23">
        <f>IF(B5="","",TEXT(B5,"yyyy-mm"))</f>
        <v>0</v>
      </c>
      <c r="D5" s="15" t="s">
        <v>639</v>
      </c>
      <c r="E5" s="15" t="s">
        <v>1786</v>
      </c>
      <c r="F5" s="15" t="s">
        <v>1935</v>
      </c>
      <c r="G5" s="15" t="s">
        <v>1936</v>
      </c>
      <c r="H5" s="15" t="s">
        <v>792</v>
      </c>
      <c r="I5" s="49" t="s">
        <v>1498</v>
      </c>
      <c r="J5" s="17">
        <v>5</v>
      </c>
      <c r="K5" s="47" t="s">
        <v>454</v>
      </c>
      <c r="M5" s="19">
        <v>4.5</v>
      </c>
      <c r="N5" s="47" t="s">
        <v>454</v>
      </c>
      <c r="O5" s="44" t="s">
        <v>172</v>
      </c>
      <c r="P5" s="23">
        <f>IF(I5="","",IFERROR(INDEX(Jobs!$H$5:$H$604,MATCH(I5,Jobs!$A$5:$A$604,0)),""))</f>
        <v>0</v>
      </c>
      <c r="Q5" s="34">
        <f>IF(B5="","",IF(J5="",0,J5)*IF(K5="Yes",2,1))</f>
        <v>0</v>
      </c>
      <c r="R5" s="21">
        <f>IF(B5="","",IF(L5&lt;&gt;"",L5,MileageRate))</f>
        <v>0</v>
      </c>
      <c r="S5" s="21">
        <f>IF(B5="","",ROUND(Q5*R5+IF(M5="",0,M5),2))</f>
        <v>0</v>
      </c>
      <c r="T5" s="39">
        <f>IF(B5="","",IF(J5="","Add - how far?",IF(D5="","Add - who drove?",IF(N5="No","Due - not claimed yet",IF(Q5&gt;200,"Check - a long day","OK")))))</f>
        <v>0</v>
      </c>
    </row>
    <row r="6" spans="1:20">
      <c r="A6" s="43">
        <f>IF(B6="","","MIL-"&amp;TEXT(ROW()-4,"0000"))</f>
        <v>0</v>
      </c>
      <c r="B6" s="46">
        <v>46287</v>
      </c>
      <c r="C6" s="23">
        <f>IF(B6="","",TEXT(B6,"yyyy-mm"))</f>
        <v>0</v>
      </c>
      <c r="D6" s="15" t="s">
        <v>584</v>
      </c>
      <c r="E6" s="15" t="s">
        <v>1790</v>
      </c>
      <c r="F6" s="15" t="s">
        <v>1935</v>
      </c>
      <c r="G6" s="15" t="s">
        <v>1936</v>
      </c>
      <c r="H6" s="15" t="s">
        <v>844</v>
      </c>
      <c r="I6" s="49" t="s">
        <v>1502</v>
      </c>
      <c r="J6" s="17">
        <v>5.5</v>
      </c>
      <c r="K6" s="47" t="s">
        <v>454</v>
      </c>
      <c r="M6" s="19">
        <v>0</v>
      </c>
      <c r="N6" s="47" t="s">
        <v>454</v>
      </c>
      <c r="O6" s="44" t="s">
        <v>172</v>
      </c>
      <c r="P6" s="23">
        <f>IF(I6="","",IFERROR(INDEX(Jobs!$H$5:$H$604,MATCH(I6,Jobs!$A$5:$A$604,0)),""))</f>
        <v>0</v>
      </c>
      <c r="Q6" s="34">
        <f>IF(B6="","",IF(J6="",0,J6)*IF(K6="Yes",2,1))</f>
        <v>0</v>
      </c>
      <c r="R6" s="21">
        <f>IF(B6="","",IF(L6&lt;&gt;"",L6,MileageRate))</f>
        <v>0</v>
      </c>
      <c r="S6" s="21">
        <f>IF(B6="","",ROUND(Q6*R6+IF(M6="",0,M6),2))</f>
        <v>0</v>
      </c>
      <c r="T6" s="39">
        <f>IF(B6="","",IF(J6="","Add - how far?",IF(D6="","Add - who drove?",IF(N6="No","Due - not claimed yet",IF(Q6&gt;200,"Check - a long day","OK")))))</f>
        <v>0</v>
      </c>
    </row>
    <row r="7" spans="1:20">
      <c r="A7" s="43">
        <f>IF(B7="","","MIL-"&amp;TEXT(ROW()-4,"0000"))</f>
        <v>0</v>
      </c>
      <c r="B7" s="46">
        <v>46290</v>
      </c>
      <c r="C7" s="23">
        <f>IF(B7="","",TEXT(B7,"yyyy-mm"))</f>
        <v>0</v>
      </c>
      <c r="D7" s="15" t="s">
        <v>639</v>
      </c>
      <c r="E7" s="15" t="s">
        <v>1786</v>
      </c>
      <c r="F7" s="15" t="s">
        <v>1935</v>
      </c>
      <c r="G7" s="15" t="s">
        <v>1936</v>
      </c>
      <c r="H7" s="15" t="s">
        <v>799</v>
      </c>
      <c r="I7" s="49" t="s">
        <v>1506</v>
      </c>
      <c r="J7" s="17">
        <v>4.6</v>
      </c>
      <c r="K7" s="47" t="s">
        <v>454</v>
      </c>
      <c r="M7" s="19">
        <v>0</v>
      </c>
      <c r="N7" s="47" t="s">
        <v>454</v>
      </c>
      <c r="O7" s="44" t="s">
        <v>172</v>
      </c>
      <c r="P7" s="23">
        <f>IF(I7="","",IFERROR(INDEX(Jobs!$H$5:$H$604,MATCH(I7,Jobs!$A$5:$A$604,0)),""))</f>
        <v>0</v>
      </c>
      <c r="Q7" s="34">
        <f>IF(B7="","",IF(J7="",0,J7)*IF(K7="Yes",2,1))</f>
        <v>0</v>
      </c>
      <c r="R7" s="21">
        <f>IF(B7="","",IF(L7&lt;&gt;"",L7,MileageRate))</f>
        <v>0</v>
      </c>
      <c r="S7" s="21">
        <f>IF(B7="","",ROUND(Q7*R7+IF(M7="",0,M7),2))</f>
        <v>0</v>
      </c>
      <c r="T7" s="39">
        <f>IF(B7="","",IF(J7="","Add - how far?",IF(D7="","Add - who drove?",IF(N7="No","Due - not claimed yet",IF(Q7&gt;200,"Check - a long day","OK")))))</f>
        <v>0</v>
      </c>
    </row>
    <row r="8" spans="1:20">
      <c r="A8" s="43">
        <f>IF(B8="","","MIL-"&amp;TEXT(ROW()-4,"0000"))</f>
        <v>0</v>
      </c>
      <c r="B8" s="46">
        <v>46291</v>
      </c>
      <c r="C8" s="23">
        <f>IF(B8="","",TEXT(B8,"yyyy-mm"))</f>
        <v>0</v>
      </c>
      <c r="D8" s="15" t="s">
        <v>596</v>
      </c>
      <c r="E8" s="15" t="s">
        <v>1790</v>
      </c>
      <c r="F8" s="15" t="s">
        <v>1935</v>
      </c>
      <c r="G8" s="15" t="s">
        <v>1936</v>
      </c>
      <c r="H8" s="15" t="s">
        <v>823</v>
      </c>
      <c r="I8" s="49" t="s">
        <v>1510</v>
      </c>
      <c r="J8" s="17">
        <v>3.4</v>
      </c>
      <c r="K8" s="47" t="s">
        <v>454</v>
      </c>
      <c r="M8" s="19">
        <v>0</v>
      </c>
      <c r="N8" s="47" t="s">
        <v>454</v>
      </c>
      <c r="O8" s="44" t="s">
        <v>172</v>
      </c>
      <c r="P8" s="23">
        <f>IF(I8="","",IFERROR(INDEX(Jobs!$H$5:$H$604,MATCH(I8,Jobs!$A$5:$A$604,0)),""))</f>
        <v>0</v>
      </c>
      <c r="Q8" s="34">
        <f>IF(B8="","",IF(J8="",0,J8)*IF(K8="Yes",2,1))</f>
        <v>0</v>
      </c>
      <c r="R8" s="21">
        <f>IF(B8="","",IF(L8&lt;&gt;"",L8,MileageRate))</f>
        <v>0</v>
      </c>
      <c r="S8" s="21">
        <f>IF(B8="","",ROUND(Q8*R8+IF(M8="",0,M8),2))</f>
        <v>0</v>
      </c>
      <c r="T8" s="39">
        <f>IF(B8="","",IF(J8="","Add - how far?",IF(D8="","Add - who drove?",IF(N8="No","Due - not claimed yet",IF(Q8&gt;200,"Check - a long day","OK")))))</f>
        <v>0</v>
      </c>
    </row>
    <row r="9" spans="1:20">
      <c r="A9" s="43">
        <f>IF(B9="","","MIL-"&amp;TEXT(ROW()-4,"0000"))</f>
        <v>0</v>
      </c>
      <c r="B9" s="46">
        <v>46294</v>
      </c>
      <c r="C9" s="23">
        <f>IF(B9="","",TEXT(B9,"yyyy-mm"))</f>
        <v>0</v>
      </c>
      <c r="D9" s="15" t="s">
        <v>584</v>
      </c>
      <c r="E9" s="15" t="s">
        <v>1786</v>
      </c>
      <c r="F9" s="15" t="s">
        <v>1935</v>
      </c>
      <c r="G9" s="15" t="s">
        <v>1936</v>
      </c>
      <c r="H9" s="15" t="s">
        <v>742</v>
      </c>
      <c r="I9" s="49" t="s">
        <v>1514</v>
      </c>
      <c r="J9" s="17">
        <v>4.2</v>
      </c>
      <c r="K9" s="47" t="s">
        <v>454</v>
      </c>
      <c r="M9" s="19">
        <v>0</v>
      </c>
      <c r="N9" s="47" t="s">
        <v>454</v>
      </c>
      <c r="O9" s="44" t="s">
        <v>172</v>
      </c>
      <c r="P9" s="23">
        <f>IF(I9="","",IFERROR(INDEX(Jobs!$H$5:$H$604,MATCH(I9,Jobs!$A$5:$A$604,0)),""))</f>
        <v>0</v>
      </c>
      <c r="Q9" s="34">
        <f>IF(B9="","",IF(J9="",0,J9)*IF(K9="Yes",2,1))</f>
        <v>0</v>
      </c>
      <c r="R9" s="21">
        <f>IF(B9="","",IF(L9&lt;&gt;"",L9,MileageRate))</f>
        <v>0</v>
      </c>
      <c r="S9" s="21">
        <f>IF(B9="","",ROUND(Q9*R9+IF(M9="",0,M9),2))</f>
        <v>0</v>
      </c>
      <c r="T9" s="39">
        <f>IF(B9="","",IF(J9="","Add - how far?",IF(D9="","Add - who drove?",IF(N9="No","Due - not claimed yet",IF(Q9&gt;200,"Check - a long day","OK")))))</f>
        <v>0</v>
      </c>
    </row>
    <row r="10" spans="1:20">
      <c r="A10" s="43">
        <f>IF(B10="","","MIL-"&amp;TEXT(ROW()-4,"0000"))</f>
        <v>0</v>
      </c>
      <c r="B10" s="46">
        <v>46297</v>
      </c>
      <c r="C10" s="23">
        <f>IF(B10="","",TEXT(B10,"yyyy-mm"))</f>
        <v>0</v>
      </c>
      <c r="D10" s="15" t="s">
        <v>639</v>
      </c>
      <c r="E10" s="15" t="s">
        <v>1790</v>
      </c>
      <c r="F10" s="15" t="s">
        <v>1935</v>
      </c>
      <c r="G10" s="15" t="s">
        <v>1936</v>
      </c>
      <c r="H10" s="15" t="s">
        <v>799</v>
      </c>
      <c r="I10" s="49" t="s">
        <v>1518</v>
      </c>
      <c r="J10" s="17">
        <v>4.6</v>
      </c>
      <c r="K10" s="47" t="s">
        <v>454</v>
      </c>
      <c r="M10" s="19">
        <v>4.5</v>
      </c>
      <c r="N10" s="47" t="s">
        <v>454</v>
      </c>
      <c r="O10" s="44" t="s">
        <v>172</v>
      </c>
      <c r="P10" s="23">
        <f>IF(I10="","",IFERROR(INDEX(Jobs!$H$5:$H$604,MATCH(I10,Jobs!$A$5:$A$604,0)),""))</f>
        <v>0</v>
      </c>
      <c r="Q10" s="34">
        <f>IF(B10="","",IF(J10="",0,J10)*IF(K10="Yes",2,1))</f>
        <v>0</v>
      </c>
      <c r="R10" s="21">
        <f>IF(B10="","",IF(L10&lt;&gt;"",L10,MileageRate))</f>
        <v>0</v>
      </c>
      <c r="S10" s="21">
        <f>IF(B10="","",ROUND(Q10*R10+IF(M10="",0,M10),2))</f>
        <v>0</v>
      </c>
      <c r="T10" s="39">
        <f>IF(B10="","",IF(J10="","Add - how far?",IF(D10="","Add - who drove?",IF(N10="No","Due - not claimed yet",IF(Q10&gt;200,"Check - a long day","OK")))))</f>
        <v>0</v>
      </c>
    </row>
    <row r="11" spans="1:20">
      <c r="A11" s="43">
        <f>IF(B11="","","MIL-"&amp;TEXT(ROW()-4,"0000"))</f>
        <v>0</v>
      </c>
      <c r="B11" s="46">
        <v>46298</v>
      </c>
      <c r="C11" s="23">
        <f>IF(B11="","",TEXT(B11,"yyyy-mm"))</f>
        <v>0</v>
      </c>
      <c r="D11" s="15" t="s">
        <v>596</v>
      </c>
      <c r="E11" s="15" t="s">
        <v>1786</v>
      </c>
      <c r="F11" s="15" t="s">
        <v>1935</v>
      </c>
      <c r="G11" s="15" t="s">
        <v>1936</v>
      </c>
      <c r="H11" s="15" t="s">
        <v>823</v>
      </c>
      <c r="I11" s="49" t="s">
        <v>1522</v>
      </c>
      <c r="J11" s="17">
        <v>3.4</v>
      </c>
      <c r="K11" s="47" t="s">
        <v>454</v>
      </c>
      <c r="M11" s="19">
        <v>0</v>
      </c>
      <c r="N11" s="47" t="s">
        <v>454</v>
      </c>
      <c r="O11" s="44" t="s">
        <v>172</v>
      </c>
      <c r="P11" s="23">
        <f>IF(I11="","",IFERROR(INDEX(Jobs!$H$5:$H$604,MATCH(I11,Jobs!$A$5:$A$604,0)),""))</f>
        <v>0</v>
      </c>
      <c r="Q11" s="34">
        <f>IF(B11="","",IF(J11="",0,J11)*IF(K11="Yes",2,1))</f>
        <v>0</v>
      </c>
      <c r="R11" s="21">
        <f>IF(B11="","",IF(L11&lt;&gt;"",L11,MileageRate))</f>
        <v>0</v>
      </c>
      <c r="S11" s="21">
        <f>IF(B11="","",ROUND(Q11*R11+IF(M11="",0,M11),2))</f>
        <v>0</v>
      </c>
      <c r="T11" s="39">
        <f>IF(B11="","",IF(J11="","Add - how far?",IF(D11="","Add - who drove?",IF(N11="No","Due - not claimed yet",IF(Q11&gt;200,"Check - a long day","OK")))))</f>
        <v>0</v>
      </c>
    </row>
    <row r="12" spans="1:20">
      <c r="A12" s="43">
        <f>IF(B12="","","MIL-"&amp;TEXT(ROW()-4,"0000"))</f>
        <v>0</v>
      </c>
      <c r="B12" s="46">
        <v>46301</v>
      </c>
      <c r="C12" s="23">
        <f>IF(B12="","",TEXT(B12,"yyyy-mm"))</f>
        <v>0</v>
      </c>
      <c r="D12" s="15" t="s">
        <v>584</v>
      </c>
      <c r="E12" s="15" t="s">
        <v>1790</v>
      </c>
      <c r="F12" s="15" t="s">
        <v>1935</v>
      </c>
      <c r="G12" s="15" t="s">
        <v>1936</v>
      </c>
      <c r="H12" s="15" t="s">
        <v>742</v>
      </c>
      <c r="I12" s="49" t="s">
        <v>1526</v>
      </c>
      <c r="J12" s="17">
        <v>4.2</v>
      </c>
      <c r="K12" s="47" t="s">
        <v>454</v>
      </c>
      <c r="M12" s="19">
        <v>0</v>
      </c>
      <c r="N12" s="47" t="s">
        <v>457</v>
      </c>
      <c r="O12" s="44" t="s">
        <v>172</v>
      </c>
      <c r="P12" s="23">
        <f>IF(I12="","",IFERROR(INDEX(Jobs!$H$5:$H$604,MATCH(I12,Jobs!$A$5:$A$604,0)),""))</f>
        <v>0</v>
      </c>
      <c r="Q12" s="34">
        <f>IF(B12="","",IF(J12="",0,J12)*IF(K12="Yes",2,1))</f>
        <v>0</v>
      </c>
      <c r="R12" s="21">
        <f>IF(B12="","",IF(L12&lt;&gt;"",L12,MileageRate))</f>
        <v>0</v>
      </c>
      <c r="S12" s="21">
        <f>IF(B12="","",ROUND(Q12*R12+IF(M12="",0,M12),2))</f>
        <v>0</v>
      </c>
      <c r="T12" s="39">
        <f>IF(B12="","",IF(J12="","Add - how far?",IF(D12="","Add - who drove?",IF(N12="No","Due - not claimed yet",IF(Q12&gt;200,"Check - a long day","OK")))))</f>
        <v>0</v>
      </c>
    </row>
    <row r="13" spans="1:20">
      <c r="A13" s="43">
        <f>IF(B13="","","MIL-"&amp;TEXT(ROW()-4,"0000"))</f>
        <v>0</v>
      </c>
      <c r="B13" s="46">
        <v>46302</v>
      </c>
      <c r="C13" s="23">
        <f>IF(B13="","",TEXT(B13,"yyyy-mm"))</f>
        <v>0</v>
      </c>
      <c r="D13" s="15" t="s">
        <v>664</v>
      </c>
      <c r="E13" s="15" t="s">
        <v>1786</v>
      </c>
      <c r="F13" s="15" t="s">
        <v>1935</v>
      </c>
      <c r="G13" s="15" t="s">
        <v>1936</v>
      </c>
      <c r="H13" s="15" t="s">
        <v>841</v>
      </c>
      <c r="I13" s="49" t="s">
        <v>1530</v>
      </c>
      <c r="J13" s="17">
        <v>9.1</v>
      </c>
      <c r="K13" s="47" t="s">
        <v>454</v>
      </c>
      <c r="M13" s="19">
        <v>0</v>
      </c>
      <c r="N13" s="47" t="s">
        <v>457</v>
      </c>
      <c r="O13" s="44" t="s">
        <v>172</v>
      </c>
      <c r="P13" s="23">
        <f>IF(I13="","",IFERROR(INDEX(Jobs!$H$5:$H$604,MATCH(I13,Jobs!$A$5:$A$604,0)),""))</f>
        <v>0</v>
      </c>
      <c r="Q13" s="34">
        <f>IF(B13="","",IF(J13="",0,J13)*IF(K13="Yes",2,1))</f>
        <v>0</v>
      </c>
      <c r="R13" s="21">
        <f>IF(B13="","",IF(L13&lt;&gt;"",L13,MileageRate))</f>
        <v>0</v>
      </c>
      <c r="S13" s="21">
        <f>IF(B13="","",ROUND(Q13*R13+IF(M13="",0,M13),2))</f>
        <v>0</v>
      </c>
      <c r="T13" s="39">
        <f>IF(B13="","",IF(J13="","Add - how far?",IF(D13="","Add - who drove?",IF(N13="No","Due - not claimed yet",IF(Q13&gt;200,"Check - a long day","OK")))))</f>
        <v>0</v>
      </c>
    </row>
    <row r="14" spans="1:20">
      <c r="A14" s="43">
        <f>IF(B14="","","MIL-"&amp;TEXT(ROW()-4,"0000"))</f>
        <v>0</v>
      </c>
      <c r="B14" s="46">
        <v>46303</v>
      </c>
      <c r="C14" s="23">
        <f>IF(B14="","",TEXT(B14,"yyyy-mm"))</f>
        <v>0</v>
      </c>
      <c r="D14" s="15" t="s">
        <v>608</v>
      </c>
      <c r="E14" s="15" t="s">
        <v>1790</v>
      </c>
      <c r="F14" s="15" t="s">
        <v>1935</v>
      </c>
      <c r="G14" s="15" t="s">
        <v>1936</v>
      </c>
      <c r="H14" s="15" t="s">
        <v>772</v>
      </c>
      <c r="I14" s="49" t="s">
        <v>1534</v>
      </c>
      <c r="J14" s="17">
        <v>2.4</v>
      </c>
      <c r="K14" s="47" t="s">
        <v>454</v>
      </c>
      <c r="M14" s="19">
        <v>0</v>
      </c>
      <c r="N14" s="47" t="s">
        <v>457</v>
      </c>
      <c r="O14" s="44" t="s">
        <v>172</v>
      </c>
      <c r="P14" s="23">
        <f>IF(I14="","",IFERROR(INDEX(Jobs!$H$5:$H$604,MATCH(I14,Jobs!$A$5:$A$604,0)),""))</f>
        <v>0</v>
      </c>
      <c r="Q14" s="34">
        <f>IF(B14="","",IF(J14="",0,J14)*IF(K14="Yes",2,1))</f>
        <v>0</v>
      </c>
      <c r="R14" s="21">
        <f>IF(B14="","",IF(L14&lt;&gt;"",L14,MileageRate))</f>
        <v>0</v>
      </c>
      <c r="S14" s="21">
        <f>IF(B14="","",ROUND(Q14*R14+IF(M14="",0,M14),2))</f>
        <v>0</v>
      </c>
      <c r="T14" s="39">
        <f>IF(B14="","",IF(J14="","Add - how far?",IF(D14="","Add - who drove?",IF(N14="No","Due - not claimed yet",IF(Q14&gt;200,"Check - a long day","OK")))))</f>
        <v>0</v>
      </c>
    </row>
    <row r="15" spans="1:20">
      <c r="A15" s="43">
        <f>IF(B15="","","MIL-"&amp;TEXT(ROW()-4,"0000"))</f>
        <v>0</v>
      </c>
      <c r="B15" s="46">
        <v>46305</v>
      </c>
      <c r="C15" s="23">
        <f>IF(B15="","",TEXT(B15,"yyyy-mm"))</f>
        <v>0</v>
      </c>
      <c r="D15" s="15" t="s">
        <v>627</v>
      </c>
      <c r="E15" s="15" t="s">
        <v>1786</v>
      </c>
      <c r="F15" s="15" t="s">
        <v>1935</v>
      </c>
      <c r="G15" s="15" t="s">
        <v>1936</v>
      </c>
      <c r="H15" s="15" t="s">
        <v>781</v>
      </c>
      <c r="I15" s="49" t="s">
        <v>1538</v>
      </c>
      <c r="J15" s="17">
        <v>7.5</v>
      </c>
      <c r="K15" s="47" t="s">
        <v>454</v>
      </c>
      <c r="M15" s="19">
        <v>4.5</v>
      </c>
      <c r="N15" s="47" t="s">
        <v>457</v>
      </c>
      <c r="O15" s="44" t="s">
        <v>172</v>
      </c>
      <c r="P15" s="23">
        <f>IF(I15="","",IFERROR(INDEX(Jobs!$H$5:$H$604,MATCH(I15,Jobs!$A$5:$A$604,0)),""))</f>
        <v>0</v>
      </c>
      <c r="Q15" s="34">
        <f>IF(B15="","",IF(J15="",0,J15)*IF(K15="Yes",2,1))</f>
        <v>0</v>
      </c>
      <c r="R15" s="21">
        <f>IF(B15="","",IF(L15&lt;&gt;"",L15,MileageRate))</f>
        <v>0</v>
      </c>
      <c r="S15" s="21">
        <f>IF(B15="","",ROUND(Q15*R15+IF(M15="",0,M15),2))</f>
        <v>0</v>
      </c>
      <c r="T15" s="39">
        <f>IF(B15="","",IF(J15="","Add - how far?",IF(D15="","Add - who drove?",IF(N15="No","Due - not claimed yet",IF(Q15&gt;200,"Check - a long day","OK")))))</f>
        <v>0</v>
      </c>
    </row>
    <row r="16" spans="1:20">
      <c r="A16" s="43">
        <f>IF(B16="","","MIL-"&amp;TEXT(ROW()-4,"0000"))</f>
        <v>0</v>
      </c>
      <c r="B16" s="46">
        <v>46307</v>
      </c>
      <c r="C16" s="23">
        <f>IF(B16="","",TEXT(B16,"yyyy-mm"))</f>
        <v>0</v>
      </c>
      <c r="D16" s="15" t="s">
        <v>664</v>
      </c>
      <c r="E16" s="15" t="s">
        <v>1790</v>
      </c>
      <c r="F16" s="15" t="s">
        <v>1935</v>
      </c>
      <c r="G16" s="15" t="s">
        <v>1936</v>
      </c>
      <c r="H16" s="15" t="s">
        <v>812</v>
      </c>
      <c r="I16" s="49" t="s">
        <v>1207</v>
      </c>
      <c r="J16" s="17">
        <v>3.8</v>
      </c>
      <c r="K16" s="47" t="s">
        <v>454</v>
      </c>
      <c r="M16" s="19">
        <v>0</v>
      </c>
      <c r="N16" s="47" t="s">
        <v>457</v>
      </c>
      <c r="O16" s="44" t="s">
        <v>172</v>
      </c>
      <c r="P16" s="23">
        <f>IF(I16="","",IFERROR(INDEX(Jobs!$H$5:$H$604,MATCH(I16,Jobs!$A$5:$A$604,0)),""))</f>
        <v>0</v>
      </c>
      <c r="Q16" s="34">
        <f>IF(B16="","",IF(J16="",0,J16)*IF(K16="Yes",2,1))</f>
        <v>0</v>
      </c>
      <c r="R16" s="21">
        <f>IF(B16="","",IF(L16&lt;&gt;"",L16,MileageRate))</f>
        <v>0</v>
      </c>
      <c r="S16" s="21">
        <f>IF(B16="","",ROUND(Q16*R16+IF(M16="",0,M16),2))</f>
        <v>0</v>
      </c>
      <c r="T16" s="39">
        <f>IF(B16="","",IF(J16="","Add - how far?",IF(D16="","Add - who drove?",IF(N16="No","Due - not claimed yet",IF(Q16&gt;200,"Check - a long day","OK")))))</f>
        <v>0</v>
      </c>
    </row>
    <row r="17" spans="1:20">
      <c r="A17" s="43">
        <f>IF(B17="","","MIL-"&amp;TEXT(ROW()-4,"0000"))</f>
        <v>0</v>
      </c>
      <c r="B17" s="46">
        <v>46310</v>
      </c>
      <c r="C17" s="23">
        <f>IF(B17="","",TEXT(B17,"yyyy-mm"))</f>
        <v>0</v>
      </c>
      <c r="D17" s="15" t="s">
        <v>664</v>
      </c>
      <c r="E17" s="15" t="s">
        <v>1786</v>
      </c>
      <c r="F17" s="15" t="s">
        <v>1935</v>
      </c>
      <c r="G17" s="15" t="s">
        <v>1936</v>
      </c>
      <c r="H17" s="15" t="s">
        <v>812</v>
      </c>
      <c r="I17" s="49" t="s">
        <v>1544</v>
      </c>
      <c r="J17" s="17">
        <v>3.8</v>
      </c>
      <c r="K17" s="47" t="s">
        <v>454</v>
      </c>
      <c r="M17" s="19">
        <v>0</v>
      </c>
      <c r="N17" s="47" t="s">
        <v>457</v>
      </c>
      <c r="O17" s="44" t="s">
        <v>172</v>
      </c>
      <c r="P17" s="23">
        <f>IF(I17="","",IFERROR(INDEX(Jobs!$H$5:$H$604,MATCH(I17,Jobs!$A$5:$A$604,0)),""))</f>
        <v>0</v>
      </c>
      <c r="Q17" s="34">
        <f>IF(B17="","",IF(J17="",0,J17)*IF(K17="Yes",2,1))</f>
        <v>0</v>
      </c>
      <c r="R17" s="21">
        <f>IF(B17="","",IF(L17&lt;&gt;"",L17,MileageRate))</f>
        <v>0</v>
      </c>
      <c r="S17" s="21">
        <f>IF(B17="","",ROUND(Q17*R17+IF(M17="",0,M17),2))</f>
        <v>0</v>
      </c>
      <c r="T17" s="39">
        <f>IF(B17="","",IF(J17="","Add - how far?",IF(D17="","Add - who drove?",IF(N17="No","Due - not claimed yet",IF(Q17&gt;200,"Check - a long day","OK")))))</f>
        <v>0</v>
      </c>
    </row>
    <row r="18" spans="1:20">
      <c r="A18" s="43">
        <f>IF(B18="","","MIL-"&amp;TEXT(ROW()-4,"0000"))</f>
        <v>0</v>
      </c>
      <c r="B18" s="46">
        <v>46311</v>
      </c>
      <c r="C18" s="23">
        <f>IF(B18="","",TEXT(B18,"yyyy-mm"))</f>
        <v>0</v>
      </c>
      <c r="D18" s="15" t="s">
        <v>608</v>
      </c>
      <c r="E18" s="15" t="s">
        <v>1790</v>
      </c>
      <c r="F18" s="15" t="s">
        <v>1935</v>
      </c>
      <c r="G18" s="15" t="s">
        <v>1936</v>
      </c>
      <c r="H18" s="15" t="s">
        <v>847</v>
      </c>
      <c r="I18" s="49" t="s">
        <v>1548</v>
      </c>
      <c r="J18" s="17">
        <v>2.2</v>
      </c>
      <c r="K18" s="47" t="s">
        <v>454</v>
      </c>
      <c r="M18" s="19">
        <v>0</v>
      </c>
      <c r="N18" s="47" t="s">
        <v>457</v>
      </c>
      <c r="O18" s="44" t="s">
        <v>172</v>
      </c>
      <c r="P18" s="23">
        <f>IF(I18="","",IFERROR(INDEX(Jobs!$H$5:$H$604,MATCH(I18,Jobs!$A$5:$A$604,0)),""))</f>
        <v>0</v>
      </c>
      <c r="Q18" s="34">
        <f>IF(B18="","",IF(J18="",0,J18)*IF(K18="Yes",2,1))</f>
        <v>0</v>
      </c>
      <c r="R18" s="21">
        <f>IF(B18="","",IF(L18&lt;&gt;"",L18,MileageRate))</f>
        <v>0</v>
      </c>
      <c r="S18" s="21">
        <f>IF(B18="","",ROUND(Q18*R18+IF(M18="",0,M18),2))</f>
        <v>0</v>
      </c>
      <c r="T18" s="39">
        <f>IF(B18="","",IF(J18="","Add - how far?",IF(D18="","Add - who drove?",IF(N18="No","Due - not claimed yet",IF(Q18&gt;200,"Check - a long day","OK")))))</f>
        <v>0</v>
      </c>
    </row>
    <row r="19" spans="1:20">
      <c r="A19" s="43">
        <f>IF(B19="","","MIL-"&amp;TEXT(ROW()-4,"0000"))</f>
        <v>0</v>
      </c>
      <c r="B19" s="46">
        <v>46304</v>
      </c>
      <c r="C19" s="23">
        <f>IF(B19="","",TEXT(B19,"yyyy-mm"))</f>
        <v>0</v>
      </c>
      <c r="D19" s="15" t="s">
        <v>178</v>
      </c>
      <c r="E19" s="15" t="s">
        <v>1937</v>
      </c>
      <c r="F19" s="15" t="s">
        <v>1162</v>
      </c>
      <c r="G19" s="15" t="s">
        <v>1936</v>
      </c>
      <c r="H19" s="15" t="s">
        <v>887</v>
      </c>
      <c r="I19" s="49" t="s">
        <v>172</v>
      </c>
      <c r="J19" s="17">
        <v>7.4</v>
      </c>
      <c r="K19" s="47" t="s">
        <v>454</v>
      </c>
      <c r="M19" s="19">
        <v>3</v>
      </c>
      <c r="N19" s="47" t="s">
        <v>454</v>
      </c>
      <c r="O19" s="44" t="s">
        <v>1938</v>
      </c>
      <c r="P19" s="23">
        <f>IF(I19="","",IFERROR(INDEX(Jobs!$H$5:$H$604,MATCH(I19,Jobs!$A$5:$A$604,0)),""))</f>
        <v>0</v>
      </c>
      <c r="Q19" s="34">
        <f>IF(B19="","",IF(J19="",0,J19)*IF(K19="Yes",2,1))</f>
        <v>0</v>
      </c>
      <c r="R19" s="21">
        <f>IF(B19="","",IF(L19&lt;&gt;"",L19,MileageRate))</f>
        <v>0</v>
      </c>
      <c r="S19" s="21">
        <f>IF(B19="","",ROUND(Q19*R19+IF(M19="",0,M19),2))</f>
        <v>0</v>
      </c>
      <c r="T19" s="39">
        <f>IF(B19="","",IF(J19="","Add - how far?",IF(D19="","Add - who drove?",IF(N19="No","Due - not claimed yet",IF(Q19&gt;200,"Check - a long day","OK")))))</f>
        <v>0</v>
      </c>
    </row>
    <row r="20" spans="1:20">
      <c r="A20" s="43">
        <f>IF(B20="","","MIL-"&amp;TEXT(ROW()-4,"0000"))</f>
        <v>0</v>
      </c>
      <c r="B20" s="46">
        <v>46309</v>
      </c>
      <c r="C20" s="23">
        <f>IF(B20="","",TEXT(B20,"yyyy-mm"))</f>
        <v>0</v>
      </c>
      <c r="D20" s="15" t="s">
        <v>664</v>
      </c>
      <c r="E20" s="15" t="s">
        <v>1937</v>
      </c>
      <c r="F20" s="15" t="s">
        <v>1555</v>
      </c>
      <c r="G20" s="15" t="s">
        <v>1936</v>
      </c>
      <c r="H20" s="15" t="s">
        <v>1702</v>
      </c>
      <c r="I20" s="49" t="s">
        <v>172</v>
      </c>
      <c r="J20" s="17">
        <v>11.2</v>
      </c>
      <c r="K20" s="47" t="s">
        <v>454</v>
      </c>
      <c r="N20" s="47" t="s">
        <v>454</v>
      </c>
      <c r="O20" s="44" t="s">
        <v>172</v>
      </c>
      <c r="P20" s="23">
        <f>IF(I20="","",IFERROR(INDEX(Jobs!$H$5:$H$604,MATCH(I20,Jobs!$A$5:$A$604,0)),""))</f>
        <v>0</v>
      </c>
      <c r="Q20" s="34">
        <f>IF(B20="","",IF(J20="",0,J20)*IF(K20="Yes",2,1))</f>
        <v>0</v>
      </c>
      <c r="R20" s="21">
        <f>IF(B20="","",IF(L20&lt;&gt;"",L20,MileageRate))</f>
        <v>0</v>
      </c>
      <c r="S20" s="21">
        <f>IF(B20="","",ROUND(Q20*R20+IF(M20="",0,M20),2))</f>
        <v>0</v>
      </c>
      <c r="T20" s="39">
        <f>IF(B20="","",IF(J20="","Add - how far?",IF(D20="","Add - who drove?",IF(N20="No","Due - not claimed yet",IF(Q20&gt;200,"Check - a long day","OK")))))</f>
        <v>0</v>
      </c>
    </row>
    <row r="21" spans="1:20">
      <c r="A21" s="43">
        <f>IF(B21="","","MIL-"&amp;TEXT(ROW()-4,"0000"))</f>
        <v>0</v>
      </c>
      <c r="B21" s="46">
        <v>46297</v>
      </c>
      <c r="C21" s="23">
        <f>IF(B21="","",TEXT(B21,"yyyy-mm"))</f>
        <v>0</v>
      </c>
      <c r="D21" s="15" t="s">
        <v>178</v>
      </c>
      <c r="E21" s="15" t="s">
        <v>1937</v>
      </c>
      <c r="F21" s="15" t="s">
        <v>1939</v>
      </c>
      <c r="G21" s="15" t="s">
        <v>1936</v>
      </c>
      <c r="H21" s="15" t="s">
        <v>1940</v>
      </c>
      <c r="I21" s="49" t="s">
        <v>172</v>
      </c>
      <c r="J21" s="17">
        <v>3.8</v>
      </c>
      <c r="K21" s="47" t="s">
        <v>454</v>
      </c>
      <c r="M21" s="19">
        <v>2</v>
      </c>
      <c r="N21" s="47" t="s">
        <v>454</v>
      </c>
      <c r="O21" s="44" t="s">
        <v>172</v>
      </c>
      <c r="P21" s="23">
        <f>IF(I21="","",IFERROR(INDEX(Jobs!$H$5:$H$604,MATCH(I21,Jobs!$A$5:$A$604,0)),""))</f>
        <v>0</v>
      </c>
      <c r="Q21" s="34">
        <f>IF(B21="","",IF(J21="",0,J21)*IF(K21="Yes",2,1))</f>
        <v>0</v>
      </c>
      <c r="R21" s="21">
        <f>IF(B21="","",IF(L21&lt;&gt;"",L21,MileageRate))</f>
        <v>0</v>
      </c>
      <c r="S21" s="21">
        <f>IF(B21="","",ROUND(Q21*R21+IF(M21="",0,M21),2))</f>
        <v>0</v>
      </c>
      <c r="T21" s="39">
        <f>IF(B21="","",IF(J21="","Add - how far?",IF(D21="","Add - who drove?",IF(N21="No","Due - not claimed yet",IF(Q21&gt;200,"Check - a long day","OK")))))</f>
        <v>0</v>
      </c>
    </row>
    <row r="22" spans="1:20">
      <c r="A22" s="43">
        <f>IF(B22="","","MIL-"&amp;TEXT(ROW()-4,"0000"))</f>
        <v>0</v>
      </c>
      <c r="B22" s="46">
        <v>46307</v>
      </c>
      <c r="C22" s="23">
        <f>IF(B22="","",TEXT(B22,"yyyy-mm"))</f>
        <v>0</v>
      </c>
      <c r="D22" s="15" t="s">
        <v>584</v>
      </c>
      <c r="E22" s="15" t="s">
        <v>1937</v>
      </c>
      <c r="F22" s="15" t="s">
        <v>1553</v>
      </c>
      <c r="G22" s="15" t="s">
        <v>1936</v>
      </c>
      <c r="H22" s="15" t="s">
        <v>1941</v>
      </c>
      <c r="I22" s="49" t="s">
        <v>172</v>
      </c>
      <c r="J22" s="17">
        <v>14.6</v>
      </c>
      <c r="K22" s="47" t="s">
        <v>454</v>
      </c>
      <c r="N22" s="47" t="s">
        <v>454</v>
      </c>
      <c r="O22" s="44" t="s">
        <v>1942</v>
      </c>
      <c r="P22" s="23">
        <f>IF(I22="","",IFERROR(INDEX(Jobs!$H$5:$H$604,MATCH(I22,Jobs!$A$5:$A$604,0)),""))</f>
        <v>0</v>
      </c>
      <c r="Q22" s="34">
        <f>IF(B22="","",IF(J22="",0,J22)*IF(K22="Yes",2,1))</f>
        <v>0</v>
      </c>
      <c r="R22" s="21">
        <f>IF(B22="","",IF(L22&lt;&gt;"",L22,MileageRate))</f>
        <v>0</v>
      </c>
      <c r="S22" s="21">
        <f>IF(B22="","",ROUND(Q22*R22+IF(M22="",0,M22),2))</f>
        <v>0</v>
      </c>
      <c r="T22" s="39">
        <f>IF(B22="","",IF(J22="","Add - how far?",IF(D22="","Add - who drove?",IF(N22="No","Due - not claimed yet",IF(Q22&gt;200,"Check - a long day","OK")))))</f>
        <v>0</v>
      </c>
    </row>
    <row r="23" spans="1:20">
      <c r="A23" s="43">
        <f>IF(B23="","","MIL-"&amp;TEXT(ROW()-4,"0000"))</f>
        <v>0</v>
      </c>
      <c r="C23" s="23">
        <f>IF(B23="","",TEXT(B23,"yyyy-mm"))</f>
        <v>0</v>
      </c>
      <c r="P23" s="23">
        <f>IF(I23="","",IFERROR(INDEX(Jobs!$H$5:$H$604,MATCH(I23,Jobs!$A$5:$A$604,0)),""))</f>
        <v>0</v>
      </c>
      <c r="Q23" s="34">
        <f>IF(B23="","",IF(J23="",0,J23)*IF(K23="Yes",2,1))</f>
        <v>0</v>
      </c>
      <c r="R23" s="21">
        <f>IF(B23="","",IF(L23&lt;&gt;"",L23,MileageRate))</f>
        <v>0</v>
      </c>
      <c r="S23" s="21">
        <f>IF(B23="","",ROUND(Q23*R23+IF(M23="",0,M23),2))</f>
        <v>0</v>
      </c>
      <c r="T23" s="39">
        <f>IF(B23="","",IF(J23="","Add - how far?",IF(D23="","Add - who drove?",IF(N23="No","Due - not claimed yet",IF(Q23&gt;200,"Check - a long day","OK")))))</f>
        <v>0</v>
      </c>
    </row>
    <row r="24" spans="1:20">
      <c r="A24" s="43">
        <f>IF(B24="","","MIL-"&amp;TEXT(ROW()-4,"0000"))</f>
        <v>0</v>
      </c>
      <c r="C24" s="23">
        <f>IF(B24="","",TEXT(B24,"yyyy-mm"))</f>
        <v>0</v>
      </c>
      <c r="P24" s="23">
        <f>IF(I24="","",IFERROR(INDEX(Jobs!$H$5:$H$604,MATCH(I24,Jobs!$A$5:$A$604,0)),""))</f>
        <v>0</v>
      </c>
      <c r="Q24" s="34">
        <f>IF(B24="","",IF(J24="",0,J24)*IF(K24="Yes",2,1))</f>
        <v>0</v>
      </c>
      <c r="R24" s="21">
        <f>IF(B24="","",IF(L24&lt;&gt;"",L24,MileageRate))</f>
        <v>0</v>
      </c>
      <c r="S24" s="21">
        <f>IF(B24="","",ROUND(Q24*R24+IF(M24="",0,M24),2))</f>
        <v>0</v>
      </c>
      <c r="T24" s="39">
        <f>IF(B24="","",IF(J24="","Add - how far?",IF(D24="","Add - who drove?",IF(N24="No","Due - not claimed yet",IF(Q24&gt;200,"Check - a long day","OK")))))</f>
        <v>0</v>
      </c>
    </row>
    <row r="25" spans="1:20">
      <c r="A25" s="43">
        <f>IF(B25="","","MIL-"&amp;TEXT(ROW()-4,"0000"))</f>
        <v>0</v>
      </c>
      <c r="C25" s="23">
        <f>IF(B25="","",TEXT(B25,"yyyy-mm"))</f>
        <v>0</v>
      </c>
      <c r="P25" s="23">
        <f>IF(I25="","",IFERROR(INDEX(Jobs!$H$5:$H$604,MATCH(I25,Jobs!$A$5:$A$604,0)),""))</f>
        <v>0</v>
      </c>
      <c r="Q25" s="34">
        <f>IF(B25="","",IF(J25="",0,J25)*IF(K25="Yes",2,1))</f>
        <v>0</v>
      </c>
      <c r="R25" s="21">
        <f>IF(B25="","",IF(L25&lt;&gt;"",L25,MileageRate))</f>
        <v>0</v>
      </c>
      <c r="S25" s="21">
        <f>IF(B25="","",ROUND(Q25*R25+IF(M25="",0,M25),2))</f>
        <v>0</v>
      </c>
      <c r="T25" s="39">
        <f>IF(B25="","",IF(J25="","Add - how far?",IF(D25="","Add - who drove?",IF(N25="No","Due - not claimed yet",IF(Q25&gt;200,"Check - a long day","OK")))))</f>
        <v>0</v>
      </c>
    </row>
    <row r="26" spans="1:20">
      <c r="A26" s="43">
        <f>IF(B26="","","MIL-"&amp;TEXT(ROW()-4,"0000"))</f>
        <v>0</v>
      </c>
      <c r="C26" s="23">
        <f>IF(B26="","",TEXT(B26,"yyyy-mm"))</f>
        <v>0</v>
      </c>
      <c r="P26" s="23">
        <f>IF(I26="","",IFERROR(INDEX(Jobs!$H$5:$H$604,MATCH(I26,Jobs!$A$5:$A$604,0)),""))</f>
        <v>0</v>
      </c>
      <c r="Q26" s="34">
        <f>IF(B26="","",IF(J26="",0,J26)*IF(K26="Yes",2,1))</f>
        <v>0</v>
      </c>
      <c r="R26" s="21">
        <f>IF(B26="","",IF(L26&lt;&gt;"",L26,MileageRate))</f>
        <v>0</v>
      </c>
      <c r="S26" s="21">
        <f>IF(B26="","",ROUND(Q26*R26+IF(M26="",0,M26),2))</f>
        <v>0</v>
      </c>
      <c r="T26" s="39">
        <f>IF(B26="","",IF(J26="","Add - how far?",IF(D26="","Add - who drove?",IF(N26="No","Due - not claimed yet",IF(Q26&gt;200,"Check - a long day","OK")))))</f>
        <v>0</v>
      </c>
    </row>
    <row r="27" spans="1:20">
      <c r="A27" s="43">
        <f>IF(B27="","","MIL-"&amp;TEXT(ROW()-4,"0000"))</f>
        <v>0</v>
      </c>
      <c r="C27" s="23">
        <f>IF(B27="","",TEXT(B27,"yyyy-mm"))</f>
        <v>0</v>
      </c>
      <c r="P27" s="23">
        <f>IF(I27="","",IFERROR(INDEX(Jobs!$H$5:$H$604,MATCH(I27,Jobs!$A$5:$A$604,0)),""))</f>
        <v>0</v>
      </c>
      <c r="Q27" s="34">
        <f>IF(B27="","",IF(J27="",0,J27)*IF(K27="Yes",2,1))</f>
        <v>0</v>
      </c>
      <c r="R27" s="21">
        <f>IF(B27="","",IF(L27&lt;&gt;"",L27,MileageRate))</f>
        <v>0</v>
      </c>
      <c r="S27" s="21">
        <f>IF(B27="","",ROUND(Q27*R27+IF(M27="",0,M27),2))</f>
        <v>0</v>
      </c>
      <c r="T27" s="39">
        <f>IF(B27="","",IF(J27="","Add - how far?",IF(D27="","Add - who drove?",IF(N27="No","Due - not claimed yet",IF(Q27&gt;200,"Check - a long day","OK")))))</f>
        <v>0</v>
      </c>
    </row>
    <row r="28" spans="1:20">
      <c r="A28" s="43">
        <f>IF(B28="","","MIL-"&amp;TEXT(ROW()-4,"0000"))</f>
        <v>0</v>
      </c>
      <c r="C28" s="23">
        <f>IF(B28="","",TEXT(B28,"yyyy-mm"))</f>
        <v>0</v>
      </c>
      <c r="P28" s="23">
        <f>IF(I28="","",IFERROR(INDEX(Jobs!$H$5:$H$604,MATCH(I28,Jobs!$A$5:$A$604,0)),""))</f>
        <v>0</v>
      </c>
      <c r="Q28" s="34">
        <f>IF(B28="","",IF(J28="",0,J28)*IF(K28="Yes",2,1))</f>
        <v>0</v>
      </c>
      <c r="R28" s="21">
        <f>IF(B28="","",IF(L28&lt;&gt;"",L28,MileageRate))</f>
        <v>0</v>
      </c>
      <c r="S28" s="21">
        <f>IF(B28="","",ROUND(Q28*R28+IF(M28="",0,M28),2))</f>
        <v>0</v>
      </c>
      <c r="T28" s="39">
        <f>IF(B28="","",IF(J28="","Add - how far?",IF(D28="","Add - who drove?",IF(N28="No","Due - not claimed yet",IF(Q28&gt;200,"Check - a long day","OK")))))</f>
        <v>0</v>
      </c>
    </row>
    <row r="29" spans="1:20">
      <c r="A29" s="43">
        <f>IF(B29="","","MIL-"&amp;TEXT(ROW()-4,"0000"))</f>
        <v>0</v>
      </c>
      <c r="C29" s="23">
        <f>IF(B29="","",TEXT(B29,"yyyy-mm"))</f>
        <v>0</v>
      </c>
      <c r="P29" s="23">
        <f>IF(I29="","",IFERROR(INDEX(Jobs!$H$5:$H$604,MATCH(I29,Jobs!$A$5:$A$604,0)),""))</f>
        <v>0</v>
      </c>
      <c r="Q29" s="34">
        <f>IF(B29="","",IF(J29="",0,J29)*IF(K29="Yes",2,1))</f>
        <v>0</v>
      </c>
      <c r="R29" s="21">
        <f>IF(B29="","",IF(L29&lt;&gt;"",L29,MileageRate))</f>
        <v>0</v>
      </c>
      <c r="S29" s="21">
        <f>IF(B29="","",ROUND(Q29*R29+IF(M29="",0,M29),2))</f>
        <v>0</v>
      </c>
      <c r="T29" s="39">
        <f>IF(B29="","",IF(J29="","Add - how far?",IF(D29="","Add - who drove?",IF(N29="No","Due - not claimed yet",IF(Q29&gt;200,"Check - a long day","OK")))))</f>
        <v>0</v>
      </c>
    </row>
    <row r="30" spans="1:20">
      <c r="A30" s="43">
        <f>IF(B30="","","MIL-"&amp;TEXT(ROW()-4,"0000"))</f>
        <v>0</v>
      </c>
      <c r="C30" s="23">
        <f>IF(B30="","",TEXT(B30,"yyyy-mm"))</f>
        <v>0</v>
      </c>
      <c r="P30" s="23">
        <f>IF(I30="","",IFERROR(INDEX(Jobs!$H$5:$H$604,MATCH(I30,Jobs!$A$5:$A$604,0)),""))</f>
        <v>0</v>
      </c>
      <c r="Q30" s="34">
        <f>IF(B30="","",IF(J30="",0,J30)*IF(K30="Yes",2,1))</f>
        <v>0</v>
      </c>
      <c r="R30" s="21">
        <f>IF(B30="","",IF(L30&lt;&gt;"",L30,MileageRate))</f>
        <v>0</v>
      </c>
      <c r="S30" s="21">
        <f>IF(B30="","",ROUND(Q30*R30+IF(M30="",0,M30),2))</f>
        <v>0</v>
      </c>
      <c r="T30" s="39">
        <f>IF(B30="","",IF(J30="","Add - how far?",IF(D30="","Add - who drove?",IF(N30="No","Due - not claimed yet",IF(Q30&gt;200,"Check - a long day","OK")))))</f>
        <v>0</v>
      </c>
    </row>
    <row r="31" spans="1:20">
      <c r="A31" s="43">
        <f>IF(B31="","","MIL-"&amp;TEXT(ROW()-4,"0000"))</f>
        <v>0</v>
      </c>
      <c r="C31" s="23">
        <f>IF(B31="","",TEXT(B31,"yyyy-mm"))</f>
        <v>0</v>
      </c>
      <c r="P31" s="23">
        <f>IF(I31="","",IFERROR(INDEX(Jobs!$H$5:$H$604,MATCH(I31,Jobs!$A$5:$A$604,0)),""))</f>
        <v>0</v>
      </c>
      <c r="Q31" s="34">
        <f>IF(B31="","",IF(J31="",0,J31)*IF(K31="Yes",2,1))</f>
        <v>0</v>
      </c>
      <c r="R31" s="21">
        <f>IF(B31="","",IF(L31&lt;&gt;"",L31,MileageRate))</f>
        <v>0</v>
      </c>
      <c r="S31" s="21">
        <f>IF(B31="","",ROUND(Q31*R31+IF(M31="",0,M31),2))</f>
        <v>0</v>
      </c>
      <c r="T31" s="39">
        <f>IF(B31="","",IF(J31="","Add - how far?",IF(D31="","Add - who drove?",IF(N31="No","Due - not claimed yet",IF(Q31&gt;200,"Check - a long day","OK")))))</f>
        <v>0</v>
      </c>
    </row>
    <row r="32" spans="1:20">
      <c r="A32" s="43">
        <f>IF(B32="","","MIL-"&amp;TEXT(ROW()-4,"0000"))</f>
        <v>0</v>
      </c>
      <c r="C32" s="23">
        <f>IF(B32="","",TEXT(B32,"yyyy-mm"))</f>
        <v>0</v>
      </c>
      <c r="P32" s="23">
        <f>IF(I32="","",IFERROR(INDEX(Jobs!$H$5:$H$604,MATCH(I32,Jobs!$A$5:$A$604,0)),""))</f>
        <v>0</v>
      </c>
      <c r="Q32" s="34">
        <f>IF(B32="","",IF(J32="",0,J32)*IF(K32="Yes",2,1))</f>
        <v>0</v>
      </c>
      <c r="R32" s="21">
        <f>IF(B32="","",IF(L32&lt;&gt;"",L32,MileageRate))</f>
        <v>0</v>
      </c>
      <c r="S32" s="21">
        <f>IF(B32="","",ROUND(Q32*R32+IF(M32="",0,M32),2))</f>
        <v>0</v>
      </c>
      <c r="T32" s="39">
        <f>IF(B32="","",IF(J32="","Add - how far?",IF(D32="","Add - who drove?",IF(N32="No","Due - not claimed yet",IF(Q32&gt;200,"Check - a long day","OK")))))</f>
        <v>0</v>
      </c>
    </row>
    <row r="33" spans="1:20">
      <c r="A33" s="43">
        <f>IF(B33="","","MIL-"&amp;TEXT(ROW()-4,"0000"))</f>
        <v>0</v>
      </c>
      <c r="C33" s="23">
        <f>IF(B33="","",TEXT(B33,"yyyy-mm"))</f>
        <v>0</v>
      </c>
      <c r="P33" s="23">
        <f>IF(I33="","",IFERROR(INDEX(Jobs!$H$5:$H$604,MATCH(I33,Jobs!$A$5:$A$604,0)),""))</f>
        <v>0</v>
      </c>
      <c r="Q33" s="34">
        <f>IF(B33="","",IF(J33="",0,J33)*IF(K33="Yes",2,1))</f>
        <v>0</v>
      </c>
      <c r="R33" s="21">
        <f>IF(B33="","",IF(L33&lt;&gt;"",L33,MileageRate))</f>
        <v>0</v>
      </c>
      <c r="S33" s="21">
        <f>IF(B33="","",ROUND(Q33*R33+IF(M33="",0,M33),2))</f>
        <v>0</v>
      </c>
      <c r="T33" s="39">
        <f>IF(B33="","",IF(J33="","Add - how far?",IF(D33="","Add - who drove?",IF(N33="No","Due - not claimed yet",IF(Q33&gt;200,"Check - a long day","OK")))))</f>
        <v>0</v>
      </c>
    </row>
    <row r="34" spans="1:20">
      <c r="A34" s="43">
        <f>IF(B34="","","MIL-"&amp;TEXT(ROW()-4,"0000"))</f>
        <v>0</v>
      </c>
      <c r="C34" s="23">
        <f>IF(B34="","",TEXT(B34,"yyyy-mm"))</f>
        <v>0</v>
      </c>
      <c r="P34" s="23">
        <f>IF(I34="","",IFERROR(INDEX(Jobs!$H$5:$H$604,MATCH(I34,Jobs!$A$5:$A$604,0)),""))</f>
        <v>0</v>
      </c>
      <c r="Q34" s="34">
        <f>IF(B34="","",IF(J34="",0,J34)*IF(K34="Yes",2,1))</f>
        <v>0</v>
      </c>
      <c r="R34" s="21">
        <f>IF(B34="","",IF(L34&lt;&gt;"",L34,MileageRate))</f>
        <v>0</v>
      </c>
      <c r="S34" s="21">
        <f>IF(B34="","",ROUND(Q34*R34+IF(M34="",0,M34),2))</f>
        <v>0</v>
      </c>
      <c r="T34" s="39">
        <f>IF(B34="","",IF(J34="","Add - how far?",IF(D34="","Add - who drove?",IF(N34="No","Due - not claimed yet",IF(Q34&gt;200,"Check - a long day","OK")))))</f>
        <v>0</v>
      </c>
    </row>
    <row r="35" spans="1:20">
      <c r="A35" s="43">
        <f>IF(B35="","","MIL-"&amp;TEXT(ROW()-4,"0000"))</f>
        <v>0</v>
      </c>
      <c r="C35" s="23">
        <f>IF(B35="","",TEXT(B35,"yyyy-mm"))</f>
        <v>0</v>
      </c>
      <c r="P35" s="23">
        <f>IF(I35="","",IFERROR(INDEX(Jobs!$H$5:$H$604,MATCH(I35,Jobs!$A$5:$A$604,0)),""))</f>
        <v>0</v>
      </c>
      <c r="Q35" s="34">
        <f>IF(B35="","",IF(J35="",0,J35)*IF(K35="Yes",2,1))</f>
        <v>0</v>
      </c>
      <c r="R35" s="21">
        <f>IF(B35="","",IF(L35&lt;&gt;"",L35,MileageRate))</f>
        <v>0</v>
      </c>
      <c r="S35" s="21">
        <f>IF(B35="","",ROUND(Q35*R35+IF(M35="",0,M35),2))</f>
        <v>0</v>
      </c>
      <c r="T35" s="39">
        <f>IF(B35="","",IF(J35="","Add - how far?",IF(D35="","Add - who drove?",IF(N35="No","Due - not claimed yet",IF(Q35&gt;200,"Check - a long day","OK")))))</f>
        <v>0</v>
      </c>
    </row>
    <row r="36" spans="1:20">
      <c r="A36" s="43">
        <f>IF(B36="","","MIL-"&amp;TEXT(ROW()-4,"0000"))</f>
        <v>0</v>
      </c>
      <c r="C36" s="23">
        <f>IF(B36="","",TEXT(B36,"yyyy-mm"))</f>
        <v>0</v>
      </c>
      <c r="P36" s="23">
        <f>IF(I36="","",IFERROR(INDEX(Jobs!$H$5:$H$604,MATCH(I36,Jobs!$A$5:$A$604,0)),""))</f>
        <v>0</v>
      </c>
      <c r="Q36" s="34">
        <f>IF(B36="","",IF(J36="",0,J36)*IF(K36="Yes",2,1))</f>
        <v>0</v>
      </c>
      <c r="R36" s="21">
        <f>IF(B36="","",IF(L36&lt;&gt;"",L36,MileageRate))</f>
        <v>0</v>
      </c>
      <c r="S36" s="21">
        <f>IF(B36="","",ROUND(Q36*R36+IF(M36="",0,M36),2))</f>
        <v>0</v>
      </c>
      <c r="T36" s="39">
        <f>IF(B36="","",IF(J36="","Add - how far?",IF(D36="","Add - who drove?",IF(N36="No","Due - not claimed yet",IF(Q36&gt;200,"Check - a long day","OK")))))</f>
        <v>0</v>
      </c>
    </row>
    <row r="37" spans="1:20">
      <c r="A37" s="43">
        <f>IF(B37="","","MIL-"&amp;TEXT(ROW()-4,"0000"))</f>
        <v>0</v>
      </c>
      <c r="C37" s="23">
        <f>IF(B37="","",TEXT(B37,"yyyy-mm"))</f>
        <v>0</v>
      </c>
      <c r="P37" s="23">
        <f>IF(I37="","",IFERROR(INDEX(Jobs!$H$5:$H$604,MATCH(I37,Jobs!$A$5:$A$604,0)),""))</f>
        <v>0</v>
      </c>
      <c r="Q37" s="34">
        <f>IF(B37="","",IF(J37="",0,J37)*IF(K37="Yes",2,1))</f>
        <v>0</v>
      </c>
      <c r="R37" s="21">
        <f>IF(B37="","",IF(L37&lt;&gt;"",L37,MileageRate))</f>
        <v>0</v>
      </c>
      <c r="S37" s="21">
        <f>IF(B37="","",ROUND(Q37*R37+IF(M37="",0,M37),2))</f>
        <v>0</v>
      </c>
      <c r="T37" s="39">
        <f>IF(B37="","",IF(J37="","Add - how far?",IF(D37="","Add - who drove?",IF(N37="No","Due - not claimed yet",IF(Q37&gt;200,"Check - a long day","OK")))))</f>
        <v>0</v>
      </c>
    </row>
    <row r="38" spans="1:20">
      <c r="A38" s="43">
        <f>IF(B38="","","MIL-"&amp;TEXT(ROW()-4,"0000"))</f>
        <v>0</v>
      </c>
      <c r="C38" s="23">
        <f>IF(B38="","",TEXT(B38,"yyyy-mm"))</f>
        <v>0</v>
      </c>
      <c r="P38" s="23">
        <f>IF(I38="","",IFERROR(INDEX(Jobs!$H$5:$H$604,MATCH(I38,Jobs!$A$5:$A$604,0)),""))</f>
        <v>0</v>
      </c>
      <c r="Q38" s="34">
        <f>IF(B38="","",IF(J38="",0,J38)*IF(K38="Yes",2,1))</f>
        <v>0</v>
      </c>
      <c r="R38" s="21">
        <f>IF(B38="","",IF(L38&lt;&gt;"",L38,MileageRate))</f>
        <v>0</v>
      </c>
      <c r="S38" s="21">
        <f>IF(B38="","",ROUND(Q38*R38+IF(M38="",0,M38),2))</f>
        <v>0</v>
      </c>
      <c r="T38" s="39">
        <f>IF(B38="","",IF(J38="","Add - how far?",IF(D38="","Add - who drove?",IF(N38="No","Due - not claimed yet",IF(Q38&gt;200,"Check - a long day","OK")))))</f>
        <v>0</v>
      </c>
    </row>
    <row r="39" spans="1:20">
      <c r="A39" s="43">
        <f>IF(B39="","","MIL-"&amp;TEXT(ROW()-4,"0000"))</f>
        <v>0</v>
      </c>
      <c r="C39" s="23">
        <f>IF(B39="","",TEXT(B39,"yyyy-mm"))</f>
        <v>0</v>
      </c>
      <c r="P39" s="23">
        <f>IF(I39="","",IFERROR(INDEX(Jobs!$H$5:$H$604,MATCH(I39,Jobs!$A$5:$A$604,0)),""))</f>
        <v>0</v>
      </c>
      <c r="Q39" s="34">
        <f>IF(B39="","",IF(J39="",0,J39)*IF(K39="Yes",2,1))</f>
        <v>0</v>
      </c>
      <c r="R39" s="21">
        <f>IF(B39="","",IF(L39&lt;&gt;"",L39,MileageRate))</f>
        <v>0</v>
      </c>
      <c r="S39" s="21">
        <f>IF(B39="","",ROUND(Q39*R39+IF(M39="",0,M39),2))</f>
        <v>0</v>
      </c>
      <c r="T39" s="39">
        <f>IF(B39="","",IF(J39="","Add - how far?",IF(D39="","Add - who drove?",IF(N39="No","Due - not claimed yet",IF(Q39&gt;200,"Check - a long day","OK")))))</f>
        <v>0</v>
      </c>
    </row>
    <row r="40" spans="1:20">
      <c r="A40" s="43">
        <f>IF(B40="","","MIL-"&amp;TEXT(ROW()-4,"0000"))</f>
        <v>0</v>
      </c>
      <c r="C40" s="23">
        <f>IF(B40="","",TEXT(B40,"yyyy-mm"))</f>
        <v>0</v>
      </c>
      <c r="P40" s="23">
        <f>IF(I40="","",IFERROR(INDEX(Jobs!$H$5:$H$604,MATCH(I40,Jobs!$A$5:$A$604,0)),""))</f>
        <v>0</v>
      </c>
      <c r="Q40" s="34">
        <f>IF(B40="","",IF(J40="",0,J40)*IF(K40="Yes",2,1))</f>
        <v>0</v>
      </c>
      <c r="R40" s="21">
        <f>IF(B40="","",IF(L40&lt;&gt;"",L40,MileageRate))</f>
        <v>0</v>
      </c>
      <c r="S40" s="21">
        <f>IF(B40="","",ROUND(Q40*R40+IF(M40="",0,M40),2))</f>
        <v>0</v>
      </c>
      <c r="T40" s="39">
        <f>IF(B40="","",IF(J40="","Add - how far?",IF(D40="","Add - who drove?",IF(N40="No","Due - not claimed yet",IF(Q40&gt;200,"Check - a long day","OK")))))</f>
        <v>0</v>
      </c>
    </row>
    <row r="41" spans="1:20">
      <c r="A41" s="43">
        <f>IF(B41="","","MIL-"&amp;TEXT(ROW()-4,"0000"))</f>
        <v>0</v>
      </c>
      <c r="C41" s="23">
        <f>IF(B41="","",TEXT(B41,"yyyy-mm"))</f>
        <v>0</v>
      </c>
      <c r="P41" s="23">
        <f>IF(I41="","",IFERROR(INDEX(Jobs!$H$5:$H$604,MATCH(I41,Jobs!$A$5:$A$604,0)),""))</f>
        <v>0</v>
      </c>
      <c r="Q41" s="34">
        <f>IF(B41="","",IF(J41="",0,J41)*IF(K41="Yes",2,1))</f>
        <v>0</v>
      </c>
      <c r="R41" s="21">
        <f>IF(B41="","",IF(L41&lt;&gt;"",L41,MileageRate))</f>
        <v>0</v>
      </c>
      <c r="S41" s="21">
        <f>IF(B41="","",ROUND(Q41*R41+IF(M41="",0,M41),2))</f>
        <v>0</v>
      </c>
      <c r="T41" s="39">
        <f>IF(B41="","",IF(J41="","Add - how far?",IF(D41="","Add - who drove?",IF(N41="No","Due - not claimed yet",IF(Q41&gt;200,"Check - a long day","OK")))))</f>
        <v>0</v>
      </c>
    </row>
    <row r="42" spans="1:20">
      <c r="A42" s="43">
        <f>IF(B42="","","MIL-"&amp;TEXT(ROW()-4,"0000"))</f>
        <v>0</v>
      </c>
      <c r="C42" s="23">
        <f>IF(B42="","",TEXT(B42,"yyyy-mm"))</f>
        <v>0</v>
      </c>
      <c r="P42" s="23">
        <f>IF(I42="","",IFERROR(INDEX(Jobs!$H$5:$H$604,MATCH(I42,Jobs!$A$5:$A$604,0)),""))</f>
        <v>0</v>
      </c>
      <c r="Q42" s="34">
        <f>IF(B42="","",IF(J42="",0,J42)*IF(K42="Yes",2,1))</f>
        <v>0</v>
      </c>
      <c r="R42" s="21">
        <f>IF(B42="","",IF(L42&lt;&gt;"",L42,MileageRate))</f>
        <v>0</v>
      </c>
      <c r="S42" s="21">
        <f>IF(B42="","",ROUND(Q42*R42+IF(M42="",0,M42),2))</f>
        <v>0</v>
      </c>
      <c r="T42" s="39">
        <f>IF(B42="","",IF(J42="","Add - how far?",IF(D42="","Add - who drove?",IF(N42="No","Due - not claimed yet",IF(Q42&gt;200,"Check - a long day","OK")))))</f>
        <v>0</v>
      </c>
    </row>
    <row r="43" spans="1:20">
      <c r="A43" s="43">
        <f>IF(B43="","","MIL-"&amp;TEXT(ROW()-4,"0000"))</f>
        <v>0</v>
      </c>
      <c r="C43" s="23">
        <f>IF(B43="","",TEXT(B43,"yyyy-mm"))</f>
        <v>0</v>
      </c>
      <c r="P43" s="23">
        <f>IF(I43="","",IFERROR(INDEX(Jobs!$H$5:$H$604,MATCH(I43,Jobs!$A$5:$A$604,0)),""))</f>
        <v>0</v>
      </c>
      <c r="Q43" s="34">
        <f>IF(B43="","",IF(J43="",0,J43)*IF(K43="Yes",2,1))</f>
        <v>0</v>
      </c>
      <c r="R43" s="21">
        <f>IF(B43="","",IF(L43&lt;&gt;"",L43,MileageRate))</f>
        <v>0</v>
      </c>
      <c r="S43" s="21">
        <f>IF(B43="","",ROUND(Q43*R43+IF(M43="",0,M43),2))</f>
        <v>0</v>
      </c>
      <c r="T43" s="39">
        <f>IF(B43="","",IF(J43="","Add - how far?",IF(D43="","Add - who drove?",IF(N43="No","Due - not claimed yet",IF(Q43&gt;200,"Check - a long day","OK")))))</f>
        <v>0</v>
      </c>
    </row>
    <row r="44" spans="1:20">
      <c r="A44" s="43">
        <f>IF(B44="","","MIL-"&amp;TEXT(ROW()-4,"0000"))</f>
        <v>0</v>
      </c>
      <c r="C44" s="23">
        <f>IF(B44="","",TEXT(B44,"yyyy-mm"))</f>
        <v>0</v>
      </c>
      <c r="P44" s="23">
        <f>IF(I44="","",IFERROR(INDEX(Jobs!$H$5:$H$604,MATCH(I44,Jobs!$A$5:$A$604,0)),""))</f>
        <v>0</v>
      </c>
      <c r="Q44" s="34">
        <f>IF(B44="","",IF(J44="",0,J44)*IF(K44="Yes",2,1))</f>
        <v>0</v>
      </c>
      <c r="R44" s="21">
        <f>IF(B44="","",IF(L44&lt;&gt;"",L44,MileageRate))</f>
        <v>0</v>
      </c>
      <c r="S44" s="21">
        <f>IF(B44="","",ROUND(Q44*R44+IF(M44="",0,M44),2))</f>
        <v>0</v>
      </c>
      <c r="T44" s="39">
        <f>IF(B44="","",IF(J44="","Add - how far?",IF(D44="","Add - who drove?",IF(N44="No","Due - not claimed yet",IF(Q44&gt;200,"Check - a long day","OK")))))</f>
        <v>0</v>
      </c>
    </row>
    <row r="45" spans="1:20">
      <c r="A45" s="43">
        <f>IF(B45="","","MIL-"&amp;TEXT(ROW()-4,"0000"))</f>
        <v>0</v>
      </c>
      <c r="C45" s="23">
        <f>IF(B45="","",TEXT(B45,"yyyy-mm"))</f>
        <v>0</v>
      </c>
      <c r="P45" s="23">
        <f>IF(I45="","",IFERROR(INDEX(Jobs!$H$5:$H$604,MATCH(I45,Jobs!$A$5:$A$604,0)),""))</f>
        <v>0</v>
      </c>
      <c r="Q45" s="34">
        <f>IF(B45="","",IF(J45="",0,J45)*IF(K45="Yes",2,1))</f>
        <v>0</v>
      </c>
      <c r="R45" s="21">
        <f>IF(B45="","",IF(L45&lt;&gt;"",L45,MileageRate))</f>
        <v>0</v>
      </c>
      <c r="S45" s="21">
        <f>IF(B45="","",ROUND(Q45*R45+IF(M45="",0,M45),2))</f>
        <v>0</v>
      </c>
      <c r="T45" s="39">
        <f>IF(B45="","",IF(J45="","Add - how far?",IF(D45="","Add - who drove?",IF(N45="No","Due - not claimed yet",IF(Q45&gt;200,"Check - a long day","OK")))))</f>
        <v>0</v>
      </c>
    </row>
    <row r="46" spans="1:20">
      <c r="A46" s="43">
        <f>IF(B46="","","MIL-"&amp;TEXT(ROW()-4,"0000"))</f>
        <v>0</v>
      </c>
      <c r="C46" s="23">
        <f>IF(B46="","",TEXT(B46,"yyyy-mm"))</f>
        <v>0</v>
      </c>
      <c r="P46" s="23">
        <f>IF(I46="","",IFERROR(INDEX(Jobs!$H$5:$H$604,MATCH(I46,Jobs!$A$5:$A$604,0)),""))</f>
        <v>0</v>
      </c>
      <c r="Q46" s="34">
        <f>IF(B46="","",IF(J46="",0,J46)*IF(K46="Yes",2,1))</f>
        <v>0</v>
      </c>
      <c r="R46" s="21">
        <f>IF(B46="","",IF(L46&lt;&gt;"",L46,MileageRate))</f>
        <v>0</v>
      </c>
      <c r="S46" s="21">
        <f>IF(B46="","",ROUND(Q46*R46+IF(M46="",0,M46),2))</f>
        <v>0</v>
      </c>
      <c r="T46" s="39">
        <f>IF(B46="","",IF(J46="","Add - how far?",IF(D46="","Add - who drove?",IF(N46="No","Due - not claimed yet",IF(Q46&gt;200,"Check - a long day","OK")))))</f>
        <v>0</v>
      </c>
    </row>
    <row r="47" spans="1:20">
      <c r="A47" s="43">
        <f>IF(B47="","","MIL-"&amp;TEXT(ROW()-4,"0000"))</f>
        <v>0</v>
      </c>
      <c r="C47" s="23">
        <f>IF(B47="","",TEXT(B47,"yyyy-mm"))</f>
        <v>0</v>
      </c>
      <c r="P47" s="23">
        <f>IF(I47="","",IFERROR(INDEX(Jobs!$H$5:$H$604,MATCH(I47,Jobs!$A$5:$A$604,0)),""))</f>
        <v>0</v>
      </c>
      <c r="Q47" s="34">
        <f>IF(B47="","",IF(J47="",0,J47)*IF(K47="Yes",2,1))</f>
        <v>0</v>
      </c>
      <c r="R47" s="21">
        <f>IF(B47="","",IF(L47&lt;&gt;"",L47,MileageRate))</f>
        <v>0</v>
      </c>
      <c r="S47" s="21">
        <f>IF(B47="","",ROUND(Q47*R47+IF(M47="",0,M47),2))</f>
        <v>0</v>
      </c>
      <c r="T47" s="39">
        <f>IF(B47="","",IF(J47="","Add - how far?",IF(D47="","Add - who drove?",IF(N47="No","Due - not claimed yet",IF(Q47&gt;200,"Check - a long day","OK")))))</f>
        <v>0</v>
      </c>
    </row>
    <row r="48" spans="1:20">
      <c r="A48" s="43">
        <f>IF(B48="","","MIL-"&amp;TEXT(ROW()-4,"0000"))</f>
        <v>0</v>
      </c>
      <c r="C48" s="23">
        <f>IF(B48="","",TEXT(B48,"yyyy-mm"))</f>
        <v>0</v>
      </c>
      <c r="P48" s="23">
        <f>IF(I48="","",IFERROR(INDEX(Jobs!$H$5:$H$604,MATCH(I48,Jobs!$A$5:$A$604,0)),""))</f>
        <v>0</v>
      </c>
      <c r="Q48" s="34">
        <f>IF(B48="","",IF(J48="",0,J48)*IF(K48="Yes",2,1))</f>
        <v>0</v>
      </c>
      <c r="R48" s="21">
        <f>IF(B48="","",IF(L48&lt;&gt;"",L48,MileageRate))</f>
        <v>0</v>
      </c>
      <c r="S48" s="21">
        <f>IF(B48="","",ROUND(Q48*R48+IF(M48="",0,M48),2))</f>
        <v>0</v>
      </c>
      <c r="T48" s="39">
        <f>IF(B48="","",IF(J48="","Add - how far?",IF(D48="","Add - who drove?",IF(N48="No","Due - not claimed yet",IF(Q48&gt;200,"Check - a long day","OK")))))</f>
        <v>0</v>
      </c>
    </row>
    <row r="49" spans="1:20">
      <c r="A49" s="43">
        <f>IF(B49="","","MIL-"&amp;TEXT(ROW()-4,"0000"))</f>
        <v>0</v>
      </c>
      <c r="C49" s="23">
        <f>IF(B49="","",TEXT(B49,"yyyy-mm"))</f>
        <v>0</v>
      </c>
      <c r="P49" s="23">
        <f>IF(I49="","",IFERROR(INDEX(Jobs!$H$5:$H$604,MATCH(I49,Jobs!$A$5:$A$604,0)),""))</f>
        <v>0</v>
      </c>
      <c r="Q49" s="34">
        <f>IF(B49="","",IF(J49="",0,J49)*IF(K49="Yes",2,1))</f>
        <v>0</v>
      </c>
      <c r="R49" s="21">
        <f>IF(B49="","",IF(L49&lt;&gt;"",L49,MileageRate))</f>
        <v>0</v>
      </c>
      <c r="S49" s="21">
        <f>IF(B49="","",ROUND(Q49*R49+IF(M49="",0,M49),2))</f>
        <v>0</v>
      </c>
      <c r="T49" s="39">
        <f>IF(B49="","",IF(J49="","Add - how far?",IF(D49="","Add - who drove?",IF(N49="No","Due - not claimed yet",IF(Q49&gt;200,"Check - a long day","OK")))))</f>
        <v>0</v>
      </c>
    </row>
    <row r="50" spans="1:20">
      <c r="A50" s="43">
        <f>IF(B50="","","MIL-"&amp;TEXT(ROW()-4,"0000"))</f>
        <v>0</v>
      </c>
      <c r="C50" s="23">
        <f>IF(B50="","",TEXT(B50,"yyyy-mm"))</f>
        <v>0</v>
      </c>
      <c r="P50" s="23">
        <f>IF(I50="","",IFERROR(INDEX(Jobs!$H$5:$H$604,MATCH(I50,Jobs!$A$5:$A$604,0)),""))</f>
        <v>0</v>
      </c>
      <c r="Q50" s="34">
        <f>IF(B50="","",IF(J50="",0,J50)*IF(K50="Yes",2,1))</f>
        <v>0</v>
      </c>
      <c r="R50" s="21">
        <f>IF(B50="","",IF(L50&lt;&gt;"",L50,MileageRate))</f>
        <v>0</v>
      </c>
      <c r="S50" s="21">
        <f>IF(B50="","",ROUND(Q50*R50+IF(M50="",0,M50),2))</f>
        <v>0</v>
      </c>
      <c r="T50" s="39">
        <f>IF(B50="","",IF(J50="","Add - how far?",IF(D50="","Add - who drove?",IF(N50="No","Due - not claimed yet",IF(Q50&gt;200,"Check - a long day","OK")))))</f>
        <v>0</v>
      </c>
    </row>
    <row r="51" spans="1:20">
      <c r="A51" s="43">
        <f>IF(B51="","","MIL-"&amp;TEXT(ROW()-4,"0000"))</f>
        <v>0</v>
      </c>
      <c r="C51" s="23">
        <f>IF(B51="","",TEXT(B51,"yyyy-mm"))</f>
        <v>0</v>
      </c>
      <c r="P51" s="23">
        <f>IF(I51="","",IFERROR(INDEX(Jobs!$H$5:$H$604,MATCH(I51,Jobs!$A$5:$A$604,0)),""))</f>
        <v>0</v>
      </c>
      <c r="Q51" s="34">
        <f>IF(B51="","",IF(J51="",0,J51)*IF(K51="Yes",2,1))</f>
        <v>0</v>
      </c>
      <c r="R51" s="21">
        <f>IF(B51="","",IF(L51&lt;&gt;"",L51,MileageRate))</f>
        <v>0</v>
      </c>
      <c r="S51" s="21">
        <f>IF(B51="","",ROUND(Q51*R51+IF(M51="",0,M51),2))</f>
        <v>0</v>
      </c>
      <c r="T51" s="39">
        <f>IF(B51="","",IF(J51="","Add - how far?",IF(D51="","Add - who drove?",IF(N51="No","Due - not claimed yet",IF(Q51&gt;200,"Check - a long day","OK")))))</f>
        <v>0</v>
      </c>
    </row>
    <row r="52" spans="1:20">
      <c r="A52" s="43">
        <f>IF(B52="","","MIL-"&amp;TEXT(ROW()-4,"0000"))</f>
        <v>0</v>
      </c>
      <c r="C52" s="23">
        <f>IF(B52="","",TEXT(B52,"yyyy-mm"))</f>
        <v>0</v>
      </c>
      <c r="P52" s="23">
        <f>IF(I52="","",IFERROR(INDEX(Jobs!$H$5:$H$604,MATCH(I52,Jobs!$A$5:$A$604,0)),""))</f>
        <v>0</v>
      </c>
      <c r="Q52" s="34">
        <f>IF(B52="","",IF(J52="",0,J52)*IF(K52="Yes",2,1))</f>
        <v>0</v>
      </c>
      <c r="R52" s="21">
        <f>IF(B52="","",IF(L52&lt;&gt;"",L52,MileageRate))</f>
        <v>0</v>
      </c>
      <c r="S52" s="21">
        <f>IF(B52="","",ROUND(Q52*R52+IF(M52="",0,M52),2))</f>
        <v>0</v>
      </c>
      <c r="T52" s="39">
        <f>IF(B52="","",IF(J52="","Add - how far?",IF(D52="","Add - who drove?",IF(N52="No","Due - not claimed yet",IF(Q52&gt;200,"Check - a long day","OK")))))</f>
        <v>0</v>
      </c>
    </row>
    <row r="53" spans="1:20">
      <c r="A53" s="43">
        <f>IF(B53="","","MIL-"&amp;TEXT(ROW()-4,"0000"))</f>
        <v>0</v>
      </c>
      <c r="C53" s="23">
        <f>IF(B53="","",TEXT(B53,"yyyy-mm"))</f>
        <v>0</v>
      </c>
      <c r="P53" s="23">
        <f>IF(I53="","",IFERROR(INDEX(Jobs!$H$5:$H$604,MATCH(I53,Jobs!$A$5:$A$604,0)),""))</f>
        <v>0</v>
      </c>
      <c r="Q53" s="34">
        <f>IF(B53="","",IF(J53="",0,J53)*IF(K53="Yes",2,1))</f>
        <v>0</v>
      </c>
      <c r="R53" s="21">
        <f>IF(B53="","",IF(L53&lt;&gt;"",L53,MileageRate))</f>
        <v>0</v>
      </c>
      <c r="S53" s="21">
        <f>IF(B53="","",ROUND(Q53*R53+IF(M53="",0,M53),2))</f>
        <v>0</v>
      </c>
      <c r="T53" s="39">
        <f>IF(B53="","",IF(J53="","Add - how far?",IF(D53="","Add - who drove?",IF(N53="No","Due - not claimed yet",IF(Q53&gt;200,"Check - a long day","OK")))))</f>
        <v>0</v>
      </c>
    </row>
    <row r="54" spans="1:20">
      <c r="A54" s="43">
        <f>IF(B54="","","MIL-"&amp;TEXT(ROW()-4,"0000"))</f>
        <v>0</v>
      </c>
      <c r="C54" s="23">
        <f>IF(B54="","",TEXT(B54,"yyyy-mm"))</f>
        <v>0</v>
      </c>
      <c r="P54" s="23">
        <f>IF(I54="","",IFERROR(INDEX(Jobs!$H$5:$H$604,MATCH(I54,Jobs!$A$5:$A$604,0)),""))</f>
        <v>0</v>
      </c>
      <c r="Q54" s="34">
        <f>IF(B54="","",IF(J54="",0,J54)*IF(K54="Yes",2,1))</f>
        <v>0</v>
      </c>
      <c r="R54" s="21">
        <f>IF(B54="","",IF(L54&lt;&gt;"",L54,MileageRate))</f>
        <v>0</v>
      </c>
      <c r="S54" s="21">
        <f>IF(B54="","",ROUND(Q54*R54+IF(M54="",0,M54),2))</f>
        <v>0</v>
      </c>
      <c r="T54" s="39">
        <f>IF(B54="","",IF(J54="","Add - how far?",IF(D54="","Add - who drove?",IF(N54="No","Due - not claimed yet",IF(Q54&gt;200,"Check - a long day","OK")))))</f>
        <v>0</v>
      </c>
    </row>
    <row r="55" spans="1:20">
      <c r="A55" s="43">
        <f>IF(B55="","","MIL-"&amp;TEXT(ROW()-4,"0000"))</f>
        <v>0</v>
      </c>
      <c r="C55" s="23">
        <f>IF(B55="","",TEXT(B55,"yyyy-mm"))</f>
        <v>0</v>
      </c>
      <c r="P55" s="23">
        <f>IF(I55="","",IFERROR(INDEX(Jobs!$H$5:$H$604,MATCH(I55,Jobs!$A$5:$A$604,0)),""))</f>
        <v>0</v>
      </c>
      <c r="Q55" s="34">
        <f>IF(B55="","",IF(J55="",0,J55)*IF(K55="Yes",2,1))</f>
        <v>0</v>
      </c>
      <c r="R55" s="21">
        <f>IF(B55="","",IF(L55&lt;&gt;"",L55,MileageRate))</f>
        <v>0</v>
      </c>
      <c r="S55" s="21">
        <f>IF(B55="","",ROUND(Q55*R55+IF(M55="",0,M55),2))</f>
        <v>0</v>
      </c>
      <c r="T55" s="39">
        <f>IF(B55="","",IF(J55="","Add - how far?",IF(D55="","Add - who drove?",IF(N55="No","Due - not claimed yet",IF(Q55&gt;200,"Check - a long day","OK")))))</f>
        <v>0</v>
      </c>
    </row>
    <row r="56" spans="1:20">
      <c r="A56" s="43">
        <f>IF(B56="","","MIL-"&amp;TEXT(ROW()-4,"0000"))</f>
        <v>0</v>
      </c>
      <c r="C56" s="23">
        <f>IF(B56="","",TEXT(B56,"yyyy-mm"))</f>
        <v>0</v>
      </c>
      <c r="P56" s="23">
        <f>IF(I56="","",IFERROR(INDEX(Jobs!$H$5:$H$604,MATCH(I56,Jobs!$A$5:$A$604,0)),""))</f>
        <v>0</v>
      </c>
      <c r="Q56" s="34">
        <f>IF(B56="","",IF(J56="",0,J56)*IF(K56="Yes",2,1))</f>
        <v>0</v>
      </c>
      <c r="R56" s="21">
        <f>IF(B56="","",IF(L56&lt;&gt;"",L56,MileageRate))</f>
        <v>0</v>
      </c>
      <c r="S56" s="21">
        <f>IF(B56="","",ROUND(Q56*R56+IF(M56="",0,M56),2))</f>
        <v>0</v>
      </c>
      <c r="T56" s="39">
        <f>IF(B56="","",IF(J56="","Add - how far?",IF(D56="","Add - who drove?",IF(N56="No","Due - not claimed yet",IF(Q56&gt;200,"Check - a long day","OK")))))</f>
        <v>0</v>
      </c>
    </row>
    <row r="57" spans="1:20">
      <c r="A57" s="43">
        <f>IF(B57="","","MIL-"&amp;TEXT(ROW()-4,"0000"))</f>
        <v>0</v>
      </c>
      <c r="C57" s="23">
        <f>IF(B57="","",TEXT(B57,"yyyy-mm"))</f>
        <v>0</v>
      </c>
      <c r="P57" s="23">
        <f>IF(I57="","",IFERROR(INDEX(Jobs!$H$5:$H$604,MATCH(I57,Jobs!$A$5:$A$604,0)),""))</f>
        <v>0</v>
      </c>
      <c r="Q57" s="34">
        <f>IF(B57="","",IF(J57="",0,J57)*IF(K57="Yes",2,1))</f>
        <v>0</v>
      </c>
      <c r="R57" s="21">
        <f>IF(B57="","",IF(L57&lt;&gt;"",L57,MileageRate))</f>
        <v>0</v>
      </c>
      <c r="S57" s="21">
        <f>IF(B57="","",ROUND(Q57*R57+IF(M57="",0,M57),2))</f>
        <v>0</v>
      </c>
      <c r="T57" s="39">
        <f>IF(B57="","",IF(J57="","Add - how far?",IF(D57="","Add - who drove?",IF(N57="No","Due - not claimed yet",IF(Q57&gt;200,"Check - a long day","OK")))))</f>
        <v>0</v>
      </c>
    </row>
    <row r="58" spans="1:20">
      <c r="A58" s="43">
        <f>IF(B58="","","MIL-"&amp;TEXT(ROW()-4,"0000"))</f>
        <v>0</v>
      </c>
      <c r="C58" s="23">
        <f>IF(B58="","",TEXT(B58,"yyyy-mm"))</f>
        <v>0</v>
      </c>
      <c r="P58" s="23">
        <f>IF(I58="","",IFERROR(INDEX(Jobs!$H$5:$H$604,MATCH(I58,Jobs!$A$5:$A$604,0)),""))</f>
        <v>0</v>
      </c>
      <c r="Q58" s="34">
        <f>IF(B58="","",IF(J58="",0,J58)*IF(K58="Yes",2,1))</f>
        <v>0</v>
      </c>
      <c r="R58" s="21">
        <f>IF(B58="","",IF(L58&lt;&gt;"",L58,MileageRate))</f>
        <v>0</v>
      </c>
      <c r="S58" s="21">
        <f>IF(B58="","",ROUND(Q58*R58+IF(M58="",0,M58),2))</f>
        <v>0</v>
      </c>
      <c r="T58" s="39">
        <f>IF(B58="","",IF(J58="","Add - how far?",IF(D58="","Add - who drove?",IF(N58="No","Due - not claimed yet",IF(Q58&gt;200,"Check - a long day","OK")))))</f>
        <v>0</v>
      </c>
    </row>
    <row r="59" spans="1:20">
      <c r="A59" s="43">
        <f>IF(B59="","","MIL-"&amp;TEXT(ROW()-4,"0000"))</f>
        <v>0</v>
      </c>
      <c r="C59" s="23">
        <f>IF(B59="","",TEXT(B59,"yyyy-mm"))</f>
        <v>0</v>
      </c>
      <c r="P59" s="23">
        <f>IF(I59="","",IFERROR(INDEX(Jobs!$H$5:$H$604,MATCH(I59,Jobs!$A$5:$A$604,0)),""))</f>
        <v>0</v>
      </c>
      <c r="Q59" s="34">
        <f>IF(B59="","",IF(J59="",0,J59)*IF(K59="Yes",2,1))</f>
        <v>0</v>
      </c>
      <c r="R59" s="21">
        <f>IF(B59="","",IF(L59&lt;&gt;"",L59,MileageRate))</f>
        <v>0</v>
      </c>
      <c r="S59" s="21">
        <f>IF(B59="","",ROUND(Q59*R59+IF(M59="",0,M59),2))</f>
        <v>0</v>
      </c>
      <c r="T59" s="39">
        <f>IF(B59="","",IF(J59="","Add - how far?",IF(D59="","Add - who drove?",IF(N59="No","Due - not claimed yet",IF(Q59&gt;200,"Check - a long day","OK")))))</f>
        <v>0</v>
      </c>
    </row>
    <row r="60" spans="1:20">
      <c r="A60" s="43">
        <f>IF(B60="","","MIL-"&amp;TEXT(ROW()-4,"0000"))</f>
        <v>0</v>
      </c>
      <c r="C60" s="23">
        <f>IF(B60="","",TEXT(B60,"yyyy-mm"))</f>
        <v>0</v>
      </c>
      <c r="P60" s="23">
        <f>IF(I60="","",IFERROR(INDEX(Jobs!$H$5:$H$604,MATCH(I60,Jobs!$A$5:$A$604,0)),""))</f>
        <v>0</v>
      </c>
      <c r="Q60" s="34">
        <f>IF(B60="","",IF(J60="",0,J60)*IF(K60="Yes",2,1))</f>
        <v>0</v>
      </c>
      <c r="R60" s="21">
        <f>IF(B60="","",IF(L60&lt;&gt;"",L60,MileageRate))</f>
        <v>0</v>
      </c>
      <c r="S60" s="21">
        <f>IF(B60="","",ROUND(Q60*R60+IF(M60="",0,M60),2))</f>
        <v>0</v>
      </c>
      <c r="T60" s="39">
        <f>IF(B60="","",IF(J60="","Add - how far?",IF(D60="","Add - who drove?",IF(N60="No","Due - not claimed yet",IF(Q60&gt;200,"Check - a long day","OK")))))</f>
        <v>0</v>
      </c>
    </row>
    <row r="61" spans="1:20">
      <c r="A61" s="43">
        <f>IF(B61="","","MIL-"&amp;TEXT(ROW()-4,"0000"))</f>
        <v>0</v>
      </c>
      <c r="C61" s="23">
        <f>IF(B61="","",TEXT(B61,"yyyy-mm"))</f>
        <v>0</v>
      </c>
      <c r="P61" s="23">
        <f>IF(I61="","",IFERROR(INDEX(Jobs!$H$5:$H$604,MATCH(I61,Jobs!$A$5:$A$604,0)),""))</f>
        <v>0</v>
      </c>
      <c r="Q61" s="34">
        <f>IF(B61="","",IF(J61="",0,J61)*IF(K61="Yes",2,1))</f>
        <v>0</v>
      </c>
      <c r="R61" s="21">
        <f>IF(B61="","",IF(L61&lt;&gt;"",L61,MileageRate))</f>
        <v>0</v>
      </c>
      <c r="S61" s="21">
        <f>IF(B61="","",ROUND(Q61*R61+IF(M61="",0,M61),2))</f>
        <v>0</v>
      </c>
      <c r="T61" s="39">
        <f>IF(B61="","",IF(J61="","Add - how far?",IF(D61="","Add - who drove?",IF(N61="No","Due - not claimed yet",IF(Q61&gt;200,"Check - a long day","OK")))))</f>
        <v>0</v>
      </c>
    </row>
    <row r="62" spans="1:20">
      <c r="A62" s="43">
        <f>IF(B62="","","MIL-"&amp;TEXT(ROW()-4,"0000"))</f>
        <v>0</v>
      </c>
      <c r="C62" s="23">
        <f>IF(B62="","",TEXT(B62,"yyyy-mm"))</f>
        <v>0</v>
      </c>
      <c r="P62" s="23">
        <f>IF(I62="","",IFERROR(INDEX(Jobs!$H$5:$H$604,MATCH(I62,Jobs!$A$5:$A$604,0)),""))</f>
        <v>0</v>
      </c>
      <c r="Q62" s="34">
        <f>IF(B62="","",IF(J62="",0,J62)*IF(K62="Yes",2,1))</f>
        <v>0</v>
      </c>
      <c r="R62" s="21">
        <f>IF(B62="","",IF(L62&lt;&gt;"",L62,MileageRate))</f>
        <v>0</v>
      </c>
      <c r="S62" s="21">
        <f>IF(B62="","",ROUND(Q62*R62+IF(M62="",0,M62),2))</f>
        <v>0</v>
      </c>
      <c r="T62" s="39">
        <f>IF(B62="","",IF(J62="","Add - how far?",IF(D62="","Add - who drove?",IF(N62="No","Due - not claimed yet",IF(Q62&gt;200,"Check - a long day","OK")))))</f>
        <v>0</v>
      </c>
    </row>
    <row r="63" spans="1:20">
      <c r="A63" s="43">
        <f>IF(B63="","","MIL-"&amp;TEXT(ROW()-4,"0000"))</f>
        <v>0</v>
      </c>
      <c r="C63" s="23">
        <f>IF(B63="","",TEXT(B63,"yyyy-mm"))</f>
        <v>0</v>
      </c>
      <c r="P63" s="23">
        <f>IF(I63="","",IFERROR(INDEX(Jobs!$H$5:$H$604,MATCH(I63,Jobs!$A$5:$A$604,0)),""))</f>
        <v>0</v>
      </c>
      <c r="Q63" s="34">
        <f>IF(B63="","",IF(J63="",0,J63)*IF(K63="Yes",2,1))</f>
        <v>0</v>
      </c>
      <c r="R63" s="21">
        <f>IF(B63="","",IF(L63&lt;&gt;"",L63,MileageRate))</f>
        <v>0</v>
      </c>
      <c r="S63" s="21">
        <f>IF(B63="","",ROUND(Q63*R63+IF(M63="",0,M63),2))</f>
        <v>0</v>
      </c>
      <c r="T63" s="39">
        <f>IF(B63="","",IF(J63="","Add - how far?",IF(D63="","Add - who drove?",IF(N63="No","Due - not claimed yet",IF(Q63&gt;200,"Check - a long day","OK")))))</f>
        <v>0</v>
      </c>
    </row>
    <row r="64" spans="1:20">
      <c r="A64" s="43">
        <f>IF(B64="","","MIL-"&amp;TEXT(ROW()-4,"0000"))</f>
        <v>0</v>
      </c>
      <c r="C64" s="23">
        <f>IF(B64="","",TEXT(B64,"yyyy-mm"))</f>
        <v>0</v>
      </c>
      <c r="P64" s="23">
        <f>IF(I64="","",IFERROR(INDEX(Jobs!$H$5:$H$604,MATCH(I64,Jobs!$A$5:$A$604,0)),""))</f>
        <v>0</v>
      </c>
      <c r="Q64" s="34">
        <f>IF(B64="","",IF(J64="",0,J64)*IF(K64="Yes",2,1))</f>
        <v>0</v>
      </c>
      <c r="R64" s="21">
        <f>IF(B64="","",IF(L64&lt;&gt;"",L64,MileageRate))</f>
        <v>0</v>
      </c>
      <c r="S64" s="21">
        <f>IF(B64="","",ROUND(Q64*R64+IF(M64="",0,M64),2))</f>
        <v>0</v>
      </c>
      <c r="T64" s="39">
        <f>IF(B64="","",IF(J64="","Add - how far?",IF(D64="","Add - who drove?",IF(N64="No","Due - not claimed yet",IF(Q64&gt;200,"Check - a long day","OK")))))</f>
        <v>0</v>
      </c>
    </row>
    <row r="65" spans="1:20">
      <c r="A65" s="43">
        <f>IF(B65="","","MIL-"&amp;TEXT(ROW()-4,"0000"))</f>
        <v>0</v>
      </c>
      <c r="C65" s="23">
        <f>IF(B65="","",TEXT(B65,"yyyy-mm"))</f>
        <v>0</v>
      </c>
      <c r="P65" s="23">
        <f>IF(I65="","",IFERROR(INDEX(Jobs!$H$5:$H$604,MATCH(I65,Jobs!$A$5:$A$604,0)),""))</f>
        <v>0</v>
      </c>
      <c r="Q65" s="34">
        <f>IF(B65="","",IF(J65="",0,J65)*IF(K65="Yes",2,1))</f>
        <v>0</v>
      </c>
      <c r="R65" s="21">
        <f>IF(B65="","",IF(L65&lt;&gt;"",L65,MileageRate))</f>
        <v>0</v>
      </c>
      <c r="S65" s="21">
        <f>IF(B65="","",ROUND(Q65*R65+IF(M65="",0,M65),2))</f>
        <v>0</v>
      </c>
      <c r="T65" s="39">
        <f>IF(B65="","",IF(J65="","Add - how far?",IF(D65="","Add - who drove?",IF(N65="No","Due - not claimed yet",IF(Q65&gt;200,"Check - a long day","OK")))))</f>
        <v>0</v>
      </c>
    </row>
    <row r="66" spans="1:20">
      <c r="A66" s="43">
        <f>IF(B66="","","MIL-"&amp;TEXT(ROW()-4,"0000"))</f>
        <v>0</v>
      </c>
      <c r="C66" s="23">
        <f>IF(B66="","",TEXT(B66,"yyyy-mm"))</f>
        <v>0</v>
      </c>
      <c r="P66" s="23">
        <f>IF(I66="","",IFERROR(INDEX(Jobs!$H$5:$H$604,MATCH(I66,Jobs!$A$5:$A$604,0)),""))</f>
        <v>0</v>
      </c>
      <c r="Q66" s="34">
        <f>IF(B66="","",IF(J66="",0,J66)*IF(K66="Yes",2,1))</f>
        <v>0</v>
      </c>
      <c r="R66" s="21">
        <f>IF(B66="","",IF(L66&lt;&gt;"",L66,MileageRate))</f>
        <v>0</v>
      </c>
      <c r="S66" s="21">
        <f>IF(B66="","",ROUND(Q66*R66+IF(M66="",0,M66),2))</f>
        <v>0</v>
      </c>
      <c r="T66" s="39">
        <f>IF(B66="","",IF(J66="","Add - how far?",IF(D66="","Add - who drove?",IF(N66="No","Due - not claimed yet",IF(Q66&gt;200,"Check - a long day","OK")))))</f>
        <v>0</v>
      </c>
    </row>
    <row r="67" spans="1:20">
      <c r="A67" s="43">
        <f>IF(B67="","","MIL-"&amp;TEXT(ROW()-4,"0000"))</f>
        <v>0</v>
      </c>
      <c r="C67" s="23">
        <f>IF(B67="","",TEXT(B67,"yyyy-mm"))</f>
        <v>0</v>
      </c>
      <c r="P67" s="23">
        <f>IF(I67="","",IFERROR(INDEX(Jobs!$H$5:$H$604,MATCH(I67,Jobs!$A$5:$A$604,0)),""))</f>
        <v>0</v>
      </c>
      <c r="Q67" s="34">
        <f>IF(B67="","",IF(J67="",0,J67)*IF(K67="Yes",2,1))</f>
        <v>0</v>
      </c>
      <c r="R67" s="21">
        <f>IF(B67="","",IF(L67&lt;&gt;"",L67,MileageRate))</f>
        <v>0</v>
      </c>
      <c r="S67" s="21">
        <f>IF(B67="","",ROUND(Q67*R67+IF(M67="",0,M67),2))</f>
        <v>0</v>
      </c>
      <c r="T67" s="39">
        <f>IF(B67="","",IF(J67="","Add - how far?",IF(D67="","Add - who drove?",IF(N67="No","Due - not claimed yet",IF(Q67&gt;200,"Check - a long day","OK")))))</f>
        <v>0</v>
      </c>
    </row>
    <row r="68" spans="1:20">
      <c r="A68" s="43">
        <f>IF(B68="","","MIL-"&amp;TEXT(ROW()-4,"0000"))</f>
        <v>0</v>
      </c>
      <c r="C68" s="23">
        <f>IF(B68="","",TEXT(B68,"yyyy-mm"))</f>
        <v>0</v>
      </c>
      <c r="P68" s="23">
        <f>IF(I68="","",IFERROR(INDEX(Jobs!$H$5:$H$604,MATCH(I68,Jobs!$A$5:$A$604,0)),""))</f>
        <v>0</v>
      </c>
      <c r="Q68" s="34">
        <f>IF(B68="","",IF(J68="",0,J68)*IF(K68="Yes",2,1))</f>
        <v>0</v>
      </c>
      <c r="R68" s="21">
        <f>IF(B68="","",IF(L68&lt;&gt;"",L68,MileageRate))</f>
        <v>0</v>
      </c>
      <c r="S68" s="21">
        <f>IF(B68="","",ROUND(Q68*R68+IF(M68="",0,M68),2))</f>
        <v>0</v>
      </c>
      <c r="T68" s="39">
        <f>IF(B68="","",IF(J68="","Add - how far?",IF(D68="","Add - who drove?",IF(N68="No","Due - not claimed yet",IF(Q68&gt;200,"Check - a long day","OK")))))</f>
        <v>0</v>
      </c>
    </row>
    <row r="69" spans="1:20">
      <c r="A69" s="43">
        <f>IF(B69="","","MIL-"&amp;TEXT(ROW()-4,"0000"))</f>
        <v>0</v>
      </c>
      <c r="C69" s="23">
        <f>IF(B69="","",TEXT(B69,"yyyy-mm"))</f>
        <v>0</v>
      </c>
      <c r="P69" s="23">
        <f>IF(I69="","",IFERROR(INDEX(Jobs!$H$5:$H$604,MATCH(I69,Jobs!$A$5:$A$604,0)),""))</f>
        <v>0</v>
      </c>
      <c r="Q69" s="34">
        <f>IF(B69="","",IF(J69="",0,J69)*IF(K69="Yes",2,1))</f>
        <v>0</v>
      </c>
      <c r="R69" s="21">
        <f>IF(B69="","",IF(L69&lt;&gt;"",L69,MileageRate))</f>
        <v>0</v>
      </c>
      <c r="S69" s="21">
        <f>IF(B69="","",ROUND(Q69*R69+IF(M69="",0,M69),2))</f>
        <v>0</v>
      </c>
      <c r="T69" s="39">
        <f>IF(B69="","",IF(J69="","Add - how far?",IF(D69="","Add - who drove?",IF(N69="No","Due - not claimed yet",IF(Q69&gt;200,"Check - a long day","OK")))))</f>
        <v>0</v>
      </c>
    </row>
    <row r="70" spans="1:20">
      <c r="A70" s="43">
        <f>IF(B70="","","MIL-"&amp;TEXT(ROW()-4,"0000"))</f>
        <v>0</v>
      </c>
      <c r="C70" s="23">
        <f>IF(B70="","",TEXT(B70,"yyyy-mm"))</f>
        <v>0</v>
      </c>
      <c r="P70" s="23">
        <f>IF(I70="","",IFERROR(INDEX(Jobs!$H$5:$H$604,MATCH(I70,Jobs!$A$5:$A$604,0)),""))</f>
        <v>0</v>
      </c>
      <c r="Q70" s="34">
        <f>IF(B70="","",IF(J70="",0,J70)*IF(K70="Yes",2,1))</f>
        <v>0</v>
      </c>
      <c r="R70" s="21">
        <f>IF(B70="","",IF(L70&lt;&gt;"",L70,MileageRate))</f>
        <v>0</v>
      </c>
      <c r="S70" s="21">
        <f>IF(B70="","",ROUND(Q70*R70+IF(M70="",0,M70),2))</f>
        <v>0</v>
      </c>
      <c r="T70" s="39">
        <f>IF(B70="","",IF(J70="","Add - how far?",IF(D70="","Add - who drove?",IF(N70="No","Due - not claimed yet",IF(Q70&gt;200,"Check - a long day","OK")))))</f>
        <v>0</v>
      </c>
    </row>
    <row r="71" spans="1:20">
      <c r="A71" s="43">
        <f>IF(B71="","","MIL-"&amp;TEXT(ROW()-4,"0000"))</f>
        <v>0</v>
      </c>
      <c r="C71" s="23">
        <f>IF(B71="","",TEXT(B71,"yyyy-mm"))</f>
        <v>0</v>
      </c>
      <c r="P71" s="23">
        <f>IF(I71="","",IFERROR(INDEX(Jobs!$H$5:$H$604,MATCH(I71,Jobs!$A$5:$A$604,0)),""))</f>
        <v>0</v>
      </c>
      <c r="Q71" s="34">
        <f>IF(B71="","",IF(J71="",0,J71)*IF(K71="Yes",2,1))</f>
        <v>0</v>
      </c>
      <c r="R71" s="21">
        <f>IF(B71="","",IF(L71&lt;&gt;"",L71,MileageRate))</f>
        <v>0</v>
      </c>
      <c r="S71" s="21">
        <f>IF(B71="","",ROUND(Q71*R71+IF(M71="",0,M71),2))</f>
        <v>0</v>
      </c>
      <c r="T71" s="39">
        <f>IF(B71="","",IF(J71="","Add - how far?",IF(D71="","Add - who drove?",IF(N71="No","Due - not claimed yet",IF(Q71&gt;200,"Check - a long day","OK")))))</f>
        <v>0</v>
      </c>
    </row>
    <row r="72" spans="1:20">
      <c r="A72" s="43">
        <f>IF(B72="","","MIL-"&amp;TEXT(ROW()-4,"0000"))</f>
        <v>0</v>
      </c>
      <c r="C72" s="23">
        <f>IF(B72="","",TEXT(B72,"yyyy-mm"))</f>
        <v>0</v>
      </c>
      <c r="P72" s="23">
        <f>IF(I72="","",IFERROR(INDEX(Jobs!$H$5:$H$604,MATCH(I72,Jobs!$A$5:$A$604,0)),""))</f>
        <v>0</v>
      </c>
      <c r="Q72" s="34">
        <f>IF(B72="","",IF(J72="",0,J72)*IF(K72="Yes",2,1))</f>
        <v>0</v>
      </c>
      <c r="R72" s="21">
        <f>IF(B72="","",IF(L72&lt;&gt;"",L72,MileageRate))</f>
        <v>0</v>
      </c>
      <c r="S72" s="21">
        <f>IF(B72="","",ROUND(Q72*R72+IF(M72="",0,M72),2))</f>
        <v>0</v>
      </c>
      <c r="T72" s="39">
        <f>IF(B72="","",IF(J72="","Add - how far?",IF(D72="","Add - who drove?",IF(N72="No","Due - not claimed yet",IF(Q72&gt;200,"Check - a long day","OK")))))</f>
        <v>0</v>
      </c>
    </row>
    <row r="73" spans="1:20">
      <c r="A73" s="43">
        <f>IF(B73="","","MIL-"&amp;TEXT(ROW()-4,"0000"))</f>
        <v>0</v>
      </c>
      <c r="C73" s="23">
        <f>IF(B73="","",TEXT(B73,"yyyy-mm"))</f>
        <v>0</v>
      </c>
      <c r="P73" s="23">
        <f>IF(I73="","",IFERROR(INDEX(Jobs!$H$5:$H$604,MATCH(I73,Jobs!$A$5:$A$604,0)),""))</f>
        <v>0</v>
      </c>
      <c r="Q73" s="34">
        <f>IF(B73="","",IF(J73="",0,J73)*IF(K73="Yes",2,1))</f>
        <v>0</v>
      </c>
      <c r="R73" s="21">
        <f>IF(B73="","",IF(L73&lt;&gt;"",L73,MileageRate))</f>
        <v>0</v>
      </c>
      <c r="S73" s="21">
        <f>IF(B73="","",ROUND(Q73*R73+IF(M73="",0,M73),2))</f>
        <v>0</v>
      </c>
      <c r="T73" s="39">
        <f>IF(B73="","",IF(J73="","Add - how far?",IF(D73="","Add - who drove?",IF(N73="No","Due - not claimed yet",IF(Q73&gt;200,"Check - a long day","OK")))))</f>
        <v>0</v>
      </c>
    </row>
    <row r="74" spans="1:20">
      <c r="A74" s="43">
        <f>IF(B74="","","MIL-"&amp;TEXT(ROW()-4,"0000"))</f>
        <v>0</v>
      </c>
      <c r="C74" s="23">
        <f>IF(B74="","",TEXT(B74,"yyyy-mm"))</f>
        <v>0</v>
      </c>
      <c r="P74" s="23">
        <f>IF(I74="","",IFERROR(INDEX(Jobs!$H$5:$H$604,MATCH(I74,Jobs!$A$5:$A$604,0)),""))</f>
        <v>0</v>
      </c>
      <c r="Q74" s="34">
        <f>IF(B74="","",IF(J74="",0,J74)*IF(K74="Yes",2,1))</f>
        <v>0</v>
      </c>
      <c r="R74" s="21">
        <f>IF(B74="","",IF(L74&lt;&gt;"",L74,MileageRate))</f>
        <v>0</v>
      </c>
      <c r="S74" s="21">
        <f>IF(B74="","",ROUND(Q74*R74+IF(M74="",0,M74),2))</f>
        <v>0</v>
      </c>
      <c r="T74" s="39">
        <f>IF(B74="","",IF(J74="","Add - how far?",IF(D74="","Add - who drove?",IF(N74="No","Due - not claimed yet",IF(Q74&gt;200,"Check - a long day","OK")))))</f>
        <v>0</v>
      </c>
    </row>
    <row r="75" spans="1:20">
      <c r="A75" s="43">
        <f>IF(B75="","","MIL-"&amp;TEXT(ROW()-4,"0000"))</f>
        <v>0</v>
      </c>
      <c r="C75" s="23">
        <f>IF(B75="","",TEXT(B75,"yyyy-mm"))</f>
        <v>0</v>
      </c>
      <c r="P75" s="23">
        <f>IF(I75="","",IFERROR(INDEX(Jobs!$H$5:$H$604,MATCH(I75,Jobs!$A$5:$A$604,0)),""))</f>
        <v>0</v>
      </c>
      <c r="Q75" s="34">
        <f>IF(B75="","",IF(J75="",0,J75)*IF(K75="Yes",2,1))</f>
        <v>0</v>
      </c>
      <c r="R75" s="21">
        <f>IF(B75="","",IF(L75&lt;&gt;"",L75,MileageRate))</f>
        <v>0</v>
      </c>
      <c r="S75" s="21">
        <f>IF(B75="","",ROUND(Q75*R75+IF(M75="",0,M75),2))</f>
        <v>0</v>
      </c>
      <c r="T75" s="39">
        <f>IF(B75="","",IF(J75="","Add - how far?",IF(D75="","Add - who drove?",IF(N75="No","Due - not claimed yet",IF(Q75&gt;200,"Check - a long day","OK")))))</f>
        <v>0</v>
      </c>
    </row>
    <row r="76" spans="1:20">
      <c r="A76" s="43">
        <f>IF(B76="","","MIL-"&amp;TEXT(ROW()-4,"0000"))</f>
        <v>0</v>
      </c>
      <c r="C76" s="23">
        <f>IF(B76="","",TEXT(B76,"yyyy-mm"))</f>
        <v>0</v>
      </c>
      <c r="P76" s="23">
        <f>IF(I76="","",IFERROR(INDEX(Jobs!$H$5:$H$604,MATCH(I76,Jobs!$A$5:$A$604,0)),""))</f>
        <v>0</v>
      </c>
      <c r="Q76" s="34">
        <f>IF(B76="","",IF(J76="",0,J76)*IF(K76="Yes",2,1))</f>
        <v>0</v>
      </c>
      <c r="R76" s="21">
        <f>IF(B76="","",IF(L76&lt;&gt;"",L76,MileageRate))</f>
        <v>0</v>
      </c>
      <c r="S76" s="21">
        <f>IF(B76="","",ROUND(Q76*R76+IF(M76="",0,M76),2))</f>
        <v>0</v>
      </c>
      <c r="T76" s="39">
        <f>IF(B76="","",IF(J76="","Add - how far?",IF(D76="","Add - who drove?",IF(N76="No","Due - not claimed yet",IF(Q76&gt;200,"Check - a long day","OK")))))</f>
        <v>0</v>
      </c>
    </row>
    <row r="77" spans="1:20">
      <c r="A77" s="43">
        <f>IF(B77="","","MIL-"&amp;TEXT(ROW()-4,"0000"))</f>
        <v>0</v>
      </c>
      <c r="C77" s="23">
        <f>IF(B77="","",TEXT(B77,"yyyy-mm"))</f>
        <v>0</v>
      </c>
      <c r="P77" s="23">
        <f>IF(I77="","",IFERROR(INDEX(Jobs!$H$5:$H$604,MATCH(I77,Jobs!$A$5:$A$604,0)),""))</f>
        <v>0</v>
      </c>
      <c r="Q77" s="34">
        <f>IF(B77="","",IF(J77="",0,J77)*IF(K77="Yes",2,1))</f>
        <v>0</v>
      </c>
      <c r="R77" s="21">
        <f>IF(B77="","",IF(L77&lt;&gt;"",L77,MileageRate))</f>
        <v>0</v>
      </c>
      <c r="S77" s="21">
        <f>IF(B77="","",ROUND(Q77*R77+IF(M77="",0,M77),2))</f>
        <v>0</v>
      </c>
      <c r="T77" s="39">
        <f>IF(B77="","",IF(J77="","Add - how far?",IF(D77="","Add - who drove?",IF(N77="No","Due - not claimed yet",IF(Q77&gt;200,"Check - a long day","OK")))))</f>
        <v>0</v>
      </c>
    </row>
    <row r="78" spans="1:20">
      <c r="A78" s="43">
        <f>IF(B78="","","MIL-"&amp;TEXT(ROW()-4,"0000"))</f>
        <v>0</v>
      </c>
      <c r="C78" s="23">
        <f>IF(B78="","",TEXT(B78,"yyyy-mm"))</f>
        <v>0</v>
      </c>
      <c r="P78" s="23">
        <f>IF(I78="","",IFERROR(INDEX(Jobs!$H$5:$H$604,MATCH(I78,Jobs!$A$5:$A$604,0)),""))</f>
        <v>0</v>
      </c>
      <c r="Q78" s="34">
        <f>IF(B78="","",IF(J78="",0,J78)*IF(K78="Yes",2,1))</f>
        <v>0</v>
      </c>
      <c r="R78" s="21">
        <f>IF(B78="","",IF(L78&lt;&gt;"",L78,MileageRate))</f>
        <v>0</v>
      </c>
      <c r="S78" s="21">
        <f>IF(B78="","",ROUND(Q78*R78+IF(M78="",0,M78),2))</f>
        <v>0</v>
      </c>
      <c r="T78" s="39">
        <f>IF(B78="","",IF(J78="","Add - how far?",IF(D78="","Add - who drove?",IF(N78="No","Due - not claimed yet",IF(Q78&gt;200,"Check - a long day","OK")))))</f>
        <v>0</v>
      </c>
    </row>
    <row r="79" spans="1:20">
      <c r="A79" s="43">
        <f>IF(B79="","","MIL-"&amp;TEXT(ROW()-4,"0000"))</f>
        <v>0</v>
      </c>
      <c r="C79" s="23">
        <f>IF(B79="","",TEXT(B79,"yyyy-mm"))</f>
        <v>0</v>
      </c>
      <c r="P79" s="23">
        <f>IF(I79="","",IFERROR(INDEX(Jobs!$H$5:$H$604,MATCH(I79,Jobs!$A$5:$A$604,0)),""))</f>
        <v>0</v>
      </c>
      <c r="Q79" s="34">
        <f>IF(B79="","",IF(J79="",0,J79)*IF(K79="Yes",2,1))</f>
        <v>0</v>
      </c>
      <c r="R79" s="21">
        <f>IF(B79="","",IF(L79&lt;&gt;"",L79,MileageRate))</f>
        <v>0</v>
      </c>
      <c r="S79" s="21">
        <f>IF(B79="","",ROUND(Q79*R79+IF(M79="",0,M79),2))</f>
        <v>0</v>
      </c>
      <c r="T79" s="39">
        <f>IF(B79="","",IF(J79="","Add - how far?",IF(D79="","Add - who drove?",IF(N79="No","Due - not claimed yet",IF(Q79&gt;200,"Check - a long day","OK")))))</f>
        <v>0</v>
      </c>
    </row>
    <row r="80" spans="1:20">
      <c r="A80" s="43">
        <f>IF(B80="","","MIL-"&amp;TEXT(ROW()-4,"0000"))</f>
        <v>0</v>
      </c>
      <c r="C80" s="23">
        <f>IF(B80="","",TEXT(B80,"yyyy-mm"))</f>
        <v>0</v>
      </c>
      <c r="P80" s="23">
        <f>IF(I80="","",IFERROR(INDEX(Jobs!$H$5:$H$604,MATCH(I80,Jobs!$A$5:$A$604,0)),""))</f>
        <v>0</v>
      </c>
      <c r="Q80" s="34">
        <f>IF(B80="","",IF(J80="",0,J80)*IF(K80="Yes",2,1))</f>
        <v>0</v>
      </c>
      <c r="R80" s="21">
        <f>IF(B80="","",IF(L80&lt;&gt;"",L80,MileageRate))</f>
        <v>0</v>
      </c>
      <c r="S80" s="21">
        <f>IF(B80="","",ROUND(Q80*R80+IF(M80="",0,M80),2))</f>
        <v>0</v>
      </c>
      <c r="T80" s="39">
        <f>IF(B80="","",IF(J80="","Add - how far?",IF(D80="","Add - who drove?",IF(N80="No","Due - not claimed yet",IF(Q80&gt;200,"Check - a long day","OK")))))</f>
        <v>0</v>
      </c>
    </row>
    <row r="81" spans="1:20">
      <c r="A81" s="43">
        <f>IF(B81="","","MIL-"&amp;TEXT(ROW()-4,"0000"))</f>
        <v>0</v>
      </c>
      <c r="C81" s="23">
        <f>IF(B81="","",TEXT(B81,"yyyy-mm"))</f>
        <v>0</v>
      </c>
      <c r="P81" s="23">
        <f>IF(I81="","",IFERROR(INDEX(Jobs!$H$5:$H$604,MATCH(I81,Jobs!$A$5:$A$604,0)),""))</f>
        <v>0</v>
      </c>
      <c r="Q81" s="34">
        <f>IF(B81="","",IF(J81="",0,J81)*IF(K81="Yes",2,1))</f>
        <v>0</v>
      </c>
      <c r="R81" s="21">
        <f>IF(B81="","",IF(L81&lt;&gt;"",L81,MileageRate))</f>
        <v>0</v>
      </c>
      <c r="S81" s="21">
        <f>IF(B81="","",ROUND(Q81*R81+IF(M81="",0,M81),2))</f>
        <v>0</v>
      </c>
      <c r="T81" s="39">
        <f>IF(B81="","",IF(J81="","Add - how far?",IF(D81="","Add - who drove?",IF(N81="No","Due - not claimed yet",IF(Q81&gt;200,"Check - a long day","OK")))))</f>
        <v>0</v>
      </c>
    </row>
    <row r="82" spans="1:20">
      <c r="A82" s="43">
        <f>IF(B82="","","MIL-"&amp;TEXT(ROW()-4,"0000"))</f>
        <v>0</v>
      </c>
      <c r="C82" s="23">
        <f>IF(B82="","",TEXT(B82,"yyyy-mm"))</f>
        <v>0</v>
      </c>
      <c r="P82" s="23">
        <f>IF(I82="","",IFERROR(INDEX(Jobs!$H$5:$H$604,MATCH(I82,Jobs!$A$5:$A$604,0)),""))</f>
        <v>0</v>
      </c>
      <c r="Q82" s="34">
        <f>IF(B82="","",IF(J82="",0,J82)*IF(K82="Yes",2,1))</f>
        <v>0</v>
      </c>
      <c r="R82" s="21">
        <f>IF(B82="","",IF(L82&lt;&gt;"",L82,MileageRate))</f>
        <v>0</v>
      </c>
      <c r="S82" s="21">
        <f>IF(B82="","",ROUND(Q82*R82+IF(M82="",0,M82),2))</f>
        <v>0</v>
      </c>
      <c r="T82" s="39">
        <f>IF(B82="","",IF(J82="","Add - how far?",IF(D82="","Add - who drove?",IF(N82="No","Due - not claimed yet",IF(Q82&gt;200,"Check - a long day","OK")))))</f>
        <v>0</v>
      </c>
    </row>
    <row r="83" spans="1:20">
      <c r="A83" s="43">
        <f>IF(B83="","","MIL-"&amp;TEXT(ROW()-4,"0000"))</f>
        <v>0</v>
      </c>
      <c r="C83" s="23">
        <f>IF(B83="","",TEXT(B83,"yyyy-mm"))</f>
        <v>0</v>
      </c>
      <c r="P83" s="23">
        <f>IF(I83="","",IFERROR(INDEX(Jobs!$H$5:$H$604,MATCH(I83,Jobs!$A$5:$A$604,0)),""))</f>
        <v>0</v>
      </c>
      <c r="Q83" s="34">
        <f>IF(B83="","",IF(J83="",0,J83)*IF(K83="Yes",2,1))</f>
        <v>0</v>
      </c>
      <c r="R83" s="21">
        <f>IF(B83="","",IF(L83&lt;&gt;"",L83,MileageRate))</f>
        <v>0</v>
      </c>
      <c r="S83" s="21">
        <f>IF(B83="","",ROUND(Q83*R83+IF(M83="",0,M83),2))</f>
        <v>0</v>
      </c>
      <c r="T83" s="39">
        <f>IF(B83="","",IF(J83="","Add - how far?",IF(D83="","Add - who drove?",IF(N83="No","Due - not claimed yet",IF(Q83&gt;200,"Check - a long day","OK")))))</f>
        <v>0</v>
      </c>
    </row>
    <row r="84" spans="1:20">
      <c r="A84" s="43">
        <f>IF(B84="","","MIL-"&amp;TEXT(ROW()-4,"0000"))</f>
        <v>0</v>
      </c>
      <c r="C84" s="23">
        <f>IF(B84="","",TEXT(B84,"yyyy-mm"))</f>
        <v>0</v>
      </c>
      <c r="P84" s="23">
        <f>IF(I84="","",IFERROR(INDEX(Jobs!$H$5:$H$604,MATCH(I84,Jobs!$A$5:$A$604,0)),""))</f>
        <v>0</v>
      </c>
      <c r="Q84" s="34">
        <f>IF(B84="","",IF(J84="",0,J84)*IF(K84="Yes",2,1))</f>
        <v>0</v>
      </c>
      <c r="R84" s="21">
        <f>IF(B84="","",IF(L84&lt;&gt;"",L84,MileageRate))</f>
        <v>0</v>
      </c>
      <c r="S84" s="21">
        <f>IF(B84="","",ROUND(Q84*R84+IF(M84="",0,M84),2))</f>
        <v>0</v>
      </c>
      <c r="T84" s="39">
        <f>IF(B84="","",IF(J84="","Add - how far?",IF(D84="","Add - who drove?",IF(N84="No","Due - not claimed yet",IF(Q84&gt;200,"Check - a long day","OK")))))</f>
        <v>0</v>
      </c>
    </row>
    <row r="85" spans="1:20">
      <c r="A85" s="43">
        <f>IF(B85="","","MIL-"&amp;TEXT(ROW()-4,"0000"))</f>
        <v>0</v>
      </c>
      <c r="C85" s="23">
        <f>IF(B85="","",TEXT(B85,"yyyy-mm"))</f>
        <v>0</v>
      </c>
      <c r="P85" s="23">
        <f>IF(I85="","",IFERROR(INDEX(Jobs!$H$5:$H$604,MATCH(I85,Jobs!$A$5:$A$604,0)),""))</f>
        <v>0</v>
      </c>
      <c r="Q85" s="34">
        <f>IF(B85="","",IF(J85="",0,J85)*IF(K85="Yes",2,1))</f>
        <v>0</v>
      </c>
      <c r="R85" s="21">
        <f>IF(B85="","",IF(L85&lt;&gt;"",L85,MileageRate))</f>
        <v>0</v>
      </c>
      <c r="S85" s="21">
        <f>IF(B85="","",ROUND(Q85*R85+IF(M85="",0,M85),2))</f>
        <v>0</v>
      </c>
      <c r="T85" s="39">
        <f>IF(B85="","",IF(J85="","Add - how far?",IF(D85="","Add - who drove?",IF(N85="No","Due - not claimed yet",IF(Q85&gt;200,"Check - a long day","OK")))))</f>
        <v>0</v>
      </c>
    </row>
    <row r="86" spans="1:20">
      <c r="A86" s="43">
        <f>IF(B86="","","MIL-"&amp;TEXT(ROW()-4,"0000"))</f>
        <v>0</v>
      </c>
      <c r="C86" s="23">
        <f>IF(B86="","",TEXT(B86,"yyyy-mm"))</f>
        <v>0</v>
      </c>
      <c r="P86" s="23">
        <f>IF(I86="","",IFERROR(INDEX(Jobs!$H$5:$H$604,MATCH(I86,Jobs!$A$5:$A$604,0)),""))</f>
        <v>0</v>
      </c>
      <c r="Q86" s="34">
        <f>IF(B86="","",IF(J86="",0,J86)*IF(K86="Yes",2,1))</f>
        <v>0</v>
      </c>
      <c r="R86" s="21">
        <f>IF(B86="","",IF(L86&lt;&gt;"",L86,MileageRate))</f>
        <v>0</v>
      </c>
      <c r="S86" s="21">
        <f>IF(B86="","",ROUND(Q86*R86+IF(M86="",0,M86),2))</f>
        <v>0</v>
      </c>
      <c r="T86" s="39">
        <f>IF(B86="","",IF(J86="","Add - how far?",IF(D86="","Add - who drove?",IF(N86="No","Due - not claimed yet",IF(Q86&gt;200,"Check - a long day","OK")))))</f>
        <v>0</v>
      </c>
    </row>
    <row r="87" spans="1:20">
      <c r="A87" s="43">
        <f>IF(B87="","","MIL-"&amp;TEXT(ROW()-4,"0000"))</f>
        <v>0</v>
      </c>
      <c r="C87" s="23">
        <f>IF(B87="","",TEXT(B87,"yyyy-mm"))</f>
        <v>0</v>
      </c>
      <c r="P87" s="23">
        <f>IF(I87="","",IFERROR(INDEX(Jobs!$H$5:$H$604,MATCH(I87,Jobs!$A$5:$A$604,0)),""))</f>
        <v>0</v>
      </c>
      <c r="Q87" s="34">
        <f>IF(B87="","",IF(J87="",0,J87)*IF(K87="Yes",2,1))</f>
        <v>0</v>
      </c>
      <c r="R87" s="21">
        <f>IF(B87="","",IF(L87&lt;&gt;"",L87,MileageRate))</f>
        <v>0</v>
      </c>
      <c r="S87" s="21">
        <f>IF(B87="","",ROUND(Q87*R87+IF(M87="",0,M87),2))</f>
        <v>0</v>
      </c>
      <c r="T87" s="39">
        <f>IF(B87="","",IF(J87="","Add - how far?",IF(D87="","Add - who drove?",IF(N87="No","Due - not claimed yet",IF(Q87&gt;200,"Check - a long day","OK")))))</f>
        <v>0</v>
      </c>
    </row>
    <row r="88" spans="1:20">
      <c r="A88" s="43">
        <f>IF(B88="","","MIL-"&amp;TEXT(ROW()-4,"0000"))</f>
        <v>0</v>
      </c>
      <c r="C88" s="23">
        <f>IF(B88="","",TEXT(B88,"yyyy-mm"))</f>
        <v>0</v>
      </c>
      <c r="P88" s="23">
        <f>IF(I88="","",IFERROR(INDEX(Jobs!$H$5:$H$604,MATCH(I88,Jobs!$A$5:$A$604,0)),""))</f>
        <v>0</v>
      </c>
      <c r="Q88" s="34">
        <f>IF(B88="","",IF(J88="",0,J88)*IF(K88="Yes",2,1))</f>
        <v>0</v>
      </c>
      <c r="R88" s="21">
        <f>IF(B88="","",IF(L88&lt;&gt;"",L88,MileageRate))</f>
        <v>0</v>
      </c>
      <c r="S88" s="21">
        <f>IF(B88="","",ROUND(Q88*R88+IF(M88="",0,M88),2))</f>
        <v>0</v>
      </c>
      <c r="T88" s="39">
        <f>IF(B88="","",IF(J88="","Add - how far?",IF(D88="","Add - who drove?",IF(N88="No","Due - not claimed yet",IF(Q88&gt;200,"Check - a long day","OK")))))</f>
        <v>0</v>
      </c>
    </row>
    <row r="89" spans="1:20">
      <c r="A89" s="43">
        <f>IF(B89="","","MIL-"&amp;TEXT(ROW()-4,"0000"))</f>
        <v>0</v>
      </c>
      <c r="C89" s="23">
        <f>IF(B89="","",TEXT(B89,"yyyy-mm"))</f>
        <v>0</v>
      </c>
      <c r="P89" s="23">
        <f>IF(I89="","",IFERROR(INDEX(Jobs!$H$5:$H$604,MATCH(I89,Jobs!$A$5:$A$604,0)),""))</f>
        <v>0</v>
      </c>
      <c r="Q89" s="34">
        <f>IF(B89="","",IF(J89="",0,J89)*IF(K89="Yes",2,1))</f>
        <v>0</v>
      </c>
      <c r="R89" s="21">
        <f>IF(B89="","",IF(L89&lt;&gt;"",L89,MileageRate))</f>
        <v>0</v>
      </c>
      <c r="S89" s="21">
        <f>IF(B89="","",ROUND(Q89*R89+IF(M89="",0,M89),2))</f>
        <v>0</v>
      </c>
      <c r="T89" s="39">
        <f>IF(B89="","",IF(J89="","Add - how far?",IF(D89="","Add - who drove?",IF(N89="No","Due - not claimed yet",IF(Q89&gt;200,"Check - a long day","OK")))))</f>
        <v>0</v>
      </c>
    </row>
    <row r="90" spans="1:20">
      <c r="A90" s="43">
        <f>IF(B90="","","MIL-"&amp;TEXT(ROW()-4,"0000"))</f>
        <v>0</v>
      </c>
      <c r="C90" s="23">
        <f>IF(B90="","",TEXT(B90,"yyyy-mm"))</f>
        <v>0</v>
      </c>
      <c r="P90" s="23">
        <f>IF(I90="","",IFERROR(INDEX(Jobs!$H$5:$H$604,MATCH(I90,Jobs!$A$5:$A$604,0)),""))</f>
        <v>0</v>
      </c>
      <c r="Q90" s="34">
        <f>IF(B90="","",IF(J90="",0,J90)*IF(K90="Yes",2,1))</f>
        <v>0</v>
      </c>
      <c r="R90" s="21">
        <f>IF(B90="","",IF(L90&lt;&gt;"",L90,MileageRate))</f>
        <v>0</v>
      </c>
      <c r="S90" s="21">
        <f>IF(B90="","",ROUND(Q90*R90+IF(M90="",0,M90),2))</f>
        <v>0</v>
      </c>
      <c r="T90" s="39">
        <f>IF(B90="","",IF(J90="","Add - how far?",IF(D90="","Add - who drove?",IF(N90="No","Due - not claimed yet",IF(Q90&gt;200,"Check - a long day","OK")))))</f>
        <v>0</v>
      </c>
    </row>
    <row r="91" spans="1:20">
      <c r="A91" s="43">
        <f>IF(B91="","","MIL-"&amp;TEXT(ROW()-4,"0000"))</f>
        <v>0</v>
      </c>
      <c r="C91" s="23">
        <f>IF(B91="","",TEXT(B91,"yyyy-mm"))</f>
        <v>0</v>
      </c>
      <c r="P91" s="23">
        <f>IF(I91="","",IFERROR(INDEX(Jobs!$H$5:$H$604,MATCH(I91,Jobs!$A$5:$A$604,0)),""))</f>
        <v>0</v>
      </c>
      <c r="Q91" s="34">
        <f>IF(B91="","",IF(J91="",0,J91)*IF(K91="Yes",2,1))</f>
        <v>0</v>
      </c>
      <c r="R91" s="21">
        <f>IF(B91="","",IF(L91&lt;&gt;"",L91,MileageRate))</f>
        <v>0</v>
      </c>
      <c r="S91" s="21">
        <f>IF(B91="","",ROUND(Q91*R91+IF(M91="",0,M91),2))</f>
        <v>0</v>
      </c>
      <c r="T91" s="39">
        <f>IF(B91="","",IF(J91="","Add - how far?",IF(D91="","Add - who drove?",IF(N91="No","Due - not claimed yet",IF(Q91&gt;200,"Check - a long day","OK")))))</f>
        <v>0</v>
      </c>
    </row>
    <row r="92" spans="1:20">
      <c r="A92" s="43">
        <f>IF(B92="","","MIL-"&amp;TEXT(ROW()-4,"0000"))</f>
        <v>0</v>
      </c>
      <c r="C92" s="23">
        <f>IF(B92="","",TEXT(B92,"yyyy-mm"))</f>
        <v>0</v>
      </c>
      <c r="P92" s="23">
        <f>IF(I92="","",IFERROR(INDEX(Jobs!$H$5:$H$604,MATCH(I92,Jobs!$A$5:$A$604,0)),""))</f>
        <v>0</v>
      </c>
      <c r="Q92" s="34">
        <f>IF(B92="","",IF(J92="",0,J92)*IF(K92="Yes",2,1))</f>
        <v>0</v>
      </c>
      <c r="R92" s="21">
        <f>IF(B92="","",IF(L92&lt;&gt;"",L92,MileageRate))</f>
        <v>0</v>
      </c>
      <c r="S92" s="21">
        <f>IF(B92="","",ROUND(Q92*R92+IF(M92="",0,M92),2))</f>
        <v>0</v>
      </c>
      <c r="T92" s="39">
        <f>IF(B92="","",IF(J92="","Add - how far?",IF(D92="","Add - who drove?",IF(N92="No","Due - not claimed yet",IF(Q92&gt;200,"Check - a long day","OK")))))</f>
        <v>0</v>
      </c>
    </row>
    <row r="93" spans="1:20">
      <c r="A93" s="43">
        <f>IF(B93="","","MIL-"&amp;TEXT(ROW()-4,"0000"))</f>
        <v>0</v>
      </c>
      <c r="C93" s="23">
        <f>IF(B93="","",TEXT(B93,"yyyy-mm"))</f>
        <v>0</v>
      </c>
      <c r="P93" s="23">
        <f>IF(I93="","",IFERROR(INDEX(Jobs!$H$5:$H$604,MATCH(I93,Jobs!$A$5:$A$604,0)),""))</f>
        <v>0</v>
      </c>
      <c r="Q93" s="34">
        <f>IF(B93="","",IF(J93="",0,J93)*IF(K93="Yes",2,1))</f>
        <v>0</v>
      </c>
      <c r="R93" s="21">
        <f>IF(B93="","",IF(L93&lt;&gt;"",L93,MileageRate))</f>
        <v>0</v>
      </c>
      <c r="S93" s="21">
        <f>IF(B93="","",ROUND(Q93*R93+IF(M93="",0,M93),2))</f>
        <v>0</v>
      </c>
      <c r="T93" s="39">
        <f>IF(B93="","",IF(J93="","Add - how far?",IF(D93="","Add - who drove?",IF(N93="No","Due - not claimed yet",IF(Q93&gt;200,"Check - a long day","OK")))))</f>
        <v>0</v>
      </c>
    </row>
    <row r="94" spans="1:20">
      <c r="A94" s="43">
        <f>IF(B94="","","MIL-"&amp;TEXT(ROW()-4,"0000"))</f>
        <v>0</v>
      </c>
      <c r="C94" s="23">
        <f>IF(B94="","",TEXT(B94,"yyyy-mm"))</f>
        <v>0</v>
      </c>
      <c r="P94" s="23">
        <f>IF(I94="","",IFERROR(INDEX(Jobs!$H$5:$H$604,MATCH(I94,Jobs!$A$5:$A$604,0)),""))</f>
        <v>0</v>
      </c>
      <c r="Q94" s="34">
        <f>IF(B94="","",IF(J94="",0,J94)*IF(K94="Yes",2,1))</f>
        <v>0</v>
      </c>
      <c r="R94" s="21">
        <f>IF(B94="","",IF(L94&lt;&gt;"",L94,MileageRate))</f>
        <v>0</v>
      </c>
      <c r="S94" s="21">
        <f>IF(B94="","",ROUND(Q94*R94+IF(M94="",0,M94),2))</f>
        <v>0</v>
      </c>
      <c r="T94" s="39">
        <f>IF(B94="","",IF(J94="","Add - how far?",IF(D94="","Add - who drove?",IF(N94="No","Due - not claimed yet",IF(Q94&gt;200,"Check - a long day","OK")))))</f>
        <v>0</v>
      </c>
    </row>
    <row r="95" spans="1:20">
      <c r="A95" s="43">
        <f>IF(B95="","","MIL-"&amp;TEXT(ROW()-4,"0000"))</f>
        <v>0</v>
      </c>
      <c r="C95" s="23">
        <f>IF(B95="","",TEXT(B95,"yyyy-mm"))</f>
        <v>0</v>
      </c>
      <c r="P95" s="23">
        <f>IF(I95="","",IFERROR(INDEX(Jobs!$H$5:$H$604,MATCH(I95,Jobs!$A$5:$A$604,0)),""))</f>
        <v>0</v>
      </c>
      <c r="Q95" s="34">
        <f>IF(B95="","",IF(J95="",0,J95)*IF(K95="Yes",2,1))</f>
        <v>0</v>
      </c>
      <c r="R95" s="21">
        <f>IF(B95="","",IF(L95&lt;&gt;"",L95,MileageRate))</f>
        <v>0</v>
      </c>
      <c r="S95" s="21">
        <f>IF(B95="","",ROUND(Q95*R95+IF(M95="",0,M95),2))</f>
        <v>0</v>
      </c>
      <c r="T95" s="39">
        <f>IF(B95="","",IF(J95="","Add - how far?",IF(D95="","Add - who drove?",IF(N95="No","Due - not claimed yet",IF(Q95&gt;200,"Check - a long day","OK")))))</f>
        <v>0</v>
      </c>
    </row>
    <row r="96" spans="1:20">
      <c r="A96" s="43">
        <f>IF(B96="","","MIL-"&amp;TEXT(ROW()-4,"0000"))</f>
        <v>0</v>
      </c>
      <c r="C96" s="23">
        <f>IF(B96="","",TEXT(B96,"yyyy-mm"))</f>
        <v>0</v>
      </c>
      <c r="P96" s="23">
        <f>IF(I96="","",IFERROR(INDEX(Jobs!$H$5:$H$604,MATCH(I96,Jobs!$A$5:$A$604,0)),""))</f>
        <v>0</v>
      </c>
      <c r="Q96" s="34">
        <f>IF(B96="","",IF(J96="",0,J96)*IF(K96="Yes",2,1))</f>
        <v>0</v>
      </c>
      <c r="R96" s="21">
        <f>IF(B96="","",IF(L96&lt;&gt;"",L96,MileageRate))</f>
        <v>0</v>
      </c>
      <c r="S96" s="21">
        <f>IF(B96="","",ROUND(Q96*R96+IF(M96="",0,M96),2))</f>
        <v>0</v>
      </c>
      <c r="T96" s="39">
        <f>IF(B96="","",IF(J96="","Add - how far?",IF(D96="","Add - who drove?",IF(N96="No","Due - not claimed yet",IF(Q96&gt;200,"Check - a long day","OK")))))</f>
        <v>0</v>
      </c>
    </row>
    <row r="97" spans="1:20">
      <c r="A97" s="43">
        <f>IF(B97="","","MIL-"&amp;TEXT(ROW()-4,"0000"))</f>
        <v>0</v>
      </c>
      <c r="C97" s="23">
        <f>IF(B97="","",TEXT(B97,"yyyy-mm"))</f>
        <v>0</v>
      </c>
      <c r="P97" s="23">
        <f>IF(I97="","",IFERROR(INDEX(Jobs!$H$5:$H$604,MATCH(I97,Jobs!$A$5:$A$604,0)),""))</f>
        <v>0</v>
      </c>
      <c r="Q97" s="34">
        <f>IF(B97="","",IF(J97="",0,J97)*IF(K97="Yes",2,1))</f>
        <v>0</v>
      </c>
      <c r="R97" s="21">
        <f>IF(B97="","",IF(L97&lt;&gt;"",L97,MileageRate))</f>
        <v>0</v>
      </c>
      <c r="S97" s="21">
        <f>IF(B97="","",ROUND(Q97*R97+IF(M97="",0,M97),2))</f>
        <v>0</v>
      </c>
      <c r="T97" s="39">
        <f>IF(B97="","",IF(J97="","Add - how far?",IF(D97="","Add - who drove?",IF(N97="No","Due - not claimed yet",IF(Q97&gt;200,"Check - a long day","OK")))))</f>
        <v>0</v>
      </c>
    </row>
    <row r="98" spans="1:20">
      <c r="A98" s="43">
        <f>IF(B98="","","MIL-"&amp;TEXT(ROW()-4,"0000"))</f>
        <v>0</v>
      </c>
      <c r="C98" s="23">
        <f>IF(B98="","",TEXT(B98,"yyyy-mm"))</f>
        <v>0</v>
      </c>
      <c r="P98" s="23">
        <f>IF(I98="","",IFERROR(INDEX(Jobs!$H$5:$H$604,MATCH(I98,Jobs!$A$5:$A$604,0)),""))</f>
        <v>0</v>
      </c>
      <c r="Q98" s="34">
        <f>IF(B98="","",IF(J98="",0,J98)*IF(K98="Yes",2,1))</f>
        <v>0</v>
      </c>
      <c r="R98" s="21">
        <f>IF(B98="","",IF(L98&lt;&gt;"",L98,MileageRate))</f>
        <v>0</v>
      </c>
      <c r="S98" s="21">
        <f>IF(B98="","",ROUND(Q98*R98+IF(M98="",0,M98),2))</f>
        <v>0</v>
      </c>
      <c r="T98" s="39">
        <f>IF(B98="","",IF(J98="","Add - how far?",IF(D98="","Add - who drove?",IF(N98="No","Due - not claimed yet",IF(Q98&gt;200,"Check - a long day","OK")))))</f>
        <v>0</v>
      </c>
    </row>
    <row r="99" spans="1:20">
      <c r="A99" s="43">
        <f>IF(B99="","","MIL-"&amp;TEXT(ROW()-4,"0000"))</f>
        <v>0</v>
      </c>
      <c r="C99" s="23">
        <f>IF(B99="","",TEXT(B99,"yyyy-mm"))</f>
        <v>0</v>
      </c>
      <c r="P99" s="23">
        <f>IF(I99="","",IFERROR(INDEX(Jobs!$H$5:$H$604,MATCH(I99,Jobs!$A$5:$A$604,0)),""))</f>
        <v>0</v>
      </c>
      <c r="Q99" s="34">
        <f>IF(B99="","",IF(J99="",0,J99)*IF(K99="Yes",2,1))</f>
        <v>0</v>
      </c>
      <c r="R99" s="21">
        <f>IF(B99="","",IF(L99&lt;&gt;"",L99,MileageRate))</f>
        <v>0</v>
      </c>
      <c r="S99" s="21">
        <f>IF(B99="","",ROUND(Q99*R99+IF(M99="",0,M99),2))</f>
        <v>0</v>
      </c>
      <c r="T99" s="39">
        <f>IF(B99="","",IF(J99="","Add - how far?",IF(D99="","Add - who drove?",IF(N99="No","Due - not claimed yet",IF(Q99&gt;200,"Check - a long day","OK")))))</f>
        <v>0</v>
      </c>
    </row>
    <row r="100" spans="1:20">
      <c r="A100" s="43">
        <f>IF(B100="","","MIL-"&amp;TEXT(ROW()-4,"0000"))</f>
        <v>0</v>
      </c>
      <c r="C100" s="23">
        <f>IF(B100="","",TEXT(B100,"yyyy-mm"))</f>
        <v>0</v>
      </c>
      <c r="P100" s="23">
        <f>IF(I100="","",IFERROR(INDEX(Jobs!$H$5:$H$604,MATCH(I100,Jobs!$A$5:$A$604,0)),""))</f>
        <v>0</v>
      </c>
      <c r="Q100" s="34">
        <f>IF(B100="","",IF(J100="",0,J100)*IF(K100="Yes",2,1))</f>
        <v>0</v>
      </c>
      <c r="R100" s="21">
        <f>IF(B100="","",IF(L100&lt;&gt;"",L100,MileageRate))</f>
        <v>0</v>
      </c>
      <c r="S100" s="21">
        <f>IF(B100="","",ROUND(Q100*R100+IF(M100="",0,M100),2))</f>
        <v>0</v>
      </c>
      <c r="T100" s="39">
        <f>IF(B100="","",IF(J100="","Add - how far?",IF(D100="","Add - who drove?",IF(N100="No","Due - not claimed yet",IF(Q100&gt;200,"Check - a long day","OK")))))</f>
        <v>0</v>
      </c>
    </row>
    <row r="101" spans="1:20">
      <c r="A101" s="43">
        <f>IF(B101="","","MIL-"&amp;TEXT(ROW()-4,"0000"))</f>
        <v>0</v>
      </c>
      <c r="C101" s="23">
        <f>IF(B101="","",TEXT(B101,"yyyy-mm"))</f>
        <v>0</v>
      </c>
      <c r="P101" s="23">
        <f>IF(I101="","",IFERROR(INDEX(Jobs!$H$5:$H$604,MATCH(I101,Jobs!$A$5:$A$604,0)),""))</f>
        <v>0</v>
      </c>
      <c r="Q101" s="34">
        <f>IF(B101="","",IF(J101="",0,J101)*IF(K101="Yes",2,1))</f>
        <v>0</v>
      </c>
      <c r="R101" s="21">
        <f>IF(B101="","",IF(L101&lt;&gt;"",L101,MileageRate))</f>
        <v>0</v>
      </c>
      <c r="S101" s="21">
        <f>IF(B101="","",ROUND(Q101*R101+IF(M101="",0,M101),2))</f>
        <v>0</v>
      </c>
      <c r="T101" s="39">
        <f>IF(B101="","",IF(J101="","Add - how far?",IF(D101="","Add - who drove?",IF(N101="No","Due - not claimed yet",IF(Q101&gt;200,"Check - a long day","OK")))))</f>
        <v>0</v>
      </c>
    </row>
    <row r="102" spans="1:20">
      <c r="A102" s="43">
        <f>IF(B102="","","MIL-"&amp;TEXT(ROW()-4,"0000"))</f>
        <v>0</v>
      </c>
      <c r="C102" s="23">
        <f>IF(B102="","",TEXT(B102,"yyyy-mm"))</f>
        <v>0</v>
      </c>
      <c r="P102" s="23">
        <f>IF(I102="","",IFERROR(INDEX(Jobs!$H$5:$H$604,MATCH(I102,Jobs!$A$5:$A$604,0)),""))</f>
        <v>0</v>
      </c>
      <c r="Q102" s="34">
        <f>IF(B102="","",IF(J102="",0,J102)*IF(K102="Yes",2,1))</f>
        <v>0</v>
      </c>
      <c r="R102" s="21">
        <f>IF(B102="","",IF(L102&lt;&gt;"",L102,MileageRate))</f>
        <v>0</v>
      </c>
      <c r="S102" s="21">
        <f>IF(B102="","",ROUND(Q102*R102+IF(M102="",0,M102),2))</f>
        <v>0</v>
      </c>
      <c r="T102" s="39">
        <f>IF(B102="","",IF(J102="","Add - how far?",IF(D102="","Add - who drove?",IF(N102="No","Due - not claimed yet",IF(Q102&gt;200,"Check - a long day","OK")))))</f>
        <v>0</v>
      </c>
    </row>
    <row r="103" spans="1:20">
      <c r="A103" s="43">
        <f>IF(B103="","","MIL-"&amp;TEXT(ROW()-4,"0000"))</f>
        <v>0</v>
      </c>
      <c r="C103" s="23">
        <f>IF(B103="","",TEXT(B103,"yyyy-mm"))</f>
        <v>0</v>
      </c>
      <c r="P103" s="23">
        <f>IF(I103="","",IFERROR(INDEX(Jobs!$H$5:$H$604,MATCH(I103,Jobs!$A$5:$A$604,0)),""))</f>
        <v>0</v>
      </c>
      <c r="Q103" s="34">
        <f>IF(B103="","",IF(J103="",0,J103)*IF(K103="Yes",2,1))</f>
        <v>0</v>
      </c>
      <c r="R103" s="21">
        <f>IF(B103="","",IF(L103&lt;&gt;"",L103,MileageRate))</f>
        <v>0</v>
      </c>
      <c r="S103" s="21">
        <f>IF(B103="","",ROUND(Q103*R103+IF(M103="",0,M103),2))</f>
        <v>0</v>
      </c>
      <c r="T103" s="39">
        <f>IF(B103="","",IF(J103="","Add - how far?",IF(D103="","Add - who drove?",IF(N103="No","Due - not claimed yet",IF(Q103&gt;200,"Check - a long day","OK")))))</f>
        <v>0</v>
      </c>
    </row>
    <row r="104" spans="1:20">
      <c r="A104" s="43">
        <f>IF(B104="","","MIL-"&amp;TEXT(ROW()-4,"0000"))</f>
        <v>0</v>
      </c>
      <c r="C104" s="23">
        <f>IF(B104="","",TEXT(B104,"yyyy-mm"))</f>
        <v>0</v>
      </c>
      <c r="P104" s="23">
        <f>IF(I104="","",IFERROR(INDEX(Jobs!$H$5:$H$604,MATCH(I104,Jobs!$A$5:$A$604,0)),""))</f>
        <v>0</v>
      </c>
      <c r="Q104" s="34">
        <f>IF(B104="","",IF(J104="",0,J104)*IF(K104="Yes",2,1))</f>
        <v>0</v>
      </c>
      <c r="R104" s="21">
        <f>IF(B104="","",IF(L104&lt;&gt;"",L104,MileageRate))</f>
        <v>0</v>
      </c>
      <c r="S104" s="21">
        <f>IF(B104="","",ROUND(Q104*R104+IF(M104="",0,M104),2))</f>
        <v>0</v>
      </c>
      <c r="T104" s="39">
        <f>IF(B104="","",IF(J104="","Add - how far?",IF(D104="","Add - who drove?",IF(N104="No","Due - not claimed yet",IF(Q104&gt;200,"Check - a long day","OK")))))</f>
        <v>0</v>
      </c>
    </row>
    <row r="105" spans="1:20">
      <c r="A105" s="43">
        <f>IF(B105="","","MIL-"&amp;TEXT(ROW()-4,"0000"))</f>
        <v>0</v>
      </c>
      <c r="C105" s="23">
        <f>IF(B105="","",TEXT(B105,"yyyy-mm"))</f>
        <v>0</v>
      </c>
      <c r="P105" s="23">
        <f>IF(I105="","",IFERROR(INDEX(Jobs!$H$5:$H$604,MATCH(I105,Jobs!$A$5:$A$604,0)),""))</f>
        <v>0</v>
      </c>
      <c r="Q105" s="34">
        <f>IF(B105="","",IF(J105="",0,J105)*IF(K105="Yes",2,1))</f>
        <v>0</v>
      </c>
      <c r="R105" s="21">
        <f>IF(B105="","",IF(L105&lt;&gt;"",L105,MileageRate))</f>
        <v>0</v>
      </c>
      <c r="S105" s="21">
        <f>IF(B105="","",ROUND(Q105*R105+IF(M105="",0,M105),2))</f>
        <v>0</v>
      </c>
      <c r="T105" s="39">
        <f>IF(B105="","",IF(J105="","Add - how far?",IF(D105="","Add - who drove?",IF(N105="No","Due - not claimed yet",IF(Q105&gt;200,"Check - a long day","OK")))))</f>
        <v>0</v>
      </c>
    </row>
    <row r="106" spans="1:20">
      <c r="A106" s="43">
        <f>IF(B106="","","MIL-"&amp;TEXT(ROW()-4,"0000"))</f>
        <v>0</v>
      </c>
      <c r="C106" s="23">
        <f>IF(B106="","",TEXT(B106,"yyyy-mm"))</f>
        <v>0</v>
      </c>
      <c r="P106" s="23">
        <f>IF(I106="","",IFERROR(INDEX(Jobs!$H$5:$H$604,MATCH(I106,Jobs!$A$5:$A$604,0)),""))</f>
        <v>0</v>
      </c>
      <c r="Q106" s="34">
        <f>IF(B106="","",IF(J106="",0,J106)*IF(K106="Yes",2,1))</f>
        <v>0</v>
      </c>
      <c r="R106" s="21">
        <f>IF(B106="","",IF(L106&lt;&gt;"",L106,MileageRate))</f>
        <v>0</v>
      </c>
      <c r="S106" s="21">
        <f>IF(B106="","",ROUND(Q106*R106+IF(M106="",0,M106),2))</f>
        <v>0</v>
      </c>
      <c r="T106" s="39">
        <f>IF(B106="","",IF(J106="","Add - how far?",IF(D106="","Add - who drove?",IF(N106="No","Due - not claimed yet",IF(Q106&gt;200,"Check - a long day","OK")))))</f>
        <v>0</v>
      </c>
    </row>
    <row r="107" spans="1:20">
      <c r="A107" s="43">
        <f>IF(B107="","","MIL-"&amp;TEXT(ROW()-4,"0000"))</f>
        <v>0</v>
      </c>
      <c r="C107" s="23">
        <f>IF(B107="","",TEXT(B107,"yyyy-mm"))</f>
        <v>0</v>
      </c>
      <c r="P107" s="23">
        <f>IF(I107="","",IFERROR(INDEX(Jobs!$H$5:$H$604,MATCH(I107,Jobs!$A$5:$A$604,0)),""))</f>
        <v>0</v>
      </c>
      <c r="Q107" s="34">
        <f>IF(B107="","",IF(J107="",0,J107)*IF(K107="Yes",2,1))</f>
        <v>0</v>
      </c>
      <c r="R107" s="21">
        <f>IF(B107="","",IF(L107&lt;&gt;"",L107,MileageRate))</f>
        <v>0</v>
      </c>
      <c r="S107" s="21">
        <f>IF(B107="","",ROUND(Q107*R107+IF(M107="",0,M107),2))</f>
        <v>0</v>
      </c>
      <c r="T107" s="39">
        <f>IF(B107="","",IF(J107="","Add - how far?",IF(D107="","Add - who drove?",IF(N107="No","Due - not claimed yet",IF(Q107&gt;200,"Check - a long day","OK")))))</f>
        <v>0</v>
      </c>
    </row>
    <row r="108" spans="1:20">
      <c r="A108" s="43">
        <f>IF(B108="","","MIL-"&amp;TEXT(ROW()-4,"0000"))</f>
        <v>0</v>
      </c>
      <c r="C108" s="23">
        <f>IF(B108="","",TEXT(B108,"yyyy-mm"))</f>
        <v>0</v>
      </c>
      <c r="P108" s="23">
        <f>IF(I108="","",IFERROR(INDEX(Jobs!$H$5:$H$604,MATCH(I108,Jobs!$A$5:$A$604,0)),""))</f>
        <v>0</v>
      </c>
      <c r="Q108" s="34">
        <f>IF(B108="","",IF(J108="",0,J108)*IF(K108="Yes",2,1))</f>
        <v>0</v>
      </c>
      <c r="R108" s="21">
        <f>IF(B108="","",IF(L108&lt;&gt;"",L108,MileageRate))</f>
        <v>0</v>
      </c>
      <c r="S108" s="21">
        <f>IF(B108="","",ROUND(Q108*R108+IF(M108="",0,M108),2))</f>
        <v>0</v>
      </c>
      <c r="T108" s="39">
        <f>IF(B108="","",IF(J108="","Add - how far?",IF(D108="","Add - who drove?",IF(N108="No","Due - not claimed yet",IF(Q108&gt;200,"Check - a long day","OK")))))</f>
        <v>0</v>
      </c>
    </row>
    <row r="109" spans="1:20">
      <c r="A109" s="43">
        <f>IF(B109="","","MIL-"&amp;TEXT(ROW()-4,"0000"))</f>
        <v>0</v>
      </c>
      <c r="C109" s="23">
        <f>IF(B109="","",TEXT(B109,"yyyy-mm"))</f>
        <v>0</v>
      </c>
      <c r="P109" s="23">
        <f>IF(I109="","",IFERROR(INDEX(Jobs!$H$5:$H$604,MATCH(I109,Jobs!$A$5:$A$604,0)),""))</f>
        <v>0</v>
      </c>
      <c r="Q109" s="34">
        <f>IF(B109="","",IF(J109="",0,J109)*IF(K109="Yes",2,1))</f>
        <v>0</v>
      </c>
      <c r="R109" s="21">
        <f>IF(B109="","",IF(L109&lt;&gt;"",L109,MileageRate))</f>
        <v>0</v>
      </c>
      <c r="S109" s="21">
        <f>IF(B109="","",ROUND(Q109*R109+IF(M109="",0,M109),2))</f>
        <v>0</v>
      </c>
      <c r="T109" s="39">
        <f>IF(B109="","",IF(J109="","Add - how far?",IF(D109="","Add - who drove?",IF(N109="No","Due - not claimed yet",IF(Q109&gt;200,"Check - a long day","OK")))))</f>
        <v>0</v>
      </c>
    </row>
    <row r="110" spans="1:20">
      <c r="A110" s="43">
        <f>IF(B110="","","MIL-"&amp;TEXT(ROW()-4,"0000"))</f>
        <v>0</v>
      </c>
      <c r="C110" s="23">
        <f>IF(B110="","",TEXT(B110,"yyyy-mm"))</f>
        <v>0</v>
      </c>
      <c r="P110" s="23">
        <f>IF(I110="","",IFERROR(INDEX(Jobs!$H$5:$H$604,MATCH(I110,Jobs!$A$5:$A$604,0)),""))</f>
        <v>0</v>
      </c>
      <c r="Q110" s="34">
        <f>IF(B110="","",IF(J110="",0,J110)*IF(K110="Yes",2,1))</f>
        <v>0</v>
      </c>
      <c r="R110" s="21">
        <f>IF(B110="","",IF(L110&lt;&gt;"",L110,MileageRate))</f>
        <v>0</v>
      </c>
      <c r="S110" s="21">
        <f>IF(B110="","",ROUND(Q110*R110+IF(M110="",0,M110),2))</f>
        <v>0</v>
      </c>
      <c r="T110" s="39">
        <f>IF(B110="","",IF(J110="","Add - how far?",IF(D110="","Add - who drove?",IF(N110="No","Due - not claimed yet",IF(Q110&gt;200,"Check - a long day","OK")))))</f>
        <v>0</v>
      </c>
    </row>
    <row r="111" spans="1:20">
      <c r="A111" s="43">
        <f>IF(B111="","","MIL-"&amp;TEXT(ROW()-4,"0000"))</f>
        <v>0</v>
      </c>
      <c r="C111" s="23">
        <f>IF(B111="","",TEXT(B111,"yyyy-mm"))</f>
        <v>0</v>
      </c>
      <c r="P111" s="23">
        <f>IF(I111="","",IFERROR(INDEX(Jobs!$H$5:$H$604,MATCH(I111,Jobs!$A$5:$A$604,0)),""))</f>
        <v>0</v>
      </c>
      <c r="Q111" s="34">
        <f>IF(B111="","",IF(J111="",0,J111)*IF(K111="Yes",2,1))</f>
        <v>0</v>
      </c>
      <c r="R111" s="21">
        <f>IF(B111="","",IF(L111&lt;&gt;"",L111,MileageRate))</f>
        <v>0</v>
      </c>
      <c r="S111" s="21">
        <f>IF(B111="","",ROUND(Q111*R111+IF(M111="",0,M111),2))</f>
        <v>0</v>
      </c>
      <c r="T111" s="39">
        <f>IF(B111="","",IF(J111="","Add - how far?",IF(D111="","Add - who drove?",IF(N111="No","Due - not claimed yet",IF(Q111&gt;200,"Check - a long day","OK")))))</f>
        <v>0</v>
      </c>
    </row>
    <row r="112" spans="1:20">
      <c r="A112" s="43">
        <f>IF(B112="","","MIL-"&amp;TEXT(ROW()-4,"0000"))</f>
        <v>0</v>
      </c>
      <c r="C112" s="23">
        <f>IF(B112="","",TEXT(B112,"yyyy-mm"))</f>
        <v>0</v>
      </c>
      <c r="P112" s="23">
        <f>IF(I112="","",IFERROR(INDEX(Jobs!$H$5:$H$604,MATCH(I112,Jobs!$A$5:$A$604,0)),""))</f>
        <v>0</v>
      </c>
      <c r="Q112" s="34">
        <f>IF(B112="","",IF(J112="",0,J112)*IF(K112="Yes",2,1))</f>
        <v>0</v>
      </c>
      <c r="R112" s="21">
        <f>IF(B112="","",IF(L112&lt;&gt;"",L112,MileageRate))</f>
        <v>0</v>
      </c>
      <c r="S112" s="21">
        <f>IF(B112="","",ROUND(Q112*R112+IF(M112="",0,M112),2))</f>
        <v>0</v>
      </c>
      <c r="T112" s="39">
        <f>IF(B112="","",IF(J112="","Add - how far?",IF(D112="","Add - who drove?",IF(N112="No","Due - not claimed yet",IF(Q112&gt;200,"Check - a long day","OK")))))</f>
        <v>0</v>
      </c>
    </row>
    <row r="113" spans="1:20">
      <c r="A113" s="43">
        <f>IF(B113="","","MIL-"&amp;TEXT(ROW()-4,"0000"))</f>
        <v>0</v>
      </c>
      <c r="C113" s="23">
        <f>IF(B113="","",TEXT(B113,"yyyy-mm"))</f>
        <v>0</v>
      </c>
      <c r="P113" s="23">
        <f>IF(I113="","",IFERROR(INDEX(Jobs!$H$5:$H$604,MATCH(I113,Jobs!$A$5:$A$604,0)),""))</f>
        <v>0</v>
      </c>
      <c r="Q113" s="34">
        <f>IF(B113="","",IF(J113="",0,J113)*IF(K113="Yes",2,1))</f>
        <v>0</v>
      </c>
      <c r="R113" s="21">
        <f>IF(B113="","",IF(L113&lt;&gt;"",L113,MileageRate))</f>
        <v>0</v>
      </c>
      <c r="S113" s="21">
        <f>IF(B113="","",ROUND(Q113*R113+IF(M113="",0,M113),2))</f>
        <v>0</v>
      </c>
      <c r="T113" s="39">
        <f>IF(B113="","",IF(J113="","Add - how far?",IF(D113="","Add - who drove?",IF(N113="No","Due - not claimed yet",IF(Q113&gt;200,"Check - a long day","OK")))))</f>
        <v>0</v>
      </c>
    </row>
    <row r="114" spans="1:20">
      <c r="A114" s="43">
        <f>IF(B114="","","MIL-"&amp;TEXT(ROW()-4,"0000"))</f>
        <v>0</v>
      </c>
      <c r="C114" s="23">
        <f>IF(B114="","",TEXT(B114,"yyyy-mm"))</f>
        <v>0</v>
      </c>
      <c r="P114" s="23">
        <f>IF(I114="","",IFERROR(INDEX(Jobs!$H$5:$H$604,MATCH(I114,Jobs!$A$5:$A$604,0)),""))</f>
        <v>0</v>
      </c>
      <c r="Q114" s="34">
        <f>IF(B114="","",IF(J114="",0,J114)*IF(K114="Yes",2,1))</f>
        <v>0</v>
      </c>
      <c r="R114" s="21">
        <f>IF(B114="","",IF(L114&lt;&gt;"",L114,MileageRate))</f>
        <v>0</v>
      </c>
      <c r="S114" s="21">
        <f>IF(B114="","",ROUND(Q114*R114+IF(M114="",0,M114),2))</f>
        <v>0</v>
      </c>
      <c r="T114" s="39">
        <f>IF(B114="","",IF(J114="","Add - how far?",IF(D114="","Add - who drove?",IF(N114="No","Due - not claimed yet",IF(Q114&gt;200,"Check - a long day","OK")))))</f>
        <v>0</v>
      </c>
    </row>
    <row r="115" spans="1:20">
      <c r="A115" s="43">
        <f>IF(B115="","","MIL-"&amp;TEXT(ROW()-4,"0000"))</f>
        <v>0</v>
      </c>
      <c r="C115" s="23">
        <f>IF(B115="","",TEXT(B115,"yyyy-mm"))</f>
        <v>0</v>
      </c>
      <c r="P115" s="23">
        <f>IF(I115="","",IFERROR(INDEX(Jobs!$H$5:$H$604,MATCH(I115,Jobs!$A$5:$A$604,0)),""))</f>
        <v>0</v>
      </c>
      <c r="Q115" s="34">
        <f>IF(B115="","",IF(J115="",0,J115)*IF(K115="Yes",2,1))</f>
        <v>0</v>
      </c>
      <c r="R115" s="21">
        <f>IF(B115="","",IF(L115&lt;&gt;"",L115,MileageRate))</f>
        <v>0</v>
      </c>
      <c r="S115" s="21">
        <f>IF(B115="","",ROUND(Q115*R115+IF(M115="",0,M115),2))</f>
        <v>0</v>
      </c>
      <c r="T115" s="39">
        <f>IF(B115="","",IF(J115="","Add - how far?",IF(D115="","Add - who drove?",IF(N115="No","Due - not claimed yet",IF(Q115&gt;200,"Check - a long day","OK")))))</f>
        <v>0</v>
      </c>
    </row>
    <row r="116" spans="1:20">
      <c r="A116" s="43">
        <f>IF(B116="","","MIL-"&amp;TEXT(ROW()-4,"0000"))</f>
        <v>0</v>
      </c>
      <c r="C116" s="23">
        <f>IF(B116="","",TEXT(B116,"yyyy-mm"))</f>
        <v>0</v>
      </c>
      <c r="P116" s="23">
        <f>IF(I116="","",IFERROR(INDEX(Jobs!$H$5:$H$604,MATCH(I116,Jobs!$A$5:$A$604,0)),""))</f>
        <v>0</v>
      </c>
      <c r="Q116" s="34">
        <f>IF(B116="","",IF(J116="",0,J116)*IF(K116="Yes",2,1))</f>
        <v>0</v>
      </c>
      <c r="R116" s="21">
        <f>IF(B116="","",IF(L116&lt;&gt;"",L116,MileageRate))</f>
        <v>0</v>
      </c>
      <c r="S116" s="21">
        <f>IF(B116="","",ROUND(Q116*R116+IF(M116="",0,M116),2))</f>
        <v>0</v>
      </c>
      <c r="T116" s="39">
        <f>IF(B116="","",IF(J116="","Add - how far?",IF(D116="","Add - who drove?",IF(N116="No","Due - not claimed yet",IF(Q116&gt;200,"Check - a long day","OK")))))</f>
        <v>0</v>
      </c>
    </row>
    <row r="117" spans="1:20">
      <c r="A117" s="43">
        <f>IF(B117="","","MIL-"&amp;TEXT(ROW()-4,"0000"))</f>
        <v>0</v>
      </c>
      <c r="C117" s="23">
        <f>IF(B117="","",TEXT(B117,"yyyy-mm"))</f>
        <v>0</v>
      </c>
      <c r="P117" s="23">
        <f>IF(I117="","",IFERROR(INDEX(Jobs!$H$5:$H$604,MATCH(I117,Jobs!$A$5:$A$604,0)),""))</f>
        <v>0</v>
      </c>
      <c r="Q117" s="34">
        <f>IF(B117="","",IF(J117="",0,J117)*IF(K117="Yes",2,1))</f>
        <v>0</v>
      </c>
      <c r="R117" s="21">
        <f>IF(B117="","",IF(L117&lt;&gt;"",L117,MileageRate))</f>
        <v>0</v>
      </c>
      <c r="S117" s="21">
        <f>IF(B117="","",ROUND(Q117*R117+IF(M117="",0,M117),2))</f>
        <v>0</v>
      </c>
      <c r="T117" s="39">
        <f>IF(B117="","",IF(J117="","Add - how far?",IF(D117="","Add - who drove?",IF(N117="No","Due - not claimed yet",IF(Q117&gt;200,"Check - a long day","OK")))))</f>
        <v>0</v>
      </c>
    </row>
    <row r="118" spans="1:20">
      <c r="A118" s="43">
        <f>IF(B118="","","MIL-"&amp;TEXT(ROW()-4,"0000"))</f>
        <v>0</v>
      </c>
      <c r="C118" s="23">
        <f>IF(B118="","",TEXT(B118,"yyyy-mm"))</f>
        <v>0</v>
      </c>
      <c r="P118" s="23">
        <f>IF(I118="","",IFERROR(INDEX(Jobs!$H$5:$H$604,MATCH(I118,Jobs!$A$5:$A$604,0)),""))</f>
        <v>0</v>
      </c>
      <c r="Q118" s="34">
        <f>IF(B118="","",IF(J118="",0,J118)*IF(K118="Yes",2,1))</f>
        <v>0</v>
      </c>
      <c r="R118" s="21">
        <f>IF(B118="","",IF(L118&lt;&gt;"",L118,MileageRate))</f>
        <v>0</v>
      </c>
      <c r="S118" s="21">
        <f>IF(B118="","",ROUND(Q118*R118+IF(M118="",0,M118),2))</f>
        <v>0</v>
      </c>
      <c r="T118" s="39">
        <f>IF(B118="","",IF(J118="","Add - how far?",IF(D118="","Add - who drove?",IF(N118="No","Due - not claimed yet",IF(Q118&gt;200,"Check - a long day","OK")))))</f>
        <v>0</v>
      </c>
    </row>
    <row r="119" spans="1:20">
      <c r="A119" s="43">
        <f>IF(B119="","","MIL-"&amp;TEXT(ROW()-4,"0000"))</f>
        <v>0</v>
      </c>
      <c r="C119" s="23">
        <f>IF(B119="","",TEXT(B119,"yyyy-mm"))</f>
        <v>0</v>
      </c>
      <c r="P119" s="23">
        <f>IF(I119="","",IFERROR(INDEX(Jobs!$H$5:$H$604,MATCH(I119,Jobs!$A$5:$A$604,0)),""))</f>
        <v>0</v>
      </c>
      <c r="Q119" s="34">
        <f>IF(B119="","",IF(J119="",0,J119)*IF(K119="Yes",2,1))</f>
        <v>0</v>
      </c>
      <c r="R119" s="21">
        <f>IF(B119="","",IF(L119&lt;&gt;"",L119,MileageRate))</f>
        <v>0</v>
      </c>
      <c r="S119" s="21">
        <f>IF(B119="","",ROUND(Q119*R119+IF(M119="",0,M119),2))</f>
        <v>0</v>
      </c>
      <c r="T119" s="39">
        <f>IF(B119="","",IF(J119="","Add - how far?",IF(D119="","Add - who drove?",IF(N119="No","Due - not claimed yet",IF(Q119&gt;200,"Check - a long day","OK")))))</f>
        <v>0</v>
      </c>
    </row>
    <row r="120" spans="1:20">
      <c r="A120" s="43">
        <f>IF(B120="","","MIL-"&amp;TEXT(ROW()-4,"0000"))</f>
        <v>0</v>
      </c>
      <c r="C120" s="23">
        <f>IF(B120="","",TEXT(B120,"yyyy-mm"))</f>
        <v>0</v>
      </c>
      <c r="P120" s="23">
        <f>IF(I120="","",IFERROR(INDEX(Jobs!$H$5:$H$604,MATCH(I120,Jobs!$A$5:$A$604,0)),""))</f>
        <v>0</v>
      </c>
      <c r="Q120" s="34">
        <f>IF(B120="","",IF(J120="",0,J120)*IF(K120="Yes",2,1))</f>
        <v>0</v>
      </c>
      <c r="R120" s="21">
        <f>IF(B120="","",IF(L120&lt;&gt;"",L120,MileageRate))</f>
        <v>0</v>
      </c>
      <c r="S120" s="21">
        <f>IF(B120="","",ROUND(Q120*R120+IF(M120="",0,M120),2))</f>
        <v>0</v>
      </c>
      <c r="T120" s="39">
        <f>IF(B120="","",IF(J120="","Add - how far?",IF(D120="","Add - who drove?",IF(N120="No","Due - not claimed yet",IF(Q120&gt;200,"Check - a long day","OK")))))</f>
        <v>0</v>
      </c>
    </row>
    <row r="121" spans="1:20">
      <c r="A121" s="43">
        <f>IF(B121="","","MIL-"&amp;TEXT(ROW()-4,"0000"))</f>
        <v>0</v>
      </c>
      <c r="C121" s="23">
        <f>IF(B121="","",TEXT(B121,"yyyy-mm"))</f>
        <v>0</v>
      </c>
      <c r="P121" s="23">
        <f>IF(I121="","",IFERROR(INDEX(Jobs!$H$5:$H$604,MATCH(I121,Jobs!$A$5:$A$604,0)),""))</f>
        <v>0</v>
      </c>
      <c r="Q121" s="34">
        <f>IF(B121="","",IF(J121="",0,J121)*IF(K121="Yes",2,1))</f>
        <v>0</v>
      </c>
      <c r="R121" s="21">
        <f>IF(B121="","",IF(L121&lt;&gt;"",L121,MileageRate))</f>
        <v>0</v>
      </c>
      <c r="S121" s="21">
        <f>IF(B121="","",ROUND(Q121*R121+IF(M121="",0,M121),2))</f>
        <v>0</v>
      </c>
      <c r="T121" s="39">
        <f>IF(B121="","",IF(J121="","Add - how far?",IF(D121="","Add - who drove?",IF(N121="No","Due - not claimed yet",IF(Q121&gt;200,"Check - a long day","OK")))))</f>
        <v>0</v>
      </c>
    </row>
    <row r="122" spans="1:20">
      <c r="A122" s="43">
        <f>IF(B122="","","MIL-"&amp;TEXT(ROW()-4,"0000"))</f>
        <v>0</v>
      </c>
      <c r="C122" s="23">
        <f>IF(B122="","",TEXT(B122,"yyyy-mm"))</f>
        <v>0</v>
      </c>
      <c r="P122" s="23">
        <f>IF(I122="","",IFERROR(INDEX(Jobs!$H$5:$H$604,MATCH(I122,Jobs!$A$5:$A$604,0)),""))</f>
        <v>0</v>
      </c>
      <c r="Q122" s="34">
        <f>IF(B122="","",IF(J122="",0,J122)*IF(K122="Yes",2,1))</f>
        <v>0</v>
      </c>
      <c r="R122" s="21">
        <f>IF(B122="","",IF(L122&lt;&gt;"",L122,MileageRate))</f>
        <v>0</v>
      </c>
      <c r="S122" s="21">
        <f>IF(B122="","",ROUND(Q122*R122+IF(M122="",0,M122),2))</f>
        <v>0</v>
      </c>
      <c r="T122" s="39">
        <f>IF(B122="","",IF(J122="","Add - how far?",IF(D122="","Add - who drove?",IF(N122="No","Due - not claimed yet",IF(Q122&gt;200,"Check - a long day","OK")))))</f>
        <v>0</v>
      </c>
    </row>
    <row r="123" spans="1:20">
      <c r="A123" s="43">
        <f>IF(B123="","","MIL-"&amp;TEXT(ROW()-4,"0000"))</f>
        <v>0</v>
      </c>
      <c r="C123" s="23">
        <f>IF(B123="","",TEXT(B123,"yyyy-mm"))</f>
        <v>0</v>
      </c>
      <c r="P123" s="23">
        <f>IF(I123="","",IFERROR(INDEX(Jobs!$H$5:$H$604,MATCH(I123,Jobs!$A$5:$A$604,0)),""))</f>
        <v>0</v>
      </c>
      <c r="Q123" s="34">
        <f>IF(B123="","",IF(J123="",0,J123)*IF(K123="Yes",2,1))</f>
        <v>0</v>
      </c>
      <c r="R123" s="21">
        <f>IF(B123="","",IF(L123&lt;&gt;"",L123,MileageRate))</f>
        <v>0</v>
      </c>
      <c r="S123" s="21">
        <f>IF(B123="","",ROUND(Q123*R123+IF(M123="",0,M123),2))</f>
        <v>0</v>
      </c>
      <c r="T123" s="39">
        <f>IF(B123="","",IF(J123="","Add - how far?",IF(D123="","Add - who drove?",IF(N123="No","Due - not claimed yet",IF(Q123&gt;200,"Check - a long day","OK")))))</f>
        <v>0</v>
      </c>
    </row>
    <row r="124" spans="1:20">
      <c r="A124" s="43">
        <f>IF(B124="","","MIL-"&amp;TEXT(ROW()-4,"0000"))</f>
        <v>0</v>
      </c>
      <c r="C124" s="23">
        <f>IF(B124="","",TEXT(B124,"yyyy-mm"))</f>
        <v>0</v>
      </c>
      <c r="P124" s="23">
        <f>IF(I124="","",IFERROR(INDEX(Jobs!$H$5:$H$604,MATCH(I124,Jobs!$A$5:$A$604,0)),""))</f>
        <v>0</v>
      </c>
      <c r="Q124" s="34">
        <f>IF(B124="","",IF(J124="",0,J124)*IF(K124="Yes",2,1))</f>
        <v>0</v>
      </c>
      <c r="R124" s="21">
        <f>IF(B124="","",IF(L124&lt;&gt;"",L124,MileageRate))</f>
        <v>0</v>
      </c>
      <c r="S124" s="21">
        <f>IF(B124="","",ROUND(Q124*R124+IF(M124="",0,M124),2))</f>
        <v>0</v>
      </c>
      <c r="T124" s="39">
        <f>IF(B124="","",IF(J124="","Add - how far?",IF(D124="","Add - who drove?",IF(N124="No","Due - not claimed yet",IF(Q124&gt;200,"Check - a long day","OK")))))</f>
        <v>0</v>
      </c>
    </row>
    <row r="125" spans="1:20">
      <c r="A125" s="43">
        <f>IF(B125="","","MIL-"&amp;TEXT(ROW()-4,"0000"))</f>
        <v>0</v>
      </c>
      <c r="C125" s="23">
        <f>IF(B125="","",TEXT(B125,"yyyy-mm"))</f>
        <v>0</v>
      </c>
      <c r="P125" s="23">
        <f>IF(I125="","",IFERROR(INDEX(Jobs!$H$5:$H$604,MATCH(I125,Jobs!$A$5:$A$604,0)),""))</f>
        <v>0</v>
      </c>
      <c r="Q125" s="34">
        <f>IF(B125="","",IF(J125="",0,J125)*IF(K125="Yes",2,1))</f>
        <v>0</v>
      </c>
      <c r="R125" s="21">
        <f>IF(B125="","",IF(L125&lt;&gt;"",L125,MileageRate))</f>
        <v>0</v>
      </c>
      <c r="S125" s="21">
        <f>IF(B125="","",ROUND(Q125*R125+IF(M125="",0,M125),2))</f>
        <v>0</v>
      </c>
      <c r="T125" s="39">
        <f>IF(B125="","",IF(J125="","Add - how far?",IF(D125="","Add - who drove?",IF(N125="No","Due - not claimed yet",IF(Q125&gt;200,"Check - a long day","OK")))))</f>
        <v>0</v>
      </c>
    </row>
    <row r="126" spans="1:20">
      <c r="A126" s="43">
        <f>IF(B126="","","MIL-"&amp;TEXT(ROW()-4,"0000"))</f>
        <v>0</v>
      </c>
      <c r="C126" s="23">
        <f>IF(B126="","",TEXT(B126,"yyyy-mm"))</f>
        <v>0</v>
      </c>
      <c r="P126" s="23">
        <f>IF(I126="","",IFERROR(INDEX(Jobs!$H$5:$H$604,MATCH(I126,Jobs!$A$5:$A$604,0)),""))</f>
        <v>0</v>
      </c>
      <c r="Q126" s="34">
        <f>IF(B126="","",IF(J126="",0,J126)*IF(K126="Yes",2,1))</f>
        <v>0</v>
      </c>
      <c r="R126" s="21">
        <f>IF(B126="","",IF(L126&lt;&gt;"",L126,MileageRate))</f>
        <v>0</v>
      </c>
      <c r="S126" s="21">
        <f>IF(B126="","",ROUND(Q126*R126+IF(M126="",0,M126),2))</f>
        <v>0</v>
      </c>
      <c r="T126" s="39">
        <f>IF(B126="","",IF(J126="","Add - how far?",IF(D126="","Add - who drove?",IF(N126="No","Due - not claimed yet",IF(Q126&gt;200,"Check - a long day","OK")))))</f>
        <v>0</v>
      </c>
    </row>
    <row r="127" spans="1:20">
      <c r="A127" s="43">
        <f>IF(B127="","","MIL-"&amp;TEXT(ROW()-4,"0000"))</f>
        <v>0</v>
      </c>
      <c r="C127" s="23">
        <f>IF(B127="","",TEXT(B127,"yyyy-mm"))</f>
        <v>0</v>
      </c>
      <c r="P127" s="23">
        <f>IF(I127="","",IFERROR(INDEX(Jobs!$H$5:$H$604,MATCH(I127,Jobs!$A$5:$A$604,0)),""))</f>
        <v>0</v>
      </c>
      <c r="Q127" s="34">
        <f>IF(B127="","",IF(J127="",0,J127)*IF(K127="Yes",2,1))</f>
        <v>0</v>
      </c>
      <c r="R127" s="21">
        <f>IF(B127="","",IF(L127&lt;&gt;"",L127,MileageRate))</f>
        <v>0</v>
      </c>
      <c r="S127" s="21">
        <f>IF(B127="","",ROUND(Q127*R127+IF(M127="",0,M127),2))</f>
        <v>0</v>
      </c>
      <c r="T127" s="39">
        <f>IF(B127="","",IF(J127="","Add - how far?",IF(D127="","Add - who drove?",IF(N127="No","Due - not claimed yet",IF(Q127&gt;200,"Check - a long day","OK")))))</f>
        <v>0</v>
      </c>
    </row>
    <row r="128" spans="1:20">
      <c r="A128" s="43">
        <f>IF(B128="","","MIL-"&amp;TEXT(ROW()-4,"0000"))</f>
        <v>0</v>
      </c>
      <c r="C128" s="23">
        <f>IF(B128="","",TEXT(B128,"yyyy-mm"))</f>
        <v>0</v>
      </c>
      <c r="P128" s="23">
        <f>IF(I128="","",IFERROR(INDEX(Jobs!$H$5:$H$604,MATCH(I128,Jobs!$A$5:$A$604,0)),""))</f>
        <v>0</v>
      </c>
      <c r="Q128" s="34">
        <f>IF(B128="","",IF(J128="",0,J128)*IF(K128="Yes",2,1))</f>
        <v>0</v>
      </c>
      <c r="R128" s="21">
        <f>IF(B128="","",IF(L128&lt;&gt;"",L128,MileageRate))</f>
        <v>0</v>
      </c>
      <c r="S128" s="21">
        <f>IF(B128="","",ROUND(Q128*R128+IF(M128="",0,M128),2))</f>
        <v>0</v>
      </c>
      <c r="T128" s="39">
        <f>IF(B128="","",IF(J128="","Add - how far?",IF(D128="","Add - who drove?",IF(N128="No","Due - not claimed yet",IF(Q128&gt;200,"Check - a long day","OK")))))</f>
        <v>0</v>
      </c>
    </row>
    <row r="129" spans="1:20">
      <c r="A129" s="43">
        <f>IF(B129="","","MIL-"&amp;TEXT(ROW()-4,"0000"))</f>
        <v>0</v>
      </c>
      <c r="C129" s="23">
        <f>IF(B129="","",TEXT(B129,"yyyy-mm"))</f>
        <v>0</v>
      </c>
      <c r="P129" s="23">
        <f>IF(I129="","",IFERROR(INDEX(Jobs!$H$5:$H$604,MATCH(I129,Jobs!$A$5:$A$604,0)),""))</f>
        <v>0</v>
      </c>
      <c r="Q129" s="34">
        <f>IF(B129="","",IF(J129="",0,J129)*IF(K129="Yes",2,1))</f>
        <v>0</v>
      </c>
      <c r="R129" s="21">
        <f>IF(B129="","",IF(L129&lt;&gt;"",L129,MileageRate))</f>
        <v>0</v>
      </c>
      <c r="S129" s="21">
        <f>IF(B129="","",ROUND(Q129*R129+IF(M129="",0,M129),2))</f>
        <v>0</v>
      </c>
      <c r="T129" s="39">
        <f>IF(B129="","",IF(J129="","Add - how far?",IF(D129="","Add - who drove?",IF(N129="No","Due - not claimed yet",IF(Q129&gt;200,"Check - a long day","OK")))))</f>
        <v>0</v>
      </c>
    </row>
    <row r="130" spans="1:20">
      <c r="A130" s="43">
        <f>IF(B130="","","MIL-"&amp;TEXT(ROW()-4,"0000"))</f>
        <v>0</v>
      </c>
      <c r="C130" s="23">
        <f>IF(B130="","",TEXT(B130,"yyyy-mm"))</f>
        <v>0</v>
      </c>
      <c r="P130" s="23">
        <f>IF(I130="","",IFERROR(INDEX(Jobs!$H$5:$H$604,MATCH(I130,Jobs!$A$5:$A$604,0)),""))</f>
        <v>0</v>
      </c>
      <c r="Q130" s="34">
        <f>IF(B130="","",IF(J130="",0,J130)*IF(K130="Yes",2,1))</f>
        <v>0</v>
      </c>
      <c r="R130" s="21">
        <f>IF(B130="","",IF(L130&lt;&gt;"",L130,MileageRate))</f>
        <v>0</v>
      </c>
      <c r="S130" s="21">
        <f>IF(B130="","",ROUND(Q130*R130+IF(M130="",0,M130),2))</f>
        <v>0</v>
      </c>
      <c r="T130" s="39">
        <f>IF(B130="","",IF(J130="","Add - how far?",IF(D130="","Add - who drove?",IF(N130="No","Due - not claimed yet",IF(Q130&gt;200,"Check - a long day","OK")))))</f>
        <v>0</v>
      </c>
    </row>
    <row r="131" spans="1:20">
      <c r="A131" s="43">
        <f>IF(B131="","","MIL-"&amp;TEXT(ROW()-4,"0000"))</f>
        <v>0</v>
      </c>
      <c r="C131" s="23">
        <f>IF(B131="","",TEXT(B131,"yyyy-mm"))</f>
        <v>0</v>
      </c>
      <c r="P131" s="23">
        <f>IF(I131="","",IFERROR(INDEX(Jobs!$H$5:$H$604,MATCH(I131,Jobs!$A$5:$A$604,0)),""))</f>
        <v>0</v>
      </c>
      <c r="Q131" s="34">
        <f>IF(B131="","",IF(J131="",0,J131)*IF(K131="Yes",2,1))</f>
        <v>0</v>
      </c>
      <c r="R131" s="21">
        <f>IF(B131="","",IF(L131&lt;&gt;"",L131,MileageRate))</f>
        <v>0</v>
      </c>
      <c r="S131" s="21">
        <f>IF(B131="","",ROUND(Q131*R131+IF(M131="",0,M131),2))</f>
        <v>0</v>
      </c>
      <c r="T131" s="39">
        <f>IF(B131="","",IF(J131="","Add - how far?",IF(D131="","Add - who drove?",IF(N131="No","Due - not claimed yet",IF(Q131&gt;200,"Check - a long day","OK")))))</f>
        <v>0</v>
      </c>
    </row>
    <row r="132" spans="1:20">
      <c r="A132" s="43">
        <f>IF(B132="","","MIL-"&amp;TEXT(ROW()-4,"0000"))</f>
        <v>0</v>
      </c>
      <c r="C132" s="23">
        <f>IF(B132="","",TEXT(B132,"yyyy-mm"))</f>
        <v>0</v>
      </c>
      <c r="P132" s="23">
        <f>IF(I132="","",IFERROR(INDEX(Jobs!$H$5:$H$604,MATCH(I132,Jobs!$A$5:$A$604,0)),""))</f>
        <v>0</v>
      </c>
      <c r="Q132" s="34">
        <f>IF(B132="","",IF(J132="",0,J132)*IF(K132="Yes",2,1))</f>
        <v>0</v>
      </c>
      <c r="R132" s="21">
        <f>IF(B132="","",IF(L132&lt;&gt;"",L132,MileageRate))</f>
        <v>0</v>
      </c>
      <c r="S132" s="21">
        <f>IF(B132="","",ROUND(Q132*R132+IF(M132="",0,M132),2))</f>
        <v>0</v>
      </c>
      <c r="T132" s="39">
        <f>IF(B132="","",IF(J132="","Add - how far?",IF(D132="","Add - who drove?",IF(N132="No","Due - not claimed yet",IF(Q132&gt;200,"Check - a long day","OK")))))</f>
        <v>0</v>
      </c>
    </row>
    <row r="133" spans="1:20">
      <c r="A133" s="43">
        <f>IF(B133="","","MIL-"&amp;TEXT(ROW()-4,"0000"))</f>
        <v>0</v>
      </c>
      <c r="C133" s="23">
        <f>IF(B133="","",TEXT(B133,"yyyy-mm"))</f>
        <v>0</v>
      </c>
      <c r="P133" s="23">
        <f>IF(I133="","",IFERROR(INDEX(Jobs!$H$5:$H$604,MATCH(I133,Jobs!$A$5:$A$604,0)),""))</f>
        <v>0</v>
      </c>
      <c r="Q133" s="34">
        <f>IF(B133="","",IF(J133="",0,J133)*IF(K133="Yes",2,1))</f>
        <v>0</v>
      </c>
      <c r="R133" s="21">
        <f>IF(B133="","",IF(L133&lt;&gt;"",L133,MileageRate))</f>
        <v>0</v>
      </c>
      <c r="S133" s="21">
        <f>IF(B133="","",ROUND(Q133*R133+IF(M133="",0,M133),2))</f>
        <v>0</v>
      </c>
      <c r="T133" s="39">
        <f>IF(B133="","",IF(J133="","Add - how far?",IF(D133="","Add - who drove?",IF(N133="No","Due - not claimed yet",IF(Q133&gt;200,"Check - a long day","OK")))))</f>
        <v>0</v>
      </c>
    </row>
    <row r="134" spans="1:20">
      <c r="A134" s="43">
        <f>IF(B134="","","MIL-"&amp;TEXT(ROW()-4,"0000"))</f>
        <v>0</v>
      </c>
      <c r="C134" s="23">
        <f>IF(B134="","",TEXT(B134,"yyyy-mm"))</f>
        <v>0</v>
      </c>
      <c r="P134" s="23">
        <f>IF(I134="","",IFERROR(INDEX(Jobs!$H$5:$H$604,MATCH(I134,Jobs!$A$5:$A$604,0)),""))</f>
        <v>0</v>
      </c>
      <c r="Q134" s="34">
        <f>IF(B134="","",IF(J134="",0,J134)*IF(K134="Yes",2,1))</f>
        <v>0</v>
      </c>
      <c r="R134" s="21">
        <f>IF(B134="","",IF(L134&lt;&gt;"",L134,MileageRate))</f>
        <v>0</v>
      </c>
      <c r="S134" s="21">
        <f>IF(B134="","",ROUND(Q134*R134+IF(M134="",0,M134),2))</f>
        <v>0</v>
      </c>
      <c r="T134" s="39">
        <f>IF(B134="","",IF(J134="","Add - how far?",IF(D134="","Add - who drove?",IF(N134="No","Due - not claimed yet",IF(Q134&gt;200,"Check - a long day","OK")))))</f>
        <v>0</v>
      </c>
    </row>
    <row r="135" spans="1:20">
      <c r="A135" s="43">
        <f>IF(B135="","","MIL-"&amp;TEXT(ROW()-4,"0000"))</f>
        <v>0</v>
      </c>
      <c r="C135" s="23">
        <f>IF(B135="","",TEXT(B135,"yyyy-mm"))</f>
        <v>0</v>
      </c>
      <c r="P135" s="23">
        <f>IF(I135="","",IFERROR(INDEX(Jobs!$H$5:$H$604,MATCH(I135,Jobs!$A$5:$A$604,0)),""))</f>
        <v>0</v>
      </c>
      <c r="Q135" s="34">
        <f>IF(B135="","",IF(J135="",0,J135)*IF(K135="Yes",2,1))</f>
        <v>0</v>
      </c>
      <c r="R135" s="21">
        <f>IF(B135="","",IF(L135&lt;&gt;"",L135,MileageRate))</f>
        <v>0</v>
      </c>
      <c r="S135" s="21">
        <f>IF(B135="","",ROUND(Q135*R135+IF(M135="",0,M135),2))</f>
        <v>0</v>
      </c>
      <c r="T135" s="39">
        <f>IF(B135="","",IF(J135="","Add - how far?",IF(D135="","Add - who drove?",IF(N135="No","Due - not claimed yet",IF(Q135&gt;200,"Check - a long day","OK")))))</f>
        <v>0</v>
      </c>
    </row>
    <row r="136" spans="1:20">
      <c r="A136" s="43">
        <f>IF(B136="","","MIL-"&amp;TEXT(ROW()-4,"0000"))</f>
        <v>0</v>
      </c>
      <c r="C136" s="23">
        <f>IF(B136="","",TEXT(B136,"yyyy-mm"))</f>
        <v>0</v>
      </c>
      <c r="P136" s="23">
        <f>IF(I136="","",IFERROR(INDEX(Jobs!$H$5:$H$604,MATCH(I136,Jobs!$A$5:$A$604,0)),""))</f>
        <v>0</v>
      </c>
      <c r="Q136" s="34">
        <f>IF(B136="","",IF(J136="",0,J136)*IF(K136="Yes",2,1))</f>
        <v>0</v>
      </c>
      <c r="R136" s="21">
        <f>IF(B136="","",IF(L136&lt;&gt;"",L136,MileageRate))</f>
        <v>0</v>
      </c>
      <c r="S136" s="21">
        <f>IF(B136="","",ROUND(Q136*R136+IF(M136="",0,M136),2))</f>
        <v>0</v>
      </c>
      <c r="T136" s="39">
        <f>IF(B136="","",IF(J136="","Add - how far?",IF(D136="","Add - who drove?",IF(N136="No","Due - not claimed yet",IF(Q136&gt;200,"Check - a long day","OK")))))</f>
        <v>0</v>
      </c>
    </row>
    <row r="137" spans="1:20">
      <c r="A137" s="43">
        <f>IF(B137="","","MIL-"&amp;TEXT(ROW()-4,"0000"))</f>
        <v>0</v>
      </c>
      <c r="C137" s="23">
        <f>IF(B137="","",TEXT(B137,"yyyy-mm"))</f>
        <v>0</v>
      </c>
      <c r="P137" s="23">
        <f>IF(I137="","",IFERROR(INDEX(Jobs!$H$5:$H$604,MATCH(I137,Jobs!$A$5:$A$604,0)),""))</f>
        <v>0</v>
      </c>
      <c r="Q137" s="34">
        <f>IF(B137="","",IF(J137="",0,J137)*IF(K137="Yes",2,1))</f>
        <v>0</v>
      </c>
      <c r="R137" s="21">
        <f>IF(B137="","",IF(L137&lt;&gt;"",L137,MileageRate))</f>
        <v>0</v>
      </c>
      <c r="S137" s="21">
        <f>IF(B137="","",ROUND(Q137*R137+IF(M137="",0,M137),2))</f>
        <v>0</v>
      </c>
      <c r="T137" s="39">
        <f>IF(B137="","",IF(J137="","Add - how far?",IF(D137="","Add - who drove?",IF(N137="No","Due - not claimed yet",IF(Q137&gt;200,"Check - a long day","OK")))))</f>
        <v>0</v>
      </c>
    </row>
    <row r="138" spans="1:20">
      <c r="A138" s="43">
        <f>IF(B138="","","MIL-"&amp;TEXT(ROW()-4,"0000"))</f>
        <v>0</v>
      </c>
      <c r="C138" s="23">
        <f>IF(B138="","",TEXT(B138,"yyyy-mm"))</f>
        <v>0</v>
      </c>
      <c r="P138" s="23">
        <f>IF(I138="","",IFERROR(INDEX(Jobs!$H$5:$H$604,MATCH(I138,Jobs!$A$5:$A$604,0)),""))</f>
        <v>0</v>
      </c>
      <c r="Q138" s="34">
        <f>IF(B138="","",IF(J138="",0,J138)*IF(K138="Yes",2,1))</f>
        <v>0</v>
      </c>
      <c r="R138" s="21">
        <f>IF(B138="","",IF(L138&lt;&gt;"",L138,MileageRate))</f>
        <v>0</v>
      </c>
      <c r="S138" s="21">
        <f>IF(B138="","",ROUND(Q138*R138+IF(M138="",0,M138),2))</f>
        <v>0</v>
      </c>
      <c r="T138" s="39">
        <f>IF(B138="","",IF(J138="","Add - how far?",IF(D138="","Add - who drove?",IF(N138="No","Due - not claimed yet",IF(Q138&gt;200,"Check - a long day","OK")))))</f>
        <v>0</v>
      </c>
    </row>
    <row r="139" spans="1:20">
      <c r="A139" s="43">
        <f>IF(B139="","","MIL-"&amp;TEXT(ROW()-4,"0000"))</f>
        <v>0</v>
      </c>
      <c r="C139" s="23">
        <f>IF(B139="","",TEXT(B139,"yyyy-mm"))</f>
        <v>0</v>
      </c>
      <c r="P139" s="23">
        <f>IF(I139="","",IFERROR(INDEX(Jobs!$H$5:$H$604,MATCH(I139,Jobs!$A$5:$A$604,0)),""))</f>
        <v>0</v>
      </c>
      <c r="Q139" s="34">
        <f>IF(B139="","",IF(J139="",0,J139)*IF(K139="Yes",2,1))</f>
        <v>0</v>
      </c>
      <c r="R139" s="21">
        <f>IF(B139="","",IF(L139&lt;&gt;"",L139,MileageRate))</f>
        <v>0</v>
      </c>
      <c r="S139" s="21">
        <f>IF(B139="","",ROUND(Q139*R139+IF(M139="",0,M139),2))</f>
        <v>0</v>
      </c>
      <c r="T139" s="39">
        <f>IF(B139="","",IF(J139="","Add - how far?",IF(D139="","Add - who drove?",IF(N139="No","Due - not claimed yet",IF(Q139&gt;200,"Check - a long day","OK")))))</f>
        <v>0</v>
      </c>
    </row>
    <row r="140" spans="1:20">
      <c r="A140" s="43">
        <f>IF(B140="","","MIL-"&amp;TEXT(ROW()-4,"0000"))</f>
        <v>0</v>
      </c>
      <c r="C140" s="23">
        <f>IF(B140="","",TEXT(B140,"yyyy-mm"))</f>
        <v>0</v>
      </c>
      <c r="P140" s="23">
        <f>IF(I140="","",IFERROR(INDEX(Jobs!$H$5:$H$604,MATCH(I140,Jobs!$A$5:$A$604,0)),""))</f>
        <v>0</v>
      </c>
      <c r="Q140" s="34">
        <f>IF(B140="","",IF(J140="",0,J140)*IF(K140="Yes",2,1))</f>
        <v>0</v>
      </c>
      <c r="R140" s="21">
        <f>IF(B140="","",IF(L140&lt;&gt;"",L140,MileageRate))</f>
        <v>0</v>
      </c>
      <c r="S140" s="21">
        <f>IF(B140="","",ROUND(Q140*R140+IF(M140="",0,M140),2))</f>
        <v>0</v>
      </c>
      <c r="T140" s="39">
        <f>IF(B140="","",IF(J140="","Add - how far?",IF(D140="","Add - who drove?",IF(N140="No","Due - not claimed yet",IF(Q140&gt;200,"Check - a long day","OK")))))</f>
        <v>0</v>
      </c>
    </row>
    <row r="141" spans="1:20">
      <c r="A141" s="43">
        <f>IF(B141="","","MIL-"&amp;TEXT(ROW()-4,"0000"))</f>
        <v>0</v>
      </c>
      <c r="C141" s="23">
        <f>IF(B141="","",TEXT(B141,"yyyy-mm"))</f>
        <v>0</v>
      </c>
      <c r="P141" s="23">
        <f>IF(I141="","",IFERROR(INDEX(Jobs!$H$5:$H$604,MATCH(I141,Jobs!$A$5:$A$604,0)),""))</f>
        <v>0</v>
      </c>
      <c r="Q141" s="34">
        <f>IF(B141="","",IF(J141="",0,J141)*IF(K141="Yes",2,1))</f>
        <v>0</v>
      </c>
      <c r="R141" s="21">
        <f>IF(B141="","",IF(L141&lt;&gt;"",L141,MileageRate))</f>
        <v>0</v>
      </c>
      <c r="S141" s="21">
        <f>IF(B141="","",ROUND(Q141*R141+IF(M141="",0,M141),2))</f>
        <v>0</v>
      </c>
      <c r="T141" s="39">
        <f>IF(B141="","",IF(J141="","Add - how far?",IF(D141="","Add - who drove?",IF(N141="No","Due - not claimed yet",IF(Q141&gt;200,"Check - a long day","OK")))))</f>
        <v>0</v>
      </c>
    </row>
    <row r="142" spans="1:20">
      <c r="A142" s="43">
        <f>IF(B142="","","MIL-"&amp;TEXT(ROW()-4,"0000"))</f>
        <v>0</v>
      </c>
      <c r="C142" s="23">
        <f>IF(B142="","",TEXT(B142,"yyyy-mm"))</f>
        <v>0</v>
      </c>
      <c r="P142" s="23">
        <f>IF(I142="","",IFERROR(INDEX(Jobs!$H$5:$H$604,MATCH(I142,Jobs!$A$5:$A$604,0)),""))</f>
        <v>0</v>
      </c>
      <c r="Q142" s="34">
        <f>IF(B142="","",IF(J142="",0,J142)*IF(K142="Yes",2,1))</f>
        <v>0</v>
      </c>
      <c r="R142" s="21">
        <f>IF(B142="","",IF(L142&lt;&gt;"",L142,MileageRate))</f>
        <v>0</v>
      </c>
      <c r="S142" s="21">
        <f>IF(B142="","",ROUND(Q142*R142+IF(M142="",0,M142),2))</f>
        <v>0</v>
      </c>
      <c r="T142" s="39">
        <f>IF(B142="","",IF(J142="","Add - how far?",IF(D142="","Add - who drove?",IF(N142="No","Due - not claimed yet",IF(Q142&gt;200,"Check - a long day","OK")))))</f>
        <v>0</v>
      </c>
    </row>
    <row r="143" spans="1:20">
      <c r="A143" s="43">
        <f>IF(B143="","","MIL-"&amp;TEXT(ROW()-4,"0000"))</f>
        <v>0</v>
      </c>
      <c r="C143" s="23">
        <f>IF(B143="","",TEXT(B143,"yyyy-mm"))</f>
        <v>0</v>
      </c>
      <c r="P143" s="23">
        <f>IF(I143="","",IFERROR(INDEX(Jobs!$H$5:$H$604,MATCH(I143,Jobs!$A$5:$A$604,0)),""))</f>
        <v>0</v>
      </c>
      <c r="Q143" s="34">
        <f>IF(B143="","",IF(J143="",0,J143)*IF(K143="Yes",2,1))</f>
        <v>0</v>
      </c>
      <c r="R143" s="21">
        <f>IF(B143="","",IF(L143&lt;&gt;"",L143,MileageRate))</f>
        <v>0</v>
      </c>
      <c r="S143" s="21">
        <f>IF(B143="","",ROUND(Q143*R143+IF(M143="",0,M143),2))</f>
        <v>0</v>
      </c>
      <c r="T143" s="39">
        <f>IF(B143="","",IF(J143="","Add - how far?",IF(D143="","Add - who drove?",IF(N143="No","Due - not claimed yet",IF(Q143&gt;200,"Check - a long day","OK")))))</f>
        <v>0</v>
      </c>
    </row>
    <row r="144" spans="1:20">
      <c r="A144" s="43">
        <f>IF(B144="","","MIL-"&amp;TEXT(ROW()-4,"0000"))</f>
        <v>0</v>
      </c>
      <c r="C144" s="23">
        <f>IF(B144="","",TEXT(B144,"yyyy-mm"))</f>
        <v>0</v>
      </c>
      <c r="P144" s="23">
        <f>IF(I144="","",IFERROR(INDEX(Jobs!$H$5:$H$604,MATCH(I144,Jobs!$A$5:$A$604,0)),""))</f>
        <v>0</v>
      </c>
      <c r="Q144" s="34">
        <f>IF(B144="","",IF(J144="",0,J144)*IF(K144="Yes",2,1))</f>
        <v>0</v>
      </c>
      <c r="R144" s="21">
        <f>IF(B144="","",IF(L144&lt;&gt;"",L144,MileageRate))</f>
        <v>0</v>
      </c>
      <c r="S144" s="21">
        <f>IF(B144="","",ROUND(Q144*R144+IF(M144="",0,M144),2))</f>
        <v>0</v>
      </c>
      <c r="T144" s="39">
        <f>IF(B144="","",IF(J144="","Add - how far?",IF(D144="","Add - who drove?",IF(N144="No","Due - not claimed yet",IF(Q144&gt;200,"Check - a long day","OK")))))</f>
        <v>0</v>
      </c>
    </row>
    <row r="145" spans="1:20">
      <c r="A145" s="43">
        <f>IF(B145="","","MIL-"&amp;TEXT(ROW()-4,"0000"))</f>
        <v>0</v>
      </c>
      <c r="C145" s="23">
        <f>IF(B145="","",TEXT(B145,"yyyy-mm"))</f>
        <v>0</v>
      </c>
      <c r="P145" s="23">
        <f>IF(I145="","",IFERROR(INDEX(Jobs!$H$5:$H$604,MATCH(I145,Jobs!$A$5:$A$604,0)),""))</f>
        <v>0</v>
      </c>
      <c r="Q145" s="34">
        <f>IF(B145="","",IF(J145="",0,J145)*IF(K145="Yes",2,1))</f>
        <v>0</v>
      </c>
      <c r="R145" s="21">
        <f>IF(B145="","",IF(L145&lt;&gt;"",L145,MileageRate))</f>
        <v>0</v>
      </c>
      <c r="S145" s="21">
        <f>IF(B145="","",ROUND(Q145*R145+IF(M145="",0,M145),2))</f>
        <v>0</v>
      </c>
      <c r="T145" s="39">
        <f>IF(B145="","",IF(J145="","Add - how far?",IF(D145="","Add - who drove?",IF(N145="No","Due - not claimed yet",IF(Q145&gt;200,"Check - a long day","OK")))))</f>
        <v>0</v>
      </c>
    </row>
    <row r="146" spans="1:20">
      <c r="A146" s="43">
        <f>IF(B146="","","MIL-"&amp;TEXT(ROW()-4,"0000"))</f>
        <v>0</v>
      </c>
      <c r="C146" s="23">
        <f>IF(B146="","",TEXT(B146,"yyyy-mm"))</f>
        <v>0</v>
      </c>
      <c r="P146" s="23">
        <f>IF(I146="","",IFERROR(INDEX(Jobs!$H$5:$H$604,MATCH(I146,Jobs!$A$5:$A$604,0)),""))</f>
        <v>0</v>
      </c>
      <c r="Q146" s="34">
        <f>IF(B146="","",IF(J146="",0,J146)*IF(K146="Yes",2,1))</f>
        <v>0</v>
      </c>
      <c r="R146" s="21">
        <f>IF(B146="","",IF(L146&lt;&gt;"",L146,MileageRate))</f>
        <v>0</v>
      </c>
      <c r="S146" s="21">
        <f>IF(B146="","",ROUND(Q146*R146+IF(M146="",0,M146),2))</f>
        <v>0</v>
      </c>
      <c r="T146" s="39">
        <f>IF(B146="","",IF(J146="","Add - how far?",IF(D146="","Add - who drove?",IF(N146="No","Due - not claimed yet",IF(Q146&gt;200,"Check - a long day","OK")))))</f>
        <v>0</v>
      </c>
    </row>
    <row r="147" spans="1:20">
      <c r="A147" s="43">
        <f>IF(B147="","","MIL-"&amp;TEXT(ROW()-4,"0000"))</f>
        <v>0</v>
      </c>
      <c r="C147" s="23">
        <f>IF(B147="","",TEXT(B147,"yyyy-mm"))</f>
        <v>0</v>
      </c>
      <c r="P147" s="23">
        <f>IF(I147="","",IFERROR(INDEX(Jobs!$H$5:$H$604,MATCH(I147,Jobs!$A$5:$A$604,0)),""))</f>
        <v>0</v>
      </c>
      <c r="Q147" s="34">
        <f>IF(B147="","",IF(J147="",0,J147)*IF(K147="Yes",2,1))</f>
        <v>0</v>
      </c>
      <c r="R147" s="21">
        <f>IF(B147="","",IF(L147&lt;&gt;"",L147,MileageRate))</f>
        <v>0</v>
      </c>
      <c r="S147" s="21">
        <f>IF(B147="","",ROUND(Q147*R147+IF(M147="",0,M147),2))</f>
        <v>0</v>
      </c>
      <c r="T147" s="39">
        <f>IF(B147="","",IF(J147="","Add - how far?",IF(D147="","Add - who drove?",IF(N147="No","Due - not claimed yet",IF(Q147&gt;200,"Check - a long day","OK")))))</f>
        <v>0</v>
      </c>
    </row>
    <row r="148" spans="1:20">
      <c r="A148" s="43">
        <f>IF(B148="","","MIL-"&amp;TEXT(ROW()-4,"0000"))</f>
        <v>0</v>
      </c>
      <c r="C148" s="23">
        <f>IF(B148="","",TEXT(B148,"yyyy-mm"))</f>
        <v>0</v>
      </c>
      <c r="P148" s="23">
        <f>IF(I148="","",IFERROR(INDEX(Jobs!$H$5:$H$604,MATCH(I148,Jobs!$A$5:$A$604,0)),""))</f>
        <v>0</v>
      </c>
      <c r="Q148" s="34">
        <f>IF(B148="","",IF(J148="",0,J148)*IF(K148="Yes",2,1))</f>
        <v>0</v>
      </c>
      <c r="R148" s="21">
        <f>IF(B148="","",IF(L148&lt;&gt;"",L148,MileageRate))</f>
        <v>0</v>
      </c>
      <c r="S148" s="21">
        <f>IF(B148="","",ROUND(Q148*R148+IF(M148="",0,M148),2))</f>
        <v>0</v>
      </c>
      <c r="T148" s="39">
        <f>IF(B148="","",IF(J148="","Add - how far?",IF(D148="","Add - who drove?",IF(N148="No","Due - not claimed yet",IF(Q148&gt;200,"Check - a long day","OK")))))</f>
        <v>0</v>
      </c>
    </row>
    <row r="149" spans="1:20">
      <c r="A149" s="43">
        <f>IF(B149="","","MIL-"&amp;TEXT(ROW()-4,"0000"))</f>
        <v>0</v>
      </c>
      <c r="C149" s="23">
        <f>IF(B149="","",TEXT(B149,"yyyy-mm"))</f>
        <v>0</v>
      </c>
      <c r="P149" s="23">
        <f>IF(I149="","",IFERROR(INDEX(Jobs!$H$5:$H$604,MATCH(I149,Jobs!$A$5:$A$604,0)),""))</f>
        <v>0</v>
      </c>
      <c r="Q149" s="34">
        <f>IF(B149="","",IF(J149="",0,J149)*IF(K149="Yes",2,1))</f>
        <v>0</v>
      </c>
      <c r="R149" s="21">
        <f>IF(B149="","",IF(L149&lt;&gt;"",L149,MileageRate))</f>
        <v>0</v>
      </c>
      <c r="S149" s="21">
        <f>IF(B149="","",ROUND(Q149*R149+IF(M149="",0,M149),2))</f>
        <v>0</v>
      </c>
      <c r="T149" s="39">
        <f>IF(B149="","",IF(J149="","Add - how far?",IF(D149="","Add - who drove?",IF(N149="No","Due - not claimed yet",IF(Q149&gt;200,"Check - a long day","OK")))))</f>
        <v>0</v>
      </c>
    </row>
    <row r="150" spans="1:20">
      <c r="A150" s="43">
        <f>IF(B150="","","MIL-"&amp;TEXT(ROW()-4,"0000"))</f>
        <v>0</v>
      </c>
      <c r="C150" s="23">
        <f>IF(B150="","",TEXT(B150,"yyyy-mm"))</f>
        <v>0</v>
      </c>
      <c r="P150" s="23">
        <f>IF(I150="","",IFERROR(INDEX(Jobs!$H$5:$H$604,MATCH(I150,Jobs!$A$5:$A$604,0)),""))</f>
        <v>0</v>
      </c>
      <c r="Q150" s="34">
        <f>IF(B150="","",IF(J150="",0,J150)*IF(K150="Yes",2,1))</f>
        <v>0</v>
      </c>
      <c r="R150" s="21">
        <f>IF(B150="","",IF(L150&lt;&gt;"",L150,MileageRate))</f>
        <v>0</v>
      </c>
      <c r="S150" s="21">
        <f>IF(B150="","",ROUND(Q150*R150+IF(M150="",0,M150),2))</f>
        <v>0</v>
      </c>
      <c r="T150" s="39">
        <f>IF(B150="","",IF(J150="","Add - how far?",IF(D150="","Add - who drove?",IF(N150="No","Due - not claimed yet",IF(Q150&gt;200,"Check - a long day","OK")))))</f>
        <v>0</v>
      </c>
    </row>
    <row r="151" spans="1:20">
      <c r="A151" s="43">
        <f>IF(B151="","","MIL-"&amp;TEXT(ROW()-4,"0000"))</f>
        <v>0</v>
      </c>
      <c r="C151" s="23">
        <f>IF(B151="","",TEXT(B151,"yyyy-mm"))</f>
        <v>0</v>
      </c>
      <c r="P151" s="23">
        <f>IF(I151="","",IFERROR(INDEX(Jobs!$H$5:$H$604,MATCH(I151,Jobs!$A$5:$A$604,0)),""))</f>
        <v>0</v>
      </c>
      <c r="Q151" s="34">
        <f>IF(B151="","",IF(J151="",0,J151)*IF(K151="Yes",2,1))</f>
        <v>0</v>
      </c>
      <c r="R151" s="21">
        <f>IF(B151="","",IF(L151&lt;&gt;"",L151,MileageRate))</f>
        <v>0</v>
      </c>
      <c r="S151" s="21">
        <f>IF(B151="","",ROUND(Q151*R151+IF(M151="",0,M151),2))</f>
        <v>0</v>
      </c>
      <c r="T151" s="39">
        <f>IF(B151="","",IF(J151="","Add - how far?",IF(D151="","Add - who drove?",IF(N151="No","Due - not claimed yet",IF(Q151&gt;200,"Check - a long day","OK")))))</f>
        <v>0</v>
      </c>
    </row>
    <row r="152" spans="1:20">
      <c r="A152" s="43">
        <f>IF(B152="","","MIL-"&amp;TEXT(ROW()-4,"0000"))</f>
        <v>0</v>
      </c>
      <c r="C152" s="23">
        <f>IF(B152="","",TEXT(B152,"yyyy-mm"))</f>
        <v>0</v>
      </c>
      <c r="P152" s="23">
        <f>IF(I152="","",IFERROR(INDEX(Jobs!$H$5:$H$604,MATCH(I152,Jobs!$A$5:$A$604,0)),""))</f>
        <v>0</v>
      </c>
      <c r="Q152" s="34">
        <f>IF(B152="","",IF(J152="",0,J152)*IF(K152="Yes",2,1))</f>
        <v>0</v>
      </c>
      <c r="R152" s="21">
        <f>IF(B152="","",IF(L152&lt;&gt;"",L152,MileageRate))</f>
        <v>0</v>
      </c>
      <c r="S152" s="21">
        <f>IF(B152="","",ROUND(Q152*R152+IF(M152="",0,M152),2))</f>
        <v>0</v>
      </c>
      <c r="T152" s="39">
        <f>IF(B152="","",IF(J152="","Add - how far?",IF(D152="","Add - who drove?",IF(N152="No","Due - not claimed yet",IF(Q152&gt;200,"Check - a long day","OK")))))</f>
        <v>0</v>
      </c>
    </row>
    <row r="153" spans="1:20">
      <c r="A153" s="43">
        <f>IF(B153="","","MIL-"&amp;TEXT(ROW()-4,"0000"))</f>
        <v>0</v>
      </c>
      <c r="C153" s="23">
        <f>IF(B153="","",TEXT(B153,"yyyy-mm"))</f>
        <v>0</v>
      </c>
      <c r="P153" s="23">
        <f>IF(I153="","",IFERROR(INDEX(Jobs!$H$5:$H$604,MATCH(I153,Jobs!$A$5:$A$604,0)),""))</f>
        <v>0</v>
      </c>
      <c r="Q153" s="34">
        <f>IF(B153="","",IF(J153="",0,J153)*IF(K153="Yes",2,1))</f>
        <v>0</v>
      </c>
      <c r="R153" s="21">
        <f>IF(B153="","",IF(L153&lt;&gt;"",L153,MileageRate))</f>
        <v>0</v>
      </c>
      <c r="S153" s="21">
        <f>IF(B153="","",ROUND(Q153*R153+IF(M153="",0,M153),2))</f>
        <v>0</v>
      </c>
      <c r="T153" s="39">
        <f>IF(B153="","",IF(J153="","Add - how far?",IF(D153="","Add - who drove?",IF(N153="No","Due - not claimed yet",IF(Q153&gt;200,"Check - a long day","OK")))))</f>
        <v>0</v>
      </c>
    </row>
    <row r="154" spans="1:20">
      <c r="A154" s="43">
        <f>IF(B154="","","MIL-"&amp;TEXT(ROW()-4,"0000"))</f>
        <v>0</v>
      </c>
      <c r="C154" s="23">
        <f>IF(B154="","",TEXT(B154,"yyyy-mm"))</f>
        <v>0</v>
      </c>
      <c r="P154" s="23">
        <f>IF(I154="","",IFERROR(INDEX(Jobs!$H$5:$H$604,MATCH(I154,Jobs!$A$5:$A$604,0)),""))</f>
        <v>0</v>
      </c>
      <c r="Q154" s="34">
        <f>IF(B154="","",IF(J154="",0,J154)*IF(K154="Yes",2,1))</f>
        <v>0</v>
      </c>
      <c r="R154" s="21">
        <f>IF(B154="","",IF(L154&lt;&gt;"",L154,MileageRate))</f>
        <v>0</v>
      </c>
      <c r="S154" s="21">
        <f>IF(B154="","",ROUND(Q154*R154+IF(M154="",0,M154),2))</f>
        <v>0</v>
      </c>
      <c r="T154" s="39">
        <f>IF(B154="","",IF(J154="","Add - how far?",IF(D154="","Add - who drove?",IF(N154="No","Due - not claimed yet",IF(Q154&gt;200,"Check - a long day","OK")))))</f>
        <v>0</v>
      </c>
    </row>
    <row r="155" spans="1:20">
      <c r="A155" s="43">
        <f>IF(B155="","","MIL-"&amp;TEXT(ROW()-4,"0000"))</f>
        <v>0</v>
      </c>
      <c r="C155" s="23">
        <f>IF(B155="","",TEXT(B155,"yyyy-mm"))</f>
        <v>0</v>
      </c>
      <c r="P155" s="23">
        <f>IF(I155="","",IFERROR(INDEX(Jobs!$H$5:$H$604,MATCH(I155,Jobs!$A$5:$A$604,0)),""))</f>
        <v>0</v>
      </c>
      <c r="Q155" s="34">
        <f>IF(B155="","",IF(J155="",0,J155)*IF(K155="Yes",2,1))</f>
        <v>0</v>
      </c>
      <c r="R155" s="21">
        <f>IF(B155="","",IF(L155&lt;&gt;"",L155,MileageRate))</f>
        <v>0</v>
      </c>
      <c r="S155" s="21">
        <f>IF(B155="","",ROUND(Q155*R155+IF(M155="",0,M155),2))</f>
        <v>0</v>
      </c>
      <c r="T155" s="39">
        <f>IF(B155="","",IF(J155="","Add - how far?",IF(D155="","Add - who drove?",IF(N155="No","Due - not claimed yet",IF(Q155&gt;200,"Check - a long day","OK")))))</f>
        <v>0</v>
      </c>
    </row>
    <row r="156" spans="1:20">
      <c r="A156" s="43">
        <f>IF(B156="","","MIL-"&amp;TEXT(ROW()-4,"0000"))</f>
        <v>0</v>
      </c>
      <c r="C156" s="23">
        <f>IF(B156="","",TEXT(B156,"yyyy-mm"))</f>
        <v>0</v>
      </c>
      <c r="P156" s="23">
        <f>IF(I156="","",IFERROR(INDEX(Jobs!$H$5:$H$604,MATCH(I156,Jobs!$A$5:$A$604,0)),""))</f>
        <v>0</v>
      </c>
      <c r="Q156" s="34">
        <f>IF(B156="","",IF(J156="",0,J156)*IF(K156="Yes",2,1))</f>
        <v>0</v>
      </c>
      <c r="R156" s="21">
        <f>IF(B156="","",IF(L156&lt;&gt;"",L156,MileageRate))</f>
        <v>0</v>
      </c>
      <c r="S156" s="21">
        <f>IF(B156="","",ROUND(Q156*R156+IF(M156="",0,M156),2))</f>
        <v>0</v>
      </c>
      <c r="T156" s="39">
        <f>IF(B156="","",IF(J156="","Add - how far?",IF(D156="","Add - who drove?",IF(N156="No","Due - not claimed yet",IF(Q156&gt;200,"Check - a long day","OK")))))</f>
        <v>0</v>
      </c>
    </row>
    <row r="157" spans="1:20">
      <c r="A157" s="43">
        <f>IF(B157="","","MIL-"&amp;TEXT(ROW()-4,"0000"))</f>
        <v>0</v>
      </c>
      <c r="C157" s="23">
        <f>IF(B157="","",TEXT(B157,"yyyy-mm"))</f>
        <v>0</v>
      </c>
      <c r="P157" s="23">
        <f>IF(I157="","",IFERROR(INDEX(Jobs!$H$5:$H$604,MATCH(I157,Jobs!$A$5:$A$604,0)),""))</f>
        <v>0</v>
      </c>
      <c r="Q157" s="34">
        <f>IF(B157="","",IF(J157="",0,J157)*IF(K157="Yes",2,1))</f>
        <v>0</v>
      </c>
      <c r="R157" s="21">
        <f>IF(B157="","",IF(L157&lt;&gt;"",L157,MileageRate))</f>
        <v>0</v>
      </c>
      <c r="S157" s="21">
        <f>IF(B157="","",ROUND(Q157*R157+IF(M157="",0,M157),2))</f>
        <v>0</v>
      </c>
      <c r="T157" s="39">
        <f>IF(B157="","",IF(J157="","Add - how far?",IF(D157="","Add - who drove?",IF(N157="No","Due - not claimed yet",IF(Q157&gt;200,"Check - a long day","OK")))))</f>
        <v>0</v>
      </c>
    </row>
    <row r="158" spans="1:20">
      <c r="A158" s="43">
        <f>IF(B158="","","MIL-"&amp;TEXT(ROW()-4,"0000"))</f>
        <v>0</v>
      </c>
      <c r="C158" s="23">
        <f>IF(B158="","",TEXT(B158,"yyyy-mm"))</f>
        <v>0</v>
      </c>
      <c r="P158" s="23">
        <f>IF(I158="","",IFERROR(INDEX(Jobs!$H$5:$H$604,MATCH(I158,Jobs!$A$5:$A$604,0)),""))</f>
        <v>0</v>
      </c>
      <c r="Q158" s="34">
        <f>IF(B158="","",IF(J158="",0,J158)*IF(K158="Yes",2,1))</f>
        <v>0</v>
      </c>
      <c r="R158" s="21">
        <f>IF(B158="","",IF(L158&lt;&gt;"",L158,MileageRate))</f>
        <v>0</v>
      </c>
      <c r="S158" s="21">
        <f>IF(B158="","",ROUND(Q158*R158+IF(M158="",0,M158),2))</f>
        <v>0</v>
      </c>
      <c r="T158" s="39">
        <f>IF(B158="","",IF(J158="","Add - how far?",IF(D158="","Add - who drove?",IF(N158="No","Due - not claimed yet",IF(Q158&gt;200,"Check - a long day","OK")))))</f>
        <v>0</v>
      </c>
    </row>
    <row r="159" spans="1:20">
      <c r="A159" s="43">
        <f>IF(B159="","","MIL-"&amp;TEXT(ROW()-4,"0000"))</f>
        <v>0</v>
      </c>
      <c r="C159" s="23">
        <f>IF(B159="","",TEXT(B159,"yyyy-mm"))</f>
        <v>0</v>
      </c>
      <c r="P159" s="23">
        <f>IF(I159="","",IFERROR(INDEX(Jobs!$H$5:$H$604,MATCH(I159,Jobs!$A$5:$A$604,0)),""))</f>
        <v>0</v>
      </c>
      <c r="Q159" s="34">
        <f>IF(B159="","",IF(J159="",0,J159)*IF(K159="Yes",2,1))</f>
        <v>0</v>
      </c>
      <c r="R159" s="21">
        <f>IF(B159="","",IF(L159&lt;&gt;"",L159,MileageRate))</f>
        <v>0</v>
      </c>
      <c r="S159" s="21">
        <f>IF(B159="","",ROUND(Q159*R159+IF(M159="",0,M159),2))</f>
        <v>0</v>
      </c>
      <c r="T159" s="39">
        <f>IF(B159="","",IF(J159="","Add - how far?",IF(D159="","Add - who drove?",IF(N159="No","Due - not claimed yet",IF(Q159&gt;200,"Check - a long day","OK")))))</f>
        <v>0</v>
      </c>
    </row>
    <row r="160" spans="1:20">
      <c r="A160" s="43">
        <f>IF(B160="","","MIL-"&amp;TEXT(ROW()-4,"0000"))</f>
        <v>0</v>
      </c>
      <c r="C160" s="23">
        <f>IF(B160="","",TEXT(B160,"yyyy-mm"))</f>
        <v>0</v>
      </c>
      <c r="P160" s="23">
        <f>IF(I160="","",IFERROR(INDEX(Jobs!$H$5:$H$604,MATCH(I160,Jobs!$A$5:$A$604,0)),""))</f>
        <v>0</v>
      </c>
      <c r="Q160" s="34">
        <f>IF(B160="","",IF(J160="",0,J160)*IF(K160="Yes",2,1))</f>
        <v>0</v>
      </c>
      <c r="R160" s="21">
        <f>IF(B160="","",IF(L160&lt;&gt;"",L160,MileageRate))</f>
        <v>0</v>
      </c>
      <c r="S160" s="21">
        <f>IF(B160="","",ROUND(Q160*R160+IF(M160="",0,M160),2))</f>
        <v>0</v>
      </c>
      <c r="T160" s="39">
        <f>IF(B160="","",IF(J160="","Add - how far?",IF(D160="","Add - who drove?",IF(N160="No","Due - not claimed yet",IF(Q160&gt;200,"Check - a long day","OK")))))</f>
        <v>0</v>
      </c>
    </row>
    <row r="161" spans="1:20">
      <c r="A161" s="43">
        <f>IF(B161="","","MIL-"&amp;TEXT(ROW()-4,"0000"))</f>
        <v>0</v>
      </c>
      <c r="C161" s="23">
        <f>IF(B161="","",TEXT(B161,"yyyy-mm"))</f>
        <v>0</v>
      </c>
      <c r="P161" s="23">
        <f>IF(I161="","",IFERROR(INDEX(Jobs!$H$5:$H$604,MATCH(I161,Jobs!$A$5:$A$604,0)),""))</f>
        <v>0</v>
      </c>
      <c r="Q161" s="34">
        <f>IF(B161="","",IF(J161="",0,J161)*IF(K161="Yes",2,1))</f>
        <v>0</v>
      </c>
      <c r="R161" s="21">
        <f>IF(B161="","",IF(L161&lt;&gt;"",L161,MileageRate))</f>
        <v>0</v>
      </c>
      <c r="S161" s="21">
        <f>IF(B161="","",ROUND(Q161*R161+IF(M161="",0,M161),2))</f>
        <v>0</v>
      </c>
      <c r="T161" s="39">
        <f>IF(B161="","",IF(J161="","Add - how far?",IF(D161="","Add - who drove?",IF(N161="No","Due - not claimed yet",IF(Q161&gt;200,"Check - a long day","OK")))))</f>
        <v>0</v>
      </c>
    </row>
    <row r="162" spans="1:20">
      <c r="A162" s="43">
        <f>IF(B162="","","MIL-"&amp;TEXT(ROW()-4,"0000"))</f>
        <v>0</v>
      </c>
      <c r="C162" s="23">
        <f>IF(B162="","",TEXT(B162,"yyyy-mm"))</f>
        <v>0</v>
      </c>
      <c r="P162" s="23">
        <f>IF(I162="","",IFERROR(INDEX(Jobs!$H$5:$H$604,MATCH(I162,Jobs!$A$5:$A$604,0)),""))</f>
        <v>0</v>
      </c>
      <c r="Q162" s="34">
        <f>IF(B162="","",IF(J162="",0,J162)*IF(K162="Yes",2,1))</f>
        <v>0</v>
      </c>
      <c r="R162" s="21">
        <f>IF(B162="","",IF(L162&lt;&gt;"",L162,MileageRate))</f>
        <v>0</v>
      </c>
      <c r="S162" s="21">
        <f>IF(B162="","",ROUND(Q162*R162+IF(M162="",0,M162),2))</f>
        <v>0</v>
      </c>
      <c r="T162" s="39">
        <f>IF(B162="","",IF(J162="","Add - how far?",IF(D162="","Add - who drove?",IF(N162="No","Due - not claimed yet",IF(Q162&gt;200,"Check - a long day","OK")))))</f>
        <v>0</v>
      </c>
    </row>
    <row r="163" spans="1:20">
      <c r="A163" s="43">
        <f>IF(B163="","","MIL-"&amp;TEXT(ROW()-4,"0000"))</f>
        <v>0</v>
      </c>
      <c r="C163" s="23">
        <f>IF(B163="","",TEXT(B163,"yyyy-mm"))</f>
        <v>0</v>
      </c>
      <c r="P163" s="23">
        <f>IF(I163="","",IFERROR(INDEX(Jobs!$H$5:$H$604,MATCH(I163,Jobs!$A$5:$A$604,0)),""))</f>
        <v>0</v>
      </c>
      <c r="Q163" s="34">
        <f>IF(B163="","",IF(J163="",0,J163)*IF(K163="Yes",2,1))</f>
        <v>0</v>
      </c>
      <c r="R163" s="21">
        <f>IF(B163="","",IF(L163&lt;&gt;"",L163,MileageRate))</f>
        <v>0</v>
      </c>
      <c r="S163" s="21">
        <f>IF(B163="","",ROUND(Q163*R163+IF(M163="",0,M163),2))</f>
        <v>0</v>
      </c>
      <c r="T163" s="39">
        <f>IF(B163="","",IF(J163="","Add - how far?",IF(D163="","Add - who drove?",IF(N163="No","Due - not claimed yet",IF(Q163&gt;200,"Check - a long day","OK")))))</f>
        <v>0</v>
      </c>
    </row>
    <row r="164" spans="1:20">
      <c r="A164" s="43">
        <f>IF(B164="","","MIL-"&amp;TEXT(ROW()-4,"0000"))</f>
        <v>0</v>
      </c>
      <c r="C164" s="23">
        <f>IF(B164="","",TEXT(B164,"yyyy-mm"))</f>
        <v>0</v>
      </c>
      <c r="P164" s="23">
        <f>IF(I164="","",IFERROR(INDEX(Jobs!$H$5:$H$604,MATCH(I164,Jobs!$A$5:$A$604,0)),""))</f>
        <v>0</v>
      </c>
      <c r="Q164" s="34">
        <f>IF(B164="","",IF(J164="",0,J164)*IF(K164="Yes",2,1))</f>
        <v>0</v>
      </c>
      <c r="R164" s="21">
        <f>IF(B164="","",IF(L164&lt;&gt;"",L164,MileageRate))</f>
        <v>0</v>
      </c>
      <c r="S164" s="21">
        <f>IF(B164="","",ROUND(Q164*R164+IF(M164="",0,M164),2))</f>
        <v>0</v>
      </c>
      <c r="T164" s="39">
        <f>IF(B164="","",IF(J164="","Add - how far?",IF(D164="","Add - who drove?",IF(N164="No","Due - not claimed yet",IF(Q164&gt;200,"Check - a long day","OK")))))</f>
        <v>0</v>
      </c>
    </row>
    <row r="165" spans="1:20">
      <c r="A165" s="43">
        <f>IF(B165="","","MIL-"&amp;TEXT(ROW()-4,"0000"))</f>
        <v>0</v>
      </c>
      <c r="C165" s="23">
        <f>IF(B165="","",TEXT(B165,"yyyy-mm"))</f>
        <v>0</v>
      </c>
      <c r="P165" s="23">
        <f>IF(I165="","",IFERROR(INDEX(Jobs!$H$5:$H$604,MATCH(I165,Jobs!$A$5:$A$604,0)),""))</f>
        <v>0</v>
      </c>
      <c r="Q165" s="34">
        <f>IF(B165="","",IF(J165="",0,J165)*IF(K165="Yes",2,1))</f>
        <v>0</v>
      </c>
      <c r="R165" s="21">
        <f>IF(B165="","",IF(L165&lt;&gt;"",L165,MileageRate))</f>
        <v>0</v>
      </c>
      <c r="S165" s="21">
        <f>IF(B165="","",ROUND(Q165*R165+IF(M165="",0,M165),2))</f>
        <v>0</v>
      </c>
      <c r="T165" s="39">
        <f>IF(B165="","",IF(J165="","Add - how far?",IF(D165="","Add - who drove?",IF(N165="No","Due - not claimed yet",IF(Q165&gt;200,"Check - a long day","OK")))))</f>
        <v>0</v>
      </c>
    </row>
    <row r="166" spans="1:20">
      <c r="A166" s="43">
        <f>IF(B166="","","MIL-"&amp;TEXT(ROW()-4,"0000"))</f>
        <v>0</v>
      </c>
      <c r="C166" s="23">
        <f>IF(B166="","",TEXT(B166,"yyyy-mm"))</f>
        <v>0</v>
      </c>
      <c r="P166" s="23">
        <f>IF(I166="","",IFERROR(INDEX(Jobs!$H$5:$H$604,MATCH(I166,Jobs!$A$5:$A$604,0)),""))</f>
        <v>0</v>
      </c>
      <c r="Q166" s="34">
        <f>IF(B166="","",IF(J166="",0,J166)*IF(K166="Yes",2,1))</f>
        <v>0</v>
      </c>
      <c r="R166" s="21">
        <f>IF(B166="","",IF(L166&lt;&gt;"",L166,MileageRate))</f>
        <v>0</v>
      </c>
      <c r="S166" s="21">
        <f>IF(B166="","",ROUND(Q166*R166+IF(M166="",0,M166),2))</f>
        <v>0</v>
      </c>
      <c r="T166" s="39">
        <f>IF(B166="","",IF(J166="","Add - how far?",IF(D166="","Add - who drove?",IF(N166="No","Due - not claimed yet",IF(Q166&gt;200,"Check - a long day","OK")))))</f>
        <v>0</v>
      </c>
    </row>
    <row r="167" spans="1:20">
      <c r="A167" s="43">
        <f>IF(B167="","","MIL-"&amp;TEXT(ROW()-4,"0000"))</f>
        <v>0</v>
      </c>
      <c r="C167" s="23">
        <f>IF(B167="","",TEXT(B167,"yyyy-mm"))</f>
        <v>0</v>
      </c>
      <c r="P167" s="23">
        <f>IF(I167="","",IFERROR(INDEX(Jobs!$H$5:$H$604,MATCH(I167,Jobs!$A$5:$A$604,0)),""))</f>
        <v>0</v>
      </c>
      <c r="Q167" s="34">
        <f>IF(B167="","",IF(J167="",0,J167)*IF(K167="Yes",2,1))</f>
        <v>0</v>
      </c>
      <c r="R167" s="21">
        <f>IF(B167="","",IF(L167&lt;&gt;"",L167,MileageRate))</f>
        <v>0</v>
      </c>
      <c r="S167" s="21">
        <f>IF(B167="","",ROUND(Q167*R167+IF(M167="",0,M167),2))</f>
        <v>0</v>
      </c>
      <c r="T167" s="39">
        <f>IF(B167="","",IF(J167="","Add - how far?",IF(D167="","Add - who drove?",IF(N167="No","Due - not claimed yet",IF(Q167&gt;200,"Check - a long day","OK")))))</f>
        <v>0</v>
      </c>
    </row>
    <row r="168" spans="1:20">
      <c r="A168" s="43">
        <f>IF(B168="","","MIL-"&amp;TEXT(ROW()-4,"0000"))</f>
        <v>0</v>
      </c>
      <c r="C168" s="23">
        <f>IF(B168="","",TEXT(B168,"yyyy-mm"))</f>
        <v>0</v>
      </c>
      <c r="P168" s="23">
        <f>IF(I168="","",IFERROR(INDEX(Jobs!$H$5:$H$604,MATCH(I168,Jobs!$A$5:$A$604,0)),""))</f>
        <v>0</v>
      </c>
      <c r="Q168" s="34">
        <f>IF(B168="","",IF(J168="",0,J168)*IF(K168="Yes",2,1))</f>
        <v>0</v>
      </c>
      <c r="R168" s="21">
        <f>IF(B168="","",IF(L168&lt;&gt;"",L168,MileageRate))</f>
        <v>0</v>
      </c>
      <c r="S168" s="21">
        <f>IF(B168="","",ROUND(Q168*R168+IF(M168="",0,M168),2))</f>
        <v>0</v>
      </c>
      <c r="T168" s="39">
        <f>IF(B168="","",IF(J168="","Add - how far?",IF(D168="","Add - who drove?",IF(N168="No","Due - not claimed yet",IF(Q168&gt;200,"Check - a long day","OK")))))</f>
        <v>0</v>
      </c>
    </row>
    <row r="169" spans="1:20">
      <c r="A169" s="43">
        <f>IF(B169="","","MIL-"&amp;TEXT(ROW()-4,"0000"))</f>
        <v>0</v>
      </c>
      <c r="C169" s="23">
        <f>IF(B169="","",TEXT(B169,"yyyy-mm"))</f>
        <v>0</v>
      </c>
      <c r="P169" s="23">
        <f>IF(I169="","",IFERROR(INDEX(Jobs!$H$5:$H$604,MATCH(I169,Jobs!$A$5:$A$604,0)),""))</f>
        <v>0</v>
      </c>
      <c r="Q169" s="34">
        <f>IF(B169="","",IF(J169="",0,J169)*IF(K169="Yes",2,1))</f>
        <v>0</v>
      </c>
      <c r="R169" s="21">
        <f>IF(B169="","",IF(L169&lt;&gt;"",L169,MileageRate))</f>
        <v>0</v>
      </c>
      <c r="S169" s="21">
        <f>IF(B169="","",ROUND(Q169*R169+IF(M169="",0,M169),2))</f>
        <v>0</v>
      </c>
      <c r="T169" s="39">
        <f>IF(B169="","",IF(J169="","Add - how far?",IF(D169="","Add - who drove?",IF(N169="No","Due - not claimed yet",IF(Q169&gt;200,"Check - a long day","OK")))))</f>
        <v>0</v>
      </c>
    </row>
    <row r="170" spans="1:20">
      <c r="A170" s="43">
        <f>IF(B170="","","MIL-"&amp;TEXT(ROW()-4,"0000"))</f>
        <v>0</v>
      </c>
      <c r="C170" s="23">
        <f>IF(B170="","",TEXT(B170,"yyyy-mm"))</f>
        <v>0</v>
      </c>
      <c r="P170" s="23">
        <f>IF(I170="","",IFERROR(INDEX(Jobs!$H$5:$H$604,MATCH(I170,Jobs!$A$5:$A$604,0)),""))</f>
        <v>0</v>
      </c>
      <c r="Q170" s="34">
        <f>IF(B170="","",IF(J170="",0,J170)*IF(K170="Yes",2,1))</f>
        <v>0</v>
      </c>
      <c r="R170" s="21">
        <f>IF(B170="","",IF(L170&lt;&gt;"",L170,MileageRate))</f>
        <v>0</v>
      </c>
      <c r="S170" s="21">
        <f>IF(B170="","",ROUND(Q170*R170+IF(M170="",0,M170),2))</f>
        <v>0</v>
      </c>
      <c r="T170" s="39">
        <f>IF(B170="","",IF(J170="","Add - how far?",IF(D170="","Add - who drove?",IF(N170="No","Due - not claimed yet",IF(Q170&gt;200,"Check - a long day","OK")))))</f>
        <v>0</v>
      </c>
    </row>
    <row r="171" spans="1:20">
      <c r="A171" s="43">
        <f>IF(B171="","","MIL-"&amp;TEXT(ROW()-4,"0000"))</f>
        <v>0</v>
      </c>
      <c r="C171" s="23">
        <f>IF(B171="","",TEXT(B171,"yyyy-mm"))</f>
        <v>0</v>
      </c>
      <c r="P171" s="23">
        <f>IF(I171="","",IFERROR(INDEX(Jobs!$H$5:$H$604,MATCH(I171,Jobs!$A$5:$A$604,0)),""))</f>
        <v>0</v>
      </c>
      <c r="Q171" s="34">
        <f>IF(B171="","",IF(J171="",0,J171)*IF(K171="Yes",2,1))</f>
        <v>0</v>
      </c>
      <c r="R171" s="21">
        <f>IF(B171="","",IF(L171&lt;&gt;"",L171,MileageRate))</f>
        <v>0</v>
      </c>
      <c r="S171" s="21">
        <f>IF(B171="","",ROUND(Q171*R171+IF(M171="",0,M171),2))</f>
        <v>0</v>
      </c>
      <c r="T171" s="39">
        <f>IF(B171="","",IF(J171="","Add - how far?",IF(D171="","Add - who drove?",IF(N171="No","Due - not claimed yet",IF(Q171&gt;200,"Check - a long day","OK")))))</f>
        <v>0</v>
      </c>
    </row>
    <row r="172" spans="1:20">
      <c r="A172" s="43">
        <f>IF(B172="","","MIL-"&amp;TEXT(ROW()-4,"0000"))</f>
        <v>0</v>
      </c>
      <c r="C172" s="23">
        <f>IF(B172="","",TEXT(B172,"yyyy-mm"))</f>
        <v>0</v>
      </c>
      <c r="P172" s="23">
        <f>IF(I172="","",IFERROR(INDEX(Jobs!$H$5:$H$604,MATCH(I172,Jobs!$A$5:$A$604,0)),""))</f>
        <v>0</v>
      </c>
      <c r="Q172" s="34">
        <f>IF(B172="","",IF(J172="",0,J172)*IF(K172="Yes",2,1))</f>
        <v>0</v>
      </c>
      <c r="R172" s="21">
        <f>IF(B172="","",IF(L172&lt;&gt;"",L172,MileageRate))</f>
        <v>0</v>
      </c>
      <c r="S172" s="21">
        <f>IF(B172="","",ROUND(Q172*R172+IF(M172="",0,M172),2))</f>
        <v>0</v>
      </c>
      <c r="T172" s="39">
        <f>IF(B172="","",IF(J172="","Add - how far?",IF(D172="","Add - who drove?",IF(N172="No","Due - not claimed yet",IF(Q172&gt;200,"Check - a long day","OK")))))</f>
        <v>0</v>
      </c>
    </row>
    <row r="173" spans="1:20">
      <c r="A173" s="43">
        <f>IF(B173="","","MIL-"&amp;TEXT(ROW()-4,"0000"))</f>
        <v>0</v>
      </c>
      <c r="C173" s="23">
        <f>IF(B173="","",TEXT(B173,"yyyy-mm"))</f>
        <v>0</v>
      </c>
      <c r="P173" s="23">
        <f>IF(I173="","",IFERROR(INDEX(Jobs!$H$5:$H$604,MATCH(I173,Jobs!$A$5:$A$604,0)),""))</f>
        <v>0</v>
      </c>
      <c r="Q173" s="34">
        <f>IF(B173="","",IF(J173="",0,J173)*IF(K173="Yes",2,1))</f>
        <v>0</v>
      </c>
      <c r="R173" s="21">
        <f>IF(B173="","",IF(L173&lt;&gt;"",L173,MileageRate))</f>
        <v>0</v>
      </c>
      <c r="S173" s="21">
        <f>IF(B173="","",ROUND(Q173*R173+IF(M173="",0,M173),2))</f>
        <v>0</v>
      </c>
      <c r="T173" s="39">
        <f>IF(B173="","",IF(J173="","Add - how far?",IF(D173="","Add - who drove?",IF(N173="No","Due - not claimed yet",IF(Q173&gt;200,"Check - a long day","OK")))))</f>
        <v>0</v>
      </c>
    </row>
    <row r="174" spans="1:20">
      <c r="A174" s="43">
        <f>IF(B174="","","MIL-"&amp;TEXT(ROW()-4,"0000"))</f>
        <v>0</v>
      </c>
      <c r="C174" s="23">
        <f>IF(B174="","",TEXT(B174,"yyyy-mm"))</f>
        <v>0</v>
      </c>
      <c r="P174" s="23">
        <f>IF(I174="","",IFERROR(INDEX(Jobs!$H$5:$H$604,MATCH(I174,Jobs!$A$5:$A$604,0)),""))</f>
        <v>0</v>
      </c>
      <c r="Q174" s="34">
        <f>IF(B174="","",IF(J174="",0,J174)*IF(K174="Yes",2,1))</f>
        <v>0</v>
      </c>
      <c r="R174" s="21">
        <f>IF(B174="","",IF(L174&lt;&gt;"",L174,MileageRate))</f>
        <v>0</v>
      </c>
      <c r="S174" s="21">
        <f>IF(B174="","",ROUND(Q174*R174+IF(M174="",0,M174),2))</f>
        <v>0</v>
      </c>
      <c r="T174" s="39">
        <f>IF(B174="","",IF(J174="","Add - how far?",IF(D174="","Add - who drove?",IF(N174="No","Due - not claimed yet",IF(Q174&gt;200,"Check - a long day","OK")))))</f>
        <v>0</v>
      </c>
    </row>
    <row r="175" spans="1:20">
      <c r="A175" s="43">
        <f>IF(B175="","","MIL-"&amp;TEXT(ROW()-4,"0000"))</f>
        <v>0</v>
      </c>
      <c r="C175" s="23">
        <f>IF(B175="","",TEXT(B175,"yyyy-mm"))</f>
        <v>0</v>
      </c>
      <c r="P175" s="23">
        <f>IF(I175="","",IFERROR(INDEX(Jobs!$H$5:$H$604,MATCH(I175,Jobs!$A$5:$A$604,0)),""))</f>
        <v>0</v>
      </c>
      <c r="Q175" s="34">
        <f>IF(B175="","",IF(J175="",0,J175)*IF(K175="Yes",2,1))</f>
        <v>0</v>
      </c>
      <c r="R175" s="21">
        <f>IF(B175="","",IF(L175&lt;&gt;"",L175,MileageRate))</f>
        <v>0</v>
      </c>
      <c r="S175" s="21">
        <f>IF(B175="","",ROUND(Q175*R175+IF(M175="",0,M175),2))</f>
        <v>0</v>
      </c>
      <c r="T175" s="39">
        <f>IF(B175="","",IF(J175="","Add - how far?",IF(D175="","Add - who drove?",IF(N175="No","Due - not claimed yet",IF(Q175&gt;200,"Check - a long day","OK")))))</f>
        <v>0</v>
      </c>
    </row>
    <row r="176" spans="1:20">
      <c r="A176" s="43">
        <f>IF(B176="","","MIL-"&amp;TEXT(ROW()-4,"0000"))</f>
        <v>0</v>
      </c>
      <c r="C176" s="23">
        <f>IF(B176="","",TEXT(B176,"yyyy-mm"))</f>
        <v>0</v>
      </c>
      <c r="P176" s="23">
        <f>IF(I176="","",IFERROR(INDEX(Jobs!$H$5:$H$604,MATCH(I176,Jobs!$A$5:$A$604,0)),""))</f>
        <v>0</v>
      </c>
      <c r="Q176" s="34">
        <f>IF(B176="","",IF(J176="",0,J176)*IF(K176="Yes",2,1))</f>
        <v>0</v>
      </c>
      <c r="R176" s="21">
        <f>IF(B176="","",IF(L176&lt;&gt;"",L176,MileageRate))</f>
        <v>0</v>
      </c>
      <c r="S176" s="21">
        <f>IF(B176="","",ROUND(Q176*R176+IF(M176="",0,M176),2))</f>
        <v>0</v>
      </c>
      <c r="T176" s="39">
        <f>IF(B176="","",IF(J176="","Add - how far?",IF(D176="","Add - who drove?",IF(N176="No","Due - not claimed yet",IF(Q176&gt;200,"Check - a long day","OK")))))</f>
        <v>0</v>
      </c>
    </row>
    <row r="177" spans="1:20">
      <c r="A177" s="43">
        <f>IF(B177="","","MIL-"&amp;TEXT(ROW()-4,"0000"))</f>
        <v>0</v>
      </c>
      <c r="C177" s="23">
        <f>IF(B177="","",TEXT(B177,"yyyy-mm"))</f>
        <v>0</v>
      </c>
      <c r="P177" s="23">
        <f>IF(I177="","",IFERROR(INDEX(Jobs!$H$5:$H$604,MATCH(I177,Jobs!$A$5:$A$604,0)),""))</f>
        <v>0</v>
      </c>
      <c r="Q177" s="34">
        <f>IF(B177="","",IF(J177="",0,J177)*IF(K177="Yes",2,1))</f>
        <v>0</v>
      </c>
      <c r="R177" s="21">
        <f>IF(B177="","",IF(L177&lt;&gt;"",L177,MileageRate))</f>
        <v>0</v>
      </c>
      <c r="S177" s="21">
        <f>IF(B177="","",ROUND(Q177*R177+IF(M177="",0,M177),2))</f>
        <v>0</v>
      </c>
      <c r="T177" s="39">
        <f>IF(B177="","",IF(J177="","Add - how far?",IF(D177="","Add - who drove?",IF(N177="No","Due - not claimed yet",IF(Q177&gt;200,"Check - a long day","OK")))))</f>
        <v>0</v>
      </c>
    </row>
    <row r="178" spans="1:20">
      <c r="A178" s="43">
        <f>IF(B178="","","MIL-"&amp;TEXT(ROW()-4,"0000"))</f>
        <v>0</v>
      </c>
      <c r="C178" s="23">
        <f>IF(B178="","",TEXT(B178,"yyyy-mm"))</f>
        <v>0</v>
      </c>
      <c r="P178" s="23">
        <f>IF(I178="","",IFERROR(INDEX(Jobs!$H$5:$H$604,MATCH(I178,Jobs!$A$5:$A$604,0)),""))</f>
        <v>0</v>
      </c>
      <c r="Q178" s="34">
        <f>IF(B178="","",IF(J178="",0,J178)*IF(K178="Yes",2,1))</f>
        <v>0</v>
      </c>
      <c r="R178" s="21">
        <f>IF(B178="","",IF(L178&lt;&gt;"",L178,MileageRate))</f>
        <v>0</v>
      </c>
      <c r="S178" s="21">
        <f>IF(B178="","",ROUND(Q178*R178+IF(M178="",0,M178),2))</f>
        <v>0</v>
      </c>
      <c r="T178" s="39">
        <f>IF(B178="","",IF(J178="","Add - how far?",IF(D178="","Add - who drove?",IF(N178="No","Due - not claimed yet",IF(Q178&gt;200,"Check - a long day","OK")))))</f>
        <v>0</v>
      </c>
    </row>
    <row r="179" spans="1:20">
      <c r="A179" s="43">
        <f>IF(B179="","","MIL-"&amp;TEXT(ROW()-4,"0000"))</f>
        <v>0</v>
      </c>
      <c r="C179" s="23">
        <f>IF(B179="","",TEXT(B179,"yyyy-mm"))</f>
        <v>0</v>
      </c>
      <c r="P179" s="23">
        <f>IF(I179="","",IFERROR(INDEX(Jobs!$H$5:$H$604,MATCH(I179,Jobs!$A$5:$A$604,0)),""))</f>
        <v>0</v>
      </c>
      <c r="Q179" s="34">
        <f>IF(B179="","",IF(J179="",0,J179)*IF(K179="Yes",2,1))</f>
        <v>0</v>
      </c>
      <c r="R179" s="21">
        <f>IF(B179="","",IF(L179&lt;&gt;"",L179,MileageRate))</f>
        <v>0</v>
      </c>
      <c r="S179" s="21">
        <f>IF(B179="","",ROUND(Q179*R179+IF(M179="",0,M179),2))</f>
        <v>0</v>
      </c>
      <c r="T179" s="39">
        <f>IF(B179="","",IF(J179="","Add - how far?",IF(D179="","Add - who drove?",IF(N179="No","Due - not claimed yet",IF(Q179&gt;200,"Check - a long day","OK")))))</f>
        <v>0</v>
      </c>
    </row>
    <row r="180" spans="1:20">
      <c r="A180" s="43">
        <f>IF(B180="","","MIL-"&amp;TEXT(ROW()-4,"0000"))</f>
        <v>0</v>
      </c>
      <c r="C180" s="23">
        <f>IF(B180="","",TEXT(B180,"yyyy-mm"))</f>
        <v>0</v>
      </c>
      <c r="P180" s="23">
        <f>IF(I180="","",IFERROR(INDEX(Jobs!$H$5:$H$604,MATCH(I180,Jobs!$A$5:$A$604,0)),""))</f>
        <v>0</v>
      </c>
      <c r="Q180" s="34">
        <f>IF(B180="","",IF(J180="",0,J180)*IF(K180="Yes",2,1))</f>
        <v>0</v>
      </c>
      <c r="R180" s="21">
        <f>IF(B180="","",IF(L180&lt;&gt;"",L180,MileageRate))</f>
        <v>0</v>
      </c>
      <c r="S180" s="21">
        <f>IF(B180="","",ROUND(Q180*R180+IF(M180="",0,M180),2))</f>
        <v>0</v>
      </c>
      <c r="T180" s="39">
        <f>IF(B180="","",IF(J180="","Add - how far?",IF(D180="","Add - who drove?",IF(N180="No","Due - not claimed yet",IF(Q180&gt;200,"Check - a long day","OK")))))</f>
        <v>0</v>
      </c>
    </row>
    <row r="181" spans="1:20">
      <c r="A181" s="43">
        <f>IF(B181="","","MIL-"&amp;TEXT(ROW()-4,"0000"))</f>
        <v>0</v>
      </c>
      <c r="C181" s="23">
        <f>IF(B181="","",TEXT(B181,"yyyy-mm"))</f>
        <v>0</v>
      </c>
      <c r="P181" s="23">
        <f>IF(I181="","",IFERROR(INDEX(Jobs!$H$5:$H$604,MATCH(I181,Jobs!$A$5:$A$604,0)),""))</f>
        <v>0</v>
      </c>
      <c r="Q181" s="34">
        <f>IF(B181="","",IF(J181="",0,J181)*IF(K181="Yes",2,1))</f>
        <v>0</v>
      </c>
      <c r="R181" s="21">
        <f>IF(B181="","",IF(L181&lt;&gt;"",L181,MileageRate))</f>
        <v>0</v>
      </c>
      <c r="S181" s="21">
        <f>IF(B181="","",ROUND(Q181*R181+IF(M181="",0,M181),2))</f>
        <v>0</v>
      </c>
      <c r="T181" s="39">
        <f>IF(B181="","",IF(J181="","Add - how far?",IF(D181="","Add - who drove?",IF(N181="No","Due - not claimed yet",IF(Q181&gt;200,"Check - a long day","OK")))))</f>
        <v>0</v>
      </c>
    </row>
    <row r="182" spans="1:20">
      <c r="A182" s="43">
        <f>IF(B182="","","MIL-"&amp;TEXT(ROW()-4,"0000"))</f>
        <v>0</v>
      </c>
      <c r="C182" s="23">
        <f>IF(B182="","",TEXT(B182,"yyyy-mm"))</f>
        <v>0</v>
      </c>
      <c r="P182" s="23">
        <f>IF(I182="","",IFERROR(INDEX(Jobs!$H$5:$H$604,MATCH(I182,Jobs!$A$5:$A$604,0)),""))</f>
        <v>0</v>
      </c>
      <c r="Q182" s="34">
        <f>IF(B182="","",IF(J182="",0,J182)*IF(K182="Yes",2,1))</f>
        <v>0</v>
      </c>
      <c r="R182" s="21">
        <f>IF(B182="","",IF(L182&lt;&gt;"",L182,MileageRate))</f>
        <v>0</v>
      </c>
      <c r="S182" s="21">
        <f>IF(B182="","",ROUND(Q182*R182+IF(M182="",0,M182),2))</f>
        <v>0</v>
      </c>
      <c r="T182" s="39">
        <f>IF(B182="","",IF(J182="","Add - how far?",IF(D182="","Add - who drove?",IF(N182="No","Due - not claimed yet",IF(Q182&gt;200,"Check - a long day","OK")))))</f>
        <v>0</v>
      </c>
    </row>
    <row r="183" spans="1:20">
      <c r="A183" s="43">
        <f>IF(B183="","","MIL-"&amp;TEXT(ROW()-4,"0000"))</f>
        <v>0</v>
      </c>
      <c r="C183" s="23">
        <f>IF(B183="","",TEXT(B183,"yyyy-mm"))</f>
        <v>0</v>
      </c>
      <c r="P183" s="23">
        <f>IF(I183="","",IFERROR(INDEX(Jobs!$H$5:$H$604,MATCH(I183,Jobs!$A$5:$A$604,0)),""))</f>
        <v>0</v>
      </c>
      <c r="Q183" s="34">
        <f>IF(B183="","",IF(J183="",0,J183)*IF(K183="Yes",2,1))</f>
        <v>0</v>
      </c>
      <c r="R183" s="21">
        <f>IF(B183="","",IF(L183&lt;&gt;"",L183,MileageRate))</f>
        <v>0</v>
      </c>
      <c r="S183" s="21">
        <f>IF(B183="","",ROUND(Q183*R183+IF(M183="",0,M183),2))</f>
        <v>0</v>
      </c>
      <c r="T183" s="39">
        <f>IF(B183="","",IF(J183="","Add - how far?",IF(D183="","Add - who drove?",IF(N183="No","Due - not claimed yet",IF(Q183&gt;200,"Check - a long day","OK")))))</f>
        <v>0</v>
      </c>
    </row>
    <row r="184" spans="1:20">
      <c r="A184" s="43">
        <f>IF(B184="","","MIL-"&amp;TEXT(ROW()-4,"0000"))</f>
        <v>0</v>
      </c>
      <c r="C184" s="23">
        <f>IF(B184="","",TEXT(B184,"yyyy-mm"))</f>
        <v>0</v>
      </c>
      <c r="P184" s="23">
        <f>IF(I184="","",IFERROR(INDEX(Jobs!$H$5:$H$604,MATCH(I184,Jobs!$A$5:$A$604,0)),""))</f>
        <v>0</v>
      </c>
      <c r="Q184" s="34">
        <f>IF(B184="","",IF(J184="",0,J184)*IF(K184="Yes",2,1))</f>
        <v>0</v>
      </c>
      <c r="R184" s="21">
        <f>IF(B184="","",IF(L184&lt;&gt;"",L184,MileageRate))</f>
        <v>0</v>
      </c>
      <c r="S184" s="21">
        <f>IF(B184="","",ROUND(Q184*R184+IF(M184="",0,M184),2))</f>
        <v>0</v>
      </c>
      <c r="T184" s="39">
        <f>IF(B184="","",IF(J184="","Add - how far?",IF(D184="","Add - who drove?",IF(N184="No","Due - not claimed yet",IF(Q184&gt;200,"Check - a long day","OK")))))</f>
        <v>0</v>
      </c>
    </row>
    <row r="185" spans="1:20">
      <c r="A185" s="43">
        <f>IF(B185="","","MIL-"&amp;TEXT(ROW()-4,"0000"))</f>
        <v>0</v>
      </c>
      <c r="C185" s="23">
        <f>IF(B185="","",TEXT(B185,"yyyy-mm"))</f>
        <v>0</v>
      </c>
      <c r="P185" s="23">
        <f>IF(I185="","",IFERROR(INDEX(Jobs!$H$5:$H$604,MATCH(I185,Jobs!$A$5:$A$604,0)),""))</f>
        <v>0</v>
      </c>
      <c r="Q185" s="34">
        <f>IF(B185="","",IF(J185="",0,J185)*IF(K185="Yes",2,1))</f>
        <v>0</v>
      </c>
      <c r="R185" s="21">
        <f>IF(B185="","",IF(L185&lt;&gt;"",L185,MileageRate))</f>
        <v>0</v>
      </c>
      <c r="S185" s="21">
        <f>IF(B185="","",ROUND(Q185*R185+IF(M185="",0,M185),2))</f>
        <v>0</v>
      </c>
      <c r="T185" s="39">
        <f>IF(B185="","",IF(J185="","Add - how far?",IF(D185="","Add - who drove?",IF(N185="No","Due - not claimed yet",IF(Q185&gt;200,"Check - a long day","OK")))))</f>
        <v>0</v>
      </c>
    </row>
    <row r="186" spans="1:20">
      <c r="A186" s="43">
        <f>IF(B186="","","MIL-"&amp;TEXT(ROW()-4,"0000"))</f>
        <v>0</v>
      </c>
      <c r="C186" s="23">
        <f>IF(B186="","",TEXT(B186,"yyyy-mm"))</f>
        <v>0</v>
      </c>
      <c r="P186" s="23">
        <f>IF(I186="","",IFERROR(INDEX(Jobs!$H$5:$H$604,MATCH(I186,Jobs!$A$5:$A$604,0)),""))</f>
        <v>0</v>
      </c>
      <c r="Q186" s="34">
        <f>IF(B186="","",IF(J186="",0,J186)*IF(K186="Yes",2,1))</f>
        <v>0</v>
      </c>
      <c r="R186" s="21">
        <f>IF(B186="","",IF(L186&lt;&gt;"",L186,MileageRate))</f>
        <v>0</v>
      </c>
      <c r="S186" s="21">
        <f>IF(B186="","",ROUND(Q186*R186+IF(M186="",0,M186),2))</f>
        <v>0</v>
      </c>
      <c r="T186" s="39">
        <f>IF(B186="","",IF(J186="","Add - how far?",IF(D186="","Add - who drove?",IF(N186="No","Due - not claimed yet",IF(Q186&gt;200,"Check - a long day","OK")))))</f>
        <v>0</v>
      </c>
    </row>
    <row r="187" spans="1:20">
      <c r="A187" s="43">
        <f>IF(B187="","","MIL-"&amp;TEXT(ROW()-4,"0000"))</f>
        <v>0</v>
      </c>
      <c r="C187" s="23">
        <f>IF(B187="","",TEXT(B187,"yyyy-mm"))</f>
        <v>0</v>
      </c>
      <c r="P187" s="23">
        <f>IF(I187="","",IFERROR(INDEX(Jobs!$H$5:$H$604,MATCH(I187,Jobs!$A$5:$A$604,0)),""))</f>
        <v>0</v>
      </c>
      <c r="Q187" s="34">
        <f>IF(B187="","",IF(J187="",0,J187)*IF(K187="Yes",2,1))</f>
        <v>0</v>
      </c>
      <c r="R187" s="21">
        <f>IF(B187="","",IF(L187&lt;&gt;"",L187,MileageRate))</f>
        <v>0</v>
      </c>
      <c r="S187" s="21">
        <f>IF(B187="","",ROUND(Q187*R187+IF(M187="",0,M187),2))</f>
        <v>0</v>
      </c>
      <c r="T187" s="39">
        <f>IF(B187="","",IF(J187="","Add - how far?",IF(D187="","Add - who drove?",IF(N187="No","Due - not claimed yet",IF(Q187&gt;200,"Check - a long day","OK")))))</f>
        <v>0</v>
      </c>
    </row>
    <row r="188" spans="1:20">
      <c r="A188" s="43">
        <f>IF(B188="","","MIL-"&amp;TEXT(ROW()-4,"0000"))</f>
        <v>0</v>
      </c>
      <c r="C188" s="23">
        <f>IF(B188="","",TEXT(B188,"yyyy-mm"))</f>
        <v>0</v>
      </c>
      <c r="P188" s="23">
        <f>IF(I188="","",IFERROR(INDEX(Jobs!$H$5:$H$604,MATCH(I188,Jobs!$A$5:$A$604,0)),""))</f>
        <v>0</v>
      </c>
      <c r="Q188" s="34">
        <f>IF(B188="","",IF(J188="",0,J188)*IF(K188="Yes",2,1))</f>
        <v>0</v>
      </c>
      <c r="R188" s="21">
        <f>IF(B188="","",IF(L188&lt;&gt;"",L188,MileageRate))</f>
        <v>0</v>
      </c>
      <c r="S188" s="21">
        <f>IF(B188="","",ROUND(Q188*R188+IF(M188="",0,M188),2))</f>
        <v>0</v>
      </c>
      <c r="T188" s="39">
        <f>IF(B188="","",IF(J188="","Add - how far?",IF(D188="","Add - who drove?",IF(N188="No","Due - not claimed yet",IF(Q188&gt;200,"Check - a long day","OK")))))</f>
        <v>0</v>
      </c>
    </row>
    <row r="189" spans="1:20">
      <c r="A189" s="43">
        <f>IF(B189="","","MIL-"&amp;TEXT(ROW()-4,"0000"))</f>
        <v>0</v>
      </c>
      <c r="C189" s="23">
        <f>IF(B189="","",TEXT(B189,"yyyy-mm"))</f>
        <v>0</v>
      </c>
      <c r="P189" s="23">
        <f>IF(I189="","",IFERROR(INDEX(Jobs!$H$5:$H$604,MATCH(I189,Jobs!$A$5:$A$604,0)),""))</f>
        <v>0</v>
      </c>
      <c r="Q189" s="34">
        <f>IF(B189="","",IF(J189="",0,J189)*IF(K189="Yes",2,1))</f>
        <v>0</v>
      </c>
      <c r="R189" s="21">
        <f>IF(B189="","",IF(L189&lt;&gt;"",L189,MileageRate))</f>
        <v>0</v>
      </c>
      <c r="S189" s="21">
        <f>IF(B189="","",ROUND(Q189*R189+IF(M189="",0,M189),2))</f>
        <v>0</v>
      </c>
      <c r="T189" s="39">
        <f>IF(B189="","",IF(J189="","Add - how far?",IF(D189="","Add - who drove?",IF(N189="No","Due - not claimed yet",IF(Q189&gt;200,"Check - a long day","OK")))))</f>
        <v>0</v>
      </c>
    </row>
    <row r="190" spans="1:20">
      <c r="A190" s="43">
        <f>IF(B190="","","MIL-"&amp;TEXT(ROW()-4,"0000"))</f>
        <v>0</v>
      </c>
      <c r="C190" s="23">
        <f>IF(B190="","",TEXT(B190,"yyyy-mm"))</f>
        <v>0</v>
      </c>
      <c r="P190" s="23">
        <f>IF(I190="","",IFERROR(INDEX(Jobs!$H$5:$H$604,MATCH(I190,Jobs!$A$5:$A$604,0)),""))</f>
        <v>0</v>
      </c>
      <c r="Q190" s="34">
        <f>IF(B190="","",IF(J190="",0,J190)*IF(K190="Yes",2,1))</f>
        <v>0</v>
      </c>
      <c r="R190" s="21">
        <f>IF(B190="","",IF(L190&lt;&gt;"",L190,MileageRate))</f>
        <v>0</v>
      </c>
      <c r="S190" s="21">
        <f>IF(B190="","",ROUND(Q190*R190+IF(M190="",0,M190),2))</f>
        <v>0</v>
      </c>
      <c r="T190" s="39">
        <f>IF(B190="","",IF(J190="","Add - how far?",IF(D190="","Add - who drove?",IF(N190="No","Due - not claimed yet",IF(Q190&gt;200,"Check - a long day","OK")))))</f>
        <v>0</v>
      </c>
    </row>
    <row r="191" spans="1:20">
      <c r="A191" s="43">
        <f>IF(B191="","","MIL-"&amp;TEXT(ROW()-4,"0000"))</f>
        <v>0</v>
      </c>
      <c r="C191" s="23">
        <f>IF(B191="","",TEXT(B191,"yyyy-mm"))</f>
        <v>0</v>
      </c>
      <c r="P191" s="23">
        <f>IF(I191="","",IFERROR(INDEX(Jobs!$H$5:$H$604,MATCH(I191,Jobs!$A$5:$A$604,0)),""))</f>
        <v>0</v>
      </c>
      <c r="Q191" s="34">
        <f>IF(B191="","",IF(J191="",0,J191)*IF(K191="Yes",2,1))</f>
        <v>0</v>
      </c>
      <c r="R191" s="21">
        <f>IF(B191="","",IF(L191&lt;&gt;"",L191,MileageRate))</f>
        <v>0</v>
      </c>
      <c r="S191" s="21">
        <f>IF(B191="","",ROUND(Q191*R191+IF(M191="",0,M191),2))</f>
        <v>0</v>
      </c>
      <c r="T191" s="39">
        <f>IF(B191="","",IF(J191="","Add - how far?",IF(D191="","Add - who drove?",IF(N191="No","Due - not claimed yet",IF(Q191&gt;200,"Check - a long day","OK")))))</f>
        <v>0</v>
      </c>
    </row>
    <row r="192" spans="1:20">
      <c r="A192" s="43">
        <f>IF(B192="","","MIL-"&amp;TEXT(ROW()-4,"0000"))</f>
        <v>0</v>
      </c>
      <c r="C192" s="23">
        <f>IF(B192="","",TEXT(B192,"yyyy-mm"))</f>
        <v>0</v>
      </c>
      <c r="P192" s="23">
        <f>IF(I192="","",IFERROR(INDEX(Jobs!$H$5:$H$604,MATCH(I192,Jobs!$A$5:$A$604,0)),""))</f>
        <v>0</v>
      </c>
      <c r="Q192" s="34">
        <f>IF(B192="","",IF(J192="",0,J192)*IF(K192="Yes",2,1))</f>
        <v>0</v>
      </c>
      <c r="R192" s="21">
        <f>IF(B192="","",IF(L192&lt;&gt;"",L192,MileageRate))</f>
        <v>0</v>
      </c>
      <c r="S192" s="21">
        <f>IF(B192="","",ROUND(Q192*R192+IF(M192="",0,M192),2))</f>
        <v>0</v>
      </c>
      <c r="T192" s="39">
        <f>IF(B192="","",IF(J192="","Add - how far?",IF(D192="","Add - who drove?",IF(N192="No","Due - not claimed yet",IF(Q192&gt;200,"Check - a long day","OK")))))</f>
        <v>0</v>
      </c>
    </row>
    <row r="193" spans="1:20">
      <c r="A193" s="43">
        <f>IF(B193="","","MIL-"&amp;TEXT(ROW()-4,"0000"))</f>
        <v>0</v>
      </c>
      <c r="C193" s="23">
        <f>IF(B193="","",TEXT(B193,"yyyy-mm"))</f>
        <v>0</v>
      </c>
      <c r="P193" s="23">
        <f>IF(I193="","",IFERROR(INDEX(Jobs!$H$5:$H$604,MATCH(I193,Jobs!$A$5:$A$604,0)),""))</f>
        <v>0</v>
      </c>
      <c r="Q193" s="34">
        <f>IF(B193="","",IF(J193="",0,J193)*IF(K193="Yes",2,1))</f>
        <v>0</v>
      </c>
      <c r="R193" s="21">
        <f>IF(B193="","",IF(L193&lt;&gt;"",L193,MileageRate))</f>
        <v>0</v>
      </c>
      <c r="S193" s="21">
        <f>IF(B193="","",ROUND(Q193*R193+IF(M193="",0,M193),2))</f>
        <v>0</v>
      </c>
      <c r="T193" s="39">
        <f>IF(B193="","",IF(J193="","Add - how far?",IF(D193="","Add - who drove?",IF(N193="No","Due - not claimed yet",IF(Q193&gt;200,"Check - a long day","OK")))))</f>
        <v>0</v>
      </c>
    </row>
    <row r="194" spans="1:20">
      <c r="A194" s="43">
        <f>IF(B194="","","MIL-"&amp;TEXT(ROW()-4,"0000"))</f>
        <v>0</v>
      </c>
      <c r="C194" s="23">
        <f>IF(B194="","",TEXT(B194,"yyyy-mm"))</f>
        <v>0</v>
      </c>
      <c r="P194" s="23">
        <f>IF(I194="","",IFERROR(INDEX(Jobs!$H$5:$H$604,MATCH(I194,Jobs!$A$5:$A$604,0)),""))</f>
        <v>0</v>
      </c>
      <c r="Q194" s="34">
        <f>IF(B194="","",IF(J194="",0,J194)*IF(K194="Yes",2,1))</f>
        <v>0</v>
      </c>
      <c r="R194" s="21">
        <f>IF(B194="","",IF(L194&lt;&gt;"",L194,MileageRate))</f>
        <v>0</v>
      </c>
      <c r="S194" s="21">
        <f>IF(B194="","",ROUND(Q194*R194+IF(M194="",0,M194),2))</f>
        <v>0</v>
      </c>
      <c r="T194" s="39">
        <f>IF(B194="","",IF(J194="","Add - how far?",IF(D194="","Add - who drove?",IF(N194="No","Due - not claimed yet",IF(Q194&gt;200,"Check - a long day","OK")))))</f>
        <v>0</v>
      </c>
    </row>
    <row r="195" spans="1:20">
      <c r="A195" s="43">
        <f>IF(B195="","","MIL-"&amp;TEXT(ROW()-4,"0000"))</f>
        <v>0</v>
      </c>
      <c r="C195" s="23">
        <f>IF(B195="","",TEXT(B195,"yyyy-mm"))</f>
        <v>0</v>
      </c>
      <c r="P195" s="23">
        <f>IF(I195="","",IFERROR(INDEX(Jobs!$H$5:$H$604,MATCH(I195,Jobs!$A$5:$A$604,0)),""))</f>
        <v>0</v>
      </c>
      <c r="Q195" s="34">
        <f>IF(B195="","",IF(J195="",0,J195)*IF(K195="Yes",2,1))</f>
        <v>0</v>
      </c>
      <c r="R195" s="21">
        <f>IF(B195="","",IF(L195&lt;&gt;"",L195,MileageRate))</f>
        <v>0</v>
      </c>
      <c r="S195" s="21">
        <f>IF(B195="","",ROUND(Q195*R195+IF(M195="",0,M195),2))</f>
        <v>0</v>
      </c>
      <c r="T195" s="39">
        <f>IF(B195="","",IF(J195="","Add - how far?",IF(D195="","Add - who drove?",IF(N195="No","Due - not claimed yet",IF(Q195&gt;200,"Check - a long day","OK")))))</f>
        <v>0</v>
      </c>
    </row>
    <row r="196" spans="1:20">
      <c r="A196" s="43">
        <f>IF(B196="","","MIL-"&amp;TEXT(ROW()-4,"0000"))</f>
        <v>0</v>
      </c>
      <c r="C196" s="23">
        <f>IF(B196="","",TEXT(B196,"yyyy-mm"))</f>
        <v>0</v>
      </c>
      <c r="P196" s="23">
        <f>IF(I196="","",IFERROR(INDEX(Jobs!$H$5:$H$604,MATCH(I196,Jobs!$A$5:$A$604,0)),""))</f>
        <v>0</v>
      </c>
      <c r="Q196" s="34">
        <f>IF(B196="","",IF(J196="",0,J196)*IF(K196="Yes",2,1))</f>
        <v>0</v>
      </c>
      <c r="R196" s="21">
        <f>IF(B196="","",IF(L196&lt;&gt;"",L196,MileageRate))</f>
        <v>0</v>
      </c>
      <c r="S196" s="21">
        <f>IF(B196="","",ROUND(Q196*R196+IF(M196="",0,M196),2))</f>
        <v>0</v>
      </c>
      <c r="T196" s="39">
        <f>IF(B196="","",IF(J196="","Add - how far?",IF(D196="","Add - who drove?",IF(N196="No","Due - not claimed yet",IF(Q196&gt;200,"Check - a long day","OK")))))</f>
        <v>0</v>
      </c>
    </row>
    <row r="197" spans="1:20">
      <c r="A197" s="43">
        <f>IF(B197="","","MIL-"&amp;TEXT(ROW()-4,"0000"))</f>
        <v>0</v>
      </c>
      <c r="C197" s="23">
        <f>IF(B197="","",TEXT(B197,"yyyy-mm"))</f>
        <v>0</v>
      </c>
      <c r="P197" s="23">
        <f>IF(I197="","",IFERROR(INDEX(Jobs!$H$5:$H$604,MATCH(I197,Jobs!$A$5:$A$604,0)),""))</f>
        <v>0</v>
      </c>
      <c r="Q197" s="34">
        <f>IF(B197="","",IF(J197="",0,J197)*IF(K197="Yes",2,1))</f>
        <v>0</v>
      </c>
      <c r="R197" s="21">
        <f>IF(B197="","",IF(L197&lt;&gt;"",L197,MileageRate))</f>
        <v>0</v>
      </c>
      <c r="S197" s="21">
        <f>IF(B197="","",ROUND(Q197*R197+IF(M197="",0,M197),2))</f>
        <v>0</v>
      </c>
      <c r="T197" s="39">
        <f>IF(B197="","",IF(J197="","Add - how far?",IF(D197="","Add - who drove?",IF(N197="No","Due - not claimed yet",IF(Q197&gt;200,"Check - a long day","OK")))))</f>
        <v>0</v>
      </c>
    </row>
    <row r="198" spans="1:20">
      <c r="A198" s="43">
        <f>IF(B198="","","MIL-"&amp;TEXT(ROW()-4,"0000"))</f>
        <v>0</v>
      </c>
      <c r="C198" s="23">
        <f>IF(B198="","",TEXT(B198,"yyyy-mm"))</f>
        <v>0</v>
      </c>
      <c r="P198" s="23">
        <f>IF(I198="","",IFERROR(INDEX(Jobs!$H$5:$H$604,MATCH(I198,Jobs!$A$5:$A$604,0)),""))</f>
        <v>0</v>
      </c>
      <c r="Q198" s="34">
        <f>IF(B198="","",IF(J198="",0,J198)*IF(K198="Yes",2,1))</f>
        <v>0</v>
      </c>
      <c r="R198" s="21">
        <f>IF(B198="","",IF(L198&lt;&gt;"",L198,MileageRate))</f>
        <v>0</v>
      </c>
      <c r="S198" s="21">
        <f>IF(B198="","",ROUND(Q198*R198+IF(M198="",0,M198),2))</f>
        <v>0</v>
      </c>
      <c r="T198" s="39">
        <f>IF(B198="","",IF(J198="","Add - how far?",IF(D198="","Add - who drove?",IF(N198="No","Due - not claimed yet",IF(Q198&gt;200,"Check - a long day","OK")))))</f>
        <v>0</v>
      </c>
    </row>
    <row r="199" spans="1:20">
      <c r="A199" s="43">
        <f>IF(B199="","","MIL-"&amp;TEXT(ROW()-4,"0000"))</f>
        <v>0</v>
      </c>
      <c r="C199" s="23">
        <f>IF(B199="","",TEXT(B199,"yyyy-mm"))</f>
        <v>0</v>
      </c>
      <c r="P199" s="23">
        <f>IF(I199="","",IFERROR(INDEX(Jobs!$H$5:$H$604,MATCH(I199,Jobs!$A$5:$A$604,0)),""))</f>
        <v>0</v>
      </c>
      <c r="Q199" s="34">
        <f>IF(B199="","",IF(J199="",0,J199)*IF(K199="Yes",2,1))</f>
        <v>0</v>
      </c>
      <c r="R199" s="21">
        <f>IF(B199="","",IF(L199&lt;&gt;"",L199,MileageRate))</f>
        <v>0</v>
      </c>
      <c r="S199" s="21">
        <f>IF(B199="","",ROUND(Q199*R199+IF(M199="",0,M199),2))</f>
        <v>0</v>
      </c>
      <c r="T199" s="39">
        <f>IF(B199="","",IF(J199="","Add - how far?",IF(D199="","Add - who drove?",IF(N199="No","Due - not claimed yet",IF(Q199&gt;200,"Check - a long day","OK")))))</f>
        <v>0</v>
      </c>
    </row>
    <row r="200" spans="1:20">
      <c r="A200" s="43">
        <f>IF(B200="","","MIL-"&amp;TEXT(ROW()-4,"0000"))</f>
        <v>0</v>
      </c>
      <c r="C200" s="23">
        <f>IF(B200="","",TEXT(B200,"yyyy-mm"))</f>
        <v>0</v>
      </c>
      <c r="P200" s="23">
        <f>IF(I200="","",IFERROR(INDEX(Jobs!$H$5:$H$604,MATCH(I200,Jobs!$A$5:$A$604,0)),""))</f>
        <v>0</v>
      </c>
      <c r="Q200" s="34">
        <f>IF(B200="","",IF(J200="",0,J200)*IF(K200="Yes",2,1))</f>
        <v>0</v>
      </c>
      <c r="R200" s="21">
        <f>IF(B200="","",IF(L200&lt;&gt;"",L200,MileageRate))</f>
        <v>0</v>
      </c>
      <c r="S200" s="21">
        <f>IF(B200="","",ROUND(Q200*R200+IF(M200="",0,M200),2))</f>
        <v>0</v>
      </c>
      <c r="T200" s="39">
        <f>IF(B200="","",IF(J200="","Add - how far?",IF(D200="","Add - who drove?",IF(N200="No","Due - not claimed yet",IF(Q200&gt;200,"Check - a long day","OK")))))</f>
        <v>0</v>
      </c>
    </row>
    <row r="201" spans="1:20">
      <c r="A201" s="43">
        <f>IF(B201="","","MIL-"&amp;TEXT(ROW()-4,"0000"))</f>
        <v>0</v>
      </c>
      <c r="C201" s="23">
        <f>IF(B201="","",TEXT(B201,"yyyy-mm"))</f>
        <v>0</v>
      </c>
      <c r="P201" s="23">
        <f>IF(I201="","",IFERROR(INDEX(Jobs!$H$5:$H$604,MATCH(I201,Jobs!$A$5:$A$604,0)),""))</f>
        <v>0</v>
      </c>
      <c r="Q201" s="34">
        <f>IF(B201="","",IF(J201="",0,J201)*IF(K201="Yes",2,1))</f>
        <v>0</v>
      </c>
      <c r="R201" s="21">
        <f>IF(B201="","",IF(L201&lt;&gt;"",L201,MileageRate))</f>
        <v>0</v>
      </c>
      <c r="S201" s="21">
        <f>IF(B201="","",ROUND(Q201*R201+IF(M201="",0,M201),2))</f>
        <v>0</v>
      </c>
      <c r="T201" s="39">
        <f>IF(B201="","",IF(J201="","Add - how far?",IF(D201="","Add - who drove?",IF(N201="No","Due - not claimed yet",IF(Q201&gt;200,"Check - a long day","OK")))))</f>
        <v>0</v>
      </c>
    </row>
    <row r="202" spans="1:20">
      <c r="A202" s="43">
        <f>IF(B202="","","MIL-"&amp;TEXT(ROW()-4,"0000"))</f>
        <v>0</v>
      </c>
      <c r="C202" s="23">
        <f>IF(B202="","",TEXT(B202,"yyyy-mm"))</f>
        <v>0</v>
      </c>
      <c r="P202" s="23">
        <f>IF(I202="","",IFERROR(INDEX(Jobs!$H$5:$H$604,MATCH(I202,Jobs!$A$5:$A$604,0)),""))</f>
        <v>0</v>
      </c>
      <c r="Q202" s="34">
        <f>IF(B202="","",IF(J202="",0,J202)*IF(K202="Yes",2,1))</f>
        <v>0</v>
      </c>
      <c r="R202" s="21">
        <f>IF(B202="","",IF(L202&lt;&gt;"",L202,MileageRate))</f>
        <v>0</v>
      </c>
      <c r="S202" s="21">
        <f>IF(B202="","",ROUND(Q202*R202+IF(M202="",0,M202),2))</f>
        <v>0</v>
      </c>
      <c r="T202" s="39">
        <f>IF(B202="","",IF(J202="","Add - how far?",IF(D202="","Add - who drove?",IF(N202="No","Due - not claimed yet",IF(Q202&gt;200,"Check - a long day","OK")))))</f>
        <v>0</v>
      </c>
    </row>
    <row r="203" spans="1:20">
      <c r="A203" s="43">
        <f>IF(B203="","","MIL-"&amp;TEXT(ROW()-4,"0000"))</f>
        <v>0</v>
      </c>
      <c r="C203" s="23">
        <f>IF(B203="","",TEXT(B203,"yyyy-mm"))</f>
        <v>0</v>
      </c>
      <c r="P203" s="23">
        <f>IF(I203="","",IFERROR(INDEX(Jobs!$H$5:$H$604,MATCH(I203,Jobs!$A$5:$A$604,0)),""))</f>
        <v>0</v>
      </c>
      <c r="Q203" s="34">
        <f>IF(B203="","",IF(J203="",0,J203)*IF(K203="Yes",2,1))</f>
        <v>0</v>
      </c>
      <c r="R203" s="21">
        <f>IF(B203="","",IF(L203&lt;&gt;"",L203,MileageRate))</f>
        <v>0</v>
      </c>
      <c r="S203" s="21">
        <f>IF(B203="","",ROUND(Q203*R203+IF(M203="",0,M203),2))</f>
        <v>0</v>
      </c>
      <c r="T203" s="39">
        <f>IF(B203="","",IF(J203="","Add - how far?",IF(D203="","Add - who drove?",IF(N203="No","Due - not claimed yet",IF(Q203&gt;200,"Check - a long day","OK")))))</f>
        <v>0</v>
      </c>
    </row>
    <row r="204" spans="1:20">
      <c r="A204" s="43">
        <f>IF(B204="","","MIL-"&amp;TEXT(ROW()-4,"0000"))</f>
        <v>0</v>
      </c>
      <c r="C204" s="23">
        <f>IF(B204="","",TEXT(B204,"yyyy-mm"))</f>
        <v>0</v>
      </c>
      <c r="P204" s="23">
        <f>IF(I204="","",IFERROR(INDEX(Jobs!$H$5:$H$604,MATCH(I204,Jobs!$A$5:$A$604,0)),""))</f>
        <v>0</v>
      </c>
      <c r="Q204" s="34">
        <f>IF(B204="","",IF(J204="",0,J204)*IF(K204="Yes",2,1))</f>
        <v>0</v>
      </c>
      <c r="R204" s="21">
        <f>IF(B204="","",IF(L204&lt;&gt;"",L204,MileageRate))</f>
        <v>0</v>
      </c>
      <c r="S204" s="21">
        <f>IF(B204="","",ROUND(Q204*R204+IF(M204="",0,M204),2))</f>
        <v>0</v>
      </c>
      <c r="T204" s="39">
        <f>IF(B204="","",IF(J204="","Add - how far?",IF(D204="","Add - who drove?",IF(N204="No","Due - not claimed yet",IF(Q204&gt;200,"Check - a long day","OK")))))</f>
        <v>0</v>
      </c>
    </row>
    <row r="205" spans="1:20">
      <c r="A205" s="43">
        <f>IF(B205="","","MIL-"&amp;TEXT(ROW()-4,"0000"))</f>
        <v>0</v>
      </c>
      <c r="C205" s="23">
        <f>IF(B205="","",TEXT(B205,"yyyy-mm"))</f>
        <v>0</v>
      </c>
      <c r="P205" s="23">
        <f>IF(I205="","",IFERROR(INDEX(Jobs!$H$5:$H$604,MATCH(I205,Jobs!$A$5:$A$604,0)),""))</f>
        <v>0</v>
      </c>
      <c r="Q205" s="34">
        <f>IF(B205="","",IF(J205="",0,J205)*IF(K205="Yes",2,1))</f>
        <v>0</v>
      </c>
      <c r="R205" s="21">
        <f>IF(B205="","",IF(L205&lt;&gt;"",L205,MileageRate))</f>
        <v>0</v>
      </c>
      <c r="S205" s="21">
        <f>IF(B205="","",ROUND(Q205*R205+IF(M205="",0,M205),2))</f>
        <v>0</v>
      </c>
      <c r="T205" s="39">
        <f>IF(B205="","",IF(J205="","Add - how far?",IF(D205="","Add - who drove?",IF(N205="No","Due - not claimed yet",IF(Q205&gt;200,"Check - a long day","OK")))))</f>
        <v>0</v>
      </c>
    </row>
    <row r="206" spans="1:20">
      <c r="A206" s="43">
        <f>IF(B206="","","MIL-"&amp;TEXT(ROW()-4,"0000"))</f>
        <v>0</v>
      </c>
      <c r="C206" s="23">
        <f>IF(B206="","",TEXT(B206,"yyyy-mm"))</f>
        <v>0</v>
      </c>
      <c r="P206" s="23">
        <f>IF(I206="","",IFERROR(INDEX(Jobs!$H$5:$H$604,MATCH(I206,Jobs!$A$5:$A$604,0)),""))</f>
        <v>0</v>
      </c>
      <c r="Q206" s="34">
        <f>IF(B206="","",IF(J206="",0,J206)*IF(K206="Yes",2,1))</f>
        <v>0</v>
      </c>
      <c r="R206" s="21">
        <f>IF(B206="","",IF(L206&lt;&gt;"",L206,MileageRate))</f>
        <v>0</v>
      </c>
      <c r="S206" s="21">
        <f>IF(B206="","",ROUND(Q206*R206+IF(M206="",0,M206),2))</f>
        <v>0</v>
      </c>
      <c r="T206" s="39">
        <f>IF(B206="","",IF(J206="","Add - how far?",IF(D206="","Add - who drove?",IF(N206="No","Due - not claimed yet",IF(Q206&gt;200,"Check - a long day","OK")))))</f>
        <v>0</v>
      </c>
    </row>
    <row r="207" spans="1:20">
      <c r="A207" s="43">
        <f>IF(B207="","","MIL-"&amp;TEXT(ROW()-4,"0000"))</f>
        <v>0</v>
      </c>
      <c r="C207" s="23">
        <f>IF(B207="","",TEXT(B207,"yyyy-mm"))</f>
        <v>0</v>
      </c>
      <c r="P207" s="23">
        <f>IF(I207="","",IFERROR(INDEX(Jobs!$H$5:$H$604,MATCH(I207,Jobs!$A$5:$A$604,0)),""))</f>
        <v>0</v>
      </c>
      <c r="Q207" s="34">
        <f>IF(B207="","",IF(J207="",0,J207)*IF(K207="Yes",2,1))</f>
        <v>0</v>
      </c>
      <c r="R207" s="21">
        <f>IF(B207="","",IF(L207&lt;&gt;"",L207,MileageRate))</f>
        <v>0</v>
      </c>
      <c r="S207" s="21">
        <f>IF(B207="","",ROUND(Q207*R207+IF(M207="",0,M207),2))</f>
        <v>0</v>
      </c>
      <c r="T207" s="39">
        <f>IF(B207="","",IF(J207="","Add - how far?",IF(D207="","Add - who drove?",IF(N207="No","Due - not claimed yet",IF(Q207&gt;200,"Check - a long day","OK")))))</f>
        <v>0</v>
      </c>
    </row>
    <row r="208" spans="1:20">
      <c r="A208" s="43">
        <f>IF(B208="","","MIL-"&amp;TEXT(ROW()-4,"0000"))</f>
        <v>0</v>
      </c>
      <c r="C208" s="23">
        <f>IF(B208="","",TEXT(B208,"yyyy-mm"))</f>
        <v>0</v>
      </c>
      <c r="P208" s="23">
        <f>IF(I208="","",IFERROR(INDEX(Jobs!$H$5:$H$604,MATCH(I208,Jobs!$A$5:$A$604,0)),""))</f>
        <v>0</v>
      </c>
      <c r="Q208" s="34">
        <f>IF(B208="","",IF(J208="",0,J208)*IF(K208="Yes",2,1))</f>
        <v>0</v>
      </c>
      <c r="R208" s="21">
        <f>IF(B208="","",IF(L208&lt;&gt;"",L208,MileageRate))</f>
        <v>0</v>
      </c>
      <c r="S208" s="21">
        <f>IF(B208="","",ROUND(Q208*R208+IF(M208="",0,M208),2))</f>
        <v>0</v>
      </c>
      <c r="T208" s="39">
        <f>IF(B208="","",IF(J208="","Add - how far?",IF(D208="","Add - who drove?",IF(N208="No","Due - not claimed yet",IF(Q208&gt;200,"Check - a long day","OK")))))</f>
        <v>0</v>
      </c>
    </row>
    <row r="209" spans="1:20">
      <c r="A209" s="43">
        <f>IF(B209="","","MIL-"&amp;TEXT(ROW()-4,"0000"))</f>
        <v>0</v>
      </c>
      <c r="C209" s="23">
        <f>IF(B209="","",TEXT(B209,"yyyy-mm"))</f>
        <v>0</v>
      </c>
      <c r="P209" s="23">
        <f>IF(I209="","",IFERROR(INDEX(Jobs!$H$5:$H$604,MATCH(I209,Jobs!$A$5:$A$604,0)),""))</f>
        <v>0</v>
      </c>
      <c r="Q209" s="34">
        <f>IF(B209="","",IF(J209="",0,J209)*IF(K209="Yes",2,1))</f>
        <v>0</v>
      </c>
      <c r="R209" s="21">
        <f>IF(B209="","",IF(L209&lt;&gt;"",L209,MileageRate))</f>
        <v>0</v>
      </c>
      <c r="S209" s="21">
        <f>IF(B209="","",ROUND(Q209*R209+IF(M209="",0,M209),2))</f>
        <v>0</v>
      </c>
      <c r="T209" s="39">
        <f>IF(B209="","",IF(J209="","Add - how far?",IF(D209="","Add - who drove?",IF(N209="No","Due - not claimed yet",IF(Q209&gt;200,"Check - a long day","OK")))))</f>
        <v>0</v>
      </c>
    </row>
    <row r="210" spans="1:20">
      <c r="A210" s="43">
        <f>IF(B210="","","MIL-"&amp;TEXT(ROW()-4,"0000"))</f>
        <v>0</v>
      </c>
      <c r="C210" s="23">
        <f>IF(B210="","",TEXT(B210,"yyyy-mm"))</f>
        <v>0</v>
      </c>
      <c r="P210" s="23">
        <f>IF(I210="","",IFERROR(INDEX(Jobs!$H$5:$H$604,MATCH(I210,Jobs!$A$5:$A$604,0)),""))</f>
        <v>0</v>
      </c>
      <c r="Q210" s="34">
        <f>IF(B210="","",IF(J210="",0,J210)*IF(K210="Yes",2,1))</f>
        <v>0</v>
      </c>
      <c r="R210" s="21">
        <f>IF(B210="","",IF(L210&lt;&gt;"",L210,MileageRate))</f>
        <v>0</v>
      </c>
      <c r="S210" s="21">
        <f>IF(B210="","",ROUND(Q210*R210+IF(M210="",0,M210),2))</f>
        <v>0</v>
      </c>
      <c r="T210" s="39">
        <f>IF(B210="","",IF(J210="","Add - how far?",IF(D210="","Add - who drove?",IF(N210="No","Due - not claimed yet",IF(Q210&gt;200,"Check - a long day","OK")))))</f>
        <v>0</v>
      </c>
    </row>
    <row r="211" spans="1:20">
      <c r="A211" s="43">
        <f>IF(B211="","","MIL-"&amp;TEXT(ROW()-4,"0000"))</f>
        <v>0</v>
      </c>
      <c r="C211" s="23">
        <f>IF(B211="","",TEXT(B211,"yyyy-mm"))</f>
        <v>0</v>
      </c>
      <c r="P211" s="23">
        <f>IF(I211="","",IFERROR(INDEX(Jobs!$H$5:$H$604,MATCH(I211,Jobs!$A$5:$A$604,0)),""))</f>
        <v>0</v>
      </c>
      <c r="Q211" s="34">
        <f>IF(B211="","",IF(J211="",0,J211)*IF(K211="Yes",2,1))</f>
        <v>0</v>
      </c>
      <c r="R211" s="21">
        <f>IF(B211="","",IF(L211&lt;&gt;"",L211,MileageRate))</f>
        <v>0</v>
      </c>
      <c r="S211" s="21">
        <f>IF(B211="","",ROUND(Q211*R211+IF(M211="",0,M211),2))</f>
        <v>0</v>
      </c>
      <c r="T211" s="39">
        <f>IF(B211="","",IF(J211="","Add - how far?",IF(D211="","Add - who drove?",IF(N211="No","Due - not claimed yet",IF(Q211&gt;200,"Check - a long day","OK")))))</f>
        <v>0</v>
      </c>
    </row>
    <row r="212" spans="1:20">
      <c r="A212" s="43">
        <f>IF(B212="","","MIL-"&amp;TEXT(ROW()-4,"0000"))</f>
        <v>0</v>
      </c>
      <c r="C212" s="23">
        <f>IF(B212="","",TEXT(B212,"yyyy-mm"))</f>
        <v>0</v>
      </c>
      <c r="P212" s="23">
        <f>IF(I212="","",IFERROR(INDEX(Jobs!$H$5:$H$604,MATCH(I212,Jobs!$A$5:$A$604,0)),""))</f>
        <v>0</v>
      </c>
      <c r="Q212" s="34">
        <f>IF(B212="","",IF(J212="",0,J212)*IF(K212="Yes",2,1))</f>
        <v>0</v>
      </c>
      <c r="R212" s="21">
        <f>IF(B212="","",IF(L212&lt;&gt;"",L212,MileageRate))</f>
        <v>0</v>
      </c>
      <c r="S212" s="21">
        <f>IF(B212="","",ROUND(Q212*R212+IF(M212="",0,M212),2))</f>
        <v>0</v>
      </c>
      <c r="T212" s="39">
        <f>IF(B212="","",IF(J212="","Add - how far?",IF(D212="","Add - who drove?",IF(N212="No","Due - not claimed yet",IF(Q212&gt;200,"Check - a long day","OK")))))</f>
        <v>0</v>
      </c>
    </row>
    <row r="213" spans="1:20">
      <c r="A213" s="43">
        <f>IF(B213="","","MIL-"&amp;TEXT(ROW()-4,"0000"))</f>
        <v>0</v>
      </c>
      <c r="C213" s="23">
        <f>IF(B213="","",TEXT(B213,"yyyy-mm"))</f>
        <v>0</v>
      </c>
      <c r="P213" s="23">
        <f>IF(I213="","",IFERROR(INDEX(Jobs!$H$5:$H$604,MATCH(I213,Jobs!$A$5:$A$604,0)),""))</f>
        <v>0</v>
      </c>
      <c r="Q213" s="34">
        <f>IF(B213="","",IF(J213="",0,J213)*IF(K213="Yes",2,1))</f>
        <v>0</v>
      </c>
      <c r="R213" s="21">
        <f>IF(B213="","",IF(L213&lt;&gt;"",L213,MileageRate))</f>
        <v>0</v>
      </c>
      <c r="S213" s="21">
        <f>IF(B213="","",ROUND(Q213*R213+IF(M213="",0,M213),2))</f>
        <v>0</v>
      </c>
      <c r="T213" s="39">
        <f>IF(B213="","",IF(J213="","Add - how far?",IF(D213="","Add - who drove?",IF(N213="No","Due - not claimed yet",IF(Q213&gt;200,"Check - a long day","OK")))))</f>
        <v>0</v>
      </c>
    </row>
    <row r="214" spans="1:20">
      <c r="A214" s="43">
        <f>IF(B214="","","MIL-"&amp;TEXT(ROW()-4,"0000"))</f>
        <v>0</v>
      </c>
      <c r="C214" s="23">
        <f>IF(B214="","",TEXT(B214,"yyyy-mm"))</f>
        <v>0</v>
      </c>
      <c r="P214" s="23">
        <f>IF(I214="","",IFERROR(INDEX(Jobs!$H$5:$H$604,MATCH(I214,Jobs!$A$5:$A$604,0)),""))</f>
        <v>0</v>
      </c>
      <c r="Q214" s="34">
        <f>IF(B214="","",IF(J214="",0,J214)*IF(K214="Yes",2,1))</f>
        <v>0</v>
      </c>
      <c r="R214" s="21">
        <f>IF(B214="","",IF(L214&lt;&gt;"",L214,MileageRate))</f>
        <v>0</v>
      </c>
      <c r="S214" s="21">
        <f>IF(B214="","",ROUND(Q214*R214+IF(M214="",0,M214),2))</f>
        <v>0</v>
      </c>
      <c r="T214" s="39">
        <f>IF(B214="","",IF(J214="","Add - how far?",IF(D214="","Add - who drove?",IF(N214="No","Due - not claimed yet",IF(Q214&gt;200,"Check - a long day","OK")))))</f>
        <v>0</v>
      </c>
    </row>
    <row r="215" spans="1:20">
      <c r="A215" s="43">
        <f>IF(B215="","","MIL-"&amp;TEXT(ROW()-4,"0000"))</f>
        <v>0</v>
      </c>
      <c r="C215" s="23">
        <f>IF(B215="","",TEXT(B215,"yyyy-mm"))</f>
        <v>0</v>
      </c>
      <c r="P215" s="23">
        <f>IF(I215="","",IFERROR(INDEX(Jobs!$H$5:$H$604,MATCH(I215,Jobs!$A$5:$A$604,0)),""))</f>
        <v>0</v>
      </c>
      <c r="Q215" s="34">
        <f>IF(B215="","",IF(J215="",0,J215)*IF(K215="Yes",2,1))</f>
        <v>0</v>
      </c>
      <c r="R215" s="21">
        <f>IF(B215="","",IF(L215&lt;&gt;"",L215,MileageRate))</f>
        <v>0</v>
      </c>
      <c r="S215" s="21">
        <f>IF(B215="","",ROUND(Q215*R215+IF(M215="",0,M215),2))</f>
        <v>0</v>
      </c>
      <c r="T215" s="39">
        <f>IF(B215="","",IF(J215="","Add - how far?",IF(D215="","Add - who drove?",IF(N215="No","Due - not claimed yet",IF(Q215&gt;200,"Check - a long day","OK")))))</f>
        <v>0</v>
      </c>
    </row>
    <row r="216" spans="1:20">
      <c r="A216" s="43">
        <f>IF(B216="","","MIL-"&amp;TEXT(ROW()-4,"0000"))</f>
        <v>0</v>
      </c>
      <c r="C216" s="23">
        <f>IF(B216="","",TEXT(B216,"yyyy-mm"))</f>
        <v>0</v>
      </c>
      <c r="P216" s="23">
        <f>IF(I216="","",IFERROR(INDEX(Jobs!$H$5:$H$604,MATCH(I216,Jobs!$A$5:$A$604,0)),""))</f>
        <v>0</v>
      </c>
      <c r="Q216" s="34">
        <f>IF(B216="","",IF(J216="",0,J216)*IF(K216="Yes",2,1))</f>
        <v>0</v>
      </c>
      <c r="R216" s="21">
        <f>IF(B216="","",IF(L216&lt;&gt;"",L216,MileageRate))</f>
        <v>0</v>
      </c>
      <c r="S216" s="21">
        <f>IF(B216="","",ROUND(Q216*R216+IF(M216="",0,M216),2))</f>
        <v>0</v>
      </c>
      <c r="T216" s="39">
        <f>IF(B216="","",IF(J216="","Add - how far?",IF(D216="","Add - who drove?",IF(N216="No","Due - not claimed yet",IF(Q216&gt;200,"Check - a long day","OK")))))</f>
        <v>0</v>
      </c>
    </row>
    <row r="217" spans="1:20">
      <c r="A217" s="43">
        <f>IF(B217="","","MIL-"&amp;TEXT(ROW()-4,"0000"))</f>
        <v>0</v>
      </c>
      <c r="C217" s="23">
        <f>IF(B217="","",TEXT(B217,"yyyy-mm"))</f>
        <v>0</v>
      </c>
      <c r="P217" s="23">
        <f>IF(I217="","",IFERROR(INDEX(Jobs!$H$5:$H$604,MATCH(I217,Jobs!$A$5:$A$604,0)),""))</f>
        <v>0</v>
      </c>
      <c r="Q217" s="34">
        <f>IF(B217="","",IF(J217="",0,J217)*IF(K217="Yes",2,1))</f>
        <v>0</v>
      </c>
      <c r="R217" s="21">
        <f>IF(B217="","",IF(L217&lt;&gt;"",L217,MileageRate))</f>
        <v>0</v>
      </c>
      <c r="S217" s="21">
        <f>IF(B217="","",ROUND(Q217*R217+IF(M217="",0,M217),2))</f>
        <v>0</v>
      </c>
      <c r="T217" s="39">
        <f>IF(B217="","",IF(J217="","Add - how far?",IF(D217="","Add - who drove?",IF(N217="No","Due - not claimed yet",IF(Q217&gt;200,"Check - a long day","OK")))))</f>
        <v>0</v>
      </c>
    </row>
    <row r="218" spans="1:20">
      <c r="A218" s="43">
        <f>IF(B218="","","MIL-"&amp;TEXT(ROW()-4,"0000"))</f>
        <v>0</v>
      </c>
      <c r="C218" s="23">
        <f>IF(B218="","",TEXT(B218,"yyyy-mm"))</f>
        <v>0</v>
      </c>
      <c r="P218" s="23">
        <f>IF(I218="","",IFERROR(INDEX(Jobs!$H$5:$H$604,MATCH(I218,Jobs!$A$5:$A$604,0)),""))</f>
        <v>0</v>
      </c>
      <c r="Q218" s="34">
        <f>IF(B218="","",IF(J218="",0,J218)*IF(K218="Yes",2,1))</f>
        <v>0</v>
      </c>
      <c r="R218" s="21">
        <f>IF(B218="","",IF(L218&lt;&gt;"",L218,MileageRate))</f>
        <v>0</v>
      </c>
      <c r="S218" s="21">
        <f>IF(B218="","",ROUND(Q218*R218+IF(M218="",0,M218),2))</f>
        <v>0</v>
      </c>
      <c r="T218" s="39">
        <f>IF(B218="","",IF(J218="","Add - how far?",IF(D218="","Add - who drove?",IF(N218="No","Due - not claimed yet",IF(Q218&gt;200,"Check - a long day","OK")))))</f>
        <v>0</v>
      </c>
    </row>
    <row r="219" spans="1:20">
      <c r="A219" s="43">
        <f>IF(B219="","","MIL-"&amp;TEXT(ROW()-4,"0000"))</f>
        <v>0</v>
      </c>
      <c r="C219" s="23">
        <f>IF(B219="","",TEXT(B219,"yyyy-mm"))</f>
        <v>0</v>
      </c>
      <c r="P219" s="23">
        <f>IF(I219="","",IFERROR(INDEX(Jobs!$H$5:$H$604,MATCH(I219,Jobs!$A$5:$A$604,0)),""))</f>
        <v>0</v>
      </c>
      <c r="Q219" s="34">
        <f>IF(B219="","",IF(J219="",0,J219)*IF(K219="Yes",2,1))</f>
        <v>0</v>
      </c>
      <c r="R219" s="21">
        <f>IF(B219="","",IF(L219&lt;&gt;"",L219,MileageRate))</f>
        <v>0</v>
      </c>
      <c r="S219" s="21">
        <f>IF(B219="","",ROUND(Q219*R219+IF(M219="",0,M219),2))</f>
        <v>0</v>
      </c>
      <c r="T219" s="39">
        <f>IF(B219="","",IF(J219="","Add - how far?",IF(D219="","Add - who drove?",IF(N219="No","Due - not claimed yet",IF(Q219&gt;200,"Check - a long day","OK")))))</f>
        <v>0</v>
      </c>
    </row>
    <row r="220" spans="1:20">
      <c r="A220" s="43">
        <f>IF(B220="","","MIL-"&amp;TEXT(ROW()-4,"0000"))</f>
        <v>0</v>
      </c>
      <c r="C220" s="23">
        <f>IF(B220="","",TEXT(B220,"yyyy-mm"))</f>
        <v>0</v>
      </c>
      <c r="P220" s="23">
        <f>IF(I220="","",IFERROR(INDEX(Jobs!$H$5:$H$604,MATCH(I220,Jobs!$A$5:$A$604,0)),""))</f>
        <v>0</v>
      </c>
      <c r="Q220" s="34">
        <f>IF(B220="","",IF(J220="",0,J220)*IF(K220="Yes",2,1))</f>
        <v>0</v>
      </c>
      <c r="R220" s="21">
        <f>IF(B220="","",IF(L220&lt;&gt;"",L220,MileageRate))</f>
        <v>0</v>
      </c>
      <c r="S220" s="21">
        <f>IF(B220="","",ROUND(Q220*R220+IF(M220="",0,M220),2))</f>
        <v>0</v>
      </c>
      <c r="T220" s="39">
        <f>IF(B220="","",IF(J220="","Add - how far?",IF(D220="","Add - who drove?",IF(N220="No","Due - not claimed yet",IF(Q220&gt;200,"Check - a long day","OK")))))</f>
        <v>0</v>
      </c>
    </row>
    <row r="221" spans="1:20">
      <c r="A221" s="43">
        <f>IF(B221="","","MIL-"&amp;TEXT(ROW()-4,"0000"))</f>
        <v>0</v>
      </c>
      <c r="C221" s="23">
        <f>IF(B221="","",TEXT(B221,"yyyy-mm"))</f>
        <v>0</v>
      </c>
      <c r="P221" s="23">
        <f>IF(I221="","",IFERROR(INDEX(Jobs!$H$5:$H$604,MATCH(I221,Jobs!$A$5:$A$604,0)),""))</f>
        <v>0</v>
      </c>
      <c r="Q221" s="34">
        <f>IF(B221="","",IF(J221="",0,J221)*IF(K221="Yes",2,1))</f>
        <v>0</v>
      </c>
      <c r="R221" s="21">
        <f>IF(B221="","",IF(L221&lt;&gt;"",L221,MileageRate))</f>
        <v>0</v>
      </c>
      <c r="S221" s="21">
        <f>IF(B221="","",ROUND(Q221*R221+IF(M221="",0,M221),2))</f>
        <v>0</v>
      </c>
      <c r="T221" s="39">
        <f>IF(B221="","",IF(J221="","Add - how far?",IF(D221="","Add - who drove?",IF(N221="No","Due - not claimed yet",IF(Q221&gt;200,"Check - a long day","OK")))))</f>
        <v>0</v>
      </c>
    </row>
    <row r="222" spans="1:20">
      <c r="A222" s="43">
        <f>IF(B222="","","MIL-"&amp;TEXT(ROW()-4,"0000"))</f>
        <v>0</v>
      </c>
      <c r="C222" s="23">
        <f>IF(B222="","",TEXT(B222,"yyyy-mm"))</f>
        <v>0</v>
      </c>
      <c r="P222" s="23">
        <f>IF(I222="","",IFERROR(INDEX(Jobs!$H$5:$H$604,MATCH(I222,Jobs!$A$5:$A$604,0)),""))</f>
        <v>0</v>
      </c>
      <c r="Q222" s="34">
        <f>IF(B222="","",IF(J222="",0,J222)*IF(K222="Yes",2,1))</f>
        <v>0</v>
      </c>
      <c r="R222" s="21">
        <f>IF(B222="","",IF(L222&lt;&gt;"",L222,MileageRate))</f>
        <v>0</v>
      </c>
      <c r="S222" s="21">
        <f>IF(B222="","",ROUND(Q222*R222+IF(M222="",0,M222),2))</f>
        <v>0</v>
      </c>
      <c r="T222" s="39">
        <f>IF(B222="","",IF(J222="","Add - how far?",IF(D222="","Add - who drove?",IF(N222="No","Due - not claimed yet",IF(Q222&gt;200,"Check - a long day","OK")))))</f>
        <v>0</v>
      </c>
    </row>
    <row r="223" spans="1:20">
      <c r="A223" s="43">
        <f>IF(B223="","","MIL-"&amp;TEXT(ROW()-4,"0000"))</f>
        <v>0</v>
      </c>
      <c r="C223" s="23">
        <f>IF(B223="","",TEXT(B223,"yyyy-mm"))</f>
        <v>0</v>
      </c>
      <c r="P223" s="23">
        <f>IF(I223="","",IFERROR(INDEX(Jobs!$H$5:$H$604,MATCH(I223,Jobs!$A$5:$A$604,0)),""))</f>
        <v>0</v>
      </c>
      <c r="Q223" s="34">
        <f>IF(B223="","",IF(J223="",0,J223)*IF(K223="Yes",2,1))</f>
        <v>0</v>
      </c>
      <c r="R223" s="21">
        <f>IF(B223="","",IF(L223&lt;&gt;"",L223,MileageRate))</f>
        <v>0</v>
      </c>
      <c r="S223" s="21">
        <f>IF(B223="","",ROUND(Q223*R223+IF(M223="",0,M223),2))</f>
        <v>0</v>
      </c>
      <c r="T223" s="39">
        <f>IF(B223="","",IF(J223="","Add - how far?",IF(D223="","Add - who drove?",IF(N223="No","Due - not claimed yet",IF(Q223&gt;200,"Check - a long day","OK")))))</f>
        <v>0</v>
      </c>
    </row>
    <row r="224" spans="1:20">
      <c r="A224" s="43">
        <f>IF(B224="","","MIL-"&amp;TEXT(ROW()-4,"0000"))</f>
        <v>0</v>
      </c>
      <c r="C224" s="23">
        <f>IF(B224="","",TEXT(B224,"yyyy-mm"))</f>
        <v>0</v>
      </c>
      <c r="P224" s="23">
        <f>IF(I224="","",IFERROR(INDEX(Jobs!$H$5:$H$604,MATCH(I224,Jobs!$A$5:$A$604,0)),""))</f>
        <v>0</v>
      </c>
      <c r="Q224" s="34">
        <f>IF(B224="","",IF(J224="",0,J224)*IF(K224="Yes",2,1))</f>
        <v>0</v>
      </c>
      <c r="R224" s="21">
        <f>IF(B224="","",IF(L224&lt;&gt;"",L224,MileageRate))</f>
        <v>0</v>
      </c>
      <c r="S224" s="21">
        <f>IF(B224="","",ROUND(Q224*R224+IF(M224="",0,M224),2))</f>
        <v>0</v>
      </c>
      <c r="T224" s="39">
        <f>IF(B224="","",IF(J224="","Add - how far?",IF(D224="","Add - who drove?",IF(N224="No","Due - not claimed yet",IF(Q224&gt;200,"Check - a long day","OK")))))</f>
        <v>0</v>
      </c>
    </row>
    <row r="225" spans="1:20">
      <c r="A225" s="43">
        <f>IF(B225="","","MIL-"&amp;TEXT(ROW()-4,"0000"))</f>
        <v>0</v>
      </c>
      <c r="C225" s="23">
        <f>IF(B225="","",TEXT(B225,"yyyy-mm"))</f>
        <v>0</v>
      </c>
      <c r="P225" s="23">
        <f>IF(I225="","",IFERROR(INDEX(Jobs!$H$5:$H$604,MATCH(I225,Jobs!$A$5:$A$604,0)),""))</f>
        <v>0</v>
      </c>
      <c r="Q225" s="34">
        <f>IF(B225="","",IF(J225="",0,J225)*IF(K225="Yes",2,1))</f>
        <v>0</v>
      </c>
      <c r="R225" s="21">
        <f>IF(B225="","",IF(L225&lt;&gt;"",L225,MileageRate))</f>
        <v>0</v>
      </c>
      <c r="S225" s="21">
        <f>IF(B225="","",ROUND(Q225*R225+IF(M225="",0,M225),2))</f>
        <v>0</v>
      </c>
      <c r="T225" s="39">
        <f>IF(B225="","",IF(J225="","Add - how far?",IF(D225="","Add - who drove?",IF(N225="No","Due - not claimed yet",IF(Q225&gt;200,"Check - a long day","OK")))))</f>
        <v>0</v>
      </c>
    </row>
    <row r="226" spans="1:20">
      <c r="A226" s="43">
        <f>IF(B226="","","MIL-"&amp;TEXT(ROW()-4,"0000"))</f>
        <v>0</v>
      </c>
      <c r="C226" s="23">
        <f>IF(B226="","",TEXT(B226,"yyyy-mm"))</f>
        <v>0</v>
      </c>
      <c r="P226" s="23">
        <f>IF(I226="","",IFERROR(INDEX(Jobs!$H$5:$H$604,MATCH(I226,Jobs!$A$5:$A$604,0)),""))</f>
        <v>0</v>
      </c>
      <c r="Q226" s="34">
        <f>IF(B226="","",IF(J226="",0,J226)*IF(K226="Yes",2,1))</f>
        <v>0</v>
      </c>
      <c r="R226" s="21">
        <f>IF(B226="","",IF(L226&lt;&gt;"",L226,MileageRate))</f>
        <v>0</v>
      </c>
      <c r="S226" s="21">
        <f>IF(B226="","",ROUND(Q226*R226+IF(M226="",0,M226),2))</f>
        <v>0</v>
      </c>
      <c r="T226" s="39">
        <f>IF(B226="","",IF(J226="","Add - how far?",IF(D226="","Add - who drove?",IF(N226="No","Due - not claimed yet",IF(Q226&gt;200,"Check - a long day","OK")))))</f>
        <v>0</v>
      </c>
    </row>
    <row r="227" spans="1:20">
      <c r="A227" s="43">
        <f>IF(B227="","","MIL-"&amp;TEXT(ROW()-4,"0000"))</f>
        <v>0</v>
      </c>
      <c r="C227" s="23">
        <f>IF(B227="","",TEXT(B227,"yyyy-mm"))</f>
        <v>0</v>
      </c>
      <c r="P227" s="23">
        <f>IF(I227="","",IFERROR(INDEX(Jobs!$H$5:$H$604,MATCH(I227,Jobs!$A$5:$A$604,0)),""))</f>
        <v>0</v>
      </c>
      <c r="Q227" s="34">
        <f>IF(B227="","",IF(J227="",0,J227)*IF(K227="Yes",2,1))</f>
        <v>0</v>
      </c>
      <c r="R227" s="21">
        <f>IF(B227="","",IF(L227&lt;&gt;"",L227,MileageRate))</f>
        <v>0</v>
      </c>
      <c r="S227" s="21">
        <f>IF(B227="","",ROUND(Q227*R227+IF(M227="",0,M227),2))</f>
        <v>0</v>
      </c>
      <c r="T227" s="39">
        <f>IF(B227="","",IF(J227="","Add - how far?",IF(D227="","Add - who drove?",IF(N227="No","Due - not claimed yet",IF(Q227&gt;200,"Check - a long day","OK")))))</f>
        <v>0</v>
      </c>
    </row>
    <row r="228" spans="1:20">
      <c r="A228" s="43">
        <f>IF(B228="","","MIL-"&amp;TEXT(ROW()-4,"0000"))</f>
        <v>0</v>
      </c>
      <c r="C228" s="23">
        <f>IF(B228="","",TEXT(B228,"yyyy-mm"))</f>
        <v>0</v>
      </c>
      <c r="P228" s="23">
        <f>IF(I228="","",IFERROR(INDEX(Jobs!$H$5:$H$604,MATCH(I228,Jobs!$A$5:$A$604,0)),""))</f>
        <v>0</v>
      </c>
      <c r="Q228" s="34">
        <f>IF(B228="","",IF(J228="",0,J228)*IF(K228="Yes",2,1))</f>
        <v>0</v>
      </c>
      <c r="R228" s="21">
        <f>IF(B228="","",IF(L228&lt;&gt;"",L228,MileageRate))</f>
        <v>0</v>
      </c>
      <c r="S228" s="21">
        <f>IF(B228="","",ROUND(Q228*R228+IF(M228="",0,M228),2))</f>
        <v>0</v>
      </c>
      <c r="T228" s="39">
        <f>IF(B228="","",IF(J228="","Add - how far?",IF(D228="","Add - who drove?",IF(N228="No","Due - not claimed yet",IF(Q228&gt;200,"Check - a long day","OK")))))</f>
        <v>0</v>
      </c>
    </row>
    <row r="229" spans="1:20">
      <c r="A229" s="43">
        <f>IF(B229="","","MIL-"&amp;TEXT(ROW()-4,"0000"))</f>
        <v>0</v>
      </c>
      <c r="C229" s="23">
        <f>IF(B229="","",TEXT(B229,"yyyy-mm"))</f>
        <v>0</v>
      </c>
      <c r="P229" s="23">
        <f>IF(I229="","",IFERROR(INDEX(Jobs!$H$5:$H$604,MATCH(I229,Jobs!$A$5:$A$604,0)),""))</f>
        <v>0</v>
      </c>
      <c r="Q229" s="34">
        <f>IF(B229="","",IF(J229="",0,J229)*IF(K229="Yes",2,1))</f>
        <v>0</v>
      </c>
      <c r="R229" s="21">
        <f>IF(B229="","",IF(L229&lt;&gt;"",L229,MileageRate))</f>
        <v>0</v>
      </c>
      <c r="S229" s="21">
        <f>IF(B229="","",ROUND(Q229*R229+IF(M229="",0,M229),2))</f>
        <v>0</v>
      </c>
      <c r="T229" s="39">
        <f>IF(B229="","",IF(J229="","Add - how far?",IF(D229="","Add - who drove?",IF(N229="No","Due - not claimed yet",IF(Q229&gt;200,"Check - a long day","OK")))))</f>
        <v>0</v>
      </c>
    </row>
    <row r="230" spans="1:20">
      <c r="A230" s="43">
        <f>IF(B230="","","MIL-"&amp;TEXT(ROW()-4,"0000"))</f>
        <v>0</v>
      </c>
      <c r="C230" s="23">
        <f>IF(B230="","",TEXT(B230,"yyyy-mm"))</f>
        <v>0</v>
      </c>
      <c r="P230" s="23">
        <f>IF(I230="","",IFERROR(INDEX(Jobs!$H$5:$H$604,MATCH(I230,Jobs!$A$5:$A$604,0)),""))</f>
        <v>0</v>
      </c>
      <c r="Q230" s="34">
        <f>IF(B230="","",IF(J230="",0,J230)*IF(K230="Yes",2,1))</f>
        <v>0</v>
      </c>
      <c r="R230" s="21">
        <f>IF(B230="","",IF(L230&lt;&gt;"",L230,MileageRate))</f>
        <v>0</v>
      </c>
      <c r="S230" s="21">
        <f>IF(B230="","",ROUND(Q230*R230+IF(M230="",0,M230),2))</f>
        <v>0</v>
      </c>
      <c r="T230" s="39">
        <f>IF(B230="","",IF(J230="","Add - how far?",IF(D230="","Add - who drove?",IF(N230="No","Due - not claimed yet",IF(Q230&gt;200,"Check - a long day","OK")))))</f>
        <v>0</v>
      </c>
    </row>
    <row r="231" spans="1:20">
      <c r="A231" s="43">
        <f>IF(B231="","","MIL-"&amp;TEXT(ROW()-4,"0000"))</f>
        <v>0</v>
      </c>
      <c r="C231" s="23">
        <f>IF(B231="","",TEXT(B231,"yyyy-mm"))</f>
        <v>0</v>
      </c>
      <c r="P231" s="23">
        <f>IF(I231="","",IFERROR(INDEX(Jobs!$H$5:$H$604,MATCH(I231,Jobs!$A$5:$A$604,0)),""))</f>
        <v>0</v>
      </c>
      <c r="Q231" s="34">
        <f>IF(B231="","",IF(J231="",0,J231)*IF(K231="Yes",2,1))</f>
        <v>0</v>
      </c>
      <c r="R231" s="21">
        <f>IF(B231="","",IF(L231&lt;&gt;"",L231,MileageRate))</f>
        <v>0</v>
      </c>
      <c r="S231" s="21">
        <f>IF(B231="","",ROUND(Q231*R231+IF(M231="",0,M231),2))</f>
        <v>0</v>
      </c>
      <c r="T231" s="39">
        <f>IF(B231="","",IF(J231="","Add - how far?",IF(D231="","Add - who drove?",IF(N231="No","Due - not claimed yet",IF(Q231&gt;200,"Check - a long day","OK")))))</f>
        <v>0</v>
      </c>
    </row>
    <row r="232" spans="1:20">
      <c r="A232" s="43">
        <f>IF(B232="","","MIL-"&amp;TEXT(ROW()-4,"0000"))</f>
        <v>0</v>
      </c>
      <c r="C232" s="23">
        <f>IF(B232="","",TEXT(B232,"yyyy-mm"))</f>
        <v>0</v>
      </c>
      <c r="P232" s="23">
        <f>IF(I232="","",IFERROR(INDEX(Jobs!$H$5:$H$604,MATCH(I232,Jobs!$A$5:$A$604,0)),""))</f>
        <v>0</v>
      </c>
      <c r="Q232" s="34">
        <f>IF(B232="","",IF(J232="",0,J232)*IF(K232="Yes",2,1))</f>
        <v>0</v>
      </c>
      <c r="R232" s="21">
        <f>IF(B232="","",IF(L232&lt;&gt;"",L232,MileageRate))</f>
        <v>0</v>
      </c>
      <c r="S232" s="21">
        <f>IF(B232="","",ROUND(Q232*R232+IF(M232="",0,M232),2))</f>
        <v>0</v>
      </c>
      <c r="T232" s="39">
        <f>IF(B232="","",IF(J232="","Add - how far?",IF(D232="","Add - who drove?",IF(N232="No","Due - not claimed yet",IF(Q232&gt;200,"Check - a long day","OK")))))</f>
        <v>0</v>
      </c>
    </row>
    <row r="233" spans="1:20">
      <c r="A233" s="43">
        <f>IF(B233="","","MIL-"&amp;TEXT(ROW()-4,"0000"))</f>
        <v>0</v>
      </c>
      <c r="C233" s="23">
        <f>IF(B233="","",TEXT(B233,"yyyy-mm"))</f>
        <v>0</v>
      </c>
      <c r="P233" s="23">
        <f>IF(I233="","",IFERROR(INDEX(Jobs!$H$5:$H$604,MATCH(I233,Jobs!$A$5:$A$604,0)),""))</f>
        <v>0</v>
      </c>
      <c r="Q233" s="34">
        <f>IF(B233="","",IF(J233="",0,J233)*IF(K233="Yes",2,1))</f>
        <v>0</v>
      </c>
      <c r="R233" s="21">
        <f>IF(B233="","",IF(L233&lt;&gt;"",L233,MileageRate))</f>
        <v>0</v>
      </c>
      <c r="S233" s="21">
        <f>IF(B233="","",ROUND(Q233*R233+IF(M233="",0,M233),2))</f>
        <v>0</v>
      </c>
      <c r="T233" s="39">
        <f>IF(B233="","",IF(J233="","Add - how far?",IF(D233="","Add - who drove?",IF(N233="No","Due - not claimed yet",IF(Q233&gt;200,"Check - a long day","OK")))))</f>
        <v>0</v>
      </c>
    </row>
    <row r="234" spans="1:20">
      <c r="A234" s="43">
        <f>IF(B234="","","MIL-"&amp;TEXT(ROW()-4,"0000"))</f>
        <v>0</v>
      </c>
      <c r="C234" s="23">
        <f>IF(B234="","",TEXT(B234,"yyyy-mm"))</f>
        <v>0</v>
      </c>
      <c r="P234" s="23">
        <f>IF(I234="","",IFERROR(INDEX(Jobs!$H$5:$H$604,MATCH(I234,Jobs!$A$5:$A$604,0)),""))</f>
        <v>0</v>
      </c>
      <c r="Q234" s="34">
        <f>IF(B234="","",IF(J234="",0,J234)*IF(K234="Yes",2,1))</f>
        <v>0</v>
      </c>
      <c r="R234" s="21">
        <f>IF(B234="","",IF(L234&lt;&gt;"",L234,MileageRate))</f>
        <v>0</v>
      </c>
      <c r="S234" s="21">
        <f>IF(B234="","",ROUND(Q234*R234+IF(M234="",0,M234),2))</f>
        <v>0</v>
      </c>
      <c r="T234" s="39">
        <f>IF(B234="","",IF(J234="","Add - how far?",IF(D234="","Add - who drove?",IF(N234="No","Due - not claimed yet",IF(Q234&gt;200,"Check - a long day","OK")))))</f>
        <v>0</v>
      </c>
    </row>
    <row r="235" spans="1:20">
      <c r="A235" s="43">
        <f>IF(B235="","","MIL-"&amp;TEXT(ROW()-4,"0000"))</f>
        <v>0</v>
      </c>
      <c r="C235" s="23">
        <f>IF(B235="","",TEXT(B235,"yyyy-mm"))</f>
        <v>0</v>
      </c>
      <c r="P235" s="23">
        <f>IF(I235="","",IFERROR(INDEX(Jobs!$H$5:$H$604,MATCH(I235,Jobs!$A$5:$A$604,0)),""))</f>
        <v>0</v>
      </c>
      <c r="Q235" s="34">
        <f>IF(B235="","",IF(J235="",0,J235)*IF(K235="Yes",2,1))</f>
        <v>0</v>
      </c>
      <c r="R235" s="21">
        <f>IF(B235="","",IF(L235&lt;&gt;"",L235,MileageRate))</f>
        <v>0</v>
      </c>
      <c r="S235" s="21">
        <f>IF(B235="","",ROUND(Q235*R235+IF(M235="",0,M235),2))</f>
        <v>0</v>
      </c>
      <c r="T235" s="39">
        <f>IF(B235="","",IF(J235="","Add - how far?",IF(D235="","Add - who drove?",IF(N235="No","Due - not claimed yet",IF(Q235&gt;200,"Check - a long day","OK")))))</f>
        <v>0</v>
      </c>
    </row>
    <row r="236" spans="1:20">
      <c r="A236" s="43">
        <f>IF(B236="","","MIL-"&amp;TEXT(ROW()-4,"0000"))</f>
        <v>0</v>
      </c>
      <c r="C236" s="23">
        <f>IF(B236="","",TEXT(B236,"yyyy-mm"))</f>
        <v>0</v>
      </c>
      <c r="P236" s="23">
        <f>IF(I236="","",IFERROR(INDEX(Jobs!$H$5:$H$604,MATCH(I236,Jobs!$A$5:$A$604,0)),""))</f>
        <v>0</v>
      </c>
      <c r="Q236" s="34">
        <f>IF(B236="","",IF(J236="",0,J236)*IF(K236="Yes",2,1))</f>
        <v>0</v>
      </c>
      <c r="R236" s="21">
        <f>IF(B236="","",IF(L236&lt;&gt;"",L236,MileageRate))</f>
        <v>0</v>
      </c>
      <c r="S236" s="21">
        <f>IF(B236="","",ROUND(Q236*R236+IF(M236="",0,M236),2))</f>
        <v>0</v>
      </c>
      <c r="T236" s="39">
        <f>IF(B236="","",IF(J236="","Add - how far?",IF(D236="","Add - who drove?",IF(N236="No","Due - not claimed yet",IF(Q236&gt;200,"Check - a long day","OK")))))</f>
        <v>0</v>
      </c>
    </row>
    <row r="237" spans="1:20">
      <c r="A237" s="43">
        <f>IF(B237="","","MIL-"&amp;TEXT(ROW()-4,"0000"))</f>
        <v>0</v>
      </c>
      <c r="C237" s="23">
        <f>IF(B237="","",TEXT(B237,"yyyy-mm"))</f>
        <v>0</v>
      </c>
      <c r="P237" s="23">
        <f>IF(I237="","",IFERROR(INDEX(Jobs!$H$5:$H$604,MATCH(I237,Jobs!$A$5:$A$604,0)),""))</f>
        <v>0</v>
      </c>
      <c r="Q237" s="34">
        <f>IF(B237="","",IF(J237="",0,J237)*IF(K237="Yes",2,1))</f>
        <v>0</v>
      </c>
      <c r="R237" s="21">
        <f>IF(B237="","",IF(L237&lt;&gt;"",L237,MileageRate))</f>
        <v>0</v>
      </c>
      <c r="S237" s="21">
        <f>IF(B237="","",ROUND(Q237*R237+IF(M237="",0,M237),2))</f>
        <v>0</v>
      </c>
      <c r="T237" s="39">
        <f>IF(B237="","",IF(J237="","Add - how far?",IF(D237="","Add - who drove?",IF(N237="No","Due - not claimed yet",IF(Q237&gt;200,"Check - a long day","OK")))))</f>
        <v>0</v>
      </c>
    </row>
    <row r="238" spans="1:20">
      <c r="A238" s="43">
        <f>IF(B238="","","MIL-"&amp;TEXT(ROW()-4,"0000"))</f>
        <v>0</v>
      </c>
      <c r="C238" s="23">
        <f>IF(B238="","",TEXT(B238,"yyyy-mm"))</f>
        <v>0</v>
      </c>
      <c r="P238" s="23">
        <f>IF(I238="","",IFERROR(INDEX(Jobs!$H$5:$H$604,MATCH(I238,Jobs!$A$5:$A$604,0)),""))</f>
        <v>0</v>
      </c>
      <c r="Q238" s="34">
        <f>IF(B238="","",IF(J238="",0,J238)*IF(K238="Yes",2,1))</f>
        <v>0</v>
      </c>
      <c r="R238" s="21">
        <f>IF(B238="","",IF(L238&lt;&gt;"",L238,MileageRate))</f>
        <v>0</v>
      </c>
      <c r="S238" s="21">
        <f>IF(B238="","",ROUND(Q238*R238+IF(M238="",0,M238),2))</f>
        <v>0</v>
      </c>
      <c r="T238" s="39">
        <f>IF(B238="","",IF(J238="","Add - how far?",IF(D238="","Add - who drove?",IF(N238="No","Due - not claimed yet",IF(Q238&gt;200,"Check - a long day","OK")))))</f>
        <v>0</v>
      </c>
    </row>
    <row r="239" spans="1:20">
      <c r="A239" s="43">
        <f>IF(B239="","","MIL-"&amp;TEXT(ROW()-4,"0000"))</f>
        <v>0</v>
      </c>
      <c r="C239" s="23">
        <f>IF(B239="","",TEXT(B239,"yyyy-mm"))</f>
        <v>0</v>
      </c>
      <c r="P239" s="23">
        <f>IF(I239="","",IFERROR(INDEX(Jobs!$H$5:$H$604,MATCH(I239,Jobs!$A$5:$A$604,0)),""))</f>
        <v>0</v>
      </c>
      <c r="Q239" s="34">
        <f>IF(B239="","",IF(J239="",0,J239)*IF(K239="Yes",2,1))</f>
        <v>0</v>
      </c>
      <c r="R239" s="21">
        <f>IF(B239="","",IF(L239&lt;&gt;"",L239,MileageRate))</f>
        <v>0</v>
      </c>
      <c r="S239" s="21">
        <f>IF(B239="","",ROUND(Q239*R239+IF(M239="",0,M239),2))</f>
        <v>0</v>
      </c>
      <c r="T239" s="39">
        <f>IF(B239="","",IF(J239="","Add - how far?",IF(D239="","Add - who drove?",IF(N239="No","Due - not claimed yet",IF(Q239&gt;200,"Check - a long day","OK")))))</f>
        <v>0</v>
      </c>
    </row>
    <row r="240" spans="1:20">
      <c r="A240" s="43">
        <f>IF(B240="","","MIL-"&amp;TEXT(ROW()-4,"0000"))</f>
        <v>0</v>
      </c>
      <c r="C240" s="23">
        <f>IF(B240="","",TEXT(B240,"yyyy-mm"))</f>
        <v>0</v>
      </c>
      <c r="P240" s="23">
        <f>IF(I240="","",IFERROR(INDEX(Jobs!$H$5:$H$604,MATCH(I240,Jobs!$A$5:$A$604,0)),""))</f>
        <v>0</v>
      </c>
      <c r="Q240" s="34">
        <f>IF(B240="","",IF(J240="",0,J240)*IF(K240="Yes",2,1))</f>
        <v>0</v>
      </c>
      <c r="R240" s="21">
        <f>IF(B240="","",IF(L240&lt;&gt;"",L240,MileageRate))</f>
        <v>0</v>
      </c>
      <c r="S240" s="21">
        <f>IF(B240="","",ROUND(Q240*R240+IF(M240="",0,M240),2))</f>
        <v>0</v>
      </c>
      <c r="T240" s="39">
        <f>IF(B240="","",IF(J240="","Add - how far?",IF(D240="","Add - who drove?",IF(N240="No","Due - not claimed yet",IF(Q240&gt;200,"Check - a long day","OK")))))</f>
        <v>0</v>
      </c>
    </row>
    <row r="241" spans="1:20">
      <c r="A241" s="43">
        <f>IF(B241="","","MIL-"&amp;TEXT(ROW()-4,"0000"))</f>
        <v>0</v>
      </c>
      <c r="C241" s="23">
        <f>IF(B241="","",TEXT(B241,"yyyy-mm"))</f>
        <v>0</v>
      </c>
      <c r="P241" s="23">
        <f>IF(I241="","",IFERROR(INDEX(Jobs!$H$5:$H$604,MATCH(I241,Jobs!$A$5:$A$604,0)),""))</f>
        <v>0</v>
      </c>
      <c r="Q241" s="34">
        <f>IF(B241="","",IF(J241="",0,J241)*IF(K241="Yes",2,1))</f>
        <v>0</v>
      </c>
      <c r="R241" s="21">
        <f>IF(B241="","",IF(L241&lt;&gt;"",L241,MileageRate))</f>
        <v>0</v>
      </c>
      <c r="S241" s="21">
        <f>IF(B241="","",ROUND(Q241*R241+IF(M241="",0,M241),2))</f>
        <v>0</v>
      </c>
      <c r="T241" s="39">
        <f>IF(B241="","",IF(J241="","Add - how far?",IF(D241="","Add - who drove?",IF(N241="No","Due - not claimed yet",IF(Q241&gt;200,"Check - a long day","OK")))))</f>
        <v>0</v>
      </c>
    </row>
    <row r="242" spans="1:20">
      <c r="A242" s="43">
        <f>IF(B242="","","MIL-"&amp;TEXT(ROW()-4,"0000"))</f>
        <v>0</v>
      </c>
      <c r="C242" s="23">
        <f>IF(B242="","",TEXT(B242,"yyyy-mm"))</f>
        <v>0</v>
      </c>
      <c r="P242" s="23">
        <f>IF(I242="","",IFERROR(INDEX(Jobs!$H$5:$H$604,MATCH(I242,Jobs!$A$5:$A$604,0)),""))</f>
        <v>0</v>
      </c>
      <c r="Q242" s="34">
        <f>IF(B242="","",IF(J242="",0,J242)*IF(K242="Yes",2,1))</f>
        <v>0</v>
      </c>
      <c r="R242" s="21">
        <f>IF(B242="","",IF(L242&lt;&gt;"",L242,MileageRate))</f>
        <v>0</v>
      </c>
      <c r="S242" s="21">
        <f>IF(B242="","",ROUND(Q242*R242+IF(M242="",0,M242),2))</f>
        <v>0</v>
      </c>
      <c r="T242" s="39">
        <f>IF(B242="","",IF(J242="","Add - how far?",IF(D242="","Add - who drove?",IF(N242="No","Due - not claimed yet",IF(Q242&gt;200,"Check - a long day","OK")))))</f>
        <v>0</v>
      </c>
    </row>
    <row r="243" spans="1:20">
      <c r="A243" s="43">
        <f>IF(B243="","","MIL-"&amp;TEXT(ROW()-4,"0000"))</f>
        <v>0</v>
      </c>
      <c r="C243" s="23">
        <f>IF(B243="","",TEXT(B243,"yyyy-mm"))</f>
        <v>0</v>
      </c>
      <c r="P243" s="23">
        <f>IF(I243="","",IFERROR(INDEX(Jobs!$H$5:$H$604,MATCH(I243,Jobs!$A$5:$A$604,0)),""))</f>
        <v>0</v>
      </c>
      <c r="Q243" s="34">
        <f>IF(B243="","",IF(J243="",0,J243)*IF(K243="Yes",2,1))</f>
        <v>0</v>
      </c>
      <c r="R243" s="21">
        <f>IF(B243="","",IF(L243&lt;&gt;"",L243,MileageRate))</f>
        <v>0</v>
      </c>
      <c r="S243" s="21">
        <f>IF(B243="","",ROUND(Q243*R243+IF(M243="",0,M243),2))</f>
        <v>0</v>
      </c>
      <c r="T243" s="39">
        <f>IF(B243="","",IF(J243="","Add - how far?",IF(D243="","Add - who drove?",IF(N243="No","Due - not claimed yet",IF(Q243&gt;200,"Check - a long day","OK")))))</f>
        <v>0</v>
      </c>
    </row>
    <row r="244" spans="1:20">
      <c r="A244" s="43">
        <f>IF(B244="","","MIL-"&amp;TEXT(ROW()-4,"0000"))</f>
        <v>0</v>
      </c>
      <c r="C244" s="23">
        <f>IF(B244="","",TEXT(B244,"yyyy-mm"))</f>
        <v>0</v>
      </c>
      <c r="P244" s="23">
        <f>IF(I244="","",IFERROR(INDEX(Jobs!$H$5:$H$604,MATCH(I244,Jobs!$A$5:$A$604,0)),""))</f>
        <v>0</v>
      </c>
      <c r="Q244" s="34">
        <f>IF(B244="","",IF(J244="",0,J244)*IF(K244="Yes",2,1))</f>
        <v>0</v>
      </c>
      <c r="R244" s="21">
        <f>IF(B244="","",IF(L244&lt;&gt;"",L244,MileageRate))</f>
        <v>0</v>
      </c>
      <c r="S244" s="21">
        <f>IF(B244="","",ROUND(Q244*R244+IF(M244="",0,M244),2))</f>
        <v>0</v>
      </c>
      <c r="T244" s="39">
        <f>IF(B244="","",IF(J244="","Add - how far?",IF(D244="","Add - who drove?",IF(N244="No","Due - not claimed yet",IF(Q244&gt;200,"Check - a long day","OK")))))</f>
        <v>0</v>
      </c>
    </row>
    <row r="245" spans="1:20">
      <c r="A245" s="43">
        <f>IF(B245="","","MIL-"&amp;TEXT(ROW()-4,"0000"))</f>
        <v>0</v>
      </c>
      <c r="C245" s="23">
        <f>IF(B245="","",TEXT(B245,"yyyy-mm"))</f>
        <v>0</v>
      </c>
      <c r="P245" s="23">
        <f>IF(I245="","",IFERROR(INDEX(Jobs!$H$5:$H$604,MATCH(I245,Jobs!$A$5:$A$604,0)),""))</f>
        <v>0</v>
      </c>
      <c r="Q245" s="34">
        <f>IF(B245="","",IF(J245="",0,J245)*IF(K245="Yes",2,1))</f>
        <v>0</v>
      </c>
      <c r="R245" s="21">
        <f>IF(B245="","",IF(L245&lt;&gt;"",L245,MileageRate))</f>
        <v>0</v>
      </c>
      <c r="S245" s="21">
        <f>IF(B245="","",ROUND(Q245*R245+IF(M245="",0,M245),2))</f>
        <v>0</v>
      </c>
      <c r="T245" s="39">
        <f>IF(B245="","",IF(J245="","Add - how far?",IF(D245="","Add - who drove?",IF(N245="No","Due - not claimed yet",IF(Q245&gt;200,"Check - a long day","OK")))))</f>
        <v>0</v>
      </c>
    </row>
    <row r="246" spans="1:20">
      <c r="A246" s="43">
        <f>IF(B246="","","MIL-"&amp;TEXT(ROW()-4,"0000"))</f>
        <v>0</v>
      </c>
      <c r="C246" s="23">
        <f>IF(B246="","",TEXT(B246,"yyyy-mm"))</f>
        <v>0</v>
      </c>
      <c r="P246" s="23">
        <f>IF(I246="","",IFERROR(INDEX(Jobs!$H$5:$H$604,MATCH(I246,Jobs!$A$5:$A$604,0)),""))</f>
        <v>0</v>
      </c>
      <c r="Q246" s="34">
        <f>IF(B246="","",IF(J246="",0,J246)*IF(K246="Yes",2,1))</f>
        <v>0</v>
      </c>
      <c r="R246" s="21">
        <f>IF(B246="","",IF(L246&lt;&gt;"",L246,MileageRate))</f>
        <v>0</v>
      </c>
      <c r="S246" s="21">
        <f>IF(B246="","",ROUND(Q246*R246+IF(M246="",0,M246),2))</f>
        <v>0</v>
      </c>
      <c r="T246" s="39">
        <f>IF(B246="","",IF(J246="","Add - how far?",IF(D246="","Add - who drove?",IF(N246="No","Due - not claimed yet",IF(Q246&gt;200,"Check - a long day","OK")))))</f>
        <v>0</v>
      </c>
    </row>
    <row r="247" spans="1:20">
      <c r="A247" s="43">
        <f>IF(B247="","","MIL-"&amp;TEXT(ROW()-4,"0000"))</f>
        <v>0</v>
      </c>
      <c r="C247" s="23">
        <f>IF(B247="","",TEXT(B247,"yyyy-mm"))</f>
        <v>0</v>
      </c>
      <c r="P247" s="23">
        <f>IF(I247="","",IFERROR(INDEX(Jobs!$H$5:$H$604,MATCH(I247,Jobs!$A$5:$A$604,0)),""))</f>
        <v>0</v>
      </c>
      <c r="Q247" s="34">
        <f>IF(B247="","",IF(J247="",0,J247)*IF(K247="Yes",2,1))</f>
        <v>0</v>
      </c>
      <c r="R247" s="21">
        <f>IF(B247="","",IF(L247&lt;&gt;"",L247,MileageRate))</f>
        <v>0</v>
      </c>
      <c r="S247" s="21">
        <f>IF(B247="","",ROUND(Q247*R247+IF(M247="",0,M247),2))</f>
        <v>0</v>
      </c>
      <c r="T247" s="39">
        <f>IF(B247="","",IF(J247="","Add - how far?",IF(D247="","Add - who drove?",IF(N247="No","Due - not claimed yet",IF(Q247&gt;200,"Check - a long day","OK")))))</f>
        <v>0</v>
      </c>
    </row>
    <row r="248" spans="1:20">
      <c r="A248" s="43">
        <f>IF(B248="","","MIL-"&amp;TEXT(ROW()-4,"0000"))</f>
        <v>0</v>
      </c>
      <c r="C248" s="23">
        <f>IF(B248="","",TEXT(B248,"yyyy-mm"))</f>
        <v>0</v>
      </c>
      <c r="P248" s="23">
        <f>IF(I248="","",IFERROR(INDEX(Jobs!$H$5:$H$604,MATCH(I248,Jobs!$A$5:$A$604,0)),""))</f>
        <v>0</v>
      </c>
      <c r="Q248" s="34">
        <f>IF(B248="","",IF(J248="",0,J248)*IF(K248="Yes",2,1))</f>
        <v>0</v>
      </c>
      <c r="R248" s="21">
        <f>IF(B248="","",IF(L248&lt;&gt;"",L248,MileageRate))</f>
        <v>0</v>
      </c>
      <c r="S248" s="21">
        <f>IF(B248="","",ROUND(Q248*R248+IF(M248="",0,M248),2))</f>
        <v>0</v>
      </c>
      <c r="T248" s="39">
        <f>IF(B248="","",IF(J248="","Add - how far?",IF(D248="","Add - who drove?",IF(N248="No","Due - not claimed yet",IF(Q248&gt;200,"Check - a long day","OK")))))</f>
        <v>0</v>
      </c>
    </row>
    <row r="249" spans="1:20">
      <c r="A249" s="43">
        <f>IF(B249="","","MIL-"&amp;TEXT(ROW()-4,"0000"))</f>
        <v>0</v>
      </c>
      <c r="C249" s="23">
        <f>IF(B249="","",TEXT(B249,"yyyy-mm"))</f>
        <v>0</v>
      </c>
      <c r="P249" s="23">
        <f>IF(I249="","",IFERROR(INDEX(Jobs!$H$5:$H$604,MATCH(I249,Jobs!$A$5:$A$604,0)),""))</f>
        <v>0</v>
      </c>
      <c r="Q249" s="34">
        <f>IF(B249="","",IF(J249="",0,J249)*IF(K249="Yes",2,1))</f>
        <v>0</v>
      </c>
      <c r="R249" s="21">
        <f>IF(B249="","",IF(L249&lt;&gt;"",L249,MileageRate))</f>
        <v>0</v>
      </c>
      <c r="S249" s="21">
        <f>IF(B249="","",ROUND(Q249*R249+IF(M249="",0,M249),2))</f>
        <v>0</v>
      </c>
      <c r="T249" s="39">
        <f>IF(B249="","",IF(J249="","Add - how far?",IF(D249="","Add - who drove?",IF(N249="No","Due - not claimed yet",IF(Q249&gt;200,"Check - a long day","OK")))))</f>
        <v>0</v>
      </c>
    </row>
    <row r="250" spans="1:20">
      <c r="A250" s="43">
        <f>IF(B250="","","MIL-"&amp;TEXT(ROW()-4,"0000"))</f>
        <v>0</v>
      </c>
      <c r="C250" s="23">
        <f>IF(B250="","",TEXT(B250,"yyyy-mm"))</f>
        <v>0</v>
      </c>
      <c r="P250" s="23">
        <f>IF(I250="","",IFERROR(INDEX(Jobs!$H$5:$H$604,MATCH(I250,Jobs!$A$5:$A$604,0)),""))</f>
        <v>0</v>
      </c>
      <c r="Q250" s="34">
        <f>IF(B250="","",IF(J250="",0,J250)*IF(K250="Yes",2,1))</f>
        <v>0</v>
      </c>
      <c r="R250" s="21">
        <f>IF(B250="","",IF(L250&lt;&gt;"",L250,MileageRate))</f>
        <v>0</v>
      </c>
      <c r="S250" s="21">
        <f>IF(B250="","",ROUND(Q250*R250+IF(M250="",0,M250),2))</f>
        <v>0</v>
      </c>
      <c r="T250" s="39">
        <f>IF(B250="","",IF(J250="","Add - how far?",IF(D250="","Add - who drove?",IF(N250="No","Due - not claimed yet",IF(Q250&gt;200,"Check - a long day","OK")))))</f>
        <v>0</v>
      </c>
    </row>
    <row r="251" spans="1:20">
      <c r="A251" s="43">
        <f>IF(B251="","","MIL-"&amp;TEXT(ROW()-4,"0000"))</f>
        <v>0</v>
      </c>
      <c r="C251" s="23">
        <f>IF(B251="","",TEXT(B251,"yyyy-mm"))</f>
        <v>0</v>
      </c>
      <c r="P251" s="23">
        <f>IF(I251="","",IFERROR(INDEX(Jobs!$H$5:$H$604,MATCH(I251,Jobs!$A$5:$A$604,0)),""))</f>
        <v>0</v>
      </c>
      <c r="Q251" s="34">
        <f>IF(B251="","",IF(J251="",0,J251)*IF(K251="Yes",2,1))</f>
        <v>0</v>
      </c>
      <c r="R251" s="21">
        <f>IF(B251="","",IF(L251&lt;&gt;"",L251,MileageRate))</f>
        <v>0</v>
      </c>
      <c r="S251" s="21">
        <f>IF(B251="","",ROUND(Q251*R251+IF(M251="",0,M251),2))</f>
        <v>0</v>
      </c>
      <c r="T251" s="39">
        <f>IF(B251="","",IF(J251="","Add - how far?",IF(D251="","Add - who drove?",IF(N251="No","Due - not claimed yet",IF(Q251&gt;200,"Check - a long day","OK")))))</f>
        <v>0</v>
      </c>
    </row>
    <row r="252" spans="1:20">
      <c r="A252" s="43">
        <f>IF(B252="","","MIL-"&amp;TEXT(ROW()-4,"0000"))</f>
        <v>0</v>
      </c>
      <c r="C252" s="23">
        <f>IF(B252="","",TEXT(B252,"yyyy-mm"))</f>
        <v>0</v>
      </c>
      <c r="P252" s="23">
        <f>IF(I252="","",IFERROR(INDEX(Jobs!$H$5:$H$604,MATCH(I252,Jobs!$A$5:$A$604,0)),""))</f>
        <v>0</v>
      </c>
      <c r="Q252" s="34">
        <f>IF(B252="","",IF(J252="",0,J252)*IF(K252="Yes",2,1))</f>
        <v>0</v>
      </c>
      <c r="R252" s="21">
        <f>IF(B252="","",IF(L252&lt;&gt;"",L252,MileageRate))</f>
        <v>0</v>
      </c>
      <c r="S252" s="21">
        <f>IF(B252="","",ROUND(Q252*R252+IF(M252="",0,M252),2))</f>
        <v>0</v>
      </c>
      <c r="T252" s="39">
        <f>IF(B252="","",IF(J252="","Add - how far?",IF(D252="","Add - who drove?",IF(N252="No","Due - not claimed yet",IF(Q252&gt;200,"Check - a long day","OK")))))</f>
        <v>0</v>
      </c>
    </row>
    <row r="253" spans="1:20">
      <c r="A253" s="43">
        <f>IF(B253="","","MIL-"&amp;TEXT(ROW()-4,"0000"))</f>
        <v>0</v>
      </c>
      <c r="C253" s="23">
        <f>IF(B253="","",TEXT(B253,"yyyy-mm"))</f>
        <v>0</v>
      </c>
      <c r="P253" s="23">
        <f>IF(I253="","",IFERROR(INDEX(Jobs!$H$5:$H$604,MATCH(I253,Jobs!$A$5:$A$604,0)),""))</f>
        <v>0</v>
      </c>
      <c r="Q253" s="34">
        <f>IF(B253="","",IF(J253="",0,J253)*IF(K253="Yes",2,1))</f>
        <v>0</v>
      </c>
      <c r="R253" s="21">
        <f>IF(B253="","",IF(L253&lt;&gt;"",L253,MileageRate))</f>
        <v>0</v>
      </c>
      <c r="S253" s="21">
        <f>IF(B253="","",ROUND(Q253*R253+IF(M253="",0,M253),2))</f>
        <v>0</v>
      </c>
      <c r="T253" s="39">
        <f>IF(B253="","",IF(J253="","Add - how far?",IF(D253="","Add - who drove?",IF(N253="No","Due - not claimed yet",IF(Q253&gt;200,"Check - a long day","OK")))))</f>
        <v>0</v>
      </c>
    </row>
    <row r="254" spans="1:20">
      <c r="A254" s="43">
        <f>IF(B254="","","MIL-"&amp;TEXT(ROW()-4,"0000"))</f>
        <v>0</v>
      </c>
      <c r="C254" s="23">
        <f>IF(B254="","",TEXT(B254,"yyyy-mm"))</f>
        <v>0</v>
      </c>
      <c r="P254" s="23">
        <f>IF(I254="","",IFERROR(INDEX(Jobs!$H$5:$H$604,MATCH(I254,Jobs!$A$5:$A$604,0)),""))</f>
        <v>0</v>
      </c>
      <c r="Q254" s="34">
        <f>IF(B254="","",IF(J254="",0,J254)*IF(K254="Yes",2,1))</f>
        <v>0</v>
      </c>
      <c r="R254" s="21">
        <f>IF(B254="","",IF(L254&lt;&gt;"",L254,MileageRate))</f>
        <v>0</v>
      </c>
      <c r="S254" s="21">
        <f>IF(B254="","",ROUND(Q254*R254+IF(M254="",0,M254),2))</f>
        <v>0</v>
      </c>
      <c r="T254" s="39">
        <f>IF(B254="","",IF(J254="","Add - how far?",IF(D254="","Add - who drove?",IF(N254="No","Due - not claimed yet",IF(Q254&gt;200,"Check - a long day","OK")))))</f>
        <v>0</v>
      </c>
    </row>
    <row r="255" spans="1:20">
      <c r="A255" s="43">
        <f>IF(B255="","","MIL-"&amp;TEXT(ROW()-4,"0000"))</f>
        <v>0</v>
      </c>
      <c r="C255" s="23">
        <f>IF(B255="","",TEXT(B255,"yyyy-mm"))</f>
        <v>0</v>
      </c>
      <c r="P255" s="23">
        <f>IF(I255="","",IFERROR(INDEX(Jobs!$H$5:$H$604,MATCH(I255,Jobs!$A$5:$A$604,0)),""))</f>
        <v>0</v>
      </c>
      <c r="Q255" s="34">
        <f>IF(B255="","",IF(J255="",0,J255)*IF(K255="Yes",2,1))</f>
        <v>0</v>
      </c>
      <c r="R255" s="21">
        <f>IF(B255="","",IF(L255&lt;&gt;"",L255,MileageRate))</f>
        <v>0</v>
      </c>
      <c r="S255" s="21">
        <f>IF(B255="","",ROUND(Q255*R255+IF(M255="",0,M255),2))</f>
        <v>0</v>
      </c>
      <c r="T255" s="39">
        <f>IF(B255="","",IF(J255="","Add - how far?",IF(D255="","Add - who drove?",IF(N255="No","Due - not claimed yet",IF(Q255&gt;200,"Check - a long day","OK")))))</f>
        <v>0</v>
      </c>
    </row>
    <row r="256" spans="1:20">
      <c r="A256" s="43">
        <f>IF(B256="","","MIL-"&amp;TEXT(ROW()-4,"0000"))</f>
        <v>0</v>
      </c>
      <c r="C256" s="23">
        <f>IF(B256="","",TEXT(B256,"yyyy-mm"))</f>
        <v>0</v>
      </c>
      <c r="P256" s="23">
        <f>IF(I256="","",IFERROR(INDEX(Jobs!$H$5:$H$604,MATCH(I256,Jobs!$A$5:$A$604,0)),""))</f>
        <v>0</v>
      </c>
      <c r="Q256" s="34">
        <f>IF(B256="","",IF(J256="",0,J256)*IF(K256="Yes",2,1))</f>
        <v>0</v>
      </c>
      <c r="R256" s="21">
        <f>IF(B256="","",IF(L256&lt;&gt;"",L256,MileageRate))</f>
        <v>0</v>
      </c>
      <c r="S256" s="21">
        <f>IF(B256="","",ROUND(Q256*R256+IF(M256="",0,M256),2))</f>
        <v>0</v>
      </c>
      <c r="T256" s="39">
        <f>IF(B256="","",IF(J256="","Add - how far?",IF(D256="","Add - who drove?",IF(N256="No","Due - not claimed yet",IF(Q256&gt;200,"Check - a long day","OK")))))</f>
        <v>0</v>
      </c>
    </row>
    <row r="257" spans="1:20">
      <c r="A257" s="43">
        <f>IF(B257="","","MIL-"&amp;TEXT(ROW()-4,"0000"))</f>
        <v>0</v>
      </c>
      <c r="C257" s="23">
        <f>IF(B257="","",TEXT(B257,"yyyy-mm"))</f>
        <v>0</v>
      </c>
      <c r="P257" s="23">
        <f>IF(I257="","",IFERROR(INDEX(Jobs!$H$5:$H$604,MATCH(I257,Jobs!$A$5:$A$604,0)),""))</f>
        <v>0</v>
      </c>
      <c r="Q257" s="34">
        <f>IF(B257="","",IF(J257="",0,J257)*IF(K257="Yes",2,1))</f>
        <v>0</v>
      </c>
      <c r="R257" s="21">
        <f>IF(B257="","",IF(L257&lt;&gt;"",L257,MileageRate))</f>
        <v>0</v>
      </c>
      <c r="S257" s="21">
        <f>IF(B257="","",ROUND(Q257*R257+IF(M257="",0,M257),2))</f>
        <v>0</v>
      </c>
      <c r="T257" s="39">
        <f>IF(B257="","",IF(J257="","Add - how far?",IF(D257="","Add - who drove?",IF(N257="No","Due - not claimed yet",IF(Q257&gt;200,"Check - a long day","OK")))))</f>
        <v>0</v>
      </c>
    </row>
    <row r="258" spans="1:20">
      <c r="A258" s="43">
        <f>IF(B258="","","MIL-"&amp;TEXT(ROW()-4,"0000"))</f>
        <v>0</v>
      </c>
      <c r="C258" s="23">
        <f>IF(B258="","",TEXT(B258,"yyyy-mm"))</f>
        <v>0</v>
      </c>
      <c r="P258" s="23">
        <f>IF(I258="","",IFERROR(INDEX(Jobs!$H$5:$H$604,MATCH(I258,Jobs!$A$5:$A$604,0)),""))</f>
        <v>0</v>
      </c>
      <c r="Q258" s="34">
        <f>IF(B258="","",IF(J258="",0,J258)*IF(K258="Yes",2,1))</f>
        <v>0</v>
      </c>
      <c r="R258" s="21">
        <f>IF(B258="","",IF(L258&lt;&gt;"",L258,MileageRate))</f>
        <v>0</v>
      </c>
      <c r="S258" s="21">
        <f>IF(B258="","",ROUND(Q258*R258+IF(M258="",0,M258),2))</f>
        <v>0</v>
      </c>
      <c r="T258" s="39">
        <f>IF(B258="","",IF(J258="","Add - how far?",IF(D258="","Add - who drove?",IF(N258="No","Due - not claimed yet",IF(Q258&gt;200,"Check - a long day","OK")))))</f>
        <v>0</v>
      </c>
    </row>
    <row r="259" spans="1:20">
      <c r="A259" s="43">
        <f>IF(B259="","","MIL-"&amp;TEXT(ROW()-4,"0000"))</f>
        <v>0</v>
      </c>
      <c r="C259" s="23">
        <f>IF(B259="","",TEXT(B259,"yyyy-mm"))</f>
        <v>0</v>
      </c>
      <c r="P259" s="23">
        <f>IF(I259="","",IFERROR(INDEX(Jobs!$H$5:$H$604,MATCH(I259,Jobs!$A$5:$A$604,0)),""))</f>
        <v>0</v>
      </c>
      <c r="Q259" s="34">
        <f>IF(B259="","",IF(J259="",0,J259)*IF(K259="Yes",2,1))</f>
        <v>0</v>
      </c>
      <c r="R259" s="21">
        <f>IF(B259="","",IF(L259&lt;&gt;"",L259,MileageRate))</f>
        <v>0</v>
      </c>
      <c r="S259" s="21">
        <f>IF(B259="","",ROUND(Q259*R259+IF(M259="",0,M259),2))</f>
        <v>0</v>
      </c>
      <c r="T259" s="39">
        <f>IF(B259="","",IF(J259="","Add - how far?",IF(D259="","Add - who drove?",IF(N259="No","Due - not claimed yet",IF(Q259&gt;200,"Check - a long day","OK")))))</f>
        <v>0</v>
      </c>
    </row>
    <row r="260" spans="1:20">
      <c r="A260" s="43">
        <f>IF(B260="","","MIL-"&amp;TEXT(ROW()-4,"0000"))</f>
        <v>0</v>
      </c>
      <c r="C260" s="23">
        <f>IF(B260="","",TEXT(B260,"yyyy-mm"))</f>
        <v>0</v>
      </c>
      <c r="P260" s="23">
        <f>IF(I260="","",IFERROR(INDEX(Jobs!$H$5:$H$604,MATCH(I260,Jobs!$A$5:$A$604,0)),""))</f>
        <v>0</v>
      </c>
      <c r="Q260" s="34">
        <f>IF(B260="","",IF(J260="",0,J260)*IF(K260="Yes",2,1))</f>
        <v>0</v>
      </c>
      <c r="R260" s="21">
        <f>IF(B260="","",IF(L260&lt;&gt;"",L260,MileageRate))</f>
        <v>0</v>
      </c>
      <c r="S260" s="21">
        <f>IF(B260="","",ROUND(Q260*R260+IF(M260="",0,M260),2))</f>
        <v>0</v>
      </c>
      <c r="T260" s="39">
        <f>IF(B260="","",IF(J260="","Add - how far?",IF(D260="","Add - who drove?",IF(N260="No","Due - not claimed yet",IF(Q260&gt;200,"Check - a long day","OK")))))</f>
        <v>0</v>
      </c>
    </row>
    <row r="261" spans="1:20">
      <c r="A261" s="43">
        <f>IF(B261="","","MIL-"&amp;TEXT(ROW()-4,"0000"))</f>
        <v>0</v>
      </c>
      <c r="C261" s="23">
        <f>IF(B261="","",TEXT(B261,"yyyy-mm"))</f>
        <v>0</v>
      </c>
      <c r="P261" s="23">
        <f>IF(I261="","",IFERROR(INDEX(Jobs!$H$5:$H$604,MATCH(I261,Jobs!$A$5:$A$604,0)),""))</f>
        <v>0</v>
      </c>
      <c r="Q261" s="34">
        <f>IF(B261="","",IF(J261="",0,J261)*IF(K261="Yes",2,1))</f>
        <v>0</v>
      </c>
      <c r="R261" s="21">
        <f>IF(B261="","",IF(L261&lt;&gt;"",L261,MileageRate))</f>
        <v>0</v>
      </c>
      <c r="S261" s="21">
        <f>IF(B261="","",ROUND(Q261*R261+IF(M261="",0,M261),2))</f>
        <v>0</v>
      </c>
      <c r="T261" s="39">
        <f>IF(B261="","",IF(J261="","Add - how far?",IF(D261="","Add - who drove?",IF(N261="No","Due - not claimed yet",IF(Q261&gt;200,"Check - a long day","OK")))))</f>
        <v>0</v>
      </c>
    </row>
    <row r="262" spans="1:20">
      <c r="A262" s="43">
        <f>IF(B262="","","MIL-"&amp;TEXT(ROW()-4,"0000"))</f>
        <v>0</v>
      </c>
      <c r="C262" s="23">
        <f>IF(B262="","",TEXT(B262,"yyyy-mm"))</f>
        <v>0</v>
      </c>
      <c r="P262" s="23">
        <f>IF(I262="","",IFERROR(INDEX(Jobs!$H$5:$H$604,MATCH(I262,Jobs!$A$5:$A$604,0)),""))</f>
        <v>0</v>
      </c>
      <c r="Q262" s="34">
        <f>IF(B262="","",IF(J262="",0,J262)*IF(K262="Yes",2,1))</f>
        <v>0</v>
      </c>
      <c r="R262" s="21">
        <f>IF(B262="","",IF(L262&lt;&gt;"",L262,MileageRate))</f>
        <v>0</v>
      </c>
      <c r="S262" s="21">
        <f>IF(B262="","",ROUND(Q262*R262+IF(M262="",0,M262),2))</f>
        <v>0</v>
      </c>
      <c r="T262" s="39">
        <f>IF(B262="","",IF(J262="","Add - how far?",IF(D262="","Add - who drove?",IF(N262="No","Due - not claimed yet",IF(Q262&gt;200,"Check - a long day","OK")))))</f>
        <v>0</v>
      </c>
    </row>
    <row r="263" spans="1:20">
      <c r="A263" s="43">
        <f>IF(B263="","","MIL-"&amp;TEXT(ROW()-4,"0000"))</f>
        <v>0</v>
      </c>
      <c r="C263" s="23">
        <f>IF(B263="","",TEXT(B263,"yyyy-mm"))</f>
        <v>0</v>
      </c>
      <c r="P263" s="23">
        <f>IF(I263="","",IFERROR(INDEX(Jobs!$H$5:$H$604,MATCH(I263,Jobs!$A$5:$A$604,0)),""))</f>
        <v>0</v>
      </c>
      <c r="Q263" s="34">
        <f>IF(B263="","",IF(J263="",0,J263)*IF(K263="Yes",2,1))</f>
        <v>0</v>
      </c>
      <c r="R263" s="21">
        <f>IF(B263="","",IF(L263&lt;&gt;"",L263,MileageRate))</f>
        <v>0</v>
      </c>
      <c r="S263" s="21">
        <f>IF(B263="","",ROUND(Q263*R263+IF(M263="",0,M263),2))</f>
        <v>0</v>
      </c>
      <c r="T263" s="39">
        <f>IF(B263="","",IF(J263="","Add - how far?",IF(D263="","Add - who drove?",IF(N263="No","Due - not claimed yet",IF(Q263&gt;200,"Check - a long day","OK")))))</f>
        <v>0</v>
      </c>
    </row>
    <row r="264" spans="1:20">
      <c r="A264" s="43">
        <f>IF(B264="","","MIL-"&amp;TEXT(ROW()-4,"0000"))</f>
        <v>0</v>
      </c>
      <c r="C264" s="23">
        <f>IF(B264="","",TEXT(B264,"yyyy-mm"))</f>
        <v>0</v>
      </c>
      <c r="P264" s="23">
        <f>IF(I264="","",IFERROR(INDEX(Jobs!$H$5:$H$604,MATCH(I264,Jobs!$A$5:$A$604,0)),""))</f>
        <v>0</v>
      </c>
      <c r="Q264" s="34">
        <f>IF(B264="","",IF(J264="",0,J264)*IF(K264="Yes",2,1))</f>
        <v>0</v>
      </c>
      <c r="R264" s="21">
        <f>IF(B264="","",IF(L264&lt;&gt;"",L264,MileageRate))</f>
        <v>0</v>
      </c>
      <c r="S264" s="21">
        <f>IF(B264="","",ROUND(Q264*R264+IF(M264="",0,M264),2))</f>
        <v>0</v>
      </c>
      <c r="T264" s="39">
        <f>IF(B264="","",IF(J264="","Add - how far?",IF(D264="","Add - who drove?",IF(N264="No","Due - not claimed yet",IF(Q264&gt;200,"Check - a long day","OK")))))</f>
        <v>0</v>
      </c>
    </row>
    <row r="265" spans="1:20">
      <c r="A265" s="43">
        <f>IF(B265="","","MIL-"&amp;TEXT(ROW()-4,"0000"))</f>
        <v>0</v>
      </c>
      <c r="C265" s="23">
        <f>IF(B265="","",TEXT(B265,"yyyy-mm"))</f>
        <v>0</v>
      </c>
      <c r="P265" s="23">
        <f>IF(I265="","",IFERROR(INDEX(Jobs!$H$5:$H$604,MATCH(I265,Jobs!$A$5:$A$604,0)),""))</f>
        <v>0</v>
      </c>
      <c r="Q265" s="34">
        <f>IF(B265="","",IF(J265="",0,J265)*IF(K265="Yes",2,1))</f>
        <v>0</v>
      </c>
      <c r="R265" s="21">
        <f>IF(B265="","",IF(L265&lt;&gt;"",L265,MileageRate))</f>
        <v>0</v>
      </c>
      <c r="S265" s="21">
        <f>IF(B265="","",ROUND(Q265*R265+IF(M265="",0,M265),2))</f>
        <v>0</v>
      </c>
      <c r="T265" s="39">
        <f>IF(B265="","",IF(J265="","Add - how far?",IF(D265="","Add - who drove?",IF(N265="No","Due - not claimed yet",IF(Q265&gt;200,"Check - a long day","OK")))))</f>
        <v>0</v>
      </c>
    </row>
    <row r="266" spans="1:20">
      <c r="A266" s="43">
        <f>IF(B266="","","MIL-"&amp;TEXT(ROW()-4,"0000"))</f>
        <v>0</v>
      </c>
      <c r="C266" s="23">
        <f>IF(B266="","",TEXT(B266,"yyyy-mm"))</f>
        <v>0</v>
      </c>
      <c r="P266" s="23">
        <f>IF(I266="","",IFERROR(INDEX(Jobs!$H$5:$H$604,MATCH(I266,Jobs!$A$5:$A$604,0)),""))</f>
        <v>0</v>
      </c>
      <c r="Q266" s="34">
        <f>IF(B266="","",IF(J266="",0,J266)*IF(K266="Yes",2,1))</f>
        <v>0</v>
      </c>
      <c r="R266" s="21">
        <f>IF(B266="","",IF(L266&lt;&gt;"",L266,MileageRate))</f>
        <v>0</v>
      </c>
      <c r="S266" s="21">
        <f>IF(B266="","",ROUND(Q266*R266+IF(M266="",0,M266),2))</f>
        <v>0</v>
      </c>
      <c r="T266" s="39">
        <f>IF(B266="","",IF(J266="","Add - how far?",IF(D266="","Add - who drove?",IF(N266="No","Due - not claimed yet",IF(Q266&gt;200,"Check - a long day","OK")))))</f>
        <v>0</v>
      </c>
    </row>
    <row r="267" spans="1:20">
      <c r="A267" s="43">
        <f>IF(B267="","","MIL-"&amp;TEXT(ROW()-4,"0000"))</f>
        <v>0</v>
      </c>
      <c r="C267" s="23">
        <f>IF(B267="","",TEXT(B267,"yyyy-mm"))</f>
        <v>0</v>
      </c>
      <c r="P267" s="23">
        <f>IF(I267="","",IFERROR(INDEX(Jobs!$H$5:$H$604,MATCH(I267,Jobs!$A$5:$A$604,0)),""))</f>
        <v>0</v>
      </c>
      <c r="Q267" s="34">
        <f>IF(B267="","",IF(J267="",0,J267)*IF(K267="Yes",2,1))</f>
        <v>0</v>
      </c>
      <c r="R267" s="21">
        <f>IF(B267="","",IF(L267&lt;&gt;"",L267,MileageRate))</f>
        <v>0</v>
      </c>
      <c r="S267" s="21">
        <f>IF(B267="","",ROUND(Q267*R267+IF(M267="",0,M267),2))</f>
        <v>0</v>
      </c>
      <c r="T267" s="39">
        <f>IF(B267="","",IF(J267="","Add - how far?",IF(D267="","Add - who drove?",IF(N267="No","Due - not claimed yet",IF(Q267&gt;200,"Check - a long day","OK")))))</f>
        <v>0</v>
      </c>
    </row>
    <row r="268" spans="1:20">
      <c r="A268" s="43">
        <f>IF(B268="","","MIL-"&amp;TEXT(ROW()-4,"0000"))</f>
        <v>0</v>
      </c>
      <c r="C268" s="23">
        <f>IF(B268="","",TEXT(B268,"yyyy-mm"))</f>
        <v>0</v>
      </c>
      <c r="P268" s="23">
        <f>IF(I268="","",IFERROR(INDEX(Jobs!$H$5:$H$604,MATCH(I268,Jobs!$A$5:$A$604,0)),""))</f>
        <v>0</v>
      </c>
      <c r="Q268" s="34">
        <f>IF(B268="","",IF(J268="",0,J268)*IF(K268="Yes",2,1))</f>
        <v>0</v>
      </c>
      <c r="R268" s="21">
        <f>IF(B268="","",IF(L268&lt;&gt;"",L268,MileageRate))</f>
        <v>0</v>
      </c>
      <c r="S268" s="21">
        <f>IF(B268="","",ROUND(Q268*R268+IF(M268="",0,M268),2))</f>
        <v>0</v>
      </c>
      <c r="T268" s="39">
        <f>IF(B268="","",IF(J268="","Add - how far?",IF(D268="","Add - who drove?",IF(N268="No","Due - not claimed yet",IF(Q268&gt;200,"Check - a long day","OK")))))</f>
        <v>0</v>
      </c>
    </row>
    <row r="269" spans="1:20">
      <c r="A269" s="43">
        <f>IF(B269="","","MIL-"&amp;TEXT(ROW()-4,"0000"))</f>
        <v>0</v>
      </c>
      <c r="C269" s="23">
        <f>IF(B269="","",TEXT(B269,"yyyy-mm"))</f>
        <v>0</v>
      </c>
      <c r="P269" s="23">
        <f>IF(I269="","",IFERROR(INDEX(Jobs!$H$5:$H$604,MATCH(I269,Jobs!$A$5:$A$604,0)),""))</f>
        <v>0</v>
      </c>
      <c r="Q269" s="34">
        <f>IF(B269="","",IF(J269="",0,J269)*IF(K269="Yes",2,1))</f>
        <v>0</v>
      </c>
      <c r="R269" s="21">
        <f>IF(B269="","",IF(L269&lt;&gt;"",L269,MileageRate))</f>
        <v>0</v>
      </c>
      <c r="S269" s="21">
        <f>IF(B269="","",ROUND(Q269*R269+IF(M269="",0,M269),2))</f>
        <v>0</v>
      </c>
      <c r="T269" s="39">
        <f>IF(B269="","",IF(J269="","Add - how far?",IF(D269="","Add - who drove?",IF(N269="No","Due - not claimed yet",IF(Q269&gt;200,"Check - a long day","OK")))))</f>
        <v>0</v>
      </c>
    </row>
    <row r="270" spans="1:20">
      <c r="A270" s="43">
        <f>IF(B270="","","MIL-"&amp;TEXT(ROW()-4,"0000"))</f>
        <v>0</v>
      </c>
      <c r="C270" s="23">
        <f>IF(B270="","",TEXT(B270,"yyyy-mm"))</f>
        <v>0</v>
      </c>
      <c r="P270" s="23">
        <f>IF(I270="","",IFERROR(INDEX(Jobs!$H$5:$H$604,MATCH(I270,Jobs!$A$5:$A$604,0)),""))</f>
        <v>0</v>
      </c>
      <c r="Q270" s="34">
        <f>IF(B270="","",IF(J270="",0,J270)*IF(K270="Yes",2,1))</f>
        <v>0</v>
      </c>
      <c r="R270" s="21">
        <f>IF(B270="","",IF(L270&lt;&gt;"",L270,MileageRate))</f>
        <v>0</v>
      </c>
      <c r="S270" s="21">
        <f>IF(B270="","",ROUND(Q270*R270+IF(M270="",0,M270),2))</f>
        <v>0</v>
      </c>
      <c r="T270" s="39">
        <f>IF(B270="","",IF(J270="","Add - how far?",IF(D270="","Add - who drove?",IF(N270="No","Due - not claimed yet",IF(Q270&gt;200,"Check - a long day","OK")))))</f>
        <v>0</v>
      </c>
    </row>
    <row r="271" spans="1:20">
      <c r="A271" s="43">
        <f>IF(B271="","","MIL-"&amp;TEXT(ROW()-4,"0000"))</f>
        <v>0</v>
      </c>
      <c r="C271" s="23">
        <f>IF(B271="","",TEXT(B271,"yyyy-mm"))</f>
        <v>0</v>
      </c>
      <c r="P271" s="23">
        <f>IF(I271="","",IFERROR(INDEX(Jobs!$H$5:$H$604,MATCH(I271,Jobs!$A$5:$A$604,0)),""))</f>
        <v>0</v>
      </c>
      <c r="Q271" s="34">
        <f>IF(B271="","",IF(J271="",0,J271)*IF(K271="Yes",2,1))</f>
        <v>0</v>
      </c>
      <c r="R271" s="21">
        <f>IF(B271="","",IF(L271&lt;&gt;"",L271,MileageRate))</f>
        <v>0</v>
      </c>
      <c r="S271" s="21">
        <f>IF(B271="","",ROUND(Q271*R271+IF(M271="",0,M271),2))</f>
        <v>0</v>
      </c>
      <c r="T271" s="39">
        <f>IF(B271="","",IF(J271="","Add - how far?",IF(D271="","Add - who drove?",IF(N271="No","Due - not claimed yet",IF(Q271&gt;200,"Check - a long day","OK")))))</f>
        <v>0</v>
      </c>
    </row>
    <row r="272" spans="1:20">
      <c r="A272" s="43">
        <f>IF(B272="","","MIL-"&amp;TEXT(ROW()-4,"0000"))</f>
        <v>0</v>
      </c>
      <c r="C272" s="23">
        <f>IF(B272="","",TEXT(B272,"yyyy-mm"))</f>
        <v>0</v>
      </c>
      <c r="P272" s="23">
        <f>IF(I272="","",IFERROR(INDEX(Jobs!$H$5:$H$604,MATCH(I272,Jobs!$A$5:$A$604,0)),""))</f>
        <v>0</v>
      </c>
      <c r="Q272" s="34">
        <f>IF(B272="","",IF(J272="",0,J272)*IF(K272="Yes",2,1))</f>
        <v>0</v>
      </c>
      <c r="R272" s="21">
        <f>IF(B272="","",IF(L272&lt;&gt;"",L272,MileageRate))</f>
        <v>0</v>
      </c>
      <c r="S272" s="21">
        <f>IF(B272="","",ROUND(Q272*R272+IF(M272="",0,M272),2))</f>
        <v>0</v>
      </c>
      <c r="T272" s="39">
        <f>IF(B272="","",IF(J272="","Add - how far?",IF(D272="","Add - who drove?",IF(N272="No","Due - not claimed yet",IF(Q272&gt;200,"Check - a long day","OK")))))</f>
        <v>0</v>
      </c>
    </row>
    <row r="273" spans="1:20">
      <c r="A273" s="43">
        <f>IF(B273="","","MIL-"&amp;TEXT(ROW()-4,"0000"))</f>
        <v>0</v>
      </c>
      <c r="C273" s="23">
        <f>IF(B273="","",TEXT(B273,"yyyy-mm"))</f>
        <v>0</v>
      </c>
      <c r="P273" s="23">
        <f>IF(I273="","",IFERROR(INDEX(Jobs!$H$5:$H$604,MATCH(I273,Jobs!$A$5:$A$604,0)),""))</f>
        <v>0</v>
      </c>
      <c r="Q273" s="34">
        <f>IF(B273="","",IF(J273="",0,J273)*IF(K273="Yes",2,1))</f>
        <v>0</v>
      </c>
      <c r="R273" s="21">
        <f>IF(B273="","",IF(L273&lt;&gt;"",L273,MileageRate))</f>
        <v>0</v>
      </c>
      <c r="S273" s="21">
        <f>IF(B273="","",ROUND(Q273*R273+IF(M273="",0,M273),2))</f>
        <v>0</v>
      </c>
      <c r="T273" s="39">
        <f>IF(B273="","",IF(J273="","Add - how far?",IF(D273="","Add - who drove?",IF(N273="No","Due - not claimed yet",IF(Q273&gt;200,"Check - a long day","OK")))))</f>
        <v>0</v>
      </c>
    </row>
    <row r="274" spans="1:20">
      <c r="A274" s="43">
        <f>IF(B274="","","MIL-"&amp;TEXT(ROW()-4,"0000"))</f>
        <v>0</v>
      </c>
      <c r="C274" s="23">
        <f>IF(B274="","",TEXT(B274,"yyyy-mm"))</f>
        <v>0</v>
      </c>
      <c r="P274" s="23">
        <f>IF(I274="","",IFERROR(INDEX(Jobs!$H$5:$H$604,MATCH(I274,Jobs!$A$5:$A$604,0)),""))</f>
        <v>0</v>
      </c>
      <c r="Q274" s="34">
        <f>IF(B274="","",IF(J274="",0,J274)*IF(K274="Yes",2,1))</f>
        <v>0</v>
      </c>
      <c r="R274" s="21">
        <f>IF(B274="","",IF(L274&lt;&gt;"",L274,MileageRate))</f>
        <v>0</v>
      </c>
      <c r="S274" s="21">
        <f>IF(B274="","",ROUND(Q274*R274+IF(M274="",0,M274),2))</f>
        <v>0</v>
      </c>
      <c r="T274" s="39">
        <f>IF(B274="","",IF(J274="","Add - how far?",IF(D274="","Add - who drove?",IF(N274="No","Due - not claimed yet",IF(Q274&gt;200,"Check - a long day","OK")))))</f>
        <v>0</v>
      </c>
    </row>
    <row r="275" spans="1:20">
      <c r="A275" s="43">
        <f>IF(B275="","","MIL-"&amp;TEXT(ROW()-4,"0000"))</f>
        <v>0</v>
      </c>
      <c r="C275" s="23">
        <f>IF(B275="","",TEXT(B275,"yyyy-mm"))</f>
        <v>0</v>
      </c>
      <c r="P275" s="23">
        <f>IF(I275="","",IFERROR(INDEX(Jobs!$H$5:$H$604,MATCH(I275,Jobs!$A$5:$A$604,0)),""))</f>
        <v>0</v>
      </c>
      <c r="Q275" s="34">
        <f>IF(B275="","",IF(J275="",0,J275)*IF(K275="Yes",2,1))</f>
        <v>0</v>
      </c>
      <c r="R275" s="21">
        <f>IF(B275="","",IF(L275&lt;&gt;"",L275,MileageRate))</f>
        <v>0</v>
      </c>
      <c r="S275" s="21">
        <f>IF(B275="","",ROUND(Q275*R275+IF(M275="",0,M275),2))</f>
        <v>0</v>
      </c>
      <c r="T275" s="39">
        <f>IF(B275="","",IF(J275="","Add - how far?",IF(D275="","Add - who drove?",IF(N275="No","Due - not claimed yet",IF(Q275&gt;200,"Check - a long day","OK")))))</f>
        <v>0</v>
      </c>
    </row>
    <row r="276" spans="1:20">
      <c r="A276" s="43">
        <f>IF(B276="","","MIL-"&amp;TEXT(ROW()-4,"0000"))</f>
        <v>0</v>
      </c>
      <c r="C276" s="23">
        <f>IF(B276="","",TEXT(B276,"yyyy-mm"))</f>
        <v>0</v>
      </c>
      <c r="P276" s="23">
        <f>IF(I276="","",IFERROR(INDEX(Jobs!$H$5:$H$604,MATCH(I276,Jobs!$A$5:$A$604,0)),""))</f>
        <v>0</v>
      </c>
      <c r="Q276" s="34">
        <f>IF(B276="","",IF(J276="",0,J276)*IF(K276="Yes",2,1))</f>
        <v>0</v>
      </c>
      <c r="R276" s="21">
        <f>IF(B276="","",IF(L276&lt;&gt;"",L276,MileageRate))</f>
        <v>0</v>
      </c>
      <c r="S276" s="21">
        <f>IF(B276="","",ROUND(Q276*R276+IF(M276="",0,M276),2))</f>
        <v>0</v>
      </c>
      <c r="T276" s="39">
        <f>IF(B276="","",IF(J276="","Add - how far?",IF(D276="","Add - who drove?",IF(N276="No","Due - not claimed yet",IF(Q276&gt;200,"Check - a long day","OK")))))</f>
        <v>0</v>
      </c>
    </row>
    <row r="277" spans="1:20">
      <c r="A277" s="43">
        <f>IF(B277="","","MIL-"&amp;TEXT(ROW()-4,"0000"))</f>
        <v>0</v>
      </c>
      <c r="C277" s="23">
        <f>IF(B277="","",TEXT(B277,"yyyy-mm"))</f>
        <v>0</v>
      </c>
      <c r="P277" s="23">
        <f>IF(I277="","",IFERROR(INDEX(Jobs!$H$5:$H$604,MATCH(I277,Jobs!$A$5:$A$604,0)),""))</f>
        <v>0</v>
      </c>
      <c r="Q277" s="34">
        <f>IF(B277="","",IF(J277="",0,J277)*IF(K277="Yes",2,1))</f>
        <v>0</v>
      </c>
      <c r="R277" s="21">
        <f>IF(B277="","",IF(L277&lt;&gt;"",L277,MileageRate))</f>
        <v>0</v>
      </c>
      <c r="S277" s="21">
        <f>IF(B277="","",ROUND(Q277*R277+IF(M277="",0,M277),2))</f>
        <v>0</v>
      </c>
      <c r="T277" s="39">
        <f>IF(B277="","",IF(J277="","Add - how far?",IF(D277="","Add - who drove?",IF(N277="No","Due - not claimed yet",IF(Q277&gt;200,"Check - a long day","OK")))))</f>
        <v>0</v>
      </c>
    </row>
    <row r="278" spans="1:20">
      <c r="A278" s="43">
        <f>IF(B278="","","MIL-"&amp;TEXT(ROW()-4,"0000"))</f>
        <v>0</v>
      </c>
      <c r="C278" s="23">
        <f>IF(B278="","",TEXT(B278,"yyyy-mm"))</f>
        <v>0</v>
      </c>
      <c r="P278" s="23">
        <f>IF(I278="","",IFERROR(INDEX(Jobs!$H$5:$H$604,MATCH(I278,Jobs!$A$5:$A$604,0)),""))</f>
        <v>0</v>
      </c>
      <c r="Q278" s="34">
        <f>IF(B278="","",IF(J278="",0,J278)*IF(K278="Yes",2,1))</f>
        <v>0</v>
      </c>
      <c r="R278" s="21">
        <f>IF(B278="","",IF(L278&lt;&gt;"",L278,MileageRate))</f>
        <v>0</v>
      </c>
      <c r="S278" s="21">
        <f>IF(B278="","",ROUND(Q278*R278+IF(M278="",0,M278),2))</f>
        <v>0</v>
      </c>
      <c r="T278" s="39">
        <f>IF(B278="","",IF(J278="","Add - how far?",IF(D278="","Add - who drove?",IF(N278="No","Due - not claimed yet",IF(Q278&gt;200,"Check - a long day","OK")))))</f>
        <v>0</v>
      </c>
    </row>
    <row r="279" spans="1:20">
      <c r="A279" s="43">
        <f>IF(B279="","","MIL-"&amp;TEXT(ROW()-4,"0000"))</f>
        <v>0</v>
      </c>
      <c r="C279" s="23">
        <f>IF(B279="","",TEXT(B279,"yyyy-mm"))</f>
        <v>0</v>
      </c>
      <c r="P279" s="23">
        <f>IF(I279="","",IFERROR(INDEX(Jobs!$H$5:$H$604,MATCH(I279,Jobs!$A$5:$A$604,0)),""))</f>
        <v>0</v>
      </c>
      <c r="Q279" s="34">
        <f>IF(B279="","",IF(J279="",0,J279)*IF(K279="Yes",2,1))</f>
        <v>0</v>
      </c>
      <c r="R279" s="21">
        <f>IF(B279="","",IF(L279&lt;&gt;"",L279,MileageRate))</f>
        <v>0</v>
      </c>
      <c r="S279" s="21">
        <f>IF(B279="","",ROUND(Q279*R279+IF(M279="",0,M279),2))</f>
        <v>0</v>
      </c>
      <c r="T279" s="39">
        <f>IF(B279="","",IF(J279="","Add - how far?",IF(D279="","Add - who drove?",IF(N279="No","Due - not claimed yet",IF(Q279&gt;200,"Check - a long day","OK")))))</f>
        <v>0</v>
      </c>
    </row>
    <row r="280" spans="1:20">
      <c r="A280" s="43">
        <f>IF(B280="","","MIL-"&amp;TEXT(ROW()-4,"0000"))</f>
        <v>0</v>
      </c>
      <c r="C280" s="23">
        <f>IF(B280="","",TEXT(B280,"yyyy-mm"))</f>
        <v>0</v>
      </c>
      <c r="P280" s="23">
        <f>IF(I280="","",IFERROR(INDEX(Jobs!$H$5:$H$604,MATCH(I280,Jobs!$A$5:$A$604,0)),""))</f>
        <v>0</v>
      </c>
      <c r="Q280" s="34">
        <f>IF(B280="","",IF(J280="",0,J280)*IF(K280="Yes",2,1))</f>
        <v>0</v>
      </c>
      <c r="R280" s="21">
        <f>IF(B280="","",IF(L280&lt;&gt;"",L280,MileageRate))</f>
        <v>0</v>
      </c>
      <c r="S280" s="21">
        <f>IF(B280="","",ROUND(Q280*R280+IF(M280="",0,M280),2))</f>
        <v>0</v>
      </c>
      <c r="T280" s="39">
        <f>IF(B280="","",IF(J280="","Add - how far?",IF(D280="","Add - who drove?",IF(N280="No","Due - not claimed yet",IF(Q280&gt;200,"Check - a long day","OK")))))</f>
        <v>0</v>
      </c>
    </row>
    <row r="281" spans="1:20">
      <c r="A281" s="43">
        <f>IF(B281="","","MIL-"&amp;TEXT(ROW()-4,"0000"))</f>
        <v>0</v>
      </c>
      <c r="C281" s="23">
        <f>IF(B281="","",TEXT(B281,"yyyy-mm"))</f>
        <v>0</v>
      </c>
      <c r="P281" s="23">
        <f>IF(I281="","",IFERROR(INDEX(Jobs!$H$5:$H$604,MATCH(I281,Jobs!$A$5:$A$604,0)),""))</f>
        <v>0</v>
      </c>
      <c r="Q281" s="34">
        <f>IF(B281="","",IF(J281="",0,J281)*IF(K281="Yes",2,1))</f>
        <v>0</v>
      </c>
      <c r="R281" s="21">
        <f>IF(B281="","",IF(L281&lt;&gt;"",L281,MileageRate))</f>
        <v>0</v>
      </c>
      <c r="S281" s="21">
        <f>IF(B281="","",ROUND(Q281*R281+IF(M281="",0,M281),2))</f>
        <v>0</v>
      </c>
      <c r="T281" s="39">
        <f>IF(B281="","",IF(J281="","Add - how far?",IF(D281="","Add - who drove?",IF(N281="No","Due - not claimed yet",IF(Q281&gt;200,"Check - a long day","OK")))))</f>
        <v>0</v>
      </c>
    </row>
    <row r="282" spans="1:20">
      <c r="A282" s="43">
        <f>IF(B282="","","MIL-"&amp;TEXT(ROW()-4,"0000"))</f>
        <v>0</v>
      </c>
      <c r="C282" s="23">
        <f>IF(B282="","",TEXT(B282,"yyyy-mm"))</f>
        <v>0</v>
      </c>
      <c r="P282" s="23">
        <f>IF(I282="","",IFERROR(INDEX(Jobs!$H$5:$H$604,MATCH(I282,Jobs!$A$5:$A$604,0)),""))</f>
        <v>0</v>
      </c>
      <c r="Q282" s="34">
        <f>IF(B282="","",IF(J282="",0,J282)*IF(K282="Yes",2,1))</f>
        <v>0</v>
      </c>
      <c r="R282" s="21">
        <f>IF(B282="","",IF(L282&lt;&gt;"",L282,MileageRate))</f>
        <v>0</v>
      </c>
      <c r="S282" s="21">
        <f>IF(B282="","",ROUND(Q282*R282+IF(M282="",0,M282),2))</f>
        <v>0</v>
      </c>
      <c r="T282" s="39">
        <f>IF(B282="","",IF(J282="","Add - how far?",IF(D282="","Add - who drove?",IF(N282="No","Due - not claimed yet",IF(Q282&gt;200,"Check - a long day","OK")))))</f>
        <v>0</v>
      </c>
    </row>
    <row r="283" spans="1:20">
      <c r="A283" s="43">
        <f>IF(B283="","","MIL-"&amp;TEXT(ROW()-4,"0000"))</f>
        <v>0</v>
      </c>
      <c r="C283" s="23">
        <f>IF(B283="","",TEXT(B283,"yyyy-mm"))</f>
        <v>0</v>
      </c>
      <c r="P283" s="23">
        <f>IF(I283="","",IFERROR(INDEX(Jobs!$H$5:$H$604,MATCH(I283,Jobs!$A$5:$A$604,0)),""))</f>
        <v>0</v>
      </c>
      <c r="Q283" s="34">
        <f>IF(B283="","",IF(J283="",0,J283)*IF(K283="Yes",2,1))</f>
        <v>0</v>
      </c>
      <c r="R283" s="21">
        <f>IF(B283="","",IF(L283&lt;&gt;"",L283,MileageRate))</f>
        <v>0</v>
      </c>
      <c r="S283" s="21">
        <f>IF(B283="","",ROUND(Q283*R283+IF(M283="",0,M283),2))</f>
        <v>0</v>
      </c>
      <c r="T283" s="39">
        <f>IF(B283="","",IF(J283="","Add - how far?",IF(D283="","Add - who drove?",IF(N283="No","Due - not claimed yet",IF(Q283&gt;200,"Check - a long day","OK")))))</f>
        <v>0</v>
      </c>
    </row>
    <row r="284" spans="1:20">
      <c r="A284" s="43">
        <f>IF(B284="","","MIL-"&amp;TEXT(ROW()-4,"0000"))</f>
        <v>0</v>
      </c>
      <c r="C284" s="23">
        <f>IF(B284="","",TEXT(B284,"yyyy-mm"))</f>
        <v>0</v>
      </c>
      <c r="P284" s="23">
        <f>IF(I284="","",IFERROR(INDEX(Jobs!$H$5:$H$604,MATCH(I284,Jobs!$A$5:$A$604,0)),""))</f>
        <v>0</v>
      </c>
      <c r="Q284" s="34">
        <f>IF(B284="","",IF(J284="",0,J284)*IF(K284="Yes",2,1))</f>
        <v>0</v>
      </c>
      <c r="R284" s="21">
        <f>IF(B284="","",IF(L284&lt;&gt;"",L284,MileageRate))</f>
        <v>0</v>
      </c>
      <c r="S284" s="21">
        <f>IF(B284="","",ROUND(Q284*R284+IF(M284="",0,M284),2))</f>
        <v>0</v>
      </c>
      <c r="T284" s="39">
        <f>IF(B284="","",IF(J284="","Add - how far?",IF(D284="","Add - who drove?",IF(N284="No","Due - not claimed yet",IF(Q284&gt;200,"Check - a long day","OK")))))</f>
        <v>0</v>
      </c>
    </row>
    <row r="285" spans="1:20">
      <c r="A285" s="43">
        <f>IF(B285="","","MIL-"&amp;TEXT(ROW()-4,"0000"))</f>
        <v>0</v>
      </c>
      <c r="C285" s="23">
        <f>IF(B285="","",TEXT(B285,"yyyy-mm"))</f>
        <v>0</v>
      </c>
      <c r="P285" s="23">
        <f>IF(I285="","",IFERROR(INDEX(Jobs!$H$5:$H$604,MATCH(I285,Jobs!$A$5:$A$604,0)),""))</f>
        <v>0</v>
      </c>
      <c r="Q285" s="34">
        <f>IF(B285="","",IF(J285="",0,J285)*IF(K285="Yes",2,1))</f>
        <v>0</v>
      </c>
      <c r="R285" s="21">
        <f>IF(B285="","",IF(L285&lt;&gt;"",L285,MileageRate))</f>
        <v>0</v>
      </c>
      <c r="S285" s="21">
        <f>IF(B285="","",ROUND(Q285*R285+IF(M285="",0,M285),2))</f>
        <v>0</v>
      </c>
      <c r="T285" s="39">
        <f>IF(B285="","",IF(J285="","Add - how far?",IF(D285="","Add - who drove?",IF(N285="No","Due - not claimed yet",IF(Q285&gt;200,"Check - a long day","OK")))))</f>
        <v>0</v>
      </c>
    </row>
    <row r="286" spans="1:20">
      <c r="A286" s="43">
        <f>IF(B286="","","MIL-"&amp;TEXT(ROW()-4,"0000"))</f>
        <v>0</v>
      </c>
      <c r="C286" s="23">
        <f>IF(B286="","",TEXT(B286,"yyyy-mm"))</f>
        <v>0</v>
      </c>
      <c r="P286" s="23">
        <f>IF(I286="","",IFERROR(INDEX(Jobs!$H$5:$H$604,MATCH(I286,Jobs!$A$5:$A$604,0)),""))</f>
        <v>0</v>
      </c>
      <c r="Q286" s="34">
        <f>IF(B286="","",IF(J286="",0,J286)*IF(K286="Yes",2,1))</f>
        <v>0</v>
      </c>
      <c r="R286" s="21">
        <f>IF(B286="","",IF(L286&lt;&gt;"",L286,MileageRate))</f>
        <v>0</v>
      </c>
      <c r="S286" s="21">
        <f>IF(B286="","",ROUND(Q286*R286+IF(M286="",0,M286),2))</f>
        <v>0</v>
      </c>
      <c r="T286" s="39">
        <f>IF(B286="","",IF(J286="","Add - how far?",IF(D286="","Add - who drove?",IF(N286="No","Due - not claimed yet",IF(Q286&gt;200,"Check - a long day","OK")))))</f>
        <v>0</v>
      </c>
    </row>
    <row r="287" spans="1:20">
      <c r="A287" s="43">
        <f>IF(B287="","","MIL-"&amp;TEXT(ROW()-4,"0000"))</f>
        <v>0</v>
      </c>
      <c r="C287" s="23">
        <f>IF(B287="","",TEXT(B287,"yyyy-mm"))</f>
        <v>0</v>
      </c>
      <c r="P287" s="23">
        <f>IF(I287="","",IFERROR(INDEX(Jobs!$H$5:$H$604,MATCH(I287,Jobs!$A$5:$A$604,0)),""))</f>
        <v>0</v>
      </c>
      <c r="Q287" s="34">
        <f>IF(B287="","",IF(J287="",0,J287)*IF(K287="Yes",2,1))</f>
        <v>0</v>
      </c>
      <c r="R287" s="21">
        <f>IF(B287="","",IF(L287&lt;&gt;"",L287,MileageRate))</f>
        <v>0</v>
      </c>
      <c r="S287" s="21">
        <f>IF(B287="","",ROUND(Q287*R287+IF(M287="",0,M287),2))</f>
        <v>0</v>
      </c>
      <c r="T287" s="39">
        <f>IF(B287="","",IF(J287="","Add - how far?",IF(D287="","Add - who drove?",IF(N287="No","Due - not claimed yet",IF(Q287&gt;200,"Check - a long day","OK")))))</f>
        <v>0</v>
      </c>
    </row>
    <row r="288" spans="1:20">
      <c r="A288" s="43">
        <f>IF(B288="","","MIL-"&amp;TEXT(ROW()-4,"0000"))</f>
        <v>0</v>
      </c>
      <c r="C288" s="23">
        <f>IF(B288="","",TEXT(B288,"yyyy-mm"))</f>
        <v>0</v>
      </c>
      <c r="P288" s="23">
        <f>IF(I288="","",IFERROR(INDEX(Jobs!$H$5:$H$604,MATCH(I288,Jobs!$A$5:$A$604,0)),""))</f>
        <v>0</v>
      </c>
      <c r="Q288" s="34">
        <f>IF(B288="","",IF(J288="",0,J288)*IF(K288="Yes",2,1))</f>
        <v>0</v>
      </c>
      <c r="R288" s="21">
        <f>IF(B288="","",IF(L288&lt;&gt;"",L288,MileageRate))</f>
        <v>0</v>
      </c>
      <c r="S288" s="21">
        <f>IF(B288="","",ROUND(Q288*R288+IF(M288="",0,M288),2))</f>
        <v>0</v>
      </c>
      <c r="T288" s="39">
        <f>IF(B288="","",IF(J288="","Add - how far?",IF(D288="","Add - who drove?",IF(N288="No","Due - not claimed yet",IF(Q288&gt;200,"Check - a long day","OK")))))</f>
        <v>0</v>
      </c>
    </row>
    <row r="289" spans="1:20">
      <c r="A289" s="43">
        <f>IF(B289="","","MIL-"&amp;TEXT(ROW()-4,"0000"))</f>
        <v>0</v>
      </c>
      <c r="C289" s="23">
        <f>IF(B289="","",TEXT(B289,"yyyy-mm"))</f>
        <v>0</v>
      </c>
      <c r="P289" s="23">
        <f>IF(I289="","",IFERROR(INDEX(Jobs!$H$5:$H$604,MATCH(I289,Jobs!$A$5:$A$604,0)),""))</f>
        <v>0</v>
      </c>
      <c r="Q289" s="34">
        <f>IF(B289="","",IF(J289="",0,J289)*IF(K289="Yes",2,1))</f>
        <v>0</v>
      </c>
      <c r="R289" s="21">
        <f>IF(B289="","",IF(L289&lt;&gt;"",L289,MileageRate))</f>
        <v>0</v>
      </c>
      <c r="S289" s="21">
        <f>IF(B289="","",ROUND(Q289*R289+IF(M289="",0,M289),2))</f>
        <v>0</v>
      </c>
      <c r="T289" s="39">
        <f>IF(B289="","",IF(J289="","Add - how far?",IF(D289="","Add - who drove?",IF(N289="No","Due - not claimed yet",IF(Q289&gt;200,"Check - a long day","OK")))))</f>
        <v>0</v>
      </c>
    </row>
    <row r="290" spans="1:20">
      <c r="A290" s="43">
        <f>IF(B290="","","MIL-"&amp;TEXT(ROW()-4,"0000"))</f>
        <v>0</v>
      </c>
      <c r="C290" s="23">
        <f>IF(B290="","",TEXT(B290,"yyyy-mm"))</f>
        <v>0</v>
      </c>
      <c r="P290" s="23">
        <f>IF(I290="","",IFERROR(INDEX(Jobs!$H$5:$H$604,MATCH(I290,Jobs!$A$5:$A$604,0)),""))</f>
        <v>0</v>
      </c>
      <c r="Q290" s="34">
        <f>IF(B290="","",IF(J290="",0,J290)*IF(K290="Yes",2,1))</f>
        <v>0</v>
      </c>
      <c r="R290" s="21">
        <f>IF(B290="","",IF(L290&lt;&gt;"",L290,MileageRate))</f>
        <v>0</v>
      </c>
      <c r="S290" s="21">
        <f>IF(B290="","",ROUND(Q290*R290+IF(M290="",0,M290),2))</f>
        <v>0</v>
      </c>
      <c r="T290" s="39">
        <f>IF(B290="","",IF(J290="","Add - how far?",IF(D290="","Add - who drove?",IF(N290="No","Due - not claimed yet",IF(Q290&gt;200,"Check - a long day","OK")))))</f>
        <v>0</v>
      </c>
    </row>
    <row r="291" spans="1:20">
      <c r="A291" s="43">
        <f>IF(B291="","","MIL-"&amp;TEXT(ROW()-4,"0000"))</f>
        <v>0</v>
      </c>
      <c r="C291" s="23">
        <f>IF(B291="","",TEXT(B291,"yyyy-mm"))</f>
        <v>0</v>
      </c>
      <c r="P291" s="23">
        <f>IF(I291="","",IFERROR(INDEX(Jobs!$H$5:$H$604,MATCH(I291,Jobs!$A$5:$A$604,0)),""))</f>
        <v>0</v>
      </c>
      <c r="Q291" s="34">
        <f>IF(B291="","",IF(J291="",0,J291)*IF(K291="Yes",2,1))</f>
        <v>0</v>
      </c>
      <c r="R291" s="21">
        <f>IF(B291="","",IF(L291&lt;&gt;"",L291,MileageRate))</f>
        <v>0</v>
      </c>
      <c r="S291" s="21">
        <f>IF(B291="","",ROUND(Q291*R291+IF(M291="",0,M291),2))</f>
        <v>0</v>
      </c>
      <c r="T291" s="39">
        <f>IF(B291="","",IF(J291="","Add - how far?",IF(D291="","Add - who drove?",IF(N291="No","Due - not claimed yet",IF(Q291&gt;200,"Check - a long day","OK")))))</f>
        <v>0</v>
      </c>
    </row>
    <row r="292" spans="1:20">
      <c r="A292" s="43">
        <f>IF(B292="","","MIL-"&amp;TEXT(ROW()-4,"0000"))</f>
        <v>0</v>
      </c>
      <c r="C292" s="23">
        <f>IF(B292="","",TEXT(B292,"yyyy-mm"))</f>
        <v>0</v>
      </c>
      <c r="P292" s="23">
        <f>IF(I292="","",IFERROR(INDEX(Jobs!$H$5:$H$604,MATCH(I292,Jobs!$A$5:$A$604,0)),""))</f>
        <v>0</v>
      </c>
      <c r="Q292" s="34">
        <f>IF(B292="","",IF(J292="",0,J292)*IF(K292="Yes",2,1))</f>
        <v>0</v>
      </c>
      <c r="R292" s="21">
        <f>IF(B292="","",IF(L292&lt;&gt;"",L292,MileageRate))</f>
        <v>0</v>
      </c>
      <c r="S292" s="21">
        <f>IF(B292="","",ROUND(Q292*R292+IF(M292="",0,M292),2))</f>
        <v>0</v>
      </c>
      <c r="T292" s="39">
        <f>IF(B292="","",IF(J292="","Add - how far?",IF(D292="","Add - who drove?",IF(N292="No","Due - not claimed yet",IF(Q292&gt;200,"Check - a long day","OK")))))</f>
        <v>0</v>
      </c>
    </row>
    <row r="293" spans="1:20">
      <c r="A293" s="43">
        <f>IF(B293="","","MIL-"&amp;TEXT(ROW()-4,"0000"))</f>
        <v>0</v>
      </c>
      <c r="C293" s="23">
        <f>IF(B293="","",TEXT(B293,"yyyy-mm"))</f>
        <v>0</v>
      </c>
      <c r="P293" s="23">
        <f>IF(I293="","",IFERROR(INDEX(Jobs!$H$5:$H$604,MATCH(I293,Jobs!$A$5:$A$604,0)),""))</f>
        <v>0</v>
      </c>
      <c r="Q293" s="34">
        <f>IF(B293="","",IF(J293="",0,J293)*IF(K293="Yes",2,1))</f>
        <v>0</v>
      </c>
      <c r="R293" s="21">
        <f>IF(B293="","",IF(L293&lt;&gt;"",L293,MileageRate))</f>
        <v>0</v>
      </c>
      <c r="S293" s="21">
        <f>IF(B293="","",ROUND(Q293*R293+IF(M293="",0,M293),2))</f>
        <v>0</v>
      </c>
      <c r="T293" s="39">
        <f>IF(B293="","",IF(J293="","Add - how far?",IF(D293="","Add - who drove?",IF(N293="No","Due - not claimed yet",IF(Q293&gt;200,"Check - a long day","OK")))))</f>
        <v>0</v>
      </c>
    </row>
    <row r="294" spans="1:20">
      <c r="A294" s="43">
        <f>IF(B294="","","MIL-"&amp;TEXT(ROW()-4,"0000"))</f>
        <v>0</v>
      </c>
      <c r="C294" s="23">
        <f>IF(B294="","",TEXT(B294,"yyyy-mm"))</f>
        <v>0</v>
      </c>
      <c r="P294" s="23">
        <f>IF(I294="","",IFERROR(INDEX(Jobs!$H$5:$H$604,MATCH(I294,Jobs!$A$5:$A$604,0)),""))</f>
        <v>0</v>
      </c>
      <c r="Q294" s="34">
        <f>IF(B294="","",IF(J294="",0,J294)*IF(K294="Yes",2,1))</f>
        <v>0</v>
      </c>
      <c r="R294" s="21">
        <f>IF(B294="","",IF(L294&lt;&gt;"",L294,MileageRate))</f>
        <v>0</v>
      </c>
      <c r="S294" s="21">
        <f>IF(B294="","",ROUND(Q294*R294+IF(M294="",0,M294),2))</f>
        <v>0</v>
      </c>
      <c r="T294" s="39">
        <f>IF(B294="","",IF(J294="","Add - how far?",IF(D294="","Add - who drove?",IF(N294="No","Due - not claimed yet",IF(Q294&gt;200,"Check - a long day","OK")))))</f>
        <v>0</v>
      </c>
    </row>
    <row r="295" spans="1:20">
      <c r="A295" s="43">
        <f>IF(B295="","","MIL-"&amp;TEXT(ROW()-4,"0000"))</f>
        <v>0</v>
      </c>
      <c r="C295" s="23">
        <f>IF(B295="","",TEXT(B295,"yyyy-mm"))</f>
        <v>0</v>
      </c>
      <c r="P295" s="23">
        <f>IF(I295="","",IFERROR(INDEX(Jobs!$H$5:$H$604,MATCH(I295,Jobs!$A$5:$A$604,0)),""))</f>
        <v>0</v>
      </c>
      <c r="Q295" s="34">
        <f>IF(B295="","",IF(J295="",0,J295)*IF(K295="Yes",2,1))</f>
        <v>0</v>
      </c>
      <c r="R295" s="21">
        <f>IF(B295="","",IF(L295&lt;&gt;"",L295,MileageRate))</f>
        <v>0</v>
      </c>
      <c r="S295" s="21">
        <f>IF(B295="","",ROUND(Q295*R295+IF(M295="",0,M295),2))</f>
        <v>0</v>
      </c>
      <c r="T295" s="39">
        <f>IF(B295="","",IF(J295="","Add - how far?",IF(D295="","Add - who drove?",IF(N295="No","Due - not claimed yet",IF(Q295&gt;200,"Check - a long day","OK")))))</f>
        <v>0</v>
      </c>
    </row>
    <row r="296" spans="1:20">
      <c r="A296" s="43">
        <f>IF(B296="","","MIL-"&amp;TEXT(ROW()-4,"0000"))</f>
        <v>0</v>
      </c>
      <c r="C296" s="23">
        <f>IF(B296="","",TEXT(B296,"yyyy-mm"))</f>
        <v>0</v>
      </c>
      <c r="P296" s="23">
        <f>IF(I296="","",IFERROR(INDEX(Jobs!$H$5:$H$604,MATCH(I296,Jobs!$A$5:$A$604,0)),""))</f>
        <v>0</v>
      </c>
      <c r="Q296" s="34">
        <f>IF(B296="","",IF(J296="",0,J296)*IF(K296="Yes",2,1))</f>
        <v>0</v>
      </c>
      <c r="R296" s="21">
        <f>IF(B296="","",IF(L296&lt;&gt;"",L296,MileageRate))</f>
        <v>0</v>
      </c>
      <c r="S296" s="21">
        <f>IF(B296="","",ROUND(Q296*R296+IF(M296="",0,M296),2))</f>
        <v>0</v>
      </c>
      <c r="T296" s="39">
        <f>IF(B296="","",IF(J296="","Add - how far?",IF(D296="","Add - who drove?",IF(N296="No","Due - not claimed yet",IF(Q296&gt;200,"Check - a long day","OK")))))</f>
        <v>0</v>
      </c>
    </row>
    <row r="297" spans="1:20">
      <c r="A297" s="43">
        <f>IF(B297="","","MIL-"&amp;TEXT(ROW()-4,"0000"))</f>
        <v>0</v>
      </c>
      <c r="C297" s="23">
        <f>IF(B297="","",TEXT(B297,"yyyy-mm"))</f>
        <v>0</v>
      </c>
      <c r="P297" s="23">
        <f>IF(I297="","",IFERROR(INDEX(Jobs!$H$5:$H$604,MATCH(I297,Jobs!$A$5:$A$604,0)),""))</f>
        <v>0</v>
      </c>
      <c r="Q297" s="34">
        <f>IF(B297="","",IF(J297="",0,J297)*IF(K297="Yes",2,1))</f>
        <v>0</v>
      </c>
      <c r="R297" s="21">
        <f>IF(B297="","",IF(L297&lt;&gt;"",L297,MileageRate))</f>
        <v>0</v>
      </c>
      <c r="S297" s="21">
        <f>IF(B297="","",ROUND(Q297*R297+IF(M297="",0,M297),2))</f>
        <v>0</v>
      </c>
      <c r="T297" s="39">
        <f>IF(B297="","",IF(J297="","Add - how far?",IF(D297="","Add - who drove?",IF(N297="No","Due - not claimed yet",IF(Q297&gt;200,"Check - a long day","OK")))))</f>
        <v>0</v>
      </c>
    </row>
    <row r="298" spans="1:20">
      <c r="A298" s="43">
        <f>IF(B298="","","MIL-"&amp;TEXT(ROW()-4,"0000"))</f>
        <v>0</v>
      </c>
      <c r="C298" s="23">
        <f>IF(B298="","",TEXT(B298,"yyyy-mm"))</f>
        <v>0</v>
      </c>
      <c r="P298" s="23">
        <f>IF(I298="","",IFERROR(INDEX(Jobs!$H$5:$H$604,MATCH(I298,Jobs!$A$5:$A$604,0)),""))</f>
        <v>0</v>
      </c>
      <c r="Q298" s="34">
        <f>IF(B298="","",IF(J298="",0,J298)*IF(K298="Yes",2,1))</f>
        <v>0</v>
      </c>
      <c r="R298" s="21">
        <f>IF(B298="","",IF(L298&lt;&gt;"",L298,MileageRate))</f>
        <v>0</v>
      </c>
      <c r="S298" s="21">
        <f>IF(B298="","",ROUND(Q298*R298+IF(M298="",0,M298),2))</f>
        <v>0</v>
      </c>
      <c r="T298" s="39">
        <f>IF(B298="","",IF(J298="","Add - how far?",IF(D298="","Add - who drove?",IF(N298="No","Due - not claimed yet",IF(Q298&gt;200,"Check - a long day","OK")))))</f>
        <v>0</v>
      </c>
    </row>
    <row r="299" spans="1:20">
      <c r="A299" s="43">
        <f>IF(B299="","","MIL-"&amp;TEXT(ROW()-4,"0000"))</f>
        <v>0</v>
      </c>
      <c r="C299" s="23">
        <f>IF(B299="","",TEXT(B299,"yyyy-mm"))</f>
        <v>0</v>
      </c>
      <c r="P299" s="23">
        <f>IF(I299="","",IFERROR(INDEX(Jobs!$H$5:$H$604,MATCH(I299,Jobs!$A$5:$A$604,0)),""))</f>
        <v>0</v>
      </c>
      <c r="Q299" s="34">
        <f>IF(B299="","",IF(J299="",0,J299)*IF(K299="Yes",2,1))</f>
        <v>0</v>
      </c>
      <c r="R299" s="21">
        <f>IF(B299="","",IF(L299&lt;&gt;"",L299,MileageRate))</f>
        <v>0</v>
      </c>
      <c r="S299" s="21">
        <f>IF(B299="","",ROUND(Q299*R299+IF(M299="",0,M299),2))</f>
        <v>0</v>
      </c>
      <c r="T299" s="39">
        <f>IF(B299="","",IF(J299="","Add - how far?",IF(D299="","Add - who drove?",IF(N299="No","Due - not claimed yet",IF(Q299&gt;200,"Check - a long day","OK")))))</f>
        <v>0</v>
      </c>
    </row>
    <row r="300" spans="1:20">
      <c r="A300" s="43">
        <f>IF(B300="","","MIL-"&amp;TEXT(ROW()-4,"0000"))</f>
        <v>0</v>
      </c>
      <c r="C300" s="23">
        <f>IF(B300="","",TEXT(B300,"yyyy-mm"))</f>
        <v>0</v>
      </c>
      <c r="P300" s="23">
        <f>IF(I300="","",IFERROR(INDEX(Jobs!$H$5:$H$604,MATCH(I300,Jobs!$A$5:$A$604,0)),""))</f>
        <v>0</v>
      </c>
      <c r="Q300" s="34">
        <f>IF(B300="","",IF(J300="",0,J300)*IF(K300="Yes",2,1))</f>
        <v>0</v>
      </c>
      <c r="R300" s="21">
        <f>IF(B300="","",IF(L300&lt;&gt;"",L300,MileageRate))</f>
        <v>0</v>
      </c>
      <c r="S300" s="21">
        <f>IF(B300="","",ROUND(Q300*R300+IF(M300="",0,M300),2))</f>
        <v>0</v>
      </c>
      <c r="T300" s="39">
        <f>IF(B300="","",IF(J300="","Add - how far?",IF(D300="","Add - who drove?",IF(N300="No","Due - not claimed yet",IF(Q300&gt;200,"Check - a long day","OK")))))</f>
        <v>0</v>
      </c>
    </row>
    <row r="301" spans="1:20">
      <c r="A301" s="43">
        <f>IF(B301="","","MIL-"&amp;TEXT(ROW()-4,"0000"))</f>
        <v>0</v>
      </c>
      <c r="C301" s="23">
        <f>IF(B301="","",TEXT(B301,"yyyy-mm"))</f>
        <v>0</v>
      </c>
      <c r="P301" s="23">
        <f>IF(I301="","",IFERROR(INDEX(Jobs!$H$5:$H$604,MATCH(I301,Jobs!$A$5:$A$604,0)),""))</f>
        <v>0</v>
      </c>
      <c r="Q301" s="34">
        <f>IF(B301="","",IF(J301="",0,J301)*IF(K301="Yes",2,1))</f>
        <v>0</v>
      </c>
      <c r="R301" s="21">
        <f>IF(B301="","",IF(L301&lt;&gt;"",L301,MileageRate))</f>
        <v>0</v>
      </c>
      <c r="S301" s="21">
        <f>IF(B301="","",ROUND(Q301*R301+IF(M301="",0,M301),2))</f>
        <v>0</v>
      </c>
      <c r="T301" s="39">
        <f>IF(B301="","",IF(J301="","Add - how far?",IF(D301="","Add - who drove?",IF(N301="No","Due - not claimed yet",IF(Q301&gt;200,"Check - a long day","OK")))))</f>
        <v>0</v>
      </c>
    </row>
    <row r="302" spans="1:20">
      <c r="A302" s="43">
        <f>IF(B302="","","MIL-"&amp;TEXT(ROW()-4,"0000"))</f>
        <v>0</v>
      </c>
      <c r="C302" s="23">
        <f>IF(B302="","",TEXT(B302,"yyyy-mm"))</f>
        <v>0</v>
      </c>
      <c r="P302" s="23">
        <f>IF(I302="","",IFERROR(INDEX(Jobs!$H$5:$H$604,MATCH(I302,Jobs!$A$5:$A$604,0)),""))</f>
        <v>0</v>
      </c>
      <c r="Q302" s="34">
        <f>IF(B302="","",IF(J302="",0,J302)*IF(K302="Yes",2,1))</f>
        <v>0</v>
      </c>
      <c r="R302" s="21">
        <f>IF(B302="","",IF(L302&lt;&gt;"",L302,MileageRate))</f>
        <v>0</v>
      </c>
      <c r="S302" s="21">
        <f>IF(B302="","",ROUND(Q302*R302+IF(M302="",0,M302),2))</f>
        <v>0</v>
      </c>
      <c r="T302" s="39">
        <f>IF(B302="","",IF(J302="","Add - how far?",IF(D302="","Add - who drove?",IF(N302="No","Due - not claimed yet",IF(Q302&gt;200,"Check - a long day","OK")))))</f>
        <v>0</v>
      </c>
    </row>
    <row r="303" spans="1:20">
      <c r="A303" s="43">
        <f>IF(B303="","","MIL-"&amp;TEXT(ROW()-4,"0000"))</f>
        <v>0</v>
      </c>
      <c r="C303" s="23">
        <f>IF(B303="","",TEXT(B303,"yyyy-mm"))</f>
        <v>0</v>
      </c>
      <c r="P303" s="23">
        <f>IF(I303="","",IFERROR(INDEX(Jobs!$H$5:$H$604,MATCH(I303,Jobs!$A$5:$A$604,0)),""))</f>
        <v>0</v>
      </c>
      <c r="Q303" s="34">
        <f>IF(B303="","",IF(J303="",0,J303)*IF(K303="Yes",2,1))</f>
        <v>0</v>
      </c>
      <c r="R303" s="21">
        <f>IF(B303="","",IF(L303&lt;&gt;"",L303,MileageRate))</f>
        <v>0</v>
      </c>
      <c r="S303" s="21">
        <f>IF(B303="","",ROUND(Q303*R303+IF(M303="",0,M303),2))</f>
        <v>0</v>
      </c>
      <c r="T303" s="39">
        <f>IF(B303="","",IF(J303="","Add - how far?",IF(D303="","Add - who drove?",IF(N303="No","Due - not claimed yet",IF(Q303&gt;200,"Check - a long day","OK")))))</f>
        <v>0</v>
      </c>
    </row>
    <row r="304" spans="1:20">
      <c r="A304" s="43">
        <f>IF(B304="","","MIL-"&amp;TEXT(ROW()-4,"0000"))</f>
        <v>0</v>
      </c>
      <c r="C304" s="23">
        <f>IF(B304="","",TEXT(B304,"yyyy-mm"))</f>
        <v>0</v>
      </c>
      <c r="P304" s="23">
        <f>IF(I304="","",IFERROR(INDEX(Jobs!$H$5:$H$604,MATCH(I304,Jobs!$A$5:$A$604,0)),""))</f>
        <v>0</v>
      </c>
      <c r="Q304" s="34">
        <f>IF(B304="","",IF(J304="",0,J304)*IF(K304="Yes",2,1))</f>
        <v>0</v>
      </c>
      <c r="R304" s="21">
        <f>IF(B304="","",IF(L304&lt;&gt;"",L304,MileageRate))</f>
        <v>0</v>
      </c>
      <c r="S304" s="21">
        <f>IF(B304="","",ROUND(Q304*R304+IF(M304="",0,M304),2))</f>
        <v>0</v>
      </c>
      <c r="T304" s="39">
        <f>IF(B304="","",IF(J304="","Add - how far?",IF(D304="","Add - who drove?",IF(N304="No","Due - not claimed yet",IF(Q304&gt;200,"Check - a long day","OK")))))</f>
        <v>0</v>
      </c>
    </row>
    <row r="305" spans="1:20">
      <c r="A305" s="43">
        <f>IF(B305="","","MIL-"&amp;TEXT(ROW()-4,"0000"))</f>
        <v>0</v>
      </c>
      <c r="C305" s="23">
        <f>IF(B305="","",TEXT(B305,"yyyy-mm"))</f>
        <v>0</v>
      </c>
      <c r="P305" s="23">
        <f>IF(I305="","",IFERROR(INDEX(Jobs!$H$5:$H$604,MATCH(I305,Jobs!$A$5:$A$604,0)),""))</f>
        <v>0</v>
      </c>
      <c r="Q305" s="34">
        <f>IF(B305="","",IF(J305="",0,J305)*IF(K305="Yes",2,1))</f>
        <v>0</v>
      </c>
      <c r="R305" s="21">
        <f>IF(B305="","",IF(L305&lt;&gt;"",L305,MileageRate))</f>
        <v>0</v>
      </c>
      <c r="S305" s="21">
        <f>IF(B305="","",ROUND(Q305*R305+IF(M305="",0,M305),2))</f>
        <v>0</v>
      </c>
      <c r="T305" s="39">
        <f>IF(B305="","",IF(J305="","Add - how far?",IF(D305="","Add - who drove?",IF(N305="No","Due - not claimed yet",IF(Q305&gt;200,"Check - a long day","OK")))))</f>
        <v>0</v>
      </c>
    </row>
    <row r="306" spans="1:20">
      <c r="A306" s="43">
        <f>IF(B306="","","MIL-"&amp;TEXT(ROW()-4,"0000"))</f>
        <v>0</v>
      </c>
      <c r="C306" s="23">
        <f>IF(B306="","",TEXT(B306,"yyyy-mm"))</f>
        <v>0</v>
      </c>
      <c r="P306" s="23">
        <f>IF(I306="","",IFERROR(INDEX(Jobs!$H$5:$H$604,MATCH(I306,Jobs!$A$5:$A$604,0)),""))</f>
        <v>0</v>
      </c>
      <c r="Q306" s="34">
        <f>IF(B306="","",IF(J306="",0,J306)*IF(K306="Yes",2,1))</f>
        <v>0</v>
      </c>
      <c r="R306" s="21">
        <f>IF(B306="","",IF(L306&lt;&gt;"",L306,MileageRate))</f>
        <v>0</v>
      </c>
      <c r="S306" s="21">
        <f>IF(B306="","",ROUND(Q306*R306+IF(M306="",0,M306),2))</f>
        <v>0</v>
      </c>
      <c r="T306" s="39">
        <f>IF(B306="","",IF(J306="","Add - how far?",IF(D306="","Add - who drove?",IF(N306="No","Due - not claimed yet",IF(Q306&gt;200,"Check - a long day","OK")))))</f>
        <v>0</v>
      </c>
    </row>
    <row r="307" spans="1:20">
      <c r="A307" s="43">
        <f>IF(B307="","","MIL-"&amp;TEXT(ROW()-4,"0000"))</f>
        <v>0</v>
      </c>
      <c r="C307" s="23">
        <f>IF(B307="","",TEXT(B307,"yyyy-mm"))</f>
        <v>0</v>
      </c>
      <c r="P307" s="23">
        <f>IF(I307="","",IFERROR(INDEX(Jobs!$H$5:$H$604,MATCH(I307,Jobs!$A$5:$A$604,0)),""))</f>
        <v>0</v>
      </c>
      <c r="Q307" s="34">
        <f>IF(B307="","",IF(J307="",0,J307)*IF(K307="Yes",2,1))</f>
        <v>0</v>
      </c>
      <c r="R307" s="21">
        <f>IF(B307="","",IF(L307&lt;&gt;"",L307,MileageRate))</f>
        <v>0</v>
      </c>
      <c r="S307" s="21">
        <f>IF(B307="","",ROUND(Q307*R307+IF(M307="",0,M307),2))</f>
        <v>0</v>
      </c>
      <c r="T307" s="39">
        <f>IF(B307="","",IF(J307="","Add - how far?",IF(D307="","Add - who drove?",IF(N307="No","Due - not claimed yet",IF(Q307&gt;200,"Check - a long day","OK")))))</f>
        <v>0</v>
      </c>
    </row>
    <row r="308" spans="1:20">
      <c r="A308" s="43">
        <f>IF(B308="","","MIL-"&amp;TEXT(ROW()-4,"0000"))</f>
        <v>0</v>
      </c>
      <c r="C308" s="23">
        <f>IF(B308="","",TEXT(B308,"yyyy-mm"))</f>
        <v>0</v>
      </c>
      <c r="P308" s="23">
        <f>IF(I308="","",IFERROR(INDEX(Jobs!$H$5:$H$604,MATCH(I308,Jobs!$A$5:$A$604,0)),""))</f>
        <v>0</v>
      </c>
      <c r="Q308" s="34">
        <f>IF(B308="","",IF(J308="",0,J308)*IF(K308="Yes",2,1))</f>
        <v>0</v>
      </c>
      <c r="R308" s="21">
        <f>IF(B308="","",IF(L308&lt;&gt;"",L308,MileageRate))</f>
        <v>0</v>
      </c>
      <c r="S308" s="21">
        <f>IF(B308="","",ROUND(Q308*R308+IF(M308="",0,M308),2))</f>
        <v>0</v>
      </c>
      <c r="T308" s="39">
        <f>IF(B308="","",IF(J308="","Add - how far?",IF(D308="","Add - who drove?",IF(N308="No","Due - not claimed yet",IF(Q308&gt;200,"Check - a long day","OK")))))</f>
        <v>0</v>
      </c>
    </row>
    <row r="309" spans="1:20">
      <c r="A309" s="43">
        <f>IF(B309="","","MIL-"&amp;TEXT(ROW()-4,"0000"))</f>
        <v>0</v>
      </c>
      <c r="C309" s="23">
        <f>IF(B309="","",TEXT(B309,"yyyy-mm"))</f>
        <v>0</v>
      </c>
      <c r="P309" s="23">
        <f>IF(I309="","",IFERROR(INDEX(Jobs!$H$5:$H$604,MATCH(I309,Jobs!$A$5:$A$604,0)),""))</f>
        <v>0</v>
      </c>
      <c r="Q309" s="34">
        <f>IF(B309="","",IF(J309="",0,J309)*IF(K309="Yes",2,1))</f>
        <v>0</v>
      </c>
      <c r="R309" s="21">
        <f>IF(B309="","",IF(L309&lt;&gt;"",L309,MileageRate))</f>
        <v>0</v>
      </c>
      <c r="S309" s="21">
        <f>IF(B309="","",ROUND(Q309*R309+IF(M309="",0,M309),2))</f>
        <v>0</v>
      </c>
      <c r="T309" s="39">
        <f>IF(B309="","",IF(J309="","Add - how far?",IF(D309="","Add - who drove?",IF(N309="No","Due - not claimed yet",IF(Q309&gt;200,"Check - a long day","OK")))))</f>
        <v>0</v>
      </c>
    </row>
    <row r="310" spans="1:20">
      <c r="A310" s="43">
        <f>IF(B310="","","MIL-"&amp;TEXT(ROW()-4,"0000"))</f>
        <v>0</v>
      </c>
      <c r="C310" s="23">
        <f>IF(B310="","",TEXT(B310,"yyyy-mm"))</f>
        <v>0</v>
      </c>
      <c r="P310" s="23">
        <f>IF(I310="","",IFERROR(INDEX(Jobs!$H$5:$H$604,MATCH(I310,Jobs!$A$5:$A$604,0)),""))</f>
        <v>0</v>
      </c>
      <c r="Q310" s="34">
        <f>IF(B310="","",IF(J310="",0,J310)*IF(K310="Yes",2,1))</f>
        <v>0</v>
      </c>
      <c r="R310" s="21">
        <f>IF(B310="","",IF(L310&lt;&gt;"",L310,MileageRate))</f>
        <v>0</v>
      </c>
      <c r="S310" s="21">
        <f>IF(B310="","",ROUND(Q310*R310+IF(M310="",0,M310),2))</f>
        <v>0</v>
      </c>
      <c r="T310" s="39">
        <f>IF(B310="","",IF(J310="","Add - how far?",IF(D310="","Add - who drove?",IF(N310="No","Due - not claimed yet",IF(Q310&gt;200,"Check - a long day","OK")))))</f>
        <v>0</v>
      </c>
    </row>
    <row r="311" spans="1:20">
      <c r="A311" s="43">
        <f>IF(B311="","","MIL-"&amp;TEXT(ROW()-4,"0000"))</f>
        <v>0</v>
      </c>
      <c r="C311" s="23">
        <f>IF(B311="","",TEXT(B311,"yyyy-mm"))</f>
        <v>0</v>
      </c>
      <c r="P311" s="23">
        <f>IF(I311="","",IFERROR(INDEX(Jobs!$H$5:$H$604,MATCH(I311,Jobs!$A$5:$A$604,0)),""))</f>
        <v>0</v>
      </c>
      <c r="Q311" s="34">
        <f>IF(B311="","",IF(J311="",0,J311)*IF(K311="Yes",2,1))</f>
        <v>0</v>
      </c>
      <c r="R311" s="21">
        <f>IF(B311="","",IF(L311&lt;&gt;"",L311,MileageRate))</f>
        <v>0</v>
      </c>
      <c r="S311" s="21">
        <f>IF(B311="","",ROUND(Q311*R311+IF(M311="",0,M311),2))</f>
        <v>0</v>
      </c>
      <c r="T311" s="39">
        <f>IF(B311="","",IF(J311="","Add - how far?",IF(D311="","Add - who drove?",IF(N311="No","Due - not claimed yet",IF(Q311&gt;200,"Check - a long day","OK")))))</f>
        <v>0</v>
      </c>
    </row>
    <row r="312" spans="1:20">
      <c r="A312" s="43">
        <f>IF(B312="","","MIL-"&amp;TEXT(ROW()-4,"0000"))</f>
        <v>0</v>
      </c>
      <c r="C312" s="23">
        <f>IF(B312="","",TEXT(B312,"yyyy-mm"))</f>
        <v>0</v>
      </c>
      <c r="P312" s="23">
        <f>IF(I312="","",IFERROR(INDEX(Jobs!$H$5:$H$604,MATCH(I312,Jobs!$A$5:$A$604,0)),""))</f>
        <v>0</v>
      </c>
      <c r="Q312" s="34">
        <f>IF(B312="","",IF(J312="",0,J312)*IF(K312="Yes",2,1))</f>
        <v>0</v>
      </c>
      <c r="R312" s="21">
        <f>IF(B312="","",IF(L312&lt;&gt;"",L312,MileageRate))</f>
        <v>0</v>
      </c>
      <c r="S312" s="21">
        <f>IF(B312="","",ROUND(Q312*R312+IF(M312="",0,M312),2))</f>
        <v>0</v>
      </c>
      <c r="T312" s="39">
        <f>IF(B312="","",IF(J312="","Add - how far?",IF(D312="","Add - who drove?",IF(N312="No","Due - not claimed yet",IF(Q312&gt;200,"Check - a long day","OK")))))</f>
        <v>0</v>
      </c>
    </row>
    <row r="313" spans="1:20">
      <c r="A313" s="43">
        <f>IF(B313="","","MIL-"&amp;TEXT(ROW()-4,"0000"))</f>
        <v>0</v>
      </c>
      <c r="C313" s="23">
        <f>IF(B313="","",TEXT(B313,"yyyy-mm"))</f>
        <v>0</v>
      </c>
      <c r="P313" s="23">
        <f>IF(I313="","",IFERROR(INDEX(Jobs!$H$5:$H$604,MATCH(I313,Jobs!$A$5:$A$604,0)),""))</f>
        <v>0</v>
      </c>
      <c r="Q313" s="34">
        <f>IF(B313="","",IF(J313="",0,J313)*IF(K313="Yes",2,1))</f>
        <v>0</v>
      </c>
      <c r="R313" s="21">
        <f>IF(B313="","",IF(L313&lt;&gt;"",L313,MileageRate))</f>
        <v>0</v>
      </c>
      <c r="S313" s="21">
        <f>IF(B313="","",ROUND(Q313*R313+IF(M313="",0,M313),2))</f>
        <v>0</v>
      </c>
      <c r="T313" s="39">
        <f>IF(B313="","",IF(J313="","Add - how far?",IF(D313="","Add - who drove?",IF(N313="No","Due - not claimed yet",IF(Q313&gt;200,"Check - a long day","OK")))))</f>
        <v>0</v>
      </c>
    </row>
    <row r="314" spans="1:20">
      <c r="A314" s="43">
        <f>IF(B314="","","MIL-"&amp;TEXT(ROW()-4,"0000"))</f>
        <v>0</v>
      </c>
      <c r="C314" s="23">
        <f>IF(B314="","",TEXT(B314,"yyyy-mm"))</f>
        <v>0</v>
      </c>
      <c r="P314" s="23">
        <f>IF(I314="","",IFERROR(INDEX(Jobs!$H$5:$H$604,MATCH(I314,Jobs!$A$5:$A$604,0)),""))</f>
        <v>0</v>
      </c>
      <c r="Q314" s="34">
        <f>IF(B314="","",IF(J314="",0,J314)*IF(K314="Yes",2,1))</f>
        <v>0</v>
      </c>
      <c r="R314" s="21">
        <f>IF(B314="","",IF(L314&lt;&gt;"",L314,MileageRate))</f>
        <v>0</v>
      </c>
      <c r="S314" s="21">
        <f>IF(B314="","",ROUND(Q314*R314+IF(M314="",0,M314),2))</f>
        <v>0</v>
      </c>
      <c r="T314" s="39">
        <f>IF(B314="","",IF(J314="","Add - how far?",IF(D314="","Add - who drove?",IF(N314="No","Due - not claimed yet",IF(Q314&gt;200,"Check - a long day","OK")))))</f>
        <v>0</v>
      </c>
    </row>
    <row r="315" spans="1:20">
      <c r="A315" s="43">
        <f>IF(B315="","","MIL-"&amp;TEXT(ROW()-4,"0000"))</f>
        <v>0</v>
      </c>
      <c r="C315" s="23">
        <f>IF(B315="","",TEXT(B315,"yyyy-mm"))</f>
        <v>0</v>
      </c>
      <c r="P315" s="23">
        <f>IF(I315="","",IFERROR(INDEX(Jobs!$H$5:$H$604,MATCH(I315,Jobs!$A$5:$A$604,0)),""))</f>
        <v>0</v>
      </c>
      <c r="Q315" s="34">
        <f>IF(B315="","",IF(J315="",0,J315)*IF(K315="Yes",2,1))</f>
        <v>0</v>
      </c>
      <c r="R315" s="21">
        <f>IF(B315="","",IF(L315&lt;&gt;"",L315,MileageRate))</f>
        <v>0</v>
      </c>
      <c r="S315" s="21">
        <f>IF(B315="","",ROUND(Q315*R315+IF(M315="",0,M315),2))</f>
        <v>0</v>
      </c>
      <c r="T315" s="39">
        <f>IF(B315="","",IF(J315="","Add - how far?",IF(D315="","Add - who drove?",IF(N315="No","Due - not claimed yet",IF(Q315&gt;200,"Check - a long day","OK")))))</f>
        <v>0</v>
      </c>
    </row>
    <row r="316" spans="1:20">
      <c r="A316" s="43">
        <f>IF(B316="","","MIL-"&amp;TEXT(ROW()-4,"0000"))</f>
        <v>0</v>
      </c>
      <c r="C316" s="23">
        <f>IF(B316="","",TEXT(B316,"yyyy-mm"))</f>
        <v>0</v>
      </c>
      <c r="P316" s="23">
        <f>IF(I316="","",IFERROR(INDEX(Jobs!$H$5:$H$604,MATCH(I316,Jobs!$A$5:$A$604,0)),""))</f>
        <v>0</v>
      </c>
      <c r="Q316" s="34">
        <f>IF(B316="","",IF(J316="",0,J316)*IF(K316="Yes",2,1))</f>
        <v>0</v>
      </c>
      <c r="R316" s="21">
        <f>IF(B316="","",IF(L316&lt;&gt;"",L316,MileageRate))</f>
        <v>0</v>
      </c>
      <c r="S316" s="21">
        <f>IF(B316="","",ROUND(Q316*R316+IF(M316="",0,M316),2))</f>
        <v>0</v>
      </c>
      <c r="T316" s="39">
        <f>IF(B316="","",IF(J316="","Add - how far?",IF(D316="","Add - who drove?",IF(N316="No","Due - not claimed yet",IF(Q316&gt;200,"Check - a long day","OK")))))</f>
        <v>0</v>
      </c>
    </row>
    <row r="317" spans="1:20">
      <c r="A317" s="43">
        <f>IF(B317="","","MIL-"&amp;TEXT(ROW()-4,"0000"))</f>
        <v>0</v>
      </c>
      <c r="C317" s="23">
        <f>IF(B317="","",TEXT(B317,"yyyy-mm"))</f>
        <v>0</v>
      </c>
      <c r="P317" s="23">
        <f>IF(I317="","",IFERROR(INDEX(Jobs!$H$5:$H$604,MATCH(I317,Jobs!$A$5:$A$604,0)),""))</f>
        <v>0</v>
      </c>
      <c r="Q317" s="34">
        <f>IF(B317="","",IF(J317="",0,J317)*IF(K317="Yes",2,1))</f>
        <v>0</v>
      </c>
      <c r="R317" s="21">
        <f>IF(B317="","",IF(L317&lt;&gt;"",L317,MileageRate))</f>
        <v>0</v>
      </c>
      <c r="S317" s="21">
        <f>IF(B317="","",ROUND(Q317*R317+IF(M317="",0,M317),2))</f>
        <v>0</v>
      </c>
      <c r="T317" s="39">
        <f>IF(B317="","",IF(J317="","Add - how far?",IF(D317="","Add - who drove?",IF(N317="No","Due - not claimed yet",IF(Q317&gt;200,"Check - a long day","OK")))))</f>
        <v>0</v>
      </c>
    </row>
    <row r="318" spans="1:20">
      <c r="A318" s="43">
        <f>IF(B318="","","MIL-"&amp;TEXT(ROW()-4,"0000"))</f>
        <v>0</v>
      </c>
      <c r="C318" s="23">
        <f>IF(B318="","",TEXT(B318,"yyyy-mm"))</f>
        <v>0</v>
      </c>
      <c r="P318" s="23">
        <f>IF(I318="","",IFERROR(INDEX(Jobs!$H$5:$H$604,MATCH(I318,Jobs!$A$5:$A$604,0)),""))</f>
        <v>0</v>
      </c>
      <c r="Q318" s="34">
        <f>IF(B318="","",IF(J318="",0,J318)*IF(K318="Yes",2,1))</f>
        <v>0</v>
      </c>
      <c r="R318" s="21">
        <f>IF(B318="","",IF(L318&lt;&gt;"",L318,MileageRate))</f>
        <v>0</v>
      </c>
      <c r="S318" s="21">
        <f>IF(B318="","",ROUND(Q318*R318+IF(M318="",0,M318),2))</f>
        <v>0</v>
      </c>
      <c r="T318" s="39">
        <f>IF(B318="","",IF(J318="","Add - how far?",IF(D318="","Add - who drove?",IF(N318="No","Due - not claimed yet",IF(Q318&gt;200,"Check - a long day","OK")))))</f>
        <v>0</v>
      </c>
    </row>
    <row r="319" spans="1:20">
      <c r="A319" s="43">
        <f>IF(B319="","","MIL-"&amp;TEXT(ROW()-4,"0000"))</f>
        <v>0</v>
      </c>
      <c r="C319" s="23">
        <f>IF(B319="","",TEXT(B319,"yyyy-mm"))</f>
        <v>0</v>
      </c>
      <c r="P319" s="23">
        <f>IF(I319="","",IFERROR(INDEX(Jobs!$H$5:$H$604,MATCH(I319,Jobs!$A$5:$A$604,0)),""))</f>
        <v>0</v>
      </c>
      <c r="Q319" s="34">
        <f>IF(B319="","",IF(J319="",0,J319)*IF(K319="Yes",2,1))</f>
        <v>0</v>
      </c>
      <c r="R319" s="21">
        <f>IF(B319="","",IF(L319&lt;&gt;"",L319,MileageRate))</f>
        <v>0</v>
      </c>
      <c r="S319" s="21">
        <f>IF(B319="","",ROUND(Q319*R319+IF(M319="",0,M319),2))</f>
        <v>0</v>
      </c>
      <c r="T319" s="39">
        <f>IF(B319="","",IF(J319="","Add - how far?",IF(D319="","Add - who drove?",IF(N319="No","Due - not claimed yet",IF(Q319&gt;200,"Check - a long day","OK")))))</f>
        <v>0</v>
      </c>
    </row>
    <row r="320" spans="1:20">
      <c r="A320" s="43">
        <f>IF(B320="","","MIL-"&amp;TEXT(ROW()-4,"0000"))</f>
        <v>0</v>
      </c>
      <c r="C320" s="23">
        <f>IF(B320="","",TEXT(B320,"yyyy-mm"))</f>
        <v>0</v>
      </c>
      <c r="P320" s="23">
        <f>IF(I320="","",IFERROR(INDEX(Jobs!$H$5:$H$604,MATCH(I320,Jobs!$A$5:$A$604,0)),""))</f>
        <v>0</v>
      </c>
      <c r="Q320" s="34">
        <f>IF(B320="","",IF(J320="",0,J320)*IF(K320="Yes",2,1))</f>
        <v>0</v>
      </c>
      <c r="R320" s="21">
        <f>IF(B320="","",IF(L320&lt;&gt;"",L320,MileageRate))</f>
        <v>0</v>
      </c>
      <c r="S320" s="21">
        <f>IF(B320="","",ROUND(Q320*R320+IF(M320="",0,M320),2))</f>
        <v>0</v>
      </c>
      <c r="T320" s="39">
        <f>IF(B320="","",IF(J320="","Add - how far?",IF(D320="","Add - who drove?",IF(N320="No","Due - not claimed yet",IF(Q320&gt;200,"Check - a long day","OK")))))</f>
        <v>0</v>
      </c>
    </row>
    <row r="321" spans="1:20">
      <c r="A321" s="43">
        <f>IF(B321="","","MIL-"&amp;TEXT(ROW()-4,"0000"))</f>
        <v>0</v>
      </c>
      <c r="C321" s="23">
        <f>IF(B321="","",TEXT(B321,"yyyy-mm"))</f>
        <v>0</v>
      </c>
      <c r="P321" s="23">
        <f>IF(I321="","",IFERROR(INDEX(Jobs!$H$5:$H$604,MATCH(I321,Jobs!$A$5:$A$604,0)),""))</f>
        <v>0</v>
      </c>
      <c r="Q321" s="34">
        <f>IF(B321="","",IF(J321="",0,J321)*IF(K321="Yes",2,1))</f>
        <v>0</v>
      </c>
      <c r="R321" s="21">
        <f>IF(B321="","",IF(L321&lt;&gt;"",L321,MileageRate))</f>
        <v>0</v>
      </c>
      <c r="S321" s="21">
        <f>IF(B321="","",ROUND(Q321*R321+IF(M321="",0,M321),2))</f>
        <v>0</v>
      </c>
      <c r="T321" s="39">
        <f>IF(B321="","",IF(J321="","Add - how far?",IF(D321="","Add - who drove?",IF(N321="No","Due - not claimed yet",IF(Q321&gt;200,"Check - a long day","OK")))))</f>
        <v>0</v>
      </c>
    </row>
    <row r="322" spans="1:20">
      <c r="A322" s="43">
        <f>IF(B322="","","MIL-"&amp;TEXT(ROW()-4,"0000"))</f>
        <v>0</v>
      </c>
      <c r="C322" s="23">
        <f>IF(B322="","",TEXT(B322,"yyyy-mm"))</f>
        <v>0</v>
      </c>
      <c r="P322" s="23">
        <f>IF(I322="","",IFERROR(INDEX(Jobs!$H$5:$H$604,MATCH(I322,Jobs!$A$5:$A$604,0)),""))</f>
        <v>0</v>
      </c>
      <c r="Q322" s="34">
        <f>IF(B322="","",IF(J322="",0,J322)*IF(K322="Yes",2,1))</f>
        <v>0</v>
      </c>
      <c r="R322" s="21">
        <f>IF(B322="","",IF(L322&lt;&gt;"",L322,MileageRate))</f>
        <v>0</v>
      </c>
      <c r="S322" s="21">
        <f>IF(B322="","",ROUND(Q322*R322+IF(M322="",0,M322),2))</f>
        <v>0</v>
      </c>
      <c r="T322" s="39">
        <f>IF(B322="","",IF(J322="","Add - how far?",IF(D322="","Add - who drove?",IF(N322="No","Due - not claimed yet",IF(Q322&gt;200,"Check - a long day","OK")))))</f>
        <v>0</v>
      </c>
    </row>
    <row r="323" spans="1:20">
      <c r="A323" s="43">
        <f>IF(B323="","","MIL-"&amp;TEXT(ROW()-4,"0000"))</f>
        <v>0</v>
      </c>
      <c r="C323" s="23">
        <f>IF(B323="","",TEXT(B323,"yyyy-mm"))</f>
        <v>0</v>
      </c>
      <c r="P323" s="23">
        <f>IF(I323="","",IFERROR(INDEX(Jobs!$H$5:$H$604,MATCH(I323,Jobs!$A$5:$A$604,0)),""))</f>
        <v>0</v>
      </c>
      <c r="Q323" s="34">
        <f>IF(B323="","",IF(J323="",0,J323)*IF(K323="Yes",2,1))</f>
        <v>0</v>
      </c>
      <c r="R323" s="21">
        <f>IF(B323="","",IF(L323&lt;&gt;"",L323,MileageRate))</f>
        <v>0</v>
      </c>
      <c r="S323" s="21">
        <f>IF(B323="","",ROUND(Q323*R323+IF(M323="",0,M323),2))</f>
        <v>0</v>
      </c>
      <c r="T323" s="39">
        <f>IF(B323="","",IF(J323="","Add - how far?",IF(D323="","Add - who drove?",IF(N323="No","Due - not claimed yet",IF(Q323&gt;200,"Check - a long day","OK")))))</f>
        <v>0</v>
      </c>
    </row>
    <row r="324" spans="1:20">
      <c r="A324" s="43">
        <f>IF(B324="","","MIL-"&amp;TEXT(ROW()-4,"0000"))</f>
        <v>0</v>
      </c>
      <c r="C324" s="23">
        <f>IF(B324="","",TEXT(B324,"yyyy-mm"))</f>
        <v>0</v>
      </c>
      <c r="P324" s="23">
        <f>IF(I324="","",IFERROR(INDEX(Jobs!$H$5:$H$604,MATCH(I324,Jobs!$A$5:$A$604,0)),""))</f>
        <v>0</v>
      </c>
      <c r="Q324" s="34">
        <f>IF(B324="","",IF(J324="",0,J324)*IF(K324="Yes",2,1))</f>
        <v>0</v>
      </c>
      <c r="R324" s="21">
        <f>IF(B324="","",IF(L324&lt;&gt;"",L324,MileageRate))</f>
        <v>0</v>
      </c>
      <c r="S324" s="21">
        <f>IF(B324="","",ROUND(Q324*R324+IF(M324="",0,M324),2))</f>
        <v>0</v>
      </c>
      <c r="T324" s="39">
        <f>IF(B324="","",IF(J324="","Add - how far?",IF(D324="","Add - who drove?",IF(N324="No","Due - not claimed yet",IF(Q324&gt;200,"Check - a long day","OK")))))</f>
        <v>0</v>
      </c>
    </row>
    <row r="325" spans="1:20">
      <c r="A325" s="43">
        <f>IF(B325="","","MIL-"&amp;TEXT(ROW()-4,"0000"))</f>
        <v>0</v>
      </c>
      <c r="C325" s="23">
        <f>IF(B325="","",TEXT(B325,"yyyy-mm"))</f>
        <v>0</v>
      </c>
      <c r="P325" s="23">
        <f>IF(I325="","",IFERROR(INDEX(Jobs!$H$5:$H$604,MATCH(I325,Jobs!$A$5:$A$604,0)),""))</f>
        <v>0</v>
      </c>
      <c r="Q325" s="34">
        <f>IF(B325="","",IF(J325="",0,J325)*IF(K325="Yes",2,1))</f>
        <v>0</v>
      </c>
      <c r="R325" s="21">
        <f>IF(B325="","",IF(L325&lt;&gt;"",L325,MileageRate))</f>
        <v>0</v>
      </c>
      <c r="S325" s="21">
        <f>IF(B325="","",ROUND(Q325*R325+IF(M325="",0,M325),2))</f>
        <v>0</v>
      </c>
      <c r="T325" s="39">
        <f>IF(B325="","",IF(J325="","Add - how far?",IF(D325="","Add - who drove?",IF(N325="No","Due - not claimed yet",IF(Q325&gt;200,"Check - a long day","OK")))))</f>
        <v>0</v>
      </c>
    </row>
    <row r="326" spans="1:20">
      <c r="A326" s="43">
        <f>IF(B326="","","MIL-"&amp;TEXT(ROW()-4,"0000"))</f>
        <v>0</v>
      </c>
      <c r="C326" s="23">
        <f>IF(B326="","",TEXT(B326,"yyyy-mm"))</f>
        <v>0</v>
      </c>
      <c r="P326" s="23">
        <f>IF(I326="","",IFERROR(INDEX(Jobs!$H$5:$H$604,MATCH(I326,Jobs!$A$5:$A$604,0)),""))</f>
        <v>0</v>
      </c>
      <c r="Q326" s="34">
        <f>IF(B326="","",IF(J326="",0,J326)*IF(K326="Yes",2,1))</f>
        <v>0</v>
      </c>
      <c r="R326" s="21">
        <f>IF(B326="","",IF(L326&lt;&gt;"",L326,MileageRate))</f>
        <v>0</v>
      </c>
      <c r="S326" s="21">
        <f>IF(B326="","",ROUND(Q326*R326+IF(M326="",0,M326),2))</f>
        <v>0</v>
      </c>
      <c r="T326" s="39">
        <f>IF(B326="","",IF(J326="","Add - how far?",IF(D326="","Add - who drove?",IF(N326="No","Due - not claimed yet",IF(Q326&gt;200,"Check - a long day","OK")))))</f>
        <v>0</v>
      </c>
    </row>
    <row r="327" spans="1:20">
      <c r="A327" s="43">
        <f>IF(B327="","","MIL-"&amp;TEXT(ROW()-4,"0000"))</f>
        <v>0</v>
      </c>
      <c r="C327" s="23">
        <f>IF(B327="","",TEXT(B327,"yyyy-mm"))</f>
        <v>0</v>
      </c>
      <c r="P327" s="23">
        <f>IF(I327="","",IFERROR(INDEX(Jobs!$H$5:$H$604,MATCH(I327,Jobs!$A$5:$A$604,0)),""))</f>
        <v>0</v>
      </c>
      <c r="Q327" s="34">
        <f>IF(B327="","",IF(J327="",0,J327)*IF(K327="Yes",2,1))</f>
        <v>0</v>
      </c>
      <c r="R327" s="21">
        <f>IF(B327="","",IF(L327&lt;&gt;"",L327,MileageRate))</f>
        <v>0</v>
      </c>
      <c r="S327" s="21">
        <f>IF(B327="","",ROUND(Q327*R327+IF(M327="",0,M327),2))</f>
        <v>0</v>
      </c>
      <c r="T327" s="39">
        <f>IF(B327="","",IF(J327="","Add - how far?",IF(D327="","Add - who drove?",IF(N327="No","Due - not claimed yet",IF(Q327&gt;200,"Check - a long day","OK")))))</f>
        <v>0</v>
      </c>
    </row>
    <row r="328" spans="1:20">
      <c r="A328" s="43">
        <f>IF(B328="","","MIL-"&amp;TEXT(ROW()-4,"0000"))</f>
        <v>0</v>
      </c>
      <c r="C328" s="23">
        <f>IF(B328="","",TEXT(B328,"yyyy-mm"))</f>
        <v>0</v>
      </c>
      <c r="P328" s="23">
        <f>IF(I328="","",IFERROR(INDEX(Jobs!$H$5:$H$604,MATCH(I328,Jobs!$A$5:$A$604,0)),""))</f>
        <v>0</v>
      </c>
      <c r="Q328" s="34">
        <f>IF(B328="","",IF(J328="",0,J328)*IF(K328="Yes",2,1))</f>
        <v>0</v>
      </c>
      <c r="R328" s="21">
        <f>IF(B328="","",IF(L328&lt;&gt;"",L328,MileageRate))</f>
        <v>0</v>
      </c>
      <c r="S328" s="21">
        <f>IF(B328="","",ROUND(Q328*R328+IF(M328="",0,M328),2))</f>
        <v>0</v>
      </c>
      <c r="T328" s="39">
        <f>IF(B328="","",IF(J328="","Add - how far?",IF(D328="","Add - who drove?",IF(N328="No","Due - not claimed yet",IF(Q328&gt;200,"Check - a long day","OK")))))</f>
        <v>0</v>
      </c>
    </row>
    <row r="329" spans="1:20">
      <c r="A329" s="43">
        <f>IF(B329="","","MIL-"&amp;TEXT(ROW()-4,"0000"))</f>
        <v>0</v>
      </c>
      <c r="C329" s="23">
        <f>IF(B329="","",TEXT(B329,"yyyy-mm"))</f>
        <v>0</v>
      </c>
      <c r="P329" s="23">
        <f>IF(I329="","",IFERROR(INDEX(Jobs!$H$5:$H$604,MATCH(I329,Jobs!$A$5:$A$604,0)),""))</f>
        <v>0</v>
      </c>
      <c r="Q329" s="34">
        <f>IF(B329="","",IF(J329="",0,J329)*IF(K329="Yes",2,1))</f>
        <v>0</v>
      </c>
      <c r="R329" s="21">
        <f>IF(B329="","",IF(L329&lt;&gt;"",L329,MileageRate))</f>
        <v>0</v>
      </c>
      <c r="S329" s="21">
        <f>IF(B329="","",ROUND(Q329*R329+IF(M329="",0,M329),2))</f>
        <v>0</v>
      </c>
      <c r="T329" s="39">
        <f>IF(B329="","",IF(J329="","Add - how far?",IF(D329="","Add - who drove?",IF(N329="No","Due - not claimed yet",IF(Q329&gt;200,"Check - a long day","OK")))))</f>
        <v>0</v>
      </c>
    </row>
    <row r="330" spans="1:20">
      <c r="A330" s="43">
        <f>IF(B330="","","MIL-"&amp;TEXT(ROW()-4,"0000"))</f>
        <v>0</v>
      </c>
      <c r="C330" s="23">
        <f>IF(B330="","",TEXT(B330,"yyyy-mm"))</f>
        <v>0</v>
      </c>
      <c r="P330" s="23">
        <f>IF(I330="","",IFERROR(INDEX(Jobs!$H$5:$H$604,MATCH(I330,Jobs!$A$5:$A$604,0)),""))</f>
        <v>0</v>
      </c>
      <c r="Q330" s="34">
        <f>IF(B330="","",IF(J330="",0,J330)*IF(K330="Yes",2,1))</f>
        <v>0</v>
      </c>
      <c r="R330" s="21">
        <f>IF(B330="","",IF(L330&lt;&gt;"",L330,MileageRate))</f>
        <v>0</v>
      </c>
      <c r="S330" s="21">
        <f>IF(B330="","",ROUND(Q330*R330+IF(M330="",0,M330),2))</f>
        <v>0</v>
      </c>
      <c r="T330" s="39">
        <f>IF(B330="","",IF(J330="","Add - how far?",IF(D330="","Add - who drove?",IF(N330="No","Due - not claimed yet",IF(Q330&gt;200,"Check - a long day","OK")))))</f>
        <v>0</v>
      </c>
    </row>
    <row r="331" spans="1:20">
      <c r="A331" s="43">
        <f>IF(B331="","","MIL-"&amp;TEXT(ROW()-4,"0000"))</f>
        <v>0</v>
      </c>
      <c r="C331" s="23">
        <f>IF(B331="","",TEXT(B331,"yyyy-mm"))</f>
        <v>0</v>
      </c>
      <c r="P331" s="23">
        <f>IF(I331="","",IFERROR(INDEX(Jobs!$H$5:$H$604,MATCH(I331,Jobs!$A$5:$A$604,0)),""))</f>
        <v>0</v>
      </c>
      <c r="Q331" s="34">
        <f>IF(B331="","",IF(J331="",0,J331)*IF(K331="Yes",2,1))</f>
        <v>0</v>
      </c>
      <c r="R331" s="21">
        <f>IF(B331="","",IF(L331&lt;&gt;"",L331,MileageRate))</f>
        <v>0</v>
      </c>
      <c r="S331" s="21">
        <f>IF(B331="","",ROUND(Q331*R331+IF(M331="",0,M331),2))</f>
        <v>0</v>
      </c>
      <c r="T331" s="39">
        <f>IF(B331="","",IF(J331="","Add - how far?",IF(D331="","Add - who drove?",IF(N331="No","Due - not claimed yet",IF(Q331&gt;200,"Check - a long day","OK")))))</f>
        <v>0</v>
      </c>
    </row>
    <row r="332" spans="1:20">
      <c r="A332" s="43">
        <f>IF(B332="","","MIL-"&amp;TEXT(ROW()-4,"0000"))</f>
        <v>0</v>
      </c>
      <c r="C332" s="23">
        <f>IF(B332="","",TEXT(B332,"yyyy-mm"))</f>
        <v>0</v>
      </c>
      <c r="P332" s="23">
        <f>IF(I332="","",IFERROR(INDEX(Jobs!$H$5:$H$604,MATCH(I332,Jobs!$A$5:$A$604,0)),""))</f>
        <v>0</v>
      </c>
      <c r="Q332" s="34">
        <f>IF(B332="","",IF(J332="",0,J332)*IF(K332="Yes",2,1))</f>
        <v>0</v>
      </c>
      <c r="R332" s="21">
        <f>IF(B332="","",IF(L332&lt;&gt;"",L332,MileageRate))</f>
        <v>0</v>
      </c>
      <c r="S332" s="21">
        <f>IF(B332="","",ROUND(Q332*R332+IF(M332="",0,M332),2))</f>
        <v>0</v>
      </c>
      <c r="T332" s="39">
        <f>IF(B332="","",IF(J332="","Add - how far?",IF(D332="","Add - who drove?",IF(N332="No","Due - not claimed yet",IF(Q332&gt;200,"Check - a long day","OK")))))</f>
        <v>0</v>
      </c>
    </row>
    <row r="333" spans="1:20">
      <c r="A333" s="43">
        <f>IF(B333="","","MIL-"&amp;TEXT(ROW()-4,"0000"))</f>
        <v>0</v>
      </c>
      <c r="C333" s="23">
        <f>IF(B333="","",TEXT(B333,"yyyy-mm"))</f>
        <v>0</v>
      </c>
      <c r="P333" s="23">
        <f>IF(I333="","",IFERROR(INDEX(Jobs!$H$5:$H$604,MATCH(I333,Jobs!$A$5:$A$604,0)),""))</f>
        <v>0</v>
      </c>
      <c r="Q333" s="34">
        <f>IF(B333="","",IF(J333="",0,J333)*IF(K333="Yes",2,1))</f>
        <v>0</v>
      </c>
      <c r="R333" s="21">
        <f>IF(B333="","",IF(L333&lt;&gt;"",L333,MileageRate))</f>
        <v>0</v>
      </c>
      <c r="S333" s="21">
        <f>IF(B333="","",ROUND(Q333*R333+IF(M333="",0,M333),2))</f>
        <v>0</v>
      </c>
      <c r="T333" s="39">
        <f>IF(B333="","",IF(J333="","Add - how far?",IF(D333="","Add - who drove?",IF(N333="No","Due - not claimed yet",IF(Q333&gt;200,"Check - a long day","OK")))))</f>
        <v>0</v>
      </c>
    </row>
    <row r="334" spans="1:20">
      <c r="A334" s="43">
        <f>IF(B334="","","MIL-"&amp;TEXT(ROW()-4,"0000"))</f>
        <v>0</v>
      </c>
      <c r="C334" s="23">
        <f>IF(B334="","",TEXT(B334,"yyyy-mm"))</f>
        <v>0</v>
      </c>
      <c r="P334" s="23">
        <f>IF(I334="","",IFERROR(INDEX(Jobs!$H$5:$H$604,MATCH(I334,Jobs!$A$5:$A$604,0)),""))</f>
        <v>0</v>
      </c>
      <c r="Q334" s="34">
        <f>IF(B334="","",IF(J334="",0,J334)*IF(K334="Yes",2,1))</f>
        <v>0</v>
      </c>
      <c r="R334" s="21">
        <f>IF(B334="","",IF(L334&lt;&gt;"",L334,MileageRate))</f>
        <v>0</v>
      </c>
      <c r="S334" s="21">
        <f>IF(B334="","",ROUND(Q334*R334+IF(M334="",0,M334),2))</f>
        <v>0</v>
      </c>
      <c r="T334" s="39">
        <f>IF(B334="","",IF(J334="","Add - how far?",IF(D334="","Add - who drove?",IF(N334="No","Due - not claimed yet",IF(Q334&gt;200,"Check - a long day","OK")))))</f>
        <v>0</v>
      </c>
    </row>
    <row r="335" spans="1:20">
      <c r="A335" s="43">
        <f>IF(B335="","","MIL-"&amp;TEXT(ROW()-4,"0000"))</f>
        <v>0</v>
      </c>
      <c r="C335" s="23">
        <f>IF(B335="","",TEXT(B335,"yyyy-mm"))</f>
        <v>0</v>
      </c>
      <c r="P335" s="23">
        <f>IF(I335="","",IFERROR(INDEX(Jobs!$H$5:$H$604,MATCH(I335,Jobs!$A$5:$A$604,0)),""))</f>
        <v>0</v>
      </c>
      <c r="Q335" s="34">
        <f>IF(B335="","",IF(J335="",0,J335)*IF(K335="Yes",2,1))</f>
        <v>0</v>
      </c>
      <c r="R335" s="21">
        <f>IF(B335="","",IF(L335&lt;&gt;"",L335,MileageRate))</f>
        <v>0</v>
      </c>
      <c r="S335" s="21">
        <f>IF(B335="","",ROUND(Q335*R335+IF(M335="",0,M335),2))</f>
        <v>0</v>
      </c>
      <c r="T335" s="39">
        <f>IF(B335="","",IF(J335="","Add - how far?",IF(D335="","Add - who drove?",IF(N335="No","Due - not claimed yet",IF(Q335&gt;200,"Check - a long day","OK")))))</f>
        <v>0</v>
      </c>
    </row>
    <row r="336" spans="1:20">
      <c r="A336" s="43">
        <f>IF(B336="","","MIL-"&amp;TEXT(ROW()-4,"0000"))</f>
        <v>0</v>
      </c>
      <c r="C336" s="23">
        <f>IF(B336="","",TEXT(B336,"yyyy-mm"))</f>
        <v>0</v>
      </c>
      <c r="P336" s="23">
        <f>IF(I336="","",IFERROR(INDEX(Jobs!$H$5:$H$604,MATCH(I336,Jobs!$A$5:$A$604,0)),""))</f>
        <v>0</v>
      </c>
      <c r="Q336" s="34">
        <f>IF(B336="","",IF(J336="",0,J336)*IF(K336="Yes",2,1))</f>
        <v>0</v>
      </c>
      <c r="R336" s="21">
        <f>IF(B336="","",IF(L336&lt;&gt;"",L336,MileageRate))</f>
        <v>0</v>
      </c>
      <c r="S336" s="21">
        <f>IF(B336="","",ROUND(Q336*R336+IF(M336="",0,M336),2))</f>
        <v>0</v>
      </c>
      <c r="T336" s="39">
        <f>IF(B336="","",IF(J336="","Add - how far?",IF(D336="","Add - who drove?",IF(N336="No","Due - not claimed yet",IF(Q336&gt;200,"Check - a long day","OK")))))</f>
        <v>0</v>
      </c>
    </row>
    <row r="337" spans="1:20">
      <c r="A337" s="43">
        <f>IF(B337="","","MIL-"&amp;TEXT(ROW()-4,"0000"))</f>
        <v>0</v>
      </c>
      <c r="C337" s="23">
        <f>IF(B337="","",TEXT(B337,"yyyy-mm"))</f>
        <v>0</v>
      </c>
      <c r="P337" s="23">
        <f>IF(I337="","",IFERROR(INDEX(Jobs!$H$5:$H$604,MATCH(I337,Jobs!$A$5:$A$604,0)),""))</f>
        <v>0</v>
      </c>
      <c r="Q337" s="34">
        <f>IF(B337="","",IF(J337="",0,J337)*IF(K337="Yes",2,1))</f>
        <v>0</v>
      </c>
      <c r="R337" s="21">
        <f>IF(B337="","",IF(L337&lt;&gt;"",L337,MileageRate))</f>
        <v>0</v>
      </c>
      <c r="S337" s="21">
        <f>IF(B337="","",ROUND(Q337*R337+IF(M337="",0,M337),2))</f>
        <v>0</v>
      </c>
      <c r="T337" s="39">
        <f>IF(B337="","",IF(J337="","Add - how far?",IF(D337="","Add - who drove?",IF(N337="No","Due - not claimed yet",IF(Q337&gt;200,"Check - a long day","OK")))))</f>
        <v>0</v>
      </c>
    </row>
    <row r="338" spans="1:20">
      <c r="A338" s="43">
        <f>IF(B338="","","MIL-"&amp;TEXT(ROW()-4,"0000"))</f>
        <v>0</v>
      </c>
      <c r="C338" s="23">
        <f>IF(B338="","",TEXT(B338,"yyyy-mm"))</f>
        <v>0</v>
      </c>
      <c r="P338" s="23">
        <f>IF(I338="","",IFERROR(INDEX(Jobs!$H$5:$H$604,MATCH(I338,Jobs!$A$5:$A$604,0)),""))</f>
        <v>0</v>
      </c>
      <c r="Q338" s="34">
        <f>IF(B338="","",IF(J338="",0,J338)*IF(K338="Yes",2,1))</f>
        <v>0</v>
      </c>
      <c r="R338" s="21">
        <f>IF(B338="","",IF(L338&lt;&gt;"",L338,MileageRate))</f>
        <v>0</v>
      </c>
      <c r="S338" s="21">
        <f>IF(B338="","",ROUND(Q338*R338+IF(M338="",0,M338),2))</f>
        <v>0</v>
      </c>
      <c r="T338" s="39">
        <f>IF(B338="","",IF(J338="","Add - how far?",IF(D338="","Add - who drove?",IF(N338="No","Due - not claimed yet",IF(Q338&gt;200,"Check - a long day","OK")))))</f>
        <v>0</v>
      </c>
    </row>
    <row r="339" spans="1:20">
      <c r="A339" s="43">
        <f>IF(B339="","","MIL-"&amp;TEXT(ROW()-4,"0000"))</f>
        <v>0</v>
      </c>
      <c r="C339" s="23">
        <f>IF(B339="","",TEXT(B339,"yyyy-mm"))</f>
        <v>0</v>
      </c>
      <c r="P339" s="23">
        <f>IF(I339="","",IFERROR(INDEX(Jobs!$H$5:$H$604,MATCH(I339,Jobs!$A$5:$A$604,0)),""))</f>
        <v>0</v>
      </c>
      <c r="Q339" s="34">
        <f>IF(B339="","",IF(J339="",0,J339)*IF(K339="Yes",2,1))</f>
        <v>0</v>
      </c>
      <c r="R339" s="21">
        <f>IF(B339="","",IF(L339&lt;&gt;"",L339,MileageRate))</f>
        <v>0</v>
      </c>
      <c r="S339" s="21">
        <f>IF(B339="","",ROUND(Q339*R339+IF(M339="",0,M339),2))</f>
        <v>0</v>
      </c>
      <c r="T339" s="39">
        <f>IF(B339="","",IF(J339="","Add - how far?",IF(D339="","Add - who drove?",IF(N339="No","Due - not claimed yet",IF(Q339&gt;200,"Check - a long day","OK")))))</f>
        <v>0</v>
      </c>
    </row>
    <row r="340" spans="1:20">
      <c r="A340" s="43">
        <f>IF(B340="","","MIL-"&amp;TEXT(ROW()-4,"0000"))</f>
        <v>0</v>
      </c>
      <c r="C340" s="23">
        <f>IF(B340="","",TEXT(B340,"yyyy-mm"))</f>
        <v>0</v>
      </c>
      <c r="P340" s="23">
        <f>IF(I340="","",IFERROR(INDEX(Jobs!$H$5:$H$604,MATCH(I340,Jobs!$A$5:$A$604,0)),""))</f>
        <v>0</v>
      </c>
      <c r="Q340" s="34">
        <f>IF(B340="","",IF(J340="",0,J340)*IF(K340="Yes",2,1))</f>
        <v>0</v>
      </c>
      <c r="R340" s="21">
        <f>IF(B340="","",IF(L340&lt;&gt;"",L340,MileageRate))</f>
        <v>0</v>
      </c>
      <c r="S340" s="21">
        <f>IF(B340="","",ROUND(Q340*R340+IF(M340="",0,M340),2))</f>
        <v>0</v>
      </c>
      <c r="T340" s="39">
        <f>IF(B340="","",IF(J340="","Add - how far?",IF(D340="","Add - who drove?",IF(N340="No","Due - not claimed yet",IF(Q340&gt;200,"Check - a long day","OK")))))</f>
        <v>0</v>
      </c>
    </row>
    <row r="341" spans="1:20">
      <c r="A341" s="43">
        <f>IF(B341="","","MIL-"&amp;TEXT(ROW()-4,"0000"))</f>
        <v>0</v>
      </c>
      <c r="C341" s="23">
        <f>IF(B341="","",TEXT(B341,"yyyy-mm"))</f>
        <v>0</v>
      </c>
      <c r="P341" s="23">
        <f>IF(I341="","",IFERROR(INDEX(Jobs!$H$5:$H$604,MATCH(I341,Jobs!$A$5:$A$604,0)),""))</f>
        <v>0</v>
      </c>
      <c r="Q341" s="34">
        <f>IF(B341="","",IF(J341="",0,J341)*IF(K341="Yes",2,1))</f>
        <v>0</v>
      </c>
      <c r="R341" s="21">
        <f>IF(B341="","",IF(L341&lt;&gt;"",L341,MileageRate))</f>
        <v>0</v>
      </c>
      <c r="S341" s="21">
        <f>IF(B341="","",ROUND(Q341*R341+IF(M341="",0,M341),2))</f>
        <v>0</v>
      </c>
      <c r="T341" s="39">
        <f>IF(B341="","",IF(J341="","Add - how far?",IF(D341="","Add - who drove?",IF(N341="No","Due - not claimed yet",IF(Q341&gt;200,"Check - a long day","OK")))))</f>
        <v>0</v>
      </c>
    </row>
    <row r="342" spans="1:20">
      <c r="A342" s="43">
        <f>IF(B342="","","MIL-"&amp;TEXT(ROW()-4,"0000"))</f>
        <v>0</v>
      </c>
      <c r="C342" s="23">
        <f>IF(B342="","",TEXT(B342,"yyyy-mm"))</f>
        <v>0</v>
      </c>
      <c r="P342" s="23">
        <f>IF(I342="","",IFERROR(INDEX(Jobs!$H$5:$H$604,MATCH(I342,Jobs!$A$5:$A$604,0)),""))</f>
        <v>0</v>
      </c>
      <c r="Q342" s="34">
        <f>IF(B342="","",IF(J342="",0,J342)*IF(K342="Yes",2,1))</f>
        <v>0</v>
      </c>
      <c r="R342" s="21">
        <f>IF(B342="","",IF(L342&lt;&gt;"",L342,MileageRate))</f>
        <v>0</v>
      </c>
      <c r="S342" s="21">
        <f>IF(B342="","",ROUND(Q342*R342+IF(M342="",0,M342),2))</f>
        <v>0</v>
      </c>
      <c r="T342" s="39">
        <f>IF(B342="","",IF(J342="","Add - how far?",IF(D342="","Add - who drove?",IF(N342="No","Due - not claimed yet",IF(Q342&gt;200,"Check - a long day","OK")))))</f>
        <v>0</v>
      </c>
    </row>
    <row r="343" spans="1:20">
      <c r="A343" s="43">
        <f>IF(B343="","","MIL-"&amp;TEXT(ROW()-4,"0000"))</f>
        <v>0</v>
      </c>
      <c r="C343" s="23">
        <f>IF(B343="","",TEXT(B343,"yyyy-mm"))</f>
        <v>0</v>
      </c>
      <c r="P343" s="23">
        <f>IF(I343="","",IFERROR(INDEX(Jobs!$H$5:$H$604,MATCH(I343,Jobs!$A$5:$A$604,0)),""))</f>
        <v>0</v>
      </c>
      <c r="Q343" s="34">
        <f>IF(B343="","",IF(J343="",0,J343)*IF(K343="Yes",2,1))</f>
        <v>0</v>
      </c>
      <c r="R343" s="21">
        <f>IF(B343="","",IF(L343&lt;&gt;"",L343,MileageRate))</f>
        <v>0</v>
      </c>
      <c r="S343" s="21">
        <f>IF(B343="","",ROUND(Q343*R343+IF(M343="",0,M343),2))</f>
        <v>0</v>
      </c>
      <c r="T343" s="39">
        <f>IF(B343="","",IF(J343="","Add - how far?",IF(D343="","Add - who drove?",IF(N343="No","Due - not claimed yet",IF(Q343&gt;200,"Check - a long day","OK")))))</f>
        <v>0</v>
      </c>
    </row>
    <row r="344" spans="1:20">
      <c r="A344" s="43">
        <f>IF(B344="","","MIL-"&amp;TEXT(ROW()-4,"0000"))</f>
        <v>0</v>
      </c>
      <c r="C344" s="23">
        <f>IF(B344="","",TEXT(B344,"yyyy-mm"))</f>
        <v>0</v>
      </c>
      <c r="P344" s="23">
        <f>IF(I344="","",IFERROR(INDEX(Jobs!$H$5:$H$604,MATCH(I344,Jobs!$A$5:$A$604,0)),""))</f>
        <v>0</v>
      </c>
      <c r="Q344" s="34">
        <f>IF(B344="","",IF(J344="",0,J344)*IF(K344="Yes",2,1))</f>
        <v>0</v>
      </c>
      <c r="R344" s="21">
        <f>IF(B344="","",IF(L344&lt;&gt;"",L344,MileageRate))</f>
        <v>0</v>
      </c>
      <c r="S344" s="21">
        <f>IF(B344="","",ROUND(Q344*R344+IF(M344="",0,M344),2))</f>
        <v>0</v>
      </c>
      <c r="T344" s="39">
        <f>IF(B344="","",IF(J344="","Add - how far?",IF(D344="","Add - who drove?",IF(N344="No","Due - not claimed yet",IF(Q344&gt;200,"Check - a long day","OK")))))</f>
        <v>0</v>
      </c>
    </row>
    <row r="345" spans="1:20">
      <c r="A345" s="43">
        <f>IF(B345="","","MIL-"&amp;TEXT(ROW()-4,"0000"))</f>
        <v>0</v>
      </c>
      <c r="C345" s="23">
        <f>IF(B345="","",TEXT(B345,"yyyy-mm"))</f>
        <v>0</v>
      </c>
      <c r="P345" s="23">
        <f>IF(I345="","",IFERROR(INDEX(Jobs!$H$5:$H$604,MATCH(I345,Jobs!$A$5:$A$604,0)),""))</f>
        <v>0</v>
      </c>
      <c r="Q345" s="34">
        <f>IF(B345="","",IF(J345="",0,J345)*IF(K345="Yes",2,1))</f>
        <v>0</v>
      </c>
      <c r="R345" s="21">
        <f>IF(B345="","",IF(L345&lt;&gt;"",L345,MileageRate))</f>
        <v>0</v>
      </c>
      <c r="S345" s="21">
        <f>IF(B345="","",ROUND(Q345*R345+IF(M345="",0,M345),2))</f>
        <v>0</v>
      </c>
      <c r="T345" s="39">
        <f>IF(B345="","",IF(J345="","Add - how far?",IF(D345="","Add - who drove?",IF(N345="No","Due - not claimed yet",IF(Q345&gt;200,"Check - a long day","OK")))))</f>
        <v>0</v>
      </c>
    </row>
    <row r="346" spans="1:20">
      <c r="A346" s="43">
        <f>IF(B346="","","MIL-"&amp;TEXT(ROW()-4,"0000"))</f>
        <v>0</v>
      </c>
      <c r="C346" s="23">
        <f>IF(B346="","",TEXT(B346,"yyyy-mm"))</f>
        <v>0</v>
      </c>
      <c r="P346" s="23">
        <f>IF(I346="","",IFERROR(INDEX(Jobs!$H$5:$H$604,MATCH(I346,Jobs!$A$5:$A$604,0)),""))</f>
        <v>0</v>
      </c>
      <c r="Q346" s="34">
        <f>IF(B346="","",IF(J346="",0,J346)*IF(K346="Yes",2,1))</f>
        <v>0</v>
      </c>
      <c r="R346" s="21">
        <f>IF(B346="","",IF(L346&lt;&gt;"",L346,MileageRate))</f>
        <v>0</v>
      </c>
      <c r="S346" s="21">
        <f>IF(B346="","",ROUND(Q346*R346+IF(M346="",0,M346),2))</f>
        <v>0</v>
      </c>
      <c r="T346" s="39">
        <f>IF(B346="","",IF(J346="","Add - how far?",IF(D346="","Add - who drove?",IF(N346="No","Due - not claimed yet",IF(Q346&gt;200,"Check - a long day","OK")))))</f>
        <v>0</v>
      </c>
    </row>
    <row r="347" spans="1:20">
      <c r="A347" s="43">
        <f>IF(B347="","","MIL-"&amp;TEXT(ROW()-4,"0000"))</f>
        <v>0</v>
      </c>
      <c r="C347" s="23">
        <f>IF(B347="","",TEXT(B347,"yyyy-mm"))</f>
        <v>0</v>
      </c>
      <c r="P347" s="23">
        <f>IF(I347="","",IFERROR(INDEX(Jobs!$H$5:$H$604,MATCH(I347,Jobs!$A$5:$A$604,0)),""))</f>
        <v>0</v>
      </c>
      <c r="Q347" s="34">
        <f>IF(B347="","",IF(J347="",0,J347)*IF(K347="Yes",2,1))</f>
        <v>0</v>
      </c>
      <c r="R347" s="21">
        <f>IF(B347="","",IF(L347&lt;&gt;"",L347,MileageRate))</f>
        <v>0</v>
      </c>
      <c r="S347" s="21">
        <f>IF(B347="","",ROUND(Q347*R347+IF(M347="",0,M347),2))</f>
        <v>0</v>
      </c>
      <c r="T347" s="39">
        <f>IF(B347="","",IF(J347="","Add - how far?",IF(D347="","Add - who drove?",IF(N347="No","Due - not claimed yet",IF(Q347&gt;200,"Check - a long day","OK")))))</f>
        <v>0</v>
      </c>
    </row>
    <row r="348" spans="1:20">
      <c r="A348" s="43">
        <f>IF(B348="","","MIL-"&amp;TEXT(ROW()-4,"0000"))</f>
        <v>0</v>
      </c>
      <c r="C348" s="23">
        <f>IF(B348="","",TEXT(B348,"yyyy-mm"))</f>
        <v>0</v>
      </c>
      <c r="P348" s="23">
        <f>IF(I348="","",IFERROR(INDEX(Jobs!$H$5:$H$604,MATCH(I348,Jobs!$A$5:$A$604,0)),""))</f>
        <v>0</v>
      </c>
      <c r="Q348" s="34">
        <f>IF(B348="","",IF(J348="",0,J348)*IF(K348="Yes",2,1))</f>
        <v>0</v>
      </c>
      <c r="R348" s="21">
        <f>IF(B348="","",IF(L348&lt;&gt;"",L348,MileageRate))</f>
        <v>0</v>
      </c>
      <c r="S348" s="21">
        <f>IF(B348="","",ROUND(Q348*R348+IF(M348="",0,M348),2))</f>
        <v>0</v>
      </c>
      <c r="T348" s="39">
        <f>IF(B348="","",IF(J348="","Add - how far?",IF(D348="","Add - who drove?",IF(N348="No","Due - not claimed yet",IF(Q348&gt;200,"Check - a long day","OK")))))</f>
        <v>0</v>
      </c>
    </row>
    <row r="349" spans="1:20">
      <c r="A349" s="43">
        <f>IF(B349="","","MIL-"&amp;TEXT(ROW()-4,"0000"))</f>
        <v>0</v>
      </c>
      <c r="C349" s="23">
        <f>IF(B349="","",TEXT(B349,"yyyy-mm"))</f>
        <v>0</v>
      </c>
      <c r="P349" s="23">
        <f>IF(I349="","",IFERROR(INDEX(Jobs!$H$5:$H$604,MATCH(I349,Jobs!$A$5:$A$604,0)),""))</f>
        <v>0</v>
      </c>
      <c r="Q349" s="34">
        <f>IF(B349="","",IF(J349="",0,J349)*IF(K349="Yes",2,1))</f>
        <v>0</v>
      </c>
      <c r="R349" s="21">
        <f>IF(B349="","",IF(L349&lt;&gt;"",L349,MileageRate))</f>
        <v>0</v>
      </c>
      <c r="S349" s="21">
        <f>IF(B349="","",ROUND(Q349*R349+IF(M349="",0,M349),2))</f>
        <v>0</v>
      </c>
      <c r="T349" s="39">
        <f>IF(B349="","",IF(J349="","Add - how far?",IF(D349="","Add - who drove?",IF(N349="No","Due - not claimed yet",IF(Q349&gt;200,"Check - a long day","OK")))))</f>
        <v>0</v>
      </c>
    </row>
    <row r="350" spans="1:20">
      <c r="A350" s="43">
        <f>IF(B350="","","MIL-"&amp;TEXT(ROW()-4,"0000"))</f>
        <v>0</v>
      </c>
      <c r="C350" s="23">
        <f>IF(B350="","",TEXT(B350,"yyyy-mm"))</f>
        <v>0</v>
      </c>
      <c r="P350" s="23">
        <f>IF(I350="","",IFERROR(INDEX(Jobs!$H$5:$H$604,MATCH(I350,Jobs!$A$5:$A$604,0)),""))</f>
        <v>0</v>
      </c>
      <c r="Q350" s="34">
        <f>IF(B350="","",IF(J350="",0,J350)*IF(K350="Yes",2,1))</f>
        <v>0</v>
      </c>
      <c r="R350" s="21">
        <f>IF(B350="","",IF(L350&lt;&gt;"",L350,MileageRate))</f>
        <v>0</v>
      </c>
      <c r="S350" s="21">
        <f>IF(B350="","",ROUND(Q350*R350+IF(M350="",0,M350),2))</f>
        <v>0</v>
      </c>
      <c r="T350" s="39">
        <f>IF(B350="","",IF(J350="","Add - how far?",IF(D350="","Add - who drove?",IF(N350="No","Due - not claimed yet",IF(Q350&gt;200,"Check - a long day","OK")))))</f>
        <v>0</v>
      </c>
    </row>
    <row r="351" spans="1:20">
      <c r="A351" s="43">
        <f>IF(B351="","","MIL-"&amp;TEXT(ROW()-4,"0000"))</f>
        <v>0</v>
      </c>
      <c r="C351" s="23">
        <f>IF(B351="","",TEXT(B351,"yyyy-mm"))</f>
        <v>0</v>
      </c>
      <c r="P351" s="23">
        <f>IF(I351="","",IFERROR(INDEX(Jobs!$H$5:$H$604,MATCH(I351,Jobs!$A$5:$A$604,0)),""))</f>
        <v>0</v>
      </c>
      <c r="Q351" s="34">
        <f>IF(B351="","",IF(J351="",0,J351)*IF(K351="Yes",2,1))</f>
        <v>0</v>
      </c>
      <c r="R351" s="21">
        <f>IF(B351="","",IF(L351&lt;&gt;"",L351,MileageRate))</f>
        <v>0</v>
      </c>
      <c r="S351" s="21">
        <f>IF(B351="","",ROUND(Q351*R351+IF(M351="",0,M351),2))</f>
        <v>0</v>
      </c>
      <c r="T351" s="39">
        <f>IF(B351="","",IF(J351="","Add - how far?",IF(D351="","Add - who drove?",IF(N351="No","Due - not claimed yet",IF(Q351&gt;200,"Check - a long day","OK")))))</f>
        <v>0</v>
      </c>
    </row>
    <row r="352" spans="1:20">
      <c r="A352" s="43">
        <f>IF(B352="","","MIL-"&amp;TEXT(ROW()-4,"0000"))</f>
        <v>0</v>
      </c>
      <c r="C352" s="23">
        <f>IF(B352="","",TEXT(B352,"yyyy-mm"))</f>
        <v>0</v>
      </c>
      <c r="P352" s="23">
        <f>IF(I352="","",IFERROR(INDEX(Jobs!$H$5:$H$604,MATCH(I352,Jobs!$A$5:$A$604,0)),""))</f>
        <v>0</v>
      </c>
      <c r="Q352" s="34">
        <f>IF(B352="","",IF(J352="",0,J352)*IF(K352="Yes",2,1))</f>
        <v>0</v>
      </c>
      <c r="R352" s="21">
        <f>IF(B352="","",IF(L352&lt;&gt;"",L352,MileageRate))</f>
        <v>0</v>
      </c>
      <c r="S352" s="21">
        <f>IF(B352="","",ROUND(Q352*R352+IF(M352="",0,M352),2))</f>
        <v>0</v>
      </c>
      <c r="T352" s="39">
        <f>IF(B352="","",IF(J352="","Add - how far?",IF(D352="","Add - who drove?",IF(N352="No","Due - not claimed yet",IF(Q352&gt;200,"Check - a long day","OK")))))</f>
        <v>0</v>
      </c>
    </row>
    <row r="353" spans="1:20">
      <c r="A353" s="43">
        <f>IF(B353="","","MIL-"&amp;TEXT(ROW()-4,"0000"))</f>
        <v>0</v>
      </c>
      <c r="C353" s="23">
        <f>IF(B353="","",TEXT(B353,"yyyy-mm"))</f>
        <v>0</v>
      </c>
      <c r="P353" s="23">
        <f>IF(I353="","",IFERROR(INDEX(Jobs!$H$5:$H$604,MATCH(I353,Jobs!$A$5:$A$604,0)),""))</f>
        <v>0</v>
      </c>
      <c r="Q353" s="34">
        <f>IF(B353="","",IF(J353="",0,J353)*IF(K353="Yes",2,1))</f>
        <v>0</v>
      </c>
      <c r="R353" s="21">
        <f>IF(B353="","",IF(L353&lt;&gt;"",L353,MileageRate))</f>
        <v>0</v>
      </c>
      <c r="S353" s="21">
        <f>IF(B353="","",ROUND(Q353*R353+IF(M353="",0,M353),2))</f>
        <v>0</v>
      </c>
      <c r="T353" s="39">
        <f>IF(B353="","",IF(J353="","Add - how far?",IF(D353="","Add - who drove?",IF(N353="No","Due - not claimed yet",IF(Q353&gt;200,"Check - a long day","OK")))))</f>
        <v>0</v>
      </c>
    </row>
    <row r="354" spans="1:20">
      <c r="A354" s="43">
        <f>IF(B354="","","MIL-"&amp;TEXT(ROW()-4,"0000"))</f>
        <v>0</v>
      </c>
      <c r="C354" s="23">
        <f>IF(B354="","",TEXT(B354,"yyyy-mm"))</f>
        <v>0</v>
      </c>
      <c r="P354" s="23">
        <f>IF(I354="","",IFERROR(INDEX(Jobs!$H$5:$H$604,MATCH(I354,Jobs!$A$5:$A$604,0)),""))</f>
        <v>0</v>
      </c>
      <c r="Q354" s="34">
        <f>IF(B354="","",IF(J354="",0,J354)*IF(K354="Yes",2,1))</f>
        <v>0</v>
      </c>
      <c r="R354" s="21">
        <f>IF(B354="","",IF(L354&lt;&gt;"",L354,MileageRate))</f>
        <v>0</v>
      </c>
      <c r="S354" s="21">
        <f>IF(B354="","",ROUND(Q354*R354+IF(M354="",0,M354),2))</f>
        <v>0</v>
      </c>
      <c r="T354" s="39">
        <f>IF(B354="","",IF(J354="","Add - how far?",IF(D354="","Add - who drove?",IF(N354="No","Due - not claimed yet",IF(Q354&gt;200,"Check - a long day","OK")))))</f>
        <v>0</v>
      </c>
    </row>
    <row r="355" spans="1:20">
      <c r="A355" s="43">
        <f>IF(B355="","","MIL-"&amp;TEXT(ROW()-4,"0000"))</f>
        <v>0</v>
      </c>
      <c r="C355" s="23">
        <f>IF(B355="","",TEXT(B355,"yyyy-mm"))</f>
        <v>0</v>
      </c>
      <c r="P355" s="23">
        <f>IF(I355="","",IFERROR(INDEX(Jobs!$H$5:$H$604,MATCH(I355,Jobs!$A$5:$A$604,0)),""))</f>
        <v>0</v>
      </c>
      <c r="Q355" s="34">
        <f>IF(B355="","",IF(J355="",0,J355)*IF(K355="Yes",2,1))</f>
        <v>0</v>
      </c>
      <c r="R355" s="21">
        <f>IF(B355="","",IF(L355&lt;&gt;"",L355,MileageRate))</f>
        <v>0</v>
      </c>
      <c r="S355" s="21">
        <f>IF(B355="","",ROUND(Q355*R355+IF(M355="",0,M355),2))</f>
        <v>0</v>
      </c>
      <c r="T355" s="39">
        <f>IF(B355="","",IF(J355="","Add - how far?",IF(D355="","Add - who drove?",IF(N355="No","Due - not claimed yet",IF(Q355&gt;200,"Check - a long day","OK")))))</f>
        <v>0</v>
      </c>
    </row>
    <row r="356" spans="1:20">
      <c r="A356" s="43">
        <f>IF(B356="","","MIL-"&amp;TEXT(ROW()-4,"0000"))</f>
        <v>0</v>
      </c>
      <c r="C356" s="23">
        <f>IF(B356="","",TEXT(B356,"yyyy-mm"))</f>
        <v>0</v>
      </c>
      <c r="P356" s="23">
        <f>IF(I356="","",IFERROR(INDEX(Jobs!$H$5:$H$604,MATCH(I356,Jobs!$A$5:$A$604,0)),""))</f>
        <v>0</v>
      </c>
      <c r="Q356" s="34">
        <f>IF(B356="","",IF(J356="",0,J356)*IF(K356="Yes",2,1))</f>
        <v>0</v>
      </c>
      <c r="R356" s="21">
        <f>IF(B356="","",IF(L356&lt;&gt;"",L356,MileageRate))</f>
        <v>0</v>
      </c>
      <c r="S356" s="21">
        <f>IF(B356="","",ROUND(Q356*R356+IF(M356="",0,M356),2))</f>
        <v>0</v>
      </c>
      <c r="T356" s="39">
        <f>IF(B356="","",IF(J356="","Add - how far?",IF(D356="","Add - who drove?",IF(N356="No","Due - not claimed yet",IF(Q356&gt;200,"Check - a long day","OK")))))</f>
        <v>0</v>
      </c>
    </row>
    <row r="357" spans="1:20">
      <c r="A357" s="43">
        <f>IF(B357="","","MIL-"&amp;TEXT(ROW()-4,"0000"))</f>
        <v>0</v>
      </c>
      <c r="C357" s="23">
        <f>IF(B357="","",TEXT(B357,"yyyy-mm"))</f>
        <v>0</v>
      </c>
      <c r="P357" s="23">
        <f>IF(I357="","",IFERROR(INDEX(Jobs!$H$5:$H$604,MATCH(I357,Jobs!$A$5:$A$604,0)),""))</f>
        <v>0</v>
      </c>
      <c r="Q357" s="34">
        <f>IF(B357="","",IF(J357="",0,J357)*IF(K357="Yes",2,1))</f>
        <v>0</v>
      </c>
      <c r="R357" s="21">
        <f>IF(B357="","",IF(L357&lt;&gt;"",L357,MileageRate))</f>
        <v>0</v>
      </c>
      <c r="S357" s="21">
        <f>IF(B357="","",ROUND(Q357*R357+IF(M357="",0,M357),2))</f>
        <v>0</v>
      </c>
      <c r="T357" s="39">
        <f>IF(B357="","",IF(J357="","Add - how far?",IF(D357="","Add - who drove?",IF(N357="No","Due - not claimed yet",IF(Q357&gt;200,"Check - a long day","OK")))))</f>
        <v>0</v>
      </c>
    </row>
    <row r="358" spans="1:20">
      <c r="A358" s="43">
        <f>IF(B358="","","MIL-"&amp;TEXT(ROW()-4,"0000"))</f>
        <v>0</v>
      </c>
      <c r="C358" s="23">
        <f>IF(B358="","",TEXT(B358,"yyyy-mm"))</f>
        <v>0</v>
      </c>
      <c r="P358" s="23">
        <f>IF(I358="","",IFERROR(INDEX(Jobs!$H$5:$H$604,MATCH(I358,Jobs!$A$5:$A$604,0)),""))</f>
        <v>0</v>
      </c>
      <c r="Q358" s="34">
        <f>IF(B358="","",IF(J358="",0,J358)*IF(K358="Yes",2,1))</f>
        <v>0</v>
      </c>
      <c r="R358" s="21">
        <f>IF(B358="","",IF(L358&lt;&gt;"",L358,MileageRate))</f>
        <v>0</v>
      </c>
      <c r="S358" s="21">
        <f>IF(B358="","",ROUND(Q358*R358+IF(M358="",0,M358),2))</f>
        <v>0</v>
      </c>
      <c r="T358" s="39">
        <f>IF(B358="","",IF(J358="","Add - how far?",IF(D358="","Add - who drove?",IF(N358="No","Due - not claimed yet",IF(Q358&gt;200,"Check - a long day","OK")))))</f>
        <v>0</v>
      </c>
    </row>
    <row r="359" spans="1:20">
      <c r="A359" s="43">
        <f>IF(B359="","","MIL-"&amp;TEXT(ROW()-4,"0000"))</f>
        <v>0</v>
      </c>
      <c r="C359" s="23">
        <f>IF(B359="","",TEXT(B359,"yyyy-mm"))</f>
        <v>0</v>
      </c>
      <c r="P359" s="23">
        <f>IF(I359="","",IFERROR(INDEX(Jobs!$H$5:$H$604,MATCH(I359,Jobs!$A$5:$A$604,0)),""))</f>
        <v>0</v>
      </c>
      <c r="Q359" s="34">
        <f>IF(B359="","",IF(J359="",0,J359)*IF(K359="Yes",2,1))</f>
        <v>0</v>
      </c>
      <c r="R359" s="21">
        <f>IF(B359="","",IF(L359&lt;&gt;"",L359,MileageRate))</f>
        <v>0</v>
      </c>
      <c r="S359" s="21">
        <f>IF(B359="","",ROUND(Q359*R359+IF(M359="",0,M359),2))</f>
        <v>0</v>
      </c>
      <c r="T359" s="39">
        <f>IF(B359="","",IF(J359="","Add - how far?",IF(D359="","Add - who drove?",IF(N359="No","Due - not claimed yet",IF(Q359&gt;200,"Check - a long day","OK")))))</f>
        <v>0</v>
      </c>
    </row>
    <row r="360" spans="1:20">
      <c r="A360" s="43">
        <f>IF(B360="","","MIL-"&amp;TEXT(ROW()-4,"0000"))</f>
        <v>0</v>
      </c>
      <c r="C360" s="23">
        <f>IF(B360="","",TEXT(B360,"yyyy-mm"))</f>
        <v>0</v>
      </c>
      <c r="P360" s="23">
        <f>IF(I360="","",IFERROR(INDEX(Jobs!$H$5:$H$604,MATCH(I360,Jobs!$A$5:$A$604,0)),""))</f>
        <v>0</v>
      </c>
      <c r="Q360" s="34">
        <f>IF(B360="","",IF(J360="",0,J360)*IF(K360="Yes",2,1))</f>
        <v>0</v>
      </c>
      <c r="R360" s="21">
        <f>IF(B360="","",IF(L360&lt;&gt;"",L360,MileageRate))</f>
        <v>0</v>
      </c>
      <c r="S360" s="21">
        <f>IF(B360="","",ROUND(Q360*R360+IF(M360="",0,M360),2))</f>
        <v>0</v>
      </c>
      <c r="T360" s="39">
        <f>IF(B360="","",IF(J360="","Add - how far?",IF(D360="","Add - who drove?",IF(N360="No","Due - not claimed yet",IF(Q360&gt;200,"Check - a long day","OK")))))</f>
        <v>0</v>
      </c>
    </row>
    <row r="361" spans="1:20">
      <c r="A361" s="43">
        <f>IF(B361="","","MIL-"&amp;TEXT(ROW()-4,"0000"))</f>
        <v>0</v>
      </c>
      <c r="C361" s="23">
        <f>IF(B361="","",TEXT(B361,"yyyy-mm"))</f>
        <v>0</v>
      </c>
      <c r="P361" s="23">
        <f>IF(I361="","",IFERROR(INDEX(Jobs!$H$5:$H$604,MATCH(I361,Jobs!$A$5:$A$604,0)),""))</f>
        <v>0</v>
      </c>
      <c r="Q361" s="34">
        <f>IF(B361="","",IF(J361="",0,J361)*IF(K361="Yes",2,1))</f>
        <v>0</v>
      </c>
      <c r="R361" s="21">
        <f>IF(B361="","",IF(L361&lt;&gt;"",L361,MileageRate))</f>
        <v>0</v>
      </c>
      <c r="S361" s="21">
        <f>IF(B361="","",ROUND(Q361*R361+IF(M361="",0,M361),2))</f>
        <v>0</v>
      </c>
      <c r="T361" s="39">
        <f>IF(B361="","",IF(J361="","Add - how far?",IF(D361="","Add - who drove?",IF(N361="No","Due - not claimed yet",IF(Q361&gt;200,"Check - a long day","OK")))))</f>
        <v>0</v>
      </c>
    </row>
    <row r="362" spans="1:20">
      <c r="A362" s="43">
        <f>IF(B362="","","MIL-"&amp;TEXT(ROW()-4,"0000"))</f>
        <v>0</v>
      </c>
      <c r="C362" s="23">
        <f>IF(B362="","",TEXT(B362,"yyyy-mm"))</f>
        <v>0</v>
      </c>
      <c r="P362" s="23">
        <f>IF(I362="","",IFERROR(INDEX(Jobs!$H$5:$H$604,MATCH(I362,Jobs!$A$5:$A$604,0)),""))</f>
        <v>0</v>
      </c>
      <c r="Q362" s="34">
        <f>IF(B362="","",IF(J362="",0,J362)*IF(K362="Yes",2,1))</f>
        <v>0</v>
      </c>
      <c r="R362" s="21">
        <f>IF(B362="","",IF(L362&lt;&gt;"",L362,MileageRate))</f>
        <v>0</v>
      </c>
      <c r="S362" s="21">
        <f>IF(B362="","",ROUND(Q362*R362+IF(M362="",0,M362),2))</f>
        <v>0</v>
      </c>
      <c r="T362" s="39">
        <f>IF(B362="","",IF(J362="","Add - how far?",IF(D362="","Add - who drove?",IF(N362="No","Due - not claimed yet",IF(Q362&gt;200,"Check - a long day","OK")))))</f>
        <v>0</v>
      </c>
    </row>
    <row r="363" spans="1:20">
      <c r="A363" s="43">
        <f>IF(B363="","","MIL-"&amp;TEXT(ROW()-4,"0000"))</f>
        <v>0</v>
      </c>
      <c r="C363" s="23">
        <f>IF(B363="","",TEXT(B363,"yyyy-mm"))</f>
        <v>0</v>
      </c>
      <c r="P363" s="23">
        <f>IF(I363="","",IFERROR(INDEX(Jobs!$H$5:$H$604,MATCH(I363,Jobs!$A$5:$A$604,0)),""))</f>
        <v>0</v>
      </c>
      <c r="Q363" s="34">
        <f>IF(B363="","",IF(J363="",0,J363)*IF(K363="Yes",2,1))</f>
        <v>0</v>
      </c>
      <c r="R363" s="21">
        <f>IF(B363="","",IF(L363&lt;&gt;"",L363,MileageRate))</f>
        <v>0</v>
      </c>
      <c r="S363" s="21">
        <f>IF(B363="","",ROUND(Q363*R363+IF(M363="",0,M363),2))</f>
        <v>0</v>
      </c>
      <c r="T363" s="39">
        <f>IF(B363="","",IF(J363="","Add - how far?",IF(D363="","Add - who drove?",IF(N363="No","Due - not claimed yet",IF(Q363&gt;200,"Check - a long day","OK")))))</f>
        <v>0</v>
      </c>
    </row>
    <row r="364" spans="1:20">
      <c r="A364" s="43">
        <f>IF(B364="","","MIL-"&amp;TEXT(ROW()-4,"0000"))</f>
        <v>0</v>
      </c>
      <c r="C364" s="23">
        <f>IF(B364="","",TEXT(B364,"yyyy-mm"))</f>
        <v>0</v>
      </c>
      <c r="P364" s="23">
        <f>IF(I364="","",IFERROR(INDEX(Jobs!$H$5:$H$604,MATCH(I364,Jobs!$A$5:$A$604,0)),""))</f>
        <v>0</v>
      </c>
      <c r="Q364" s="34">
        <f>IF(B364="","",IF(J364="",0,J364)*IF(K364="Yes",2,1))</f>
        <v>0</v>
      </c>
      <c r="R364" s="21">
        <f>IF(B364="","",IF(L364&lt;&gt;"",L364,MileageRate))</f>
        <v>0</v>
      </c>
      <c r="S364" s="21">
        <f>IF(B364="","",ROUND(Q364*R364+IF(M364="",0,M364),2))</f>
        <v>0</v>
      </c>
      <c r="T364" s="39">
        <f>IF(B364="","",IF(J364="","Add - how far?",IF(D364="","Add - who drove?",IF(N364="No","Due - not claimed yet",IF(Q364&gt;200,"Check - a long day","OK")))))</f>
        <v>0</v>
      </c>
    </row>
    <row r="365" spans="1:20">
      <c r="A365" s="43">
        <f>IF(B365="","","MIL-"&amp;TEXT(ROW()-4,"0000"))</f>
        <v>0</v>
      </c>
      <c r="C365" s="23">
        <f>IF(B365="","",TEXT(B365,"yyyy-mm"))</f>
        <v>0</v>
      </c>
      <c r="P365" s="23">
        <f>IF(I365="","",IFERROR(INDEX(Jobs!$H$5:$H$604,MATCH(I365,Jobs!$A$5:$A$604,0)),""))</f>
        <v>0</v>
      </c>
      <c r="Q365" s="34">
        <f>IF(B365="","",IF(J365="",0,J365)*IF(K365="Yes",2,1))</f>
        <v>0</v>
      </c>
      <c r="R365" s="21">
        <f>IF(B365="","",IF(L365&lt;&gt;"",L365,MileageRate))</f>
        <v>0</v>
      </c>
      <c r="S365" s="21">
        <f>IF(B365="","",ROUND(Q365*R365+IF(M365="",0,M365),2))</f>
        <v>0</v>
      </c>
      <c r="T365" s="39">
        <f>IF(B365="","",IF(J365="","Add - how far?",IF(D365="","Add - who drove?",IF(N365="No","Due - not claimed yet",IF(Q365&gt;200,"Check - a long day","OK")))))</f>
        <v>0</v>
      </c>
    </row>
    <row r="366" spans="1:20">
      <c r="A366" s="43">
        <f>IF(B366="","","MIL-"&amp;TEXT(ROW()-4,"0000"))</f>
        <v>0</v>
      </c>
      <c r="C366" s="23">
        <f>IF(B366="","",TEXT(B366,"yyyy-mm"))</f>
        <v>0</v>
      </c>
      <c r="P366" s="23">
        <f>IF(I366="","",IFERROR(INDEX(Jobs!$H$5:$H$604,MATCH(I366,Jobs!$A$5:$A$604,0)),""))</f>
        <v>0</v>
      </c>
      <c r="Q366" s="34">
        <f>IF(B366="","",IF(J366="",0,J366)*IF(K366="Yes",2,1))</f>
        <v>0</v>
      </c>
      <c r="R366" s="21">
        <f>IF(B366="","",IF(L366&lt;&gt;"",L366,MileageRate))</f>
        <v>0</v>
      </c>
      <c r="S366" s="21">
        <f>IF(B366="","",ROUND(Q366*R366+IF(M366="",0,M366),2))</f>
        <v>0</v>
      </c>
      <c r="T366" s="39">
        <f>IF(B366="","",IF(J366="","Add - how far?",IF(D366="","Add - who drove?",IF(N366="No","Due - not claimed yet",IF(Q366&gt;200,"Check - a long day","OK")))))</f>
        <v>0</v>
      </c>
    </row>
    <row r="367" spans="1:20">
      <c r="A367" s="43">
        <f>IF(B367="","","MIL-"&amp;TEXT(ROW()-4,"0000"))</f>
        <v>0</v>
      </c>
      <c r="C367" s="23">
        <f>IF(B367="","",TEXT(B367,"yyyy-mm"))</f>
        <v>0</v>
      </c>
      <c r="P367" s="23">
        <f>IF(I367="","",IFERROR(INDEX(Jobs!$H$5:$H$604,MATCH(I367,Jobs!$A$5:$A$604,0)),""))</f>
        <v>0</v>
      </c>
      <c r="Q367" s="34">
        <f>IF(B367="","",IF(J367="",0,J367)*IF(K367="Yes",2,1))</f>
        <v>0</v>
      </c>
      <c r="R367" s="21">
        <f>IF(B367="","",IF(L367&lt;&gt;"",L367,MileageRate))</f>
        <v>0</v>
      </c>
      <c r="S367" s="21">
        <f>IF(B367="","",ROUND(Q367*R367+IF(M367="",0,M367),2))</f>
        <v>0</v>
      </c>
      <c r="T367" s="39">
        <f>IF(B367="","",IF(J367="","Add - how far?",IF(D367="","Add - who drove?",IF(N367="No","Due - not claimed yet",IF(Q367&gt;200,"Check - a long day","OK")))))</f>
        <v>0</v>
      </c>
    </row>
    <row r="368" spans="1:20">
      <c r="A368" s="43">
        <f>IF(B368="","","MIL-"&amp;TEXT(ROW()-4,"0000"))</f>
        <v>0</v>
      </c>
      <c r="C368" s="23">
        <f>IF(B368="","",TEXT(B368,"yyyy-mm"))</f>
        <v>0</v>
      </c>
      <c r="P368" s="23">
        <f>IF(I368="","",IFERROR(INDEX(Jobs!$H$5:$H$604,MATCH(I368,Jobs!$A$5:$A$604,0)),""))</f>
        <v>0</v>
      </c>
      <c r="Q368" s="34">
        <f>IF(B368="","",IF(J368="",0,J368)*IF(K368="Yes",2,1))</f>
        <v>0</v>
      </c>
      <c r="R368" s="21">
        <f>IF(B368="","",IF(L368&lt;&gt;"",L368,MileageRate))</f>
        <v>0</v>
      </c>
      <c r="S368" s="21">
        <f>IF(B368="","",ROUND(Q368*R368+IF(M368="",0,M368),2))</f>
        <v>0</v>
      </c>
      <c r="T368" s="39">
        <f>IF(B368="","",IF(J368="","Add - how far?",IF(D368="","Add - who drove?",IF(N368="No","Due - not claimed yet",IF(Q368&gt;200,"Check - a long day","OK")))))</f>
        <v>0</v>
      </c>
    </row>
    <row r="369" spans="1:20">
      <c r="A369" s="43">
        <f>IF(B369="","","MIL-"&amp;TEXT(ROW()-4,"0000"))</f>
        <v>0</v>
      </c>
      <c r="C369" s="23">
        <f>IF(B369="","",TEXT(B369,"yyyy-mm"))</f>
        <v>0</v>
      </c>
      <c r="P369" s="23">
        <f>IF(I369="","",IFERROR(INDEX(Jobs!$H$5:$H$604,MATCH(I369,Jobs!$A$5:$A$604,0)),""))</f>
        <v>0</v>
      </c>
      <c r="Q369" s="34">
        <f>IF(B369="","",IF(J369="",0,J369)*IF(K369="Yes",2,1))</f>
        <v>0</v>
      </c>
      <c r="R369" s="21">
        <f>IF(B369="","",IF(L369&lt;&gt;"",L369,MileageRate))</f>
        <v>0</v>
      </c>
      <c r="S369" s="21">
        <f>IF(B369="","",ROUND(Q369*R369+IF(M369="",0,M369),2))</f>
        <v>0</v>
      </c>
      <c r="T369" s="39">
        <f>IF(B369="","",IF(J369="","Add - how far?",IF(D369="","Add - who drove?",IF(N369="No","Due - not claimed yet",IF(Q369&gt;200,"Check - a long day","OK")))))</f>
        <v>0</v>
      </c>
    </row>
    <row r="370" spans="1:20">
      <c r="A370" s="43">
        <f>IF(B370="","","MIL-"&amp;TEXT(ROW()-4,"0000"))</f>
        <v>0</v>
      </c>
      <c r="C370" s="23">
        <f>IF(B370="","",TEXT(B370,"yyyy-mm"))</f>
        <v>0</v>
      </c>
      <c r="P370" s="23">
        <f>IF(I370="","",IFERROR(INDEX(Jobs!$H$5:$H$604,MATCH(I370,Jobs!$A$5:$A$604,0)),""))</f>
        <v>0</v>
      </c>
      <c r="Q370" s="34">
        <f>IF(B370="","",IF(J370="",0,J370)*IF(K370="Yes",2,1))</f>
        <v>0</v>
      </c>
      <c r="R370" s="21">
        <f>IF(B370="","",IF(L370&lt;&gt;"",L370,MileageRate))</f>
        <v>0</v>
      </c>
      <c r="S370" s="21">
        <f>IF(B370="","",ROUND(Q370*R370+IF(M370="",0,M370),2))</f>
        <v>0</v>
      </c>
      <c r="T370" s="39">
        <f>IF(B370="","",IF(J370="","Add - how far?",IF(D370="","Add - who drove?",IF(N370="No","Due - not claimed yet",IF(Q370&gt;200,"Check - a long day","OK")))))</f>
        <v>0</v>
      </c>
    </row>
    <row r="371" spans="1:20">
      <c r="A371" s="43">
        <f>IF(B371="","","MIL-"&amp;TEXT(ROW()-4,"0000"))</f>
        <v>0</v>
      </c>
      <c r="C371" s="23">
        <f>IF(B371="","",TEXT(B371,"yyyy-mm"))</f>
        <v>0</v>
      </c>
      <c r="P371" s="23">
        <f>IF(I371="","",IFERROR(INDEX(Jobs!$H$5:$H$604,MATCH(I371,Jobs!$A$5:$A$604,0)),""))</f>
        <v>0</v>
      </c>
      <c r="Q371" s="34">
        <f>IF(B371="","",IF(J371="",0,J371)*IF(K371="Yes",2,1))</f>
        <v>0</v>
      </c>
      <c r="R371" s="21">
        <f>IF(B371="","",IF(L371&lt;&gt;"",L371,MileageRate))</f>
        <v>0</v>
      </c>
      <c r="S371" s="21">
        <f>IF(B371="","",ROUND(Q371*R371+IF(M371="",0,M371),2))</f>
        <v>0</v>
      </c>
      <c r="T371" s="39">
        <f>IF(B371="","",IF(J371="","Add - how far?",IF(D371="","Add - who drove?",IF(N371="No","Due - not claimed yet",IF(Q371&gt;200,"Check - a long day","OK")))))</f>
        <v>0</v>
      </c>
    </row>
    <row r="372" spans="1:20">
      <c r="A372" s="43">
        <f>IF(B372="","","MIL-"&amp;TEXT(ROW()-4,"0000"))</f>
        <v>0</v>
      </c>
      <c r="C372" s="23">
        <f>IF(B372="","",TEXT(B372,"yyyy-mm"))</f>
        <v>0</v>
      </c>
      <c r="P372" s="23">
        <f>IF(I372="","",IFERROR(INDEX(Jobs!$H$5:$H$604,MATCH(I372,Jobs!$A$5:$A$604,0)),""))</f>
        <v>0</v>
      </c>
      <c r="Q372" s="34">
        <f>IF(B372="","",IF(J372="",0,J372)*IF(K372="Yes",2,1))</f>
        <v>0</v>
      </c>
      <c r="R372" s="21">
        <f>IF(B372="","",IF(L372&lt;&gt;"",L372,MileageRate))</f>
        <v>0</v>
      </c>
      <c r="S372" s="21">
        <f>IF(B372="","",ROUND(Q372*R372+IF(M372="",0,M372),2))</f>
        <v>0</v>
      </c>
      <c r="T372" s="39">
        <f>IF(B372="","",IF(J372="","Add - how far?",IF(D372="","Add - who drove?",IF(N372="No","Due - not claimed yet",IF(Q372&gt;200,"Check - a long day","OK")))))</f>
        <v>0</v>
      </c>
    </row>
    <row r="373" spans="1:20">
      <c r="A373" s="43">
        <f>IF(B373="","","MIL-"&amp;TEXT(ROW()-4,"0000"))</f>
        <v>0</v>
      </c>
      <c r="C373" s="23">
        <f>IF(B373="","",TEXT(B373,"yyyy-mm"))</f>
        <v>0</v>
      </c>
      <c r="P373" s="23">
        <f>IF(I373="","",IFERROR(INDEX(Jobs!$H$5:$H$604,MATCH(I373,Jobs!$A$5:$A$604,0)),""))</f>
        <v>0</v>
      </c>
      <c r="Q373" s="34">
        <f>IF(B373="","",IF(J373="",0,J373)*IF(K373="Yes",2,1))</f>
        <v>0</v>
      </c>
      <c r="R373" s="21">
        <f>IF(B373="","",IF(L373&lt;&gt;"",L373,MileageRate))</f>
        <v>0</v>
      </c>
      <c r="S373" s="21">
        <f>IF(B373="","",ROUND(Q373*R373+IF(M373="",0,M373),2))</f>
        <v>0</v>
      </c>
      <c r="T373" s="39">
        <f>IF(B373="","",IF(J373="","Add - how far?",IF(D373="","Add - who drove?",IF(N373="No","Due - not claimed yet",IF(Q373&gt;200,"Check - a long day","OK")))))</f>
        <v>0</v>
      </c>
    </row>
    <row r="374" spans="1:20">
      <c r="A374" s="43">
        <f>IF(B374="","","MIL-"&amp;TEXT(ROW()-4,"0000"))</f>
        <v>0</v>
      </c>
      <c r="C374" s="23">
        <f>IF(B374="","",TEXT(B374,"yyyy-mm"))</f>
        <v>0</v>
      </c>
      <c r="P374" s="23">
        <f>IF(I374="","",IFERROR(INDEX(Jobs!$H$5:$H$604,MATCH(I374,Jobs!$A$5:$A$604,0)),""))</f>
        <v>0</v>
      </c>
      <c r="Q374" s="34">
        <f>IF(B374="","",IF(J374="",0,J374)*IF(K374="Yes",2,1))</f>
        <v>0</v>
      </c>
      <c r="R374" s="21">
        <f>IF(B374="","",IF(L374&lt;&gt;"",L374,MileageRate))</f>
        <v>0</v>
      </c>
      <c r="S374" s="21">
        <f>IF(B374="","",ROUND(Q374*R374+IF(M374="",0,M374),2))</f>
        <v>0</v>
      </c>
      <c r="T374" s="39">
        <f>IF(B374="","",IF(J374="","Add - how far?",IF(D374="","Add - who drove?",IF(N374="No","Due - not claimed yet",IF(Q374&gt;200,"Check - a long day","OK")))))</f>
        <v>0</v>
      </c>
    </row>
    <row r="375" spans="1:20">
      <c r="A375" s="43">
        <f>IF(B375="","","MIL-"&amp;TEXT(ROW()-4,"0000"))</f>
        <v>0</v>
      </c>
      <c r="C375" s="23">
        <f>IF(B375="","",TEXT(B375,"yyyy-mm"))</f>
        <v>0</v>
      </c>
      <c r="P375" s="23">
        <f>IF(I375="","",IFERROR(INDEX(Jobs!$H$5:$H$604,MATCH(I375,Jobs!$A$5:$A$604,0)),""))</f>
        <v>0</v>
      </c>
      <c r="Q375" s="34">
        <f>IF(B375="","",IF(J375="",0,J375)*IF(K375="Yes",2,1))</f>
        <v>0</v>
      </c>
      <c r="R375" s="21">
        <f>IF(B375="","",IF(L375&lt;&gt;"",L375,MileageRate))</f>
        <v>0</v>
      </c>
      <c r="S375" s="21">
        <f>IF(B375="","",ROUND(Q375*R375+IF(M375="",0,M375),2))</f>
        <v>0</v>
      </c>
      <c r="T375" s="39">
        <f>IF(B375="","",IF(J375="","Add - how far?",IF(D375="","Add - who drove?",IF(N375="No","Due - not claimed yet",IF(Q375&gt;200,"Check - a long day","OK")))))</f>
        <v>0</v>
      </c>
    </row>
    <row r="376" spans="1:20">
      <c r="A376" s="43">
        <f>IF(B376="","","MIL-"&amp;TEXT(ROW()-4,"0000"))</f>
        <v>0</v>
      </c>
      <c r="C376" s="23">
        <f>IF(B376="","",TEXT(B376,"yyyy-mm"))</f>
        <v>0</v>
      </c>
      <c r="P376" s="23">
        <f>IF(I376="","",IFERROR(INDEX(Jobs!$H$5:$H$604,MATCH(I376,Jobs!$A$5:$A$604,0)),""))</f>
        <v>0</v>
      </c>
      <c r="Q376" s="34">
        <f>IF(B376="","",IF(J376="",0,J376)*IF(K376="Yes",2,1))</f>
        <v>0</v>
      </c>
      <c r="R376" s="21">
        <f>IF(B376="","",IF(L376&lt;&gt;"",L376,MileageRate))</f>
        <v>0</v>
      </c>
      <c r="S376" s="21">
        <f>IF(B376="","",ROUND(Q376*R376+IF(M376="",0,M376),2))</f>
        <v>0</v>
      </c>
      <c r="T376" s="39">
        <f>IF(B376="","",IF(J376="","Add - how far?",IF(D376="","Add - who drove?",IF(N376="No","Due - not claimed yet",IF(Q376&gt;200,"Check - a long day","OK")))))</f>
        <v>0</v>
      </c>
    </row>
    <row r="377" spans="1:20">
      <c r="A377" s="43">
        <f>IF(B377="","","MIL-"&amp;TEXT(ROW()-4,"0000"))</f>
        <v>0</v>
      </c>
      <c r="C377" s="23">
        <f>IF(B377="","",TEXT(B377,"yyyy-mm"))</f>
        <v>0</v>
      </c>
      <c r="P377" s="23">
        <f>IF(I377="","",IFERROR(INDEX(Jobs!$H$5:$H$604,MATCH(I377,Jobs!$A$5:$A$604,0)),""))</f>
        <v>0</v>
      </c>
      <c r="Q377" s="34">
        <f>IF(B377="","",IF(J377="",0,J377)*IF(K377="Yes",2,1))</f>
        <v>0</v>
      </c>
      <c r="R377" s="21">
        <f>IF(B377="","",IF(L377&lt;&gt;"",L377,MileageRate))</f>
        <v>0</v>
      </c>
      <c r="S377" s="21">
        <f>IF(B377="","",ROUND(Q377*R377+IF(M377="",0,M377),2))</f>
        <v>0</v>
      </c>
      <c r="T377" s="39">
        <f>IF(B377="","",IF(J377="","Add - how far?",IF(D377="","Add - who drove?",IF(N377="No","Due - not claimed yet",IF(Q377&gt;200,"Check - a long day","OK")))))</f>
        <v>0</v>
      </c>
    </row>
    <row r="378" spans="1:20">
      <c r="A378" s="43">
        <f>IF(B378="","","MIL-"&amp;TEXT(ROW()-4,"0000"))</f>
        <v>0</v>
      </c>
      <c r="C378" s="23">
        <f>IF(B378="","",TEXT(B378,"yyyy-mm"))</f>
        <v>0</v>
      </c>
      <c r="P378" s="23">
        <f>IF(I378="","",IFERROR(INDEX(Jobs!$H$5:$H$604,MATCH(I378,Jobs!$A$5:$A$604,0)),""))</f>
        <v>0</v>
      </c>
      <c r="Q378" s="34">
        <f>IF(B378="","",IF(J378="",0,J378)*IF(K378="Yes",2,1))</f>
        <v>0</v>
      </c>
      <c r="R378" s="21">
        <f>IF(B378="","",IF(L378&lt;&gt;"",L378,MileageRate))</f>
        <v>0</v>
      </c>
      <c r="S378" s="21">
        <f>IF(B378="","",ROUND(Q378*R378+IF(M378="",0,M378),2))</f>
        <v>0</v>
      </c>
      <c r="T378" s="39">
        <f>IF(B378="","",IF(J378="","Add - how far?",IF(D378="","Add - who drove?",IF(N378="No","Due - not claimed yet",IF(Q378&gt;200,"Check - a long day","OK")))))</f>
        <v>0</v>
      </c>
    </row>
    <row r="379" spans="1:20">
      <c r="A379" s="43">
        <f>IF(B379="","","MIL-"&amp;TEXT(ROW()-4,"0000"))</f>
        <v>0</v>
      </c>
      <c r="C379" s="23">
        <f>IF(B379="","",TEXT(B379,"yyyy-mm"))</f>
        <v>0</v>
      </c>
      <c r="P379" s="23">
        <f>IF(I379="","",IFERROR(INDEX(Jobs!$H$5:$H$604,MATCH(I379,Jobs!$A$5:$A$604,0)),""))</f>
        <v>0</v>
      </c>
      <c r="Q379" s="34">
        <f>IF(B379="","",IF(J379="",0,J379)*IF(K379="Yes",2,1))</f>
        <v>0</v>
      </c>
      <c r="R379" s="21">
        <f>IF(B379="","",IF(L379&lt;&gt;"",L379,MileageRate))</f>
        <v>0</v>
      </c>
      <c r="S379" s="21">
        <f>IF(B379="","",ROUND(Q379*R379+IF(M379="",0,M379),2))</f>
        <v>0</v>
      </c>
      <c r="T379" s="39">
        <f>IF(B379="","",IF(J379="","Add - how far?",IF(D379="","Add - who drove?",IF(N379="No","Due - not claimed yet",IF(Q379&gt;200,"Check - a long day","OK")))))</f>
        <v>0</v>
      </c>
    </row>
    <row r="380" spans="1:20">
      <c r="A380" s="43">
        <f>IF(B380="","","MIL-"&amp;TEXT(ROW()-4,"0000"))</f>
        <v>0</v>
      </c>
      <c r="C380" s="23">
        <f>IF(B380="","",TEXT(B380,"yyyy-mm"))</f>
        <v>0</v>
      </c>
      <c r="P380" s="23">
        <f>IF(I380="","",IFERROR(INDEX(Jobs!$H$5:$H$604,MATCH(I380,Jobs!$A$5:$A$604,0)),""))</f>
        <v>0</v>
      </c>
      <c r="Q380" s="34">
        <f>IF(B380="","",IF(J380="",0,J380)*IF(K380="Yes",2,1))</f>
        <v>0</v>
      </c>
      <c r="R380" s="21">
        <f>IF(B380="","",IF(L380&lt;&gt;"",L380,MileageRate))</f>
        <v>0</v>
      </c>
      <c r="S380" s="21">
        <f>IF(B380="","",ROUND(Q380*R380+IF(M380="",0,M380),2))</f>
        <v>0</v>
      </c>
      <c r="T380" s="39">
        <f>IF(B380="","",IF(J380="","Add - how far?",IF(D380="","Add - who drove?",IF(N380="No","Due - not claimed yet",IF(Q380&gt;200,"Check - a long day","OK")))))</f>
        <v>0</v>
      </c>
    </row>
    <row r="381" spans="1:20">
      <c r="A381" s="43">
        <f>IF(B381="","","MIL-"&amp;TEXT(ROW()-4,"0000"))</f>
        <v>0</v>
      </c>
      <c r="C381" s="23">
        <f>IF(B381="","",TEXT(B381,"yyyy-mm"))</f>
        <v>0</v>
      </c>
      <c r="P381" s="23">
        <f>IF(I381="","",IFERROR(INDEX(Jobs!$H$5:$H$604,MATCH(I381,Jobs!$A$5:$A$604,0)),""))</f>
        <v>0</v>
      </c>
      <c r="Q381" s="34">
        <f>IF(B381="","",IF(J381="",0,J381)*IF(K381="Yes",2,1))</f>
        <v>0</v>
      </c>
      <c r="R381" s="21">
        <f>IF(B381="","",IF(L381&lt;&gt;"",L381,MileageRate))</f>
        <v>0</v>
      </c>
      <c r="S381" s="21">
        <f>IF(B381="","",ROUND(Q381*R381+IF(M381="",0,M381),2))</f>
        <v>0</v>
      </c>
      <c r="T381" s="39">
        <f>IF(B381="","",IF(J381="","Add - how far?",IF(D381="","Add - who drove?",IF(N381="No","Due - not claimed yet",IF(Q381&gt;200,"Check - a long day","OK")))))</f>
        <v>0</v>
      </c>
    </row>
    <row r="382" spans="1:20">
      <c r="A382" s="43">
        <f>IF(B382="","","MIL-"&amp;TEXT(ROW()-4,"0000"))</f>
        <v>0</v>
      </c>
      <c r="C382" s="23">
        <f>IF(B382="","",TEXT(B382,"yyyy-mm"))</f>
        <v>0</v>
      </c>
      <c r="P382" s="23">
        <f>IF(I382="","",IFERROR(INDEX(Jobs!$H$5:$H$604,MATCH(I382,Jobs!$A$5:$A$604,0)),""))</f>
        <v>0</v>
      </c>
      <c r="Q382" s="34">
        <f>IF(B382="","",IF(J382="",0,J382)*IF(K382="Yes",2,1))</f>
        <v>0</v>
      </c>
      <c r="R382" s="21">
        <f>IF(B382="","",IF(L382&lt;&gt;"",L382,MileageRate))</f>
        <v>0</v>
      </c>
      <c r="S382" s="21">
        <f>IF(B382="","",ROUND(Q382*R382+IF(M382="",0,M382),2))</f>
        <v>0</v>
      </c>
      <c r="T382" s="39">
        <f>IF(B382="","",IF(J382="","Add - how far?",IF(D382="","Add - who drove?",IF(N382="No","Due - not claimed yet",IF(Q382&gt;200,"Check - a long day","OK")))))</f>
        <v>0</v>
      </c>
    </row>
    <row r="383" spans="1:20">
      <c r="A383" s="43">
        <f>IF(B383="","","MIL-"&amp;TEXT(ROW()-4,"0000"))</f>
        <v>0</v>
      </c>
      <c r="C383" s="23">
        <f>IF(B383="","",TEXT(B383,"yyyy-mm"))</f>
        <v>0</v>
      </c>
      <c r="P383" s="23">
        <f>IF(I383="","",IFERROR(INDEX(Jobs!$H$5:$H$604,MATCH(I383,Jobs!$A$5:$A$604,0)),""))</f>
        <v>0</v>
      </c>
      <c r="Q383" s="34">
        <f>IF(B383="","",IF(J383="",0,J383)*IF(K383="Yes",2,1))</f>
        <v>0</v>
      </c>
      <c r="R383" s="21">
        <f>IF(B383="","",IF(L383&lt;&gt;"",L383,MileageRate))</f>
        <v>0</v>
      </c>
      <c r="S383" s="21">
        <f>IF(B383="","",ROUND(Q383*R383+IF(M383="",0,M383),2))</f>
        <v>0</v>
      </c>
      <c r="T383" s="39">
        <f>IF(B383="","",IF(J383="","Add - how far?",IF(D383="","Add - who drove?",IF(N383="No","Due - not claimed yet",IF(Q383&gt;200,"Check - a long day","OK")))))</f>
        <v>0</v>
      </c>
    </row>
    <row r="384" spans="1:20">
      <c r="A384" s="43">
        <f>IF(B384="","","MIL-"&amp;TEXT(ROW()-4,"0000"))</f>
        <v>0</v>
      </c>
      <c r="C384" s="23">
        <f>IF(B384="","",TEXT(B384,"yyyy-mm"))</f>
        <v>0</v>
      </c>
      <c r="P384" s="23">
        <f>IF(I384="","",IFERROR(INDEX(Jobs!$H$5:$H$604,MATCH(I384,Jobs!$A$5:$A$604,0)),""))</f>
        <v>0</v>
      </c>
      <c r="Q384" s="34">
        <f>IF(B384="","",IF(J384="",0,J384)*IF(K384="Yes",2,1))</f>
        <v>0</v>
      </c>
      <c r="R384" s="21">
        <f>IF(B384="","",IF(L384&lt;&gt;"",L384,MileageRate))</f>
        <v>0</v>
      </c>
      <c r="S384" s="21">
        <f>IF(B384="","",ROUND(Q384*R384+IF(M384="",0,M384),2))</f>
        <v>0</v>
      </c>
      <c r="T384" s="39">
        <f>IF(B384="","",IF(J384="","Add - how far?",IF(D384="","Add - who drove?",IF(N384="No","Due - not claimed yet",IF(Q384&gt;200,"Check - a long day","OK")))))</f>
        <v>0</v>
      </c>
    </row>
    <row r="385" spans="1:20">
      <c r="A385" s="43">
        <f>IF(B385="","","MIL-"&amp;TEXT(ROW()-4,"0000"))</f>
        <v>0</v>
      </c>
      <c r="C385" s="23">
        <f>IF(B385="","",TEXT(B385,"yyyy-mm"))</f>
        <v>0</v>
      </c>
      <c r="P385" s="23">
        <f>IF(I385="","",IFERROR(INDEX(Jobs!$H$5:$H$604,MATCH(I385,Jobs!$A$5:$A$604,0)),""))</f>
        <v>0</v>
      </c>
      <c r="Q385" s="34">
        <f>IF(B385="","",IF(J385="",0,J385)*IF(K385="Yes",2,1))</f>
        <v>0</v>
      </c>
      <c r="R385" s="21">
        <f>IF(B385="","",IF(L385&lt;&gt;"",L385,MileageRate))</f>
        <v>0</v>
      </c>
      <c r="S385" s="21">
        <f>IF(B385="","",ROUND(Q385*R385+IF(M385="",0,M385),2))</f>
        <v>0</v>
      </c>
      <c r="T385" s="39">
        <f>IF(B385="","",IF(J385="","Add - how far?",IF(D385="","Add - who drove?",IF(N385="No","Due - not claimed yet",IF(Q385&gt;200,"Check - a long day","OK")))))</f>
        <v>0</v>
      </c>
    </row>
    <row r="386" spans="1:20">
      <c r="A386" s="43">
        <f>IF(B386="","","MIL-"&amp;TEXT(ROW()-4,"0000"))</f>
        <v>0</v>
      </c>
      <c r="C386" s="23">
        <f>IF(B386="","",TEXT(B386,"yyyy-mm"))</f>
        <v>0</v>
      </c>
      <c r="P386" s="23">
        <f>IF(I386="","",IFERROR(INDEX(Jobs!$H$5:$H$604,MATCH(I386,Jobs!$A$5:$A$604,0)),""))</f>
        <v>0</v>
      </c>
      <c r="Q386" s="34">
        <f>IF(B386="","",IF(J386="",0,J386)*IF(K386="Yes",2,1))</f>
        <v>0</v>
      </c>
      <c r="R386" s="21">
        <f>IF(B386="","",IF(L386&lt;&gt;"",L386,MileageRate))</f>
        <v>0</v>
      </c>
      <c r="S386" s="21">
        <f>IF(B386="","",ROUND(Q386*R386+IF(M386="",0,M386),2))</f>
        <v>0</v>
      </c>
      <c r="T386" s="39">
        <f>IF(B386="","",IF(J386="","Add - how far?",IF(D386="","Add - who drove?",IF(N386="No","Due - not claimed yet",IF(Q386&gt;200,"Check - a long day","OK")))))</f>
        <v>0</v>
      </c>
    </row>
    <row r="387" spans="1:20">
      <c r="A387" s="43">
        <f>IF(B387="","","MIL-"&amp;TEXT(ROW()-4,"0000"))</f>
        <v>0</v>
      </c>
      <c r="C387" s="23">
        <f>IF(B387="","",TEXT(B387,"yyyy-mm"))</f>
        <v>0</v>
      </c>
      <c r="P387" s="23">
        <f>IF(I387="","",IFERROR(INDEX(Jobs!$H$5:$H$604,MATCH(I387,Jobs!$A$5:$A$604,0)),""))</f>
        <v>0</v>
      </c>
      <c r="Q387" s="34">
        <f>IF(B387="","",IF(J387="",0,J387)*IF(K387="Yes",2,1))</f>
        <v>0</v>
      </c>
      <c r="R387" s="21">
        <f>IF(B387="","",IF(L387&lt;&gt;"",L387,MileageRate))</f>
        <v>0</v>
      </c>
      <c r="S387" s="21">
        <f>IF(B387="","",ROUND(Q387*R387+IF(M387="",0,M387),2))</f>
        <v>0</v>
      </c>
      <c r="T387" s="39">
        <f>IF(B387="","",IF(J387="","Add - how far?",IF(D387="","Add - who drove?",IF(N387="No","Due - not claimed yet",IF(Q387&gt;200,"Check - a long day","OK")))))</f>
        <v>0</v>
      </c>
    </row>
    <row r="388" spans="1:20">
      <c r="A388" s="43">
        <f>IF(B388="","","MIL-"&amp;TEXT(ROW()-4,"0000"))</f>
        <v>0</v>
      </c>
      <c r="C388" s="23">
        <f>IF(B388="","",TEXT(B388,"yyyy-mm"))</f>
        <v>0</v>
      </c>
      <c r="P388" s="23">
        <f>IF(I388="","",IFERROR(INDEX(Jobs!$H$5:$H$604,MATCH(I388,Jobs!$A$5:$A$604,0)),""))</f>
        <v>0</v>
      </c>
      <c r="Q388" s="34">
        <f>IF(B388="","",IF(J388="",0,J388)*IF(K388="Yes",2,1))</f>
        <v>0</v>
      </c>
      <c r="R388" s="21">
        <f>IF(B388="","",IF(L388&lt;&gt;"",L388,MileageRate))</f>
        <v>0</v>
      </c>
      <c r="S388" s="21">
        <f>IF(B388="","",ROUND(Q388*R388+IF(M388="",0,M388),2))</f>
        <v>0</v>
      </c>
      <c r="T388" s="39">
        <f>IF(B388="","",IF(J388="","Add - how far?",IF(D388="","Add - who drove?",IF(N388="No","Due - not claimed yet",IF(Q388&gt;200,"Check - a long day","OK")))))</f>
        <v>0</v>
      </c>
    </row>
    <row r="389" spans="1:20">
      <c r="A389" s="43">
        <f>IF(B389="","","MIL-"&amp;TEXT(ROW()-4,"0000"))</f>
        <v>0</v>
      </c>
      <c r="C389" s="23">
        <f>IF(B389="","",TEXT(B389,"yyyy-mm"))</f>
        <v>0</v>
      </c>
      <c r="P389" s="23">
        <f>IF(I389="","",IFERROR(INDEX(Jobs!$H$5:$H$604,MATCH(I389,Jobs!$A$5:$A$604,0)),""))</f>
        <v>0</v>
      </c>
      <c r="Q389" s="34">
        <f>IF(B389="","",IF(J389="",0,J389)*IF(K389="Yes",2,1))</f>
        <v>0</v>
      </c>
      <c r="R389" s="21">
        <f>IF(B389="","",IF(L389&lt;&gt;"",L389,MileageRate))</f>
        <v>0</v>
      </c>
      <c r="S389" s="21">
        <f>IF(B389="","",ROUND(Q389*R389+IF(M389="",0,M389),2))</f>
        <v>0</v>
      </c>
      <c r="T389" s="39">
        <f>IF(B389="","",IF(J389="","Add - how far?",IF(D389="","Add - who drove?",IF(N389="No","Due - not claimed yet",IF(Q389&gt;200,"Check - a long day","OK")))))</f>
        <v>0</v>
      </c>
    </row>
    <row r="390" spans="1:20">
      <c r="A390" s="43">
        <f>IF(B390="","","MIL-"&amp;TEXT(ROW()-4,"0000"))</f>
        <v>0</v>
      </c>
      <c r="C390" s="23">
        <f>IF(B390="","",TEXT(B390,"yyyy-mm"))</f>
        <v>0</v>
      </c>
      <c r="P390" s="23">
        <f>IF(I390="","",IFERROR(INDEX(Jobs!$H$5:$H$604,MATCH(I390,Jobs!$A$5:$A$604,0)),""))</f>
        <v>0</v>
      </c>
      <c r="Q390" s="34">
        <f>IF(B390="","",IF(J390="",0,J390)*IF(K390="Yes",2,1))</f>
        <v>0</v>
      </c>
      <c r="R390" s="21">
        <f>IF(B390="","",IF(L390&lt;&gt;"",L390,MileageRate))</f>
        <v>0</v>
      </c>
      <c r="S390" s="21">
        <f>IF(B390="","",ROUND(Q390*R390+IF(M390="",0,M390),2))</f>
        <v>0</v>
      </c>
      <c r="T390" s="39">
        <f>IF(B390="","",IF(J390="","Add - how far?",IF(D390="","Add - who drove?",IF(N390="No","Due - not claimed yet",IF(Q390&gt;200,"Check - a long day","OK")))))</f>
        <v>0</v>
      </c>
    </row>
    <row r="391" spans="1:20">
      <c r="A391" s="43">
        <f>IF(B391="","","MIL-"&amp;TEXT(ROW()-4,"0000"))</f>
        <v>0</v>
      </c>
      <c r="C391" s="23">
        <f>IF(B391="","",TEXT(B391,"yyyy-mm"))</f>
        <v>0</v>
      </c>
      <c r="P391" s="23">
        <f>IF(I391="","",IFERROR(INDEX(Jobs!$H$5:$H$604,MATCH(I391,Jobs!$A$5:$A$604,0)),""))</f>
        <v>0</v>
      </c>
      <c r="Q391" s="34">
        <f>IF(B391="","",IF(J391="",0,J391)*IF(K391="Yes",2,1))</f>
        <v>0</v>
      </c>
      <c r="R391" s="21">
        <f>IF(B391="","",IF(L391&lt;&gt;"",L391,MileageRate))</f>
        <v>0</v>
      </c>
      <c r="S391" s="21">
        <f>IF(B391="","",ROUND(Q391*R391+IF(M391="",0,M391),2))</f>
        <v>0</v>
      </c>
      <c r="T391" s="39">
        <f>IF(B391="","",IF(J391="","Add - how far?",IF(D391="","Add - who drove?",IF(N391="No","Due - not claimed yet",IF(Q391&gt;200,"Check - a long day","OK")))))</f>
        <v>0</v>
      </c>
    </row>
    <row r="392" spans="1:20">
      <c r="A392" s="43">
        <f>IF(B392="","","MIL-"&amp;TEXT(ROW()-4,"0000"))</f>
        <v>0</v>
      </c>
      <c r="C392" s="23">
        <f>IF(B392="","",TEXT(B392,"yyyy-mm"))</f>
        <v>0</v>
      </c>
      <c r="P392" s="23">
        <f>IF(I392="","",IFERROR(INDEX(Jobs!$H$5:$H$604,MATCH(I392,Jobs!$A$5:$A$604,0)),""))</f>
        <v>0</v>
      </c>
      <c r="Q392" s="34">
        <f>IF(B392="","",IF(J392="",0,J392)*IF(K392="Yes",2,1))</f>
        <v>0</v>
      </c>
      <c r="R392" s="21">
        <f>IF(B392="","",IF(L392&lt;&gt;"",L392,MileageRate))</f>
        <v>0</v>
      </c>
      <c r="S392" s="21">
        <f>IF(B392="","",ROUND(Q392*R392+IF(M392="",0,M392),2))</f>
        <v>0</v>
      </c>
      <c r="T392" s="39">
        <f>IF(B392="","",IF(J392="","Add - how far?",IF(D392="","Add - who drove?",IF(N392="No","Due - not claimed yet",IF(Q392&gt;200,"Check - a long day","OK")))))</f>
        <v>0</v>
      </c>
    </row>
    <row r="393" spans="1:20">
      <c r="A393" s="43">
        <f>IF(B393="","","MIL-"&amp;TEXT(ROW()-4,"0000"))</f>
        <v>0</v>
      </c>
      <c r="C393" s="23">
        <f>IF(B393="","",TEXT(B393,"yyyy-mm"))</f>
        <v>0</v>
      </c>
      <c r="P393" s="23">
        <f>IF(I393="","",IFERROR(INDEX(Jobs!$H$5:$H$604,MATCH(I393,Jobs!$A$5:$A$604,0)),""))</f>
        <v>0</v>
      </c>
      <c r="Q393" s="34">
        <f>IF(B393="","",IF(J393="",0,J393)*IF(K393="Yes",2,1))</f>
        <v>0</v>
      </c>
      <c r="R393" s="21">
        <f>IF(B393="","",IF(L393&lt;&gt;"",L393,MileageRate))</f>
        <v>0</v>
      </c>
      <c r="S393" s="21">
        <f>IF(B393="","",ROUND(Q393*R393+IF(M393="",0,M393),2))</f>
        <v>0</v>
      </c>
      <c r="T393" s="39">
        <f>IF(B393="","",IF(J393="","Add - how far?",IF(D393="","Add - who drove?",IF(N393="No","Due - not claimed yet",IF(Q393&gt;200,"Check - a long day","OK")))))</f>
        <v>0</v>
      </c>
    </row>
    <row r="394" spans="1:20">
      <c r="A394" s="43">
        <f>IF(B394="","","MIL-"&amp;TEXT(ROW()-4,"0000"))</f>
        <v>0</v>
      </c>
      <c r="C394" s="23">
        <f>IF(B394="","",TEXT(B394,"yyyy-mm"))</f>
        <v>0</v>
      </c>
      <c r="P394" s="23">
        <f>IF(I394="","",IFERROR(INDEX(Jobs!$H$5:$H$604,MATCH(I394,Jobs!$A$5:$A$604,0)),""))</f>
        <v>0</v>
      </c>
      <c r="Q394" s="34">
        <f>IF(B394="","",IF(J394="",0,J394)*IF(K394="Yes",2,1))</f>
        <v>0</v>
      </c>
      <c r="R394" s="21">
        <f>IF(B394="","",IF(L394&lt;&gt;"",L394,MileageRate))</f>
        <v>0</v>
      </c>
      <c r="S394" s="21">
        <f>IF(B394="","",ROUND(Q394*R394+IF(M394="",0,M394),2))</f>
        <v>0</v>
      </c>
      <c r="T394" s="39">
        <f>IF(B394="","",IF(J394="","Add - how far?",IF(D394="","Add - who drove?",IF(N394="No","Due - not claimed yet",IF(Q394&gt;200,"Check - a long day","OK")))))</f>
        <v>0</v>
      </c>
    </row>
    <row r="395" spans="1:20">
      <c r="A395" s="43">
        <f>IF(B395="","","MIL-"&amp;TEXT(ROW()-4,"0000"))</f>
        <v>0</v>
      </c>
      <c r="C395" s="23">
        <f>IF(B395="","",TEXT(B395,"yyyy-mm"))</f>
        <v>0</v>
      </c>
      <c r="P395" s="23">
        <f>IF(I395="","",IFERROR(INDEX(Jobs!$H$5:$H$604,MATCH(I395,Jobs!$A$5:$A$604,0)),""))</f>
        <v>0</v>
      </c>
      <c r="Q395" s="34">
        <f>IF(B395="","",IF(J395="",0,J395)*IF(K395="Yes",2,1))</f>
        <v>0</v>
      </c>
      <c r="R395" s="21">
        <f>IF(B395="","",IF(L395&lt;&gt;"",L395,MileageRate))</f>
        <v>0</v>
      </c>
      <c r="S395" s="21">
        <f>IF(B395="","",ROUND(Q395*R395+IF(M395="",0,M395),2))</f>
        <v>0</v>
      </c>
      <c r="T395" s="39">
        <f>IF(B395="","",IF(J395="","Add - how far?",IF(D395="","Add - who drove?",IF(N395="No","Due - not claimed yet",IF(Q395&gt;200,"Check - a long day","OK")))))</f>
        <v>0</v>
      </c>
    </row>
    <row r="396" spans="1:20">
      <c r="A396" s="43">
        <f>IF(B396="","","MIL-"&amp;TEXT(ROW()-4,"0000"))</f>
        <v>0</v>
      </c>
      <c r="C396" s="23">
        <f>IF(B396="","",TEXT(B396,"yyyy-mm"))</f>
        <v>0</v>
      </c>
      <c r="P396" s="23">
        <f>IF(I396="","",IFERROR(INDEX(Jobs!$H$5:$H$604,MATCH(I396,Jobs!$A$5:$A$604,0)),""))</f>
        <v>0</v>
      </c>
      <c r="Q396" s="34">
        <f>IF(B396="","",IF(J396="",0,J396)*IF(K396="Yes",2,1))</f>
        <v>0</v>
      </c>
      <c r="R396" s="21">
        <f>IF(B396="","",IF(L396&lt;&gt;"",L396,MileageRate))</f>
        <v>0</v>
      </c>
      <c r="S396" s="21">
        <f>IF(B396="","",ROUND(Q396*R396+IF(M396="",0,M396),2))</f>
        <v>0</v>
      </c>
      <c r="T396" s="39">
        <f>IF(B396="","",IF(J396="","Add - how far?",IF(D396="","Add - who drove?",IF(N396="No","Due - not claimed yet",IF(Q396&gt;200,"Check - a long day","OK")))))</f>
        <v>0</v>
      </c>
    </row>
    <row r="397" spans="1:20">
      <c r="A397" s="43">
        <f>IF(B397="","","MIL-"&amp;TEXT(ROW()-4,"0000"))</f>
        <v>0</v>
      </c>
      <c r="C397" s="23">
        <f>IF(B397="","",TEXT(B397,"yyyy-mm"))</f>
        <v>0</v>
      </c>
      <c r="P397" s="23">
        <f>IF(I397="","",IFERROR(INDEX(Jobs!$H$5:$H$604,MATCH(I397,Jobs!$A$5:$A$604,0)),""))</f>
        <v>0</v>
      </c>
      <c r="Q397" s="34">
        <f>IF(B397="","",IF(J397="",0,J397)*IF(K397="Yes",2,1))</f>
        <v>0</v>
      </c>
      <c r="R397" s="21">
        <f>IF(B397="","",IF(L397&lt;&gt;"",L397,MileageRate))</f>
        <v>0</v>
      </c>
      <c r="S397" s="21">
        <f>IF(B397="","",ROUND(Q397*R397+IF(M397="",0,M397),2))</f>
        <v>0</v>
      </c>
      <c r="T397" s="39">
        <f>IF(B397="","",IF(J397="","Add - how far?",IF(D397="","Add - who drove?",IF(N397="No","Due - not claimed yet",IF(Q397&gt;200,"Check - a long day","OK")))))</f>
        <v>0</v>
      </c>
    </row>
    <row r="398" spans="1:20">
      <c r="A398" s="43">
        <f>IF(B398="","","MIL-"&amp;TEXT(ROW()-4,"0000"))</f>
        <v>0</v>
      </c>
      <c r="C398" s="23">
        <f>IF(B398="","",TEXT(B398,"yyyy-mm"))</f>
        <v>0</v>
      </c>
      <c r="P398" s="23">
        <f>IF(I398="","",IFERROR(INDEX(Jobs!$H$5:$H$604,MATCH(I398,Jobs!$A$5:$A$604,0)),""))</f>
        <v>0</v>
      </c>
      <c r="Q398" s="34">
        <f>IF(B398="","",IF(J398="",0,J398)*IF(K398="Yes",2,1))</f>
        <v>0</v>
      </c>
      <c r="R398" s="21">
        <f>IF(B398="","",IF(L398&lt;&gt;"",L398,MileageRate))</f>
        <v>0</v>
      </c>
      <c r="S398" s="21">
        <f>IF(B398="","",ROUND(Q398*R398+IF(M398="",0,M398),2))</f>
        <v>0</v>
      </c>
      <c r="T398" s="39">
        <f>IF(B398="","",IF(J398="","Add - how far?",IF(D398="","Add - who drove?",IF(N398="No","Due - not claimed yet",IF(Q398&gt;200,"Check - a long day","OK")))))</f>
        <v>0</v>
      </c>
    </row>
    <row r="399" spans="1:20">
      <c r="A399" s="43">
        <f>IF(B399="","","MIL-"&amp;TEXT(ROW()-4,"0000"))</f>
        <v>0</v>
      </c>
      <c r="C399" s="23">
        <f>IF(B399="","",TEXT(B399,"yyyy-mm"))</f>
        <v>0</v>
      </c>
      <c r="P399" s="23">
        <f>IF(I399="","",IFERROR(INDEX(Jobs!$H$5:$H$604,MATCH(I399,Jobs!$A$5:$A$604,0)),""))</f>
        <v>0</v>
      </c>
      <c r="Q399" s="34">
        <f>IF(B399="","",IF(J399="",0,J399)*IF(K399="Yes",2,1))</f>
        <v>0</v>
      </c>
      <c r="R399" s="21">
        <f>IF(B399="","",IF(L399&lt;&gt;"",L399,MileageRate))</f>
        <v>0</v>
      </c>
      <c r="S399" s="21">
        <f>IF(B399="","",ROUND(Q399*R399+IF(M399="",0,M399),2))</f>
        <v>0</v>
      </c>
      <c r="T399" s="39">
        <f>IF(B399="","",IF(J399="","Add - how far?",IF(D399="","Add - who drove?",IF(N399="No","Due - not claimed yet",IF(Q399&gt;200,"Check - a long day","OK")))))</f>
        <v>0</v>
      </c>
    </row>
    <row r="400" spans="1:20">
      <c r="A400" s="43">
        <f>IF(B400="","","MIL-"&amp;TEXT(ROW()-4,"0000"))</f>
        <v>0</v>
      </c>
      <c r="C400" s="23">
        <f>IF(B400="","",TEXT(B400,"yyyy-mm"))</f>
        <v>0</v>
      </c>
      <c r="P400" s="23">
        <f>IF(I400="","",IFERROR(INDEX(Jobs!$H$5:$H$604,MATCH(I400,Jobs!$A$5:$A$604,0)),""))</f>
        <v>0</v>
      </c>
      <c r="Q400" s="34">
        <f>IF(B400="","",IF(J400="",0,J400)*IF(K400="Yes",2,1))</f>
        <v>0</v>
      </c>
      <c r="R400" s="21">
        <f>IF(B400="","",IF(L400&lt;&gt;"",L400,MileageRate))</f>
        <v>0</v>
      </c>
      <c r="S400" s="21">
        <f>IF(B400="","",ROUND(Q400*R400+IF(M400="",0,M400),2))</f>
        <v>0</v>
      </c>
      <c r="T400" s="39">
        <f>IF(B400="","",IF(J400="","Add - how far?",IF(D400="","Add - who drove?",IF(N400="No","Due - not claimed yet",IF(Q400&gt;200,"Check - a long day","OK")))))</f>
        <v>0</v>
      </c>
    </row>
    <row r="401" spans="1:20">
      <c r="A401" s="43">
        <f>IF(B401="","","MIL-"&amp;TEXT(ROW()-4,"0000"))</f>
        <v>0</v>
      </c>
      <c r="C401" s="23">
        <f>IF(B401="","",TEXT(B401,"yyyy-mm"))</f>
        <v>0</v>
      </c>
      <c r="P401" s="23">
        <f>IF(I401="","",IFERROR(INDEX(Jobs!$H$5:$H$604,MATCH(I401,Jobs!$A$5:$A$604,0)),""))</f>
        <v>0</v>
      </c>
      <c r="Q401" s="34">
        <f>IF(B401="","",IF(J401="",0,J401)*IF(K401="Yes",2,1))</f>
        <v>0</v>
      </c>
      <c r="R401" s="21">
        <f>IF(B401="","",IF(L401&lt;&gt;"",L401,MileageRate))</f>
        <v>0</v>
      </c>
      <c r="S401" s="21">
        <f>IF(B401="","",ROUND(Q401*R401+IF(M401="",0,M401),2))</f>
        <v>0</v>
      </c>
      <c r="T401" s="39">
        <f>IF(B401="","",IF(J401="","Add - how far?",IF(D401="","Add - who drove?",IF(N401="No","Due - not claimed yet",IF(Q401&gt;200,"Check - a long day","OK")))))</f>
        <v>0</v>
      </c>
    </row>
    <row r="402" spans="1:20">
      <c r="A402" s="43">
        <f>IF(B402="","","MIL-"&amp;TEXT(ROW()-4,"0000"))</f>
        <v>0</v>
      </c>
      <c r="C402" s="23">
        <f>IF(B402="","",TEXT(B402,"yyyy-mm"))</f>
        <v>0</v>
      </c>
      <c r="P402" s="23">
        <f>IF(I402="","",IFERROR(INDEX(Jobs!$H$5:$H$604,MATCH(I402,Jobs!$A$5:$A$604,0)),""))</f>
        <v>0</v>
      </c>
      <c r="Q402" s="34">
        <f>IF(B402="","",IF(J402="",0,J402)*IF(K402="Yes",2,1))</f>
        <v>0</v>
      </c>
      <c r="R402" s="21">
        <f>IF(B402="","",IF(L402&lt;&gt;"",L402,MileageRate))</f>
        <v>0</v>
      </c>
      <c r="S402" s="21">
        <f>IF(B402="","",ROUND(Q402*R402+IF(M402="",0,M402),2))</f>
        <v>0</v>
      </c>
      <c r="T402" s="39">
        <f>IF(B402="","",IF(J402="","Add - how far?",IF(D402="","Add - who drove?",IF(N402="No","Due - not claimed yet",IF(Q402&gt;200,"Check - a long day","OK")))))</f>
        <v>0</v>
      </c>
    </row>
    <row r="403" spans="1:20">
      <c r="A403" s="43">
        <f>IF(B403="","","MIL-"&amp;TEXT(ROW()-4,"0000"))</f>
        <v>0</v>
      </c>
      <c r="C403" s="23">
        <f>IF(B403="","",TEXT(B403,"yyyy-mm"))</f>
        <v>0</v>
      </c>
      <c r="P403" s="23">
        <f>IF(I403="","",IFERROR(INDEX(Jobs!$H$5:$H$604,MATCH(I403,Jobs!$A$5:$A$604,0)),""))</f>
        <v>0</v>
      </c>
      <c r="Q403" s="34">
        <f>IF(B403="","",IF(J403="",0,J403)*IF(K403="Yes",2,1))</f>
        <v>0</v>
      </c>
      <c r="R403" s="21">
        <f>IF(B403="","",IF(L403&lt;&gt;"",L403,MileageRate))</f>
        <v>0</v>
      </c>
      <c r="S403" s="21">
        <f>IF(B403="","",ROUND(Q403*R403+IF(M403="",0,M403),2))</f>
        <v>0</v>
      </c>
      <c r="T403" s="39">
        <f>IF(B403="","",IF(J403="","Add - how far?",IF(D403="","Add - who drove?",IF(N403="No","Due - not claimed yet",IF(Q403&gt;200,"Check - a long day","OK")))))</f>
        <v>0</v>
      </c>
    </row>
    <row r="404" spans="1:20">
      <c r="A404" s="43">
        <f>IF(B404="","","MIL-"&amp;TEXT(ROW()-4,"0000"))</f>
        <v>0</v>
      </c>
      <c r="C404" s="23">
        <f>IF(B404="","",TEXT(B404,"yyyy-mm"))</f>
        <v>0</v>
      </c>
      <c r="P404" s="23">
        <f>IF(I404="","",IFERROR(INDEX(Jobs!$H$5:$H$604,MATCH(I404,Jobs!$A$5:$A$604,0)),""))</f>
        <v>0</v>
      </c>
      <c r="Q404" s="34">
        <f>IF(B404="","",IF(J404="",0,J404)*IF(K404="Yes",2,1))</f>
        <v>0</v>
      </c>
      <c r="R404" s="21">
        <f>IF(B404="","",IF(L404&lt;&gt;"",L404,MileageRate))</f>
        <v>0</v>
      </c>
      <c r="S404" s="21">
        <f>IF(B404="","",ROUND(Q404*R404+IF(M404="",0,M404),2))</f>
        <v>0</v>
      </c>
      <c r="T404" s="39">
        <f>IF(B404="","",IF(J404="","Add - how far?",IF(D404="","Add - who drove?",IF(N404="No","Due - not claimed yet",IF(Q404&gt;200,"Check - a long day","OK")))))</f>
        <v>0</v>
      </c>
    </row>
  </sheetData>
  <sheetProtection password="EC7C" sheet="1" objects="1" scenarios="1" formatCells="0" formatColumns="0" formatRows="0" insertRows="0" insertHyperlinks="0" deleteRows="0" autoFilter="0"/>
  <autoFilter ref="A4:T404"/>
  <mergeCells count="13">
    <mergeCell ref="A1:Q1"/>
    <mergeCell ref="R1:T1"/>
    <mergeCell ref="A2:T2"/>
    <mergeCell ref="A3:B3"/>
    <mergeCell ref="C3:D3"/>
    <mergeCell ref="E3:F3"/>
    <mergeCell ref="G3:H3"/>
    <mergeCell ref="I3:J3"/>
    <mergeCell ref="K3:L3"/>
    <mergeCell ref="M3:N3"/>
    <mergeCell ref="O3:P3"/>
    <mergeCell ref="Q3:R3"/>
    <mergeCell ref="S3:T3"/>
  </mergeCells>
  <conditionalFormatting sqref="K5:K404">
    <cfRule type="containsText" dxfId="0" priority="1" operator="containsText" text="No">
      <formula>NOT(ISERROR(SEARCH("No",K5)))</formula>
    </cfRule>
    <cfRule type="containsText" dxfId="1" priority="2" operator="containsText" text="Yes">
      <formula>NOT(ISERROR(SEARCH("Yes",K5)))</formula>
    </cfRule>
  </conditionalFormatting>
  <conditionalFormatting sqref="N5:N404">
    <cfRule type="containsText" dxfId="0" priority="3" operator="containsText" text="No">
      <formula>NOT(ISERROR(SEARCH("No",N5)))</formula>
    </cfRule>
    <cfRule type="containsText" dxfId="1" priority="4" operator="containsText" text="Yes">
      <formula>NOT(ISERROR(SEARCH("Yes",N5)))</formula>
    </cfRule>
  </conditionalFormatting>
  <conditionalFormatting sqref="Q5:Q404">
    <cfRule type="dataBar" priority="5">
      <dataBar>
        <cfvo type="min" val="0"/>
        <cfvo type="max" val="0"/>
        <color rgb="FF2F8F9D"/>
      </dataBar>
    </cfRule>
  </conditionalFormatting>
  <conditionalFormatting sqref="T5:T404">
    <cfRule type="beginsWith" dxfId="1" priority="6" operator="beginsWith" text="OK">
      <formula>LEFT(T5,2)="OK"</formula>
    </cfRule>
    <cfRule type="containsText" dxfId="2" priority="7" operator="containsText" text="Overdue">
      <formula>NOT(ISERROR(SEARCH("Overdue",T5)))</formula>
    </cfRule>
    <cfRule type="containsText" dxfId="2" priority="8" operator="containsText" text="Late">
      <formula>NOT(ISERROR(SEARCH("Late",T5)))</formula>
    </cfRule>
    <cfRule type="containsText" dxfId="2" priority="9" operator="containsText" text="Missing">
      <formula>NOT(ISERROR(SEARCH("Missing",T5)))</formula>
    </cfRule>
    <cfRule type="containsText" dxfId="2" priority="10" operator="containsText" text="Conflict">
      <formula>NOT(ISERROR(SEARCH("Conflict",T5)))</formula>
    </cfRule>
    <cfRule type="containsText" dxfId="2" priority="11" operator="containsText" text="Clash">
      <formula>NOT(ISERROR(SEARCH("Clash",T5)))</formula>
    </cfRule>
    <cfRule type="containsText" dxfId="2" priority="12" operator="containsText" text="Expired">
      <formula>NOT(ISERROR(SEARCH("Expired",T5)))</formula>
    </cfRule>
    <cfRule type="containsText" dxfId="2" priority="13" operator="containsText" text="Duplicate">
      <formula>NOT(ISERROR(SEARCH("Duplicate",T5)))</formula>
    </cfRule>
    <cfRule type="containsText" dxfId="2" priority="14" operator="containsText" text="Unpaid">
      <formula>NOT(ISERROR(SEARCH("Unpaid",T5)))</formula>
    </cfRule>
    <cfRule type="containsText" dxfId="2" priority="15" operator="containsText" text="Loss">
      <formula>NOT(ISERROR(SEARCH("Loss",T5)))</formula>
    </cfRule>
    <cfRule type="containsText" dxfId="2" priority="16" operator="containsText" text="Below">
      <formula>NOT(ISERROR(SEARCH("Below",T5)))</formula>
    </cfRule>
    <cfRule type="containsText" dxfId="0" priority="17" operator="containsText" text="Action">
      <formula>NOT(ISERROR(SEARCH("Action",T5)))</formula>
    </cfRule>
    <cfRule type="containsText" dxfId="0" priority="18" operator="containsText" text="Due">
      <formula>NOT(ISERROR(SEARCH("Due",T5)))</formula>
    </cfRule>
    <cfRule type="containsText" dxfId="0" priority="19" operator="containsText" text="Check">
      <formula>NOT(ISERROR(SEARCH("Check",T5)))</formula>
    </cfRule>
    <cfRule type="containsText" dxfId="0" priority="20" operator="containsText" text="Chase">
      <formula>NOT(ISERROR(SEARCH("Chase",T5)))</formula>
    </cfRule>
    <cfRule type="containsText" dxfId="0" priority="21" operator="containsText" text="Assign">
      <formula>NOT(ISERROR(SEARCH("Assign",T5)))</formula>
    </cfRule>
    <cfRule type="containsText" dxfId="0" priority="22" operator="containsText" text="Confirm">
      <formula>NOT(ISERROR(SEARCH("Confirm",T5)))</formula>
    </cfRule>
    <cfRule type="containsText" dxfId="0" priority="23" operator="containsText" text="Order">
      <formula>NOT(ISERROR(SEARCH("Order",T5)))</formula>
    </cfRule>
    <cfRule type="containsText" dxfId="3" priority="24" operator="containsText" text="Today">
      <formula>NOT(ISERROR(SEARCH("Today",T5)))</formula>
    </cfRule>
    <cfRule type="containsText" dxfId="3" priority="25" operator="containsText" text="Upcoming">
      <formula>NOT(ISERROR(SEARCH("Upcoming",T5)))</formula>
    </cfRule>
    <cfRule type="containsText" dxfId="3" priority="26" operator="containsText" text="Tomorrow">
      <formula>NOT(ISERROR(SEARCH("Tomorrow",T5)))</formula>
    </cfRule>
  </conditionalFormatting>
  <dataValidations count="10">
    <dataValidation type="date" allowBlank="1" showInputMessage="1" showErrorMessage="1" errorTitle="Check the date" error="Enter a real date between 2000 and 2100." sqref="B5:B404">
      <formula1>36526</formula1>
      <formula2>73415</formula2>
    </dataValidation>
    <dataValidation type="list" allowBlank="1" showInputMessage="1" showErrorMessage="1" sqref="D5:D404">
      <formula1>EmployeeNames</formula1>
    </dataValidation>
    <dataValidation type="list" allowBlank="1" showInputMessage="1" showErrorMessage="1" sqref="E5:E404">
      <formula1>VehicleList</formula1>
    </dataValidation>
    <dataValidation type="list" allowBlank="1" showInputMessage="1" showErrorMessage="1" sqref="F5:F404">
      <formula1>MileagePurposeList</formula1>
    </dataValidation>
    <dataValidation type="list" allowBlank="1" showInputMessage="1" showErrorMessage="1" promptTitle="Job ID" prompt="Link it to a job and the travel cost lands on that job's profit." sqref="I5:I404">
      <formula1>JobIDs</formula1>
    </dataValidation>
    <dataValidation type="decimal" allowBlank="1" showInputMessage="1" showErrorMessage="1" errorTitle="Check the value" error="Enter a number between 0 and 10000." sqref="J5:J404">
      <formula1>0</formula1>
      <formula2>10000</formula2>
    </dataValidation>
    <dataValidation type="list" allowBlank="1" showInputMessage="1" showErrorMessage="1" promptTitle="Return trip?" prompt="Yes doubles the distance. Most job trips are returns." sqref="K5:K404">
      <formula1>YesNoList</formula1>
    </dataValidation>
    <dataValidation type="decimal" allowBlank="1" showInputMessage="1" showErrorMessage="1" errorTitle="Check the value" error="Enter a number between 0 and 100." promptTitle="Rate (override)" prompt="Blank uses the rate per mile from the Settings tab." sqref="L5:L404">
      <formula1>0</formula1>
      <formula2>100</formula2>
    </dataValidation>
    <dataValidation type="decimal" allowBlank="1" showInputMessage="1" showErrorMessage="1" errorTitle="Check the value" error="Enter a number between 0 and 10000." sqref="M5:M404">
      <formula1>0</formula1>
      <formula2>10000</formula2>
    </dataValidation>
    <dataValidation type="list" allowBlank="1" showInputMessage="1" showErrorMessage="1" sqref="N5:N404">
      <formula1>YesNoList</formula1>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&amp;L&amp;"Calibri,Bold"&amp;12&amp;C&amp;"Calibri,Bold"&amp;11Mileage&amp;R&amp;"Calibri,Italic"&amp;9Cleaning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27.xml><?xml version="1.0" encoding="utf-8"?>
<worksheet xmlns="http://schemas.openxmlformats.org/spreadsheetml/2006/main" xmlns:r="http://schemas.openxmlformats.org/officeDocument/2006/relationships">
  <sheetPr>
    <tabColor rgb="FFE8A33D"/>
    <pageSetUpPr fitToPage="1"/>
  </sheetPr>
  <dimension ref="A1:L57"/>
  <sheetViews>
    <sheetView showGridLines="0" workbookViewId="0">
      <pane ySplit="4" topLeftCell="A5" activePane="bottomLeft" state="frozen"/>
      <selection pane="bottomLeft"/>
    </sheetView>
  </sheetViews>
  <sheetFormatPr defaultRowHeight="15"/>
  <cols>
    <col min="1" max="1" width="24.7109375" customWidth="1"/>
    <col min="2" max="2" width="13.7109375" customWidth="1"/>
    <col min="3" max="3" width="13.7109375" customWidth="1"/>
    <col min="4" max="4" width="13.7109375" customWidth="1"/>
    <col min="5" max="5" width="13.7109375" customWidth="1"/>
    <col min="6" max="6" width="13.7109375" customWidth="1"/>
    <col min="7" max="7" width="13.7109375" customWidth="1"/>
    <col min="8" max="8" width="13.7109375" customWidth="1"/>
    <col min="9" max="9" width="13.7109375" customWidth="1"/>
    <col min="10" max="10" width="13.7109375" customWidth="1"/>
    <col min="11" max="11" width="13.7109375" customWidth="1"/>
    <col min="12" max="12" width="13.7109375" customWidth="1"/>
    <col min="1" max="1" width="22.7109375" customWidth="1"/>
    <col min="2" max="2" width="11.7109375" customWidth="1"/>
    <col min="3" max="3" width="15.7109375" customWidth="1"/>
    <col min="4" max="4" width="15.7109375" customWidth="1"/>
    <col min="5" max="5" width="13.7109375" customWidth="1"/>
    <col min="1" max="1" width="22.7109375" customWidth="1"/>
    <col min="2" max="2" width="15.7109375" customWidth="1"/>
    <col min="3" max="3" width="12.7109375" customWidth="1"/>
    <col min="4" max="4" width="12.7109375" customWidth="1"/>
    <col min="5" max="5" width="8.7109375" customWidth="1"/>
    <col min="6" max="6" width="12.7109375" customWidth="1"/>
    <col min="7" max="7" width="13.7109375" customWidth="1"/>
    <col min="8" max="8" width="10.7109375" customWidth="1"/>
    <col min="9" max="9" width="30.7109375" customWidth="1"/>
    <col min="1" max="1" width="22.7109375" customWidth="1"/>
    <col min="2" max="2" width="15.7109375" customWidth="1"/>
    <col min="3" max="3" width="14.7109375" customWidth="1"/>
    <col min="4" max="4" width="13.7109375" customWidth="1"/>
    <col min="5" max="5" width="13.7109375" customWidth="1"/>
    <col min="6" max="6" width="10.7109375" customWidth="1"/>
    <col min="7" max="7" width="10.7109375" customWidth="1"/>
    <col min="8" max="8" width="11.7109375" customWidth="1"/>
    <col min="9" max="9" width="12.7109375" customWidth="1"/>
    <col min="1" max="1" width="28.7109375" customWidth="1"/>
    <col min="2" max="2" width="12.7109375" customWidth="1"/>
    <col min="3" max="3" width="60.7109375" customWidth="1"/>
  </cols>
  <sheetData>
    <row r="1" spans="1:12" ht="34" customHeight="1">
      <c r="A1" s="2" t="s">
        <v>1943</v>
      </c>
      <c r="B1" s="2"/>
      <c r="C1" s="2"/>
      <c r="D1" s="2"/>
      <c r="E1" s="2"/>
      <c r="F1" s="2"/>
      <c r="G1" s="2"/>
      <c r="H1" s="2"/>
      <c r="I1" s="2"/>
      <c r="J1" s="3" t="s">
        <v>1</v>
      </c>
      <c r="K1" s="3"/>
      <c r="L1" s="3"/>
    </row>
    <row r="2" spans="1:12" ht="18" customHeight="1">
      <c r="A2" s="4" t="s">
        <v>1944</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338</v>
      </c>
      <c r="L3" s="5"/>
    </row>
    <row r="5" spans="1:12" ht="26" customHeight="1">
      <c r="A5" s="6" t="s">
        <v>1945</v>
      </c>
      <c r="B5" s="6"/>
      <c r="C5" s="6"/>
      <c r="D5" s="6"/>
      <c r="E5" s="6"/>
      <c r="F5" s="6"/>
      <c r="G5" s="6"/>
      <c r="H5" s="6"/>
      <c r="I5" s="6"/>
      <c r="J5" s="6"/>
      <c r="K5" s="6"/>
      <c r="L5" s="6"/>
    </row>
    <row r="7" spans="1:12">
      <c r="A7" s="13" t="s">
        <v>364</v>
      </c>
      <c r="B7" s="13"/>
      <c r="C7" s="13"/>
      <c r="D7" s="13" t="s">
        <v>1947</v>
      </c>
      <c r="E7" s="13"/>
      <c r="F7" s="13"/>
      <c r="G7" s="13" t="s">
        <v>1949</v>
      </c>
      <c r="H7" s="13"/>
      <c r="I7" s="13"/>
      <c r="J7" s="13" t="s">
        <v>1951</v>
      </c>
      <c r="K7" s="13"/>
      <c r="L7" s="13"/>
    </row>
    <row r="8" spans="1:12" ht="26" customHeight="1">
      <c r="A8" s="29">
        <f>COUNTIF(Clients!$H$5:$H$204,"Active")+COUNTIF(Clients!$H$5:$H$204,"Regular")</f>
        <v>0</v>
      </c>
      <c r="B8" s="29"/>
      <c r="C8" s="29"/>
      <c r="D8" s="29">
        <f>COUNTIFS(Clients!$K$5:$K$204,"&lt;&gt;One-off",Clients!$K$5:$K$204,"&lt;&gt;",Clients!$AC$5:$AC$204,"&lt;&gt;")</f>
        <v>0</v>
      </c>
      <c r="E8" s="29"/>
      <c r="F8" s="29"/>
      <c r="G8" s="25">
        <f>SUMIFS(Clients!$AJ$5:$AJ$204,Clients!$K$5:$K$204,"&lt;&gt;One-off",Clients!$K$5:$K$204,"&lt;&gt;")</f>
        <v>0</v>
      </c>
      <c r="H8" s="25"/>
      <c r="I8" s="25"/>
      <c r="J8" s="25">
        <f>IFERROR(AVERAGEIFS(Clients!$AJ$5:$AJ$204,Clients!$AJ$5:$AJ$204,"&gt;0"),"")</f>
        <v>0</v>
      </c>
      <c r="K8" s="25"/>
      <c r="L8" s="25"/>
    </row>
    <row r="9" spans="1:12">
      <c r="A9" s="26" t="s">
        <v>1946</v>
      </c>
      <c r="B9" s="26"/>
      <c r="C9" s="26"/>
      <c r="D9" s="26" t="s">
        <v>1948</v>
      </c>
      <c r="E9" s="26"/>
      <c r="F9" s="26"/>
      <c r="G9" s="26" t="s">
        <v>1950</v>
      </c>
      <c r="H9" s="26"/>
      <c r="I9" s="26"/>
      <c r="J9" s="26" t="s">
        <v>1952</v>
      </c>
      <c r="K9" s="26"/>
      <c r="L9" s="26"/>
    </row>
    <row r="11" spans="1:12">
      <c r="A11" s="13" t="s">
        <v>1953</v>
      </c>
      <c r="B11" s="13"/>
      <c r="C11" s="13"/>
      <c r="D11" s="13" t="s">
        <v>1955</v>
      </c>
      <c r="E11" s="13"/>
      <c r="F11" s="13"/>
      <c r="G11" s="13" t="s">
        <v>1957</v>
      </c>
      <c r="H11" s="13"/>
      <c r="I11" s="13"/>
      <c r="J11" s="13" t="s">
        <v>1959</v>
      </c>
      <c r="K11" s="13"/>
      <c r="L11" s="13"/>
    </row>
    <row r="12" spans="1:12" ht="26" customHeight="1">
      <c r="A12" s="29">
        <f>COUNTIF(Clients!$AP$5:$AP$204,"At risk")</f>
        <v>0</v>
      </c>
      <c r="B12" s="29"/>
      <c r="C12" s="29"/>
      <c r="D12" s="29">
        <f>COUNTIF(Clients!$AP$5:$AP$204,"Slipping")</f>
        <v>0</v>
      </c>
      <c r="E12" s="29"/>
      <c r="F12" s="29"/>
      <c r="G12" s="29">
        <f>COUNTIF(Clients!$AP$5:$AP$204,"Dormant")+COUNTIF(Clients!$AP$5:$AP$204,"Lost")</f>
        <v>0</v>
      </c>
      <c r="H12" s="29"/>
      <c r="I12" s="29"/>
      <c r="J12" s="27">
        <f>IFERROR((COUNTIF(Clients!$H$5:$H$204,"Active")+COUNTIF(Clients!$H$5:$H$204,"Regular"))/(COUNTIF(Clients!$H$5:$H$204,"Active")+COUNTIF(Clients!$H$5:$H$204,"Regular")+COUNTIF(Clients!$AP$5:$AP$204,"Dormant")+COUNTIF(Clients!$AP$5:$AP$204,"Lost")),"")</f>
        <v>0</v>
      </c>
      <c r="K12" s="27"/>
      <c r="L12" s="27"/>
    </row>
    <row r="13" spans="1:12">
      <c r="A13" s="26" t="s">
        <v>1954</v>
      </c>
      <c r="B13" s="26"/>
      <c r="C13" s="26"/>
      <c r="D13" s="26" t="s">
        <v>1956</v>
      </c>
      <c r="E13" s="26"/>
      <c r="F13" s="26"/>
      <c r="G13" s="26" t="s">
        <v>1958</v>
      </c>
      <c r="H13" s="26"/>
      <c r="I13" s="26"/>
      <c r="J13" s="26" t="s">
        <v>1960</v>
      </c>
      <c r="K13" s="26"/>
      <c r="L13" s="26"/>
    </row>
    <row r="15" spans="1:12" ht="20" customHeight="1">
      <c r="A15" s="7" t="s">
        <v>1961</v>
      </c>
      <c r="B15" s="7"/>
      <c r="C15" s="7"/>
      <c r="D15" s="7"/>
      <c r="E15" s="7"/>
      <c r="F15" s="7"/>
      <c r="G15" s="7"/>
      <c r="H15" s="7"/>
      <c r="I15" s="7"/>
      <c r="J15" s="7"/>
      <c r="K15" s="7"/>
      <c r="L15" s="7"/>
    </row>
    <row r="16" spans="1:12" ht="26" customHeight="1">
      <c r="A16" s="8" t="s">
        <v>532</v>
      </c>
      <c r="B16" s="9" t="s">
        <v>1962</v>
      </c>
      <c r="C16" s="9" t="s">
        <v>536</v>
      </c>
      <c r="D16" s="9" t="s">
        <v>1963</v>
      </c>
      <c r="E16" s="9" t="s">
        <v>397</v>
      </c>
    </row>
    <row r="17" spans="1:12">
      <c r="A17" s="23">
        <f>IFERROR(INDEX(FreqNames,1),"")</f>
        <v>0</v>
      </c>
      <c r="B17" s="31">
        <f>IF($A$17="","",COUNTIFS(Clients!$K$5:$K$204,$A$17))</f>
        <v>0</v>
      </c>
      <c r="C17" s="36">
        <f>IF($A$17="","",SUMIFS(Clients!$AJ$5:$AJ$204,Clients!$K$5:$K$204,$A$17))</f>
        <v>0</v>
      </c>
      <c r="D17" s="38">
        <f>IF($A$17="","",IFERROR(C17/SUM(Clients!$AJ$5:$AJ$204),""))</f>
        <v>0</v>
      </c>
      <c r="E17" s="31">
        <f>IF($A$17="","",COUNTIFS(Jobs!$O$5:$O$604,$A$17))</f>
        <v>0</v>
      </c>
    </row>
    <row r="18" spans="1:12">
      <c r="A18" s="23">
        <f>IFERROR(INDEX(FreqNames,2),"")</f>
        <v>0</v>
      </c>
      <c r="B18" s="31">
        <f>IF($A$18="","",COUNTIFS(Clients!$K$5:$K$204,$A$18))</f>
        <v>0</v>
      </c>
      <c r="C18" s="36">
        <f>IF($A$18="","",SUMIFS(Clients!$AJ$5:$AJ$204,Clients!$K$5:$K$204,$A$18))</f>
        <v>0</v>
      </c>
      <c r="D18" s="38">
        <f>IF($A$18="","",IFERROR(C18/SUM(Clients!$AJ$5:$AJ$204),""))</f>
        <v>0</v>
      </c>
      <c r="E18" s="31">
        <f>IF($A$18="","",COUNTIFS(Jobs!$O$5:$O$604,$A$18))</f>
        <v>0</v>
      </c>
    </row>
    <row r="19" spans="1:12">
      <c r="A19" s="23">
        <f>IFERROR(INDEX(FreqNames,3),"")</f>
        <v>0</v>
      </c>
      <c r="B19" s="31">
        <f>IF($A$19="","",COUNTIFS(Clients!$K$5:$K$204,$A$19))</f>
        <v>0</v>
      </c>
      <c r="C19" s="36">
        <f>IF($A$19="","",SUMIFS(Clients!$AJ$5:$AJ$204,Clients!$K$5:$K$204,$A$19))</f>
        <v>0</v>
      </c>
      <c r="D19" s="38">
        <f>IF($A$19="","",IFERROR(C19/SUM(Clients!$AJ$5:$AJ$204),""))</f>
        <v>0</v>
      </c>
      <c r="E19" s="31">
        <f>IF($A$19="","",COUNTIFS(Jobs!$O$5:$O$604,$A$19))</f>
        <v>0</v>
      </c>
    </row>
    <row r="20" spans="1:12">
      <c r="A20" s="23">
        <f>IFERROR(INDEX(FreqNames,4),"")</f>
        <v>0</v>
      </c>
      <c r="B20" s="31">
        <f>IF($A$20="","",COUNTIFS(Clients!$K$5:$K$204,$A$20))</f>
        <v>0</v>
      </c>
      <c r="C20" s="36">
        <f>IF($A$20="","",SUMIFS(Clients!$AJ$5:$AJ$204,Clients!$K$5:$K$204,$A$20))</f>
        <v>0</v>
      </c>
      <c r="D20" s="38">
        <f>IF($A$20="","",IFERROR(C20/SUM(Clients!$AJ$5:$AJ$204),""))</f>
        <v>0</v>
      </c>
      <c r="E20" s="31">
        <f>IF($A$20="","",COUNTIFS(Jobs!$O$5:$O$604,$A$20))</f>
        <v>0</v>
      </c>
    </row>
    <row r="21" spans="1:12">
      <c r="A21" s="23">
        <f>IFERROR(INDEX(FreqNames,5),"")</f>
        <v>0</v>
      </c>
      <c r="B21" s="31">
        <f>IF($A$21="","",COUNTIFS(Clients!$K$5:$K$204,$A$21))</f>
        <v>0</v>
      </c>
      <c r="C21" s="36">
        <f>IF($A$21="","",SUMIFS(Clients!$AJ$5:$AJ$204,Clients!$K$5:$K$204,$A$21))</f>
        <v>0</v>
      </c>
      <c r="D21" s="38">
        <f>IF($A$21="","",IFERROR(C21/SUM(Clients!$AJ$5:$AJ$204),""))</f>
        <v>0</v>
      </c>
      <c r="E21" s="31">
        <f>IF($A$21="","",COUNTIFS(Jobs!$O$5:$O$604,$A$21))</f>
        <v>0</v>
      </c>
    </row>
    <row r="22" spans="1:12">
      <c r="A22" s="23">
        <f>IFERROR(INDEX(FreqNames,6),"")</f>
        <v>0</v>
      </c>
      <c r="B22" s="31">
        <f>IF($A$22="","",COUNTIFS(Clients!$K$5:$K$204,$A$22))</f>
        <v>0</v>
      </c>
      <c r="C22" s="36">
        <f>IF($A$22="","",SUMIFS(Clients!$AJ$5:$AJ$204,Clients!$K$5:$K$204,$A$22))</f>
        <v>0</v>
      </c>
      <c r="D22" s="38">
        <f>IF($A$22="","",IFERROR(C22/SUM(Clients!$AJ$5:$AJ$204),""))</f>
        <v>0</v>
      </c>
      <c r="E22" s="31">
        <f>IF($A$22="","",COUNTIFS(Jobs!$O$5:$O$604,$A$22))</f>
        <v>0</v>
      </c>
    </row>
    <row r="23" spans="1:12">
      <c r="A23" s="23">
        <f>IFERROR(INDEX(FreqNames,7),"")</f>
        <v>0</v>
      </c>
      <c r="B23" s="31">
        <f>IF($A$23="","",COUNTIFS(Clients!$K$5:$K$204,$A$23))</f>
        <v>0</v>
      </c>
      <c r="C23" s="36">
        <f>IF($A$23="","",SUMIFS(Clients!$AJ$5:$AJ$204,Clients!$K$5:$K$204,$A$23))</f>
        <v>0</v>
      </c>
      <c r="D23" s="38">
        <f>IF($A$23="","",IFERROR(C23/SUM(Clients!$AJ$5:$AJ$204),""))</f>
        <v>0</v>
      </c>
      <c r="E23" s="31">
        <f>IF($A$23="","",COUNTIFS(Jobs!$O$5:$O$604,$A$23))</f>
        <v>0</v>
      </c>
    </row>
    <row r="25" spans="1:12">
      <c r="A25" s="12" t="s">
        <v>1964</v>
      </c>
      <c r="B25" s="12"/>
      <c r="C25" s="12"/>
      <c r="D25" s="12"/>
      <c r="E25" s="12"/>
      <c r="F25" s="12"/>
      <c r="G25" s="12"/>
      <c r="H25" s="12"/>
      <c r="I25" s="12"/>
      <c r="J25" s="12"/>
      <c r="K25" s="12"/>
      <c r="L25" s="12"/>
    </row>
    <row r="27" spans="1:12" ht="20" customHeight="1">
      <c r="A27" s="7" t="s">
        <v>1965</v>
      </c>
      <c r="B27" s="7"/>
      <c r="C27" s="7"/>
      <c r="D27" s="7"/>
      <c r="E27" s="7"/>
      <c r="F27" s="7"/>
      <c r="G27" s="7"/>
      <c r="H27" s="7"/>
      <c r="I27" s="7"/>
      <c r="J27" s="7"/>
      <c r="K27" s="7"/>
      <c r="L27" s="7"/>
    </row>
    <row r="28" spans="1:12" ht="26" customHeight="1">
      <c r="A28" s="8" t="s">
        <v>403</v>
      </c>
      <c r="B28" s="9" t="s">
        <v>181</v>
      </c>
      <c r="C28" s="9" t="s">
        <v>411</v>
      </c>
      <c r="D28" s="9" t="s">
        <v>410</v>
      </c>
      <c r="E28" s="9" t="s">
        <v>1966</v>
      </c>
      <c r="F28" s="9" t="s">
        <v>1967</v>
      </c>
      <c r="G28" s="9" t="s">
        <v>409</v>
      </c>
      <c r="H28" s="9" t="s">
        <v>405</v>
      </c>
      <c r="I28" s="9" t="s">
        <v>1968</v>
      </c>
    </row>
    <row r="29" spans="1:12">
      <c r="A29" s="23">
        <f>IFERROR(INDEX(Clients!$B$5:$B$204,MATCH(1,Clients!$AR$5:$AR$204,0)),"")</f>
        <v>0</v>
      </c>
      <c r="B29" s="23">
        <f>IFERROR(INDEX(Clients!$E$5:$E$204,MATCH(1,Clients!$AR$5:$AR$204,0)),"")</f>
        <v>0</v>
      </c>
      <c r="C29" s="39">
        <f>IFERROR(INDEX(Clients!$AP$5:$AP$204,MATCH(1,Clients!$AR$5:$AR$204,0)),"")</f>
        <v>0</v>
      </c>
      <c r="D29" s="18">
        <f>IFERROR(INDEX(Clients!$AA$5:$AA$204,MATCH(1,Clients!$AR$5:$AR$204,0)),"")</f>
        <v>0</v>
      </c>
      <c r="E29" s="31">
        <f>IFERROR(INDEX(Clients!$AB$5:$AB$204,MATCH(1,Clients!$AR$5:$AR$204,0)),"")</f>
        <v>0</v>
      </c>
      <c r="F29" s="18">
        <f>IFERROR(INDEX(Clients!$AC$5:$AC$204,MATCH(1,Clients!$AR$5:$AR$204,0)),"")</f>
        <v>0</v>
      </c>
      <c r="G29" s="21">
        <f>IFERROR(INDEX(Clients!$AJ$5:$AJ$204,MATCH(1,Clients!$AR$5:$AR$204,0)),"")</f>
        <v>0</v>
      </c>
      <c r="H29" s="31">
        <f>IFERROR(INDEX(Clients!$Y$5:$Y$204,MATCH(1,Clients!$AR$5:$AR$204,0)),"")</f>
        <v>0</v>
      </c>
      <c r="I29" s="23">
        <f>IF($A$29="","",IF($F$29="","Nothing booked - offer them a slot","Check they are happy with the service"))</f>
        <v>0</v>
      </c>
    </row>
    <row r="30" spans="1:12">
      <c r="A30" s="23">
        <f>IFERROR(INDEX(Clients!$B$5:$B$204,MATCH(2,Clients!$AR$5:$AR$204,0)),"")</f>
        <v>0</v>
      </c>
      <c r="B30" s="23">
        <f>IFERROR(INDEX(Clients!$E$5:$E$204,MATCH(2,Clients!$AR$5:$AR$204,0)),"")</f>
        <v>0</v>
      </c>
      <c r="C30" s="39">
        <f>IFERROR(INDEX(Clients!$AP$5:$AP$204,MATCH(2,Clients!$AR$5:$AR$204,0)),"")</f>
        <v>0</v>
      </c>
      <c r="D30" s="18">
        <f>IFERROR(INDEX(Clients!$AA$5:$AA$204,MATCH(2,Clients!$AR$5:$AR$204,0)),"")</f>
        <v>0</v>
      </c>
      <c r="E30" s="31">
        <f>IFERROR(INDEX(Clients!$AB$5:$AB$204,MATCH(2,Clients!$AR$5:$AR$204,0)),"")</f>
        <v>0</v>
      </c>
      <c r="F30" s="18">
        <f>IFERROR(INDEX(Clients!$AC$5:$AC$204,MATCH(2,Clients!$AR$5:$AR$204,0)),"")</f>
        <v>0</v>
      </c>
      <c r="G30" s="21">
        <f>IFERROR(INDEX(Clients!$AJ$5:$AJ$204,MATCH(2,Clients!$AR$5:$AR$204,0)),"")</f>
        <v>0</v>
      </c>
      <c r="H30" s="31">
        <f>IFERROR(INDEX(Clients!$Y$5:$Y$204,MATCH(2,Clients!$AR$5:$AR$204,0)),"")</f>
        <v>0</v>
      </c>
      <c r="I30" s="23">
        <f>IF($A$30="","",IF($F$30="","Nothing booked - offer them a slot","Check they are happy with the service"))</f>
        <v>0</v>
      </c>
    </row>
    <row r="31" spans="1:12">
      <c r="A31" s="23">
        <f>IFERROR(INDEX(Clients!$B$5:$B$204,MATCH(3,Clients!$AR$5:$AR$204,0)),"")</f>
        <v>0</v>
      </c>
      <c r="B31" s="23">
        <f>IFERROR(INDEX(Clients!$E$5:$E$204,MATCH(3,Clients!$AR$5:$AR$204,0)),"")</f>
        <v>0</v>
      </c>
      <c r="C31" s="39">
        <f>IFERROR(INDEX(Clients!$AP$5:$AP$204,MATCH(3,Clients!$AR$5:$AR$204,0)),"")</f>
        <v>0</v>
      </c>
      <c r="D31" s="18">
        <f>IFERROR(INDEX(Clients!$AA$5:$AA$204,MATCH(3,Clients!$AR$5:$AR$204,0)),"")</f>
        <v>0</v>
      </c>
      <c r="E31" s="31">
        <f>IFERROR(INDEX(Clients!$AB$5:$AB$204,MATCH(3,Clients!$AR$5:$AR$204,0)),"")</f>
        <v>0</v>
      </c>
      <c r="F31" s="18">
        <f>IFERROR(INDEX(Clients!$AC$5:$AC$204,MATCH(3,Clients!$AR$5:$AR$204,0)),"")</f>
        <v>0</v>
      </c>
      <c r="G31" s="21">
        <f>IFERROR(INDEX(Clients!$AJ$5:$AJ$204,MATCH(3,Clients!$AR$5:$AR$204,0)),"")</f>
        <v>0</v>
      </c>
      <c r="H31" s="31">
        <f>IFERROR(INDEX(Clients!$Y$5:$Y$204,MATCH(3,Clients!$AR$5:$AR$204,0)),"")</f>
        <v>0</v>
      </c>
      <c r="I31" s="23">
        <f>IF($A$31="","",IF($F$31="","Nothing booked - offer them a slot","Check they are happy with the service"))</f>
        <v>0</v>
      </c>
    </row>
    <row r="32" spans="1:12">
      <c r="A32" s="23">
        <f>IFERROR(INDEX(Clients!$B$5:$B$204,MATCH(4,Clients!$AR$5:$AR$204,0)),"")</f>
        <v>0</v>
      </c>
      <c r="B32" s="23">
        <f>IFERROR(INDEX(Clients!$E$5:$E$204,MATCH(4,Clients!$AR$5:$AR$204,0)),"")</f>
        <v>0</v>
      </c>
      <c r="C32" s="39">
        <f>IFERROR(INDEX(Clients!$AP$5:$AP$204,MATCH(4,Clients!$AR$5:$AR$204,0)),"")</f>
        <v>0</v>
      </c>
      <c r="D32" s="18">
        <f>IFERROR(INDEX(Clients!$AA$5:$AA$204,MATCH(4,Clients!$AR$5:$AR$204,0)),"")</f>
        <v>0</v>
      </c>
      <c r="E32" s="31">
        <f>IFERROR(INDEX(Clients!$AB$5:$AB$204,MATCH(4,Clients!$AR$5:$AR$204,0)),"")</f>
        <v>0</v>
      </c>
      <c r="F32" s="18">
        <f>IFERROR(INDEX(Clients!$AC$5:$AC$204,MATCH(4,Clients!$AR$5:$AR$204,0)),"")</f>
        <v>0</v>
      </c>
      <c r="G32" s="21">
        <f>IFERROR(INDEX(Clients!$AJ$5:$AJ$204,MATCH(4,Clients!$AR$5:$AR$204,0)),"")</f>
        <v>0</v>
      </c>
      <c r="H32" s="31">
        <f>IFERROR(INDEX(Clients!$Y$5:$Y$204,MATCH(4,Clients!$AR$5:$AR$204,0)),"")</f>
        <v>0</v>
      </c>
      <c r="I32" s="23">
        <f>IF($A$32="","",IF($F$32="","Nothing booked - offer them a slot","Check they are happy with the service"))</f>
        <v>0</v>
      </c>
    </row>
    <row r="33" spans="1:12">
      <c r="A33" s="23">
        <f>IFERROR(INDEX(Clients!$B$5:$B$204,MATCH(5,Clients!$AR$5:$AR$204,0)),"")</f>
        <v>0</v>
      </c>
      <c r="B33" s="23">
        <f>IFERROR(INDEX(Clients!$E$5:$E$204,MATCH(5,Clients!$AR$5:$AR$204,0)),"")</f>
        <v>0</v>
      </c>
      <c r="C33" s="39">
        <f>IFERROR(INDEX(Clients!$AP$5:$AP$204,MATCH(5,Clients!$AR$5:$AR$204,0)),"")</f>
        <v>0</v>
      </c>
      <c r="D33" s="18">
        <f>IFERROR(INDEX(Clients!$AA$5:$AA$204,MATCH(5,Clients!$AR$5:$AR$204,0)),"")</f>
        <v>0</v>
      </c>
      <c r="E33" s="31">
        <f>IFERROR(INDEX(Clients!$AB$5:$AB$204,MATCH(5,Clients!$AR$5:$AR$204,0)),"")</f>
        <v>0</v>
      </c>
      <c r="F33" s="18">
        <f>IFERROR(INDEX(Clients!$AC$5:$AC$204,MATCH(5,Clients!$AR$5:$AR$204,0)),"")</f>
        <v>0</v>
      </c>
      <c r="G33" s="21">
        <f>IFERROR(INDEX(Clients!$AJ$5:$AJ$204,MATCH(5,Clients!$AR$5:$AR$204,0)),"")</f>
        <v>0</v>
      </c>
      <c r="H33" s="31">
        <f>IFERROR(INDEX(Clients!$Y$5:$Y$204,MATCH(5,Clients!$AR$5:$AR$204,0)),"")</f>
        <v>0</v>
      </c>
      <c r="I33" s="23">
        <f>IF($A$33="","",IF($F$33="","Nothing booked - offer them a slot","Check they are happy with the service"))</f>
        <v>0</v>
      </c>
    </row>
    <row r="34" spans="1:12">
      <c r="A34" s="23">
        <f>IFERROR(INDEX(Clients!$B$5:$B$204,MATCH(6,Clients!$AR$5:$AR$204,0)),"")</f>
        <v>0</v>
      </c>
      <c r="B34" s="23">
        <f>IFERROR(INDEX(Clients!$E$5:$E$204,MATCH(6,Clients!$AR$5:$AR$204,0)),"")</f>
        <v>0</v>
      </c>
      <c r="C34" s="39">
        <f>IFERROR(INDEX(Clients!$AP$5:$AP$204,MATCH(6,Clients!$AR$5:$AR$204,0)),"")</f>
        <v>0</v>
      </c>
      <c r="D34" s="18">
        <f>IFERROR(INDEX(Clients!$AA$5:$AA$204,MATCH(6,Clients!$AR$5:$AR$204,0)),"")</f>
        <v>0</v>
      </c>
      <c r="E34" s="31">
        <f>IFERROR(INDEX(Clients!$AB$5:$AB$204,MATCH(6,Clients!$AR$5:$AR$204,0)),"")</f>
        <v>0</v>
      </c>
      <c r="F34" s="18">
        <f>IFERROR(INDEX(Clients!$AC$5:$AC$204,MATCH(6,Clients!$AR$5:$AR$204,0)),"")</f>
        <v>0</v>
      </c>
      <c r="G34" s="21">
        <f>IFERROR(INDEX(Clients!$AJ$5:$AJ$204,MATCH(6,Clients!$AR$5:$AR$204,0)),"")</f>
        <v>0</v>
      </c>
      <c r="H34" s="31">
        <f>IFERROR(INDEX(Clients!$Y$5:$Y$204,MATCH(6,Clients!$AR$5:$AR$204,0)),"")</f>
        <v>0</v>
      </c>
      <c r="I34" s="23">
        <f>IF($A$34="","",IF($F$34="","Nothing booked - offer them a slot","Check they are happy with the service"))</f>
        <v>0</v>
      </c>
    </row>
    <row r="35" spans="1:12">
      <c r="A35" s="23">
        <f>IFERROR(INDEX(Clients!$B$5:$B$204,MATCH(7,Clients!$AR$5:$AR$204,0)),"")</f>
        <v>0</v>
      </c>
      <c r="B35" s="23">
        <f>IFERROR(INDEX(Clients!$E$5:$E$204,MATCH(7,Clients!$AR$5:$AR$204,0)),"")</f>
        <v>0</v>
      </c>
      <c r="C35" s="39">
        <f>IFERROR(INDEX(Clients!$AP$5:$AP$204,MATCH(7,Clients!$AR$5:$AR$204,0)),"")</f>
        <v>0</v>
      </c>
      <c r="D35" s="18">
        <f>IFERROR(INDEX(Clients!$AA$5:$AA$204,MATCH(7,Clients!$AR$5:$AR$204,0)),"")</f>
        <v>0</v>
      </c>
      <c r="E35" s="31">
        <f>IFERROR(INDEX(Clients!$AB$5:$AB$204,MATCH(7,Clients!$AR$5:$AR$204,0)),"")</f>
        <v>0</v>
      </c>
      <c r="F35" s="18">
        <f>IFERROR(INDEX(Clients!$AC$5:$AC$204,MATCH(7,Clients!$AR$5:$AR$204,0)),"")</f>
        <v>0</v>
      </c>
      <c r="G35" s="21">
        <f>IFERROR(INDEX(Clients!$AJ$5:$AJ$204,MATCH(7,Clients!$AR$5:$AR$204,0)),"")</f>
        <v>0</v>
      </c>
      <c r="H35" s="31">
        <f>IFERROR(INDEX(Clients!$Y$5:$Y$204,MATCH(7,Clients!$AR$5:$AR$204,0)),"")</f>
        <v>0</v>
      </c>
      <c r="I35" s="23">
        <f>IF($A$35="","",IF($F$35="","Nothing booked - offer them a slot","Check they are happy with the service"))</f>
        <v>0</v>
      </c>
    </row>
    <row r="36" spans="1:12">
      <c r="A36" s="23">
        <f>IFERROR(INDEX(Clients!$B$5:$B$204,MATCH(8,Clients!$AR$5:$AR$204,0)),"")</f>
        <v>0</v>
      </c>
      <c r="B36" s="23">
        <f>IFERROR(INDEX(Clients!$E$5:$E$204,MATCH(8,Clients!$AR$5:$AR$204,0)),"")</f>
        <v>0</v>
      </c>
      <c r="C36" s="39">
        <f>IFERROR(INDEX(Clients!$AP$5:$AP$204,MATCH(8,Clients!$AR$5:$AR$204,0)),"")</f>
        <v>0</v>
      </c>
      <c r="D36" s="18">
        <f>IFERROR(INDEX(Clients!$AA$5:$AA$204,MATCH(8,Clients!$AR$5:$AR$204,0)),"")</f>
        <v>0</v>
      </c>
      <c r="E36" s="31">
        <f>IFERROR(INDEX(Clients!$AB$5:$AB$204,MATCH(8,Clients!$AR$5:$AR$204,0)),"")</f>
        <v>0</v>
      </c>
      <c r="F36" s="18">
        <f>IFERROR(INDEX(Clients!$AC$5:$AC$204,MATCH(8,Clients!$AR$5:$AR$204,0)),"")</f>
        <v>0</v>
      </c>
      <c r="G36" s="21">
        <f>IFERROR(INDEX(Clients!$AJ$5:$AJ$204,MATCH(8,Clients!$AR$5:$AR$204,0)),"")</f>
        <v>0</v>
      </c>
      <c r="H36" s="31">
        <f>IFERROR(INDEX(Clients!$Y$5:$Y$204,MATCH(8,Clients!$AR$5:$AR$204,0)),"")</f>
        <v>0</v>
      </c>
      <c r="I36" s="23">
        <f>IF($A$36="","",IF($F$36="","Nothing booked - offer them a slot","Check they are happy with the service"))</f>
        <v>0</v>
      </c>
    </row>
    <row r="38" spans="1:12" ht="20" customHeight="1">
      <c r="A38" s="7" t="s">
        <v>1969</v>
      </c>
      <c r="B38" s="7"/>
      <c r="C38" s="7"/>
      <c r="D38" s="7"/>
      <c r="E38" s="7"/>
      <c r="F38" s="7"/>
      <c r="G38" s="7"/>
      <c r="H38" s="7"/>
      <c r="I38" s="7"/>
      <c r="J38" s="7"/>
      <c r="K38" s="7"/>
      <c r="L38" s="7"/>
    </row>
    <row r="39" spans="1:12" ht="26" customHeight="1">
      <c r="A39" s="8" t="s">
        <v>403</v>
      </c>
      <c r="B39" s="9" t="s">
        <v>404</v>
      </c>
      <c r="C39" s="9" t="s">
        <v>532</v>
      </c>
      <c r="D39" s="9" t="s">
        <v>409</v>
      </c>
      <c r="E39" s="9" t="s">
        <v>569</v>
      </c>
      <c r="F39" s="9" t="s">
        <v>408</v>
      </c>
      <c r="G39" s="9" t="s">
        <v>1970</v>
      </c>
      <c r="H39" s="9" t="s">
        <v>389</v>
      </c>
      <c r="I39" s="9" t="s">
        <v>411</v>
      </c>
    </row>
    <row r="40" spans="1:12">
      <c r="A40" s="23">
        <f>IFERROR(INDEX(Clients!$B$5:$B$204,MATCH(1,Clients!$AO$5:$AO$204,0)),"")</f>
        <v>0</v>
      </c>
      <c r="B40" s="23">
        <f>IFERROR(INDEX(Clients!$C$5:$C$204,MATCH(1,Clients!$AO$5:$AO$204,0)),"")</f>
        <v>0</v>
      </c>
      <c r="C40" s="23">
        <f>IFERROR(INDEX(Clients!$K$5:$K$204,MATCH(1,Clients!$AO$5:$AO$204,0)),"")</f>
        <v>0</v>
      </c>
      <c r="D40" s="21">
        <f>IFERROR(INDEX(Clients!$AJ$5:$AJ$204,MATCH(1,Clients!$AO$5:$AO$204,0)),"")</f>
        <v>0</v>
      </c>
      <c r="E40" s="21">
        <f>IFERROR(INDEX(Clients!$AH$5:$AH$204,MATCH(1,Clients!$AO$5:$AO$204,0)),"")</f>
        <v>0</v>
      </c>
      <c r="F40" s="38">
        <f>IFERROR(INDEX(Clients!$AI$5:$AI$204,MATCH(1,Clients!$AO$5:$AO$204,0)),"")</f>
        <v>0</v>
      </c>
      <c r="G40" s="34">
        <f>IFERROR(INDEX(Clients!$AK$5:$AK$204,MATCH(1,Clients!$AO$5:$AO$204,0)),"")</f>
        <v>0</v>
      </c>
      <c r="H40" s="31">
        <f>IFERROR(INDEX(Clients!$AL$5:$AL$204,MATCH(1,Clients!$AO$5:$AO$204,0)),"")</f>
        <v>0</v>
      </c>
      <c r="I40" s="39">
        <f>IFERROR(INDEX(Clients!$AP$5:$AP$204,MATCH(1,Clients!$AO$5:$AO$204,0)),"")</f>
        <v>0</v>
      </c>
    </row>
    <row r="41" spans="1:12">
      <c r="A41" s="23">
        <f>IFERROR(INDEX(Clients!$B$5:$B$204,MATCH(2,Clients!$AO$5:$AO$204,0)),"")</f>
        <v>0</v>
      </c>
      <c r="B41" s="23">
        <f>IFERROR(INDEX(Clients!$C$5:$C$204,MATCH(2,Clients!$AO$5:$AO$204,0)),"")</f>
        <v>0</v>
      </c>
      <c r="C41" s="23">
        <f>IFERROR(INDEX(Clients!$K$5:$K$204,MATCH(2,Clients!$AO$5:$AO$204,0)),"")</f>
        <v>0</v>
      </c>
      <c r="D41" s="21">
        <f>IFERROR(INDEX(Clients!$AJ$5:$AJ$204,MATCH(2,Clients!$AO$5:$AO$204,0)),"")</f>
        <v>0</v>
      </c>
      <c r="E41" s="21">
        <f>IFERROR(INDEX(Clients!$AH$5:$AH$204,MATCH(2,Clients!$AO$5:$AO$204,0)),"")</f>
        <v>0</v>
      </c>
      <c r="F41" s="38">
        <f>IFERROR(INDEX(Clients!$AI$5:$AI$204,MATCH(2,Clients!$AO$5:$AO$204,0)),"")</f>
        <v>0</v>
      </c>
      <c r="G41" s="34">
        <f>IFERROR(INDEX(Clients!$AK$5:$AK$204,MATCH(2,Clients!$AO$5:$AO$204,0)),"")</f>
        <v>0</v>
      </c>
      <c r="H41" s="31">
        <f>IFERROR(INDEX(Clients!$AL$5:$AL$204,MATCH(2,Clients!$AO$5:$AO$204,0)),"")</f>
        <v>0</v>
      </c>
      <c r="I41" s="39">
        <f>IFERROR(INDEX(Clients!$AP$5:$AP$204,MATCH(2,Clients!$AO$5:$AO$204,0)),"")</f>
        <v>0</v>
      </c>
    </row>
    <row r="42" spans="1:12">
      <c r="A42" s="23">
        <f>IFERROR(INDEX(Clients!$B$5:$B$204,MATCH(3,Clients!$AO$5:$AO$204,0)),"")</f>
        <v>0</v>
      </c>
      <c r="B42" s="23">
        <f>IFERROR(INDEX(Clients!$C$5:$C$204,MATCH(3,Clients!$AO$5:$AO$204,0)),"")</f>
        <v>0</v>
      </c>
      <c r="C42" s="23">
        <f>IFERROR(INDEX(Clients!$K$5:$K$204,MATCH(3,Clients!$AO$5:$AO$204,0)),"")</f>
        <v>0</v>
      </c>
      <c r="D42" s="21">
        <f>IFERROR(INDEX(Clients!$AJ$5:$AJ$204,MATCH(3,Clients!$AO$5:$AO$204,0)),"")</f>
        <v>0</v>
      </c>
      <c r="E42" s="21">
        <f>IFERROR(INDEX(Clients!$AH$5:$AH$204,MATCH(3,Clients!$AO$5:$AO$204,0)),"")</f>
        <v>0</v>
      </c>
      <c r="F42" s="38">
        <f>IFERROR(INDEX(Clients!$AI$5:$AI$204,MATCH(3,Clients!$AO$5:$AO$204,0)),"")</f>
        <v>0</v>
      </c>
      <c r="G42" s="34">
        <f>IFERROR(INDEX(Clients!$AK$5:$AK$204,MATCH(3,Clients!$AO$5:$AO$204,0)),"")</f>
        <v>0</v>
      </c>
      <c r="H42" s="31">
        <f>IFERROR(INDEX(Clients!$AL$5:$AL$204,MATCH(3,Clients!$AO$5:$AO$204,0)),"")</f>
        <v>0</v>
      </c>
      <c r="I42" s="39">
        <f>IFERROR(INDEX(Clients!$AP$5:$AP$204,MATCH(3,Clients!$AO$5:$AO$204,0)),"")</f>
        <v>0</v>
      </c>
    </row>
    <row r="43" spans="1:12">
      <c r="A43" s="23">
        <f>IFERROR(INDEX(Clients!$B$5:$B$204,MATCH(4,Clients!$AO$5:$AO$204,0)),"")</f>
        <v>0</v>
      </c>
      <c r="B43" s="23">
        <f>IFERROR(INDEX(Clients!$C$5:$C$204,MATCH(4,Clients!$AO$5:$AO$204,0)),"")</f>
        <v>0</v>
      </c>
      <c r="C43" s="23">
        <f>IFERROR(INDEX(Clients!$K$5:$K$204,MATCH(4,Clients!$AO$5:$AO$204,0)),"")</f>
        <v>0</v>
      </c>
      <c r="D43" s="21">
        <f>IFERROR(INDEX(Clients!$AJ$5:$AJ$204,MATCH(4,Clients!$AO$5:$AO$204,0)),"")</f>
        <v>0</v>
      </c>
      <c r="E43" s="21">
        <f>IFERROR(INDEX(Clients!$AH$5:$AH$204,MATCH(4,Clients!$AO$5:$AO$204,0)),"")</f>
        <v>0</v>
      </c>
      <c r="F43" s="38">
        <f>IFERROR(INDEX(Clients!$AI$5:$AI$204,MATCH(4,Clients!$AO$5:$AO$204,0)),"")</f>
        <v>0</v>
      </c>
      <c r="G43" s="34">
        <f>IFERROR(INDEX(Clients!$AK$5:$AK$204,MATCH(4,Clients!$AO$5:$AO$204,0)),"")</f>
        <v>0</v>
      </c>
      <c r="H43" s="31">
        <f>IFERROR(INDEX(Clients!$AL$5:$AL$204,MATCH(4,Clients!$AO$5:$AO$204,0)),"")</f>
        <v>0</v>
      </c>
      <c r="I43" s="39">
        <f>IFERROR(INDEX(Clients!$AP$5:$AP$204,MATCH(4,Clients!$AO$5:$AO$204,0)),"")</f>
        <v>0</v>
      </c>
    </row>
    <row r="44" spans="1:12">
      <c r="A44" s="23">
        <f>IFERROR(INDEX(Clients!$B$5:$B$204,MATCH(5,Clients!$AO$5:$AO$204,0)),"")</f>
        <v>0</v>
      </c>
      <c r="B44" s="23">
        <f>IFERROR(INDEX(Clients!$C$5:$C$204,MATCH(5,Clients!$AO$5:$AO$204,0)),"")</f>
        <v>0</v>
      </c>
      <c r="C44" s="23">
        <f>IFERROR(INDEX(Clients!$K$5:$K$204,MATCH(5,Clients!$AO$5:$AO$204,0)),"")</f>
        <v>0</v>
      </c>
      <c r="D44" s="21">
        <f>IFERROR(INDEX(Clients!$AJ$5:$AJ$204,MATCH(5,Clients!$AO$5:$AO$204,0)),"")</f>
        <v>0</v>
      </c>
      <c r="E44" s="21">
        <f>IFERROR(INDEX(Clients!$AH$5:$AH$204,MATCH(5,Clients!$AO$5:$AO$204,0)),"")</f>
        <v>0</v>
      </c>
      <c r="F44" s="38">
        <f>IFERROR(INDEX(Clients!$AI$5:$AI$204,MATCH(5,Clients!$AO$5:$AO$204,0)),"")</f>
        <v>0</v>
      </c>
      <c r="G44" s="34">
        <f>IFERROR(INDEX(Clients!$AK$5:$AK$204,MATCH(5,Clients!$AO$5:$AO$204,0)),"")</f>
        <v>0</v>
      </c>
      <c r="H44" s="31">
        <f>IFERROR(INDEX(Clients!$AL$5:$AL$204,MATCH(5,Clients!$AO$5:$AO$204,0)),"")</f>
        <v>0</v>
      </c>
      <c r="I44" s="39">
        <f>IFERROR(INDEX(Clients!$AP$5:$AP$204,MATCH(5,Clients!$AO$5:$AO$204,0)),"")</f>
        <v>0</v>
      </c>
    </row>
    <row r="45" spans="1:12">
      <c r="A45" s="23">
        <f>IFERROR(INDEX(Clients!$B$5:$B$204,MATCH(6,Clients!$AO$5:$AO$204,0)),"")</f>
        <v>0</v>
      </c>
      <c r="B45" s="23">
        <f>IFERROR(INDEX(Clients!$C$5:$C$204,MATCH(6,Clients!$AO$5:$AO$204,0)),"")</f>
        <v>0</v>
      </c>
      <c r="C45" s="23">
        <f>IFERROR(INDEX(Clients!$K$5:$K$204,MATCH(6,Clients!$AO$5:$AO$204,0)),"")</f>
        <v>0</v>
      </c>
      <c r="D45" s="21">
        <f>IFERROR(INDEX(Clients!$AJ$5:$AJ$204,MATCH(6,Clients!$AO$5:$AO$204,0)),"")</f>
        <v>0</v>
      </c>
      <c r="E45" s="21">
        <f>IFERROR(INDEX(Clients!$AH$5:$AH$204,MATCH(6,Clients!$AO$5:$AO$204,0)),"")</f>
        <v>0</v>
      </c>
      <c r="F45" s="38">
        <f>IFERROR(INDEX(Clients!$AI$5:$AI$204,MATCH(6,Clients!$AO$5:$AO$204,0)),"")</f>
        <v>0</v>
      </c>
      <c r="G45" s="34">
        <f>IFERROR(INDEX(Clients!$AK$5:$AK$204,MATCH(6,Clients!$AO$5:$AO$204,0)),"")</f>
        <v>0</v>
      </c>
      <c r="H45" s="31">
        <f>IFERROR(INDEX(Clients!$AL$5:$AL$204,MATCH(6,Clients!$AO$5:$AO$204,0)),"")</f>
        <v>0</v>
      </c>
      <c r="I45" s="39">
        <f>IFERROR(INDEX(Clients!$AP$5:$AP$204,MATCH(6,Clients!$AO$5:$AO$204,0)),"")</f>
        <v>0</v>
      </c>
    </row>
    <row r="46" spans="1:12">
      <c r="A46" s="23">
        <f>IFERROR(INDEX(Clients!$B$5:$B$204,MATCH(7,Clients!$AO$5:$AO$204,0)),"")</f>
        <v>0</v>
      </c>
      <c r="B46" s="23">
        <f>IFERROR(INDEX(Clients!$C$5:$C$204,MATCH(7,Clients!$AO$5:$AO$204,0)),"")</f>
        <v>0</v>
      </c>
      <c r="C46" s="23">
        <f>IFERROR(INDEX(Clients!$K$5:$K$204,MATCH(7,Clients!$AO$5:$AO$204,0)),"")</f>
        <v>0</v>
      </c>
      <c r="D46" s="21">
        <f>IFERROR(INDEX(Clients!$AJ$5:$AJ$204,MATCH(7,Clients!$AO$5:$AO$204,0)),"")</f>
        <v>0</v>
      </c>
      <c r="E46" s="21">
        <f>IFERROR(INDEX(Clients!$AH$5:$AH$204,MATCH(7,Clients!$AO$5:$AO$204,0)),"")</f>
        <v>0</v>
      </c>
      <c r="F46" s="38">
        <f>IFERROR(INDEX(Clients!$AI$5:$AI$204,MATCH(7,Clients!$AO$5:$AO$204,0)),"")</f>
        <v>0</v>
      </c>
      <c r="G46" s="34">
        <f>IFERROR(INDEX(Clients!$AK$5:$AK$204,MATCH(7,Clients!$AO$5:$AO$204,0)),"")</f>
        <v>0</v>
      </c>
      <c r="H46" s="31">
        <f>IFERROR(INDEX(Clients!$AL$5:$AL$204,MATCH(7,Clients!$AO$5:$AO$204,0)),"")</f>
        <v>0</v>
      </c>
      <c r="I46" s="39">
        <f>IFERROR(INDEX(Clients!$AP$5:$AP$204,MATCH(7,Clients!$AO$5:$AO$204,0)),"")</f>
        <v>0</v>
      </c>
    </row>
    <row r="47" spans="1:12">
      <c r="A47" s="23">
        <f>IFERROR(INDEX(Clients!$B$5:$B$204,MATCH(8,Clients!$AO$5:$AO$204,0)),"")</f>
        <v>0</v>
      </c>
      <c r="B47" s="23">
        <f>IFERROR(INDEX(Clients!$C$5:$C$204,MATCH(8,Clients!$AO$5:$AO$204,0)),"")</f>
        <v>0</v>
      </c>
      <c r="C47" s="23">
        <f>IFERROR(INDEX(Clients!$K$5:$K$204,MATCH(8,Clients!$AO$5:$AO$204,0)),"")</f>
        <v>0</v>
      </c>
      <c r="D47" s="21">
        <f>IFERROR(INDEX(Clients!$AJ$5:$AJ$204,MATCH(8,Clients!$AO$5:$AO$204,0)),"")</f>
        <v>0</v>
      </c>
      <c r="E47" s="21">
        <f>IFERROR(INDEX(Clients!$AH$5:$AH$204,MATCH(8,Clients!$AO$5:$AO$204,0)),"")</f>
        <v>0</v>
      </c>
      <c r="F47" s="38">
        <f>IFERROR(INDEX(Clients!$AI$5:$AI$204,MATCH(8,Clients!$AO$5:$AO$204,0)),"")</f>
        <v>0</v>
      </c>
      <c r="G47" s="34">
        <f>IFERROR(INDEX(Clients!$AK$5:$AK$204,MATCH(8,Clients!$AO$5:$AO$204,0)),"")</f>
        <v>0</v>
      </c>
      <c r="H47" s="31">
        <f>IFERROR(INDEX(Clients!$AL$5:$AL$204,MATCH(8,Clients!$AO$5:$AO$204,0)),"")</f>
        <v>0</v>
      </c>
      <c r="I47" s="39">
        <f>IFERROR(INDEX(Clients!$AP$5:$AP$204,MATCH(8,Clients!$AO$5:$AO$204,0)),"")</f>
        <v>0</v>
      </c>
    </row>
    <row r="49" spans="1:12" ht="20" customHeight="1">
      <c r="A49" s="7" t="s">
        <v>1971</v>
      </c>
      <c r="B49" s="7"/>
      <c r="C49" s="7"/>
      <c r="D49" s="7"/>
      <c r="E49" s="7"/>
      <c r="F49" s="7"/>
      <c r="G49" s="7"/>
      <c r="H49" s="7"/>
      <c r="I49" s="7"/>
      <c r="J49" s="7"/>
      <c r="K49" s="7"/>
      <c r="L49" s="7"/>
    </row>
    <row r="50" spans="1:12" ht="26" customHeight="1">
      <c r="A50" s="8" t="s">
        <v>1441</v>
      </c>
      <c r="B50" s="9" t="s">
        <v>367</v>
      </c>
      <c r="C50" s="9" t="s">
        <v>368</v>
      </c>
    </row>
    <row r="51" spans="1:12">
      <c r="A51" s="10" t="s">
        <v>1972</v>
      </c>
      <c r="B51" s="31">
        <f>COUNTIFS(Clients!$R$5:$R$204,"&lt;&gt;No contract",Clients!$R$5:$R$204,"&lt;&gt;")</f>
        <v>0</v>
      </c>
      <c r="C51" s="23">
        <f>"Rolling or fixed term - the work you can count on"</f>
        <v>0</v>
      </c>
      <c r="D51" s="23"/>
      <c r="E51" s="23"/>
      <c r="F51" s="23"/>
      <c r="G51" s="23"/>
      <c r="H51" s="23"/>
      <c r="I51" s="23"/>
      <c r="J51" s="23"/>
      <c r="K51" s="23"/>
      <c r="L51" s="23"/>
    </row>
    <row r="52" spans="1:12">
      <c r="A52" s="10" t="s">
        <v>1973</v>
      </c>
      <c r="B52" s="31">
        <f>COUNTIFS(Clients!$S$5:$S$204,"&gt;="&amp;TodayDate,Clients!$S$5:$S$204,"&lt;="&amp;TodayDate+RenewalWarningDays)</f>
        <v>0</v>
      </c>
      <c r="C52" s="23">
        <f>"Within "&amp;RenewalWarningDays&amp;" days. Ask early and you usually keep them"</f>
        <v>0</v>
      </c>
      <c r="D52" s="23"/>
      <c r="E52" s="23"/>
      <c r="F52" s="23"/>
      <c r="G52" s="23"/>
      <c r="H52" s="23"/>
      <c r="I52" s="23"/>
      <c r="J52" s="23"/>
      <c r="K52" s="23"/>
      <c r="L52" s="23"/>
    </row>
    <row r="53" spans="1:12">
      <c r="A53" s="10" t="s">
        <v>1974</v>
      </c>
      <c r="B53" s="31">
        <f>COUNTIFS(Clients!$S$5:$S$204,"&lt;"&amp;TodayDate,Clients!$S$5:$S$204,"&lt;&gt;")</f>
        <v>0</v>
      </c>
      <c r="C53" s="23">
        <f>"Still cleaning, no agreement in place"</f>
        <v>0</v>
      </c>
      <c r="D53" s="23"/>
      <c r="E53" s="23"/>
      <c r="F53" s="23"/>
      <c r="G53" s="23"/>
      <c r="H53" s="23"/>
      <c r="I53" s="23"/>
      <c r="J53" s="23"/>
      <c r="K53" s="23"/>
      <c r="L53" s="23"/>
    </row>
    <row r="54" spans="1:12">
      <c r="A54" s="10" t="s">
        <v>1975</v>
      </c>
      <c r="B54" s="31">
        <f>COUNTIFS(Clients!$AC$5:$AC$204,"",Clients!$H$5:$H$204,"Active")+COUNTIFS(Clients!$AC$5:$AC$204,"",Clients!$H$5:$H$204,"Regular")</f>
        <v>0</v>
      </c>
      <c r="C54" s="23">
        <f>"Active clients with an empty diary - the quickest money in the workbook"</f>
        <v>0</v>
      </c>
      <c r="D54" s="23"/>
      <c r="E54" s="23"/>
      <c r="F54" s="23"/>
      <c r="G54" s="23"/>
      <c r="H54" s="23"/>
      <c r="I54" s="23"/>
      <c r="J54" s="23"/>
      <c r="K54" s="23"/>
      <c r="L54" s="23"/>
    </row>
    <row r="55" spans="1:12">
      <c r="A55" s="10" t="s">
        <v>1976</v>
      </c>
      <c r="B55" s="31">
        <f>COUNTIF(Clients!$AP$5:$AP$204,"Won back")</f>
        <v>0</v>
      </c>
      <c r="C55" s="23">
        <f>"Mark a returning client as Won back on the Clients tab"</f>
        <v>0</v>
      </c>
      <c r="D55" s="23"/>
      <c r="E55" s="23"/>
      <c r="F55" s="23"/>
      <c r="G55" s="23"/>
      <c r="H55" s="23"/>
      <c r="I55" s="23"/>
      <c r="J55" s="23"/>
      <c r="K55" s="23"/>
      <c r="L55" s="23"/>
    </row>
    <row r="57" spans="1:12" ht="38" customHeight="1">
      <c r="A57" s="6" t="s">
        <v>1977</v>
      </c>
      <c r="B57" s="6"/>
      <c r="C57" s="6"/>
      <c r="D57" s="6"/>
      <c r="E57" s="6"/>
      <c r="F57" s="6"/>
      <c r="G57" s="6"/>
      <c r="H57" s="6"/>
      <c r="I57" s="6"/>
      <c r="J57" s="6"/>
      <c r="K57" s="6"/>
      <c r="L57" s="6"/>
    </row>
  </sheetData>
  <sheetProtection password="EC7C" sheet="1" objects="1" scenarios="1" formatCells="0" formatColumns="0" formatRows="0" insertRows="0" insertHyperlinks="0" deleteRows="0" autoFilter="0"/>
  <mergeCells count="45">
    <mergeCell ref="A1:I1"/>
    <mergeCell ref="J1:L1"/>
    <mergeCell ref="A2:L2"/>
    <mergeCell ref="A3:B3"/>
    <mergeCell ref="C3:D3"/>
    <mergeCell ref="E3:F3"/>
    <mergeCell ref="G3:H3"/>
    <mergeCell ref="I3:J3"/>
    <mergeCell ref="K3:L3"/>
    <mergeCell ref="A5:L5"/>
    <mergeCell ref="A7:C7"/>
    <mergeCell ref="A8:C8"/>
    <mergeCell ref="A9:C9"/>
    <mergeCell ref="D7:F7"/>
    <mergeCell ref="D8:F8"/>
    <mergeCell ref="D9:F9"/>
    <mergeCell ref="G7:I7"/>
    <mergeCell ref="G8:I8"/>
    <mergeCell ref="G9:I9"/>
    <mergeCell ref="J7:L7"/>
    <mergeCell ref="J8:L8"/>
    <mergeCell ref="J9:L9"/>
    <mergeCell ref="A11:C11"/>
    <mergeCell ref="A12:C12"/>
    <mergeCell ref="A13:C13"/>
    <mergeCell ref="D11:F11"/>
    <mergeCell ref="D12:F12"/>
    <mergeCell ref="D13:F13"/>
    <mergeCell ref="G11:I11"/>
    <mergeCell ref="G12:I12"/>
    <mergeCell ref="G13:I13"/>
    <mergeCell ref="J11:L11"/>
    <mergeCell ref="J12:L12"/>
    <mergeCell ref="J13:L13"/>
    <mergeCell ref="A15:L15"/>
    <mergeCell ref="A25:L25"/>
    <mergeCell ref="A27:L27"/>
    <mergeCell ref="A38:L38"/>
    <mergeCell ref="A49:L49"/>
    <mergeCell ref="C51:L51"/>
    <mergeCell ref="C52:L52"/>
    <mergeCell ref="C53:L53"/>
    <mergeCell ref="C54:L54"/>
    <mergeCell ref="C55:L55"/>
    <mergeCell ref="A57:L57"/>
  </mergeCells>
  <conditionalFormatting sqref="B52:B54">
    <cfRule type="cellIs" dxfId="0" priority="5" operator="greaterThan">
      <formula>0</formula>
    </cfRule>
  </conditionalFormatting>
  <conditionalFormatting sqref="C17:C23">
    <cfRule type="dataBar" priority="1">
      <dataBar>
        <cfvo type="min" val="0"/>
        <cfvo type="max" val="0"/>
        <color rgb="FF2F8F9D"/>
      </dataBar>
    </cfRule>
  </conditionalFormatting>
  <conditionalFormatting sqref="D40:D47">
    <cfRule type="dataBar" priority="3">
      <dataBar>
        <cfvo type="min" val="0"/>
        <cfvo type="max" val="0"/>
        <color rgb="FFE8A33D"/>
      </dataBar>
    </cfRule>
  </conditionalFormatting>
  <conditionalFormatting sqref="E29:E36">
    <cfRule type="cellIs" dxfId="2" priority="2" operator="greaterThan">
      <formula>InactiveClientDays</formula>
    </cfRule>
  </conditionalFormatting>
  <conditionalFormatting sqref="F40:F47">
    <cfRule type="cellIs" dxfId="2" priority="4" operator="lessThan">
      <formula>MarginFloor</formula>
    </cfRule>
  </conditionalFormatting>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s>
  <pageMargins left="0.4" right="0.4" top="0.6" bottom="0.5" header="0.3" footer="0.3"/>
  <pageSetup paperSize="9" fitToHeight="0" orientation="landscape"/>
  <headerFooter>
    <oddHeader>&amp;L&amp;"Calibri,Bold"&amp;12&amp;C&amp;"Calibri,Bold"&amp;11Client Retention&amp;R&amp;"Calibri,Italic"&amp;9Cleaning Business CRM &amp; Pricing Calculator</oddHeader>
    <oddFooter>&amp;L&amp;"Calibri,Italic"&amp;8Novality Store - v1.0.0&amp;C&amp;"Calibri,Italic"&amp;8Page &amp;P of &amp;N&amp;R&amp;"Calibri,Italic"&amp;8&amp;D</oddFooter>
  </headerFooter>
</worksheet>
</file>

<file path=xl/worksheets/sheet28.xml><?xml version="1.0" encoding="utf-8"?>
<worksheet xmlns="http://schemas.openxmlformats.org/spreadsheetml/2006/main" xmlns:r="http://schemas.openxmlformats.org/officeDocument/2006/relationships">
  <sheetPr>
    <tabColor rgb="FFE8A33D"/>
    <pageSetUpPr fitToPage="1"/>
  </sheetPr>
  <dimension ref="A1:Y8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3" customWidth="1"/>
    <col min="2" max="2" width="11.7109375" style="46" customWidth="1"/>
    <col min="3" max="3" width="10.7109375" style="23" customWidth="1"/>
    <col min="4" max="4" width="11.7109375" style="49" customWidth="1"/>
    <col min="5" max="5" width="20.7109375" style="23" customWidth="1"/>
    <col min="6" max="6" width="11.7109375" style="49" customWidth="1"/>
    <col min="7" max="7" width="16.7109375" style="15" customWidth="1"/>
    <col min="8" max="8" width="20.7109375" style="15" customWidth="1"/>
    <col min="9" max="9" width="11.7109375" style="45" customWidth="1"/>
    <col min="10" max="10" width="38.7109375" style="44" customWidth="1"/>
    <col min="11" max="11" width="15.7109375" style="45" customWidth="1"/>
    <col min="12" max="12" width="16.7109375" style="15" customWidth="1"/>
    <col min="13" max="13" width="36.7109375" style="44" customWidth="1"/>
    <col min="14" max="14" width="18.7109375" style="15" customWidth="1"/>
    <col min="15" max="15" width="11.7109375" style="49" customWidth="1"/>
    <col min="16" max="16" width="11.7109375" style="19" customWidth="1"/>
    <col min="17" max="17" width="11.7109375" style="46" customWidth="1"/>
    <col min="18" max="18" width="9.7109375" style="47" customWidth="1"/>
    <col min="19" max="19" width="10.7109375" style="47" customWidth="1"/>
    <col min="20" max="20" width="34.7109375" style="44" customWidth="1"/>
    <col min="21" max="21" width="26.7109375" style="44" customWidth="1"/>
    <col min="22" max="22" width="10.7109375" style="31" customWidth="1"/>
    <col min="23" max="23" width="9.7109375" style="50" hidden="1" customWidth="1"/>
    <col min="24" max="24" width="10.7109375" style="50" customWidth="1"/>
    <col min="25" max="25" width="30.7109375" style="39" customWidth="1"/>
  </cols>
  <sheetData>
    <row r="1" spans="1:25" ht="34" customHeight="1">
      <c r="A1" s="2" t="s">
        <v>1978</v>
      </c>
      <c r="B1" s="2"/>
      <c r="C1" s="2"/>
      <c r="D1" s="2"/>
      <c r="E1" s="2"/>
      <c r="F1" s="2"/>
      <c r="G1" s="2"/>
      <c r="H1" s="2"/>
      <c r="I1" s="2"/>
      <c r="J1" s="2"/>
      <c r="K1" s="2"/>
      <c r="L1" s="2"/>
      <c r="M1" s="2"/>
      <c r="N1" s="2"/>
      <c r="O1" s="2"/>
      <c r="P1" s="2"/>
      <c r="Q1" s="2"/>
      <c r="R1" s="2"/>
      <c r="S1" s="2"/>
      <c r="T1" s="2"/>
      <c r="U1" s="2"/>
      <c r="V1" s="2"/>
      <c r="W1" s="3" t="s">
        <v>1</v>
      </c>
      <c r="X1" s="3"/>
      <c r="Y1" s="3"/>
    </row>
    <row r="2" spans="1:25" ht="18" customHeight="1">
      <c r="A2" s="4" t="s">
        <v>1979</v>
      </c>
      <c r="B2" s="4"/>
      <c r="C2" s="4"/>
      <c r="D2" s="4"/>
      <c r="E2" s="4"/>
      <c r="F2" s="4"/>
      <c r="G2" s="4"/>
      <c r="H2" s="4"/>
      <c r="I2" s="4"/>
      <c r="J2" s="4"/>
      <c r="K2" s="4"/>
      <c r="L2" s="4"/>
      <c r="M2" s="4"/>
      <c r="N2" s="4"/>
      <c r="O2" s="4"/>
      <c r="P2" s="4"/>
      <c r="Q2" s="4"/>
      <c r="R2" s="4"/>
      <c r="S2" s="4"/>
      <c r="T2" s="4"/>
      <c r="U2" s="4"/>
      <c r="V2" s="4"/>
      <c r="W2" s="4"/>
      <c r="X2" s="4"/>
      <c r="Y2" s="4"/>
    </row>
    <row r="3" spans="1:25"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1980</v>
      </c>
      <c r="T3" s="48"/>
      <c r="U3" s="48"/>
      <c r="V3" s="48"/>
      <c r="W3" s="48"/>
      <c r="X3" s="48"/>
      <c r="Y3" s="48"/>
    </row>
    <row r="4" spans="1:25" ht="30" customHeight="1">
      <c r="A4" s="8" t="s">
        <v>545</v>
      </c>
      <c r="B4" s="8" t="s">
        <v>1981</v>
      </c>
      <c r="C4" s="9" t="s">
        <v>340</v>
      </c>
      <c r="D4" s="9" t="s">
        <v>719</v>
      </c>
      <c r="E4" s="9" t="s">
        <v>403</v>
      </c>
      <c r="F4" s="9" t="s">
        <v>1169</v>
      </c>
      <c r="G4" s="9" t="s">
        <v>1982</v>
      </c>
      <c r="H4" s="9" t="s">
        <v>1983</v>
      </c>
      <c r="I4" s="9" t="s">
        <v>1984</v>
      </c>
      <c r="J4" s="9" t="s">
        <v>1985</v>
      </c>
      <c r="K4" s="9" t="s">
        <v>548</v>
      </c>
      <c r="L4" s="9" t="s">
        <v>1986</v>
      </c>
      <c r="M4" s="9" t="s">
        <v>1987</v>
      </c>
      <c r="N4" s="9" t="s">
        <v>1988</v>
      </c>
      <c r="O4" s="9" t="s">
        <v>1989</v>
      </c>
      <c r="P4" s="9" t="s">
        <v>1990</v>
      </c>
      <c r="Q4" s="9" t="s">
        <v>1991</v>
      </c>
      <c r="R4" s="9" t="s">
        <v>1992</v>
      </c>
      <c r="S4" s="9" t="s">
        <v>1993</v>
      </c>
      <c r="T4" s="9" t="s">
        <v>1994</v>
      </c>
      <c r="U4" s="9" t="s">
        <v>421</v>
      </c>
      <c r="V4" s="9" t="s">
        <v>868</v>
      </c>
      <c r="W4" s="9" t="s">
        <v>1995</v>
      </c>
      <c r="X4" s="9" t="s">
        <v>1996</v>
      </c>
      <c r="Y4" s="9" t="s">
        <v>574</v>
      </c>
    </row>
    <row r="5" spans="1:25">
      <c r="A5" s="43">
        <f>IF(B5="","",ComplaintPrefix&amp;TEXT(ROW()-4,"0000"))</f>
        <v>0</v>
      </c>
      <c r="B5" s="46">
        <v>46306</v>
      </c>
      <c r="C5" s="23">
        <f>IF(B5="","",TEXT(B5,"yyyy-mm"))</f>
        <v>0</v>
      </c>
      <c r="D5" s="49" t="s">
        <v>793</v>
      </c>
      <c r="E5" s="23">
        <f>IF(D5="","",IFERROR(INDEX(Clients!$B$5:$B$204,MATCH(D5,Clients!$A$5:$A$204,0)),"Not found"))</f>
        <v>0</v>
      </c>
      <c r="F5" s="49" t="s">
        <v>172</v>
      </c>
      <c r="G5" s="15" t="s">
        <v>639</v>
      </c>
      <c r="H5" s="15" t="s">
        <v>1997</v>
      </c>
      <c r="I5" s="45" t="s">
        <v>1998</v>
      </c>
      <c r="J5" s="44" t="s">
        <v>1999</v>
      </c>
      <c r="K5" s="45" t="s">
        <v>2000</v>
      </c>
      <c r="L5" s="15" t="s">
        <v>178</v>
      </c>
      <c r="M5" s="44" t="s">
        <v>2001</v>
      </c>
      <c r="N5" s="15" t="s">
        <v>2002</v>
      </c>
      <c r="O5" s="49" t="s">
        <v>1543</v>
      </c>
      <c r="P5" s="19">
        <v>68</v>
      </c>
      <c r="Q5" s="46">
        <v>46308</v>
      </c>
      <c r="R5" s="47" t="s">
        <v>454</v>
      </c>
      <c r="S5" s="47">
        <v>4</v>
      </c>
      <c r="T5" s="44" t="s">
        <v>2003</v>
      </c>
      <c r="U5" s="44" t="s">
        <v>172</v>
      </c>
      <c r="V5" s="31">
        <f>IF(OR(B5="",D5=""),"",IF(Q5&lt;&gt;"",Q5-B5,TodayDate-B5))</f>
        <v>0</v>
      </c>
      <c r="W5" s="50">
        <f>IF(B5="","",IF(OR(K5="Resolved",K5="Closed - no action",K5="Refunded"),"No","Yes"))</f>
        <v>0</v>
      </c>
      <c r="X5" s="50">
        <f>IF(B5="","",IF(COUNTIFS($D$5:$D$84,D5,$H$5:$H$84,H5)&gt;1,"Yes","No"))</f>
        <v>0</v>
      </c>
      <c r="Y5" s="39">
        <f>IF(B5="","",IF(W5="No","OK - closed",IF(V5&gt;7,"Overdue - open "&amp;V5&amp;" days",IF(I5="Critical","Action - critical, today",IF(L5="","Assign - nobody owns this",IF(X5="Yes","Check - repeat issue","Action - open"))))))</f>
        <v>0</v>
      </c>
    </row>
    <row r="6" spans="1:25">
      <c r="A6" s="43">
        <f>IF(B6="","",ComplaintPrefix&amp;TEXT(ROW()-4,"0000"))</f>
        <v>0</v>
      </c>
      <c r="B6" s="46">
        <v>46297</v>
      </c>
      <c r="C6" s="23">
        <f>IF(B6="","",TEXT(B6,"yyyy-mm"))</f>
        <v>0</v>
      </c>
      <c r="D6" s="49" t="s">
        <v>818</v>
      </c>
      <c r="E6" s="23">
        <f>IF(D6="","",IFERROR(INDEX(Clients!$B$5:$B$204,MATCH(D6,Clients!$A$5:$A$204,0)),"Not found"))</f>
        <v>0</v>
      </c>
      <c r="F6" s="49" t="s">
        <v>172</v>
      </c>
      <c r="G6" s="15" t="s">
        <v>596</v>
      </c>
      <c r="H6" s="15" t="s">
        <v>2004</v>
      </c>
      <c r="I6" s="45" t="s">
        <v>2005</v>
      </c>
      <c r="J6" s="44" t="s">
        <v>2006</v>
      </c>
      <c r="K6" s="45" t="s">
        <v>2007</v>
      </c>
      <c r="L6" s="15" t="s">
        <v>178</v>
      </c>
      <c r="M6" s="44" t="s">
        <v>2008</v>
      </c>
      <c r="N6" s="15" t="s">
        <v>2009</v>
      </c>
      <c r="O6" s="49" t="s">
        <v>172</v>
      </c>
      <c r="Q6" s="46">
        <v>46298</v>
      </c>
      <c r="R6" s="47" t="s">
        <v>454</v>
      </c>
      <c r="S6" s="47">
        <v>5</v>
      </c>
      <c r="T6" s="44" t="s">
        <v>2010</v>
      </c>
      <c r="U6" s="44" t="s">
        <v>172</v>
      </c>
      <c r="V6" s="31">
        <f>IF(OR(B6="",D6=""),"",IF(Q6&lt;&gt;"",Q6-B6,TodayDate-B6))</f>
        <v>0</v>
      </c>
      <c r="W6" s="50">
        <f>IF(B6="","",IF(OR(K6="Resolved",K6="Closed - no action",K6="Refunded"),"No","Yes"))</f>
        <v>0</v>
      </c>
      <c r="X6" s="50">
        <f>IF(B6="","",IF(COUNTIFS($D$5:$D$84,D6,$H$5:$H$84,H6)&gt;1,"Yes","No"))</f>
        <v>0</v>
      </c>
      <c r="Y6" s="39">
        <f>IF(B6="","",IF(W6="No","OK - closed",IF(V6&gt;7,"Overdue - open "&amp;V6&amp;" days",IF(I6="Critical","Action - critical, today",IF(L6="","Assign - nobody owns this",IF(X6="Yes","Check - repeat issue","Action - open"))))))</f>
        <v>0</v>
      </c>
    </row>
    <row r="7" spans="1:25">
      <c r="A7" s="43">
        <f>IF(B7="","",ComplaintPrefix&amp;TEXT(ROW()-4,"0000"))</f>
        <v>0</v>
      </c>
      <c r="B7" s="46">
        <v>46310</v>
      </c>
      <c r="C7" s="23">
        <f>IF(B7="","",TEXT(B7,"yyyy-mm"))</f>
        <v>0</v>
      </c>
      <c r="D7" s="49" t="s">
        <v>833</v>
      </c>
      <c r="E7" s="23">
        <f>IF(D7="","",IFERROR(INDEX(Clients!$B$5:$B$204,MATCH(D7,Clients!$A$5:$A$204,0)),"Not found"))</f>
        <v>0</v>
      </c>
      <c r="F7" s="49" t="s">
        <v>172</v>
      </c>
      <c r="G7" s="15" t="s">
        <v>664</v>
      </c>
      <c r="H7" s="15" t="s">
        <v>2011</v>
      </c>
      <c r="I7" s="45" t="s">
        <v>2005</v>
      </c>
      <c r="J7" s="44" t="s">
        <v>2012</v>
      </c>
      <c r="K7" s="45" t="s">
        <v>2013</v>
      </c>
      <c r="L7" s="15" t="s">
        <v>178</v>
      </c>
      <c r="M7" s="44" t="s">
        <v>2014</v>
      </c>
      <c r="N7" s="15" t="s">
        <v>172</v>
      </c>
      <c r="O7" s="49" t="s">
        <v>172</v>
      </c>
      <c r="R7" s="47" t="s">
        <v>172</v>
      </c>
      <c r="T7" s="44" t="s">
        <v>2015</v>
      </c>
      <c r="U7" s="44" t="s">
        <v>172</v>
      </c>
      <c r="V7" s="31">
        <f>IF(OR(B7="",D7=""),"",IF(Q7&lt;&gt;"",Q7-B7,TodayDate-B7))</f>
        <v>0</v>
      </c>
      <c r="W7" s="50">
        <f>IF(B7="","",IF(OR(K7="Resolved",K7="Closed - no action",K7="Refunded"),"No","Yes"))</f>
        <v>0</v>
      </c>
      <c r="X7" s="50">
        <f>IF(B7="","",IF(COUNTIFS($D$5:$D$84,D7,$H$5:$H$84,H7)&gt;1,"Yes","No"))</f>
        <v>0</v>
      </c>
      <c r="Y7" s="39">
        <f>IF(B7="","",IF(W7="No","OK - closed",IF(V7&gt;7,"Overdue - open "&amp;V7&amp;" days",IF(I7="Critical","Action - critical, today",IF(L7="","Assign - nobody owns this",IF(X7="Yes","Check - repeat issue","Action - open"))))))</f>
        <v>0</v>
      </c>
    </row>
    <row r="8" spans="1:25">
      <c r="A8" s="43">
        <f>IF(B8="","",ComplaintPrefix&amp;TEXT(ROW()-4,"0000"))</f>
        <v>0</v>
      </c>
      <c r="B8" s="46">
        <v>46271</v>
      </c>
      <c r="C8" s="23">
        <f>IF(B8="","",TEXT(B8,"yyyy-mm"))</f>
        <v>0</v>
      </c>
      <c r="D8" s="49" t="s">
        <v>753</v>
      </c>
      <c r="E8" s="23">
        <f>IF(D8="","",IFERROR(INDEX(Clients!$B$5:$B$204,MATCH(D8,Clients!$A$5:$A$204,0)),"Not found"))</f>
        <v>0</v>
      </c>
      <c r="F8" s="49" t="s">
        <v>172</v>
      </c>
      <c r="G8" s="15" t="s">
        <v>596</v>
      </c>
      <c r="H8" s="15" t="s">
        <v>2016</v>
      </c>
      <c r="I8" s="45" t="s">
        <v>1998</v>
      </c>
      <c r="J8" s="44" t="s">
        <v>2017</v>
      </c>
      <c r="K8" s="45" t="s">
        <v>2000</v>
      </c>
      <c r="L8" s="15" t="s">
        <v>178</v>
      </c>
      <c r="M8" s="44" t="s">
        <v>2018</v>
      </c>
      <c r="N8" s="15" t="s">
        <v>2019</v>
      </c>
      <c r="O8" s="49" t="s">
        <v>172</v>
      </c>
      <c r="P8" s="19">
        <v>38</v>
      </c>
      <c r="Q8" s="46">
        <v>46273</v>
      </c>
      <c r="R8" s="47" t="s">
        <v>454</v>
      </c>
      <c r="S8" s="47">
        <v>5</v>
      </c>
      <c r="T8" s="44" t="s">
        <v>2020</v>
      </c>
      <c r="U8" s="44" t="s">
        <v>172</v>
      </c>
      <c r="V8" s="31">
        <f>IF(OR(B8="",D8=""),"",IF(Q8&lt;&gt;"",Q8-B8,TodayDate-B8))</f>
        <v>0</v>
      </c>
      <c r="W8" s="50">
        <f>IF(B8="","",IF(OR(K8="Resolved",K8="Closed - no action",K8="Refunded"),"No","Yes"))</f>
        <v>0</v>
      </c>
      <c r="X8" s="50">
        <f>IF(B8="","",IF(COUNTIFS($D$5:$D$84,D8,$H$5:$H$84,H8)&gt;1,"Yes","No"))</f>
        <v>0</v>
      </c>
      <c r="Y8" s="39">
        <f>IF(B8="","",IF(W8="No","OK - closed",IF(V8&gt;7,"Overdue - open "&amp;V8&amp;" days",IF(I8="Critical","Action - critical, today",IF(L8="","Assign - nobody owns this",IF(X8="Yes","Check - repeat issue","Action - open"))))))</f>
        <v>0</v>
      </c>
    </row>
    <row r="9" spans="1:25">
      <c r="A9" s="43">
        <f>IF(B9="","",ComplaintPrefix&amp;TEXT(ROW()-4,"0000"))</f>
        <v>0</v>
      </c>
      <c r="C9" s="23">
        <f>IF(B9="","",TEXT(B9,"yyyy-mm"))</f>
        <v>0</v>
      </c>
      <c r="E9" s="23">
        <f>IF(D9="","",IFERROR(INDEX(Clients!$B$5:$B$204,MATCH(D9,Clients!$A$5:$A$204,0)),"Not found"))</f>
        <v>0</v>
      </c>
      <c r="V9" s="31">
        <f>IF(OR(B9="",D9=""),"",IF(Q9&lt;&gt;"",Q9-B9,TodayDate-B9))</f>
        <v>0</v>
      </c>
      <c r="W9" s="50">
        <f>IF(B9="","",IF(OR(K9="Resolved",K9="Closed - no action",K9="Refunded"),"No","Yes"))</f>
        <v>0</v>
      </c>
      <c r="X9" s="50">
        <f>IF(B9="","",IF(COUNTIFS($D$5:$D$84,D9,$H$5:$H$84,H9)&gt;1,"Yes","No"))</f>
        <v>0</v>
      </c>
      <c r="Y9" s="39">
        <f>IF(B9="","",IF(W9="No","OK - closed",IF(V9&gt;7,"Overdue - open "&amp;V9&amp;" days",IF(I9="Critical","Action - critical, today",IF(L9="","Assign - nobody owns this",IF(X9="Yes","Check - repeat issue","Action - open"))))))</f>
        <v>0</v>
      </c>
    </row>
    <row r="10" spans="1:25">
      <c r="A10" s="43">
        <f>IF(B10="","",ComplaintPrefix&amp;TEXT(ROW()-4,"0000"))</f>
        <v>0</v>
      </c>
      <c r="C10" s="23">
        <f>IF(B10="","",TEXT(B10,"yyyy-mm"))</f>
        <v>0</v>
      </c>
      <c r="E10" s="23">
        <f>IF(D10="","",IFERROR(INDEX(Clients!$B$5:$B$204,MATCH(D10,Clients!$A$5:$A$204,0)),"Not found"))</f>
        <v>0</v>
      </c>
      <c r="V10" s="31">
        <f>IF(OR(B10="",D10=""),"",IF(Q10&lt;&gt;"",Q10-B10,TodayDate-B10))</f>
        <v>0</v>
      </c>
      <c r="W10" s="50">
        <f>IF(B10="","",IF(OR(K10="Resolved",K10="Closed - no action",K10="Refunded"),"No","Yes"))</f>
        <v>0</v>
      </c>
      <c r="X10" s="50">
        <f>IF(B10="","",IF(COUNTIFS($D$5:$D$84,D10,$H$5:$H$84,H10)&gt;1,"Yes","No"))</f>
        <v>0</v>
      </c>
      <c r="Y10" s="39">
        <f>IF(B10="","",IF(W10="No","OK - closed",IF(V10&gt;7,"Overdue - open "&amp;V10&amp;" days",IF(I10="Critical","Action - critical, today",IF(L10="","Assign - nobody owns this",IF(X10="Yes","Check - repeat issue","Action - open"))))))</f>
        <v>0</v>
      </c>
    </row>
    <row r="11" spans="1:25">
      <c r="A11" s="43">
        <f>IF(B11="","",ComplaintPrefix&amp;TEXT(ROW()-4,"0000"))</f>
        <v>0</v>
      </c>
      <c r="C11" s="23">
        <f>IF(B11="","",TEXT(B11,"yyyy-mm"))</f>
        <v>0</v>
      </c>
      <c r="E11" s="23">
        <f>IF(D11="","",IFERROR(INDEX(Clients!$B$5:$B$204,MATCH(D11,Clients!$A$5:$A$204,0)),"Not found"))</f>
        <v>0</v>
      </c>
      <c r="V11" s="31">
        <f>IF(OR(B11="",D11=""),"",IF(Q11&lt;&gt;"",Q11-B11,TodayDate-B11))</f>
        <v>0</v>
      </c>
      <c r="W11" s="50">
        <f>IF(B11="","",IF(OR(K11="Resolved",K11="Closed - no action",K11="Refunded"),"No","Yes"))</f>
        <v>0</v>
      </c>
      <c r="X11" s="50">
        <f>IF(B11="","",IF(COUNTIFS($D$5:$D$84,D11,$H$5:$H$84,H11)&gt;1,"Yes","No"))</f>
        <v>0</v>
      </c>
      <c r="Y11" s="39">
        <f>IF(B11="","",IF(W11="No","OK - closed",IF(V11&gt;7,"Overdue - open "&amp;V11&amp;" days",IF(I11="Critical","Action - critical, today",IF(L11="","Assign - nobody owns this",IF(X11="Yes","Check - repeat issue","Action - open"))))))</f>
        <v>0</v>
      </c>
    </row>
    <row r="12" spans="1:25">
      <c r="A12" s="43">
        <f>IF(B12="","",ComplaintPrefix&amp;TEXT(ROW()-4,"0000"))</f>
        <v>0</v>
      </c>
      <c r="C12" s="23">
        <f>IF(B12="","",TEXT(B12,"yyyy-mm"))</f>
        <v>0</v>
      </c>
      <c r="E12" s="23">
        <f>IF(D12="","",IFERROR(INDEX(Clients!$B$5:$B$204,MATCH(D12,Clients!$A$5:$A$204,0)),"Not found"))</f>
        <v>0</v>
      </c>
      <c r="V12" s="31">
        <f>IF(OR(B12="",D12=""),"",IF(Q12&lt;&gt;"",Q12-B12,TodayDate-B12))</f>
        <v>0</v>
      </c>
      <c r="W12" s="50">
        <f>IF(B12="","",IF(OR(K12="Resolved",K12="Closed - no action",K12="Refunded"),"No","Yes"))</f>
        <v>0</v>
      </c>
      <c r="X12" s="50">
        <f>IF(B12="","",IF(COUNTIFS($D$5:$D$84,D12,$H$5:$H$84,H12)&gt;1,"Yes","No"))</f>
        <v>0</v>
      </c>
      <c r="Y12" s="39">
        <f>IF(B12="","",IF(W12="No","OK - closed",IF(V12&gt;7,"Overdue - open "&amp;V12&amp;" days",IF(I12="Critical","Action - critical, today",IF(L12="","Assign - nobody owns this",IF(X12="Yes","Check - repeat issue","Action - open"))))))</f>
        <v>0</v>
      </c>
    </row>
    <row r="13" spans="1:25">
      <c r="A13" s="43">
        <f>IF(B13="","",ComplaintPrefix&amp;TEXT(ROW()-4,"0000"))</f>
        <v>0</v>
      </c>
      <c r="C13" s="23">
        <f>IF(B13="","",TEXT(B13,"yyyy-mm"))</f>
        <v>0</v>
      </c>
      <c r="E13" s="23">
        <f>IF(D13="","",IFERROR(INDEX(Clients!$B$5:$B$204,MATCH(D13,Clients!$A$5:$A$204,0)),"Not found"))</f>
        <v>0</v>
      </c>
      <c r="V13" s="31">
        <f>IF(OR(B13="",D13=""),"",IF(Q13&lt;&gt;"",Q13-B13,TodayDate-B13))</f>
        <v>0</v>
      </c>
      <c r="W13" s="50">
        <f>IF(B13="","",IF(OR(K13="Resolved",K13="Closed - no action",K13="Refunded"),"No","Yes"))</f>
        <v>0</v>
      </c>
      <c r="X13" s="50">
        <f>IF(B13="","",IF(COUNTIFS($D$5:$D$84,D13,$H$5:$H$84,H13)&gt;1,"Yes","No"))</f>
        <v>0</v>
      </c>
      <c r="Y13" s="39">
        <f>IF(B13="","",IF(W13="No","OK - closed",IF(V13&gt;7,"Overdue - open "&amp;V13&amp;" days",IF(I13="Critical","Action - critical, today",IF(L13="","Assign - nobody owns this",IF(X13="Yes","Check - repeat issue","Action - open"))))))</f>
        <v>0</v>
      </c>
    </row>
    <row r="14" spans="1:25">
      <c r="A14" s="43">
        <f>IF(B14="","",ComplaintPrefix&amp;TEXT(ROW()-4,"0000"))</f>
        <v>0</v>
      </c>
      <c r="C14" s="23">
        <f>IF(B14="","",TEXT(B14,"yyyy-mm"))</f>
        <v>0</v>
      </c>
      <c r="E14" s="23">
        <f>IF(D14="","",IFERROR(INDEX(Clients!$B$5:$B$204,MATCH(D14,Clients!$A$5:$A$204,0)),"Not found"))</f>
        <v>0</v>
      </c>
      <c r="V14" s="31">
        <f>IF(OR(B14="",D14=""),"",IF(Q14&lt;&gt;"",Q14-B14,TodayDate-B14))</f>
        <v>0</v>
      </c>
      <c r="W14" s="50">
        <f>IF(B14="","",IF(OR(K14="Resolved",K14="Closed - no action",K14="Refunded"),"No","Yes"))</f>
        <v>0</v>
      </c>
      <c r="X14" s="50">
        <f>IF(B14="","",IF(COUNTIFS($D$5:$D$84,D14,$H$5:$H$84,H14)&gt;1,"Yes","No"))</f>
        <v>0</v>
      </c>
      <c r="Y14" s="39">
        <f>IF(B14="","",IF(W14="No","OK - closed",IF(V14&gt;7,"Overdue - open "&amp;V14&amp;" days",IF(I14="Critical","Action - critical, today",IF(L14="","Assign - nobody owns this",IF(X14="Yes","Check - repeat issue","Action - open"))))))</f>
        <v>0</v>
      </c>
    </row>
    <row r="15" spans="1:25">
      <c r="A15" s="43">
        <f>IF(B15="","",ComplaintPrefix&amp;TEXT(ROW()-4,"0000"))</f>
        <v>0</v>
      </c>
      <c r="C15" s="23">
        <f>IF(B15="","",TEXT(B15,"yyyy-mm"))</f>
        <v>0</v>
      </c>
      <c r="E15" s="23">
        <f>IF(D15="","",IFERROR(INDEX(Clients!$B$5:$B$204,MATCH(D15,Clients!$A$5:$A$204,0)),"Not found"))</f>
        <v>0</v>
      </c>
      <c r="V15" s="31">
        <f>IF(OR(B15="",D15=""),"",IF(Q15&lt;&gt;"",Q15-B15,TodayDate-B15))</f>
        <v>0</v>
      </c>
      <c r="W15" s="50">
        <f>IF(B15="","",IF(OR(K15="Resolved",K15="Closed - no action",K15="Refunded"),"No","Yes"))</f>
        <v>0</v>
      </c>
      <c r="X15" s="50">
        <f>IF(B15="","",IF(COUNTIFS($D$5:$D$84,D15,$H$5:$H$84,H15)&gt;1,"Yes","No"))</f>
        <v>0</v>
      </c>
      <c r="Y15" s="39">
        <f>IF(B15="","",IF(W15="No","OK - closed",IF(V15&gt;7,"Overdue - open "&amp;V15&amp;" days",IF(I15="Critical","Action - critical, today",IF(L15="","Assign - nobody owns this",IF(X15="Yes","Check - repeat issue","Action - open"))))))</f>
        <v>0</v>
      </c>
    </row>
    <row r="16" spans="1:25">
      <c r="A16" s="43">
        <f>IF(B16="","",ComplaintPrefix&amp;TEXT(ROW()-4,"0000"))</f>
        <v>0</v>
      </c>
      <c r="C16" s="23">
        <f>IF(B16="","",TEXT(B16,"yyyy-mm"))</f>
        <v>0</v>
      </c>
      <c r="E16" s="23">
        <f>IF(D16="","",IFERROR(INDEX(Clients!$B$5:$B$204,MATCH(D16,Clients!$A$5:$A$204,0)),"Not found"))</f>
        <v>0</v>
      </c>
      <c r="V16" s="31">
        <f>IF(OR(B16="",D16=""),"",IF(Q16&lt;&gt;"",Q16-B16,TodayDate-B16))</f>
        <v>0</v>
      </c>
      <c r="W16" s="50">
        <f>IF(B16="","",IF(OR(K16="Resolved",K16="Closed - no action",K16="Refunded"),"No","Yes"))</f>
        <v>0</v>
      </c>
      <c r="X16" s="50">
        <f>IF(B16="","",IF(COUNTIFS($D$5:$D$84,D16,$H$5:$H$84,H16)&gt;1,"Yes","No"))</f>
        <v>0</v>
      </c>
      <c r="Y16" s="39">
        <f>IF(B16="","",IF(W16="No","OK - closed",IF(V16&gt;7,"Overdue - open "&amp;V16&amp;" days",IF(I16="Critical","Action - critical, today",IF(L16="","Assign - nobody owns this",IF(X16="Yes","Check - repeat issue","Action - open"))))))</f>
        <v>0</v>
      </c>
    </row>
    <row r="17" spans="1:25">
      <c r="A17" s="43">
        <f>IF(B17="","",ComplaintPrefix&amp;TEXT(ROW()-4,"0000"))</f>
        <v>0</v>
      </c>
      <c r="C17" s="23">
        <f>IF(B17="","",TEXT(B17,"yyyy-mm"))</f>
        <v>0</v>
      </c>
      <c r="E17" s="23">
        <f>IF(D17="","",IFERROR(INDEX(Clients!$B$5:$B$204,MATCH(D17,Clients!$A$5:$A$204,0)),"Not found"))</f>
        <v>0</v>
      </c>
      <c r="V17" s="31">
        <f>IF(OR(B17="",D17=""),"",IF(Q17&lt;&gt;"",Q17-B17,TodayDate-B17))</f>
        <v>0</v>
      </c>
      <c r="W17" s="50">
        <f>IF(B17="","",IF(OR(K17="Resolved",K17="Closed - no action",K17="Refunded"),"No","Yes"))</f>
        <v>0</v>
      </c>
      <c r="X17" s="50">
        <f>IF(B17="","",IF(COUNTIFS($D$5:$D$84,D17,$H$5:$H$84,H17)&gt;1,"Yes","No"))</f>
        <v>0</v>
      </c>
      <c r="Y17" s="39">
        <f>IF(B17="","",IF(W17="No","OK - closed",IF(V17&gt;7,"Overdue - open "&amp;V17&amp;" days",IF(I17="Critical","Action - critical, today",IF(L17="","Assign - nobody owns this",IF(X17="Yes","Check - repeat issue","Action - open"))))))</f>
        <v>0</v>
      </c>
    </row>
    <row r="18" spans="1:25">
      <c r="A18" s="43">
        <f>IF(B18="","",ComplaintPrefix&amp;TEXT(ROW()-4,"0000"))</f>
        <v>0</v>
      </c>
      <c r="C18" s="23">
        <f>IF(B18="","",TEXT(B18,"yyyy-mm"))</f>
        <v>0</v>
      </c>
      <c r="E18" s="23">
        <f>IF(D18="","",IFERROR(INDEX(Clients!$B$5:$B$204,MATCH(D18,Clients!$A$5:$A$204,0)),"Not found"))</f>
        <v>0</v>
      </c>
      <c r="V18" s="31">
        <f>IF(OR(B18="",D18=""),"",IF(Q18&lt;&gt;"",Q18-B18,TodayDate-B18))</f>
        <v>0</v>
      </c>
      <c r="W18" s="50">
        <f>IF(B18="","",IF(OR(K18="Resolved",K18="Closed - no action",K18="Refunded"),"No","Yes"))</f>
        <v>0</v>
      </c>
      <c r="X18" s="50">
        <f>IF(B18="","",IF(COUNTIFS($D$5:$D$84,D18,$H$5:$H$84,H18)&gt;1,"Yes","No"))</f>
        <v>0</v>
      </c>
      <c r="Y18" s="39">
        <f>IF(B18="","",IF(W18="No","OK - closed",IF(V18&gt;7,"Overdue - open "&amp;V18&amp;" days",IF(I18="Critical","Action - critical, today",IF(L18="","Assign - nobody owns this",IF(X18="Yes","Check - repeat issue","Action - open"))))))</f>
        <v>0</v>
      </c>
    </row>
    <row r="19" spans="1:25">
      <c r="A19" s="43">
        <f>IF(B19="","",ComplaintPrefix&amp;TEXT(ROW()-4,"0000"))</f>
        <v>0</v>
      </c>
      <c r="C19" s="23">
        <f>IF(B19="","",TEXT(B19,"yyyy-mm"))</f>
        <v>0</v>
      </c>
      <c r="E19" s="23">
        <f>IF(D19="","",IFERROR(INDEX(Clients!$B$5:$B$204,MATCH(D19,Clients!$A$5:$A$204,0)),"Not found"))</f>
        <v>0</v>
      </c>
      <c r="V19" s="31">
        <f>IF(OR(B19="",D19=""),"",IF(Q19&lt;&gt;"",Q19-B19,TodayDate-B19))</f>
        <v>0</v>
      </c>
      <c r="W19" s="50">
        <f>IF(B19="","",IF(OR(K19="Resolved",K19="Closed - no action",K19="Refunded"),"No","Yes"))</f>
        <v>0</v>
      </c>
      <c r="X19" s="50">
        <f>IF(B19="","",IF(COUNTIFS($D$5:$D$84,D19,$H$5:$H$84,H19)&gt;1,"Yes","No"))</f>
        <v>0</v>
      </c>
      <c r="Y19" s="39">
        <f>IF(B19="","",IF(W19="No","OK - closed",IF(V19&gt;7,"Overdue - open "&amp;V19&amp;" days",IF(I19="Critical","Action - critical, today",IF(L19="","Assign - nobody owns this",IF(X19="Yes","Check - repeat issue","Action - open"))))))</f>
        <v>0</v>
      </c>
    </row>
    <row r="20" spans="1:25">
      <c r="A20" s="43">
        <f>IF(B20="","",ComplaintPrefix&amp;TEXT(ROW()-4,"0000"))</f>
        <v>0</v>
      </c>
      <c r="C20" s="23">
        <f>IF(B20="","",TEXT(B20,"yyyy-mm"))</f>
        <v>0</v>
      </c>
      <c r="E20" s="23">
        <f>IF(D20="","",IFERROR(INDEX(Clients!$B$5:$B$204,MATCH(D20,Clients!$A$5:$A$204,0)),"Not found"))</f>
        <v>0</v>
      </c>
      <c r="V20" s="31">
        <f>IF(OR(B20="",D20=""),"",IF(Q20&lt;&gt;"",Q20-B20,TodayDate-B20))</f>
        <v>0</v>
      </c>
      <c r="W20" s="50">
        <f>IF(B20="","",IF(OR(K20="Resolved",K20="Closed - no action",K20="Refunded"),"No","Yes"))</f>
        <v>0</v>
      </c>
      <c r="X20" s="50">
        <f>IF(B20="","",IF(COUNTIFS($D$5:$D$84,D20,$H$5:$H$84,H20)&gt;1,"Yes","No"))</f>
        <v>0</v>
      </c>
      <c r="Y20" s="39">
        <f>IF(B20="","",IF(W20="No","OK - closed",IF(V20&gt;7,"Overdue - open "&amp;V20&amp;" days",IF(I20="Critical","Action - critical, today",IF(L20="","Assign - nobody owns this",IF(X20="Yes","Check - repeat issue","Action - open"))))))</f>
        <v>0</v>
      </c>
    </row>
    <row r="21" spans="1:25">
      <c r="A21" s="43">
        <f>IF(B21="","",ComplaintPrefix&amp;TEXT(ROW()-4,"0000"))</f>
        <v>0</v>
      </c>
      <c r="C21" s="23">
        <f>IF(B21="","",TEXT(B21,"yyyy-mm"))</f>
        <v>0</v>
      </c>
      <c r="E21" s="23">
        <f>IF(D21="","",IFERROR(INDEX(Clients!$B$5:$B$204,MATCH(D21,Clients!$A$5:$A$204,0)),"Not found"))</f>
        <v>0</v>
      </c>
      <c r="V21" s="31">
        <f>IF(OR(B21="",D21=""),"",IF(Q21&lt;&gt;"",Q21-B21,TodayDate-B21))</f>
        <v>0</v>
      </c>
      <c r="W21" s="50">
        <f>IF(B21="","",IF(OR(K21="Resolved",K21="Closed - no action",K21="Refunded"),"No","Yes"))</f>
        <v>0</v>
      </c>
      <c r="X21" s="50">
        <f>IF(B21="","",IF(COUNTIFS($D$5:$D$84,D21,$H$5:$H$84,H21)&gt;1,"Yes","No"))</f>
        <v>0</v>
      </c>
      <c r="Y21" s="39">
        <f>IF(B21="","",IF(W21="No","OK - closed",IF(V21&gt;7,"Overdue - open "&amp;V21&amp;" days",IF(I21="Critical","Action - critical, today",IF(L21="","Assign - nobody owns this",IF(X21="Yes","Check - repeat issue","Action - open"))))))</f>
        <v>0</v>
      </c>
    </row>
    <row r="22" spans="1:25">
      <c r="A22" s="43">
        <f>IF(B22="","",ComplaintPrefix&amp;TEXT(ROW()-4,"0000"))</f>
        <v>0</v>
      </c>
      <c r="C22" s="23">
        <f>IF(B22="","",TEXT(B22,"yyyy-mm"))</f>
        <v>0</v>
      </c>
      <c r="E22" s="23">
        <f>IF(D22="","",IFERROR(INDEX(Clients!$B$5:$B$204,MATCH(D22,Clients!$A$5:$A$204,0)),"Not found"))</f>
        <v>0</v>
      </c>
      <c r="V22" s="31">
        <f>IF(OR(B22="",D22=""),"",IF(Q22&lt;&gt;"",Q22-B22,TodayDate-B22))</f>
        <v>0</v>
      </c>
      <c r="W22" s="50">
        <f>IF(B22="","",IF(OR(K22="Resolved",K22="Closed - no action",K22="Refunded"),"No","Yes"))</f>
        <v>0</v>
      </c>
      <c r="X22" s="50">
        <f>IF(B22="","",IF(COUNTIFS($D$5:$D$84,D22,$H$5:$H$84,H22)&gt;1,"Yes","No"))</f>
        <v>0</v>
      </c>
      <c r="Y22" s="39">
        <f>IF(B22="","",IF(W22="No","OK - closed",IF(V22&gt;7,"Overdue - open "&amp;V22&amp;" days",IF(I22="Critical","Action - critical, today",IF(L22="","Assign - nobody owns this",IF(X22="Yes","Check - repeat issue","Action - open"))))))</f>
        <v>0</v>
      </c>
    </row>
    <row r="23" spans="1:25">
      <c r="A23" s="43">
        <f>IF(B23="","",ComplaintPrefix&amp;TEXT(ROW()-4,"0000"))</f>
        <v>0</v>
      </c>
      <c r="C23" s="23">
        <f>IF(B23="","",TEXT(B23,"yyyy-mm"))</f>
        <v>0</v>
      </c>
      <c r="E23" s="23">
        <f>IF(D23="","",IFERROR(INDEX(Clients!$B$5:$B$204,MATCH(D23,Clients!$A$5:$A$204,0)),"Not found"))</f>
        <v>0</v>
      </c>
      <c r="V23" s="31">
        <f>IF(OR(B23="",D23=""),"",IF(Q23&lt;&gt;"",Q23-B23,TodayDate-B23))</f>
        <v>0</v>
      </c>
      <c r="W23" s="50">
        <f>IF(B23="","",IF(OR(K23="Resolved",K23="Closed - no action",K23="Refunded"),"No","Yes"))</f>
        <v>0</v>
      </c>
      <c r="X23" s="50">
        <f>IF(B23="","",IF(COUNTIFS($D$5:$D$84,D23,$H$5:$H$84,H23)&gt;1,"Yes","No"))</f>
        <v>0</v>
      </c>
      <c r="Y23" s="39">
        <f>IF(B23="","",IF(W23="No","OK - closed",IF(V23&gt;7,"Overdue - open "&amp;V23&amp;" days",IF(I23="Critical","Action - critical, today",IF(L23="","Assign - nobody owns this",IF(X23="Yes","Check - repeat issue","Action - open"))))))</f>
        <v>0</v>
      </c>
    </row>
    <row r="24" spans="1:25">
      <c r="A24" s="43">
        <f>IF(B24="","",ComplaintPrefix&amp;TEXT(ROW()-4,"0000"))</f>
        <v>0</v>
      </c>
      <c r="C24" s="23">
        <f>IF(B24="","",TEXT(B24,"yyyy-mm"))</f>
        <v>0</v>
      </c>
      <c r="E24" s="23">
        <f>IF(D24="","",IFERROR(INDEX(Clients!$B$5:$B$204,MATCH(D24,Clients!$A$5:$A$204,0)),"Not found"))</f>
        <v>0</v>
      </c>
      <c r="V24" s="31">
        <f>IF(OR(B24="",D24=""),"",IF(Q24&lt;&gt;"",Q24-B24,TodayDate-B24))</f>
        <v>0</v>
      </c>
      <c r="W24" s="50">
        <f>IF(B24="","",IF(OR(K24="Resolved",K24="Closed - no action",K24="Refunded"),"No","Yes"))</f>
        <v>0</v>
      </c>
      <c r="X24" s="50">
        <f>IF(B24="","",IF(COUNTIFS($D$5:$D$84,D24,$H$5:$H$84,H24)&gt;1,"Yes","No"))</f>
        <v>0</v>
      </c>
      <c r="Y24" s="39">
        <f>IF(B24="","",IF(W24="No","OK - closed",IF(V24&gt;7,"Overdue - open "&amp;V24&amp;" days",IF(I24="Critical","Action - critical, today",IF(L24="","Assign - nobody owns this",IF(X24="Yes","Check - repeat issue","Action - open"))))))</f>
        <v>0</v>
      </c>
    </row>
    <row r="25" spans="1:25">
      <c r="A25" s="43">
        <f>IF(B25="","",ComplaintPrefix&amp;TEXT(ROW()-4,"0000"))</f>
        <v>0</v>
      </c>
      <c r="C25" s="23">
        <f>IF(B25="","",TEXT(B25,"yyyy-mm"))</f>
        <v>0</v>
      </c>
      <c r="E25" s="23">
        <f>IF(D25="","",IFERROR(INDEX(Clients!$B$5:$B$204,MATCH(D25,Clients!$A$5:$A$204,0)),"Not found"))</f>
        <v>0</v>
      </c>
      <c r="V25" s="31">
        <f>IF(OR(B25="",D25=""),"",IF(Q25&lt;&gt;"",Q25-B25,TodayDate-B25))</f>
        <v>0</v>
      </c>
      <c r="W25" s="50">
        <f>IF(B25="","",IF(OR(K25="Resolved",K25="Closed - no action",K25="Refunded"),"No","Yes"))</f>
        <v>0</v>
      </c>
      <c r="X25" s="50">
        <f>IF(B25="","",IF(COUNTIFS($D$5:$D$84,D25,$H$5:$H$84,H25)&gt;1,"Yes","No"))</f>
        <v>0</v>
      </c>
      <c r="Y25" s="39">
        <f>IF(B25="","",IF(W25="No","OK - closed",IF(V25&gt;7,"Overdue - open "&amp;V25&amp;" days",IF(I25="Critical","Action - critical, today",IF(L25="","Assign - nobody owns this",IF(X25="Yes","Check - repeat issue","Action - open"))))))</f>
        <v>0</v>
      </c>
    </row>
    <row r="26" spans="1:25">
      <c r="A26" s="43">
        <f>IF(B26="","",ComplaintPrefix&amp;TEXT(ROW()-4,"0000"))</f>
        <v>0</v>
      </c>
      <c r="C26" s="23">
        <f>IF(B26="","",TEXT(B26,"yyyy-mm"))</f>
        <v>0</v>
      </c>
      <c r="E26" s="23">
        <f>IF(D26="","",IFERROR(INDEX(Clients!$B$5:$B$204,MATCH(D26,Clients!$A$5:$A$204,0)),"Not found"))</f>
        <v>0</v>
      </c>
      <c r="V26" s="31">
        <f>IF(OR(B26="",D26=""),"",IF(Q26&lt;&gt;"",Q26-B26,TodayDate-B26))</f>
        <v>0</v>
      </c>
      <c r="W26" s="50">
        <f>IF(B26="","",IF(OR(K26="Resolved",K26="Closed - no action",K26="Refunded"),"No","Yes"))</f>
        <v>0</v>
      </c>
      <c r="X26" s="50">
        <f>IF(B26="","",IF(COUNTIFS($D$5:$D$84,D26,$H$5:$H$84,H26)&gt;1,"Yes","No"))</f>
        <v>0</v>
      </c>
      <c r="Y26" s="39">
        <f>IF(B26="","",IF(W26="No","OK - closed",IF(V26&gt;7,"Overdue - open "&amp;V26&amp;" days",IF(I26="Critical","Action - critical, today",IF(L26="","Assign - nobody owns this",IF(X26="Yes","Check - repeat issue","Action - open"))))))</f>
        <v>0</v>
      </c>
    </row>
    <row r="27" spans="1:25">
      <c r="A27" s="43">
        <f>IF(B27="","",ComplaintPrefix&amp;TEXT(ROW()-4,"0000"))</f>
        <v>0</v>
      </c>
      <c r="C27" s="23">
        <f>IF(B27="","",TEXT(B27,"yyyy-mm"))</f>
        <v>0</v>
      </c>
      <c r="E27" s="23">
        <f>IF(D27="","",IFERROR(INDEX(Clients!$B$5:$B$204,MATCH(D27,Clients!$A$5:$A$204,0)),"Not found"))</f>
        <v>0</v>
      </c>
      <c r="V27" s="31">
        <f>IF(OR(B27="",D27=""),"",IF(Q27&lt;&gt;"",Q27-B27,TodayDate-B27))</f>
        <v>0</v>
      </c>
      <c r="W27" s="50">
        <f>IF(B27="","",IF(OR(K27="Resolved",K27="Closed - no action",K27="Refunded"),"No","Yes"))</f>
        <v>0</v>
      </c>
      <c r="X27" s="50">
        <f>IF(B27="","",IF(COUNTIFS($D$5:$D$84,D27,$H$5:$H$84,H27)&gt;1,"Yes","No"))</f>
        <v>0</v>
      </c>
      <c r="Y27" s="39">
        <f>IF(B27="","",IF(W27="No","OK - closed",IF(V27&gt;7,"Overdue - open "&amp;V27&amp;" days",IF(I27="Critical","Action - critical, today",IF(L27="","Assign - nobody owns this",IF(X27="Yes","Check - repeat issue","Action - open"))))))</f>
        <v>0</v>
      </c>
    </row>
    <row r="28" spans="1:25">
      <c r="A28" s="43">
        <f>IF(B28="","",ComplaintPrefix&amp;TEXT(ROW()-4,"0000"))</f>
        <v>0</v>
      </c>
      <c r="C28" s="23">
        <f>IF(B28="","",TEXT(B28,"yyyy-mm"))</f>
        <v>0</v>
      </c>
      <c r="E28" s="23">
        <f>IF(D28="","",IFERROR(INDEX(Clients!$B$5:$B$204,MATCH(D28,Clients!$A$5:$A$204,0)),"Not found"))</f>
        <v>0</v>
      </c>
      <c r="V28" s="31">
        <f>IF(OR(B28="",D28=""),"",IF(Q28&lt;&gt;"",Q28-B28,TodayDate-B28))</f>
        <v>0</v>
      </c>
      <c r="W28" s="50">
        <f>IF(B28="","",IF(OR(K28="Resolved",K28="Closed - no action",K28="Refunded"),"No","Yes"))</f>
        <v>0</v>
      </c>
      <c r="X28" s="50">
        <f>IF(B28="","",IF(COUNTIFS($D$5:$D$84,D28,$H$5:$H$84,H28)&gt;1,"Yes","No"))</f>
        <v>0</v>
      </c>
      <c r="Y28" s="39">
        <f>IF(B28="","",IF(W28="No","OK - closed",IF(V28&gt;7,"Overdue - open "&amp;V28&amp;" days",IF(I28="Critical","Action - critical, today",IF(L28="","Assign - nobody owns this",IF(X28="Yes","Check - repeat issue","Action - open"))))))</f>
        <v>0</v>
      </c>
    </row>
    <row r="29" spans="1:25">
      <c r="A29" s="43">
        <f>IF(B29="","",ComplaintPrefix&amp;TEXT(ROW()-4,"0000"))</f>
        <v>0</v>
      </c>
      <c r="C29" s="23">
        <f>IF(B29="","",TEXT(B29,"yyyy-mm"))</f>
        <v>0</v>
      </c>
      <c r="E29" s="23">
        <f>IF(D29="","",IFERROR(INDEX(Clients!$B$5:$B$204,MATCH(D29,Clients!$A$5:$A$204,0)),"Not found"))</f>
        <v>0</v>
      </c>
      <c r="V29" s="31">
        <f>IF(OR(B29="",D29=""),"",IF(Q29&lt;&gt;"",Q29-B29,TodayDate-B29))</f>
        <v>0</v>
      </c>
      <c r="W29" s="50">
        <f>IF(B29="","",IF(OR(K29="Resolved",K29="Closed - no action",K29="Refunded"),"No","Yes"))</f>
        <v>0</v>
      </c>
      <c r="X29" s="50">
        <f>IF(B29="","",IF(COUNTIFS($D$5:$D$84,D29,$H$5:$H$84,H29)&gt;1,"Yes","No"))</f>
        <v>0</v>
      </c>
      <c r="Y29" s="39">
        <f>IF(B29="","",IF(W29="No","OK - closed",IF(V29&gt;7,"Overdue - open "&amp;V29&amp;" days",IF(I29="Critical","Action - critical, today",IF(L29="","Assign - nobody owns this",IF(X29="Yes","Check - repeat issue","Action - open"))))))</f>
        <v>0</v>
      </c>
    </row>
    <row r="30" spans="1:25">
      <c r="A30" s="43">
        <f>IF(B30="","",ComplaintPrefix&amp;TEXT(ROW()-4,"0000"))</f>
        <v>0</v>
      </c>
      <c r="C30" s="23">
        <f>IF(B30="","",TEXT(B30,"yyyy-mm"))</f>
        <v>0</v>
      </c>
      <c r="E30" s="23">
        <f>IF(D30="","",IFERROR(INDEX(Clients!$B$5:$B$204,MATCH(D30,Clients!$A$5:$A$204,0)),"Not found"))</f>
        <v>0</v>
      </c>
      <c r="V30" s="31">
        <f>IF(OR(B30="",D30=""),"",IF(Q30&lt;&gt;"",Q30-B30,TodayDate-B30))</f>
        <v>0</v>
      </c>
      <c r="W30" s="50">
        <f>IF(B30="","",IF(OR(K30="Resolved",K30="Closed - no action",K30="Refunded"),"No","Yes"))</f>
        <v>0</v>
      </c>
      <c r="X30" s="50">
        <f>IF(B30="","",IF(COUNTIFS($D$5:$D$84,D30,$H$5:$H$84,H30)&gt;1,"Yes","No"))</f>
        <v>0</v>
      </c>
      <c r="Y30" s="39">
        <f>IF(B30="","",IF(W30="No","OK - closed",IF(V30&gt;7,"Overdue - open "&amp;V30&amp;" days",IF(I30="Critical","Action - critical, today",IF(L30="","Assign - nobody owns this",IF(X30="Yes","Check - repeat issue","Action - open"))))))</f>
        <v>0</v>
      </c>
    </row>
    <row r="31" spans="1:25">
      <c r="A31" s="43">
        <f>IF(B31="","",ComplaintPrefix&amp;TEXT(ROW()-4,"0000"))</f>
        <v>0</v>
      </c>
      <c r="C31" s="23">
        <f>IF(B31="","",TEXT(B31,"yyyy-mm"))</f>
        <v>0</v>
      </c>
      <c r="E31" s="23">
        <f>IF(D31="","",IFERROR(INDEX(Clients!$B$5:$B$204,MATCH(D31,Clients!$A$5:$A$204,0)),"Not found"))</f>
        <v>0</v>
      </c>
      <c r="V31" s="31">
        <f>IF(OR(B31="",D31=""),"",IF(Q31&lt;&gt;"",Q31-B31,TodayDate-B31))</f>
        <v>0</v>
      </c>
      <c r="W31" s="50">
        <f>IF(B31="","",IF(OR(K31="Resolved",K31="Closed - no action",K31="Refunded"),"No","Yes"))</f>
        <v>0</v>
      </c>
      <c r="X31" s="50">
        <f>IF(B31="","",IF(COUNTIFS($D$5:$D$84,D31,$H$5:$H$84,H31)&gt;1,"Yes","No"))</f>
        <v>0</v>
      </c>
      <c r="Y31" s="39">
        <f>IF(B31="","",IF(W31="No","OK - closed",IF(V31&gt;7,"Overdue - open "&amp;V31&amp;" days",IF(I31="Critical","Action - critical, today",IF(L31="","Assign - nobody owns this",IF(X31="Yes","Check - repeat issue","Action - open"))))))</f>
        <v>0</v>
      </c>
    </row>
    <row r="32" spans="1:25">
      <c r="A32" s="43">
        <f>IF(B32="","",ComplaintPrefix&amp;TEXT(ROW()-4,"0000"))</f>
        <v>0</v>
      </c>
      <c r="C32" s="23">
        <f>IF(B32="","",TEXT(B32,"yyyy-mm"))</f>
        <v>0</v>
      </c>
      <c r="E32" s="23">
        <f>IF(D32="","",IFERROR(INDEX(Clients!$B$5:$B$204,MATCH(D32,Clients!$A$5:$A$204,0)),"Not found"))</f>
        <v>0</v>
      </c>
      <c r="V32" s="31">
        <f>IF(OR(B32="",D32=""),"",IF(Q32&lt;&gt;"",Q32-B32,TodayDate-B32))</f>
        <v>0</v>
      </c>
      <c r="W32" s="50">
        <f>IF(B32="","",IF(OR(K32="Resolved",K32="Closed - no action",K32="Refunded"),"No","Yes"))</f>
        <v>0</v>
      </c>
      <c r="X32" s="50">
        <f>IF(B32="","",IF(COUNTIFS($D$5:$D$84,D32,$H$5:$H$84,H32)&gt;1,"Yes","No"))</f>
        <v>0</v>
      </c>
      <c r="Y32" s="39">
        <f>IF(B32="","",IF(W32="No","OK - closed",IF(V32&gt;7,"Overdue - open "&amp;V32&amp;" days",IF(I32="Critical","Action - critical, today",IF(L32="","Assign - nobody owns this",IF(X32="Yes","Check - repeat issue","Action - open"))))))</f>
        <v>0</v>
      </c>
    </row>
    <row r="33" spans="1:25">
      <c r="A33" s="43">
        <f>IF(B33="","",ComplaintPrefix&amp;TEXT(ROW()-4,"0000"))</f>
        <v>0</v>
      </c>
      <c r="C33" s="23">
        <f>IF(B33="","",TEXT(B33,"yyyy-mm"))</f>
        <v>0</v>
      </c>
      <c r="E33" s="23">
        <f>IF(D33="","",IFERROR(INDEX(Clients!$B$5:$B$204,MATCH(D33,Clients!$A$5:$A$204,0)),"Not found"))</f>
        <v>0</v>
      </c>
      <c r="V33" s="31">
        <f>IF(OR(B33="",D33=""),"",IF(Q33&lt;&gt;"",Q33-B33,TodayDate-B33))</f>
        <v>0</v>
      </c>
      <c r="W33" s="50">
        <f>IF(B33="","",IF(OR(K33="Resolved",K33="Closed - no action",K33="Refunded"),"No","Yes"))</f>
        <v>0</v>
      </c>
      <c r="X33" s="50">
        <f>IF(B33="","",IF(COUNTIFS($D$5:$D$84,D33,$H$5:$H$84,H33)&gt;1,"Yes","No"))</f>
        <v>0</v>
      </c>
      <c r="Y33" s="39">
        <f>IF(B33="","",IF(W33="No","OK - closed",IF(V33&gt;7,"Overdue - open "&amp;V33&amp;" days",IF(I33="Critical","Action - critical, today",IF(L33="","Assign - nobody owns this",IF(X33="Yes","Check - repeat issue","Action - open"))))))</f>
        <v>0</v>
      </c>
    </row>
    <row r="34" spans="1:25">
      <c r="A34" s="43">
        <f>IF(B34="","",ComplaintPrefix&amp;TEXT(ROW()-4,"0000"))</f>
        <v>0</v>
      </c>
      <c r="C34" s="23">
        <f>IF(B34="","",TEXT(B34,"yyyy-mm"))</f>
        <v>0</v>
      </c>
      <c r="E34" s="23">
        <f>IF(D34="","",IFERROR(INDEX(Clients!$B$5:$B$204,MATCH(D34,Clients!$A$5:$A$204,0)),"Not found"))</f>
        <v>0</v>
      </c>
      <c r="V34" s="31">
        <f>IF(OR(B34="",D34=""),"",IF(Q34&lt;&gt;"",Q34-B34,TodayDate-B34))</f>
        <v>0</v>
      </c>
      <c r="W34" s="50">
        <f>IF(B34="","",IF(OR(K34="Resolved",K34="Closed - no action",K34="Refunded"),"No","Yes"))</f>
        <v>0</v>
      </c>
      <c r="X34" s="50">
        <f>IF(B34="","",IF(COUNTIFS($D$5:$D$84,D34,$H$5:$H$84,H34)&gt;1,"Yes","No"))</f>
        <v>0</v>
      </c>
      <c r="Y34" s="39">
        <f>IF(B34="","",IF(W34="No","OK - closed",IF(V34&gt;7,"Overdue - open "&amp;V34&amp;" days",IF(I34="Critical","Action - critical, today",IF(L34="","Assign - nobody owns this",IF(X34="Yes","Check - repeat issue","Action - open"))))))</f>
        <v>0</v>
      </c>
    </row>
    <row r="35" spans="1:25">
      <c r="A35" s="43">
        <f>IF(B35="","",ComplaintPrefix&amp;TEXT(ROW()-4,"0000"))</f>
        <v>0</v>
      </c>
      <c r="C35" s="23">
        <f>IF(B35="","",TEXT(B35,"yyyy-mm"))</f>
        <v>0</v>
      </c>
      <c r="E35" s="23">
        <f>IF(D35="","",IFERROR(INDEX(Clients!$B$5:$B$204,MATCH(D35,Clients!$A$5:$A$204,0)),"Not found"))</f>
        <v>0</v>
      </c>
      <c r="V35" s="31">
        <f>IF(OR(B35="",D35=""),"",IF(Q35&lt;&gt;"",Q35-B35,TodayDate-B35))</f>
        <v>0</v>
      </c>
      <c r="W35" s="50">
        <f>IF(B35="","",IF(OR(K35="Resolved",K35="Closed - no action",K35="Refunded"),"No","Yes"))</f>
        <v>0</v>
      </c>
      <c r="X35" s="50">
        <f>IF(B35="","",IF(COUNTIFS($D$5:$D$84,D35,$H$5:$H$84,H35)&gt;1,"Yes","No"))</f>
        <v>0</v>
      </c>
      <c r="Y35" s="39">
        <f>IF(B35="","",IF(W35="No","OK - closed",IF(V35&gt;7,"Overdue - open "&amp;V35&amp;" days",IF(I35="Critical","Action - critical, today",IF(L35="","Assign - nobody owns this",IF(X35="Yes","Check - repeat issue","Action - open"))))))</f>
        <v>0</v>
      </c>
    </row>
    <row r="36" spans="1:25">
      <c r="A36" s="43">
        <f>IF(B36="","",ComplaintPrefix&amp;TEXT(ROW()-4,"0000"))</f>
        <v>0</v>
      </c>
      <c r="C36" s="23">
        <f>IF(B36="","",TEXT(B36,"yyyy-mm"))</f>
        <v>0</v>
      </c>
      <c r="E36" s="23">
        <f>IF(D36="","",IFERROR(INDEX(Clients!$B$5:$B$204,MATCH(D36,Clients!$A$5:$A$204,0)),"Not found"))</f>
        <v>0</v>
      </c>
      <c r="V36" s="31">
        <f>IF(OR(B36="",D36=""),"",IF(Q36&lt;&gt;"",Q36-B36,TodayDate-B36))</f>
        <v>0</v>
      </c>
      <c r="W36" s="50">
        <f>IF(B36="","",IF(OR(K36="Resolved",K36="Closed - no action",K36="Refunded"),"No","Yes"))</f>
        <v>0</v>
      </c>
      <c r="X36" s="50">
        <f>IF(B36="","",IF(COUNTIFS($D$5:$D$84,D36,$H$5:$H$84,H36)&gt;1,"Yes","No"))</f>
        <v>0</v>
      </c>
      <c r="Y36" s="39">
        <f>IF(B36="","",IF(W36="No","OK - closed",IF(V36&gt;7,"Overdue - open "&amp;V36&amp;" days",IF(I36="Critical","Action - critical, today",IF(L36="","Assign - nobody owns this",IF(X36="Yes","Check - repeat issue","Action - open"))))))</f>
        <v>0</v>
      </c>
    </row>
    <row r="37" spans="1:25">
      <c r="A37" s="43">
        <f>IF(B37="","",ComplaintPrefix&amp;TEXT(ROW()-4,"0000"))</f>
        <v>0</v>
      </c>
      <c r="C37" s="23">
        <f>IF(B37="","",TEXT(B37,"yyyy-mm"))</f>
        <v>0</v>
      </c>
      <c r="E37" s="23">
        <f>IF(D37="","",IFERROR(INDEX(Clients!$B$5:$B$204,MATCH(D37,Clients!$A$5:$A$204,0)),"Not found"))</f>
        <v>0</v>
      </c>
      <c r="V37" s="31">
        <f>IF(OR(B37="",D37=""),"",IF(Q37&lt;&gt;"",Q37-B37,TodayDate-B37))</f>
        <v>0</v>
      </c>
      <c r="W37" s="50">
        <f>IF(B37="","",IF(OR(K37="Resolved",K37="Closed - no action",K37="Refunded"),"No","Yes"))</f>
        <v>0</v>
      </c>
      <c r="X37" s="50">
        <f>IF(B37="","",IF(COUNTIFS($D$5:$D$84,D37,$H$5:$H$84,H37)&gt;1,"Yes","No"))</f>
        <v>0</v>
      </c>
      <c r="Y37" s="39">
        <f>IF(B37="","",IF(W37="No","OK - closed",IF(V37&gt;7,"Overdue - open "&amp;V37&amp;" days",IF(I37="Critical","Action - critical, today",IF(L37="","Assign - nobody owns this",IF(X37="Yes","Check - repeat issue","Action - open"))))))</f>
        <v>0</v>
      </c>
    </row>
    <row r="38" spans="1:25">
      <c r="A38" s="43">
        <f>IF(B38="","",ComplaintPrefix&amp;TEXT(ROW()-4,"0000"))</f>
        <v>0</v>
      </c>
      <c r="C38" s="23">
        <f>IF(B38="","",TEXT(B38,"yyyy-mm"))</f>
        <v>0</v>
      </c>
      <c r="E38" s="23">
        <f>IF(D38="","",IFERROR(INDEX(Clients!$B$5:$B$204,MATCH(D38,Clients!$A$5:$A$204,0)),"Not found"))</f>
        <v>0</v>
      </c>
      <c r="V38" s="31">
        <f>IF(OR(B38="",D38=""),"",IF(Q38&lt;&gt;"",Q38-B38,TodayDate-B38))</f>
        <v>0</v>
      </c>
      <c r="W38" s="50">
        <f>IF(B38="","",IF(OR(K38="Resolved",K38="Closed - no action",K38="Refunded"),"No","Yes"))</f>
        <v>0</v>
      </c>
      <c r="X38" s="50">
        <f>IF(B38="","",IF(COUNTIFS($D$5:$D$84,D38,$H$5:$H$84,H38)&gt;1,"Yes","No"))</f>
        <v>0</v>
      </c>
      <c r="Y38" s="39">
        <f>IF(B38="","",IF(W38="No","OK - closed",IF(V38&gt;7,"Overdue - open "&amp;V38&amp;" days",IF(I38="Critical","Action - critical, today",IF(L38="","Assign - nobody owns this",IF(X38="Yes","Check - repeat issue","Action - open"))))))</f>
        <v>0</v>
      </c>
    </row>
    <row r="39" spans="1:25">
      <c r="A39" s="43">
        <f>IF(B39="","",ComplaintPrefix&amp;TEXT(ROW()-4,"0000"))</f>
        <v>0</v>
      </c>
      <c r="C39" s="23">
        <f>IF(B39="","",TEXT(B39,"yyyy-mm"))</f>
        <v>0</v>
      </c>
      <c r="E39" s="23">
        <f>IF(D39="","",IFERROR(INDEX(Clients!$B$5:$B$204,MATCH(D39,Clients!$A$5:$A$204,0)),"Not found"))</f>
        <v>0</v>
      </c>
      <c r="V39" s="31">
        <f>IF(OR(B39="",D39=""),"",IF(Q39&lt;&gt;"",Q39-B39,TodayDate-B39))</f>
        <v>0</v>
      </c>
      <c r="W39" s="50">
        <f>IF(B39="","",IF(OR(K39="Resolved",K39="Closed - no action",K39="Refunded"),"No","Yes"))</f>
        <v>0</v>
      </c>
      <c r="X39" s="50">
        <f>IF(B39="","",IF(COUNTIFS($D$5:$D$84,D39,$H$5:$H$84,H39)&gt;1,"Yes","No"))</f>
        <v>0</v>
      </c>
      <c r="Y39" s="39">
        <f>IF(B39="","",IF(W39="No","OK - closed",IF(V39&gt;7,"Overdue - open "&amp;V39&amp;" days",IF(I39="Critical","Action - critical, today",IF(L39="","Assign - nobody owns this",IF(X39="Yes","Check - repeat issue","Action - open"))))))</f>
        <v>0</v>
      </c>
    </row>
    <row r="40" spans="1:25">
      <c r="A40" s="43">
        <f>IF(B40="","",ComplaintPrefix&amp;TEXT(ROW()-4,"0000"))</f>
        <v>0</v>
      </c>
      <c r="C40" s="23">
        <f>IF(B40="","",TEXT(B40,"yyyy-mm"))</f>
        <v>0</v>
      </c>
      <c r="E40" s="23">
        <f>IF(D40="","",IFERROR(INDEX(Clients!$B$5:$B$204,MATCH(D40,Clients!$A$5:$A$204,0)),"Not found"))</f>
        <v>0</v>
      </c>
      <c r="V40" s="31">
        <f>IF(OR(B40="",D40=""),"",IF(Q40&lt;&gt;"",Q40-B40,TodayDate-B40))</f>
        <v>0</v>
      </c>
      <c r="W40" s="50">
        <f>IF(B40="","",IF(OR(K40="Resolved",K40="Closed - no action",K40="Refunded"),"No","Yes"))</f>
        <v>0</v>
      </c>
      <c r="X40" s="50">
        <f>IF(B40="","",IF(COUNTIFS($D$5:$D$84,D40,$H$5:$H$84,H40)&gt;1,"Yes","No"))</f>
        <v>0</v>
      </c>
      <c r="Y40" s="39">
        <f>IF(B40="","",IF(W40="No","OK - closed",IF(V40&gt;7,"Overdue - open "&amp;V40&amp;" days",IF(I40="Critical","Action - critical, today",IF(L40="","Assign - nobody owns this",IF(X40="Yes","Check - repeat issue","Action - open"))))))</f>
        <v>0</v>
      </c>
    </row>
    <row r="41" spans="1:25">
      <c r="A41" s="43">
        <f>IF(B41="","",ComplaintPrefix&amp;TEXT(ROW()-4,"0000"))</f>
        <v>0</v>
      </c>
      <c r="C41" s="23">
        <f>IF(B41="","",TEXT(B41,"yyyy-mm"))</f>
        <v>0</v>
      </c>
      <c r="E41" s="23">
        <f>IF(D41="","",IFERROR(INDEX(Clients!$B$5:$B$204,MATCH(D41,Clients!$A$5:$A$204,0)),"Not found"))</f>
        <v>0</v>
      </c>
      <c r="V41" s="31">
        <f>IF(OR(B41="",D41=""),"",IF(Q41&lt;&gt;"",Q41-B41,TodayDate-B41))</f>
        <v>0</v>
      </c>
      <c r="W41" s="50">
        <f>IF(B41="","",IF(OR(K41="Resolved",K41="Closed - no action",K41="Refunded"),"No","Yes"))</f>
        <v>0</v>
      </c>
      <c r="X41" s="50">
        <f>IF(B41="","",IF(COUNTIFS($D$5:$D$84,D41,$H$5:$H$84,H41)&gt;1,"Yes","No"))</f>
        <v>0</v>
      </c>
      <c r="Y41" s="39">
        <f>IF(B41="","",IF(W41="No","OK - closed",IF(V41&gt;7,"Overdue - open "&amp;V41&amp;" days",IF(I41="Critical","Action - critical, today",IF(L41="","Assign - nobody owns this",IF(X41="Yes","Check - repeat issue","Action - open"))))))</f>
        <v>0</v>
      </c>
    </row>
    <row r="42" spans="1:25">
      <c r="A42" s="43">
        <f>IF(B42="","",ComplaintPrefix&amp;TEXT(ROW()-4,"0000"))</f>
        <v>0</v>
      </c>
      <c r="C42" s="23">
        <f>IF(B42="","",TEXT(B42,"yyyy-mm"))</f>
        <v>0</v>
      </c>
      <c r="E42" s="23">
        <f>IF(D42="","",IFERROR(INDEX(Clients!$B$5:$B$204,MATCH(D42,Clients!$A$5:$A$204,0)),"Not found"))</f>
        <v>0</v>
      </c>
      <c r="V42" s="31">
        <f>IF(OR(B42="",D42=""),"",IF(Q42&lt;&gt;"",Q42-B42,TodayDate-B42))</f>
        <v>0</v>
      </c>
      <c r="W42" s="50">
        <f>IF(B42="","",IF(OR(K42="Resolved",K42="Closed - no action",K42="Refunded"),"No","Yes"))</f>
        <v>0</v>
      </c>
      <c r="X42" s="50">
        <f>IF(B42="","",IF(COUNTIFS($D$5:$D$84,D42,$H$5:$H$84,H42)&gt;1,"Yes","No"))</f>
        <v>0</v>
      </c>
      <c r="Y42" s="39">
        <f>IF(B42="","",IF(W42="No","OK - closed",IF(V42&gt;7,"Overdue - open "&amp;V42&amp;" days",IF(I42="Critical","Action - critical, today",IF(L42="","Assign - nobody owns this",IF(X42="Yes","Check - repeat issue","Action - open"))))))</f>
        <v>0</v>
      </c>
    </row>
    <row r="43" spans="1:25">
      <c r="A43" s="43">
        <f>IF(B43="","",ComplaintPrefix&amp;TEXT(ROW()-4,"0000"))</f>
        <v>0</v>
      </c>
      <c r="C43" s="23">
        <f>IF(B43="","",TEXT(B43,"yyyy-mm"))</f>
        <v>0</v>
      </c>
      <c r="E43" s="23">
        <f>IF(D43="","",IFERROR(INDEX(Clients!$B$5:$B$204,MATCH(D43,Clients!$A$5:$A$204,0)),"Not found"))</f>
        <v>0</v>
      </c>
      <c r="V43" s="31">
        <f>IF(OR(B43="",D43=""),"",IF(Q43&lt;&gt;"",Q43-B43,TodayDate-B43))</f>
        <v>0</v>
      </c>
      <c r="W43" s="50">
        <f>IF(B43="","",IF(OR(K43="Resolved",K43="Closed - no action",K43="Refunded"),"No","Yes"))</f>
        <v>0</v>
      </c>
      <c r="X43" s="50">
        <f>IF(B43="","",IF(COUNTIFS($D$5:$D$84,D43,$H$5:$H$84,H43)&gt;1,"Yes","No"))</f>
        <v>0</v>
      </c>
      <c r="Y43" s="39">
        <f>IF(B43="","",IF(W43="No","OK - closed",IF(V43&gt;7,"Overdue - open "&amp;V43&amp;" days",IF(I43="Critical","Action - critical, today",IF(L43="","Assign - nobody owns this",IF(X43="Yes","Check - repeat issue","Action - open"))))))</f>
        <v>0</v>
      </c>
    </row>
    <row r="44" spans="1:25">
      <c r="A44" s="43">
        <f>IF(B44="","",ComplaintPrefix&amp;TEXT(ROW()-4,"0000"))</f>
        <v>0</v>
      </c>
      <c r="C44" s="23">
        <f>IF(B44="","",TEXT(B44,"yyyy-mm"))</f>
        <v>0</v>
      </c>
      <c r="E44" s="23">
        <f>IF(D44="","",IFERROR(INDEX(Clients!$B$5:$B$204,MATCH(D44,Clients!$A$5:$A$204,0)),"Not found"))</f>
        <v>0</v>
      </c>
      <c r="V44" s="31">
        <f>IF(OR(B44="",D44=""),"",IF(Q44&lt;&gt;"",Q44-B44,TodayDate-B44))</f>
        <v>0</v>
      </c>
      <c r="W44" s="50">
        <f>IF(B44="","",IF(OR(K44="Resolved",K44="Closed - no action",K44="Refunded"),"No","Yes"))</f>
        <v>0</v>
      </c>
      <c r="X44" s="50">
        <f>IF(B44="","",IF(COUNTIFS($D$5:$D$84,D44,$H$5:$H$84,H44)&gt;1,"Yes","No"))</f>
        <v>0</v>
      </c>
      <c r="Y44" s="39">
        <f>IF(B44="","",IF(W44="No","OK - closed",IF(V44&gt;7,"Overdue - open "&amp;V44&amp;" days",IF(I44="Critical","Action - critical, today",IF(L44="","Assign - nobody owns this",IF(X44="Yes","Check - repeat issue","Action - open"))))))</f>
        <v>0</v>
      </c>
    </row>
    <row r="45" spans="1:25">
      <c r="A45" s="43">
        <f>IF(B45="","",ComplaintPrefix&amp;TEXT(ROW()-4,"0000"))</f>
        <v>0</v>
      </c>
      <c r="C45" s="23">
        <f>IF(B45="","",TEXT(B45,"yyyy-mm"))</f>
        <v>0</v>
      </c>
      <c r="E45" s="23">
        <f>IF(D45="","",IFERROR(INDEX(Clients!$B$5:$B$204,MATCH(D45,Clients!$A$5:$A$204,0)),"Not found"))</f>
        <v>0</v>
      </c>
      <c r="V45" s="31">
        <f>IF(OR(B45="",D45=""),"",IF(Q45&lt;&gt;"",Q45-B45,TodayDate-B45))</f>
        <v>0</v>
      </c>
      <c r="W45" s="50">
        <f>IF(B45="","",IF(OR(K45="Resolved",K45="Closed - no action",K45="Refunded"),"No","Yes"))</f>
        <v>0</v>
      </c>
      <c r="X45" s="50">
        <f>IF(B45="","",IF(COUNTIFS($D$5:$D$84,D45,$H$5:$H$84,H45)&gt;1,"Yes","No"))</f>
        <v>0</v>
      </c>
      <c r="Y45" s="39">
        <f>IF(B45="","",IF(W45="No","OK - closed",IF(V45&gt;7,"Overdue - open "&amp;V45&amp;" days",IF(I45="Critical","Action - critical, today",IF(L45="","Assign - nobody owns this",IF(X45="Yes","Check - repeat issue","Action - open"))))))</f>
        <v>0</v>
      </c>
    </row>
    <row r="46" spans="1:25">
      <c r="A46" s="43">
        <f>IF(B46="","",ComplaintPrefix&amp;TEXT(ROW()-4,"0000"))</f>
        <v>0</v>
      </c>
      <c r="C46" s="23">
        <f>IF(B46="","",TEXT(B46,"yyyy-mm"))</f>
        <v>0</v>
      </c>
      <c r="E46" s="23">
        <f>IF(D46="","",IFERROR(INDEX(Clients!$B$5:$B$204,MATCH(D46,Clients!$A$5:$A$204,0)),"Not found"))</f>
        <v>0</v>
      </c>
      <c r="V46" s="31">
        <f>IF(OR(B46="",D46=""),"",IF(Q46&lt;&gt;"",Q46-B46,TodayDate-B46))</f>
        <v>0</v>
      </c>
      <c r="W46" s="50">
        <f>IF(B46="","",IF(OR(K46="Resolved",K46="Closed - no action",K46="Refunded"),"No","Yes"))</f>
        <v>0</v>
      </c>
      <c r="X46" s="50">
        <f>IF(B46="","",IF(COUNTIFS($D$5:$D$84,D46,$H$5:$H$84,H46)&gt;1,"Yes","No"))</f>
        <v>0</v>
      </c>
      <c r="Y46" s="39">
        <f>IF(B46="","",IF(W46="No","OK - closed",IF(V46&gt;7,"Overdue - open "&amp;V46&amp;" days",IF(I46="Critical","Action - critical, today",IF(L46="","Assign - nobody owns this",IF(X46="Yes","Check - repeat issue","Action - open"))))))</f>
        <v>0</v>
      </c>
    </row>
    <row r="47" spans="1:25">
      <c r="A47" s="43">
        <f>IF(B47="","",ComplaintPrefix&amp;TEXT(ROW()-4,"0000"))</f>
        <v>0</v>
      </c>
      <c r="C47" s="23">
        <f>IF(B47="","",TEXT(B47,"yyyy-mm"))</f>
        <v>0</v>
      </c>
      <c r="E47" s="23">
        <f>IF(D47="","",IFERROR(INDEX(Clients!$B$5:$B$204,MATCH(D47,Clients!$A$5:$A$204,0)),"Not found"))</f>
        <v>0</v>
      </c>
      <c r="V47" s="31">
        <f>IF(OR(B47="",D47=""),"",IF(Q47&lt;&gt;"",Q47-B47,TodayDate-B47))</f>
        <v>0</v>
      </c>
      <c r="W47" s="50">
        <f>IF(B47="","",IF(OR(K47="Resolved",K47="Closed - no action",K47="Refunded"),"No","Yes"))</f>
        <v>0</v>
      </c>
      <c r="X47" s="50">
        <f>IF(B47="","",IF(COUNTIFS($D$5:$D$84,D47,$H$5:$H$84,H47)&gt;1,"Yes","No"))</f>
        <v>0</v>
      </c>
      <c r="Y47" s="39">
        <f>IF(B47="","",IF(W47="No","OK - closed",IF(V47&gt;7,"Overdue - open "&amp;V47&amp;" days",IF(I47="Critical","Action - critical, today",IF(L47="","Assign - nobody owns this",IF(X47="Yes","Check - repeat issue","Action - open"))))))</f>
        <v>0</v>
      </c>
    </row>
    <row r="48" spans="1:25">
      <c r="A48" s="43">
        <f>IF(B48="","",ComplaintPrefix&amp;TEXT(ROW()-4,"0000"))</f>
        <v>0</v>
      </c>
      <c r="C48" s="23">
        <f>IF(B48="","",TEXT(B48,"yyyy-mm"))</f>
        <v>0</v>
      </c>
      <c r="E48" s="23">
        <f>IF(D48="","",IFERROR(INDEX(Clients!$B$5:$B$204,MATCH(D48,Clients!$A$5:$A$204,0)),"Not found"))</f>
        <v>0</v>
      </c>
      <c r="V48" s="31">
        <f>IF(OR(B48="",D48=""),"",IF(Q48&lt;&gt;"",Q48-B48,TodayDate-B48))</f>
        <v>0</v>
      </c>
      <c r="W48" s="50">
        <f>IF(B48="","",IF(OR(K48="Resolved",K48="Closed - no action",K48="Refunded"),"No","Yes"))</f>
        <v>0</v>
      </c>
      <c r="X48" s="50">
        <f>IF(B48="","",IF(COUNTIFS($D$5:$D$84,D48,$H$5:$H$84,H48)&gt;1,"Yes","No"))</f>
        <v>0</v>
      </c>
      <c r="Y48" s="39">
        <f>IF(B48="","",IF(W48="No","OK - closed",IF(V48&gt;7,"Overdue - open "&amp;V48&amp;" days",IF(I48="Critical","Action - critical, today",IF(L48="","Assign - nobody owns this",IF(X48="Yes","Check - repeat issue","Action - open"))))))</f>
        <v>0</v>
      </c>
    </row>
    <row r="49" spans="1:25">
      <c r="A49" s="43">
        <f>IF(B49="","",ComplaintPrefix&amp;TEXT(ROW()-4,"0000"))</f>
        <v>0</v>
      </c>
      <c r="C49" s="23">
        <f>IF(B49="","",TEXT(B49,"yyyy-mm"))</f>
        <v>0</v>
      </c>
      <c r="E49" s="23">
        <f>IF(D49="","",IFERROR(INDEX(Clients!$B$5:$B$204,MATCH(D49,Clients!$A$5:$A$204,0)),"Not found"))</f>
        <v>0</v>
      </c>
      <c r="V49" s="31">
        <f>IF(OR(B49="",D49=""),"",IF(Q49&lt;&gt;"",Q49-B49,TodayDate-B49))</f>
        <v>0</v>
      </c>
      <c r="W49" s="50">
        <f>IF(B49="","",IF(OR(K49="Resolved",K49="Closed - no action",K49="Refunded"),"No","Yes"))</f>
        <v>0</v>
      </c>
      <c r="X49" s="50">
        <f>IF(B49="","",IF(COUNTIFS($D$5:$D$84,D49,$H$5:$H$84,H49)&gt;1,"Yes","No"))</f>
        <v>0</v>
      </c>
      <c r="Y49" s="39">
        <f>IF(B49="","",IF(W49="No","OK - closed",IF(V49&gt;7,"Overdue - open "&amp;V49&amp;" days",IF(I49="Critical","Action - critical, today",IF(L49="","Assign - nobody owns this",IF(X49="Yes","Check - repeat issue","Action - open"))))))</f>
        <v>0</v>
      </c>
    </row>
    <row r="50" spans="1:25">
      <c r="A50" s="43">
        <f>IF(B50="","",ComplaintPrefix&amp;TEXT(ROW()-4,"0000"))</f>
        <v>0</v>
      </c>
      <c r="C50" s="23">
        <f>IF(B50="","",TEXT(B50,"yyyy-mm"))</f>
        <v>0</v>
      </c>
      <c r="E50" s="23">
        <f>IF(D50="","",IFERROR(INDEX(Clients!$B$5:$B$204,MATCH(D50,Clients!$A$5:$A$204,0)),"Not found"))</f>
        <v>0</v>
      </c>
      <c r="V50" s="31">
        <f>IF(OR(B50="",D50=""),"",IF(Q50&lt;&gt;"",Q50-B50,TodayDate-B50))</f>
        <v>0</v>
      </c>
      <c r="W50" s="50">
        <f>IF(B50="","",IF(OR(K50="Resolved",K50="Closed - no action",K50="Refunded"),"No","Yes"))</f>
        <v>0</v>
      </c>
      <c r="X50" s="50">
        <f>IF(B50="","",IF(COUNTIFS($D$5:$D$84,D50,$H$5:$H$84,H50)&gt;1,"Yes","No"))</f>
        <v>0</v>
      </c>
      <c r="Y50" s="39">
        <f>IF(B50="","",IF(W50="No","OK - closed",IF(V50&gt;7,"Overdue - open "&amp;V50&amp;" days",IF(I50="Critical","Action - critical, today",IF(L50="","Assign - nobody owns this",IF(X50="Yes","Check - repeat issue","Action - open"))))))</f>
        <v>0</v>
      </c>
    </row>
    <row r="51" spans="1:25">
      <c r="A51" s="43">
        <f>IF(B51="","",ComplaintPrefix&amp;TEXT(ROW()-4,"0000"))</f>
        <v>0</v>
      </c>
      <c r="C51" s="23">
        <f>IF(B51="","",TEXT(B51,"yyyy-mm"))</f>
        <v>0</v>
      </c>
      <c r="E51" s="23">
        <f>IF(D51="","",IFERROR(INDEX(Clients!$B$5:$B$204,MATCH(D51,Clients!$A$5:$A$204,0)),"Not found"))</f>
        <v>0</v>
      </c>
      <c r="V51" s="31">
        <f>IF(OR(B51="",D51=""),"",IF(Q51&lt;&gt;"",Q51-B51,TodayDate-B51))</f>
        <v>0</v>
      </c>
      <c r="W51" s="50">
        <f>IF(B51="","",IF(OR(K51="Resolved",K51="Closed - no action",K51="Refunded"),"No","Yes"))</f>
        <v>0</v>
      </c>
      <c r="X51" s="50">
        <f>IF(B51="","",IF(COUNTIFS($D$5:$D$84,D51,$H$5:$H$84,H51)&gt;1,"Yes","No"))</f>
        <v>0</v>
      </c>
      <c r="Y51" s="39">
        <f>IF(B51="","",IF(W51="No","OK - closed",IF(V51&gt;7,"Overdue - open "&amp;V51&amp;" days",IF(I51="Critical","Action - critical, today",IF(L51="","Assign - nobody owns this",IF(X51="Yes","Check - repeat issue","Action - open"))))))</f>
        <v>0</v>
      </c>
    </row>
    <row r="52" spans="1:25">
      <c r="A52" s="43">
        <f>IF(B52="","",ComplaintPrefix&amp;TEXT(ROW()-4,"0000"))</f>
        <v>0</v>
      </c>
      <c r="C52" s="23">
        <f>IF(B52="","",TEXT(B52,"yyyy-mm"))</f>
        <v>0</v>
      </c>
      <c r="E52" s="23">
        <f>IF(D52="","",IFERROR(INDEX(Clients!$B$5:$B$204,MATCH(D52,Clients!$A$5:$A$204,0)),"Not found"))</f>
        <v>0</v>
      </c>
      <c r="V52" s="31">
        <f>IF(OR(B52="",D52=""),"",IF(Q52&lt;&gt;"",Q52-B52,TodayDate-B52))</f>
        <v>0</v>
      </c>
      <c r="W52" s="50">
        <f>IF(B52="","",IF(OR(K52="Resolved",K52="Closed - no action",K52="Refunded"),"No","Yes"))</f>
        <v>0</v>
      </c>
      <c r="X52" s="50">
        <f>IF(B52="","",IF(COUNTIFS($D$5:$D$84,D52,$H$5:$H$84,H52)&gt;1,"Yes","No"))</f>
        <v>0</v>
      </c>
      <c r="Y52" s="39">
        <f>IF(B52="","",IF(W52="No","OK - closed",IF(V52&gt;7,"Overdue - open "&amp;V52&amp;" days",IF(I52="Critical","Action - critical, today",IF(L52="","Assign - nobody owns this",IF(X52="Yes","Check - repeat issue","Action - open"))))))</f>
        <v>0</v>
      </c>
    </row>
    <row r="53" spans="1:25">
      <c r="A53" s="43">
        <f>IF(B53="","",ComplaintPrefix&amp;TEXT(ROW()-4,"0000"))</f>
        <v>0</v>
      </c>
      <c r="C53" s="23">
        <f>IF(B53="","",TEXT(B53,"yyyy-mm"))</f>
        <v>0</v>
      </c>
      <c r="E53" s="23">
        <f>IF(D53="","",IFERROR(INDEX(Clients!$B$5:$B$204,MATCH(D53,Clients!$A$5:$A$204,0)),"Not found"))</f>
        <v>0</v>
      </c>
      <c r="V53" s="31">
        <f>IF(OR(B53="",D53=""),"",IF(Q53&lt;&gt;"",Q53-B53,TodayDate-B53))</f>
        <v>0</v>
      </c>
      <c r="W53" s="50">
        <f>IF(B53="","",IF(OR(K53="Resolved",K53="Closed - no action",K53="Refunded"),"No","Yes"))</f>
        <v>0</v>
      </c>
      <c r="X53" s="50">
        <f>IF(B53="","",IF(COUNTIFS($D$5:$D$84,D53,$H$5:$H$84,H53)&gt;1,"Yes","No"))</f>
        <v>0</v>
      </c>
      <c r="Y53" s="39">
        <f>IF(B53="","",IF(W53="No","OK - closed",IF(V53&gt;7,"Overdue - open "&amp;V53&amp;" days",IF(I53="Critical","Action - critical, today",IF(L53="","Assign - nobody owns this",IF(X53="Yes","Check - repeat issue","Action - open"))))))</f>
        <v>0</v>
      </c>
    </row>
    <row r="54" spans="1:25">
      <c r="A54" s="43">
        <f>IF(B54="","",ComplaintPrefix&amp;TEXT(ROW()-4,"0000"))</f>
        <v>0</v>
      </c>
      <c r="C54" s="23">
        <f>IF(B54="","",TEXT(B54,"yyyy-mm"))</f>
        <v>0</v>
      </c>
      <c r="E54" s="23">
        <f>IF(D54="","",IFERROR(INDEX(Clients!$B$5:$B$204,MATCH(D54,Clients!$A$5:$A$204,0)),"Not found"))</f>
        <v>0</v>
      </c>
      <c r="V54" s="31">
        <f>IF(OR(B54="",D54=""),"",IF(Q54&lt;&gt;"",Q54-B54,TodayDate-B54))</f>
        <v>0</v>
      </c>
      <c r="W54" s="50">
        <f>IF(B54="","",IF(OR(K54="Resolved",K54="Closed - no action",K54="Refunded"),"No","Yes"))</f>
        <v>0</v>
      </c>
      <c r="X54" s="50">
        <f>IF(B54="","",IF(COUNTIFS($D$5:$D$84,D54,$H$5:$H$84,H54)&gt;1,"Yes","No"))</f>
        <v>0</v>
      </c>
      <c r="Y54" s="39">
        <f>IF(B54="","",IF(W54="No","OK - closed",IF(V54&gt;7,"Overdue - open "&amp;V54&amp;" days",IF(I54="Critical","Action - critical, today",IF(L54="","Assign - nobody owns this",IF(X54="Yes","Check - repeat issue","Action - open"))))))</f>
        <v>0</v>
      </c>
    </row>
    <row r="55" spans="1:25">
      <c r="A55" s="43">
        <f>IF(B55="","",ComplaintPrefix&amp;TEXT(ROW()-4,"0000"))</f>
        <v>0</v>
      </c>
      <c r="C55" s="23">
        <f>IF(B55="","",TEXT(B55,"yyyy-mm"))</f>
        <v>0</v>
      </c>
      <c r="E55" s="23">
        <f>IF(D55="","",IFERROR(INDEX(Clients!$B$5:$B$204,MATCH(D55,Clients!$A$5:$A$204,0)),"Not found"))</f>
        <v>0</v>
      </c>
      <c r="V55" s="31">
        <f>IF(OR(B55="",D55=""),"",IF(Q55&lt;&gt;"",Q55-B55,TodayDate-B55))</f>
        <v>0</v>
      </c>
      <c r="W55" s="50">
        <f>IF(B55="","",IF(OR(K55="Resolved",K55="Closed - no action",K55="Refunded"),"No","Yes"))</f>
        <v>0</v>
      </c>
      <c r="X55" s="50">
        <f>IF(B55="","",IF(COUNTIFS($D$5:$D$84,D55,$H$5:$H$84,H55)&gt;1,"Yes","No"))</f>
        <v>0</v>
      </c>
      <c r="Y55" s="39">
        <f>IF(B55="","",IF(W55="No","OK - closed",IF(V55&gt;7,"Overdue - open "&amp;V55&amp;" days",IF(I55="Critical","Action - critical, today",IF(L55="","Assign - nobody owns this",IF(X55="Yes","Check - repeat issue","Action - open"))))))</f>
        <v>0</v>
      </c>
    </row>
    <row r="56" spans="1:25">
      <c r="A56" s="43">
        <f>IF(B56="","",ComplaintPrefix&amp;TEXT(ROW()-4,"0000"))</f>
        <v>0</v>
      </c>
      <c r="C56" s="23">
        <f>IF(B56="","",TEXT(B56,"yyyy-mm"))</f>
        <v>0</v>
      </c>
      <c r="E56" s="23">
        <f>IF(D56="","",IFERROR(INDEX(Clients!$B$5:$B$204,MATCH(D56,Clients!$A$5:$A$204,0)),"Not found"))</f>
        <v>0</v>
      </c>
      <c r="V56" s="31">
        <f>IF(OR(B56="",D56=""),"",IF(Q56&lt;&gt;"",Q56-B56,TodayDate-B56))</f>
        <v>0</v>
      </c>
      <c r="W56" s="50">
        <f>IF(B56="","",IF(OR(K56="Resolved",K56="Closed - no action",K56="Refunded"),"No","Yes"))</f>
        <v>0</v>
      </c>
      <c r="X56" s="50">
        <f>IF(B56="","",IF(COUNTIFS($D$5:$D$84,D56,$H$5:$H$84,H56)&gt;1,"Yes","No"))</f>
        <v>0</v>
      </c>
      <c r="Y56" s="39">
        <f>IF(B56="","",IF(W56="No","OK - closed",IF(V56&gt;7,"Overdue - open "&amp;V56&amp;" days",IF(I56="Critical","Action - critical, today",IF(L56="","Assign - nobody owns this",IF(X56="Yes","Check - repeat issue","Action - open"))))))</f>
        <v>0</v>
      </c>
    </row>
    <row r="57" spans="1:25">
      <c r="A57" s="43">
        <f>IF(B57="","",ComplaintPrefix&amp;TEXT(ROW()-4,"0000"))</f>
        <v>0</v>
      </c>
      <c r="C57" s="23">
        <f>IF(B57="","",TEXT(B57,"yyyy-mm"))</f>
        <v>0</v>
      </c>
      <c r="E57" s="23">
        <f>IF(D57="","",IFERROR(INDEX(Clients!$B$5:$B$204,MATCH(D57,Clients!$A$5:$A$204,0)),"Not found"))</f>
        <v>0</v>
      </c>
      <c r="V57" s="31">
        <f>IF(OR(B57="",D57=""),"",IF(Q57&lt;&gt;"",Q57-B57,TodayDate-B57))</f>
        <v>0</v>
      </c>
      <c r="W57" s="50">
        <f>IF(B57="","",IF(OR(K57="Resolved",K57="Closed - no action",K57="Refunded"),"No","Yes"))</f>
        <v>0</v>
      </c>
      <c r="X57" s="50">
        <f>IF(B57="","",IF(COUNTIFS($D$5:$D$84,D57,$H$5:$H$84,H57)&gt;1,"Yes","No"))</f>
        <v>0</v>
      </c>
      <c r="Y57" s="39">
        <f>IF(B57="","",IF(W57="No","OK - closed",IF(V57&gt;7,"Overdue - open "&amp;V57&amp;" days",IF(I57="Critical","Action - critical, today",IF(L57="","Assign - nobody owns this",IF(X57="Yes","Check - repeat issue","Action - open"))))))</f>
        <v>0</v>
      </c>
    </row>
    <row r="58" spans="1:25">
      <c r="A58" s="43">
        <f>IF(B58="","",ComplaintPrefix&amp;TEXT(ROW()-4,"0000"))</f>
        <v>0</v>
      </c>
      <c r="C58" s="23">
        <f>IF(B58="","",TEXT(B58,"yyyy-mm"))</f>
        <v>0</v>
      </c>
      <c r="E58" s="23">
        <f>IF(D58="","",IFERROR(INDEX(Clients!$B$5:$B$204,MATCH(D58,Clients!$A$5:$A$204,0)),"Not found"))</f>
        <v>0</v>
      </c>
      <c r="V58" s="31">
        <f>IF(OR(B58="",D58=""),"",IF(Q58&lt;&gt;"",Q58-B58,TodayDate-B58))</f>
        <v>0</v>
      </c>
      <c r="W58" s="50">
        <f>IF(B58="","",IF(OR(K58="Resolved",K58="Closed - no action",K58="Refunded"),"No","Yes"))</f>
        <v>0</v>
      </c>
      <c r="X58" s="50">
        <f>IF(B58="","",IF(COUNTIFS($D$5:$D$84,D58,$H$5:$H$84,H58)&gt;1,"Yes","No"))</f>
        <v>0</v>
      </c>
      <c r="Y58" s="39">
        <f>IF(B58="","",IF(W58="No","OK - closed",IF(V58&gt;7,"Overdue - open "&amp;V58&amp;" days",IF(I58="Critical","Action - critical, today",IF(L58="","Assign - nobody owns this",IF(X58="Yes","Check - repeat issue","Action - open"))))))</f>
        <v>0</v>
      </c>
    </row>
    <row r="59" spans="1:25">
      <c r="A59" s="43">
        <f>IF(B59="","",ComplaintPrefix&amp;TEXT(ROW()-4,"0000"))</f>
        <v>0</v>
      </c>
      <c r="C59" s="23">
        <f>IF(B59="","",TEXT(B59,"yyyy-mm"))</f>
        <v>0</v>
      </c>
      <c r="E59" s="23">
        <f>IF(D59="","",IFERROR(INDEX(Clients!$B$5:$B$204,MATCH(D59,Clients!$A$5:$A$204,0)),"Not found"))</f>
        <v>0</v>
      </c>
      <c r="V59" s="31">
        <f>IF(OR(B59="",D59=""),"",IF(Q59&lt;&gt;"",Q59-B59,TodayDate-B59))</f>
        <v>0</v>
      </c>
      <c r="W59" s="50">
        <f>IF(B59="","",IF(OR(K59="Resolved",K59="Closed - no action",K59="Refunded"),"No","Yes"))</f>
        <v>0</v>
      </c>
      <c r="X59" s="50">
        <f>IF(B59="","",IF(COUNTIFS($D$5:$D$84,D59,$H$5:$H$84,H59)&gt;1,"Yes","No"))</f>
        <v>0</v>
      </c>
      <c r="Y59" s="39">
        <f>IF(B59="","",IF(W59="No","OK - closed",IF(V59&gt;7,"Overdue - open "&amp;V59&amp;" days",IF(I59="Critical","Action - critical, today",IF(L59="","Assign - nobody owns this",IF(X59="Yes","Check - repeat issue","Action - open"))))))</f>
        <v>0</v>
      </c>
    </row>
    <row r="60" spans="1:25">
      <c r="A60" s="43">
        <f>IF(B60="","",ComplaintPrefix&amp;TEXT(ROW()-4,"0000"))</f>
        <v>0</v>
      </c>
      <c r="C60" s="23">
        <f>IF(B60="","",TEXT(B60,"yyyy-mm"))</f>
        <v>0</v>
      </c>
      <c r="E60" s="23">
        <f>IF(D60="","",IFERROR(INDEX(Clients!$B$5:$B$204,MATCH(D60,Clients!$A$5:$A$204,0)),"Not found"))</f>
        <v>0</v>
      </c>
      <c r="V60" s="31">
        <f>IF(OR(B60="",D60=""),"",IF(Q60&lt;&gt;"",Q60-B60,TodayDate-B60))</f>
        <v>0</v>
      </c>
      <c r="W60" s="50">
        <f>IF(B60="","",IF(OR(K60="Resolved",K60="Closed - no action",K60="Refunded"),"No","Yes"))</f>
        <v>0</v>
      </c>
      <c r="X60" s="50">
        <f>IF(B60="","",IF(COUNTIFS($D$5:$D$84,D60,$H$5:$H$84,H60)&gt;1,"Yes","No"))</f>
        <v>0</v>
      </c>
      <c r="Y60" s="39">
        <f>IF(B60="","",IF(W60="No","OK - closed",IF(V60&gt;7,"Overdue - open "&amp;V60&amp;" days",IF(I60="Critical","Action - critical, today",IF(L60="","Assign - nobody owns this",IF(X60="Yes","Check - repeat issue","Action - open"))))))</f>
        <v>0</v>
      </c>
    </row>
    <row r="61" spans="1:25">
      <c r="A61" s="43">
        <f>IF(B61="","",ComplaintPrefix&amp;TEXT(ROW()-4,"0000"))</f>
        <v>0</v>
      </c>
      <c r="C61" s="23">
        <f>IF(B61="","",TEXT(B61,"yyyy-mm"))</f>
        <v>0</v>
      </c>
      <c r="E61" s="23">
        <f>IF(D61="","",IFERROR(INDEX(Clients!$B$5:$B$204,MATCH(D61,Clients!$A$5:$A$204,0)),"Not found"))</f>
        <v>0</v>
      </c>
      <c r="V61" s="31">
        <f>IF(OR(B61="",D61=""),"",IF(Q61&lt;&gt;"",Q61-B61,TodayDate-B61))</f>
        <v>0</v>
      </c>
      <c r="W61" s="50">
        <f>IF(B61="","",IF(OR(K61="Resolved",K61="Closed - no action",K61="Refunded"),"No","Yes"))</f>
        <v>0</v>
      </c>
      <c r="X61" s="50">
        <f>IF(B61="","",IF(COUNTIFS($D$5:$D$84,D61,$H$5:$H$84,H61)&gt;1,"Yes","No"))</f>
        <v>0</v>
      </c>
      <c r="Y61" s="39">
        <f>IF(B61="","",IF(W61="No","OK - closed",IF(V61&gt;7,"Overdue - open "&amp;V61&amp;" days",IF(I61="Critical","Action - critical, today",IF(L61="","Assign - nobody owns this",IF(X61="Yes","Check - repeat issue","Action - open"))))))</f>
        <v>0</v>
      </c>
    </row>
    <row r="62" spans="1:25">
      <c r="A62" s="43">
        <f>IF(B62="","",ComplaintPrefix&amp;TEXT(ROW()-4,"0000"))</f>
        <v>0</v>
      </c>
      <c r="C62" s="23">
        <f>IF(B62="","",TEXT(B62,"yyyy-mm"))</f>
        <v>0</v>
      </c>
      <c r="E62" s="23">
        <f>IF(D62="","",IFERROR(INDEX(Clients!$B$5:$B$204,MATCH(D62,Clients!$A$5:$A$204,0)),"Not found"))</f>
        <v>0</v>
      </c>
      <c r="V62" s="31">
        <f>IF(OR(B62="",D62=""),"",IF(Q62&lt;&gt;"",Q62-B62,TodayDate-B62))</f>
        <v>0</v>
      </c>
      <c r="W62" s="50">
        <f>IF(B62="","",IF(OR(K62="Resolved",K62="Closed - no action",K62="Refunded"),"No","Yes"))</f>
        <v>0</v>
      </c>
      <c r="X62" s="50">
        <f>IF(B62="","",IF(COUNTIFS($D$5:$D$84,D62,$H$5:$H$84,H62)&gt;1,"Yes","No"))</f>
        <v>0</v>
      </c>
      <c r="Y62" s="39">
        <f>IF(B62="","",IF(W62="No","OK - closed",IF(V62&gt;7,"Overdue - open "&amp;V62&amp;" days",IF(I62="Critical","Action - critical, today",IF(L62="","Assign - nobody owns this",IF(X62="Yes","Check - repeat issue","Action - open"))))))</f>
        <v>0</v>
      </c>
    </row>
    <row r="63" spans="1:25">
      <c r="A63" s="43">
        <f>IF(B63="","",ComplaintPrefix&amp;TEXT(ROW()-4,"0000"))</f>
        <v>0</v>
      </c>
      <c r="C63" s="23">
        <f>IF(B63="","",TEXT(B63,"yyyy-mm"))</f>
        <v>0</v>
      </c>
      <c r="E63" s="23">
        <f>IF(D63="","",IFERROR(INDEX(Clients!$B$5:$B$204,MATCH(D63,Clients!$A$5:$A$204,0)),"Not found"))</f>
        <v>0</v>
      </c>
      <c r="V63" s="31">
        <f>IF(OR(B63="",D63=""),"",IF(Q63&lt;&gt;"",Q63-B63,TodayDate-B63))</f>
        <v>0</v>
      </c>
      <c r="W63" s="50">
        <f>IF(B63="","",IF(OR(K63="Resolved",K63="Closed - no action",K63="Refunded"),"No","Yes"))</f>
        <v>0</v>
      </c>
      <c r="X63" s="50">
        <f>IF(B63="","",IF(COUNTIFS($D$5:$D$84,D63,$H$5:$H$84,H63)&gt;1,"Yes","No"))</f>
        <v>0</v>
      </c>
      <c r="Y63" s="39">
        <f>IF(B63="","",IF(W63="No","OK - closed",IF(V63&gt;7,"Overdue - open "&amp;V63&amp;" days",IF(I63="Critical","Action - critical, today",IF(L63="","Assign - nobody owns this",IF(X63="Yes","Check - repeat issue","Action - open"))))))</f>
        <v>0</v>
      </c>
    </row>
    <row r="64" spans="1:25">
      <c r="A64" s="43">
        <f>IF(B64="","",ComplaintPrefix&amp;TEXT(ROW()-4,"0000"))</f>
        <v>0</v>
      </c>
      <c r="C64" s="23">
        <f>IF(B64="","",TEXT(B64,"yyyy-mm"))</f>
        <v>0</v>
      </c>
      <c r="E64" s="23">
        <f>IF(D64="","",IFERROR(INDEX(Clients!$B$5:$B$204,MATCH(D64,Clients!$A$5:$A$204,0)),"Not found"))</f>
        <v>0</v>
      </c>
      <c r="V64" s="31">
        <f>IF(OR(B64="",D64=""),"",IF(Q64&lt;&gt;"",Q64-B64,TodayDate-B64))</f>
        <v>0</v>
      </c>
      <c r="W64" s="50">
        <f>IF(B64="","",IF(OR(K64="Resolved",K64="Closed - no action",K64="Refunded"),"No","Yes"))</f>
        <v>0</v>
      </c>
      <c r="X64" s="50">
        <f>IF(B64="","",IF(COUNTIFS($D$5:$D$84,D64,$H$5:$H$84,H64)&gt;1,"Yes","No"))</f>
        <v>0</v>
      </c>
      <c r="Y64" s="39">
        <f>IF(B64="","",IF(W64="No","OK - closed",IF(V64&gt;7,"Overdue - open "&amp;V64&amp;" days",IF(I64="Critical","Action - critical, today",IF(L64="","Assign - nobody owns this",IF(X64="Yes","Check - repeat issue","Action - open"))))))</f>
        <v>0</v>
      </c>
    </row>
    <row r="65" spans="1:25">
      <c r="A65" s="43">
        <f>IF(B65="","",ComplaintPrefix&amp;TEXT(ROW()-4,"0000"))</f>
        <v>0</v>
      </c>
      <c r="C65" s="23">
        <f>IF(B65="","",TEXT(B65,"yyyy-mm"))</f>
        <v>0</v>
      </c>
      <c r="E65" s="23">
        <f>IF(D65="","",IFERROR(INDEX(Clients!$B$5:$B$204,MATCH(D65,Clients!$A$5:$A$204,0)),"Not found"))</f>
        <v>0</v>
      </c>
      <c r="V65" s="31">
        <f>IF(OR(B65="",D65=""),"",IF(Q65&lt;&gt;"",Q65-B65,TodayDate-B65))</f>
        <v>0</v>
      </c>
      <c r="W65" s="50">
        <f>IF(B65="","",IF(OR(K65="Resolved",K65="Closed - no action",K65="Refunded"),"No","Yes"))</f>
        <v>0</v>
      </c>
      <c r="X65" s="50">
        <f>IF(B65="","",IF(COUNTIFS($D$5:$D$84,D65,$H$5:$H$84,H65)&gt;1,"Yes","No"))</f>
        <v>0</v>
      </c>
      <c r="Y65" s="39">
        <f>IF(B65="","",IF(W65="No","OK - closed",IF(V65&gt;7,"Overdue - open "&amp;V65&amp;" days",IF(I65="Critical","Action - critical, today",IF(L65="","Assign - nobody owns this",IF(X65="Yes","Check - repeat issue","Action - open"))))))</f>
        <v>0</v>
      </c>
    </row>
    <row r="66" spans="1:25">
      <c r="A66" s="43">
        <f>IF(B66="","",ComplaintPrefix&amp;TEXT(ROW()-4,"0000"))</f>
        <v>0</v>
      </c>
      <c r="C66" s="23">
        <f>IF(B66="","",TEXT(B66,"yyyy-mm"))</f>
        <v>0</v>
      </c>
      <c r="E66" s="23">
        <f>IF(D66="","",IFERROR(INDEX(Clients!$B$5:$B$204,MATCH(D66,Clients!$A$5:$A$204,0)),"Not found"))</f>
        <v>0</v>
      </c>
      <c r="V66" s="31">
        <f>IF(OR(B66="",D66=""),"",IF(Q66&lt;&gt;"",Q66-B66,TodayDate-B66))</f>
        <v>0</v>
      </c>
      <c r="W66" s="50">
        <f>IF(B66="","",IF(OR(K66="Resolved",K66="Closed - no action",K66="Refunded"),"No","Yes"))</f>
        <v>0</v>
      </c>
      <c r="X66" s="50">
        <f>IF(B66="","",IF(COUNTIFS($D$5:$D$84,D66,$H$5:$H$84,H66)&gt;1,"Yes","No"))</f>
        <v>0</v>
      </c>
      <c r="Y66" s="39">
        <f>IF(B66="","",IF(W66="No","OK - closed",IF(V66&gt;7,"Overdue - open "&amp;V66&amp;" days",IF(I66="Critical","Action - critical, today",IF(L66="","Assign - nobody owns this",IF(X66="Yes","Check - repeat issue","Action - open"))))))</f>
        <v>0</v>
      </c>
    </row>
    <row r="67" spans="1:25">
      <c r="A67" s="43">
        <f>IF(B67="","",ComplaintPrefix&amp;TEXT(ROW()-4,"0000"))</f>
        <v>0</v>
      </c>
      <c r="C67" s="23">
        <f>IF(B67="","",TEXT(B67,"yyyy-mm"))</f>
        <v>0</v>
      </c>
      <c r="E67" s="23">
        <f>IF(D67="","",IFERROR(INDEX(Clients!$B$5:$B$204,MATCH(D67,Clients!$A$5:$A$204,0)),"Not found"))</f>
        <v>0</v>
      </c>
      <c r="V67" s="31">
        <f>IF(OR(B67="",D67=""),"",IF(Q67&lt;&gt;"",Q67-B67,TodayDate-B67))</f>
        <v>0</v>
      </c>
      <c r="W67" s="50">
        <f>IF(B67="","",IF(OR(K67="Resolved",K67="Closed - no action",K67="Refunded"),"No","Yes"))</f>
        <v>0</v>
      </c>
      <c r="X67" s="50">
        <f>IF(B67="","",IF(COUNTIFS($D$5:$D$84,D67,$H$5:$H$84,H67)&gt;1,"Yes","No"))</f>
        <v>0</v>
      </c>
      <c r="Y67" s="39">
        <f>IF(B67="","",IF(W67="No","OK - closed",IF(V67&gt;7,"Overdue - open "&amp;V67&amp;" days",IF(I67="Critical","Action - critical, today",IF(L67="","Assign - nobody owns this",IF(X67="Yes","Check - repeat issue","Action - open"))))))</f>
        <v>0</v>
      </c>
    </row>
    <row r="68" spans="1:25">
      <c r="A68" s="43">
        <f>IF(B68="","",ComplaintPrefix&amp;TEXT(ROW()-4,"0000"))</f>
        <v>0</v>
      </c>
      <c r="C68" s="23">
        <f>IF(B68="","",TEXT(B68,"yyyy-mm"))</f>
        <v>0</v>
      </c>
      <c r="E68" s="23">
        <f>IF(D68="","",IFERROR(INDEX(Clients!$B$5:$B$204,MATCH(D68,Clients!$A$5:$A$204,0)),"Not found"))</f>
        <v>0</v>
      </c>
      <c r="V68" s="31">
        <f>IF(OR(B68="",D68=""),"",IF(Q68&lt;&gt;"",Q68-B68,TodayDate-B68))</f>
        <v>0</v>
      </c>
      <c r="W68" s="50">
        <f>IF(B68="","",IF(OR(K68="Resolved",K68="Closed - no action",K68="Refunded"),"No","Yes"))</f>
        <v>0</v>
      </c>
      <c r="X68" s="50">
        <f>IF(B68="","",IF(COUNTIFS($D$5:$D$84,D68,$H$5:$H$84,H68)&gt;1,"Yes","No"))</f>
        <v>0</v>
      </c>
      <c r="Y68" s="39">
        <f>IF(B68="","",IF(W68="No","OK - closed",IF(V68&gt;7,"Overdue - open "&amp;V68&amp;" days",IF(I68="Critical","Action - critical, today",IF(L68="","Assign - nobody owns this",IF(X68="Yes","Check - repeat issue","Action - open"))))))</f>
        <v>0</v>
      </c>
    </row>
    <row r="69" spans="1:25">
      <c r="A69" s="43">
        <f>IF(B69="","",ComplaintPrefix&amp;TEXT(ROW()-4,"0000"))</f>
        <v>0</v>
      </c>
      <c r="C69" s="23">
        <f>IF(B69="","",TEXT(B69,"yyyy-mm"))</f>
        <v>0</v>
      </c>
      <c r="E69" s="23">
        <f>IF(D69="","",IFERROR(INDEX(Clients!$B$5:$B$204,MATCH(D69,Clients!$A$5:$A$204,0)),"Not found"))</f>
        <v>0</v>
      </c>
      <c r="V69" s="31">
        <f>IF(OR(B69="",D69=""),"",IF(Q69&lt;&gt;"",Q69-B69,TodayDate-B69))</f>
        <v>0</v>
      </c>
      <c r="W69" s="50">
        <f>IF(B69="","",IF(OR(K69="Resolved",K69="Closed - no action",K69="Refunded"),"No","Yes"))</f>
        <v>0</v>
      </c>
      <c r="X69" s="50">
        <f>IF(B69="","",IF(COUNTIFS($D$5:$D$84,D69,$H$5:$H$84,H69)&gt;1,"Yes","No"))</f>
        <v>0</v>
      </c>
      <c r="Y69" s="39">
        <f>IF(B69="","",IF(W69="No","OK - closed",IF(V69&gt;7,"Overdue - open "&amp;V69&amp;" days",IF(I69="Critical","Action - critical, today",IF(L69="","Assign - nobody owns this",IF(X69="Yes","Check - repeat issue","Action - open"))))))</f>
        <v>0</v>
      </c>
    </row>
    <row r="70" spans="1:25">
      <c r="A70" s="43">
        <f>IF(B70="","",ComplaintPrefix&amp;TEXT(ROW()-4,"0000"))</f>
        <v>0</v>
      </c>
      <c r="C70" s="23">
        <f>IF(B70="","",TEXT(B70,"yyyy-mm"))</f>
        <v>0</v>
      </c>
      <c r="E70" s="23">
        <f>IF(D70="","",IFERROR(INDEX(Clients!$B$5:$B$204,MATCH(D70,Clients!$A$5:$A$204,0)),"Not found"))</f>
        <v>0</v>
      </c>
      <c r="V70" s="31">
        <f>IF(OR(B70="",D70=""),"",IF(Q70&lt;&gt;"",Q70-B70,TodayDate-B70))</f>
        <v>0</v>
      </c>
      <c r="W70" s="50">
        <f>IF(B70="","",IF(OR(K70="Resolved",K70="Closed - no action",K70="Refunded"),"No","Yes"))</f>
        <v>0</v>
      </c>
      <c r="X70" s="50">
        <f>IF(B70="","",IF(COUNTIFS($D$5:$D$84,D70,$H$5:$H$84,H70)&gt;1,"Yes","No"))</f>
        <v>0</v>
      </c>
      <c r="Y70" s="39">
        <f>IF(B70="","",IF(W70="No","OK - closed",IF(V70&gt;7,"Overdue - open "&amp;V70&amp;" days",IF(I70="Critical","Action - critical, today",IF(L70="","Assign - nobody owns this",IF(X70="Yes","Check - repeat issue","Action - open"))))))</f>
        <v>0</v>
      </c>
    </row>
    <row r="71" spans="1:25">
      <c r="A71" s="43">
        <f>IF(B71="","",ComplaintPrefix&amp;TEXT(ROW()-4,"0000"))</f>
        <v>0</v>
      </c>
      <c r="C71" s="23">
        <f>IF(B71="","",TEXT(B71,"yyyy-mm"))</f>
        <v>0</v>
      </c>
      <c r="E71" s="23">
        <f>IF(D71="","",IFERROR(INDEX(Clients!$B$5:$B$204,MATCH(D71,Clients!$A$5:$A$204,0)),"Not found"))</f>
        <v>0</v>
      </c>
      <c r="V71" s="31">
        <f>IF(OR(B71="",D71=""),"",IF(Q71&lt;&gt;"",Q71-B71,TodayDate-B71))</f>
        <v>0</v>
      </c>
      <c r="W71" s="50">
        <f>IF(B71="","",IF(OR(K71="Resolved",K71="Closed - no action",K71="Refunded"),"No","Yes"))</f>
        <v>0</v>
      </c>
      <c r="X71" s="50">
        <f>IF(B71="","",IF(COUNTIFS($D$5:$D$84,D71,$H$5:$H$84,H71)&gt;1,"Yes","No"))</f>
        <v>0</v>
      </c>
      <c r="Y71" s="39">
        <f>IF(B71="","",IF(W71="No","OK - closed",IF(V71&gt;7,"Overdue - open "&amp;V71&amp;" days",IF(I71="Critical","Action - critical, today",IF(L71="","Assign - nobody owns this",IF(X71="Yes","Check - repeat issue","Action - open"))))))</f>
        <v>0</v>
      </c>
    </row>
    <row r="72" spans="1:25">
      <c r="A72" s="43">
        <f>IF(B72="","",ComplaintPrefix&amp;TEXT(ROW()-4,"0000"))</f>
        <v>0</v>
      </c>
      <c r="C72" s="23">
        <f>IF(B72="","",TEXT(B72,"yyyy-mm"))</f>
        <v>0</v>
      </c>
      <c r="E72" s="23">
        <f>IF(D72="","",IFERROR(INDEX(Clients!$B$5:$B$204,MATCH(D72,Clients!$A$5:$A$204,0)),"Not found"))</f>
        <v>0</v>
      </c>
      <c r="V72" s="31">
        <f>IF(OR(B72="",D72=""),"",IF(Q72&lt;&gt;"",Q72-B72,TodayDate-B72))</f>
        <v>0</v>
      </c>
      <c r="W72" s="50">
        <f>IF(B72="","",IF(OR(K72="Resolved",K72="Closed - no action",K72="Refunded"),"No","Yes"))</f>
        <v>0</v>
      </c>
      <c r="X72" s="50">
        <f>IF(B72="","",IF(COUNTIFS($D$5:$D$84,D72,$H$5:$H$84,H72)&gt;1,"Yes","No"))</f>
        <v>0</v>
      </c>
      <c r="Y72" s="39">
        <f>IF(B72="","",IF(W72="No","OK - closed",IF(V72&gt;7,"Overdue - open "&amp;V72&amp;" days",IF(I72="Critical","Action - critical, today",IF(L72="","Assign - nobody owns this",IF(X72="Yes","Check - repeat issue","Action - open"))))))</f>
        <v>0</v>
      </c>
    </row>
    <row r="73" spans="1:25">
      <c r="A73" s="43">
        <f>IF(B73="","",ComplaintPrefix&amp;TEXT(ROW()-4,"0000"))</f>
        <v>0</v>
      </c>
      <c r="C73" s="23">
        <f>IF(B73="","",TEXT(B73,"yyyy-mm"))</f>
        <v>0</v>
      </c>
      <c r="E73" s="23">
        <f>IF(D73="","",IFERROR(INDEX(Clients!$B$5:$B$204,MATCH(D73,Clients!$A$5:$A$204,0)),"Not found"))</f>
        <v>0</v>
      </c>
      <c r="V73" s="31">
        <f>IF(OR(B73="",D73=""),"",IF(Q73&lt;&gt;"",Q73-B73,TodayDate-B73))</f>
        <v>0</v>
      </c>
      <c r="W73" s="50">
        <f>IF(B73="","",IF(OR(K73="Resolved",K73="Closed - no action",K73="Refunded"),"No","Yes"))</f>
        <v>0</v>
      </c>
      <c r="X73" s="50">
        <f>IF(B73="","",IF(COUNTIFS($D$5:$D$84,D73,$H$5:$H$84,H73)&gt;1,"Yes","No"))</f>
        <v>0</v>
      </c>
      <c r="Y73" s="39">
        <f>IF(B73="","",IF(W73="No","OK - closed",IF(V73&gt;7,"Overdue - open "&amp;V73&amp;" days",IF(I73="Critical","Action - critical, today",IF(L73="","Assign - nobody owns this",IF(X73="Yes","Check - repeat issue","Action - open"))))))</f>
        <v>0</v>
      </c>
    </row>
    <row r="74" spans="1:25">
      <c r="A74" s="43">
        <f>IF(B74="","",ComplaintPrefix&amp;TEXT(ROW()-4,"0000"))</f>
        <v>0</v>
      </c>
      <c r="C74" s="23">
        <f>IF(B74="","",TEXT(B74,"yyyy-mm"))</f>
        <v>0</v>
      </c>
      <c r="E74" s="23">
        <f>IF(D74="","",IFERROR(INDEX(Clients!$B$5:$B$204,MATCH(D74,Clients!$A$5:$A$204,0)),"Not found"))</f>
        <v>0</v>
      </c>
      <c r="V74" s="31">
        <f>IF(OR(B74="",D74=""),"",IF(Q74&lt;&gt;"",Q74-B74,TodayDate-B74))</f>
        <v>0</v>
      </c>
      <c r="W74" s="50">
        <f>IF(B74="","",IF(OR(K74="Resolved",K74="Closed - no action",K74="Refunded"),"No","Yes"))</f>
        <v>0</v>
      </c>
      <c r="X74" s="50">
        <f>IF(B74="","",IF(COUNTIFS($D$5:$D$84,D74,$H$5:$H$84,H74)&gt;1,"Yes","No"))</f>
        <v>0</v>
      </c>
      <c r="Y74" s="39">
        <f>IF(B74="","",IF(W74="No","OK - closed",IF(V74&gt;7,"Overdue - open "&amp;V74&amp;" days",IF(I74="Critical","Action - critical, today",IF(L74="","Assign - nobody owns this",IF(X74="Yes","Check - repeat issue","Action - open"))))))</f>
        <v>0</v>
      </c>
    </row>
    <row r="75" spans="1:25">
      <c r="A75" s="43">
        <f>IF(B75="","",ComplaintPrefix&amp;TEXT(ROW()-4,"0000"))</f>
        <v>0</v>
      </c>
      <c r="C75" s="23">
        <f>IF(B75="","",TEXT(B75,"yyyy-mm"))</f>
        <v>0</v>
      </c>
      <c r="E75" s="23">
        <f>IF(D75="","",IFERROR(INDEX(Clients!$B$5:$B$204,MATCH(D75,Clients!$A$5:$A$204,0)),"Not found"))</f>
        <v>0</v>
      </c>
      <c r="V75" s="31">
        <f>IF(OR(B75="",D75=""),"",IF(Q75&lt;&gt;"",Q75-B75,TodayDate-B75))</f>
        <v>0</v>
      </c>
      <c r="W75" s="50">
        <f>IF(B75="","",IF(OR(K75="Resolved",K75="Closed - no action",K75="Refunded"),"No","Yes"))</f>
        <v>0</v>
      </c>
      <c r="X75" s="50">
        <f>IF(B75="","",IF(COUNTIFS($D$5:$D$84,D75,$H$5:$H$84,H75)&gt;1,"Yes","No"))</f>
        <v>0</v>
      </c>
      <c r="Y75" s="39">
        <f>IF(B75="","",IF(W75="No","OK - closed",IF(V75&gt;7,"Overdue - open "&amp;V75&amp;" days",IF(I75="Critical","Action - critical, today",IF(L75="","Assign - nobody owns this",IF(X75="Yes","Check - repeat issue","Action - open"))))))</f>
        <v>0</v>
      </c>
    </row>
    <row r="76" spans="1:25">
      <c r="A76" s="43">
        <f>IF(B76="","",ComplaintPrefix&amp;TEXT(ROW()-4,"0000"))</f>
        <v>0</v>
      </c>
      <c r="C76" s="23">
        <f>IF(B76="","",TEXT(B76,"yyyy-mm"))</f>
        <v>0</v>
      </c>
      <c r="E76" s="23">
        <f>IF(D76="","",IFERROR(INDEX(Clients!$B$5:$B$204,MATCH(D76,Clients!$A$5:$A$204,0)),"Not found"))</f>
        <v>0</v>
      </c>
      <c r="V76" s="31">
        <f>IF(OR(B76="",D76=""),"",IF(Q76&lt;&gt;"",Q76-B76,TodayDate-B76))</f>
        <v>0</v>
      </c>
      <c r="W76" s="50">
        <f>IF(B76="","",IF(OR(K76="Resolved",K76="Closed - no action",K76="Refunded"),"No","Yes"))</f>
        <v>0</v>
      </c>
      <c r="X76" s="50">
        <f>IF(B76="","",IF(COUNTIFS($D$5:$D$84,D76,$H$5:$H$84,H76)&gt;1,"Yes","No"))</f>
        <v>0</v>
      </c>
      <c r="Y76" s="39">
        <f>IF(B76="","",IF(W76="No","OK - closed",IF(V76&gt;7,"Overdue - open "&amp;V76&amp;" days",IF(I76="Critical","Action - critical, today",IF(L76="","Assign - nobody owns this",IF(X76="Yes","Check - repeat issue","Action - open"))))))</f>
        <v>0</v>
      </c>
    </row>
    <row r="77" spans="1:25">
      <c r="A77" s="43">
        <f>IF(B77="","",ComplaintPrefix&amp;TEXT(ROW()-4,"0000"))</f>
        <v>0</v>
      </c>
      <c r="C77" s="23">
        <f>IF(B77="","",TEXT(B77,"yyyy-mm"))</f>
        <v>0</v>
      </c>
      <c r="E77" s="23">
        <f>IF(D77="","",IFERROR(INDEX(Clients!$B$5:$B$204,MATCH(D77,Clients!$A$5:$A$204,0)),"Not found"))</f>
        <v>0</v>
      </c>
      <c r="V77" s="31">
        <f>IF(OR(B77="",D77=""),"",IF(Q77&lt;&gt;"",Q77-B77,TodayDate-B77))</f>
        <v>0</v>
      </c>
      <c r="W77" s="50">
        <f>IF(B77="","",IF(OR(K77="Resolved",K77="Closed - no action",K77="Refunded"),"No","Yes"))</f>
        <v>0</v>
      </c>
      <c r="X77" s="50">
        <f>IF(B77="","",IF(COUNTIFS($D$5:$D$84,D77,$H$5:$H$84,H77)&gt;1,"Yes","No"))</f>
        <v>0</v>
      </c>
      <c r="Y77" s="39">
        <f>IF(B77="","",IF(W77="No","OK - closed",IF(V77&gt;7,"Overdue - open "&amp;V77&amp;" days",IF(I77="Critical","Action - critical, today",IF(L77="","Assign - nobody owns this",IF(X77="Yes","Check - repeat issue","Action - open"))))))</f>
        <v>0</v>
      </c>
    </row>
    <row r="78" spans="1:25">
      <c r="A78" s="43">
        <f>IF(B78="","",ComplaintPrefix&amp;TEXT(ROW()-4,"0000"))</f>
        <v>0</v>
      </c>
      <c r="C78" s="23">
        <f>IF(B78="","",TEXT(B78,"yyyy-mm"))</f>
        <v>0</v>
      </c>
      <c r="E78" s="23">
        <f>IF(D78="","",IFERROR(INDEX(Clients!$B$5:$B$204,MATCH(D78,Clients!$A$5:$A$204,0)),"Not found"))</f>
        <v>0</v>
      </c>
      <c r="V78" s="31">
        <f>IF(OR(B78="",D78=""),"",IF(Q78&lt;&gt;"",Q78-B78,TodayDate-B78))</f>
        <v>0</v>
      </c>
      <c r="W78" s="50">
        <f>IF(B78="","",IF(OR(K78="Resolved",K78="Closed - no action",K78="Refunded"),"No","Yes"))</f>
        <v>0</v>
      </c>
      <c r="X78" s="50">
        <f>IF(B78="","",IF(COUNTIFS($D$5:$D$84,D78,$H$5:$H$84,H78)&gt;1,"Yes","No"))</f>
        <v>0</v>
      </c>
      <c r="Y78" s="39">
        <f>IF(B78="","",IF(W78="No","OK - closed",IF(V78&gt;7,"Overdue - open "&amp;V78&amp;" days",IF(I78="Critical","Action - critical, today",IF(L78="","Assign - nobody owns this",IF(X78="Yes","Check - repeat issue","Action - open"))))))</f>
        <v>0</v>
      </c>
    </row>
    <row r="79" spans="1:25">
      <c r="A79" s="43">
        <f>IF(B79="","",ComplaintPrefix&amp;TEXT(ROW()-4,"0000"))</f>
        <v>0</v>
      </c>
      <c r="C79" s="23">
        <f>IF(B79="","",TEXT(B79,"yyyy-mm"))</f>
        <v>0</v>
      </c>
      <c r="E79" s="23">
        <f>IF(D79="","",IFERROR(INDEX(Clients!$B$5:$B$204,MATCH(D79,Clients!$A$5:$A$204,0)),"Not found"))</f>
        <v>0</v>
      </c>
      <c r="V79" s="31">
        <f>IF(OR(B79="",D79=""),"",IF(Q79&lt;&gt;"",Q79-B79,TodayDate-B79))</f>
        <v>0</v>
      </c>
      <c r="W79" s="50">
        <f>IF(B79="","",IF(OR(K79="Resolved",K79="Closed - no action",K79="Refunded"),"No","Yes"))</f>
        <v>0</v>
      </c>
      <c r="X79" s="50">
        <f>IF(B79="","",IF(COUNTIFS($D$5:$D$84,D79,$H$5:$H$84,H79)&gt;1,"Yes","No"))</f>
        <v>0</v>
      </c>
      <c r="Y79" s="39">
        <f>IF(B79="","",IF(W79="No","OK - closed",IF(V79&gt;7,"Overdue - open "&amp;V79&amp;" days",IF(I79="Critical","Action - critical, today",IF(L79="","Assign - nobody owns this",IF(X79="Yes","Check - repeat issue","Action - open"))))))</f>
        <v>0</v>
      </c>
    </row>
    <row r="80" spans="1:25">
      <c r="A80" s="43">
        <f>IF(B80="","",ComplaintPrefix&amp;TEXT(ROW()-4,"0000"))</f>
        <v>0</v>
      </c>
      <c r="C80" s="23">
        <f>IF(B80="","",TEXT(B80,"yyyy-mm"))</f>
        <v>0</v>
      </c>
      <c r="E80" s="23">
        <f>IF(D80="","",IFERROR(INDEX(Clients!$B$5:$B$204,MATCH(D80,Clients!$A$5:$A$204,0)),"Not found"))</f>
        <v>0</v>
      </c>
      <c r="V80" s="31">
        <f>IF(OR(B80="",D80=""),"",IF(Q80&lt;&gt;"",Q80-B80,TodayDate-B80))</f>
        <v>0</v>
      </c>
      <c r="W80" s="50">
        <f>IF(B80="","",IF(OR(K80="Resolved",K80="Closed - no action",K80="Refunded"),"No","Yes"))</f>
        <v>0</v>
      </c>
      <c r="X80" s="50">
        <f>IF(B80="","",IF(COUNTIFS($D$5:$D$84,D80,$H$5:$H$84,H80)&gt;1,"Yes","No"))</f>
        <v>0</v>
      </c>
      <c r="Y80" s="39">
        <f>IF(B80="","",IF(W80="No","OK - closed",IF(V80&gt;7,"Overdue - open "&amp;V80&amp;" days",IF(I80="Critical","Action - critical, today",IF(L80="","Assign - nobody owns this",IF(X80="Yes","Check - repeat issue","Action - open"))))))</f>
        <v>0</v>
      </c>
    </row>
    <row r="81" spans="1:25">
      <c r="A81" s="43">
        <f>IF(B81="","",ComplaintPrefix&amp;TEXT(ROW()-4,"0000"))</f>
        <v>0</v>
      </c>
      <c r="C81" s="23">
        <f>IF(B81="","",TEXT(B81,"yyyy-mm"))</f>
        <v>0</v>
      </c>
      <c r="E81" s="23">
        <f>IF(D81="","",IFERROR(INDEX(Clients!$B$5:$B$204,MATCH(D81,Clients!$A$5:$A$204,0)),"Not found"))</f>
        <v>0</v>
      </c>
      <c r="V81" s="31">
        <f>IF(OR(B81="",D81=""),"",IF(Q81&lt;&gt;"",Q81-B81,TodayDate-B81))</f>
        <v>0</v>
      </c>
      <c r="W81" s="50">
        <f>IF(B81="","",IF(OR(K81="Resolved",K81="Closed - no action",K81="Refunded"),"No","Yes"))</f>
        <v>0</v>
      </c>
      <c r="X81" s="50">
        <f>IF(B81="","",IF(COUNTIFS($D$5:$D$84,D81,$H$5:$H$84,H81)&gt;1,"Yes","No"))</f>
        <v>0</v>
      </c>
      <c r="Y81" s="39">
        <f>IF(B81="","",IF(W81="No","OK - closed",IF(V81&gt;7,"Overdue - open "&amp;V81&amp;" days",IF(I81="Critical","Action - critical, today",IF(L81="","Assign - nobody owns this",IF(X81="Yes","Check - repeat issue","Action - open"))))))</f>
        <v>0</v>
      </c>
    </row>
    <row r="82" spans="1:25">
      <c r="A82" s="43">
        <f>IF(B82="","",ComplaintPrefix&amp;TEXT(ROW()-4,"0000"))</f>
        <v>0</v>
      </c>
      <c r="C82" s="23">
        <f>IF(B82="","",TEXT(B82,"yyyy-mm"))</f>
        <v>0</v>
      </c>
      <c r="E82" s="23">
        <f>IF(D82="","",IFERROR(INDEX(Clients!$B$5:$B$204,MATCH(D82,Clients!$A$5:$A$204,0)),"Not found"))</f>
        <v>0</v>
      </c>
      <c r="V82" s="31">
        <f>IF(OR(B82="",D82=""),"",IF(Q82&lt;&gt;"",Q82-B82,TodayDate-B82))</f>
        <v>0</v>
      </c>
      <c r="W82" s="50">
        <f>IF(B82="","",IF(OR(K82="Resolved",K82="Closed - no action",K82="Refunded"),"No","Yes"))</f>
        <v>0</v>
      </c>
      <c r="X82" s="50">
        <f>IF(B82="","",IF(COUNTIFS($D$5:$D$84,D82,$H$5:$H$84,H82)&gt;1,"Yes","No"))</f>
        <v>0</v>
      </c>
      <c r="Y82" s="39">
        <f>IF(B82="","",IF(W82="No","OK - closed",IF(V82&gt;7,"Overdue - open "&amp;V82&amp;" days",IF(I82="Critical","Action - critical, today",IF(L82="","Assign - nobody owns this",IF(X82="Yes","Check - repeat issue","Action - open"))))))</f>
        <v>0</v>
      </c>
    </row>
    <row r="83" spans="1:25">
      <c r="A83" s="43">
        <f>IF(B83="","",ComplaintPrefix&amp;TEXT(ROW()-4,"0000"))</f>
        <v>0</v>
      </c>
      <c r="C83" s="23">
        <f>IF(B83="","",TEXT(B83,"yyyy-mm"))</f>
        <v>0</v>
      </c>
      <c r="E83" s="23">
        <f>IF(D83="","",IFERROR(INDEX(Clients!$B$5:$B$204,MATCH(D83,Clients!$A$5:$A$204,0)),"Not found"))</f>
        <v>0</v>
      </c>
      <c r="V83" s="31">
        <f>IF(OR(B83="",D83=""),"",IF(Q83&lt;&gt;"",Q83-B83,TodayDate-B83))</f>
        <v>0</v>
      </c>
      <c r="W83" s="50">
        <f>IF(B83="","",IF(OR(K83="Resolved",K83="Closed - no action",K83="Refunded"),"No","Yes"))</f>
        <v>0</v>
      </c>
      <c r="X83" s="50">
        <f>IF(B83="","",IF(COUNTIFS($D$5:$D$84,D83,$H$5:$H$84,H83)&gt;1,"Yes","No"))</f>
        <v>0</v>
      </c>
      <c r="Y83" s="39">
        <f>IF(B83="","",IF(W83="No","OK - closed",IF(V83&gt;7,"Overdue - open "&amp;V83&amp;" days",IF(I83="Critical","Action - critical, today",IF(L83="","Assign - nobody owns this",IF(X83="Yes","Check - repeat issue","Action - open"))))))</f>
        <v>0</v>
      </c>
    </row>
    <row r="84" spans="1:25">
      <c r="A84" s="43">
        <f>IF(B84="","",ComplaintPrefix&amp;TEXT(ROW()-4,"0000"))</f>
        <v>0</v>
      </c>
      <c r="C84" s="23">
        <f>IF(B84="","",TEXT(B84,"yyyy-mm"))</f>
        <v>0</v>
      </c>
      <c r="E84" s="23">
        <f>IF(D84="","",IFERROR(INDEX(Clients!$B$5:$B$204,MATCH(D84,Clients!$A$5:$A$204,0)),"Not found"))</f>
        <v>0</v>
      </c>
      <c r="V84" s="31">
        <f>IF(OR(B84="",D84=""),"",IF(Q84&lt;&gt;"",Q84-B84,TodayDate-B84))</f>
        <v>0</v>
      </c>
      <c r="W84" s="50">
        <f>IF(B84="","",IF(OR(K84="Resolved",K84="Closed - no action",K84="Refunded"),"No","Yes"))</f>
        <v>0</v>
      </c>
      <c r="X84" s="50">
        <f>IF(B84="","",IF(COUNTIFS($D$5:$D$84,D84,$H$5:$H$84,H84)&gt;1,"Yes","No"))</f>
        <v>0</v>
      </c>
      <c r="Y84" s="39">
        <f>IF(B84="","",IF(W84="No","OK - closed",IF(V84&gt;7,"Overdue - open "&amp;V84&amp;" days",IF(I84="Critical","Action - critical, today",IF(L84="","Assign - nobody owns this",IF(X84="Yes","Check - repeat issue","Action - open"))))))</f>
        <v>0</v>
      </c>
    </row>
  </sheetData>
  <sheetProtection password="EC7C" sheet="1" objects="1" scenarios="1" formatCells="0" formatColumns="0" formatRows="0" insertRows="0" insertHyperlinks="0" deleteRows="0" autoFilter="0"/>
  <autoFilter ref="A4:Y84"/>
  <mergeCells count="13">
    <mergeCell ref="A1:V1"/>
    <mergeCell ref="W1:Y1"/>
    <mergeCell ref="A2:Y2"/>
    <mergeCell ref="A3:B3"/>
    <mergeCell ref="C3:D3"/>
    <mergeCell ref="E3:F3"/>
    <mergeCell ref="G3:H3"/>
    <mergeCell ref="I3:J3"/>
    <mergeCell ref="K3:L3"/>
    <mergeCell ref="M3:N3"/>
    <mergeCell ref="O3:P3"/>
    <mergeCell ref="Q3:R3"/>
    <mergeCell ref="S3:Y3"/>
  </mergeCells>
  <conditionalFormatting sqref="I5:I84">
    <cfRule type="containsText" dxfId="1" priority="1" operator="containsText" text="Completed">
      <formula>NOT(ISERROR(SEARCH("Completed",I5)))</formula>
    </cfRule>
    <cfRule type="containsText" dxfId="1" priority="2" operator="containsText" text="Complete">
      <formula>NOT(ISERROR(SEARCH("Complete",I5)))</formula>
    </cfRule>
    <cfRule type="containsText" dxfId="1" priority="3" operator="containsText" text="Done">
      <formula>NOT(ISERROR(SEARCH("Done",I5)))</formula>
    </cfRule>
    <cfRule type="containsText" dxfId="1" priority="4" operator="containsText" text="Paid">
      <formula>NOT(ISERROR(SEARCH("Paid",I5)))</formula>
    </cfRule>
    <cfRule type="containsText" dxfId="1" priority="5" operator="containsText" text="Accepted">
      <formula>NOT(ISERROR(SEARCH("Accepted",I5)))</formula>
    </cfRule>
    <cfRule type="containsText" dxfId="1" priority="6" operator="containsText" text="Won">
      <formula>NOT(ISERROR(SEARCH("Won",I5)))</formula>
    </cfRule>
    <cfRule type="containsText" dxfId="1" priority="7" operator="containsText" text="Active">
      <formula>NOT(ISERROR(SEARCH("Active",I5)))</formula>
    </cfRule>
    <cfRule type="containsText" dxfId="1" priority="8" operator="containsText" text="In stock">
      <formula>NOT(ISERROR(SEARCH("In stock",I5)))</formula>
    </cfRule>
    <cfRule type="containsText" dxfId="1" priority="9" operator="containsText" text="Resolved">
      <formula>NOT(ISERROR(SEARCH("Resolved",I5)))</formula>
    </cfRule>
    <cfRule type="containsText" dxfId="1" priority="10" operator="containsText" text="Signed">
      <formula>NOT(ISERROR(SEARCH("Signed",I5)))</formula>
    </cfRule>
    <cfRule type="containsText" dxfId="1" priority="11" operator="containsText" text="Yes">
      <formula>NOT(ISERROR(SEARCH("Yes",I5)))</formula>
    </cfRule>
    <cfRule type="containsText" dxfId="3" priority="12" operator="containsText" text="Booked">
      <formula>NOT(ISERROR(SEARCH("Booked",I5)))</formula>
    </cfRule>
    <cfRule type="containsText" dxfId="3" priority="13" operator="containsText" text="Confirmed">
      <formula>NOT(ISERROR(SEARCH("Confirmed",I5)))</formula>
    </cfRule>
    <cfRule type="containsText" dxfId="3" priority="14" operator="containsText" text="Scheduled">
      <formula>NOT(ISERROR(SEARCH("Scheduled",I5)))</formula>
    </cfRule>
    <cfRule type="containsText" dxfId="3" priority="15" operator="containsText" text="In progress">
      <formula>NOT(ISERROR(SEARCH("In progress",I5)))</formula>
    </cfRule>
    <cfRule type="containsText" dxfId="3" priority="16" operator="containsText" text="Sent">
      <formula>NOT(ISERROR(SEARCH("Sent",I5)))</formula>
    </cfRule>
    <cfRule type="containsText" dxfId="3" priority="17" operator="containsText" text="Invoiced">
      <formula>NOT(ISERROR(SEARCH("Invoiced",I5)))</formula>
    </cfRule>
    <cfRule type="containsText" dxfId="3" priority="18" operator="containsText" text="Quoted">
      <formula>NOT(ISERROR(SEARCH("Quoted",I5)))</formula>
    </cfRule>
    <cfRule type="containsText" dxfId="3" priority="19" operator="containsText" text="Prospect">
      <formula>NOT(ISERROR(SEARCH("Prospect",I5)))</formula>
    </cfRule>
    <cfRule type="containsText" dxfId="0" priority="20" operator="containsText" text="Draft">
      <formula>NOT(ISERROR(SEARCH("Draft",I5)))</formula>
    </cfRule>
    <cfRule type="containsText" dxfId="0" priority="21" operator="containsText" text="Enquiry">
      <formula>NOT(ISERROR(SEARCH("Enquiry",I5)))</formula>
    </cfRule>
    <cfRule type="containsText" dxfId="0" priority="22" operator="containsText" text="Pending">
      <formula>NOT(ISERROR(SEARCH("Pending",I5)))</formula>
    </cfRule>
    <cfRule type="containsText" dxfId="0" priority="23" operator="containsText" text="Part paid">
      <formula>NOT(ISERROR(SEARCH("Part paid",I5)))</formula>
    </cfRule>
    <cfRule type="containsText" dxfId="0" priority="24" operator="containsText" text="Followed up">
      <formula>NOT(ISERROR(SEARCH("Followed up",I5)))</formula>
    </cfRule>
    <cfRule type="containsText" dxfId="0" priority="25" operator="containsText" text="Low stock">
      <formula>NOT(ISERROR(SEARCH("Low stock",I5)))</formula>
    </cfRule>
    <cfRule type="containsText" dxfId="0" priority="26" operator="containsText" text="Due soon">
      <formula>NOT(ISERROR(SEARCH("Due soon",I5)))</formula>
    </cfRule>
    <cfRule type="containsText" dxfId="0" priority="27" operator="containsText" text="On hold">
      <formula>NOT(ISERROR(SEARCH("On hold",I5)))</formula>
    </cfRule>
    <cfRule type="containsText" dxfId="0" priority="28" operator="containsText" text="Unassigned">
      <formula>NOT(ISERROR(SEARCH("Unassigned",I5)))</formula>
    </cfRule>
    <cfRule type="containsText" dxfId="2" priority="29" operator="containsText" text="Overdue">
      <formula>NOT(ISERROR(SEARCH("Overdue",I5)))</formula>
    </cfRule>
    <cfRule type="containsText" dxfId="2" priority="30" operator="containsText" text="Cancelled">
      <formula>NOT(ISERROR(SEARCH("Cancelled",I5)))</formula>
    </cfRule>
    <cfRule type="containsText" dxfId="2" priority="31" operator="containsText" text="Declined">
      <formula>NOT(ISERROR(SEARCH("Declined",I5)))</formula>
    </cfRule>
    <cfRule type="containsText" dxfId="2" priority="32" operator="containsText" text="Lost">
      <formula>NOT(ISERROR(SEARCH("Lost",I5)))</formula>
    </cfRule>
    <cfRule type="containsText" dxfId="2" priority="33" operator="containsText" text="No access">
      <formula>NOT(ISERROR(SEARCH("No access",I5)))</formula>
    </cfRule>
    <cfRule type="containsText" dxfId="2" priority="34" operator="containsText" text="Out of stock">
      <formula>NOT(ISERROR(SEARCH("Out of stock",I5)))</formula>
    </cfRule>
    <cfRule type="containsText" dxfId="2" priority="35" operator="containsText" text="Written off">
      <formula>NOT(ISERROR(SEARCH("Written off",I5)))</formula>
    </cfRule>
    <cfRule type="containsText" dxfId="2" priority="36" operator="containsText" text="Expired">
      <formula>NOT(ISERROR(SEARCH("Expired",I5)))</formula>
    </cfRule>
    <cfRule type="containsText" dxfId="4" priority="37" operator="containsText" text="Inactive">
      <formula>NOT(ISERROR(SEARCH("Inactive",I5)))</formula>
    </cfRule>
    <cfRule type="containsText" dxfId="4" priority="38" operator="containsText" text="Archived">
      <formula>NOT(ISERROR(SEARCH("Archived",I5)))</formula>
    </cfRule>
    <cfRule type="containsText" dxfId="4" priority="39" operator="containsText" text="Not needed">
      <formula>NOT(ISERROR(SEARCH("Not needed",I5)))</formula>
    </cfRule>
  </conditionalFormatting>
  <conditionalFormatting sqref="K5:K84">
    <cfRule type="containsText" dxfId="1" priority="40" operator="containsText" text="Completed">
      <formula>NOT(ISERROR(SEARCH("Completed",K5)))</formula>
    </cfRule>
    <cfRule type="containsText" dxfId="1" priority="41" operator="containsText" text="Complete">
      <formula>NOT(ISERROR(SEARCH("Complete",K5)))</formula>
    </cfRule>
    <cfRule type="containsText" dxfId="1" priority="42" operator="containsText" text="Done">
      <formula>NOT(ISERROR(SEARCH("Done",K5)))</formula>
    </cfRule>
    <cfRule type="containsText" dxfId="1" priority="43" operator="containsText" text="Paid">
      <formula>NOT(ISERROR(SEARCH("Paid",K5)))</formula>
    </cfRule>
    <cfRule type="containsText" dxfId="1" priority="44" operator="containsText" text="Accepted">
      <formula>NOT(ISERROR(SEARCH("Accepted",K5)))</formula>
    </cfRule>
    <cfRule type="containsText" dxfId="1" priority="45" operator="containsText" text="Won">
      <formula>NOT(ISERROR(SEARCH("Won",K5)))</formula>
    </cfRule>
    <cfRule type="containsText" dxfId="1" priority="46" operator="containsText" text="Active">
      <formula>NOT(ISERROR(SEARCH("Active",K5)))</formula>
    </cfRule>
    <cfRule type="containsText" dxfId="1" priority="47" operator="containsText" text="In stock">
      <formula>NOT(ISERROR(SEARCH("In stock",K5)))</formula>
    </cfRule>
    <cfRule type="containsText" dxfId="1" priority="48" operator="containsText" text="Resolved">
      <formula>NOT(ISERROR(SEARCH("Resolved",K5)))</formula>
    </cfRule>
    <cfRule type="containsText" dxfId="1" priority="49" operator="containsText" text="Signed">
      <formula>NOT(ISERROR(SEARCH("Signed",K5)))</formula>
    </cfRule>
    <cfRule type="containsText" dxfId="1" priority="50" operator="containsText" text="Yes">
      <formula>NOT(ISERROR(SEARCH("Yes",K5)))</formula>
    </cfRule>
    <cfRule type="containsText" dxfId="3" priority="51" operator="containsText" text="Booked">
      <formula>NOT(ISERROR(SEARCH("Booked",K5)))</formula>
    </cfRule>
    <cfRule type="containsText" dxfId="3" priority="52" operator="containsText" text="Confirmed">
      <formula>NOT(ISERROR(SEARCH("Confirmed",K5)))</formula>
    </cfRule>
    <cfRule type="containsText" dxfId="3" priority="53" operator="containsText" text="Scheduled">
      <formula>NOT(ISERROR(SEARCH("Scheduled",K5)))</formula>
    </cfRule>
    <cfRule type="containsText" dxfId="3" priority="54" operator="containsText" text="In progress">
      <formula>NOT(ISERROR(SEARCH("In progress",K5)))</formula>
    </cfRule>
    <cfRule type="containsText" dxfId="3" priority="55" operator="containsText" text="Sent">
      <formula>NOT(ISERROR(SEARCH("Sent",K5)))</formula>
    </cfRule>
    <cfRule type="containsText" dxfId="3" priority="56" operator="containsText" text="Invoiced">
      <formula>NOT(ISERROR(SEARCH("Invoiced",K5)))</formula>
    </cfRule>
    <cfRule type="containsText" dxfId="3" priority="57" operator="containsText" text="Quoted">
      <formula>NOT(ISERROR(SEARCH("Quoted",K5)))</formula>
    </cfRule>
    <cfRule type="containsText" dxfId="3" priority="58" operator="containsText" text="Prospect">
      <formula>NOT(ISERROR(SEARCH("Prospect",K5)))</formula>
    </cfRule>
    <cfRule type="containsText" dxfId="0" priority="59" operator="containsText" text="Draft">
      <formula>NOT(ISERROR(SEARCH("Draft",K5)))</formula>
    </cfRule>
    <cfRule type="containsText" dxfId="0" priority="60" operator="containsText" text="Enquiry">
      <formula>NOT(ISERROR(SEARCH("Enquiry",K5)))</formula>
    </cfRule>
    <cfRule type="containsText" dxfId="0" priority="61" operator="containsText" text="Pending">
      <formula>NOT(ISERROR(SEARCH("Pending",K5)))</formula>
    </cfRule>
    <cfRule type="containsText" dxfId="0" priority="62" operator="containsText" text="Part paid">
      <formula>NOT(ISERROR(SEARCH("Part paid",K5)))</formula>
    </cfRule>
    <cfRule type="containsText" dxfId="0" priority="63" operator="containsText" text="Followed up">
      <formula>NOT(ISERROR(SEARCH("Followed up",K5)))</formula>
    </cfRule>
    <cfRule type="containsText" dxfId="0" priority="64" operator="containsText" text="Low stock">
      <formula>NOT(ISERROR(SEARCH("Low stock",K5)))</formula>
    </cfRule>
    <cfRule type="containsText" dxfId="0" priority="65" operator="containsText" text="Due soon">
      <formula>NOT(ISERROR(SEARCH("Due soon",K5)))</formula>
    </cfRule>
    <cfRule type="containsText" dxfId="0" priority="66" operator="containsText" text="On hold">
      <formula>NOT(ISERROR(SEARCH("On hold",K5)))</formula>
    </cfRule>
    <cfRule type="containsText" dxfId="0" priority="67" operator="containsText" text="Unassigned">
      <formula>NOT(ISERROR(SEARCH("Unassigned",K5)))</formula>
    </cfRule>
    <cfRule type="containsText" dxfId="2" priority="68" operator="containsText" text="Overdue">
      <formula>NOT(ISERROR(SEARCH("Overdue",K5)))</formula>
    </cfRule>
    <cfRule type="containsText" dxfId="2" priority="69" operator="containsText" text="Cancelled">
      <formula>NOT(ISERROR(SEARCH("Cancelled",K5)))</formula>
    </cfRule>
    <cfRule type="containsText" dxfId="2" priority="70" operator="containsText" text="Declined">
      <formula>NOT(ISERROR(SEARCH("Declined",K5)))</formula>
    </cfRule>
    <cfRule type="containsText" dxfId="2" priority="71" operator="containsText" text="Lost">
      <formula>NOT(ISERROR(SEARCH("Lost",K5)))</formula>
    </cfRule>
    <cfRule type="containsText" dxfId="2" priority="72" operator="containsText" text="No access">
      <formula>NOT(ISERROR(SEARCH("No access",K5)))</formula>
    </cfRule>
    <cfRule type="containsText" dxfId="2" priority="73" operator="containsText" text="Out of stock">
      <formula>NOT(ISERROR(SEARCH("Out of stock",K5)))</formula>
    </cfRule>
    <cfRule type="containsText" dxfId="2" priority="74" operator="containsText" text="Written off">
      <formula>NOT(ISERROR(SEARCH("Written off",K5)))</formula>
    </cfRule>
    <cfRule type="containsText" dxfId="2" priority="75" operator="containsText" text="Expired">
      <formula>NOT(ISERROR(SEARCH("Expired",K5)))</formula>
    </cfRule>
    <cfRule type="containsText" dxfId="4" priority="76" operator="containsText" text="Inactive">
      <formula>NOT(ISERROR(SEARCH("Inactive",K5)))</formula>
    </cfRule>
    <cfRule type="containsText" dxfId="4" priority="77" operator="containsText" text="Archived">
      <formula>NOT(ISERROR(SEARCH("Archived",K5)))</formula>
    </cfRule>
    <cfRule type="containsText" dxfId="4" priority="78" operator="containsText" text="Not needed">
      <formula>NOT(ISERROR(SEARCH("Not needed",K5)))</formula>
    </cfRule>
  </conditionalFormatting>
  <conditionalFormatting sqref="R5:R84">
    <cfRule type="containsText" dxfId="0" priority="79" operator="containsText" text="No">
      <formula>NOT(ISERROR(SEARCH("No",R5)))</formula>
    </cfRule>
    <cfRule type="containsText" dxfId="1" priority="80" operator="containsText" text="Yes">
      <formula>NOT(ISERROR(SEARCH("Yes",R5)))</formula>
    </cfRule>
  </conditionalFormatting>
  <conditionalFormatting sqref="V5:V84">
    <cfRule type="cellIs" dxfId="2" priority="81" operator="greaterThan">
      <formula>7</formula>
    </cfRule>
    <cfRule type="cellIs" dxfId="0" priority="82" operator="greaterThan">
      <formula>2</formula>
    </cfRule>
  </conditionalFormatting>
  <conditionalFormatting sqref="W5:W84">
    <cfRule type="containsText" dxfId="0" priority="83" operator="containsText" text="No">
      <formula>NOT(ISERROR(SEARCH("No",W5)))</formula>
    </cfRule>
    <cfRule type="containsText" dxfId="1" priority="84" operator="containsText" text="Yes">
      <formula>NOT(ISERROR(SEARCH("Yes",W5)))</formula>
    </cfRule>
  </conditionalFormatting>
  <conditionalFormatting sqref="X5:X84">
    <cfRule type="containsText" dxfId="0" priority="85" operator="containsText" text="No">
      <formula>NOT(ISERROR(SEARCH("No",X5)))</formula>
    </cfRule>
    <cfRule type="containsText" dxfId="1" priority="86" operator="containsText" text="Yes">
      <formula>NOT(ISERROR(SEARCH("Yes",X5)))</formula>
    </cfRule>
  </conditionalFormatting>
  <conditionalFormatting sqref="Y5:Y84">
    <cfRule type="beginsWith" dxfId="1" priority="87" operator="beginsWith" text="OK">
      <formula>LEFT(Y5,2)="OK"</formula>
    </cfRule>
    <cfRule type="containsText" dxfId="2" priority="88" operator="containsText" text="Overdue">
      <formula>NOT(ISERROR(SEARCH("Overdue",Y5)))</formula>
    </cfRule>
    <cfRule type="containsText" dxfId="2" priority="89" operator="containsText" text="Late">
      <formula>NOT(ISERROR(SEARCH("Late",Y5)))</formula>
    </cfRule>
    <cfRule type="containsText" dxfId="2" priority="90" operator="containsText" text="Missing">
      <formula>NOT(ISERROR(SEARCH("Missing",Y5)))</formula>
    </cfRule>
    <cfRule type="containsText" dxfId="2" priority="91" operator="containsText" text="Conflict">
      <formula>NOT(ISERROR(SEARCH("Conflict",Y5)))</formula>
    </cfRule>
    <cfRule type="containsText" dxfId="2" priority="92" operator="containsText" text="Clash">
      <formula>NOT(ISERROR(SEARCH("Clash",Y5)))</formula>
    </cfRule>
    <cfRule type="containsText" dxfId="2" priority="93" operator="containsText" text="Expired">
      <formula>NOT(ISERROR(SEARCH("Expired",Y5)))</formula>
    </cfRule>
    <cfRule type="containsText" dxfId="2" priority="94" operator="containsText" text="Duplicate">
      <formula>NOT(ISERROR(SEARCH("Duplicate",Y5)))</formula>
    </cfRule>
    <cfRule type="containsText" dxfId="2" priority="95" operator="containsText" text="Unpaid">
      <formula>NOT(ISERROR(SEARCH("Unpaid",Y5)))</formula>
    </cfRule>
    <cfRule type="containsText" dxfId="2" priority="96" operator="containsText" text="Loss">
      <formula>NOT(ISERROR(SEARCH("Loss",Y5)))</formula>
    </cfRule>
    <cfRule type="containsText" dxfId="2" priority="97" operator="containsText" text="Below">
      <formula>NOT(ISERROR(SEARCH("Below",Y5)))</formula>
    </cfRule>
    <cfRule type="containsText" dxfId="0" priority="98" operator="containsText" text="Action">
      <formula>NOT(ISERROR(SEARCH("Action",Y5)))</formula>
    </cfRule>
    <cfRule type="containsText" dxfId="0" priority="99" operator="containsText" text="Due">
      <formula>NOT(ISERROR(SEARCH("Due",Y5)))</formula>
    </cfRule>
    <cfRule type="containsText" dxfId="0" priority="100" operator="containsText" text="Check">
      <formula>NOT(ISERROR(SEARCH("Check",Y5)))</formula>
    </cfRule>
    <cfRule type="containsText" dxfId="0" priority="101" operator="containsText" text="Chase">
      <formula>NOT(ISERROR(SEARCH("Chase",Y5)))</formula>
    </cfRule>
    <cfRule type="containsText" dxfId="0" priority="102" operator="containsText" text="Assign">
      <formula>NOT(ISERROR(SEARCH("Assign",Y5)))</formula>
    </cfRule>
    <cfRule type="containsText" dxfId="0" priority="103" operator="containsText" text="Confirm">
      <formula>NOT(ISERROR(SEARCH("Confirm",Y5)))</formula>
    </cfRule>
    <cfRule type="containsText" dxfId="0" priority="104" operator="containsText" text="Order">
      <formula>NOT(ISERROR(SEARCH("Order",Y5)))</formula>
    </cfRule>
    <cfRule type="containsText" dxfId="3" priority="105" operator="containsText" text="Today">
      <formula>NOT(ISERROR(SEARCH("Today",Y5)))</formula>
    </cfRule>
    <cfRule type="containsText" dxfId="3" priority="106" operator="containsText" text="Upcoming">
      <formula>NOT(ISERROR(SEARCH("Upcoming",Y5)))</formula>
    </cfRule>
    <cfRule type="containsText" dxfId="3" priority="107" operator="containsText" text="Tomorrow">
      <formula>NOT(ISERROR(SEARCH("Tomorrow",Y5)))</formula>
    </cfRule>
  </conditionalFormatting>
  <dataValidations count="14">
    <dataValidation type="date" allowBlank="1" showInputMessage="1" showErrorMessage="1" errorTitle="Check the date" error="Enter a real date between 2000 and 2100." sqref="B5:B84">
      <formula1>36526</formula1>
      <formula2>73415</formula2>
    </dataValidation>
    <dataValidation type="list" allowBlank="1" showInputMessage="1" showErrorMessage="1" sqref="D5:D84">
      <formula1>ClientIDs</formula1>
    </dataValidation>
    <dataValidation type="list" allowBlank="1" showInputMessage="1" showErrorMessage="1" promptTitle="Job ID" prompt="Which visit it relates to, if you know." sqref="F5:F84">
      <formula1>JobIDs</formula1>
    </dataValidation>
    <dataValidation type="list" allowBlank="1" showInputMessage="1" showErrorMessage="1" promptTitle="Cleaner on the job" prompt="Record it, but treat a single complaint as information rather than evidence." sqref="G5:G84">
      <formula1>EmployeeNames</formula1>
    </dataValidation>
    <dataValidation type="list" allowBlank="1" showInputMessage="1" showErrorMessage="1" sqref="H5:H84">
      <formula1>ComplaintTypeList</formula1>
    </dataValidation>
    <dataValidation type="list" allowBlank="1" showInputMessage="1" showErrorMessage="1" sqref="I5:I84">
      <formula1>SeverityList</formula1>
    </dataValidation>
    <dataValidation type="list" allowBlank="1" showInputMessage="1" showErrorMessage="1" sqref="K5:K84">
      <formula1>ComplaintStatusList</formula1>
    </dataValidation>
    <dataValidation type="list" allowBlank="1" showInputMessage="1" showErrorMessage="1" sqref="L5:L84">
      <formula1>EmployeeNames</formula1>
    </dataValidation>
    <dataValidation type="list" allowBlank="1" showInputMessage="1" showErrorMessage="1" sqref="N5:N84">
      <formula1>ResolutionList</formula1>
    </dataValidation>
    <dataValidation type="list" allowBlank="1" showInputMessage="1" showErrorMessage="1" promptTitle="Re-clean job" prompt="If you went back, book it as a job with type 'Re-clean (free)' and link it here." sqref="O5:O84">
      <formula1>JobIDs</formula1>
    </dataValidation>
    <dataValidation type="decimal" allowBlank="1" showInputMessage="1" showErrorMessage="1" errorTitle="Check the value" error="Enter a number between 0 and 1000000." promptTitle="Cost to put right" prompt="Refund, free re-clean, replacement. Worth knowing - complaints are a real line in your costs." sqref="P5:P84">
      <formula1>0</formula1>
      <formula2>1000000</formula2>
    </dataValidation>
    <dataValidation type="date" allowBlank="1" showInputMessage="1" showErrorMessage="1" errorTitle="Check the date" error="Enter a real date between 2000 and 2100." sqref="Q5:Q84">
      <formula1>36526</formula1>
      <formula2>73415</formula2>
    </dataValidation>
    <dataValidation type="list" allowBlank="1" showInputMessage="1" showErrorMessage="1" sqref="R5:R84">
      <formula1>YesNoList</formula1>
    </dataValidation>
    <dataValidation type="whole" allowBlank="1" showInputMessage="1" showErrorMessage="1" errorTitle="Score 1-5" error="Enter a whole number from 1 (poor) to 5 (excellent)." sqref="S5:S84">
      <formula1>1</formula1>
      <formula2>5</formula2>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&amp;L&amp;"Calibri,Bold"&amp;12&amp;C&amp;"Calibri,Bold"&amp;11Complaints&amp;R&amp;"Calibri,Italic"&amp;9Cleaning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29.xml><?xml version="1.0" encoding="utf-8"?>
<worksheet xmlns="http://schemas.openxmlformats.org/spreadsheetml/2006/main" xmlns:r="http://schemas.openxmlformats.org/officeDocument/2006/relationships">
  <sheetPr>
    <tabColor rgb="FF5A6A6D"/>
    <pageSetUpPr fitToPage="1"/>
  </sheetPr>
  <dimension ref="A1:X6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11.7109375" style="46" customWidth="1"/>
    <col min="3" max="3" width="9.7109375" style="15" customWidth="1"/>
    <col min="4" max="4" width="22.7109375" style="15" customWidth="1"/>
    <col min="5" max="5" width="16.7109375" style="15" customWidth="1"/>
    <col min="6" max="6" width="11.7109375" style="49" customWidth="1"/>
    <col min="7" max="7" width="11.7109375" style="49" customWidth="1"/>
    <col min="8" max="8" width="11.7109375" style="45" customWidth="1"/>
    <col min="9" max="9" width="40.7109375" style="44" customWidth="1"/>
    <col min="10" max="10" width="9.7109375" style="47" customWidth="1"/>
    <col min="11" max="11" width="10.7109375" style="47" customWidth="1"/>
    <col min="12" max="12" width="10.7109375" style="47" customWidth="1"/>
    <col min="13" max="13" width="26.7109375" style="44" customWidth="1"/>
    <col min="14" max="14" width="11.7109375" style="19" customWidth="1"/>
    <col min="15" max="15" width="10.7109375" style="47" customWidth="1"/>
    <col min="16" max="16" width="18.7109375" style="15" customWidth="1"/>
    <col min="17" max="17" width="11.7109375" style="46" customWidth="1"/>
    <col min="18" max="18" width="34.7109375" style="44" customWidth="1"/>
    <col min="19" max="19" width="32.7109375" style="44" customWidth="1"/>
    <col min="20" max="20" width="13.7109375" style="45" customWidth="1"/>
    <col min="21" max="21" width="11.7109375" style="46" customWidth="1"/>
    <col min="22" max="22" width="26.7109375" style="44" customWidth="1"/>
    <col min="23" max="23" width="10.7109375" style="31" customWidth="1"/>
    <col min="24" max="24" width="28.7109375" style="39" customWidth="1"/>
  </cols>
  <sheetData>
    <row r="1" spans="1:24" ht="34" customHeight="1">
      <c r="A1" s="2" t="s">
        <v>2021</v>
      </c>
      <c r="B1" s="2"/>
      <c r="C1" s="2"/>
      <c r="D1" s="2"/>
      <c r="E1" s="2"/>
      <c r="F1" s="2"/>
      <c r="G1" s="2"/>
      <c r="H1" s="2"/>
      <c r="I1" s="2"/>
      <c r="J1" s="2"/>
      <c r="K1" s="2"/>
      <c r="L1" s="2"/>
      <c r="M1" s="2"/>
      <c r="N1" s="2"/>
      <c r="O1" s="2"/>
      <c r="P1" s="2"/>
      <c r="Q1" s="2"/>
      <c r="R1" s="2"/>
      <c r="S1" s="2"/>
      <c r="T1" s="2"/>
      <c r="U1" s="2"/>
      <c r="V1" s="3" t="s">
        <v>1</v>
      </c>
      <c r="W1" s="3"/>
      <c r="X1" s="3"/>
    </row>
    <row r="2" spans="1:24" ht="18" customHeight="1">
      <c r="A2" s="4" t="s">
        <v>2022</v>
      </c>
      <c r="B2" s="4"/>
      <c r="C2" s="4"/>
      <c r="D2" s="4"/>
      <c r="E2" s="4"/>
      <c r="F2" s="4"/>
      <c r="G2" s="4"/>
      <c r="H2" s="4"/>
      <c r="I2" s="4"/>
      <c r="J2" s="4"/>
      <c r="K2" s="4"/>
      <c r="L2" s="4"/>
      <c r="M2" s="4"/>
      <c r="N2" s="4"/>
      <c r="O2" s="4"/>
      <c r="P2" s="4"/>
      <c r="Q2" s="4"/>
      <c r="R2" s="4"/>
      <c r="S2" s="4"/>
      <c r="T2" s="4"/>
      <c r="U2" s="4"/>
      <c r="V2" s="4"/>
      <c r="W2" s="4"/>
      <c r="X2" s="4"/>
    </row>
    <row r="3" spans="1:24" ht="16" customHeight="1">
      <c r="A3" s="5" t="s">
        <v>3</v>
      </c>
      <c r="B3" s="5"/>
      <c r="C3" s="5" t="s">
        <v>4</v>
      </c>
      <c r="D3" s="5"/>
      <c r="E3" s="5" t="s">
        <v>5</v>
      </c>
      <c r="F3" s="5"/>
      <c r="G3" s="5" t="s">
        <v>6</v>
      </c>
      <c r="H3" s="5"/>
      <c r="I3" s="5" t="s">
        <v>7</v>
      </c>
      <c r="J3" s="5"/>
      <c r="K3" s="5" t="s">
        <v>338</v>
      </c>
      <c r="L3" s="5"/>
      <c r="M3" s="5" t="s">
        <v>541</v>
      </c>
      <c r="N3" s="5"/>
      <c r="O3" s="5" t="s">
        <v>542</v>
      </c>
      <c r="P3" s="5"/>
      <c r="Q3" s="5" t="s">
        <v>543</v>
      </c>
      <c r="R3" s="5"/>
      <c r="S3" s="48" t="s">
        <v>2023</v>
      </c>
      <c r="T3" s="48"/>
      <c r="U3" s="48"/>
      <c r="V3" s="48"/>
      <c r="W3" s="48"/>
      <c r="X3" s="48"/>
    </row>
    <row r="4" spans="1:24" ht="30" customHeight="1">
      <c r="A4" s="8" t="s">
        <v>545</v>
      </c>
      <c r="B4" s="8" t="s">
        <v>1100</v>
      </c>
      <c r="C4" s="9" t="s">
        <v>2024</v>
      </c>
      <c r="D4" s="9" t="s">
        <v>2025</v>
      </c>
      <c r="E4" s="9" t="s">
        <v>2026</v>
      </c>
      <c r="F4" s="9" t="s">
        <v>1169</v>
      </c>
      <c r="G4" s="9" t="s">
        <v>1029</v>
      </c>
      <c r="H4" s="9" t="s">
        <v>1984</v>
      </c>
      <c r="I4" s="9" t="s">
        <v>2027</v>
      </c>
      <c r="J4" s="9" t="s">
        <v>2028</v>
      </c>
      <c r="K4" s="9" t="s">
        <v>2029</v>
      </c>
      <c r="L4" s="9" t="s">
        <v>2030</v>
      </c>
      <c r="M4" s="9" t="s">
        <v>2031</v>
      </c>
      <c r="N4" s="9" t="s">
        <v>1080</v>
      </c>
      <c r="O4" s="9" t="s">
        <v>2032</v>
      </c>
      <c r="P4" s="9" t="s">
        <v>2033</v>
      </c>
      <c r="Q4" s="9" t="s">
        <v>2034</v>
      </c>
      <c r="R4" s="9" t="s">
        <v>2035</v>
      </c>
      <c r="S4" s="9" t="s">
        <v>2036</v>
      </c>
      <c r="T4" s="9" t="s">
        <v>548</v>
      </c>
      <c r="U4" s="9" t="s">
        <v>2037</v>
      </c>
      <c r="V4" s="9" t="s">
        <v>421</v>
      </c>
      <c r="W4" s="9" t="s">
        <v>868</v>
      </c>
      <c r="X4" s="9" t="s">
        <v>574</v>
      </c>
    </row>
    <row r="5" spans="1:24">
      <c r="A5" s="43">
        <f>IF(B5="","","INC-"&amp;TEXT(ROW()-4,"000"))</f>
        <v>0</v>
      </c>
      <c r="B5" s="46">
        <v>46290</v>
      </c>
      <c r="C5" s="15">
        <v>0.427083333333333</v>
      </c>
      <c r="D5" s="15" t="s">
        <v>2038</v>
      </c>
      <c r="E5" s="15" t="s">
        <v>596</v>
      </c>
      <c r="F5" s="49" t="s">
        <v>172</v>
      </c>
      <c r="G5" s="49" t="s">
        <v>1136</v>
      </c>
      <c r="H5" s="45" t="s">
        <v>2005</v>
      </c>
      <c r="I5" s="44" t="s">
        <v>2039</v>
      </c>
      <c r="J5" s="47" t="s">
        <v>2040</v>
      </c>
      <c r="K5" s="47" t="s">
        <v>454</v>
      </c>
      <c r="L5" s="47" t="s">
        <v>457</v>
      </c>
      <c r="M5" s="44" t="s">
        <v>457</v>
      </c>
      <c r="O5" s="47" t="s">
        <v>457</v>
      </c>
      <c r="P5" s="15" t="s">
        <v>178</v>
      </c>
      <c r="Q5" s="46">
        <v>46290</v>
      </c>
      <c r="R5" s="44" t="s">
        <v>2041</v>
      </c>
      <c r="S5" s="44" t="s">
        <v>2042</v>
      </c>
      <c r="T5" s="45" t="s">
        <v>2043</v>
      </c>
      <c r="U5" s="46">
        <v>46291</v>
      </c>
      <c r="V5" s="44" t="s">
        <v>172</v>
      </c>
      <c r="W5" s="31">
        <f>IF(B5="","",IF(U5&lt;&gt;"",U5-B5,TodayDate-B5))</f>
        <v>0</v>
      </c>
      <c r="X5" s="39">
        <f>IF(B5="","",IF(U5&lt;&gt;"","OK - closed",IF(AND(J5="Yes",Q5=""),"Action - injury not reported yet",IF(H5="Critical","Action - critical",IF(S5="","Add - what stops it happening again?","Action - open")))))</f>
        <v>0</v>
      </c>
    </row>
    <row r="6" spans="1:24">
      <c r="A6" s="43">
        <f>IF(B6="","","INC-"&amp;TEXT(ROW()-4,"000"))</f>
        <v>0</v>
      </c>
      <c r="B6" s="46">
        <v>46252</v>
      </c>
      <c r="C6" s="15">
        <v>0.694444444444444</v>
      </c>
      <c r="D6" s="15" t="s">
        <v>2044</v>
      </c>
      <c r="E6" s="15" t="s">
        <v>627</v>
      </c>
      <c r="F6" s="49" t="s">
        <v>172</v>
      </c>
      <c r="G6" s="49" t="s">
        <v>1062</v>
      </c>
      <c r="H6" s="45" t="s">
        <v>1998</v>
      </c>
      <c r="I6" s="44" t="s">
        <v>2045</v>
      </c>
      <c r="J6" s="47" t="s">
        <v>2046</v>
      </c>
      <c r="K6" s="47" t="s">
        <v>454</v>
      </c>
      <c r="L6" s="47" t="s">
        <v>457</v>
      </c>
      <c r="M6" s="44" t="s">
        <v>457</v>
      </c>
      <c r="O6" s="47" t="s">
        <v>457</v>
      </c>
      <c r="P6" s="15" t="s">
        <v>178</v>
      </c>
      <c r="Q6" s="46">
        <v>46252</v>
      </c>
      <c r="R6" s="44" t="s">
        <v>2047</v>
      </c>
      <c r="S6" s="44" t="s">
        <v>2048</v>
      </c>
      <c r="T6" s="45" t="s">
        <v>2043</v>
      </c>
      <c r="U6" s="46">
        <v>46255</v>
      </c>
      <c r="V6" s="44" t="s">
        <v>172</v>
      </c>
      <c r="W6" s="31">
        <f>IF(B6="","",IF(U6&lt;&gt;"",U6-B6,TodayDate-B6))</f>
        <v>0</v>
      </c>
      <c r="X6" s="39">
        <f>IF(B6="","",IF(U6&lt;&gt;"","OK - closed",IF(AND(J6="Yes",Q6=""),"Action - injury not reported yet",IF(H6="Critical","Action - critical",IF(S6="","Add - what stops it happening again?","Action - open")))))</f>
        <v>0</v>
      </c>
    </row>
    <row r="7" spans="1:24">
      <c r="A7" s="43">
        <f>IF(B7="","","INC-"&amp;TEXT(ROW()-4,"000"))</f>
        <v>0</v>
      </c>
      <c r="B7" s="46">
        <v>46302</v>
      </c>
      <c r="C7" s="15">
        <v>0.795138888888889</v>
      </c>
      <c r="D7" s="15" t="s">
        <v>2049</v>
      </c>
      <c r="E7" s="15" t="s">
        <v>608</v>
      </c>
      <c r="F7" s="49" t="s">
        <v>172</v>
      </c>
      <c r="G7" s="49" t="s">
        <v>1134</v>
      </c>
      <c r="H7" s="45" t="s">
        <v>2005</v>
      </c>
      <c r="I7" s="44" t="s">
        <v>2050</v>
      </c>
      <c r="J7" s="47" t="s">
        <v>757</v>
      </c>
      <c r="K7" s="47" t="s">
        <v>457</v>
      </c>
      <c r="L7" s="47" t="s">
        <v>457</v>
      </c>
      <c r="M7" s="44" t="s">
        <v>457</v>
      </c>
      <c r="O7" s="47" t="s">
        <v>457</v>
      </c>
      <c r="P7" s="15" t="s">
        <v>178</v>
      </c>
      <c r="Q7" s="46">
        <v>46302</v>
      </c>
      <c r="R7" s="44" t="s">
        <v>2051</v>
      </c>
      <c r="S7" s="44" t="s">
        <v>2052</v>
      </c>
      <c r="T7" s="45" t="s">
        <v>2043</v>
      </c>
      <c r="U7" s="46">
        <v>46303</v>
      </c>
      <c r="V7" s="44" t="s">
        <v>172</v>
      </c>
      <c r="W7" s="31">
        <f>IF(B7="","",IF(U7&lt;&gt;"",U7-B7,TodayDate-B7))</f>
        <v>0</v>
      </c>
      <c r="X7" s="39">
        <f>IF(B7="","",IF(U7&lt;&gt;"","OK - closed",IF(AND(J7="Yes",Q7=""),"Action - injury not reported yet",IF(H7="Critical","Action - critical",IF(S7="","Add - what stops it happening again?","Action - open")))))</f>
        <v>0</v>
      </c>
    </row>
    <row r="8" spans="1:24">
      <c r="A8" s="43">
        <f>IF(B8="","","INC-"&amp;TEXT(ROW()-4,"000"))</f>
        <v>0</v>
      </c>
      <c r="W8" s="31">
        <f>IF(B8="","",IF(U8&lt;&gt;"",U8-B8,TodayDate-B8))</f>
        <v>0</v>
      </c>
      <c r="X8" s="39">
        <f>IF(B8="","",IF(U8&lt;&gt;"","OK - closed",IF(AND(J8="Yes",Q8=""),"Action - injury not reported yet",IF(H8="Critical","Action - critical",IF(S8="","Add - what stops it happening again?","Action - open")))))</f>
        <v>0</v>
      </c>
    </row>
    <row r="9" spans="1:24">
      <c r="A9" s="43">
        <f>IF(B9="","","INC-"&amp;TEXT(ROW()-4,"000"))</f>
        <v>0</v>
      </c>
      <c r="W9" s="31">
        <f>IF(B9="","",IF(U9&lt;&gt;"",U9-B9,TodayDate-B9))</f>
        <v>0</v>
      </c>
      <c r="X9" s="39">
        <f>IF(B9="","",IF(U9&lt;&gt;"","OK - closed",IF(AND(J9="Yes",Q9=""),"Action - injury not reported yet",IF(H9="Critical","Action - critical",IF(S9="","Add - what stops it happening again?","Action - open")))))</f>
        <v>0</v>
      </c>
    </row>
    <row r="10" spans="1:24">
      <c r="A10" s="43">
        <f>IF(B10="","","INC-"&amp;TEXT(ROW()-4,"000"))</f>
        <v>0</v>
      </c>
      <c r="W10" s="31">
        <f>IF(B10="","",IF(U10&lt;&gt;"",U10-B10,TodayDate-B10))</f>
        <v>0</v>
      </c>
      <c r="X10" s="39">
        <f>IF(B10="","",IF(U10&lt;&gt;"","OK - closed",IF(AND(J10="Yes",Q10=""),"Action - injury not reported yet",IF(H10="Critical","Action - critical",IF(S10="","Add - what stops it happening again?","Action - open")))))</f>
        <v>0</v>
      </c>
    </row>
    <row r="11" spans="1:24">
      <c r="A11" s="43">
        <f>IF(B11="","","INC-"&amp;TEXT(ROW()-4,"000"))</f>
        <v>0</v>
      </c>
      <c r="W11" s="31">
        <f>IF(B11="","",IF(U11&lt;&gt;"",U11-B11,TodayDate-B11))</f>
        <v>0</v>
      </c>
      <c r="X11" s="39">
        <f>IF(B11="","",IF(U11&lt;&gt;"","OK - closed",IF(AND(J11="Yes",Q11=""),"Action - injury not reported yet",IF(H11="Critical","Action - critical",IF(S11="","Add - what stops it happening again?","Action - open")))))</f>
        <v>0</v>
      </c>
    </row>
    <row r="12" spans="1:24">
      <c r="A12" s="43">
        <f>IF(B12="","","INC-"&amp;TEXT(ROW()-4,"000"))</f>
        <v>0</v>
      </c>
      <c r="W12" s="31">
        <f>IF(B12="","",IF(U12&lt;&gt;"",U12-B12,TodayDate-B12))</f>
        <v>0</v>
      </c>
      <c r="X12" s="39">
        <f>IF(B12="","",IF(U12&lt;&gt;"","OK - closed",IF(AND(J12="Yes",Q12=""),"Action - injury not reported yet",IF(H12="Critical","Action - critical",IF(S12="","Add - what stops it happening again?","Action - open")))))</f>
        <v>0</v>
      </c>
    </row>
    <row r="13" spans="1:24">
      <c r="A13" s="43">
        <f>IF(B13="","","INC-"&amp;TEXT(ROW()-4,"000"))</f>
        <v>0</v>
      </c>
      <c r="W13" s="31">
        <f>IF(B13="","",IF(U13&lt;&gt;"",U13-B13,TodayDate-B13))</f>
        <v>0</v>
      </c>
      <c r="X13" s="39">
        <f>IF(B13="","",IF(U13&lt;&gt;"","OK - closed",IF(AND(J13="Yes",Q13=""),"Action - injury not reported yet",IF(H13="Critical","Action - critical",IF(S13="","Add - what stops it happening again?","Action - open")))))</f>
        <v>0</v>
      </c>
    </row>
    <row r="14" spans="1:24">
      <c r="A14" s="43">
        <f>IF(B14="","","INC-"&amp;TEXT(ROW()-4,"000"))</f>
        <v>0</v>
      </c>
      <c r="W14" s="31">
        <f>IF(B14="","",IF(U14&lt;&gt;"",U14-B14,TodayDate-B14))</f>
        <v>0</v>
      </c>
      <c r="X14" s="39">
        <f>IF(B14="","",IF(U14&lt;&gt;"","OK - closed",IF(AND(J14="Yes",Q14=""),"Action - injury not reported yet",IF(H14="Critical","Action - critical",IF(S14="","Add - what stops it happening again?","Action - open")))))</f>
        <v>0</v>
      </c>
    </row>
    <row r="15" spans="1:24">
      <c r="A15" s="43">
        <f>IF(B15="","","INC-"&amp;TEXT(ROW()-4,"000"))</f>
        <v>0</v>
      </c>
      <c r="W15" s="31">
        <f>IF(B15="","",IF(U15&lt;&gt;"",U15-B15,TodayDate-B15))</f>
        <v>0</v>
      </c>
      <c r="X15" s="39">
        <f>IF(B15="","",IF(U15&lt;&gt;"","OK - closed",IF(AND(J15="Yes",Q15=""),"Action - injury not reported yet",IF(H15="Critical","Action - critical",IF(S15="","Add - what stops it happening again?","Action - open")))))</f>
        <v>0</v>
      </c>
    </row>
    <row r="16" spans="1:24">
      <c r="A16" s="43">
        <f>IF(B16="","","INC-"&amp;TEXT(ROW()-4,"000"))</f>
        <v>0</v>
      </c>
      <c r="W16" s="31">
        <f>IF(B16="","",IF(U16&lt;&gt;"",U16-B16,TodayDate-B16))</f>
        <v>0</v>
      </c>
      <c r="X16" s="39">
        <f>IF(B16="","",IF(U16&lt;&gt;"","OK - closed",IF(AND(J16="Yes",Q16=""),"Action - injury not reported yet",IF(H16="Critical","Action - critical",IF(S16="","Add - what stops it happening again?","Action - open")))))</f>
        <v>0</v>
      </c>
    </row>
    <row r="17" spans="1:24">
      <c r="A17" s="43">
        <f>IF(B17="","","INC-"&amp;TEXT(ROW()-4,"000"))</f>
        <v>0</v>
      </c>
      <c r="W17" s="31">
        <f>IF(B17="","",IF(U17&lt;&gt;"",U17-B17,TodayDate-B17))</f>
        <v>0</v>
      </c>
      <c r="X17" s="39">
        <f>IF(B17="","",IF(U17&lt;&gt;"","OK - closed",IF(AND(J17="Yes",Q17=""),"Action - injury not reported yet",IF(H17="Critical","Action - critical",IF(S17="","Add - what stops it happening again?","Action - open")))))</f>
        <v>0</v>
      </c>
    </row>
    <row r="18" spans="1:24">
      <c r="A18" s="43">
        <f>IF(B18="","","INC-"&amp;TEXT(ROW()-4,"000"))</f>
        <v>0</v>
      </c>
      <c r="W18" s="31">
        <f>IF(B18="","",IF(U18&lt;&gt;"",U18-B18,TodayDate-B18))</f>
        <v>0</v>
      </c>
      <c r="X18" s="39">
        <f>IF(B18="","",IF(U18&lt;&gt;"","OK - closed",IF(AND(J18="Yes",Q18=""),"Action - injury not reported yet",IF(H18="Critical","Action - critical",IF(S18="","Add - what stops it happening again?","Action - open")))))</f>
        <v>0</v>
      </c>
    </row>
    <row r="19" spans="1:24">
      <c r="A19" s="43">
        <f>IF(B19="","","INC-"&amp;TEXT(ROW()-4,"000"))</f>
        <v>0</v>
      </c>
      <c r="W19" s="31">
        <f>IF(B19="","",IF(U19&lt;&gt;"",U19-B19,TodayDate-B19))</f>
        <v>0</v>
      </c>
      <c r="X19" s="39">
        <f>IF(B19="","",IF(U19&lt;&gt;"","OK - closed",IF(AND(J19="Yes",Q19=""),"Action - injury not reported yet",IF(H19="Critical","Action - critical",IF(S19="","Add - what stops it happening again?","Action - open")))))</f>
        <v>0</v>
      </c>
    </row>
    <row r="20" spans="1:24">
      <c r="A20" s="43">
        <f>IF(B20="","","INC-"&amp;TEXT(ROW()-4,"000"))</f>
        <v>0</v>
      </c>
      <c r="W20" s="31">
        <f>IF(B20="","",IF(U20&lt;&gt;"",U20-B20,TodayDate-B20))</f>
        <v>0</v>
      </c>
      <c r="X20" s="39">
        <f>IF(B20="","",IF(U20&lt;&gt;"","OK - closed",IF(AND(J20="Yes",Q20=""),"Action - injury not reported yet",IF(H20="Critical","Action - critical",IF(S20="","Add - what stops it happening again?","Action - open")))))</f>
        <v>0</v>
      </c>
    </row>
    <row r="21" spans="1:24">
      <c r="A21" s="43">
        <f>IF(B21="","","INC-"&amp;TEXT(ROW()-4,"000"))</f>
        <v>0</v>
      </c>
      <c r="W21" s="31">
        <f>IF(B21="","",IF(U21&lt;&gt;"",U21-B21,TodayDate-B21))</f>
        <v>0</v>
      </c>
      <c r="X21" s="39">
        <f>IF(B21="","",IF(U21&lt;&gt;"","OK - closed",IF(AND(J21="Yes",Q21=""),"Action - injury not reported yet",IF(H21="Critical","Action - critical",IF(S21="","Add - what stops it happening again?","Action - open")))))</f>
        <v>0</v>
      </c>
    </row>
    <row r="22" spans="1:24">
      <c r="A22" s="43">
        <f>IF(B22="","","INC-"&amp;TEXT(ROW()-4,"000"))</f>
        <v>0</v>
      </c>
      <c r="W22" s="31">
        <f>IF(B22="","",IF(U22&lt;&gt;"",U22-B22,TodayDate-B22))</f>
        <v>0</v>
      </c>
      <c r="X22" s="39">
        <f>IF(B22="","",IF(U22&lt;&gt;"","OK - closed",IF(AND(J22="Yes",Q22=""),"Action - injury not reported yet",IF(H22="Critical","Action - critical",IF(S22="","Add - what stops it happening again?","Action - open")))))</f>
        <v>0</v>
      </c>
    </row>
    <row r="23" spans="1:24">
      <c r="A23" s="43">
        <f>IF(B23="","","INC-"&amp;TEXT(ROW()-4,"000"))</f>
        <v>0</v>
      </c>
      <c r="W23" s="31">
        <f>IF(B23="","",IF(U23&lt;&gt;"",U23-B23,TodayDate-B23))</f>
        <v>0</v>
      </c>
      <c r="X23" s="39">
        <f>IF(B23="","",IF(U23&lt;&gt;"","OK - closed",IF(AND(J23="Yes",Q23=""),"Action - injury not reported yet",IF(H23="Critical","Action - critical",IF(S23="","Add - what stops it happening again?","Action - open")))))</f>
        <v>0</v>
      </c>
    </row>
    <row r="24" spans="1:24">
      <c r="A24" s="43">
        <f>IF(B24="","","INC-"&amp;TEXT(ROW()-4,"000"))</f>
        <v>0</v>
      </c>
      <c r="W24" s="31">
        <f>IF(B24="","",IF(U24&lt;&gt;"",U24-B24,TodayDate-B24))</f>
        <v>0</v>
      </c>
      <c r="X24" s="39">
        <f>IF(B24="","",IF(U24&lt;&gt;"","OK - closed",IF(AND(J24="Yes",Q24=""),"Action - injury not reported yet",IF(H24="Critical","Action - critical",IF(S24="","Add - what stops it happening again?","Action - open")))))</f>
        <v>0</v>
      </c>
    </row>
    <row r="25" spans="1:24">
      <c r="A25" s="43">
        <f>IF(B25="","","INC-"&amp;TEXT(ROW()-4,"000"))</f>
        <v>0</v>
      </c>
      <c r="W25" s="31">
        <f>IF(B25="","",IF(U25&lt;&gt;"",U25-B25,TodayDate-B25))</f>
        <v>0</v>
      </c>
      <c r="X25" s="39">
        <f>IF(B25="","",IF(U25&lt;&gt;"","OK - closed",IF(AND(J25="Yes",Q25=""),"Action - injury not reported yet",IF(H25="Critical","Action - critical",IF(S25="","Add - what stops it happening again?","Action - open")))))</f>
        <v>0</v>
      </c>
    </row>
    <row r="26" spans="1:24">
      <c r="A26" s="43">
        <f>IF(B26="","","INC-"&amp;TEXT(ROW()-4,"000"))</f>
        <v>0</v>
      </c>
      <c r="W26" s="31">
        <f>IF(B26="","",IF(U26&lt;&gt;"",U26-B26,TodayDate-B26))</f>
        <v>0</v>
      </c>
      <c r="X26" s="39">
        <f>IF(B26="","",IF(U26&lt;&gt;"","OK - closed",IF(AND(J26="Yes",Q26=""),"Action - injury not reported yet",IF(H26="Critical","Action - critical",IF(S26="","Add - what stops it happening again?","Action - open")))))</f>
        <v>0</v>
      </c>
    </row>
    <row r="27" spans="1:24">
      <c r="A27" s="43">
        <f>IF(B27="","","INC-"&amp;TEXT(ROW()-4,"000"))</f>
        <v>0</v>
      </c>
      <c r="W27" s="31">
        <f>IF(B27="","",IF(U27&lt;&gt;"",U27-B27,TodayDate-B27))</f>
        <v>0</v>
      </c>
      <c r="X27" s="39">
        <f>IF(B27="","",IF(U27&lt;&gt;"","OK - closed",IF(AND(J27="Yes",Q27=""),"Action - injury not reported yet",IF(H27="Critical","Action - critical",IF(S27="","Add - what stops it happening again?","Action - open")))))</f>
        <v>0</v>
      </c>
    </row>
    <row r="28" spans="1:24">
      <c r="A28" s="43">
        <f>IF(B28="","","INC-"&amp;TEXT(ROW()-4,"000"))</f>
        <v>0</v>
      </c>
      <c r="W28" s="31">
        <f>IF(B28="","",IF(U28&lt;&gt;"",U28-B28,TodayDate-B28))</f>
        <v>0</v>
      </c>
      <c r="X28" s="39">
        <f>IF(B28="","",IF(U28&lt;&gt;"","OK - closed",IF(AND(J28="Yes",Q28=""),"Action - injury not reported yet",IF(H28="Critical","Action - critical",IF(S28="","Add - what stops it happening again?","Action - open")))))</f>
        <v>0</v>
      </c>
    </row>
    <row r="29" spans="1:24">
      <c r="A29" s="43">
        <f>IF(B29="","","INC-"&amp;TEXT(ROW()-4,"000"))</f>
        <v>0</v>
      </c>
      <c r="W29" s="31">
        <f>IF(B29="","",IF(U29&lt;&gt;"",U29-B29,TodayDate-B29))</f>
        <v>0</v>
      </c>
      <c r="X29" s="39">
        <f>IF(B29="","",IF(U29&lt;&gt;"","OK - closed",IF(AND(J29="Yes",Q29=""),"Action - injury not reported yet",IF(H29="Critical","Action - critical",IF(S29="","Add - what stops it happening again?","Action - open")))))</f>
        <v>0</v>
      </c>
    </row>
    <row r="30" spans="1:24">
      <c r="A30" s="43">
        <f>IF(B30="","","INC-"&amp;TEXT(ROW()-4,"000"))</f>
        <v>0</v>
      </c>
      <c r="W30" s="31">
        <f>IF(B30="","",IF(U30&lt;&gt;"",U30-B30,TodayDate-B30))</f>
        <v>0</v>
      </c>
      <c r="X30" s="39">
        <f>IF(B30="","",IF(U30&lt;&gt;"","OK - closed",IF(AND(J30="Yes",Q30=""),"Action - injury not reported yet",IF(H30="Critical","Action - critical",IF(S30="","Add - what stops it happening again?","Action - open")))))</f>
        <v>0</v>
      </c>
    </row>
    <row r="31" spans="1:24">
      <c r="A31" s="43">
        <f>IF(B31="","","INC-"&amp;TEXT(ROW()-4,"000"))</f>
        <v>0</v>
      </c>
      <c r="W31" s="31">
        <f>IF(B31="","",IF(U31&lt;&gt;"",U31-B31,TodayDate-B31))</f>
        <v>0</v>
      </c>
      <c r="X31" s="39">
        <f>IF(B31="","",IF(U31&lt;&gt;"","OK - closed",IF(AND(J31="Yes",Q31=""),"Action - injury not reported yet",IF(H31="Critical","Action - critical",IF(S31="","Add - what stops it happening again?","Action - open")))))</f>
        <v>0</v>
      </c>
    </row>
    <row r="32" spans="1:24">
      <c r="A32" s="43">
        <f>IF(B32="","","INC-"&amp;TEXT(ROW()-4,"000"))</f>
        <v>0</v>
      </c>
      <c r="W32" s="31">
        <f>IF(B32="","",IF(U32&lt;&gt;"",U32-B32,TodayDate-B32))</f>
        <v>0</v>
      </c>
      <c r="X32" s="39">
        <f>IF(B32="","",IF(U32&lt;&gt;"","OK - closed",IF(AND(J32="Yes",Q32=""),"Action - injury not reported yet",IF(H32="Critical","Action - critical",IF(S32="","Add - what stops it happening again?","Action - open")))))</f>
        <v>0</v>
      </c>
    </row>
    <row r="33" spans="1:24">
      <c r="A33" s="43">
        <f>IF(B33="","","INC-"&amp;TEXT(ROW()-4,"000"))</f>
        <v>0</v>
      </c>
      <c r="W33" s="31">
        <f>IF(B33="","",IF(U33&lt;&gt;"",U33-B33,TodayDate-B33))</f>
        <v>0</v>
      </c>
      <c r="X33" s="39">
        <f>IF(B33="","",IF(U33&lt;&gt;"","OK - closed",IF(AND(J33="Yes",Q33=""),"Action - injury not reported yet",IF(H33="Critical","Action - critical",IF(S33="","Add - what stops it happening again?","Action - open")))))</f>
        <v>0</v>
      </c>
    </row>
    <row r="34" spans="1:24">
      <c r="A34" s="43">
        <f>IF(B34="","","INC-"&amp;TEXT(ROW()-4,"000"))</f>
        <v>0</v>
      </c>
      <c r="W34" s="31">
        <f>IF(B34="","",IF(U34&lt;&gt;"",U34-B34,TodayDate-B34))</f>
        <v>0</v>
      </c>
      <c r="X34" s="39">
        <f>IF(B34="","",IF(U34&lt;&gt;"","OK - closed",IF(AND(J34="Yes",Q34=""),"Action - injury not reported yet",IF(H34="Critical","Action - critical",IF(S34="","Add - what stops it happening again?","Action - open")))))</f>
        <v>0</v>
      </c>
    </row>
    <row r="35" spans="1:24">
      <c r="A35" s="43">
        <f>IF(B35="","","INC-"&amp;TEXT(ROW()-4,"000"))</f>
        <v>0</v>
      </c>
      <c r="W35" s="31">
        <f>IF(B35="","",IF(U35&lt;&gt;"",U35-B35,TodayDate-B35))</f>
        <v>0</v>
      </c>
      <c r="X35" s="39">
        <f>IF(B35="","",IF(U35&lt;&gt;"","OK - closed",IF(AND(J35="Yes",Q35=""),"Action - injury not reported yet",IF(H35="Critical","Action - critical",IF(S35="","Add - what stops it happening again?","Action - open")))))</f>
        <v>0</v>
      </c>
    </row>
    <row r="36" spans="1:24">
      <c r="A36" s="43">
        <f>IF(B36="","","INC-"&amp;TEXT(ROW()-4,"000"))</f>
        <v>0</v>
      </c>
      <c r="W36" s="31">
        <f>IF(B36="","",IF(U36&lt;&gt;"",U36-B36,TodayDate-B36))</f>
        <v>0</v>
      </c>
      <c r="X36" s="39">
        <f>IF(B36="","",IF(U36&lt;&gt;"","OK - closed",IF(AND(J36="Yes",Q36=""),"Action - injury not reported yet",IF(H36="Critical","Action - critical",IF(S36="","Add - what stops it happening again?","Action - open")))))</f>
        <v>0</v>
      </c>
    </row>
    <row r="37" spans="1:24">
      <c r="A37" s="43">
        <f>IF(B37="","","INC-"&amp;TEXT(ROW()-4,"000"))</f>
        <v>0</v>
      </c>
      <c r="W37" s="31">
        <f>IF(B37="","",IF(U37&lt;&gt;"",U37-B37,TodayDate-B37))</f>
        <v>0</v>
      </c>
      <c r="X37" s="39">
        <f>IF(B37="","",IF(U37&lt;&gt;"","OK - closed",IF(AND(J37="Yes",Q37=""),"Action - injury not reported yet",IF(H37="Critical","Action - critical",IF(S37="","Add - what stops it happening again?","Action - open")))))</f>
        <v>0</v>
      </c>
    </row>
    <row r="38" spans="1:24">
      <c r="A38" s="43">
        <f>IF(B38="","","INC-"&amp;TEXT(ROW()-4,"000"))</f>
        <v>0</v>
      </c>
      <c r="W38" s="31">
        <f>IF(B38="","",IF(U38&lt;&gt;"",U38-B38,TodayDate-B38))</f>
        <v>0</v>
      </c>
      <c r="X38" s="39">
        <f>IF(B38="","",IF(U38&lt;&gt;"","OK - closed",IF(AND(J38="Yes",Q38=""),"Action - injury not reported yet",IF(H38="Critical","Action - critical",IF(S38="","Add - what stops it happening again?","Action - open")))))</f>
        <v>0</v>
      </c>
    </row>
    <row r="39" spans="1:24">
      <c r="A39" s="43">
        <f>IF(B39="","","INC-"&amp;TEXT(ROW()-4,"000"))</f>
        <v>0</v>
      </c>
      <c r="W39" s="31">
        <f>IF(B39="","",IF(U39&lt;&gt;"",U39-B39,TodayDate-B39))</f>
        <v>0</v>
      </c>
      <c r="X39" s="39">
        <f>IF(B39="","",IF(U39&lt;&gt;"","OK - closed",IF(AND(J39="Yes",Q39=""),"Action - injury not reported yet",IF(H39="Critical","Action - critical",IF(S39="","Add - what stops it happening again?","Action - open")))))</f>
        <v>0</v>
      </c>
    </row>
    <row r="40" spans="1:24">
      <c r="A40" s="43">
        <f>IF(B40="","","INC-"&amp;TEXT(ROW()-4,"000"))</f>
        <v>0</v>
      </c>
      <c r="W40" s="31">
        <f>IF(B40="","",IF(U40&lt;&gt;"",U40-B40,TodayDate-B40))</f>
        <v>0</v>
      </c>
      <c r="X40" s="39">
        <f>IF(B40="","",IF(U40&lt;&gt;"","OK - closed",IF(AND(J40="Yes",Q40=""),"Action - injury not reported yet",IF(H40="Critical","Action - critical",IF(S40="","Add - what stops it happening again?","Action - open")))))</f>
        <v>0</v>
      </c>
    </row>
    <row r="41" spans="1:24">
      <c r="A41" s="43">
        <f>IF(B41="","","INC-"&amp;TEXT(ROW()-4,"000"))</f>
        <v>0</v>
      </c>
      <c r="W41" s="31">
        <f>IF(B41="","",IF(U41&lt;&gt;"",U41-B41,TodayDate-B41))</f>
        <v>0</v>
      </c>
      <c r="X41" s="39">
        <f>IF(B41="","",IF(U41&lt;&gt;"","OK - closed",IF(AND(J41="Yes",Q41=""),"Action - injury not reported yet",IF(H41="Critical","Action - critical",IF(S41="","Add - what stops it happening again?","Action - open")))))</f>
        <v>0</v>
      </c>
    </row>
    <row r="42" spans="1:24">
      <c r="A42" s="43">
        <f>IF(B42="","","INC-"&amp;TEXT(ROW()-4,"000"))</f>
        <v>0</v>
      </c>
      <c r="W42" s="31">
        <f>IF(B42="","",IF(U42&lt;&gt;"",U42-B42,TodayDate-B42))</f>
        <v>0</v>
      </c>
      <c r="X42" s="39">
        <f>IF(B42="","",IF(U42&lt;&gt;"","OK - closed",IF(AND(J42="Yes",Q42=""),"Action - injury not reported yet",IF(H42="Critical","Action - critical",IF(S42="","Add - what stops it happening again?","Action - open")))))</f>
        <v>0</v>
      </c>
    </row>
    <row r="43" spans="1:24">
      <c r="A43" s="43">
        <f>IF(B43="","","INC-"&amp;TEXT(ROW()-4,"000"))</f>
        <v>0</v>
      </c>
      <c r="W43" s="31">
        <f>IF(B43="","",IF(U43&lt;&gt;"",U43-B43,TodayDate-B43))</f>
        <v>0</v>
      </c>
      <c r="X43" s="39">
        <f>IF(B43="","",IF(U43&lt;&gt;"","OK - closed",IF(AND(J43="Yes",Q43=""),"Action - injury not reported yet",IF(H43="Critical","Action - critical",IF(S43="","Add - what stops it happening again?","Action - open")))))</f>
        <v>0</v>
      </c>
    </row>
    <row r="44" spans="1:24">
      <c r="A44" s="43">
        <f>IF(B44="","","INC-"&amp;TEXT(ROW()-4,"000"))</f>
        <v>0</v>
      </c>
      <c r="W44" s="31">
        <f>IF(B44="","",IF(U44&lt;&gt;"",U44-B44,TodayDate-B44))</f>
        <v>0</v>
      </c>
      <c r="X44" s="39">
        <f>IF(B44="","",IF(U44&lt;&gt;"","OK - closed",IF(AND(J44="Yes",Q44=""),"Action - injury not reported yet",IF(H44="Critical","Action - critical",IF(S44="","Add - what stops it happening again?","Action - open")))))</f>
        <v>0</v>
      </c>
    </row>
    <row r="45" spans="1:24">
      <c r="A45" s="43">
        <f>IF(B45="","","INC-"&amp;TEXT(ROW()-4,"000"))</f>
        <v>0</v>
      </c>
      <c r="W45" s="31">
        <f>IF(B45="","",IF(U45&lt;&gt;"",U45-B45,TodayDate-B45))</f>
        <v>0</v>
      </c>
      <c r="X45" s="39">
        <f>IF(B45="","",IF(U45&lt;&gt;"","OK - closed",IF(AND(J45="Yes",Q45=""),"Action - injury not reported yet",IF(H45="Critical","Action - critical",IF(S45="","Add - what stops it happening again?","Action - open")))))</f>
        <v>0</v>
      </c>
    </row>
    <row r="46" spans="1:24">
      <c r="A46" s="43">
        <f>IF(B46="","","INC-"&amp;TEXT(ROW()-4,"000"))</f>
        <v>0</v>
      </c>
      <c r="W46" s="31">
        <f>IF(B46="","",IF(U46&lt;&gt;"",U46-B46,TodayDate-B46))</f>
        <v>0</v>
      </c>
      <c r="X46" s="39">
        <f>IF(B46="","",IF(U46&lt;&gt;"","OK - closed",IF(AND(J46="Yes",Q46=""),"Action - injury not reported yet",IF(H46="Critical","Action - critical",IF(S46="","Add - what stops it happening again?","Action - open")))))</f>
        <v>0</v>
      </c>
    </row>
    <row r="47" spans="1:24">
      <c r="A47" s="43">
        <f>IF(B47="","","INC-"&amp;TEXT(ROW()-4,"000"))</f>
        <v>0</v>
      </c>
      <c r="W47" s="31">
        <f>IF(B47="","",IF(U47&lt;&gt;"",U47-B47,TodayDate-B47))</f>
        <v>0</v>
      </c>
      <c r="X47" s="39">
        <f>IF(B47="","",IF(U47&lt;&gt;"","OK - closed",IF(AND(J47="Yes",Q47=""),"Action - injury not reported yet",IF(H47="Critical","Action - critical",IF(S47="","Add - what stops it happening again?","Action - open")))))</f>
        <v>0</v>
      </c>
    </row>
    <row r="48" spans="1:24">
      <c r="A48" s="43">
        <f>IF(B48="","","INC-"&amp;TEXT(ROW()-4,"000"))</f>
        <v>0</v>
      </c>
      <c r="W48" s="31">
        <f>IF(B48="","",IF(U48&lt;&gt;"",U48-B48,TodayDate-B48))</f>
        <v>0</v>
      </c>
      <c r="X48" s="39">
        <f>IF(B48="","",IF(U48&lt;&gt;"","OK - closed",IF(AND(J48="Yes",Q48=""),"Action - injury not reported yet",IF(H48="Critical","Action - critical",IF(S48="","Add - what stops it happening again?","Action - open")))))</f>
        <v>0</v>
      </c>
    </row>
    <row r="49" spans="1:24">
      <c r="A49" s="43">
        <f>IF(B49="","","INC-"&amp;TEXT(ROW()-4,"000"))</f>
        <v>0</v>
      </c>
      <c r="W49" s="31">
        <f>IF(B49="","",IF(U49&lt;&gt;"",U49-B49,TodayDate-B49))</f>
        <v>0</v>
      </c>
      <c r="X49" s="39">
        <f>IF(B49="","",IF(U49&lt;&gt;"","OK - closed",IF(AND(J49="Yes",Q49=""),"Action - injury not reported yet",IF(H49="Critical","Action - critical",IF(S49="","Add - what stops it happening again?","Action - open")))))</f>
        <v>0</v>
      </c>
    </row>
    <row r="50" spans="1:24">
      <c r="A50" s="43">
        <f>IF(B50="","","INC-"&amp;TEXT(ROW()-4,"000"))</f>
        <v>0</v>
      </c>
      <c r="W50" s="31">
        <f>IF(B50="","",IF(U50&lt;&gt;"",U50-B50,TodayDate-B50))</f>
        <v>0</v>
      </c>
      <c r="X50" s="39">
        <f>IF(B50="","",IF(U50&lt;&gt;"","OK - closed",IF(AND(J50="Yes",Q50=""),"Action - injury not reported yet",IF(H50="Critical","Action - critical",IF(S50="","Add - what stops it happening again?","Action - open")))))</f>
        <v>0</v>
      </c>
    </row>
    <row r="51" spans="1:24">
      <c r="A51" s="43">
        <f>IF(B51="","","INC-"&amp;TEXT(ROW()-4,"000"))</f>
        <v>0</v>
      </c>
      <c r="W51" s="31">
        <f>IF(B51="","",IF(U51&lt;&gt;"",U51-B51,TodayDate-B51))</f>
        <v>0</v>
      </c>
      <c r="X51" s="39">
        <f>IF(B51="","",IF(U51&lt;&gt;"","OK - closed",IF(AND(J51="Yes",Q51=""),"Action - injury not reported yet",IF(H51="Critical","Action - critical",IF(S51="","Add - what stops it happening again?","Action - open")))))</f>
        <v>0</v>
      </c>
    </row>
    <row r="52" spans="1:24">
      <c r="A52" s="43">
        <f>IF(B52="","","INC-"&amp;TEXT(ROW()-4,"000"))</f>
        <v>0</v>
      </c>
      <c r="W52" s="31">
        <f>IF(B52="","",IF(U52&lt;&gt;"",U52-B52,TodayDate-B52))</f>
        <v>0</v>
      </c>
      <c r="X52" s="39">
        <f>IF(B52="","",IF(U52&lt;&gt;"","OK - closed",IF(AND(J52="Yes",Q52=""),"Action - injury not reported yet",IF(H52="Critical","Action - critical",IF(S52="","Add - what stops it happening again?","Action - open")))))</f>
        <v>0</v>
      </c>
    </row>
    <row r="53" spans="1:24">
      <c r="A53" s="43">
        <f>IF(B53="","","INC-"&amp;TEXT(ROW()-4,"000"))</f>
        <v>0</v>
      </c>
      <c r="W53" s="31">
        <f>IF(B53="","",IF(U53&lt;&gt;"",U53-B53,TodayDate-B53))</f>
        <v>0</v>
      </c>
      <c r="X53" s="39">
        <f>IF(B53="","",IF(U53&lt;&gt;"","OK - closed",IF(AND(J53="Yes",Q53=""),"Action - injury not reported yet",IF(H53="Critical","Action - critical",IF(S53="","Add - what stops it happening again?","Action - open")))))</f>
        <v>0</v>
      </c>
    </row>
    <row r="54" spans="1:24">
      <c r="A54" s="43">
        <f>IF(B54="","","INC-"&amp;TEXT(ROW()-4,"000"))</f>
        <v>0</v>
      </c>
      <c r="W54" s="31">
        <f>IF(B54="","",IF(U54&lt;&gt;"",U54-B54,TodayDate-B54))</f>
        <v>0</v>
      </c>
      <c r="X54" s="39">
        <f>IF(B54="","",IF(U54&lt;&gt;"","OK - closed",IF(AND(J54="Yes",Q54=""),"Action - injury not reported yet",IF(H54="Critical","Action - critical",IF(S54="","Add - what stops it happening again?","Action - open")))))</f>
        <v>0</v>
      </c>
    </row>
    <row r="55" spans="1:24">
      <c r="A55" s="43">
        <f>IF(B55="","","INC-"&amp;TEXT(ROW()-4,"000"))</f>
        <v>0</v>
      </c>
      <c r="W55" s="31">
        <f>IF(B55="","",IF(U55&lt;&gt;"",U55-B55,TodayDate-B55))</f>
        <v>0</v>
      </c>
      <c r="X55" s="39">
        <f>IF(B55="","",IF(U55&lt;&gt;"","OK - closed",IF(AND(J55="Yes",Q55=""),"Action - injury not reported yet",IF(H55="Critical","Action - critical",IF(S55="","Add - what stops it happening again?","Action - open")))))</f>
        <v>0</v>
      </c>
    </row>
    <row r="56" spans="1:24">
      <c r="A56" s="43">
        <f>IF(B56="","","INC-"&amp;TEXT(ROW()-4,"000"))</f>
        <v>0</v>
      </c>
      <c r="W56" s="31">
        <f>IF(B56="","",IF(U56&lt;&gt;"",U56-B56,TodayDate-B56))</f>
        <v>0</v>
      </c>
      <c r="X56" s="39">
        <f>IF(B56="","",IF(U56&lt;&gt;"","OK - closed",IF(AND(J56="Yes",Q56=""),"Action - injury not reported yet",IF(H56="Critical","Action - critical",IF(S56="","Add - what stops it happening again?","Action - open")))))</f>
        <v>0</v>
      </c>
    </row>
    <row r="57" spans="1:24">
      <c r="A57" s="43">
        <f>IF(B57="","","INC-"&amp;TEXT(ROW()-4,"000"))</f>
        <v>0</v>
      </c>
      <c r="W57" s="31">
        <f>IF(B57="","",IF(U57&lt;&gt;"",U57-B57,TodayDate-B57))</f>
        <v>0</v>
      </c>
      <c r="X57" s="39">
        <f>IF(B57="","",IF(U57&lt;&gt;"","OK - closed",IF(AND(J57="Yes",Q57=""),"Action - injury not reported yet",IF(H57="Critical","Action - critical",IF(S57="","Add - what stops it happening again?","Action - open")))))</f>
        <v>0</v>
      </c>
    </row>
    <row r="58" spans="1:24">
      <c r="A58" s="43">
        <f>IF(B58="","","INC-"&amp;TEXT(ROW()-4,"000"))</f>
        <v>0</v>
      </c>
      <c r="W58" s="31">
        <f>IF(B58="","",IF(U58&lt;&gt;"",U58-B58,TodayDate-B58))</f>
        <v>0</v>
      </c>
      <c r="X58" s="39">
        <f>IF(B58="","",IF(U58&lt;&gt;"","OK - closed",IF(AND(J58="Yes",Q58=""),"Action - injury not reported yet",IF(H58="Critical","Action - critical",IF(S58="","Add - what stops it happening again?","Action - open")))))</f>
        <v>0</v>
      </c>
    </row>
    <row r="59" spans="1:24">
      <c r="A59" s="43">
        <f>IF(B59="","","INC-"&amp;TEXT(ROW()-4,"000"))</f>
        <v>0</v>
      </c>
      <c r="W59" s="31">
        <f>IF(B59="","",IF(U59&lt;&gt;"",U59-B59,TodayDate-B59))</f>
        <v>0</v>
      </c>
      <c r="X59" s="39">
        <f>IF(B59="","",IF(U59&lt;&gt;"","OK - closed",IF(AND(J59="Yes",Q59=""),"Action - injury not reported yet",IF(H59="Critical","Action - critical",IF(S59="","Add - what stops it happening again?","Action - open")))))</f>
        <v>0</v>
      </c>
    </row>
    <row r="60" spans="1:24">
      <c r="A60" s="43">
        <f>IF(B60="","","INC-"&amp;TEXT(ROW()-4,"000"))</f>
        <v>0</v>
      </c>
      <c r="W60" s="31">
        <f>IF(B60="","",IF(U60&lt;&gt;"",U60-B60,TodayDate-B60))</f>
        <v>0</v>
      </c>
      <c r="X60" s="39">
        <f>IF(B60="","",IF(U60&lt;&gt;"","OK - closed",IF(AND(J60="Yes",Q60=""),"Action - injury not reported yet",IF(H60="Critical","Action - critical",IF(S60="","Add - what stops it happening again?","Action - open")))))</f>
        <v>0</v>
      </c>
    </row>
    <row r="61" spans="1:24">
      <c r="A61" s="43">
        <f>IF(B61="","","INC-"&amp;TEXT(ROW()-4,"000"))</f>
        <v>0</v>
      </c>
      <c r="W61" s="31">
        <f>IF(B61="","",IF(U61&lt;&gt;"",U61-B61,TodayDate-B61))</f>
        <v>0</v>
      </c>
      <c r="X61" s="39">
        <f>IF(B61="","",IF(U61&lt;&gt;"","OK - closed",IF(AND(J61="Yes",Q61=""),"Action - injury not reported yet",IF(H61="Critical","Action - critical",IF(S61="","Add - what stops it happening again?","Action - open")))))</f>
        <v>0</v>
      </c>
    </row>
    <row r="62" spans="1:24">
      <c r="A62" s="43">
        <f>IF(B62="","","INC-"&amp;TEXT(ROW()-4,"000"))</f>
        <v>0</v>
      </c>
      <c r="W62" s="31">
        <f>IF(B62="","",IF(U62&lt;&gt;"",U62-B62,TodayDate-B62))</f>
        <v>0</v>
      </c>
      <c r="X62" s="39">
        <f>IF(B62="","",IF(U62&lt;&gt;"","OK - closed",IF(AND(J62="Yes",Q62=""),"Action - injury not reported yet",IF(H62="Critical","Action - critical",IF(S62="","Add - what stops it happening again?","Action - open")))))</f>
        <v>0</v>
      </c>
    </row>
    <row r="63" spans="1:24">
      <c r="A63" s="43">
        <f>IF(B63="","","INC-"&amp;TEXT(ROW()-4,"000"))</f>
        <v>0</v>
      </c>
      <c r="W63" s="31">
        <f>IF(B63="","",IF(U63&lt;&gt;"",U63-B63,TodayDate-B63))</f>
        <v>0</v>
      </c>
      <c r="X63" s="39">
        <f>IF(B63="","",IF(U63&lt;&gt;"","OK - closed",IF(AND(J63="Yes",Q63=""),"Action - injury not reported yet",IF(H63="Critical","Action - critical",IF(S63="","Add - what stops it happening again?","Action - open")))))</f>
        <v>0</v>
      </c>
    </row>
    <row r="64" spans="1:24">
      <c r="A64" s="43">
        <f>IF(B64="","","INC-"&amp;TEXT(ROW()-4,"000"))</f>
        <v>0</v>
      </c>
      <c r="W64" s="31">
        <f>IF(B64="","",IF(U64&lt;&gt;"",U64-B64,TodayDate-B64))</f>
        <v>0</v>
      </c>
      <c r="X64" s="39">
        <f>IF(B64="","",IF(U64&lt;&gt;"","OK - closed",IF(AND(J64="Yes",Q64=""),"Action - injury not reported yet",IF(H64="Critical","Action - critical",IF(S64="","Add - what stops it happening again?","Action - open")))))</f>
        <v>0</v>
      </c>
    </row>
  </sheetData>
  <sheetProtection password="EC7C" sheet="1" objects="1" scenarios="1" formatCells="0" formatColumns="0" formatRows="0" insertRows="0" insertHyperlinks="0" deleteRows="0" autoFilter="0"/>
  <autoFilter ref="A4:X64"/>
  <mergeCells count="13">
    <mergeCell ref="A1:U1"/>
    <mergeCell ref="V1:X1"/>
    <mergeCell ref="A2:X2"/>
    <mergeCell ref="A3:B3"/>
    <mergeCell ref="C3:D3"/>
    <mergeCell ref="E3:F3"/>
    <mergeCell ref="G3:H3"/>
    <mergeCell ref="I3:J3"/>
    <mergeCell ref="K3:L3"/>
    <mergeCell ref="M3:N3"/>
    <mergeCell ref="O3:P3"/>
    <mergeCell ref="Q3:R3"/>
    <mergeCell ref="S3:X3"/>
  </mergeCells>
  <conditionalFormatting sqref="H5:H64">
    <cfRule type="containsText" dxfId="1" priority="1" operator="containsText" text="Completed">
      <formula>NOT(ISERROR(SEARCH("Completed",H5)))</formula>
    </cfRule>
    <cfRule type="containsText" dxfId="1" priority="2" operator="containsText" text="Complete">
      <formula>NOT(ISERROR(SEARCH("Complete",H5)))</formula>
    </cfRule>
    <cfRule type="containsText" dxfId="1" priority="3" operator="containsText" text="Done">
      <formula>NOT(ISERROR(SEARCH("Done",H5)))</formula>
    </cfRule>
    <cfRule type="containsText" dxfId="1" priority="4" operator="containsText" text="Paid">
      <formula>NOT(ISERROR(SEARCH("Paid",H5)))</formula>
    </cfRule>
    <cfRule type="containsText" dxfId="1" priority="5" operator="containsText" text="Accepted">
      <formula>NOT(ISERROR(SEARCH("Accepted",H5)))</formula>
    </cfRule>
    <cfRule type="containsText" dxfId="1" priority="6" operator="containsText" text="Won">
      <formula>NOT(ISERROR(SEARCH("Won",H5)))</formula>
    </cfRule>
    <cfRule type="containsText" dxfId="1" priority="7" operator="containsText" text="Active">
      <formula>NOT(ISERROR(SEARCH("Active",H5)))</formula>
    </cfRule>
    <cfRule type="containsText" dxfId="1" priority="8" operator="containsText" text="In stock">
      <formula>NOT(ISERROR(SEARCH("In stock",H5)))</formula>
    </cfRule>
    <cfRule type="containsText" dxfId="1" priority="9" operator="containsText" text="Resolved">
      <formula>NOT(ISERROR(SEARCH("Resolved",H5)))</formula>
    </cfRule>
    <cfRule type="containsText" dxfId="1" priority="10" operator="containsText" text="Signed">
      <formula>NOT(ISERROR(SEARCH("Signed",H5)))</formula>
    </cfRule>
    <cfRule type="containsText" dxfId="1" priority="11" operator="containsText" text="Yes">
      <formula>NOT(ISERROR(SEARCH("Yes",H5)))</formula>
    </cfRule>
    <cfRule type="containsText" dxfId="3" priority="12" operator="containsText" text="Booked">
      <formula>NOT(ISERROR(SEARCH("Booked",H5)))</formula>
    </cfRule>
    <cfRule type="containsText" dxfId="3" priority="13" operator="containsText" text="Confirmed">
      <formula>NOT(ISERROR(SEARCH("Confirmed",H5)))</formula>
    </cfRule>
    <cfRule type="containsText" dxfId="3" priority="14" operator="containsText" text="Scheduled">
      <formula>NOT(ISERROR(SEARCH("Scheduled",H5)))</formula>
    </cfRule>
    <cfRule type="containsText" dxfId="3" priority="15" operator="containsText" text="In progress">
      <formula>NOT(ISERROR(SEARCH("In progress",H5)))</formula>
    </cfRule>
    <cfRule type="containsText" dxfId="3" priority="16" operator="containsText" text="Sent">
      <formula>NOT(ISERROR(SEARCH("Sent",H5)))</formula>
    </cfRule>
    <cfRule type="containsText" dxfId="3" priority="17" operator="containsText" text="Invoiced">
      <formula>NOT(ISERROR(SEARCH("Invoiced",H5)))</formula>
    </cfRule>
    <cfRule type="containsText" dxfId="3" priority="18" operator="containsText" text="Quoted">
      <formula>NOT(ISERROR(SEARCH("Quoted",H5)))</formula>
    </cfRule>
    <cfRule type="containsText" dxfId="3" priority="19" operator="containsText" text="Prospect">
      <formula>NOT(ISERROR(SEARCH("Prospect",H5)))</formula>
    </cfRule>
    <cfRule type="containsText" dxfId="0" priority="20" operator="containsText" text="Draft">
      <formula>NOT(ISERROR(SEARCH("Draft",H5)))</formula>
    </cfRule>
    <cfRule type="containsText" dxfId="0" priority="21" operator="containsText" text="Enquiry">
      <formula>NOT(ISERROR(SEARCH("Enquiry",H5)))</formula>
    </cfRule>
    <cfRule type="containsText" dxfId="0" priority="22" operator="containsText" text="Pending">
      <formula>NOT(ISERROR(SEARCH("Pending",H5)))</formula>
    </cfRule>
    <cfRule type="containsText" dxfId="0" priority="23" operator="containsText" text="Part paid">
      <formula>NOT(ISERROR(SEARCH("Part paid",H5)))</formula>
    </cfRule>
    <cfRule type="containsText" dxfId="0" priority="24" operator="containsText" text="Followed up">
      <formula>NOT(ISERROR(SEARCH("Followed up",H5)))</formula>
    </cfRule>
    <cfRule type="containsText" dxfId="0" priority="25" operator="containsText" text="Low stock">
      <formula>NOT(ISERROR(SEARCH("Low stock",H5)))</formula>
    </cfRule>
    <cfRule type="containsText" dxfId="0" priority="26" operator="containsText" text="Due soon">
      <formula>NOT(ISERROR(SEARCH("Due soon",H5)))</formula>
    </cfRule>
    <cfRule type="containsText" dxfId="0" priority="27" operator="containsText" text="On hold">
      <formula>NOT(ISERROR(SEARCH("On hold",H5)))</formula>
    </cfRule>
    <cfRule type="containsText" dxfId="0" priority="28" operator="containsText" text="Unassigned">
      <formula>NOT(ISERROR(SEARCH("Unassigned",H5)))</formula>
    </cfRule>
    <cfRule type="containsText" dxfId="2" priority="29" operator="containsText" text="Overdue">
      <formula>NOT(ISERROR(SEARCH("Overdue",H5)))</formula>
    </cfRule>
    <cfRule type="containsText" dxfId="2" priority="30" operator="containsText" text="Cancelled">
      <formula>NOT(ISERROR(SEARCH("Cancelled",H5)))</formula>
    </cfRule>
    <cfRule type="containsText" dxfId="2" priority="31" operator="containsText" text="Declined">
      <formula>NOT(ISERROR(SEARCH("Declined",H5)))</formula>
    </cfRule>
    <cfRule type="containsText" dxfId="2" priority="32" operator="containsText" text="Lost">
      <formula>NOT(ISERROR(SEARCH("Lost",H5)))</formula>
    </cfRule>
    <cfRule type="containsText" dxfId="2" priority="33" operator="containsText" text="No access">
      <formula>NOT(ISERROR(SEARCH("No access",H5)))</formula>
    </cfRule>
    <cfRule type="containsText" dxfId="2" priority="34" operator="containsText" text="Out of stock">
      <formula>NOT(ISERROR(SEARCH("Out of stock",H5)))</formula>
    </cfRule>
    <cfRule type="containsText" dxfId="2" priority="35" operator="containsText" text="Written off">
      <formula>NOT(ISERROR(SEARCH("Written off",H5)))</formula>
    </cfRule>
    <cfRule type="containsText" dxfId="2" priority="36" operator="containsText" text="Expired">
      <formula>NOT(ISERROR(SEARCH("Expired",H5)))</formula>
    </cfRule>
    <cfRule type="containsText" dxfId="4" priority="37" operator="containsText" text="Inactive">
      <formula>NOT(ISERROR(SEARCH("Inactive",H5)))</formula>
    </cfRule>
    <cfRule type="containsText" dxfId="4" priority="38" operator="containsText" text="Archived">
      <formula>NOT(ISERROR(SEARCH("Archived",H5)))</formula>
    </cfRule>
    <cfRule type="containsText" dxfId="4" priority="39" operator="containsText" text="Not needed">
      <formula>NOT(ISERROR(SEARCH("Not needed",H5)))</formula>
    </cfRule>
  </conditionalFormatting>
  <conditionalFormatting sqref="J5:J64">
    <cfRule type="containsText" dxfId="0" priority="40" operator="containsText" text="No">
      <formula>NOT(ISERROR(SEARCH("No",J5)))</formula>
    </cfRule>
    <cfRule type="containsText" dxfId="1" priority="41" operator="containsText" text="Yes">
      <formula>NOT(ISERROR(SEARCH("Yes",J5)))</formula>
    </cfRule>
  </conditionalFormatting>
  <conditionalFormatting sqref="K5:K64">
    <cfRule type="containsText" dxfId="0" priority="42" operator="containsText" text="No">
      <formula>NOT(ISERROR(SEARCH("No",K5)))</formula>
    </cfRule>
    <cfRule type="containsText" dxfId="1" priority="43" operator="containsText" text="Yes">
      <formula>NOT(ISERROR(SEARCH("Yes",K5)))</formula>
    </cfRule>
  </conditionalFormatting>
  <conditionalFormatting sqref="L5:L64">
    <cfRule type="containsText" dxfId="0" priority="44" operator="containsText" text="No">
      <formula>NOT(ISERROR(SEARCH("No",L5)))</formula>
    </cfRule>
    <cfRule type="containsText" dxfId="1" priority="45" operator="containsText" text="Yes">
      <formula>NOT(ISERROR(SEARCH("Yes",L5)))</formula>
    </cfRule>
  </conditionalFormatting>
  <conditionalFormatting sqref="O5:O64">
    <cfRule type="containsText" dxfId="0" priority="46" operator="containsText" text="No">
      <formula>NOT(ISERROR(SEARCH("No",O5)))</formula>
    </cfRule>
    <cfRule type="containsText" dxfId="1" priority="47" operator="containsText" text="Yes">
      <formula>NOT(ISERROR(SEARCH("Yes",O5)))</formula>
    </cfRule>
  </conditionalFormatting>
  <conditionalFormatting sqref="T5:T64">
    <cfRule type="containsText" dxfId="1" priority="48" operator="containsText" text="Completed">
      <formula>NOT(ISERROR(SEARCH("Completed",T5)))</formula>
    </cfRule>
    <cfRule type="containsText" dxfId="1" priority="49" operator="containsText" text="Complete">
      <formula>NOT(ISERROR(SEARCH("Complete",T5)))</formula>
    </cfRule>
    <cfRule type="containsText" dxfId="1" priority="50" operator="containsText" text="Done">
      <formula>NOT(ISERROR(SEARCH("Done",T5)))</formula>
    </cfRule>
    <cfRule type="containsText" dxfId="1" priority="51" operator="containsText" text="Paid">
      <formula>NOT(ISERROR(SEARCH("Paid",T5)))</formula>
    </cfRule>
    <cfRule type="containsText" dxfId="1" priority="52" operator="containsText" text="Accepted">
      <formula>NOT(ISERROR(SEARCH("Accepted",T5)))</formula>
    </cfRule>
    <cfRule type="containsText" dxfId="1" priority="53" operator="containsText" text="Won">
      <formula>NOT(ISERROR(SEARCH("Won",T5)))</formula>
    </cfRule>
    <cfRule type="containsText" dxfId="1" priority="54" operator="containsText" text="Active">
      <formula>NOT(ISERROR(SEARCH("Active",T5)))</formula>
    </cfRule>
    <cfRule type="containsText" dxfId="1" priority="55" operator="containsText" text="In stock">
      <formula>NOT(ISERROR(SEARCH("In stock",T5)))</formula>
    </cfRule>
    <cfRule type="containsText" dxfId="1" priority="56" operator="containsText" text="Resolved">
      <formula>NOT(ISERROR(SEARCH("Resolved",T5)))</formula>
    </cfRule>
    <cfRule type="containsText" dxfId="1" priority="57" operator="containsText" text="Signed">
      <formula>NOT(ISERROR(SEARCH("Signed",T5)))</formula>
    </cfRule>
    <cfRule type="containsText" dxfId="1" priority="58" operator="containsText" text="Yes">
      <formula>NOT(ISERROR(SEARCH("Yes",T5)))</formula>
    </cfRule>
    <cfRule type="containsText" dxfId="3" priority="59" operator="containsText" text="Booked">
      <formula>NOT(ISERROR(SEARCH("Booked",T5)))</formula>
    </cfRule>
    <cfRule type="containsText" dxfId="3" priority="60" operator="containsText" text="Confirmed">
      <formula>NOT(ISERROR(SEARCH("Confirmed",T5)))</formula>
    </cfRule>
    <cfRule type="containsText" dxfId="3" priority="61" operator="containsText" text="Scheduled">
      <formula>NOT(ISERROR(SEARCH("Scheduled",T5)))</formula>
    </cfRule>
    <cfRule type="containsText" dxfId="3" priority="62" operator="containsText" text="In progress">
      <formula>NOT(ISERROR(SEARCH("In progress",T5)))</formula>
    </cfRule>
    <cfRule type="containsText" dxfId="3" priority="63" operator="containsText" text="Sent">
      <formula>NOT(ISERROR(SEARCH("Sent",T5)))</formula>
    </cfRule>
    <cfRule type="containsText" dxfId="3" priority="64" operator="containsText" text="Invoiced">
      <formula>NOT(ISERROR(SEARCH("Invoiced",T5)))</formula>
    </cfRule>
    <cfRule type="containsText" dxfId="3" priority="65" operator="containsText" text="Quoted">
      <formula>NOT(ISERROR(SEARCH("Quoted",T5)))</formula>
    </cfRule>
    <cfRule type="containsText" dxfId="3" priority="66" operator="containsText" text="Prospect">
      <formula>NOT(ISERROR(SEARCH("Prospect",T5)))</formula>
    </cfRule>
    <cfRule type="containsText" dxfId="0" priority="67" operator="containsText" text="Draft">
      <formula>NOT(ISERROR(SEARCH("Draft",T5)))</formula>
    </cfRule>
    <cfRule type="containsText" dxfId="0" priority="68" operator="containsText" text="Enquiry">
      <formula>NOT(ISERROR(SEARCH("Enquiry",T5)))</formula>
    </cfRule>
    <cfRule type="containsText" dxfId="0" priority="69" operator="containsText" text="Pending">
      <formula>NOT(ISERROR(SEARCH("Pending",T5)))</formula>
    </cfRule>
    <cfRule type="containsText" dxfId="0" priority="70" operator="containsText" text="Part paid">
      <formula>NOT(ISERROR(SEARCH("Part paid",T5)))</formula>
    </cfRule>
    <cfRule type="containsText" dxfId="0" priority="71" operator="containsText" text="Followed up">
      <formula>NOT(ISERROR(SEARCH("Followed up",T5)))</formula>
    </cfRule>
    <cfRule type="containsText" dxfId="0" priority="72" operator="containsText" text="Low stock">
      <formula>NOT(ISERROR(SEARCH("Low stock",T5)))</formula>
    </cfRule>
    <cfRule type="containsText" dxfId="0" priority="73" operator="containsText" text="Due soon">
      <formula>NOT(ISERROR(SEARCH("Due soon",T5)))</formula>
    </cfRule>
    <cfRule type="containsText" dxfId="0" priority="74" operator="containsText" text="On hold">
      <formula>NOT(ISERROR(SEARCH("On hold",T5)))</formula>
    </cfRule>
    <cfRule type="containsText" dxfId="0" priority="75" operator="containsText" text="Unassigned">
      <formula>NOT(ISERROR(SEARCH("Unassigned",T5)))</formula>
    </cfRule>
    <cfRule type="containsText" dxfId="2" priority="76" operator="containsText" text="Overdue">
      <formula>NOT(ISERROR(SEARCH("Overdue",T5)))</formula>
    </cfRule>
    <cfRule type="containsText" dxfId="2" priority="77" operator="containsText" text="Cancelled">
      <formula>NOT(ISERROR(SEARCH("Cancelled",T5)))</formula>
    </cfRule>
    <cfRule type="containsText" dxfId="2" priority="78" operator="containsText" text="Declined">
      <formula>NOT(ISERROR(SEARCH("Declined",T5)))</formula>
    </cfRule>
    <cfRule type="containsText" dxfId="2" priority="79" operator="containsText" text="Lost">
      <formula>NOT(ISERROR(SEARCH("Lost",T5)))</formula>
    </cfRule>
    <cfRule type="containsText" dxfId="2" priority="80" operator="containsText" text="No access">
      <formula>NOT(ISERROR(SEARCH("No access",T5)))</formula>
    </cfRule>
    <cfRule type="containsText" dxfId="2" priority="81" operator="containsText" text="Out of stock">
      <formula>NOT(ISERROR(SEARCH("Out of stock",T5)))</formula>
    </cfRule>
    <cfRule type="containsText" dxfId="2" priority="82" operator="containsText" text="Written off">
      <formula>NOT(ISERROR(SEARCH("Written off",T5)))</formula>
    </cfRule>
    <cfRule type="containsText" dxfId="2" priority="83" operator="containsText" text="Expired">
      <formula>NOT(ISERROR(SEARCH("Expired",T5)))</formula>
    </cfRule>
    <cfRule type="containsText" dxfId="4" priority="84" operator="containsText" text="Inactive">
      <formula>NOT(ISERROR(SEARCH("Inactive",T5)))</formula>
    </cfRule>
    <cfRule type="containsText" dxfId="4" priority="85" operator="containsText" text="Archived">
      <formula>NOT(ISERROR(SEARCH("Archived",T5)))</formula>
    </cfRule>
    <cfRule type="containsText" dxfId="4" priority="86" operator="containsText" text="Not needed">
      <formula>NOT(ISERROR(SEARCH("Not needed",T5)))</formula>
    </cfRule>
  </conditionalFormatting>
  <conditionalFormatting sqref="W5:W64">
    <cfRule type="cellIs" dxfId="2" priority="87" operator="greaterThan">
      <formula>14</formula>
    </cfRule>
  </conditionalFormatting>
  <conditionalFormatting sqref="X5:X64">
    <cfRule type="beginsWith" dxfId="1" priority="88" operator="beginsWith" text="OK">
      <formula>LEFT(X5,2)="OK"</formula>
    </cfRule>
    <cfRule type="containsText" dxfId="2" priority="89" operator="containsText" text="Overdue">
      <formula>NOT(ISERROR(SEARCH("Overdue",X5)))</formula>
    </cfRule>
    <cfRule type="containsText" dxfId="2" priority="90" operator="containsText" text="Late">
      <formula>NOT(ISERROR(SEARCH("Late",X5)))</formula>
    </cfRule>
    <cfRule type="containsText" dxfId="2" priority="91" operator="containsText" text="Missing">
      <formula>NOT(ISERROR(SEARCH("Missing",X5)))</formula>
    </cfRule>
    <cfRule type="containsText" dxfId="2" priority="92" operator="containsText" text="Conflict">
      <formula>NOT(ISERROR(SEARCH("Conflict",X5)))</formula>
    </cfRule>
    <cfRule type="containsText" dxfId="2" priority="93" operator="containsText" text="Clash">
      <formula>NOT(ISERROR(SEARCH("Clash",X5)))</formula>
    </cfRule>
    <cfRule type="containsText" dxfId="2" priority="94" operator="containsText" text="Expired">
      <formula>NOT(ISERROR(SEARCH("Expired",X5)))</formula>
    </cfRule>
    <cfRule type="containsText" dxfId="2" priority="95" operator="containsText" text="Duplicate">
      <formula>NOT(ISERROR(SEARCH("Duplicate",X5)))</formula>
    </cfRule>
    <cfRule type="containsText" dxfId="2" priority="96" operator="containsText" text="Unpaid">
      <formula>NOT(ISERROR(SEARCH("Unpaid",X5)))</formula>
    </cfRule>
    <cfRule type="containsText" dxfId="2" priority="97" operator="containsText" text="Loss">
      <formula>NOT(ISERROR(SEARCH("Loss",X5)))</formula>
    </cfRule>
    <cfRule type="containsText" dxfId="2" priority="98" operator="containsText" text="Below">
      <formula>NOT(ISERROR(SEARCH("Below",X5)))</formula>
    </cfRule>
    <cfRule type="containsText" dxfId="0" priority="99" operator="containsText" text="Action">
      <formula>NOT(ISERROR(SEARCH("Action",X5)))</formula>
    </cfRule>
    <cfRule type="containsText" dxfId="0" priority="100" operator="containsText" text="Due">
      <formula>NOT(ISERROR(SEARCH("Due",X5)))</formula>
    </cfRule>
    <cfRule type="containsText" dxfId="0" priority="101" operator="containsText" text="Check">
      <formula>NOT(ISERROR(SEARCH("Check",X5)))</formula>
    </cfRule>
    <cfRule type="containsText" dxfId="0" priority="102" operator="containsText" text="Chase">
      <formula>NOT(ISERROR(SEARCH("Chase",X5)))</formula>
    </cfRule>
    <cfRule type="containsText" dxfId="0" priority="103" operator="containsText" text="Assign">
      <formula>NOT(ISERROR(SEARCH("Assign",X5)))</formula>
    </cfRule>
    <cfRule type="containsText" dxfId="0" priority="104" operator="containsText" text="Confirm">
      <formula>NOT(ISERROR(SEARCH("Confirm",X5)))</formula>
    </cfRule>
    <cfRule type="containsText" dxfId="0" priority="105" operator="containsText" text="Order">
      <formula>NOT(ISERROR(SEARCH("Order",X5)))</formula>
    </cfRule>
    <cfRule type="containsText" dxfId="3" priority="106" operator="containsText" text="Today">
      <formula>NOT(ISERROR(SEARCH("Today",X5)))</formula>
    </cfRule>
    <cfRule type="containsText" dxfId="3" priority="107" operator="containsText" text="Upcoming">
      <formula>NOT(ISERROR(SEARCH("Upcoming",X5)))</formula>
    </cfRule>
    <cfRule type="containsText" dxfId="3" priority="108" operator="containsText" text="Tomorrow">
      <formula>NOT(ISERROR(SEARCH("Tomorrow",X5)))</formula>
    </cfRule>
  </conditionalFormatting>
  <dataValidations count="14">
    <dataValidation type="date" allowBlank="1" showInputMessage="1" showErrorMessage="1" errorTitle="Check the date" error="Enter a real date between 2000 and 2100." sqref="B5:B64">
      <formula1>36526</formula1>
      <formula2>73415</formula2>
    </dataValidation>
    <dataValidation type="list" allowBlank="1" showInputMessage="1" showErrorMessage="1" sqref="D5:D64">
      <formula1>IncidentTypeList</formula1>
    </dataValidation>
    <dataValidation type="list" allowBlank="1" showInputMessage="1" showErrorMessage="1" sqref="E5:E64">
      <formula1>EmployeeNames</formula1>
    </dataValidation>
    <dataValidation type="list" allowBlank="1" showInputMessage="1" showErrorMessage="1" sqref="F5:F64">
      <formula1>JobIDs</formula1>
    </dataValidation>
    <dataValidation type="list" allowBlank="1" showInputMessage="1" showErrorMessage="1" sqref="G5:G64">
      <formula1>PropertyIDs</formula1>
    </dataValidation>
    <dataValidation type="list" allowBlank="1" showInputMessage="1" showErrorMessage="1" sqref="H5:H64">
      <formula1>SeverityList</formula1>
    </dataValidation>
    <dataValidation type="list" allowBlank="1" showInputMessage="1" showErrorMessage="1" sqref="J5:J64">
      <formula1>YesNoList</formula1>
    </dataValidation>
    <dataValidation type="list" allowBlank="1" showInputMessage="1" showErrorMessage="1" sqref="K5:K64">
      <formula1>YesNoNAList</formula1>
    </dataValidation>
    <dataValidation type="list" allowBlank="1" showInputMessage="1" showErrorMessage="1" sqref="L5:L64">
      <formula1>YesNoNAList</formula1>
    </dataValidation>
    <dataValidation type="decimal" allowBlank="1" showInputMessage="1" showErrorMessage="1" errorTitle="Check the value" error="Enter a number between 0 and 1000000." sqref="N5:N64">
      <formula1>0</formula1>
      <formula2>1000000</formula2>
    </dataValidation>
    <dataValidation type="list" allowBlank="1" showInputMessage="1" showErrorMessage="1" sqref="O5:O64">
      <formula1>YesNoNAList</formula1>
    </dataValidation>
    <dataValidation type="date" allowBlank="1" showInputMessage="1" showErrorMessage="1" errorTitle="Check the date" error="Enter a real date between 2000 and 2100." sqref="Q5:Q64">
      <formula1>36526</formula1>
      <formula2>73415</formula2>
    </dataValidation>
    <dataValidation type="list" allowBlank="1" showInputMessage="1" showErrorMessage="1" sqref="T5:T64">
      <formula1>ComplaintStatusList</formula1>
    </dataValidation>
    <dataValidation type="date" allowBlank="1" showInputMessage="1" showErrorMessage="1" errorTitle="Check the date" error="Enter a real date between 2000 and 2100." sqref="U5:U64">
      <formula1>36526</formula1>
      <formula2>73415</formula2>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&amp;L&amp;"Calibri,Bold"&amp;12&amp;C&amp;"Calibri,Bold"&amp;11Incidents&amp;R&amp;"Calibri,Italic"&amp;9Cleaning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30.xml><?xml version="1.0" encoding="utf-8"?>
<worksheet xmlns="http://schemas.openxmlformats.org/spreadsheetml/2006/main" xmlns:r="http://schemas.openxmlformats.org/officeDocument/2006/relationships">
  <sheetPr>
    <tabColor rgb="FF5A6A6D"/>
    <pageSetUpPr fitToPage="1"/>
  </sheetPr>
  <dimension ref="A1:R8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43" customWidth="1"/>
    <col min="2" max="2" width="26.7109375" style="15" customWidth="1"/>
    <col min="3" max="3" width="18.7109375" style="15" customWidth="1"/>
    <col min="4" max="4" width="16.7109375" style="15" customWidth="1"/>
    <col min="5" max="5" width="20.7109375" style="15" customWidth="1"/>
    <col min="6" max="6" width="20.7109375" style="15" customWidth="1"/>
    <col min="7" max="7" width="11.7109375" style="46" customWidth="1"/>
    <col min="8" max="8" width="11.7109375" style="46" customWidth="1"/>
    <col min="9" max="9" width="10.7109375" style="19" customWidth="1"/>
    <col min="10" max="10" width="22.7109375" style="15" customWidth="1"/>
    <col min="11" max="11" width="24.7109375" style="54" customWidth="1"/>
    <col min="12" max="12" width="9.7109375" style="47" customWidth="1"/>
    <col min="13" max="13" width="11.7109375" style="46" customWidth="1"/>
    <col min="14" max="14" width="30.7109375" style="44" customWidth="1"/>
    <col min="15" max="15" width="11.7109375" style="31" customWidth="1"/>
    <col min="16" max="16" width="14.7109375" style="39" customWidth="1"/>
    <col min="17" max="17" width="11.7109375" style="18" hidden="1" customWidth="1"/>
    <col min="18" max="18" width="30.7109375" style="39" customWidth="1"/>
  </cols>
  <sheetData>
    <row r="1" spans="1:18" ht="34" customHeight="1">
      <c r="A1" s="2" t="s">
        <v>70</v>
      </c>
      <c r="B1" s="2"/>
      <c r="C1" s="2"/>
      <c r="D1" s="2"/>
      <c r="E1" s="2"/>
      <c r="F1" s="2"/>
      <c r="G1" s="2"/>
      <c r="H1" s="2"/>
      <c r="I1" s="2"/>
      <c r="J1" s="2"/>
      <c r="K1" s="2"/>
      <c r="L1" s="2"/>
      <c r="M1" s="2"/>
      <c r="N1" s="2"/>
      <c r="O1" s="2"/>
      <c r="P1" s="3" t="s">
        <v>1</v>
      </c>
      <c r="Q1" s="3"/>
      <c r="R1" s="3"/>
    </row>
    <row r="2" spans="1:18" ht="18" customHeight="1">
      <c r="A2" s="4" t="s">
        <v>2053</v>
      </c>
      <c r="B2" s="4"/>
      <c r="C2" s="4"/>
      <c r="D2" s="4"/>
      <c r="E2" s="4"/>
      <c r="F2" s="4"/>
      <c r="G2" s="4"/>
      <c r="H2" s="4"/>
      <c r="I2" s="4"/>
      <c r="J2" s="4"/>
      <c r="K2" s="4"/>
      <c r="L2" s="4"/>
      <c r="M2" s="4"/>
      <c r="N2" s="4"/>
      <c r="O2" s="4"/>
      <c r="P2" s="4"/>
      <c r="Q2" s="4"/>
      <c r="R2" s="4"/>
    </row>
    <row r="3" spans="1:18" ht="16" customHeight="1">
      <c r="A3" s="5" t="s">
        <v>3</v>
      </c>
      <c r="B3" s="5"/>
      <c r="C3" s="5" t="s">
        <v>4</v>
      </c>
      <c r="D3" s="5"/>
      <c r="E3" s="5" t="s">
        <v>5</v>
      </c>
      <c r="F3" s="5"/>
      <c r="G3" s="5" t="s">
        <v>6</v>
      </c>
      <c r="H3" s="5"/>
      <c r="I3" s="5" t="s">
        <v>7</v>
      </c>
      <c r="J3" s="5"/>
      <c r="K3" s="5" t="s">
        <v>338</v>
      </c>
      <c r="L3" s="5"/>
      <c r="M3" s="5" t="s">
        <v>541</v>
      </c>
      <c r="N3" s="5"/>
      <c r="O3" s="5" t="s">
        <v>542</v>
      </c>
      <c r="P3" s="5"/>
      <c r="Q3" s="5" t="s">
        <v>543</v>
      </c>
      <c r="R3" s="5"/>
    </row>
    <row r="4" spans="1:18" ht="30" customHeight="1">
      <c r="A4" s="8" t="s">
        <v>545</v>
      </c>
      <c r="B4" s="8" t="s">
        <v>2054</v>
      </c>
      <c r="C4" s="9" t="s">
        <v>2055</v>
      </c>
      <c r="D4" s="9" t="s">
        <v>2056</v>
      </c>
      <c r="E4" s="9" t="s">
        <v>2057</v>
      </c>
      <c r="F4" s="9" t="s">
        <v>2058</v>
      </c>
      <c r="G4" s="9" t="s">
        <v>2059</v>
      </c>
      <c r="H4" s="9" t="s">
        <v>2060</v>
      </c>
      <c r="I4" s="9" t="s">
        <v>2061</v>
      </c>
      <c r="J4" s="9" t="s">
        <v>2062</v>
      </c>
      <c r="K4" s="9" t="s">
        <v>2063</v>
      </c>
      <c r="L4" s="9" t="s">
        <v>1178</v>
      </c>
      <c r="M4" s="9" t="s">
        <v>2064</v>
      </c>
      <c r="N4" s="9" t="s">
        <v>421</v>
      </c>
      <c r="O4" s="9" t="s">
        <v>2065</v>
      </c>
      <c r="P4" s="9" t="s">
        <v>548</v>
      </c>
      <c r="Q4" s="9" t="s">
        <v>2066</v>
      </c>
      <c r="R4" s="9" t="s">
        <v>574</v>
      </c>
    </row>
    <row r="5" spans="1:18">
      <c r="A5" s="43">
        <f>IF(B5="","","DOC-"&amp;TEXT(ROW()-4,"000"))</f>
        <v>0</v>
      </c>
      <c r="B5" s="15" t="s">
        <v>2067</v>
      </c>
      <c r="C5" s="15" t="s">
        <v>2068</v>
      </c>
      <c r="D5" s="15" t="s">
        <v>172</v>
      </c>
      <c r="E5" s="15" t="s">
        <v>2069</v>
      </c>
      <c r="F5" s="15" t="s">
        <v>1858</v>
      </c>
      <c r="G5" s="46">
        <v>46013</v>
      </c>
      <c r="H5" s="46">
        <v>46378</v>
      </c>
      <c r="I5" s="19">
        <v>486</v>
      </c>
      <c r="J5" s="15" t="s">
        <v>2070</v>
      </c>
      <c r="K5" s="54" t="s">
        <v>172</v>
      </c>
      <c r="L5" s="47" t="s">
        <v>454</v>
      </c>
      <c r="M5" s="46">
        <v>46013</v>
      </c>
      <c r="N5" s="44" t="s">
        <v>2071</v>
      </c>
      <c r="O5" s="31">
        <f>IF(OR(B5="",H5=""),"",H5-TodayDate)</f>
        <v>0</v>
      </c>
      <c r="P5" s="39">
        <f>IF(B5="","",IF(H5="","Valid",IF(O5&lt;0,"Expired",IF(O5&lt;=CertWarningDays,"Due soon","Valid"))))</f>
        <v>0</v>
      </c>
      <c r="Q5" s="18">
        <f>IF(H5="","",H5-CertWarningDays)</f>
        <v>0</v>
      </c>
      <c r="R5" s="39">
        <f>IF(B5="","",IF(P5="Expired","Expired - renew it now",IF(P5="Due soon","Due - renew within "&amp;O5&amp;" days",IF(AND(L5="Yes",K5="",J5=""),"Add - where is this kept?",IF(AND(M5&lt;&gt;"",TodayDate-M5&gt;365),"Due - review it, over a year old","OK")))))</f>
        <v>0</v>
      </c>
    </row>
    <row r="6" spans="1:18">
      <c r="A6" s="43">
        <f>IF(B6="","","DOC-"&amp;TEXT(ROW()-4,"000"))</f>
        <v>0</v>
      </c>
      <c r="B6" s="15" t="s">
        <v>2072</v>
      </c>
      <c r="C6" s="15" t="s">
        <v>2068</v>
      </c>
      <c r="D6" s="15" t="s">
        <v>172</v>
      </c>
      <c r="E6" s="15" t="s">
        <v>2073</v>
      </c>
      <c r="F6" s="15" t="s">
        <v>1858</v>
      </c>
      <c r="G6" s="46">
        <v>46013</v>
      </c>
      <c r="H6" s="46">
        <v>46378</v>
      </c>
      <c r="I6" s="19">
        <v>310</v>
      </c>
      <c r="J6" s="15" t="s">
        <v>2070</v>
      </c>
      <c r="K6" s="54" t="s">
        <v>172</v>
      </c>
      <c r="L6" s="47" t="s">
        <v>454</v>
      </c>
      <c r="M6" s="46">
        <v>46013</v>
      </c>
      <c r="N6" s="44" t="s">
        <v>2074</v>
      </c>
      <c r="O6" s="31">
        <f>IF(OR(B6="",H6=""),"",H6-TodayDate)</f>
        <v>0</v>
      </c>
      <c r="P6" s="39">
        <f>IF(B6="","",IF(H6="","Valid",IF(O6&lt;0,"Expired",IF(O6&lt;=CertWarningDays,"Due soon","Valid"))))</f>
        <v>0</v>
      </c>
      <c r="Q6" s="18">
        <f>IF(H6="","",H6-CertWarningDays)</f>
        <v>0</v>
      </c>
      <c r="R6" s="39">
        <f>IF(B6="","",IF(P6="Expired","Expired - renew it now",IF(P6="Due soon","Due - renew within "&amp;O6&amp;" days",IF(AND(L6="Yes",K6="",J6=""),"Add - where is this kept?",IF(AND(M6&lt;&gt;"",TodayDate-M6&gt;365),"Due - review it, over a year old","OK")))))</f>
        <v>0</v>
      </c>
    </row>
    <row r="7" spans="1:18">
      <c r="A7" s="43">
        <f>IF(B7="","","DOC-"&amp;TEXT(ROW()-4,"000"))</f>
        <v>0</v>
      </c>
      <c r="B7" s="15" t="s">
        <v>1860</v>
      </c>
      <c r="C7" s="15" t="s">
        <v>1786</v>
      </c>
      <c r="D7" s="15" t="s">
        <v>172</v>
      </c>
      <c r="E7" s="15" t="s">
        <v>2075</v>
      </c>
      <c r="F7" s="15" t="s">
        <v>1862</v>
      </c>
      <c r="G7" s="46">
        <v>46113</v>
      </c>
      <c r="H7" s="46">
        <v>46478</v>
      </c>
      <c r="I7" s="19">
        <v>1180</v>
      </c>
      <c r="J7" s="15" t="s">
        <v>2076</v>
      </c>
      <c r="K7" s="54" t="s">
        <v>172</v>
      </c>
      <c r="L7" s="47" t="s">
        <v>454</v>
      </c>
      <c r="M7" s="46">
        <v>46113</v>
      </c>
      <c r="N7" s="44" t="s">
        <v>172</v>
      </c>
      <c r="O7" s="31">
        <f>IF(OR(B7="",H7=""),"",H7-TodayDate)</f>
        <v>0</v>
      </c>
      <c r="P7" s="39">
        <f>IF(B7="","",IF(H7="","Valid",IF(O7&lt;0,"Expired",IF(O7&lt;=CertWarningDays,"Due soon","Valid"))))</f>
        <v>0</v>
      </c>
      <c r="Q7" s="18">
        <f>IF(H7="","",H7-CertWarningDays)</f>
        <v>0</v>
      </c>
      <c r="R7" s="39">
        <f>IF(B7="","",IF(P7="Expired","Expired - renew it now",IF(P7="Due soon","Due - renew within "&amp;O7&amp;" days",IF(AND(L7="Yes",K7="",J7=""),"Add - where is this kept?",IF(AND(M7&lt;&gt;"",TodayDate-M7&gt;365),"Due - review it, over a year old","OK")))))</f>
        <v>0</v>
      </c>
    </row>
    <row r="8" spans="1:18">
      <c r="A8" s="43">
        <f>IF(B8="","","DOC-"&amp;TEXT(ROW()-4,"000"))</f>
        <v>0</v>
      </c>
      <c r="B8" s="15" t="s">
        <v>1860</v>
      </c>
      <c r="C8" s="15" t="s">
        <v>1790</v>
      </c>
      <c r="D8" s="15" t="s">
        <v>172</v>
      </c>
      <c r="E8" s="15" t="s">
        <v>2077</v>
      </c>
      <c r="F8" s="15" t="s">
        <v>1862</v>
      </c>
      <c r="G8" s="46">
        <v>46113</v>
      </c>
      <c r="H8" s="46">
        <v>46478</v>
      </c>
      <c r="I8" s="19">
        <v>1090</v>
      </c>
      <c r="J8" s="15" t="s">
        <v>2076</v>
      </c>
      <c r="K8" s="54" t="s">
        <v>172</v>
      </c>
      <c r="L8" s="47" t="s">
        <v>454</v>
      </c>
      <c r="M8" s="46">
        <v>46113</v>
      </c>
      <c r="N8" s="44" t="s">
        <v>172</v>
      </c>
      <c r="O8" s="31">
        <f>IF(OR(B8="",H8=""),"",H8-TodayDate)</f>
        <v>0</v>
      </c>
      <c r="P8" s="39">
        <f>IF(B8="","",IF(H8="","Valid",IF(O8&lt;0,"Expired",IF(O8&lt;=CertWarningDays,"Due soon","Valid"))))</f>
        <v>0</v>
      </c>
      <c r="Q8" s="18">
        <f>IF(H8="","",H8-CertWarningDays)</f>
        <v>0</v>
      </c>
      <c r="R8" s="39">
        <f>IF(B8="","",IF(P8="Expired","Expired - renew it now",IF(P8="Due soon","Due - renew within "&amp;O8&amp;" days",IF(AND(L8="Yes",K8="",J8=""),"Add - where is this kept?",IF(AND(M8&lt;&gt;"",TodayDate-M8&gt;365),"Due - review it, over a year old","OK")))))</f>
        <v>0</v>
      </c>
    </row>
    <row r="9" spans="1:18">
      <c r="A9" s="43">
        <f>IF(B9="","","DOC-"&amp;TEXT(ROW()-4,"000"))</f>
        <v>0</v>
      </c>
      <c r="B9" s="15" t="s">
        <v>2078</v>
      </c>
      <c r="C9" s="15" t="s">
        <v>2079</v>
      </c>
      <c r="D9" s="15" t="s">
        <v>639</v>
      </c>
      <c r="E9" s="15" t="s">
        <v>2080</v>
      </c>
      <c r="F9" s="15" t="s">
        <v>2081</v>
      </c>
      <c r="G9" s="46">
        <v>46118</v>
      </c>
      <c r="H9" s="46">
        <v>47213</v>
      </c>
      <c r="I9" s="19">
        <v>44</v>
      </c>
      <c r="J9" s="15" t="s">
        <v>2082</v>
      </c>
      <c r="K9" s="54" t="s">
        <v>172</v>
      </c>
      <c r="L9" s="47" t="s">
        <v>454</v>
      </c>
      <c r="M9" s="46">
        <v>46118</v>
      </c>
      <c r="N9" s="44" t="s">
        <v>2083</v>
      </c>
      <c r="O9" s="31">
        <f>IF(OR(B9="",H9=""),"",H9-TodayDate)</f>
        <v>0</v>
      </c>
      <c r="P9" s="39">
        <f>IF(B9="","",IF(H9="","Valid",IF(O9&lt;0,"Expired",IF(O9&lt;=CertWarningDays,"Due soon","Valid"))))</f>
        <v>0</v>
      </c>
      <c r="Q9" s="18">
        <f>IF(H9="","",H9-CertWarningDays)</f>
        <v>0</v>
      </c>
      <c r="R9" s="39">
        <f>IF(B9="","",IF(P9="Expired","Expired - renew it now",IF(P9="Due soon","Due - renew within "&amp;O9&amp;" days",IF(AND(L9="Yes",K9="",J9=""),"Add - where is this kept?",IF(AND(M9&lt;&gt;"",TodayDate-M9&gt;365),"Due - review it, over a year old","OK")))))</f>
        <v>0</v>
      </c>
    </row>
    <row r="10" spans="1:18">
      <c r="A10" s="43">
        <f>IF(B10="","","DOC-"&amp;TEXT(ROW()-4,"000"))</f>
        <v>0</v>
      </c>
      <c r="B10" s="15" t="s">
        <v>2078</v>
      </c>
      <c r="C10" s="15" t="s">
        <v>2079</v>
      </c>
      <c r="D10" s="15" t="s">
        <v>584</v>
      </c>
      <c r="E10" s="15" t="s">
        <v>2084</v>
      </c>
      <c r="F10" s="15" t="s">
        <v>2081</v>
      </c>
      <c r="G10" s="46">
        <v>44863</v>
      </c>
      <c r="H10" s="46">
        <v>46493</v>
      </c>
      <c r="I10" s="19">
        <v>44</v>
      </c>
      <c r="J10" s="15" t="s">
        <v>2082</v>
      </c>
      <c r="K10" s="54" t="s">
        <v>172</v>
      </c>
      <c r="L10" s="47" t="s">
        <v>454</v>
      </c>
      <c r="M10" s="46">
        <v>44863</v>
      </c>
      <c r="N10" s="44" t="s">
        <v>2085</v>
      </c>
      <c r="O10" s="31">
        <f>IF(OR(B10="",H10=""),"",H10-TodayDate)</f>
        <v>0</v>
      </c>
      <c r="P10" s="39">
        <f>IF(B10="","",IF(H10="","Valid",IF(O10&lt;0,"Expired",IF(O10&lt;=CertWarningDays,"Due soon","Valid"))))</f>
        <v>0</v>
      </c>
      <c r="Q10" s="18">
        <f>IF(H10="","",H10-CertWarningDays)</f>
        <v>0</v>
      </c>
      <c r="R10" s="39">
        <f>IF(B10="","",IF(P10="Expired","Expired - renew it now",IF(P10="Due soon","Due - renew within "&amp;O10&amp;" days",IF(AND(L10="Yes",K10="",J10=""),"Add - where is this kept?",IF(AND(M10&lt;&gt;"",TodayDate-M10&gt;365),"Due - review it, over a year old","OK")))))</f>
        <v>0</v>
      </c>
    </row>
    <row r="11" spans="1:18">
      <c r="A11" s="43">
        <f>IF(B11="","","DOC-"&amp;TEXT(ROW()-4,"000"))</f>
        <v>0</v>
      </c>
      <c r="B11" s="15" t="s">
        <v>2078</v>
      </c>
      <c r="C11" s="15" t="s">
        <v>2079</v>
      </c>
      <c r="D11" s="15" t="s">
        <v>596</v>
      </c>
      <c r="E11" s="15" t="s">
        <v>2086</v>
      </c>
      <c r="F11" s="15" t="s">
        <v>2081</v>
      </c>
      <c r="G11" s="46">
        <v>45343</v>
      </c>
      <c r="H11" s="46">
        <v>47053</v>
      </c>
      <c r="I11" s="19">
        <v>44</v>
      </c>
      <c r="J11" s="15" t="s">
        <v>2082</v>
      </c>
      <c r="K11" s="54" t="s">
        <v>172</v>
      </c>
      <c r="L11" s="47" t="s">
        <v>454</v>
      </c>
      <c r="M11" s="46">
        <v>45343</v>
      </c>
      <c r="N11" s="44" t="s">
        <v>172</v>
      </c>
      <c r="O11" s="31">
        <f>IF(OR(B11="",H11=""),"",H11-TodayDate)</f>
        <v>0</v>
      </c>
      <c r="P11" s="39">
        <f>IF(B11="","",IF(H11="","Valid",IF(O11&lt;0,"Expired",IF(O11&lt;=CertWarningDays,"Due soon","Valid"))))</f>
        <v>0</v>
      </c>
      <c r="Q11" s="18">
        <f>IF(H11="","",H11-CertWarningDays)</f>
        <v>0</v>
      </c>
      <c r="R11" s="39">
        <f>IF(B11="","",IF(P11="Expired","Expired - renew it now",IF(P11="Due soon","Due - renew within "&amp;O11&amp;" days",IF(AND(L11="Yes",K11="",J11=""),"Add - where is this kept?",IF(AND(M11&lt;&gt;"",TodayDate-M11&gt;365),"Due - review it, over a year old","OK")))))</f>
        <v>0</v>
      </c>
    </row>
    <row r="12" spans="1:18">
      <c r="A12" s="43">
        <f>IF(B12="","","DOC-"&amp;TEXT(ROW()-4,"000"))</f>
        <v>0</v>
      </c>
      <c r="B12" s="15" t="s">
        <v>2087</v>
      </c>
      <c r="C12" s="15" t="s">
        <v>2079</v>
      </c>
      <c r="D12" s="15" t="s">
        <v>627</v>
      </c>
      <c r="E12" s="15" t="s">
        <v>2088</v>
      </c>
      <c r="F12" s="15" t="s">
        <v>1896</v>
      </c>
      <c r="G12" s="46">
        <v>45703</v>
      </c>
      <c r="H12" s="46">
        <v>46768</v>
      </c>
      <c r="I12" s="19">
        <v>120</v>
      </c>
      <c r="J12" s="15" t="s">
        <v>2082</v>
      </c>
      <c r="K12" s="54" t="s">
        <v>172</v>
      </c>
      <c r="L12" s="47" t="s">
        <v>454</v>
      </c>
      <c r="M12" s="46">
        <v>45703</v>
      </c>
      <c r="N12" s="44" t="s">
        <v>2089</v>
      </c>
      <c r="O12" s="31">
        <f>IF(OR(B12="",H12=""),"",H12-TodayDate)</f>
        <v>0</v>
      </c>
      <c r="P12" s="39">
        <f>IF(B12="","",IF(H12="","Valid",IF(O12&lt;0,"Expired",IF(O12&lt;=CertWarningDays,"Due soon","Valid"))))</f>
        <v>0</v>
      </c>
      <c r="Q12" s="18">
        <f>IF(H12="","",H12-CertWarningDays)</f>
        <v>0</v>
      </c>
      <c r="R12" s="39">
        <f>IF(B12="","",IF(P12="Expired","Expired - renew it now",IF(P12="Due soon","Due - renew within "&amp;O12&amp;" days",IF(AND(L12="Yes",K12="",J12=""),"Add - where is this kept?",IF(AND(M12&lt;&gt;"",TodayDate-M12&gt;365),"Due - review it, over a year old","OK")))))</f>
        <v>0</v>
      </c>
    </row>
    <row r="13" spans="1:18">
      <c r="A13" s="43">
        <f>IF(B13="","","DOC-"&amp;TEXT(ROW()-4,"000"))</f>
        <v>0</v>
      </c>
      <c r="B13" s="15" t="s">
        <v>2090</v>
      </c>
      <c r="C13" s="15" t="s">
        <v>2079</v>
      </c>
      <c r="D13" s="15" t="s">
        <v>584</v>
      </c>
      <c r="E13" s="15" t="s">
        <v>2091</v>
      </c>
      <c r="F13" s="15" t="s">
        <v>2092</v>
      </c>
      <c r="G13" s="46">
        <v>45593</v>
      </c>
      <c r="H13" s="46">
        <v>46688</v>
      </c>
      <c r="I13" s="19">
        <v>95</v>
      </c>
      <c r="J13" s="15" t="s">
        <v>2082</v>
      </c>
      <c r="K13" s="54" t="s">
        <v>172</v>
      </c>
      <c r="L13" s="47" t="s">
        <v>457</v>
      </c>
      <c r="M13" s="46">
        <v>45593</v>
      </c>
      <c r="N13" s="44" t="s">
        <v>2093</v>
      </c>
      <c r="O13" s="31">
        <f>IF(OR(B13="",H13=""),"",H13-TodayDate)</f>
        <v>0</v>
      </c>
      <c r="P13" s="39">
        <f>IF(B13="","",IF(H13="","Valid",IF(O13&lt;0,"Expired",IF(O13&lt;=CertWarningDays,"Due soon","Valid"))))</f>
        <v>0</v>
      </c>
      <c r="Q13" s="18">
        <f>IF(H13="","",H13-CertWarningDays)</f>
        <v>0</v>
      </c>
      <c r="R13" s="39">
        <f>IF(B13="","",IF(P13="Expired","Expired - renew it now",IF(P13="Due soon","Due - renew within "&amp;O13&amp;" days",IF(AND(L13="Yes",K13="",J13=""),"Add - where is this kept?",IF(AND(M13&lt;&gt;"",TodayDate-M13&gt;365),"Due - review it, over a year old","OK")))))</f>
        <v>0</v>
      </c>
    </row>
    <row r="14" spans="1:18">
      <c r="A14" s="43">
        <f>IF(B14="","","DOC-"&amp;TEXT(ROW()-4,"000"))</f>
        <v>0</v>
      </c>
      <c r="B14" s="15" t="s">
        <v>2094</v>
      </c>
      <c r="C14" s="15" t="s">
        <v>1746</v>
      </c>
      <c r="D14" s="15" t="s">
        <v>172</v>
      </c>
      <c r="E14" s="15" t="s">
        <v>2095</v>
      </c>
      <c r="F14" s="15" t="s">
        <v>1747</v>
      </c>
      <c r="G14" s="46">
        <v>45913</v>
      </c>
      <c r="H14" s="46">
        <v>46643</v>
      </c>
      <c r="J14" s="15" t="s">
        <v>2096</v>
      </c>
      <c r="K14" s="54" t="s">
        <v>172</v>
      </c>
      <c r="L14" s="47" t="s">
        <v>454</v>
      </c>
      <c r="M14" s="46">
        <v>46193</v>
      </c>
      <c r="N14" s="44" t="s">
        <v>2097</v>
      </c>
      <c r="O14" s="31">
        <f>IF(OR(B14="",H14=""),"",H14-TodayDate)</f>
        <v>0</v>
      </c>
      <c r="P14" s="39">
        <f>IF(B14="","",IF(H14="","Valid",IF(O14&lt;0,"Expired",IF(O14&lt;=CertWarningDays,"Due soon","Valid"))))</f>
        <v>0</v>
      </c>
      <c r="Q14" s="18">
        <f>IF(H14="","",H14-CertWarningDays)</f>
        <v>0</v>
      </c>
      <c r="R14" s="39">
        <f>IF(B14="","",IF(P14="Expired","Expired - renew it now",IF(P14="Due soon","Due - renew within "&amp;O14&amp;" days",IF(AND(L14="Yes",K14="",J14=""),"Add - where is this kept?",IF(AND(M14&lt;&gt;"",TodayDate-M14&gt;365),"Due - review it, over a year old","OK")))))</f>
        <v>0</v>
      </c>
    </row>
    <row r="15" spans="1:18">
      <c r="A15" s="43">
        <f>IF(B15="","","DOC-"&amp;TEXT(ROW()-4,"000"))</f>
        <v>0</v>
      </c>
      <c r="B15" s="15" t="s">
        <v>2094</v>
      </c>
      <c r="C15" s="15" t="s">
        <v>1705</v>
      </c>
      <c r="D15" s="15" t="s">
        <v>172</v>
      </c>
      <c r="E15" s="15" t="s">
        <v>2098</v>
      </c>
      <c r="F15" s="15" t="s">
        <v>1702</v>
      </c>
      <c r="G15" s="46">
        <v>45933</v>
      </c>
      <c r="H15" s="46">
        <v>46663</v>
      </c>
      <c r="J15" s="15" t="s">
        <v>2096</v>
      </c>
      <c r="K15" s="54" t="s">
        <v>172</v>
      </c>
      <c r="L15" s="47" t="s">
        <v>454</v>
      </c>
      <c r="M15" s="46">
        <v>46193</v>
      </c>
      <c r="N15" s="44" t="s">
        <v>172</v>
      </c>
      <c r="O15" s="31">
        <f>IF(OR(B15="",H15=""),"",H15-TodayDate)</f>
        <v>0</v>
      </c>
      <c r="P15" s="39">
        <f>IF(B15="","",IF(H15="","Valid",IF(O15&lt;0,"Expired",IF(O15&lt;=CertWarningDays,"Due soon","Valid"))))</f>
        <v>0</v>
      </c>
      <c r="Q15" s="18">
        <f>IF(H15="","",H15-CertWarningDays)</f>
        <v>0</v>
      </c>
      <c r="R15" s="39">
        <f>IF(B15="","",IF(P15="Expired","Expired - renew it now",IF(P15="Due soon","Due - renew within "&amp;O15&amp;" days",IF(AND(L15="Yes",K15="",J15=""),"Add - where is this kept?",IF(AND(M15&lt;&gt;"",TodayDate-M15&gt;365),"Due - review it, over a year old","OK")))))</f>
        <v>0</v>
      </c>
    </row>
    <row r="16" spans="1:18">
      <c r="A16" s="43">
        <f>IF(B16="","","DOC-"&amp;TEXT(ROW()-4,"000"))</f>
        <v>0</v>
      </c>
      <c r="B16" s="15" t="s">
        <v>2099</v>
      </c>
      <c r="C16" s="15" t="s">
        <v>2100</v>
      </c>
      <c r="D16" s="15" t="s">
        <v>172</v>
      </c>
      <c r="E16" s="15" t="s">
        <v>2101</v>
      </c>
      <c r="F16" s="15" t="s">
        <v>178</v>
      </c>
      <c r="G16" s="46">
        <v>45923</v>
      </c>
      <c r="H16" s="46">
        <v>46653</v>
      </c>
      <c r="J16" s="15" t="s">
        <v>2102</v>
      </c>
      <c r="K16" s="54" t="s">
        <v>172</v>
      </c>
      <c r="L16" s="47" t="s">
        <v>454</v>
      </c>
      <c r="M16" s="46">
        <v>45923</v>
      </c>
      <c r="N16" s="44" t="s">
        <v>2103</v>
      </c>
      <c r="O16" s="31">
        <f>IF(OR(B16="",H16=""),"",H16-TodayDate)</f>
        <v>0</v>
      </c>
      <c r="P16" s="39">
        <f>IF(B16="","",IF(H16="","Valid",IF(O16&lt;0,"Expired",IF(O16&lt;=CertWarningDays,"Due soon","Valid"))))</f>
        <v>0</v>
      </c>
      <c r="Q16" s="18">
        <f>IF(H16="","",H16-CertWarningDays)</f>
        <v>0</v>
      </c>
      <c r="R16" s="39">
        <f>IF(B16="","",IF(P16="Expired","Expired - renew it now",IF(P16="Due soon","Due - renew within "&amp;O16&amp;" days",IF(AND(L16="Yes",K16="",J16=""),"Add - where is this kept?",IF(AND(M16&lt;&gt;"",TodayDate-M16&gt;365),"Due - review it, over a year old","OK")))))</f>
        <v>0</v>
      </c>
    </row>
    <row r="17" spans="1:18">
      <c r="A17" s="43">
        <f>IF(B17="","","DOC-"&amp;TEXT(ROW()-4,"000"))</f>
        <v>0</v>
      </c>
      <c r="B17" s="15" t="s">
        <v>2099</v>
      </c>
      <c r="C17" s="15" t="s">
        <v>2104</v>
      </c>
      <c r="D17" s="15" t="s">
        <v>172</v>
      </c>
      <c r="E17" s="15" t="s">
        <v>2105</v>
      </c>
      <c r="F17" s="15" t="s">
        <v>178</v>
      </c>
      <c r="G17" s="46">
        <v>46103</v>
      </c>
      <c r="H17" s="46">
        <v>46833</v>
      </c>
      <c r="J17" s="15" t="s">
        <v>2102</v>
      </c>
      <c r="K17" s="54" t="s">
        <v>172</v>
      </c>
      <c r="L17" s="47" t="s">
        <v>454</v>
      </c>
      <c r="M17" s="46">
        <v>46103</v>
      </c>
      <c r="N17" s="44" t="s">
        <v>2106</v>
      </c>
      <c r="O17" s="31">
        <f>IF(OR(B17="",H17=""),"",H17-TodayDate)</f>
        <v>0</v>
      </c>
      <c r="P17" s="39">
        <f>IF(B17="","",IF(H17="","Valid",IF(O17&lt;0,"Expired",IF(O17&lt;=CertWarningDays,"Due soon","Valid"))))</f>
        <v>0</v>
      </c>
      <c r="Q17" s="18">
        <f>IF(H17="","",H17-CertWarningDays)</f>
        <v>0</v>
      </c>
      <c r="R17" s="39">
        <f>IF(B17="","",IF(P17="Expired","Expired - renew it now",IF(P17="Due soon","Due - renew within "&amp;O17&amp;" days",IF(AND(L17="Yes",K17="",J17=""),"Add - where is this kept?",IF(AND(M17&lt;&gt;"",TodayDate-M17&gt;365),"Due - review it, over a year old","OK")))))</f>
        <v>0</v>
      </c>
    </row>
    <row r="18" spans="1:18">
      <c r="A18" s="43">
        <f>IF(B18="","","DOC-"&amp;TEXT(ROW()-4,"000"))</f>
        <v>0</v>
      </c>
      <c r="B18" s="15" t="s">
        <v>2107</v>
      </c>
      <c r="C18" s="15" t="s">
        <v>2108</v>
      </c>
      <c r="D18" s="15" t="s">
        <v>172</v>
      </c>
      <c r="E18" s="15" t="s">
        <v>2109</v>
      </c>
      <c r="F18" s="15" t="s">
        <v>178</v>
      </c>
      <c r="G18" s="46">
        <v>46053</v>
      </c>
      <c r="H18" s="46">
        <v>46783</v>
      </c>
      <c r="J18" s="15" t="s">
        <v>2102</v>
      </c>
      <c r="K18" s="54" t="s">
        <v>172</v>
      </c>
      <c r="L18" s="47" t="s">
        <v>457</v>
      </c>
      <c r="M18" s="46">
        <v>46053</v>
      </c>
      <c r="N18" s="44" t="s">
        <v>2110</v>
      </c>
      <c r="O18" s="31">
        <f>IF(OR(B18="",H18=""),"",H18-TodayDate)</f>
        <v>0</v>
      </c>
      <c r="P18" s="39">
        <f>IF(B18="","",IF(H18="","Valid",IF(O18&lt;0,"Expired",IF(O18&lt;=CertWarningDays,"Due soon","Valid"))))</f>
        <v>0</v>
      </c>
      <c r="Q18" s="18">
        <f>IF(H18="","",H18-CertWarningDays)</f>
        <v>0</v>
      </c>
      <c r="R18" s="39">
        <f>IF(B18="","",IF(P18="Expired","Expired - renew it now",IF(P18="Due soon","Due - renew within "&amp;O18&amp;" days",IF(AND(L18="Yes",K18="",J18=""),"Add - where is this kept?",IF(AND(M18&lt;&gt;"",TodayDate-M18&gt;365),"Due - review it, over a year old","OK")))))</f>
        <v>0</v>
      </c>
    </row>
    <row r="19" spans="1:18">
      <c r="A19" s="43">
        <f>IF(B19="","","DOC-"&amp;TEXT(ROW()-4,"000"))</f>
        <v>0</v>
      </c>
      <c r="B19" s="15" t="s">
        <v>2111</v>
      </c>
      <c r="C19" s="15" t="s">
        <v>385</v>
      </c>
      <c r="D19" s="15" t="s">
        <v>172</v>
      </c>
      <c r="E19" s="15" t="s">
        <v>2112</v>
      </c>
      <c r="F19" s="15" t="s">
        <v>2113</v>
      </c>
      <c r="G19" s="46">
        <v>46228</v>
      </c>
      <c r="H19" s="46">
        <v>46593</v>
      </c>
      <c r="I19" s="19">
        <v>140</v>
      </c>
      <c r="J19" s="15" t="s">
        <v>2114</v>
      </c>
      <c r="K19" s="54" t="s">
        <v>172</v>
      </c>
      <c r="L19" s="47" t="s">
        <v>454</v>
      </c>
      <c r="M19" s="46">
        <v>46228</v>
      </c>
      <c r="N19" s="44" t="s">
        <v>2115</v>
      </c>
      <c r="O19" s="31">
        <f>IF(OR(B19="",H19=""),"",H19-TodayDate)</f>
        <v>0</v>
      </c>
      <c r="P19" s="39">
        <f>IF(B19="","",IF(H19="","Valid",IF(O19&lt;0,"Expired",IF(O19&lt;=CertWarningDays,"Due soon","Valid"))))</f>
        <v>0</v>
      </c>
      <c r="Q19" s="18">
        <f>IF(H19="","",H19-CertWarningDays)</f>
        <v>0</v>
      </c>
      <c r="R19" s="39">
        <f>IF(B19="","",IF(P19="Expired","Expired - renew it now",IF(P19="Due soon","Due - renew within "&amp;O19&amp;" days",IF(AND(L19="Yes",K19="",J19=""),"Add - where is this kept?",IF(AND(M19&lt;&gt;"",TodayDate-M19&gt;365),"Due - review it, over a year old","OK")))))</f>
        <v>0</v>
      </c>
    </row>
    <row r="20" spans="1:18">
      <c r="A20" s="43">
        <f>IF(B20="","","DOC-"&amp;TEXT(ROW()-4,"000"))</f>
        <v>0</v>
      </c>
      <c r="B20" s="15" t="s">
        <v>2116</v>
      </c>
      <c r="C20" s="15" t="s">
        <v>2068</v>
      </c>
      <c r="D20" s="15" t="s">
        <v>172</v>
      </c>
      <c r="E20" s="15" t="s">
        <v>2117</v>
      </c>
      <c r="F20" s="15" t="s">
        <v>2118</v>
      </c>
      <c r="G20" s="46">
        <v>45813</v>
      </c>
      <c r="H20" s="46">
        <v>46543</v>
      </c>
      <c r="I20" s="19">
        <v>154</v>
      </c>
      <c r="J20" s="15" t="s">
        <v>2119</v>
      </c>
      <c r="K20" s="54" t="s">
        <v>172</v>
      </c>
      <c r="L20" s="47" t="s">
        <v>454</v>
      </c>
      <c r="M20" s="46">
        <v>45813</v>
      </c>
      <c r="N20" s="44" t="s">
        <v>2120</v>
      </c>
      <c r="O20" s="31">
        <f>IF(OR(B20="",H20=""),"",H20-TodayDate)</f>
        <v>0</v>
      </c>
      <c r="P20" s="39">
        <f>IF(B20="","",IF(H20="","Valid",IF(O20&lt;0,"Expired",IF(O20&lt;=CertWarningDays,"Due soon","Valid"))))</f>
        <v>0</v>
      </c>
      <c r="Q20" s="18">
        <f>IF(H20="","",H20-CertWarningDays)</f>
        <v>0</v>
      </c>
      <c r="R20" s="39">
        <f>IF(B20="","",IF(P20="Expired","Expired - renew it now",IF(P20="Due soon","Due - renew within "&amp;O20&amp;" days",IF(AND(L20="Yes",K20="",J20=""),"Add - where is this kept?",IF(AND(M20&lt;&gt;"",TodayDate-M20&gt;365),"Due - review it, over a year old","OK")))))</f>
        <v>0</v>
      </c>
    </row>
    <row r="21" spans="1:18">
      <c r="A21" s="43">
        <f>IF(B21="","","DOC-"&amp;TEXT(ROW()-4,"000"))</f>
        <v>0</v>
      </c>
      <c r="O21" s="31">
        <f>IF(OR(B21="",H21=""),"",H21-TodayDate)</f>
        <v>0</v>
      </c>
      <c r="P21" s="39">
        <f>IF(B21="","",IF(H21="","Valid",IF(O21&lt;0,"Expired",IF(O21&lt;=CertWarningDays,"Due soon","Valid"))))</f>
        <v>0</v>
      </c>
      <c r="Q21" s="18">
        <f>IF(H21="","",H21-CertWarningDays)</f>
        <v>0</v>
      </c>
      <c r="R21" s="39">
        <f>IF(B21="","",IF(P21="Expired","Expired - renew it now",IF(P21="Due soon","Due - renew within "&amp;O21&amp;" days",IF(AND(L21="Yes",K21="",J21=""),"Add - where is this kept?",IF(AND(M21&lt;&gt;"",TodayDate-M21&gt;365),"Due - review it, over a year old","OK")))))</f>
        <v>0</v>
      </c>
    </row>
    <row r="22" spans="1:18">
      <c r="A22" s="43">
        <f>IF(B22="","","DOC-"&amp;TEXT(ROW()-4,"000"))</f>
        <v>0</v>
      </c>
      <c r="O22" s="31">
        <f>IF(OR(B22="",H22=""),"",H22-TodayDate)</f>
        <v>0</v>
      </c>
      <c r="P22" s="39">
        <f>IF(B22="","",IF(H22="","Valid",IF(O22&lt;0,"Expired",IF(O22&lt;=CertWarningDays,"Due soon","Valid"))))</f>
        <v>0</v>
      </c>
      <c r="Q22" s="18">
        <f>IF(H22="","",H22-CertWarningDays)</f>
        <v>0</v>
      </c>
      <c r="R22" s="39">
        <f>IF(B22="","",IF(P22="Expired","Expired - renew it now",IF(P22="Due soon","Due - renew within "&amp;O22&amp;" days",IF(AND(L22="Yes",K22="",J22=""),"Add - where is this kept?",IF(AND(M22&lt;&gt;"",TodayDate-M22&gt;365),"Due - review it, over a year old","OK")))))</f>
        <v>0</v>
      </c>
    </row>
    <row r="23" spans="1:18">
      <c r="A23" s="43">
        <f>IF(B23="","","DOC-"&amp;TEXT(ROW()-4,"000"))</f>
        <v>0</v>
      </c>
      <c r="O23" s="31">
        <f>IF(OR(B23="",H23=""),"",H23-TodayDate)</f>
        <v>0</v>
      </c>
      <c r="P23" s="39">
        <f>IF(B23="","",IF(H23="","Valid",IF(O23&lt;0,"Expired",IF(O23&lt;=CertWarningDays,"Due soon","Valid"))))</f>
        <v>0</v>
      </c>
      <c r="Q23" s="18">
        <f>IF(H23="","",H23-CertWarningDays)</f>
        <v>0</v>
      </c>
      <c r="R23" s="39">
        <f>IF(B23="","",IF(P23="Expired","Expired - renew it now",IF(P23="Due soon","Due - renew within "&amp;O23&amp;" days",IF(AND(L23="Yes",K23="",J23=""),"Add - where is this kept?",IF(AND(M23&lt;&gt;"",TodayDate-M23&gt;365),"Due - review it, over a year old","OK")))))</f>
        <v>0</v>
      </c>
    </row>
    <row r="24" spans="1:18">
      <c r="A24" s="43">
        <f>IF(B24="","","DOC-"&amp;TEXT(ROW()-4,"000"))</f>
        <v>0</v>
      </c>
      <c r="O24" s="31">
        <f>IF(OR(B24="",H24=""),"",H24-TodayDate)</f>
        <v>0</v>
      </c>
      <c r="P24" s="39">
        <f>IF(B24="","",IF(H24="","Valid",IF(O24&lt;0,"Expired",IF(O24&lt;=CertWarningDays,"Due soon","Valid"))))</f>
        <v>0</v>
      </c>
      <c r="Q24" s="18">
        <f>IF(H24="","",H24-CertWarningDays)</f>
        <v>0</v>
      </c>
      <c r="R24" s="39">
        <f>IF(B24="","",IF(P24="Expired","Expired - renew it now",IF(P24="Due soon","Due - renew within "&amp;O24&amp;" days",IF(AND(L24="Yes",K24="",J24=""),"Add - where is this kept?",IF(AND(M24&lt;&gt;"",TodayDate-M24&gt;365),"Due - review it, over a year old","OK")))))</f>
        <v>0</v>
      </c>
    </row>
    <row r="25" spans="1:18">
      <c r="A25" s="43">
        <f>IF(B25="","","DOC-"&amp;TEXT(ROW()-4,"000"))</f>
        <v>0</v>
      </c>
      <c r="O25" s="31">
        <f>IF(OR(B25="",H25=""),"",H25-TodayDate)</f>
        <v>0</v>
      </c>
      <c r="P25" s="39">
        <f>IF(B25="","",IF(H25="","Valid",IF(O25&lt;0,"Expired",IF(O25&lt;=CertWarningDays,"Due soon","Valid"))))</f>
        <v>0</v>
      </c>
      <c r="Q25" s="18">
        <f>IF(H25="","",H25-CertWarningDays)</f>
        <v>0</v>
      </c>
      <c r="R25" s="39">
        <f>IF(B25="","",IF(P25="Expired","Expired - renew it now",IF(P25="Due soon","Due - renew within "&amp;O25&amp;" days",IF(AND(L25="Yes",K25="",J25=""),"Add - where is this kept?",IF(AND(M25&lt;&gt;"",TodayDate-M25&gt;365),"Due - review it, over a year old","OK")))))</f>
        <v>0</v>
      </c>
    </row>
    <row r="26" spans="1:18">
      <c r="A26" s="43">
        <f>IF(B26="","","DOC-"&amp;TEXT(ROW()-4,"000"))</f>
        <v>0</v>
      </c>
      <c r="O26" s="31">
        <f>IF(OR(B26="",H26=""),"",H26-TodayDate)</f>
        <v>0</v>
      </c>
      <c r="P26" s="39">
        <f>IF(B26="","",IF(H26="","Valid",IF(O26&lt;0,"Expired",IF(O26&lt;=CertWarningDays,"Due soon","Valid"))))</f>
        <v>0</v>
      </c>
      <c r="Q26" s="18">
        <f>IF(H26="","",H26-CertWarningDays)</f>
        <v>0</v>
      </c>
      <c r="R26" s="39">
        <f>IF(B26="","",IF(P26="Expired","Expired - renew it now",IF(P26="Due soon","Due - renew within "&amp;O26&amp;" days",IF(AND(L26="Yes",K26="",J26=""),"Add - where is this kept?",IF(AND(M26&lt;&gt;"",TodayDate-M26&gt;365),"Due - review it, over a year old","OK")))))</f>
        <v>0</v>
      </c>
    </row>
    <row r="27" spans="1:18">
      <c r="A27" s="43">
        <f>IF(B27="","","DOC-"&amp;TEXT(ROW()-4,"000"))</f>
        <v>0</v>
      </c>
      <c r="O27" s="31">
        <f>IF(OR(B27="",H27=""),"",H27-TodayDate)</f>
        <v>0</v>
      </c>
      <c r="P27" s="39">
        <f>IF(B27="","",IF(H27="","Valid",IF(O27&lt;0,"Expired",IF(O27&lt;=CertWarningDays,"Due soon","Valid"))))</f>
        <v>0</v>
      </c>
      <c r="Q27" s="18">
        <f>IF(H27="","",H27-CertWarningDays)</f>
        <v>0</v>
      </c>
      <c r="R27" s="39">
        <f>IF(B27="","",IF(P27="Expired","Expired - renew it now",IF(P27="Due soon","Due - renew within "&amp;O27&amp;" days",IF(AND(L27="Yes",K27="",J27=""),"Add - where is this kept?",IF(AND(M27&lt;&gt;"",TodayDate-M27&gt;365),"Due - review it, over a year old","OK")))))</f>
        <v>0</v>
      </c>
    </row>
    <row r="28" spans="1:18">
      <c r="A28" s="43">
        <f>IF(B28="","","DOC-"&amp;TEXT(ROW()-4,"000"))</f>
        <v>0</v>
      </c>
      <c r="O28" s="31">
        <f>IF(OR(B28="",H28=""),"",H28-TodayDate)</f>
        <v>0</v>
      </c>
      <c r="P28" s="39">
        <f>IF(B28="","",IF(H28="","Valid",IF(O28&lt;0,"Expired",IF(O28&lt;=CertWarningDays,"Due soon","Valid"))))</f>
        <v>0</v>
      </c>
      <c r="Q28" s="18">
        <f>IF(H28="","",H28-CertWarningDays)</f>
        <v>0</v>
      </c>
      <c r="R28" s="39">
        <f>IF(B28="","",IF(P28="Expired","Expired - renew it now",IF(P28="Due soon","Due - renew within "&amp;O28&amp;" days",IF(AND(L28="Yes",K28="",J28=""),"Add - where is this kept?",IF(AND(M28&lt;&gt;"",TodayDate-M28&gt;365),"Due - review it, over a year old","OK")))))</f>
        <v>0</v>
      </c>
    </row>
    <row r="29" spans="1:18">
      <c r="A29" s="43">
        <f>IF(B29="","","DOC-"&amp;TEXT(ROW()-4,"000"))</f>
        <v>0</v>
      </c>
      <c r="O29" s="31">
        <f>IF(OR(B29="",H29=""),"",H29-TodayDate)</f>
        <v>0</v>
      </c>
      <c r="P29" s="39">
        <f>IF(B29="","",IF(H29="","Valid",IF(O29&lt;0,"Expired",IF(O29&lt;=CertWarningDays,"Due soon","Valid"))))</f>
        <v>0</v>
      </c>
      <c r="Q29" s="18">
        <f>IF(H29="","",H29-CertWarningDays)</f>
        <v>0</v>
      </c>
      <c r="R29" s="39">
        <f>IF(B29="","",IF(P29="Expired","Expired - renew it now",IF(P29="Due soon","Due - renew within "&amp;O29&amp;" days",IF(AND(L29="Yes",K29="",J29=""),"Add - where is this kept?",IF(AND(M29&lt;&gt;"",TodayDate-M29&gt;365),"Due - review it, over a year old","OK")))))</f>
        <v>0</v>
      </c>
    </row>
    <row r="30" spans="1:18">
      <c r="A30" s="43">
        <f>IF(B30="","","DOC-"&amp;TEXT(ROW()-4,"000"))</f>
        <v>0</v>
      </c>
      <c r="O30" s="31">
        <f>IF(OR(B30="",H30=""),"",H30-TodayDate)</f>
        <v>0</v>
      </c>
      <c r="P30" s="39">
        <f>IF(B30="","",IF(H30="","Valid",IF(O30&lt;0,"Expired",IF(O30&lt;=CertWarningDays,"Due soon","Valid"))))</f>
        <v>0</v>
      </c>
      <c r="Q30" s="18">
        <f>IF(H30="","",H30-CertWarningDays)</f>
        <v>0</v>
      </c>
      <c r="R30" s="39">
        <f>IF(B30="","",IF(P30="Expired","Expired - renew it now",IF(P30="Due soon","Due - renew within "&amp;O30&amp;" days",IF(AND(L30="Yes",K30="",J30=""),"Add - where is this kept?",IF(AND(M30&lt;&gt;"",TodayDate-M30&gt;365),"Due - review it, over a year old","OK")))))</f>
        <v>0</v>
      </c>
    </row>
    <row r="31" spans="1:18">
      <c r="A31" s="43">
        <f>IF(B31="","","DOC-"&amp;TEXT(ROW()-4,"000"))</f>
        <v>0</v>
      </c>
      <c r="O31" s="31">
        <f>IF(OR(B31="",H31=""),"",H31-TodayDate)</f>
        <v>0</v>
      </c>
      <c r="P31" s="39">
        <f>IF(B31="","",IF(H31="","Valid",IF(O31&lt;0,"Expired",IF(O31&lt;=CertWarningDays,"Due soon","Valid"))))</f>
        <v>0</v>
      </c>
      <c r="Q31" s="18">
        <f>IF(H31="","",H31-CertWarningDays)</f>
        <v>0</v>
      </c>
      <c r="R31" s="39">
        <f>IF(B31="","",IF(P31="Expired","Expired - renew it now",IF(P31="Due soon","Due - renew within "&amp;O31&amp;" days",IF(AND(L31="Yes",K31="",J31=""),"Add - where is this kept?",IF(AND(M31&lt;&gt;"",TodayDate-M31&gt;365),"Due - review it, over a year old","OK")))))</f>
        <v>0</v>
      </c>
    </row>
    <row r="32" spans="1:18">
      <c r="A32" s="43">
        <f>IF(B32="","","DOC-"&amp;TEXT(ROW()-4,"000"))</f>
        <v>0</v>
      </c>
      <c r="O32" s="31">
        <f>IF(OR(B32="",H32=""),"",H32-TodayDate)</f>
        <v>0</v>
      </c>
      <c r="P32" s="39">
        <f>IF(B32="","",IF(H32="","Valid",IF(O32&lt;0,"Expired",IF(O32&lt;=CertWarningDays,"Due soon","Valid"))))</f>
        <v>0</v>
      </c>
      <c r="Q32" s="18">
        <f>IF(H32="","",H32-CertWarningDays)</f>
        <v>0</v>
      </c>
      <c r="R32" s="39">
        <f>IF(B32="","",IF(P32="Expired","Expired - renew it now",IF(P32="Due soon","Due - renew within "&amp;O32&amp;" days",IF(AND(L32="Yes",K32="",J32=""),"Add - where is this kept?",IF(AND(M32&lt;&gt;"",TodayDate-M32&gt;365),"Due - review it, over a year old","OK")))))</f>
        <v>0</v>
      </c>
    </row>
    <row r="33" spans="1:18">
      <c r="A33" s="43">
        <f>IF(B33="","","DOC-"&amp;TEXT(ROW()-4,"000"))</f>
        <v>0</v>
      </c>
      <c r="O33" s="31">
        <f>IF(OR(B33="",H33=""),"",H33-TodayDate)</f>
        <v>0</v>
      </c>
      <c r="P33" s="39">
        <f>IF(B33="","",IF(H33="","Valid",IF(O33&lt;0,"Expired",IF(O33&lt;=CertWarningDays,"Due soon","Valid"))))</f>
        <v>0</v>
      </c>
      <c r="Q33" s="18">
        <f>IF(H33="","",H33-CertWarningDays)</f>
        <v>0</v>
      </c>
      <c r="R33" s="39">
        <f>IF(B33="","",IF(P33="Expired","Expired - renew it now",IF(P33="Due soon","Due - renew within "&amp;O33&amp;" days",IF(AND(L33="Yes",K33="",J33=""),"Add - where is this kept?",IF(AND(M33&lt;&gt;"",TodayDate-M33&gt;365),"Due - review it, over a year old","OK")))))</f>
        <v>0</v>
      </c>
    </row>
    <row r="34" spans="1:18">
      <c r="A34" s="43">
        <f>IF(B34="","","DOC-"&amp;TEXT(ROW()-4,"000"))</f>
        <v>0</v>
      </c>
      <c r="O34" s="31">
        <f>IF(OR(B34="",H34=""),"",H34-TodayDate)</f>
        <v>0</v>
      </c>
      <c r="P34" s="39">
        <f>IF(B34="","",IF(H34="","Valid",IF(O34&lt;0,"Expired",IF(O34&lt;=CertWarningDays,"Due soon","Valid"))))</f>
        <v>0</v>
      </c>
      <c r="Q34" s="18">
        <f>IF(H34="","",H34-CertWarningDays)</f>
        <v>0</v>
      </c>
      <c r="R34" s="39">
        <f>IF(B34="","",IF(P34="Expired","Expired - renew it now",IF(P34="Due soon","Due - renew within "&amp;O34&amp;" days",IF(AND(L34="Yes",K34="",J34=""),"Add - where is this kept?",IF(AND(M34&lt;&gt;"",TodayDate-M34&gt;365),"Due - review it, over a year old","OK")))))</f>
        <v>0</v>
      </c>
    </row>
    <row r="35" spans="1:18">
      <c r="A35" s="43">
        <f>IF(B35="","","DOC-"&amp;TEXT(ROW()-4,"000"))</f>
        <v>0</v>
      </c>
      <c r="O35" s="31">
        <f>IF(OR(B35="",H35=""),"",H35-TodayDate)</f>
        <v>0</v>
      </c>
      <c r="P35" s="39">
        <f>IF(B35="","",IF(H35="","Valid",IF(O35&lt;0,"Expired",IF(O35&lt;=CertWarningDays,"Due soon","Valid"))))</f>
        <v>0</v>
      </c>
      <c r="Q35" s="18">
        <f>IF(H35="","",H35-CertWarningDays)</f>
        <v>0</v>
      </c>
      <c r="R35" s="39">
        <f>IF(B35="","",IF(P35="Expired","Expired - renew it now",IF(P35="Due soon","Due - renew within "&amp;O35&amp;" days",IF(AND(L35="Yes",K35="",J35=""),"Add - where is this kept?",IF(AND(M35&lt;&gt;"",TodayDate-M35&gt;365),"Due - review it, over a year old","OK")))))</f>
        <v>0</v>
      </c>
    </row>
    <row r="36" spans="1:18">
      <c r="A36" s="43">
        <f>IF(B36="","","DOC-"&amp;TEXT(ROW()-4,"000"))</f>
        <v>0</v>
      </c>
      <c r="O36" s="31">
        <f>IF(OR(B36="",H36=""),"",H36-TodayDate)</f>
        <v>0</v>
      </c>
      <c r="P36" s="39">
        <f>IF(B36="","",IF(H36="","Valid",IF(O36&lt;0,"Expired",IF(O36&lt;=CertWarningDays,"Due soon","Valid"))))</f>
        <v>0</v>
      </c>
      <c r="Q36" s="18">
        <f>IF(H36="","",H36-CertWarningDays)</f>
        <v>0</v>
      </c>
      <c r="R36" s="39">
        <f>IF(B36="","",IF(P36="Expired","Expired - renew it now",IF(P36="Due soon","Due - renew within "&amp;O36&amp;" days",IF(AND(L36="Yes",K36="",J36=""),"Add - where is this kept?",IF(AND(M36&lt;&gt;"",TodayDate-M36&gt;365),"Due - review it, over a year old","OK")))))</f>
        <v>0</v>
      </c>
    </row>
    <row r="37" spans="1:18">
      <c r="A37" s="43">
        <f>IF(B37="","","DOC-"&amp;TEXT(ROW()-4,"000"))</f>
        <v>0</v>
      </c>
      <c r="O37" s="31">
        <f>IF(OR(B37="",H37=""),"",H37-TodayDate)</f>
        <v>0</v>
      </c>
      <c r="P37" s="39">
        <f>IF(B37="","",IF(H37="","Valid",IF(O37&lt;0,"Expired",IF(O37&lt;=CertWarningDays,"Due soon","Valid"))))</f>
        <v>0</v>
      </c>
      <c r="Q37" s="18">
        <f>IF(H37="","",H37-CertWarningDays)</f>
        <v>0</v>
      </c>
      <c r="R37" s="39">
        <f>IF(B37="","",IF(P37="Expired","Expired - renew it now",IF(P37="Due soon","Due - renew within "&amp;O37&amp;" days",IF(AND(L37="Yes",K37="",J37=""),"Add - where is this kept?",IF(AND(M37&lt;&gt;"",TodayDate-M37&gt;365),"Due - review it, over a year old","OK")))))</f>
        <v>0</v>
      </c>
    </row>
    <row r="38" spans="1:18">
      <c r="A38" s="43">
        <f>IF(B38="","","DOC-"&amp;TEXT(ROW()-4,"000"))</f>
        <v>0</v>
      </c>
      <c r="O38" s="31">
        <f>IF(OR(B38="",H38=""),"",H38-TodayDate)</f>
        <v>0</v>
      </c>
      <c r="P38" s="39">
        <f>IF(B38="","",IF(H38="","Valid",IF(O38&lt;0,"Expired",IF(O38&lt;=CertWarningDays,"Due soon","Valid"))))</f>
        <v>0</v>
      </c>
      <c r="Q38" s="18">
        <f>IF(H38="","",H38-CertWarningDays)</f>
        <v>0</v>
      </c>
      <c r="R38" s="39">
        <f>IF(B38="","",IF(P38="Expired","Expired - renew it now",IF(P38="Due soon","Due - renew within "&amp;O38&amp;" days",IF(AND(L38="Yes",K38="",J38=""),"Add - where is this kept?",IF(AND(M38&lt;&gt;"",TodayDate-M38&gt;365),"Due - review it, over a year old","OK")))))</f>
        <v>0</v>
      </c>
    </row>
    <row r="39" spans="1:18">
      <c r="A39" s="43">
        <f>IF(B39="","","DOC-"&amp;TEXT(ROW()-4,"000"))</f>
        <v>0</v>
      </c>
      <c r="O39" s="31">
        <f>IF(OR(B39="",H39=""),"",H39-TodayDate)</f>
        <v>0</v>
      </c>
      <c r="P39" s="39">
        <f>IF(B39="","",IF(H39="","Valid",IF(O39&lt;0,"Expired",IF(O39&lt;=CertWarningDays,"Due soon","Valid"))))</f>
        <v>0</v>
      </c>
      <c r="Q39" s="18">
        <f>IF(H39="","",H39-CertWarningDays)</f>
        <v>0</v>
      </c>
      <c r="R39" s="39">
        <f>IF(B39="","",IF(P39="Expired","Expired - renew it now",IF(P39="Due soon","Due - renew within "&amp;O39&amp;" days",IF(AND(L39="Yes",K39="",J39=""),"Add - where is this kept?",IF(AND(M39&lt;&gt;"",TodayDate-M39&gt;365),"Due - review it, over a year old","OK")))))</f>
        <v>0</v>
      </c>
    </row>
    <row r="40" spans="1:18">
      <c r="A40" s="43">
        <f>IF(B40="","","DOC-"&amp;TEXT(ROW()-4,"000"))</f>
        <v>0</v>
      </c>
      <c r="O40" s="31">
        <f>IF(OR(B40="",H40=""),"",H40-TodayDate)</f>
        <v>0</v>
      </c>
      <c r="P40" s="39">
        <f>IF(B40="","",IF(H40="","Valid",IF(O40&lt;0,"Expired",IF(O40&lt;=CertWarningDays,"Due soon","Valid"))))</f>
        <v>0</v>
      </c>
      <c r="Q40" s="18">
        <f>IF(H40="","",H40-CertWarningDays)</f>
        <v>0</v>
      </c>
      <c r="R40" s="39">
        <f>IF(B40="","",IF(P40="Expired","Expired - renew it now",IF(P40="Due soon","Due - renew within "&amp;O40&amp;" days",IF(AND(L40="Yes",K40="",J40=""),"Add - where is this kept?",IF(AND(M40&lt;&gt;"",TodayDate-M40&gt;365),"Due - review it, over a year old","OK")))))</f>
        <v>0</v>
      </c>
    </row>
    <row r="41" spans="1:18">
      <c r="A41" s="43">
        <f>IF(B41="","","DOC-"&amp;TEXT(ROW()-4,"000"))</f>
        <v>0</v>
      </c>
      <c r="O41" s="31">
        <f>IF(OR(B41="",H41=""),"",H41-TodayDate)</f>
        <v>0</v>
      </c>
      <c r="P41" s="39">
        <f>IF(B41="","",IF(H41="","Valid",IF(O41&lt;0,"Expired",IF(O41&lt;=CertWarningDays,"Due soon","Valid"))))</f>
        <v>0</v>
      </c>
      <c r="Q41" s="18">
        <f>IF(H41="","",H41-CertWarningDays)</f>
        <v>0</v>
      </c>
      <c r="R41" s="39">
        <f>IF(B41="","",IF(P41="Expired","Expired - renew it now",IF(P41="Due soon","Due - renew within "&amp;O41&amp;" days",IF(AND(L41="Yes",K41="",J41=""),"Add - where is this kept?",IF(AND(M41&lt;&gt;"",TodayDate-M41&gt;365),"Due - review it, over a year old","OK")))))</f>
        <v>0</v>
      </c>
    </row>
    <row r="42" spans="1:18">
      <c r="A42" s="43">
        <f>IF(B42="","","DOC-"&amp;TEXT(ROW()-4,"000"))</f>
        <v>0</v>
      </c>
      <c r="O42" s="31">
        <f>IF(OR(B42="",H42=""),"",H42-TodayDate)</f>
        <v>0</v>
      </c>
      <c r="P42" s="39">
        <f>IF(B42="","",IF(H42="","Valid",IF(O42&lt;0,"Expired",IF(O42&lt;=CertWarningDays,"Due soon","Valid"))))</f>
        <v>0</v>
      </c>
      <c r="Q42" s="18">
        <f>IF(H42="","",H42-CertWarningDays)</f>
        <v>0</v>
      </c>
      <c r="R42" s="39">
        <f>IF(B42="","",IF(P42="Expired","Expired - renew it now",IF(P42="Due soon","Due - renew within "&amp;O42&amp;" days",IF(AND(L42="Yes",K42="",J42=""),"Add - where is this kept?",IF(AND(M42&lt;&gt;"",TodayDate-M42&gt;365),"Due - review it, over a year old","OK")))))</f>
        <v>0</v>
      </c>
    </row>
    <row r="43" spans="1:18">
      <c r="A43" s="43">
        <f>IF(B43="","","DOC-"&amp;TEXT(ROW()-4,"000"))</f>
        <v>0</v>
      </c>
      <c r="O43" s="31">
        <f>IF(OR(B43="",H43=""),"",H43-TodayDate)</f>
        <v>0</v>
      </c>
      <c r="P43" s="39">
        <f>IF(B43="","",IF(H43="","Valid",IF(O43&lt;0,"Expired",IF(O43&lt;=CertWarningDays,"Due soon","Valid"))))</f>
        <v>0</v>
      </c>
      <c r="Q43" s="18">
        <f>IF(H43="","",H43-CertWarningDays)</f>
        <v>0</v>
      </c>
      <c r="R43" s="39">
        <f>IF(B43="","",IF(P43="Expired","Expired - renew it now",IF(P43="Due soon","Due - renew within "&amp;O43&amp;" days",IF(AND(L43="Yes",K43="",J43=""),"Add - where is this kept?",IF(AND(M43&lt;&gt;"",TodayDate-M43&gt;365),"Due - review it, over a year old","OK")))))</f>
        <v>0</v>
      </c>
    </row>
    <row r="44" spans="1:18">
      <c r="A44" s="43">
        <f>IF(B44="","","DOC-"&amp;TEXT(ROW()-4,"000"))</f>
        <v>0</v>
      </c>
      <c r="O44" s="31">
        <f>IF(OR(B44="",H44=""),"",H44-TodayDate)</f>
        <v>0</v>
      </c>
      <c r="P44" s="39">
        <f>IF(B44="","",IF(H44="","Valid",IF(O44&lt;0,"Expired",IF(O44&lt;=CertWarningDays,"Due soon","Valid"))))</f>
        <v>0</v>
      </c>
      <c r="Q44" s="18">
        <f>IF(H44="","",H44-CertWarningDays)</f>
        <v>0</v>
      </c>
      <c r="R44" s="39">
        <f>IF(B44="","",IF(P44="Expired","Expired - renew it now",IF(P44="Due soon","Due - renew within "&amp;O44&amp;" days",IF(AND(L44="Yes",K44="",J44=""),"Add - where is this kept?",IF(AND(M44&lt;&gt;"",TodayDate-M44&gt;365),"Due - review it, over a year old","OK")))))</f>
        <v>0</v>
      </c>
    </row>
    <row r="45" spans="1:18">
      <c r="A45" s="43">
        <f>IF(B45="","","DOC-"&amp;TEXT(ROW()-4,"000"))</f>
        <v>0</v>
      </c>
      <c r="O45" s="31">
        <f>IF(OR(B45="",H45=""),"",H45-TodayDate)</f>
        <v>0</v>
      </c>
      <c r="P45" s="39">
        <f>IF(B45="","",IF(H45="","Valid",IF(O45&lt;0,"Expired",IF(O45&lt;=CertWarningDays,"Due soon","Valid"))))</f>
        <v>0</v>
      </c>
      <c r="Q45" s="18">
        <f>IF(H45="","",H45-CertWarningDays)</f>
        <v>0</v>
      </c>
      <c r="R45" s="39">
        <f>IF(B45="","",IF(P45="Expired","Expired - renew it now",IF(P45="Due soon","Due - renew within "&amp;O45&amp;" days",IF(AND(L45="Yes",K45="",J45=""),"Add - where is this kept?",IF(AND(M45&lt;&gt;"",TodayDate-M45&gt;365),"Due - review it, over a year old","OK")))))</f>
        <v>0</v>
      </c>
    </row>
    <row r="46" spans="1:18">
      <c r="A46" s="43">
        <f>IF(B46="","","DOC-"&amp;TEXT(ROW()-4,"000"))</f>
        <v>0</v>
      </c>
      <c r="O46" s="31">
        <f>IF(OR(B46="",H46=""),"",H46-TodayDate)</f>
        <v>0</v>
      </c>
      <c r="P46" s="39">
        <f>IF(B46="","",IF(H46="","Valid",IF(O46&lt;0,"Expired",IF(O46&lt;=CertWarningDays,"Due soon","Valid"))))</f>
        <v>0</v>
      </c>
      <c r="Q46" s="18">
        <f>IF(H46="","",H46-CertWarningDays)</f>
        <v>0</v>
      </c>
      <c r="R46" s="39">
        <f>IF(B46="","",IF(P46="Expired","Expired - renew it now",IF(P46="Due soon","Due - renew within "&amp;O46&amp;" days",IF(AND(L46="Yes",K46="",J46=""),"Add - where is this kept?",IF(AND(M46&lt;&gt;"",TodayDate-M46&gt;365),"Due - review it, over a year old","OK")))))</f>
        <v>0</v>
      </c>
    </row>
    <row r="47" spans="1:18">
      <c r="A47" s="43">
        <f>IF(B47="","","DOC-"&amp;TEXT(ROW()-4,"000"))</f>
        <v>0</v>
      </c>
      <c r="O47" s="31">
        <f>IF(OR(B47="",H47=""),"",H47-TodayDate)</f>
        <v>0</v>
      </c>
      <c r="P47" s="39">
        <f>IF(B47="","",IF(H47="","Valid",IF(O47&lt;0,"Expired",IF(O47&lt;=CertWarningDays,"Due soon","Valid"))))</f>
        <v>0</v>
      </c>
      <c r="Q47" s="18">
        <f>IF(H47="","",H47-CertWarningDays)</f>
        <v>0</v>
      </c>
      <c r="R47" s="39">
        <f>IF(B47="","",IF(P47="Expired","Expired - renew it now",IF(P47="Due soon","Due - renew within "&amp;O47&amp;" days",IF(AND(L47="Yes",K47="",J47=""),"Add - where is this kept?",IF(AND(M47&lt;&gt;"",TodayDate-M47&gt;365),"Due - review it, over a year old","OK")))))</f>
        <v>0</v>
      </c>
    </row>
    <row r="48" spans="1:18">
      <c r="A48" s="43">
        <f>IF(B48="","","DOC-"&amp;TEXT(ROW()-4,"000"))</f>
        <v>0</v>
      </c>
      <c r="O48" s="31">
        <f>IF(OR(B48="",H48=""),"",H48-TodayDate)</f>
        <v>0</v>
      </c>
      <c r="P48" s="39">
        <f>IF(B48="","",IF(H48="","Valid",IF(O48&lt;0,"Expired",IF(O48&lt;=CertWarningDays,"Due soon","Valid"))))</f>
        <v>0</v>
      </c>
      <c r="Q48" s="18">
        <f>IF(H48="","",H48-CertWarningDays)</f>
        <v>0</v>
      </c>
      <c r="R48" s="39">
        <f>IF(B48="","",IF(P48="Expired","Expired - renew it now",IF(P48="Due soon","Due - renew within "&amp;O48&amp;" days",IF(AND(L48="Yes",K48="",J48=""),"Add - where is this kept?",IF(AND(M48&lt;&gt;"",TodayDate-M48&gt;365),"Due - review it, over a year old","OK")))))</f>
        <v>0</v>
      </c>
    </row>
    <row r="49" spans="1:18">
      <c r="A49" s="43">
        <f>IF(B49="","","DOC-"&amp;TEXT(ROW()-4,"000"))</f>
        <v>0</v>
      </c>
      <c r="O49" s="31">
        <f>IF(OR(B49="",H49=""),"",H49-TodayDate)</f>
        <v>0</v>
      </c>
      <c r="P49" s="39">
        <f>IF(B49="","",IF(H49="","Valid",IF(O49&lt;0,"Expired",IF(O49&lt;=CertWarningDays,"Due soon","Valid"))))</f>
        <v>0</v>
      </c>
      <c r="Q49" s="18">
        <f>IF(H49="","",H49-CertWarningDays)</f>
        <v>0</v>
      </c>
      <c r="R49" s="39">
        <f>IF(B49="","",IF(P49="Expired","Expired - renew it now",IF(P49="Due soon","Due - renew within "&amp;O49&amp;" days",IF(AND(L49="Yes",K49="",J49=""),"Add - where is this kept?",IF(AND(M49&lt;&gt;"",TodayDate-M49&gt;365),"Due - review it, over a year old","OK")))))</f>
        <v>0</v>
      </c>
    </row>
    <row r="50" spans="1:18">
      <c r="A50" s="43">
        <f>IF(B50="","","DOC-"&amp;TEXT(ROW()-4,"000"))</f>
        <v>0</v>
      </c>
      <c r="O50" s="31">
        <f>IF(OR(B50="",H50=""),"",H50-TodayDate)</f>
        <v>0</v>
      </c>
      <c r="P50" s="39">
        <f>IF(B50="","",IF(H50="","Valid",IF(O50&lt;0,"Expired",IF(O50&lt;=CertWarningDays,"Due soon","Valid"))))</f>
        <v>0</v>
      </c>
      <c r="Q50" s="18">
        <f>IF(H50="","",H50-CertWarningDays)</f>
        <v>0</v>
      </c>
      <c r="R50" s="39">
        <f>IF(B50="","",IF(P50="Expired","Expired - renew it now",IF(P50="Due soon","Due - renew within "&amp;O50&amp;" days",IF(AND(L50="Yes",K50="",J50=""),"Add - where is this kept?",IF(AND(M50&lt;&gt;"",TodayDate-M50&gt;365),"Due - review it, over a year old","OK")))))</f>
        <v>0</v>
      </c>
    </row>
    <row r="51" spans="1:18">
      <c r="A51" s="43">
        <f>IF(B51="","","DOC-"&amp;TEXT(ROW()-4,"000"))</f>
        <v>0</v>
      </c>
      <c r="O51" s="31">
        <f>IF(OR(B51="",H51=""),"",H51-TodayDate)</f>
        <v>0</v>
      </c>
      <c r="P51" s="39">
        <f>IF(B51="","",IF(H51="","Valid",IF(O51&lt;0,"Expired",IF(O51&lt;=CertWarningDays,"Due soon","Valid"))))</f>
        <v>0</v>
      </c>
      <c r="Q51" s="18">
        <f>IF(H51="","",H51-CertWarningDays)</f>
        <v>0</v>
      </c>
      <c r="R51" s="39">
        <f>IF(B51="","",IF(P51="Expired","Expired - renew it now",IF(P51="Due soon","Due - renew within "&amp;O51&amp;" days",IF(AND(L51="Yes",K51="",J51=""),"Add - where is this kept?",IF(AND(M51&lt;&gt;"",TodayDate-M51&gt;365),"Due - review it, over a year old","OK")))))</f>
        <v>0</v>
      </c>
    </row>
    <row r="52" spans="1:18">
      <c r="A52" s="43">
        <f>IF(B52="","","DOC-"&amp;TEXT(ROW()-4,"000"))</f>
        <v>0</v>
      </c>
      <c r="O52" s="31">
        <f>IF(OR(B52="",H52=""),"",H52-TodayDate)</f>
        <v>0</v>
      </c>
      <c r="P52" s="39">
        <f>IF(B52="","",IF(H52="","Valid",IF(O52&lt;0,"Expired",IF(O52&lt;=CertWarningDays,"Due soon","Valid"))))</f>
        <v>0</v>
      </c>
      <c r="Q52" s="18">
        <f>IF(H52="","",H52-CertWarningDays)</f>
        <v>0</v>
      </c>
      <c r="R52" s="39">
        <f>IF(B52="","",IF(P52="Expired","Expired - renew it now",IF(P52="Due soon","Due - renew within "&amp;O52&amp;" days",IF(AND(L52="Yes",K52="",J52=""),"Add - where is this kept?",IF(AND(M52&lt;&gt;"",TodayDate-M52&gt;365),"Due - review it, over a year old","OK")))))</f>
        <v>0</v>
      </c>
    </row>
    <row r="53" spans="1:18">
      <c r="A53" s="43">
        <f>IF(B53="","","DOC-"&amp;TEXT(ROW()-4,"000"))</f>
        <v>0</v>
      </c>
      <c r="O53" s="31">
        <f>IF(OR(B53="",H53=""),"",H53-TodayDate)</f>
        <v>0</v>
      </c>
      <c r="P53" s="39">
        <f>IF(B53="","",IF(H53="","Valid",IF(O53&lt;0,"Expired",IF(O53&lt;=CertWarningDays,"Due soon","Valid"))))</f>
        <v>0</v>
      </c>
      <c r="Q53" s="18">
        <f>IF(H53="","",H53-CertWarningDays)</f>
        <v>0</v>
      </c>
      <c r="R53" s="39">
        <f>IF(B53="","",IF(P53="Expired","Expired - renew it now",IF(P53="Due soon","Due - renew within "&amp;O53&amp;" days",IF(AND(L53="Yes",K53="",J53=""),"Add - where is this kept?",IF(AND(M53&lt;&gt;"",TodayDate-M53&gt;365),"Due - review it, over a year old","OK")))))</f>
        <v>0</v>
      </c>
    </row>
    <row r="54" spans="1:18">
      <c r="A54" s="43">
        <f>IF(B54="","","DOC-"&amp;TEXT(ROW()-4,"000"))</f>
        <v>0</v>
      </c>
      <c r="O54" s="31">
        <f>IF(OR(B54="",H54=""),"",H54-TodayDate)</f>
        <v>0</v>
      </c>
      <c r="P54" s="39">
        <f>IF(B54="","",IF(H54="","Valid",IF(O54&lt;0,"Expired",IF(O54&lt;=CertWarningDays,"Due soon","Valid"))))</f>
        <v>0</v>
      </c>
      <c r="Q54" s="18">
        <f>IF(H54="","",H54-CertWarningDays)</f>
        <v>0</v>
      </c>
      <c r="R54" s="39">
        <f>IF(B54="","",IF(P54="Expired","Expired - renew it now",IF(P54="Due soon","Due - renew within "&amp;O54&amp;" days",IF(AND(L54="Yes",K54="",J54=""),"Add - where is this kept?",IF(AND(M54&lt;&gt;"",TodayDate-M54&gt;365),"Due - review it, over a year old","OK")))))</f>
        <v>0</v>
      </c>
    </row>
    <row r="55" spans="1:18">
      <c r="A55" s="43">
        <f>IF(B55="","","DOC-"&amp;TEXT(ROW()-4,"000"))</f>
        <v>0</v>
      </c>
      <c r="O55" s="31">
        <f>IF(OR(B55="",H55=""),"",H55-TodayDate)</f>
        <v>0</v>
      </c>
      <c r="P55" s="39">
        <f>IF(B55="","",IF(H55="","Valid",IF(O55&lt;0,"Expired",IF(O55&lt;=CertWarningDays,"Due soon","Valid"))))</f>
        <v>0</v>
      </c>
      <c r="Q55" s="18">
        <f>IF(H55="","",H55-CertWarningDays)</f>
        <v>0</v>
      </c>
      <c r="R55" s="39">
        <f>IF(B55="","",IF(P55="Expired","Expired - renew it now",IF(P55="Due soon","Due - renew within "&amp;O55&amp;" days",IF(AND(L55="Yes",K55="",J55=""),"Add - where is this kept?",IF(AND(M55&lt;&gt;"",TodayDate-M55&gt;365),"Due - review it, over a year old","OK")))))</f>
        <v>0</v>
      </c>
    </row>
    <row r="56" spans="1:18">
      <c r="A56" s="43">
        <f>IF(B56="","","DOC-"&amp;TEXT(ROW()-4,"000"))</f>
        <v>0</v>
      </c>
      <c r="O56" s="31">
        <f>IF(OR(B56="",H56=""),"",H56-TodayDate)</f>
        <v>0</v>
      </c>
      <c r="P56" s="39">
        <f>IF(B56="","",IF(H56="","Valid",IF(O56&lt;0,"Expired",IF(O56&lt;=CertWarningDays,"Due soon","Valid"))))</f>
        <v>0</v>
      </c>
      <c r="Q56" s="18">
        <f>IF(H56="","",H56-CertWarningDays)</f>
        <v>0</v>
      </c>
      <c r="R56" s="39">
        <f>IF(B56="","",IF(P56="Expired","Expired - renew it now",IF(P56="Due soon","Due - renew within "&amp;O56&amp;" days",IF(AND(L56="Yes",K56="",J56=""),"Add - where is this kept?",IF(AND(M56&lt;&gt;"",TodayDate-M56&gt;365),"Due - review it, over a year old","OK")))))</f>
        <v>0</v>
      </c>
    </row>
    <row r="57" spans="1:18">
      <c r="A57" s="43">
        <f>IF(B57="","","DOC-"&amp;TEXT(ROW()-4,"000"))</f>
        <v>0</v>
      </c>
      <c r="O57" s="31">
        <f>IF(OR(B57="",H57=""),"",H57-TodayDate)</f>
        <v>0</v>
      </c>
      <c r="P57" s="39">
        <f>IF(B57="","",IF(H57="","Valid",IF(O57&lt;0,"Expired",IF(O57&lt;=CertWarningDays,"Due soon","Valid"))))</f>
        <v>0</v>
      </c>
      <c r="Q57" s="18">
        <f>IF(H57="","",H57-CertWarningDays)</f>
        <v>0</v>
      </c>
      <c r="R57" s="39">
        <f>IF(B57="","",IF(P57="Expired","Expired - renew it now",IF(P57="Due soon","Due - renew within "&amp;O57&amp;" days",IF(AND(L57="Yes",K57="",J57=""),"Add - where is this kept?",IF(AND(M57&lt;&gt;"",TodayDate-M57&gt;365),"Due - review it, over a year old","OK")))))</f>
        <v>0</v>
      </c>
    </row>
    <row r="58" spans="1:18">
      <c r="A58" s="43">
        <f>IF(B58="","","DOC-"&amp;TEXT(ROW()-4,"000"))</f>
        <v>0</v>
      </c>
      <c r="O58" s="31">
        <f>IF(OR(B58="",H58=""),"",H58-TodayDate)</f>
        <v>0</v>
      </c>
      <c r="P58" s="39">
        <f>IF(B58="","",IF(H58="","Valid",IF(O58&lt;0,"Expired",IF(O58&lt;=CertWarningDays,"Due soon","Valid"))))</f>
        <v>0</v>
      </c>
      <c r="Q58" s="18">
        <f>IF(H58="","",H58-CertWarningDays)</f>
        <v>0</v>
      </c>
      <c r="R58" s="39">
        <f>IF(B58="","",IF(P58="Expired","Expired - renew it now",IF(P58="Due soon","Due - renew within "&amp;O58&amp;" days",IF(AND(L58="Yes",K58="",J58=""),"Add - where is this kept?",IF(AND(M58&lt;&gt;"",TodayDate-M58&gt;365),"Due - review it, over a year old","OK")))))</f>
        <v>0</v>
      </c>
    </row>
    <row r="59" spans="1:18">
      <c r="A59" s="43">
        <f>IF(B59="","","DOC-"&amp;TEXT(ROW()-4,"000"))</f>
        <v>0</v>
      </c>
      <c r="O59" s="31">
        <f>IF(OR(B59="",H59=""),"",H59-TodayDate)</f>
        <v>0</v>
      </c>
      <c r="P59" s="39">
        <f>IF(B59="","",IF(H59="","Valid",IF(O59&lt;0,"Expired",IF(O59&lt;=CertWarningDays,"Due soon","Valid"))))</f>
        <v>0</v>
      </c>
      <c r="Q59" s="18">
        <f>IF(H59="","",H59-CertWarningDays)</f>
        <v>0</v>
      </c>
      <c r="R59" s="39">
        <f>IF(B59="","",IF(P59="Expired","Expired - renew it now",IF(P59="Due soon","Due - renew within "&amp;O59&amp;" days",IF(AND(L59="Yes",K59="",J59=""),"Add - where is this kept?",IF(AND(M59&lt;&gt;"",TodayDate-M59&gt;365),"Due - review it, over a year old","OK")))))</f>
        <v>0</v>
      </c>
    </row>
    <row r="60" spans="1:18">
      <c r="A60" s="43">
        <f>IF(B60="","","DOC-"&amp;TEXT(ROW()-4,"000"))</f>
        <v>0</v>
      </c>
      <c r="O60" s="31">
        <f>IF(OR(B60="",H60=""),"",H60-TodayDate)</f>
        <v>0</v>
      </c>
      <c r="P60" s="39">
        <f>IF(B60="","",IF(H60="","Valid",IF(O60&lt;0,"Expired",IF(O60&lt;=CertWarningDays,"Due soon","Valid"))))</f>
        <v>0</v>
      </c>
      <c r="Q60" s="18">
        <f>IF(H60="","",H60-CertWarningDays)</f>
        <v>0</v>
      </c>
      <c r="R60" s="39">
        <f>IF(B60="","",IF(P60="Expired","Expired - renew it now",IF(P60="Due soon","Due - renew within "&amp;O60&amp;" days",IF(AND(L60="Yes",K60="",J60=""),"Add - where is this kept?",IF(AND(M60&lt;&gt;"",TodayDate-M60&gt;365),"Due - review it, over a year old","OK")))))</f>
        <v>0</v>
      </c>
    </row>
    <row r="61" spans="1:18">
      <c r="A61" s="43">
        <f>IF(B61="","","DOC-"&amp;TEXT(ROW()-4,"000"))</f>
        <v>0</v>
      </c>
      <c r="O61" s="31">
        <f>IF(OR(B61="",H61=""),"",H61-TodayDate)</f>
        <v>0</v>
      </c>
      <c r="P61" s="39">
        <f>IF(B61="","",IF(H61="","Valid",IF(O61&lt;0,"Expired",IF(O61&lt;=CertWarningDays,"Due soon","Valid"))))</f>
        <v>0</v>
      </c>
      <c r="Q61" s="18">
        <f>IF(H61="","",H61-CertWarningDays)</f>
        <v>0</v>
      </c>
      <c r="R61" s="39">
        <f>IF(B61="","",IF(P61="Expired","Expired - renew it now",IF(P61="Due soon","Due - renew within "&amp;O61&amp;" days",IF(AND(L61="Yes",K61="",J61=""),"Add - where is this kept?",IF(AND(M61&lt;&gt;"",TodayDate-M61&gt;365),"Due - review it, over a year old","OK")))))</f>
        <v>0</v>
      </c>
    </row>
    <row r="62" spans="1:18">
      <c r="A62" s="43">
        <f>IF(B62="","","DOC-"&amp;TEXT(ROW()-4,"000"))</f>
        <v>0</v>
      </c>
      <c r="O62" s="31">
        <f>IF(OR(B62="",H62=""),"",H62-TodayDate)</f>
        <v>0</v>
      </c>
      <c r="P62" s="39">
        <f>IF(B62="","",IF(H62="","Valid",IF(O62&lt;0,"Expired",IF(O62&lt;=CertWarningDays,"Due soon","Valid"))))</f>
        <v>0</v>
      </c>
      <c r="Q62" s="18">
        <f>IF(H62="","",H62-CertWarningDays)</f>
        <v>0</v>
      </c>
      <c r="R62" s="39">
        <f>IF(B62="","",IF(P62="Expired","Expired - renew it now",IF(P62="Due soon","Due - renew within "&amp;O62&amp;" days",IF(AND(L62="Yes",K62="",J62=""),"Add - where is this kept?",IF(AND(M62&lt;&gt;"",TodayDate-M62&gt;365),"Due - review it, over a year old","OK")))))</f>
        <v>0</v>
      </c>
    </row>
    <row r="63" spans="1:18">
      <c r="A63" s="43">
        <f>IF(B63="","","DOC-"&amp;TEXT(ROW()-4,"000"))</f>
        <v>0</v>
      </c>
      <c r="O63" s="31">
        <f>IF(OR(B63="",H63=""),"",H63-TodayDate)</f>
        <v>0</v>
      </c>
      <c r="P63" s="39">
        <f>IF(B63="","",IF(H63="","Valid",IF(O63&lt;0,"Expired",IF(O63&lt;=CertWarningDays,"Due soon","Valid"))))</f>
        <v>0</v>
      </c>
      <c r="Q63" s="18">
        <f>IF(H63="","",H63-CertWarningDays)</f>
        <v>0</v>
      </c>
      <c r="R63" s="39">
        <f>IF(B63="","",IF(P63="Expired","Expired - renew it now",IF(P63="Due soon","Due - renew within "&amp;O63&amp;" days",IF(AND(L63="Yes",K63="",J63=""),"Add - where is this kept?",IF(AND(M63&lt;&gt;"",TodayDate-M63&gt;365),"Due - review it, over a year old","OK")))))</f>
        <v>0</v>
      </c>
    </row>
    <row r="64" spans="1:18">
      <c r="A64" s="43">
        <f>IF(B64="","","DOC-"&amp;TEXT(ROW()-4,"000"))</f>
        <v>0</v>
      </c>
      <c r="O64" s="31">
        <f>IF(OR(B64="",H64=""),"",H64-TodayDate)</f>
        <v>0</v>
      </c>
      <c r="P64" s="39">
        <f>IF(B64="","",IF(H64="","Valid",IF(O64&lt;0,"Expired",IF(O64&lt;=CertWarningDays,"Due soon","Valid"))))</f>
        <v>0</v>
      </c>
      <c r="Q64" s="18">
        <f>IF(H64="","",H64-CertWarningDays)</f>
        <v>0</v>
      </c>
      <c r="R64" s="39">
        <f>IF(B64="","",IF(P64="Expired","Expired - renew it now",IF(P64="Due soon","Due - renew within "&amp;O64&amp;" days",IF(AND(L64="Yes",K64="",J64=""),"Add - where is this kept?",IF(AND(M64&lt;&gt;"",TodayDate-M64&gt;365),"Due - review it, over a year old","OK")))))</f>
        <v>0</v>
      </c>
    </row>
    <row r="65" spans="1:18">
      <c r="A65" s="43">
        <f>IF(B65="","","DOC-"&amp;TEXT(ROW()-4,"000"))</f>
        <v>0</v>
      </c>
      <c r="O65" s="31">
        <f>IF(OR(B65="",H65=""),"",H65-TodayDate)</f>
        <v>0</v>
      </c>
      <c r="P65" s="39">
        <f>IF(B65="","",IF(H65="","Valid",IF(O65&lt;0,"Expired",IF(O65&lt;=CertWarningDays,"Due soon","Valid"))))</f>
        <v>0</v>
      </c>
      <c r="Q65" s="18">
        <f>IF(H65="","",H65-CertWarningDays)</f>
        <v>0</v>
      </c>
      <c r="R65" s="39">
        <f>IF(B65="","",IF(P65="Expired","Expired - renew it now",IF(P65="Due soon","Due - renew within "&amp;O65&amp;" days",IF(AND(L65="Yes",K65="",J65=""),"Add - where is this kept?",IF(AND(M65&lt;&gt;"",TodayDate-M65&gt;365),"Due - review it, over a year old","OK")))))</f>
        <v>0</v>
      </c>
    </row>
    <row r="66" spans="1:18">
      <c r="A66" s="43">
        <f>IF(B66="","","DOC-"&amp;TEXT(ROW()-4,"000"))</f>
        <v>0</v>
      </c>
      <c r="O66" s="31">
        <f>IF(OR(B66="",H66=""),"",H66-TodayDate)</f>
        <v>0</v>
      </c>
      <c r="P66" s="39">
        <f>IF(B66="","",IF(H66="","Valid",IF(O66&lt;0,"Expired",IF(O66&lt;=CertWarningDays,"Due soon","Valid"))))</f>
        <v>0</v>
      </c>
      <c r="Q66" s="18">
        <f>IF(H66="","",H66-CertWarningDays)</f>
        <v>0</v>
      </c>
      <c r="R66" s="39">
        <f>IF(B66="","",IF(P66="Expired","Expired - renew it now",IF(P66="Due soon","Due - renew within "&amp;O66&amp;" days",IF(AND(L66="Yes",K66="",J66=""),"Add - where is this kept?",IF(AND(M66&lt;&gt;"",TodayDate-M66&gt;365),"Due - review it, over a year old","OK")))))</f>
        <v>0</v>
      </c>
    </row>
    <row r="67" spans="1:18">
      <c r="A67" s="43">
        <f>IF(B67="","","DOC-"&amp;TEXT(ROW()-4,"000"))</f>
        <v>0</v>
      </c>
      <c r="O67" s="31">
        <f>IF(OR(B67="",H67=""),"",H67-TodayDate)</f>
        <v>0</v>
      </c>
      <c r="P67" s="39">
        <f>IF(B67="","",IF(H67="","Valid",IF(O67&lt;0,"Expired",IF(O67&lt;=CertWarningDays,"Due soon","Valid"))))</f>
        <v>0</v>
      </c>
      <c r="Q67" s="18">
        <f>IF(H67="","",H67-CertWarningDays)</f>
        <v>0</v>
      </c>
      <c r="R67" s="39">
        <f>IF(B67="","",IF(P67="Expired","Expired - renew it now",IF(P67="Due soon","Due - renew within "&amp;O67&amp;" days",IF(AND(L67="Yes",K67="",J67=""),"Add - where is this kept?",IF(AND(M67&lt;&gt;"",TodayDate-M67&gt;365),"Due - review it, over a year old","OK")))))</f>
        <v>0</v>
      </c>
    </row>
    <row r="68" spans="1:18">
      <c r="A68" s="43">
        <f>IF(B68="","","DOC-"&amp;TEXT(ROW()-4,"000"))</f>
        <v>0</v>
      </c>
      <c r="O68" s="31">
        <f>IF(OR(B68="",H68=""),"",H68-TodayDate)</f>
        <v>0</v>
      </c>
      <c r="P68" s="39">
        <f>IF(B68="","",IF(H68="","Valid",IF(O68&lt;0,"Expired",IF(O68&lt;=CertWarningDays,"Due soon","Valid"))))</f>
        <v>0</v>
      </c>
      <c r="Q68" s="18">
        <f>IF(H68="","",H68-CertWarningDays)</f>
        <v>0</v>
      </c>
      <c r="R68" s="39">
        <f>IF(B68="","",IF(P68="Expired","Expired - renew it now",IF(P68="Due soon","Due - renew within "&amp;O68&amp;" days",IF(AND(L68="Yes",K68="",J68=""),"Add - where is this kept?",IF(AND(M68&lt;&gt;"",TodayDate-M68&gt;365),"Due - review it, over a year old","OK")))))</f>
        <v>0</v>
      </c>
    </row>
    <row r="69" spans="1:18">
      <c r="A69" s="43">
        <f>IF(B69="","","DOC-"&amp;TEXT(ROW()-4,"000"))</f>
        <v>0</v>
      </c>
      <c r="O69" s="31">
        <f>IF(OR(B69="",H69=""),"",H69-TodayDate)</f>
        <v>0</v>
      </c>
      <c r="P69" s="39">
        <f>IF(B69="","",IF(H69="","Valid",IF(O69&lt;0,"Expired",IF(O69&lt;=CertWarningDays,"Due soon","Valid"))))</f>
        <v>0</v>
      </c>
      <c r="Q69" s="18">
        <f>IF(H69="","",H69-CertWarningDays)</f>
        <v>0</v>
      </c>
      <c r="R69" s="39">
        <f>IF(B69="","",IF(P69="Expired","Expired - renew it now",IF(P69="Due soon","Due - renew within "&amp;O69&amp;" days",IF(AND(L69="Yes",K69="",J69=""),"Add - where is this kept?",IF(AND(M69&lt;&gt;"",TodayDate-M69&gt;365),"Due - review it, over a year old","OK")))))</f>
        <v>0</v>
      </c>
    </row>
    <row r="70" spans="1:18">
      <c r="A70" s="43">
        <f>IF(B70="","","DOC-"&amp;TEXT(ROW()-4,"000"))</f>
        <v>0</v>
      </c>
      <c r="O70" s="31">
        <f>IF(OR(B70="",H70=""),"",H70-TodayDate)</f>
        <v>0</v>
      </c>
      <c r="P70" s="39">
        <f>IF(B70="","",IF(H70="","Valid",IF(O70&lt;0,"Expired",IF(O70&lt;=CertWarningDays,"Due soon","Valid"))))</f>
        <v>0</v>
      </c>
      <c r="Q70" s="18">
        <f>IF(H70="","",H70-CertWarningDays)</f>
        <v>0</v>
      </c>
      <c r="R70" s="39">
        <f>IF(B70="","",IF(P70="Expired","Expired - renew it now",IF(P70="Due soon","Due - renew within "&amp;O70&amp;" days",IF(AND(L70="Yes",K70="",J70=""),"Add - where is this kept?",IF(AND(M70&lt;&gt;"",TodayDate-M70&gt;365),"Due - review it, over a year old","OK")))))</f>
        <v>0</v>
      </c>
    </row>
    <row r="71" spans="1:18">
      <c r="A71" s="43">
        <f>IF(B71="","","DOC-"&amp;TEXT(ROW()-4,"000"))</f>
        <v>0</v>
      </c>
      <c r="O71" s="31">
        <f>IF(OR(B71="",H71=""),"",H71-TodayDate)</f>
        <v>0</v>
      </c>
      <c r="P71" s="39">
        <f>IF(B71="","",IF(H71="","Valid",IF(O71&lt;0,"Expired",IF(O71&lt;=CertWarningDays,"Due soon","Valid"))))</f>
        <v>0</v>
      </c>
      <c r="Q71" s="18">
        <f>IF(H71="","",H71-CertWarningDays)</f>
        <v>0</v>
      </c>
      <c r="R71" s="39">
        <f>IF(B71="","",IF(P71="Expired","Expired - renew it now",IF(P71="Due soon","Due - renew within "&amp;O71&amp;" days",IF(AND(L71="Yes",K71="",J71=""),"Add - where is this kept?",IF(AND(M71&lt;&gt;"",TodayDate-M71&gt;365),"Due - review it, over a year old","OK")))))</f>
        <v>0</v>
      </c>
    </row>
    <row r="72" spans="1:18">
      <c r="A72" s="43">
        <f>IF(B72="","","DOC-"&amp;TEXT(ROW()-4,"000"))</f>
        <v>0</v>
      </c>
      <c r="O72" s="31">
        <f>IF(OR(B72="",H72=""),"",H72-TodayDate)</f>
        <v>0</v>
      </c>
      <c r="P72" s="39">
        <f>IF(B72="","",IF(H72="","Valid",IF(O72&lt;0,"Expired",IF(O72&lt;=CertWarningDays,"Due soon","Valid"))))</f>
        <v>0</v>
      </c>
      <c r="Q72" s="18">
        <f>IF(H72="","",H72-CertWarningDays)</f>
        <v>0</v>
      </c>
      <c r="R72" s="39">
        <f>IF(B72="","",IF(P72="Expired","Expired - renew it now",IF(P72="Due soon","Due - renew within "&amp;O72&amp;" days",IF(AND(L72="Yes",K72="",J72=""),"Add - where is this kept?",IF(AND(M72&lt;&gt;"",TodayDate-M72&gt;365),"Due - review it, over a year old","OK")))))</f>
        <v>0</v>
      </c>
    </row>
    <row r="73" spans="1:18">
      <c r="A73" s="43">
        <f>IF(B73="","","DOC-"&amp;TEXT(ROW()-4,"000"))</f>
        <v>0</v>
      </c>
      <c r="O73" s="31">
        <f>IF(OR(B73="",H73=""),"",H73-TodayDate)</f>
        <v>0</v>
      </c>
      <c r="P73" s="39">
        <f>IF(B73="","",IF(H73="","Valid",IF(O73&lt;0,"Expired",IF(O73&lt;=CertWarningDays,"Due soon","Valid"))))</f>
        <v>0</v>
      </c>
      <c r="Q73" s="18">
        <f>IF(H73="","",H73-CertWarningDays)</f>
        <v>0</v>
      </c>
      <c r="R73" s="39">
        <f>IF(B73="","",IF(P73="Expired","Expired - renew it now",IF(P73="Due soon","Due - renew within "&amp;O73&amp;" days",IF(AND(L73="Yes",K73="",J73=""),"Add - where is this kept?",IF(AND(M73&lt;&gt;"",TodayDate-M73&gt;365),"Due - review it, over a year old","OK")))))</f>
        <v>0</v>
      </c>
    </row>
    <row r="74" spans="1:18">
      <c r="A74" s="43">
        <f>IF(B74="","","DOC-"&amp;TEXT(ROW()-4,"000"))</f>
        <v>0</v>
      </c>
      <c r="O74" s="31">
        <f>IF(OR(B74="",H74=""),"",H74-TodayDate)</f>
        <v>0</v>
      </c>
      <c r="P74" s="39">
        <f>IF(B74="","",IF(H74="","Valid",IF(O74&lt;0,"Expired",IF(O74&lt;=CertWarningDays,"Due soon","Valid"))))</f>
        <v>0</v>
      </c>
      <c r="Q74" s="18">
        <f>IF(H74="","",H74-CertWarningDays)</f>
        <v>0</v>
      </c>
      <c r="R74" s="39">
        <f>IF(B74="","",IF(P74="Expired","Expired - renew it now",IF(P74="Due soon","Due - renew within "&amp;O74&amp;" days",IF(AND(L74="Yes",K74="",J74=""),"Add - where is this kept?",IF(AND(M74&lt;&gt;"",TodayDate-M74&gt;365),"Due - review it, over a year old","OK")))))</f>
        <v>0</v>
      </c>
    </row>
    <row r="75" spans="1:18">
      <c r="A75" s="43">
        <f>IF(B75="","","DOC-"&amp;TEXT(ROW()-4,"000"))</f>
        <v>0</v>
      </c>
      <c r="O75" s="31">
        <f>IF(OR(B75="",H75=""),"",H75-TodayDate)</f>
        <v>0</v>
      </c>
      <c r="P75" s="39">
        <f>IF(B75="","",IF(H75="","Valid",IF(O75&lt;0,"Expired",IF(O75&lt;=CertWarningDays,"Due soon","Valid"))))</f>
        <v>0</v>
      </c>
      <c r="Q75" s="18">
        <f>IF(H75="","",H75-CertWarningDays)</f>
        <v>0</v>
      </c>
      <c r="R75" s="39">
        <f>IF(B75="","",IF(P75="Expired","Expired - renew it now",IF(P75="Due soon","Due - renew within "&amp;O75&amp;" days",IF(AND(L75="Yes",K75="",J75=""),"Add - where is this kept?",IF(AND(M75&lt;&gt;"",TodayDate-M75&gt;365),"Due - review it, over a year old","OK")))))</f>
        <v>0</v>
      </c>
    </row>
    <row r="76" spans="1:18">
      <c r="A76" s="43">
        <f>IF(B76="","","DOC-"&amp;TEXT(ROW()-4,"000"))</f>
        <v>0</v>
      </c>
      <c r="O76" s="31">
        <f>IF(OR(B76="",H76=""),"",H76-TodayDate)</f>
        <v>0</v>
      </c>
      <c r="P76" s="39">
        <f>IF(B76="","",IF(H76="","Valid",IF(O76&lt;0,"Expired",IF(O76&lt;=CertWarningDays,"Due soon","Valid"))))</f>
        <v>0</v>
      </c>
      <c r="Q76" s="18">
        <f>IF(H76="","",H76-CertWarningDays)</f>
        <v>0</v>
      </c>
      <c r="R76" s="39">
        <f>IF(B76="","",IF(P76="Expired","Expired - renew it now",IF(P76="Due soon","Due - renew within "&amp;O76&amp;" days",IF(AND(L76="Yes",K76="",J76=""),"Add - where is this kept?",IF(AND(M76&lt;&gt;"",TodayDate-M76&gt;365),"Due - review it, over a year old","OK")))))</f>
        <v>0</v>
      </c>
    </row>
    <row r="77" spans="1:18">
      <c r="A77" s="43">
        <f>IF(B77="","","DOC-"&amp;TEXT(ROW()-4,"000"))</f>
        <v>0</v>
      </c>
      <c r="O77" s="31">
        <f>IF(OR(B77="",H77=""),"",H77-TodayDate)</f>
        <v>0</v>
      </c>
      <c r="P77" s="39">
        <f>IF(B77="","",IF(H77="","Valid",IF(O77&lt;0,"Expired",IF(O77&lt;=CertWarningDays,"Due soon","Valid"))))</f>
        <v>0</v>
      </c>
      <c r="Q77" s="18">
        <f>IF(H77="","",H77-CertWarningDays)</f>
        <v>0</v>
      </c>
      <c r="R77" s="39">
        <f>IF(B77="","",IF(P77="Expired","Expired - renew it now",IF(P77="Due soon","Due - renew within "&amp;O77&amp;" days",IF(AND(L77="Yes",K77="",J77=""),"Add - where is this kept?",IF(AND(M77&lt;&gt;"",TodayDate-M77&gt;365),"Due - review it, over a year old","OK")))))</f>
        <v>0</v>
      </c>
    </row>
    <row r="78" spans="1:18">
      <c r="A78" s="43">
        <f>IF(B78="","","DOC-"&amp;TEXT(ROW()-4,"000"))</f>
        <v>0</v>
      </c>
      <c r="O78" s="31">
        <f>IF(OR(B78="",H78=""),"",H78-TodayDate)</f>
        <v>0</v>
      </c>
      <c r="P78" s="39">
        <f>IF(B78="","",IF(H78="","Valid",IF(O78&lt;0,"Expired",IF(O78&lt;=CertWarningDays,"Due soon","Valid"))))</f>
        <v>0</v>
      </c>
      <c r="Q78" s="18">
        <f>IF(H78="","",H78-CertWarningDays)</f>
        <v>0</v>
      </c>
      <c r="R78" s="39">
        <f>IF(B78="","",IF(P78="Expired","Expired - renew it now",IF(P78="Due soon","Due - renew within "&amp;O78&amp;" days",IF(AND(L78="Yes",K78="",J78=""),"Add - where is this kept?",IF(AND(M78&lt;&gt;"",TodayDate-M78&gt;365),"Due - review it, over a year old","OK")))))</f>
        <v>0</v>
      </c>
    </row>
    <row r="79" spans="1:18">
      <c r="A79" s="43">
        <f>IF(B79="","","DOC-"&amp;TEXT(ROW()-4,"000"))</f>
        <v>0</v>
      </c>
      <c r="O79" s="31">
        <f>IF(OR(B79="",H79=""),"",H79-TodayDate)</f>
        <v>0</v>
      </c>
      <c r="P79" s="39">
        <f>IF(B79="","",IF(H79="","Valid",IF(O79&lt;0,"Expired",IF(O79&lt;=CertWarningDays,"Due soon","Valid"))))</f>
        <v>0</v>
      </c>
      <c r="Q79" s="18">
        <f>IF(H79="","",H79-CertWarningDays)</f>
        <v>0</v>
      </c>
      <c r="R79" s="39">
        <f>IF(B79="","",IF(P79="Expired","Expired - renew it now",IF(P79="Due soon","Due - renew within "&amp;O79&amp;" days",IF(AND(L79="Yes",K79="",J79=""),"Add - where is this kept?",IF(AND(M79&lt;&gt;"",TodayDate-M79&gt;365),"Due - review it, over a year old","OK")))))</f>
        <v>0</v>
      </c>
    </row>
    <row r="80" spans="1:18">
      <c r="A80" s="43">
        <f>IF(B80="","","DOC-"&amp;TEXT(ROW()-4,"000"))</f>
        <v>0</v>
      </c>
      <c r="O80" s="31">
        <f>IF(OR(B80="",H80=""),"",H80-TodayDate)</f>
        <v>0</v>
      </c>
      <c r="P80" s="39">
        <f>IF(B80="","",IF(H80="","Valid",IF(O80&lt;0,"Expired",IF(O80&lt;=CertWarningDays,"Due soon","Valid"))))</f>
        <v>0</v>
      </c>
      <c r="Q80" s="18">
        <f>IF(H80="","",H80-CertWarningDays)</f>
        <v>0</v>
      </c>
      <c r="R80" s="39">
        <f>IF(B80="","",IF(P80="Expired","Expired - renew it now",IF(P80="Due soon","Due - renew within "&amp;O80&amp;" days",IF(AND(L80="Yes",K80="",J80=""),"Add - where is this kept?",IF(AND(M80&lt;&gt;"",TodayDate-M80&gt;365),"Due - review it, over a year old","OK")))))</f>
        <v>0</v>
      </c>
    </row>
    <row r="81" spans="1:18">
      <c r="A81" s="43">
        <f>IF(B81="","","DOC-"&amp;TEXT(ROW()-4,"000"))</f>
        <v>0</v>
      </c>
      <c r="O81" s="31">
        <f>IF(OR(B81="",H81=""),"",H81-TodayDate)</f>
        <v>0</v>
      </c>
      <c r="P81" s="39">
        <f>IF(B81="","",IF(H81="","Valid",IF(O81&lt;0,"Expired",IF(O81&lt;=CertWarningDays,"Due soon","Valid"))))</f>
        <v>0</v>
      </c>
      <c r="Q81" s="18">
        <f>IF(H81="","",H81-CertWarningDays)</f>
        <v>0</v>
      </c>
      <c r="R81" s="39">
        <f>IF(B81="","",IF(P81="Expired","Expired - renew it now",IF(P81="Due soon","Due - renew within "&amp;O81&amp;" days",IF(AND(L81="Yes",K81="",J81=""),"Add - where is this kept?",IF(AND(M81&lt;&gt;"",TodayDate-M81&gt;365),"Due - review it, over a year old","OK")))))</f>
        <v>0</v>
      </c>
    </row>
    <row r="82" spans="1:18">
      <c r="A82" s="43">
        <f>IF(B82="","","DOC-"&amp;TEXT(ROW()-4,"000"))</f>
        <v>0</v>
      </c>
      <c r="O82" s="31">
        <f>IF(OR(B82="",H82=""),"",H82-TodayDate)</f>
        <v>0</v>
      </c>
      <c r="P82" s="39">
        <f>IF(B82="","",IF(H82="","Valid",IF(O82&lt;0,"Expired",IF(O82&lt;=CertWarningDays,"Due soon","Valid"))))</f>
        <v>0</v>
      </c>
      <c r="Q82" s="18">
        <f>IF(H82="","",H82-CertWarningDays)</f>
        <v>0</v>
      </c>
      <c r="R82" s="39">
        <f>IF(B82="","",IF(P82="Expired","Expired - renew it now",IF(P82="Due soon","Due - renew within "&amp;O82&amp;" days",IF(AND(L82="Yes",K82="",J82=""),"Add - where is this kept?",IF(AND(M82&lt;&gt;"",TodayDate-M82&gt;365),"Due - review it, over a year old","OK")))))</f>
        <v>0</v>
      </c>
    </row>
    <row r="83" spans="1:18">
      <c r="A83" s="43">
        <f>IF(B83="","","DOC-"&amp;TEXT(ROW()-4,"000"))</f>
        <v>0</v>
      </c>
      <c r="O83" s="31">
        <f>IF(OR(B83="",H83=""),"",H83-TodayDate)</f>
        <v>0</v>
      </c>
      <c r="P83" s="39">
        <f>IF(B83="","",IF(H83="","Valid",IF(O83&lt;0,"Expired",IF(O83&lt;=CertWarningDays,"Due soon","Valid"))))</f>
        <v>0</v>
      </c>
      <c r="Q83" s="18">
        <f>IF(H83="","",H83-CertWarningDays)</f>
        <v>0</v>
      </c>
      <c r="R83" s="39">
        <f>IF(B83="","",IF(P83="Expired","Expired - renew it now",IF(P83="Due soon","Due - renew within "&amp;O83&amp;" days",IF(AND(L83="Yes",K83="",J83=""),"Add - where is this kept?",IF(AND(M83&lt;&gt;"",TodayDate-M83&gt;365),"Due - review it, over a year old","OK")))))</f>
        <v>0</v>
      </c>
    </row>
    <row r="84" spans="1:18">
      <c r="A84" s="43">
        <f>IF(B84="","","DOC-"&amp;TEXT(ROW()-4,"000"))</f>
        <v>0</v>
      </c>
      <c r="O84" s="31">
        <f>IF(OR(B84="",H84=""),"",H84-TodayDate)</f>
        <v>0</v>
      </c>
      <c r="P84" s="39">
        <f>IF(B84="","",IF(H84="","Valid",IF(O84&lt;0,"Expired",IF(O84&lt;=CertWarningDays,"Due soon","Valid"))))</f>
        <v>0</v>
      </c>
      <c r="Q84" s="18">
        <f>IF(H84="","",H84-CertWarningDays)</f>
        <v>0</v>
      </c>
      <c r="R84" s="39">
        <f>IF(B84="","",IF(P84="Expired","Expired - renew it now",IF(P84="Due soon","Due - renew within "&amp;O84&amp;" days",IF(AND(L84="Yes",K84="",J84=""),"Add - where is this kept?",IF(AND(M84&lt;&gt;"",TodayDate-M84&gt;365),"Due - review it, over a year old","OK")))))</f>
        <v>0</v>
      </c>
    </row>
  </sheetData>
  <sheetProtection password="EC7C" sheet="1" objects="1" scenarios="1" formatCells="0" formatColumns="0" formatRows="0" insertRows="0" insertHyperlinks="0" deleteRows="0" autoFilter="0"/>
  <autoFilter ref="A4:R84"/>
  <mergeCells count="12">
    <mergeCell ref="A1:O1"/>
    <mergeCell ref="P1:R1"/>
    <mergeCell ref="A2:R2"/>
    <mergeCell ref="A3:B3"/>
    <mergeCell ref="C3:D3"/>
    <mergeCell ref="E3:F3"/>
    <mergeCell ref="G3:H3"/>
    <mergeCell ref="I3:J3"/>
    <mergeCell ref="K3:L3"/>
    <mergeCell ref="M3:N3"/>
    <mergeCell ref="O3:P3"/>
    <mergeCell ref="Q3:R3"/>
  </mergeCells>
  <conditionalFormatting sqref="L5:L84">
    <cfRule type="containsText" dxfId="0" priority="1" operator="containsText" text="No">
      <formula>NOT(ISERROR(SEARCH("No",L5)))</formula>
    </cfRule>
    <cfRule type="containsText" dxfId="1" priority="2" operator="containsText" text="Yes">
      <formula>NOT(ISERROR(SEARCH("Yes",L5)))</formula>
    </cfRule>
  </conditionalFormatting>
  <conditionalFormatting sqref="O5:O84">
    <cfRule type="cellIs" dxfId="2" priority="3" operator="lessThan">
      <formula>0</formula>
    </cfRule>
    <cfRule type="cellIs" dxfId="0" priority="4" operator="lessThanOrEqual">
      <formula>CertWarningDays</formula>
    </cfRule>
  </conditionalFormatting>
  <conditionalFormatting sqref="P5:P84">
    <cfRule type="containsText" dxfId="1" priority="5" operator="containsText" text="Completed">
      <formula>NOT(ISERROR(SEARCH("Completed",P5)))</formula>
    </cfRule>
    <cfRule type="containsText" dxfId="1" priority="6" operator="containsText" text="Complete">
      <formula>NOT(ISERROR(SEARCH("Complete",P5)))</formula>
    </cfRule>
    <cfRule type="containsText" dxfId="1" priority="7" operator="containsText" text="Done">
      <formula>NOT(ISERROR(SEARCH("Done",P5)))</formula>
    </cfRule>
    <cfRule type="containsText" dxfId="1" priority="8" operator="containsText" text="Paid">
      <formula>NOT(ISERROR(SEARCH("Paid",P5)))</formula>
    </cfRule>
    <cfRule type="containsText" dxfId="1" priority="9" operator="containsText" text="Accepted">
      <formula>NOT(ISERROR(SEARCH("Accepted",P5)))</formula>
    </cfRule>
    <cfRule type="containsText" dxfId="1" priority="10" operator="containsText" text="Won">
      <formula>NOT(ISERROR(SEARCH("Won",P5)))</formula>
    </cfRule>
    <cfRule type="containsText" dxfId="1" priority="11" operator="containsText" text="Active">
      <formula>NOT(ISERROR(SEARCH("Active",P5)))</formula>
    </cfRule>
    <cfRule type="containsText" dxfId="1" priority="12" operator="containsText" text="In stock">
      <formula>NOT(ISERROR(SEARCH("In stock",P5)))</formula>
    </cfRule>
    <cfRule type="containsText" dxfId="1" priority="13" operator="containsText" text="Resolved">
      <formula>NOT(ISERROR(SEARCH("Resolved",P5)))</formula>
    </cfRule>
    <cfRule type="containsText" dxfId="1" priority="14" operator="containsText" text="Signed">
      <formula>NOT(ISERROR(SEARCH("Signed",P5)))</formula>
    </cfRule>
    <cfRule type="containsText" dxfId="1" priority="15" operator="containsText" text="Yes">
      <formula>NOT(ISERROR(SEARCH("Yes",P5)))</formula>
    </cfRule>
    <cfRule type="containsText" dxfId="3" priority="16" operator="containsText" text="Booked">
      <formula>NOT(ISERROR(SEARCH("Booked",P5)))</formula>
    </cfRule>
    <cfRule type="containsText" dxfId="3" priority="17" operator="containsText" text="Confirmed">
      <formula>NOT(ISERROR(SEARCH("Confirmed",P5)))</formula>
    </cfRule>
    <cfRule type="containsText" dxfId="3" priority="18" operator="containsText" text="Scheduled">
      <formula>NOT(ISERROR(SEARCH("Scheduled",P5)))</formula>
    </cfRule>
    <cfRule type="containsText" dxfId="3" priority="19" operator="containsText" text="In progress">
      <formula>NOT(ISERROR(SEARCH("In progress",P5)))</formula>
    </cfRule>
    <cfRule type="containsText" dxfId="3" priority="20" operator="containsText" text="Sent">
      <formula>NOT(ISERROR(SEARCH("Sent",P5)))</formula>
    </cfRule>
    <cfRule type="containsText" dxfId="3" priority="21" operator="containsText" text="Invoiced">
      <formula>NOT(ISERROR(SEARCH("Invoiced",P5)))</formula>
    </cfRule>
    <cfRule type="containsText" dxfId="3" priority="22" operator="containsText" text="Quoted">
      <formula>NOT(ISERROR(SEARCH("Quoted",P5)))</formula>
    </cfRule>
    <cfRule type="containsText" dxfId="3" priority="23" operator="containsText" text="Prospect">
      <formula>NOT(ISERROR(SEARCH("Prospect",P5)))</formula>
    </cfRule>
    <cfRule type="containsText" dxfId="0" priority="24" operator="containsText" text="Draft">
      <formula>NOT(ISERROR(SEARCH("Draft",P5)))</formula>
    </cfRule>
    <cfRule type="containsText" dxfId="0" priority="25" operator="containsText" text="Enquiry">
      <formula>NOT(ISERROR(SEARCH("Enquiry",P5)))</formula>
    </cfRule>
    <cfRule type="containsText" dxfId="0" priority="26" operator="containsText" text="Pending">
      <formula>NOT(ISERROR(SEARCH("Pending",P5)))</formula>
    </cfRule>
    <cfRule type="containsText" dxfId="0" priority="27" operator="containsText" text="Part paid">
      <formula>NOT(ISERROR(SEARCH("Part paid",P5)))</formula>
    </cfRule>
    <cfRule type="containsText" dxfId="0" priority="28" operator="containsText" text="Followed up">
      <formula>NOT(ISERROR(SEARCH("Followed up",P5)))</formula>
    </cfRule>
    <cfRule type="containsText" dxfId="0" priority="29" operator="containsText" text="Low stock">
      <formula>NOT(ISERROR(SEARCH("Low stock",P5)))</formula>
    </cfRule>
    <cfRule type="containsText" dxfId="0" priority="30" operator="containsText" text="Due soon">
      <formula>NOT(ISERROR(SEARCH("Due soon",P5)))</formula>
    </cfRule>
    <cfRule type="containsText" dxfId="0" priority="31" operator="containsText" text="On hold">
      <formula>NOT(ISERROR(SEARCH("On hold",P5)))</formula>
    </cfRule>
    <cfRule type="containsText" dxfId="0" priority="32" operator="containsText" text="Unassigned">
      <formula>NOT(ISERROR(SEARCH("Unassigned",P5)))</formula>
    </cfRule>
    <cfRule type="containsText" dxfId="2" priority="33" operator="containsText" text="Overdue">
      <formula>NOT(ISERROR(SEARCH("Overdue",P5)))</formula>
    </cfRule>
    <cfRule type="containsText" dxfId="2" priority="34" operator="containsText" text="Cancelled">
      <formula>NOT(ISERROR(SEARCH("Cancelled",P5)))</formula>
    </cfRule>
    <cfRule type="containsText" dxfId="2" priority="35" operator="containsText" text="Declined">
      <formula>NOT(ISERROR(SEARCH("Declined",P5)))</formula>
    </cfRule>
    <cfRule type="containsText" dxfId="2" priority="36" operator="containsText" text="Lost">
      <formula>NOT(ISERROR(SEARCH("Lost",P5)))</formula>
    </cfRule>
    <cfRule type="containsText" dxfId="2" priority="37" operator="containsText" text="No access">
      <formula>NOT(ISERROR(SEARCH("No access",P5)))</formula>
    </cfRule>
    <cfRule type="containsText" dxfId="2" priority="38" operator="containsText" text="Out of stock">
      <formula>NOT(ISERROR(SEARCH("Out of stock",P5)))</formula>
    </cfRule>
    <cfRule type="containsText" dxfId="2" priority="39" operator="containsText" text="Written off">
      <formula>NOT(ISERROR(SEARCH("Written off",P5)))</formula>
    </cfRule>
    <cfRule type="containsText" dxfId="2" priority="40" operator="containsText" text="Expired">
      <formula>NOT(ISERROR(SEARCH("Expired",P5)))</formula>
    </cfRule>
    <cfRule type="containsText" dxfId="4" priority="41" operator="containsText" text="Inactive">
      <formula>NOT(ISERROR(SEARCH("Inactive",P5)))</formula>
    </cfRule>
    <cfRule type="containsText" dxfId="4" priority="42" operator="containsText" text="Archived">
      <formula>NOT(ISERROR(SEARCH("Archived",P5)))</formula>
    </cfRule>
    <cfRule type="containsText" dxfId="4" priority="43" operator="containsText" text="Not needed">
      <formula>NOT(ISERROR(SEARCH("Not needed",P5)))</formula>
    </cfRule>
  </conditionalFormatting>
  <conditionalFormatting sqref="R5:R84">
    <cfRule type="beginsWith" dxfId="1" priority="44" operator="beginsWith" text="OK">
      <formula>LEFT(R5,2)="OK"</formula>
    </cfRule>
    <cfRule type="containsText" dxfId="2" priority="45" operator="containsText" text="Overdue">
      <formula>NOT(ISERROR(SEARCH("Overdue",R5)))</formula>
    </cfRule>
    <cfRule type="containsText" dxfId="2" priority="46" operator="containsText" text="Late">
      <formula>NOT(ISERROR(SEARCH("Late",R5)))</formula>
    </cfRule>
    <cfRule type="containsText" dxfId="2" priority="47" operator="containsText" text="Missing">
      <formula>NOT(ISERROR(SEARCH("Missing",R5)))</formula>
    </cfRule>
    <cfRule type="containsText" dxfId="2" priority="48" operator="containsText" text="Conflict">
      <formula>NOT(ISERROR(SEARCH("Conflict",R5)))</formula>
    </cfRule>
    <cfRule type="containsText" dxfId="2" priority="49" operator="containsText" text="Clash">
      <formula>NOT(ISERROR(SEARCH("Clash",R5)))</formula>
    </cfRule>
    <cfRule type="containsText" dxfId="2" priority="50" operator="containsText" text="Expired">
      <formula>NOT(ISERROR(SEARCH("Expired",R5)))</formula>
    </cfRule>
    <cfRule type="containsText" dxfId="2" priority="51" operator="containsText" text="Duplicate">
      <formula>NOT(ISERROR(SEARCH("Duplicate",R5)))</formula>
    </cfRule>
    <cfRule type="containsText" dxfId="2" priority="52" operator="containsText" text="Unpaid">
      <formula>NOT(ISERROR(SEARCH("Unpaid",R5)))</formula>
    </cfRule>
    <cfRule type="containsText" dxfId="2" priority="53" operator="containsText" text="Loss">
      <formula>NOT(ISERROR(SEARCH("Loss",R5)))</formula>
    </cfRule>
    <cfRule type="containsText" dxfId="2" priority="54" operator="containsText" text="Below">
      <formula>NOT(ISERROR(SEARCH("Below",R5)))</formula>
    </cfRule>
    <cfRule type="containsText" dxfId="0" priority="55" operator="containsText" text="Action">
      <formula>NOT(ISERROR(SEARCH("Action",R5)))</formula>
    </cfRule>
    <cfRule type="containsText" dxfId="0" priority="56" operator="containsText" text="Due">
      <formula>NOT(ISERROR(SEARCH("Due",R5)))</formula>
    </cfRule>
    <cfRule type="containsText" dxfId="0" priority="57" operator="containsText" text="Check">
      <formula>NOT(ISERROR(SEARCH("Check",R5)))</formula>
    </cfRule>
    <cfRule type="containsText" dxfId="0" priority="58" operator="containsText" text="Chase">
      <formula>NOT(ISERROR(SEARCH("Chase",R5)))</formula>
    </cfRule>
    <cfRule type="containsText" dxfId="0" priority="59" operator="containsText" text="Assign">
      <formula>NOT(ISERROR(SEARCH("Assign",R5)))</formula>
    </cfRule>
    <cfRule type="containsText" dxfId="0" priority="60" operator="containsText" text="Confirm">
      <formula>NOT(ISERROR(SEARCH("Confirm",R5)))</formula>
    </cfRule>
    <cfRule type="containsText" dxfId="0" priority="61" operator="containsText" text="Order">
      <formula>NOT(ISERROR(SEARCH("Order",R5)))</formula>
    </cfRule>
    <cfRule type="containsText" dxfId="3" priority="62" operator="containsText" text="Today">
      <formula>NOT(ISERROR(SEARCH("Today",R5)))</formula>
    </cfRule>
    <cfRule type="containsText" dxfId="3" priority="63" operator="containsText" text="Upcoming">
      <formula>NOT(ISERROR(SEARCH("Upcoming",R5)))</formula>
    </cfRule>
    <cfRule type="containsText" dxfId="3" priority="64" operator="containsText" text="Tomorrow">
      <formula>NOT(ISERROR(SEARCH("Tomorrow",R5)))</formula>
    </cfRule>
  </conditionalFormatting>
  <dataValidations count="7">
    <dataValidation type="list" allowBlank="1" showInputMessage="1" showErrorMessage="1" promptTitle="Document" prompt="Pick the type, or type your own. One row per document per person." sqref="B5:B84">
      <formula1>SafetyDocList</formula1>
    </dataValidation>
    <dataValidation type="list" allowBlank="1" showInputMessage="1" showErrorMessage="1" promptTitle="Person" prompt="Leave blank for a business-wide document." sqref="D5:D84">
      <formula1>EmployeeNames</formula1>
    </dataValidation>
    <dataValidation type="date" allowBlank="1" showInputMessage="1" showErrorMessage="1" errorTitle="Check the date" error="Enter a real date between 2000 and 2100." sqref="G5:G84">
      <formula1>36526</formula1>
      <formula2>73415</formula2>
    </dataValidation>
    <dataValidation type="date" allowBlank="1" showInputMessage="1" showErrorMessage="1" errorTitle="Check the date" error="Enter a real date between 2000 and 2100." promptTitle="Expires" prompt="The whole point of the tab. Leave blank for a document that does not expire." sqref="H5:H84">
      <formula1>36526</formula1>
      <formula2>73415</formula2>
    </dataValidation>
    <dataValidation type="decimal" allowBlank="1" showInputMessage="1" showErrorMessage="1" errorTitle="Check the value" error="Enter a number between 0 and 1000000." sqref="I5:I84">
      <formula1>0</formula1>
      <formula2>1000000</formula2>
    </dataValidation>
    <dataValidation type="list" allowBlank="1" showInputMessage="1" showErrorMessage="1" promptTitle="Required?" prompt="Some documents are legally required, some are asked for by clients, some are neither." sqref="L5:L84">
      <formula1>YesNoNAList</formula1>
    </dataValidation>
    <dataValidation type="date" allowBlank="1" showInputMessage="1" showErrorMessage="1" errorTitle="Check the date" error="Enter a real date between 2000 and 2100." promptTitle="Last reviewed" prompt="Risk assessments and method statements should be looked at again every year, not just filed." sqref="M5:M84">
      <formula1>36526</formula1>
      <formula2>73415</formula2>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 ref="M3" location="Invoices!A1" display="&gt; Invoices"/>
    <hyperlink ref="O3" location="Employees!A1" display="&gt; Staff"/>
    <hyperlink ref="Q3" location="Help!A1" display="&gt; Help"/>
  </hyperlinks>
  <pageMargins left="0.4" right="0.4" top="0.6" bottom="0.5" header="0.3" footer="0.3"/>
  <pageSetup paperSize="9" fitToHeight="0" orientation="landscape"/>
  <headerFooter>
    <oddHeader>&amp;L&amp;"Calibri,Bold"&amp;12&amp;C&amp;"Calibri,Bold"&amp;11Safety&amp;R&amp;"Calibri,Italic"&amp;9Cleaning Business CRM &amp; Pricing Calculator</oddHeader>
    <oddFooter>&amp;L&amp;"Calibri,Italic"&amp;8Novality Store - v1.0.0&amp;C&amp;"Calibri,Italic"&amp;8Page &amp;P of &amp;N&amp;R&amp;"Calibri,Italic"&amp;8&amp;D</oddFooter>
  </headerFooter>
  <legacyDrawing r:id="rId1"/>
</worksheet>
</file>

<file path=xl/worksheets/sheet31.xml><?xml version="1.0" encoding="utf-8"?>
<worksheet xmlns="http://schemas.openxmlformats.org/spreadsheetml/2006/main" xmlns:r="http://schemas.openxmlformats.org/officeDocument/2006/relationships">
  <sheetPr>
    <tabColor rgb="FF2F8F9D"/>
    <pageSetUpPr fitToPage="1"/>
  </sheetPr>
  <dimension ref="A1:L67"/>
  <sheetViews>
    <sheetView showGridLines="0" workbookViewId="0">
      <pane ySplit="4" topLeftCell="A5" activePane="bottomLeft" state="frozen"/>
      <selection pane="bottomLeft"/>
    </sheetView>
  </sheetViews>
  <sheetFormatPr defaultRowHeight="15"/>
  <cols>
    <col min="1" max="1" width="3.2109375" customWidth="1"/>
    <col min="2" max="2" width="32.7109375" style="11" customWidth="1"/>
    <col min="3" max="3" width="10.7109375" style="11" customWidth="1"/>
    <col min="4" max="4" width="15.7109375" customWidth="1"/>
    <col min="5" max="5" width="14.7109375" customWidth="1"/>
    <col min="6" max="12" width="14.7109375" customWidth="1"/>
    <col min="2" max="2" width="10.7109375" customWidth="1"/>
    <col min="3" max="3" width="13.7109375" customWidth="1"/>
    <col min="4" max="4" width="13.7109375" customWidth="1"/>
    <col min="5" max="5" width="13.7109375" customWidth="1"/>
    <col min="6" max="6" width="12.7109375" customWidth="1"/>
    <col min="7" max="7" width="12.7109375" customWidth="1"/>
    <col min="8" max="8" width="14.7109375" customWidth="1"/>
    <col min="9" max="9" width="12.7109375" customWidth="1"/>
    <col min="2" max="2" width="30.7109375" customWidth="1"/>
    <col min="3" max="3" width="15.7109375" customWidth="1"/>
    <col min="4" max="4" width="15.7109375" customWidth="1"/>
    <col min="5" max="5" width="15.7109375" customWidth="1"/>
    <col min="6" max="6" width="15.7109375" customWidth="1"/>
    <col min="7" max="7" width="14.7109375" customWidth="1"/>
    <col min="2" max="2" width="28.7109375" customWidth="1"/>
    <col min="3" max="3" width="15.7109375" customWidth="1"/>
    <col min="4" max="4" width="54.7109375" customWidth="1"/>
  </cols>
  <sheetData>
    <row r="1" spans="1:12" ht="34" customHeight="1">
      <c r="A1" s="2" t="s">
        <v>2121</v>
      </c>
      <c r="B1" s="2"/>
      <c r="C1" s="2"/>
      <c r="D1" s="2"/>
      <c r="E1" s="2"/>
      <c r="F1" s="2"/>
      <c r="G1" s="2"/>
      <c r="H1" s="2"/>
      <c r="I1" s="2"/>
      <c r="J1" s="3" t="s">
        <v>1</v>
      </c>
      <c r="K1" s="3"/>
      <c r="L1" s="3"/>
    </row>
    <row r="2" spans="1:12" ht="18" customHeight="1">
      <c r="A2" s="4" t="s">
        <v>2122</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338</v>
      </c>
      <c r="L3" s="5"/>
    </row>
    <row r="5" spans="1:12" ht="20" customHeight="1">
      <c r="A5" s="7" t="s">
        <v>2123</v>
      </c>
      <c r="B5" s="7"/>
      <c r="C5" s="7"/>
      <c r="D5" s="7"/>
      <c r="E5" s="7"/>
      <c r="F5" s="7"/>
      <c r="G5" s="7"/>
      <c r="H5" s="7"/>
      <c r="I5" s="7"/>
      <c r="J5" s="7"/>
      <c r="K5" s="7"/>
      <c r="L5" s="7"/>
    </row>
    <row r="6" spans="1:12" ht="30" customHeight="1">
      <c r="B6" s="6" t="s">
        <v>2124</v>
      </c>
      <c r="C6" s="6"/>
      <c r="D6" s="6"/>
      <c r="E6" s="6"/>
      <c r="F6" s="6"/>
      <c r="G6" s="6"/>
      <c r="H6" s="6"/>
      <c r="I6" s="6"/>
      <c r="J6" s="6"/>
      <c r="K6" s="6"/>
      <c r="L6" s="6"/>
    </row>
    <row r="7" spans="1:12">
      <c r="B7" s="10" t="s">
        <v>2125</v>
      </c>
      <c r="C7" s="10"/>
      <c r="D7" s="19">
        <v>1800</v>
      </c>
      <c r="E7" s="12" t="s">
        <v>2126</v>
      </c>
      <c r="F7" s="12"/>
      <c r="G7" s="12"/>
      <c r="H7" s="12"/>
    </row>
    <row r="8" spans="1:12">
      <c r="B8" s="10" t="s">
        <v>356</v>
      </c>
      <c r="C8" s="10"/>
      <c r="D8" s="21">
        <f>IFERROR((SUMIFS(Jobs!$AJ$5:$AJ$604,Jobs!$P$5:$P$604,"Completed")+SUMIFS(Jobs!$AJ$5:$AJ$604,Jobs!$P$5:$P$604,"Invoiced"))/(COUNTIF(Jobs!$P$5:$P$604,"Completed")+COUNTIF(Jobs!$P$5:$P$604,"Invoiced")),MinimumCharge)</f>
        <v>0</v>
      </c>
      <c r="E8" s="12" t="s">
        <v>2127</v>
      </c>
      <c r="F8" s="12"/>
      <c r="G8" s="12"/>
      <c r="H8" s="12"/>
    </row>
    <row r="9" spans="1:12">
      <c r="B9" s="10" t="s">
        <v>2128</v>
      </c>
      <c r="C9" s="10"/>
      <c r="D9" s="34">
        <f>IFERROR(AVERAGEIFS(Jobs!$AD$5:$AD$604,Jobs!$AD$5:$AD$604,"&gt;0"),2)</f>
        <v>0</v>
      </c>
    </row>
    <row r="10" spans="1:12">
      <c r="B10" s="10" t="s">
        <v>2129</v>
      </c>
      <c r="C10" s="10"/>
      <c r="D10" s="21">
        <f>ROUND(FpAvgHours*(CostPerHour+SuppliesPerHour),2)</f>
        <v>0</v>
      </c>
      <c r="E10" s="12" t="s">
        <v>2130</v>
      </c>
      <c r="F10" s="12"/>
      <c r="G10" s="12"/>
      <c r="H10" s="12"/>
    </row>
    <row r="11" spans="1:12">
      <c r="B11" s="10" t="s">
        <v>2131</v>
      </c>
      <c r="C11" s="10"/>
      <c r="D11" s="21">
        <f>FpAvgJob-FpVarCost</f>
        <v>0</v>
      </c>
      <c r="E11" s="12" t="s">
        <v>2132</v>
      </c>
      <c r="F11" s="12"/>
      <c r="G11" s="12"/>
      <c r="H11" s="12"/>
    </row>
    <row r="12" spans="1:12">
      <c r="B12" s="10" t="s">
        <v>2133</v>
      </c>
      <c r="C12" s="10"/>
      <c r="D12" s="31">
        <f>IF(FpContribution&lt;=0,"Never - the price is too low",ROUNDUP(FpFixed/FpContribution,0))</f>
        <v>0</v>
      </c>
    </row>
    <row r="13" spans="1:12">
      <c r="B13" s="10" t="s">
        <v>2134</v>
      </c>
      <c r="C13" s="10"/>
      <c r="D13" s="36">
        <f>IF(FpContribution&lt;=0,"",ROUNDUP(FpFixed/FpContribution,0)*FpAvgJob)</f>
        <v>0</v>
      </c>
    </row>
    <row r="14" spans="1:12">
      <c r="B14" s="10" t="s">
        <v>2135</v>
      </c>
      <c r="C14" s="10"/>
      <c r="D14" s="34">
        <f>IF(FpContribution&lt;=0,"",ROUNDUP(FpFixed/FpContribution,0)*FpAvgHours)</f>
        <v>0</v>
      </c>
    </row>
    <row r="15" spans="1:12">
      <c r="B15" s="10" t="s">
        <v>2136</v>
      </c>
      <c r="C15" s="10"/>
      <c r="D15" s="31">
        <f>ROUND((COUNTIFS(Jobs!$B$5:$B$604,"&gt;="&amp;TodayDate-90,Jobs!$B$5:$B$604,"&lt;="&amp;TodayDate,Jobs!$P$5:$P$604,"Completed")+COUNTIFS(Jobs!$B$5:$B$604,"&gt;="&amp;TodayDate-90,Jobs!$B$5:$B$604,"&lt;="&amp;TodayDate,Jobs!$P$5:$P$604,"Invoiced"))/3,0)</f>
        <v>0</v>
      </c>
      <c r="E15" s="12" t="s">
        <v>2137</v>
      </c>
      <c r="F15" s="12"/>
      <c r="G15" s="12"/>
      <c r="H15" s="12"/>
    </row>
    <row r="16" spans="1:12">
      <c r="B16" s="10" t="s">
        <v>2138</v>
      </c>
      <c r="C16" s="10"/>
      <c r="D16" s="23">
        <f>IF(FpContribution&lt;=0,"Put the price up - every job loses money",IF(FpJobsNow&gt;=FpBreakEvenJobs,"Covered - you are "&amp;(FpJobsNow-FpBreakEvenJobs)&amp;" jobs a month past break-even","Short by "&amp;(FpBreakEvenJobs-FpJobsNow)&amp;" jobs a month"))</f>
        <v>0</v>
      </c>
      <c r="E16" s="23"/>
      <c r="F16" s="23"/>
      <c r="G16" s="23"/>
      <c r="H16" s="23"/>
    </row>
    <row r="19" spans="1:12" ht="20" customHeight="1">
      <c r="A19" s="7" t="s">
        <v>2139</v>
      </c>
      <c r="B19" s="7"/>
      <c r="C19" s="7"/>
      <c r="D19" s="7"/>
      <c r="E19" s="7"/>
      <c r="F19" s="7"/>
      <c r="G19" s="7"/>
      <c r="H19" s="7"/>
      <c r="I19" s="7"/>
      <c r="J19" s="7"/>
      <c r="K19" s="7"/>
      <c r="L19" s="7"/>
    </row>
    <row r="20" spans="1:12" ht="26" customHeight="1">
      <c r="B20" s="8" t="s">
        <v>340</v>
      </c>
      <c r="C20" s="9" t="s">
        <v>2140</v>
      </c>
      <c r="D20" s="9" t="s">
        <v>413</v>
      </c>
      <c r="E20" s="9" t="s">
        <v>2141</v>
      </c>
      <c r="F20" s="9" t="s">
        <v>415</v>
      </c>
      <c r="G20" s="9" t="s">
        <v>407</v>
      </c>
      <c r="H20" s="9" t="s">
        <v>2142</v>
      </c>
      <c r="I20" s="9" t="s">
        <v>2143</v>
      </c>
    </row>
    <row r="21" spans="1:12">
      <c r="B21" s="23">
        <f>TEXT(DATE(PlanYear,1,1),"mmm")</f>
        <v>0</v>
      </c>
      <c r="C21" s="36">
        <f>MonthlyRevenueTarget</f>
        <v>0</v>
      </c>
      <c r="D21" s="36">
        <f>SUMIFS(Jobs!$AJ$5:$AJ$604,Jobs!$E$5:$E$604,TEXT(DATE(PlanYear,1,1),"yyyy-mm"),Jobs!$P$5:$P$604,"Completed")+SUMIFS(Jobs!$AJ$5:$AJ$604,Jobs!$E$5:$E$604,TEXT(DATE(PlanYear,1,1),"yyyy-mm"),Jobs!$P$5:$P$604,"Invoiced")</f>
        <v>0</v>
      </c>
      <c r="E21" s="36">
        <f>D21-C21</f>
        <v>0</v>
      </c>
      <c r="F21" s="36">
        <f>SUMIFS(Expenses!$Q$5:$Q$404,Expenses!$C$5:$C$404,TEXT(DATE(PlanYear,1,1),"yyyy-mm"))</f>
        <v>0</v>
      </c>
      <c r="G21" s="36">
        <f>D21-F21</f>
        <v>0</v>
      </c>
      <c r="H21" s="36">
        <f>G21</f>
        <v>0</v>
      </c>
      <c r="I21" s="39">
        <f>IF(D21=0,"",IF(D21&gt;=C21,"Yes","No"))</f>
        <v>0</v>
      </c>
    </row>
    <row r="22" spans="1:12">
      <c r="B22" s="23">
        <f>TEXT(DATE(PlanYear,2,1),"mmm")</f>
        <v>0</v>
      </c>
      <c r="C22" s="36">
        <f>MonthlyRevenueTarget</f>
        <v>0</v>
      </c>
      <c r="D22" s="36">
        <f>SUMIFS(Jobs!$AJ$5:$AJ$604,Jobs!$E$5:$E$604,TEXT(DATE(PlanYear,2,1),"yyyy-mm"),Jobs!$P$5:$P$604,"Completed")+SUMIFS(Jobs!$AJ$5:$AJ$604,Jobs!$E$5:$E$604,TEXT(DATE(PlanYear,2,1),"yyyy-mm"),Jobs!$P$5:$P$604,"Invoiced")</f>
        <v>0</v>
      </c>
      <c r="E22" s="36">
        <f>D22-C22</f>
        <v>0</v>
      </c>
      <c r="F22" s="36">
        <f>SUMIFS(Expenses!$Q$5:$Q$404,Expenses!$C$5:$C$404,TEXT(DATE(PlanYear,2,1),"yyyy-mm"))</f>
        <v>0</v>
      </c>
      <c r="G22" s="36">
        <f>D22-F22</f>
        <v>0</v>
      </c>
      <c r="H22" s="36">
        <f>H21+G22</f>
        <v>0</v>
      </c>
      <c r="I22" s="39">
        <f>IF(D22=0,"",IF(D22&gt;=C22,"Yes","No"))</f>
        <v>0</v>
      </c>
    </row>
    <row r="23" spans="1:12">
      <c r="B23" s="23">
        <f>TEXT(DATE(PlanYear,3,1),"mmm")</f>
        <v>0</v>
      </c>
      <c r="C23" s="36">
        <f>MonthlyRevenueTarget</f>
        <v>0</v>
      </c>
      <c r="D23" s="36">
        <f>SUMIFS(Jobs!$AJ$5:$AJ$604,Jobs!$E$5:$E$604,TEXT(DATE(PlanYear,3,1),"yyyy-mm"),Jobs!$P$5:$P$604,"Completed")+SUMIFS(Jobs!$AJ$5:$AJ$604,Jobs!$E$5:$E$604,TEXT(DATE(PlanYear,3,1),"yyyy-mm"),Jobs!$P$5:$P$604,"Invoiced")</f>
        <v>0</v>
      </c>
      <c r="E23" s="36">
        <f>D23-C23</f>
        <v>0</v>
      </c>
      <c r="F23" s="36">
        <f>SUMIFS(Expenses!$Q$5:$Q$404,Expenses!$C$5:$C$404,TEXT(DATE(PlanYear,3,1),"yyyy-mm"))</f>
        <v>0</v>
      </c>
      <c r="G23" s="36">
        <f>D23-F23</f>
        <v>0</v>
      </c>
      <c r="H23" s="36">
        <f>H22+G23</f>
        <v>0</v>
      </c>
      <c r="I23" s="39">
        <f>IF(D23=0,"",IF(D23&gt;=C23,"Yes","No"))</f>
        <v>0</v>
      </c>
    </row>
    <row r="24" spans="1:12">
      <c r="B24" s="23">
        <f>TEXT(DATE(PlanYear,4,1),"mmm")</f>
        <v>0</v>
      </c>
      <c r="C24" s="36">
        <f>MonthlyRevenueTarget</f>
        <v>0</v>
      </c>
      <c r="D24" s="36">
        <f>SUMIFS(Jobs!$AJ$5:$AJ$604,Jobs!$E$5:$E$604,TEXT(DATE(PlanYear,4,1),"yyyy-mm"),Jobs!$P$5:$P$604,"Completed")+SUMIFS(Jobs!$AJ$5:$AJ$604,Jobs!$E$5:$E$604,TEXT(DATE(PlanYear,4,1),"yyyy-mm"),Jobs!$P$5:$P$604,"Invoiced")</f>
        <v>0</v>
      </c>
      <c r="E24" s="36">
        <f>D24-C24</f>
        <v>0</v>
      </c>
      <c r="F24" s="36">
        <f>SUMIFS(Expenses!$Q$5:$Q$404,Expenses!$C$5:$C$404,TEXT(DATE(PlanYear,4,1),"yyyy-mm"))</f>
        <v>0</v>
      </c>
      <c r="G24" s="36">
        <f>D24-F24</f>
        <v>0</v>
      </c>
      <c r="H24" s="36">
        <f>H23+G24</f>
        <v>0</v>
      </c>
      <c r="I24" s="39">
        <f>IF(D24=0,"",IF(D24&gt;=C24,"Yes","No"))</f>
        <v>0</v>
      </c>
    </row>
    <row r="25" spans="1:12">
      <c r="B25" s="23">
        <f>TEXT(DATE(PlanYear,5,1),"mmm")</f>
        <v>0</v>
      </c>
      <c r="C25" s="36">
        <f>MonthlyRevenueTarget</f>
        <v>0</v>
      </c>
      <c r="D25" s="36">
        <f>SUMIFS(Jobs!$AJ$5:$AJ$604,Jobs!$E$5:$E$604,TEXT(DATE(PlanYear,5,1),"yyyy-mm"),Jobs!$P$5:$P$604,"Completed")+SUMIFS(Jobs!$AJ$5:$AJ$604,Jobs!$E$5:$E$604,TEXT(DATE(PlanYear,5,1),"yyyy-mm"),Jobs!$P$5:$P$604,"Invoiced")</f>
        <v>0</v>
      </c>
      <c r="E25" s="36">
        <f>D25-C25</f>
        <v>0</v>
      </c>
      <c r="F25" s="36">
        <f>SUMIFS(Expenses!$Q$5:$Q$404,Expenses!$C$5:$C$404,TEXT(DATE(PlanYear,5,1),"yyyy-mm"))</f>
        <v>0</v>
      </c>
      <c r="G25" s="36">
        <f>D25-F25</f>
        <v>0</v>
      </c>
      <c r="H25" s="36">
        <f>H24+G25</f>
        <v>0</v>
      </c>
      <c r="I25" s="39">
        <f>IF(D25=0,"",IF(D25&gt;=C25,"Yes","No"))</f>
        <v>0</v>
      </c>
    </row>
    <row r="26" spans="1:12">
      <c r="B26" s="23">
        <f>TEXT(DATE(PlanYear,6,1),"mmm")</f>
        <v>0</v>
      </c>
      <c r="C26" s="36">
        <f>MonthlyRevenueTarget</f>
        <v>0</v>
      </c>
      <c r="D26" s="36">
        <f>SUMIFS(Jobs!$AJ$5:$AJ$604,Jobs!$E$5:$E$604,TEXT(DATE(PlanYear,6,1),"yyyy-mm"),Jobs!$P$5:$P$604,"Completed")+SUMIFS(Jobs!$AJ$5:$AJ$604,Jobs!$E$5:$E$604,TEXT(DATE(PlanYear,6,1),"yyyy-mm"),Jobs!$P$5:$P$604,"Invoiced")</f>
        <v>0</v>
      </c>
      <c r="E26" s="36">
        <f>D26-C26</f>
        <v>0</v>
      </c>
      <c r="F26" s="36">
        <f>SUMIFS(Expenses!$Q$5:$Q$404,Expenses!$C$5:$C$404,TEXT(DATE(PlanYear,6,1),"yyyy-mm"))</f>
        <v>0</v>
      </c>
      <c r="G26" s="36">
        <f>D26-F26</f>
        <v>0</v>
      </c>
      <c r="H26" s="36">
        <f>H25+G26</f>
        <v>0</v>
      </c>
      <c r="I26" s="39">
        <f>IF(D26=0,"",IF(D26&gt;=C26,"Yes","No"))</f>
        <v>0</v>
      </c>
    </row>
    <row r="27" spans="1:12">
      <c r="B27" s="23">
        <f>TEXT(DATE(PlanYear,7,1),"mmm")</f>
        <v>0</v>
      </c>
      <c r="C27" s="36">
        <f>MonthlyRevenueTarget</f>
        <v>0</v>
      </c>
      <c r="D27" s="36">
        <f>SUMIFS(Jobs!$AJ$5:$AJ$604,Jobs!$E$5:$E$604,TEXT(DATE(PlanYear,7,1),"yyyy-mm"),Jobs!$P$5:$P$604,"Completed")+SUMIFS(Jobs!$AJ$5:$AJ$604,Jobs!$E$5:$E$604,TEXT(DATE(PlanYear,7,1),"yyyy-mm"),Jobs!$P$5:$P$604,"Invoiced")</f>
        <v>0</v>
      </c>
      <c r="E27" s="36">
        <f>D27-C27</f>
        <v>0</v>
      </c>
      <c r="F27" s="36">
        <f>SUMIFS(Expenses!$Q$5:$Q$404,Expenses!$C$5:$C$404,TEXT(DATE(PlanYear,7,1),"yyyy-mm"))</f>
        <v>0</v>
      </c>
      <c r="G27" s="36">
        <f>D27-F27</f>
        <v>0</v>
      </c>
      <c r="H27" s="36">
        <f>H26+G27</f>
        <v>0</v>
      </c>
      <c r="I27" s="39">
        <f>IF(D27=0,"",IF(D27&gt;=C27,"Yes","No"))</f>
        <v>0</v>
      </c>
    </row>
    <row r="28" spans="1:12">
      <c r="B28" s="23">
        <f>TEXT(DATE(PlanYear,8,1),"mmm")</f>
        <v>0</v>
      </c>
      <c r="C28" s="36">
        <f>MonthlyRevenueTarget</f>
        <v>0</v>
      </c>
      <c r="D28" s="36">
        <f>SUMIFS(Jobs!$AJ$5:$AJ$604,Jobs!$E$5:$E$604,TEXT(DATE(PlanYear,8,1),"yyyy-mm"),Jobs!$P$5:$P$604,"Completed")+SUMIFS(Jobs!$AJ$5:$AJ$604,Jobs!$E$5:$E$604,TEXT(DATE(PlanYear,8,1),"yyyy-mm"),Jobs!$P$5:$P$604,"Invoiced")</f>
        <v>0</v>
      </c>
      <c r="E28" s="36">
        <f>D28-C28</f>
        <v>0</v>
      </c>
      <c r="F28" s="36">
        <f>SUMIFS(Expenses!$Q$5:$Q$404,Expenses!$C$5:$C$404,TEXT(DATE(PlanYear,8,1),"yyyy-mm"))</f>
        <v>0</v>
      </c>
      <c r="G28" s="36">
        <f>D28-F28</f>
        <v>0</v>
      </c>
      <c r="H28" s="36">
        <f>H27+G28</f>
        <v>0</v>
      </c>
      <c r="I28" s="39">
        <f>IF(D28=0,"",IF(D28&gt;=C28,"Yes","No"))</f>
        <v>0</v>
      </c>
    </row>
    <row r="29" spans="1:12">
      <c r="B29" s="23">
        <f>TEXT(DATE(PlanYear,9,1),"mmm")</f>
        <v>0</v>
      </c>
      <c r="C29" s="36">
        <f>MonthlyRevenueTarget</f>
        <v>0</v>
      </c>
      <c r="D29" s="36">
        <f>SUMIFS(Jobs!$AJ$5:$AJ$604,Jobs!$E$5:$E$604,TEXT(DATE(PlanYear,9,1),"yyyy-mm"),Jobs!$P$5:$P$604,"Completed")+SUMIFS(Jobs!$AJ$5:$AJ$604,Jobs!$E$5:$E$604,TEXT(DATE(PlanYear,9,1),"yyyy-mm"),Jobs!$P$5:$P$604,"Invoiced")</f>
        <v>0</v>
      </c>
      <c r="E29" s="36">
        <f>D29-C29</f>
        <v>0</v>
      </c>
      <c r="F29" s="36">
        <f>SUMIFS(Expenses!$Q$5:$Q$404,Expenses!$C$5:$C$404,TEXT(DATE(PlanYear,9,1),"yyyy-mm"))</f>
        <v>0</v>
      </c>
      <c r="G29" s="36">
        <f>D29-F29</f>
        <v>0</v>
      </c>
      <c r="H29" s="36">
        <f>H28+G29</f>
        <v>0</v>
      </c>
      <c r="I29" s="39">
        <f>IF(D29=0,"",IF(D29&gt;=C29,"Yes","No"))</f>
        <v>0</v>
      </c>
    </row>
    <row r="30" spans="1:12">
      <c r="B30" s="23">
        <f>TEXT(DATE(PlanYear,10,1),"mmm")</f>
        <v>0</v>
      </c>
      <c r="C30" s="36">
        <f>MonthlyRevenueTarget</f>
        <v>0</v>
      </c>
      <c r="D30" s="36">
        <f>SUMIFS(Jobs!$AJ$5:$AJ$604,Jobs!$E$5:$E$604,TEXT(DATE(PlanYear,10,1),"yyyy-mm"),Jobs!$P$5:$P$604,"Completed")+SUMIFS(Jobs!$AJ$5:$AJ$604,Jobs!$E$5:$E$604,TEXT(DATE(PlanYear,10,1),"yyyy-mm"),Jobs!$P$5:$P$604,"Invoiced")</f>
        <v>0</v>
      </c>
      <c r="E30" s="36">
        <f>D30-C30</f>
        <v>0</v>
      </c>
      <c r="F30" s="36">
        <f>SUMIFS(Expenses!$Q$5:$Q$404,Expenses!$C$5:$C$404,TEXT(DATE(PlanYear,10,1),"yyyy-mm"))</f>
        <v>0</v>
      </c>
      <c r="G30" s="36">
        <f>D30-F30</f>
        <v>0</v>
      </c>
      <c r="H30" s="36">
        <f>H29+G30</f>
        <v>0</v>
      </c>
      <c r="I30" s="39">
        <f>IF(D30=0,"",IF(D30&gt;=C30,"Yes","No"))</f>
        <v>0</v>
      </c>
    </row>
    <row r="31" spans="1:12">
      <c r="B31" s="23">
        <f>TEXT(DATE(PlanYear,11,1),"mmm")</f>
        <v>0</v>
      </c>
      <c r="C31" s="36">
        <f>MonthlyRevenueTarget</f>
        <v>0</v>
      </c>
      <c r="D31" s="36">
        <f>SUMIFS(Jobs!$AJ$5:$AJ$604,Jobs!$E$5:$E$604,TEXT(DATE(PlanYear,11,1),"yyyy-mm"),Jobs!$P$5:$P$604,"Completed")+SUMIFS(Jobs!$AJ$5:$AJ$604,Jobs!$E$5:$E$604,TEXT(DATE(PlanYear,11,1),"yyyy-mm"),Jobs!$P$5:$P$604,"Invoiced")</f>
        <v>0</v>
      </c>
      <c r="E31" s="36">
        <f>D31-C31</f>
        <v>0</v>
      </c>
      <c r="F31" s="36">
        <f>SUMIFS(Expenses!$Q$5:$Q$404,Expenses!$C$5:$C$404,TEXT(DATE(PlanYear,11,1),"yyyy-mm"))</f>
        <v>0</v>
      </c>
      <c r="G31" s="36">
        <f>D31-F31</f>
        <v>0</v>
      </c>
      <c r="H31" s="36">
        <f>H30+G31</f>
        <v>0</v>
      </c>
      <c r="I31" s="39">
        <f>IF(D31=0,"",IF(D31&gt;=C31,"Yes","No"))</f>
        <v>0</v>
      </c>
    </row>
    <row r="32" spans="1:12">
      <c r="B32" s="23">
        <f>TEXT(DATE(PlanYear,12,1),"mmm")</f>
        <v>0</v>
      </c>
      <c r="C32" s="36">
        <f>MonthlyRevenueTarget</f>
        <v>0</v>
      </c>
      <c r="D32" s="36">
        <f>SUMIFS(Jobs!$AJ$5:$AJ$604,Jobs!$E$5:$E$604,TEXT(DATE(PlanYear,12,1),"yyyy-mm"),Jobs!$P$5:$P$604,"Completed")+SUMIFS(Jobs!$AJ$5:$AJ$604,Jobs!$E$5:$E$604,TEXT(DATE(PlanYear,12,1),"yyyy-mm"),Jobs!$P$5:$P$604,"Invoiced")</f>
        <v>0</v>
      </c>
      <c r="E32" s="36">
        <f>D32-C32</f>
        <v>0</v>
      </c>
      <c r="F32" s="36">
        <f>SUMIFS(Expenses!$Q$5:$Q$404,Expenses!$C$5:$C$404,TEXT(DATE(PlanYear,12,1),"yyyy-mm"))</f>
        <v>0</v>
      </c>
      <c r="G32" s="36">
        <f>D32-F32</f>
        <v>0</v>
      </c>
      <c r="H32" s="36">
        <f>H31+G32</f>
        <v>0</v>
      </c>
      <c r="I32" s="39">
        <f>IF(D32=0,"",IF(D32&gt;=C32,"Yes","No"))</f>
        <v>0</v>
      </c>
    </row>
    <row r="33" spans="1:12">
      <c r="B33" s="10" t="s">
        <v>198</v>
      </c>
      <c r="C33" s="37">
        <f>SUM(C21:C32)</f>
        <v>0</v>
      </c>
      <c r="D33" s="37">
        <f>SUM(D21:D32)</f>
        <v>0</v>
      </c>
      <c r="E33" s="37">
        <f>SUM(E21:E32)</f>
        <v>0</v>
      </c>
      <c r="F33" s="37">
        <f>SUM(F21:F32)</f>
        <v>0</v>
      </c>
      <c r="G33" s="37">
        <f>SUM(G21:G32)</f>
        <v>0</v>
      </c>
      <c r="H33" s="37">
        <f>H32</f>
        <v>0</v>
      </c>
      <c r="I33" s="58">
        <f>IF(D33=0,"",TEXT(G33/D33,"0%")&amp;" margin")</f>
        <v>0</v>
      </c>
    </row>
    <row r="35" spans="1:12" ht="20" customHeight="1">
      <c r="A35" s="7" t="s">
        <v>2144</v>
      </c>
      <c r="B35" s="7"/>
      <c r="C35" s="7"/>
      <c r="D35" s="7"/>
      <c r="E35" s="7"/>
      <c r="F35" s="7"/>
      <c r="G35" s="7"/>
      <c r="H35" s="7"/>
      <c r="I35" s="7"/>
      <c r="J35" s="7"/>
      <c r="K35" s="7"/>
      <c r="L35" s="7"/>
    </row>
    <row r="36" spans="1:12" ht="26" customHeight="1">
      <c r="B36" s="6" t="s">
        <v>2145</v>
      </c>
      <c r="C36" s="6"/>
      <c r="D36" s="6"/>
      <c r="E36" s="6"/>
      <c r="F36" s="6"/>
      <c r="G36" s="6"/>
      <c r="H36" s="6"/>
      <c r="I36" s="6"/>
      <c r="J36" s="6"/>
      <c r="K36" s="6"/>
      <c r="L36" s="6"/>
    </row>
    <row r="37" spans="1:12">
      <c r="B37" s="10" t="s">
        <v>2146</v>
      </c>
      <c r="C37" s="10"/>
      <c r="D37" s="20">
        <v>0.05</v>
      </c>
    </row>
    <row r="38" spans="1:12">
      <c r="B38" s="10" t="s">
        <v>2147</v>
      </c>
      <c r="C38" s="10"/>
      <c r="D38" s="16">
        <v>2</v>
      </c>
    </row>
    <row r="39" spans="1:12">
      <c r="B39" s="10" t="s">
        <v>2148</v>
      </c>
      <c r="C39" s="10"/>
      <c r="D39" s="16">
        <v>1</v>
      </c>
    </row>
    <row r="40" spans="1:12">
      <c r="B40" s="10" t="s">
        <v>2149</v>
      </c>
      <c r="C40" s="10"/>
      <c r="D40" s="17">
        <v>4</v>
      </c>
    </row>
    <row r="42" spans="1:12" ht="26" customHeight="1">
      <c r="B42" s="8" t="s">
        <v>2150</v>
      </c>
      <c r="C42" s="9" t="s">
        <v>2151</v>
      </c>
      <c r="D42" s="9" t="s">
        <v>2152</v>
      </c>
      <c r="E42" s="9" t="s">
        <v>2153</v>
      </c>
      <c r="F42" s="9" t="s">
        <v>537</v>
      </c>
      <c r="G42" s="9" t="s">
        <v>2154</v>
      </c>
    </row>
    <row r="43" spans="1:12">
      <c r="B43" s="10" t="s">
        <v>2155</v>
      </c>
      <c r="C43" s="36">
        <f>FpJobsNow*FpAvgJob</f>
        <v>0</v>
      </c>
      <c r="D43" s="36">
        <f>FpFixed+FpJobsNow*FpVarCost</f>
        <v>0</v>
      </c>
      <c r="E43" s="36">
        <f>C43-D43</f>
        <v>0</v>
      </c>
      <c r="F43" s="36">
        <f>E43*12</f>
        <v>0</v>
      </c>
      <c r="G43" s="12" t="s">
        <v>2156</v>
      </c>
    </row>
    <row r="44" spans="1:12">
      <c r="B44" s="10" t="s">
        <v>2157</v>
      </c>
      <c r="C44" s="36">
        <f>(FpJobsNow*FpAvgJob)*(1+FpRateRise)</f>
        <v>0</v>
      </c>
      <c r="D44" s="36">
        <f>FpFixed+FpJobsNow*FpVarCost</f>
        <v>0</v>
      </c>
      <c r="E44" s="36">
        <f>C44-D44</f>
        <v>0</v>
      </c>
      <c r="F44" s="36">
        <f>E44*12</f>
        <v>0</v>
      </c>
      <c r="G44" s="36">
        <f>E44-E$43</f>
        <v>0</v>
      </c>
    </row>
    <row r="45" spans="1:12">
      <c r="B45" s="10" t="s">
        <v>2158</v>
      </c>
      <c r="C45" s="36">
        <f>(FpJobsNow*FpAvgJob)+FpNewClients*FpClientJobs*FpAvgJob</f>
        <v>0</v>
      </c>
      <c r="D45" s="36">
        <f>(FpFixed+FpJobsNow*FpVarCost)+FpNewClients*FpClientJobs*FpVarCost</f>
        <v>0</v>
      </c>
      <c r="E45" s="36">
        <f>C45-D45</f>
        <v>0</v>
      </c>
      <c r="F45" s="36">
        <f>E45*12</f>
        <v>0</v>
      </c>
      <c r="G45" s="36">
        <f>E45-E$43</f>
        <v>0</v>
      </c>
    </row>
    <row r="46" spans="1:12">
      <c r="B46" s="10" t="s">
        <v>2159</v>
      </c>
      <c r="C46" s="36">
        <f>(FpJobsNow*FpAvgJob)+FpNewStaff*ProductiveHours*21*HourlyRate*UtilisationTarget</f>
        <v>0</v>
      </c>
      <c r="D46" s="36">
        <f>(FpFixed+FpJobsNow*FpVarCost)+FpNewStaff*ProductiveHours*21*CostPerHour</f>
        <v>0</v>
      </c>
      <c r="E46" s="36">
        <f>C46-D46</f>
        <v>0</v>
      </c>
      <c r="F46" s="36">
        <f>E46*12</f>
        <v>0</v>
      </c>
      <c r="G46" s="36">
        <f>E46-E$43</f>
        <v>0</v>
      </c>
    </row>
    <row r="47" spans="1:12">
      <c r="B47" s="10" t="s">
        <v>2160</v>
      </c>
      <c r="C47" s="36">
        <f>((FpJobsNow*FpAvgJob)+FpNewClients*FpClientJobs*FpAvgJob+FpNewStaff*ProductiveHours*21*HourlyRate*UtilisationTarget)*(1+FpRateRise)</f>
        <v>0</v>
      </c>
      <c r="D47" s="36">
        <f>(FpFixed+FpJobsNow*FpVarCost)+FpNewClients*FpClientJobs*FpVarCost+FpNewStaff*ProductiveHours*21*CostPerHour</f>
        <v>0</v>
      </c>
      <c r="E47" s="36">
        <f>C47-D47</f>
        <v>0</v>
      </c>
      <c r="F47" s="36">
        <f>E47*12</f>
        <v>0</v>
      </c>
      <c r="G47" s="36">
        <f>E47-E$43</f>
        <v>0</v>
      </c>
    </row>
    <row r="49" spans="1:12">
      <c r="B49" s="12" t="s">
        <v>2161</v>
      </c>
      <c r="C49" s="12"/>
      <c r="D49" s="12"/>
      <c r="E49" s="12"/>
      <c r="F49" s="12"/>
      <c r="G49" s="12"/>
      <c r="H49" s="12"/>
      <c r="I49" s="12"/>
      <c r="J49" s="12"/>
      <c r="K49" s="12"/>
      <c r="L49" s="12"/>
    </row>
    <row r="51" spans="1:12" ht="20" customHeight="1">
      <c r="A51" s="7" t="s">
        <v>2162</v>
      </c>
      <c r="B51" s="7"/>
      <c r="C51" s="7"/>
      <c r="D51" s="7"/>
      <c r="E51" s="7"/>
      <c r="F51" s="7"/>
      <c r="G51" s="7"/>
      <c r="H51" s="7"/>
      <c r="I51" s="7"/>
      <c r="J51" s="7"/>
      <c r="K51" s="7"/>
      <c r="L51" s="7"/>
    </row>
    <row r="52" spans="1:12" ht="26" customHeight="1">
      <c r="B52" s="8" t="s">
        <v>1441</v>
      </c>
      <c r="C52" s="9" t="s">
        <v>1649</v>
      </c>
      <c r="D52" s="9" t="s">
        <v>368</v>
      </c>
    </row>
    <row r="53" spans="1:12">
      <c r="B53" s="10" t="s">
        <v>2163</v>
      </c>
      <c r="C53" s="36">
        <f>SUM(Invoices!$X$5:$X$404)</f>
        <v>0</v>
      </c>
      <c r="D53" s="23">
        <f>"Money you have earned and not received"</f>
        <v>0</v>
      </c>
      <c r="E53" s="23"/>
      <c r="F53" s="23"/>
      <c r="G53" s="23"/>
      <c r="H53" s="23"/>
      <c r="I53" s="23"/>
      <c r="J53" s="23"/>
      <c r="K53" s="23"/>
      <c r="L53" s="23"/>
    </row>
    <row r="54" spans="1:12">
      <c r="B54" s="10" t="s">
        <v>2164</v>
      </c>
      <c r="C54" s="36">
        <f>SUMIFS(Invoices!$X$5:$X$404,Invoices!$AB$5:$AB$404,"1-30 days")+SUMIFS(Invoices!$X$5:$X$404,Invoices!$AB$5:$AB$404,"31-60 days")+SUMIFS(Invoices!$X$5:$X$404,Invoices!$AB$5:$AB$404,"61-90 days")+SUMIFS(Invoices!$X$5:$X$404,Invoices!$AB$5:$AB$404,"90+ days")</f>
        <v>0</v>
      </c>
      <c r="D54" s="23">
        <f>"Past the due date. Chase today"</f>
        <v>0</v>
      </c>
      <c r="E54" s="23"/>
      <c r="F54" s="23"/>
      <c r="G54" s="23"/>
      <c r="H54" s="23"/>
      <c r="I54" s="23"/>
      <c r="J54" s="23"/>
      <c r="K54" s="23"/>
      <c r="L54" s="23"/>
    </row>
    <row r="55" spans="1:12">
      <c r="B55" s="10" t="s">
        <v>2165</v>
      </c>
      <c r="C55" s="36">
        <f>SUMIFS(Jobs!$AJ$5:$AJ$604,Jobs!$P$5:$P$604,"Completed",Jobs!$AP$5:$AP$604,"")</f>
        <v>0</v>
      </c>
      <c r="D55" s="23">
        <f>"Raise these invoices and the cash follows"</f>
        <v>0</v>
      </c>
      <c r="E55" s="23"/>
      <c r="F55" s="23"/>
      <c r="G55" s="23"/>
      <c r="H55" s="23"/>
      <c r="I55" s="23"/>
      <c r="J55" s="23"/>
      <c r="K55" s="23"/>
      <c r="L55" s="23"/>
    </row>
    <row r="56" spans="1:12">
      <c r="B56" s="10" t="s">
        <v>2166</v>
      </c>
      <c r="C56" s="36">
        <f>SUMIFS(Payments!$G$5:$G$404,Payments!$K$5:$K$404,"Yes")</f>
        <v>0</v>
      </c>
      <c r="D56" s="23">
        <f>"Money in advance - lovely, but it is not profit yet"</f>
        <v>0</v>
      </c>
      <c r="E56" s="23"/>
      <c r="F56" s="23"/>
      <c r="G56" s="23"/>
      <c r="H56" s="23"/>
      <c r="I56" s="23"/>
      <c r="J56" s="23"/>
      <c r="K56" s="23"/>
      <c r="L56" s="23"/>
    </row>
    <row r="57" spans="1:12">
      <c r="B57" s="10" t="s">
        <v>2167</v>
      </c>
      <c r="C57" s="36">
        <f>SUMIFS(Jobs!$AJ$5:$AJ$604,Jobs!$B$5:$B$604,"&gt;"&amp;TodayDate,Jobs!$P$5:$P$604,"&lt;&gt;Cancelled")</f>
        <v>0</v>
      </c>
      <c r="D57" s="23">
        <f>"The diary, in money"</f>
        <v>0</v>
      </c>
      <c r="E57" s="23"/>
      <c r="F57" s="23"/>
      <c r="G57" s="23"/>
      <c r="H57" s="23"/>
      <c r="I57" s="23"/>
      <c r="J57" s="23"/>
      <c r="K57" s="23"/>
      <c r="L57" s="23"/>
    </row>
    <row r="58" spans="1:12">
      <c r="B58" s="10" t="s">
        <v>2168</v>
      </c>
      <c r="C58" s="36">
        <f>SUMIFS(Quotes!$AB$5:$AB$204,Quotes!$K$5:$K$204,"Sent")+SUMIFS(Quotes!$AB$5:$AB$204,Quotes!$K$5:$K$204,"Followed up")</f>
        <v>0</v>
      </c>
      <c r="D58" s="23">
        <f>"Possible, not certain"</f>
        <v>0</v>
      </c>
      <c r="E58" s="23"/>
      <c r="F58" s="23"/>
      <c r="G58" s="23"/>
      <c r="H58" s="23"/>
      <c r="I58" s="23"/>
      <c r="J58" s="23"/>
      <c r="K58" s="23"/>
      <c r="L58" s="23"/>
    </row>
    <row r="59" spans="1:12">
      <c r="B59" s="10" t="s">
        <v>2169</v>
      </c>
      <c r="C59" s="36">
        <f>SUMIFS(Expenses!$Q$5:$Q$404,Expenses!$C$5:$C$404,DashKey)</f>
        <v>0</v>
      </c>
      <c r="D59" s="23">
        <f>"Against a budget of "&amp;TEXT(MonthlyExpenseBudget,"#,##0")</f>
        <v>0</v>
      </c>
      <c r="E59" s="23"/>
      <c r="F59" s="23"/>
      <c r="G59" s="23"/>
      <c r="H59" s="23"/>
      <c r="I59" s="23"/>
      <c r="J59" s="23"/>
      <c r="K59" s="23"/>
      <c r="L59" s="23"/>
    </row>
    <row r="60" spans="1:12">
      <c r="B60" s="10" t="s">
        <v>2170</v>
      </c>
      <c r="C60" s="36">
        <f>SUM(Supplies!$W$5:$W$154)</f>
        <v>0</v>
      </c>
      <c r="D60" s="23">
        <f>"Cash you have already spent, sitting in the cupboard"</f>
        <v>0</v>
      </c>
      <c r="E60" s="23"/>
      <c r="F60" s="23"/>
      <c r="G60" s="23"/>
      <c r="H60" s="23"/>
      <c r="I60" s="23"/>
      <c r="J60" s="23"/>
      <c r="K60" s="23"/>
      <c r="L60" s="23"/>
    </row>
    <row r="62" spans="1:12" ht="20" customHeight="1">
      <c r="A62" s="7" t="s">
        <v>2171</v>
      </c>
      <c r="B62" s="7"/>
      <c r="C62" s="7"/>
      <c r="D62" s="7"/>
      <c r="E62" s="7"/>
      <c r="F62" s="7"/>
      <c r="G62" s="7"/>
      <c r="H62" s="7"/>
      <c r="I62" s="7"/>
      <c r="J62" s="7"/>
      <c r="K62" s="7"/>
      <c r="L62" s="7"/>
    </row>
    <row r="63" spans="1:12">
      <c r="B63" s="10" t="s">
        <v>2172</v>
      </c>
      <c r="C63" s="10"/>
      <c r="D63" s="20">
        <v>0.25</v>
      </c>
      <c r="E63" s="12" t="s">
        <v>2173</v>
      </c>
      <c r="F63" s="12"/>
      <c r="G63" s="12"/>
      <c r="H63" s="12"/>
    </row>
    <row r="64" spans="1:12">
      <c r="B64" s="10" t="s">
        <v>2174</v>
      </c>
      <c r="C64" s="10"/>
      <c r="D64" s="36">
        <f>SUMIFS(Jobs!$AJ$5:$AJ$604,Jobs!$P$5:$P$604,"Completed",Jobs!$B$5:$B$604,"&gt;="&amp;DATE(PlanYear,1,1))+SUMIFS(Jobs!$AJ$5:$AJ$604,Jobs!$P$5:$P$604,"Invoiced",Jobs!$B$5:$B$604,"&gt;="&amp;DATE(PlanYear,1,1))-SUMIFS(Expenses!$Q$5:$Q$404,Expenses!$B$5:$B$404,"&gt;="&amp;DATE(PlanYear,1,1))</f>
        <v>0</v>
      </c>
    </row>
    <row r="65" spans="2:12">
      <c r="B65" s="10" t="s">
        <v>2175</v>
      </c>
      <c r="C65" s="10"/>
      <c r="D65" s="36">
        <f>MAX(0,ROUND(FpYearProfit*FpTaxSet,0))</f>
        <v>0</v>
      </c>
      <c r="E65" s="12" t="s">
        <v>2176</v>
      </c>
      <c r="F65" s="12"/>
      <c r="G65" s="12"/>
      <c r="H65" s="12"/>
    </row>
    <row r="67" spans="2:12" ht="40" customHeight="1">
      <c r="B67" s="6" t="s">
        <v>2177</v>
      </c>
      <c r="C67" s="6"/>
      <c r="D67" s="6"/>
      <c r="E67" s="6"/>
      <c r="F67" s="6"/>
      <c r="G67" s="6"/>
      <c r="H67" s="6"/>
      <c r="I67" s="6"/>
      <c r="J67" s="6"/>
      <c r="K67" s="6"/>
      <c r="L67" s="6"/>
    </row>
  </sheetData>
  <sheetProtection password="EC7C" sheet="1" objects="1" scenarios="1" formatCells="0" formatColumns="0" formatRows="0" insertRows="0" insertHyperlinks="0" deleteRows="0" autoFilter="0"/>
  <mergeCells count="51">
    <mergeCell ref="A1:I1"/>
    <mergeCell ref="J1:L1"/>
    <mergeCell ref="A2:L2"/>
    <mergeCell ref="A3:B3"/>
    <mergeCell ref="C3:D3"/>
    <mergeCell ref="E3:F3"/>
    <mergeCell ref="G3:H3"/>
    <mergeCell ref="I3:J3"/>
    <mergeCell ref="K3:L3"/>
    <mergeCell ref="A5:L5"/>
    <mergeCell ref="B6:L6"/>
    <mergeCell ref="B7:C7"/>
    <mergeCell ref="E7:H7"/>
    <mergeCell ref="B8:C8"/>
    <mergeCell ref="E8:H8"/>
    <mergeCell ref="B9:C9"/>
    <mergeCell ref="B10:C10"/>
    <mergeCell ref="E10:H10"/>
    <mergeCell ref="B11:C11"/>
    <mergeCell ref="E11:H11"/>
    <mergeCell ref="B12:C12"/>
    <mergeCell ref="B13:C13"/>
    <mergeCell ref="B14:C14"/>
    <mergeCell ref="B15:C15"/>
    <mergeCell ref="E15:H15"/>
    <mergeCell ref="B16:C16"/>
    <mergeCell ref="D16:H16"/>
    <mergeCell ref="A19:L19"/>
    <mergeCell ref="A35:L35"/>
    <mergeCell ref="B36:L36"/>
    <mergeCell ref="B37:C37"/>
    <mergeCell ref="B38:C38"/>
    <mergeCell ref="B39:C39"/>
    <mergeCell ref="B40:C40"/>
    <mergeCell ref="B49:L49"/>
    <mergeCell ref="A51:L51"/>
    <mergeCell ref="D53:L53"/>
    <mergeCell ref="D54:L54"/>
    <mergeCell ref="D55:L55"/>
    <mergeCell ref="D56:L56"/>
    <mergeCell ref="D57:L57"/>
    <mergeCell ref="D58:L58"/>
    <mergeCell ref="D59:L59"/>
    <mergeCell ref="D60:L60"/>
    <mergeCell ref="A62:L62"/>
    <mergeCell ref="B63:C63"/>
    <mergeCell ref="E63:H63"/>
    <mergeCell ref="B64:C64"/>
    <mergeCell ref="B65:C65"/>
    <mergeCell ref="E65:H65"/>
    <mergeCell ref="B67:L67"/>
  </mergeCells>
  <conditionalFormatting sqref="C54">
    <cfRule type="cellIs" dxfId="2" priority="11" operator="greaterThan">
      <formula>0</formula>
    </cfRule>
  </conditionalFormatting>
  <conditionalFormatting sqref="C55">
    <cfRule type="cellIs" dxfId="0" priority="12" operator="greaterThan">
      <formula>0</formula>
    </cfRule>
  </conditionalFormatting>
  <conditionalFormatting sqref="D16:H16">
    <cfRule type="containsText" dxfId="1" priority="1" operator="containsText" text="Covered">
      <formula>NOT(ISERROR(SEARCH("Covered",D16)))</formula>
    </cfRule>
    <cfRule type="containsText" dxfId="0" priority="2" operator="containsText" text="Short">
      <formula>NOT(ISERROR(SEARCH("Short",D16)))</formula>
    </cfRule>
    <cfRule type="containsText" dxfId="2" priority="3" operator="containsText" text="Put the">
      <formula>NOT(ISERROR(SEARCH("Put the",D16)))</formula>
    </cfRule>
  </conditionalFormatting>
  <conditionalFormatting sqref="D21:D32">
    <cfRule type="dataBar" priority="4">
      <dataBar>
        <cfvo type="min" val="0"/>
        <cfvo type="max" val="0"/>
        <color rgb="FF2F8F9D"/>
      </dataBar>
    </cfRule>
  </conditionalFormatting>
  <conditionalFormatting sqref="E21:E32">
    <cfRule type="cellIs" dxfId="2" priority="5" operator="lessThan">
      <formula>0</formula>
    </cfRule>
  </conditionalFormatting>
  <conditionalFormatting sqref="E43:E47">
    <cfRule type="cellIs" dxfId="2" priority="9" operator="lessThan">
      <formula>0</formula>
    </cfRule>
  </conditionalFormatting>
  <conditionalFormatting sqref="G21:G32">
    <cfRule type="cellIs" dxfId="2" priority="6" operator="lessThan">
      <formula>0</formula>
    </cfRule>
  </conditionalFormatting>
  <conditionalFormatting sqref="G44:G47">
    <cfRule type="dataBar" priority="10">
      <dataBar>
        <cfvo type="min" val="0"/>
        <cfvo type="max" val="0"/>
        <color rgb="FF4E8A63"/>
      </dataBar>
    </cfRule>
  </conditionalFormatting>
  <conditionalFormatting sqref="I21:I32">
    <cfRule type="containsText" dxfId="1" priority="7" operator="containsText" text="Yes">
      <formula>NOT(ISERROR(SEARCH("Yes",I21)))</formula>
    </cfRule>
    <cfRule type="containsText" dxfId="0" priority="8" operator="containsText" text="No">
      <formula>NOT(ISERROR(SEARCH("No",I21)))</formula>
    </cfRule>
  </conditionalFormatting>
  <dataValidations count="6">
    <dataValidation type="decimal" allowBlank="1" showInputMessage="1" showErrorMessage="1" errorTitle="Check the value" error="Enter a number between 0 and 1000000." sqref="D7">
      <formula1>0</formula1>
      <formula2>1000000</formula2>
    </dataValidation>
    <dataValidation type="decimal" allowBlank="1" showInputMessage="1" showErrorMessage="1" errorTitle="Check the value" error="Enter a number between -0.5 and 2." sqref="D37">
      <formula1>-0.5</formula1>
      <formula2>2</formula2>
    </dataValidation>
    <dataValidation type="whole" allowBlank="1" showInputMessage="1" showErrorMessage="1" errorTitle="Check the value" error="Enter a number between 0 and 500." sqref="D38">
      <formula1>0</formula1>
      <formula2>500</formula2>
    </dataValidation>
    <dataValidation type="whole" allowBlank="1" showInputMessage="1" showErrorMessage="1" errorTitle="Check the value" error="Enter a number between 0 and 100." sqref="D39">
      <formula1>0</formula1>
      <formula2>100</formula2>
    </dataValidation>
    <dataValidation type="decimal" allowBlank="1" showInputMessage="1" showErrorMessage="1" errorTitle="Check the value" error="Enter a number between 0 and 60." sqref="D40">
      <formula1>0</formula1>
      <formula2>60</formula2>
    </dataValidation>
    <dataValidation type="decimal" allowBlank="1" showInputMessage="1" showErrorMessage="1" errorTitle="Check the value" error="Enter a number between 0 and 1." sqref="D63">
      <formula1>0</formula1>
      <formula2>1</formula2>
    </dataValidation>
  </dataValidation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s>
  <pageMargins left="0.4" right="0.4" top="0.6" bottom="0.5" header="0.3" footer="0.3"/>
  <pageSetup paperSize="9" fitToHeight="0" orientation="landscape"/>
  <headerFooter>
    <oddHeader>&amp;L&amp;"Calibri,Bold"&amp;12&amp;C&amp;"Calibri,Bold"&amp;11Financial Plan&amp;R&amp;"Calibri,Italic"&amp;9Cleaning Business CRM &amp; Pricing Calculator</oddHeader>
    <oddFooter>&amp;L&amp;"Calibri,Italic"&amp;8Novality Store - v1.0.0&amp;C&amp;"Calibri,Italic"&amp;8Page &amp;P of &amp;N&amp;R&amp;"Calibri,Italic"&amp;8&amp;D</oddFooter>
  </headerFooter>
</worksheet>
</file>

<file path=xl/worksheets/sheet32.xml><?xml version="1.0" encoding="utf-8"?>
<worksheet xmlns="http://schemas.openxmlformats.org/spreadsheetml/2006/main" xmlns:r="http://schemas.openxmlformats.org/officeDocument/2006/relationships">
  <sheetPr>
    <tabColor rgb="FF14616B"/>
    <pageSetUpPr fitToPage="1"/>
  </sheetPr>
  <dimension ref="A1:L111"/>
  <sheetViews>
    <sheetView showGridLines="0" workbookViewId="0">
      <pane ySplit="4" topLeftCell="A5" activePane="bottomLeft" state="frozen"/>
      <selection pane="bottomLeft"/>
    </sheetView>
  </sheetViews>
  <sheetFormatPr defaultRowHeight="15"/>
  <cols>
    <col min="1" max="1" width="26.7109375" customWidth="1"/>
    <col min="2" max="2" width="13.7109375" customWidth="1"/>
    <col min="3" max="3" width="13.7109375" customWidth="1"/>
    <col min="4" max="4" width="13.7109375" customWidth="1"/>
    <col min="5" max="5" width="13.7109375" customWidth="1"/>
    <col min="6" max="6" width="13.7109375" customWidth="1"/>
    <col min="7" max="7" width="13.7109375" customWidth="1"/>
    <col min="8" max="8" width="13.7109375" customWidth="1"/>
    <col min="9" max="9" width="13.7109375" customWidth="1"/>
    <col min="10" max="10" width="13.7109375" customWidth="1"/>
    <col min="11" max="11" width="13.7109375" customWidth="1"/>
    <col min="12" max="12" width="13.7109375" customWidth="1"/>
    <col min="1" max="1" width="26.7109375" customWidth="1"/>
    <col min="2" max="2" width="12.7109375" customWidth="1"/>
    <col min="3" max="3" width="13.7109375" customWidth="1"/>
    <col min="4" max="4" width="10.7109375" customWidth="1"/>
    <col min="5" max="5" width="13.7109375" customWidth="1"/>
    <col min="6" max="6" width="10.7109375" customWidth="1"/>
    <col min="7" max="7" width="12.7109375" customWidth="1"/>
    <col min="8" max="8" width="12.7109375" customWidth="1"/>
    <col min="1" max="1" width="24.7109375" customWidth="1"/>
    <col min="2" max="2" width="11.7109375" customWidth="1"/>
    <col min="3" max="3" width="10.7109375" customWidth="1"/>
    <col min="4" max="4" width="14.7109375" customWidth="1"/>
    <col min="5" max="5" width="13.7109375" customWidth="1"/>
    <col min="6" max="6" width="15.7109375" customWidth="1"/>
    <col min="1" max="1" width="24.7109375" customWidth="1"/>
    <col min="2" max="2" width="11.7109375" customWidth="1"/>
    <col min="3" max="3" width="9.7109375" customWidth="1"/>
    <col min="4" max="4" width="9.7109375" customWidth="1"/>
    <col min="5" max="5" width="10.7109375" customWidth="1"/>
    <col min="6" max="6" width="12.7109375" customWidth="1"/>
    <col min="7" max="7" width="16.7109375" customWidth="1"/>
    <col min="1" max="1" width="26.7109375" customWidth="1"/>
    <col min="2" max="2" width="14.7109375" customWidth="1"/>
    <col min="3" max="3" width="58.7109375" customWidth="1"/>
    <col min="1" max="1" width="26.7109375" customWidth="1"/>
    <col min="2" max="2" width="14.7109375" customWidth="1"/>
    <col min="3" max="3" width="58.7109375" customWidth="1"/>
    <col min="1" max="1" width="26.7109375" customWidth="1"/>
    <col min="2" max="2" width="14.7109375" customWidth="1"/>
    <col min="3" max="3" width="14.7109375" customWidth="1"/>
    <col min="4" max="4" width="10.7109375" customWidth="1"/>
    <col min="5" max="5" width="15.7109375" customWidth="1"/>
    <col min="1" max="1" width="18.7109375" customWidth="1"/>
    <col min="2" max="2" width="11.7109375" customWidth="1"/>
    <col min="3" max="3" width="14.7109375" customWidth="1"/>
    <col min="4" max="4" width="56.7109375" customWidth="1"/>
  </cols>
  <sheetData>
    <row r="1" spans="1:12" ht="34" customHeight="1">
      <c r="A1" s="2" t="s">
        <v>2178</v>
      </c>
      <c r="B1" s="2"/>
      <c r="C1" s="2"/>
      <c r="D1" s="2"/>
      <c r="E1" s="2"/>
      <c r="F1" s="2"/>
      <c r="G1" s="2"/>
      <c r="H1" s="2"/>
      <c r="I1" s="2"/>
      <c r="J1" s="3" t="s">
        <v>1</v>
      </c>
      <c r="K1" s="3"/>
      <c r="L1" s="3"/>
    </row>
    <row r="2" spans="1:12" ht="18" customHeight="1">
      <c r="A2" s="4" t="s">
        <v>2179</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338</v>
      </c>
      <c r="L3" s="5"/>
    </row>
    <row r="5" spans="1:12" ht="22" customHeight="1">
      <c r="A5" s="6" t="s">
        <v>2180</v>
      </c>
      <c r="B5" s="6"/>
      <c r="C5" s="6"/>
      <c r="D5" s="6"/>
      <c r="E5" s="6"/>
      <c r="F5" s="6"/>
      <c r="G5" s="6"/>
      <c r="H5" s="6"/>
      <c r="I5" s="6"/>
      <c r="J5" s="6"/>
      <c r="K5" s="6"/>
      <c r="L5" s="6"/>
    </row>
    <row r="7" spans="1:12" ht="20" customHeight="1">
      <c r="A7" s="7" t="s">
        <v>2181</v>
      </c>
      <c r="B7" s="7"/>
      <c r="C7" s="7"/>
      <c r="D7" s="7"/>
      <c r="E7" s="7"/>
      <c r="F7" s="7"/>
      <c r="G7" s="7"/>
      <c r="H7" s="7"/>
      <c r="I7" s="7"/>
      <c r="J7" s="7"/>
      <c r="K7" s="7"/>
      <c r="L7" s="7"/>
    </row>
    <row r="8" spans="1:12" ht="26" customHeight="1">
      <c r="A8" s="8" t="s">
        <v>436</v>
      </c>
      <c r="B8" s="9" t="s">
        <v>969</v>
      </c>
      <c r="C8" s="9" t="s">
        <v>413</v>
      </c>
      <c r="D8" s="9" t="s">
        <v>1077</v>
      </c>
      <c r="E8" s="9" t="s">
        <v>966</v>
      </c>
      <c r="F8" s="9" t="s">
        <v>408</v>
      </c>
      <c r="G8" s="9" t="s">
        <v>968</v>
      </c>
      <c r="H8" s="9" t="s">
        <v>2182</v>
      </c>
    </row>
    <row r="9" spans="1:12">
      <c r="A9" s="23">
        <f>IFERROR(INDEX(Services!$B$5:$B$64,MATCH(1,Services!$AA$5:$AA$64,0)),"")</f>
        <v>0</v>
      </c>
      <c r="B9" s="31">
        <f>IFERROR(INDEX(Services!$Y$5:$Y$64,MATCH(1,Services!$AA$5:$AA$64,0)),"")</f>
        <v>0</v>
      </c>
      <c r="C9" s="36">
        <f>IFERROR(INDEX(Services!$Z$5:$Z$64,MATCH(1,Services!$AA$5:$AA$64,0)),"")</f>
        <v>0</v>
      </c>
      <c r="D9" s="34">
        <f>IF($A$9="","",SUMIFS(Jobs!$AD$5:$AD$604,Jobs!$M$5:$M$604,$A$9,Jobs!$P$5:$P$604,"Completed")+SUMIFS(Jobs!$AD$5:$AD$604,Jobs!$M$5:$M$604,$A$9,Jobs!$P$5:$P$604,"Invoiced"))</f>
        <v>0</v>
      </c>
      <c r="E9" s="21">
        <f>IFERROR(INDEX(Services!$V$5:$V$64,MATCH(1,Services!$AA$5:$AA$64,0)),"")</f>
        <v>0</v>
      </c>
      <c r="F9" s="38">
        <f>IFERROR(INDEX(Services!$U$5:$U$64,MATCH(1,Services!$AA$5:$AA$64,0)),"")</f>
        <v>0</v>
      </c>
      <c r="G9" s="31">
        <f>IFERROR(INDEX(Services!$X$5:$X$64,MATCH(1,Services!$AA$5:$AA$64,0)),"")</f>
        <v>0</v>
      </c>
      <c r="H9" s="38">
        <f>IF(OR($A$9="",G9=0),"",B9/G9)</f>
        <v>0</v>
      </c>
    </row>
    <row r="10" spans="1:12">
      <c r="A10" s="23">
        <f>IFERROR(INDEX(Services!$B$5:$B$64,MATCH(2,Services!$AA$5:$AA$64,0)),"")</f>
        <v>0</v>
      </c>
      <c r="B10" s="31">
        <f>IFERROR(INDEX(Services!$Y$5:$Y$64,MATCH(2,Services!$AA$5:$AA$64,0)),"")</f>
        <v>0</v>
      </c>
      <c r="C10" s="36">
        <f>IFERROR(INDEX(Services!$Z$5:$Z$64,MATCH(2,Services!$AA$5:$AA$64,0)),"")</f>
        <v>0</v>
      </c>
      <c r="D10" s="34">
        <f>IF($A$10="","",SUMIFS(Jobs!$AD$5:$AD$604,Jobs!$M$5:$M$604,$A$10,Jobs!$P$5:$P$604,"Completed")+SUMIFS(Jobs!$AD$5:$AD$604,Jobs!$M$5:$M$604,$A$10,Jobs!$P$5:$P$604,"Invoiced"))</f>
        <v>0</v>
      </c>
      <c r="E10" s="21">
        <f>IFERROR(INDEX(Services!$V$5:$V$64,MATCH(2,Services!$AA$5:$AA$64,0)),"")</f>
        <v>0</v>
      </c>
      <c r="F10" s="38">
        <f>IFERROR(INDEX(Services!$U$5:$U$64,MATCH(2,Services!$AA$5:$AA$64,0)),"")</f>
        <v>0</v>
      </c>
      <c r="G10" s="31">
        <f>IFERROR(INDEX(Services!$X$5:$X$64,MATCH(2,Services!$AA$5:$AA$64,0)),"")</f>
        <v>0</v>
      </c>
      <c r="H10" s="38">
        <f>IF(OR($A$10="",G10=0),"",B10/G10)</f>
        <v>0</v>
      </c>
    </row>
    <row r="11" spans="1:12">
      <c r="A11" s="23">
        <f>IFERROR(INDEX(Services!$B$5:$B$64,MATCH(3,Services!$AA$5:$AA$64,0)),"")</f>
        <v>0</v>
      </c>
      <c r="B11" s="31">
        <f>IFERROR(INDEX(Services!$Y$5:$Y$64,MATCH(3,Services!$AA$5:$AA$64,0)),"")</f>
        <v>0</v>
      </c>
      <c r="C11" s="36">
        <f>IFERROR(INDEX(Services!$Z$5:$Z$64,MATCH(3,Services!$AA$5:$AA$64,0)),"")</f>
        <v>0</v>
      </c>
      <c r="D11" s="34">
        <f>IF($A$11="","",SUMIFS(Jobs!$AD$5:$AD$604,Jobs!$M$5:$M$604,$A$11,Jobs!$P$5:$P$604,"Completed")+SUMIFS(Jobs!$AD$5:$AD$604,Jobs!$M$5:$M$604,$A$11,Jobs!$P$5:$P$604,"Invoiced"))</f>
        <v>0</v>
      </c>
      <c r="E11" s="21">
        <f>IFERROR(INDEX(Services!$V$5:$V$64,MATCH(3,Services!$AA$5:$AA$64,0)),"")</f>
        <v>0</v>
      </c>
      <c r="F11" s="38">
        <f>IFERROR(INDEX(Services!$U$5:$U$64,MATCH(3,Services!$AA$5:$AA$64,0)),"")</f>
        <v>0</v>
      </c>
      <c r="G11" s="31">
        <f>IFERROR(INDEX(Services!$X$5:$X$64,MATCH(3,Services!$AA$5:$AA$64,0)),"")</f>
        <v>0</v>
      </c>
      <c r="H11" s="38">
        <f>IF(OR($A$11="",G11=0),"",B11/G11)</f>
        <v>0</v>
      </c>
    </row>
    <row r="12" spans="1:12">
      <c r="A12" s="23">
        <f>IFERROR(INDEX(Services!$B$5:$B$64,MATCH(4,Services!$AA$5:$AA$64,0)),"")</f>
        <v>0</v>
      </c>
      <c r="B12" s="31">
        <f>IFERROR(INDEX(Services!$Y$5:$Y$64,MATCH(4,Services!$AA$5:$AA$64,0)),"")</f>
        <v>0</v>
      </c>
      <c r="C12" s="36">
        <f>IFERROR(INDEX(Services!$Z$5:$Z$64,MATCH(4,Services!$AA$5:$AA$64,0)),"")</f>
        <v>0</v>
      </c>
      <c r="D12" s="34">
        <f>IF($A$12="","",SUMIFS(Jobs!$AD$5:$AD$604,Jobs!$M$5:$M$604,$A$12,Jobs!$P$5:$P$604,"Completed")+SUMIFS(Jobs!$AD$5:$AD$604,Jobs!$M$5:$M$604,$A$12,Jobs!$P$5:$P$604,"Invoiced"))</f>
        <v>0</v>
      </c>
      <c r="E12" s="21">
        <f>IFERROR(INDEX(Services!$V$5:$V$64,MATCH(4,Services!$AA$5:$AA$64,0)),"")</f>
        <v>0</v>
      </c>
      <c r="F12" s="38">
        <f>IFERROR(INDEX(Services!$U$5:$U$64,MATCH(4,Services!$AA$5:$AA$64,0)),"")</f>
        <v>0</v>
      </c>
      <c r="G12" s="31">
        <f>IFERROR(INDEX(Services!$X$5:$X$64,MATCH(4,Services!$AA$5:$AA$64,0)),"")</f>
        <v>0</v>
      </c>
      <c r="H12" s="38">
        <f>IF(OR($A$12="",G12=0),"",B12/G12)</f>
        <v>0</v>
      </c>
    </row>
    <row r="13" spans="1:12">
      <c r="A13" s="23">
        <f>IFERROR(INDEX(Services!$B$5:$B$64,MATCH(5,Services!$AA$5:$AA$64,0)),"")</f>
        <v>0</v>
      </c>
      <c r="B13" s="31">
        <f>IFERROR(INDEX(Services!$Y$5:$Y$64,MATCH(5,Services!$AA$5:$AA$64,0)),"")</f>
        <v>0</v>
      </c>
      <c r="C13" s="36">
        <f>IFERROR(INDEX(Services!$Z$5:$Z$64,MATCH(5,Services!$AA$5:$AA$64,0)),"")</f>
        <v>0</v>
      </c>
      <c r="D13" s="34">
        <f>IF($A$13="","",SUMIFS(Jobs!$AD$5:$AD$604,Jobs!$M$5:$M$604,$A$13,Jobs!$P$5:$P$604,"Completed")+SUMIFS(Jobs!$AD$5:$AD$604,Jobs!$M$5:$M$604,$A$13,Jobs!$P$5:$P$604,"Invoiced"))</f>
        <v>0</v>
      </c>
      <c r="E13" s="21">
        <f>IFERROR(INDEX(Services!$V$5:$V$64,MATCH(5,Services!$AA$5:$AA$64,0)),"")</f>
        <v>0</v>
      </c>
      <c r="F13" s="38">
        <f>IFERROR(INDEX(Services!$U$5:$U$64,MATCH(5,Services!$AA$5:$AA$64,0)),"")</f>
        <v>0</v>
      </c>
      <c r="G13" s="31">
        <f>IFERROR(INDEX(Services!$X$5:$X$64,MATCH(5,Services!$AA$5:$AA$64,0)),"")</f>
        <v>0</v>
      </c>
      <c r="H13" s="38">
        <f>IF(OR($A$13="",G13=0),"",B13/G13)</f>
        <v>0</v>
      </c>
    </row>
    <row r="14" spans="1:12">
      <c r="A14" s="23">
        <f>IFERROR(INDEX(Services!$B$5:$B$64,MATCH(6,Services!$AA$5:$AA$64,0)),"")</f>
        <v>0</v>
      </c>
      <c r="B14" s="31">
        <f>IFERROR(INDEX(Services!$Y$5:$Y$64,MATCH(6,Services!$AA$5:$AA$64,0)),"")</f>
        <v>0</v>
      </c>
      <c r="C14" s="36">
        <f>IFERROR(INDEX(Services!$Z$5:$Z$64,MATCH(6,Services!$AA$5:$AA$64,0)),"")</f>
        <v>0</v>
      </c>
      <c r="D14" s="34">
        <f>IF($A$14="","",SUMIFS(Jobs!$AD$5:$AD$604,Jobs!$M$5:$M$604,$A$14,Jobs!$P$5:$P$604,"Completed")+SUMIFS(Jobs!$AD$5:$AD$604,Jobs!$M$5:$M$604,$A$14,Jobs!$P$5:$P$604,"Invoiced"))</f>
        <v>0</v>
      </c>
      <c r="E14" s="21">
        <f>IFERROR(INDEX(Services!$V$5:$V$64,MATCH(6,Services!$AA$5:$AA$64,0)),"")</f>
        <v>0</v>
      </c>
      <c r="F14" s="38">
        <f>IFERROR(INDEX(Services!$U$5:$U$64,MATCH(6,Services!$AA$5:$AA$64,0)),"")</f>
        <v>0</v>
      </c>
      <c r="G14" s="31">
        <f>IFERROR(INDEX(Services!$X$5:$X$64,MATCH(6,Services!$AA$5:$AA$64,0)),"")</f>
        <v>0</v>
      </c>
      <c r="H14" s="38">
        <f>IF(OR($A$14="",G14=0),"",B14/G14)</f>
        <v>0</v>
      </c>
    </row>
    <row r="15" spans="1:12">
      <c r="A15" s="23">
        <f>IFERROR(INDEX(Services!$B$5:$B$64,MATCH(7,Services!$AA$5:$AA$64,0)),"")</f>
        <v>0</v>
      </c>
      <c r="B15" s="31">
        <f>IFERROR(INDEX(Services!$Y$5:$Y$64,MATCH(7,Services!$AA$5:$AA$64,0)),"")</f>
        <v>0</v>
      </c>
      <c r="C15" s="36">
        <f>IFERROR(INDEX(Services!$Z$5:$Z$64,MATCH(7,Services!$AA$5:$AA$64,0)),"")</f>
        <v>0</v>
      </c>
      <c r="D15" s="34">
        <f>IF($A$15="","",SUMIFS(Jobs!$AD$5:$AD$604,Jobs!$M$5:$M$604,$A$15,Jobs!$P$5:$P$604,"Completed")+SUMIFS(Jobs!$AD$5:$AD$604,Jobs!$M$5:$M$604,$A$15,Jobs!$P$5:$P$604,"Invoiced"))</f>
        <v>0</v>
      </c>
      <c r="E15" s="21">
        <f>IFERROR(INDEX(Services!$V$5:$V$64,MATCH(7,Services!$AA$5:$AA$64,0)),"")</f>
        <v>0</v>
      </c>
      <c r="F15" s="38">
        <f>IFERROR(INDEX(Services!$U$5:$U$64,MATCH(7,Services!$AA$5:$AA$64,0)),"")</f>
        <v>0</v>
      </c>
      <c r="G15" s="31">
        <f>IFERROR(INDEX(Services!$X$5:$X$64,MATCH(7,Services!$AA$5:$AA$64,0)),"")</f>
        <v>0</v>
      </c>
      <c r="H15" s="38">
        <f>IF(OR($A$15="",G15=0),"",B15/G15)</f>
        <v>0</v>
      </c>
    </row>
    <row r="16" spans="1:12">
      <c r="A16" s="23">
        <f>IFERROR(INDEX(Services!$B$5:$B$64,MATCH(8,Services!$AA$5:$AA$64,0)),"")</f>
        <v>0</v>
      </c>
      <c r="B16" s="31">
        <f>IFERROR(INDEX(Services!$Y$5:$Y$64,MATCH(8,Services!$AA$5:$AA$64,0)),"")</f>
        <v>0</v>
      </c>
      <c r="C16" s="36">
        <f>IFERROR(INDEX(Services!$Z$5:$Z$64,MATCH(8,Services!$AA$5:$AA$64,0)),"")</f>
        <v>0</v>
      </c>
      <c r="D16" s="34">
        <f>IF($A$16="","",SUMIFS(Jobs!$AD$5:$AD$604,Jobs!$M$5:$M$604,$A$16,Jobs!$P$5:$P$604,"Completed")+SUMIFS(Jobs!$AD$5:$AD$604,Jobs!$M$5:$M$604,$A$16,Jobs!$P$5:$P$604,"Invoiced"))</f>
        <v>0</v>
      </c>
      <c r="E16" s="21">
        <f>IFERROR(INDEX(Services!$V$5:$V$64,MATCH(8,Services!$AA$5:$AA$64,0)),"")</f>
        <v>0</v>
      </c>
      <c r="F16" s="38">
        <f>IFERROR(INDEX(Services!$U$5:$U$64,MATCH(8,Services!$AA$5:$AA$64,0)),"")</f>
        <v>0</v>
      </c>
      <c r="G16" s="31">
        <f>IFERROR(INDEX(Services!$X$5:$X$64,MATCH(8,Services!$AA$5:$AA$64,0)),"")</f>
        <v>0</v>
      </c>
      <c r="H16" s="38">
        <f>IF(OR($A$16="",G16=0),"",B16/G16)</f>
        <v>0</v>
      </c>
    </row>
    <row r="19" spans="1:12" ht="20" customHeight="1">
      <c r="A19" s="7" t="s">
        <v>2183</v>
      </c>
      <c r="B19" s="7"/>
      <c r="C19" s="7"/>
      <c r="D19" s="7"/>
      <c r="E19" s="7"/>
      <c r="F19" s="7"/>
      <c r="G19" s="7"/>
      <c r="H19" s="7"/>
      <c r="I19" s="7"/>
      <c r="J19" s="7"/>
      <c r="K19" s="7"/>
      <c r="L19" s="7"/>
    </row>
    <row r="20" spans="1:12" ht="26" customHeight="1">
      <c r="A20" s="8" t="s">
        <v>439</v>
      </c>
      <c r="B20" s="9" t="s">
        <v>1962</v>
      </c>
      <c r="C20" s="9" t="s">
        <v>371</v>
      </c>
      <c r="D20" s="9" t="s">
        <v>413</v>
      </c>
      <c r="E20" s="9" t="s">
        <v>568</v>
      </c>
      <c r="F20" s="9" t="s">
        <v>2184</v>
      </c>
    </row>
    <row r="21" spans="1:12">
      <c r="A21" s="10" t="s">
        <v>440</v>
      </c>
      <c r="B21" s="31">
        <f>COUNTIFS(Clients!$C$5:$C$204,"Residential")</f>
        <v>0</v>
      </c>
      <c r="C21" s="31">
        <f>COUNTIFS(Jobs!$I$5:$I$604,"Residential",Jobs!$P$5:$P$604,"&lt;&gt;Cancelled")</f>
        <v>0</v>
      </c>
      <c r="D21" s="36">
        <f>SUMIFS(Jobs!$AJ$5:$AJ$604,Jobs!$I$5:$I$604,"Residential",Jobs!$P$5:$P$604,"Completed")+SUMIFS(Jobs!$AJ$5:$AJ$604,Jobs!$I$5:$I$604,"Residential",Jobs!$P$5:$P$604,"Invoiced")</f>
        <v>0</v>
      </c>
      <c r="E21" s="21">
        <f>IF(C21=0,"",D21/C21)</f>
        <v>0</v>
      </c>
      <c r="F21" s="38">
        <f>IFERROR(D21/(SUMIFS(Jobs!$AJ$5:$AJ$604,Jobs!$G$5:$G$604,"&lt;&gt;",Jobs!$P$5:$P$604,"Completed")+SUMIFS(Jobs!$AJ$5:$AJ$604,Jobs!$G$5:$G$604,"&lt;&gt;",Jobs!$P$5:$P$604,"Invoiced")),"")</f>
        <v>0</v>
      </c>
    </row>
    <row r="22" spans="1:12">
      <c r="A22" s="10" t="s">
        <v>612</v>
      </c>
      <c r="B22" s="31">
        <f>COUNTIFS(Clients!$C$5:$C$204,"Commercial office")</f>
        <v>0</v>
      </c>
      <c r="C22" s="31">
        <f>COUNTIFS(Jobs!$I$5:$I$604,"Commercial office",Jobs!$P$5:$P$604,"&lt;&gt;Cancelled")</f>
        <v>0</v>
      </c>
      <c r="D22" s="36">
        <f>SUMIFS(Jobs!$AJ$5:$AJ$604,Jobs!$I$5:$I$604,"Commercial office",Jobs!$P$5:$P$604,"Completed")+SUMIFS(Jobs!$AJ$5:$AJ$604,Jobs!$I$5:$I$604,"Commercial office",Jobs!$P$5:$P$604,"Invoiced")</f>
        <v>0</v>
      </c>
      <c r="E22" s="21">
        <f>IF(C22=0,"",D22/C22)</f>
        <v>0</v>
      </c>
      <c r="F22" s="38">
        <f>IFERROR(D22/(SUMIFS(Jobs!$AJ$5:$AJ$604,Jobs!$G$5:$G$604,"&lt;&gt;",Jobs!$P$5:$P$604,"Completed")+SUMIFS(Jobs!$AJ$5:$AJ$604,Jobs!$G$5:$G$604,"&lt;&gt;",Jobs!$P$5:$P$604,"Invoiced")),"")</f>
        <v>0</v>
      </c>
    </row>
    <row r="23" spans="1:12">
      <c r="A23" s="10" t="s">
        <v>2185</v>
      </c>
      <c r="B23" s="31">
        <f>COUNTIFS(Clients!$C$5:$C$204,"Retail")</f>
        <v>0</v>
      </c>
      <c r="C23" s="31">
        <f>COUNTIFS(Jobs!$I$5:$I$604,"Retail",Jobs!$P$5:$P$604,"&lt;&gt;Cancelled")</f>
        <v>0</v>
      </c>
      <c r="D23" s="36">
        <f>SUMIFS(Jobs!$AJ$5:$AJ$604,Jobs!$I$5:$I$604,"Retail",Jobs!$P$5:$P$604,"Completed")+SUMIFS(Jobs!$AJ$5:$AJ$604,Jobs!$I$5:$I$604,"Retail",Jobs!$P$5:$P$604,"Invoiced")</f>
        <v>0</v>
      </c>
      <c r="E23" s="21">
        <f>IF(C23=0,"",D23/C23)</f>
        <v>0</v>
      </c>
      <c r="F23" s="38">
        <f>IFERROR(D23/(SUMIFS(Jobs!$AJ$5:$AJ$604,Jobs!$G$5:$G$604,"&lt;&gt;",Jobs!$P$5:$P$604,"Completed")+SUMIFS(Jobs!$AJ$5:$AJ$604,Jobs!$G$5:$G$604,"&lt;&gt;",Jobs!$P$5:$P$604,"Invoiced")),"")</f>
        <v>0</v>
      </c>
    </row>
    <row r="24" spans="1:12">
      <c r="A24" s="10" t="s">
        <v>631</v>
      </c>
      <c r="B24" s="31">
        <f>COUNTIFS(Clients!$C$5:$C$204,"Restaurant &amp; cafe")</f>
        <v>0</v>
      </c>
      <c r="C24" s="31">
        <f>COUNTIFS(Jobs!$I$5:$I$604,"Restaurant &amp; cafe",Jobs!$P$5:$P$604,"&lt;&gt;Cancelled")</f>
        <v>0</v>
      </c>
      <c r="D24" s="36">
        <f>SUMIFS(Jobs!$AJ$5:$AJ$604,Jobs!$I$5:$I$604,"Restaurant &amp; cafe",Jobs!$P$5:$P$604,"Completed")+SUMIFS(Jobs!$AJ$5:$AJ$604,Jobs!$I$5:$I$604,"Restaurant &amp; cafe",Jobs!$P$5:$P$604,"Invoiced")</f>
        <v>0</v>
      </c>
      <c r="E24" s="21">
        <f>IF(C24=0,"",D24/C24)</f>
        <v>0</v>
      </c>
      <c r="F24" s="38">
        <f>IFERROR(D24/(SUMIFS(Jobs!$AJ$5:$AJ$604,Jobs!$G$5:$G$604,"&lt;&gt;",Jobs!$P$5:$P$604,"Completed")+SUMIFS(Jobs!$AJ$5:$AJ$604,Jobs!$G$5:$G$604,"&lt;&gt;",Jobs!$P$5:$P$604,"Invoiced")),"")</f>
        <v>0</v>
      </c>
    </row>
    <row r="25" spans="1:12">
      <c r="A25" s="10" t="s">
        <v>667</v>
      </c>
      <c r="B25" s="31">
        <f>COUNTIFS(Clients!$C$5:$C$204,"Holiday let / Airbnb")</f>
        <v>0</v>
      </c>
      <c r="C25" s="31">
        <f>COUNTIFS(Jobs!$I$5:$I$604,"Holiday let / Airbnb",Jobs!$P$5:$P$604,"&lt;&gt;Cancelled")</f>
        <v>0</v>
      </c>
      <c r="D25" s="36">
        <f>SUMIFS(Jobs!$AJ$5:$AJ$604,Jobs!$I$5:$I$604,"Holiday let / Airbnb",Jobs!$P$5:$P$604,"Completed")+SUMIFS(Jobs!$AJ$5:$AJ$604,Jobs!$I$5:$I$604,"Holiday let / Airbnb",Jobs!$P$5:$P$604,"Invoiced")</f>
        <v>0</v>
      </c>
      <c r="E25" s="21">
        <f>IF(C25=0,"",D25/C25)</f>
        <v>0</v>
      </c>
      <c r="F25" s="38">
        <f>IFERROR(D25/(SUMIFS(Jobs!$AJ$5:$AJ$604,Jobs!$G$5:$G$604,"&lt;&gt;",Jobs!$P$5:$P$604,"Completed")+SUMIFS(Jobs!$AJ$5:$AJ$604,Jobs!$G$5:$G$604,"&lt;&gt;",Jobs!$P$5:$P$604,"Invoiced")),"")</f>
        <v>0</v>
      </c>
    </row>
    <row r="26" spans="1:12">
      <c r="A26" s="10" t="s">
        <v>897</v>
      </c>
      <c r="B26" s="31">
        <f>COUNTIFS(Clients!$C$5:$C$204,"Landlord")</f>
        <v>0</v>
      </c>
      <c r="C26" s="31">
        <f>COUNTIFS(Jobs!$I$5:$I$604,"Landlord",Jobs!$P$5:$P$604,"&lt;&gt;Cancelled")</f>
        <v>0</v>
      </c>
      <c r="D26" s="36">
        <f>SUMIFS(Jobs!$AJ$5:$AJ$604,Jobs!$I$5:$I$604,"Landlord",Jobs!$P$5:$P$604,"Completed")+SUMIFS(Jobs!$AJ$5:$AJ$604,Jobs!$I$5:$I$604,"Landlord",Jobs!$P$5:$P$604,"Invoiced")</f>
        <v>0</v>
      </c>
      <c r="E26" s="21">
        <f>IF(C26=0,"",D26/C26)</f>
        <v>0</v>
      </c>
      <c r="F26" s="38">
        <f>IFERROR(D26/(SUMIFS(Jobs!$AJ$5:$AJ$604,Jobs!$G$5:$G$604,"&lt;&gt;",Jobs!$P$5:$P$604,"Completed")+SUMIFS(Jobs!$AJ$5:$AJ$604,Jobs!$G$5:$G$604,"&lt;&gt;",Jobs!$P$5:$P$604,"Invoiced")),"")</f>
        <v>0</v>
      </c>
    </row>
    <row r="27" spans="1:12">
      <c r="A27" s="10" t="s">
        <v>620</v>
      </c>
      <c r="B27" s="31">
        <f>COUNTIFS(Clients!$C$5:$C$204,"Letting agent")</f>
        <v>0</v>
      </c>
      <c r="C27" s="31">
        <f>COUNTIFS(Jobs!$I$5:$I$604,"Letting agent",Jobs!$P$5:$P$604,"&lt;&gt;Cancelled")</f>
        <v>0</v>
      </c>
      <c r="D27" s="36">
        <f>SUMIFS(Jobs!$AJ$5:$AJ$604,Jobs!$I$5:$I$604,"Letting agent",Jobs!$P$5:$P$604,"Completed")+SUMIFS(Jobs!$AJ$5:$AJ$604,Jobs!$I$5:$I$604,"Letting agent",Jobs!$P$5:$P$604,"Invoiced")</f>
        <v>0</v>
      </c>
      <c r="E27" s="21">
        <f>IF(C27=0,"",D27/C27)</f>
        <v>0</v>
      </c>
      <c r="F27" s="38">
        <f>IFERROR(D27/(SUMIFS(Jobs!$AJ$5:$AJ$604,Jobs!$G$5:$G$604,"&lt;&gt;",Jobs!$P$5:$P$604,"Completed")+SUMIFS(Jobs!$AJ$5:$AJ$604,Jobs!$G$5:$G$604,"&lt;&gt;",Jobs!$P$5:$P$604,"Invoiced")),"")</f>
        <v>0</v>
      </c>
    </row>
    <row r="28" spans="1:12">
      <c r="A28" s="10" t="s">
        <v>685</v>
      </c>
      <c r="B28" s="31">
        <f>COUNTIFS(Clients!$C$5:$C$204,"Property manager")</f>
        <v>0</v>
      </c>
      <c r="C28" s="31">
        <f>COUNTIFS(Jobs!$I$5:$I$604,"Property manager",Jobs!$P$5:$P$604,"&lt;&gt;Cancelled")</f>
        <v>0</v>
      </c>
      <c r="D28" s="36">
        <f>SUMIFS(Jobs!$AJ$5:$AJ$604,Jobs!$I$5:$I$604,"Property manager",Jobs!$P$5:$P$604,"Completed")+SUMIFS(Jobs!$AJ$5:$AJ$604,Jobs!$I$5:$I$604,"Property manager",Jobs!$P$5:$P$604,"Invoiced")</f>
        <v>0</v>
      </c>
      <c r="E28" s="21">
        <f>IF(C28=0,"",D28/C28)</f>
        <v>0</v>
      </c>
      <c r="F28" s="38">
        <f>IFERROR(D28/(SUMIFS(Jobs!$AJ$5:$AJ$604,Jobs!$G$5:$G$604,"&lt;&gt;",Jobs!$P$5:$P$604,"Completed")+SUMIFS(Jobs!$AJ$5:$AJ$604,Jobs!$G$5:$G$604,"&lt;&gt;",Jobs!$P$5:$P$604,"Invoiced")),"")</f>
        <v>0</v>
      </c>
    </row>
    <row r="29" spans="1:12">
      <c r="A29" s="10" t="s">
        <v>599</v>
      </c>
      <c r="B29" s="31">
        <f>COUNTIFS(Clients!$C$5:$C$204,"Medical &amp; dental")</f>
        <v>0</v>
      </c>
      <c r="C29" s="31">
        <f>COUNTIFS(Jobs!$I$5:$I$604,"Medical &amp; dental",Jobs!$P$5:$P$604,"&lt;&gt;Cancelled")</f>
        <v>0</v>
      </c>
      <c r="D29" s="36">
        <f>SUMIFS(Jobs!$AJ$5:$AJ$604,Jobs!$I$5:$I$604,"Medical &amp; dental",Jobs!$P$5:$P$604,"Completed")+SUMIFS(Jobs!$AJ$5:$AJ$604,Jobs!$I$5:$I$604,"Medical &amp; dental",Jobs!$P$5:$P$604,"Invoiced")</f>
        <v>0</v>
      </c>
      <c r="E29" s="21">
        <f>IF(C29=0,"",D29/C29)</f>
        <v>0</v>
      </c>
      <c r="F29" s="38">
        <f>IFERROR(D29/(SUMIFS(Jobs!$AJ$5:$AJ$604,Jobs!$G$5:$G$604,"&lt;&gt;",Jobs!$P$5:$P$604,"Completed")+SUMIFS(Jobs!$AJ$5:$AJ$604,Jobs!$G$5:$G$604,"&lt;&gt;",Jobs!$P$5:$P$604,"Invoiced")),"")</f>
        <v>0</v>
      </c>
    </row>
    <row r="30" spans="1:12">
      <c r="A30" s="10" t="s">
        <v>643</v>
      </c>
      <c r="B30" s="31">
        <f>COUNTIFS(Clients!$C$5:$C$204,"School &amp; nursery")</f>
        <v>0</v>
      </c>
      <c r="C30" s="31">
        <f>COUNTIFS(Jobs!$I$5:$I$604,"School &amp; nursery",Jobs!$P$5:$P$604,"&lt;&gt;Cancelled")</f>
        <v>0</v>
      </c>
      <c r="D30" s="36">
        <f>SUMIFS(Jobs!$AJ$5:$AJ$604,Jobs!$I$5:$I$604,"School &amp; nursery",Jobs!$P$5:$P$604,"Completed")+SUMIFS(Jobs!$AJ$5:$AJ$604,Jobs!$I$5:$I$604,"School &amp; nursery",Jobs!$P$5:$P$604,"Invoiced")</f>
        <v>0</v>
      </c>
      <c r="E30" s="21">
        <f>IF(C30=0,"",D30/C30)</f>
        <v>0</v>
      </c>
      <c r="F30" s="38">
        <f>IFERROR(D30/(SUMIFS(Jobs!$AJ$5:$AJ$604,Jobs!$G$5:$G$604,"&lt;&gt;",Jobs!$P$5:$P$604,"Completed")+SUMIFS(Jobs!$AJ$5:$AJ$604,Jobs!$G$5:$G$604,"&lt;&gt;",Jobs!$P$5:$P$604,"Invoiced")),"")</f>
        <v>0</v>
      </c>
    </row>
    <row r="31" spans="1:12">
      <c r="A31" s="10" t="s">
        <v>658</v>
      </c>
      <c r="B31" s="31">
        <f>COUNTIFS(Clients!$C$5:$C$204,"Gym &amp; studio")</f>
        <v>0</v>
      </c>
      <c r="C31" s="31">
        <f>COUNTIFS(Jobs!$I$5:$I$604,"Gym &amp; studio",Jobs!$P$5:$P$604,"&lt;&gt;Cancelled")</f>
        <v>0</v>
      </c>
      <c r="D31" s="36">
        <f>SUMIFS(Jobs!$AJ$5:$AJ$604,Jobs!$I$5:$I$604,"Gym &amp; studio",Jobs!$P$5:$P$604,"Completed")+SUMIFS(Jobs!$AJ$5:$AJ$604,Jobs!$I$5:$I$604,"Gym &amp; studio",Jobs!$P$5:$P$604,"Invoiced")</f>
        <v>0</v>
      </c>
      <c r="E31" s="21">
        <f>IF(C31=0,"",D31/C31)</f>
        <v>0</v>
      </c>
      <c r="F31" s="38">
        <f>IFERROR(D31/(SUMIFS(Jobs!$AJ$5:$AJ$604,Jobs!$G$5:$G$604,"&lt;&gt;",Jobs!$P$5:$P$604,"Completed")+SUMIFS(Jobs!$AJ$5:$AJ$604,Jobs!$G$5:$G$604,"&lt;&gt;",Jobs!$P$5:$P$604,"Invoiced")),"")</f>
        <v>0</v>
      </c>
    </row>
    <row r="34" spans="1:12" ht="20" customHeight="1">
      <c r="A34" s="7" t="s">
        <v>2186</v>
      </c>
      <c r="B34" s="7"/>
      <c r="C34" s="7"/>
      <c r="D34" s="7"/>
      <c r="E34" s="7"/>
      <c r="F34" s="7"/>
      <c r="G34" s="7"/>
      <c r="H34" s="7"/>
      <c r="I34" s="7"/>
      <c r="J34" s="7"/>
      <c r="K34" s="7"/>
      <c r="L34" s="7"/>
    </row>
    <row r="35" spans="1:12" ht="26" customHeight="1">
      <c r="A35" s="8" t="s">
        <v>549</v>
      </c>
      <c r="B35" s="9" t="s">
        <v>2187</v>
      </c>
      <c r="C35" s="9" t="s">
        <v>915</v>
      </c>
      <c r="D35" s="9" t="s">
        <v>923</v>
      </c>
      <c r="E35" s="9" t="s">
        <v>2188</v>
      </c>
      <c r="F35" s="9" t="s">
        <v>2189</v>
      </c>
      <c r="G35" s="9" t="s">
        <v>2190</v>
      </c>
    </row>
    <row r="36" spans="1:12">
      <c r="A36" s="10" t="s">
        <v>581</v>
      </c>
      <c r="B36" s="31">
        <f>COUNTIFS(Leads!$H$5:$H$154,"Google search")</f>
        <v>0</v>
      </c>
      <c r="C36" s="31">
        <f>COUNTIFS(Leads!$H$5:$H$154,"Google search",Leads!$K$5:$K$154,"Won")</f>
        <v>0</v>
      </c>
      <c r="D36" s="31">
        <f>COUNTIFS(Leads!$H$5:$H$154,"Google search",Leads!$K$5:$K$154,"Lost")</f>
        <v>0</v>
      </c>
      <c r="E36" s="38">
        <f>IF(C36+D36=0,"",C36/(C36+D36))</f>
        <v>0</v>
      </c>
      <c r="F36" s="31">
        <f>COUNTIFS(Clients!$I$5:$I$204,"Google search")</f>
        <v>0</v>
      </c>
      <c r="G36" s="36">
        <f>SUMIFS(Clients!$AD$5:$AD$204,Clients!$I$5:$I$204,"Google search")</f>
        <v>0</v>
      </c>
    </row>
    <row r="37" spans="1:12">
      <c r="A37" s="10" t="s">
        <v>698</v>
      </c>
      <c r="B37" s="31">
        <f>COUNTIFS(Leads!$H$5:$H$154,"Google Business Profile")</f>
        <v>0</v>
      </c>
      <c r="C37" s="31">
        <f>COUNTIFS(Leads!$H$5:$H$154,"Google Business Profile",Leads!$K$5:$K$154,"Won")</f>
        <v>0</v>
      </c>
      <c r="D37" s="31">
        <f>COUNTIFS(Leads!$H$5:$H$154,"Google Business Profile",Leads!$K$5:$K$154,"Lost")</f>
        <v>0</v>
      </c>
      <c r="E37" s="38">
        <f>IF(C37+D37=0,"",C37/(C37+D37))</f>
        <v>0</v>
      </c>
      <c r="F37" s="31">
        <f>COUNTIFS(Clients!$I$5:$I$204,"Google Business Profile")</f>
        <v>0</v>
      </c>
      <c r="G37" s="36">
        <f>SUMIFS(Clients!$AD$5:$AD$204,Clients!$I$5:$I$204,"Google Business Profile")</f>
        <v>0</v>
      </c>
    </row>
    <row r="38" spans="1:12">
      <c r="A38" s="10" t="s">
        <v>654</v>
      </c>
      <c r="B38" s="31">
        <f>COUNTIFS(Leads!$H$5:$H$154,"Facebook")</f>
        <v>0</v>
      </c>
      <c r="C38" s="31">
        <f>COUNTIFS(Leads!$H$5:$H$154,"Facebook",Leads!$K$5:$K$154,"Won")</f>
        <v>0</v>
      </c>
      <c r="D38" s="31">
        <f>COUNTIFS(Leads!$H$5:$H$154,"Facebook",Leads!$K$5:$K$154,"Lost")</f>
        <v>0</v>
      </c>
      <c r="E38" s="38">
        <f>IF(C38+D38=0,"",C38/(C38+D38))</f>
        <v>0</v>
      </c>
      <c r="F38" s="31">
        <f>COUNTIFS(Clients!$I$5:$I$204,"Facebook")</f>
        <v>0</v>
      </c>
      <c r="G38" s="36">
        <f>SUMIFS(Clients!$AD$5:$AD$204,Clients!$I$5:$I$204,"Facebook")</f>
        <v>0</v>
      </c>
    </row>
    <row r="39" spans="1:12">
      <c r="A39" s="10" t="s">
        <v>663</v>
      </c>
      <c r="B39" s="31">
        <f>COUNTIFS(Leads!$H$5:$H$154,"Instagram")</f>
        <v>0</v>
      </c>
      <c r="C39" s="31">
        <f>COUNTIFS(Leads!$H$5:$H$154,"Instagram",Leads!$K$5:$K$154,"Won")</f>
        <v>0</v>
      </c>
      <c r="D39" s="31">
        <f>COUNTIFS(Leads!$H$5:$H$154,"Instagram",Leads!$K$5:$K$154,"Lost")</f>
        <v>0</v>
      </c>
      <c r="E39" s="38">
        <f>IF(C39+D39=0,"",C39/(C39+D39))</f>
        <v>0</v>
      </c>
      <c r="F39" s="31">
        <f>COUNTIFS(Clients!$I$5:$I$204,"Instagram")</f>
        <v>0</v>
      </c>
      <c r="G39" s="36">
        <f>SUMIFS(Clients!$AD$5:$AD$204,Clients!$I$5:$I$204,"Instagram")</f>
        <v>0</v>
      </c>
    </row>
    <row r="40" spans="1:12">
      <c r="A40" s="10" t="s">
        <v>672</v>
      </c>
      <c r="B40" s="31">
        <f>COUNTIFS(Leads!$H$5:$H$154,"Nextdoor")</f>
        <v>0</v>
      </c>
      <c r="C40" s="31">
        <f>COUNTIFS(Leads!$H$5:$H$154,"Nextdoor",Leads!$K$5:$K$154,"Won")</f>
        <v>0</v>
      </c>
      <c r="D40" s="31">
        <f>COUNTIFS(Leads!$H$5:$H$154,"Nextdoor",Leads!$K$5:$K$154,"Lost")</f>
        <v>0</v>
      </c>
      <c r="E40" s="38">
        <f>IF(C40+D40=0,"",C40/(C40+D40))</f>
        <v>0</v>
      </c>
      <c r="F40" s="31">
        <f>COUNTIFS(Clients!$I$5:$I$204,"Nextdoor")</f>
        <v>0</v>
      </c>
      <c r="G40" s="36">
        <f>SUMIFS(Clients!$AD$5:$AD$204,Clients!$I$5:$I$204,"Nextdoor")</f>
        <v>0</v>
      </c>
    </row>
    <row r="41" spans="1:12">
      <c r="A41" s="10" t="s">
        <v>706</v>
      </c>
      <c r="B41" s="31">
        <f>COUNTIFS(Leads!$H$5:$H$154,"Yelp")</f>
        <v>0</v>
      </c>
      <c r="C41" s="31">
        <f>COUNTIFS(Leads!$H$5:$H$154,"Yelp",Leads!$K$5:$K$154,"Won")</f>
        <v>0</v>
      </c>
      <c r="D41" s="31">
        <f>COUNTIFS(Leads!$H$5:$H$154,"Yelp",Leads!$K$5:$K$154,"Lost")</f>
        <v>0</v>
      </c>
      <c r="E41" s="38">
        <f>IF(C41+D41=0,"",C41/(C41+D41))</f>
        <v>0</v>
      </c>
      <c r="F41" s="31">
        <f>COUNTIFS(Clients!$I$5:$I$204,"Yelp")</f>
        <v>0</v>
      </c>
      <c r="G41" s="36">
        <f>SUMIFS(Clients!$AD$5:$AD$204,Clients!$I$5:$I$204,"Yelp")</f>
        <v>0</v>
      </c>
    </row>
    <row r="42" spans="1:12">
      <c r="A42" s="10" t="s">
        <v>605</v>
      </c>
      <c r="B42" s="31">
        <f>COUNTIFS(Leads!$H$5:$H$154,"Directory listing")</f>
        <v>0</v>
      </c>
      <c r="C42" s="31">
        <f>COUNTIFS(Leads!$H$5:$H$154,"Directory listing",Leads!$K$5:$K$154,"Won")</f>
        <v>0</v>
      </c>
      <c r="D42" s="31">
        <f>COUNTIFS(Leads!$H$5:$H$154,"Directory listing",Leads!$K$5:$K$154,"Lost")</f>
        <v>0</v>
      </c>
      <c r="E42" s="38">
        <f>IF(C42+D42=0,"",C42/(C42+D42))</f>
        <v>0</v>
      </c>
      <c r="F42" s="31">
        <f>COUNTIFS(Clients!$I$5:$I$204,"Directory listing")</f>
        <v>0</v>
      </c>
      <c r="G42" s="36">
        <f>SUMIFS(Clients!$AD$5:$AD$204,Clients!$I$5:$I$204,"Directory listing")</f>
        <v>0</v>
      </c>
    </row>
    <row r="43" spans="1:12">
      <c r="A43" s="10" t="s">
        <v>592</v>
      </c>
      <c r="B43" s="31">
        <f>COUNTIFS(Leads!$H$5:$H$154,"Referral - client")</f>
        <v>0</v>
      </c>
      <c r="C43" s="31">
        <f>COUNTIFS(Leads!$H$5:$H$154,"Referral - client",Leads!$K$5:$K$154,"Won")</f>
        <v>0</v>
      </c>
      <c r="D43" s="31">
        <f>COUNTIFS(Leads!$H$5:$H$154,"Referral - client",Leads!$K$5:$K$154,"Lost")</f>
        <v>0</v>
      </c>
      <c r="E43" s="38">
        <f>IF(C43+D43=0,"",C43/(C43+D43))</f>
        <v>0</v>
      </c>
      <c r="F43" s="31">
        <f>COUNTIFS(Clients!$I$5:$I$204,"Referral - client")</f>
        <v>0</v>
      </c>
      <c r="G43" s="36">
        <f>SUMIFS(Clients!$AD$5:$AD$204,Clients!$I$5:$I$204,"Referral - client")</f>
        <v>0</v>
      </c>
    </row>
    <row r="44" spans="1:12">
      <c r="A44" s="10" t="s">
        <v>690</v>
      </c>
      <c r="B44" s="31">
        <f>COUNTIFS(Leads!$H$5:$H$154,"Referral - staff")</f>
        <v>0</v>
      </c>
      <c r="C44" s="31">
        <f>COUNTIFS(Leads!$H$5:$H$154,"Referral - staff",Leads!$K$5:$K$154,"Won")</f>
        <v>0</v>
      </c>
      <c r="D44" s="31">
        <f>COUNTIFS(Leads!$H$5:$H$154,"Referral - staff",Leads!$K$5:$K$154,"Lost")</f>
        <v>0</v>
      </c>
      <c r="E44" s="38">
        <f>IF(C44+D44=0,"",C44/(C44+D44))</f>
        <v>0</v>
      </c>
      <c r="F44" s="31">
        <f>COUNTIFS(Clients!$I$5:$I$204,"Referral - staff")</f>
        <v>0</v>
      </c>
      <c r="G44" s="36">
        <f>SUMIFS(Clients!$AD$5:$AD$204,Clients!$I$5:$I$204,"Referral - staff")</f>
        <v>0</v>
      </c>
    </row>
    <row r="45" spans="1:12">
      <c r="A45" s="10" t="s">
        <v>714</v>
      </c>
      <c r="B45" s="31">
        <f>COUNTIFS(Leads!$H$5:$H$154,"Flyer / leaflet")</f>
        <v>0</v>
      </c>
      <c r="C45" s="31">
        <f>COUNTIFS(Leads!$H$5:$H$154,"Flyer / leaflet",Leads!$K$5:$K$154,"Won")</f>
        <v>0</v>
      </c>
      <c r="D45" s="31">
        <f>COUNTIFS(Leads!$H$5:$H$154,"Flyer / leaflet",Leads!$K$5:$K$154,"Lost")</f>
        <v>0</v>
      </c>
      <c r="E45" s="38">
        <f>IF(C45+D45=0,"",C45/(C45+D45))</f>
        <v>0</v>
      </c>
      <c r="F45" s="31">
        <f>COUNTIFS(Clients!$I$5:$I$204,"Flyer / leaflet")</f>
        <v>0</v>
      </c>
      <c r="G45" s="36">
        <f>SUMIFS(Clients!$AD$5:$AD$204,Clients!$I$5:$I$204,"Flyer / leaflet")</f>
        <v>0</v>
      </c>
    </row>
    <row r="46" spans="1:12">
      <c r="A46" s="10" t="s">
        <v>682</v>
      </c>
      <c r="B46" s="31">
        <f>COUNTIFS(Leads!$H$5:$H$154,"Van signage")</f>
        <v>0</v>
      </c>
      <c r="C46" s="31">
        <f>COUNTIFS(Leads!$H$5:$H$154,"Van signage",Leads!$K$5:$K$154,"Won")</f>
        <v>0</v>
      </c>
      <c r="D46" s="31">
        <f>COUNTIFS(Leads!$H$5:$H$154,"Van signage",Leads!$K$5:$K$154,"Lost")</f>
        <v>0</v>
      </c>
      <c r="E46" s="38">
        <f>IF(C46+D46=0,"",C46/(C46+D46))</f>
        <v>0</v>
      </c>
      <c r="F46" s="31">
        <f>COUNTIFS(Clients!$I$5:$I$204,"Van signage")</f>
        <v>0</v>
      </c>
      <c r="G46" s="36">
        <f>SUMIFS(Clients!$AD$5:$AD$204,Clients!$I$5:$I$204,"Van signage")</f>
        <v>0</v>
      </c>
    </row>
    <row r="47" spans="1:12">
      <c r="A47" s="10" t="s">
        <v>636</v>
      </c>
      <c r="B47" s="31">
        <f>COUNTIFS(Leads!$H$5:$H$154,"Word of mouth")</f>
        <v>0</v>
      </c>
      <c r="C47" s="31">
        <f>COUNTIFS(Leads!$H$5:$H$154,"Word of mouth",Leads!$K$5:$K$154,"Won")</f>
        <v>0</v>
      </c>
      <c r="D47" s="31">
        <f>COUNTIFS(Leads!$H$5:$H$154,"Word of mouth",Leads!$K$5:$K$154,"Lost")</f>
        <v>0</v>
      </c>
      <c r="E47" s="38">
        <f>IF(C47+D47=0,"",C47/(C47+D47))</f>
        <v>0</v>
      </c>
      <c r="F47" s="31">
        <f>COUNTIFS(Clients!$I$5:$I$204,"Word of mouth")</f>
        <v>0</v>
      </c>
      <c r="G47" s="36">
        <f>SUMIFS(Clients!$AD$5:$AD$204,Clients!$I$5:$I$204,"Word of mouth")</f>
        <v>0</v>
      </c>
    </row>
    <row r="48" spans="1:12">
      <c r="A48" s="10" t="s">
        <v>620</v>
      </c>
      <c r="B48" s="31">
        <f>COUNTIFS(Leads!$H$5:$H$154,"Letting agent")</f>
        <v>0</v>
      </c>
      <c r="C48" s="31">
        <f>COUNTIFS(Leads!$H$5:$H$154,"Letting agent",Leads!$K$5:$K$154,"Won")</f>
        <v>0</v>
      </c>
      <c r="D48" s="31">
        <f>COUNTIFS(Leads!$H$5:$H$154,"Letting agent",Leads!$K$5:$K$154,"Lost")</f>
        <v>0</v>
      </c>
      <c r="E48" s="38">
        <f>IF(C48+D48=0,"",C48/(C48+D48))</f>
        <v>0</v>
      </c>
      <c r="F48" s="31">
        <f>COUNTIFS(Clients!$I$5:$I$204,"Letting agent")</f>
        <v>0</v>
      </c>
      <c r="G48" s="36">
        <f>SUMIFS(Clients!$AD$5:$AD$204,Clients!$I$5:$I$204,"Letting agent")</f>
        <v>0</v>
      </c>
    </row>
    <row r="50" spans="1:12">
      <c r="A50" s="12" t="s">
        <v>2191</v>
      </c>
      <c r="B50" s="12"/>
      <c r="C50" s="12"/>
      <c r="D50" s="12"/>
      <c r="E50" s="12"/>
      <c r="F50" s="12"/>
      <c r="G50" s="12"/>
      <c r="H50" s="12"/>
      <c r="I50" s="12"/>
      <c r="J50" s="12"/>
      <c r="K50" s="12"/>
      <c r="L50" s="12"/>
    </row>
    <row r="52" spans="1:12" ht="20" customHeight="1">
      <c r="A52" s="7" t="s">
        <v>2192</v>
      </c>
      <c r="B52" s="7"/>
      <c r="C52" s="7"/>
      <c r="D52" s="7"/>
      <c r="E52" s="7"/>
      <c r="F52" s="7"/>
      <c r="G52" s="7"/>
      <c r="H52" s="7"/>
      <c r="I52" s="7"/>
      <c r="J52" s="7"/>
      <c r="K52" s="7"/>
      <c r="L52" s="7"/>
    </row>
    <row r="53" spans="1:12" ht="26" customHeight="1">
      <c r="A53" s="8" t="s">
        <v>1441</v>
      </c>
      <c r="B53" s="9" t="s">
        <v>399</v>
      </c>
      <c r="C53" s="9" t="s">
        <v>368</v>
      </c>
    </row>
    <row r="54" spans="1:12">
      <c r="A54" s="10" t="s">
        <v>2193</v>
      </c>
      <c r="B54" s="31">
        <f>COUNTIF(Quotes!$AJ$5:$AJ$204,"Yes")+COUNTIF(Quotes!$AJ$5:$AJ$204,"No")+COUNTIF(Quotes!$K$5:$K$204,"Sent")+COUNTIF(Quotes!$K$5:$K$204,"Followed up")</f>
        <v>0</v>
      </c>
      <c r="C54" s="23">
        <f>"Everything that left your desk with a price on it"</f>
        <v>0</v>
      </c>
      <c r="D54" s="23"/>
      <c r="E54" s="23"/>
      <c r="F54" s="23"/>
      <c r="G54" s="23"/>
      <c r="H54" s="23"/>
      <c r="I54" s="23"/>
      <c r="J54" s="23"/>
      <c r="K54" s="23"/>
      <c r="L54" s="23"/>
    </row>
    <row r="55" spans="1:12">
      <c r="A55" s="10" t="s">
        <v>2194</v>
      </c>
      <c r="B55" s="31">
        <f>COUNTIF(Quotes!$AJ$5:$AJ$204,"Yes")</f>
        <v>0</v>
      </c>
      <c r="C55" s="23">
        <f>"Accepted by the client"</f>
        <v>0</v>
      </c>
      <c r="D55" s="23"/>
      <c r="E55" s="23"/>
      <c r="F55" s="23"/>
      <c r="G55" s="23"/>
      <c r="H55" s="23"/>
      <c r="I55" s="23"/>
      <c r="J55" s="23"/>
      <c r="K55" s="23"/>
      <c r="L55" s="23"/>
    </row>
    <row r="56" spans="1:12">
      <c r="A56" s="10" t="s">
        <v>2188</v>
      </c>
      <c r="B56" s="38">
        <f>IFERROR(COUNTIF(Quotes!$AJ$5:$AJ$204,"Yes")/(COUNTIF(Quotes!$AJ$5:$AJ$204,"Yes")+COUNTIF(Quotes!$AJ$5:$AJ$204,"No")),"")</f>
        <v>0</v>
      </c>
      <c r="C56" s="23">
        <f>"Target "&amp;TEXT(QuoteWinTarget,"0%")&amp;". Winning every quote means you are too cheap"</f>
        <v>0</v>
      </c>
      <c r="D56" s="23"/>
      <c r="E56" s="23"/>
      <c r="F56" s="23"/>
      <c r="G56" s="23"/>
      <c r="H56" s="23"/>
      <c r="I56" s="23"/>
      <c r="J56" s="23"/>
      <c r="K56" s="23"/>
      <c r="L56" s="23"/>
    </row>
    <row r="57" spans="1:12">
      <c r="A57" s="10" t="s">
        <v>2195</v>
      </c>
      <c r="B57" s="21">
        <f>IFERROR(AVERAGEIFS(Quotes!$AB$5:$AB$204,Quotes!$AB$5:$AB$204,"&gt;0"),"")</f>
        <v>0</v>
      </c>
      <c r="C57" s="23">
        <f>"Across every quote you have raised"</f>
        <v>0</v>
      </c>
      <c r="D57" s="23"/>
      <c r="E57" s="23"/>
      <c r="F57" s="23"/>
      <c r="G57" s="23"/>
      <c r="H57" s="23"/>
      <c r="I57" s="23"/>
      <c r="J57" s="23"/>
      <c r="K57" s="23"/>
      <c r="L57" s="23"/>
    </row>
    <row r="58" spans="1:12">
      <c r="A58" s="10" t="s">
        <v>2196</v>
      </c>
      <c r="B58" s="21">
        <f>IFERROR(AVERAGEIFS(Quotes!$AB$5:$AB$204,Quotes!$AJ$5:$AJ$204,"Yes"),"")</f>
        <v>0</v>
      </c>
      <c r="C58" s="23">
        <f>"Compare it with the line above - if won quotes are much smaller, you are losing the big ones"</f>
        <v>0</v>
      </c>
      <c r="D58" s="23"/>
      <c r="E58" s="23"/>
      <c r="F58" s="23"/>
      <c r="G58" s="23"/>
      <c r="H58" s="23"/>
      <c r="I58" s="23"/>
      <c r="J58" s="23"/>
      <c r="K58" s="23"/>
      <c r="L58" s="23"/>
    </row>
    <row r="59" spans="1:12">
      <c r="A59" s="10" t="s">
        <v>2197</v>
      </c>
      <c r="B59" s="36">
        <f>SUMIFS(Quotes!$AB$5:$AB$204,Quotes!$K$5:$K$204,"Sent")+SUMIFS(Quotes!$AB$5:$AB$204,Quotes!$K$5:$K$204,"Followed up")</f>
        <v>0</v>
      </c>
      <c r="C59" s="23">
        <f>"Quotes with no answer yet"</f>
        <v>0</v>
      </c>
      <c r="D59" s="23"/>
      <c r="E59" s="23"/>
      <c r="F59" s="23"/>
      <c r="G59" s="23"/>
      <c r="H59" s="23"/>
      <c r="I59" s="23"/>
      <c r="J59" s="23"/>
      <c r="K59" s="23"/>
      <c r="L59" s="23"/>
    </row>
    <row r="60" spans="1:12">
      <c r="A60" s="10" t="s">
        <v>2198</v>
      </c>
      <c r="B60" s="34">
        <f>IFERROR(AVERAGEIFS(Quotes!$AH$5:$AH$204,Quotes!$AH$5:$AH$204,"&gt;0"),"")</f>
        <v>0</v>
      </c>
      <c r="C60" s="23">
        <f>"How long clients take to come back to you"</f>
        <v>0</v>
      </c>
      <c r="D60" s="23"/>
      <c r="E60" s="23"/>
      <c r="F60" s="23"/>
      <c r="G60" s="23"/>
      <c r="H60" s="23"/>
      <c r="I60" s="23"/>
      <c r="J60" s="23"/>
      <c r="K60" s="23"/>
      <c r="L60" s="23"/>
    </row>
    <row r="61" spans="1:12">
      <c r="A61" s="10" t="s">
        <v>2199</v>
      </c>
      <c r="B61" s="31">
        <f>COUNTIF(Quotes!$AI$5:$AI$204,"Yes")</f>
        <v>0</v>
      </c>
      <c r="C61" s="23">
        <f>"Quotes that ran out of time. Every one is money you already did the work for"</f>
        <v>0</v>
      </c>
      <c r="D61" s="23"/>
      <c r="E61" s="23"/>
      <c r="F61" s="23"/>
      <c r="G61" s="23"/>
      <c r="H61" s="23"/>
      <c r="I61" s="23"/>
      <c r="J61" s="23"/>
      <c r="K61" s="23"/>
      <c r="L61" s="23"/>
    </row>
    <row r="63" spans="1:12" ht="20" customHeight="1">
      <c r="A63" s="7" t="s">
        <v>2200</v>
      </c>
      <c r="B63" s="7"/>
      <c r="C63" s="7"/>
      <c r="D63" s="7"/>
      <c r="E63" s="7"/>
      <c r="F63" s="7"/>
      <c r="G63" s="7"/>
      <c r="H63" s="7"/>
      <c r="I63" s="7"/>
      <c r="J63" s="7"/>
      <c r="K63" s="7"/>
      <c r="L63" s="7"/>
    </row>
    <row r="64" spans="1:12" ht="26" customHeight="1">
      <c r="A64" s="8" t="s">
        <v>1441</v>
      </c>
      <c r="B64" s="9" t="s">
        <v>399</v>
      </c>
      <c r="C64" s="9" t="s">
        <v>368</v>
      </c>
    </row>
    <row r="65" spans="1:12">
      <c r="A65" s="10" t="s">
        <v>2201</v>
      </c>
      <c r="B65" s="31">
        <f>COUNTIF(Jobs!$P$5:$P$604,"Completed")+COUNTIF(Jobs!$P$5:$P$604,"Invoiced")</f>
        <v>0</v>
      </c>
      <c r="C65" s="23">
        <f>"Visits that happened"</f>
        <v>0</v>
      </c>
      <c r="D65" s="23"/>
      <c r="E65" s="23"/>
      <c r="F65" s="23"/>
      <c r="G65" s="23"/>
      <c r="H65" s="23"/>
      <c r="I65" s="23"/>
      <c r="J65" s="23"/>
      <c r="K65" s="23"/>
      <c r="L65" s="23"/>
    </row>
    <row r="66" spans="1:12">
      <c r="A66" s="10" t="s">
        <v>562</v>
      </c>
      <c r="B66" s="31">
        <f>COUNTIF(Jobs!$P$5:$P$604,"Cancelled")</f>
        <v>0</v>
      </c>
      <c r="C66" s="23">
        <f>"Every cancellation is an empty slot you could have sold"</f>
        <v>0</v>
      </c>
      <c r="D66" s="23"/>
      <c r="E66" s="23"/>
      <c r="F66" s="23"/>
      <c r="G66" s="23"/>
      <c r="H66" s="23"/>
      <c r="I66" s="23"/>
      <c r="J66" s="23"/>
      <c r="K66" s="23"/>
      <c r="L66" s="23"/>
    </row>
    <row r="67" spans="1:12">
      <c r="A67" s="10" t="s">
        <v>1148</v>
      </c>
      <c r="B67" s="31">
        <f>COUNTIF(Jobs!$P$5:$P$604,"No access")</f>
        <v>0</v>
      </c>
      <c r="C67" s="23">
        <f>"Turned up, could not get in. Charge for these or they repeat"</f>
        <v>0</v>
      </c>
      <c r="D67" s="23"/>
      <c r="E67" s="23"/>
      <c r="F67" s="23"/>
      <c r="G67" s="23"/>
      <c r="H67" s="23"/>
      <c r="I67" s="23"/>
      <c r="J67" s="23"/>
      <c r="K67" s="23"/>
      <c r="L67" s="23"/>
    </row>
    <row r="68" spans="1:12">
      <c r="A68" s="10" t="s">
        <v>570</v>
      </c>
      <c r="B68" s="34">
        <f>IFERROR(AVERAGEIFS(Jobs!$AA$5:$AA$604,Jobs!$AA$5:$AA$604,"&gt;0"),"")</f>
        <v>0</v>
      </c>
      <c r="C68" s="23">
        <f>"Target "&amp;TEXT(SatisfactionTarget,"0.0")&amp;" out of 5"</f>
        <v>0</v>
      </c>
      <c r="D68" s="23"/>
      <c r="E68" s="23"/>
      <c r="F68" s="23"/>
      <c r="G68" s="23"/>
      <c r="H68" s="23"/>
      <c r="I68" s="23"/>
      <c r="J68" s="23"/>
      <c r="K68" s="23"/>
      <c r="L68" s="23"/>
    </row>
    <row r="69" spans="1:12">
      <c r="A69" s="10" t="s">
        <v>2202</v>
      </c>
      <c r="B69" s="38">
        <f>IFERROR(AVERAGEIFS(Jobs!$AO$5:$AO$604,Jobs!$AO$5:$AO$604,"&gt;0"),"")</f>
        <v>0</v>
      </c>
      <c r="C69" s="23">
        <f>"Across every job with a checklist against it"</f>
        <v>0</v>
      </c>
      <c r="D69" s="23"/>
      <c r="E69" s="23"/>
      <c r="F69" s="23"/>
      <c r="G69" s="23"/>
      <c r="H69" s="23"/>
      <c r="I69" s="23"/>
      <c r="J69" s="23"/>
      <c r="K69" s="23"/>
      <c r="L69" s="23"/>
    </row>
    <row r="70" spans="1:12">
      <c r="A70" s="10" t="s">
        <v>2203</v>
      </c>
      <c r="B70" s="31">
        <f>COUNTIF('Job Costing'!$AA$5:$AA$604,"Check - ran over*")</f>
        <v>0</v>
      </c>
      <c r="C70" s="23">
        <f>"More hours than the estimate. A pricing problem, not a people problem"</f>
        <v>0</v>
      </c>
      <c r="D70" s="23"/>
      <c r="E70" s="23"/>
      <c r="F70" s="23"/>
      <c r="G70" s="23"/>
      <c r="H70" s="23"/>
      <c r="I70" s="23"/>
      <c r="J70" s="23"/>
      <c r="K70" s="23"/>
      <c r="L70" s="23"/>
    </row>
    <row r="71" spans="1:12">
      <c r="A71" s="10" t="s">
        <v>390</v>
      </c>
      <c r="B71" s="31">
        <f>COUNTIF('Job Costing'!$AA$5:$AA$604,"Loss*")</f>
        <v>0</v>
      </c>
      <c r="C71" s="23">
        <f>"Cost more than they earned"</f>
        <v>0</v>
      </c>
      <c r="D71" s="23"/>
      <c r="E71" s="23"/>
      <c r="F71" s="23"/>
      <c r="G71" s="23"/>
      <c r="H71" s="23"/>
      <c r="I71" s="23"/>
      <c r="J71" s="23"/>
      <c r="K71" s="23"/>
      <c r="L71" s="23"/>
    </row>
    <row r="72" spans="1:12">
      <c r="A72" s="10" t="s">
        <v>2204</v>
      </c>
      <c r="B72" s="21">
        <f>IFERROR(AVERAGEIFS('Job Costing'!$U$5:$U$604,'Job Costing'!$J$5:$J$604,"&gt;0"),"")</f>
        <v>0</v>
      </c>
      <c r="C72" s="23">
        <f>"After wages, supplies and travel"</f>
        <v>0</v>
      </c>
      <c r="D72" s="23"/>
      <c r="E72" s="23"/>
      <c r="F72" s="23"/>
      <c r="G72" s="23"/>
      <c r="H72" s="23"/>
      <c r="I72" s="23"/>
      <c r="J72" s="23"/>
      <c r="K72" s="23"/>
      <c r="L72" s="23"/>
    </row>
    <row r="73" spans="1:12">
      <c r="A73" s="10" t="s">
        <v>2205</v>
      </c>
      <c r="B73" s="21">
        <f>IFERROR(AVERAGEIFS('Job Costing'!$W$5:$W$604,'Job Costing'!$W$5:$W$604,"&gt;0"),"")</f>
        <v>0</v>
      </c>
      <c r="C73" s="23">
        <f>"The number to compare every job against"</f>
        <v>0</v>
      </c>
      <c r="D73" s="23"/>
      <c r="E73" s="23"/>
      <c r="F73" s="23"/>
      <c r="G73" s="23"/>
      <c r="H73" s="23"/>
      <c r="I73" s="23"/>
      <c r="J73" s="23"/>
      <c r="K73" s="23"/>
      <c r="L73" s="23"/>
    </row>
    <row r="74" spans="1:12">
      <c r="A74" s="10" t="s">
        <v>2206</v>
      </c>
      <c r="B74" s="38">
        <f>IFERROR(SUMIFS(Timesheets!$U$5:$U$804,Timesheets!$P$5:$P$804,"Yes")/SUM(Timesheets!$U$5:$U$804),"")</f>
        <v>0</v>
      </c>
      <c r="C74" s="23">
        <f>"Billed hours as a share of paid hours. Target "&amp;TEXT(UtilisationTarget,"0%")</f>
        <v>0</v>
      </c>
      <c r="D74" s="23"/>
      <c r="E74" s="23"/>
      <c r="F74" s="23"/>
      <c r="G74" s="23"/>
      <c r="H74" s="23"/>
      <c r="I74" s="23"/>
      <c r="J74" s="23"/>
      <c r="K74" s="23"/>
      <c r="L74" s="23"/>
    </row>
    <row r="75" spans="1:12">
      <c r="A75" s="10" t="s">
        <v>2207</v>
      </c>
      <c r="B75" s="34">
        <f>IFERROR(COUNTIF(Complaints!$B$5:$B$84,"&gt;0")/(COUNTIF(Jobs!$P$5:$P$604,"Completed")+COUNTIF(Jobs!$P$5:$P$604,"Invoiced"))*100,"")</f>
        <v>0</v>
      </c>
      <c r="C75" s="23">
        <f>"Under two is good. Under one is exceptional"</f>
        <v>0</v>
      </c>
      <c r="D75" s="23"/>
      <c r="E75" s="23"/>
      <c r="F75" s="23"/>
      <c r="G75" s="23"/>
      <c r="H75" s="23"/>
      <c r="I75" s="23"/>
      <c r="J75" s="23"/>
      <c r="K75" s="23"/>
      <c r="L75" s="23"/>
    </row>
    <row r="77" spans="1:12" ht="20" customHeight="1">
      <c r="A77" s="7" t="s">
        <v>2208</v>
      </c>
      <c r="B77" s="7"/>
      <c r="C77" s="7"/>
      <c r="D77" s="7"/>
      <c r="E77" s="7"/>
      <c r="F77" s="7"/>
      <c r="G77" s="7"/>
      <c r="H77" s="7"/>
      <c r="I77" s="7"/>
      <c r="J77" s="7"/>
      <c r="K77" s="7"/>
      <c r="L77" s="7"/>
    </row>
    <row r="78" spans="1:12" ht="26" customHeight="1">
      <c r="A78" s="8" t="s">
        <v>950</v>
      </c>
      <c r="B78" s="9" t="s">
        <v>2209</v>
      </c>
      <c r="C78" s="9" t="s">
        <v>2210</v>
      </c>
      <c r="D78" s="9" t="s">
        <v>2211</v>
      </c>
      <c r="E78" s="9" t="s">
        <v>2212</v>
      </c>
    </row>
    <row r="79" spans="1:12">
      <c r="A79" s="10" t="s">
        <v>1882</v>
      </c>
      <c r="B79" s="21">
        <f>SUMIFS(Expenses!$Q$5:$Q$404,Expenses!$D$5:$D$404,"Cleaning supplies",Expenses!$C$5:$C$404,DashKey)</f>
        <v>0</v>
      </c>
      <c r="C79" s="36">
        <f>SUMIFS(Expenses!$Q$5:$Q$404,Expenses!$D$5:$D$404,"Cleaning supplies",Expenses!$B$5:$B$404,"&gt;="&amp;DATE(PlanYear,1,1),Expenses!$B$5:$B$404,"&lt;="&amp;DATE(PlanYear,12,31))</f>
        <v>0</v>
      </c>
      <c r="D79" s="38">
        <f>IFERROR(C79/SUMIFS(Expenses!$Q$5:$Q$404,Expenses!$B$5:$B$404,"&gt;="&amp;DATE(PlanYear,1,1),Expenses!$B$5:$B$404,"&lt;="&amp;DATE(PlanYear,12,31)),"")</f>
        <v>0</v>
      </c>
      <c r="E79" s="21">
        <f>C79/12</f>
        <v>0</v>
      </c>
    </row>
    <row r="80" spans="1:12">
      <c r="A80" s="10" t="s">
        <v>1900</v>
      </c>
      <c r="B80" s="21">
        <f>SUMIFS(Expenses!$Q$5:$Q$404,Expenses!$D$5:$D$404,"Equipment purchase",Expenses!$C$5:$C$404,DashKey)</f>
        <v>0</v>
      </c>
      <c r="C80" s="36">
        <f>SUMIFS(Expenses!$Q$5:$Q$404,Expenses!$D$5:$D$404,"Equipment purchase",Expenses!$B$5:$B$404,"&gt;="&amp;DATE(PlanYear,1,1),Expenses!$B$5:$B$404,"&lt;="&amp;DATE(PlanYear,12,31))</f>
        <v>0</v>
      </c>
      <c r="D80" s="38">
        <f>IFERROR(C80/SUMIFS(Expenses!$Q$5:$Q$404,Expenses!$B$5:$B$404,"&gt;="&amp;DATE(PlanYear,1,1),Expenses!$B$5:$B$404,"&lt;="&amp;DATE(PlanYear,12,31)),"")</f>
        <v>0</v>
      </c>
      <c r="E80" s="21">
        <f>C80/12</f>
        <v>0</v>
      </c>
    </row>
    <row r="81" spans="1:5">
      <c r="A81" s="10" t="s">
        <v>1890</v>
      </c>
      <c r="B81" s="21">
        <f>SUMIFS(Expenses!$Q$5:$Q$404,Expenses!$D$5:$D$404,"Equipment repair",Expenses!$C$5:$C$404,DashKey)</f>
        <v>0</v>
      </c>
      <c r="C81" s="36">
        <f>SUMIFS(Expenses!$Q$5:$Q$404,Expenses!$D$5:$D$404,"Equipment repair",Expenses!$B$5:$B$404,"&gt;="&amp;DATE(PlanYear,1,1),Expenses!$B$5:$B$404,"&lt;="&amp;DATE(PlanYear,12,31))</f>
        <v>0</v>
      </c>
      <c r="D81" s="38">
        <f>IFERROR(C81/SUMIFS(Expenses!$Q$5:$Q$404,Expenses!$B$5:$B$404,"&gt;="&amp;DATE(PlanYear,1,1),Expenses!$B$5:$B$404,"&lt;="&amp;DATE(PlanYear,12,31)),"")</f>
        <v>0</v>
      </c>
      <c r="E81" s="21">
        <f>C81/12</f>
        <v>0</v>
      </c>
    </row>
    <row r="82" spans="1:5">
      <c r="A82" s="10" t="s">
        <v>1877</v>
      </c>
      <c r="B82" s="21">
        <f>SUMIFS(Expenses!$Q$5:$Q$404,Expenses!$D$5:$D$404,"Vehicle fuel",Expenses!$C$5:$C$404,DashKey)</f>
        <v>0</v>
      </c>
      <c r="C82" s="36">
        <f>SUMIFS(Expenses!$Q$5:$Q$404,Expenses!$D$5:$D$404,"Vehicle fuel",Expenses!$B$5:$B$404,"&gt;="&amp;DATE(PlanYear,1,1),Expenses!$B$5:$B$404,"&lt;="&amp;DATE(PlanYear,12,31))</f>
        <v>0</v>
      </c>
      <c r="D82" s="38">
        <f>IFERROR(C82/SUMIFS(Expenses!$Q$5:$Q$404,Expenses!$B$5:$B$404,"&gt;="&amp;DATE(PlanYear,1,1),Expenses!$B$5:$B$404,"&lt;="&amp;DATE(PlanYear,12,31)),"")</f>
        <v>0</v>
      </c>
      <c r="E82" s="21">
        <f>C82/12</f>
        <v>0</v>
      </c>
    </row>
    <row r="83" spans="1:5">
      <c r="A83" s="10" t="s">
        <v>1904</v>
      </c>
      <c r="B83" s="21">
        <f>SUMIFS(Expenses!$Q$5:$Q$404,Expenses!$D$5:$D$404,"Vehicle maintenance",Expenses!$C$5:$C$404,DashKey)</f>
        <v>0</v>
      </c>
      <c r="C83" s="36">
        <f>SUMIFS(Expenses!$Q$5:$Q$404,Expenses!$D$5:$D$404,"Vehicle maintenance",Expenses!$B$5:$B$404,"&gt;="&amp;DATE(PlanYear,1,1),Expenses!$B$5:$B$404,"&lt;="&amp;DATE(PlanYear,12,31))</f>
        <v>0</v>
      </c>
      <c r="D83" s="38">
        <f>IFERROR(C83/SUMIFS(Expenses!$Q$5:$Q$404,Expenses!$B$5:$B$404,"&gt;="&amp;DATE(PlanYear,1,1),Expenses!$B$5:$B$404,"&lt;="&amp;DATE(PlanYear,12,31)),"")</f>
        <v>0</v>
      </c>
      <c r="E83" s="21">
        <f>C83/12</f>
        <v>0</v>
      </c>
    </row>
    <row r="84" spans="1:5">
      <c r="A84" s="10" t="s">
        <v>1855</v>
      </c>
      <c r="B84" s="21">
        <f>SUMIFS(Expenses!$Q$5:$Q$404,Expenses!$D$5:$D$404,"Business insurance",Expenses!$C$5:$C$404,DashKey)</f>
        <v>0</v>
      </c>
      <c r="C84" s="36">
        <f>SUMIFS(Expenses!$Q$5:$Q$404,Expenses!$D$5:$D$404,"Business insurance",Expenses!$B$5:$B$404,"&gt;="&amp;DATE(PlanYear,1,1),Expenses!$B$5:$B$404,"&lt;="&amp;DATE(PlanYear,12,31))</f>
        <v>0</v>
      </c>
      <c r="D84" s="38">
        <f>IFERROR(C84/SUMIFS(Expenses!$Q$5:$Q$404,Expenses!$B$5:$B$404,"&gt;="&amp;DATE(PlanYear,1,1),Expenses!$B$5:$B$404,"&lt;="&amp;DATE(PlanYear,12,31)),"")</f>
        <v>0</v>
      </c>
      <c r="E84" s="21">
        <f>C84/12</f>
        <v>0</v>
      </c>
    </row>
    <row r="85" spans="1:5">
      <c r="A85" s="10" t="s">
        <v>1913</v>
      </c>
      <c r="B85" s="21">
        <f>SUMIFS(Expenses!$Q$5:$Q$404,Expenses!$D$5:$D$404,"Wages &amp; payroll",Expenses!$C$5:$C$404,DashKey)</f>
        <v>0</v>
      </c>
      <c r="C85" s="36">
        <f>SUMIFS(Expenses!$Q$5:$Q$404,Expenses!$D$5:$D$404,"Wages &amp; payroll",Expenses!$B$5:$B$404,"&gt;="&amp;DATE(PlanYear,1,1),Expenses!$B$5:$B$404,"&lt;="&amp;DATE(PlanYear,12,31))</f>
        <v>0</v>
      </c>
      <c r="D85" s="38">
        <f>IFERROR(C85/SUMIFS(Expenses!$Q$5:$Q$404,Expenses!$B$5:$B$404,"&gt;="&amp;DATE(PlanYear,1,1),Expenses!$B$5:$B$404,"&lt;="&amp;DATE(PlanYear,12,31)),"")</f>
        <v>0</v>
      </c>
      <c r="E85" s="21">
        <f>C85/12</f>
        <v>0</v>
      </c>
    </row>
    <row r="86" spans="1:5">
      <c r="A86" s="10" t="s">
        <v>1886</v>
      </c>
      <c r="B86" s="21">
        <f>SUMIFS(Expenses!$Q$5:$Q$404,Expenses!$D$5:$D$404,"Subcontractors",Expenses!$C$5:$C$404,DashKey)</f>
        <v>0</v>
      </c>
      <c r="C86" s="36">
        <f>SUMIFS(Expenses!$Q$5:$Q$404,Expenses!$D$5:$D$404,"Subcontractors",Expenses!$B$5:$B$404,"&gt;="&amp;DATE(PlanYear,1,1),Expenses!$B$5:$B$404,"&lt;="&amp;DATE(PlanYear,12,31))</f>
        <v>0</v>
      </c>
      <c r="D86" s="38">
        <f>IFERROR(C86/SUMIFS(Expenses!$Q$5:$Q$404,Expenses!$B$5:$B$404,"&gt;="&amp;DATE(PlanYear,1,1),Expenses!$B$5:$B$404,"&lt;="&amp;DATE(PlanYear,12,31)),"")</f>
        <v>0</v>
      </c>
      <c r="E86" s="21">
        <f>C86/12</f>
        <v>0</v>
      </c>
    </row>
    <row r="87" spans="1:5">
      <c r="A87" s="10" t="s">
        <v>1869</v>
      </c>
      <c r="B87" s="21">
        <f>SUMIFS(Expenses!$Q$5:$Q$404,Expenses!$D$5:$D$404,"Marketing &amp; advertising",Expenses!$C$5:$C$404,DashKey)</f>
        <v>0</v>
      </c>
      <c r="C87" s="36">
        <f>SUMIFS(Expenses!$Q$5:$Q$404,Expenses!$D$5:$D$404,"Marketing &amp; advertising",Expenses!$B$5:$B$404,"&gt;="&amp;DATE(PlanYear,1,1),Expenses!$B$5:$B$404,"&lt;="&amp;DATE(PlanYear,12,31))</f>
        <v>0</v>
      </c>
      <c r="D87" s="38">
        <f>IFERROR(C87/SUMIFS(Expenses!$Q$5:$Q$404,Expenses!$B$5:$B$404,"&gt;="&amp;DATE(PlanYear,1,1),Expenses!$B$5:$B$404,"&lt;="&amp;DATE(PlanYear,12,31)),"")</f>
        <v>0</v>
      </c>
      <c r="E87" s="21">
        <f>C87/12</f>
        <v>0</v>
      </c>
    </row>
    <row r="88" spans="1:5">
      <c r="A88" s="10" t="s">
        <v>1863</v>
      </c>
      <c r="B88" s="21">
        <f>SUMIFS(Expenses!$Q$5:$Q$404,Expenses!$D$5:$D$404,"Software &amp; apps",Expenses!$C$5:$C$404,DashKey)</f>
        <v>0</v>
      </c>
      <c r="C88" s="36">
        <f>SUMIFS(Expenses!$Q$5:$Q$404,Expenses!$D$5:$D$404,"Software &amp; apps",Expenses!$B$5:$B$404,"&gt;="&amp;DATE(PlanYear,1,1),Expenses!$B$5:$B$404,"&lt;="&amp;DATE(PlanYear,12,31))</f>
        <v>0</v>
      </c>
      <c r="D88" s="38">
        <f>IFERROR(C88/SUMIFS(Expenses!$Q$5:$Q$404,Expenses!$B$5:$B$404,"&gt;="&amp;DATE(PlanYear,1,1),Expenses!$B$5:$B$404,"&lt;="&amp;DATE(PlanYear,12,31)),"")</f>
        <v>0</v>
      </c>
      <c r="E88" s="21">
        <f>C88/12</f>
        <v>0</v>
      </c>
    </row>
    <row r="89" spans="1:5">
      <c r="A89" s="10" t="s">
        <v>1866</v>
      </c>
      <c r="B89" s="21">
        <f>SUMIFS(Expenses!$Q$5:$Q$404,Expenses!$D$5:$D$404,"Phone &amp; internet",Expenses!$C$5:$C$404,DashKey)</f>
        <v>0</v>
      </c>
      <c r="C89" s="36">
        <f>SUMIFS(Expenses!$Q$5:$Q$404,Expenses!$D$5:$D$404,"Phone &amp; internet",Expenses!$B$5:$B$404,"&gt;="&amp;DATE(PlanYear,1,1),Expenses!$B$5:$B$404,"&lt;="&amp;DATE(PlanYear,12,31))</f>
        <v>0</v>
      </c>
      <c r="D89" s="38">
        <f>IFERROR(C89/SUMIFS(Expenses!$Q$5:$Q$404,Expenses!$B$5:$B$404,"&gt;="&amp;DATE(PlanYear,1,1),Expenses!$B$5:$B$404,"&lt;="&amp;DATE(PlanYear,12,31)),"")</f>
        <v>0</v>
      </c>
      <c r="E89" s="21">
        <f>C89/12</f>
        <v>0</v>
      </c>
    </row>
    <row r="90" spans="1:5">
      <c r="A90" s="10" t="s">
        <v>1872</v>
      </c>
      <c r="B90" s="21">
        <f>SUMIFS(Expenses!$Q$5:$Q$404,Expenses!$D$5:$D$404,"Office &amp; rent",Expenses!$C$5:$C$404,DashKey)</f>
        <v>0</v>
      </c>
      <c r="C90" s="36">
        <f>SUMIFS(Expenses!$Q$5:$Q$404,Expenses!$D$5:$D$404,"Office &amp; rent",Expenses!$B$5:$B$404,"&gt;="&amp;DATE(PlanYear,1,1),Expenses!$B$5:$B$404,"&lt;="&amp;DATE(PlanYear,12,31))</f>
        <v>0</v>
      </c>
      <c r="D90" s="38">
        <f>IFERROR(C90/SUMIFS(Expenses!$Q$5:$Q$404,Expenses!$B$5:$B$404,"&gt;="&amp;DATE(PlanYear,1,1),Expenses!$B$5:$B$404,"&lt;="&amp;DATE(PlanYear,12,31)),"")</f>
        <v>0</v>
      </c>
      <c r="E90" s="21">
        <f>C90/12</f>
        <v>0</v>
      </c>
    </row>
    <row r="91" spans="1:5">
      <c r="A91" s="10" t="s">
        <v>1897</v>
      </c>
      <c r="B91" s="21">
        <f>SUMIFS(Expenses!$Q$5:$Q$404,Expenses!$D$5:$D$404,"Uniforms",Expenses!$C$5:$C$404,DashKey)</f>
        <v>0</v>
      </c>
      <c r="C91" s="36">
        <f>SUMIFS(Expenses!$Q$5:$Q$404,Expenses!$D$5:$D$404,"Uniforms",Expenses!$B$5:$B$404,"&gt;="&amp;DATE(PlanYear,1,1),Expenses!$B$5:$B$404,"&lt;="&amp;DATE(PlanYear,12,31))</f>
        <v>0</v>
      </c>
      <c r="D91" s="38">
        <f>IFERROR(C91/SUMIFS(Expenses!$Q$5:$Q$404,Expenses!$B$5:$B$404,"&gt;="&amp;DATE(PlanYear,1,1),Expenses!$B$5:$B$404,"&lt;="&amp;DATE(PlanYear,12,31)),"")</f>
        <v>0</v>
      </c>
      <c r="E91" s="21">
        <f>C91/12</f>
        <v>0</v>
      </c>
    </row>
    <row r="92" spans="1:5">
      <c r="A92" s="10" t="s">
        <v>1894</v>
      </c>
      <c r="B92" s="21">
        <f>SUMIFS(Expenses!$Q$5:$Q$404,Expenses!$D$5:$D$404,"Training &amp; certification",Expenses!$C$5:$C$404,DashKey)</f>
        <v>0</v>
      </c>
      <c r="C92" s="36">
        <f>SUMIFS(Expenses!$Q$5:$Q$404,Expenses!$D$5:$D$404,"Training &amp; certification",Expenses!$B$5:$B$404,"&gt;="&amp;DATE(PlanYear,1,1),Expenses!$B$5:$B$404,"&lt;="&amp;DATE(PlanYear,12,31))</f>
        <v>0</v>
      </c>
      <c r="D92" s="38">
        <f>IFERROR(C92/SUMIFS(Expenses!$Q$5:$Q$404,Expenses!$B$5:$B$404,"&gt;="&amp;DATE(PlanYear,1,1),Expenses!$B$5:$B$404,"&lt;="&amp;DATE(PlanYear,12,31)),"")</f>
        <v>0</v>
      </c>
      <c r="E92" s="21">
        <f>C92/12</f>
        <v>0</v>
      </c>
    </row>
    <row r="93" spans="1:5">
      <c r="A93" s="10" t="s">
        <v>1875</v>
      </c>
      <c r="B93" s="21">
        <f>SUMIFS(Expenses!$Q$5:$Q$404,Expenses!$D$5:$D$404,"Accounting &amp; legal",Expenses!$C$5:$C$404,DashKey)</f>
        <v>0</v>
      </c>
      <c r="C93" s="36">
        <f>SUMIFS(Expenses!$Q$5:$Q$404,Expenses!$D$5:$D$404,"Accounting &amp; legal",Expenses!$B$5:$B$404,"&gt;="&amp;DATE(PlanYear,1,1),Expenses!$B$5:$B$404,"&lt;="&amp;DATE(PlanYear,12,31))</f>
        <v>0</v>
      </c>
      <c r="D93" s="38">
        <f>IFERROR(C93/SUMIFS(Expenses!$Q$5:$Q$404,Expenses!$B$5:$B$404,"&gt;="&amp;DATE(PlanYear,1,1),Expenses!$B$5:$B$404,"&lt;="&amp;DATE(PlanYear,12,31)),"")</f>
        <v>0</v>
      </c>
      <c r="E93" s="21">
        <f>C93/12</f>
        <v>0</v>
      </c>
    </row>
    <row r="94" spans="1:5">
      <c r="A94" s="10" t="s">
        <v>1907</v>
      </c>
      <c r="B94" s="21">
        <f>SUMIFS(Expenses!$Q$5:$Q$404,Expenses!$D$5:$D$404,"Bank &amp; card fees",Expenses!$C$5:$C$404,DashKey)</f>
        <v>0</v>
      </c>
      <c r="C94" s="36">
        <f>SUMIFS(Expenses!$Q$5:$Q$404,Expenses!$D$5:$D$404,"Bank &amp; card fees",Expenses!$B$5:$B$404,"&gt;="&amp;DATE(PlanYear,1,1),Expenses!$B$5:$B$404,"&lt;="&amp;DATE(PlanYear,12,31))</f>
        <v>0</v>
      </c>
      <c r="D94" s="38">
        <f>IFERROR(C94/SUMIFS(Expenses!$Q$5:$Q$404,Expenses!$B$5:$B$404,"&gt;="&amp;DATE(PlanYear,1,1),Expenses!$B$5:$B$404,"&lt;="&amp;DATE(PlanYear,12,31)),"")</f>
        <v>0</v>
      </c>
      <c r="E94" s="21">
        <f>C94/12</f>
        <v>0</v>
      </c>
    </row>
    <row r="95" spans="1:5">
      <c r="A95" s="10" t="s">
        <v>1744</v>
      </c>
      <c r="B95" s="21">
        <f>SUMIFS(Expenses!$Q$5:$Q$404,Expenses!$D$5:$D$404,"Laundry",Expenses!$C$5:$C$404,DashKey)</f>
        <v>0</v>
      </c>
      <c r="C95" s="36">
        <f>SUMIFS(Expenses!$Q$5:$Q$404,Expenses!$D$5:$D$404,"Laundry",Expenses!$B$5:$B$404,"&gt;="&amp;DATE(PlanYear,1,1),Expenses!$B$5:$B$404,"&lt;="&amp;DATE(PlanYear,12,31))</f>
        <v>0</v>
      </c>
      <c r="D95" s="38">
        <f>IFERROR(C95/SUMIFS(Expenses!$Q$5:$Q$404,Expenses!$B$5:$B$404,"&gt;="&amp;DATE(PlanYear,1,1),Expenses!$B$5:$B$404,"&lt;="&amp;DATE(PlanYear,12,31)),"")</f>
        <v>0</v>
      </c>
      <c r="E95" s="21">
        <f>C95/12</f>
        <v>0</v>
      </c>
    </row>
    <row r="96" spans="1:5">
      <c r="A96" s="10" t="s">
        <v>1910</v>
      </c>
      <c r="B96" s="21">
        <f>SUMIFS(Expenses!$Q$5:$Q$404,Expenses!$D$5:$D$404,"Waste disposal",Expenses!$C$5:$C$404,DashKey)</f>
        <v>0</v>
      </c>
      <c r="C96" s="36">
        <f>SUMIFS(Expenses!$Q$5:$Q$404,Expenses!$D$5:$D$404,"Waste disposal",Expenses!$B$5:$B$404,"&gt;="&amp;DATE(PlanYear,1,1),Expenses!$B$5:$B$404,"&lt;="&amp;DATE(PlanYear,12,31))</f>
        <v>0</v>
      </c>
      <c r="D96" s="38">
        <f>IFERROR(C96/SUMIFS(Expenses!$Q$5:$Q$404,Expenses!$B$5:$B$404,"&gt;="&amp;DATE(PlanYear,1,1),Expenses!$B$5:$B$404,"&lt;="&amp;DATE(PlanYear,12,31)),"")</f>
        <v>0</v>
      </c>
      <c r="E96" s="21">
        <f>C96/12</f>
        <v>0</v>
      </c>
    </row>
    <row r="97" spans="1:12">
      <c r="A97" s="10" t="s">
        <v>2213</v>
      </c>
      <c r="B97" s="21">
        <f>SUMIFS(Expenses!$Q$5:$Q$404,Expenses!$D$5:$D$404,"Travel &amp; parking",Expenses!$C$5:$C$404,DashKey)</f>
        <v>0</v>
      </c>
      <c r="C97" s="36">
        <f>SUMIFS(Expenses!$Q$5:$Q$404,Expenses!$D$5:$D$404,"Travel &amp; parking",Expenses!$B$5:$B$404,"&gt;="&amp;DATE(PlanYear,1,1),Expenses!$B$5:$B$404,"&lt;="&amp;DATE(PlanYear,12,31))</f>
        <v>0</v>
      </c>
      <c r="D97" s="38">
        <f>IFERROR(C97/SUMIFS(Expenses!$Q$5:$Q$404,Expenses!$B$5:$B$404,"&gt;="&amp;DATE(PlanYear,1,1),Expenses!$B$5:$B$404,"&lt;="&amp;DATE(PlanYear,12,31)),"")</f>
        <v>0</v>
      </c>
      <c r="E97" s="21">
        <f>C97/12</f>
        <v>0</v>
      </c>
    </row>
    <row r="98" spans="1:12">
      <c r="A98" s="10" t="s">
        <v>2214</v>
      </c>
      <c r="B98" s="21">
        <f>SUMIFS(Expenses!$Q$5:$Q$404,Expenses!$D$5:$D$404,"Other",Expenses!$C$5:$C$404,DashKey)</f>
        <v>0</v>
      </c>
      <c r="C98" s="36">
        <f>SUMIFS(Expenses!$Q$5:$Q$404,Expenses!$D$5:$D$404,"Other",Expenses!$B$5:$B$404,"&gt;="&amp;DATE(PlanYear,1,1),Expenses!$B$5:$B$404,"&lt;="&amp;DATE(PlanYear,12,31))</f>
        <v>0</v>
      </c>
      <c r="D98" s="38">
        <f>IFERROR(C98/SUMIFS(Expenses!$Q$5:$Q$404,Expenses!$B$5:$B$404,"&gt;="&amp;DATE(PlanYear,1,1),Expenses!$B$5:$B$404,"&lt;="&amp;DATE(PlanYear,12,31)),"")</f>
        <v>0</v>
      </c>
      <c r="E98" s="21">
        <f>C98/12</f>
        <v>0</v>
      </c>
    </row>
    <row r="99" spans="1:12">
      <c r="A99" s="10" t="s">
        <v>471</v>
      </c>
      <c r="B99" s="37">
        <f>SUM(B79:B98)</f>
        <v>0</v>
      </c>
      <c r="C99" s="37">
        <f>SUM(C79:C98)</f>
        <v>0</v>
      </c>
    </row>
    <row r="101" spans="1:12" ht="20" customHeight="1">
      <c r="A101" s="7" t="s">
        <v>2215</v>
      </c>
      <c r="B101" s="7"/>
      <c r="C101" s="7"/>
      <c r="D101" s="7"/>
      <c r="E101" s="7"/>
      <c r="F101" s="7"/>
      <c r="G101" s="7"/>
      <c r="H101" s="7"/>
      <c r="I101" s="7"/>
      <c r="J101" s="7"/>
      <c r="K101" s="7"/>
      <c r="L101" s="7"/>
    </row>
    <row r="102" spans="1:12" ht="26" customHeight="1">
      <c r="A102" s="8" t="s">
        <v>2216</v>
      </c>
      <c r="B102" s="9" t="s">
        <v>375</v>
      </c>
      <c r="C102" s="9" t="s">
        <v>1649</v>
      </c>
      <c r="D102" s="9" t="s">
        <v>88</v>
      </c>
    </row>
    <row r="103" spans="1:12">
      <c r="A103" s="10" t="s">
        <v>2217</v>
      </c>
      <c r="B103" s="31">
        <f>COUNTIF(Invoices!$AB$5:$AB$404,"Not due yet")</f>
        <v>0</v>
      </c>
      <c r="C103" s="21">
        <f>SUMIFS(Invoices!$X$5:$X$404,Invoices!$AB$5:$AB$404,"Not due yet")</f>
        <v>0</v>
      </c>
      <c r="D103" s="12" t="s">
        <v>2218</v>
      </c>
      <c r="E103" s="12"/>
      <c r="F103" s="12"/>
      <c r="G103" s="12"/>
      <c r="H103" s="12"/>
      <c r="I103" s="12"/>
      <c r="J103" s="12"/>
      <c r="K103" s="12"/>
      <c r="L103" s="12"/>
    </row>
    <row r="104" spans="1:12">
      <c r="A104" s="10" t="s">
        <v>2219</v>
      </c>
      <c r="B104" s="31">
        <f>COUNTIF(Invoices!$AB$5:$AB$404,"Due now")</f>
        <v>0</v>
      </c>
      <c r="C104" s="21">
        <f>SUMIFS(Invoices!$X$5:$X$404,Invoices!$AB$5:$AB$404,"Due now")</f>
        <v>0</v>
      </c>
      <c r="D104" s="12" t="s">
        <v>2220</v>
      </c>
      <c r="E104" s="12"/>
      <c r="F104" s="12"/>
      <c r="G104" s="12"/>
      <c r="H104" s="12"/>
      <c r="I104" s="12"/>
      <c r="J104" s="12"/>
      <c r="K104" s="12"/>
      <c r="L104" s="12"/>
    </row>
    <row r="105" spans="1:12">
      <c r="A105" s="10" t="s">
        <v>2221</v>
      </c>
      <c r="B105" s="31">
        <f>COUNTIF(Invoices!$AB$5:$AB$404,"1-30 days")</f>
        <v>0</v>
      </c>
      <c r="C105" s="21">
        <f>SUMIFS(Invoices!$X$5:$X$404,Invoices!$AB$5:$AB$404,"1-30 days")</f>
        <v>0</v>
      </c>
      <c r="D105" s="12" t="s">
        <v>2222</v>
      </c>
      <c r="E105" s="12"/>
      <c r="F105" s="12"/>
      <c r="G105" s="12"/>
      <c r="H105" s="12"/>
      <c r="I105" s="12"/>
      <c r="J105" s="12"/>
      <c r="K105" s="12"/>
      <c r="L105" s="12"/>
    </row>
    <row r="106" spans="1:12">
      <c r="A106" s="10" t="s">
        <v>2223</v>
      </c>
      <c r="B106" s="31">
        <f>COUNTIF(Invoices!$AB$5:$AB$404,"31-60 days")</f>
        <v>0</v>
      </c>
      <c r="C106" s="21">
        <f>SUMIFS(Invoices!$X$5:$X$404,Invoices!$AB$5:$AB$404,"31-60 days")</f>
        <v>0</v>
      </c>
      <c r="D106" s="12" t="s">
        <v>2224</v>
      </c>
      <c r="E106" s="12"/>
      <c r="F106" s="12"/>
      <c r="G106" s="12"/>
      <c r="H106" s="12"/>
      <c r="I106" s="12"/>
      <c r="J106" s="12"/>
      <c r="K106" s="12"/>
      <c r="L106" s="12"/>
    </row>
    <row r="107" spans="1:12">
      <c r="A107" s="10" t="s">
        <v>2225</v>
      </c>
      <c r="B107" s="31">
        <f>COUNTIF(Invoices!$AB$5:$AB$404,"61-90 days")</f>
        <v>0</v>
      </c>
      <c r="C107" s="21">
        <f>SUMIFS(Invoices!$X$5:$X$404,Invoices!$AB$5:$AB$404,"61-90 days")</f>
        <v>0</v>
      </c>
      <c r="D107" s="12" t="s">
        <v>2226</v>
      </c>
      <c r="E107" s="12"/>
      <c r="F107" s="12"/>
      <c r="G107" s="12"/>
      <c r="H107" s="12"/>
      <c r="I107" s="12"/>
      <c r="J107" s="12"/>
      <c r="K107" s="12"/>
      <c r="L107" s="12"/>
    </row>
    <row r="108" spans="1:12">
      <c r="A108" s="10" t="s">
        <v>2227</v>
      </c>
      <c r="B108" s="31">
        <f>COUNTIF(Invoices!$AB$5:$AB$404,"90+ days")</f>
        <v>0</v>
      </c>
      <c r="C108" s="21">
        <f>SUMIFS(Invoices!$X$5:$X$404,Invoices!$AB$5:$AB$404,"90+ days")</f>
        <v>0</v>
      </c>
      <c r="D108" s="12" t="s">
        <v>2228</v>
      </c>
      <c r="E108" s="12"/>
      <c r="F108" s="12"/>
      <c r="G108" s="12"/>
      <c r="H108" s="12"/>
      <c r="I108" s="12"/>
      <c r="J108" s="12"/>
      <c r="K108" s="12"/>
      <c r="L108" s="12"/>
    </row>
    <row r="109" spans="1:12">
      <c r="A109" s="10" t="s">
        <v>2229</v>
      </c>
      <c r="C109" s="41">
        <f>SUM(C103:C108)</f>
        <v>0</v>
      </c>
    </row>
    <row r="111" spans="1:12" ht="38" customHeight="1">
      <c r="A111" s="6" t="s">
        <v>2230</v>
      </c>
      <c r="B111" s="6"/>
      <c r="C111" s="6"/>
      <c r="D111" s="6"/>
      <c r="E111" s="6"/>
      <c r="F111" s="6"/>
      <c r="G111" s="6"/>
      <c r="H111" s="6"/>
      <c r="I111" s="6"/>
      <c r="J111" s="6"/>
      <c r="K111" s="6"/>
      <c r="L111" s="6"/>
    </row>
  </sheetData>
  <sheetProtection password="EC7C" sheet="1" objects="1" scenarios="1" formatCells="0" formatColumns="0" formatRows="0" insertRows="0" insertHyperlinks="0" deleteRows="0" autoFilter="0"/>
  <mergeCells count="44">
    <mergeCell ref="A1:I1"/>
    <mergeCell ref="J1:L1"/>
    <mergeCell ref="A2:L2"/>
    <mergeCell ref="A3:B3"/>
    <mergeCell ref="C3:D3"/>
    <mergeCell ref="E3:F3"/>
    <mergeCell ref="G3:H3"/>
    <mergeCell ref="I3:J3"/>
    <mergeCell ref="K3:L3"/>
    <mergeCell ref="A5:L5"/>
    <mergeCell ref="A7:L7"/>
    <mergeCell ref="A19:L19"/>
    <mergeCell ref="A34:L34"/>
    <mergeCell ref="A50:L50"/>
    <mergeCell ref="A52:L52"/>
    <mergeCell ref="C54:L54"/>
    <mergeCell ref="C55:L55"/>
    <mergeCell ref="C56:L56"/>
    <mergeCell ref="C57:L57"/>
    <mergeCell ref="C58:L58"/>
    <mergeCell ref="C59:L59"/>
    <mergeCell ref="C60:L60"/>
    <mergeCell ref="C61:L61"/>
    <mergeCell ref="A63:L63"/>
    <mergeCell ref="C65:L65"/>
    <mergeCell ref="C66:L66"/>
    <mergeCell ref="C67:L67"/>
    <mergeCell ref="C68:L68"/>
    <mergeCell ref="C69:L69"/>
    <mergeCell ref="C70:L70"/>
    <mergeCell ref="C71:L71"/>
    <mergeCell ref="C72:L72"/>
    <mergeCell ref="C73:L73"/>
    <mergeCell ref="C74:L74"/>
    <mergeCell ref="C75:L75"/>
    <mergeCell ref="A77:L77"/>
    <mergeCell ref="A101:L101"/>
    <mergeCell ref="D103:L103"/>
    <mergeCell ref="D104:L104"/>
    <mergeCell ref="D105:L105"/>
    <mergeCell ref="D106:L106"/>
    <mergeCell ref="D107:L107"/>
    <mergeCell ref="D108:L108"/>
    <mergeCell ref="A111:L111"/>
  </mergeCells>
  <conditionalFormatting sqref="C105:C108">
    <cfRule type="cellIs" dxfId="2" priority="7" operator="greaterThan">
      <formula>0</formula>
    </cfRule>
  </conditionalFormatting>
  <conditionalFormatting sqref="C79:C98">
    <cfRule type="dataBar" priority="6">
      <dataBar>
        <cfvo type="min" val="0"/>
        <cfvo type="max" val="0"/>
        <color rgb="FFC86B6B"/>
      </dataBar>
    </cfRule>
  </conditionalFormatting>
  <conditionalFormatting sqref="C9:C16">
    <cfRule type="dataBar" priority="1">
      <dataBar>
        <cfvo type="min" val="0"/>
        <cfvo type="max" val="0"/>
        <color rgb="FF2F8F9D"/>
      </dataBar>
    </cfRule>
  </conditionalFormatting>
  <conditionalFormatting sqref="D21:D31">
    <cfRule type="dataBar" priority="3">
      <dataBar>
        <cfvo type="min" val="0"/>
        <cfvo type="max" val="0"/>
        <color rgb="FFE8A33D"/>
      </dataBar>
    </cfRule>
  </conditionalFormatting>
  <conditionalFormatting sqref="E36:E48">
    <cfRule type="cellIs" dxfId="1" priority="5" operator="greaterThanOrEqual">
      <formula>0.5</formula>
    </cfRule>
  </conditionalFormatting>
  <conditionalFormatting sqref="E9:E16">
    <cfRule type="colorScale" priority="2">
      <colorScale>
        <cfvo type="min" val="0"/>
        <cfvo type="percentile" val="50"/>
        <cfvo type="max" val="0"/>
        <color rgb="FFFBD9DD"/>
        <color rgb="FFFFF0CE"/>
        <color rgb="FFD7F2E3"/>
      </colorScale>
    </cfRule>
  </conditionalFormatting>
  <conditionalFormatting sqref="G36:G48">
    <cfRule type="dataBar" priority="4">
      <dataBar>
        <cfvo type="min" val="0"/>
        <cfvo type="max" val="0"/>
        <color rgb="FF2F8F9D"/>
      </dataBar>
    </cfRule>
  </conditionalFormatting>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 ref="K3" location="Quotes!A1" display="&gt; Quotes"/>
  </hyperlinks>
  <pageMargins left="0.4" right="0.4" top="0.6" bottom="0.5" header="0.3" footer="0.3"/>
  <pageSetup paperSize="9" fitToHeight="0" orientation="landscape"/>
  <headerFooter>
    <oddHeader>&amp;L&amp;"Calibri,Bold"&amp;12&amp;C&amp;"Calibri,Bold"&amp;11Reports&amp;R&amp;"Calibri,Italic"&amp;9Cleaning Business CRM &amp; Pricing Calculator</oddHeader>
    <oddFooter>&amp;L&amp;"Calibri,Italic"&amp;8Novality Store - v1.0.0&amp;C&amp;"Calibri,Italic"&amp;8Page &amp;P of &amp;N&amp;R&amp;"Calibri,Italic"&amp;8&amp;D</oddFooter>
  </headerFooter>
</worksheet>
</file>

<file path=xl/worksheets/sheet33.xml><?xml version="1.0" encoding="utf-8"?>
<worksheet xmlns="http://schemas.openxmlformats.org/spreadsheetml/2006/main" xmlns:r="http://schemas.openxmlformats.org/officeDocument/2006/relationships">
  <sheetPr>
    <tabColor rgb="FFDCEEF0"/>
    <pageSetUpPr fitToPage="1"/>
  </sheetPr>
  <dimension ref="A1:H47"/>
  <sheetViews>
    <sheetView showGridLines="0" workbookViewId="0"/>
  </sheetViews>
  <sheetFormatPr defaultRowHeight="15"/>
  <cols>
    <col min="1" max="1" width="16.7109375" customWidth="1"/>
    <col min="2" max="2" width="24.7109375" customWidth="1"/>
    <col min="3" max="3" width="26.7109375" customWidth="1"/>
    <col min="4" max="4" width="10.7109375" customWidth="1"/>
    <col min="5" max="5" width="12.7109375" customWidth="1"/>
    <col min="6" max="6" width="12.7109375" customWidth="1"/>
    <col min="7" max="7" width="12.7109375" customWidth="1"/>
    <col min="8" max="8" width="14.7109375" customWidth="1"/>
    <col min="1" max="1" width="18.7109375" customWidth="1"/>
    <col min="2" max="2" width="36.7109375" customWidth="1"/>
    <col min="3" max="3" width="8.7109375" customWidth="1"/>
    <col min="4" max="4" width="12.7109375" customWidth="1"/>
    <col min="5" max="5" width="13.7109375" customWidth="1"/>
    <col min="6" max="6" width="11.7109375" customWidth="1"/>
  </cols>
  <sheetData>
    <row r="1" spans="1:8" ht="34" customHeight="1">
      <c r="A1" s="2" t="s">
        <v>2231</v>
      </c>
      <c r="B1" s="2"/>
      <c r="C1" s="2"/>
      <c r="D1" s="2"/>
      <c r="E1" s="2"/>
      <c r="F1" s="3" t="s">
        <v>1</v>
      </c>
      <c r="G1" s="3"/>
      <c r="H1" s="3"/>
    </row>
    <row r="2" spans="1:8" ht="18" customHeight="1">
      <c r="A2" s="4"/>
      <c r="B2" s="4"/>
      <c r="C2" s="4"/>
      <c r="D2" s="4"/>
      <c r="E2" s="4"/>
      <c r="F2" s="4"/>
      <c r="G2" s="4"/>
      <c r="H2" s="4"/>
    </row>
    <row r="3" spans="1:8" ht="16" customHeight="1">
      <c r="A3" s="5" t="s">
        <v>3</v>
      </c>
      <c r="B3" s="5"/>
      <c r="C3" s="5" t="s">
        <v>4</v>
      </c>
      <c r="D3" s="5"/>
      <c r="E3" s="5" t="s">
        <v>5</v>
      </c>
      <c r="F3" s="5"/>
      <c r="G3" s="5" t="s">
        <v>6</v>
      </c>
      <c r="H3" s="5"/>
    </row>
    <row r="5" spans="1:8">
      <c r="A5" s="10" t="s">
        <v>2232</v>
      </c>
      <c r="B5" s="49" t="s">
        <v>1083</v>
      </c>
      <c r="C5" s="12" t="s">
        <v>2233</v>
      </c>
      <c r="D5" s="12"/>
      <c r="E5" s="12"/>
      <c r="F5" s="12"/>
      <c r="G5" s="12"/>
      <c r="H5" s="12"/>
    </row>
    <row r="7" spans="1:8">
      <c r="A7" s="59">
        <f>BizName</f>
        <v>0</v>
      </c>
      <c r="B7" s="59"/>
      <c r="C7" s="59"/>
      <c r="D7" s="59"/>
      <c r="E7" s="59" t="s">
        <v>2234</v>
      </c>
      <c r="F7" s="59"/>
      <c r="G7" s="59"/>
      <c r="H7" s="59"/>
    </row>
    <row r="8" spans="1:8">
      <c r="A8" s="60">
        <f>BizAddress&amp;IF(BizArea=""," "," - "&amp;BizArea)</f>
        <v>0</v>
      </c>
      <c r="B8" s="60"/>
      <c r="C8" s="60"/>
      <c r="D8" s="60"/>
      <c r="E8" s="60">
        <f>BizPhone&amp;"   "&amp;BizEmail&amp;IF(BizWebsite="","","   "&amp;BizWebsite)</f>
        <v>0</v>
      </c>
      <c r="F8" s="60"/>
      <c r="G8" s="60"/>
      <c r="H8" s="60"/>
    </row>
    <row r="9" spans="1:8">
      <c r="A9" s="60">
        <f>IF(BizRegNo="","","Registration "&amp;BizRegNo&amp;"   ")&amp;IF(BizInsurance="","","Insurance: "&amp;BizInsurance)</f>
        <v>0</v>
      </c>
      <c r="B9" s="60"/>
      <c r="C9" s="60"/>
      <c r="D9" s="60"/>
      <c r="E9" s="60"/>
      <c r="F9" s="60"/>
      <c r="G9" s="60"/>
      <c r="H9" s="60"/>
    </row>
    <row r="11" spans="1:8">
      <c r="A11" s="10" t="s">
        <v>2235</v>
      </c>
      <c r="E11" s="10" t="s">
        <v>2236</v>
      </c>
      <c r="F11" s="61">
        <f>PrintQuote</f>
        <v>0</v>
      </c>
    </row>
    <row r="12" spans="1:8">
      <c r="A12" s="62">
        <f>IFERROR(INDEX(Quotes!$E$5:$E$204,MATCH(PrintQuote,Quotes!$A$5:$A$204,0)),"")</f>
        <v>0</v>
      </c>
      <c r="B12" s="62"/>
      <c r="C12" s="62"/>
      <c r="D12" s="62"/>
      <c r="E12" s="10" t="s">
        <v>1100</v>
      </c>
      <c r="F12" s="63">
        <f>IFERROR(INDEX(Quotes!$B$5:$B$204,MATCH(PrintQuote,Quotes!$A$5:$A$204,0)),"")</f>
        <v>0</v>
      </c>
    </row>
    <row r="13" spans="1:8" ht="32" customHeight="1">
      <c r="A13" s="64">
        <f>IFERROR(INDEX(Quotes!$H$5:$H$204,MATCH(PrintQuote,Quotes!$A$5:$A$204,0)),"")</f>
        <v>0</v>
      </c>
      <c r="B13" s="64"/>
      <c r="C13" s="64"/>
      <c r="D13" s="64"/>
      <c r="E13" s="10" t="s">
        <v>1035</v>
      </c>
      <c r="F13" s="63">
        <f>IFERROR(INDEX(Quotes!$AG$5:$AG$204,MATCH(PrintQuote,Quotes!$A$5:$A$204,0)),"")</f>
        <v>0</v>
      </c>
    </row>
    <row r="14" spans="1:8">
      <c r="A14" s="10" t="s">
        <v>436</v>
      </c>
      <c r="B14" s="62">
        <f>IFERROR(INDEX(Quotes!$I$5:$I$204,MATCH(PrintQuote,Quotes!$A$5:$A$204,0)),"")</f>
        <v>0</v>
      </c>
      <c r="C14" s="62"/>
      <c r="D14" s="62"/>
      <c r="E14" s="10" t="s">
        <v>450</v>
      </c>
      <c r="F14" s="62">
        <f>IFERROR(INDEX(Quotes!$J$5:$J$204,MATCH(PrintQuote,Quotes!$A$5:$A$204,0)),"")</f>
        <v>0</v>
      </c>
    </row>
    <row r="16" spans="1:8" ht="26" customHeight="1">
      <c r="A16" s="8" t="s">
        <v>1679</v>
      </c>
      <c r="B16" s="9" t="s">
        <v>2237</v>
      </c>
      <c r="C16" s="9" t="s">
        <v>469</v>
      </c>
      <c r="D16" s="9" t="s">
        <v>1120</v>
      </c>
      <c r="E16" s="9" t="s">
        <v>1079</v>
      </c>
      <c r="F16" s="9" t="s">
        <v>2238</v>
      </c>
    </row>
    <row r="17" spans="1:7">
      <c r="A17" s="62">
        <f>IFERROR(INDEX('Quote Lines'!$C$5:$C$604,MATCH(PrintQuote&amp;"|1",'Quote Lines'!$T$5:$T$604,0)),"")</f>
        <v>0</v>
      </c>
      <c r="B17" s="64"/>
      <c r="C17" s="64">
        <f>IFERROR(INDEX('Quote Lines'!$M$5:$M$604,MATCH(PrintQuote&amp;"|1",'Quote Lines'!$T$5:$T$604,0)),"")</f>
        <v>0</v>
      </c>
      <c r="D17" s="65">
        <f>IFERROR(INDEX('Quote Lines'!$E$5:$E$604,MATCH(PrintQuote&amp;"|1",'Quote Lines'!$T$5:$T$604,0)),"")</f>
        <v>0</v>
      </c>
      <c r="E17" s="66">
        <f>IFERROR(INDEX('Quote Lines'!$L$5:$L$604,MATCH(PrintQuote&amp;"|1",'Quote Lines'!$T$5:$T$604,0)),"")</f>
        <v>0</v>
      </c>
      <c r="F17" s="66">
        <f>IFERROR(INDEX('Quote Lines'!$P$5:$P$604,MATCH(PrintQuote&amp;"|1",'Quote Lines'!$T$5:$T$604,0)),"")</f>
        <v>0</v>
      </c>
      <c r="G17" s="62">
        <f>IFERROR(INDEX('Quote Lines'!$H$5:$H$604,MATCH(PrintQuote&amp;"|1",'Quote Lines'!$T$5:$T$604,0)),"")</f>
        <v>0</v>
      </c>
    </row>
    <row r="18" spans="1:7">
      <c r="A18" s="62">
        <f>IFERROR(INDEX('Quote Lines'!$C$5:$C$604,MATCH(PrintQuote&amp;"|2",'Quote Lines'!$T$5:$T$604,0)),"")</f>
        <v>0</v>
      </c>
      <c r="B18" s="64"/>
      <c r="C18" s="64">
        <f>IFERROR(INDEX('Quote Lines'!$M$5:$M$604,MATCH(PrintQuote&amp;"|2",'Quote Lines'!$T$5:$T$604,0)),"")</f>
        <v>0</v>
      </c>
      <c r="D18" s="65">
        <f>IFERROR(INDEX('Quote Lines'!$E$5:$E$604,MATCH(PrintQuote&amp;"|2",'Quote Lines'!$T$5:$T$604,0)),"")</f>
        <v>0</v>
      </c>
      <c r="E18" s="66">
        <f>IFERROR(INDEX('Quote Lines'!$L$5:$L$604,MATCH(PrintQuote&amp;"|2",'Quote Lines'!$T$5:$T$604,0)),"")</f>
        <v>0</v>
      </c>
      <c r="F18" s="66">
        <f>IFERROR(INDEX('Quote Lines'!$P$5:$P$604,MATCH(PrintQuote&amp;"|2",'Quote Lines'!$T$5:$T$604,0)),"")</f>
        <v>0</v>
      </c>
      <c r="G18" s="62">
        <f>IFERROR(INDEX('Quote Lines'!$H$5:$H$604,MATCH(PrintQuote&amp;"|2",'Quote Lines'!$T$5:$T$604,0)),"")</f>
        <v>0</v>
      </c>
    </row>
    <row r="19" spans="1:7">
      <c r="A19" s="62">
        <f>IFERROR(INDEX('Quote Lines'!$C$5:$C$604,MATCH(PrintQuote&amp;"|3",'Quote Lines'!$T$5:$T$604,0)),"")</f>
        <v>0</v>
      </c>
      <c r="B19" s="64"/>
      <c r="C19" s="64">
        <f>IFERROR(INDEX('Quote Lines'!$M$5:$M$604,MATCH(PrintQuote&amp;"|3",'Quote Lines'!$T$5:$T$604,0)),"")</f>
        <v>0</v>
      </c>
      <c r="D19" s="65">
        <f>IFERROR(INDEX('Quote Lines'!$E$5:$E$604,MATCH(PrintQuote&amp;"|3",'Quote Lines'!$T$5:$T$604,0)),"")</f>
        <v>0</v>
      </c>
      <c r="E19" s="66">
        <f>IFERROR(INDEX('Quote Lines'!$L$5:$L$604,MATCH(PrintQuote&amp;"|3",'Quote Lines'!$T$5:$T$604,0)),"")</f>
        <v>0</v>
      </c>
      <c r="F19" s="66">
        <f>IFERROR(INDEX('Quote Lines'!$P$5:$P$604,MATCH(PrintQuote&amp;"|3",'Quote Lines'!$T$5:$T$604,0)),"")</f>
        <v>0</v>
      </c>
      <c r="G19" s="62">
        <f>IFERROR(INDEX('Quote Lines'!$H$5:$H$604,MATCH(PrintQuote&amp;"|3",'Quote Lines'!$T$5:$T$604,0)),"")</f>
        <v>0</v>
      </c>
    </row>
    <row r="20" spans="1:7">
      <c r="A20" s="62">
        <f>IFERROR(INDEX('Quote Lines'!$C$5:$C$604,MATCH(PrintQuote&amp;"|4",'Quote Lines'!$T$5:$T$604,0)),"")</f>
        <v>0</v>
      </c>
      <c r="B20" s="64"/>
      <c r="C20" s="64">
        <f>IFERROR(INDEX('Quote Lines'!$M$5:$M$604,MATCH(PrintQuote&amp;"|4",'Quote Lines'!$T$5:$T$604,0)),"")</f>
        <v>0</v>
      </c>
      <c r="D20" s="65">
        <f>IFERROR(INDEX('Quote Lines'!$E$5:$E$604,MATCH(PrintQuote&amp;"|4",'Quote Lines'!$T$5:$T$604,0)),"")</f>
        <v>0</v>
      </c>
      <c r="E20" s="66">
        <f>IFERROR(INDEX('Quote Lines'!$L$5:$L$604,MATCH(PrintQuote&amp;"|4",'Quote Lines'!$T$5:$T$604,0)),"")</f>
        <v>0</v>
      </c>
      <c r="F20" s="66">
        <f>IFERROR(INDEX('Quote Lines'!$P$5:$P$604,MATCH(PrintQuote&amp;"|4",'Quote Lines'!$T$5:$T$604,0)),"")</f>
        <v>0</v>
      </c>
      <c r="G20" s="62">
        <f>IFERROR(INDEX('Quote Lines'!$H$5:$H$604,MATCH(PrintQuote&amp;"|4",'Quote Lines'!$T$5:$T$604,0)),"")</f>
        <v>0</v>
      </c>
    </row>
    <row r="21" spans="1:7">
      <c r="A21" s="62">
        <f>IFERROR(INDEX('Quote Lines'!$C$5:$C$604,MATCH(PrintQuote&amp;"|5",'Quote Lines'!$T$5:$T$604,0)),"")</f>
        <v>0</v>
      </c>
      <c r="B21" s="64"/>
      <c r="C21" s="64">
        <f>IFERROR(INDEX('Quote Lines'!$M$5:$M$604,MATCH(PrintQuote&amp;"|5",'Quote Lines'!$T$5:$T$604,0)),"")</f>
        <v>0</v>
      </c>
      <c r="D21" s="65">
        <f>IFERROR(INDEX('Quote Lines'!$E$5:$E$604,MATCH(PrintQuote&amp;"|5",'Quote Lines'!$T$5:$T$604,0)),"")</f>
        <v>0</v>
      </c>
      <c r="E21" s="66">
        <f>IFERROR(INDEX('Quote Lines'!$L$5:$L$604,MATCH(PrintQuote&amp;"|5",'Quote Lines'!$T$5:$T$604,0)),"")</f>
        <v>0</v>
      </c>
      <c r="F21" s="66">
        <f>IFERROR(INDEX('Quote Lines'!$P$5:$P$604,MATCH(PrintQuote&amp;"|5",'Quote Lines'!$T$5:$T$604,0)),"")</f>
        <v>0</v>
      </c>
      <c r="G21" s="62">
        <f>IFERROR(INDEX('Quote Lines'!$H$5:$H$604,MATCH(PrintQuote&amp;"|5",'Quote Lines'!$T$5:$T$604,0)),"")</f>
        <v>0</v>
      </c>
    </row>
    <row r="22" spans="1:7">
      <c r="A22" s="62">
        <f>IFERROR(INDEX('Quote Lines'!$C$5:$C$604,MATCH(PrintQuote&amp;"|6",'Quote Lines'!$T$5:$T$604,0)),"")</f>
        <v>0</v>
      </c>
      <c r="B22" s="64"/>
      <c r="C22" s="64">
        <f>IFERROR(INDEX('Quote Lines'!$M$5:$M$604,MATCH(PrintQuote&amp;"|6",'Quote Lines'!$T$5:$T$604,0)),"")</f>
        <v>0</v>
      </c>
      <c r="D22" s="65">
        <f>IFERROR(INDEX('Quote Lines'!$E$5:$E$604,MATCH(PrintQuote&amp;"|6",'Quote Lines'!$T$5:$T$604,0)),"")</f>
        <v>0</v>
      </c>
      <c r="E22" s="66">
        <f>IFERROR(INDEX('Quote Lines'!$L$5:$L$604,MATCH(PrintQuote&amp;"|6",'Quote Lines'!$T$5:$T$604,0)),"")</f>
        <v>0</v>
      </c>
      <c r="F22" s="66">
        <f>IFERROR(INDEX('Quote Lines'!$P$5:$P$604,MATCH(PrintQuote&amp;"|6",'Quote Lines'!$T$5:$T$604,0)),"")</f>
        <v>0</v>
      </c>
      <c r="G22" s="62">
        <f>IFERROR(INDEX('Quote Lines'!$H$5:$H$604,MATCH(PrintQuote&amp;"|6",'Quote Lines'!$T$5:$T$604,0)),"")</f>
        <v>0</v>
      </c>
    </row>
    <row r="23" spans="1:7">
      <c r="A23" s="62">
        <f>IFERROR(INDEX('Quote Lines'!$C$5:$C$604,MATCH(PrintQuote&amp;"|7",'Quote Lines'!$T$5:$T$604,0)),"")</f>
        <v>0</v>
      </c>
      <c r="B23" s="64"/>
      <c r="C23" s="64">
        <f>IFERROR(INDEX('Quote Lines'!$M$5:$M$604,MATCH(PrintQuote&amp;"|7",'Quote Lines'!$T$5:$T$604,0)),"")</f>
        <v>0</v>
      </c>
      <c r="D23" s="65">
        <f>IFERROR(INDEX('Quote Lines'!$E$5:$E$604,MATCH(PrintQuote&amp;"|7",'Quote Lines'!$T$5:$T$604,0)),"")</f>
        <v>0</v>
      </c>
      <c r="E23" s="66">
        <f>IFERROR(INDEX('Quote Lines'!$L$5:$L$604,MATCH(PrintQuote&amp;"|7",'Quote Lines'!$T$5:$T$604,0)),"")</f>
        <v>0</v>
      </c>
      <c r="F23" s="66">
        <f>IFERROR(INDEX('Quote Lines'!$P$5:$P$604,MATCH(PrintQuote&amp;"|7",'Quote Lines'!$T$5:$T$604,0)),"")</f>
        <v>0</v>
      </c>
      <c r="G23" s="62">
        <f>IFERROR(INDEX('Quote Lines'!$H$5:$H$604,MATCH(PrintQuote&amp;"|7",'Quote Lines'!$T$5:$T$604,0)),"")</f>
        <v>0</v>
      </c>
    </row>
    <row r="24" spans="1:7">
      <c r="A24" s="62">
        <f>IFERROR(INDEX('Quote Lines'!$C$5:$C$604,MATCH(PrintQuote&amp;"|8",'Quote Lines'!$T$5:$T$604,0)),"")</f>
        <v>0</v>
      </c>
      <c r="B24" s="64"/>
      <c r="C24" s="64">
        <f>IFERROR(INDEX('Quote Lines'!$M$5:$M$604,MATCH(PrintQuote&amp;"|8",'Quote Lines'!$T$5:$T$604,0)),"")</f>
        <v>0</v>
      </c>
      <c r="D24" s="65">
        <f>IFERROR(INDEX('Quote Lines'!$E$5:$E$604,MATCH(PrintQuote&amp;"|8",'Quote Lines'!$T$5:$T$604,0)),"")</f>
        <v>0</v>
      </c>
      <c r="E24" s="66">
        <f>IFERROR(INDEX('Quote Lines'!$L$5:$L$604,MATCH(PrintQuote&amp;"|8",'Quote Lines'!$T$5:$T$604,0)),"")</f>
        <v>0</v>
      </c>
      <c r="F24" s="66">
        <f>IFERROR(INDEX('Quote Lines'!$P$5:$P$604,MATCH(PrintQuote&amp;"|8",'Quote Lines'!$T$5:$T$604,0)),"")</f>
        <v>0</v>
      </c>
      <c r="G24" s="62">
        <f>IFERROR(INDEX('Quote Lines'!$H$5:$H$604,MATCH(PrintQuote&amp;"|8",'Quote Lines'!$T$5:$T$604,0)),"")</f>
        <v>0</v>
      </c>
    </row>
    <row r="25" spans="1:7">
      <c r="A25" s="62">
        <f>IFERROR(INDEX('Quote Lines'!$C$5:$C$604,MATCH(PrintQuote&amp;"|9",'Quote Lines'!$T$5:$T$604,0)),"")</f>
        <v>0</v>
      </c>
      <c r="B25" s="64"/>
      <c r="C25" s="64">
        <f>IFERROR(INDEX('Quote Lines'!$M$5:$M$604,MATCH(PrintQuote&amp;"|9",'Quote Lines'!$T$5:$T$604,0)),"")</f>
        <v>0</v>
      </c>
      <c r="D25" s="65">
        <f>IFERROR(INDEX('Quote Lines'!$E$5:$E$604,MATCH(PrintQuote&amp;"|9",'Quote Lines'!$T$5:$T$604,0)),"")</f>
        <v>0</v>
      </c>
      <c r="E25" s="66">
        <f>IFERROR(INDEX('Quote Lines'!$L$5:$L$604,MATCH(PrintQuote&amp;"|9",'Quote Lines'!$T$5:$T$604,0)),"")</f>
        <v>0</v>
      </c>
      <c r="F25" s="66">
        <f>IFERROR(INDEX('Quote Lines'!$P$5:$P$604,MATCH(PrintQuote&amp;"|9",'Quote Lines'!$T$5:$T$604,0)),"")</f>
        <v>0</v>
      </c>
      <c r="G25" s="62">
        <f>IFERROR(INDEX('Quote Lines'!$H$5:$H$604,MATCH(PrintQuote&amp;"|9",'Quote Lines'!$T$5:$T$604,0)),"")</f>
        <v>0</v>
      </c>
    </row>
    <row r="26" spans="1:7">
      <c r="A26" s="62">
        <f>IFERROR(INDEX('Quote Lines'!$C$5:$C$604,MATCH(PrintQuote&amp;"|10",'Quote Lines'!$T$5:$T$604,0)),"")</f>
        <v>0</v>
      </c>
      <c r="B26" s="64"/>
      <c r="C26" s="64">
        <f>IFERROR(INDEX('Quote Lines'!$M$5:$M$604,MATCH(PrintQuote&amp;"|10",'Quote Lines'!$T$5:$T$604,0)),"")</f>
        <v>0</v>
      </c>
      <c r="D26" s="65">
        <f>IFERROR(INDEX('Quote Lines'!$E$5:$E$604,MATCH(PrintQuote&amp;"|10",'Quote Lines'!$T$5:$T$604,0)),"")</f>
        <v>0</v>
      </c>
      <c r="E26" s="66">
        <f>IFERROR(INDEX('Quote Lines'!$L$5:$L$604,MATCH(PrintQuote&amp;"|10",'Quote Lines'!$T$5:$T$604,0)),"")</f>
        <v>0</v>
      </c>
      <c r="F26" s="66">
        <f>IFERROR(INDEX('Quote Lines'!$P$5:$P$604,MATCH(PrintQuote&amp;"|10",'Quote Lines'!$T$5:$T$604,0)),"")</f>
        <v>0</v>
      </c>
      <c r="G26" s="62">
        <f>IFERROR(INDEX('Quote Lines'!$H$5:$H$604,MATCH(PrintQuote&amp;"|10",'Quote Lines'!$T$5:$T$604,0)),"")</f>
        <v>0</v>
      </c>
    </row>
    <row r="27" spans="1:7">
      <c r="A27" s="62">
        <f>IFERROR(INDEX('Quote Lines'!$C$5:$C$604,MATCH(PrintQuote&amp;"|11",'Quote Lines'!$T$5:$T$604,0)),"")</f>
        <v>0</v>
      </c>
      <c r="B27" s="64"/>
      <c r="C27" s="64">
        <f>IFERROR(INDEX('Quote Lines'!$M$5:$M$604,MATCH(PrintQuote&amp;"|11",'Quote Lines'!$T$5:$T$604,0)),"")</f>
        <v>0</v>
      </c>
      <c r="D27" s="65">
        <f>IFERROR(INDEX('Quote Lines'!$E$5:$E$604,MATCH(PrintQuote&amp;"|11",'Quote Lines'!$T$5:$T$604,0)),"")</f>
        <v>0</v>
      </c>
      <c r="E27" s="66">
        <f>IFERROR(INDEX('Quote Lines'!$L$5:$L$604,MATCH(PrintQuote&amp;"|11",'Quote Lines'!$T$5:$T$604,0)),"")</f>
        <v>0</v>
      </c>
      <c r="F27" s="66">
        <f>IFERROR(INDEX('Quote Lines'!$P$5:$P$604,MATCH(PrintQuote&amp;"|11",'Quote Lines'!$T$5:$T$604,0)),"")</f>
        <v>0</v>
      </c>
      <c r="G27" s="62">
        <f>IFERROR(INDEX('Quote Lines'!$H$5:$H$604,MATCH(PrintQuote&amp;"|11",'Quote Lines'!$T$5:$T$604,0)),"")</f>
        <v>0</v>
      </c>
    </row>
    <row r="28" spans="1:7">
      <c r="A28" s="62">
        <f>IFERROR(INDEX('Quote Lines'!$C$5:$C$604,MATCH(PrintQuote&amp;"|12",'Quote Lines'!$T$5:$T$604,0)),"")</f>
        <v>0</v>
      </c>
      <c r="B28" s="64"/>
      <c r="C28" s="64">
        <f>IFERROR(INDEX('Quote Lines'!$M$5:$M$604,MATCH(PrintQuote&amp;"|12",'Quote Lines'!$T$5:$T$604,0)),"")</f>
        <v>0</v>
      </c>
      <c r="D28" s="65">
        <f>IFERROR(INDEX('Quote Lines'!$E$5:$E$604,MATCH(PrintQuote&amp;"|12",'Quote Lines'!$T$5:$T$604,0)),"")</f>
        <v>0</v>
      </c>
      <c r="E28" s="66">
        <f>IFERROR(INDEX('Quote Lines'!$L$5:$L$604,MATCH(PrintQuote&amp;"|12",'Quote Lines'!$T$5:$T$604,0)),"")</f>
        <v>0</v>
      </c>
      <c r="F28" s="66">
        <f>IFERROR(INDEX('Quote Lines'!$P$5:$P$604,MATCH(PrintQuote&amp;"|12",'Quote Lines'!$T$5:$T$604,0)),"")</f>
        <v>0</v>
      </c>
      <c r="G28" s="62">
        <f>IFERROR(INDEX('Quote Lines'!$H$5:$H$604,MATCH(PrintQuote&amp;"|12",'Quote Lines'!$T$5:$T$604,0)),"")</f>
        <v>0</v>
      </c>
    </row>
    <row r="30" spans="1:7">
      <c r="A30" s="12" t="s">
        <v>2239</v>
      </c>
      <c r="B30" s="12"/>
      <c r="C30" s="12"/>
      <c r="D30" s="24" t="s">
        <v>1041</v>
      </c>
      <c r="E30" s="24"/>
      <c r="F30" s="66">
        <f>IFERROR(INDEX(Quotes!$X$5:$X$204,MATCH(PrintQuote,Quotes!$A$5:$A$204,0)),"")</f>
        <v>0</v>
      </c>
    </row>
    <row r="31" spans="1:7">
      <c r="D31" s="24" t="s">
        <v>464</v>
      </c>
      <c r="E31" s="24"/>
      <c r="F31" s="66">
        <f>IFERROR(INDEX(Quotes!$Y$5:$Y$204,MATCH(PrintQuote,Quotes!$A$5:$A$204,0)),"")</f>
        <v>0</v>
      </c>
    </row>
    <row r="32" spans="1:7">
      <c r="D32" s="24" t="s">
        <v>263</v>
      </c>
      <c r="E32" s="24"/>
      <c r="F32" s="66">
        <f>IFERROR(INDEX(Quotes!$AA$5:$AA$204,MATCH(PrintQuote,Quotes!$A$5:$A$204,0)),"")</f>
        <v>0</v>
      </c>
    </row>
    <row r="33" spans="1:8">
      <c r="D33" s="67" t="s">
        <v>471</v>
      </c>
      <c r="E33" s="67"/>
      <c r="F33" s="41">
        <f>IFERROR(INDEX(Quotes!$AB$5:$AB$204,MATCH(PrintQuote,Quotes!$A$5:$A$204,0)),"")</f>
        <v>0</v>
      </c>
    </row>
    <row r="34" spans="1:8">
      <c r="A34" s="12" t="s">
        <v>2241</v>
      </c>
      <c r="B34" s="12"/>
      <c r="C34" s="12"/>
      <c r="D34" s="24" t="s">
        <v>2240</v>
      </c>
      <c r="E34" s="24"/>
      <c r="F34" s="66">
        <f>IFERROR(INDEX(Quotes!$AC$5:$AC$204,MATCH(PrintQuote,Quotes!$A$5:$A$204,0)),"")</f>
        <v>0</v>
      </c>
    </row>
    <row r="36" spans="1:8" ht="20" customHeight="1">
      <c r="A36" s="7" t="s">
        <v>2237</v>
      </c>
      <c r="B36" s="7"/>
      <c r="C36" s="7"/>
      <c r="D36" s="7"/>
      <c r="E36" s="7"/>
      <c r="F36" s="7"/>
      <c r="G36" s="7"/>
      <c r="H36" s="7"/>
    </row>
    <row r="37" spans="1:8" ht="46" customHeight="1">
      <c r="A37" s="64">
        <f>IFERROR(INDEX(Quotes!$T$5:$T$204,MATCH(PrintQuote,Quotes!$A$5:$A$204,0)),"")</f>
        <v>0</v>
      </c>
      <c r="B37" s="64"/>
      <c r="C37" s="64"/>
      <c r="D37" s="64"/>
      <c r="E37" s="64"/>
      <c r="F37" s="64"/>
      <c r="G37" s="64"/>
      <c r="H37" s="64"/>
    </row>
    <row r="38" spans="1:8" ht="20" customHeight="1">
      <c r="A38" s="7" t="s">
        <v>2242</v>
      </c>
      <c r="B38" s="7"/>
      <c r="C38" s="7"/>
      <c r="D38" s="7"/>
      <c r="E38" s="7"/>
      <c r="F38" s="7"/>
      <c r="G38" s="7"/>
      <c r="H38" s="7"/>
    </row>
    <row r="39" spans="1:8" ht="46" customHeight="1">
      <c r="A39" s="64">
        <f>IF(IFERROR(INDEX(Quotes!$U$5:$U$204,MATCH(PrintQuote,Quotes!$A$5:$A$204,0)),"")="","Payment within "&amp;PaymentTerms&amp;" days of invoice. Cancellations inside 24 hours may be charged. We bring our own supplies and equipment unless agreed otherwise.",INDEX(Quotes!$U$5:$U$204,MATCH(PrintQuote,Quotes!$A$5:$A$204,0)))</f>
        <v>0</v>
      </c>
      <c r="B39" s="64"/>
      <c r="C39" s="64"/>
      <c r="D39" s="64"/>
      <c r="E39" s="64"/>
      <c r="F39" s="64"/>
      <c r="G39" s="64"/>
      <c r="H39" s="64"/>
    </row>
    <row r="41" spans="1:8" ht="20" customHeight="1">
      <c r="A41" s="7" t="s">
        <v>2243</v>
      </c>
      <c r="B41" s="7"/>
      <c r="C41" s="7"/>
      <c r="D41" s="7"/>
      <c r="E41" s="7"/>
      <c r="F41" s="7"/>
      <c r="G41" s="7"/>
      <c r="H41" s="7"/>
    </row>
    <row r="42" spans="1:8">
      <c r="A42" s="12" t="s">
        <v>2244</v>
      </c>
      <c r="B42" s="12"/>
      <c r="C42" s="12"/>
      <c r="D42" s="12"/>
      <c r="E42" s="12"/>
      <c r="F42" s="12"/>
      <c r="G42" s="12"/>
      <c r="H42" s="12"/>
    </row>
    <row r="43" spans="1:8" ht="26" customHeight="1">
      <c r="A43" s="10" t="s">
        <v>2245</v>
      </c>
      <c r="B43" s="68"/>
      <c r="C43" s="68"/>
      <c r="D43" s="68"/>
      <c r="E43" s="10" t="s">
        <v>1100</v>
      </c>
      <c r="F43" s="68"/>
      <c r="G43" s="68"/>
      <c r="H43" s="68"/>
    </row>
    <row r="44" spans="1:8" ht="26" customHeight="1">
      <c r="A44" s="10" t="s">
        <v>2246</v>
      </c>
      <c r="B44" s="68"/>
      <c r="C44" s="68"/>
      <c r="D44" s="68"/>
      <c r="E44" s="10" t="s">
        <v>1100</v>
      </c>
      <c r="F44" s="68"/>
      <c r="G44" s="68"/>
      <c r="H44" s="68"/>
    </row>
    <row r="46" spans="1:8">
      <c r="A46" s="12" t="s">
        <v>2247</v>
      </c>
      <c r="B46" s="12"/>
      <c r="C46" s="12"/>
      <c r="D46" s="12"/>
      <c r="E46" s="12"/>
      <c r="F46" s="12"/>
      <c r="G46" s="12"/>
      <c r="H46" s="12"/>
    </row>
    <row r="47" spans="1:8">
      <c r="A47" s="12">
        <f>"Quote produced by "&amp;BizName&amp;" on "&amp;TEXT(TodayDate,"d mmmm yyyy")</f>
        <v>0</v>
      </c>
      <c r="B47" s="12"/>
      <c r="C47" s="12"/>
      <c r="D47" s="12"/>
      <c r="E47" s="12"/>
      <c r="F47" s="12"/>
      <c r="G47" s="12"/>
      <c r="H47" s="12"/>
    </row>
  </sheetData>
  <sheetProtection password="EC7C" sheet="1" objects="1" scenarios="1" formatCells="0" formatColumns="0" formatRows="0" insertRows="0" insertHyperlinks="0" deleteRows="0" autoFilter="0"/>
  <mergeCells count="47">
    <mergeCell ref="A1:E1"/>
    <mergeCell ref="F1:H1"/>
    <mergeCell ref="A2:H2"/>
    <mergeCell ref="A3:B3"/>
    <mergeCell ref="C3:D3"/>
    <mergeCell ref="E3:F3"/>
    <mergeCell ref="G3:H3"/>
    <mergeCell ref="C5:H5"/>
    <mergeCell ref="A7:D7"/>
    <mergeCell ref="E7:H7"/>
    <mergeCell ref="A8:D8"/>
    <mergeCell ref="E8:H8"/>
    <mergeCell ref="A9:H9"/>
    <mergeCell ref="A12:D12"/>
    <mergeCell ref="A13:D13"/>
    <mergeCell ref="B14:D14"/>
    <mergeCell ref="B17:C17"/>
    <mergeCell ref="B18:C18"/>
    <mergeCell ref="B19:C19"/>
    <mergeCell ref="B20:C20"/>
    <mergeCell ref="B21:C21"/>
    <mergeCell ref="B22:C22"/>
    <mergeCell ref="B23:C23"/>
    <mergeCell ref="B24:C24"/>
    <mergeCell ref="B25:C25"/>
    <mergeCell ref="B26:C26"/>
    <mergeCell ref="B27:C27"/>
    <mergeCell ref="B28:C28"/>
    <mergeCell ref="D30:E30"/>
    <mergeCell ref="A30:C30"/>
    <mergeCell ref="D31:E31"/>
    <mergeCell ref="D32:E32"/>
    <mergeCell ref="D33:E33"/>
    <mergeCell ref="D34:E34"/>
    <mergeCell ref="A34:C34"/>
    <mergeCell ref="A36:H36"/>
    <mergeCell ref="A37:H37"/>
    <mergeCell ref="A38:H38"/>
    <mergeCell ref="A39:H39"/>
    <mergeCell ref="A41:H41"/>
    <mergeCell ref="A42:H42"/>
    <mergeCell ref="B43:D43"/>
    <mergeCell ref="F43:H43"/>
    <mergeCell ref="B44:D44"/>
    <mergeCell ref="F44:H44"/>
    <mergeCell ref="A46:H46"/>
    <mergeCell ref="A47:H47"/>
  </mergeCells>
  <conditionalFormatting sqref="G17:G28">
    <cfRule type="containsText" dxfId="3" priority="1" operator="containsText" text="Yes">
      <formula>NOT(ISERROR(SEARCH("Yes",G17)))</formula>
    </cfRule>
  </conditionalFormatting>
  <dataValidations count="1">
    <dataValidation type="list" allowBlank="1" showInputMessage="1" showErrorMessage="1" sqref="B5">
      <formula1>QuoteIDs</formula1>
    </dataValidation>
  </dataValidations>
  <hyperlinks>
    <hyperlink ref="A3" location="'Start Here'!A1" display="&gt; Start Here"/>
    <hyperlink ref="C3" location="Dashboard!A1" display="&gt; Dashboard"/>
    <hyperlink ref="E3" location="Clients!A1" display="&gt; Clients"/>
    <hyperlink ref="G3" location="Jobs!A1" display="&gt; Jobs"/>
  </hyperlinks>
  <pageMargins left="0.4" right="0.4" top="0.6" bottom="0.5" header="0.3" footer="0.3"/>
  <pageSetup paperSize="9" fitToHeight="0" orientation="landscape"/>
  <headerFooter>
    <oddHeader>&amp;L&amp;"Calibri,Bold"&amp;12&amp;C&amp;"Calibri,Bold"&amp;11Print Quote&amp;R&amp;"Calibri,Italic"&amp;9Cleaning Business CRM &amp; Pricing Calculator</oddHeader>
    <oddFooter>&amp;L&amp;"Calibri,Italic"&amp;8Novality Store - v1.0.0&amp;C&amp;"Calibri,Italic"&amp;8Page &amp;P of &amp;N&amp;R&amp;"Calibri,Italic"&amp;8&amp;D</oddFooter>
  </headerFooter>
</worksheet>
</file>

<file path=xl/worksheets/sheet34.xml><?xml version="1.0" encoding="utf-8"?>
<worksheet xmlns="http://schemas.openxmlformats.org/spreadsheetml/2006/main" xmlns:r="http://schemas.openxmlformats.org/officeDocument/2006/relationships">
  <sheetPr>
    <tabColor rgb="FFDCEEF0"/>
    <pageSetUpPr fitToPage="1"/>
  </sheetPr>
  <dimension ref="A1:H42"/>
  <sheetViews>
    <sheetView showGridLines="0" workbookViewId="0"/>
  </sheetViews>
  <sheetFormatPr defaultRowHeight="15"/>
  <cols>
    <col min="1" max="1" width="16.7109375" customWidth="1"/>
    <col min="2" max="2" width="24.7109375" customWidth="1"/>
    <col min="3" max="3" width="26.7109375" customWidth="1"/>
    <col min="4" max="4" width="10.7109375" customWidth="1"/>
    <col min="5" max="5" width="12.7109375" customWidth="1"/>
    <col min="6" max="6" width="12.7109375" customWidth="1"/>
    <col min="7" max="7" width="12.7109375" customWidth="1"/>
    <col min="8" max="8" width="14.7109375" customWidth="1"/>
    <col min="1" max="1" width="12.7109375" customWidth="1"/>
    <col min="2" max="2" width="42.7109375" customWidth="1"/>
    <col min="3" max="3" width="8.7109375" customWidth="1"/>
    <col min="4" max="4" width="12.7109375" customWidth="1"/>
    <col min="5" max="5" width="13.7109375" customWidth="1"/>
    <col min="6" max="6" width="9.7109375" customWidth="1"/>
  </cols>
  <sheetData>
    <row r="1" spans="1:8" ht="34" customHeight="1">
      <c r="A1" s="2" t="s">
        <v>2248</v>
      </c>
      <c r="B1" s="2"/>
      <c r="C1" s="2"/>
      <c r="D1" s="2"/>
      <c r="E1" s="2"/>
      <c r="F1" s="3" t="s">
        <v>1</v>
      </c>
      <c r="G1" s="3"/>
      <c r="H1" s="3"/>
    </row>
    <row r="2" spans="1:8" ht="18" customHeight="1">
      <c r="A2" s="4"/>
      <c r="B2" s="4"/>
      <c r="C2" s="4"/>
      <c r="D2" s="4"/>
      <c r="E2" s="4"/>
      <c r="F2" s="4"/>
      <c r="G2" s="4"/>
      <c r="H2" s="4"/>
    </row>
    <row r="3" spans="1:8" ht="16" customHeight="1">
      <c r="A3" s="5" t="s">
        <v>3</v>
      </c>
      <c r="B3" s="5"/>
      <c r="C3" s="5" t="s">
        <v>4</v>
      </c>
      <c r="D3" s="5"/>
      <c r="E3" s="5" t="s">
        <v>5</v>
      </c>
      <c r="F3" s="5"/>
      <c r="G3" s="5" t="s">
        <v>6</v>
      </c>
      <c r="H3" s="5"/>
    </row>
    <row r="5" spans="1:8">
      <c r="A5" s="10" t="s">
        <v>2249</v>
      </c>
      <c r="B5" s="49" t="s">
        <v>1621</v>
      </c>
      <c r="C5" s="12" t="s">
        <v>2250</v>
      </c>
      <c r="D5" s="12"/>
      <c r="E5" s="12"/>
      <c r="F5" s="12"/>
      <c r="G5" s="12"/>
      <c r="H5" s="12"/>
    </row>
    <row r="7" spans="1:8">
      <c r="A7" s="59">
        <f>BizName</f>
        <v>0</v>
      </c>
      <c r="B7" s="59"/>
      <c r="C7" s="59"/>
      <c r="D7" s="59"/>
      <c r="E7" s="59" t="s">
        <v>2251</v>
      </c>
      <c r="F7" s="59"/>
      <c r="G7" s="59"/>
      <c r="H7" s="59"/>
    </row>
    <row r="8" spans="1:8">
      <c r="A8" s="60">
        <f>BizAddress&amp;IF(BizArea=""," "," - "&amp;BizArea)</f>
        <v>0</v>
      </c>
      <c r="B8" s="60"/>
      <c r="C8" s="60"/>
      <c r="D8" s="60"/>
      <c r="E8" s="60">
        <f>BizPhone&amp;"   "&amp;BizEmail&amp;IF(BizWebsite="","","   "&amp;BizWebsite)</f>
        <v>0</v>
      </c>
      <c r="F8" s="60"/>
      <c r="G8" s="60"/>
      <c r="H8" s="60"/>
    </row>
    <row r="9" spans="1:8">
      <c r="A9" s="60">
        <f>IF(BizRegNo="","","Registration "&amp;BizRegNo&amp;"   ")&amp;IF(BizInsurance="","","Insurance: "&amp;BizInsurance)</f>
        <v>0</v>
      </c>
      <c r="B9" s="60"/>
      <c r="C9" s="60"/>
      <c r="D9" s="60"/>
      <c r="E9" s="60"/>
      <c r="F9" s="60"/>
      <c r="G9" s="60"/>
      <c r="H9" s="60"/>
    </row>
    <row r="11" spans="1:8">
      <c r="A11" s="10" t="s">
        <v>2252</v>
      </c>
      <c r="E11" s="10" t="s">
        <v>2253</v>
      </c>
      <c r="F11" s="61">
        <f>PrintInvoice</f>
        <v>0</v>
      </c>
    </row>
    <row r="12" spans="1:8">
      <c r="A12" s="62">
        <f>IFERROR(INDEX(Invoices!$E$5:$E$404,MATCH(PrintInvoice,Invoices!$A$5:$A$404,0)),"")</f>
        <v>0</v>
      </c>
      <c r="B12" s="62"/>
      <c r="C12" s="62"/>
      <c r="D12" s="62"/>
      <c r="E12" s="10" t="s">
        <v>1100</v>
      </c>
      <c r="F12" s="63">
        <f>IFERROR(INDEX(Invoices!$B$5:$B$404,MATCH(PrintInvoice,Invoices!$A$5:$A$404,0)),"")</f>
        <v>0</v>
      </c>
    </row>
    <row r="13" spans="1:8" ht="32" customHeight="1">
      <c r="A13" s="64">
        <f>IFERROR(INDEX(Invoices!$F$5:$F$404,MATCH(PrintInvoice,Invoices!$A$5:$A$404,0)),"")</f>
        <v>0</v>
      </c>
      <c r="B13" s="64"/>
      <c r="C13" s="64"/>
      <c r="D13" s="64"/>
      <c r="E13" s="10" t="s">
        <v>2254</v>
      </c>
      <c r="F13" s="63">
        <f>IFERROR(INDEX(Invoices!$Z$5:$Z$404,MATCH(PrintInvoice,Invoices!$A$5:$A$404,0)),"")</f>
        <v>0</v>
      </c>
    </row>
    <row r="14" spans="1:8">
      <c r="A14" s="10" t="s">
        <v>2255</v>
      </c>
      <c r="B14" s="62">
        <f>IFERROR(INDEX(Invoices!$G$5:$G$404,MATCH(PrintInvoice,Invoices!$A$5:$A$404,0)),"")</f>
        <v>0</v>
      </c>
      <c r="C14" s="62"/>
      <c r="D14" s="62"/>
      <c r="E14" s="10" t="s">
        <v>2256</v>
      </c>
      <c r="F14" s="62">
        <f>IFERROR(INDEX(Invoices!$M$5:$M$404,MATCH(PrintInvoice,Invoices!$A$5:$A$404,0)),"")</f>
        <v>0</v>
      </c>
    </row>
    <row r="16" spans="1:8" ht="26" customHeight="1">
      <c r="A16" s="8" t="s">
        <v>1100</v>
      </c>
      <c r="B16" s="9" t="s">
        <v>1987</v>
      </c>
      <c r="C16" s="9" t="s">
        <v>469</v>
      </c>
      <c r="D16" s="9" t="s">
        <v>1120</v>
      </c>
      <c r="E16" s="9" t="s">
        <v>1079</v>
      </c>
      <c r="F16" s="9" t="s">
        <v>2257</v>
      </c>
    </row>
    <row r="17" spans="1:7">
      <c r="A17" s="63">
        <f>IFERROR(INDEX('Invoice Lines'!$D$5:$D$804,MATCH(PrintInvoice&amp;"|1",'Invoice Lines'!$Q$5:$Q$804,0)),"")</f>
        <v>0</v>
      </c>
      <c r="B17" s="64"/>
      <c r="C17" s="64">
        <f>IFERROR(INDEX('Invoice Lines'!$L$5:$L$804,MATCH(PrintInvoice&amp;"|1",'Invoice Lines'!$Q$5:$Q$804,0)),"")</f>
        <v>0</v>
      </c>
      <c r="D17" s="65">
        <f>IFERROR(INDEX('Invoice Lines'!$F$5:$F$804,MATCH(PrintInvoice&amp;"|1",'Invoice Lines'!$Q$5:$Q$804,0)),"")</f>
        <v>0</v>
      </c>
      <c r="E17" s="66">
        <f>IFERROR(INDEX('Invoice Lines'!$M$5:$M$804,MATCH(PrintInvoice&amp;"|1",'Invoice Lines'!$Q$5:$Q$804,0)),"")</f>
        <v>0</v>
      </c>
      <c r="F17" s="66">
        <f>IFERROR(INDEX('Invoice Lines'!$N$5:$N$804,MATCH(PrintInvoice&amp;"|1",'Invoice Lines'!$Q$5:$Q$804,0)),"")</f>
        <v>0</v>
      </c>
      <c r="G17" s="62">
        <f>IFERROR(INDEX('Invoice Lines'!$H$5:$H$804,MATCH(PrintInvoice&amp;"|1",'Invoice Lines'!$Q$5:$Q$804,0)),"")</f>
        <v>0</v>
      </c>
    </row>
    <row r="18" spans="1:7">
      <c r="A18" s="63">
        <f>IFERROR(INDEX('Invoice Lines'!$D$5:$D$804,MATCH(PrintInvoice&amp;"|2",'Invoice Lines'!$Q$5:$Q$804,0)),"")</f>
        <v>0</v>
      </c>
      <c r="B18" s="64"/>
      <c r="C18" s="64">
        <f>IFERROR(INDEX('Invoice Lines'!$L$5:$L$804,MATCH(PrintInvoice&amp;"|2",'Invoice Lines'!$Q$5:$Q$804,0)),"")</f>
        <v>0</v>
      </c>
      <c r="D18" s="65">
        <f>IFERROR(INDEX('Invoice Lines'!$F$5:$F$804,MATCH(PrintInvoice&amp;"|2",'Invoice Lines'!$Q$5:$Q$804,0)),"")</f>
        <v>0</v>
      </c>
      <c r="E18" s="66">
        <f>IFERROR(INDEX('Invoice Lines'!$M$5:$M$804,MATCH(PrintInvoice&amp;"|2",'Invoice Lines'!$Q$5:$Q$804,0)),"")</f>
        <v>0</v>
      </c>
      <c r="F18" s="66">
        <f>IFERROR(INDEX('Invoice Lines'!$N$5:$N$804,MATCH(PrintInvoice&amp;"|2",'Invoice Lines'!$Q$5:$Q$804,0)),"")</f>
        <v>0</v>
      </c>
      <c r="G18" s="62">
        <f>IFERROR(INDEX('Invoice Lines'!$H$5:$H$804,MATCH(PrintInvoice&amp;"|2",'Invoice Lines'!$Q$5:$Q$804,0)),"")</f>
        <v>0</v>
      </c>
    </row>
    <row r="19" spans="1:7">
      <c r="A19" s="63">
        <f>IFERROR(INDEX('Invoice Lines'!$D$5:$D$804,MATCH(PrintInvoice&amp;"|3",'Invoice Lines'!$Q$5:$Q$804,0)),"")</f>
        <v>0</v>
      </c>
      <c r="B19" s="64"/>
      <c r="C19" s="64">
        <f>IFERROR(INDEX('Invoice Lines'!$L$5:$L$804,MATCH(PrintInvoice&amp;"|3",'Invoice Lines'!$Q$5:$Q$804,0)),"")</f>
        <v>0</v>
      </c>
      <c r="D19" s="65">
        <f>IFERROR(INDEX('Invoice Lines'!$F$5:$F$804,MATCH(PrintInvoice&amp;"|3",'Invoice Lines'!$Q$5:$Q$804,0)),"")</f>
        <v>0</v>
      </c>
      <c r="E19" s="66">
        <f>IFERROR(INDEX('Invoice Lines'!$M$5:$M$804,MATCH(PrintInvoice&amp;"|3",'Invoice Lines'!$Q$5:$Q$804,0)),"")</f>
        <v>0</v>
      </c>
      <c r="F19" s="66">
        <f>IFERROR(INDEX('Invoice Lines'!$N$5:$N$804,MATCH(PrintInvoice&amp;"|3",'Invoice Lines'!$Q$5:$Q$804,0)),"")</f>
        <v>0</v>
      </c>
      <c r="G19" s="62">
        <f>IFERROR(INDEX('Invoice Lines'!$H$5:$H$804,MATCH(PrintInvoice&amp;"|3",'Invoice Lines'!$Q$5:$Q$804,0)),"")</f>
        <v>0</v>
      </c>
    </row>
    <row r="20" spans="1:7">
      <c r="A20" s="63">
        <f>IFERROR(INDEX('Invoice Lines'!$D$5:$D$804,MATCH(PrintInvoice&amp;"|4",'Invoice Lines'!$Q$5:$Q$804,0)),"")</f>
        <v>0</v>
      </c>
      <c r="B20" s="64"/>
      <c r="C20" s="64">
        <f>IFERROR(INDEX('Invoice Lines'!$L$5:$L$804,MATCH(PrintInvoice&amp;"|4",'Invoice Lines'!$Q$5:$Q$804,0)),"")</f>
        <v>0</v>
      </c>
      <c r="D20" s="65">
        <f>IFERROR(INDEX('Invoice Lines'!$F$5:$F$804,MATCH(PrintInvoice&amp;"|4",'Invoice Lines'!$Q$5:$Q$804,0)),"")</f>
        <v>0</v>
      </c>
      <c r="E20" s="66">
        <f>IFERROR(INDEX('Invoice Lines'!$M$5:$M$804,MATCH(PrintInvoice&amp;"|4",'Invoice Lines'!$Q$5:$Q$804,0)),"")</f>
        <v>0</v>
      </c>
      <c r="F20" s="66">
        <f>IFERROR(INDEX('Invoice Lines'!$N$5:$N$804,MATCH(PrintInvoice&amp;"|4",'Invoice Lines'!$Q$5:$Q$804,0)),"")</f>
        <v>0</v>
      </c>
      <c r="G20" s="62">
        <f>IFERROR(INDEX('Invoice Lines'!$H$5:$H$804,MATCH(PrintInvoice&amp;"|4",'Invoice Lines'!$Q$5:$Q$804,0)),"")</f>
        <v>0</v>
      </c>
    </row>
    <row r="21" spans="1:7">
      <c r="A21" s="63">
        <f>IFERROR(INDEX('Invoice Lines'!$D$5:$D$804,MATCH(PrintInvoice&amp;"|5",'Invoice Lines'!$Q$5:$Q$804,0)),"")</f>
        <v>0</v>
      </c>
      <c r="B21" s="64"/>
      <c r="C21" s="64">
        <f>IFERROR(INDEX('Invoice Lines'!$L$5:$L$804,MATCH(PrintInvoice&amp;"|5",'Invoice Lines'!$Q$5:$Q$804,0)),"")</f>
        <v>0</v>
      </c>
      <c r="D21" s="65">
        <f>IFERROR(INDEX('Invoice Lines'!$F$5:$F$804,MATCH(PrintInvoice&amp;"|5",'Invoice Lines'!$Q$5:$Q$804,0)),"")</f>
        <v>0</v>
      </c>
      <c r="E21" s="66">
        <f>IFERROR(INDEX('Invoice Lines'!$M$5:$M$804,MATCH(PrintInvoice&amp;"|5",'Invoice Lines'!$Q$5:$Q$804,0)),"")</f>
        <v>0</v>
      </c>
      <c r="F21" s="66">
        <f>IFERROR(INDEX('Invoice Lines'!$N$5:$N$804,MATCH(PrintInvoice&amp;"|5",'Invoice Lines'!$Q$5:$Q$804,0)),"")</f>
        <v>0</v>
      </c>
      <c r="G21" s="62">
        <f>IFERROR(INDEX('Invoice Lines'!$H$5:$H$804,MATCH(PrintInvoice&amp;"|5",'Invoice Lines'!$Q$5:$Q$804,0)),"")</f>
        <v>0</v>
      </c>
    </row>
    <row r="22" spans="1:7">
      <c r="A22" s="63">
        <f>IFERROR(INDEX('Invoice Lines'!$D$5:$D$804,MATCH(PrintInvoice&amp;"|6",'Invoice Lines'!$Q$5:$Q$804,0)),"")</f>
        <v>0</v>
      </c>
      <c r="B22" s="64"/>
      <c r="C22" s="64">
        <f>IFERROR(INDEX('Invoice Lines'!$L$5:$L$804,MATCH(PrintInvoice&amp;"|6",'Invoice Lines'!$Q$5:$Q$804,0)),"")</f>
        <v>0</v>
      </c>
      <c r="D22" s="65">
        <f>IFERROR(INDEX('Invoice Lines'!$F$5:$F$804,MATCH(PrintInvoice&amp;"|6",'Invoice Lines'!$Q$5:$Q$804,0)),"")</f>
        <v>0</v>
      </c>
      <c r="E22" s="66">
        <f>IFERROR(INDEX('Invoice Lines'!$M$5:$M$804,MATCH(PrintInvoice&amp;"|6",'Invoice Lines'!$Q$5:$Q$804,0)),"")</f>
        <v>0</v>
      </c>
      <c r="F22" s="66">
        <f>IFERROR(INDEX('Invoice Lines'!$N$5:$N$804,MATCH(PrintInvoice&amp;"|6",'Invoice Lines'!$Q$5:$Q$804,0)),"")</f>
        <v>0</v>
      </c>
      <c r="G22" s="62">
        <f>IFERROR(INDEX('Invoice Lines'!$H$5:$H$804,MATCH(PrintInvoice&amp;"|6",'Invoice Lines'!$Q$5:$Q$804,0)),"")</f>
        <v>0</v>
      </c>
    </row>
    <row r="23" spans="1:7">
      <c r="A23" s="63">
        <f>IFERROR(INDEX('Invoice Lines'!$D$5:$D$804,MATCH(PrintInvoice&amp;"|7",'Invoice Lines'!$Q$5:$Q$804,0)),"")</f>
        <v>0</v>
      </c>
      <c r="B23" s="64"/>
      <c r="C23" s="64">
        <f>IFERROR(INDEX('Invoice Lines'!$L$5:$L$804,MATCH(PrintInvoice&amp;"|7",'Invoice Lines'!$Q$5:$Q$804,0)),"")</f>
        <v>0</v>
      </c>
      <c r="D23" s="65">
        <f>IFERROR(INDEX('Invoice Lines'!$F$5:$F$804,MATCH(PrintInvoice&amp;"|7",'Invoice Lines'!$Q$5:$Q$804,0)),"")</f>
        <v>0</v>
      </c>
      <c r="E23" s="66">
        <f>IFERROR(INDEX('Invoice Lines'!$M$5:$M$804,MATCH(PrintInvoice&amp;"|7",'Invoice Lines'!$Q$5:$Q$804,0)),"")</f>
        <v>0</v>
      </c>
      <c r="F23" s="66">
        <f>IFERROR(INDEX('Invoice Lines'!$N$5:$N$804,MATCH(PrintInvoice&amp;"|7",'Invoice Lines'!$Q$5:$Q$804,0)),"")</f>
        <v>0</v>
      </c>
      <c r="G23" s="62">
        <f>IFERROR(INDEX('Invoice Lines'!$H$5:$H$804,MATCH(PrintInvoice&amp;"|7",'Invoice Lines'!$Q$5:$Q$804,0)),"")</f>
        <v>0</v>
      </c>
    </row>
    <row r="24" spans="1:7">
      <c r="A24" s="63">
        <f>IFERROR(INDEX('Invoice Lines'!$D$5:$D$804,MATCH(PrintInvoice&amp;"|8",'Invoice Lines'!$Q$5:$Q$804,0)),"")</f>
        <v>0</v>
      </c>
      <c r="B24" s="64"/>
      <c r="C24" s="64">
        <f>IFERROR(INDEX('Invoice Lines'!$L$5:$L$804,MATCH(PrintInvoice&amp;"|8",'Invoice Lines'!$Q$5:$Q$804,0)),"")</f>
        <v>0</v>
      </c>
      <c r="D24" s="65">
        <f>IFERROR(INDEX('Invoice Lines'!$F$5:$F$804,MATCH(PrintInvoice&amp;"|8",'Invoice Lines'!$Q$5:$Q$804,0)),"")</f>
        <v>0</v>
      </c>
      <c r="E24" s="66">
        <f>IFERROR(INDEX('Invoice Lines'!$M$5:$M$804,MATCH(PrintInvoice&amp;"|8",'Invoice Lines'!$Q$5:$Q$804,0)),"")</f>
        <v>0</v>
      </c>
      <c r="F24" s="66">
        <f>IFERROR(INDEX('Invoice Lines'!$N$5:$N$804,MATCH(PrintInvoice&amp;"|8",'Invoice Lines'!$Q$5:$Q$804,0)),"")</f>
        <v>0</v>
      </c>
      <c r="G24" s="62">
        <f>IFERROR(INDEX('Invoice Lines'!$H$5:$H$804,MATCH(PrintInvoice&amp;"|8",'Invoice Lines'!$Q$5:$Q$804,0)),"")</f>
        <v>0</v>
      </c>
    </row>
    <row r="25" spans="1:7">
      <c r="A25" s="63">
        <f>IFERROR(INDEX('Invoice Lines'!$D$5:$D$804,MATCH(PrintInvoice&amp;"|9",'Invoice Lines'!$Q$5:$Q$804,0)),"")</f>
        <v>0</v>
      </c>
      <c r="B25" s="64"/>
      <c r="C25" s="64">
        <f>IFERROR(INDEX('Invoice Lines'!$L$5:$L$804,MATCH(PrintInvoice&amp;"|9",'Invoice Lines'!$Q$5:$Q$804,0)),"")</f>
        <v>0</v>
      </c>
      <c r="D25" s="65">
        <f>IFERROR(INDEX('Invoice Lines'!$F$5:$F$804,MATCH(PrintInvoice&amp;"|9",'Invoice Lines'!$Q$5:$Q$804,0)),"")</f>
        <v>0</v>
      </c>
      <c r="E25" s="66">
        <f>IFERROR(INDEX('Invoice Lines'!$M$5:$M$804,MATCH(PrintInvoice&amp;"|9",'Invoice Lines'!$Q$5:$Q$804,0)),"")</f>
        <v>0</v>
      </c>
      <c r="F25" s="66">
        <f>IFERROR(INDEX('Invoice Lines'!$N$5:$N$804,MATCH(PrintInvoice&amp;"|9",'Invoice Lines'!$Q$5:$Q$804,0)),"")</f>
        <v>0</v>
      </c>
      <c r="G25" s="62">
        <f>IFERROR(INDEX('Invoice Lines'!$H$5:$H$804,MATCH(PrintInvoice&amp;"|9",'Invoice Lines'!$Q$5:$Q$804,0)),"")</f>
        <v>0</v>
      </c>
    </row>
    <row r="26" spans="1:7">
      <c r="A26" s="63">
        <f>IFERROR(INDEX('Invoice Lines'!$D$5:$D$804,MATCH(PrintInvoice&amp;"|10",'Invoice Lines'!$Q$5:$Q$804,0)),"")</f>
        <v>0</v>
      </c>
      <c r="B26" s="64"/>
      <c r="C26" s="64">
        <f>IFERROR(INDEX('Invoice Lines'!$L$5:$L$804,MATCH(PrintInvoice&amp;"|10",'Invoice Lines'!$Q$5:$Q$804,0)),"")</f>
        <v>0</v>
      </c>
      <c r="D26" s="65">
        <f>IFERROR(INDEX('Invoice Lines'!$F$5:$F$804,MATCH(PrintInvoice&amp;"|10",'Invoice Lines'!$Q$5:$Q$804,0)),"")</f>
        <v>0</v>
      </c>
      <c r="E26" s="66">
        <f>IFERROR(INDEX('Invoice Lines'!$M$5:$M$804,MATCH(PrintInvoice&amp;"|10",'Invoice Lines'!$Q$5:$Q$804,0)),"")</f>
        <v>0</v>
      </c>
      <c r="F26" s="66">
        <f>IFERROR(INDEX('Invoice Lines'!$N$5:$N$804,MATCH(PrintInvoice&amp;"|10",'Invoice Lines'!$Q$5:$Q$804,0)),"")</f>
        <v>0</v>
      </c>
      <c r="G26" s="62">
        <f>IFERROR(INDEX('Invoice Lines'!$H$5:$H$804,MATCH(PrintInvoice&amp;"|10",'Invoice Lines'!$Q$5:$Q$804,0)),"")</f>
        <v>0</v>
      </c>
    </row>
    <row r="27" spans="1:7">
      <c r="A27" s="63">
        <f>IFERROR(INDEX('Invoice Lines'!$D$5:$D$804,MATCH(PrintInvoice&amp;"|11",'Invoice Lines'!$Q$5:$Q$804,0)),"")</f>
        <v>0</v>
      </c>
      <c r="B27" s="64"/>
      <c r="C27" s="64">
        <f>IFERROR(INDEX('Invoice Lines'!$L$5:$L$804,MATCH(PrintInvoice&amp;"|11",'Invoice Lines'!$Q$5:$Q$804,0)),"")</f>
        <v>0</v>
      </c>
      <c r="D27" s="65">
        <f>IFERROR(INDEX('Invoice Lines'!$F$5:$F$804,MATCH(PrintInvoice&amp;"|11",'Invoice Lines'!$Q$5:$Q$804,0)),"")</f>
        <v>0</v>
      </c>
      <c r="E27" s="66">
        <f>IFERROR(INDEX('Invoice Lines'!$M$5:$M$804,MATCH(PrintInvoice&amp;"|11",'Invoice Lines'!$Q$5:$Q$804,0)),"")</f>
        <v>0</v>
      </c>
      <c r="F27" s="66">
        <f>IFERROR(INDEX('Invoice Lines'!$N$5:$N$804,MATCH(PrintInvoice&amp;"|11",'Invoice Lines'!$Q$5:$Q$804,0)),"")</f>
        <v>0</v>
      </c>
      <c r="G27" s="62">
        <f>IFERROR(INDEX('Invoice Lines'!$H$5:$H$804,MATCH(PrintInvoice&amp;"|11",'Invoice Lines'!$Q$5:$Q$804,0)),"")</f>
        <v>0</v>
      </c>
    </row>
    <row r="28" spans="1:7">
      <c r="A28" s="63">
        <f>IFERROR(INDEX('Invoice Lines'!$D$5:$D$804,MATCH(PrintInvoice&amp;"|12",'Invoice Lines'!$Q$5:$Q$804,0)),"")</f>
        <v>0</v>
      </c>
      <c r="B28" s="64"/>
      <c r="C28" s="64">
        <f>IFERROR(INDEX('Invoice Lines'!$L$5:$L$804,MATCH(PrintInvoice&amp;"|12",'Invoice Lines'!$Q$5:$Q$804,0)),"")</f>
        <v>0</v>
      </c>
      <c r="D28" s="65">
        <f>IFERROR(INDEX('Invoice Lines'!$F$5:$F$804,MATCH(PrintInvoice&amp;"|12",'Invoice Lines'!$Q$5:$Q$804,0)),"")</f>
        <v>0</v>
      </c>
      <c r="E28" s="66">
        <f>IFERROR(INDEX('Invoice Lines'!$M$5:$M$804,MATCH(PrintInvoice&amp;"|12",'Invoice Lines'!$Q$5:$Q$804,0)),"")</f>
        <v>0</v>
      </c>
      <c r="F28" s="66">
        <f>IFERROR(INDEX('Invoice Lines'!$N$5:$N$804,MATCH(PrintInvoice&amp;"|12",'Invoice Lines'!$Q$5:$Q$804,0)),"")</f>
        <v>0</v>
      </c>
      <c r="G28" s="62">
        <f>IFERROR(INDEX('Invoice Lines'!$H$5:$H$804,MATCH(PrintInvoice&amp;"|12",'Invoice Lines'!$Q$5:$Q$804,0)),"")</f>
        <v>0</v>
      </c>
    </row>
    <row r="30" spans="1:7">
      <c r="D30" s="24" t="s">
        <v>1041</v>
      </c>
      <c r="E30" s="24"/>
      <c r="F30" s="66">
        <f>IFERROR(INDEX(Invoices!$R$5:$R$404,MATCH(PrintInvoice,Invoices!$A$5:$A$404,0)),"")</f>
        <v>0</v>
      </c>
    </row>
    <row r="31" spans="1:7">
      <c r="D31" s="24" t="s">
        <v>464</v>
      </c>
      <c r="E31" s="24"/>
      <c r="F31" s="66">
        <f>IFERROR(INDEX(Invoices!$S$5:$S$404,MATCH(PrintInvoice,Invoices!$A$5:$A$404,0)),"")</f>
        <v>0</v>
      </c>
    </row>
    <row r="32" spans="1:7">
      <c r="D32" s="24" t="s">
        <v>263</v>
      </c>
      <c r="E32" s="24"/>
      <c r="F32" s="66">
        <f>IFERROR(INDEX(Invoices!$U$5:$U$404,MATCH(PrintInvoice,Invoices!$A$5:$A$404,0)),"")</f>
        <v>0</v>
      </c>
    </row>
    <row r="33" spans="1:8">
      <c r="D33" s="67" t="s">
        <v>1656</v>
      </c>
      <c r="E33" s="67"/>
      <c r="F33" s="41">
        <f>IFERROR(INDEX(Invoices!$V$5:$V$404,MATCH(PrintInvoice,Invoices!$A$5:$A$404,0)),"")</f>
        <v>0</v>
      </c>
    </row>
    <row r="34" spans="1:8">
      <c r="D34" s="24" t="s">
        <v>2258</v>
      </c>
      <c r="E34" s="24"/>
      <c r="F34" s="66">
        <f>IFERROR(INDEX(Invoices!$W$5:$W$404,MATCH(PrintInvoice,Invoices!$A$5:$A$404,0)),"")</f>
        <v>0</v>
      </c>
    </row>
    <row r="35" spans="1:8">
      <c r="D35" s="67" t="s">
        <v>2259</v>
      </c>
      <c r="E35" s="67"/>
      <c r="F35" s="41">
        <f>IFERROR(INDEX(Invoices!$X$5:$X$404,MATCH(PrintInvoice,Invoices!$A$5:$A$404,0)),"")</f>
        <v>0</v>
      </c>
    </row>
    <row r="37" spans="1:8" ht="20" customHeight="1">
      <c r="A37" s="7" t="s">
        <v>2260</v>
      </c>
      <c r="B37" s="7"/>
      <c r="C37" s="7"/>
      <c r="D37" s="7"/>
      <c r="E37" s="7"/>
      <c r="F37" s="7"/>
      <c r="G37" s="7"/>
      <c r="H37" s="7"/>
    </row>
    <row r="38" spans="1:8" ht="40" customHeight="1">
      <c r="A38" s="64">
        <f>"Payment within "&amp;PaymentTerms&amp;" days. "&amp;IF(BizPayDetails="","Bank details on request.",BizPayDetails)&amp;IF(LateFeePercent=0,"","  Late payments may carry a fee of "&amp;TEXT(LateFeePercent,"0%")&amp;".")</f>
        <v>0</v>
      </c>
      <c r="B38" s="64"/>
      <c r="C38" s="64"/>
      <c r="D38" s="64"/>
      <c r="E38" s="64"/>
      <c r="F38" s="64"/>
      <c r="G38" s="64"/>
      <c r="H38" s="64"/>
    </row>
    <row r="39" spans="1:8" ht="32" customHeight="1">
      <c r="A39" s="64">
        <f>IFERROR(INDEX(Invoices!$P$5:$P$404,MATCH(PrintInvoice,Invoices!$A$5:$A$404,0)),"")</f>
        <v>0</v>
      </c>
      <c r="B39" s="64"/>
      <c r="C39" s="64"/>
      <c r="D39" s="64"/>
      <c r="E39" s="64"/>
      <c r="F39" s="64"/>
      <c r="G39" s="64"/>
      <c r="H39" s="64"/>
    </row>
    <row r="41" spans="1:8">
      <c r="A41" s="12">
        <f>"Thank you for your business. Any questions, call "&amp;BizPhone&amp;" or email "&amp;BizEmail&amp;"."</f>
        <v>0</v>
      </c>
      <c r="B41" s="12"/>
      <c r="C41" s="12"/>
      <c r="D41" s="12"/>
      <c r="E41" s="12"/>
      <c r="F41" s="12"/>
      <c r="G41" s="12"/>
      <c r="H41" s="12"/>
    </row>
    <row r="42" spans="1:8">
      <c r="A42" s="12" t="s">
        <v>2261</v>
      </c>
      <c r="B42" s="12"/>
      <c r="C42" s="12"/>
      <c r="D42" s="12"/>
      <c r="E42" s="12"/>
      <c r="F42" s="12"/>
      <c r="G42" s="12"/>
      <c r="H42" s="12"/>
    </row>
  </sheetData>
  <sheetProtection password="EC7C" sheet="1" objects="1" scenarios="1" formatCells="0" formatColumns="0" formatRows="0" insertRows="0" insertHyperlinks="0" deleteRows="0" autoFilter="0"/>
  <mergeCells count="39">
    <mergeCell ref="A1:E1"/>
    <mergeCell ref="F1:H1"/>
    <mergeCell ref="A2:H2"/>
    <mergeCell ref="A3:B3"/>
    <mergeCell ref="C3:D3"/>
    <mergeCell ref="E3:F3"/>
    <mergeCell ref="G3:H3"/>
    <mergeCell ref="C5:H5"/>
    <mergeCell ref="A7:D7"/>
    <mergeCell ref="E7:H7"/>
    <mergeCell ref="A8:D8"/>
    <mergeCell ref="E8:H8"/>
    <mergeCell ref="A9:H9"/>
    <mergeCell ref="A12:D12"/>
    <mergeCell ref="A13:D13"/>
    <mergeCell ref="B14:D14"/>
    <mergeCell ref="B17:C17"/>
    <mergeCell ref="B18:C18"/>
    <mergeCell ref="B19:C19"/>
    <mergeCell ref="B20:C20"/>
    <mergeCell ref="B21:C21"/>
    <mergeCell ref="B22:C22"/>
    <mergeCell ref="B23:C23"/>
    <mergeCell ref="B24:C24"/>
    <mergeCell ref="B25:C25"/>
    <mergeCell ref="B26:C26"/>
    <mergeCell ref="B27:C27"/>
    <mergeCell ref="B28:C28"/>
    <mergeCell ref="D30:E30"/>
    <mergeCell ref="D31:E31"/>
    <mergeCell ref="D32:E32"/>
    <mergeCell ref="D33:E33"/>
    <mergeCell ref="D34:E34"/>
    <mergeCell ref="D35:E35"/>
    <mergeCell ref="A37:H37"/>
    <mergeCell ref="A38:H38"/>
    <mergeCell ref="A39:H39"/>
    <mergeCell ref="A41:H41"/>
    <mergeCell ref="A42:H42"/>
  </mergeCells>
  <conditionalFormatting sqref="F17:F28">
    <cfRule type="cellIs" dxfId="3" priority="1" operator="greaterThan">
      <formula>0</formula>
    </cfRule>
  </conditionalFormatting>
  <dataValidations count="1">
    <dataValidation type="list" allowBlank="1" showInputMessage="1" showErrorMessage="1" sqref="B5">
      <formula1>InvoiceIDs</formula1>
    </dataValidation>
  </dataValidations>
  <hyperlinks>
    <hyperlink ref="A3" location="'Start Here'!A1" display="&gt; Start Here"/>
    <hyperlink ref="C3" location="Dashboard!A1" display="&gt; Dashboard"/>
    <hyperlink ref="E3" location="Clients!A1" display="&gt; Clients"/>
    <hyperlink ref="G3" location="Jobs!A1" display="&gt; Jobs"/>
  </hyperlinks>
  <pageMargins left="0.4" right="0.4" top="0.6" bottom="0.5" header="0.3" footer="0.3"/>
  <pageSetup paperSize="9" fitToHeight="0" orientation="landscape"/>
  <headerFooter>
    <oddHeader>&amp;L&amp;"Calibri,Bold"&amp;12&amp;C&amp;"Calibri,Bold"&amp;11Print Invoice&amp;R&amp;"Calibri,Italic"&amp;9Cleaning Business CRM &amp; Pricing Calculator</oddHeader>
    <oddFooter>&amp;L&amp;"Calibri,Italic"&amp;8Novality Store - v1.0.0&amp;C&amp;"Calibri,Italic"&amp;8Page &amp;P of &amp;N&amp;R&amp;"Calibri,Italic"&amp;8&amp;D</oddFooter>
  </headerFooter>
</worksheet>
</file>

<file path=xl/worksheets/sheet35.xml><?xml version="1.0" encoding="utf-8"?>
<worksheet xmlns="http://schemas.openxmlformats.org/spreadsheetml/2006/main" xmlns:r="http://schemas.openxmlformats.org/officeDocument/2006/relationships">
  <sheetPr>
    <tabColor rgb="FFDCEEF0"/>
    <pageSetUpPr fitToPage="1"/>
  </sheetPr>
  <dimension ref="A1:H61"/>
  <sheetViews>
    <sheetView showGridLines="0" workbookViewId="0"/>
  </sheetViews>
  <sheetFormatPr defaultRowHeight="15"/>
  <cols>
    <col min="1" max="1" width="16.7109375" customWidth="1"/>
    <col min="2" max="2" width="22.7109375" customWidth="1"/>
    <col min="3" max="3" width="30.7109375" customWidth="1"/>
    <col min="4" max="4" width="10.7109375" customWidth="1"/>
    <col min="5" max="5" width="12.7109375" customWidth="1"/>
    <col min="6" max="6" width="12.7109375" customWidth="1"/>
    <col min="7" max="7" width="10.7109375" customWidth="1"/>
    <col min="8" max="8" width="14.7109375" customWidth="1"/>
    <col min="1" max="1" width="16.7109375" customWidth="1"/>
    <col min="2" max="2" width="22.7109375" customWidth="1"/>
    <col min="3" max="3" width="30.7109375" customWidth="1"/>
    <col min="4" max="4" width="8.7109375" customWidth="1"/>
    <col min="5" max="5" width="9.7109375" customWidth="1"/>
    <col min="6" max="6" width="10.7109375" customWidth="1"/>
  </cols>
  <sheetData>
    <row r="1" spans="1:8" ht="34" customHeight="1">
      <c r="A1" s="2" t="s">
        <v>2262</v>
      </c>
      <c r="B1" s="2"/>
      <c r="C1" s="2"/>
      <c r="D1" s="2"/>
      <c r="E1" s="2"/>
      <c r="F1" s="3" t="s">
        <v>1</v>
      </c>
      <c r="G1" s="3"/>
      <c r="H1" s="3"/>
    </row>
    <row r="2" spans="1:8" ht="18" customHeight="1">
      <c r="A2" s="4"/>
      <c r="B2" s="4"/>
      <c r="C2" s="4"/>
      <c r="D2" s="4"/>
      <c r="E2" s="4"/>
      <c r="F2" s="4"/>
      <c r="G2" s="4"/>
      <c r="H2" s="4"/>
    </row>
    <row r="3" spans="1:8" ht="16" customHeight="1">
      <c r="A3" s="5" t="s">
        <v>3</v>
      </c>
      <c r="B3" s="5"/>
      <c r="C3" s="5" t="s">
        <v>4</v>
      </c>
      <c r="D3" s="5"/>
      <c r="E3" s="5" t="s">
        <v>5</v>
      </c>
      <c r="F3" s="5"/>
      <c r="G3" s="5" t="s">
        <v>6</v>
      </c>
      <c r="H3" s="5"/>
    </row>
    <row r="5" spans="1:8">
      <c r="A5" s="10" t="s">
        <v>2263</v>
      </c>
      <c r="B5" s="49" t="s">
        <v>1470</v>
      </c>
      <c r="C5" s="12" t="s">
        <v>2264</v>
      </c>
      <c r="D5" s="12"/>
      <c r="E5" s="12"/>
      <c r="F5" s="12"/>
      <c r="G5" s="12"/>
      <c r="H5" s="12"/>
    </row>
    <row r="6" spans="1:8">
      <c r="A6" s="12">
        <f>IFERROR(IF(COUNTIF(Checklists!$B$5:$B$404,INDEX(Jobs!$M$5:$M$604,MATCH(PrintJob,Jobs!$A$5:$A$604,0)))&gt;0,INDEX(Jobs!$M$5:$M$604,MATCH(PrintJob,Jobs!$A$5:$A$604,0)),INDEX(Properties!$S$5:$S$254,MATCH(INDEX(Jobs!$J$5:$J$604,MATCH(PrintJob,Jobs!$A$5:$A$604,0)),Properties!$A$5:$A$254,0))),"")</f>
        <v>0</v>
      </c>
    </row>
    <row r="7" spans="1:8">
      <c r="A7" s="59">
        <f>BizName</f>
        <v>0</v>
      </c>
      <c r="B7" s="59"/>
      <c r="C7" s="59"/>
      <c r="D7" s="59"/>
      <c r="E7" s="59" t="s">
        <v>2265</v>
      </c>
      <c r="F7" s="59"/>
      <c r="G7" s="59"/>
      <c r="H7" s="59"/>
    </row>
    <row r="8" spans="1:8">
      <c r="A8" s="60">
        <f>BizAddress&amp;IF(BizArea=""," "," - "&amp;BizArea)</f>
        <v>0</v>
      </c>
      <c r="B8" s="60"/>
      <c r="C8" s="60"/>
      <c r="D8" s="60"/>
      <c r="E8" s="60">
        <f>BizPhone&amp;"   "&amp;BizEmail&amp;IF(BizWebsite="","","   "&amp;BizWebsite)</f>
        <v>0</v>
      </c>
      <c r="F8" s="60"/>
      <c r="G8" s="60"/>
      <c r="H8" s="60"/>
    </row>
    <row r="9" spans="1:8">
      <c r="A9" s="60">
        <f>IF(BizRegNo="","","Registration "&amp;BizRegNo&amp;"   ")&amp;IF(BizInsurance="","","Insurance: "&amp;BizInsurance)</f>
        <v>0</v>
      </c>
      <c r="B9" s="60"/>
      <c r="C9" s="60"/>
      <c r="D9" s="60"/>
      <c r="E9" s="60"/>
      <c r="F9" s="60"/>
      <c r="G9" s="60"/>
      <c r="H9" s="60"/>
    </row>
    <row r="11" spans="1:8">
      <c r="A11" s="10" t="s">
        <v>2266</v>
      </c>
      <c r="B11" s="61">
        <f>PrintJob</f>
        <v>0</v>
      </c>
      <c r="C11" s="61"/>
      <c r="E11" s="10" t="s">
        <v>1100</v>
      </c>
      <c r="F11" s="63">
        <f>IFERROR(INDEX(Jobs!$B$5:$B$604,MATCH(PrintJob,Jobs!$A$5:$A$604,0)),"")</f>
        <v>0</v>
      </c>
      <c r="G11" s="63"/>
      <c r="H11" s="63"/>
    </row>
    <row r="12" spans="1:8">
      <c r="A12" s="10" t="s">
        <v>403</v>
      </c>
      <c r="B12" s="62">
        <f>IFERROR(INDEX(Jobs!$H$5:$H$604,MATCH(PrintJob,Jobs!$A$5:$A$604,0)),"")</f>
        <v>0</v>
      </c>
      <c r="C12" s="62"/>
      <c r="E12" s="10" t="s">
        <v>1101</v>
      </c>
      <c r="F12" s="69">
        <f>IFERROR(INDEX(Jobs!$F$5:$F$604,MATCH(PrintJob,Jobs!$A$5:$A$604,0)),"")</f>
        <v>0</v>
      </c>
      <c r="G12" s="69"/>
      <c r="H12" s="69"/>
    </row>
    <row r="13" spans="1:8">
      <c r="A13" s="10" t="s">
        <v>718</v>
      </c>
      <c r="B13" s="62">
        <f>IFERROR(INDEX(Jobs!$K$5:$K$604,MATCH(PrintJob,Jobs!$A$5:$A$604,0)),"")</f>
        <v>0</v>
      </c>
      <c r="C13" s="62"/>
      <c r="E13" s="10" t="s">
        <v>1118</v>
      </c>
      <c r="F13" s="69">
        <f>IFERROR(INDEX(Jobs!$AG$5:$AG$604,MATCH(PrintJob,Jobs!$A$5:$A$604,0)),"")</f>
        <v>0</v>
      </c>
      <c r="G13" s="69"/>
      <c r="H13" s="69"/>
    </row>
    <row r="14" spans="1:8">
      <c r="A14" s="10" t="s">
        <v>436</v>
      </c>
      <c r="B14" s="62">
        <f>IFERROR(INDEX(Jobs!$M$5:$M$604,MATCH(PrintJob,Jobs!$A$5:$A$604,0)),"")</f>
        <v>0</v>
      </c>
      <c r="C14" s="62"/>
      <c r="E14" s="10" t="s">
        <v>398</v>
      </c>
      <c r="F14" s="65">
        <f>IFERROR(INDEX(Jobs!$AF$5:$AF$604,MATCH(PrintJob,Jobs!$A$5:$A$604,0)),"")</f>
        <v>0</v>
      </c>
      <c r="G14" s="65"/>
      <c r="H14" s="65"/>
    </row>
    <row r="15" spans="1:8">
      <c r="A15" s="10" t="s">
        <v>1104</v>
      </c>
      <c r="B15" s="62">
        <f>IFERROR(INDEX(Jobs!$R$5:$R$604,MATCH(PrintJob,Jobs!$A$5:$A$604,0)),"")</f>
        <v>0</v>
      </c>
      <c r="C15" s="62"/>
      <c r="E15" s="10" t="s">
        <v>1105</v>
      </c>
      <c r="F15" s="62">
        <f>IFERROR(INDEX(Jobs!$S$5:$S$604,MATCH(PrintJob,Jobs!$A$5:$A$604,0)),"")</f>
        <v>0</v>
      </c>
      <c r="G15" s="62"/>
      <c r="H15" s="62"/>
    </row>
    <row r="16" spans="1:8">
      <c r="A16" s="10" t="s">
        <v>532</v>
      </c>
      <c r="B16" s="62">
        <f>IFERROR(INDEX(Jobs!$O$5:$O$604,MATCH(PrintJob,Jobs!$A$5:$A$604,0)),"")</f>
        <v>0</v>
      </c>
      <c r="C16" s="62"/>
      <c r="E16" s="10" t="s">
        <v>1106</v>
      </c>
      <c r="F16" s="70">
        <f>IFERROR(INDEX(Jobs!$AE$5:$AE$604,MATCH(PrintJob,Jobs!$A$5:$A$604,0)),"")</f>
        <v>0</v>
      </c>
      <c r="G16" s="70"/>
      <c r="H16" s="70"/>
    </row>
    <row r="18" spans="1:8" ht="20" customHeight="1">
      <c r="A18" s="7" t="s">
        <v>2267</v>
      </c>
      <c r="B18" s="7"/>
      <c r="C18" s="7"/>
      <c r="D18" s="7"/>
      <c r="E18" s="7"/>
      <c r="F18" s="7"/>
      <c r="G18" s="7"/>
      <c r="H18" s="7"/>
    </row>
    <row r="19" spans="1:8" ht="30" customHeight="1">
      <c r="A19" s="10" t="s">
        <v>183</v>
      </c>
      <c r="B19" s="64">
        <f>IFERROR(INDEX(Properties!$F$5:$F$254,MATCH(INDEX(Jobs!$J$5:$J$604,MATCH(PrintJob,Jobs!$A$5:$A$604,0)),Properties!$A$5:$A$254,0)),"")</f>
        <v>0</v>
      </c>
      <c r="C19" s="64"/>
      <c r="D19" s="64"/>
      <c r="E19" s="64"/>
      <c r="F19" s="64"/>
      <c r="G19" s="64"/>
      <c r="H19" s="64"/>
    </row>
    <row r="20" spans="1:8" ht="18" customHeight="1">
      <c r="A20" s="10" t="s">
        <v>2268</v>
      </c>
      <c r="B20" s="64">
        <f>IFERROR(INDEX(Properties!$N$5:$N$254,MATCH(INDEX(Jobs!$J$5:$J$604,MATCH(PrintJob,Jobs!$A$5:$A$604,0)),Properties!$A$5:$A$254,0)),"")</f>
        <v>0</v>
      </c>
      <c r="C20" s="64"/>
      <c r="D20" s="64"/>
      <c r="E20" s="64"/>
      <c r="F20" s="64"/>
      <c r="G20" s="64"/>
      <c r="H20" s="64"/>
    </row>
    <row r="21" spans="1:8" ht="18" customHeight="1">
      <c r="A21" s="10" t="s">
        <v>2269</v>
      </c>
      <c r="B21" s="64">
        <f>IFERROR(INDEX(Properties!$O$5:$O$254,MATCH(INDEX(Jobs!$J$5:$J$604,MATCH(PrintJob,Jobs!$A$5:$A$604,0)),Properties!$A$5:$A$254,0)),"")</f>
        <v>0</v>
      </c>
      <c r="C21" s="64"/>
      <c r="D21" s="64"/>
      <c r="E21" s="64"/>
      <c r="F21" s="64"/>
      <c r="G21" s="64"/>
      <c r="H21" s="64"/>
    </row>
    <row r="22" spans="1:8" ht="40" customHeight="1">
      <c r="A22" s="10" t="s">
        <v>2270</v>
      </c>
      <c r="B22" s="64">
        <f>IFERROR(INDEX(Properties!$P$5:$P$254,MATCH(INDEX(Jobs!$J$5:$J$604,MATCH(PrintJob,Jobs!$A$5:$A$604,0)),Properties!$A$5:$A$254,0)),"")</f>
        <v>0</v>
      </c>
      <c r="C22" s="64"/>
      <c r="D22" s="64"/>
      <c r="E22" s="64"/>
      <c r="F22" s="64"/>
      <c r="G22" s="64"/>
      <c r="H22" s="64"/>
    </row>
    <row r="23" spans="1:8" ht="24" customHeight="1">
      <c r="A23" s="10" t="s">
        <v>727</v>
      </c>
      <c r="B23" s="64">
        <f>IFERROR(INDEX(Properties!$Q$5:$Q$254,MATCH(INDEX(Jobs!$J$5:$J$604,MATCH(PrintJob,Jobs!$A$5:$A$604,0)),Properties!$A$5:$A$254,0)),"")</f>
        <v>0</v>
      </c>
      <c r="C23" s="64"/>
      <c r="D23" s="64"/>
      <c r="E23" s="64"/>
      <c r="F23" s="64"/>
      <c r="G23" s="64"/>
      <c r="H23" s="64"/>
    </row>
    <row r="24" spans="1:8" ht="18" customHeight="1">
      <c r="A24" s="10" t="s">
        <v>723</v>
      </c>
      <c r="B24" s="64">
        <f>IFERROR(INDEX(Properties!$M$5:$M$254,MATCH(INDEX(Jobs!$J$5:$J$604,MATCH(PrintJob,Jobs!$A$5:$A$604,0)),Properties!$A$5:$A$254,0)),"")</f>
        <v>0</v>
      </c>
      <c r="C24" s="64"/>
      <c r="D24" s="64"/>
      <c r="E24" s="64"/>
      <c r="F24" s="64"/>
      <c r="G24" s="64"/>
      <c r="H24" s="64"/>
    </row>
    <row r="26" spans="1:8" ht="20" customHeight="1">
      <c r="A26" s="7" t="s">
        <v>2271</v>
      </c>
      <c r="B26" s="7"/>
      <c r="C26" s="7"/>
      <c r="D26" s="7"/>
      <c r="E26" s="7"/>
      <c r="F26" s="7"/>
      <c r="G26" s="7"/>
      <c r="H26" s="7"/>
    </row>
    <row r="27" spans="1:8">
      <c r="A27" s="12">
        <f>"Checklist: "&amp;IF(PrintJobChecklist="","none set yet - build one on the Checklists tab",PrintJobChecklist)&amp;"   -   tick each line as you finish it"</f>
        <v>0</v>
      </c>
      <c r="B27" s="12"/>
      <c r="C27" s="12"/>
      <c r="D27" s="12"/>
      <c r="E27" s="12"/>
      <c r="F27" s="12"/>
      <c r="G27" s="12">
        <f>IF(PrintJobChecklist="","",COUNTIF(Checklists!$B$5:$B$404,PrintJobChecklist)&amp;" tasks")</f>
        <v>0</v>
      </c>
      <c r="H27" s="12"/>
    </row>
    <row r="28" spans="1:8" ht="26" customHeight="1">
      <c r="A28" s="8" t="s">
        <v>1170</v>
      </c>
      <c r="B28" s="9" t="s">
        <v>1171</v>
      </c>
      <c r="C28" s="9" t="s">
        <v>2272</v>
      </c>
      <c r="D28" s="9" t="s">
        <v>2273</v>
      </c>
      <c r="E28" s="9" t="s">
        <v>1185</v>
      </c>
      <c r="F28" s="9" t="s">
        <v>2274</v>
      </c>
    </row>
    <row r="29" spans="1:8" ht="20" customHeight="1">
      <c r="A29" s="62">
        <f>IFERROR(INDEX(Checklists!$D$5:$D$404,MATCH(PrintJobChecklist&amp;"|1",Checklists!$W$5:$W$404,0)),"")</f>
        <v>0</v>
      </c>
      <c r="B29" s="62">
        <f>IFERROR(INDEX(Checklists!$F$5:$F$404,MATCH(PrintJobChecklist&amp;"|1",Checklists!$W$5:$W$404,0)),"")</f>
        <v>0</v>
      </c>
      <c r="C29" s="64">
        <f>IFERROR(INDEX(Checklists!$G$5:$G$404,MATCH(PrintJobChecklist&amp;"|1",Checklists!$W$5:$W$404,0)),"")</f>
        <v>0</v>
      </c>
      <c r="D29" s="70">
        <f>IFERROR(INDEX(Checklists!$H$5:$H$404,MATCH(PrintJobChecklist&amp;"|1",Checklists!$W$5:$W$404,0)),"")</f>
        <v>0</v>
      </c>
      <c r="E29" s="71"/>
      <c r="F29" s="71"/>
      <c r="G29" s="71"/>
    </row>
    <row r="30" spans="1:8" ht="20" customHeight="1">
      <c r="A30" s="62">
        <f>IFERROR(INDEX(Checklists!$D$5:$D$404,MATCH(PrintJobChecklist&amp;"|2",Checklists!$W$5:$W$404,0)),"")</f>
        <v>0</v>
      </c>
      <c r="B30" s="62">
        <f>IFERROR(INDEX(Checklists!$F$5:$F$404,MATCH(PrintJobChecklist&amp;"|2",Checklists!$W$5:$W$404,0)),"")</f>
        <v>0</v>
      </c>
      <c r="C30" s="64">
        <f>IFERROR(INDEX(Checklists!$G$5:$G$404,MATCH(PrintJobChecklist&amp;"|2",Checklists!$W$5:$W$404,0)),"")</f>
        <v>0</v>
      </c>
      <c r="D30" s="70">
        <f>IFERROR(INDEX(Checklists!$H$5:$H$404,MATCH(PrintJobChecklist&amp;"|2",Checklists!$W$5:$W$404,0)),"")</f>
        <v>0</v>
      </c>
      <c r="E30" s="71"/>
      <c r="F30" s="71"/>
      <c r="G30" s="71"/>
    </row>
    <row r="31" spans="1:8" ht="20" customHeight="1">
      <c r="A31" s="62">
        <f>IFERROR(INDEX(Checklists!$D$5:$D$404,MATCH(PrintJobChecklist&amp;"|3",Checklists!$W$5:$W$404,0)),"")</f>
        <v>0</v>
      </c>
      <c r="B31" s="62">
        <f>IFERROR(INDEX(Checklists!$F$5:$F$404,MATCH(PrintJobChecklist&amp;"|3",Checklists!$W$5:$W$404,0)),"")</f>
        <v>0</v>
      </c>
      <c r="C31" s="64">
        <f>IFERROR(INDEX(Checklists!$G$5:$G$404,MATCH(PrintJobChecklist&amp;"|3",Checklists!$W$5:$W$404,0)),"")</f>
        <v>0</v>
      </c>
      <c r="D31" s="70">
        <f>IFERROR(INDEX(Checklists!$H$5:$H$404,MATCH(PrintJobChecklist&amp;"|3",Checklists!$W$5:$W$404,0)),"")</f>
        <v>0</v>
      </c>
      <c r="E31" s="71"/>
      <c r="F31" s="71"/>
      <c r="G31" s="71"/>
    </row>
    <row r="32" spans="1:8" ht="20" customHeight="1">
      <c r="A32" s="62">
        <f>IFERROR(INDEX(Checklists!$D$5:$D$404,MATCH(PrintJobChecklist&amp;"|4",Checklists!$W$5:$W$404,0)),"")</f>
        <v>0</v>
      </c>
      <c r="B32" s="62">
        <f>IFERROR(INDEX(Checklists!$F$5:$F$404,MATCH(PrintJobChecklist&amp;"|4",Checklists!$W$5:$W$404,0)),"")</f>
        <v>0</v>
      </c>
      <c r="C32" s="64">
        <f>IFERROR(INDEX(Checklists!$G$5:$G$404,MATCH(PrintJobChecklist&amp;"|4",Checklists!$W$5:$W$404,0)),"")</f>
        <v>0</v>
      </c>
      <c r="D32" s="70">
        <f>IFERROR(INDEX(Checklists!$H$5:$H$404,MATCH(PrintJobChecklist&amp;"|4",Checklists!$W$5:$W$404,0)),"")</f>
        <v>0</v>
      </c>
      <c r="E32" s="71"/>
      <c r="F32" s="71"/>
      <c r="G32" s="71"/>
    </row>
    <row r="33" spans="1:8" ht="20" customHeight="1">
      <c r="A33" s="62">
        <f>IFERROR(INDEX(Checklists!$D$5:$D$404,MATCH(PrintJobChecklist&amp;"|5",Checklists!$W$5:$W$404,0)),"")</f>
        <v>0</v>
      </c>
      <c r="B33" s="62">
        <f>IFERROR(INDEX(Checklists!$F$5:$F$404,MATCH(PrintJobChecklist&amp;"|5",Checklists!$W$5:$W$404,0)),"")</f>
        <v>0</v>
      </c>
      <c r="C33" s="64">
        <f>IFERROR(INDEX(Checklists!$G$5:$G$404,MATCH(PrintJobChecklist&amp;"|5",Checklists!$W$5:$W$404,0)),"")</f>
        <v>0</v>
      </c>
      <c r="D33" s="70">
        <f>IFERROR(INDEX(Checklists!$H$5:$H$404,MATCH(PrintJobChecklist&amp;"|5",Checklists!$W$5:$W$404,0)),"")</f>
        <v>0</v>
      </c>
      <c r="E33" s="71"/>
      <c r="F33" s="71"/>
      <c r="G33" s="71"/>
    </row>
    <row r="34" spans="1:8" ht="20" customHeight="1">
      <c r="A34" s="62">
        <f>IFERROR(INDEX(Checklists!$D$5:$D$404,MATCH(PrintJobChecklist&amp;"|6",Checklists!$W$5:$W$404,0)),"")</f>
        <v>0</v>
      </c>
      <c r="B34" s="62">
        <f>IFERROR(INDEX(Checklists!$F$5:$F$404,MATCH(PrintJobChecklist&amp;"|6",Checklists!$W$5:$W$404,0)),"")</f>
        <v>0</v>
      </c>
      <c r="C34" s="64">
        <f>IFERROR(INDEX(Checklists!$G$5:$G$404,MATCH(PrintJobChecklist&amp;"|6",Checklists!$W$5:$W$404,0)),"")</f>
        <v>0</v>
      </c>
      <c r="D34" s="70">
        <f>IFERROR(INDEX(Checklists!$H$5:$H$404,MATCH(PrintJobChecklist&amp;"|6",Checklists!$W$5:$W$404,0)),"")</f>
        <v>0</v>
      </c>
      <c r="E34" s="71"/>
      <c r="F34" s="71"/>
      <c r="G34" s="71"/>
    </row>
    <row r="35" spans="1:8" ht="20" customHeight="1">
      <c r="A35" s="62">
        <f>IFERROR(INDEX(Checklists!$D$5:$D$404,MATCH(PrintJobChecklist&amp;"|7",Checklists!$W$5:$W$404,0)),"")</f>
        <v>0</v>
      </c>
      <c r="B35" s="62">
        <f>IFERROR(INDEX(Checklists!$F$5:$F$404,MATCH(PrintJobChecklist&amp;"|7",Checklists!$W$5:$W$404,0)),"")</f>
        <v>0</v>
      </c>
      <c r="C35" s="64">
        <f>IFERROR(INDEX(Checklists!$G$5:$G$404,MATCH(PrintJobChecklist&amp;"|7",Checklists!$W$5:$W$404,0)),"")</f>
        <v>0</v>
      </c>
      <c r="D35" s="70">
        <f>IFERROR(INDEX(Checklists!$H$5:$H$404,MATCH(PrintJobChecklist&amp;"|7",Checklists!$W$5:$W$404,0)),"")</f>
        <v>0</v>
      </c>
      <c r="E35" s="71"/>
      <c r="F35" s="71"/>
      <c r="G35" s="71"/>
    </row>
    <row r="36" spans="1:8" ht="20" customHeight="1">
      <c r="A36" s="62">
        <f>IFERROR(INDEX(Checklists!$D$5:$D$404,MATCH(PrintJobChecklist&amp;"|8",Checklists!$W$5:$W$404,0)),"")</f>
        <v>0</v>
      </c>
      <c r="B36" s="62">
        <f>IFERROR(INDEX(Checklists!$F$5:$F$404,MATCH(PrintJobChecklist&amp;"|8",Checklists!$W$5:$W$404,0)),"")</f>
        <v>0</v>
      </c>
      <c r="C36" s="64">
        <f>IFERROR(INDEX(Checklists!$G$5:$G$404,MATCH(PrintJobChecklist&amp;"|8",Checklists!$W$5:$W$404,0)),"")</f>
        <v>0</v>
      </c>
      <c r="D36" s="70">
        <f>IFERROR(INDEX(Checklists!$H$5:$H$404,MATCH(PrintJobChecklist&amp;"|8",Checklists!$W$5:$W$404,0)),"")</f>
        <v>0</v>
      </c>
      <c r="E36" s="71"/>
      <c r="F36" s="71"/>
      <c r="G36" s="71"/>
    </row>
    <row r="37" spans="1:8" ht="20" customHeight="1">
      <c r="A37" s="62">
        <f>IFERROR(INDEX(Checklists!$D$5:$D$404,MATCH(PrintJobChecklist&amp;"|9",Checklists!$W$5:$W$404,0)),"")</f>
        <v>0</v>
      </c>
      <c r="B37" s="62">
        <f>IFERROR(INDEX(Checklists!$F$5:$F$404,MATCH(PrintJobChecklist&amp;"|9",Checklists!$W$5:$W$404,0)),"")</f>
        <v>0</v>
      </c>
      <c r="C37" s="64">
        <f>IFERROR(INDEX(Checklists!$G$5:$G$404,MATCH(PrintJobChecklist&amp;"|9",Checklists!$W$5:$W$404,0)),"")</f>
        <v>0</v>
      </c>
      <c r="D37" s="70">
        <f>IFERROR(INDEX(Checklists!$H$5:$H$404,MATCH(PrintJobChecklist&amp;"|9",Checklists!$W$5:$W$404,0)),"")</f>
        <v>0</v>
      </c>
      <c r="E37" s="71"/>
      <c r="F37" s="71"/>
      <c r="G37" s="71"/>
    </row>
    <row r="38" spans="1:8" ht="20" customHeight="1">
      <c r="A38" s="62">
        <f>IFERROR(INDEX(Checklists!$D$5:$D$404,MATCH(PrintJobChecklist&amp;"|10",Checklists!$W$5:$W$404,0)),"")</f>
        <v>0</v>
      </c>
      <c r="B38" s="62">
        <f>IFERROR(INDEX(Checklists!$F$5:$F$404,MATCH(PrintJobChecklist&amp;"|10",Checklists!$W$5:$W$404,0)),"")</f>
        <v>0</v>
      </c>
      <c r="C38" s="64">
        <f>IFERROR(INDEX(Checklists!$G$5:$G$404,MATCH(PrintJobChecklist&amp;"|10",Checklists!$W$5:$W$404,0)),"")</f>
        <v>0</v>
      </c>
      <c r="D38" s="70">
        <f>IFERROR(INDEX(Checklists!$H$5:$H$404,MATCH(PrintJobChecklist&amp;"|10",Checklists!$W$5:$W$404,0)),"")</f>
        <v>0</v>
      </c>
      <c r="E38" s="71"/>
      <c r="F38" s="71"/>
      <c r="G38" s="71"/>
    </row>
    <row r="39" spans="1:8" ht="20" customHeight="1">
      <c r="A39" s="62">
        <f>IFERROR(INDEX(Checklists!$D$5:$D$404,MATCH(PrintJobChecklist&amp;"|11",Checklists!$W$5:$W$404,0)),"")</f>
        <v>0</v>
      </c>
      <c r="B39" s="62">
        <f>IFERROR(INDEX(Checklists!$F$5:$F$404,MATCH(PrintJobChecklist&amp;"|11",Checklists!$W$5:$W$404,0)),"")</f>
        <v>0</v>
      </c>
      <c r="C39" s="64">
        <f>IFERROR(INDEX(Checklists!$G$5:$G$404,MATCH(PrintJobChecklist&amp;"|11",Checklists!$W$5:$W$404,0)),"")</f>
        <v>0</v>
      </c>
      <c r="D39" s="70">
        <f>IFERROR(INDEX(Checklists!$H$5:$H$404,MATCH(PrintJobChecklist&amp;"|11",Checklists!$W$5:$W$404,0)),"")</f>
        <v>0</v>
      </c>
      <c r="E39" s="71"/>
      <c r="F39" s="71"/>
      <c r="G39" s="71"/>
    </row>
    <row r="40" spans="1:8" ht="20" customHeight="1">
      <c r="A40" s="62">
        <f>IFERROR(INDEX(Checklists!$D$5:$D$404,MATCH(PrintJobChecklist&amp;"|12",Checklists!$W$5:$W$404,0)),"")</f>
        <v>0</v>
      </c>
      <c r="B40" s="62">
        <f>IFERROR(INDEX(Checklists!$F$5:$F$404,MATCH(PrintJobChecklist&amp;"|12",Checklists!$W$5:$W$404,0)),"")</f>
        <v>0</v>
      </c>
      <c r="C40" s="64">
        <f>IFERROR(INDEX(Checklists!$G$5:$G$404,MATCH(PrintJobChecklist&amp;"|12",Checklists!$W$5:$W$404,0)),"")</f>
        <v>0</v>
      </c>
      <c r="D40" s="70">
        <f>IFERROR(INDEX(Checklists!$H$5:$H$404,MATCH(PrintJobChecklist&amp;"|12",Checklists!$W$5:$W$404,0)),"")</f>
        <v>0</v>
      </c>
      <c r="E40" s="71"/>
      <c r="F40" s="71"/>
      <c r="G40" s="71"/>
    </row>
    <row r="41" spans="1:8" ht="20" customHeight="1">
      <c r="A41" s="62">
        <f>IFERROR(INDEX(Checklists!$D$5:$D$404,MATCH(PrintJobChecklist&amp;"|13",Checklists!$W$5:$W$404,0)),"")</f>
        <v>0</v>
      </c>
      <c r="B41" s="62">
        <f>IFERROR(INDEX(Checklists!$F$5:$F$404,MATCH(PrintJobChecklist&amp;"|13",Checklists!$W$5:$W$404,0)),"")</f>
        <v>0</v>
      </c>
      <c r="C41" s="64">
        <f>IFERROR(INDEX(Checklists!$G$5:$G$404,MATCH(PrintJobChecklist&amp;"|13",Checklists!$W$5:$W$404,0)),"")</f>
        <v>0</v>
      </c>
      <c r="D41" s="70">
        <f>IFERROR(INDEX(Checklists!$H$5:$H$404,MATCH(PrintJobChecklist&amp;"|13",Checklists!$W$5:$W$404,0)),"")</f>
        <v>0</v>
      </c>
      <c r="E41" s="71"/>
      <c r="F41" s="71"/>
      <c r="G41" s="71"/>
    </row>
    <row r="42" spans="1:8" ht="20" customHeight="1">
      <c r="A42" s="62">
        <f>IFERROR(INDEX(Checklists!$D$5:$D$404,MATCH(PrintJobChecklist&amp;"|14",Checklists!$W$5:$W$404,0)),"")</f>
        <v>0</v>
      </c>
      <c r="B42" s="62">
        <f>IFERROR(INDEX(Checklists!$F$5:$F$404,MATCH(PrintJobChecklist&amp;"|14",Checklists!$W$5:$W$404,0)),"")</f>
        <v>0</v>
      </c>
      <c r="C42" s="64">
        <f>IFERROR(INDEX(Checklists!$G$5:$G$404,MATCH(PrintJobChecklist&amp;"|14",Checklists!$W$5:$W$404,0)),"")</f>
        <v>0</v>
      </c>
      <c r="D42" s="70">
        <f>IFERROR(INDEX(Checklists!$H$5:$H$404,MATCH(PrintJobChecklist&amp;"|14",Checklists!$W$5:$W$404,0)),"")</f>
        <v>0</v>
      </c>
      <c r="E42" s="71"/>
      <c r="F42" s="71"/>
      <c r="G42" s="71"/>
    </row>
    <row r="43" spans="1:8" ht="20" customHeight="1">
      <c r="A43" s="62">
        <f>IFERROR(INDEX(Checklists!$D$5:$D$404,MATCH(PrintJobChecklist&amp;"|15",Checklists!$W$5:$W$404,0)),"")</f>
        <v>0</v>
      </c>
      <c r="B43" s="62">
        <f>IFERROR(INDEX(Checklists!$F$5:$F$404,MATCH(PrintJobChecklist&amp;"|15",Checklists!$W$5:$W$404,0)),"")</f>
        <v>0</v>
      </c>
      <c r="C43" s="64">
        <f>IFERROR(INDEX(Checklists!$G$5:$G$404,MATCH(PrintJobChecklist&amp;"|15",Checklists!$W$5:$W$404,0)),"")</f>
        <v>0</v>
      </c>
      <c r="D43" s="70">
        <f>IFERROR(INDEX(Checklists!$H$5:$H$404,MATCH(PrintJobChecklist&amp;"|15",Checklists!$W$5:$W$404,0)),"")</f>
        <v>0</v>
      </c>
      <c r="E43" s="71"/>
      <c r="F43" s="71"/>
      <c r="G43" s="71"/>
    </row>
    <row r="44" spans="1:8" ht="20" customHeight="1">
      <c r="A44" s="62">
        <f>IFERROR(INDEX(Checklists!$D$5:$D$404,MATCH(PrintJobChecklist&amp;"|16",Checklists!$W$5:$W$404,0)),"")</f>
        <v>0</v>
      </c>
      <c r="B44" s="62">
        <f>IFERROR(INDEX(Checklists!$F$5:$F$404,MATCH(PrintJobChecklist&amp;"|16",Checklists!$W$5:$W$404,0)),"")</f>
        <v>0</v>
      </c>
      <c r="C44" s="64">
        <f>IFERROR(INDEX(Checklists!$G$5:$G$404,MATCH(PrintJobChecklist&amp;"|16",Checklists!$W$5:$W$404,0)),"")</f>
        <v>0</v>
      </c>
      <c r="D44" s="70">
        <f>IFERROR(INDEX(Checklists!$H$5:$H$404,MATCH(PrintJobChecklist&amp;"|16",Checklists!$W$5:$W$404,0)),"")</f>
        <v>0</v>
      </c>
      <c r="E44" s="71"/>
      <c r="F44" s="71"/>
      <c r="G44" s="71"/>
    </row>
    <row r="45" spans="1:8" ht="20" customHeight="1">
      <c r="A45" s="62">
        <f>IFERROR(INDEX(Checklists!$D$5:$D$404,MATCH(PrintJobChecklist&amp;"|17",Checklists!$W$5:$W$404,0)),"")</f>
        <v>0</v>
      </c>
      <c r="B45" s="62">
        <f>IFERROR(INDEX(Checklists!$F$5:$F$404,MATCH(PrintJobChecklist&amp;"|17",Checklists!$W$5:$W$404,0)),"")</f>
        <v>0</v>
      </c>
      <c r="C45" s="64">
        <f>IFERROR(INDEX(Checklists!$G$5:$G$404,MATCH(PrintJobChecklist&amp;"|17",Checklists!$W$5:$W$404,0)),"")</f>
        <v>0</v>
      </c>
      <c r="D45" s="70">
        <f>IFERROR(INDEX(Checklists!$H$5:$H$404,MATCH(PrintJobChecklist&amp;"|17",Checklists!$W$5:$W$404,0)),"")</f>
        <v>0</v>
      </c>
      <c r="E45" s="71"/>
      <c r="F45" s="71"/>
      <c r="G45" s="71"/>
    </row>
    <row r="46" spans="1:8" ht="20" customHeight="1">
      <c r="A46" s="62">
        <f>IFERROR(INDEX(Checklists!$D$5:$D$404,MATCH(PrintJobChecklist&amp;"|18",Checklists!$W$5:$W$404,0)),"")</f>
        <v>0</v>
      </c>
      <c r="B46" s="62">
        <f>IFERROR(INDEX(Checklists!$F$5:$F$404,MATCH(PrintJobChecklist&amp;"|18",Checklists!$W$5:$W$404,0)),"")</f>
        <v>0</v>
      </c>
      <c r="C46" s="64">
        <f>IFERROR(INDEX(Checklists!$G$5:$G$404,MATCH(PrintJobChecklist&amp;"|18",Checklists!$W$5:$W$404,0)),"")</f>
        <v>0</v>
      </c>
      <c r="D46" s="70">
        <f>IFERROR(INDEX(Checklists!$H$5:$H$404,MATCH(PrintJobChecklist&amp;"|18",Checklists!$W$5:$W$404,0)),"")</f>
        <v>0</v>
      </c>
      <c r="E46" s="71"/>
      <c r="F46" s="71"/>
      <c r="G46" s="71"/>
    </row>
    <row r="47" spans="1:8">
      <c r="A47" s="67" t="s">
        <v>1179</v>
      </c>
      <c r="B47" s="67"/>
      <c r="C47" s="67"/>
      <c r="D47" s="58">
        <f>SUM(D29:D46)</f>
        <v>0</v>
      </c>
      <c r="E47" s="12" t="s">
        <v>2275</v>
      </c>
      <c r="F47" s="12"/>
      <c r="G47" s="12"/>
      <c r="H47" s="12"/>
    </row>
    <row r="49" spans="1:8" ht="20" customHeight="1">
      <c r="A49" s="7" t="s">
        <v>2276</v>
      </c>
      <c r="B49" s="7"/>
      <c r="C49" s="7"/>
      <c r="D49" s="7"/>
      <c r="E49" s="7"/>
      <c r="F49" s="7"/>
      <c r="G49" s="7"/>
      <c r="H49" s="7"/>
    </row>
    <row r="50" spans="1:8" ht="30" customHeight="1">
      <c r="A50" s="64">
        <f>"Supplies kept on site: "&amp;IFERROR(INDEX(Properties!$T$5:$T$254,MATCH(INDEX(Jobs!$J$5:$J$604,MATCH(PrintJob,Jobs!$A$5:$A$604,0)),Properties!$A$5:$A$254,0)),"unknown")&amp;"      Bring anything else you need and log it on the Supply Usage tab."</f>
        <v>0</v>
      </c>
      <c r="B50" s="64"/>
      <c r="C50" s="64"/>
      <c r="D50" s="64"/>
      <c r="E50" s="64"/>
      <c r="F50" s="64"/>
      <c r="G50" s="64"/>
      <c r="H50" s="64"/>
    </row>
    <row r="52" spans="1:8" ht="20" customHeight="1">
      <c r="A52" s="7" t="s">
        <v>2277</v>
      </c>
      <c r="B52" s="7"/>
      <c r="C52" s="7"/>
      <c r="D52" s="7"/>
      <c r="E52" s="7"/>
      <c r="F52" s="7"/>
      <c r="G52" s="7"/>
      <c r="H52" s="7"/>
    </row>
    <row r="53" spans="1:8" ht="24" customHeight="1">
      <c r="A53" s="10" t="s">
        <v>2278</v>
      </c>
      <c r="B53" s="68"/>
      <c r="C53" s="68"/>
      <c r="E53" s="10" t="s">
        <v>421</v>
      </c>
      <c r="F53" s="68"/>
      <c r="G53" s="68"/>
      <c r="H53" s="68"/>
    </row>
    <row r="54" spans="1:8" ht="24" customHeight="1">
      <c r="A54" s="10" t="s">
        <v>2279</v>
      </c>
      <c r="B54" s="68"/>
      <c r="C54" s="68"/>
      <c r="E54" s="10" t="s">
        <v>421</v>
      </c>
      <c r="F54" s="68"/>
      <c r="G54" s="68"/>
      <c r="H54" s="68"/>
    </row>
    <row r="55" spans="1:8" ht="24" customHeight="1">
      <c r="A55" s="10" t="s">
        <v>2280</v>
      </c>
      <c r="B55" s="68"/>
      <c r="C55" s="68"/>
      <c r="E55" s="10" t="s">
        <v>421</v>
      </c>
      <c r="F55" s="68"/>
      <c r="G55" s="68"/>
      <c r="H55" s="68"/>
    </row>
    <row r="57" spans="1:8" ht="28" customHeight="1">
      <c r="A57" s="10" t="s">
        <v>2281</v>
      </c>
      <c r="B57" s="68"/>
      <c r="C57" s="68"/>
      <c r="D57" s="68"/>
      <c r="E57" s="10" t="s">
        <v>1100</v>
      </c>
      <c r="F57" s="68"/>
      <c r="G57" s="68"/>
      <c r="H57" s="68"/>
    </row>
    <row r="58" spans="1:8" ht="28" customHeight="1">
      <c r="A58" s="10" t="s">
        <v>2282</v>
      </c>
      <c r="B58" s="68"/>
      <c r="C58" s="68"/>
      <c r="D58" s="68"/>
      <c r="E58" s="10" t="s">
        <v>1100</v>
      </c>
      <c r="F58" s="68"/>
      <c r="G58" s="68"/>
      <c r="H58" s="68"/>
    </row>
    <row r="60" spans="1:8">
      <c r="A60" s="12" t="s">
        <v>2283</v>
      </c>
      <c r="B60" s="12"/>
      <c r="C60" s="12"/>
      <c r="D60" s="12"/>
      <c r="E60" s="12"/>
      <c r="F60" s="12"/>
      <c r="G60" s="12"/>
      <c r="H60" s="12"/>
    </row>
    <row r="61" spans="1:8" ht="60" customHeight="1">
      <c r="A61" s="71"/>
      <c r="B61" s="71"/>
      <c r="C61" s="71"/>
      <c r="D61" s="71"/>
      <c r="E61" s="71"/>
      <c r="F61" s="71"/>
      <c r="G61" s="71"/>
      <c r="H61" s="71"/>
    </row>
  </sheetData>
  <sheetProtection password="EC7C" sheet="1" objects="1" scenarios="1" formatCells="0" formatColumns="0" formatRows="0" insertRows="0" insertHyperlinks="0" deleteRows="0" autoFilter="0"/>
  <mergeCells count="70">
    <mergeCell ref="A1:E1"/>
    <mergeCell ref="F1:H1"/>
    <mergeCell ref="A2:H2"/>
    <mergeCell ref="A3:B3"/>
    <mergeCell ref="C3:D3"/>
    <mergeCell ref="E3:F3"/>
    <mergeCell ref="G3:H3"/>
    <mergeCell ref="C5:H5"/>
    <mergeCell ref="A7:D7"/>
    <mergeCell ref="E7:H7"/>
    <mergeCell ref="A8:D8"/>
    <mergeCell ref="E8:H8"/>
    <mergeCell ref="A9:H9"/>
    <mergeCell ref="B11:C11"/>
    <mergeCell ref="F11:H11"/>
    <mergeCell ref="B12:C12"/>
    <mergeCell ref="F12:H12"/>
    <mergeCell ref="B13:C13"/>
    <mergeCell ref="F13:H13"/>
    <mergeCell ref="B14:C14"/>
    <mergeCell ref="F14:H14"/>
    <mergeCell ref="B15:C15"/>
    <mergeCell ref="F15:H15"/>
    <mergeCell ref="B16:C16"/>
    <mergeCell ref="F16:H16"/>
    <mergeCell ref="A18:H18"/>
    <mergeCell ref="B19:H19"/>
    <mergeCell ref="B20:H20"/>
    <mergeCell ref="B21:H21"/>
    <mergeCell ref="B22:H22"/>
    <mergeCell ref="B23:H23"/>
    <mergeCell ref="B24:H24"/>
    <mergeCell ref="A26:H26"/>
    <mergeCell ref="A27:F27"/>
    <mergeCell ref="G27:H27"/>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 ref="F45:G45"/>
    <mergeCell ref="F46:G46"/>
    <mergeCell ref="A47:C47"/>
    <mergeCell ref="E47:H47"/>
    <mergeCell ref="A49:H49"/>
    <mergeCell ref="A50:H50"/>
    <mergeCell ref="A52:H52"/>
    <mergeCell ref="B53:C53"/>
    <mergeCell ref="F53:H53"/>
    <mergeCell ref="B54:C54"/>
    <mergeCell ref="F54:H54"/>
    <mergeCell ref="B55:C55"/>
    <mergeCell ref="F55:H55"/>
    <mergeCell ref="B57:D57"/>
    <mergeCell ref="F57:H57"/>
    <mergeCell ref="B58:D58"/>
    <mergeCell ref="F58:H58"/>
    <mergeCell ref="A60:H60"/>
    <mergeCell ref="A61:H61"/>
  </mergeCells>
  <conditionalFormatting sqref="A29:A46">
    <cfRule type="containsText" dxfId="3" priority="1" operator="containsText" text="Kitchen">
      <formula>NOT(ISERROR(SEARCH("Kitchen",A29)))</formula>
    </cfRule>
  </conditionalFormatting>
  <dataValidations count="1">
    <dataValidation type="list" allowBlank="1" showInputMessage="1" showErrorMessage="1" sqref="B5">
      <formula1>JobIDs</formula1>
    </dataValidation>
  </dataValidations>
  <hyperlinks>
    <hyperlink ref="A3" location="'Start Here'!A1" display="&gt; Start Here"/>
    <hyperlink ref="C3" location="Dashboard!A1" display="&gt; Dashboard"/>
    <hyperlink ref="E3" location="Clients!A1" display="&gt; Clients"/>
    <hyperlink ref="G3" location="Jobs!A1" display="&gt; Jobs"/>
  </hyperlinks>
  <pageMargins left="0.4" right="0.4" top="0.6" bottom="0.5" header="0.3" footer="0.3"/>
  <pageSetup paperSize="9" fitToHeight="0" orientation="landscape"/>
  <headerFooter>
    <oddHeader>&amp;L&amp;"Calibri,Bold"&amp;12&amp;C&amp;"Calibri,Bold"&amp;11Print Job Sheet&amp;R&amp;"Calibri,Italic"&amp;9Cleaning Business CRM &amp; Pricing Calculator</oddHeader>
    <oddFooter>&amp;L&amp;"Calibri,Italic"&amp;8Novality Store - v1.0.0&amp;C&amp;"Calibri,Italic"&amp;8Page &amp;P of &amp;N&amp;R&amp;"Calibri,Italic"&amp;8&amp;D</oddFooter>
  </headerFooter>
</worksheet>
</file>

<file path=xl/worksheets/sheet36.xml><?xml version="1.0" encoding="utf-8"?>
<worksheet xmlns="http://schemas.openxmlformats.org/spreadsheetml/2006/main" xmlns:r="http://schemas.openxmlformats.org/officeDocument/2006/relationships">
  <sheetPr>
    <tabColor rgb="FF5A6A6D"/>
    <pageSetUpPr fitToPage="1"/>
  </sheetPr>
  <dimension ref="A1:J348"/>
  <sheetViews>
    <sheetView showGridLines="0" workbookViewId="0">
      <pane ySplit="4" topLeftCell="A5" activePane="bottomLeft" state="frozen"/>
      <selection pane="bottomLeft"/>
    </sheetView>
  </sheetViews>
  <sheetFormatPr defaultRowHeight="15"/>
  <cols>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1" max="1" width="20.7109375" customWidth="1"/>
    <col min="2" max="2" width="20.7109375" customWidth="1"/>
    <col min="3" max="3" width="14.7109375" customWidth="1"/>
    <col min="4" max="4" width="14.7109375" customWidth="1"/>
    <col min="1" max="1" width="26.7109375" customWidth="1"/>
    <col min="2" max="2" width="14.7109375" customWidth="1"/>
    <col min="3" max="3" width="52.7109375" customWidth="1"/>
  </cols>
  <sheetData>
    <row r="1" spans="1:10" ht="34" customHeight="1">
      <c r="A1" s="2" t="s">
        <v>2284</v>
      </c>
      <c r="B1" s="2"/>
      <c r="C1" s="2"/>
      <c r="D1" s="2"/>
      <c r="E1" s="2"/>
      <c r="F1" s="2"/>
      <c r="G1" s="2"/>
      <c r="H1" s="3" t="s">
        <v>1</v>
      </c>
      <c r="I1" s="3"/>
      <c r="J1" s="3"/>
    </row>
    <row r="2" spans="1:10" ht="18" customHeight="1">
      <c r="A2" s="4" t="s">
        <v>2285</v>
      </c>
      <c r="B2" s="4"/>
      <c r="C2" s="4"/>
      <c r="D2" s="4"/>
      <c r="E2" s="4"/>
      <c r="F2" s="4"/>
      <c r="G2" s="4"/>
      <c r="H2" s="4"/>
      <c r="I2" s="4"/>
      <c r="J2" s="4"/>
    </row>
    <row r="3" spans="1:10" ht="16" customHeight="1">
      <c r="A3" s="5" t="s">
        <v>3</v>
      </c>
      <c r="B3" s="5"/>
      <c r="C3" s="5" t="s">
        <v>4</v>
      </c>
      <c r="D3" s="5"/>
      <c r="E3" s="5" t="s">
        <v>5</v>
      </c>
      <c r="F3" s="5"/>
      <c r="G3" s="5" t="s">
        <v>6</v>
      </c>
      <c r="H3" s="5"/>
      <c r="I3" s="5" t="s">
        <v>7</v>
      </c>
      <c r="J3" s="5"/>
    </row>
    <row r="5" spans="1:10" ht="30" customHeight="1">
      <c r="A5" s="6" t="s">
        <v>2286</v>
      </c>
      <c r="B5" s="6"/>
      <c r="C5" s="6"/>
      <c r="D5" s="6"/>
      <c r="E5" s="6"/>
      <c r="F5" s="6"/>
      <c r="G5" s="6"/>
      <c r="H5" s="6"/>
      <c r="I5" s="6"/>
      <c r="J5" s="6"/>
    </row>
    <row r="7" spans="1:10" ht="20" customHeight="1">
      <c r="A7" s="7" t="s">
        <v>2287</v>
      </c>
      <c r="B7" s="7"/>
      <c r="C7" s="7"/>
      <c r="D7" s="7"/>
      <c r="E7" s="7"/>
      <c r="F7" s="7"/>
      <c r="G7" s="7"/>
      <c r="H7" s="7"/>
      <c r="I7" s="7"/>
      <c r="J7" s="7"/>
    </row>
    <row r="8" spans="1:10">
      <c r="A8" s="9" t="s">
        <v>2288</v>
      </c>
      <c r="C8" s="9" t="s">
        <v>2289</v>
      </c>
      <c r="E8" s="9" t="s">
        <v>2290</v>
      </c>
      <c r="G8" s="9" t="s">
        <v>2294</v>
      </c>
      <c r="I8" s="9" t="s">
        <v>2298</v>
      </c>
    </row>
    <row r="9" spans="1:10">
      <c r="A9" s="15" t="s">
        <v>454</v>
      </c>
      <c r="C9" s="15" t="s">
        <v>454</v>
      </c>
      <c r="E9" s="15" t="s">
        <v>440</v>
      </c>
      <c r="G9" s="15" t="s">
        <v>2295</v>
      </c>
      <c r="I9" s="15" t="s">
        <v>744</v>
      </c>
    </row>
    <row r="10" spans="1:10">
      <c r="A10" s="15" t="s">
        <v>457</v>
      </c>
      <c r="C10" s="15" t="s">
        <v>457</v>
      </c>
      <c r="E10" s="15" t="s">
        <v>612</v>
      </c>
      <c r="G10" s="15" t="s">
        <v>697</v>
      </c>
      <c r="I10" s="15" t="s">
        <v>783</v>
      </c>
    </row>
    <row r="11" spans="1:10">
      <c r="A11" s="15"/>
      <c r="C11" s="15" t="s">
        <v>1393</v>
      </c>
      <c r="E11" s="15" t="s">
        <v>2185</v>
      </c>
      <c r="G11" s="15" t="s">
        <v>604</v>
      </c>
      <c r="I11" s="15" t="s">
        <v>754</v>
      </c>
    </row>
    <row r="12" spans="1:10">
      <c r="A12" s="15"/>
      <c r="C12" s="15"/>
      <c r="E12" s="15" t="s">
        <v>631</v>
      </c>
      <c r="G12" s="15" t="s">
        <v>580</v>
      </c>
      <c r="I12" s="15" t="s">
        <v>829</v>
      </c>
    </row>
    <row r="13" spans="1:10">
      <c r="A13" s="15"/>
      <c r="C13" s="15"/>
      <c r="E13" s="15" t="s">
        <v>667</v>
      </c>
      <c r="G13" s="15" t="s">
        <v>2296</v>
      </c>
      <c r="I13" s="15" t="s">
        <v>2299</v>
      </c>
    </row>
    <row r="14" spans="1:10">
      <c r="A14" s="15"/>
      <c r="C14" s="15"/>
      <c r="E14" s="15" t="s">
        <v>897</v>
      </c>
      <c r="G14" s="15" t="s">
        <v>681</v>
      </c>
      <c r="I14" s="15" t="s">
        <v>774</v>
      </c>
    </row>
    <row r="15" spans="1:10">
      <c r="A15" s="15"/>
      <c r="C15" s="15"/>
      <c r="E15" s="15" t="s">
        <v>620</v>
      </c>
      <c r="G15" s="15" t="s">
        <v>713</v>
      </c>
      <c r="I15" s="15" t="s">
        <v>2300</v>
      </c>
    </row>
    <row r="16" spans="1:10">
      <c r="A16" s="15"/>
      <c r="C16" s="15"/>
      <c r="E16" s="15" t="s">
        <v>685</v>
      </c>
      <c r="G16" s="15" t="s">
        <v>923</v>
      </c>
      <c r="I16" s="15" t="s">
        <v>794</v>
      </c>
    </row>
    <row r="17" spans="1:9">
      <c r="A17" s="15"/>
      <c r="C17" s="15"/>
      <c r="E17" s="15" t="s">
        <v>2291</v>
      </c>
      <c r="G17" s="15" t="s">
        <v>2297</v>
      </c>
      <c r="I17" s="15" t="s">
        <v>765</v>
      </c>
    </row>
    <row r="18" spans="1:9">
      <c r="A18" s="15"/>
      <c r="C18" s="15"/>
      <c r="E18" s="15" t="s">
        <v>599</v>
      </c>
      <c r="G18" s="15"/>
      <c r="I18" s="15" t="s">
        <v>2301</v>
      </c>
    </row>
    <row r="19" spans="1:9">
      <c r="C19" s="15"/>
      <c r="E19" s="15" t="s">
        <v>658</v>
      </c>
      <c r="G19" s="15"/>
      <c r="I19" s="15" t="s">
        <v>814</v>
      </c>
    </row>
    <row r="20" spans="1:9">
      <c r="E20" s="15" t="s">
        <v>643</v>
      </c>
      <c r="G20" s="15"/>
      <c r="I20" s="15" t="s">
        <v>801</v>
      </c>
    </row>
    <row r="21" spans="1:9">
      <c r="E21" s="15" t="s">
        <v>2292</v>
      </c>
      <c r="G21" s="15"/>
      <c r="I21" s="15" t="s">
        <v>2293</v>
      </c>
    </row>
    <row r="22" spans="1:9">
      <c r="E22" s="15" t="s">
        <v>2293</v>
      </c>
      <c r="G22" s="15"/>
      <c r="I22" s="15" t="s">
        <v>834</v>
      </c>
    </row>
    <row r="23" spans="1:9">
      <c r="E23" s="15" t="s">
        <v>2214</v>
      </c>
      <c r="G23" s="15"/>
      <c r="I23" s="15" t="s">
        <v>819</v>
      </c>
    </row>
    <row r="24" spans="1:9">
      <c r="E24" s="15"/>
      <c r="G24" s="15"/>
      <c r="I24" s="15" t="s">
        <v>2214</v>
      </c>
    </row>
    <row r="25" spans="1:9">
      <c r="E25" s="15"/>
      <c r="G25" s="15"/>
      <c r="I25" s="15"/>
    </row>
    <row r="26" spans="1:9">
      <c r="E26" s="15"/>
      <c r="I26" s="15"/>
    </row>
    <row r="27" spans="1:9">
      <c r="E27" s="15"/>
      <c r="I27" s="15"/>
    </row>
    <row r="28" spans="1:9">
      <c r="E28" s="15"/>
      <c r="I28" s="15"/>
    </row>
    <row r="29" spans="1:9">
      <c r="E29" s="15"/>
      <c r="I29" s="15"/>
    </row>
    <row r="30" spans="1:9">
      <c r="E30" s="15"/>
      <c r="I30" s="15"/>
    </row>
    <row r="31" spans="1:9">
      <c r="E31" s="15"/>
      <c r="I31" s="15"/>
    </row>
    <row r="32" spans="1:9">
      <c r="I32" s="15"/>
    </row>
    <row r="34" spans="1:9">
      <c r="A34" s="9" t="s">
        <v>2268</v>
      </c>
      <c r="C34" s="9" t="s">
        <v>2305</v>
      </c>
      <c r="E34" s="9" t="s">
        <v>727</v>
      </c>
      <c r="G34" s="9" t="s">
        <v>447</v>
      </c>
      <c r="I34" s="9" t="s">
        <v>532</v>
      </c>
    </row>
    <row r="35" spans="1:9">
      <c r="A35" s="15" t="s">
        <v>758</v>
      </c>
      <c r="C35" s="15" t="s">
        <v>748</v>
      </c>
      <c r="E35" s="15" t="s">
        <v>750</v>
      </c>
      <c r="G35" s="15" t="s">
        <v>776</v>
      </c>
      <c r="I35" s="15" t="s">
        <v>625</v>
      </c>
    </row>
    <row r="36" spans="1:9">
      <c r="A36" s="15" t="s">
        <v>747</v>
      </c>
      <c r="C36" s="15" t="s">
        <v>2306</v>
      </c>
      <c r="E36" s="15" t="s">
        <v>761</v>
      </c>
      <c r="G36" s="15" t="s">
        <v>448</v>
      </c>
      <c r="I36" s="15" t="s">
        <v>451</v>
      </c>
    </row>
    <row r="37" spans="1:9">
      <c r="A37" s="15" t="s">
        <v>809</v>
      </c>
      <c r="C37" s="15" t="s">
        <v>802</v>
      </c>
      <c r="E37" s="15" t="s">
        <v>789</v>
      </c>
      <c r="G37" s="15" t="s">
        <v>756</v>
      </c>
      <c r="I37" s="15" t="s">
        <v>593</v>
      </c>
    </row>
    <row r="38" spans="1:9">
      <c r="A38" s="15" t="s">
        <v>777</v>
      </c>
      <c r="C38" s="15" t="s">
        <v>2307</v>
      </c>
      <c r="E38" s="15" t="s">
        <v>820</v>
      </c>
      <c r="G38" s="15" t="s">
        <v>786</v>
      </c>
      <c r="I38" s="15" t="s">
        <v>2310</v>
      </c>
    </row>
    <row r="39" spans="1:9">
      <c r="A39" s="15" t="s">
        <v>849</v>
      </c>
      <c r="C39" s="15" t="s">
        <v>759</v>
      </c>
      <c r="E39" s="15" t="s">
        <v>769</v>
      </c>
      <c r="G39" s="15" t="s">
        <v>2309</v>
      </c>
      <c r="I39" s="15" t="s">
        <v>124</v>
      </c>
    </row>
    <row r="40" spans="1:9">
      <c r="A40" s="15" t="s">
        <v>837</v>
      </c>
      <c r="C40" s="15" t="s">
        <v>923</v>
      </c>
      <c r="E40" s="15" t="s">
        <v>779</v>
      </c>
      <c r="G40" s="15"/>
      <c r="I40" s="15" t="s">
        <v>127</v>
      </c>
    </row>
    <row r="41" spans="1:9">
      <c r="A41" s="15" t="s">
        <v>767</v>
      </c>
      <c r="C41" s="15"/>
      <c r="E41" s="15" t="s">
        <v>796</v>
      </c>
      <c r="G41" s="15"/>
      <c r="I41" s="15" t="s">
        <v>617</v>
      </c>
    </row>
    <row r="42" spans="1:9">
      <c r="A42" s="15" t="s">
        <v>2302</v>
      </c>
      <c r="C42" s="15"/>
      <c r="E42" s="15" t="s">
        <v>851</v>
      </c>
      <c r="G42" s="15"/>
      <c r="I42" s="15"/>
    </row>
    <row r="43" spans="1:9">
      <c r="A43" s="15" t="s">
        <v>2303</v>
      </c>
      <c r="C43" s="15"/>
      <c r="E43" s="15" t="s">
        <v>2308</v>
      </c>
      <c r="G43" s="15"/>
      <c r="I43" s="15"/>
    </row>
    <row r="44" spans="1:9">
      <c r="A44" s="15" t="s">
        <v>787</v>
      </c>
      <c r="C44" s="15"/>
      <c r="E44" s="15" t="s">
        <v>825</v>
      </c>
      <c r="G44" s="15"/>
      <c r="I44" s="15"/>
    </row>
    <row r="45" spans="1:9">
      <c r="A45" s="15" t="s">
        <v>2304</v>
      </c>
      <c r="C45" s="15"/>
      <c r="E45" s="15"/>
      <c r="G45" s="15"/>
      <c r="I45" s="15"/>
    </row>
    <row r="46" spans="1:9">
      <c r="A46" s="15"/>
      <c r="C46" s="15"/>
      <c r="E46" s="15"/>
      <c r="G46" s="15"/>
      <c r="I46" s="15"/>
    </row>
    <row r="47" spans="1:9">
      <c r="A47" s="15"/>
      <c r="C47" s="15"/>
      <c r="E47" s="15"/>
      <c r="G47" s="15"/>
      <c r="I47" s="15"/>
    </row>
    <row r="48" spans="1:9">
      <c r="A48" s="15"/>
      <c r="C48" s="15"/>
      <c r="E48" s="15"/>
      <c r="I48" s="15"/>
    </row>
    <row r="49" spans="1:9">
      <c r="A49" s="15"/>
      <c r="E49" s="15"/>
      <c r="I49" s="15"/>
    </row>
    <row r="50" spans="1:9">
      <c r="A50" s="15"/>
      <c r="E50" s="15"/>
    </row>
    <row r="51" spans="1:9">
      <c r="A51" s="15"/>
      <c r="E51" s="15"/>
    </row>
    <row r="52" spans="1:9">
      <c r="A52" s="15"/>
      <c r="E52" s="15"/>
    </row>
    <row r="53" spans="1:9">
      <c r="A53" s="15"/>
    </row>
    <row r="55" spans="1:9">
      <c r="A55" s="9" t="s">
        <v>2311</v>
      </c>
      <c r="C55" s="9" t="s">
        <v>2314</v>
      </c>
      <c r="E55" s="9" t="s">
        <v>2318</v>
      </c>
      <c r="G55" s="9" t="s">
        <v>2320</v>
      </c>
      <c r="I55" s="9" t="s">
        <v>1103</v>
      </c>
    </row>
    <row r="56" spans="1:9">
      <c r="A56" s="15" t="s">
        <v>971</v>
      </c>
      <c r="C56" s="15" t="s">
        <v>972</v>
      </c>
      <c r="E56" s="15" t="s">
        <v>2319</v>
      </c>
      <c r="G56" s="15" t="s">
        <v>1133</v>
      </c>
      <c r="I56" s="15" t="s">
        <v>448</v>
      </c>
    </row>
    <row r="57" spans="1:9">
      <c r="A57" s="15" t="s">
        <v>975</v>
      </c>
      <c r="C57" s="15" t="s">
        <v>984</v>
      </c>
      <c r="E57" s="15" t="s">
        <v>1163</v>
      </c>
      <c r="G57" s="15" t="s">
        <v>1150</v>
      </c>
      <c r="I57" s="15" t="s">
        <v>1151</v>
      </c>
    </row>
    <row r="58" spans="1:9">
      <c r="A58" s="15" t="s">
        <v>977</v>
      </c>
      <c r="C58" s="15" t="s">
        <v>978</v>
      </c>
      <c r="E58" s="15" t="s">
        <v>1161</v>
      </c>
      <c r="G58" s="15" t="s">
        <v>914</v>
      </c>
      <c r="I58" s="15" t="s">
        <v>2323</v>
      </c>
    </row>
    <row r="59" spans="1:9">
      <c r="A59" s="15" t="s">
        <v>981</v>
      </c>
      <c r="C59" s="15" t="s">
        <v>1004</v>
      </c>
      <c r="E59" s="15" t="s">
        <v>1160</v>
      </c>
      <c r="G59" s="15" t="s">
        <v>1162</v>
      </c>
      <c r="I59" s="15" t="s">
        <v>2324</v>
      </c>
    </row>
    <row r="60" spans="1:9">
      <c r="A60" s="15" t="s">
        <v>983</v>
      </c>
      <c r="C60" s="15" t="s">
        <v>2315</v>
      </c>
      <c r="E60" s="15" t="s">
        <v>1156</v>
      </c>
      <c r="G60" s="15" t="s">
        <v>1155</v>
      </c>
      <c r="I60" s="15" t="s">
        <v>626</v>
      </c>
    </row>
    <row r="61" spans="1:9">
      <c r="A61" s="15" t="s">
        <v>1015</v>
      </c>
      <c r="C61" s="15" t="s">
        <v>993</v>
      </c>
      <c r="E61" s="15" t="s">
        <v>406</v>
      </c>
      <c r="G61" s="15" t="s">
        <v>2321</v>
      </c>
      <c r="I61" s="15"/>
    </row>
    <row r="62" spans="1:9">
      <c r="A62" s="15" t="s">
        <v>1018</v>
      </c>
      <c r="C62" s="15" t="s">
        <v>2316</v>
      </c>
      <c r="E62" s="15" t="s">
        <v>562</v>
      </c>
      <c r="G62" s="15" t="s">
        <v>2322</v>
      </c>
      <c r="I62" s="15"/>
    </row>
    <row r="63" spans="1:9">
      <c r="A63" s="15" t="s">
        <v>821</v>
      </c>
      <c r="C63" s="15" t="s">
        <v>2317</v>
      </c>
      <c r="E63" s="15" t="s">
        <v>1148</v>
      </c>
      <c r="G63" s="15"/>
      <c r="I63" s="15"/>
    </row>
    <row r="64" spans="1:9">
      <c r="A64" s="15" t="s">
        <v>1003</v>
      </c>
      <c r="C64" s="15"/>
      <c r="E64" s="15"/>
      <c r="G64" s="15"/>
      <c r="I64" s="15"/>
    </row>
    <row r="65" spans="1:9">
      <c r="A65" s="15" t="s">
        <v>1000</v>
      </c>
      <c r="C65" s="15"/>
      <c r="E65" s="15"/>
      <c r="G65" s="15"/>
      <c r="I65" s="15"/>
    </row>
    <row r="66" spans="1:9">
      <c r="A66" s="15" t="s">
        <v>2312</v>
      </c>
      <c r="C66" s="15"/>
      <c r="E66" s="15"/>
      <c r="G66" s="15"/>
      <c r="I66" s="15"/>
    </row>
    <row r="67" spans="1:9">
      <c r="A67" s="15" t="s">
        <v>1021</v>
      </c>
      <c r="C67" s="15"/>
      <c r="E67" s="15"/>
      <c r="G67" s="15"/>
      <c r="I67" s="15"/>
    </row>
    <row r="68" spans="1:9">
      <c r="A68" s="15" t="s">
        <v>992</v>
      </c>
      <c r="C68" s="15"/>
      <c r="E68" s="15"/>
      <c r="G68" s="15"/>
      <c r="I68" s="15"/>
    </row>
    <row r="69" spans="1:9">
      <c r="A69" s="15" t="s">
        <v>2313</v>
      </c>
      <c r="C69" s="15"/>
      <c r="E69" s="15"/>
      <c r="G69" s="15"/>
    </row>
    <row r="70" spans="1:9">
      <c r="A70" s="15"/>
      <c r="C70" s="15"/>
      <c r="E70" s="15"/>
      <c r="G70" s="15"/>
    </row>
    <row r="71" spans="1:9">
      <c r="A71" s="15"/>
      <c r="C71" s="15"/>
      <c r="E71" s="15"/>
    </row>
    <row r="72" spans="1:9">
      <c r="A72" s="15"/>
    </row>
    <row r="73" spans="1:9">
      <c r="A73" s="15"/>
    </row>
    <row r="74" spans="1:9">
      <c r="A74" s="15"/>
    </row>
    <row r="75" spans="1:9">
      <c r="A75" s="15"/>
    </row>
    <row r="76" spans="1:9">
      <c r="A76" s="15"/>
    </row>
    <row r="77" spans="1:9">
      <c r="A77" s="15"/>
    </row>
    <row r="79" spans="1:9">
      <c r="A79" s="9" t="s">
        <v>2325</v>
      </c>
      <c r="C79" s="9" t="s">
        <v>2328</v>
      </c>
      <c r="E79" s="9" t="s">
        <v>2330</v>
      </c>
      <c r="G79" s="9" t="s">
        <v>2334</v>
      </c>
      <c r="I79" s="9" t="s">
        <v>2338</v>
      </c>
    </row>
    <row r="80" spans="1:9">
      <c r="A80" s="15" t="s">
        <v>638</v>
      </c>
      <c r="C80" s="15" t="s">
        <v>2329</v>
      </c>
      <c r="E80" s="15" t="s">
        <v>628</v>
      </c>
      <c r="G80" s="15" t="s">
        <v>585</v>
      </c>
      <c r="I80" s="15" t="s">
        <v>2339</v>
      </c>
    </row>
    <row r="81" spans="1:9">
      <c r="A81" s="15" t="s">
        <v>583</v>
      </c>
      <c r="C81" s="15" t="s">
        <v>1055</v>
      </c>
      <c r="E81" s="15" t="s">
        <v>2329</v>
      </c>
      <c r="G81" s="15" t="s">
        <v>699</v>
      </c>
      <c r="I81" s="15" t="s">
        <v>451</v>
      </c>
    </row>
    <row r="82" spans="1:9">
      <c r="A82" s="15" t="s">
        <v>674</v>
      </c>
      <c r="C82" s="15" t="s">
        <v>1057</v>
      </c>
      <c r="E82" s="15" t="s">
        <v>1055</v>
      </c>
      <c r="G82" s="15" t="s">
        <v>2335</v>
      </c>
      <c r="I82" s="15" t="s">
        <v>593</v>
      </c>
    </row>
    <row r="83" spans="1:9">
      <c r="A83" s="15" t="s">
        <v>595</v>
      </c>
      <c r="C83" s="15" t="s">
        <v>1050</v>
      </c>
      <c r="E83" s="15" t="s">
        <v>2245</v>
      </c>
      <c r="G83" s="15" t="s">
        <v>640</v>
      </c>
      <c r="I83" s="15" t="s">
        <v>2340</v>
      </c>
    </row>
    <row r="84" spans="1:9">
      <c r="A84" s="15" t="s">
        <v>607</v>
      </c>
      <c r="C84" s="15" t="s">
        <v>1059</v>
      </c>
      <c r="E84" s="15" t="s">
        <v>604</v>
      </c>
      <c r="G84" s="15" t="s">
        <v>609</v>
      </c>
      <c r="I84" s="15" t="s">
        <v>2341</v>
      </c>
    </row>
    <row r="85" spans="1:9">
      <c r="A85" s="15" t="s">
        <v>2326</v>
      </c>
      <c r="C85" s="15" t="s">
        <v>1063</v>
      </c>
      <c r="E85" s="15" t="s">
        <v>2331</v>
      </c>
      <c r="G85" s="15" t="s">
        <v>2336</v>
      </c>
      <c r="I85" s="15" t="s">
        <v>127</v>
      </c>
    </row>
    <row r="86" spans="1:9">
      <c r="A86" s="15" t="s">
        <v>626</v>
      </c>
      <c r="C86" s="15"/>
      <c r="E86" s="15" t="s">
        <v>2332</v>
      </c>
      <c r="G86" s="15" t="s">
        <v>2337</v>
      </c>
      <c r="I86" s="15" t="s">
        <v>2342</v>
      </c>
    </row>
    <row r="87" spans="1:9">
      <c r="A87" s="15" t="s">
        <v>2327</v>
      </c>
      <c r="C87" s="15"/>
      <c r="E87" s="15" t="s">
        <v>1063</v>
      </c>
      <c r="G87" s="15"/>
      <c r="I87" s="15" t="s">
        <v>2343</v>
      </c>
    </row>
    <row r="88" spans="1:9">
      <c r="A88" s="15"/>
      <c r="C88" s="15"/>
      <c r="E88" s="15" t="s">
        <v>2333</v>
      </c>
      <c r="G88" s="15"/>
      <c r="I88" s="15"/>
    </row>
    <row r="89" spans="1:9">
      <c r="A89" s="15"/>
      <c r="C89" s="15"/>
      <c r="E89" s="15" t="s">
        <v>1059</v>
      </c>
      <c r="G89" s="15"/>
      <c r="I89" s="15"/>
    </row>
    <row r="90" spans="1:9">
      <c r="A90" s="15"/>
      <c r="C90" s="15"/>
      <c r="E90" s="15"/>
      <c r="G90" s="15"/>
      <c r="I90" s="15"/>
    </row>
    <row r="91" spans="1:9">
      <c r="A91" s="15"/>
      <c r="C91" s="15"/>
      <c r="E91" s="15"/>
      <c r="G91" s="15"/>
      <c r="I91" s="15"/>
    </row>
    <row r="92" spans="1:9">
      <c r="A92" s="15"/>
      <c r="C92" s="15"/>
      <c r="E92" s="15"/>
      <c r="G92" s="15"/>
      <c r="I92" s="15"/>
    </row>
    <row r="93" spans="1:9">
      <c r="A93" s="15"/>
      <c r="C93" s="15"/>
      <c r="E93" s="15"/>
      <c r="G93" s="15"/>
      <c r="I93" s="15"/>
    </row>
    <row r="94" spans="1:9">
      <c r="A94" s="15"/>
      <c r="E94" s="15"/>
      <c r="G94" s="15"/>
      <c r="I94" s="15"/>
    </row>
    <row r="95" spans="1:9">
      <c r="A95" s="15"/>
      <c r="E95" s="15"/>
      <c r="I95" s="15"/>
    </row>
    <row r="96" spans="1:9">
      <c r="E96" s="15"/>
    </row>
    <row r="97" spans="1:9">
      <c r="E97" s="15"/>
    </row>
    <row r="99" spans="1:9">
      <c r="A99" s="9" t="s">
        <v>2344</v>
      </c>
      <c r="C99" s="9" t="s">
        <v>2346</v>
      </c>
      <c r="E99" s="9" t="s">
        <v>2353</v>
      </c>
      <c r="G99" s="9" t="s">
        <v>2356</v>
      </c>
      <c r="I99" s="9" t="s">
        <v>2359</v>
      </c>
    </row>
    <row r="100" spans="1:9">
      <c r="A100" s="15" t="s">
        <v>2329</v>
      </c>
      <c r="C100" s="15" t="s">
        <v>1592</v>
      </c>
      <c r="E100" s="15" t="s">
        <v>581</v>
      </c>
      <c r="G100" s="15" t="s">
        <v>877</v>
      </c>
      <c r="I100" s="15" t="s">
        <v>925</v>
      </c>
    </row>
    <row r="101" spans="1:9">
      <c r="A101" s="15" t="s">
        <v>1055</v>
      </c>
      <c r="C101" s="15" t="s">
        <v>1590</v>
      </c>
      <c r="E101" s="15" t="s">
        <v>698</v>
      </c>
      <c r="G101" s="15" t="s">
        <v>884</v>
      </c>
      <c r="I101" s="15" t="s">
        <v>2360</v>
      </c>
    </row>
    <row r="102" spans="1:9">
      <c r="A102" s="15" t="s">
        <v>1599</v>
      </c>
      <c r="C102" s="15" t="s">
        <v>1893</v>
      </c>
      <c r="E102" s="15" t="s">
        <v>654</v>
      </c>
      <c r="G102" s="15" t="s">
        <v>862</v>
      </c>
      <c r="I102" s="15" t="s">
        <v>2361</v>
      </c>
    </row>
    <row r="103" spans="1:9">
      <c r="A103" s="15" t="s">
        <v>1589</v>
      </c>
      <c r="C103" s="15" t="s">
        <v>2347</v>
      </c>
      <c r="E103" s="15" t="s">
        <v>663</v>
      </c>
      <c r="G103" s="15" t="s">
        <v>861</v>
      </c>
      <c r="I103" s="15" t="s">
        <v>931</v>
      </c>
    </row>
    <row r="104" spans="1:9">
      <c r="A104" s="15" t="s">
        <v>1591</v>
      </c>
      <c r="C104" s="15" t="s">
        <v>1859</v>
      </c>
      <c r="E104" s="15" t="s">
        <v>672</v>
      </c>
      <c r="G104" s="15" t="s">
        <v>906</v>
      </c>
      <c r="I104" s="15" t="s">
        <v>2362</v>
      </c>
    </row>
    <row r="105" spans="1:9">
      <c r="A105" s="15" t="s">
        <v>2345</v>
      </c>
      <c r="C105" s="15" t="s">
        <v>2348</v>
      </c>
      <c r="E105" s="15" t="s">
        <v>706</v>
      </c>
      <c r="G105" s="15" t="s">
        <v>943</v>
      </c>
      <c r="I105" s="15" t="s">
        <v>2363</v>
      </c>
    </row>
    <row r="106" spans="1:9">
      <c r="A106" s="15"/>
      <c r="C106" s="15" t="s">
        <v>2349</v>
      </c>
      <c r="E106" s="15" t="s">
        <v>605</v>
      </c>
      <c r="G106" s="15" t="s">
        <v>915</v>
      </c>
      <c r="I106" s="15" t="s">
        <v>2364</v>
      </c>
    </row>
    <row r="107" spans="1:9">
      <c r="A107" s="15"/>
      <c r="C107" s="15" t="s">
        <v>2350</v>
      </c>
      <c r="E107" s="15" t="s">
        <v>592</v>
      </c>
      <c r="G107" s="15" t="s">
        <v>923</v>
      </c>
      <c r="I107" s="15" t="s">
        <v>2358</v>
      </c>
    </row>
    <row r="108" spans="1:9">
      <c r="A108" s="15"/>
      <c r="C108" s="15" t="s">
        <v>2351</v>
      </c>
      <c r="E108" s="15" t="s">
        <v>690</v>
      </c>
      <c r="G108" s="15" t="s">
        <v>2357</v>
      </c>
      <c r="I108" s="15" t="s">
        <v>2365</v>
      </c>
    </row>
    <row r="109" spans="1:9">
      <c r="A109" s="15"/>
      <c r="C109" s="15" t="s">
        <v>2352</v>
      </c>
      <c r="E109" s="15" t="s">
        <v>714</v>
      </c>
      <c r="G109" s="15" t="s">
        <v>2358</v>
      </c>
      <c r="I109" s="15" t="s">
        <v>2214</v>
      </c>
    </row>
    <row r="110" spans="1:9">
      <c r="A110" s="15"/>
      <c r="C110" s="15" t="s">
        <v>2214</v>
      </c>
      <c r="E110" s="15" t="s">
        <v>682</v>
      </c>
      <c r="G110" s="15"/>
      <c r="I110" s="15"/>
    </row>
    <row r="111" spans="1:9">
      <c r="A111" s="15"/>
      <c r="C111" s="15"/>
      <c r="E111" s="15" t="s">
        <v>636</v>
      </c>
      <c r="G111" s="15"/>
      <c r="I111" s="15"/>
    </row>
    <row r="112" spans="1:9">
      <c r="A112" s="15"/>
      <c r="C112" s="15"/>
      <c r="E112" s="15" t="s">
        <v>2354</v>
      </c>
      <c r="G112" s="15"/>
      <c r="I112" s="15"/>
    </row>
    <row r="113" spans="1:9">
      <c r="A113" s="15"/>
      <c r="C113" s="15"/>
      <c r="E113" s="15" t="s">
        <v>620</v>
      </c>
      <c r="G113" s="15"/>
      <c r="I113" s="15"/>
    </row>
    <row r="114" spans="1:9">
      <c r="C114" s="15"/>
      <c r="E114" s="15" t="s">
        <v>2355</v>
      </c>
      <c r="G114" s="15"/>
      <c r="I114" s="15"/>
    </row>
    <row r="115" spans="1:9">
      <c r="C115" s="15"/>
      <c r="E115" s="15" t="s">
        <v>2214</v>
      </c>
      <c r="G115" s="15"/>
      <c r="I115" s="15"/>
    </row>
    <row r="116" spans="1:9">
      <c r="C116" s="15"/>
      <c r="E116" s="15"/>
      <c r="G116" s="15"/>
      <c r="I116" s="15"/>
    </row>
    <row r="117" spans="1:9">
      <c r="C117" s="15"/>
      <c r="E117" s="15"/>
      <c r="G117" s="15"/>
      <c r="I117" s="15"/>
    </row>
    <row r="118" spans="1:9">
      <c r="C118" s="15"/>
      <c r="E118" s="15"/>
    </row>
    <row r="119" spans="1:9">
      <c r="E119" s="15"/>
    </row>
    <row r="120" spans="1:9">
      <c r="E120" s="15"/>
    </row>
    <row r="121" spans="1:9">
      <c r="E121" s="15"/>
    </row>
    <row r="122" spans="1:9">
      <c r="E122" s="15"/>
    </row>
    <row r="123" spans="1:9">
      <c r="E123" s="15"/>
    </row>
    <row r="125" spans="1:9">
      <c r="A125" s="9" t="s">
        <v>2366</v>
      </c>
      <c r="C125" s="9" t="s">
        <v>2375</v>
      </c>
      <c r="E125" s="9" t="s">
        <v>1174</v>
      </c>
      <c r="G125" s="9" t="s">
        <v>1970</v>
      </c>
      <c r="I125" s="9" t="s">
        <v>2387</v>
      </c>
    </row>
    <row r="126" spans="1:9">
      <c r="A126" s="15" t="s">
        <v>1204</v>
      </c>
      <c r="C126" s="15" t="s">
        <v>2376</v>
      </c>
      <c r="E126" s="15" t="s">
        <v>1210</v>
      </c>
      <c r="G126" s="15" t="s">
        <v>2382</v>
      </c>
      <c r="I126" s="15" t="s">
        <v>1390</v>
      </c>
    </row>
    <row r="127" spans="1:9">
      <c r="A127" s="15" t="s">
        <v>1183</v>
      </c>
      <c r="C127" s="15" t="s">
        <v>1160</v>
      </c>
      <c r="E127" s="15" t="s">
        <v>1186</v>
      </c>
      <c r="G127" s="15" t="s">
        <v>2383</v>
      </c>
      <c r="I127" s="15" t="s">
        <v>2388</v>
      </c>
    </row>
    <row r="128" spans="1:9">
      <c r="A128" s="15" t="s">
        <v>1191</v>
      </c>
      <c r="C128" s="15" t="s">
        <v>1185</v>
      </c>
      <c r="E128" s="15" t="s">
        <v>2380</v>
      </c>
      <c r="G128" s="15" t="s">
        <v>2384</v>
      </c>
      <c r="I128" s="15" t="s">
        <v>1395</v>
      </c>
    </row>
    <row r="129" spans="1:9">
      <c r="A129" s="15" t="s">
        <v>2367</v>
      </c>
      <c r="C129" s="15" t="s">
        <v>2377</v>
      </c>
      <c r="E129" s="15" t="s">
        <v>2379</v>
      </c>
      <c r="G129" s="15" t="s">
        <v>2385</v>
      </c>
      <c r="I129" s="15" t="s">
        <v>2389</v>
      </c>
    </row>
    <row r="130" spans="1:9">
      <c r="A130" s="15" t="s">
        <v>1196</v>
      </c>
      <c r="C130" s="15" t="s">
        <v>2378</v>
      </c>
      <c r="E130" s="15" t="s">
        <v>2381</v>
      </c>
      <c r="G130" s="15" t="s">
        <v>2386</v>
      </c>
      <c r="I130" s="15" t="s">
        <v>1104</v>
      </c>
    </row>
    <row r="131" spans="1:9">
      <c r="A131" s="15" t="s">
        <v>1199</v>
      </c>
      <c r="C131" s="15" t="s">
        <v>1175</v>
      </c>
      <c r="E131" s="15"/>
      <c r="G131" s="15"/>
      <c r="I131" s="15" t="s">
        <v>1409</v>
      </c>
    </row>
    <row r="132" spans="1:9">
      <c r="A132" s="15" t="s">
        <v>2368</v>
      </c>
      <c r="C132" s="15" t="s">
        <v>2379</v>
      </c>
      <c r="E132" s="15"/>
      <c r="G132" s="15"/>
      <c r="I132" s="15" t="s">
        <v>1425</v>
      </c>
    </row>
    <row r="133" spans="1:9">
      <c r="A133" s="15" t="s">
        <v>1202</v>
      </c>
      <c r="C133" s="15"/>
      <c r="E133" s="15"/>
      <c r="G133" s="15"/>
      <c r="I133" s="15" t="s">
        <v>2390</v>
      </c>
    </row>
    <row r="134" spans="1:9">
      <c r="A134" s="15" t="s">
        <v>2369</v>
      </c>
      <c r="C134" s="15"/>
      <c r="E134" s="15"/>
      <c r="G134" s="15"/>
      <c r="I134" s="15" t="s">
        <v>1924</v>
      </c>
    </row>
    <row r="135" spans="1:9">
      <c r="A135" s="15" t="s">
        <v>2370</v>
      </c>
      <c r="C135" s="15"/>
      <c r="E135" s="15"/>
      <c r="G135" s="15"/>
      <c r="I135" s="15" t="s">
        <v>2391</v>
      </c>
    </row>
    <row r="136" spans="1:9">
      <c r="A136" s="15" t="s">
        <v>2371</v>
      </c>
      <c r="C136" s="15"/>
      <c r="E136" s="15"/>
      <c r="G136" s="15"/>
      <c r="I136" s="15" t="s">
        <v>1426</v>
      </c>
    </row>
    <row r="137" spans="1:9">
      <c r="A137" s="15" t="s">
        <v>1208</v>
      </c>
      <c r="C137" s="15"/>
      <c r="E137" s="15"/>
      <c r="G137" s="15"/>
      <c r="I137" s="15" t="s">
        <v>2392</v>
      </c>
    </row>
    <row r="138" spans="1:9">
      <c r="A138" s="15" t="s">
        <v>1211</v>
      </c>
      <c r="C138" s="15"/>
      <c r="E138" s="15"/>
      <c r="G138" s="15"/>
      <c r="I138" s="15"/>
    </row>
    <row r="139" spans="1:9">
      <c r="A139" s="15" t="s">
        <v>1219</v>
      </c>
      <c r="C139" s="15"/>
      <c r="I139" s="15"/>
    </row>
    <row r="140" spans="1:9">
      <c r="A140" s="15" t="s">
        <v>1217</v>
      </c>
      <c r="C140" s="15"/>
      <c r="I140" s="15"/>
    </row>
    <row r="141" spans="1:9">
      <c r="A141" s="15" t="s">
        <v>1215</v>
      </c>
      <c r="I141" s="15"/>
    </row>
    <row r="142" spans="1:9">
      <c r="A142" s="15" t="s">
        <v>834</v>
      </c>
      <c r="I142" s="15"/>
    </row>
    <row r="143" spans="1:9">
      <c r="A143" s="15" t="s">
        <v>2372</v>
      </c>
      <c r="I143" s="15"/>
    </row>
    <row r="144" spans="1:9">
      <c r="A144" s="15" t="s">
        <v>2373</v>
      </c>
      <c r="I144" s="15"/>
    </row>
    <row r="145" spans="1:9">
      <c r="A145" s="15" t="s">
        <v>2374</v>
      </c>
      <c r="I145" s="15"/>
    </row>
    <row r="146" spans="1:9">
      <c r="A146" s="15"/>
    </row>
    <row r="147" spans="1:9">
      <c r="A147" s="15"/>
    </row>
    <row r="148" spans="1:9">
      <c r="A148" s="15"/>
    </row>
    <row r="149" spans="1:9">
      <c r="A149" s="15"/>
    </row>
    <row r="150" spans="1:9">
      <c r="A150" s="15"/>
    </row>
    <row r="151" spans="1:9">
      <c r="A151" s="15"/>
    </row>
    <row r="152" spans="1:9">
      <c r="A152" s="15"/>
    </row>
    <row r="153" spans="1:9">
      <c r="A153" s="15"/>
    </row>
    <row r="155" spans="1:9">
      <c r="A155" s="9" t="s">
        <v>2393</v>
      </c>
      <c r="C155" s="9" t="s">
        <v>2398</v>
      </c>
      <c r="E155" s="9" t="s">
        <v>2403</v>
      </c>
      <c r="G155" s="9" t="s">
        <v>1462</v>
      </c>
      <c r="I155" s="9" t="s">
        <v>2416</v>
      </c>
    </row>
    <row r="156" spans="1:9">
      <c r="A156" s="15" t="s">
        <v>1396</v>
      </c>
      <c r="C156" s="15" t="s">
        <v>604</v>
      </c>
      <c r="E156" s="15" t="s">
        <v>2404</v>
      </c>
      <c r="G156" s="15" t="s">
        <v>1471</v>
      </c>
      <c r="I156" s="15" t="s">
        <v>2414</v>
      </c>
    </row>
    <row r="157" spans="1:9">
      <c r="A157" s="15" t="s">
        <v>1414</v>
      </c>
      <c r="C157" s="15" t="s">
        <v>1419</v>
      </c>
      <c r="E157" s="15" t="s">
        <v>2405</v>
      </c>
      <c r="G157" s="15" t="s">
        <v>1451</v>
      </c>
      <c r="I157" s="15" t="s">
        <v>1559</v>
      </c>
    </row>
    <row r="158" spans="1:9">
      <c r="A158" s="15" t="s">
        <v>2394</v>
      </c>
      <c r="C158" s="15" t="s">
        <v>1553</v>
      </c>
      <c r="E158" s="15" t="s">
        <v>2326</v>
      </c>
      <c r="G158" s="15" t="s">
        <v>2411</v>
      </c>
      <c r="I158" s="15" t="s">
        <v>2417</v>
      </c>
    </row>
    <row r="159" spans="1:9">
      <c r="A159" s="15" t="s">
        <v>2395</v>
      </c>
      <c r="C159" s="15" t="s">
        <v>2399</v>
      </c>
      <c r="E159" s="15" t="s">
        <v>2406</v>
      </c>
      <c r="G159" s="15" t="s">
        <v>2412</v>
      </c>
      <c r="I159" s="15" t="s">
        <v>2418</v>
      </c>
    </row>
    <row r="160" spans="1:9">
      <c r="A160" s="15" t="s">
        <v>1426</v>
      </c>
      <c r="C160" s="15" t="s">
        <v>1559</v>
      </c>
      <c r="E160" s="15" t="s">
        <v>2407</v>
      </c>
      <c r="G160" s="15" t="s">
        <v>2413</v>
      </c>
      <c r="I160" s="15" t="s">
        <v>2419</v>
      </c>
    </row>
    <row r="161" spans="1:9">
      <c r="A161" s="15" t="s">
        <v>2396</v>
      </c>
      <c r="C161" s="15" t="s">
        <v>2400</v>
      </c>
      <c r="E161" s="15" t="s">
        <v>2408</v>
      </c>
      <c r="G161" s="15" t="s">
        <v>2414</v>
      </c>
      <c r="I161" s="15" t="s">
        <v>1553</v>
      </c>
    </row>
    <row r="162" spans="1:9">
      <c r="A162" s="15" t="s">
        <v>2397</v>
      </c>
      <c r="C162" s="15" t="s">
        <v>2401</v>
      </c>
      <c r="E162" s="15" t="s">
        <v>2409</v>
      </c>
      <c r="G162" s="15" t="s">
        <v>1559</v>
      </c>
      <c r="I162" s="15" t="s">
        <v>2415</v>
      </c>
    </row>
    <row r="163" spans="1:9">
      <c r="A163" s="15" t="s">
        <v>1390</v>
      </c>
      <c r="C163" s="15" t="s">
        <v>2402</v>
      </c>
      <c r="E163" s="15" t="s">
        <v>2410</v>
      </c>
      <c r="G163" s="15" t="s">
        <v>1553</v>
      </c>
      <c r="I163" s="15" t="s">
        <v>2420</v>
      </c>
    </row>
    <row r="164" spans="1:9">
      <c r="A164" s="15"/>
      <c r="C164" s="15"/>
      <c r="E164" s="15"/>
      <c r="G164" s="15" t="s">
        <v>2410</v>
      </c>
      <c r="I164" s="15"/>
    </row>
    <row r="165" spans="1:9">
      <c r="A165" s="15"/>
      <c r="C165" s="15"/>
      <c r="E165" s="15"/>
      <c r="G165" s="15" t="s">
        <v>2415</v>
      </c>
      <c r="I165" s="15"/>
    </row>
    <row r="166" spans="1:9">
      <c r="A166" s="15"/>
      <c r="C166" s="15"/>
      <c r="E166" s="15"/>
      <c r="G166" s="15"/>
      <c r="I166" s="15"/>
    </row>
    <row r="167" spans="1:9">
      <c r="A167" s="15"/>
      <c r="C167" s="15"/>
      <c r="E167" s="15"/>
      <c r="G167" s="15"/>
      <c r="I167" s="15"/>
    </row>
    <row r="168" spans="1:9">
      <c r="A168" s="15"/>
      <c r="C168" s="15"/>
      <c r="E168" s="15"/>
      <c r="G168" s="15"/>
      <c r="I168" s="15"/>
    </row>
    <row r="169" spans="1:9">
      <c r="A169" s="15"/>
      <c r="C169" s="15"/>
      <c r="E169" s="15"/>
      <c r="G169" s="15"/>
      <c r="I169" s="15"/>
    </row>
    <row r="170" spans="1:9">
      <c r="A170" s="15"/>
      <c r="C170" s="15"/>
      <c r="E170" s="15"/>
      <c r="G170" s="15"/>
      <c r="I170" s="15"/>
    </row>
    <row r="171" spans="1:9">
      <c r="A171" s="15"/>
      <c r="C171" s="15"/>
      <c r="E171" s="15"/>
      <c r="G171" s="15"/>
      <c r="I171" s="15"/>
    </row>
    <row r="172" spans="1:9">
      <c r="G172" s="15"/>
    </row>
    <row r="173" spans="1:9">
      <c r="G173" s="15"/>
    </row>
    <row r="175" spans="1:9">
      <c r="A175" s="9" t="s">
        <v>1553</v>
      </c>
      <c r="C175" s="9" t="s">
        <v>2432</v>
      </c>
      <c r="E175" s="9" t="s">
        <v>2436</v>
      </c>
      <c r="G175" s="9" t="s">
        <v>2442</v>
      </c>
      <c r="I175" s="9" t="s">
        <v>2445</v>
      </c>
    </row>
    <row r="176" spans="1:9">
      <c r="A176" s="15" t="s">
        <v>2421</v>
      </c>
      <c r="C176" s="15" t="s">
        <v>1701</v>
      </c>
      <c r="E176" s="15" t="s">
        <v>470</v>
      </c>
      <c r="G176" s="15" t="s">
        <v>1781</v>
      </c>
      <c r="I176" s="15" t="s">
        <v>1785</v>
      </c>
    </row>
    <row r="177" spans="1:9">
      <c r="A177" s="15" t="s">
        <v>2422</v>
      </c>
      <c r="C177" s="15" t="s">
        <v>1719</v>
      </c>
      <c r="E177" s="15" t="s">
        <v>1710</v>
      </c>
      <c r="G177" s="15" t="s">
        <v>1792</v>
      </c>
      <c r="I177" s="15" t="s">
        <v>1795</v>
      </c>
    </row>
    <row r="178" spans="1:9">
      <c r="A178" s="15" t="s">
        <v>2423</v>
      </c>
      <c r="C178" s="15" t="s">
        <v>1724</v>
      </c>
      <c r="E178" s="15" t="s">
        <v>2437</v>
      </c>
      <c r="G178" s="15" t="s">
        <v>1798</v>
      </c>
      <c r="I178" s="15" t="s">
        <v>1801</v>
      </c>
    </row>
    <row r="179" spans="1:9">
      <c r="A179" s="15" t="s">
        <v>2100</v>
      </c>
      <c r="C179" s="15" t="s">
        <v>1734</v>
      </c>
      <c r="E179" s="15" t="s">
        <v>1703</v>
      </c>
      <c r="G179" s="15" t="s">
        <v>1805</v>
      </c>
      <c r="I179" s="15" t="s">
        <v>1813</v>
      </c>
    </row>
    <row r="180" spans="1:9">
      <c r="A180" s="15" t="s">
        <v>2424</v>
      </c>
      <c r="C180" s="15" t="s">
        <v>1727</v>
      </c>
      <c r="E180" s="15" t="s">
        <v>2438</v>
      </c>
      <c r="G180" s="15" t="s">
        <v>1810</v>
      </c>
      <c r="I180" s="15" t="s">
        <v>2446</v>
      </c>
    </row>
    <row r="181" spans="1:9">
      <c r="A181" s="15" t="s">
        <v>2425</v>
      </c>
      <c r="C181" s="15" t="s">
        <v>1730</v>
      </c>
      <c r="E181" s="15" t="s">
        <v>1731</v>
      </c>
      <c r="G181" s="15" t="s">
        <v>2443</v>
      </c>
      <c r="I181" s="15" t="s">
        <v>2447</v>
      </c>
    </row>
    <row r="182" spans="1:9">
      <c r="A182" s="15" t="s">
        <v>2426</v>
      </c>
      <c r="C182" s="15" t="s">
        <v>1740</v>
      </c>
      <c r="E182" s="15" t="s">
        <v>1735</v>
      </c>
      <c r="G182" s="15" t="s">
        <v>1816</v>
      </c>
      <c r="I182" s="15" t="s">
        <v>2448</v>
      </c>
    </row>
    <row r="183" spans="1:9">
      <c r="A183" s="15" t="s">
        <v>1805</v>
      </c>
      <c r="C183" s="15" t="s">
        <v>1744</v>
      </c>
      <c r="E183" s="15" t="s">
        <v>1720</v>
      </c>
      <c r="G183" s="15" t="s">
        <v>1820</v>
      </c>
      <c r="I183" s="15" t="s">
        <v>2449</v>
      </c>
    </row>
    <row r="184" spans="1:9">
      <c r="A184" s="15" t="s">
        <v>2427</v>
      </c>
      <c r="C184" s="15" t="s">
        <v>1715</v>
      </c>
      <c r="E184" s="15" t="s">
        <v>1728</v>
      </c>
      <c r="G184" s="15" t="s">
        <v>1825</v>
      </c>
      <c r="I184" s="15"/>
    </row>
    <row r="185" spans="1:9">
      <c r="A185" s="15" t="s">
        <v>2428</v>
      </c>
      <c r="C185" s="15" t="s">
        <v>2433</v>
      </c>
      <c r="E185" s="15" t="s">
        <v>2439</v>
      </c>
      <c r="G185" s="15" t="s">
        <v>1830</v>
      </c>
      <c r="I185" s="15"/>
    </row>
    <row r="186" spans="1:9">
      <c r="A186" s="15" t="s">
        <v>2429</v>
      </c>
      <c r="C186" s="15" t="s">
        <v>2434</v>
      </c>
      <c r="E186" s="15" t="s">
        <v>2440</v>
      </c>
      <c r="G186" s="15" t="s">
        <v>1372</v>
      </c>
      <c r="I186" s="15"/>
    </row>
    <row r="187" spans="1:9">
      <c r="A187" s="15" t="s">
        <v>2430</v>
      </c>
      <c r="C187" s="15" t="s">
        <v>2435</v>
      </c>
      <c r="E187" s="15" t="s">
        <v>1738</v>
      </c>
      <c r="G187" s="15" t="s">
        <v>2444</v>
      </c>
      <c r="I187" s="15"/>
    </row>
    <row r="188" spans="1:9">
      <c r="A188" s="15" t="s">
        <v>2431</v>
      </c>
      <c r="C188" s="15"/>
      <c r="E188" s="15" t="s">
        <v>2441</v>
      </c>
      <c r="G188" s="15" t="s">
        <v>2214</v>
      </c>
      <c r="I188" s="15"/>
    </row>
    <row r="189" spans="1:9">
      <c r="A189" s="15"/>
      <c r="C189" s="15"/>
      <c r="E189" s="15"/>
      <c r="G189" s="15"/>
      <c r="I189" s="15"/>
    </row>
    <row r="190" spans="1:9">
      <c r="A190" s="15"/>
      <c r="C190" s="15"/>
      <c r="E190" s="15"/>
      <c r="G190" s="15"/>
      <c r="I190" s="15"/>
    </row>
    <row r="191" spans="1:9">
      <c r="A191" s="15"/>
      <c r="C191" s="15"/>
      <c r="E191" s="15"/>
      <c r="G191" s="15"/>
      <c r="I191" s="15"/>
    </row>
    <row r="192" spans="1:9">
      <c r="A192" s="15"/>
      <c r="C192" s="15"/>
      <c r="E192" s="15"/>
      <c r="G192" s="15"/>
    </row>
    <row r="193" spans="1:9">
      <c r="A193" s="15"/>
      <c r="C193" s="15"/>
      <c r="E193" s="15"/>
      <c r="G193" s="15"/>
    </row>
    <row r="194" spans="1:9">
      <c r="A194" s="15"/>
      <c r="C194" s="15"/>
      <c r="E194" s="15"/>
      <c r="G194" s="15"/>
    </row>
    <row r="195" spans="1:9">
      <c r="A195" s="15"/>
      <c r="C195" s="15"/>
      <c r="E195" s="15"/>
      <c r="G195" s="15"/>
    </row>
    <row r="196" spans="1:9">
      <c r="A196" s="15"/>
      <c r="E196" s="15"/>
      <c r="G196" s="15"/>
    </row>
    <row r="198" spans="1:9">
      <c r="A198" s="9" t="s">
        <v>1763</v>
      </c>
      <c r="C198" s="9" t="s">
        <v>2454</v>
      </c>
      <c r="E198" s="9" t="s">
        <v>2463</v>
      </c>
      <c r="G198" s="9" t="s">
        <v>2467</v>
      </c>
      <c r="I198" s="9" t="s">
        <v>2469</v>
      </c>
    </row>
    <row r="199" spans="1:9">
      <c r="A199" s="15" t="s">
        <v>1784</v>
      </c>
      <c r="C199" s="15" t="s">
        <v>2455</v>
      </c>
      <c r="E199" s="15" t="s">
        <v>1882</v>
      </c>
      <c r="G199" s="15" t="s">
        <v>1856</v>
      </c>
      <c r="I199" s="15" t="s">
        <v>1935</v>
      </c>
    </row>
    <row r="200" spans="1:9">
      <c r="A200" s="15" t="s">
        <v>1808</v>
      </c>
      <c r="C200" s="15" t="s">
        <v>2456</v>
      </c>
      <c r="E200" s="15" t="s">
        <v>1900</v>
      </c>
      <c r="G200" s="15" t="s">
        <v>1878</v>
      </c>
      <c r="I200" s="15" t="s">
        <v>2470</v>
      </c>
    </row>
    <row r="201" spans="1:9">
      <c r="A201" s="15" t="s">
        <v>2450</v>
      </c>
      <c r="C201" s="15" t="s">
        <v>2457</v>
      </c>
      <c r="E201" s="15" t="s">
        <v>1890</v>
      </c>
      <c r="G201" s="15" t="s">
        <v>625</v>
      </c>
      <c r="I201" s="15" t="s">
        <v>1162</v>
      </c>
    </row>
    <row r="202" spans="1:9">
      <c r="A202" s="15" t="s">
        <v>2451</v>
      </c>
      <c r="C202" s="15" t="s">
        <v>2458</v>
      </c>
      <c r="E202" s="15" t="s">
        <v>1877</v>
      </c>
      <c r="G202" s="15" t="s">
        <v>1887</v>
      </c>
      <c r="I202" s="15" t="s">
        <v>1555</v>
      </c>
    </row>
    <row r="203" spans="1:9">
      <c r="A203" s="15" t="s">
        <v>2452</v>
      </c>
      <c r="C203" s="15" t="s">
        <v>975</v>
      </c>
      <c r="E203" s="15" t="s">
        <v>1904</v>
      </c>
      <c r="G203" s="15" t="s">
        <v>2468</v>
      </c>
      <c r="I203" s="15" t="s">
        <v>1890</v>
      </c>
    </row>
    <row r="204" spans="1:9">
      <c r="A204" s="15" t="s">
        <v>2453</v>
      </c>
      <c r="C204" s="15" t="s">
        <v>2459</v>
      </c>
      <c r="E204" s="15" t="s">
        <v>1860</v>
      </c>
      <c r="G204" s="15"/>
      <c r="I204" s="15" t="s">
        <v>2471</v>
      </c>
    </row>
    <row r="205" spans="1:9">
      <c r="A205" s="15"/>
      <c r="C205" s="15" t="s">
        <v>2460</v>
      </c>
      <c r="E205" s="15" t="s">
        <v>1855</v>
      </c>
      <c r="G205" s="15"/>
      <c r="I205" s="15" t="s">
        <v>1939</v>
      </c>
    </row>
    <row r="206" spans="1:9">
      <c r="A206" s="15"/>
      <c r="C206" s="15" t="s">
        <v>2461</v>
      </c>
      <c r="E206" s="15" t="s">
        <v>1913</v>
      </c>
      <c r="G206" s="15"/>
      <c r="I206" s="15" t="s">
        <v>1553</v>
      </c>
    </row>
    <row r="207" spans="1:9">
      <c r="A207" s="15"/>
      <c r="C207" s="15" t="s">
        <v>2462</v>
      </c>
      <c r="E207" s="15" t="s">
        <v>1886</v>
      </c>
      <c r="G207" s="15"/>
      <c r="I207" s="15" t="s">
        <v>1557</v>
      </c>
    </row>
    <row r="208" spans="1:9">
      <c r="A208" s="15"/>
      <c r="C208" s="15"/>
      <c r="E208" s="15" t="s">
        <v>1869</v>
      </c>
      <c r="G208" s="15"/>
      <c r="I208" s="15" t="s">
        <v>2472</v>
      </c>
    </row>
    <row r="209" spans="1:9">
      <c r="A209" s="15"/>
      <c r="C209" s="15"/>
      <c r="E209" s="15" t="s">
        <v>2464</v>
      </c>
      <c r="G209" s="15"/>
      <c r="I209" s="15" t="s">
        <v>2214</v>
      </c>
    </row>
    <row r="210" spans="1:9">
      <c r="A210" s="15"/>
      <c r="C210" s="15"/>
      <c r="E210" s="15" t="s">
        <v>1863</v>
      </c>
      <c r="G210" s="15"/>
      <c r="I210" s="15"/>
    </row>
    <row r="211" spans="1:9">
      <c r="A211" s="15"/>
      <c r="C211" s="15"/>
      <c r="E211" s="15" t="s">
        <v>1866</v>
      </c>
      <c r="G211" s="15"/>
      <c r="I211" s="15"/>
    </row>
    <row r="212" spans="1:9">
      <c r="A212" s="15"/>
      <c r="C212" s="15"/>
      <c r="E212" s="15" t="s">
        <v>1872</v>
      </c>
      <c r="I212" s="15"/>
    </row>
    <row r="213" spans="1:9">
      <c r="C213" s="15"/>
      <c r="E213" s="15" t="s">
        <v>1897</v>
      </c>
      <c r="I213" s="15"/>
    </row>
    <row r="214" spans="1:9">
      <c r="C214" s="15"/>
      <c r="E214" s="15" t="s">
        <v>1894</v>
      </c>
      <c r="I214" s="15"/>
    </row>
    <row r="215" spans="1:9">
      <c r="C215" s="15"/>
      <c r="E215" s="15" t="s">
        <v>2465</v>
      </c>
      <c r="I215" s="15"/>
    </row>
    <row r="216" spans="1:9">
      <c r="E216" s="15" t="s">
        <v>1875</v>
      </c>
      <c r="I216" s="15"/>
    </row>
    <row r="217" spans="1:9">
      <c r="E217" s="15" t="s">
        <v>1907</v>
      </c>
      <c r="I217" s="15"/>
    </row>
    <row r="218" spans="1:9">
      <c r="E218" s="15" t="s">
        <v>1744</v>
      </c>
    </row>
    <row r="219" spans="1:9">
      <c r="E219" s="15" t="s">
        <v>1910</v>
      </c>
    </row>
    <row r="220" spans="1:9">
      <c r="E220" s="15" t="s">
        <v>2213</v>
      </c>
    </row>
    <row r="221" spans="1:9">
      <c r="E221" s="15" t="s">
        <v>2466</v>
      </c>
    </row>
    <row r="222" spans="1:9">
      <c r="E222" s="15" t="s">
        <v>2214</v>
      </c>
    </row>
    <row r="223" spans="1:9">
      <c r="E223" s="15"/>
    </row>
    <row r="224" spans="1:9">
      <c r="E224" s="15"/>
    </row>
    <row r="225" spans="1:9">
      <c r="E225" s="15"/>
    </row>
    <row r="226" spans="1:9">
      <c r="E226" s="15"/>
    </row>
    <row r="227" spans="1:9">
      <c r="E227" s="15"/>
    </row>
    <row r="228" spans="1:9">
      <c r="E228" s="15"/>
    </row>
    <row r="229" spans="1:9">
      <c r="E229" s="15"/>
    </row>
    <row r="230" spans="1:9">
      <c r="E230" s="15"/>
    </row>
    <row r="232" spans="1:9">
      <c r="A232" s="9" t="s">
        <v>1372</v>
      </c>
      <c r="C232" s="9" t="s">
        <v>2477</v>
      </c>
      <c r="E232" s="9" t="s">
        <v>2487</v>
      </c>
      <c r="G232" s="9" t="s">
        <v>1984</v>
      </c>
      <c r="I232" s="9" t="s">
        <v>1988</v>
      </c>
    </row>
    <row r="233" spans="1:9">
      <c r="A233" s="15" t="s">
        <v>1786</v>
      </c>
      <c r="C233" s="15" t="s">
        <v>1997</v>
      </c>
      <c r="E233" s="15" t="s">
        <v>2488</v>
      </c>
      <c r="G233" s="15" t="s">
        <v>2005</v>
      </c>
      <c r="I233" s="15" t="s">
        <v>2002</v>
      </c>
    </row>
    <row r="234" spans="1:9">
      <c r="A234" s="15" t="s">
        <v>1790</v>
      </c>
      <c r="C234" s="15" t="s">
        <v>2004</v>
      </c>
      <c r="E234" s="15" t="s">
        <v>2013</v>
      </c>
      <c r="G234" s="15" t="s">
        <v>1998</v>
      </c>
      <c r="I234" s="15" t="s">
        <v>2494</v>
      </c>
    </row>
    <row r="235" spans="1:9">
      <c r="A235" s="15" t="s">
        <v>2473</v>
      </c>
      <c r="C235" s="15" t="s">
        <v>2011</v>
      </c>
      <c r="E235" s="15" t="s">
        <v>2489</v>
      </c>
      <c r="G235" s="15" t="s">
        <v>1151</v>
      </c>
      <c r="I235" s="15" t="s">
        <v>2495</v>
      </c>
    </row>
    <row r="236" spans="1:9">
      <c r="A236" s="15" t="s">
        <v>1937</v>
      </c>
      <c r="C236" s="15" t="s">
        <v>2478</v>
      </c>
      <c r="E236" s="15" t="s">
        <v>2490</v>
      </c>
      <c r="G236" s="15" t="s">
        <v>2493</v>
      </c>
      <c r="I236" s="15" t="s">
        <v>2496</v>
      </c>
    </row>
    <row r="237" spans="1:9">
      <c r="A237" s="15" t="s">
        <v>2474</v>
      </c>
      <c r="C237" s="15" t="s">
        <v>2479</v>
      </c>
      <c r="E237" s="15" t="s">
        <v>2000</v>
      </c>
      <c r="G237" s="15"/>
      <c r="I237" s="15" t="s">
        <v>2009</v>
      </c>
    </row>
    <row r="238" spans="1:9">
      <c r="A238" s="15" t="s">
        <v>2475</v>
      </c>
      <c r="C238" s="15" t="s">
        <v>2016</v>
      </c>
      <c r="E238" s="15" t="s">
        <v>2491</v>
      </c>
      <c r="G238" s="15"/>
      <c r="I238" s="15" t="s">
        <v>2497</v>
      </c>
    </row>
    <row r="239" spans="1:9">
      <c r="A239" s="15" t="s">
        <v>2476</v>
      </c>
      <c r="C239" s="15" t="s">
        <v>2480</v>
      </c>
      <c r="E239" s="15" t="s">
        <v>2492</v>
      </c>
      <c r="G239" s="15"/>
      <c r="I239" s="15" t="s">
        <v>2019</v>
      </c>
    </row>
    <row r="240" spans="1:9">
      <c r="A240" s="15"/>
      <c r="C240" s="15" t="s">
        <v>2481</v>
      </c>
      <c r="E240" s="15" t="s">
        <v>2007</v>
      </c>
      <c r="G240" s="15"/>
      <c r="I240" s="15" t="s">
        <v>2498</v>
      </c>
    </row>
    <row r="241" spans="1:9">
      <c r="A241" s="15"/>
      <c r="C241" s="15" t="s">
        <v>2482</v>
      </c>
      <c r="E241" s="15"/>
      <c r="G241" s="15"/>
      <c r="I241" s="15" t="s">
        <v>2499</v>
      </c>
    </row>
    <row r="242" spans="1:9">
      <c r="A242" s="15"/>
      <c r="C242" s="15" t="s">
        <v>2483</v>
      </c>
      <c r="E242" s="15"/>
      <c r="G242" s="15"/>
      <c r="I242" s="15" t="s">
        <v>2500</v>
      </c>
    </row>
    <row r="243" spans="1:9">
      <c r="A243" s="15"/>
      <c r="C243" s="15" t="s">
        <v>2484</v>
      </c>
      <c r="E243" s="15"/>
      <c r="G243" s="15"/>
      <c r="I243" s="15"/>
    </row>
    <row r="244" spans="1:9">
      <c r="A244" s="15"/>
      <c r="C244" s="15" t="s">
        <v>2485</v>
      </c>
      <c r="E244" s="15"/>
      <c r="G244" s="15"/>
      <c r="I244" s="15"/>
    </row>
    <row r="245" spans="1:9">
      <c r="A245" s="15"/>
      <c r="C245" s="15" t="s">
        <v>2486</v>
      </c>
      <c r="E245" s="15"/>
      <c r="I245" s="15"/>
    </row>
    <row r="246" spans="1:9">
      <c r="A246" s="15"/>
      <c r="C246" s="15" t="s">
        <v>2214</v>
      </c>
      <c r="E246" s="15"/>
      <c r="I246" s="15"/>
    </row>
    <row r="247" spans="1:9">
      <c r="A247" s="15"/>
      <c r="C247" s="15"/>
      <c r="E247" s="15"/>
      <c r="I247" s="15"/>
    </row>
    <row r="248" spans="1:9">
      <c r="C248" s="15"/>
      <c r="E248" s="15"/>
      <c r="I248" s="15"/>
    </row>
    <row r="249" spans="1:9">
      <c r="C249" s="15"/>
      <c r="I249" s="15"/>
    </row>
    <row r="250" spans="1:9">
      <c r="C250" s="15"/>
      <c r="I250" s="15"/>
    </row>
    <row r="251" spans="1:9">
      <c r="C251" s="15"/>
    </row>
    <row r="252" spans="1:9">
      <c r="C252" s="15"/>
    </row>
    <row r="253" spans="1:9">
      <c r="C253" s="15"/>
    </row>
    <row r="254" spans="1:9">
      <c r="C254" s="15"/>
    </row>
    <row r="256" spans="1:9">
      <c r="A256" s="9" t="s">
        <v>2501</v>
      </c>
      <c r="C256" s="9" t="s">
        <v>2511</v>
      </c>
      <c r="E256" s="9" t="s">
        <v>2517</v>
      </c>
      <c r="G256" s="9" t="s">
        <v>2523</v>
      </c>
      <c r="I256" s="9" t="s">
        <v>340</v>
      </c>
    </row>
    <row r="257" spans="1:9">
      <c r="A257" s="15" t="s">
        <v>2038</v>
      </c>
      <c r="C257" s="15" t="s">
        <v>2094</v>
      </c>
      <c r="E257" s="15" t="s">
        <v>2518</v>
      </c>
      <c r="G257" s="15" t="s">
        <v>2524</v>
      </c>
      <c r="I257" s="15" t="s">
        <v>2530</v>
      </c>
    </row>
    <row r="258" spans="1:9">
      <c r="A258" s="15" t="s">
        <v>2502</v>
      </c>
      <c r="C258" s="15" t="s">
        <v>2099</v>
      </c>
      <c r="E258" s="15" t="s">
        <v>2519</v>
      </c>
      <c r="G258" s="15" t="s">
        <v>2525</v>
      </c>
      <c r="I258" s="15" t="s">
        <v>2531</v>
      </c>
    </row>
    <row r="259" spans="1:9">
      <c r="A259" s="15" t="s">
        <v>2044</v>
      </c>
      <c r="C259" s="15" t="s">
        <v>2107</v>
      </c>
      <c r="E259" s="15" t="s">
        <v>1063</v>
      </c>
      <c r="G259" s="15" t="s">
        <v>2526</v>
      </c>
      <c r="I259" s="15" t="s">
        <v>2532</v>
      </c>
    </row>
    <row r="260" spans="1:9">
      <c r="A260" s="15" t="s">
        <v>2503</v>
      </c>
      <c r="C260" s="15" t="s">
        <v>2067</v>
      </c>
      <c r="E260" s="15" t="s">
        <v>2520</v>
      </c>
      <c r="G260" s="15" t="s">
        <v>2527</v>
      </c>
      <c r="I260" s="15" t="s">
        <v>2533</v>
      </c>
    </row>
    <row r="261" spans="1:9">
      <c r="A261" s="15" t="s">
        <v>2504</v>
      </c>
      <c r="C261" s="15" t="s">
        <v>2072</v>
      </c>
      <c r="E261" s="15" t="s">
        <v>2521</v>
      </c>
      <c r="G261" s="15" t="s">
        <v>2528</v>
      </c>
      <c r="I261" s="15" t="s">
        <v>2534</v>
      </c>
    </row>
    <row r="262" spans="1:9">
      <c r="A262" s="15" t="s">
        <v>2505</v>
      </c>
      <c r="C262" s="15" t="s">
        <v>2078</v>
      </c>
      <c r="E262" s="15" t="s">
        <v>2522</v>
      </c>
      <c r="G262" s="15" t="s">
        <v>2529</v>
      </c>
      <c r="I262" s="15" t="s">
        <v>2535</v>
      </c>
    </row>
    <row r="263" spans="1:9">
      <c r="A263" s="15" t="s">
        <v>2506</v>
      </c>
      <c r="C263" s="15" t="s">
        <v>2087</v>
      </c>
      <c r="E263" s="15"/>
      <c r="G263" s="15" t="s">
        <v>923</v>
      </c>
      <c r="I263" s="15" t="s">
        <v>2536</v>
      </c>
    </row>
    <row r="264" spans="1:9">
      <c r="A264" s="15" t="s">
        <v>2049</v>
      </c>
      <c r="C264" s="15" t="s">
        <v>2090</v>
      </c>
      <c r="E264" s="15"/>
      <c r="G264" s="15"/>
      <c r="I264" s="15" t="s">
        <v>2537</v>
      </c>
    </row>
    <row r="265" spans="1:9">
      <c r="A265" s="15" t="s">
        <v>2507</v>
      </c>
      <c r="C265" s="15" t="s">
        <v>2111</v>
      </c>
      <c r="E265" s="15"/>
      <c r="G265" s="15"/>
      <c r="I265" s="15" t="s">
        <v>2538</v>
      </c>
    </row>
    <row r="266" spans="1:9">
      <c r="A266" s="15" t="s">
        <v>2508</v>
      </c>
      <c r="C266" s="15" t="s">
        <v>1860</v>
      </c>
      <c r="E266" s="15"/>
      <c r="G266" s="15"/>
      <c r="I266" s="15" t="s">
        <v>2539</v>
      </c>
    </row>
    <row r="267" spans="1:9">
      <c r="A267" s="15" t="s">
        <v>2509</v>
      </c>
      <c r="C267" s="15" t="s">
        <v>2512</v>
      </c>
      <c r="E267" s="15"/>
      <c r="G267" s="15"/>
      <c r="I267" s="15" t="s">
        <v>2540</v>
      </c>
    </row>
    <row r="268" spans="1:9">
      <c r="A268" s="15" t="s">
        <v>2510</v>
      </c>
      <c r="C268" s="15" t="s">
        <v>2513</v>
      </c>
      <c r="E268" s="15"/>
      <c r="G268" s="15"/>
      <c r="I268" s="15" t="s">
        <v>2541</v>
      </c>
    </row>
    <row r="269" spans="1:9">
      <c r="A269" s="15" t="s">
        <v>2214</v>
      </c>
      <c r="C269" s="15" t="s">
        <v>2514</v>
      </c>
      <c r="E269" s="15"/>
      <c r="G269" s="15"/>
      <c r="I269" s="15"/>
    </row>
    <row r="270" spans="1:9">
      <c r="A270" s="15"/>
      <c r="C270" s="15" t="s">
        <v>2515</v>
      </c>
      <c r="E270" s="15"/>
      <c r="G270" s="15"/>
      <c r="I270" s="15"/>
    </row>
    <row r="271" spans="1:9">
      <c r="A271" s="15"/>
      <c r="C271" s="15" t="s">
        <v>2516</v>
      </c>
      <c r="G271" s="15"/>
      <c r="I271" s="15"/>
    </row>
    <row r="272" spans="1:9">
      <c r="A272" s="15"/>
      <c r="C272" s="15"/>
      <c r="I272" s="15"/>
    </row>
    <row r="273" spans="1:9">
      <c r="A273" s="15"/>
      <c r="C273" s="15"/>
      <c r="I273" s="15"/>
    </row>
    <row r="274" spans="1:9">
      <c r="A274" s="15"/>
      <c r="C274" s="15"/>
      <c r="I274" s="15"/>
    </row>
    <row r="275" spans="1:9">
      <c r="A275" s="15"/>
      <c r="C275" s="15"/>
      <c r="I275" s="15"/>
    </row>
    <row r="276" spans="1:9">
      <c r="A276" s="15"/>
      <c r="C276" s="15"/>
      <c r="I276" s="15"/>
    </row>
    <row r="277" spans="1:9">
      <c r="A277" s="15"/>
      <c r="C277" s="15"/>
    </row>
    <row r="278" spans="1:9">
      <c r="C278" s="15"/>
    </row>
    <row r="279" spans="1:9">
      <c r="C279" s="15"/>
    </row>
    <row r="281" spans="1:9">
      <c r="A281" s="9" t="s">
        <v>2542</v>
      </c>
      <c r="C281" s="9" t="s">
        <v>2543</v>
      </c>
      <c r="E281" s="9" t="s">
        <v>2544</v>
      </c>
      <c r="G281" s="9" t="s">
        <v>2546</v>
      </c>
      <c r="I281" s="9" t="s">
        <v>2548</v>
      </c>
    </row>
    <row r="282" spans="1:9">
      <c r="A282" s="15" t="s">
        <v>201</v>
      </c>
      <c r="C282" s="15" t="s">
        <v>201</v>
      </c>
      <c r="E282" s="15" t="s">
        <v>210</v>
      </c>
      <c r="G282" s="15" t="s">
        <v>213</v>
      </c>
      <c r="I282" s="15" t="s">
        <v>2549</v>
      </c>
    </row>
    <row r="283" spans="1:9">
      <c r="A283" s="15" t="s">
        <v>582</v>
      </c>
      <c r="C283" s="15" t="s">
        <v>637</v>
      </c>
      <c r="E283" s="15" t="s">
        <v>2545</v>
      </c>
      <c r="G283" s="15" t="s">
        <v>2547</v>
      </c>
      <c r="I283" s="15" t="s">
        <v>240</v>
      </c>
    </row>
    <row r="284" spans="1:9">
      <c r="A284" s="15" t="s">
        <v>655</v>
      </c>
      <c r="C284" s="15"/>
      <c r="E284" s="15"/>
      <c r="G284" s="15"/>
      <c r="I284" s="15" t="s">
        <v>2550</v>
      </c>
    </row>
    <row r="285" spans="1:9">
      <c r="A285" s="15" t="s">
        <v>594</v>
      </c>
      <c r="C285" s="15"/>
      <c r="E285" s="15"/>
      <c r="G285" s="15"/>
      <c r="I285" s="15" t="s">
        <v>2551</v>
      </c>
    </row>
    <row r="286" spans="1:9">
      <c r="A286" s="15" t="s">
        <v>606</v>
      </c>
      <c r="C286" s="15"/>
      <c r="E286" s="15"/>
      <c r="G286" s="15"/>
      <c r="I286" s="15"/>
    </row>
    <row r="287" spans="1:9">
      <c r="A287" s="15" t="s">
        <v>673</v>
      </c>
      <c r="C287" s="15"/>
      <c r="E287" s="15"/>
      <c r="G287" s="15"/>
      <c r="I287" s="15"/>
    </row>
    <row r="288" spans="1:9">
      <c r="A288" s="15" t="s">
        <v>637</v>
      </c>
      <c r="C288" s="15"/>
      <c r="E288" s="15"/>
      <c r="G288" s="15"/>
      <c r="I288" s="15"/>
    </row>
    <row r="289" spans="1:9">
      <c r="A289" s="15"/>
      <c r="C289" s="15"/>
      <c r="E289" s="15"/>
      <c r="G289" s="15"/>
      <c r="I289" s="15"/>
    </row>
    <row r="290" spans="1:9">
      <c r="A290" s="15"/>
      <c r="C290" s="15"/>
      <c r="E290" s="15"/>
      <c r="G290" s="15"/>
      <c r="I290" s="15"/>
    </row>
    <row r="291" spans="1:9">
      <c r="A291" s="15"/>
      <c r="C291" s="15"/>
      <c r="E291" s="15"/>
      <c r="G291" s="15"/>
      <c r="I291" s="15"/>
    </row>
    <row r="292" spans="1:9">
      <c r="A292" s="15"/>
      <c r="I292" s="15"/>
    </row>
    <row r="293" spans="1:9">
      <c r="A293" s="15"/>
      <c r="I293" s="15"/>
    </row>
    <row r="294" spans="1:9">
      <c r="A294" s="15"/>
    </row>
    <row r="295" spans="1:9">
      <c r="A295" s="15"/>
    </row>
    <row r="296" spans="1:9">
      <c r="A296" s="15"/>
    </row>
    <row r="298" spans="1:9">
      <c r="A298" s="9" t="s">
        <v>2552</v>
      </c>
    </row>
    <row r="299" spans="1:9">
      <c r="A299" s="15" t="s">
        <v>2553</v>
      </c>
    </row>
    <row r="300" spans="1:9">
      <c r="A300" s="15" t="s">
        <v>2554</v>
      </c>
    </row>
    <row r="301" spans="1:9">
      <c r="A301" s="15" t="s">
        <v>2555</v>
      </c>
    </row>
    <row r="302" spans="1:9">
      <c r="A302" s="15" t="s">
        <v>2527</v>
      </c>
    </row>
    <row r="303" spans="1:9">
      <c r="A303" s="15" t="s">
        <v>2556</v>
      </c>
    </row>
    <row r="304" spans="1:9">
      <c r="A304" s="15" t="s">
        <v>681</v>
      </c>
    </row>
    <row r="305" spans="1:10">
      <c r="A305" s="15"/>
    </row>
    <row r="306" spans="1:10">
      <c r="A306" s="15"/>
    </row>
    <row r="307" spans="1:10">
      <c r="A307" s="15"/>
    </row>
    <row r="308" spans="1:10">
      <c r="A308" s="15"/>
    </row>
    <row r="309" spans="1:10">
      <c r="A309" s="15"/>
    </row>
    <row r="310" spans="1:10">
      <c r="A310" s="15"/>
    </row>
    <row r="311" spans="1:10">
      <c r="A311" s="15"/>
    </row>
    <row r="312" spans="1:10">
      <c r="A312" s="15"/>
    </row>
    <row r="315" spans="1:10" ht="20" customHeight="1">
      <c r="A315" s="7" t="s">
        <v>2557</v>
      </c>
      <c r="B315" s="7"/>
      <c r="C315" s="7"/>
      <c r="D315" s="7"/>
      <c r="E315" s="7"/>
      <c r="F315" s="7"/>
      <c r="G315" s="7"/>
      <c r="H315" s="7"/>
      <c r="I315" s="7"/>
      <c r="J315" s="7"/>
    </row>
    <row r="316" spans="1:10" ht="44" customHeight="1">
      <c r="A316" s="6" t="s">
        <v>2558</v>
      </c>
      <c r="B316" s="6"/>
      <c r="C316" s="6"/>
      <c r="D316" s="6"/>
      <c r="E316" s="6"/>
      <c r="F316" s="6"/>
      <c r="G316" s="6"/>
      <c r="H316" s="6"/>
      <c r="I316" s="6"/>
      <c r="J316" s="6"/>
    </row>
    <row r="318" spans="1:10" ht="26" customHeight="1">
      <c r="A318" s="8" t="s">
        <v>532</v>
      </c>
      <c r="B318" s="9" t="s">
        <v>2559</v>
      </c>
      <c r="C318" s="9" t="s">
        <v>535</v>
      </c>
      <c r="D318" s="9" t="s">
        <v>2560</v>
      </c>
    </row>
    <row r="319" spans="1:10">
      <c r="A319" s="15" t="s">
        <v>625</v>
      </c>
      <c r="B319" s="16">
        <v>0</v>
      </c>
      <c r="C319" s="16">
        <v>1</v>
      </c>
      <c r="D319" s="40">
        <v>1</v>
      </c>
    </row>
    <row r="320" spans="1:10">
      <c r="A320" s="15" t="s">
        <v>451</v>
      </c>
      <c r="B320" s="16">
        <v>7</v>
      </c>
      <c r="C320" s="16">
        <v>52</v>
      </c>
      <c r="D320" s="40">
        <v>0.85</v>
      </c>
    </row>
    <row r="321" spans="1:10">
      <c r="A321" s="15" t="s">
        <v>593</v>
      </c>
      <c r="B321" s="16">
        <v>14</v>
      </c>
      <c r="C321" s="16">
        <v>26</v>
      </c>
      <c r="D321" s="40">
        <v>0.9</v>
      </c>
    </row>
    <row r="322" spans="1:10">
      <c r="A322" s="15" t="s">
        <v>2310</v>
      </c>
      <c r="B322" s="16">
        <v>21</v>
      </c>
      <c r="C322" s="16">
        <v>17</v>
      </c>
      <c r="D322" s="40">
        <v>0.95</v>
      </c>
    </row>
    <row r="323" spans="1:10">
      <c r="A323" s="15" t="s">
        <v>124</v>
      </c>
      <c r="B323" s="16">
        <v>28</v>
      </c>
      <c r="C323" s="16">
        <v>12</v>
      </c>
      <c r="D323" s="40">
        <v>1</v>
      </c>
    </row>
    <row r="324" spans="1:10">
      <c r="A324" s="15" t="s">
        <v>127</v>
      </c>
      <c r="B324" s="16">
        <v>91</v>
      </c>
      <c r="C324" s="16">
        <v>4</v>
      </c>
      <c r="D324" s="40">
        <v>1.05</v>
      </c>
    </row>
    <row r="325" spans="1:10">
      <c r="A325" s="15" t="s">
        <v>617</v>
      </c>
      <c r="B325" s="16">
        <v>3</v>
      </c>
      <c r="C325" s="16">
        <v>104</v>
      </c>
      <c r="D325" s="40">
        <v>0.8</v>
      </c>
    </row>
    <row r="326" spans="1:10">
      <c r="A326" s="15"/>
      <c r="B326" s="16"/>
      <c r="C326" s="16"/>
      <c r="D326" s="40"/>
    </row>
    <row r="327" spans="1:10">
      <c r="A327" s="15"/>
      <c r="B327" s="16"/>
      <c r="C327" s="16"/>
      <c r="D327" s="40"/>
    </row>
    <row r="328" spans="1:10">
      <c r="A328" s="15"/>
      <c r="B328" s="16"/>
      <c r="C328" s="16"/>
      <c r="D328" s="40"/>
    </row>
    <row r="329" spans="1:10">
      <c r="A329" s="15"/>
      <c r="B329" s="16"/>
      <c r="C329" s="16"/>
      <c r="D329" s="40"/>
    </row>
    <row r="330" spans="1:10">
      <c r="A330" s="15"/>
      <c r="B330" s="16"/>
      <c r="C330" s="16"/>
      <c r="D330" s="40"/>
    </row>
    <row r="333" spans="1:10" ht="20" customHeight="1">
      <c r="A333" s="7" t="s">
        <v>2561</v>
      </c>
      <c r="B333" s="7"/>
      <c r="C333" s="7"/>
      <c r="D333" s="7"/>
      <c r="E333" s="7"/>
      <c r="F333" s="7"/>
      <c r="G333" s="7"/>
      <c r="H333" s="7"/>
      <c r="I333" s="7"/>
      <c r="J333" s="7"/>
    </row>
    <row r="334" spans="1:10" ht="38" customHeight="1">
      <c r="A334" s="6" t="s">
        <v>2562</v>
      </c>
      <c r="B334" s="6"/>
      <c r="C334" s="6"/>
      <c r="D334" s="6"/>
      <c r="E334" s="6"/>
      <c r="F334" s="6"/>
      <c r="G334" s="6"/>
      <c r="H334" s="6"/>
      <c r="I334" s="6"/>
      <c r="J334" s="6"/>
    </row>
    <row r="336" spans="1:10" ht="26" customHeight="1">
      <c r="A336" s="8" t="s">
        <v>447</v>
      </c>
      <c r="B336" s="9" t="s">
        <v>2563</v>
      </c>
      <c r="C336" s="9" t="s">
        <v>368</v>
      </c>
    </row>
    <row r="337" spans="1:10">
      <c r="A337" s="15" t="s">
        <v>776</v>
      </c>
      <c r="B337" s="40">
        <v>0.85</v>
      </c>
      <c r="C337" s="15" t="s">
        <v>2564</v>
      </c>
    </row>
    <row r="338" spans="1:10">
      <c r="A338" s="15" t="s">
        <v>448</v>
      </c>
      <c r="B338" s="40">
        <v>1</v>
      </c>
      <c r="C338" s="15" t="s">
        <v>2565</v>
      </c>
    </row>
    <row r="339" spans="1:10">
      <c r="A339" s="15" t="s">
        <v>756</v>
      </c>
      <c r="B339" s="40">
        <v>1.2</v>
      </c>
      <c r="C339" s="15" t="s">
        <v>2566</v>
      </c>
    </row>
    <row r="340" spans="1:10">
      <c r="A340" s="15" t="s">
        <v>786</v>
      </c>
      <c r="B340" s="40">
        <v>1.45</v>
      </c>
      <c r="C340" s="15" t="s">
        <v>2567</v>
      </c>
    </row>
    <row r="341" spans="1:10">
      <c r="A341" s="15" t="s">
        <v>2309</v>
      </c>
      <c r="B341" s="40">
        <v>1.8</v>
      </c>
      <c r="C341" s="15" t="s">
        <v>2568</v>
      </c>
    </row>
    <row r="342" spans="1:10">
      <c r="A342" s="15"/>
      <c r="B342" s="40"/>
      <c r="C342" s="15"/>
    </row>
    <row r="343" spans="1:10">
      <c r="A343" s="15"/>
      <c r="B343" s="40"/>
      <c r="C343" s="15"/>
    </row>
    <row r="344" spans="1:10">
      <c r="A344" s="15"/>
      <c r="B344" s="40"/>
      <c r="C344" s="15"/>
    </row>
    <row r="345" spans="1:10">
      <c r="A345" s="15"/>
      <c r="B345" s="40"/>
      <c r="C345" s="15"/>
    </row>
    <row r="348" spans="1:10" ht="38" customHeight="1">
      <c r="A348" s="6" t="s">
        <v>2569</v>
      </c>
      <c r="B348" s="6"/>
      <c r="C348" s="6"/>
      <c r="D348" s="6"/>
      <c r="E348" s="6"/>
      <c r="F348" s="6"/>
      <c r="G348" s="6"/>
      <c r="H348" s="6"/>
      <c r="I348" s="6"/>
      <c r="J348" s="6"/>
    </row>
  </sheetData>
  <sheetProtection password="EC7C" sheet="1" objects="1" scenarios="1" formatCells="0" formatColumns="0" formatRows="0" insertRows="0" insertHyperlinks="0" deleteRows="0" autoFilter="0"/>
  <mergeCells count="15">
    <mergeCell ref="A1:G1"/>
    <mergeCell ref="H1:J1"/>
    <mergeCell ref="A2:J2"/>
    <mergeCell ref="A3:B3"/>
    <mergeCell ref="C3:D3"/>
    <mergeCell ref="E3:F3"/>
    <mergeCell ref="G3:H3"/>
    <mergeCell ref="I3:J3"/>
    <mergeCell ref="A5:J5"/>
    <mergeCell ref="A7:J7"/>
    <mergeCell ref="A315:J315"/>
    <mergeCell ref="A316:J316"/>
    <mergeCell ref="A333:J333"/>
    <mergeCell ref="A334:J334"/>
    <mergeCell ref="A348:J348"/>
  </mergeCell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s>
  <pageMargins left="0.4" right="0.4" top="0.6" bottom="0.5" header="0.3" footer="0.3"/>
  <pageSetup paperSize="9" fitToHeight="0" orientation="landscape"/>
  <headerFooter>
    <oddHeader>&amp;L&amp;"Calibri,Bold"&amp;12&amp;C&amp;"Calibri,Bold"&amp;11Lists&amp;R&amp;"Calibri,Italic"&amp;9Cleaning Business CRM &amp; Pricing Calculator</oddHeader>
    <oddFooter>&amp;L&amp;"Calibri,Italic"&amp;8Novality Store - v1.0.0&amp;C&amp;"Calibri,Italic"&amp;8Page &amp;P of &amp;N&amp;R&amp;"Calibri,Italic"&amp;8&amp;D</oddFooter>
  </headerFooter>
</worksheet>
</file>

<file path=xl/worksheets/sheet37.xml><?xml version="1.0" encoding="utf-8"?>
<worksheet xmlns="http://schemas.openxmlformats.org/spreadsheetml/2006/main" xmlns:r="http://schemas.openxmlformats.org/officeDocument/2006/relationships">
  <sheetPr>
    <tabColor rgb="FF102A30"/>
    <pageSetUpPr fitToPage="1"/>
  </sheetPr>
  <dimension ref="A1:J82"/>
  <sheetViews>
    <sheetView showGridLines="0" workbookViewId="0">
      <pane ySplit="4" topLeftCell="A5" activePane="bottomLeft" state="frozen"/>
      <selection pane="bottomLeft"/>
    </sheetView>
  </sheetViews>
  <sheetFormatPr defaultRowHeight="15"/>
  <cols>
    <col min="1" max="1" width="4.7109375" customWidth="1"/>
    <col min="2" max="2" width="30.7109375" customWidth="1"/>
    <col min="3" max="10" width="14.7109375" customWidth="1"/>
    <col min="2" max="2" width="30.7109375" customWidth="1"/>
    <col min="3" max="3" width="68.7109375" customWidth="1"/>
    <col min="2" max="2" width="24.7109375" customWidth="1"/>
    <col min="3" max="3" width="36.7109375" customWidth="1"/>
    <col min="4" max="4" width="38.7109375" customWidth="1"/>
    <col min="2" max="2" width="26.7109375" customWidth="1"/>
    <col min="3" max="3" width="72.7109375" customWidth="1"/>
    <col min="2" max="2" width="50.7109375" customWidth="1"/>
    <col min="3" max="3" width="48.7109375" customWidth="1"/>
    <col min="2" max="2" width="30.7109375" customWidth="1"/>
    <col min="3" max="3" width="68.7109375" customWidth="1"/>
  </cols>
  <sheetData>
    <row r="1" spans="1:10" ht="34" customHeight="1">
      <c r="A1" s="2" t="s">
        <v>2570</v>
      </c>
      <c r="B1" s="2"/>
      <c r="C1" s="2"/>
      <c r="D1" s="2"/>
      <c r="E1" s="2"/>
      <c r="F1" s="2"/>
      <c r="G1" s="2"/>
      <c r="H1" s="3" t="s">
        <v>1</v>
      </c>
      <c r="I1" s="3"/>
      <c r="J1" s="3"/>
    </row>
    <row r="2" spans="1:10" ht="18" customHeight="1">
      <c r="A2" s="4" t="s">
        <v>2571</v>
      </c>
      <c r="B2" s="4"/>
      <c r="C2" s="4"/>
      <c r="D2" s="4"/>
      <c r="E2" s="4"/>
      <c r="F2" s="4"/>
      <c r="G2" s="4"/>
      <c r="H2" s="4"/>
      <c r="I2" s="4"/>
      <c r="J2" s="4"/>
    </row>
    <row r="3" spans="1:10" ht="16" customHeight="1">
      <c r="A3" s="5" t="s">
        <v>3</v>
      </c>
      <c r="B3" s="5"/>
      <c r="C3" s="5" t="s">
        <v>4</v>
      </c>
      <c r="D3" s="5"/>
      <c r="E3" s="5" t="s">
        <v>5</v>
      </c>
      <c r="F3" s="5"/>
      <c r="G3" s="5" t="s">
        <v>6</v>
      </c>
      <c r="H3" s="5"/>
      <c r="I3" s="5" t="s">
        <v>7</v>
      </c>
      <c r="J3" s="5"/>
    </row>
    <row r="5" spans="1:10" ht="20" customHeight="1">
      <c r="A5" s="7" t="s">
        <v>2572</v>
      </c>
      <c r="B5" s="7"/>
      <c r="C5" s="7"/>
      <c r="D5" s="7"/>
      <c r="E5" s="7"/>
      <c r="F5" s="7"/>
      <c r="G5" s="7"/>
      <c r="H5" s="7"/>
      <c r="I5" s="7"/>
      <c r="J5" s="7"/>
    </row>
    <row r="6" spans="1:10" ht="26" customHeight="1">
      <c r="B6" s="8" t="s">
        <v>2573</v>
      </c>
      <c r="C6" s="9" t="s">
        <v>2574</v>
      </c>
    </row>
    <row r="7" spans="1:10" ht="22" customHeight="1">
      <c r="B7" s="10" t="s">
        <v>2575</v>
      </c>
      <c r="C7" s="11" t="s">
        <v>2576</v>
      </c>
      <c r="D7" s="11"/>
      <c r="E7" s="11"/>
      <c r="F7" s="11"/>
      <c r="G7" s="11"/>
      <c r="H7" s="11"/>
      <c r="I7" s="11"/>
      <c r="J7" s="11"/>
    </row>
    <row r="8" spans="1:10" ht="22" customHeight="1">
      <c r="B8" s="10" t="s">
        <v>2577</v>
      </c>
      <c r="C8" s="11" t="s">
        <v>2578</v>
      </c>
      <c r="D8" s="11"/>
      <c r="E8" s="11"/>
      <c r="F8" s="11"/>
      <c r="G8" s="11"/>
      <c r="H8" s="11"/>
      <c r="I8" s="11"/>
      <c r="J8" s="11"/>
    </row>
    <row r="9" spans="1:10" ht="22" customHeight="1">
      <c r="B9" s="10" t="s">
        <v>2579</v>
      </c>
      <c r="C9" s="11" t="s">
        <v>2580</v>
      </c>
      <c r="D9" s="11"/>
      <c r="E9" s="11"/>
      <c r="F9" s="11"/>
      <c r="G9" s="11"/>
      <c r="H9" s="11"/>
      <c r="I9" s="11"/>
      <c r="J9" s="11"/>
    </row>
    <row r="10" spans="1:10" ht="22" customHeight="1">
      <c r="B10" s="10" t="s">
        <v>2581</v>
      </c>
      <c r="C10" s="11" t="s">
        <v>2582</v>
      </c>
      <c r="D10" s="11"/>
      <c r="E10" s="11"/>
      <c r="F10" s="11"/>
      <c r="G10" s="11"/>
      <c r="H10" s="11"/>
      <c r="I10" s="11"/>
      <c r="J10" s="11"/>
    </row>
    <row r="11" spans="1:10" ht="22" customHeight="1">
      <c r="B11" s="10" t="s">
        <v>2583</v>
      </c>
      <c r="C11" s="11" t="s">
        <v>2584</v>
      </c>
      <c r="D11" s="11"/>
      <c r="E11" s="11"/>
      <c r="F11" s="11"/>
      <c r="G11" s="11"/>
      <c r="H11" s="11"/>
      <c r="I11" s="11"/>
      <c r="J11" s="11"/>
    </row>
    <row r="12" spans="1:10" ht="22" customHeight="1">
      <c r="B12" s="10" t="s">
        <v>2585</v>
      </c>
      <c r="C12" s="11" t="s">
        <v>2586</v>
      </c>
      <c r="D12" s="11"/>
      <c r="E12" s="11"/>
      <c r="F12" s="11"/>
      <c r="G12" s="11"/>
      <c r="H12" s="11"/>
      <c r="I12" s="11"/>
      <c r="J12" s="11"/>
    </row>
    <row r="13" spans="1:10" ht="22" customHeight="1">
      <c r="B13" s="10" t="s">
        <v>2587</v>
      </c>
      <c r="C13" s="11" t="s">
        <v>2588</v>
      </c>
      <c r="D13" s="11"/>
      <c r="E13" s="11"/>
      <c r="F13" s="11"/>
      <c r="G13" s="11"/>
      <c r="H13" s="11"/>
      <c r="I13" s="11"/>
      <c r="J13" s="11"/>
    </row>
    <row r="14" spans="1:10" ht="22" customHeight="1">
      <c r="B14" s="10" t="s">
        <v>2589</v>
      </c>
      <c r="C14" s="11" t="s">
        <v>2590</v>
      </c>
      <c r="D14" s="11"/>
      <c r="E14" s="11"/>
      <c r="F14" s="11"/>
      <c r="G14" s="11"/>
      <c r="H14" s="11"/>
      <c r="I14" s="11"/>
      <c r="J14" s="11"/>
    </row>
    <row r="16" spans="1:10" ht="20" customHeight="1">
      <c r="A16" s="7" t="s">
        <v>2591</v>
      </c>
      <c r="B16" s="7"/>
      <c r="C16" s="7"/>
      <c r="D16" s="7"/>
      <c r="E16" s="7"/>
      <c r="F16" s="7"/>
      <c r="G16" s="7"/>
      <c r="H16" s="7"/>
      <c r="I16" s="7"/>
      <c r="J16" s="7"/>
    </row>
    <row r="17" spans="2:10" ht="26" customHeight="1">
      <c r="B17" s="8" t="s">
        <v>2592</v>
      </c>
      <c r="C17" s="9" t="s">
        <v>1753</v>
      </c>
      <c r="D17" s="9" t="s">
        <v>2593</v>
      </c>
    </row>
    <row r="18" spans="2:10" ht="26" customHeight="1">
      <c r="B18" s="10" t="s">
        <v>2594</v>
      </c>
      <c r="C18" s="11" t="s">
        <v>2595</v>
      </c>
      <c r="D18" s="11"/>
      <c r="E18" s="11"/>
      <c r="F18" s="11"/>
      <c r="G18" s="12" t="s">
        <v>2596</v>
      </c>
      <c r="H18" s="12"/>
      <c r="I18" s="12"/>
      <c r="J18" s="12"/>
    </row>
    <row r="19" spans="2:10" ht="26" customHeight="1">
      <c r="B19" s="10" t="s">
        <v>2597</v>
      </c>
      <c r="C19" s="11" t="s">
        <v>2598</v>
      </c>
      <c r="D19" s="11"/>
      <c r="E19" s="11"/>
      <c r="F19" s="11"/>
      <c r="G19" s="12" t="s">
        <v>2599</v>
      </c>
      <c r="H19" s="12"/>
      <c r="I19" s="12"/>
      <c r="J19" s="12"/>
    </row>
    <row r="20" spans="2:10" ht="26" customHeight="1">
      <c r="B20" s="10" t="s">
        <v>2600</v>
      </c>
      <c r="C20" s="11" t="s">
        <v>2601</v>
      </c>
      <c r="D20" s="11"/>
      <c r="E20" s="11"/>
      <c r="F20" s="11"/>
      <c r="G20" s="12" t="s">
        <v>2602</v>
      </c>
      <c r="H20" s="12"/>
      <c r="I20" s="12"/>
      <c r="J20" s="12"/>
    </row>
    <row r="21" spans="2:10" ht="26" customHeight="1">
      <c r="B21" s="10" t="s">
        <v>2603</v>
      </c>
      <c r="C21" s="11" t="s">
        <v>2604</v>
      </c>
      <c r="D21" s="11"/>
      <c r="E21" s="11"/>
      <c r="F21" s="11"/>
      <c r="G21" s="12" t="s">
        <v>2605</v>
      </c>
      <c r="H21" s="12"/>
      <c r="I21" s="12"/>
      <c r="J21" s="12"/>
    </row>
    <row r="22" spans="2:10" ht="26" customHeight="1">
      <c r="B22" s="10" t="s">
        <v>2606</v>
      </c>
      <c r="C22" s="11" t="s">
        <v>2607</v>
      </c>
      <c r="D22" s="11"/>
      <c r="E22" s="11"/>
      <c r="F22" s="11"/>
      <c r="G22" s="12" t="s">
        <v>2608</v>
      </c>
      <c r="H22" s="12"/>
      <c r="I22" s="12"/>
      <c r="J22" s="12"/>
    </row>
    <row r="23" spans="2:10" ht="26" customHeight="1">
      <c r="B23" s="10" t="s">
        <v>2609</v>
      </c>
      <c r="C23" s="11" t="s">
        <v>2610</v>
      </c>
      <c r="D23" s="11"/>
      <c r="E23" s="11"/>
      <c r="F23" s="11"/>
      <c r="G23" s="12" t="s">
        <v>2611</v>
      </c>
      <c r="H23" s="12"/>
      <c r="I23" s="12"/>
      <c r="J23" s="12"/>
    </row>
    <row r="24" spans="2:10" ht="26" customHeight="1">
      <c r="B24" s="10" t="s">
        <v>2612</v>
      </c>
      <c r="C24" s="11" t="s">
        <v>2613</v>
      </c>
      <c r="D24" s="11"/>
      <c r="E24" s="11"/>
      <c r="F24" s="11"/>
      <c r="G24" s="12" t="s">
        <v>2614</v>
      </c>
      <c r="H24" s="12"/>
      <c r="I24" s="12"/>
      <c r="J24" s="12"/>
    </row>
    <row r="25" spans="2:10" ht="26" customHeight="1">
      <c r="B25" s="10" t="s">
        <v>2615</v>
      </c>
      <c r="C25" s="11" t="s">
        <v>2616</v>
      </c>
      <c r="D25" s="11"/>
      <c r="E25" s="11"/>
      <c r="F25" s="11"/>
      <c r="G25" s="12" t="s">
        <v>2617</v>
      </c>
      <c r="H25" s="12"/>
      <c r="I25" s="12"/>
      <c r="J25" s="12"/>
    </row>
    <row r="26" spans="2:10" ht="26" customHeight="1">
      <c r="B26" s="10" t="s">
        <v>2618</v>
      </c>
      <c r="C26" s="11" t="s">
        <v>2619</v>
      </c>
      <c r="D26" s="11"/>
      <c r="E26" s="11"/>
      <c r="F26" s="11"/>
      <c r="G26" s="12" t="s">
        <v>2620</v>
      </c>
      <c r="H26" s="12"/>
      <c r="I26" s="12"/>
      <c r="J26" s="12"/>
    </row>
    <row r="27" spans="2:10" ht="26" customHeight="1">
      <c r="B27" s="10" t="s">
        <v>2621</v>
      </c>
      <c r="C27" s="11" t="s">
        <v>2622</v>
      </c>
      <c r="D27" s="11"/>
      <c r="E27" s="11"/>
      <c r="F27" s="11"/>
      <c r="G27" s="12" t="s">
        <v>2623</v>
      </c>
      <c r="H27" s="12"/>
      <c r="I27" s="12"/>
      <c r="J27" s="12"/>
    </row>
    <row r="28" spans="2:10" ht="26" customHeight="1">
      <c r="B28" s="10" t="s">
        <v>2624</v>
      </c>
      <c r="C28" s="11" t="s">
        <v>2625</v>
      </c>
      <c r="D28" s="11"/>
      <c r="E28" s="11"/>
      <c r="F28" s="11"/>
      <c r="G28" s="12" t="s">
        <v>2626</v>
      </c>
      <c r="H28" s="12"/>
      <c r="I28" s="12"/>
      <c r="J28" s="12"/>
    </row>
    <row r="29" spans="2:10" ht="26" customHeight="1">
      <c r="B29" s="10" t="s">
        <v>2627</v>
      </c>
      <c r="C29" s="11" t="s">
        <v>2628</v>
      </c>
      <c r="D29" s="11"/>
      <c r="E29" s="11"/>
      <c r="F29" s="11"/>
      <c r="G29" s="12" t="s">
        <v>2629</v>
      </c>
      <c r="H29" s="12"/>
      <c r="I29" s="12"/>
      <c r="J29" s="12"/>
    </row>
    <row r="30" spans="2:10" ht="26" customHeight="1">
      <c r="B30" s="10" t="s">
        <v>2630</v>
      </c>
      <c r="C30" s="11" t="s">
        <v>2631</v>
      </c>
      <c r="D30" s="11"/>
      <c r="E30" s="11"/>
      <c r="F30" s="11"/>
      <c r="G30" s="12" t="s">
        <v>2632</v>
      </c>
      <c r="H30" s="12"/>
      <c r="I30" s="12"/>
      <c r="J30" s="12"/>
    </row>
    <row r="31" spans="2:10" ht="26" customHeight="1">
      <c r="B31" s="10" t="s">
        <v>2633</v>
      </c>
      <c r="C31" s="11" t="s">
        <v>2634</v>
      </c>
      <c r="D31" s="11"/>
      <c r="E31" s="11"/>
      <c r="F31" s="11"/>
      <c r="G31" s="12" t="s">
        <v>2635</v>
      </c>
      <c r="H31" s="12"/>
      <c r="I31" s="12"/>
      <c r="J31" s="12"/>
    </row>
    <row r="33" spans="1:10" ht="20" customHeight="1">
      <c r="A33" s="7" t="s">
        <v>2636</v>
      </c>
      <c r="B33" s="7"/>
      <c r="C33" s="7"/>
      <c r="D33" s="7"/>
      <c r="E33" s="7"/>
      <c r="F33" s="7"/>
      <c r="G33" s="7"/>
      <c r="H33" s="7"/>
      <c r="I33" s="7"/>
      <c r="J33" s="7"/>
    </row>
    <row r="34" spans="1:10" ht="26" customHeight="1">
      <c r="B34" s="8" t="s">
        <v>2637</v>
      </c>
      <c r="C34" s="9" t="s">
        <v>2638</v>
      </c>
    </row>
    <row r="35" spans="1:10" ht="24" customHeight="1">
      <c r="B35" s="10" t="s">
        <v>2639</v>
      </c>
      <c r="C35" s="11" t="s">
        <v>2640</v>
      </c>
      <c r="D35" s="11"/>
      <c r="E35" s="11"/>
      <c r="F35" s="11"/>
      <c r="G35" s="11"/>
      <c r="H35" s="11"/>
      <c r="I35" s="11"/>
      <c r="J35" s="11"/>
    </row>
    <row r="36" spans="1:10" ht="24" customHeight="1">
      <c r="B36" s="10" t="s">
        <v>408</v>
      </c>
      <c r="C36" s="11" t="s">
        <v>2641</v>
      </c>
      <c r="D36" s="11"/>
      <c r="E36" s="11"/>
      <c r="F36" s="11"/>
      <c r="G36" s="11"/>
      <c r="H36" s="11"/>
      <c r="I36" s="11"/>
      <c r="J36" s="11"/>
    </row>
    <row r="37" spans="1:10" ht="24" customHeight="1">
      <c r="B37" s="10" t="s">
        <v>2642</v>
      </c>
      <c r="C37" s="11" t="s">
        <v>2643</v>
      </c>
      <c r="D37" s="11"/>
      <c r="E37" s="11"/>
      <c r="F37" s="11"/>
      <c r="G37" s="11"/>
      <c r="H37" s="11"/>
      <c r="I37" s="11"/>
      <c r="J37" s="11"/>
    </row>
    <row r="38" spans="1:10" ht="24" customHeight="1">
      <c r="B38" s="10" t="s">
        <v>1387</v>
      </c>
      <c r="C38" s="11" t="s">
        <v>2644</v>
      </c>
      <c r="D38" s="11"/>
      <c r="E38" s="11"/>
      <c r="F38" s="11"/>
      <c r="G38" s="11"/>
      <c r="H38" s="11"/>
      <c r="I38" s="11"/>
      <c r="J38" s="11"/>
    </row>
    <row r="39" spans="1:10" ht="24" customHeight="1">
      <c r="B39" s="10" t="s">
        <v>2645</v>
      </c>
      <c r="C39" s="11" t="s">
        <v>2646</v>
      </c>
      <c r="D39" s="11"/>
      <c r="E39" s="11"/>
      <c r="F39" s="11"/>
      <c r="G39" s="11"/>
      <c r="H39" s="11"/>
      <c r="I39" s="11"/>
      <c r="J39" s="11"/>
    </row>
    <row r="40" spans="1:10" ht="24" customHeight="1">
      <c r="B40" s="10" t="s">
        <v>1384</v>
      </c>
      <c r="C40" s="11" t="s">
        <v>2647</v>
      </c>
      <c r="D40" s="11"/>
      <c r="E40" s="11"/>
      <c r="F40" s="11"/>
      <c r="G40" s="11"/>
      <c r="H40" s="11"/>
      <c r="I40" s="11"/>
      <c r="J40" s="11"/>
    </row>
    <row r="41" spans="1:10" ht="24" customHeight="1">
      <c r="B41" s="10" t="s">
        <v>513</v>
      </c>
      <c r="C41" s="11" t="s">
        <v>2648</v>
      </c>
      <c r="D41" s="11"/>
      <c r="E41" s="11"/>
      <c r="F41" s="11"/>
      <c r="G41" s="11"/>
      <c r="H41" s="11"/>
      <c r="I41" s="11"/>
      <c r="J41" s="11"/>
    </row>
    <row r="42" spans="1:10" ht="24" customHeight="1">
      <c r="B42" s="10" t="s">
        <v>483</v>
      </c>
      <c r="C42" s="11" t="s">
        <v>2649</v>
      </c>
      <c r="D42" s="11"/>
      <c r="E42" s="11"/>
      <c r="F42" s="11"/>
      <c r="G42" s="11"/>
      <c r="H42" s="11"/>
      <c r="I42" s="11"/>
      <c r="J42" s="11"/>
    </row>
    <row r="43" spans="1:10" ht="24" customHeight="1">
      <c r="B43" s="10" t="s">
        <v>1696</v>
      </c>
      <c r="C43" s="11" t="s">
        <v>2650</v>
      </c>
      <c r="D43" s="11"/>
      <c r="E43" s="11"/>
      <c r="F43" s="11"/>
      <c r="G43" s="11"/>
      <c r="H43" s="11"/>
      <c r="I43" s="11"/>
      <c r="J43" s="11"/>
    </row>
    <row r="44" spans="1:10" ht="24" customHeight="1">
      <c r="B44" s="10" t="s">
        <v>2651</v>
      </c>
      <c r="C44" s="11" t="s">
        <v>2652</v>
      </c>
      <c r="D44" s="11"/>
      <c r="E44" s="11"/>
      <c r="F44" s="11"/>
      <c r="G44" s="11"/>
      <c r="H44" s="11"/>
      <c r="I44" s="11"/>
      <c r="J44" s="11"/>
    </row>
    <row r="45" spans="1:10" ht="24" customHeight="1">
      <c r="B45" s="10" t="s">
        <v>2653</v>
      </c>
      <c r="C45" s="11" t="s">
        <v>2654</v>
      </c>
      <c r="D45" s="11"/>
      <c r="E45" s="11"/>
      <c r="F45" s="11"/>
      <c r="G45" s="11"/>
      <c r="H45" s="11"/>
      <c r="I45" s="11"/>
      <c r="J45" s="11"/>
    </row>
    <row r="46" spans="1:10" ht="24" customHeight="1">
      <c r="B46" s="10" t="s">
        <v>2655</v>
      </c>
      <c r="C46" s="11" t="s">
        <v>2656</v>
      </c>
      <c r="D46" s="11"/>
      <c r="E46" s="11"/>
      <c r="F46" s="11"/>
      <c r="G46" s="11"/>
      <c r="H46" s="11"/>
      <c r="I46" s="11"/>
      <c r="J46" s="11"/>
    </row>
    <row r="48" spans="1:10" ht="20" customHeight="1">
      <c r="A48" s="7" t="s">
        <v>2657</v>
      </c>
      <c r="B48" s="7"/>
      <c r="C48" s="7"/>
      <c r="D48" s="7"/>
      <c r="E48" s="7"/>
      <c r="F48" s="7"/>
      <c r="G48" s="7"/>
      <c r="H48" s="7"/>
      <c r="I48" s="7"/>
      <c r="J48" s="7"/>
    </row>
    <row r="49" spans="2:10" ht="26" customHeight="1">
      <c r="B49" s="8" t="s">
        <v>2658</v>
      </c>
      <c r="C49" s="9" t="s">
        <v>2659</v>
      </c>
    </row>
    <row r="50" spans="2:10" ht="20" customHeight="1">
      <c r="B50" s="11" t="s">
        <v>2660</v>
      </c>
      <c r="C50" s="11"/>
      <c r="D50" s="11"/>
      <c r="E50" s="11"/>
      <c r="F50" s="11"/>
      <c r="G50" s="10" t="s">
        <v>19</v>
      </c>
      <c r="H50" s="10"/>
      <c r="I50" s="10"/>
      <c r="J50" s="10"/>
    </row>
    <row r="51" spans="2:10" ht="20" customHeight="1">
      <c r="B51" s="11" t="s">
        <v>2661</v>
      </c>
      <c r="C51" s="11"/>
      <c r="D51" s="11"/>
      <c r="E51" s="11"/>
      <c r="F51" s="11"/>
      <c r="G51" s="10" t="s">
        <v>2662</v>
      </c>
      <c r="H51" s="10"/>
      <c r="I51" s="10"/>
      <c r="J51" s="10"/>
    </row>
    <row r="52" spans="2:10" ht="20" customHeight="1">
      <c r="B52" s="11" t="s">
        <v>2663</v>
      </c>
      <c r="C52" s="11"/>
      <c r="D52" s="11"/>
      <c r="E52" s="11"/>
      <c r="F52" s="11"/>
      <c r="G52" s="10" t="s">
        <v>2664</v>
      </c>
      <c r="H52" s="10"/>
      <c r="I52" s="10"/>
      <c r="J52" s="10"/>
    </row>
    <row r="53" spans="2:10" ht="20" customHeight="1">
      <c r="B53" s="11" t="s">
        <v>2665</v>
      </c>
      <c r="C53" s="11"/>
      <c r="D53" s="11"/>
      <c r="E53" s="11"/>
      <c r="F53" s="11"/>
      <c r="G53" s="10" t="s">
        <v>25</v>
      </c>
      <c r="H53" s="10"/>
      <c r="I53" s="10"/>
      <c r="J53" s="10"/>
    </row>
    <row r="54" spans="2:10" ht="20" customHeight="1">
      <c r="B54" s="11" t="s">
        <v>2666</v>
      </c>
      <c r="C54" s="11"/>
      <c r="D54" s="11"/>
      <c r="E54" s="11"/>
      <c r="F54" s="11"/>
      <c r="G54" s="10" t="s">
        <v>64</v>
      </c>
      <c r="H54" s="10"/>
      <c r="I54" s="10"/>
      <c r="J54" s="10"/>
    </row>
    <row r="55" spans="2:10" ht="20" customHeight="1">
      <c r="B55" s="11" t="s">
        <v>2667</v>
      </c>
      <c r="C55" s="11"/>
      <c r="D55" s="11"/>
      <c r="E55" s="11"/>
      <c r="F55" s="11"/>
      <c r="G55" s="10" t="s">
        <v>76</v>
      </c>
      <c r="H55" s="10"/>
      <c r="I55" s="10"/>
      <c r="J55" s="10"/>
    </row>
    <row r="56" spans="2:10" ht="20" customHeight="1">
      <c r="B56" s="11" t="s">
        <v>2668</v>
      </c>
      <c r="C56" s="11"/>
      <c r="D56" s="11"/>
      <c r="E56" s="11"/>
      <c r="F56" s="11"/>
      <c r="G56" s="10" t="s">
        <v>49</v>
      </c>
      <c r="H56" s="10"/>
      <c r="I56" s="10"/>
      <c r="J56" s="10"/>
    </row>
    <row r="57" spans="2:10" ht="20" customHeight="1">
      <c r="B57" s="11" t="s">
        <v>2669</v>
      </c>
      <c r="C57" s="11"/>
      <c r="D57" s="11"/>
      <c r="E57" s="11"/>
      <c r="F57" s="11"/>
      <c r="G57" s="10" t="s">
        <v>2670</v>
      </c>
      <c r="H57" s="10"/>
      <c r="I57" s="10"/>
      <c r="J57" s="10"/>
    </row>
    <row r="58" spans="2:10" ht="20" customHeight="1">
      <c r="B58" s="11" t="s">
        <v>2671</v>
      </c>
      <c r="C58" s="11"/>
      <c r="D58" s="11"/>
      <c r="E58" s="11"/>
      <c r="F58" s="11"/>
      <c r="G58" s="10" t="s">
        <v>43</v>
      </c>
      <c r="H58" s="10"/>
      <c r="I58" s="10"/>
      <c r="J58" s="10"/>
    </row>
    <row r="59" spans="2:10" ht="20" customHeight="1">
      <c r="B59" s="11" t="s">
        <v>2672</v>
      </c>
      <c r="C59" s="11"/>
      <c r="D59" s="11"/>
      <c r="E59" s="11"/>
      <c r="F59" s="11"/>
      <c r="G59" s="10" t="s">
        <v>2673</v>
      </c>
      <c r="H59" s="10"/>
      <c r="I59" s="10"/>
      <c r="J59" s="10"/>
    </row>
    <row r="60" spans="2:10" ht="20" customHeight="1">
      <c r="B60" s="11" t="s">
        <v>2674</v>
      </c>
      <c r="C60" s="11"/>
      <c r="D60" s="11"/>
      <c r="E60" s="11"/>
      <c r="F60" s="11"/>
      <c r="G60" s="10" t="s">
        <v>52</v>
      </c>
      <c r="H60" s="10"/>
      <c r="I60" s="10"/>
      <c r="J60" s="10"/>
    </row>
    <row r="61" spans="2:10" ht="20" customHeight="1">
      <c r="B61" s="11" t="s">
        <v>2675</v>
      </c>
      <c r="C61" s="11"/>
      <c r="D61" s="11"/>
      <c r="E61" s="11"/>
      <c r="F61" s="11"/>
      <c r="G61" s="10" t="s">
        <v>2676</v>
      </c>
      <c r="H61" s="10"/>
      <c r="I61" s="10"/>
      <c r="J61" s="10"/>
    </row>
    <row r="62" spans="2:10" ht="20" customHeight="1">
      <c r="B62" s="11" t="s">
        <v>2677</v>
      </c>
      <c r="C62" s="11"/>
      <c r="D62" s="11"/>
      <c r="E62" s="11"/>
      <c r="F62" s="11"/>
      <c r="G62" s="10" t="s">
        <v>2678</v>
      </c>
      <c r="H62" s="10"/>
      <c r="I62" s="10"/>
      <c r="J62" s="10"/>
    </row>
    <row r="63" spans="2:10" ht="20" customHeight="1">
      <c r="B63" s="11" t="s">
        <v>2679</v>
      </c>
      <c r="C63" s="11"/>
      <c r="D63" s="11"/>
      <c r="E63" s="11"/>
      <c r="F63" s="11"/>
      <c r="G63" s="10" t="s">
        <v>1758</v>
      </c>
      <c r="H63" s="10"/>
      <c r="I63" s="10"/>
      <c r="J63" s="10"/>
    </row>
    <row r="64" spans="2:10" ht="20" customHeight="1">
      <c r="B64" s="11" t="s">
        <v>2680</v>
      </c>
      <c r="C64" s="11"/>
      <c r="D64" s="11"/>
      <c r="E64" s="11"/>
      <c r="F64" s="11"/>
      <c r="G64" s="10" t="s">
        <v>1922</v>
      </c>
      <c r="H64" s="10"/>
      <c r="I64" s="10"/>
      <c r="J64" s="10"/>
    </row>
    <row r="65" spans="1:10" ht="20" customHeight="1">
      <c r="B65" s="11" t="s">
        <v>2681</v>
      </c>
      <c r="C65" s="11"/>
      <c r="D65" s="11"/>
      <c r="E65" s="11"/>
      <c r="F65" s="11"/>
      <c r="G65" s="10" t="s">
        <v>70</v>
      </c>
      <c r="H65" s="10"/>
      <c r="I65" s="10"/>
      <c r="J65" s="10"/>
    </row>
    <row r="66" spans="1:10" ht="20" customHeight="1">
      <c r="B66" s="11" t="s">
        <v>2682</v>
      </c>
      <c r="C66" s="11"/>
      <c r="D66" s="11"/>
      <c r="E66" s="11"/>
      <c r="F66" s="11"/>
      <c r="G66" s="10" t="s">
        <v>73</v>
      </c>
      <c r="H66" s="10"/>
      <c r="I66" s="10"/>
      <c r="J66" s="10"/>
    </row>
    <row r="67" spans="1:10" ht="20" customHeight="1">
      <c r="B67" s="11" t="s">
        <v>2683</v>
      </c>
      <c r="C67" s="11"/>
      <c r="D67" s="11"/>
      <c r="E67" s="11"/>
      <c r="F67" s="11"/>
      <c r="G67" s="10" t="s">
        <v>2684</v>
      </c>
      <c r="H67" s="10"/>
      <c r="I67" s="10"/>
      <c r="J67" s="10"/>
    </row>
    <row r="68" spans="1:10" ht="20" customHeight="1">
      <c r="B68" s="11" t="s">
        <v>2685</v>
      </c>
      <c r="C68" s="11"/>
      <c r="D68" s="11"/>
      <c r="E68" s="11"/>
      <c r="F68" s="11"/>
      <c r="G68" s="10" t="s">
        <v>2686</v>
      </c>
      <c r="H68" s="10"/>
      <c r="I68" s="10"/>
      <c r="J68" s="10"/>
    </row>
    <row r="69" spans="1:10" ht="20" customHeight="1">
      <c r="B69" s="11" t="s">
        <v>2687</v>
      </c>
      <c r="C69" s="11"/>
      <c r="D69" s="11"/>
      <c r="E69" s="11"/>
      <c r="F69" s="11"/>
      <c r="G69" s="10" t="s">
        <v>82</v>
      </c>
      <c r="H69" s="10"/>
      <c r="I69" s="10"/>
      <c r="J69" s="10"/>
    </row>
    <row r="71" spans="1:10" ht="20" customHeight="1">
      <c r="A71" s="7" t="s">
        <v>2688</v>
      </c>
      <c r="B71" s="7"/>
      <c r="C71" s="7"/>
      <c r="D71" s="7"/>
      <c r="E71" s="7"/>
      <c r="F71" s="7"/>
      <c r="G71" s="7"/>
      <c r="H71" s="7"/>
      <c r="I71" s="7"/>
      <c r="J71" s="7"/>
    </row>
    <row r="72" spans="1:10" ht="26" customHeight="1">
      <c r="B72" s="8" t="s">
        <v>152</v>
      </c>
      <c r="C72" s="9" t="s">
        <v>153</v>
      </c>
    </row>
    <row r="73" spans="1:10" ht="26" customHeight="1">
      <c r="B73" s="10" t="s">
        <v>2689</v>
      </c>
      <c r="C73" s="11" t="s">
        <v>2690</v>
      </c>
      <c r="D73" s="11"/>
      <c r="E73" s="11"/>
      <c r="F73" s="11"/>
      <c r="G73" s="11"/>
      <c r="H73" s="11"/>
      <c r="I73" s="11"/>
      <c r="J73" s="11"/>
    </row>
    <row r="74" spans="1:10" ht="26" customHeight="1">
      <c r="B74" s="10" t="s">
        <v>2691</v>
      </c>
      <c r="C74" s="11" t="s">
        <v>2692</v>
      </c>
      <c r="D74" s="11"/>
      <c r="E74" s="11"/>
      <c r="F74" s="11"/>
      <c r="G74" s="11"/>
      <c r="H74" s="11"/>
      <c r="I74" s="11"/>
      <c r="J74" s="11"/>
    </row>
    <row r="75" spans="1:10" ht="26" customHeight="1">
      <c r="B75" s="10" t="s">
        <v>2693</v>
      </c>
      <c r="C75" s="11" t="s">
        <v>2694</v>
      </c>
      <c r="D75" s="11"/>
      <c r="E75" s="11"/>
      <c r="F75" s="11"/>
      <c r="G75" s="11"/>
      <c r="H75" s="11"/>
      <c r="I75" s="11"/>
      <c r="J75" s="11"/>
    </row>
    <row r="76" spans="1:10" ht="26" customHeight="1">
      <c r="B76" s="10" t="s">
        <v>2695</v>
      </c>
      <c r="C76" s="11" t="s">
        <v>2696</v>
      </c>
      <c r="D76" s="11"/>
      <c r="E76" s="11"/>
      <c r="F76" s="11"/>
      <c r="G76" s="11"/>
      <c r="H76" s="11"/>
      <c r="I76" s="11"/>
      <c r="J76" s="11"/>
    </row>
    <row r="77" spans="1:10" ht="26" customHeight="1">
      <c r="B77" s="10" t="s">
        <v>2697</v>
      </c>
      <c r="C77" s="11" t="s">
        <v>2698</v>
      </c>
      <c r="D77" s="11"/>
      <c r="E77" s="11"/>
      <c r="F77" s="11"/>
      <c r="G77" s="11"/>
      <c r="H77" s="11"/>
      <c r="I77" s="11"/>
      <c r="J77" s="11"/>
    </row>
    <row r="78" spans="1:10" ht="26" customHeight="1">
      <c r="B78" s="10" t="s">
        <v>2699</v>
      </c>
      <c r="C78" s="11" t="s">
        <v>2700</v>
      </c>
      <c r="D78" s="11"/>
      <c r="E78" s="11"/>
      <c r="F78" s="11"/>
      <c r="G78" s="11"/>
      <c r="H78" s="11"/>
      <c r="I78" s="11"/>
      <c r="J78" s="11"/>
    </row>
    <row r="79" spans="1:10" ht="26" customHeight="1">
      <c r="B79" s="10" t="s">
        <v>2701</v>
      </c>
      <c r="C79" s="11" t="s">
        <v>2702</v>
      </c>
      <c r="D79" s="11"/>
      <c r="E79" s="11"/>
      <c r="F79" s="11"/>
      <c r="G79" s="11"/>
      <c r="H79" s="11"/>
      <c r="I79" s="11"/>
      <c r="J79" s="11"/>
    </row>
    <row r="80" spans="1:10" ht="26" customHeight="1">
      <c r="B80" s="10" t="s">
        <v>2703</v>
      </c>
      <c r="C80" s="11" t="s">
        <v>2704</v>
      </c>
      <c r="D80" s="11"/>
      <c r="E80" s="11"/>
      <c r="F80" s="11"/>
      <c r="G80" s="11"/>
      <c r="H80" s="11"/>
      <c r="I80" s="11"/>
      <c r="J80" s="11"/>
    </row>
    <row r="82" spans="2:10" ht="34" customHeight="1">
      <c r="B82" s="6" t="s">
        <v>2705</v>
      </c>
      <c r="C82" s="6"/>
      <c r="D82" s="6"/>
      <c r="E82" s="6"/>
      <c r="F82" s="6"/>
      <c r="G82" s="6"/>
      <c r="H82" s="6"/>
      <c r="I82" s="6"/>
      <c r="J82" s="6"/>
    </row>
  </sheetData>
  <sheetProtection password="EC7C" sheet="1" objects="1" scenarios="1" formatCells="0" formatColumns="0" formatRows="0" insertRows="0" insertHyperlinks="0" deleteRows="0" autoFilter="0"/>
  <mergeCells count="110">
    <mergeCell ref="A1:G1"/>
    <mergeCell ref="H1:J1"/>
    <mergeCell ref="A2:J2"/>
    <mergeCell ref="A3:B3"/>
    <mergeCell ref="C3:D3"/>
    <mergeCell ref="E3:F3"/>
    <mergeCell ref="G3:H3"/>
    <mergeCell ref="I3:J3"/>
    <mergeCell ref="A5:J5"/>
    <mergeCell ref="C7:J7"/>
    <mergeCell ref="C8:J8"/>
    <mergeCell ref="C9:J9"/>
    <mergeCell ref="C10:J10"/>
    <mergeCell ref="C11:J11"/>
    <mergeCell ref="C12:J12"/>
    <mergeCell ref="C13:J13"/>
    <mergeCell ref="C14:J14"/>
    <mergeCell ref="A16:J16"/>
    <mergeCell ref="C18:F18"/>
    <mergeCell ref="G18:J18"/>
    <mergeCell ref="C19:F19"/>
    <mergeCell ref="G19:J19"/>
    <mergeCell ref="C20:F20"/>
    <mergeCell ref="G20:J20"/>
    <mergeCell ref="C21:F21"/>
    <mergeCell ref="G21:J21"/>
    <mergeCell ref="C22:F22"/>
    <mergeCell ref="G22:J22"/>
    <mergeCell ref="C23:F23"/>
    <mergeCell ref="G23:J23"/>
    <mergeCell ref="C24:F24"/>
    <mergeCell ref="G24:J24"/>
    <mergeCell ref="C25:F25"/>
    <mergeCell ref="G25:J25"/>
    <mergeCell ref="C26:F26"/>
    <mergeCell ref="G26:J26"/>
    <mergeCell ref="C27:F27"/>
    <mergeCell ref="G27:J27"/>
    <mergeCell ref="C28:F28"/>
    <mergeCell ref="G28:J28"/>
    <mergeCell ref="C29:F29"/>
    <mergeCell ref="G29:J29"/>
    <mergeCell ref="C30:F30"/>
    <mergeCell ref="G30:J30"/>
    <mergeCell ref="C31:F31"/>
    <mergeCell ref="G31:J31"/>
    <mergeCell ref="A33:J33"/>
    <mergeCell ref="C35:J35"/>
    <mergeCell ref="C36:J36"/>
    <mergeCell ref="C37:J37"/>
    <mergeCell ref="C38:J38"/>
    <mergeCell ref="C39:J39"/>
    <mergeCell ref="C40:J40"/>
    <mergeCell ref="C41:J41"/>
    <mergeCell ref="C42:J42"/>
    <mergeCell ref="C43:J43"/>
    <mergeCell ref="C44:J44"/>
    <mergeCell ref="C45:J45"/>
    <mergeCell ref="C46:J46"/>
    <mergeCell ref="A48:J48"/>
    <mergeCell ref="B50:F50"/>
    <mergeCell ref="G50:J50"/>
    <mergeCell ref="B51:F51"/>
    <mergeCell ref="G51:J51"/>
    <mergeCell ref="B52:F52"/>
    <mergeCell ref="G52:J52"/>
    <mergeCell ref="B53:F53"/>
    <mergeCell ref="G53:J53"/>
    <mergeCell ref="B54:F54"/>
    <mergeCell ref="G54:J54"/>
    <mergeCell ref="B55:F55"/>
    <mergeCell ref="G55:J55"/>
    <mergeCell ref="B56:F56"/>
    <mergeCell ref="G56:J56"/>
    <mergeCell ref="B57:F57"/>
    <mergeCell ref="G57:J57"/>
    <mergeCell ref="B58:F58"/>
    <mergeCell ref="G58:J58"/>
    <mergeCell ref="B59:F59"/>
    <mergeCell ref="G59:J59"/>
    <mergeCell ref="B60:F60"/>
    <mergeCell ref="G60:J60"/>
    <mergeCell ref="B61:F61"/>
    <mergeCell ref="G61:J61"/>
    <mergeCell ref="B62:F62"/>
    <mergeCell ref="G62:J62"/>
    <mergeCell ref="B63:F63"/>
    <mergeCell ref="G63:J63"/>
    <mergeCell ref="B64:F64"/>
    <mergeCell ref="G64:J64"/>
    <mergeCell ref="B65:F65"/>
    <mergeCell ref="G65:J65"/>
    <mergeCell ref="B66:F66"/>
    <mergeCell ref="G66:J66"/>
    <mergeCell ref="B67:F67"/>
    <mergeCell ref="G67:J67"/>
    <mergeCell ref="B68:F68"/>
    <mergeCell ref="G68:J68"/>
    <mergeCell ref="B69:F69"/>
    <mergeCell ref="G69:J69"/>
    <mergeCell ref="A71:J71"/>
    <mergeCell ref="C73:J73"/>
    <mergeCell ref="C74:J74"/>
    <mergeCell ref="C75:J75"/>
    <mergeCell ref="C76:J76"/>
    <mergeCell ref="C77:J77"/>
    <mergeCell ref="C78:J78"/>
    <mergeCell ref="C79:J79"/>
    <mergeCell ref="C80:J80"/>
    <mergeCell ref="B82:J82"/>
  </mergeCells>
  <hyperlinks>
    <hyperlink ref="A3" location="'Start Here'!A1" display="&gt; Start Here"/>
    <hyperlink ref="C3" location="Dashboard!A1" display="&gt; Dashboard"/>
    <hyperlink ref="E3" location="Clients!A1" display="&gt; Clients"/>
    <hyperlink ref="G3" location="Jobs!A1" display="&gt; Jobs"/>
    <hyperlink ref="I3" location="Calendar!A1" display="&gt; Calendar"/>
  </hyperlinks>
  <pageMargins left="0.4" right="0.4" top="0.6" bottom="0.5" header="0.3" footer="0.3"/>
  <pageSetup paperSize="9" fitToHeight="0" orientation="landscape"/>
  <headerFooter>
    <oddHeader>&amp;L&amp;"Calibri,Bold"&amp;12&amp;C&amp;"Calibri,Bold"&amp;11Help&amp;R&amp;"Calibri,Italic"&amp;9Cleaning Business CRM &amp; Pricing Calculator</oddHeader>
    <oddFooter>&amp;L&amp;"Calibri,Italic"&amp;8Novality Store - v1.0.0&amp;C&amp;"Calibri,Italic"&amp;8Page &amp;P of &amp;N&amp;R&amp;"Calibri,Italic"&amp;8&amp;D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290</vt:i4>
      </vt:variant>
    </vt:vector>
  </HeadingPairs>
  <TitlesOfParts>
    <vt:vector size="327" baseType="lpstr">
      <vt:lpstr>Start Here</vt:lpstr>
      <vt:lpstr>Settings</vt:lpstr>
      <vt:lpstr>Dashboard</vt:lpstr>
      <vt:lpstr>Quote Calculator</vt:lpstr>
      <vt:lpstr>Clients</vt:lpstr>
      <vt:lpstr>Properties</vt:lpstr>
      <vt:lpstr>Leads</vt:lpstr>
      <vt:lpstr>Services</vt:lpstr>
      <vt:lpstr>Quotes</vt:lpstr>
      <vt:lpstr>Quote Lines</vt:lpstr>
      <vt:lpstr>Jobs</vt:lpstr>
      <vt:lpstr>Job Tasks</vt:lpstr>
      <vt:lpstr>Calendar</vt:lpstr>
      <vt:lpstr>Checklists</vt:lpstr>
      <vt:lpstr>Employees</vt:lpstr>
      <vt:lpstr>Staff Schedule</vt:lpstr>
      <vt:lpstr>Timesheets</vt:lpstr>
      <vt:lpstr>Job Costing</vt:lpstr>
      <vt:lpstr>Invoices</vt:lpstr>
      <vt:lpstr>Invoice Lines</vt:lpstr>
      <vt:lpstr>Payments</vt:lpstr>
      <vt:lpstr>Supplies</vt:lpstr>
      <vt:lpstr>Supply Usage</vt:lpstr>
      <vt:lpstr>Equipment</vt:lpstr>
      <vt:lpstr>Expenses</vt:lpstr>
      <vt:lpstr>Mileage</vt:lpstr>
      <vt:lpstr>Client Retention</vt:lpstr>
      <vt:lpstr>Complaints</vt:lpstr>
      <vt:lpstr>Incidents</vt:lpstr>
      <vt:lpstr>Safety</vt:lpstr>
      <vt:lpstr>Financial Plan</vt:lpstr>
      <vt:lpstr>Reports</vt:lpstr>
      <vt:lpstr>Print Quote</vt:lpstr>
      <vt:lpstr>Print Invoice</vt:lpstr>
      <vt:lpstr>Print Job Sheet</vt:lpstr>
      <vt:lpstr>Lists</vt:lpstr>
      <vt:lpstr>Help</vt:lpstr>
      <vt:lpstr>AccessList</vt:lpstr>
      <vt:lpstr>AnnualRevenueTarget</vt:lpstr>
      <vt:lpstr>AreaUnit</vt:lpstr>
      <vt:lpstr>AreaUnitList</vt:lpstr>
      <vt:lpstr>AttendanceList</vt:lpstr>
      <vt:lpstr>BillingCycleList</vt:lpstr>
      <vt:lpstr>BizAddress</vt:lpstr>
      <vt:lpstr>BizArea</vt:lpstr>
      <vt:lpstr>BizEmail</vt:lpstr>
      <vt:lpstr>BizInsurance</vt:lpstr>
      <vt:lpstr>BizName</vt:lpstr>
      <vt:lpstr>BizOwner</vt:lpstr>
      <vt:lpstr>BizPayDetails</vt:lpstr>
      <vt:lpstr>BizPhone</vt:lpstr>
      <vt:lpstr>BizRegNo</vt:lpstr>
      <vt:lpstr>BizTagline</vt:lpstr>
      <vt:lpstr>BizWebsite</vt:lpstr>
      <vt:lpstr>CalloutFee</vt:lpstr>
      <vt:lpstr>CalStart</vt:lpstr>
      <vt:lpstr>CertWarningDays</vt:lpstr>
      <vt:lpstr>CleanersPerJob</vt:lpstr>
      <vt:lpstr>ClientIDs</vt:lpstr>
      <vt:lpstr>ClientNames</vt:lpstr>
      <vt:lpstr>ClientPrefix</vt:lpstr>
      <vt:lpstr>ClientStatusList</vt:lpstr>
      <vt:lpstr>ClientTypeList</vt:lpstr>
      <vt:lpstr>ComplaintPrefix</vt:lpstr>
      <vt:lpstr>ComplaintStatusList</vt:lpstr>
      <vt:lpstr>ComplaintTypeList</vt:lpstr>
      <vt:lpstr>ConditionFactors</vt:lpstr>
      <vt:lpstr>ConditionList</vt:lpstr>
      <vt:lpstr>ConditionNames</vt:lpstr>
      <vt:lpstr>ContractStatusList</vt:lpstr>
      <vt:lpstr>ContractTermList</vt:lpstr>
      <vt:lpstr>CostPerHour</vt:lpstr>
      <vt:lpstr>DashKey</vt:lpstr>
      <vt:lpstr>DashMonth</vt:lpstr>
      <vt:lpstr>DeepCleanUplift</vt:lpstr>
      <vt:lpstr>DepositPercent</vt:lpstr>
      <vt:lpstr>DistanceUnit</vt:lpstr>
      <vt:lpstr>DistanceUnitList</vt:lpstr>
      <vt:lpstr>DocStatusList</vt:lpstr>
      <vt:lpstr>EmployeeIDs</vt:lpstr>
      <vt:lpstr>EmployeeNames</vt:lpstr>
      <vt:lpstr>EmployeePrefix</vt:lpstr>
      <vt:lpstr>EmployeeRoleList</vt:lpstr>
      <vt:lpstr>EmployeeStatusList</vt:lpstr>
      <vt:lpstr>EmployerOncost</vt:lpstr>
      <vt:lpstr>EmploymentTypeList</vt:lpstr>
      <vt:lpstr>EquipmentNames</vt:lpstr>
      <vt:lpstr>EquipmentPrefix</vt:lpstr>
      <vt:lpstr>EquipmentStatusList</vt:lpstr>
      <vt:lpstr>EquipmentTypeList</vt:lpstr>
      <vt:lpstr>ExpenseCategoryList</vt:lpstr>
      <vt:lpstr>ExpenseMonths</vt:lpstr>
      <vt:lpstr>ExpensePrefix</vt:lpstr>
      <vt:lpstr>ExpenseTypeList</vt:lpstr>
      <vt:lpstr>FpAvgHours</vt:lpstr>
      <vt:lpstr>FpAvgJob</vt:lpstr>
      <vt:lpstr>FpBreakEvenHours</vt:lpstr>
      <vt:lpstr>FpBreakEvenJobs</vt:lpstr>
      <vt:lpstr>FpBreakEvenRevenue</vt:lpstr>
      <vt:lpstr>FpBreakEvenVerdict</vt:lpstr>
      <vt:lpstr>FpClientJobs</vt:lpstr>
      <vt:lpstr>FpContribution</vt:lpstr>
      <vt:lpstr>FpFixed</vt:lpstr>
      <vt:lpstr>FpJobsNow</vt:lpstr>
      <vt:lpstr>FpNewClients</vt:lpstr>
      <vt:lpstr>FpNewStaff</vt:lpstr>
      <vt:lpstr>FpRateRise</vt:lpstr>
      <vt:lpstr>FpTaxPot</vt:lpstr>
      <vt:lpstr>FpTaxSet</vt:lpstr>
      <vt:lpstr>FpVarCost</vt:lpstr>
      <vt:lpstr>FpYearProfit</vt:lpstr>
      <vt:lpstr>FreqDays</vt:lpstr>
      <vt:lpstr>FreqFactors</vt:lpstr>
      <vt:lpstr>FreqNames</vt:lpstr>
      <vt:lpstr>FreqPerYear</vt:lpstr>
      <vt:lpstr>FrequencyList</vt:lpstr>
      <vt:lpstr>GoalStatusList</vt:lpstr>
      <vt:lpstr>HourlyRate</vt:lpstr>
      <vt:lpstr>InactiveClientDays</vt:lpstr>
      <vt:lpstr>IncidentTypeList</vt:lpstr>
      <vt:lpstr>InvoiceIDs</vt:lpstr>
      <vt:lpstr>InvoiceMonths</vt:lpstr>
      <vt:lpstr>InvoicePrefix</vt:lpstr>
      <vt:lpstr>InvoiceStatusList</vt:lpstr>
      <vt:lpstr>JobClients</vt:lpstr>
      <vt:lpstr>JobDates</vt:lpstr>
      <vt:lpstr>JobIDs</vt:lpstr>
      <vt:lpstr>JobMonths</vt:lpstr>
      <vt:lpstr>JobPrefix</vt:lpstr>
      <vt:lpstr>JobStatuses</vt:lpstr>
      <vt:lpstr>JobStatusList</vt:lpstr>
      <vt:lpstr>JobTypeList</vt:lpstr>
      <vt:lpstr>KeyStatusList</vt:lpstr>
      <vt:lpstr>LateFeePercent</vt:lpstr>
      <vt:lpstr>LeadIDs</vt:lpstr>
      <vt:lpstr>LeadPrefix</vt:lpstr>
      <vt:lpstr>LeadSourceList</vt:lpstr>
      <vt:lpstr>LeadStageList</vt:lpstr>
      <vt:lpstr>LeaveTypeList</vt:lpstr>
      <vt:lpstr>LostReasonList</vt:lpstr>
      <vt:lpstr>LowStockDays</vt:lpstr>
      <vt:lpstr>MaintenanceDays</vt:lpstr>
      <vt:lpstr>MaintenanceList</vt:lpstr>
      <vt:lpstr>MarginFloor</vt:lpstr>
      <vt:lpstr>MileagePurposeList</vt:lpstr>
      <vt:lpstr>MileageRate</vt:lpstr>
      <vt:lpstr>MinimumCharge</vt:lpstr>
      <vt:lpstr>MonthEnd</vt:lpstr>
      <vt:lpstr>MonthList</vt:lpstr>
      <vt:lpstr>MonthlyExpenseBudget</vt:lpstr>
      <vt:lpstr>MonthlyRevenueTarget</vt:lpstr>
      <vt:lpstr>MonthStart</vt:lpstr>
      <vt:lpstr>MoveCleanUplift</vt:lpstr>
      <vt:lpstr>OverdueGrace</vt:lpstr>
      <vt:lpstr>OvertimeRate</vt:lpstr>
      <vt:lpstr>OwnershipList</vt:lpstr>
      <vt:lpstr>ParkingList</vt:lpstr>
      <vt:lpstr>PaymentMethodList</vt:lpstr>
      <vt:lpstr>PaymentPrefix</vt:lpstr>
      <vt:lpstr>PaymentTerms</vt:lpstr>
      <vt:lpstr>PayRate</vt:lpstr>
      <vt:lpstr>PetSurcharge</vt:lpstr>
      <vt:lpstr>PlanYear</vt:lpstr>
      <vt:lpstr>PriceRounding</vt:lpstr>
      <vt:lpstr>PricingModelList</vt:lpstr>
      <vt:lpstr>'Checklists'!Print_Area</vt:lpstr>
      <vt:lpstr>'Clients'!Print_Area</vt:lpstr>
      <vt:lpstr>'Complaints'!Print_Area</vt:lpstr>
      <vt:lpstr>'Employees'!Print_Area</vt:lpstr>
      <vt:lpstr>'Equipment'!Print_Area</vt:lpstr>
      <vt:lpstr>'Expenses'!Print_Area</vt:lpstr>
      <vt:lpstr>'Incidents'!Print_Area</vt:lpstr>
      <vt:lpstr>'Invoice Lines'!Print_Area</vt:lpstr>
      <vt:lpstr>'Invoices'!Print_Area</vt:lpstr>
      <vt:lpstr>'Job Costing'!Print_Area</vt:lpstr>
      <vt:lpstr>'Job Tasks'!Print_Area</vt:lpstr>
      <vt:lpstr>'Jobs'!Print_Area</vt:lpstr>
      <vt:lpstr>'Leads'!Print_Area</vt:lpstr>
      <vt:lpstr>'Mileage'!Print_Area</vt:lpstr>
      <vt:lpstr>'Payments'!Print_Area</vt:lpstr>
      <vt:lpstr>'Print Invoice'!Print_Area</vt:lpstr>
      <vt:lpstr>'Print Job Sheet'!Print_Area</vt:lpstr>
      <vt:lpstr>'Print Quote'!Print_Area</vt:lpstr>
      <vt:lpstr>'Properties'!Print_Area</vt:lpstr>
      <vt:lpstr>'Quote Lines'!Print_Area</vt:lpstr>
      <vt:lpstr>'Quotes'!Print_Area</vt:lpstr>
      <vt:lpstr>'Safety'!Print_Area</vt:lpstr>
      <vt:lpstr>'Services'!Print_Area</vt:lpstr>
      <vt:lpstr>'Supplies'!Print_Area</vt:lpstr>
      <vt:lpstr>'Supply Usage'!Print_Area</vt:lpstr>
      <vt:lpstr>'Timesheets'!Print_Area</vt:lpstr>
      <vt:lpstr>'Checklists'!Print_Titles</vt:lpstr>
      <vt:lpstr>'Clients'!Print_Titles</vt:lpstr>
      <vt:lpstr>'Complaints'!Print_Titles</vt:lpstr>
      <vt:lpstr>'Employees'!Print_Titles</vt:lpstr>
      <vt:lpstr>'Equipment'!Print_Titles</vt:lpstr>
      <vt:lpstr>'Expenses'!Print_Titles</vt:lpstr>
      <vt:lpstr>'Incidents'!Print_Titles</vt:lpstr>
      <vt:lpstr>'Invoice Lines'!Print_Titles</vt:lpstr>
      <vt:lpstr>'Invoices'!Print_Titles</vt:lpstr>
      <vt:lpstr>'Job Costing'!Print_Titles</vt:lpstr>
      <vt:lpstr>'Job Tasks'!Print_Titles</vt:lpstr>
      <vt:lpstr>'Jobs'!Print_Titles</vt:lpstr>
      <vt:lpstr>'Leads'!Print_Titles</vt:lpstr>
      <vt:lpstr>'Mileage'!Print_Titles</vt:lpstr>
      <vt:lpstr>'Payments'!Print_Titles</vt:lpstr>
      <vt:lpstr>'Properties'!Print_Titles</vt:lpstr>
      <vt:lpstr>'Quote Lines'!Print_Titles</vt:lpstr>
      <vt:lpstr>'Quotes'!Print_Titles</vt:lpstr>
      <vt:lpstr>'Safety'!Print_Titles</vt:lpstr>
      <vt:lpstr>'Services'!Print_Titles</vt:lpstr>
      <vt:lpstr>'Supplies'!Print_Titles</vt:lpstr>
      <vt:lpstr>'Supply Usage'!Print_Titles</vt:lpstr>
      <vt:lpstr>'Timesheets'!Print_Titles</vt:lpstr>
      <vt:lpstr>PrintInvoice</vt:lpstr>
      <vt:lpstr>PrintJob</vt:lpstr>
      <vt:lpstr>PrintJobChecklist</vt:lpstr>
      <vt:lpstr>PrintQuote</vt:lpstr>
      <vt:lpstr>PriorityList</vt:lpstr>
      <vt:lpstr>ProductiveHours</vt:lpstr>
      <vt:lpstr>PropertyIDs</vt:lpstr>
      <vt:lpstr>PropertyNames</vt:lpstr>
      <vt:lpstr>PropertyPrefix</vt:lpstr>
      <vt:lpstr>PropertyTypeList</vt:lpstr>
      <vt:lpstr>QcAfterFreq</vt:lpstr>
      <vt:lpstr>QcArea</vt:lpstr>
      <vt:lpstr>QcAreaHours</vt:lpstr>
      <vt:lpstr>QcBaseHours</vt:lpstr>
      <vt:lpstr>QcBaths</vt:lpstr>
      <vt:lpstr>QcBeds</vt:lpstr>
      <vt:lpstr>QcCallout</vt:lpstr>
      <vt:lpstr>QcCalloutFee</vt:lpstr>
      <vt:lpstr>QcChosen</vt:lpstr>
      <vt:lpstr>QcCleaners</vt:lpstr>
      <vt:lpstr>QcCondition</vt:lpstr>
      <vt:lpstr>QcConditionFactor</vt:lpstr>
      <vt:lpstr>QcCost</vt:lpstr>
      <vt:lpstr>QcDeposit</vt:lpstr>
      <vt:lpstr>QcDiscount</vt:lpstr>
      <vt:lpstr>QcDiscountValue</vt:lpstr>
      <vt:lpstr>QcDistance</vt:lpstr>
      <vt:lpstr>QcExtraHours</vt:lpstr>
      <vt:lpstr>QcExtras</vt:lpstr>
      <vt:lpstr>QcExtrasTotal</vt:lpstr>
      <vt:lpstr>QcFreqFactor</vt:lpstr>
      <vt:lpstr>QcFrequency</vt:lpstr>
      <vt:lpstr>QcHours</vt:lpstr>
      <vt:lpstr>QcHoursOverride</vt:lpstr>
      <vt:lpstr>QcLabour</vt:lpstr>
      <vt:lpstr>QcManual</vt:lpstr>
      <vt:lpstr>QcMargin</vt:lpstr>
      <vt:lpstr>QcMethod</vt:lpstr>
      <vt:lpstr>QcPerArea</vt:lpstr>
      <vt:lpstr>QcPerHour</vt:lpstr>
      <vt:lpstr>QcPetFee</vt:lpstr>
      <vt:lpstr>QcPets</vt:lpstr>
      <vt:lpstr>QcPrice</vt:lpstr>
      <vt:lpstr>QcPriceArea</vt:lpstr>
      <vt:lpstr>QcPriceHour</vt:lpstr>
      <vt:lpstr>QcPriceRoom</vt:lpstr>
      <vt:lpstr>QcPriceService</vt:lpstr>
      <vt:lpstr>QcPriceTarget</vt:lpstr>
      <vt:lpstr>QcProfit</vt:lpstr>
      <vt:lpstr>QcRate</vt:lpstr>
      <vt:lpstr>QcRateOverride</vt:lpstr>
      <vt:lpstr>QcRaw</vt:lpstr>
      <vt:lpstr>QcRoomHours</vt:lpstr>
      <vt:lpstr>QcRooms</vt:lpstr>
      <vt:lpstr>QcService</vt:lpstr>
      <vt:lpstr>QcServiceHours</vt:lpstr>
      <vt:lpstr>QcSupplies</vt:lpstr>
      <vt:lpstr>QcTax</vt:lpstr>
      <vt:lpstr>QcTotal</vt:lpstr>
      <vt:lpstr>QcTravel</vt:lpstr>
      <vt:lpstr>QcType</vt:lpstr>
      <vt:lpstr>QcUplift</vt:lpstr>
      <vt:lpstr>QcVerdict</vt:lpstr>
      <vt:lpstr>QcVisitHours</vt:lpstr>
      <vt:lpstr>QualityList</vt:lpstr>
      <vt:lpstr>QuoteFollowupDays</vt:lpstr>
      <vt:lpstr>QuoteIDs</vt:lpstr>
      <vt:lpstr>QuotePrefix</vt:lpstr>
      <vt:lpstr>QuoteStatusList</vt:lpstr>
      <vt:lpstr>QuoteValidDays</vt:lpstr>
      <vt:lpstr>QuoteWinTarget</vt:lpstr>
      <vt:lpstr>RatePerArea</vt:lpstr>
      <vt:lpstr>RatePerBathroom</vt:lpstr>
      <vt:lpstr>RatePerBedroom</vt:lpstr>
      <vt:lpstr>RatePerRoom</vt:lpstr>
      <vt:lpstr>RatingList</vt:lpstr>
      <vt:lpstr>ReminderDays</vt:lpstr>
      <vt:lpstr>RenewalWarningDays</vt:lpstr>
      <vt:lpstr>ResolutionList</vt:lpstr>
      <vt:lpstr>RetentionList</vt:lpstr>
      <vt:lpstr>RetentionTarget</vt:lpstr>
      <vt:lpstr>RotaStart</vt:lpstr>
      <vt:lpstr>RoundingList</vt:lpstr>
      <vt:lpstr>SafetyDocList</vt:lpstr>
      <vt:lpstr>SatisfactionTarget</vt:lpstr>
      <vt:lpstr>ServiceCategoryList</vt:lpstr>
      <vt:lpstr>ServiceIDs</vt:lpstr>
      <vt:lpstr>ServiceNames</vt:lpstr>
      <vt:lpstr>ServicePrefix</vt:lpstr>
      <vt:lpstr>SeverityList</vt:lpstr>
      <vt:lpstr>ShiftList</vt:lpstr>
      <vt:lpstr>SuppliesPerHour</vt:lpstr>
      <vt:lpstr>SupplyCategoryList</vt:lpstr>
      <vt:lpstr>SupplyNames</vt:lpstr>
      <vt:lpstr>SupplyPrefix</vt:lpstr>
      <vt:lpstr>SupplyUnitList</vt:lpstr>
      <vt:lpstr>TargetMargin</vt:lpstr>
      <vt:lpstr>TaskAreaList</vt:lpstr>
      <vt:lpstr>TaskStatusList</vt:lpstr>
      <vt:lpstr>TaxLabel</vt:lpstr>
      <vt:lpstr>TaxRate</vt:lpstr>
      <vt:lpstr>TimeSlotList</vt:lpstr>
      <vt:lpstr>TodayDate</vt:lpstr>
      <vt:lpstr>TrainingList</vt:lpstr>
      <vt:lpstr>TravelMinutes</vt:lpstr>
      <vt:lpstr>UtilisationTarget</vt:lpstr>
      <vt:lpstr>VehicleList</vt:lpstr>
      <vt:lpstr>WeekdayList</vt:lpstr>
      <vt:lpstr>WeekStart</vt:lpstr>
      <vt:lpstr>WeekStartDate</vt:lpstr>
      <vt:lpstr>WeekStartList</vt:lpstr>
      <vt:lpstr>YesNoList</vt:lpstr>
      <vt:lpstr>YesNoNAList</vt:lpstr>
    </vt:vector>
  </TitlesOfParts>
  <Manager>Novality Store</Manager>
  <Company>Novality Store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Cleaning Business CRM &amp; Pricing Calculator</dc:title>
  <dc:subject>Cleaning business CRM, scheduling, quoting and accounts</dc:subject>
  <dc:creator>Novality Store</dc:creator>
  <cp:keywords>cleaning business spreadsheet, cleaning service CRM, job scheduler, quote calculator, cleaning price calculator, employee planner, invoice tracker, expenses, profit dashboard, housekeeping business, spreadsheet template</cp:keywords>
  <dc:description>Cleaning Business CRM &amp; Pricing Calculator. Created by Novality Store. Version 1.0.0. Formula cells are locked and every sheet is protected with the password 'premium'.</dc:description>
  <cp:lastModifiedBy>Novality Store</cp:lastModifiedBy>
  <dcterms:created xsi:type="dcterms:W3CDTF">2026-10-18T00:00:00Z</dcterms:created>
  <dcterms:modified xsi:type="dcterms:W3CDTF">2026-10-18T00:00:00Z</dcterms:modified>
  <cp:category>Small business spreadsheet template</cp:category>
  <cp:contentStatus>Final</cp:contentStatus>
</cp:coreProperties>
</file>